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aten\Documents\Kommunalfinanzen\Kalk-Tabellen\"/>
    </mc:Choice>
  </mc:AlternateContent>
  <bookViews>
    <workbookView xWindow="14388" yWindow="-12" windowWidth="14436" windowHeight="12252" activeTab="1"/>
  </bookViews>
  <sheets>
    <sheet name="Nachkalkulation" sheetId="10" r:id="rId1"/>
    <sheet name="Vorkalkulation" sheetId="4" r:id="rId2"/>
    <sheet name="Grunddaten" sheetId="7" r:id="rId3"/>
    <sheet name="Verteilerschl" sheetId="2" r:id="rId4"/>
    <sheet name="Grundgebuehren" sheetId="16" r:id="rId5"/>
    <sheet name="Betriebskosten" sheetId="13" r:id="rId6"/>
    <sheet name="Anlagegueter" sheetId="9" r:id="rId7"/>
    <sheet name="Beitraege" sheetId="12" r:id="rId8"/>
    <sheet name="Zuwendungen" sheetId="14" r:id="rId9"/>
    <sheet name="AZV" sheetId="18" r:id="rId10"/>
    <sheet name="Preisindex" sheetId="8" r:id="rId11"/>
    <sheet name="Verzinsung" sheetId="11" r:id="rId12"/>
    <sheet name="Kontrolle" sheetId="17" r:id="rId13"/>
  </sheets>
  <definedNames>
    <definedName name="Anlageg">Anlagegueter!$322:$501</definedName>
    <definedName name="AZV_g">AZV!$24:$33</definedName>
    <definedName name="Beitr">Beitraege!$128:$192</definedName>
    <definedName name="Betriebsko">Betriebskosten!$103:$114</definedName>
    <definedName name="Grund_be">Grunddaten!$C$20:$K$25</definedName>
    <definedName name="Grund_geb_ein">Grunddaten!$D$66:$L$72</definedName>
    <definedName name="Grund_me_fl">Grunddaten!$I$46:$L$50</definedName>
    <definedName name="Grund_ue_u">Grunddaten!$D$97:$L$103</definedName>
    <definedName name="Grund_zins">Grunddaten!$D$33:$L$35</definedName>
    <definedName name="Grundgeb">Grundgebuehren!$H$30:$K$31</definedName>
    <definedName name="Preisindex">Preisindex!$A$6:$E$200</definedName>
    <definedName name="Verteil_rwgr">Verteilerschl!$6:$56</definedName>
    <definedName name="Verteil_rwst">Verteilerschl!$7:$56</definedName>
    <definedName name="Verteil_sw">Verteilerschl!$5:$56</definedName>
    <definedName name="Verzins">Verzinsung!$A$65:$L$71</definedName>
    <definedName name="Zuwend">Zuwendungen!$128:$207</definedName>
  </definedNames>
  <calcPr calcId="152511"/>
</workbook>
</file>

<file path=xl/calcChain.xml><?xml version="1.0" encoding="utf-8"?>
<calcChain xmlns="http://schemas.openxmlformats.org/spreadsheetml/2006/main">
  <c r="E67" i="8" l="1"/>
  <c r="E68" i="8" s="1"/>
  <c r="D67" i="8"/>
  <c r="D68" i="8" s="1"/>
  <c r="C67" i="8"/>
  <c r="C68" i="8" s="1"/>
  <c r="B67" i="8"/>
  <c r="B68" i="8" s="1"/>
  <c r="D37" i="8"/>
  <c r="C37" i="8"/>
  <c r="B37"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E17" i="8" s="1"/>
  <c r="E16" i="8" s="1"/>
  <c r="E15" i="8" s="1"/>
  <c r="E14" i="8" s="1"/>
  <c r="E13" i="8" s="1"/>
  <c r="E12" i="8" s="1"/>
  <c r="E11" i="8" s="1"/>
  <c r="E10" i="8" s="1"/>
  <c r="E9" i="8" s="1"/>
  <c r="E8" i="8" s="1"/>
  <c r="E7" i="8" s="1"/>
  <c r="E6" i="8" s="1"/>
  <c r="C18" i="8"/>
  <c r="B18" i="8"/>
  <c r="D17" i="8"/>
  <c r="C17" i="8"/>
  <c r="B17" i="8"/>
  <c r="D16" i="8"/>
  <c r="C15" i="8" s="1"/>
  <c r="C14" i="8" s="1"/>
  <c r="C13" i="8" s="1"/>
  <c r="C12" i="8" s="1"/>
  <c r="C11" i="8" s="1"/>
  <c r="C10" i="8" s="1"/>
  <c r="C9" i="8" s="1"/>
  <c r="C8" i="8" s="1"/>
  <c r="C7" i="8" s="1"/>
  <c r="C6" i="8" s="1"/>
  <c r="C16" i="8"/>
  <c r="B16" i="8"/>
  <c r="D15" i="8"/>
  <c r="B15" i="8"/>
  <c r="D14" i="8"/>
  <c r="B14" i="8"/>
  <c r="D13" i="8"/>
  <c r="B13" i="8"/>
  <c r="D12" i="8"/>
  <c r="B12" i="8"/>
  <c r="D11" i="8"/>
  <c r="B11" i="8"/>
  <c r="B10" i="8" s="1"/>
  <c r="B9" i="8" s="1"/>
  <c r="B8" i="8" s="1"/>
  <c r="B7" i="8" s="1"/>
  <c r="B6" i="8" s="1"/>
  <c r="H19" i="7" l="1"/>
  <c r="H71" i="7" l="1"/>
  <c r="G71" i="7"/>
  <c r="F71" i="7"/>
  <c r="E71" i="7"/>
  <c r="D71" i="7"/>
  <c r="H70" i="7"/>
  <c r="G70" i="7"/>
  <c r="F70" i="7"/>
  <c r="E70" i="7"/>
  <c r="D70" i="7"/>
  <c r="L68" i="7"/>
  <c r="K68" i="7"/>
  <c r="J68" i="7"/>
  <c r="I68" i="7"/>
  <c r="B73" i="7" l="1"/>
  <c r="E15" i="7" l="1"/>
  <c r="H15" i="7" s="1"/>
  <c r="E12" i="7"/>
  <c r="H12" i="7" s="1"/>
  <c r="B34" i="18" l="1"/>
  <c r="C114" i="13"/>
  <c r="B31" i="16"/>
  <c r="K1" i="2"/>
  <c r="I101" i="7"/>
  <c r="B51" i="7"/>
  <c r="A26" i="7"/>
  <c r="A71" i="11" l="1"/>
  <c r="B9" i="10" l="1"/>
  <c r="FG467" i="9" l="1"/>
  <c r="FI468" i="9" s="1"/>
  <c r="EP467" i="9"/>
  <c r="ER468" i="9" s="1"/>
  <c r="DY467" i="9"/>
  <c r="EA468" i="9" s="1"/>
  <c r="DH467" i="9"/>
  <c r="DJ468" i="9" s="1"/>
  <c r="CQ467" i="9"/>
  <c r="CS468" i="9" s="1"/>
  <c r="BZ467" i="9"/>
  <c r="CB468" i="9" s="1"/>
  <c r="BI467" i="9"/>
  <c r="BK468" i="9" s="1"/>
  <c r="AR467" i="9"/>
  <c r="AT468" i="9" s="1"/>
  <c r="FG452" i="9"/>
  <c r="EP452" i="9"/>
  <c r="DY452" i="9"/>
  <c r="DH452" i="9"/>
  <c r="CQ452" i="9"/>
  <c r="BZ452" i="9"/>
  <c r="BI452" i="9"/>
  <c r="AR452" i="9"/>
  <c r="FO419" i="9"/>
  <c r="FN419" i="9"/>
  <c r="EX419" i="9"/>
  <c r="EW419" i="9"/>
  <c r="EG419" i="9"/>
  <c r="EF419" i="9"/>
  <c r="DP419" i="9"/>
  <c r="DO419" i="9"/>
  <c r="CY419" i="9"/>
  <c r="CX419" i="9"/>
  <c r="CH419" i="9"/>
  <c r="CG419" i="9"/>
  <c r="BQ419" i="9"/>
  <c r="BP419" i="9"/>
  <c r="AZ419" i="9"/>
  <c r="AY419" i="9"/>
  <c r="FO415" i="9"/>
  <c r="FN415" i="9"/>
  <c r="EX415" i="9"/>
  <c r="EW415" i="9"/>
  <c r="EG415" i="9"/>
  <c r="EF415" i="9"/>
  <c r="DP415" i="9"/>
  <c r="DO415" i="9"/>
  <c r="CY415" i="9"/>
  <c r="CX415" i="9"/>
  <c r="CH415" i="9"/>
  <c r="CG415" i="9"/>
  <c r="BQ415" i="9"/>
  <c r="BP415" i="9"/>
  <c r="AZ415" i="9"/>
  <c r="AY415" i="9"/>
  <c r="FO403" i="9"/>
  <c r="FN403" i="9"/>
  <c r="EX403" i="9"/>
  <c r="EW403" i="9"/>
  <c r="EG403" i="9"/>
  <c r="EF403" i="9"/>
  <c r="DP403" i="9"/>
  <c r="DO403" i="9"/>
  <c r="CY403" i="9"/>
  <c r="CX403" i="9"/>
  <c r="CH403" i="9"/>
  <c r="CG403" i="9"/>
  <c r="BQ403" i="9"/>
  <c r="BP403" i="9"/>
  <c r="AZ403" i="9"/>
  <c r="AY403" i="9"/>
  <c r="FL390" i="9"/>
  <c r="FM393" i="9" s="1"/>
  <c r="FJ390" i="9"/>
  <c r="FF390" i="9"/>
  <c r="FD390" i="9"/>
  <c r="EU390" i="9"/>
  <c r="EV393" i="9" s="1"/>
  <c r="ES390" i="9"/>
  <c r="EO390" i="9"/>
  <c r="EM390" i="9"/>
  <c r="ED390" i="9"/>
  <c r="EE393" i="9" s="1"/>
  <c r="EB390" i="9"/>
  <c r="DX390" i="9"/>
  <c r="DV390" i="9"/>
  <c r="DM390" i="9"/>
  <c r="DN393" i="9" s="1"/>
  <c r="DK390" i="9"/>
  <c r="DG390" i="9"/>
  <c r="DE390" i="9"/>
  <c r="CV390" i="9"/>
  <c r="CW393" i="9" s="1"/>
  <c r="CT390" i="9"/>
  <c r="CP390" i="9"/>
  <c r="CN390" i="9"/>
  <c r="CE390" i="9"/>
  <c r="CF393" i="9" s="1"/>
  <c r="CC390" i="9"/>
  <c r="BY390" i="9"/>
  <c r="BW390" i="9"/>
  <c r="BN390" i="9"/>
  <c r="BO393" i="9" s="1"/>
  <c r="BL390" i="9"/>
  <c r="BH390" i="9"/>
  <c r="BF390" i="9"/>
  <c r="AW390" i="9"/>
  <c r="AX393" i="9" s="1"/>
  <c r="AU390" i="9"/>
  <c r="AQ390" i="9"/>
  <c r="AO390" i="9"/>
  <c r="FL386" i="9"/>
  <c r="FM389" i="9" s="1"/>
  <c r="FJ386" i="9"/>
  <c r="FF386" i="9"/>
  <c r="FD386" i="9"/>
  <c r="EU386" i="9"/>
  <c r="EV389" i="9" s="1"/>
  <c r="ES386" i="9"/>
  <c r="EO386" i="9"/>
  <c r="EM386" i="9"/>
  <c r="ED386" i="9"/>
  <c r="EB386" i="9"/>
  <c r="DX386" i="9"/>
  <c r="DV386" i="9"/>
  <c r="DM386" i="9"/>
  <c r="DK386" i="9"/>
  <c r="DG386" i="9"/>
  <c r="DE386" i="9"/>
  <c r="CV386" i="9"/>
  <c r="CT386" i="9"/>
  <c r="CP386" i="9"/>
  <c r="CN386" i="9"/>
  <c r="CE386" i="9"/>
  <c r="CC386" i="9"/>
  <c r="BY386" i="9"/>
  <c r="BW386" i="9"/>
  <c r="BN386" i="9"/>
  <c r="BL386" i="9"/>
  <c r="BH386" i="9"/>
  <c r="BF386" i="9"/>
  <c r="AW386" i="9"/>
  <c r="AU386" i="9"/>
  <c r="AQ386" i="9"/>
  <c r="AO386" i="9"/>
  <c r="FL374" i="9"/>
  <c r="FJ374" i="9"/>
  <c r="FF374" i="9"/>
  <c r="FD374" i="9"/>
  <c r="EU374" i="9"/>
  <c r="ES374" i="9"/>
  <c r="EO374" i="9"/>
  <c r="EM374" i="9"/>
  <c r="ED374" i="9"/>
  <c r="EB374" i="9"/>
  <c r="DX374" i="9"/>
  <c r="DV374" i="9"/>
  <c r="DM374" i="9"/>
  <c r="DK374" i="9"/>
  <c r="DG374" i="9"/>
  <c r="DE374" i="9"/>
  <c r="CV374" i="9"/>
  <c r="CT374" i="9"/>
  <c r="CP374" i="9"/>
  <c r="CN374" i="9"/>
  <c r="CE374" i="9"/>
  <c r="CC374" i="9"/>
  <c r="BY374" i="9"/>
  <c r="BW374" i="9"/>
  <c r="BN374" i="9"/>
  <c r="BL374" i="9"/>
  <c r="BH374" i="9"/>
  <c r="BF374" i="9"/>
  <c r="AW374" i="9"/>
  <c r="AU374" i="9"/>
  <c r="AQ374" i="9"/>
  <c r="AO374" i="9"/>
  <c r="FS344" i="9"/>
  <c r="FQ347" i="9" s="1"/>
  <c r="FR344" i="9"/>
  <c r="FI344" i="9"/>
  <c r="FG344" i="9"/>
  <c r="FB344" i="9"/>
  <c r="EZ347" i="9" s="1"/>
  <c r="FA344" i="9"/>
  <c r="ER344" i="9"/>
  <c r="ES347" i="9" s="1"/>
  <c r="EP344" i="9"/>
  <c r="EQ347" i="9" s="1"/>
  <c r="EK344" i="9"/>
  <c r="EI347" i="9" s="1"/>
  <c r="EJ344" i="9"/>
  <c r="EA344" i="9"/>
  <c r="DY344" i="9"/>
  <c r="DT344" i="9"/>
  <c r="DS344" i="9"/>
  <c r="DJ344" i="9"/>
  <c r="DK347" i="9" s="1"/>
  <c r="DH344" i="9"/>
  <c r="DI347" i="9" s="1"/>
  <c r="DC344" i="9"/>
  <c r="DA346" i="9" s="1"/>
  <c r="DB344" i="9"/>
  <c r="CS344" i="9"/>
  <c r="CQ344" i="9"/>
  <c r="CL344" i="9"/>
  <c r="CK344" i="9"/>
  <c r="CB344" i="9"/>
  <c r="CC347" i="9" s="1"/>
  <c r="BZ344" i="9"/>
  <c r="CA347" i="9" s="1"/>
  <c r="BU344" i="9"/>
  <c r="BS347" i="9" s="1"/>
  <c r="BT344" i="9"/>
  <c r="BK344" i="9"/>
  <c r="BI344" i="9"/>
  <c r="BD344" i="9"/>
  <c r="BC344" i="9"/>
  <c r="AT344" i="9"/>
  <c r="AU347" i="9" s="1"/>
  <c r="AR344" i="9"/>
  <c r="AS347" i="9" s="1"/>
  <c r="FS340" i="9"/>
  <c r="FQ343" i="9" s="1"/>
  <c r="FR340" i="9"/>
  <c r="FI340" i="9"/>
  <c r="FJ343" i="9" s="1"/>
  <c r="FG340" i="9"/>
  <c r="FH343" i="9" s="1"/>
  <c r="FB340" i="9"/>
  <c r="EZ343" i="9" s="1"/>
  <c r="FA340" i="9"/>
  <c r="ER340" i="9"/>
  <c r="ES343" i="9" s="1"/>
  <c r="EP340" i="9"/>
  <c r="EQ343" i="9" s="1"/>
  <c r="EK340" i="9"/>
  <c r="EI343" i="9" s="1"/>
  <c r="EJ340" i="9"/>
  <c r="EA340" i="9"/>
  <c r="EB343" i="9" s="1"/>
  <c r="DY340" i="9"/>
  <c r="DZ343" i="9" s="1"/>
  <c r="DT340" i="9"/>
  <c r="DR343" i="9" s="1"/>
  <c r="DS340" i="9"/>
  <c r="DJ340" i="9"/>
  <c r="DK343" i="9" s="1"/>
  <c r="DH340" i="9"/>
  <c r="DI343" i="9" s="1"/>
  <c r="DC340" i="9"/>
  <c r="DA343" i="9" s="1"/>
  <c r="DB340" i="9"/>
  <c r="CS340" i="9"/>
  <c r="CT343" i="9" s="1"/>
  <c r="CQ340" i="9"/>
  <c r="CR343" i="9" s="1"/>
  <c r="CL340" i="9"/>
  <c r="CJ343" i="9" s="1"/>
  <c r="CK340" i="9"/>
  <c r="CB340" i="9"/>
  <c r="CC343" i="9" s="1"/>
  <c r="BZ340" i="9"/>
  <c r="CA343" i="9" s="1"/>
  <c r="BU340" i="9"/>
  <c r="BS343" i="9" s="1"/>
  <c r="BT340" i="9"/>
  <c r="BK340" i="9"/>
  <c r="BL343" i="9" s="1"/>
  <c r="BI340" i="9"/>
  <c r="BJ343" i="9" s="1"/>
  <c r="BD340" i="9"/>
  <c r="BB343" i="9" s="1"/>
  <c r="BC340" i="9"/>
  <c r="AT340" i="9"/>
  <c r="AU343" i="9" s="1"/>
  <c r="AR340" i="9"/>
  <c r="AS343" i="9" s="1"/>
  <c r="FS328" i="9"/>
  <c r="FQ331" i="9" s="1"/>
  <c r="FR328" i="9"/>
  <c r="FI328" i="9"/>
  <c r="FJ331" i="9" s="1"/>
  <c r="FG328" i="9"/>
  <c r="FH330" i="9" s="1"/>
  <c r="FB328" i="9"/>
  <c r="EZ331" i="9" s="1"/>
  <c r="FA328" i="9"/>
  <c r="ER328" i="9"/>
  <c r="EP328" i="9"/>
  <c r="EK328" i="9"/>
  <c r="EI331" i="9" s="1"/>
  <c r="EJ328" i="9"/>
  <c r="EA328" i="9"/>
  <c r="EB331" i="9" s="1"/>
  <c r="DY328" i="9"/>
  <c r="DZ331" i="9" s="1"/>
  <c r="DT328" i="9"/>
  <c r="DR331" i="9" s="1"/>
  <c r="DS328" i="9"/>
  <c r="DJ328" i="9"/>
  <c r="DH328" i="9"/>
  <c r="DC328" i="9"/>
  <c r="DA331" i="9" s="1"/>
  <c r="DB328" i="9"/>
  <c r="CS328" i="9"/>
  <c r="CT331" i="9" s="1"/>
  <c r="CQ328" i="9"/>
  <c r="CR331" i="9" s="1"/>
  <c r="CL328" i="9"/>
  <c r="CJ331" i="9" s="1"/>
  <c r="CK328" i="9"/>
  <c r="CB328" i="9"/>
  <c r="BZ328" i="9"/>
  <c r="BU328" i="9"/>
  <c r="BS331" i="9" s="1"/>
  <c r="BT328" i="9"/>
  <c r="BK328" i="9"/>
  <c r="BL331" i="9" s="1"/>
  <c r="BI328" i="9"/>
  <c r="BJ331" i="9" s="1"/>
  <c r="BD328" i="9"/>
  <c r="BC328" i="9"/>
  <c r="AT328" i="9"/>
  <c r="AR328" i="9"/>
  <c r="ED167" i="12"/>
  <c r="EC167" i="12"/>
  <c r="DQ167" i="12"/>
  <c r="DP167" i="12"/>
  <c r="DD167" i="12"/>
  <c r="DC167" i="12"/>
  <c r="CQ167" i="12"/>
  <c r="CP167" i="12"/>
  <c r="CD167" i="12"/>
  <c r="CC167" i="12"/>
  <c r="BQ167" i="12"/>
  <c r="BP167" i="12"/>
  <c r="BD167" i="12"/>
  <c r="BC167" i="12"/>
  <c r="AQ167" i="12"/>
  <c r="AP167" i="12"/>
  <c r="ED156" i="12"/>
  <c r="EC156" i="12"/>
  <c r="DQ156" i="12"/>
  <c r="DP156" i="12"/>
  <c r="DD156" i="12"/>
  <c r="DC156" i="12"/>
  <c r="CQ156" i="12"/>
  <c r="CP156" i="12"/>
  <c r="CD156" i="12"/>
  <c r="CC156" i="12"/>
  <c r="BQ156" i="12"/>
  <c r="BP156" i="12"/>
  <c r="BD156" i="12"/>
  <c r="BC156" i="12"/>
  <c r="AQ156" i="12"/>
  <c r="AP156" i="12"/>
  <c r="EA154" i="12"/>
  <c r="DZ154" i="12"/>
  <c r="DY154" i="12"/>
  <c r="DU154" i="12"/>
  <c r="DS154" i="12"/>
  <c r="DN154" i="12"/>
  <c r="DM154" i="12"/>
  <c r="DL154" i="12"/>
  <c r="DH154" i="12"/>
  <c r="DF154" i="12"/>
  <c r="DA154" i="12"/>
  <c r="CZ154" i="12"/>
  <c r="CY154" i="12"/>
  <c r="CU154" i="12"/>
  <c r="CS154" i="12"/>
  <c r="CN154" i="12"/>
  <c r="CM154" i="12"/>
  <c r="CL154" i="12"/>
  <c r="CH154" i="12"/>
  <c r="CF154" i="12"/>
  <c r="CA154" i="12"/>
  <c r="BZ154" i="12"/>
  <c r="BY154" i="12"/>
  <c r="BU154" i="12"/>
  <c r="BS154" i="12"/>
  <c r="BN154" i="12"/>
  <c r="BM154" i="12"/>
  <c r="BL154" i="12"/>
  <c r="BH154" i="12"/>
  <c r="BF154" i="12"/>
  <c r="BA154" i="12"/>
  <c r="AZ154" i="12"/>
  <c r="AY154" i="12"/>
  <c r="AU154" i="12"/>
  <c r="AS154" i="12"/>
  <c r="AN154" i="12"/>
  <c r="AM154" i="12"/>
  <c r="AL154" i="12"/>
  <c r="AH154" i="12"/>
  <c r="AF154" i="12"/>
  <c r="EA143" i="12"/>
  <c r="DY143" i="12"/>
  <c r="DU143" i="12"/>
  <c r="DS143" i="12"/>
  <c r="DN143" i="12"/>
  <c r="DL143" i="12"/>
  <c r="DH143" i="12"/>
  <c r="DF143" i="12"/>
  <c r="DA143" i="12"/>
  <c r="CY143" i="12"/>
  <c r="CU143" i="12"/>
  <c r="CS143" i="12"/>
  <c r="CN143" i="12"/>
  <c r="CL143" i="12"/>
  <c r="CH143" i="12"/>
  <c r="CF143" i="12"/>
  <c r="CA143" i="12"/>
  <c r="BY143" i="12"/>
  <c r="BU143" i="12"/>
  <c r="BS143" i="12"/>
  <c r="BN143" i="12"/>
  <c r="BL143" i="12"/>
  <c r="BH143" i="12"/>
  <c r="BF143" i="12"/>
  <c r="BA143" i="12"/>
  <c r="AY143" i="12"/>
  <c r="AU143" i="12"/>
  <c r="AS143" i="12"/>
  <c r="AN143" i="12"/>
  <c r="AL143" i="12"/>
  <c r="AH143" i="12"/>
  <c r="AF143" i="12"/>
  <c r="DX141" i="12"/>
  <c r="DV141" i="12"/>
  <c r="DK141" i="12"/>
  <c r="DI141" i="12"/>
  <c r="CX141" i="12"/>
  <c r="CV141" i="12"/>
  <c r="CK141" i="12"/>
  <c r="CI141" i="12"/>
  <c r="BX141" i="12"/>
  <c r="BV141" i="12"/>
  <c r="BK141" i="12"/>
  <c r="BI141" i="12"/>
  <c r="AX141" i="12"/>
  <c r="AV141" i="12"/>
  <c r="AK141" i="12"/>
  <c r="AI141" i="12"/>
  <c r="DX130" i="12"/>
  <c r="DV130" i="12"/>
  <c r="DK130" i="12"/>
  <c r="DI130" i="12"/>
  <c r="CX130" i="12"/>
  <c r="CV130" i="12"/>
  <c r="CK130" i="12"/>
  <c r="CI130" i="12"/>
  <c r="BX130" i="12"/>
  <c r="BV130" i="12"/>
  <c r="BK130" i="12"/>
  <c r="BI130" i="12"/>
  <c r="AX130" i="12"/>
  <c r="AV130" i="12"/>
  <c r="AK130" i="12"/>
  <c r="AI130" i="12"/>
  <c r="ED160" i="14"/>
  <c r="EC160" i="14"/>
  <c r="DV160" i="14"/>
  <c r="DQ160" i="14"/>
  <c r="DP160" i="14"/>
  <c r="DI160" i="14"/>
  <c r="DD160" i="14"/>
  <c r="DC160" i="14"/>
  <c r="CV160" i="14"/>
  <c r="CQ160" i="14"/>
  <c r="CP160" i="14"/>
  <c r="CI160" i="14"/>
  <c r="CD160" i="14"/>
  <c r="CC160" i="14"/>
  <c r="BV160" i="14"/>
  <c r="BQ160" i="14"/>
  <c r="BP160" i="14"/>
  <c r="BI160" i="14"/>
  <c r="BD160" i="14"/>
  <c r="BC160" i="14"/>
  <c r="AV160" i="14"/>
  <c r="AQ160" i="14"/>
  <c r="AP160" i="14"/>
  <c r="AI160" i="14"/>
  <c r="EA147" i="14"/>
  <c r="DY147" i="14"/>
  <c r="DU147" i="14"/>
  <c r="DS147" i="14"/>
  <c r="DN147" i="14"/>
  <c r="DL147" i="14"/>
  <c r="DH147" i="14"/>
  <c r="DF147" i="14"/>
  <c r="DA147" i="14"/>
  <c r="CY147" i="14"/>
  <c r="CU147" i="14"/>
  <c r="CS147" i="14"/>
  <c r="CN147" i="14"/>
  <c r="CL147" i="14"/>
  <c r="CH147" i="14"/>
  <c r="CF147" i="14"/>
  <c r="CA147" i="14"/>
  <c r="BY147" i="14"/>
  <c r="BU147" i="14"/>
  <c r="BS147" i="14"/>
  <c r="BN147" i="14"/>
  <c r="BL147" i="14"/>
  <c r="BH147" i="14"/>
  <c r="BF147" i="14"/>
  <c r="BA147" i="14"/>
  <c r="AY147" i="14"/>
  <c r="AU147" i="14"/>
  <c r="AS147" i="14"/>
  <c r="AN147" i="14"/>
  <c r="AL147" i="14"/>
  <c r="AH147" i="14"/>
  <c r="AF147" i="14"/>
  <c r="DX134" i="14"/>
  <c r="DY136" i="14" s="1"/>
  <c r="DV134" i="14"/>
  <c r="DW136" i="14" s="1"/>
  <c r="DK134" i="14"/>
  <c r="DL136" i="14" s="1"/>
  <c r="DI134" i="14"/>
  <c r="DJ136" i="14" s="1"/>
  <c r="CX134" i="14"/>
  <c r="CY136" i="14" s="1"/>
  <c r="CV134" i="14"/>
  <c r="CW136" i="14" s="1"/>
  <c r="CK134" i="14"/>
  <c r="CL136" i="14" s="1"/>
  <c r="CI134" i="14"/>
  <c r="CJ136" i="14" s="1"/>
  <c r="BX134" i="14"/>
  <c r="BV134" i="14"/>
  <c r="BK134" i="14"/>
  <c r="BI134" i="14"/>
  <c r="AX134" i="14"/>
  <c r="AV134" i="14"/>
  <c r="AK134" i="14"/>
  <c r="AI134" i="14"/>
  <c r="DA345" i="9" l="1"/>
  <c r="FH329" i="9"/>
  <c r="AM147" i="14"/>
  <c r="BZ143" i="12"/>
  <c r="DZ143" i="12"/>
  <c r="FH331" i="9"/>
  <c r="DA347" i="9"/>
  <c r="FH328" i="9"/>
  <c r="DA344" i="9"/>
  <c r="AV374" i="9"/>
  <c r="CD374" i="9"/>
  <c r="ET374" i="9"/>
  <c r="DL374" i="9"/>
  <c r="FK390" i="9"/>
  <c r="FM392" i="9"/>
  <c r="BM147" i="14"/>
  <c r="BZ147" i="14"/>
  <c r="CM147" i="14"/>
  <c r="CZ147" i="14"/>
  <c r="DM147" i="14"/>
  <c r="DZ147" i="14"/>
  <c r="BL329" i="9"/>
  <c r="CT329" i="9"/>
  <c r="EB329" i="9"/>
  <c r="FJ329" i="9"/>
  <c r="BL330" i="9"/>
  <c r="CT330" i="9"/>
  <c r="EB330" i="9"/>
  <c r="FJ330" i="9"/>
  <c r="FJ341" i="9"/>
  <c r="FJ342" i="9"/>
  <c r="EQ345" i="9"/>
  <c r="FQ345" i="9"/>
  <c r="EQ346" i="9"/>
  <c r="FQ346" i="9"/>
  <c r="CU374" i="9"/>
  <c r="FM391" i="9"/>
  <c r="FM390" i="9" s="1"/>
  <c r="BJ329" i="9"/>
  <c r="CR329" i="9"/>
  <c r="DZ329" i="9"/>
  <c r="BJ330" i="9"/>
  <c r="CR330" i="9"/>
  <c r="DZ330" i="9"/>
  <c r="FH341" i="9"/>
  <c r="FH342" i="9"/>
  <c r="ES345" i="9"/>
  <c r="ES346" i="9"/>
  <c r="BM374" i="9"/>
  <c r="EC374" i="9"/>
  <c r="AS331" i="9"/>
  <c r="AS330" i="9"/>
  <c r="AS329" i="9"/>
  <c r="BB331" i="9"/>
  <c r="BB330" i="9"/>
  <c r="BB329" i="9"/>
  <c r="CC331" i="9"/>
  <c r="CC330" i="9"/>
  <c r="CC329" i="9"/>
  <c r="AU331" i="9"/>
  <c r="AU330" i="9"/>
  <c r="AU329" i="9"/>
  <c r="CA331" i="9"/>
  <c r="CA330" i="9"/>
  <c r="CA329" i="9"/>
  <c r="DK331" i="9"/>
  <c r="DK330" i="9"/>
  <c r="DK329" i="9"/>
  <c r="EQ331" i="9"/>
  <c r="EQ330" i="9"/>
  <c r="EQ329" i="9"/>
  <c r="CJ329" i="9"/>
  <c r="EZ329" i="9"/>
  <c r="CJ330" i="9"/>
  <c r="EZ330" i="9"/>
  <c r="DI331" i="9"/>
  <c r="DI330" i="9"/>
  <c r="DI329" i="9"/>
  <c r="ES331" i="9"/>
  <c r="ES330" i="9"/>
  <c r="ES329" i="9"/>
  <c r="DR329" i="9"/>
  <c r="DR330" i="9"/>
  <c r="BS329" i="9"/>
  <c r="DA329" i="9"/>
  <c r="EI329" i="9"/>
  <c r="FQ329" i="9"/>
  <c r="BS330" i="9"/>
  <c r="DA330" i="9"/>
  <c r="EI330" i="9"/>
  <c r="FQ330" i="9"/>
  <c r="AS341" i="9"/>
  <c r="AU341" i="9"/>
  <c r="BS341" i="9"/>
  <c r="CA341" i="9"/>
  <c r="CC341" i="9"/>
  <c r="DA341" i="9"/>
  <c r="DI341" i="9"/>
  <c r="DK341" i="9"/>
  <c r="EI341" i="9"/>
  <c r="EQ341" i="9"/>
  <c r="ES341" i="9"/>
  <c r="FQ341" i="9"/>
  <c r="AS342" i="9"/>
  <c r="AU342" i="9"/>
  <c r="BS342" i="9"/>
  <c r="CA342" i="9"/>
  <c r="CC342" i="9"/>
  <c r="DA342" i="9"/>
  <c r="DI342" i="9"/>
  <c r="DK342" i="9"/>
  <c r="EI342" i="9"/>
  <c r="EQ342" i="9"/>
  <c r="ES342" i="9"/>
  <c r="FQ342" i="9"/>
  <c r="BJ347" i="9"/>
  <c r="BJ346" i="9"/>
  <c r="BJ345" i="9"/>
  <c r="BL347" i="9"/>
  <c r="BL346" i="9"/>
  <c r="BL345" i="9"/>
  <c r="CR347" i="9"/>
  <c r="CR346" i="9"/>
  <c r="CR345" i="9"/>
  <c r="CT347" i="9"/>
  <c r="CT346" i="9"/>
  <c r="CT345" i="9"/>
  <c r="DZ347" i="9"/>
  <c r="DZ346" i="9"/>
  <c r="DZ345" i="9"/>
  <c r="EB347" i="9"/>
  <c r="EB346" i="9"/>
  <c r="EB345" i="9"/>
  <c r="FH347" i="9"/>
  <c r="FH346" i="9"/>
  <c r="FH345" i="9"/>
  <c r="AU345" i="9"/>
  <c r="BS345" i="9"/>
  <c r="CA345" i="9"/>
  <c r="DK345" i="9"/>
  <c r="EI345" i="9"/>
  <c r="AU346" i="9"/>
  <c r="BS346" i="9"/>
  <c r="CA346" i="9"/>
  <c r="DK346" i="9"/>
  <c r="EI346" i="9"/>
  <c r="BB341" i="9"/>
  <c r="BJ341" i="9"/>
  <c r="BL341" i="9"/>
  <c r="CJ341" i="9"/>
  <c r="CR341" i="9"/>
  <c r="CT341" i="9"/>
  <c r="DR341" i="9"/>
  <c r="DZ341" i="9"/>
  <c r="EB341" i="9"/>
  <c r="EZ341" i="9"/>
  <c r="BB342" i="9"/>
  <c r="BJ342" i="9"/>
  <c r="BL342" i="9"/>
  <c r="CJ342" i="9"/>
  <c r="CR342" i="9"/>
  <c r="CT342" i="9"/>
  <c r="DR342" i="9"/>
  <c r="DZ342" i="9"/>
  <c r="EB342" i="9"/>
  <c r="EZ342" i="9"/>
  <c r="BB347" i="9"/>
  <c r="BB346" i="9"/>
  <c r="BB345" i="9"/>
  <c r="CJ347" i="9"/>
  <c r="CJ346" i="9"/>
  <c r="CJ345" i="9"/>
  <c r="DR347" i="9"/>
  <c r="DR346" i="9"/>
  <c r="DR345" i="9"/>
  <c r="FJ347" i="9"/>
  <c r="FJ346" i="9"/>
  <c r="FJ345" i="9"/>
  <c r="AS345" i="9"/>
  <c r="CC345" i="9"/>
  <c r="DI345" i="9"/>
  <c r="AS346" i="9"/>
  <c r="CC346" i="9"/>
  <c r="DI346" i="9"/>
  <c r="EZ345" i="9"/>
  <c r="EZ346" i="9"/>
  <c r="AX377" i="9"/>
  <c r="AX376" i="9"/>
  <c r="AX375" i="9"/>
  <c r="BO377" i="9"/>
  <c r="BO376" i="9"/>
  <c r="BO375" i="9"/>
  <c r="CF377" i="9"/>
  <c r="CF376" i="9"/>
  <c r="CF375" i="9"/>
  <c r="CW377" i="9"/>
  <c r="CW376" i="9"/>
  <c r="CW375" i="9"/>
  <c r="DN377" i="9"/>
  <c r="DN376" i="9"/>
  <c r="DN375" i="9"/>
  <c r="EE377" i="9"/>
  <c r="EE376" i="9"/>
  <c r="EE375" i="9"/>
  <c r="EV377" i="9"/>
  <c r="EV376" i="9"/>
  <c r="EV375" i="9"/>
  <c r="FM377" i="9"/>
  <c r="FM376" i="9"/>
  <c r="FM375" i="9"/>
  <c r="FK374" i="9"/>
  <c r="BO389" i="9"/>
  <c r="BO388" i="9"/>
  <c r="BO387" i="9"/>
  <c r="BM386" i="9"/>
  <c r="CW389" i="9"/>
  <c r="CW388" i="9"/>
  <c r="CW387" i="9"/>
  <c r="CU386" i="9"/>
  <c r="EE389" i="9"/>
  <c r="EE388" i="9"/>
  <c r="EE387" i="9"/>
  <c r="EC386" i="9"/>
  <c r="AX389" i="9"/>
  <c r="AX388" i="9"/>
  <c r="AX387" i="9"/>
  <c r="AV386" i="9"/>
  <c r="CF389" i="9"/>
  <c r="CF388" i="9"/>
  <c r="CF387" i="9"/>
  <c r="CD386" i="9"/>
  <c r="DN389" i="9"/>
  <c r="DN388" i="9"/>
  <c r="DN387" i="9"/>
  <c r="DL386" i="9"/>
  <c r="ET386" i="9"/>
  <c r="FK386" i="9"/>
  <c r="EV387" i="9"/>
  <c r="FM387" i="9"/>
  <c r="EV388" i="9"/>
  <c r="FM388" i="9"/>
  <c r="AV390" i="9"/>
  <c r="BM390" i="9"/>
  <c r="CD390" i="9"/>
  <c r="CU390" i="9"/>
  <c r="DL390" i="9"/>
  <c r="EC390" i="9"/>
  <c r="ET390" i="9"/>
  <c r="AX391" i="9"/>
  <c r="BO391" i="9"/>
  <c r="CF391" i="9"/>
  <c r="CW391" i="9"/>
  <c r="DN391" i="9"/>
  <c r="EE391" i="9"/>
  <c r="EV391" i="9"/>
  <c r="AX392" i="9"/>
  <c r="BO392" i="9"/>
  <c r="CF392" i="9"/>
  <c r="CW392" i="9"/>
  <c r="DN392" i="9"/>
  <c r="EE392" i="9"/>
  <c r="EV392" i="9"/>
  <c r="AT453" i="9"/>
  <c r="AR472" i="9"/>
  <c r="CB453" i="9"/>
  <c r="BZ472" i="9"/>
  <c r="DJ453" i="9"/>
  <c r="DH472" i="9"/>
  <c r="ER453" i="9"/>
  <c r="EP472" i="9"/>
  <c r="BI472" i="9"/>
  <c r="BK453" i="9"/>
  <c r="CQ472" i="9"/>
  <c r="CS453" i="9"/>
  <c r="DY472" i="9"/>
  <c r="EA453" i="9"/>
  <c r="FG472" i="9"/>
  <c r="FI453" i="9"/>
  <c r="AJ132" i="12"/>
  <c r="AJ131" i="12"/>
  <c r="AW132" i="12"/>
  <c r="AW131" i="12"/>
  <c r="BJ132" i="12"/>
  <c r="BJ131" i="12"/>
  <c r="BW132" i="12"/>
  <c r="BW131" i="12"/>
  <c r="CJ132" i="12"/>
  <c r="CJ131" i="12"/>
  <c r="CM143" i="12"/>
  <c r="CZ143" i="12"/>
  <c r="CW132" i="12"/>
  <c r="CW131" i="12"/>
  <c r="DJ132" i="12"/>
  <c r="DJ131" i="12"/>
  <c r="DW132" i="12"/>
  <c r="DW131" i="12"/>
  <c r="AM143" i="12"/>
  <c r="AZ143" i="12"/>
  <c r="AL132" i="12"/>
  <c r="AL131" i="12"/>
  <c r="AY132" i="12"/>
  <c r="AY131" i="12"/>
  <c r="BL132" i="12"/>
  <c r="BL131" i="12"/>
  <c r="BY132" i="12"/>
  <c r="BY131" i="12"/>
  <c r="CL132" i="12"/>
  <c r="CL131" i="12"/>
  <c r="CY132" i="12"/>
  <c r="CY131" i="12"/>
  <c r="DL132" i="12"/>
  <c r="DL131" i="12"/>
  <c r="DY132" i="12"/>
  <c r="DY131" i="12"/>
  <c r="BM143" i="12"/>
  <c r="DM143" i="12"/>
  <c r="AL136" i="14"/>
  <c r="AL135" i="14"/>
  <c r="AY136" i="14"/>
  <c r="AY135" i="14"/>
  <c r="BL136" i="14"/>
  <c r="BL135" i="14"/>
  <c r="BY136" i="14"/>
  <c r="BY135" i="14"/>
  <c r="AJ136" i="14"/>
  <c r="AJ135" i="14"/>
  <c r="AW136" i="14"/>
  <c r="AW135" i="14"/>
  <c r="BJ136" i="14"/>
  <c r="BJ135" i="14"/>
  <c r="BW136" i="14"/>
  <c r="BW135" i="14"/>
  <c r="CJ135" i="14"/>
  <c r="CJ134" i="14" s="1"/>
  <c r="CL135" i="14"/>
  <c r="CL134" i="14" s="1"/>
  <c r="CW135" i="14"/>
  <c r="CW134" i="14" s="1"/>
  <c r="CY135" i="14"/>
  <c r="CY134" i="14" s="1"/>
  <c r="DJ135" i="14"/>
  <c r="DJ134" i="14" s="1"/>
  <c r="DL135" i="14"/>
  <c r="DL134" i="14" s="1"/>
  <c r="DW135" i="14"/>
  <c r="DW134" i="14" s="1"/>
  <c r="DY135" i="14"/>
  <c r="DY134" i="14" s="1"/>
  <c r="AZ147" i="14"/>
  <c r="H8" i="7"/>
  <c r="CR328" i="9" l="1"/>
  <c r="C6" i="4"/>
  <c r="A4" i="10"/>
  <c r="D18" i="7"/>
  <c r="E11" i="7"/>
  <c r="H11" i="7"/>
  <c r="FQ344" i="9"/>
  <c r="FJ328" i="9"/>
  <c r="CT328" i="9"/>
  <c r="ES344" i="9"/>
  <c r="FH340" i="9"/>
  <c r="DZ328" i="9"/>
  <c r="BJ328" i="9"/>
  <c r="EQ344" i="9"/>
  <c r="FJ340" i="9"/>
  <c r="EB328" i="9"/>
  <c r="BL328" i="9"/>
  <c r="DN386" i="9"/>
  <c r="CF386" i="9"/>
  <c r="AX386" i="9"/>
  <c r="EQ328" i="9"/>
  <c r="CA328" i="9"/>
  <c r="CC328" i="9"/>
  <c r="AS328" i="9"/>
  <c r="EE386" i="9"/>
  <c r="CW386" i="9"/>
  <c r="BO386" i="9"/>
  <c r="FM374" i="9"/>
  <c r="EE374" i="9"/>
  <c r="CW374" i="9"/>
  <c r="BO374" i="9"/>
  <c r="CC344" i="9"/>
  <c r="FJ344" i="9"/>
  <c r="CJ344" i="9"/>
  <c r="DK344" i="9"/>
  <c r="BS344" i="9"/>
  <c r="FH344" i="9"/>
  <c r="DZ344" i="9"/>
  <c r="CR344" i="9"/>
  <c r="DR328" i="9"/>
  <c r="DI328" i="9"/>
  <c r="EE390" i="9"/>
  <c r="CW390" i="9"/>
  <c r="BO390" i="9"/>
  <c r="EZ328" i="9"/>
  <c r="EV386" i="9"/>
  <c r="EZ340" i="9"/>
  <c r="CT340" i="9"/>
  <c r="CC340" i="9"/>
  <c r="AS340" i="9"/>
  <c r="EI328" i="9"/>
  <c r="BS328" i="9"/>
  <c r="DZ340" i="9"/>
  <c r="CJ340" i="9"/>
  <c r="BJ340" i="9"/>
  <c r="BJ344" i="9"/>
  <c r="ES340" i="9"/>
  <c r="EI340" i="9"/>
  <c r="DI340" i="9"/>
  <c r="BS340" i="9"/>
  <c r="BW134" i="14"/>
  <c r="BJ134" i="14"/>
  <c r="AW134" i="14"/>
  <c r="AJ134" i="14"/>
  <c r="BY134" i="14"/>
  <c r="BL134" i="14"/>
  <c r="AY134" i="14"/>
  <c r="AL134" i="14"/>
  <c r="DY130" i="12"/>
  <c r="DL130" i="12"/>
  <c r="CY130" i="12"/>
  <c r="CL130" i="12"/>
  <c r="BY130" i="12"/>
  <c r="BL130" i="12"/>
  <c r="AY130" i="12"/>
  <c r="AL130" i="12"/>
  <c r="DW130" i="12"/>
  <c r="DJ130" i="12"/>
  <c r="CW130" i="12"/>
  <c r="BW130" i="12"/>
  <c r="AW130" i="12"/>
  <c r="EV390" i="9"/>
  <c r="DN390" i="9"/>
  <c r="CF390" i="9"/>
  <c r="AX390" i="9"/>
  <c r="FM386" i="9"/>
  <c r="EV374" i="9"/>
  <c r="DN374" i="9"/>
  <c r="CF374" i="9"/>
  <c r="AX374" i="9"/>
  <c r="EZ344" i="9"/>
  <c r="DI344" i="9"/>
  <c r="AS344" i="9"/>
  <c r="DR344" i="9"/>
  <c r="BB344" i="9"/>
  <c r="EB340" i="9"/>
  <c r="DR340" i="9"/>
  <c r="CR340" i="9"/>
  <c r="BL340" i="9"/>
  <c r="BB340" i="9"/>
  <c r="EI344" i="9"/>
  <c r="CA344" i="9"/>
  <c r="AU344" i="9"/>
  <c r="EB344" i="9"/>
  <c r="CT344" i="9"/>
  <c r="BL344" i="9"/>
  <c r="FQ340" i="9"/>
  <c r="EQ340" i="9"/>
  <c r="DK340" i="9"/>
  <c r="DA340" i="9"/>
  <c r="CA340" i="9"/>
  <c r="AU340" i="9"/>
  <c r="FQ328" i="9"/>
  <c r="DA328" i="9"/>
  <c r="ES328" i="9"/>
  <c r="CJ328" i="9"/>
  <c r="DK328" i="9"/>
  <c r="AU328" i="9"/>
  <c r="BB328" i="9"/>
  <c r="CJ130" i="12"/>
  <c r="BJ130" i="12"/>
  <c r="AJ130" i="12"/>
  <c r="B9" i="4"/>
  <c r="E6" i="4" l="1"/>
  <c r="I54" i="7"/>
  <c r="I66" i="7" s="1"/>
  <c r="I43" i="7"/>
  <c r="I38" i="7"/>
  <c r="D35" i="4"/>
  <c r="C35" i="4"/>
  <c r="G6" i="4" l="1"/>
  <c r="J54" i="7"/>
  <c r="J66" i="7" s="1"/>
  <c r="J43" i="7"/>
  <c r="J38" i="7"/>
  <c r="E35" i="4"/>
  <c r="F35" i="4"/>
  <c r="R30" i="13"/>
  <c r="R31" i="13"/>
  <c r="R32" i="13"/>
  <c r="R33" i="13"/>
  <c r="R34" i="13"/>
  <c r="R35" i="13"/>
  <c r="R36" i="13"/>
  <c r="R37" i="13"/>
  <c r="R38" i="13"/>
  <c r="R39" i="13"/>
  <c r="R40" i="13"/>
  <c r="R41" i="13"/>
  <c r="R42" i="13"/>
  <c r="R43" i="13"/>
  <c r="R44" i="13"/>
  <c r="R45"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R86" i="13"/>
  <c r="R87" i="13"/>
  <c r="R88" i="13"/>
  <c r="R89" i="13"/>
  <c r="R90" i="13"/>
  <c r="R91" i="13"/>
  <c r="R92" i="13"/>
  <c r="R93" i="13"/>
  <c r="R94" i="13"/>
  <c r="R95" i="13"/>
  <c r="R96" i="13"/>
  <c r="R97" i="13"/>
  <c r="R98" i="13"/>
  <c r="R99" i="13"/>
  <c r="R100" i="13"/>
  <c r="AF8" i="13"/>
  <c r="AF9" i="13"/>
  <c r="AF10" i="13"/>
  <c r="AF11" i="13"/>
  <c r="AF12" i="13"/>
  <c r="AF13" i="13"/>
  <c r="AF14" i="13"/>
  <c r="AF15" i="13"/>
  <c r="AF16" i="13"/>
  <c r="AF17" i="13"/>
  <c r="AF18" i="13"/>
  <c r="AF19" i="13"/>
  <c r="AF20" i="13"/>
  <c r="AF21" i="13"/>
  <c r="AF22" i="13"/>
  <c r="AF23" i="13"/>
  <c r="AF24" i="13"/>
  <c r="AF25" i="13"/>
  <c r="AF26" i="13"/>
  <c r="R8" i="13"/>
  <c r="I6" i="4" l="1"/>
  <c r="K54" i="7"/>
  <c r="K66" i="7" s="1"/>
  <c r="K43" i="7"/>
  <c r="K38" i="7"/>
  <c r="G35" i="4"/>
  <c r="H35" i="4"/>
  <c r="E32" i="12"/>
  <c r="BL42" i="13"/>
  <c r="BL32" i="13"/>
  <c r="BE42" i="13"/>
  <c r="BE33" i="13"/>
  <c r="BL33" i="13" s="1"/>
  <c r="BE32" i="13"/>
  <c r="BE31" i="13"/>
  <c r="BL31" i="13" s="1"/>
  <c r="AX44" i="13"/>
  <c r="BE44" i="13" s="1"/>
  <c r="BL44" i="13" s="1"/>
  <c r="AX41" i="13"/>
  <c r="BE41" i="13" s="1"/>
  <c r="BL41" i="13" s="1"/>
  <c r="AX39" i="13"/>
  <c r="BE39" i="13" s="1"/>
  <c r="BL39" i="13" s="1"/>
  <c r="AX37" i="13"/>
  <c r="BE37" i="13" s="1"/>
  <c r="BL37" i="13" s="1"/>
  <c r="AX35" i="13"/>
  <c r="BE35" i="13" s="1"/>
  <c r="BL35" i="13" s="1"/>
  <c r="AQ45" i="13"/>
  <c r="AX45" i="13" s="1"/>
  <c r="BE45" i="13" s="1"/>
  <c r="BL45" i="13" s="1"/>
  <c r="AQ44" i="13"/>
  <c r="AQ43" i="13"/>
  <c r="AX43" i="13" s="1"/>
  <c r="BE43" i="13" s="1"/>
  <c r="BL43" i="13" s="1"/>
  <c r="AQ41" i="13"/>
  <c r="AQ40" i="13"/>
  <c r="AX40" i="13" s="1"/>
  <c r="BE40" i="13" s="1"/>
  <c r="BL40" i="13" s="1"/>
  <c r="AQ39" i="13"/>
  <c r="AQ38" i="13"/>
  <c r="AX38" i="13" s="1"/>
  <c r="BE38" i="13" s="1"/>
  <c r="BL38" i="13" s="1"/>
  <c r="AQ37" i="13"/>
  <c r="AQ36" i="13"/>
  <c r="AX36" i="13" s="1"/>
  <c r="BE36" i="13" s="1"/>
  <c r="BL36" i="13" s="1"/>
  <c r="AQ34" i="13"/>
  <c r="AX34" i="13" s="1"/>
  <c r="BE34" i="13" s="1"/>
  <c r="BL34" i="13" s="1"/>
  <c r="L54" i="7" l="1"/>
  <c r="L66" i="7" s="1"/>
  <c r="L43" i="7"/>
  <c r="L38" i="7"/>
  <c r="I35" i="4"/>
  <c r="J35" i="4"/>
  <c r="L33" i="18"/>
  <c r="K33" i="18"/>
  <c r="J33" i="18"/>
  <c r="I33" i="18"/>
  <c r="H33" i="18"/>
  <c r="G33" i="18"/>
  <c r="F33" i="18"/>
  <c r="E33" i="18"/>
  <c r="D33" i="18"/>
  <c r="L32" i="18"/>
  <c r="K32" i="18"/>
  <c r="J32" i="18"/>
  <c r="I32" i="18"/>
  <c r="H32" i="18"/>
  <c r="G32" i="18"/>
  <c r="F32" i="18"/>
  <c r="E32" i="18"/>
  <c r="D32" i="18"/>
  <c r="L29" i="18"/>
  <c r="K29" i="18"/>
  <c r="J29" i="18"/>
  <c r="I29" i="18"/>
  <c r="H29" i="18"/>
  <c r="G29" i="18"/>
  <c r="F29" i="18"/>
  <c r="E29" i="18"/>
  <c r="D29" i="18"/>
  <c r="L28" i="18"/>
  <c r="K28" i="18"/>
  <c r="J28" i="18"/>
  <c r="I28" i="18"/>
  <c r="H28" i="18"/>
  <c r="G28" i="18"/>
  <c r="F28" i="18"/>
  <c r="E28" i="18"/>
  <c r="D28" i="18"/>
  <c r="H14" i="18"/>
  <c r="H21" i="18" s="1"/>
  <c r="G14" i="18"/>
  <c r="G16" i="18" s="1"/>
  <c r="F14" i="18"/>
  <c r="F21" i="18" s="1"/>
  <c r="E14" i="18"/>
  <c r="E16" i="18" s="1"/>
  <c r="D14" i="18"/>
  <c r="D21" i="18" s="1"/>
  <c r="I13" i="18"/>
  <c r="I14" i="18" s="1"/>
  <c r="I16" i="18" s="1"/>
  <c r="L10" i="18"/>
  <c r="L20" i="18" s="1"/>
  <c r="L26" i="18" s="1"/>
  <c r="K10" i="18"/>
  <c r="K20" i="18" s="1"/>
  <c r="K26" i="18" s="1"/>
  <c r="J10" i="18"/>
  <c r="J20" i="18" s="1"/>
  <c r="J26" i="18" s="1"/>
  <c r="I10" i="18"/>
  <c r="I20" i="18" s="1"/>
  <c r="I26" i="18" s="1"/>
  <c r="H10" i="18"/>
  <c r="H20" i="18" s="1"/>
  <c r="H26" i="18" s="1"/>
  <c r="G10" i="18"/>
  <c r="G20" i="18" s="1"/>
  <c r="G26" i="18" s="1"/>
  <c r="F10" i="18"/>
  <c r="F20" i="18" s="1"/>
  <c r="F26" i="18" s="1"/>
  <c r="E10" i="18"/>
  <c r="E20" i="18" s="1"/>
  <c r="E26" i="18" s="1"/>
  <c r="D10" i="18"/>
  <c r="D20" i="18" s="1"/>
  <c r="D26" i="18" s="1"/>
  <c r="J13" i="18" l="1"/>
  <c r="J14" i="18" s="1"/>
  <c r="J16" i="18" s="1"/>
  <c r="F16" i="18"/>
  <c r="D16" i="18"/>
  <c r="H16" i="18"/>
  <c r="J21" i="18"/>
  <c r="E21" i="18"/>
  <c r="G21" i="18"/>
  <c r="I21" i="18"/>
  <c r="K13" i="18" l="1"/>
  <c r="K14" i="18"/>
  <c r="L13" i="18"/>
  <c r="L14" i="18" s="1"/>
  <c r="L21" i="18" l="1"/>
  <c r="L16" i="18"/>
  <c r="K16" i="18"/>
  <c r="K21" i="18"/>
  <c r="E65" i="7" l="1"/>
  <c r="E72" i="7" s="1"/>
  <c r="F65" i="7"/>
  <c r="F72" i="7" s="1"/>
  <c r="G65" i="7"/>
  <c r="G72" i="7" s="1"/>
  <c r="H65" i="7"/>
  <c r="H72" i="7" s="1"/>
  <c r="D65" i="7"/>
  <c r="D72" i="7" s="1"/>
  <c r="D61" i="7" l="1"/>
  <c r="E61" i="7"/>
  <c r="F61" i="7"/>
  <c r="G61" i="7"/>
  <c r="H61" i="7"/>
  <c r="C3" i="17" l="1"/>
  <c r="A1" i="17" l="1"/>
  <c r="D3" i="17" l="1"/>
  <c r="E3" i="17" l="1"/>
  <c r="F3" i="17" l="1"/>
  <c r="G3" i="17" l="1"/>
  <c r="H3" i="17" l="1"/>
  <c r="I3" i="17" l="1"/>
  <c r="B29" i="4"/>
  <c r="J3" i="17" l="1"/>
  <c r="A1" i="16"/>
  <c r="K3" i="17" l="1"/>
  <c r="B45" i="4" l="1"/>
  <c r="F129" i="14" l="1"/>
  <c r="F129" i="12"/>
  <c r="A1" i="11" l="1"/>
  <c r="A1" i="8"/>
  <c r="A1" i="14"/>
  <c r="A1" i="12"/>
  <c r="A1" i="9"/>
  <c r="A1" i="13"/>
  <c r="B60" i="4"/>
  <c r="B43" i="4"/>
  <c r="A2" i="4"/>
  <c r="A1" i="4"/>
  <c r="A2" i="10"/>
  <c r="A1" i="10"/>
  <c r="G27" i="16" l="1"/>
  <c r="F27" i="16"/>
  <c r="E27" i="16"/>
  <c r="D27" i="16"/>
  <c r="K26" i="16"/>
  <c r="J26" i="16"/>
  <c r="I26" i="16"/>
  <c r="H26" i="16"/>
  <c r="K25" i="16"/>
  <c r="J25" i="16"/>
  <c r="I25" i="16"/>
  <c r="H25" i="16"/>
  <c r="K24" i="16"/>
  <c r="J24" i="16"/>
  <c r="I24" i="16"/>
  <c r="H24" i="16"/>
  <c r="K23" i="16"/>
  <c r="J23" i="16"/>
  <c r="I23" i="16"/>
  <c r="H23" i="16"/>
  <c r="K22" i="16"/>
  <c r="J22" i="16"/>
  <c r="I22" i="16"/>
  <c r="H22" i="16"/>
  <c r="K21" i="16"/>
  <c r="J21" i="16"/>
  <c r="I21" i="16"/>
  <c r="H21" i="16"/>
  <c r="K20" i="16"/>
  <c r="J20" i="16"/>
  <c r="I20" i="16"/>
  <c r="H20" i="16"/>
  <c r="K19" i="16"/>
  <c r="K27" i="16" s="1"/>
  <c r="J19" i="16"/>
  <c r="J27" i="16" s="1"/>
  <c r="I19" i="16"/>
  <c r="I27" i="16" s="1"/>
  <c r="H19" i="16"/>
  <c r="H27" i="16" s="1"/>
  <c r="G14" i="16"/>
  <c r="G29" i="16" s="1"/>
  <c r="F14" i="16"/>
  <c r="F29" i="16" s="1"/>
  <c r="E14" i="16"/>
  <c r="E29" i="16" s="1"/>
  <c r="D14" i="16"/>
  <c r="D29" i="16" s="1"/>
  <c r="K13" i="16"/>
  <c r="J13" i="16"/>
  <c r="I13" i="16"/>
  <c r="H13" i="16"/>
  <c r="K12" i="16"/>
  <c r="J12" i="16"/>
  <c r="I12" i="16"/>
  <c r="H12" i="16"/>
  <c r="K11" i="16"/>
  <c r="J11" i="16"/>
  <c r="I11" i="16"/>
  <c r="H11" i="16"/>
  <c r="K10" i="16"/>
  <c r="J10" i="16"/>
  <c r="I10" i="16"/>
  <c r="H10" i="16"/>
  <c r="K9" i="16"/>
  <c r="J9" i="16"/>
  <c r="I9" i="16"/>
  <c r="H9" i="16"/>
  <c r="K8" i="16"/>
  <c r="J8" i="16"/>
  <c r="I8" i="16"/>
  <c r="H8" i="16"/>
  <c r="K7" i="16"/>
  <c r="J7" i="16"/>
  <c r="I7" i="16"/>
  <c r="H7" i="16"/>
  <c r="K6" i="16"/>
  <c r="K14" i="16" s="1"/>
  <c r="K29" i="16" s="1"/>
  <c r="K31" i="16" s="1"/>
  <c r="J6" i="16"/>
  <c r="J14" i="16" s="1"/>
  <c r="J29" i="16" s="1"/>
  <c r="J31" i="16" s="1"/>
  <c r="I6" i="16"/>
  <c r="I14" i="16" s="1"/>
  <c r="I29" i="16" s="1"/>
  <c r="I31" i="16" s="1"/>
  <c r="H6" i="16"/>
  <c r="H14" i="16" s="1"/>
  <c r="H29" i="16" s="1"/>
  <c r="H31" i="16" s="1"/>
  <c r="B41" i="10" l="1"/>
  <c r="B29" i="10"/>
  <c r="J47" i="7" l="1"/>
  <c r="K47" i="7"/>
  <c r="L47" i="7"/>
  <c r="J48" i="7"/>
  <c r="K48" i="7"/>
  <c r="L48" i="7"/>
  <c r="J49" i="7"/>
  <c r="K49" i="7"/>
  <c r="L49" i="7"/>
  <c r="J50" i="7"/>
  <c r="K50" i="7"/>
  <c r="L50" i="7"/>
  <c r="I50" i="7"/>
  <c r="I49" i="7"/>
  <c r="I48" i="7"/>
  <c r="I47" i="7"/>
  <c r="B96" i="7" l="1"/>
  <c r="B87" i="7"/>
  <c r="A436" i="9"/>
  <c r="X141" i="12" l="1"/>
  <c r="F323" i="9" l="1"/>
  <c r="M45" i="2" l="1"/>
  <c r="Q45" i="2" s="1"/>
  <c r="U45" i="2" s="1"/>
  <c r="Y45" i="2" s="1"/>
  <c r="AC45" i="2" s="1"/>
  <c r="AG45" i="2" s="1"/>
  <c r="AK45" i="2" s="1"/>
  <c r="AO45" i="2" s="1"/>
  <c r="M44" i="2"/>
  <c r="Q44" i="2" s="1"/>
  <c r="U44" i="2" s="1"/>
  <c r="Y44" i="2" s="1"/>
  <c r="AC44" i="2" s="1"/>
  <c r="AG44" i="2" s="1"/>
  <c r="AK44" i="2" s="1"/>
  <c r="AO44" i="2" s="1"/>
  <c r="M43" i="2"/>
  <c r="Q43" i="2" s="1"/>
  <c r="U43" i="2" s="1"/>
  <c r="Y43" i="2" s="1"/>
  <c r="AC43" i="2" s="1"/>
  <c r="AG43" i="2" s="1"/>
  <c r="AK43" i="2" s="1"/>
  <c r="AO43" i="2" s="1"/>
  <c r="BN101" i="13" l="1"/>
  <c r="BM101" i="13"/>
  <c r="BL101" i="13"/>
  <c r="BO100" i="13"/>
  <c r="BO99" i="13"/>
  <c r="BO98" i="13"/>
  <c r="BO97" i="13"/>
  <c r="BO96" i="13"/>
  <c r="BO95" i="13"/>
  <c r="BO94" i="13"/>
  <c r="BO93" i="13"/>
  <c r="BO92" i="13"/>
  <c r="BO91" i="13"/>
  <c r="BO90" i="13"/>
  <c r="BO89" i="13"/>
  <c r="BO88" i="13"/>
  <c r="BO87" i="13"/>
  <c r="BO86" i="13"/>
  <c r="BO85" i="13"/>
  <c r="BO84" i="13"/>
  <c r="BO83" i="13"/>
  <c r="BO82" i="13"/>
  <c r="BO81" i="13"/>
  <c r="BO80" i="13"/>
  <c r="BO79" i="13"/>
  <c r="BO78" i="13"/>
  <c r="BO77" i="13"/>
  <c r="BO76" i="13"/>
  <c r="BO75" i="13"/>
  <c r="BO74" i="13"/>
  <c r="BO73" i="13"/>
  <c r="BO72" i="13"/>
  <c r="BO71" i="13"/>
  <c r="BO70" i="13"/>
  <c r="BO69" i="13"/>
  <c r="BO68" i="13"/>
  <c r="BO67" i="13"/>
  <c r="BO66" i="13"/>
  <c r="BO65" i="13"/>
  <c r="BO64" i="13"/>
  <c r="BO63" i="13"/>
  <c r="BO62" i="13"/>
  <c r="BO61" i="13"/>
  <c r="BO60" i="13"/>
  <c r="BO59" i="13"/>
  <c r="BO58" i="13"/>
  <c r="BO57" i="13"/>
  <c r="BO56" i="13"/>
  <c r="BO55" i="13"/>
  <c r="BO54" i="13"/>
  <c r="BO53" i="13"/>
  <c r="BO52" i="13"/>
  <c r="BO51" i="13"/>
  <c r="BO50" i="13"/>
  <c r="BO49" i="13"/>
  <c r="BO48" i="13"/>
  <c r="BO47" i="13"/>
  <c r="BO46" i="13"/>
  <c r="BO45" i="13"/>
  <c r="BO44" i="13"/>
  <c r="BO43" i="13"/>
  <c r="BO42" i="13"/>
  <c r="BO41" i="13"/>
  <c r="BO40" i="13"/>
  <c r="BO39" i="13"/>
  <c r="BO38" i="13"/>
  <c r="BO37" i="13"/>
  <c r="BO36" i="13"/>
  <c r="BO35" i="13"/>
  <c r="BO34" i="13"/>
  <c r="BO33" i="13"/>
  <c r="BO32" i="13"/>
  <c r="BO31" i="13"/>
  <c r="BO30" i="13"/>
  <c r="BM29" i="13"/>
  <c r="BN27" i="13"/>
  <c r="BM27" i="13"/>
  <c r="BL27" i="13"/>
  <c r="BO26" i="13"/>
  <c r="BO25" i="13"/>
  <c r="BO24" i="13"/>
  <c r="BO23" i="13"/>
  <c r="BO22" i="13"/>
  <c r="BO21" i="13"/>
  <c r="BO20" i="13"/>
  <c r="BO19" i="13"/>
  <c r="BO18" i="13"/>
  <c r="BO17" i="13"/>
  <c r="BO16" i="13"/>
  <c r="BO15" i="13"/>
  <c r="BO14" i="13"/>
  <c r="BO13" i="13"/>
  <c r="BO12" i="13"/>
  <c r="BO11" i="13"/>
  <c r="BO10" i="13"/>
  <c r="BO9" i="13"/>
  <c r="BO8" i="13"/>
  <c r="BO27" i="13" s="1"/>
  <c r="BL105" i="13" s="1"/>
  <c r="BG101" i="13"/>
  <c r="BF101" i="13"/>
  <c r="BE101" i="13"/>
  <c r="BH100" i="13"/>
  <c r="BH99" i="13"/>
  <c r="BH98" i="13"/>
  <c r="BH97" i="13"/>
  <c r="BH96" i="13"/>
  <c r="BH95" i="13"/>
  <c r="BH94" i="13"/>
  <c r="BH93" i="13"/>
  <c r="BH92" i="13"/>
  <c r="BH91" i="13"/>
  <c r="BH90" i="13"/>
  <c r="BH89" i="13"/>
  <c r="BH88" i="13"/>
  <c r="BH87" i="13"/>
  <c r="BH86" i="13"/>
  <c r="BH85" i="13"/>
  <c r="BH84" i="13"/>
  <c r="BH83" i="13"/>
  <c r="BH82" i="13"/>
  <c r="BH81" i="13"/>
  <c r="BH80" i="13"/>
  <c r="BH79" i="13"/>
  <c r="BH78" i="13"/>
  <c r="BH77" i="13"/>
  <c r="BH76" i="13"/>
  <c r="BH7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4" i="13"/>
  <c r="BH43" i="13"/>
  <c r="BH42" i="13"/>
  <c r="BH41" i="13"/>
  <c r="BH40" i="13"/>
  <c r="BH39" i="13"/>
  <c r="BH38" i="13"/>
  <c r="BH37" i="13"/>
  <c r="BH36" i="13"/>
  <c r="BH35" i="13"/>
  <c r="BH34" i="13"/>
  <c r="BH33" i="13"/>
  <c r="BH32" i="13"/>
  <c r="BH31" i="13"/>
  <c r="BH30" i="13"/>
  <c r="BF29" i="13"/>
  <c r="BG27" i="13"/>
  <c r="BF27" i="13"/>
  <c r="BE27" i="13"/>
  <c r="BH26" i="13"/>
  <c r="BH25" i="13"/>
  <c r="BH24" i="13"/>
  <c r="BH23" i="13"/>
  <c r="BH22" i="13"/>
  <c r="BH21" i="13"/>
  <c r="BH20" i="13"/>
  <c r="BH19" i="13"/>
  <c r="BH18" i="13"/>
  <c r="BH17" i="13"/>
  <c r="BH16" i="13"/>
  <c r="BH15" i="13"/>
  <c r="BH14" i="13"/>
  <c r="BH13" i="13"/>
  <c r="BH12" i="13"/>
  <c r="BH11" i="13"/>
  <c r="BH10" i="13"/>
  <c r="BH9" i="13"/>
  <c r="BH8" i="13"/>
  <c r="BH27" i="13" s="1"/>
  <c r="BE105" i="13" s="1"/>
  <c r="AZ101" i="13"/>
  <c r="AY101" i="13"/>
  <c r="AX101" i="13"/>
  <c r="BA100" i="13"/>
  <c r="BA99" i="13"/>
  <c r="BA98" i="13"/>
  <c r="BA97" i="13"/>
  <c r="BA96" i="13"/>
  <c r="BA95" i="13"/>
  <c r="BA94" i="13"/>
  <c r="BA93" i="13"/>
  <c r="BA92" i="13"/>
  <c r="BA91" i="13"/>
  <c r="BA90" i="13"/>
  <c r="BA89" i="13"/>
  <c r="BA88" i="13"/>
  <c r="BA87" i="13"/>
  <c r="BA86" i="13"/>
  <c r="BA85" i="13"/>
  <c r="BA84" i="13"/>
  <c r="BA83" i="13"/>
  <c r="BA82" i="13"/>
  <c r="BA81" i="13"/>
  <c r="BA80" i="13"/>
  <c r="BA79" i="13"/>
  <c r="BA78" i="13"/>
  <c r="BA77" i="13"/>
  <c r="BA76" i="13"/>
  <c r="BA75" i="13"/>
  <c r="BA74" i="13"/>
  <c r="BA73" i="13"/>
  <c r="BA72" i="13"/>
  <c r="BA71" i="13"/>
  <c r="BA70" i="13"/>
  <c r="BA69" i="13"/>
  <c r="BA68" i="13"/>
  <c r="BA67" i="13"/>
  <c r="BA66" i="13"/>
  <c r="BA65" i="13"/>
  <c r="BA64" i="13"/>
  <c r="BA63" i="13"/>
  <c r="BA62" i="13"/>
  <c r="BA61" i="13"/>
  <c r="BA60" i="13"/>
  <c r="BA59" i="13"/>
  <c r="BA58" i="13"/>
  <c r="BA57" i="13"/>
  <c r="BA56" i="13"/>
  <c r="BA55" i="13"/>
  <c r="BA54" i="13"/>
  <c r="BA53" i="13"/>
  <c r="BA52" i="13"/>
  <c r="BA51" i="13"/>
  <c r="BA50" i="13"/>
  <c r="BA49" i="13"/>
  <c r="BA48" i="13"/>
  <c r="BA47" i="13"/>
  <c r="BA46" i="13"/>
  <c r="BA45" i="13"/>
  <c r="BA44" i="13"/>
  <c r="BA43" i="13"/>
  <c r="BA42" i="13"/>
  <c r="BA41" i="13"/>
  <c r="BA40" i="13"/>
  <c r="BA39" i="13"/>
  <c r="BA38" i="13"/>
  <c r="BA37" i="13"/>
  <c r="BA36" i="13"/>
  <c r="BA35" i="13"/>
  <c r="BA34" i="13"/>
  <c r="BA33" i="13"/>
  <c r="BA32" i="13"/>
  <c r="BA31" i="13"/>
  <c r="BA30" i="13"/>
  <c r="AY29" i="13"/>
  <c r="AZ27" i="13"/>
  <c r="AY27" i="13"/>
  <c r="AX27" i="13"/>
  <c r="BA26" i="13"/>
  <c r="BA25" i="13"/>
  <c r="BA24" i="13"/>
  <c r="BA23" i="13"/>
  <c r="BA22" i="13"/>
  <c r="BA21" i="13"/>
  <c r="BA20" i="13"/>
  <c r="BA19" i="13"/>
  <c r="BA18" i="13"/>
  <c r="BA17" i="13"/>
  <c r="BA16" i="13"/>
  <c r="BA15" i="13"/>
  <c r="BA14" i="13"/>
  <c r="BA13" i="13"/>
  <c r="BA12" i="13"/>
  <c r="BA11" i="13"/>
  <c r="BA10" i="13"/>
  <c r="BA9" i="13"/>
  <c r="BA8" i="13"/>
  <c r="AS101" i="13"/>
  <c r="AR101" i="13"/>
  <c r="AQ101" i="13"/>
  <c r="AT100" i="13"/>
  <c r="AT99" i="13"/>
  <c r="AT98" i="13"/>
  <c r="AT97" i="13"/>
  <c r="AT96" i="13"/>
  <c r="AT95" i="13"/>
  <c r="AT94" i="13"/>
  <c r="AT93" i="13"/>
  <c r="AT92" i="13"/>
  <c r="AT91" i="13"/>
  <c r="AT90" i="13"/>
  <c r="AT89" i="13"/>
  <c r="AT88" i="13"/>
  <c r="AT87" i="13"/>
  <c r="AT86" i="13"/>
  <c r="AT85" i="13"/>
  <c r="AT84" i="13"/>
  <c r="AT83" i="13"/>
  <c r="AT82" i="13"/>
  <c r="AT81" i="13"/>
  <c r="AT80" i="13"/>
  <c r="AT79" i="13"/>
  <c r="AT78" i="13"/>
  <c r="AT77" i="13"/>
  <c r="AT76" i="13"/>
  <c r="AT75" i="13"/>
  <c r="AT74" i="13"/>
  <c r="AT73" i="13"/>
  <c r="AT72" i="13"/>
  <c r="AT71" i="13"/>
  <c r="AT70" i="13"/>
  <c r="AT69" i="13"/>
  <c r="AT68" i="13"/>
  <c r="AT67" i="13"/>
  <c r="AT66" i="13"/>
  <c r="AT65" i="13"/>
  <c r="AT64" i="13"/>
  <c r="AT63" i="13"/>
  <c r="AT62" i="13"/>
  <c r="AT61" i="13"/>
  <c r="AT60" i="13"/>
  <c r="AT59" i="13"/>
  <c r="AT58" i="13"/>
  <c r="AT57" i="13"/>
  <c r="AT56" i="13"/>
  <c r="AT55" i="13"/>
  <c r="AT54" i="13"/>
  <c r="AT53" i="13"/>
  <c r="AT52" i="13"/>
  <c r="AT51" i="13"/>
  <c r="AT50" i="13"/>
  <c r="AT49" i="13"/>
  <c r="AT48" i="13"/>
  <c r="AT47" i="13"/>
  <c r="AT46" i="13"/>
  <c r="AT45" i="13"/>
  <c r="AT44" i="13"/>
  <c r="AT43" i="13"/>
  <c r="AT42" i="13"/>
  <c r="AT41" i="13"/>
  <c r="AT40" i="13"/>
  <c r="AT39" i="13"/>
  <c r="AT38" i="13"/>
  <c r="AT37" i="13"/>
  <c r="AT36" i="13"/>
  <c r="AT35" i="13"/>
  <c r="AT34" i="13"/>
  <c r="AT33" i="13"/>
  <c r="AT32" i="13"/>
  <c r="AT31" i="13"/>
  <c r="AT30" i="13"/>
  <c r="AR29" i="13"/>
  <c r="AS27" i="13"/>
  <c r="AR27" i="13"/>
  <c r="AQ27" i="13"/>
  <c r="AT26" i="13"/>
  <c r="AT25" i="13"/>
  <c r="AT24" i="13"/>
  <c r="AT23" i="13"/>
  <c r="AT22" i="13"/>
  <c r="AT21" i="13"/>
  <c r="AT20" i="13"/>
  <c r="AT19" i="13"/>
  <c r="AT18" i="13"/>
  <c r="AT17" i="13"/>
  <c r="AT16" i="13"/>
  <c r="AT15" i="13"/>
  <c r="AT14" i="13"/>
  <c r="AT13" i="13"/>
  <c r="AT12" i="13"/>
  <c r="AT11" i="13"/>
  <c r="AT10" i="13"/>
  <c r="AT9" i="13"/>
  <c r="AT8" i="13"/>
  <c r="AT27" i="13" s="1"/>
  <c r="AQ105" i="13" s="1"/>
  <c r="AL101" i="13"/>
  <c r="AK101" i="13"/>
  <c r="AJ101" i="13"/>
  <c r="AM100" i="13"/>
  <c r="AM99" i="13"/>
  <c r="AM98" i="13"/>
  <c r="AM97" i="13"/>
  <c r="AM96" i="13"/>
  <c r="AM95" i="13"/>
  <c r="AM94" i="13"/>
  <c r="AM93" i="13"/>
  <c r="AM92" i="13"/>
  <c r="AM91" i="13"/>
  <c r="AM90" i="13"/>
  <c r="AM89" i="13"/>
  <c r="AM88" i="13"/>
  <c r="AM87" i="13"/>
  <c r="AM86" i="13"/>
  <c r="AM85" i="13"/>
  <c r="AM84" i="13"/>
  <c r="AM83" i="13"/>
  <c r="AM82" i="13"/>
  <c r="AM81" i="13"/>
  <c r="AM80" i="13"/>
  <c r="AM79" i="13"/>
  <c r="AM78" i="13"/>
  <c r="AM77" i="13"/>
  <c r="AM76" i="13"/>
  <c r="AM75" i="13"/>
  <c r="AM74" i="13"/>
  <c r="AM73" i="13"/>
  <c r="AM72" i="13"/>
  <c r="AM71" i="13"/>
  <c r="AM70" i="13"/>
  <c r="AM69" i="13"/>
  <c r="AM68" i="13"/>
  <c r="AM67" i="13"/>
  <c r="AM66" i="13"/>
  <c r="AM65" i="13"/>
  <c r="AM64" i="13"/>
  <c r="AM63" i="13"/>
  <c r="AM62" i="13"/>
  <c r="AM61" i="13"/>
  <c r="AM60" i="13"/>
  <c r="AM59" i="13"/>
  <c r="AM58" i="13"/>
  <c r="AM57" i="13"/>
  <c r="AM56" i="13"/>
  <c r="AM55" i="13"/>
  <c r="AM54" i="13"/>
  <c r="AM53" i="13"/>
  <c r="AM52" i="13"/>
  <c r="AM51" i="13"/>
  <c r="AM50" i="13"/>
  <c r="AM49" i="13"/>
  <c r="AM48" i="13"/>
  <c r="AM47" i="13"/>
  <c r="AM46" i="13"/>
  <c r="AM45" i="13"/>
  <c r="AM44" i="13"/>
  <c r="AM43" i="13"/>
  <c r="AM42" i="13"/>
  <c r="AM41" i="13"/>
  <c r="AM40" i="13"/>
  <c r="AM39" i="13"/>
  <c r="AM38" i="13"/>
  <c r="AM37" i="13"/>
  <c r="AM36" i="13"/>
  <c r="AM35" i="13"/>
  <c r="AM34" i="13"/>
  <c r="AM33" i="13"/>
  <c r="AM32" i="13"/>
  <c r="AM31" i="13"/>
  <c r="AM30" i="13"/>
  <c r="AK29" i="13"/>
  <c r="AL27" i="13"/>
  <c r="AK27" i="13"/>
  <c r="AJ27" i="13"/>
  <c r="AM26" i="13"/>
  <c r="AM25" i="13"/>
  <c r="AM24" i="13"/>
  <c r="AM23" i="13"/>
  <c r="AM22" i="13"/>
  <c r="AM21" i="13"/>
  <c r="AM20" i="13"/>
  <c r="AM19" i="13"/>
  <c r="AM18" i="13"/>
  <c r="AM17" i="13"/>
  <c r="AM16" i="13"/>
  <c r="AM15" i="13"/>
  <c r="AM14" i="13"/>
  <c r="AM13" i="13"/>
  <c r="AM12" i="13"/>
  <c r="AM11" i="13"/>
  <c r="AM10" i="13"/>
  <c r="AM9" i="13"/>
  <c r="AM8" i="13"/>
  <c r="AE101" i="13"/>
  <c r="AD101" i="13"/>
  <c r="AC101" i="13"/>
  <c r="AF100" i="13"/>
  <c r="AF99" i="13"/>
  <c r="AF98" i="13"/>
  <c r="AF97" i="13"/>
  <c r="AF96" i="13"/>
  <c r="AF95" i="13"/>
  <c r="AF94" i="13"/>
  <c r="AF93" i="13"/>
  <c r="AF92" i="13"/>
  <c r="AF91" i="13"/>
  <c r="AF90" i="13"/>
  <c r="AF89" i="13"/>
  <c r="AF88" i="13"/>
  <c r="AF87" i="13"/>
  <c r="AF86" i="13"/>
  <c r="AF85" i="13"/>
  <c r="AF84" i="13"/>
  <c r="AF83" i="13"/>
  <c r="AF82" i="13"/>
  <c r="AF81" i="13"/>
  <c r="AF80" i="13"/>
  <c r="AF79" i="13"/>
  <c r="AF78" i="13"/>
  <c r="AF77" i="13"/>
  <c r="AF76" i="13"/>
  <c r="AF75" i="13"/>
  <c r="AF74" i="13"/>
  <c r="AF73" i="13"/>
  <c r="AF72" i="13"/>
  <c r="AF71" i="13"/>
  <c r="AF70" i="13"/>
  <c r="AF69" i="13"/>
  <c r="AF68" i="13"/>
  <c r="AF67" i="13"/>
  <c r="AF66" i="13"/>
  <c r="AF65" i="13"/>
  <c r="AF64" i="13"/>
  <c r="AF63" i="13"/>
  <c r="AF62" i="13"/>
  <c r="AF61" i="13"/>
  <c r="AF60" i="13"/>
  <c r="AF59" i="13"/>
  <c r="AF58" i="13"/>
  <c r="AF57" i="13"/>
  <c r="AF56" i="13"/>
  <c r="AF55" i="13"/>
  <c r="AF54" i="13"/>
  <c r="AF53" i="13"/>
  <c r="AF52" i="13"/>
  <c r="AF51" i="13"/>
  <c r="AF50" i="13"/>
  <c r="AF49" i="13"/>
  <c r="AF48" i="13"/>
  <c r="AF47" i="13"/>
  <c r="AF46" i="13"/>
  <c r="AF45" i="13"/>
  <c r="AF44" i="13"/>
  <c r="AF43" i="13"/>
  <c r="AF42" i="13"/>
  <c r="AF41" i="13"/>
  <c r="AF40" i="13"/>
  <c r="AF39" i="13"/>
  <c r="AF38" i="13"/>
  <c r="AF37" i="13"/>
  <c r="AF36" i="13"/>
  <c r="AF35" i="13"/>
  <c r="AF34" i="13"/>
  <c r="AF33" i="13"/>
  <c r="AF32" i="13"/>
  <c r="AF31" i="13"/>
  <c r="AF30" i="13"/>
  <c r="AD29" i="13"/>
  <c r="AE27" i="13"/>
  <c r="AD27" i="13"/>
  <c r="AC27" i="13"/>
  <c r="X101" i="13"/>
  <c r="W101" i="13"/>
  <c r="V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Y101" i="13" s="1"/>
  <c r="V110" i="13" s="1"/>
  <c r="W29" i="13"/>
  <c r="X27" i="13"/>
  <c r="W27" i="13"/>
  <c r="V27" i="13"/>
  <c r="Y26" i="13"/>
  <c r="Y25" i="13"/>
  <c r="Y24" i="13"/>
  <c r="Y23" i="13"/>
  <c r="Y22" i="13"/>
  <c r="Y21" i="13"/>
  <c r="Y20" i="13"/>
  <c r="Y19" i="13"/>
  <c r="Y18" i="13"/>
  <c r="Y17" i="13"/>
  <c r="Y16" i="13"/>
  <c r="Y15" i="13"/>
  <c r="Y14" i="13"/>
  <c r="Y13" i="13"/>
  <c r="Y12" i="13"/>
  <c r="Y11" i="13"/>
  <c r="Y10" i="13"/>
  <c r="Y9" i="13"/>
  <c r="Y8" i="13"/>
  <c r="Y27" i="13" l="1"/>
  <c r="V105" i="13" s="1"/>
  <c r="AF27" i="13"/>
  <c r="AC105" i="13" s="1"/>
  <c r="AF101" i="13"/>
  <c r="AC110" i="13" s="1"/>
  <c r="AM27" i="13"/>
  <c r="AJ105" i="13" s="1"/>
  <c r="AM101" i="13"/>
  <c r="AJ110" i="13" s="1"/>
  <c r="AT101" i="13"/>
  <c r="AQ110" i="13" s="1"/>
  <c r="BA27" i="13"/>
  <c r="AX105" i="13" s="1"/>
  <c r="BA101" i="13"/>
  <c r="AX110" i="13" s="1"/>
  <c r="BH101" i="13"/>
  <c r="BE110" i="13" s="1"/>
  <c r="BO101" i="13"/>
  <c r="BL110" i="13" s="1"/>
  <c r="Q101" i="13"/>
  <c r="P101" i="13"/>
  <c r="O101" i="13"/>
  <c r="R101" i="13"/>
  <c r="O110" i="13" s="1"/>
  <c r="P29" i="13"/>
  <c r="Q27" i="13"/>
  <c r="P27" i="13"/>
  <c r="O27" i="13"/>
  <c r="R26" i="13"/>
  <c r="R25" i="13"/>
  <c r="R24" i="13"/>
  <c r="R23" i="13"/>
  <c r="R22" i="13"/>
  <c r="R21" i="13"/>
  <c r="R20" i="13"/>
  <c r="R19" i="13"/>
  <c r="R18" i="13"/>
  <c r="R17" i="13"/>
  <c r="R16" i="13"/>
  <c r="R15" i="13"/>
  <c r="R14" i="13"/>
  <c r="R13" i="13"/>
  <c r="R12" i="13"/>
  <c r="R11" i="13"/>
  <c r="R10" i="13"/>
  <c r="R9" i="13"/>
  <c r="R27" i="13"/>
  <c r="O105" i="13" s="1"/>
  <c r="J101" i="13" l="1"/>
  <c r="I101" i="13"/>
  <c r="H101" i="13"/>
  <c r="K100" i="13"/>
  <c r="K99" i="13"/>
  <c r="K98" i="13"/>
  <c r="K97"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I29" i="13"/>
  <c r="J27" i="13"/>
  <c r="I27" i="13"/>
  <c r="H27" i="13"/>
  <c r="K26" i="13"/>
  <c r="K25" i="13"/>
  <c r="K24" i="13"/>
  <c r="K23" i="13"/>
  <c r="K22" i="13"/>
  <c r="K21" i="13"/>
  <c r="K20" i="13"/>
  <c r="K19" i="13"/>
  <c r="K18" i="13"/>
  <c r="K17" i="13"/>
  <c r="K16" i="13"/>
  <c r="K15" i="13"/>
  <c r="K14" i="13"/>
  <c r="K13" i="13"/>
  <c r="K12" i="13"/>
  <c r="K11" i="13"/>
  <c r="K10" i="13"/>
  <c r="K9" i="13"/>
  <c r="K8" i="13"/>
  <c r="K27" i="13" l="1"/>
  <c r="H105" i="13" s="1"/>
  <c r="K101" i="13"/>
  <c r="H110" i="13" s="1"/>
  <c r="C6" i="10" l="1"/>
  <c r="E6" i="10" l="1"/>
  <c r="D35" i="10"/>
  <c r="C35" i="10"/>
  <c r="D60" i="7"/>
  <c r="D66" i="7" s="1"/>
  <c r="H2" i="13"/>
  <c r="H103" i="13" s="1"/>
  <c r="D5" i="18"/>
  <c r="H4" i="13"/>
  <c r="D57" i="10"/>
  <c r="C43" i="10"/>
  <c r="C31" i="10"/>
  <c r="C57" i="10"/>
  <c r="D31" i="10"/>
  <c r="G8" i="2"/>
  <c r="C64" i="10"/>
  <c r="C70" i="10"/>
  <c r="C56" i="10"/>
  <c r="C42" i="10"/>
  <c r="C30" i="10"/>
  <c r="C47" i="10" l="1"/>
  <c r="G6" i="10"/>
  <c r="E35" i="10"/>
  <c r="F35" i="10"/>
  <c r="E60" i="7"/>
  <c r="E66" i="7" s="1"/>
  <c r="H29" i="13"/>
  <c r="M43" i="13"/>
  <c r="L46" i="13"/>
  <c r="N46" i="13"/>
  <c r="M47" i="13"/>
  <c r="L48" i="13"/>
  <c r="N48" i="13"/>
  <c r="M49" i="13"/>
  <c r="L50" i="13"/>
  <c r="N50" i="13"/>
  <c r="M51" i="13"/>
  <c r="L52" i="13"/>
  <c r="N52" i="13"/>
  <c r="M53" i="13"/>
  <c r="L54" i="13"/>
  <c r="N54" i="13"/>
  <c r="M55" i="13"/>
  <c r="L56" i="13"/>
  <c r="N56" i="13"/>
  <c r="M57" i="13"/>
  <c r="L58" i="13"/>
  <c r="N58" i="13"/>
  <c r="M59" i="13"/>
  <c r="L60" i="13"/>
  <c r="N60" i="13"/>
  <c r="M61" i="13"/>
  <c r="L62" i="13"/>
  <c r="N62" i="13"/>
  <c r="M63" i="13"/>
  <c r="L64" i="13"/>
  <c r="N64" i="13"/>
  <c r="M65" i="13"/>
  <c r="L66" i="13"/>
  <c r="N66" i="13"/>
  <c r="M67" i="13"/>
  <c r="L68" i="13"/>
  <c r="N68" i="13"/>
  <c r="M69" i="13"/>
  <c r="L70" i="13"/>
  <c r="N70" i="13"/>
  <c r="M71" i="13"/>
  <c r="L72" i="13"/>
  <c r="N72" i="13"/>
  <c r="M73" i="13"/>
  <c r="L74" i="13"/>
  <c r="N74" i="13"/>
  <c r="M75" i="13"/>
  <c r="L76" i="13"/>
  <c r="N76" i="13"/>
  <c r="M77" i="13"/>
  <c r="L78" i="13"/>
  <c r="N78" i="13"/>
  <c r="M79" i="13"/>
  <c r="L80" i="13"/>
  <c r="N80" i="13"/>
  <c r="M81" i="13"/>
  <c r="L82" i="13"/>
  <c r="N82" i="13"/>
  <c r="M83" i="13"/>
  <c r="L84" i="13"/>
  <c r="N84" i="13"/>
  <c r="M85" i="13"/>
  <c r="L86" i="13"/>
  <c r="L43" i="13"/>
  <c r="N43" i="13"/>
  <c r="M46" i="13"/>
  <c r="L47" i="13"/>
  <c r="N47" i="13"/>
  <c r="M48" i="13"/>
  <c r="L49" i="13"/>
  <c r="N49" i="13"/>
  <c r="M50" i="13"/>
  <c r="L51" i="13"/>
  <c r="N51" i="13"/>
  <c r="M52" i="13"/>
  <c r="L53" i="13"/>
  <c r="N53" i="13"/>
  <c r="M54" i="13"/>
  <c r="L55" i="13"/>
  <c r="N55" i="13"/>
  <c r="M56" i="13"/>
  <c r="L57" i="13"/>
  <c r="N57" i="13"/>
  <c r="M58" i="13"/>
  <c r="L59" i="13"/>
  <c r="N59" i="13"/>
  <c r="M60" i="13"/>
  <c r="L61" i="13"/>
  <c r="N61" i="13"/>
  <c r="M62" i="13"/>
  <c r="L63" i="13"/>
  <c r="N63" i="13"/>
  <c r="M64" i="13"/>
  <c r="L65" i="13"/>
  <c r="N65" i="13"/>
  <c r="M66" i="13"/>
  <c r="L67" i="13"/>
  <c r="N67" i="13"/>
  <c r="M68" i="13"/>
  <c r="N69" i="13"/>
  <c r="L71" i="13"/>
  <c r="M72" i="13"/>
  <c r="N73" i="13"/>
  <c r="L75" i="13"/>
  <c r="M76" i="13"/>
  <c r="N77" i="13"/>
  <c r="L79" i="13"/>
  <c r="M80" i="13"/>
  <c r="N81" i="13"/>
  <c r="L83" i="13"/>
  <c r="M84" i="13"/>
  <c r="N85" i="13"/>
  <c r="N86" i="13"/>
  <c r="M87" i="13"/>
  <c r="L88" i="13"/>
  <c r="N88" i="13"/>
  <c r="M89" i="13"/>
  <c r="L90" i="13"/>
  <c r="N90" i="13"/>
  <c r="M91" i="13"/>
  <c r="L92" i="13"/>
  <c r="N92" i="13"/>
  <c r="M93" i="13"/>
  <c r="L94" i="13"/>
  <c r="N94" i="13"/>
  <c r="M95" i="13"/>
  <c r="L96" i="13"/>
  <c r="N96" i="13"/>
  <c r="M97" i="13"/>
  <c r="L98" i="13"/>
  <c r="N98" i="13"/>
  <c r="M99" i="13"/>
  <c r="L100" i="13"/>
  <c r="N100" i="13"/>
  <c r="M30" i="13"/>
  <c r="N12" i="13"/>
  <c r="N14" i="13"/>
  <c r="N16" i="13"/>
  <c r="N18" i="13"/>
  <c r="N20" i="13"/>
  <c r="N22" i="13"/>
  <c r="N24" i="13"/>
  <c r="N26" i="13"/>
  <c r="M9" i="13"/>
  <c r="M11" i="13"/>
  <c r="M13" i="13"/>
  <c r="M15" i="13"/>
  <c r="M17" i="13"/>
  <c r="M19" i="13"/>
  <c r="M21" i="13"/>
  <c r="M23" i="13"/>
  <c r="M25" i="13"/>
  <c r="L9" i="13"/>
  <c r="L11" i="13"/>
  <c r="L13" i="13"/>
  <c r="L15" i="13"/>
  <c r="L17" i="13"/>
  <c r="L19" i="13"/>
  <c r="L21" i="13"/>
  <c r="L23" i="13"/>
  <c r="L25" i="13"/>
  <c r="N8" i="13"/>
  <c r="L8" i="13"/>
  <c r="L69" i="13"/>
  <c r="M70" i="13"/>
  <c r="N71" i="13"/>
  <c r="L73" i="13"/>
  <c r="M74" i="13"/>
  <c r="N75" i="13"/>
  <c r="L77" i="13"/>
  <c r="M78" i="13"/>
  <c r="N79" i="13"/>
  <c r="L81" i="13"/>
  <c r="M82" i="13"/>
  <c r="N83" i="13"/>
  <c r="L85" i="13"/>
  <c r="M86" i="13"/>
  <c r="L87" i="13"/>
  <c r="N87" i="13"/>
  <c r="M88" i="13"/>
  <c r="L89" i="13"/>
  <c r="N89" i="13"/>
  <c r="M90" i="13"/>
  <c r="L91" i="13"/>
  <c r="N91" i="13"/>
  <c r="M92" i="13"/>
  <c r="L93" i="13"/>
  <c r="N93" i="13"/>
  <c r="M94" i="13"/>
  <c r="L95" i="13"/>
  <c r="N95" i="13"/>
  <c r="M96" i="13"/>
  <c r="L97" i="13"/>
  <c r="N97" i="13"/>
  <c r="M98" i="13"/>
  <c r="L99" i="13"/>
  <c r="N99" i="13"/>
  <c r="M100" i="13"/>
  <c r="N30" i="13"/>
  <c r="L30" i="13"/>
  <c r="N9" i="13"/>
  <c r="N11" i="13"/>
  <c r="N13" i="13"/>
  <c r="N15" i="13"/>
  <c r="N17" i="13"/>
  <c r="N19" i="13"/>
  <c r="N21" i="13"/>
  <c r="N23" i="13"/>
  <c r="N25" i="13"/>
  <c r="M12" i="13"/>
  <c r="M14" i="13"/>
  <c r="M16" i="13"/>
  <c r="M18" i="13"/>
  <c r="M20" i="13"/>
  <c r="M22" i="13"/>
  <c r="M24" i="13"/>
  <c r="M26" i="13"/>
  <c r="L12" i="13"/>
  <c r="L14" i="13"/>
  <c r="L16" i="13"/>
  <c r="L18" i="13"/>
  <c r="L20" i="13"/>
  <c r="L22" i="13"/>
  <c r="L24" i="13"/>
  <c r="L26" i="13"/>
  <c r="M8" i="13"/>
  <c r="D24" i="18"/>
  <c r="B60" i="10"/>
  <c r="B59" i="10"/>
  <c r="P126" i="14"/>
  <c r="N126" i="14"/>
  <c r="L125" i="14"/>
  <c r="K125" i="14"/>
  <c r="L124" i="14"/>
  <c r="K124" i="14"/>
  <c r="L123" i="14"/>
  <c r="K123" i="14"/>
  <c r="L122" i="14"/>
  <c r="K122" i="14"/>
  <c r="L121" i="14"/>
  <c r="K121" i="14"/>
  <c r="L120" i="14"/>
  <c r="K120" i="14"/>
  <c r="L119" i="14"/>
  <c r="K119" i="14"/>
  <c r="L118" i="14"/>
  <c r="K118" i="14"/>
  <c r="L117" i="14"/>
  <c r="K117" i="14"/>
  <c r="L116" i="14"/>
  <c r="K116" i="14"/>
  <c r="L115" i="14"/>
  <c r="K115" i="14"/>
  <c r="L114" i="14"/>
  <c r="K114" i="14"/>
  <c r="L113" i="14"/>
  <c r="K113" i="14"/>
  <c r="L112" i="14"/>
  <c r="K112" i="14"/>
  <c r="L111" i="14"/>
  <c r="K111" i="14"/>
  <c r="L110" i="14"/>
  <c r="K110" i="14"/>
  <c r="L109" i="14"/>
  <c r="K109" i="14"/>
  <c r="L108" i="14"/>
  <c r="K108" i="14"/>
  <c r="L107" i="14"/>
  <c r="K107" i="14"/>
  <c r="L106" i="14"/>
  <c r="K106" i="14"/>
  <c r="L105" i="14"/>
  <c r="K105" i="14"/>
  <c r="L104" i="14"/>
  <c r="K104" i="14"/>
  <c r="L103" i="14"/>
  <c r="K103" i="14"/>
  <c r="K102" i="14"/>
  <c r="K101" i="14"/>
  <c r="K100" i="14"/>
  <c r="K99" i="14"/>
  <c r="K98" i="14"/>
  <c r="L97" i="14"/>
  <c r="K97" i="14"/>
  <c r="K96" i="14"/>
  <c r="K95" i="14"/>
  <c r="K94" i="14"/>
  <c r="K93" i="14"/>
  <c r="K92" i="14"/>
  <c r="L91" i="14"/>
  <c r="K91" i="14"/>
  <c r="L90" i="14"/>
  <c r="K90" i="14"/>
  <c r="L89" i="14"/>
  <c r="K89" i="14"/>
  <c r="L88" i="14"/>
  <c r="K88" i="14"/>
  <c r="L87" i="14"/>
  <c r="K87" i="14"/>
  <c r="L86" i="14"/>
  <c r="K86" i="14"/>
  <c r="L85" i="14"/>
  <c r="K85" i="14"/>
  <c r="L84" i="14"/>
  <c r="K84" i="14"/>
  <c r="L83" i="14"/>
  <c r="K83" i="14"/>
  <c r="L82" i="14"/>
  <c r="K82" i="14"/>
  <c r="L81" i="14"/>
  <c r="K81" i="14"/>
  <c r="L80" i="14"/>
  <c r="K80" i="14"/>
  <c r="L79" i="14"/>
  <c r="K79" i="14"/>
  <c r="L78" i="14"/>
  <c r="K78" i="14"/>
  <c r="L77" i="14"/>
  <c r="K77" i="14"/>
  <c r="L76" i="14"/>
  <c r="K76" i="14"/>
  <c r="L75" i="14"/>
  <c r="K75" i="14"/>
  <c r="L74" i="14"/>
  <c r="K74" i="14"/>
  <c r="L73" i="14"/>
  <c r="K73" i="14"/>
  <c r="L72" i="14"/>
  <c r="K72" i="14"/>
  <c r="L71" i="14"/>
  <c r="K71" i="14"/>
  <c r="L70" i="14"/>
  <c r="K70" i="14"/>
  <c r="L69" i="14"/>
  <c r="K69" i="14"/>
  <c r="L68" i="14"/>
  <c r="K68" i="14"/>
  <c r="L67" i="14"/>
  <c r="K67" i="14"/>
  <c r="L66" i="14"/>
  <c r="K66" i="14"/>
  <c r="L65" i="14"/>
  <c r="K65" i="14"/>
  <c r="L64" i="14"/>
  <c r="K64" i="14"/>
  <c r="L63" i="14"/>
  <c r="K63" i="14"/>
  <c r="L62" i="14"/>
  <c r="K62" i="14"/>
  <c r="L61" i="14"/>
  <c r="K61" i="14"/>
  <c r="L60" i="14"/>
  <c r="K60" i="14"/>
  <c r="L59" i="14"/>
  <c r="K59" i="14"/>
  <c r="L58" i="14"/>
  <c r="K58" i="14"/>
  <c r="L57" i="14"/>
  <c r="K57" i="14"/>
  <c r="L56" i="14"/>
  <c r="K56" i="14"/>
  <c r="L55" i="14"/>
  <c r="K55" i="14"/>
  <c r="K54" i="14"/>
  <c r="L54" i="14" s="1"/>
  <c r="L53" i="14"/>
  <c r="K53" i="14"/>
  <c r="K52" i="14"/>
  <c r="L52" i="14" s="1"/>
  <c r="L51" i="14"/>
  <c r="K51" i="14"/>
  <c r="L50" i="14"/>
  <c r="K50" i="14"/>
  <c r="K49" i="14"/>
  <c r="L49" i="14" s="1"/>
  <c r="K48" i="14"/>
  <c r="L48" i="14" s="1"/>
  <c r="L47" i="14"/>
  <c r="K47" i="14"/>
  <c r="L46" i="14"/>
  <c r="K46" i="14"/>
  <c r="K45" i="14"/>
  <c r="L45" i="14" s="1"/>
  <c r="K44" i="14"/>
  <c r="L44" i="14" s="1"/>
  <c r="L43" i="14"/>
  <c r="K43" i="14"/>
  <c r="L42" i="14"/>
  <c r="K42" i="14"/>
  <c r="K41" i="14"/>
  <c r="L41" i="14" s="1"/>
  <c r="K40" i="14"/>
  <c r="L40" i="14" s="1"/>
  <c r="L39" i="14"/>
  <c r="K39" i="14"/>
  <c r="L38" i="14"/>
  <c r="K38" i="14"/>
  <c r="K37" i="14"/>
  <c r="L37" i="14" s="1"/>
  <c r="K36" i="14"/>
  <c r="L36" i="14" s="1"/>
  <c r="K35" i="14"/>
  <c r="L35" i="14" s="1"/>
  <c r="K34" i="14"/>
  <c r="L34" i="14" s="1"/>
  <c r="K33" i="14"/>
  <c r="L33" i="14" s="1"/>
  <c r="L32" i="14"/>
  <c r="K32" i="14"/>
  <c r="K31" i="14"/>
  <c r="L31" i="14" s="1"/>
  <c r="K30" i="14"/>
  <c r="L30" i="14" s="1"/>
  <c r="K29" i="14"/>
  <c r="L29" i="14" s="1"/>
  <c r="K28" i="14"/>
  <c r="L28" i="14" s="1"/>
  <c r="K27" i="14"/>
  <c r="L27" i="14" s="1"/>
  <c r="K26" i="14"/>
  <c r="L26" i="14" s="1"/>
  <c r="K25" i="14"/>
  <c r="L25" i="14" s="1"/>
  <c r="K24" i="14"/>
  <c r="L24" i="14" s="1"/>
  <c r="K23" i="14"/>
  <c r="L23" i="14" s="1"/>
  <c r="K22" i="14"/>
  <c r="L22" i="14" s="1"/>
  <c r="K21" i="14"/>
  <c r="L21" i="14" s="1"/>
  <c r="K20" i="14"/>
  <c r="L20" i="14" s="1"/>
  <c r="K19" i="14"/>
  <c r="L19" i="14" s="1"/>
  <c r="K18" i="14"/>
  <c r="L18" i="14" s="1"/>
  <c r="K17" i="14"/>
  <c r="L17" i="14" s="1"/>
  <c r="K16" i="14"/>
  <c r="L16" i="14" s="1"/>
  <c r="K15" i="14"/>
  <c r="L15" i="14" s="1"/>
  <c r="K14" i="14"/>
  <c r="L14" i="14" s="1"/>
  <c r="K13" i="14"/>
  <c r="L13" i="14" s="1"/>
  <c r="K12" i="14"/>
  <c r="L12" i="14" s="1"/>
  <c r="K11" i="14"/>
  <c r="L11" i="14" s="1"/>
  <c r="K10" i="14"/>
  <c r="L10" i="14" s="1"/>
  <c r="K9" i="14"/>
  <c r="L9" i="14" s="1"/>
  <c r="K8" i="14"/>
  <c r="L8" i="14" s="1"/>
  <c r="L7" i="14"/>
  <c r="K7" i="14"/>
  <c r="L6" i="14"/>
  <c r="K6" i="14"/>
  <c r="L5" i="14"/>
  <c r="K5" i="14"/>
  <c r="M4" i="14"/>
  <c r="E47" i="10" l="1"/>
  <c r="I6" i="10"/>
  <c r="G35" i="10"/>
  <c r="H35" i="10"/>
  <c r="F60" i="7"/>
  <c r="F66" i="7" s="1"/>
  <c r="D12" i="10"/>
  <c r="D17" i="10"/>
  <c r="L92" i="14"/>
  <c r="L94" i="14"/>
  <c r="L96" i="14"/>
  <c r="O96" i="14" s="1"/>
  <c r="L99" i="14"/>
  <c r="L101" i="14"/>
  <c r="L93" i="14"/>
  <c r="L95" i="14"/>
  <c r="L98" i="14"/>
  <c r="L100" i="14"/>
  <c r="O100" i="14" s="1"/>
  <c r="L102"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99" i="14"/>
  <c r="O98" i="14"/>
  <c r="O97"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Z4" i="14"/>
  <c r="AM4" i="14" s="1"/>
  <c r="O4" i="14"/>
  <c r="Q4" i="14"/>
  <c r="G47" i="10" l="1"/>
  <c r="K6" i="10"/>
  <c r="I35" i="10"/>
  <c r="J35" i="10"/>
  <c r="G60" i="7"/>
  <c r="G66" i="7" s="1"/>
  <c r="AZ4" i="14"/>
  <c r="AN4" i="14"/>
  <c r="AP4" i="14"/>
  <c r="AK4" i="14"/>
  <c r="AI4" i="14"/>
  <c r="AJ4" i="14" s="1"/>
  <c r="AI125" i="14"/>
  <c r="AI118" i="14"/>
  <c r="AI117" i="14"/>
  <c r="AI116" i="14"/>
  <c r="AI115" i="14"/>
  <c r="AI114" i="14"/>
  <c r="AI113" i="14"/>
  <c r="AI112" i="14"/>
  <c r="AI111" i="14"/>
  <c r="AI110" i="14"/>
  <c r="AI109" i="14"/>
  <c r="AI108" i="14"/>
  <c r="AI107" i="14"/>
  <c r="AI106" i="14"/>
  <c r="AI105" i="14"/>
  <c r="AI104" i="14"/>
  <c r="AI103" i="14"/>
  <c r="AI102" i="14"/>
  <c r="AI101" i="14"/>
  <c r="AI100" i="14"/>
  <c r="AI99" i="14"/>
  <c r="AI98" i="14"/>
  <c r="AI123" i="14"/>
  <c r="AI122" i="14"/>
  <c r="AI121" i="14"/>
  <c r="AI120" i="14"/>
  <c r="AI119" i="14"/>
  <c r="AI97" i="14"/>
  <c r="AI95" i="14"/>
  <c r="AI93" i="14"/>
  <c r="AI91" i="14"/>
  <c r="AI89" i="14"/>
  <c r="AI87" i="14"/>
  <c r="AI85" i="14"/>
  <c r="AI83" i="14"/>
  <c r="AI81" i="14"/>
  <c r="AI79" i="14"/>
  <c r="AI77" i="14"/>
  <c r="AI75" i="14"/>
  <c r="AI73" i="14"/>
  <c r="AI71" i="14"/>
  <c r="AI69" i="14"/>
  <c r="AI68" i="14"/>
  <c r="AI65" i="14"/>
  <c r="AI64" i="14"/>
  <c r="AI62" i="14"/>
  <c r="AI60" i="14"/>
  <c r="AI58" i="14"/>
  <c r="AI56" i="14"/>
  <c r="AI54" i="14"/>
  <c r="AI52" i="14"/>
  <c r="AI50" i="14"/>
  <c r="AI48" i="14"/>
  <c r="AI46" i="14"/>
  <c r="AI44" i="14"/>
  <c r="AI42" i="14"/>
  <c r="AI40" i="14"/>
  <c r="AI38" i="14"/>
  <c r="AI36" i="14"/>
  <c r="AI34" i="14"/>
  <c r="AI32" i="14"/>
  <c r="AI30" i="14"/>
  <c r="AI28" i="14"/>
  <c r="AI26" i="14"/>
  <c r="AI24" i="14"/>
  <c r="AI22" i="14"/>
  <c r="AI20" i="14"/>
  <c r="AI18" i="14"/>
  <c r="AI16" i="14"/>
  <c r="AI14" i="14"/>
  <c r="AQ4" i="14"/>
  <c r="AI6" i="14"/>
  <c r="AI8" i="14"/>
  <c r="AI10" i="14"/>
  <c r="AI12" i="14"/>
  <c r="AI124" i="14"/>
  <c r="AI96" i="14"/>
  <c r="AI94" i="14"/>
  <c r="AI92" i="14"/>
  <c r="AI90" i="14"/>
  <c r="AI88" i="14"/>
  <c r="AI86" i="14"/>
  <c r="AI84" i="14"/>
  <c r="AI82" i="14"/>
  <c r="AI80" i="14"/>
  <c r="AI78" i="14"/>
  <c r="AI76" i="14"/>
  <c r="AI74" i="14"/>
  <c r="AI72" i="14"/>
  <c r="AI70" i="14"/>
  <c r="AI67" i="14"/>
  <c r="AI66" i="14"/>
  <c r="AI63" i="14"/>
  <c r="AI61" i="14"/>
  <c r="AI59" i="14"/>
  <c r="AI57" i="14"/>
  <c r="AI55" i="14"/>
  <c r="AI53" i="14"/>
  <c r="AI51" i="14"/>
  <c r="AI49" i="14"/>
  <c r="AI47" i="14"/>
  <c r="AI45" i="14"/>
  <c r="AI43" i="14"/>
  <c r="AI41" i="14"/>
  <c r="AI39" i="14"/>
  <c r="AI37" i="14"/>
  <c r="AI35" i="14"/>
  <c r="AI33" i="14"/>
  <c r="AI31" i="14"/>
  <c r="AI29" i="14"/>
  <c r="AI27" i="14"/>
  <c r="AI25" i="14"/>
  <c r="AI23" i="14"/>
  <c r="AI21" i="14"/>
  <c r="AI19" i="14"/>
  <c r="AI17" i="14"/>
  <c r="AI15" i="14"/>
  <c r="AO4" i="14"/>
  <c r="AI5" i="14"/>
  <c r="AI7" i="14"/>
  <c r="AI9" i="14"/>
  <c r="AI11" i="14"/>
  <c r="AI13" i="14"/>
  <c r="O95" i="14"/>
  <c r="V125" i="14"/>
  <c r="V124" i="14"/>
  <c r="V123" i="14"/>
  <c r="V122" i="14"/>
  <c r="V121" i="14"/>
  <c r="V120" i="14"/>
  <c r="V119" i="14"/>
  <c r="V118" i="14"/>
  <c r="V117" i="14"/>
  <c r="V116" i="14"/>
  <c r="V115" i="14"/>
  <c r="V114" i="14"/>
  <c r="V113" i="14"/>
  <c r="V112" i="14"/>
  <c r="V111" i="14"/>
  <c r="V110" i="14"/>
  <c r="V109" i="14"/>
  <c r="V108" i="14"/>
  <c r="V107" i="14"/>
  <c r="V106" i="14"/>
  <c r="V105" i="14"/>
  <c r="V104" i="14"/>
  <c r="V103" i="14"/>
  <c r="V102" i="14"/>
  <c r="V101" i="14"/>
  <c r="V100" i="14"/>
  <c r="V99" i="14"/>
  <c r="V98" i="14"/>
  <c r="V97" i="14"/>
  <c r="V96" i="14"/>
  <c r="V95" i="14"/>
  <c r="V94" i="14"/>
  <c r="V93" i="14"/>
  <c r="V92" i="14"/>
  <c r="V91" i="14"/>
  <c r="V90" i="14"/>
  <c r="V89" i="14"/>
  <c r="V88" i="14"/>
  <c r="V87" i="14"/>
  <c r="V86" i="14"/>
  <c r="V85" i="14"/>
  <c r="V84" i="14"/>
  <c r="V83" i="14"/>
  <c r="V82" i="14"/>
  <c r="V81" i="14"/>
  <c r="V80" i="14"/>
  <c r="V79" i="14"/>
  <c r="V78" i="14"/>
  <c r="V77" i="14"/>
  <c r="V76" i="14"/>
  <c r="V75" i="14"/>
  <c r="V74" i="14"/>
  <c r="V73" i="14"/>
  <c r="V72" i="14"/>
  <c r="V71" i="14"/>
  <c r="V70" i="14"/>
  <c r="V69" i="14"/>
  <c r="V68" i="14"/>
  <c r="V67" i="14"/>
  <c r="V66" i="14"/>
  <c r="V65" i="14"/>
  <c r="V64" i="14"/>
  <c r="V63" i="14"/>
  <c r="V62" i="14"/>
  <c r="V61" i="14"/>
  <c r="V60" i="14"/>
  <c r="V59" i="14"/>
  <c r="V58" i="14"/>
  <c r="V57" i="14"/>
  <c r="V56" i="14"/>
  <c r="V55" i="14"/>
  <c r="V54" i="14"/>
  <c r="V53" i="14"/>
  <c r="V52" i="14"/>
  <c r="V51" i="14"/>
  <c r="V50" i="14"/>
  <c r="V49" i="14"/>
  <c r="V48" i="14"/>
  <c r="V47" i="14"/>
  <c r="V46" i="14"/>
  <c r="V45" i="14"/>
  <c r="V44" i="14"/>
  <c r="V43" i="14"/>
  <c r="V42" i="14"/>
  <c r="V41" i="14"/>
  <c r="V40" i="14"/>
  <c r="V39" i="14"/>
  <c r="V38" i="14"/>
  <c r="V37" i="14"/>
  <c r="V36" i="14"/>
  <c r="V35" i="14"/>
  <c r="V34" i="14"/>
  <c r="V33" i="14"/>
  <c r="V32" i="14"/>
  <c r="V31" i="14"/>
  <c r="V30" i="14"/>
  <c r="V29" i="14"/>
  <c r="V28" i="14"/>
  <c r="V27" i="14"/>
  <c r="V26" i="14"/>
  <c r="V25" i="14"/>
  <c r="V24" i="14"/>
  <c r="V23" i="14"/>
  <c r="V22" i="14"/>
  <c r="V21" i="14"/>
  <c r="V20" i="14"/>
  <c r="V19" i="14"/>
  <c r="V18" i="14"/>
  <c r="V17" i="14"/>
  <c r="V16" i="14"/>
  <c r="V15" i="14"/>
  <c r="V14" i="14"/>
  <c r="V13" i="14"/>
  <c r="V12" i="14"/>
  <c r="V11" i="14"/>
  <c r="V10" i="14"/>
  <c r="V9" i="14"/>
  <c r="V8" i="14"/>
  <c r="V7" i="14"/>
  <c r="V6" i="14"/>
  <c r="V5" i="14"/>
  <c r="AD4" i="14"/>
  <c r="AB4" i="14"/>
  <c r="X4" i="14"/>
  <c r="V4" i="14"/>
  <c r="W4" i="14" s="1"/>
  <c r="AC4" i="14"/>
  <c r="AA4" i="14"/>
  <c r="M6" i="14"/>
  <c r="X6" i="14" s="1"/>
  <c r="AB6" i="14" s="1"/>
  <c r="M8" i="14"/>
  <c r="X8" i="14" s="1"/>
  <c r="AB8" i="14" s="1"/>
  <c r="M10" i="14"/>
  <c r="X10" i="14" s="1"/>
  <c r="AB10" i="14" s="1"/>
  <c r="M12" i="14"/>
  <c r="X12" i="14" s="1"/>
  <c r="AB12" i="14" s="1"/>
  <c r="M14" i="14"/>
  <c r="X14" i="14" s="1"/>
  <c r="AB14" i="14" s="1"/>
  <c r="M16" i="14"/>
  <c r="X16" i="14" s="1"/>
  <c r="AB16" i="14" s="1"/>
  <c r="M18" i="14"/>
  <c r="X18" i="14" s="1"/>
  <c r="AB18" i="14" s="1"/>
  <c r="M20" i="14"/>
  <c r="X20" i="14" s="1"/>
  <c r="AB20" i="14" s="1"/>
  <c r="M22" i="14"/>
  <c r="X22" i="14" s="1"/>
  <c r="AB22" i="14" s="1"/>
  <c r="M24" i="14"/>
  <c r="X24" i="14" s="1"/>
  <c r="AB24" i="14" s="1"/>
  <c r="M26" i="14"/>
  <c r="X26" i="14" s="1"/>
  <c r="AB26" i="14" s="1"/>
  <c r="M28" i="14"/>
  <c r="X28" i="14" s="1"/>
  <c r="AB28" i="14" s="1"/>
  <c r="M30" i="14"/>
  <c r="X30" i="14" s="1"/>
  <c r="AB30" i="14" s="1"/>
  <c r="M32" i="14"/>
  <c r="X32" i="14" s="1"/>
  <c r="AB32" i="14" s="1"/>
  <c r="M34" i="14"/>
  <c r="X34" i="14" s="1"/>
  <c r="AB34" i="14" s="1"/>
  <c r="M36" i="14"/>
  <c r="X36" i="14" s="1"/>
  <c r="AB36" i="14" s="1"/>
  <c r="M38" i="14"/>
  <c r="X38" i="14" s="1"/>
  <c r="AB38" i="14" s="1"/>
  <c r="M40" i="14"/>
  <c r="X40" i="14" s="1"/>
  <c r="M42" i="14"/>
  <c r="X42" i="14" s="1"/>
  <c r="M44" i="14"/>
  <c r="X44" i="14" s="1"/>
  <c r="M46" i="14"/>
  <c r="X46" i="14" s="1"/>
  <c r="M48" i="14"/>
  <c r="X48" i="14" s="1"/>
  <c r="M50" i="14"/>
  <c r="X50" i="14" s="1"/>
  <c r="M52" i="14"/>
  <c r="X52" i="14" s="1"/>
  <c r="M54" i="14"/>
  <c r="X54" i="14" s="1"/>
  <c r="M56" i="14"/>
  <c r="X56" i="14" s="1"/>
  <c r="M58" i="14"/>
  <c r="X58" i="14" s="1"/>
  <c r="M60" i="14"/>
  <c r="X60" i="14" s="1"/>
  <c r="M62" i="14"/>
  <c r="X62" i="14" s="1"/>
  <c r="M64" i="14"/>
  <c r="X64" i="14" s="1"/>
  <c r="M66" i="14"/>
  <c r="X66" i="14" s="1"/>
  <c r="M68" i="14"/>
  <c r="X68" i="14" s="1"/>
  <c r="M70" i="14"/>
  <c r="X70" i="14" s="1"/>
  <c r="M72" i="14"/>
  <c r="X72" i="14" s="1"/>
  <c r="M74" i="14"/>
  <c r="X74" i="14" s="1"/>
  <c r="M76" i="14"/>
  <c r="X76" i="14" s="1"/>
  <c r="M78" i="14"/>
  <c r="X78" i="14" s="1"/>
  <c r="M80" i="14"/>
  <c r="X80" i="14" s="1"/>
  <c r="M82" i="14"/>
  <c r="X82" i="14" s="1"/>
  <c r="M84" i="14"/>
  <c r="X84" i="14" s="1"/>
  <c r="M86" i="14"/>
  <c r="X86" i="14" s="1"/>
  <c r="M88" i="14"/>
  <c r="X88" i="14" s="1"/>
  <c r="M90" i="14"/>
  <c r="X90" i="14" s="1"/>
  <c r="M92" i="14"/>
  <c r="X92" i="14" s="1"/>
  <c r="M94" i="14"/>
  <c r="X94" i="14" s="1"/>
  <c r="M96" i="14"/>
  <c r="X96" i="14" s="1"/>
  <c r="M98" i="14"/>
  <c r="X98" i="14" s="1"/>
  <c r="M100" i="14"/>
  <c r="X100" i="14" s="1"/>
  <c r="M102" i="14"/>
  <c r="X102" i="14" s="1"/>
  <c r="M104" i="14"/>
  <c r="X104" i="14" s="1"/>
  <c r="Y104" i="14" s="1"/>
  <c r="M106" i="14"/>
  <c r="X106" i="14" s="1"/>
  <c r="Y106" i="14" s="1"/>
  <c r="M108" i="14"/>
  <c r="X108" i="14" s="1"/>
  <c r="Y108" i="14" s="1"/>
  <c r="M110" i="14"/>
  <c r="X110" i="14" s="1"/>
  <c r="M112" i="14"/>
  <c r="X112" i="14" s="1"/>
  <c r="M114" i="14"/>
  <c r="X114" i="14" s="1"/>
  <c r="M116" i="14"/>
  <c r="X116" i="14" s="1"/>
  <c r="M118" i="14"/>
  <c r="X118" i="14" s="1"/>
  <c r="M120" i="14"/>
  <c r="X120" i="14" s="1"/>
  <c r="M122" i="14"/>
  <c r="X122" i="14" s="1"/>
  <c r="M124" i="14"/>
  <c r="X124" i="14" s="1"/>
  <c r="Q125" i="14"/>
  <c r="Q124" i="14"/>
  <c r="Q123" i="14"/>
  <c r="Q122" i="14"/>
  <c r="Q121" i="14"/>
  <c r="Q120" i="14"/>
  <c r="Q119" i="14"/>
  <c r="Q118" i="14"/>
  <c r="Q117" i="14"/>
  <c r="Q116" i="14"/>
  <c r="Q115" i="14"/>
  <c r="Q114" i="14"/>
  <c r="Q113" i="14"/>
  <c r="Q112" i="14"/>
  <c r="Q111" i="14"/>
  <c r="Q110" i="14"/>
  <c r="Q109" i="14"/>
  <c r="Q108" i="14"/>
  <c r="Q107" i="14"/>
  <c r="Q106" i="14"/>
  <c r="Q105" i="14"/>
  <c r="Q104" i="14"/>
  <c r="Q103" i="14"/>
  <c r="Q102" i="14"/>
  <c r="Q100" i="14"/>
  <c r="Q98" i="14"/>
  <c r="Q101" i="14"/>
  <c r="Q99" i="14"/>
  <c r="Q97" i="14"/>
  <c r="Q96" i="14"/>
  <c r="Q95" i="14"/>
  <c r="Q94" i="14"/>
  <c r="Q93" i="14"/>
  <c r="Q92" i="14"/>
  <c r="Q91" i="14"/>
  <c r="Q90" i="14"/>
  <c r="Q89" i="14"/>
  <c r="Q88" i="14"/>
  <c r="Q87" i="14"/>
  <c r="Q86" i="14"/>
  <c r="Q85" i="14"/>
  <c r="Q84" i="14"/>
  <c r="Q83" i="14"/>
  <c r="Q82" i="14"/>
  <c r="Q81" i="14"/>
  <c r="Q80" i="14"/>
  <c r="Q69" i="14"/>
  <c r="Q68" i="14"/>
  <c r="Q67" i="14"/>
  <c r="Q66" i="14"/>
  <c r="Q65" i="14"/>
  <c r="Q64" i="14"/>
  <c r="Q63" i="14"/>
  <c r="Q62" i="14"/>
  <c r="Q61" i="14"/>
  <c r="Q60" i="14"/>
  <c r="Q59" i="14"/>
  <c r="Q58" i="14"/>
  <c r="Q57" i="14"/>
  <c r="Q56" i="14"/>
  <c r="Q55" i="14"/>
  <c r="Q54" i="14"/>
  <c r="Q53" i="14"/>
  <c r="Q52" i="14"/>
  <c r="Q51" i="14"/>
  <c r="Q50" i="14"/>
  <c r="Q49" i="14"/>
  <c r="Q48" i="14"/>
  <c r="Q47" i="14"/>
  <c r="Q46" i="14"/>
  <c r="Q79" i="14"/>
  <c r="Q78" i="14"/>
  <c r="Q77" i="14"/>
  <c r="Q76" i="14"/>
  <c r="Q75" i="14"/>
  <c r="Q74" i="14"/>
  <c r="Q73" i="14"/>
  <c r="Q72" i="14"/>
  <c r="Q71" i="14"/>
  <c r="Q70" i="14"/>
  <c r="Q45" i="14"/>
  <c r="Q44" i="14"/>
  <c r="Q43" i="14"/>
  <c r="Q42" i="14"/>
  <c r="Q41" i="14"/>
  <c r="Q40" i="14"/>
  <c r="Q39" i="14"/>
  <c r="Q38" i="14"/>
  <c r="Q37" i="14"/>
  <c r="Q36" i="14"/>
  <c r="Q35" i="14"/>
  <c r="Q34" i="14"/>
  <c r="Q33" i="14"/>
  <c r="Q32" i="14"/>
  <c r="Q18" i="14"/>
  <c r="Q14" i="14"/>
  <c r="Q13" i="14"/>
  <c r="Q31" i="14"/>
  <c r="Q30" i="14"/>
  <c r="Q29" i="14"/>
  <c r="Q28" i="14"/>
  <c r="Q27" i="14"/>
  <c r="Q26" i="14"/>
  <c r="Q25" i="14"/>
  <c r="Q24" i="14"/>
  <c r="Q23" i="14"/>
  <c r="Q22" i="14"/>
  <c r="Q21" i="14"/>
  <c r="Q20" i="14"/>
  <c r="Q19" i="14"/>
  <c r="Q17" i="14"/>
  <c r="Q16" i="14"/>
  <c r="Q15" i="14"/>
  <c r="Q12" i="14"/>
  <c r="Q11" i="14"/>
  <c r="Q10" i="14"/>
  <c r="Q8" i="14"/>
  <c r="Q9" i="14"/>
  <c r="Q7" i="14"/>
  <c r="Q6" i="14"/>
  <c r="Q5" i="14"/>
  <c r="O126" i="14"/>
  <c r="M5" i="14"/>
  <c r="X5" i="14" s="1"/>
  <c r="M7" i="14"/>
  <c r="X7" i="14" s="1"/>
  <c r="M9" i="14"/>
  <c r="X9" i="14" s="1"/>
  <c r="M11" i="14"/>
  <c r="X11" i="14" s="1"/>
  <c r="M13" i="14"/>
  <c r="X13" i="14" s="1"/>
  <c r="M15" i="14"/>
  <c r="X15" i="14" s="1"/>
  <c r="M17" i="14"/>
  <c r="X17" i="14" s="1"/>
  <c r="M19" i="14"/>
  <c r="X19" i="14" s="1"/>
  <c r="M21" i="14"/>
  <c r="X21" i="14" s="1"/>
  <c r="M23" i="14"/>
  <c r="X23" i="14" s="1"/>
  <c r="M25" i="14"/>
  <c r="X25" i="14" s="1"/>
  <c r="M27" i="14"/>
  <c r="X27" i="14" s="1"/>
  <c r="M29" i="14"/>
  <c r="X29" i="14" s="1"/>
  <c r="M31" i="14"/>
  <c r="X31" i="14" s="1"/>
  <c r="M33" i="14"/>
  <c r="X33" i="14" s="1"/>
  <c r="M35" i="14"/>
  <c r="X35" i="14" s="1"/>
  <c r="M37" i="14"/>
  <c r="X37" i="14" s="1"/>
  <c r="M39" i="14"/>
  <c r="X39" i="14" s="1"/>
  <c r="M41" i="14"/>
  <c r="X41" i="14" s="1"/>
  <c r="M43" i="14"/>
  <c r="X43" i="14" s="1"/>
  <c r="M45" i="14"/>
  <c r="X45" i="14" s="1"/>
  <c r="M47" i="14"/>
  <c r="X47" i="14" s="1"/>
  <c r="M49" i="14"/>
  <c r="X49" i="14" s="1"/>
  <c r="M51" i="14"/>
  <c r="X51" i="14" s="1"/>
  <c r="M53" i="14"/>
  <c r="X53" i="14" s="1"/>
  <c r="M55" i="14"/>
  <c r="X55" i="14" s="1"/>
  <c r="M57" i="14"/>
  <c r="X57" i="14" s="1"/>
  <c r="M59" i="14"/>
  <c r="X59" i="14" s="1"/>
  <c r="M61" i="14"/>
  <c r="X61" i="14" s="1"/>
  <c r="M63" i="14"/>
  <c r="X63" i="14" s="1"/>
  <c r="M65" i="14"/>
  <c r="X65" i="14" s="1"/>
  <c r="M67" i="14"/>
  <c r="X67" i="14" s="1"/>
  <c r="M69" i="14"/>
  <c r="X69" i="14" s="1"/>
  <c r="M71" i="14"/>
  <c r="X71" i="14" s="1"/>
  <c r="M73" i="14"/>
  <c r="X73" i="14" s="1"/>
  <c r="M75" i="14"/>
  <c r="X75" i="14" s="1"/>
  <c r="M77" i="14"/>
  <c r="X77" i="14" s="1"/>
  <c r="M79" i="14"/>
  <c r="X79" i="14" s="1"/>
  <c r="M81" i="14"/>
  <c r="X81" i="14" s="1"/>
  <c r="M83" i="14"/>
  <c r="X83" i="14" s="1"/>
  <c r="M85" i="14"/>
  <c r="X85" i="14" s="1"/>
  <c r="M87" i="14"/>
  <c r="X87" i="14" s="1"/>
  <c r="M89" i="14"/>
  <c r="X89" i="14" s="1"/>
  <c r="M91" i="14"/>
  <c r="X91" i="14" s="1"/>
  <c r="M93" i="14"/>
  <c r="X93" i="14" s="1"/>
  <c r="Z93" i="14" s="1"/>
  <c r="AK93" i="14" s="1"/>
  <c r="M95" i="14"/>
  <c r="X95" i="14" s="1"/>
  <c r="Z95" i="14" s="1"/>
  <c r="AK95" i="14" s="1"/>
  <c r="M97" i="14"/>
  <c r="X97" i="14" s="1"/>
  <c r="M99" i="14"/>
  <c r="X99" i="14" s="1"/>
  <c r="M101" i="14"/>
  <c r="X101" i="14" s="1"/>
  <c r="M103" i="14"/>
  <c r="X103" i="14" s="1"/>
  <c r="M105" i="14"/>
  <c r="X105" i="14" s="1"/>
  <c r="Y105" i="14" s="1"/>
  <c r="M107" i="14"/>
  <c r="X107" i="14" s="1"/>
  <c r="Y107" i="14" s="1"/>
  <c r="M109" i="14"/>
  <c r="X109" i="14" s="1"/>
  <c r="M111" i="14"/>
  <c r="X111" i="14" s="1"/>
  <c r="M113" i="14"/>
  <c r="X113" i="14" s="1"/>
  <c r="M115" i="14"/>
  <c r="X115" i="14" s="1"/>
  <c r="M117" i="14"/>
  <c r="X117" i="14" s="1"/>
  <c r="M119" i="14"/>
  <c r="X119" i="14" s="1"/>
  <c r="M121" i="14"/>
  <c r="X121" i="14" s="1"/>
  <c r="M123" i="14"/>
  <c r="X123" i="14" s="1"/>
  <c r="M125" i="14"/>
  <c r="X125" i="14" s="1"/>
  <c r="I47" i="10" l="1"/>
  <c r="K35" i="10"/>
  <c r="L35" i="10"/>
  <c r="K47" i="10"/>
  <c r="H60" i="7"/>
  <c r="H66" i="7" s="1"/>
  <c r="AJ95" i="14"/>
  <c r="AL95" i="14"/>
  <c r="AM95" i="14"/>
  <c r="AN95" i="14" s="1"/>
  <c r="AQ95" i="14"/>
  <c r="AJ93" i="14"/>
  <c r="AL93" i="14"/>
  <c r="AQ93" i="14"/>
  <c r="AM93" i="14"/>
  <c r="AN93" i="14" s="1"/>
  <c r="AL4" i="14"/>
  <c r="AH4" i="14"/>
  <c r="AE1" i="14" s="1"/>
  <c r="AG4" i="14"/>
  <c r="AE4" i="14"/>
  <c r="AF4" i="14"/>
  <c r="AM180" i="14"/>
  <c r="AM177" i="14"/>
  <c r="AM175" i="14"/>
  <c r="AK128" i="14"/>
  <c r="AM178" i="14"/>
  <c r="AM176" i="14"/>
  <c r="AM174" i="14"/>
  <c r="AI126" i="14"/>
  <c r="AK180" i="14" s="1"/>
  <c r="AI130" i="14"/>
  <c r="AI156" i="14"/>
  <c r="AI164" i="14" s="1"/>
  <c r="AX4" i="14"/>
  <c r="AV7" i="14"/>
  <c r="AV10" i="14"/>
  <c r="AV13" i="14"/>
  <c r="AV124" i="14"/>
  <c r="AV122" i="14"/>
  <c r="AV120" i="14"/>
  <c r="AV118" i="14"/>
  <c r="AV116" i="14"/>
  <c r="AV114" i="14"/>
  <c r="AV112" i="14"/>
  <c r="AV110" i="14"/>
  <c r="AV108" i="14"/>
  <c r="AV106" i="14"/>
  <c r="AV104" i="14"/>
  <c r="AV102" i="14"/>
  <c r="AV100" i="14"/>
  <c r="AV98" i="14"/>
  <c r="AV96" i="14"/>
  <c r="AV94" i="14"/>
  <c r="AV92" i="14"/>
  <c r="AV90" i="14"/>
  <c r="AV88" i="14"/>
  <c r="AV86" i="14"/>
  <c r="AV84" i="14"/>
  <c r="AV82" i="14"/>
  <c r="AV80" i="14"/>
  <c r="AV78" i="14"/>
  <c r="AV76" i="14"/>
  <c r="AV74" i="14"/>
  <c r="AV72" i="14"/>
  <c r="AV70" i="14"/>
  <c r="AV68" i="14"/>
  <c r="AV66" i="14"/>
  <c r="AV64" i="14"/>
  <c r="AV62" i="14"/>
  <c r="AV60" i="14"/>
  <c r="AV5" i="14"/>
  <c r="AV8" i="14"/>
  <c r="AV4" i="14"/>
  <c r="AW4" i="14" s="1"/>
  <c r="BB4" i="14"/>
  <c r="AV9" i="14"/>
  <c r="AV11" i="14"/>
  <c r="AV125" i="14"/>
  <c r="AV123" i="14"/>
  <c r="AV121" i="14"/>
  <c r="AV119" i="14"/>
  <c r="AV117" i="14"/>
  <c r="AV115" i="14"/>
  <c r="AV113" i="14"/>
  <c r="AV111" i="14"/>
  <c r="AV109" i="14"/>
  <c r="AV107" i="14"/>
  <c r="AV105" i="14"/>
  <c r="AV103" i="14"/>
  <c r="AV101" i="14"/>
  <c r="AV99" i="14"/>
  <c r="AV97" i="14"/>
  <c r="AV95" i="14"/>
  <c r="AV93" i="14"/>
  <c r="AV91" i="14"/>
  <c r="AV89" i="14"/>
  <c r="AV87" i="14"/>
  <c r="AV85" i="14"/>
  <c r="AV83" i="14"/>
  <c r="AV81" i="14"/>
  <c r="AV79" i="14"/>
  <c r="AV77" i="14"/>
  <c r="AV75" i="14"/>
  <c r="AV73" i="14"/>
  <c r="AV71" i="14"/>
  <c r="AV69" i="14"/>
  <c r="AV67" i="14"/>
  <c r="AV65" i="14"/>
  <c r="AV63" i="14"/>
  <c r="AV61" i="14"/>
  <c r="BD4" i="14"/>
  <c r="AV6" i="14"/>
  <c r="AV12" i="14"/>
  <c r="BC4" i="14"/>
  <c r="AV15" i="14"/>
  <c r="AV17" i="14"/>
  <c r="AV19" i="14"/>
  <c r="AV21" i="14"/>
  <c r="AV23" i="14"/>
  <c r="AV25" i="14"/>
  <c r="AV27" i="14"/>
  <c r="AV29" i="14"/>
  <c r="AV31" i="14"/>
  <c r="AV33" i="14"/>
  <c r="AV35" i="14"/>
  <c r="AV37" i="14"/>
  <c r="AV39" i="14"/>
  <c r="AV41" i="14"/>
  <c r="AV43" i="14"/>
  <c r="AV45" i="14"/>
  <c r="AV47" i="14"/>
  <c r="AV49" i="14"/>
  <c r="AV51" i="14"/>
  <c r="AV53" i="14"/>
  <c r="AV55" i="14"/>
  <c r="AV57" i="14"/>
  <c r="AV59" i="14"/>
  <c r="BA4" i="14"/>
  <c r="BM4" i="14"/>
  <c r="AV14" i="14"/>
  <c r="AV16" i="14"/>
  <c r="AV18" i="14"/>
  <c r="AV20" i="14"/>
  <c r="AV22" i="14"/>
  <c r="AV24" i="14"/>
  <c r="AV26" i="14"/>
  <c r="AV28" i="14"/>
  <c r="AV30" i="14"/>
  <c r="AV32" i="14"/>
  <c r="AV34" i="14"/>
  <c r="AV36" i="14"/>
  <c r="AV38" i="14"/>
  <c r="AV40" i="14"/>
  <c r="AV42" i="14"/>
  <c r="AV44" i="14"/>
  <c r="AV46" i="14"/>
  <c r="AV48" i="14"/>
  <c r="AV50" i="14"/>
  <c r="AV52" i="14"/>
  <c r="AV54" i="14"/>
  <c r="AV56" i="14"/>
  <c r="AV58" i="14"/>
  <c r="AX93" i="14"/>
  <c r="AZ93" i="14" s="1"/>
  <c r="BA93" i="14" s="1"/>
  <c r="AX95" i="14"/>
  <c r="AZ95" i="14"/>
  <c r="BA95" i="14" s="1"/>
  <c r="BD95" i="14"/>
  <c r="BD93" i="14"/>
  <c r="Z94" i="14"/>
  <c r="AB94" i="14"/>
  <c r="Z96" i="14"/>
  <c r="AK96" i="14" s="1"/>
  <c r="AB96" i="14"/>
  <c r="Z92" i="14"/>
  <c r="AB92" i="14"/>
  <c r="Y102" i="14"/>
  <c r="AB102" i="14"/>
  <c r="Y98" i="14"/>
  <c r="AB98" i="14"/>
  <c r="Y101" i="14"/>
  <c r="AB101" i="14"/>
  <c r="Y99" i="14"/>
  <c r="AB99" i="14"/>
  <c r="AA95" i="14"/>
  <c r="Y100" i="14"/>
  <c r="AB100" i="14"/>
  <c r="AA93" i="14"/>
  <c r="AA96" i="14"/>
  <c r="AB95" i="14"/>
  <c r="AO95" i="14" s="1"/>
  <c r="BB95" i="14" s="1"/>
  <c r="AB93" i="14"/>
  <c r="AO93" i="14" s="1"/>
  <c r="BB93" i="14" s="1"/>
  <c r="X134" i="14"/>
  <c r="Z180" i="14"/>
  <c r="Z176" i="14"/>
  <c r="W98" i="14"/>
  <c r="W99" i="14"/>
  <c r="W100" i="14"/>
  <c r="W101" i="14"/>
  <c r="W102" i="14"/>
  <c r="X130" i="14"/>
  <c r="Z76" i="14"/>
  <c r="AK76" i="14" s="1"/>
  <c r="AB76" i="14"/>
  <c r="Z72" i="14"/>
  <c r="AK72" i="14" s="1"/>
  <c r="AB72" i="14"/>
  <c r="Z78" i="14"/>
  <c r="AK78" i="14" s="1"/>
  <c r="AB78" i="14"/>
  <c r="Z74" i="14"/>
  <c r="AK74" i="14" s="1"/>
  <c r="AB74" i="14"/>
  <c r="Z70" i="14"/>
  <c r="AK70" i="14" s="1"/>
  <c r="AB70" i="14"/>
  <c r="V126" i="14"/>
  <c r="X180" i="14" s="1"/>
  <c r="V156" i="14"/>
  <c r="V130" i="14"/>
  <c r="V160" i="14"/>
  <c r="V134" i="14"/>
  <c r="Z174" i="14"/>
  <c r="Z45" i="14"/>
  <c r="AK45" i="14" s="1"/>
  <c r="AB45" i="14"/>
  <c r="Z41" i="14"/>
  <c r="AK41" i="14" s="1"/>
  <c r="AB41" i="14"/>
  <c r="Z37" i="14"/>
  <c r="AK37" i="14" s="1"/>
  <c r="AB37" i="14"/>
  <c r="Z33" i="14"/>
  <c r="AK33" i="14" s="1"/>
  <c r="AB33" i="14"/>
  <c r="Z29" i="14"/>
  <c r="AK29" i="14" s="1"/>
  <c r="AB29" i="14"/>
  <c r="Z25" i="14"/>
  <c r="AK25" i="14" s="1"/>
  <c r="AB25" i="14"/>
  <c r="Z21" i="14"/>
  <c r="AK21" i="14" s="1"/>
  <c r="AB21" i="14"/>
  <c r="Z17" i="14"/>
  <c r="AK17" i="14" s="1"/>
  <c r="AB17" i="14"/>
  <c r="Z13" i="14"/>
  <c r="AK13" i="14" s="1"/>
  <c r="AB13" i="14"/>
  <c r="Z9" i="14"/>
  <c r="AK9" i="14" s="1"/>
  <c r="AB9" i="14"/>
  <c r="Z5" i="14"/>
  <c r="AK5" i="14" s="1"/>
  <c r="AB5" i="14"/>
  <c r="Z44" i="14"/>
  <c r="AK44" i="14" s="1"/>
  <c r="AB44" i="14"/>
  <c r="Z40" i="14"/>
  <c r="AK40" i="14" s="1"/>
  <c r="AB40" i="14"/>
  <c r="Z43" i="14"/>
  <c r="AK43" i="14" s="1"/>
  <c r="AB43" i="14"/>
  <c r="Z39" i="14"/>
  <c r="AK39" i="14" s="1"/>
  <c r="AB39" i="14"/>
  <c r="Z35" i="14"/>
  <c r="AK35" i="14" s="1"/>
  <c r="AB35" i="14"/>
  <c r="Z31" i="14"/>
  <c r="AK31" i="14" s="1"/>
  <c r="AB31" i="14"/>
  <c r="Z27" i="14"/>
  <c r="AK27" i="14" s="1"/>
  <c r="AB27" i="14"/>
  <c r="Z23" i="14"/>
  <c r="AK23" i="14" s="1"/>
  <c r="AB23" i="14"/>
  <c r="Z19" i="14"/>
  <c r="AK19" i="14" s="1"/>
  <c r="AB19" i="14"/>
  <c r="Z15" i="14"/>
  <c r="AK15" i="14" s="1"/>
  <c r="AB15" i="14"/>
  <c r="Z11" i="14"/>
  <c r="AK11" i="14" s="1"/>
  <c r="AB11" i="14"/>
  <c r="Z7" i="14"/>
  <c r="AK7" i="14" s="1"/>
  <c r="AB7" i="14"/>
  <c r="Z42" i="14"/>
  <c r="AK42" i="14" s="1"/>
  <c r="AB42" i="14"/>
  <c r="Q126" i="14"/>
  <c r="Y125" i="14"/>
  <c r="W125" i="14"/>
  <c r="AD125" i="14"/>
  <c r="Z125" i="14"/>
  <c r="AK125" i="14" s="1"/>
  <c r="AB125" i="14"/>
  <c r="Y117" i="14"/>
  <c r="W117" i="14"/>
  <c r="AD117" i="14"/>
  <c r="Z117" i="14"/>
  <c r="AK117" i="14" s="1"/>
  <c r="AB117" i="14"/>
  <c r="AO117" i="14" s="1"/>
  <c r="Y109" i="14"/>
  <c r="W109" i="14"/>
  <c r="AD109" i="14"/>
  <c r="Z109" i="14"/>
  <c r="AK109" i="14" s="1"/>
  <c r="AB109" i="14"/>
  <c r="Y97" i="14"/>
  <c r="W97" i="14"/>
  <c r="AD97" i="14"/>
  <c r="Z97" i="14"/>
  <c r="AK97" i="14" s="1"/>
  <c r="AB97" i="14"/>
  <c r="AO97" i="14" s="1"/>
  <c r="Y89" i="14"/>
  <c r="W89" i="14"/>
  <c r="AD89" i="14"/>
  <c r="AB89" i="14"/>
  <c r="AO89" i="14" s="1"/>
  <c r="Z89" i="14"/>
  <c r="AK89" i="14" s="1"/>
  <c r="Y85" i="14"/>
  <c r="W85" i="14"/>
  <c r="AD85" i="14"/>
  <c r="Z85" i="14"/>
  <c r="AK85" i="14" s="1"/>
  <c r="AB85" i="14"/>
  <c r="AO85" i="14" s="1"/>
  <c r="Y81" i="14"/>
  <c r="W81" i="14"/>
  <c r="AD81" i="14"/>
  <c r="Z81" i="14"/>
  <c r="AK81" i="14" s="1"/>
  <c r="AB81" i="14"/>
  <c r="W77" i="14"/>
  <c r="Y77" i="14"/>
  <c r="AD77" i="14"/>
  <c r="AB77" i="14"/>
  <c r="Z77" i="14"/>
  <c r="AK77" i="14" s="1"/>
  <c r="W73" i="14"/>
  <c r="Y73" i="14"/>
  <c r="AD73" i="14"/>
  <c r="Z73" i="14"/>
  <c r="AK73" i="14" s="1"/>
  <c r="AB73" i="14"/>
  <c r="Y69" i="14"/>
  <c r="W69" i="14"/>
  <c r="AD69" i="14"/>
  <c r="Z69" i="14"/>
  <c r="AK69" i="14" s="1"/>
  <c r="AB69" i="14"/>
  <c r="AO69" i="14" s="1"/>
  <c r="Y65" i="14"/>
  <c r="W65" i="14"/>
  <c r="AD65" i="14"/>
  <c r="Z65" i="14"/>
  <c r="AK65" i="14" s="1"/>
  <c r="AB65" i="14"/>
  <c r="Y61" i="14"/>
  <c r="W61" i="14"/>
  <c r="AD61" i="14"/>
  <c r="Z61" i="14"/>
  <c r="AK61" i="14" s="1"/>
  <c r="AB61" i="14"/>
  <c r="AO61" i="14" s="1"/>
  <c r="Y57" i="14"/>
  <c r="W57" i="14"/>
  <c r="AD57" i="14"/>
  <c r="Z57" i="14"/>
  <c r="AK57" i="14" s="1"/>
  <c r="AB57" i="14"/>
  <c r="Y53" i="14"/>
  <c r="W53" i="14"/>
  <c r="AD53" i="14"/>
  <c r="Z53" i="14"/>
  <c r="AK53" i="14" s="1"/>
  <c r="AB53" i="14"/>
  <c r="AO53" i="14" s="1"/>
  <c r="Y49" i="14"/>
  <c r="W49" i="14"/>
  <c r="AD49" i="14"/>
  <c r="Z49" i="14"/>
  <c r="AK49" i="14" s="1"/>
  <c r="AB49" i="14"/>
  <c r="Y124" i="14"/>
  <c r="W124" i="14"/>
  <c r="AD124" i="14"/>
  <c r="Z124" i="14"/>
  <c r="AK124" i="14" s="1"/>
  <c r="AB124" i="14"/>
  <c r="AO124" i="14" s="1"/>
  <c r="Y120" i="14"/>
  <c r="W120" i="14"/>
  <c r="AD120" i="14"/>
  <c r="Z120" i="14"/>
  <c r="AK120" i="14" s="1"/>
  <c r="AB120" i="14"/>
  <c r="Y116" i="14"/>
  <c r="W116" i="14"/>
  <c r="AD116" i="14"/>
  <c r="Z116" i="14"/>
  <c r="AK116" i="14" s="1"/>
  <c r="AB116" i="14"/>
  <c r="AO116" i="14" s="1"/>
  <c r="Y112" i="14"/>
  <c r="W112" i="14"/>
  <c r="AD112" i="14"/>
  <c r="Z112" i="14"/>
  <c r="AK112" i="14" s="1"/>
  <c r="AB112" i="14"/>
  <c r="W108" i="14"/>
  <c r="AD108" i="14"/>
  <c r="Z108" i="14"/>
  <c r="AK108" i="14" s="1"/>
  <c r="AB108" i="14"/>
  <c r="W104" i="14"/>
  <c r="AD104" i="14"/>
  <c r="AB104" i="14"/>
  <c r="AO104" i="14" s="1"/>
  <c r="Z104" i="14"/>
  <c r="AK104" i="14" s="1"/>
  <c r="Y88" i="14"/>
  <c r="W88" i="14"/>
  <c r="AD88" i="14"/>
  <c r="Z88" i="14"/>
  <c r="AK88" i="14" s="1"/>
  <c r="AB88" i="14"/>
  <c r="AO88" i="14" s="1"/>
  <c r="Y84" i="14"/>
  <c r="W84" i="14"/>
  <c r="AD84" i="14"/>
  <c r="AB84" i="14"/>
  <c r="AO84" i="14" s="1"/>
  <c r="Z84" i="14"/>
  <c r="AK84" i="14" s="1"/>
  <c r="Y80" i="14"/>
  <c r="W80" i="14"/>
  <c r="AD80" i="14"/>
  <c r="Z80" i="14"/>
  <c r="AK80" i="14" s="1"/>
  <c r="AB80" i="14"/>
  <c r="AO80" i="14" s="1"/>
  <c r="Y66" i="14"/>
  <c r="W66" i="14"/>
  <c r="AD66" i="14"/>
  <c r="Z66" i="14"/>
  <c r="AK66" i="14" s="1"/>
  <c r="AB66" i="14"/>
  <c r="Y62" i="14"/>
  <c r="W62" i="14"/>
  <c r="AD62" i="14"/>
  <c r="Z62" i="14"/>
  <c r="AK62" i="14" s="1"/>
  <c r="AB62" i="14"/>
  <c r="AO62" i="14" s="1"/>
  <c r="Y58" i="14"/>
  <c r="W58" i="14"/>
  <c r="AD58" i="14"/>
  <c r="Z58" i="14"/>
  <c r="AK58" i="14" s="1"/>
  <c r="AB58" i="14"/>
  <c r="Y54" i="14"/>
  <c r="W54" i="14"/>
  <c r="AD54" i="14"/>
  <c r="Z54" i="14"/>
  <c r="AK54" i="14" s="1"/>
  <c r="AB54" i="14"/>
  <c r="AO54" i="14" s="1"/>
  <c r="Y50" i="14"/>
  <c r="W50" i="14"/>
  <c r="AD50" i="14"/>
  <c r="Z50" i="14"/>
  <c r="AK50" i="14" s="1"/>
  <c r="AB50" i="14"/>
  <c r="Y46" i="14"/>
  <c r="W46" i="14"/>
  <c r="AD46" i="14"/>
  <c r="Z46" i="14"/>
  <c r="AK46" i="14" s="1"/>
  <c r="AB46" i="14"/>
  <c r="AO46" i="14" s="1"/>
  <c r="Y121" i="14"/>
  <c r="W121" i="14"/>
  <c r="AD121" i="14"/>
  <c r="Z121" i="14"/>
  <c r="AK121" i="14" s="1"/>
  <c r="AB121" i="14"/>
  <c r="Y113" i="14"/>
  <c r="W113" i="14"/>
  <c r="AD113" i="14"/>
  <c r="Z113" i="14"/>
  <c r="AK113" i="14" s="1"/>
  <c r="AB113" i="14"/>
  <c r="AO113" i="14" s="1"/>
  <c r="W105" i="14"/>
  <c r="AD105" i="14"/>
  <c r="Z105" i="14"/>
  <c r="AK105" i="14" s="1"/>
  <c r="AB105" i="14"/>
  <c r="AO105" i="14" s="1"/>
  <c r="Y123" i="14"/>
  <c r="W123" i="14"/>
  <c r="AD123" i="14"/>
  <c r="Z123" i="14"/>
  <c r="AK123" i="14" s="1"/>
  <c r="AB123" i="14"/>
  <c r="Y119" i="14"/>
  <c r="W119" i="14"/>
  <c r="AD119" i="14"/>
  <c r="AB119" i="14"/>
  <c r="Z119" i="14"/>
  <c r="AK119" i="14" s="1"/>
  <c r="Y115" i="14"/>
  <c r="W115" i="14"/>
  <c r="AD115" i="14"/>
  <c r="Z115" i="14"/>
  <c r="AK115" i="14" s="1"/>
  <c r="AB115" i="14"/>
  <c r="Y111" i="14"/>
  <c r="W111" i="14"/>
  <c r="AD111" i="14"/>
  <c r="AB111" i="14"/>
  <c r="Z111" i="14"/>
  <c r="AK111" i="14" s="1"/>
  <c r="W107" i="14"/>
  <c r="AD107" i="14"/>
  <c r="Z107" i="14"/>
  <c r="AK107" i="14" s="1"/>
  <c r="AB107" i="14"/>
  <c r="AO107" i="14" s="1"/>
  <c r="Y103" i="14"/>
  <c r="W103" i="14"/>
  <c r="AD103" i="14"/>
  <c r="AB103" i="14"/>
  <c r="AO103" i="14" s="1"/>
  <c r="Z103" i="14"/>
  <c r="AK103" i="14" s="1"/>
  <c r="Y91" i="14"/>
  <c r="W91" i="14"/>
  <c r="AD91" i="14"/>
  <c r="Z91" i="14"/>
  <c r="AK91" i="14" s="1"/>
  <c r="AB91" i="14"/>
  <c r="AO91" i="14" s="1"/>
  <c r="Y87" i="14"/>
  <c r="W87" i="14"/>
  <c r="AD87" i="14"/>
  <c r="Z87" i="14"/>
  <c r="AK87" i="14" s="1"/>
  <c r="AB87" i="14"/>
  <c r="Y83" i="14"/>
  <c r="W83" i="14"/>
  <c r="AD83" i="14"/>
  <c r="AB83" i="14"/>
  <c r="Z83" i="14"/>
  <c r="AK83" i="14" s="1"/>
  <c r="Y79" i="14"/>
  <c r="W79" i="14"/>
  <c r="AD79" i="14"/>
  <c r="Z79" i="14"/>
  <c r="AK79" i="14" s="1"/>
  <c r="AB79" i="14"/>
  <c r="W75" i="14"/>
  <c r="Y75" i="14"/>
  <c r="AD75" i="14"/>
  <c r="Z75" i="14"/>
  <c r="AK75" i="14" s="1"/>
  <c r="AB75" i="14"/>
  <c r="AO75" i="14" s="1"/>
  <c r="W71" i="14"/>
  <c r="Y71" i="14"/>
  <c r="AD71" i="14"/>
  <c r="Z71" i="14"/>
  <c r="AK71" i="14" s="1"/>
  <c r="AB71" i="14"/>
  <c r="Y67" i="14"/>
  <c r="W67" i="14"/>
  <c r="AD67" i="14"/>
  <c r="Z67" i="14"/>
  <c r="AK67" i="14" s="1"/>
  <c r="AB67" i="14"/>
  <c r="AO67" i="14" s="1"/>
  <c r="Y63" i="14"/>
  <c r="W63" i="14"/>
  <c r="AD63" i="14"/>
  <c r="Z63" i="14"/>
  <c r="AK63" i="14" s="1"/>
  <c r="AB63" i="14"/>
  <c r="Y59" i="14"/>
  <c r="W59" i="14"/>
  <c r="AD59" i="14"/>
  <c r="Z59" i="14"/>
  <c r="AK59" i="14" s="1"/>
  <c r="AB59" i="14"/>
  <c r="AO59" i="14" s="1"/>
  <c r="Y55" i="14"/>
  <c r="W55" i="14"/>
  <c r="AD55" i="14"/>
  <c r="Z55" i="14"/>
  <c r="AK55" i="14" s="1"/>
  <c r="AB55" i="14"/>
  <c r="Y51" i="14"/>
  <c r="W51" i="14"/>
  <c r="AD51" i="14"/>
  <c r="Z51" i="14"/>
  <c r="AK51" i="14" s="1"/>
  <c r="AB51" i="14"/>
  <c r="AO51" i="14" s="1"/>
  <c r="Y47" i="14"/>
  <c r="W47" i="14"/>
  <c r="AD47" i="14"/>
  <c r="Z47" i="14"/>
  <c r="AK47" i="14" s="1"/>
  <c r="AB47" i="14"/>
  <c r="Y122" i="14"/>
  <c r="W122" i="14"/>
  <c r="AD122" i="14"/>
  <c r="Z122" i="14"/>
  <c r="AK122" i="14" s="1"/>
  <c r="AB122" i="14"/>
  <c r="AO122" i="14" s="1"/>
  <c r="Y118" i="14"/>
  <c r="W118" i="14"/>
  <c r="AD118" i="14"/>
  <c r="AB118" i="14"/>
  <c r="AO118" i="14" s="1"/>
  <c r="Z118" i="14"/>
  <c r="AK118" i="14" s="1"/>
  <c r="Y114" i="14"/>
  <c r="W114" i="14"/>
  <c r="AD114" i="14"/>
  <c r="Z114" i="14"/>
  <c r="AK114" i="14" s="1"/>
  <c r="AB114" i="14"/>
  <c r="AO114" i="14" s="1"/>
  <c r="Y110" i="14"/>
  <c r="W110" i="14"/>
  <c r="AD110" i="14"/>
  <c r="AB110" i="14"/>
  <c r="AO110" i="14" s="1"/>
  <c r="Z110" i="14"/>
  <c r="AK110" i="14" s="1"/>
  <c r="W106" i="14"/>
  <c r="AD106" i="14"/>
  <c r="Z106" i="14"/>
  <c r="AK106" i="14" s="1"/>
  <c r="AB106" i="14"/>
  <c r="Y90" i="14"/>
  <c r="W90" i="14"/>
  <c r="AD90" i="14"/>
  <c r="AB90" i="14"/>
  <c r="Z90" i="14"/>
  <c r="AK90" i="14" s="1"/>
  <c r="Y86" i="14"/>
  <c r="W86" i="14"/>
  <c r="AD86" i="14"/>
  <c r="Z86" i="14"/>
  <c r="AK86" i="14" s="1"/>
  <c r="AB86" i="14"/>
  <c r="Y82" i="14"/>
  <c r="W82" i="14"/>
  <c r="AD82" i="14"/>
  <c r="AB82" i="14"/>
  <c r="Z82" i="14"/>
  <c r="AK82" i="14" s="1"/>
  <c r="Y68" i="14"/>
  <c r="W68" i="14"/>
  <c r="AD68" i="14"/>
  <c r="Z68" i="14"/>
  <c r="AK68" i="14" s="1"/>
  <c r="AB68" i="14"/>
  <c r="Y64" i="14"/>
  <c r="W64" i="14"/>
  <c r="AD64" i="14"/>
  <c r="Z64" i="14"/>
  <c r="AK64" i="14" s="1"/>
  <c r="AB64" i="14"/>
  <c r="AO64" i="14" s="1"/>
  <c r="Y60" i="14"/>
  <c r="W60" i="14"/>
  <c r="AD60" i="14"/>
  <c r="Z60" i="14"/>
  <c r="AK60" i="14" s="1"/>
  <c r="AB60" i="14"/>
  <c r="Y56" i="14"/>
  <c r="W56" i="14"/>
  <c r="AD56" i="14"/>
  <c r="Z56" i="14"/>
  <c r="AK56" i="14" s="1"/>
  <c r="AB56" i="14"/>
  <c r="AO56" i="14" s="1"/>
  <c r="Y52" i="14"/>
  <c r="W52" i="14"/>
  <c r="AD52" i="14"/>
  <c r="Z52" i="14"/>
  <c r="AK52" i="14" s="1"/>
  <c r="AB52" i="14"/>
  <c r="Y48" i="14"/>
  <c r="W48" i="14"/>
  <c r="AD48" i="14"/>
  <c r="Z48" i="14"/>
  <c r="AK48" i="14" s="1"/>
  <c r="AB48" i="14"/>
  <c r="AO48" i="14" s="1"/>
  <c r="Z178" i="14"/>
  <c r="Z177" i="14"/>
  <c r="Z175" i="14"/>
  <c r="X128" i="14"/>
  <c r="T4" i="14"/>
  <c r="R4" i="14"/>
  <c r="Y4" i="14"/>
  <c r="U4" i="14"/>
  <c r="R1" i="14" s="1"/>
  <c r="S4" i="14"/>
  <c r="W6" i="14"/>
  <c r="Y6" i="14"/>
  <c r="AD6" i="14"/>
  <c r="Y8" i="14"/>
  <c r="W8" i="14"/>
  <c r="AD8" i="14"/>
  <c r="Y10" i="14"/>
  <c r="W10" i="14"/>
  <c r="AD10" i="14"/>
  <c r="Y12" i="14"/>
  <c r="W12" i="14"/>
  <c r="AD12" i="14"/>
  <c r="Y14" i="14"/>
  <c r="W14" i="14"/>
  <c r="AD14" i="14"/>
  <c r="Y16" i="14"/>
  <c r="W16" i="14"/>
  <c r="AD16" i="14"/>
  <c r="Y18" i="14"/>
  <c r="W18" i="14"/>
  <c r="AD18" i="14"/>
  <c r="Y20" i="14"/>
  <c r="W20" i="14"/>
  <c r="AD20" i="14"/>
  <c r="Y22" i="14"/>
  <c r="W22" i="14"/>
  <c r="AD22" i="14"/>
  <c r="Y24" i="14"/>
  <c r="W24" i="14"/>
  <c r="AD24" i="14"/>
  <c r="Y26" i="14"/>
  <c r="W26" i="14"/>
  <c r="AD26" i="14"/>
  <c r="Y28" i="14"/>
  <c r="W28" i="14"/>
  <c r="AD28" i="14"/>
  <c r="Y30" i="14"/>
  <c r="W30" i="14"/>
  <c r="AD30" i="14"/>
  <c r="Y32" i="14"/>
  <c r="W32" i="14"/>
  <c r="AD32" i="14"/>
  <c r="Y34" i="14"/>
  <c r="W34" i="14"/>
  <c r="AD34" i="14"/>
  <c r="Y36" i="14"/>
  <c r="W36" i="14"/>
  <c r="AD36" i="14"/>
  <c r="Y38" i="14"/>
  <c r="W38" i="14"/>
  <c r="AD38" i="14"/>
  <c r="AD39" i="14"/>
  <c r="M126" i="14"/>
  <c r="Z6" i="14"/>
  <c r="AK6" i="14" s="1"/>
  <c r="Z8" i="14"/>
  <c r="AK8" i="14" s="1"/>
  <c r="Z10" i="14"/>
  <c r="AK10" i="14" s="1"/>
  <c r="Z12" i="14"/>
  <c r="AK12" i="14" s="1"/>
  <c r="Z14" i="14"/>
  <c r="AK14" i="14" s="1"/>
  <c r="Z16" i="14"/>
  <c r="AK16" i="14" s="1"/>
  <c r="Z18" i="14"/>
  <c r="AK18" i="14" s="1"/>
  <c r="Z20" i="14"/>
  <c r="AK20" i="14" s="1"/>
  <c r="AO20" i="14" s="1"/>
  <c r="Z22" i="14"/>
  <c r="AK22" i="14" s="1"/>
  <c r="Z24" i="14"/>
  <c r="AK24" i="14" s="1"/>
  <c r="Z26" i="14"/>
  <c r="AK26" i="14" s="1"/>
  <c r="Z28" i="14"/>
  <c r="AK28" i="14" s="1"/>
  <c r="AO28" i="14" s="1"/>
  <c r="Z30" i="14"/>
  <c r="AK30" i="14" s="1"/>
  <c r="Z32" i="14"/>
  <c r="AK32" i="14" s="1"/>
  <c r="Z34" i="14"/>
  <c r="AK34" i="14" s="1"/>
  <c r="Z36" i="14"/>
  <c r="AK36" i="14" s="1"/>
  <c r="AO36" i="14" s="1"/>
  <c r="Z38" i="14"/>
  <c r="AK38" i="14" s="1"/>
  <c r="Z98" i="14"/>
  <c r="AK98" i="14" s="1"/>
  <c r="Z99" i="14"/>
  <c r="AK99" i="14" s="1"/>
  <c r="Z100" i="14"/>
  <c r="AK100" i="14" s="1"/>
  <c r="Z101" i="14"/>
  <c r="AK101" i="14" s="1"/>
  <c r="Z102" i="14"/>
  <c r="AK102" i="14" s="1"/>
  <c r="X126" i="14"/>
  <c r="X182" i="14" s="1"/>
  <c r="X174" i="14"/>
  <c r="W5" i="14"/>
  <c r="Y5" i="14"/>
  <c r="AD5" i="14"/>
  <c r="W7" i="14"/>
  <c r="Y7" i="14"/>
  <c r="AD7" i="14"/>
  <c r="Y9" i="14"/>
  <c r="W9" i="14"/>
  <c r="AD9" i="14"/>
  <c r="Y11" i="14"/>
  <c r="W11" i="14"/>
  <c r="AD11" i="14"/>
  <c r="Y13" i="14"/>
  <c r="W13" i="14"/>
  <c r="AD13" i="14"/>
  <c r="Y15" i="14"/>
  <c r="W15" i="14"/>
  <c r="AD15" i="14"/>
  <c r="Y17" i="14"/>
  <c r="W17" i="14"/>
  <c r="AD17" i="14"/>
  <c r="Y19" i="14"/>
  <c r="W19" i="14"/>
  <c r="AD19" i="14"/>
  <c r="Y21" i="14"/>
  <c r="W21" i="14"/>
  <c r="AD21" i="14"/>
  <c r="Y23" i="14"/>
  <c r="W23" i="14"/>
  <c r="AD23" i="14"/>
  <c r="Y25" i="14"/>
  <c r="W25" i="14"/>
  <c r="AD25" i="14"/>
  <c r="Y27" i="14"/>
  <c r="W27" i="14"/>
  <c r="AD27" i="14"/>
  <c r="Y29" i="14"/>
  <c r="W29" i="14"/>
  <c r="AD29" i="14"/>
  <c r="Y31" i="14"/>
  <c r="W31" i="14"/>
  <c r="AD31" i="14"/>
  <c r="Y33" i="14"/>
  <c r="W33" i="14"/>
  <c r="AD33" i="14"/>
  <c r="Y35" i="14"/>
  <c r="W35" i="14"/>
  <c r="AD35" i="14"/>
  <c r="Y37" i="14"/>
  <c r="W37" i="14"/>
  <c r="AD37" i="14"/>
  <c r="Y39" i="14"/>
  <c r="W39" i="14"/>
  <c r="Y40" i="14"/>
  <c r="W40" i="14"/>
  <c r="AD40" i="14"/>
  <c r="Y41" i="14"/>
  <c r="W41" i="14"/>
  <c r="AD41" i="14"/>
  <c r="Y42" i="14"/>
  <c r="W42" i="14"/>
  <c r="AD42" i="14"/>
  <c r="Y43" i="14"/>
  <c r="W43" i="14"/>
  <c r="AD43" i="14"/>
  <c r="Y44" i="14"/>
  <c r="W44" i="14"/>
  <c r="AD44" i="14"/>
  <c r="Y45" i="14"/>
  <c r="W45" i="14"/>
  <c r="AD45" i="14"/>
  <c r="W70" i="14"/>
  <c r="Y70" i="14"/>
  <c r="AD70" i="14"/>
  <c r="W72" i="14"/>
  <c r="Y72" i="14"/>
  <c r="AD72" i="14"/>
  <c r="W74" i="14"/>
  <c r="Y74" i="14"/>
  <c r="AD74" i="14"/>
  <c r="W76" i="14"/>
  <c r="Y76" i="14"/>
  <c r="AD76" i="14"/>
  <c r="W78" i="14"/>
  <c r="Y78" i="14"/>
  <c r="AD78" i="14"/>
  <c r="Y92" i="14"/>
  <c r="W92" i="14"/>
  <c r="AD92" i="14"/>
  <c r="Y93" i="14"/>
  <c r="W93" i="14"/>
  <c r="AD93" i="14"/>
  <c r="Y94" i="14"/>
  <c r="W94" i="14"/>
  <c r="AD94" i="14"/>
  <c r="Y95" i="14"/>
  <c r="W95" i="14"/>
  <c r="AD95" i="14"/>
  <c r="Y96" i="14"/>
  <c r="W96" i="14"/>
  <c r="AD96" i="14"/>
  <c r="AD98" i="14"/>
  <c r="AD99" i="14"/>
  <c r="AD100" i="14"/>
  <c r="AD101" i="14"/>
  <c r="AD102" i="14"/>
  <c r="AC167" i="12"/>
  <c r="AD167" i="12"/>
  <c r="S154" i="12"/>
  <c r="U154" i="12"/>
  <c r="AA154" i="12"/>
  <c r="Z154" i="12"/>
  <c r="Y154" i="12"/>
  <c r="AM102" i="14" l="1"/>
  <c r="AJ102" i="14"/>
  <c r="AL102" i="14"/>
  <c r="AQ102" i="14"/>
  <c r="AM98" i="14"/>
  <c r="AL98" i="14"/>
  <c r="AJ98" i="14"/>
  <c r="AQ98" i="14"/>
  <c r="AJ32" i="14"/>
  <c r="AL32" i="14"/>
  <c r="AM32" i="14"/>
  <c r="AQ32" i="14"/>
  <c r="AJ24" i="14"/>
  <c r="AL24" i="14"/>
  <c r="AM24" i="14"/>
  <c r="AQ24" i="14"/>
  <c r="AL16" i="14"/>
  <c r="AJ16" i="14"/>
  <c r="AM16" i="14"/>
  <c r="AQ16" i="14"/>
  <c r="AL12" i="14"/>
  <c r="AJ12" i="14"/>
  <c r="AM12" i="14"/>
  <c r="AQ12" i="14"/>
  <c r="AL60" i="14"/>
  <c r="AJ60" i="14"/>
  <c r="AM60" i="14"/>
  <c r="AQ60" i="14"/>
  <c r="AJ68" i="14"/>
  <c r="AL68" i="14"/>
  <c r="AM68" i="14"/>
  <c r="AQ68" i="14"/>
  <c r="AL90" i="14"/>
  <c r="AJ90" i="14"/>
  <c r="AM90" i="14"/>
  <c r="AQ90" i="14"/>
  <c r="AM101" i="14"/>
  <c r="AJ101" i="14"/>
  <c r="AL101" i="14"/>
  <c r="AQ101" i="14"/>
  <c r="AM99" i="14"/>
  <c r="AL99" i="14"/>
  <c r="AJ99" i="14"/>
  <c r="AQ99" i="14"/>
  <c r="AJ38" i="14"/>
  <c r="AL38" i="14"/>
  <c r="AQ38" i="14"/>
  <c r="AM38" i="14"/>
  <c r="AJ34" i="14"/>
  <c r="AL34" i="14"/>
  <c r="AQ34" i="14"/>
  <c r="AM34" i="14"/>
  <c r="AJ30" i="14"/>
  <c r="AL30" i="14"/>
  <c r="AQ30" i="14"/>
  <c r="AM30" i="14"/>
  <c r="AJ26" i="14"/>
  <c r="AL26" i="14"/>
  <c r="AQ26" i="14"/>
  <c r="AM26" i="14"/>
  <c r="AJ22" i="14"/>
  <c r="AL22" i="14"/>
  <c r="AQ22" i="14"/>
  <c r="AM22" i="14"/>
  <c r="AL18" i="14"/>
  <c r="AJ18" i="14"/>
  <c r="AQ18" i="14"/>
  <c r="AM18" i="14"/>
  <c r="AL14" i="14"/>
  <c r="AJ14" i="14"/>
  <c r="AQ14" i="14"/>
  <c r="AM14" i="14"/>
  <c r="AJ10" i="14"/>
  <c r="AL10" i="14"/>
  <c r="AQ10" i="14"/>
  <c r="AM10" i="14"/>
  <c r="AJ6" i="14"/>
  <c r="AL6" i="14"/>
  <c r="AQ6" i="14"/>
  <c r="AM6" i="14"/>
  <c r="AJ48" i="14"/>
  <c r="AL48" i="14"/>
  <c r="AM48" i="14"/>
  <c r="AQ48" i="14"/>
  <c r="AO52" i="14"/>
  <c r="AJ56" i="14"/>
  <c r="AL56" i="14"/>
  <c r="AM56" i="14"/>
  <c r="AQ56" i="14"/>
  <c r="AO60" i="14"/>
  <c r="AJ64" i="14"/>
  <c r="AL64" i="14"/>
  <c r="AM64" i="14"/>
  <c r="AQ64" i="14"/>
  <c r="AO68" i="14"/>
  <c r="AO82" i="14"/>
  <c r="AO86" i="14"/>
  <c r="AO90" i="14"/>
  <c r="AO106" i="14"/>
  <c r="AM110" i="14"/>
  <c r="AL110" i="14"/>
  <c r="AJ110" i="14"/>
  <c r="AQ110" i="14"/>
  <c r="AM114" i="14"/>
  <c r="AL114" i="14"/>
  <c r="AJ114" i="14"/>
  <c r="AQ114" i="14"/>
  <c r="AM118" i="14"/>
  <c r="AL118" i="14"/>
  <c r="AJ118" i="14"/>
  <c r="AQ118" i="14"/>
  <c r="AM122" i="14"/>
  <c r="AL122" i="14"/>
  <c r="AJ122" i="14"/>
  <c r="AQ122" i="14"/>
  <c r="AO47" i="14"/>
  <c r="AJ51" i="14"/>
  <c r="AL51" i="14"/>
  <c r="AM51" i="14"/>
  <c r="AQ51" i="14"/>
  <c r="AO55" i="14"/>
  <c r="AJ59" i="14"/>
  <c r="AL59" i="14"/>
  <c r="AM59" i="14"/>
  <c r="AQ59" i="14"/>
  <c r="AO63" i="14"/>
  <c r="AL67" i="14"/>
  <c r="AJ67" i="14"/>
  <c r="AM67" i="14"/>
  <c r="AQ67" i="14"/>
  <c r="AO71" i="14"/>
  <c r="AL75" i="14"/>
  <c r="AJ75" i="14"/>
  <c r="AM75" i="14"/>
  <c r="AQ75" i="14"/>
  <c r="AO79" i="14"/>
  <c r="AO83" i="14"/>
  <c r="AO87" i="14"/>
  <c r="AL91" i="14"/>
  <c r="AJ91" i="14"/>
  <c r="AM91" i="14"/>
  <c r="AQ91" i="14"/>
  <c r="AM103" i="14"/>
  <c r="AJ103" i="14"/>
  <c r="AL103" i="14"/>
  <c r="AQ103" i="14"/>
  <c r="AM107" i="14"/>
  <c r="AJ107" i="14"/>
  <c r="AL107" i="14"/>
  <c r="AQ107" i="14"/>
  <c r="AO111" i="14"/>
  <c r="AO115" i="14"/>
  <c r="AO119" i="14"/>
  <c r="AO123" i="14"/>
  <c r="AM105" i="14"/>
  <c r="AJ105" i="14"/>
  <c r="AL105" i="14"/>
  <c r="AQ105" i="14"/>
  <c r="AM113" i="14"/>
  <c r="AL113" i="14"/>
  <c r="AJ113" i="14"/>
  <c r="AQ113" i="14"/>
  <c r="AO121" i="14"/>
  <c r="AJ46" i="14"/>
  <c r="AL46" i="14"/>
  <c r="AQ46" i="14"/>
  <c r="AM46" i="14"/>
  <c r="AO50" i="14"/>
  <c r="AJ54" i="14"/>
  <c r="AL54" i="14"/>
  <c r="AQ54" i="14"/>
  <c r="AM54" i="14"/>
  <c r="AO58" i="14"/>
  <c r="AL62" i="14"/>
  <c r="AJ62" i="14"/>
  <c r="AQ62" i="14"/>
  <c r="AM62" i="14"/>
  <c r="AO66" i="14"/>
  <c r="AL80" i="14"/>
  <c r="AJ80" i="14"/>
  <c r="AM80" i="14"/>
  <c r="AQ80" i="14"/>
  <c r="AL84" i="14"/>
  <c r="AJ84" i="14"/>
  <c r="AM84" i="14"/>
  <c r="AQ84" i="14"/>
  <c r="AL88" i="14"/>
  <c r="AJ88" i="14"/>
  <c r="AM88" i="14"/>
  <c r="AQ88" i="14"/>
  <c r="AM104" i="14"/>
  <c r="AJ104" i="14"/>
  <c r="AL104" i="14"/>
  <c r="AQ104" i="14"/>
  <c r="AO108" i="14"/>
  <c r="AO112" i="14"/>
  <c r="AM116" i="14"/>
  <c r="AL116" i="14"/>
  <c r="AJ116" i="14"/>
  <c r="AQ116" i="14"/>
  <c r="AO120" i="14"/>
  <c r="AM124" i="14"/>
  <c r="AJ124" i="14"/>
  <c r="AL124" i="14"/>
  <c r="AQ124" i="14"/>
  <c r="AO49" i="14"/>
  <c r="AJ53" i="14"/>
  <c r="AL53" i="14"/>
  <c r="AM53" i="14"/>
  <c r="AQ53" i="14"/>
  <c r="AO57" i="14"/>
  <c r="AL61" i="14"/>
  <c r="AJ61" i="14"/>
  <c r="AM61" i="14"/>
  <c r="AQ61" i="14"/>
  <c r="AO65" i="14"/>
  <c r="AL69" i="14"/>
  <c r="AJ69" i="14"/>
  <c r="AQ69" i="14"/>
  <c r="AM69" i="14"/>
  <c r="AO73" i="14"/>
  <c r="AO77" i="14"/>
  <c r="AO81" i="14"/>
  <c r="AL85" i="14"/>
  <c r="AJ85" i="14"/>
  <c r="AQ85" i="14"/>
  <c r="AM85" i="14"/>
  <c r="AL89" i="14"/>
  <c r="AJ89" i="14"/>
  <c r="AQ89" i="14"/>
  <c r="AM89" i="14"/>
  <c r="AJ97" i="14"/>
  <c r="AL97" i="14"/>
  <c r="AQ97" i="14"/>
  <c r="AM97" i="14"/>
  <c r="AO109" i="14"/>
  <c r="AM117" i="14"/>
  <c r="AL117" i="14"/>
  <c r="AJ117" i="14"/>
  <c r="AQ117" i="14"/>
  <c r="AO125" i="14"/>
  <c r="AO42" i="14"/>
  <c r="AO7" i="14"/>
  <c r="AO11" i="14"/>
  <c r="AO15" i="14"/>
  <c r="AO19" i="14"/>
  <c r="AO23" i="14"/>
  <c r="AO27" i="14"/>
  <c r="AO31" i="14"/>
  <c r="AO35" i="14"/>
  <c r="AO39" i="14"/>
  <c r="AO43" i="14"/>
  <c r="AO40" i="14"/>
  <c r="AO44" i="14"/>
  <c r="AO5" i="14"/>
  <c r="AO9" i="14"/>
  <c r="AO13" i="14"/>
  <c r="AO17" i="14"/>
  <c r="AO21" i="14"/>
  <c r="AO25" i="14"/>
  <c r="AO29" i="14"/>
  <c r="AO33" i="14"/>
  <c r="AO37" i="14"/>
  <c r="AO41" i="14"/>
  <c r="AO45" i="14"/>
  <c r="AO70" i="14"/>
  <c r="AO74" i="14"/>
  <c r="AO78" i="14"/>
  <c r="AO72" i="14"/>
  <c r="AO76" i="14"/>
  <c r="AO99" i="14"/>
  <c r="AO101" i="14"/>
  <c r="AO98" i="14"/>
  <c r="AO102" i="14"/>
  <c r="AO96" i="14"/>
  <c r="AY95" i="14"/>
  <c r="AW95" i="14"/>
  <c r="BI124" i="14"/>
  <c r="BI122" i="14"/>
  <c r="BI120" i="14"/>
  <c r="BI118" i="14"/>
  <c r="BI116" i="14"/>
  <c r="BI114" i="14"/>
  <c r="BI112" i="14"/>
  <c r="BI110" i="14"/>
  <c r="BI108" i="14"/>
  <c r="BI106" i="14"/>
  <c r="BI104" i="14"/>
  <c r="BI102" i="14"/>
  <c r="BI100" i="14"/>
  <c r="BI98" i="14"/>
  <c r="BI96" i="14"/>
  <c r="BI94" i="14"/>
  <c r="BI92" i="14"/>
  <c r="BI90" i="14"/>
  <c r="BI88" i="14"/>
  <c r="BI86" i="14"/>
  <c r="BI84" i="14"/>
  <c r="BI82" i="14"/>
  <c r="BI80" i="14"/>
  <c r="BI78" i="14"/>
  <c r="BI76" i="14"/>
  <c r="BI74" i="14"/>
  <c r="BI72" i="14"/>
  <c r="BI70" i="14"/>
  <c r="BI62" i="14"/>
  <c r="BI60" i="14"/>
  <c r="BI58" i="14"/>
  <c r="BI56" i="14"/>
  <c r="BI54" i="14"/>
  <c r="BI52" i="14"/>
  <c r="BI50" i="14"/>
  <c r="BI48" i="14"/>
  <c r="BI46" i="14"/>
  <c r="BI44" i="14"/>
  <c r="BI42" i="14"/>
  <c r="BI40" i="14"/>
  <c r="BI38" i="14"/>
  <c r="BI36" i="14"/>
  <c r="BI34" i="14"/>
  <c r="BI32" i="14"/>
  <c r="BI30" i="14"/>
  <c r="BI28" i="14"/>
  <c r="BI26" i="14"/>
  <c r="BI24" i="14"/>
  <c r="BI22" i="14"/>
  <c r="BI20" i="14"/>
  <c r="BI18" i="14"/>
  <c r="BI16" i="14"/>
  <c r="BI14" i="14"/>
  <c r="BI67" i="14"/>
  <c r="BI65" i="14"/>
  <c r="BI63" i="14"/>
  <c r="BI12" i="14"/>
  <c r="BI10" i="14"/>
  <c r="BI8" i="14"/>
  <c r="BI6" i="14"/>
  <c r="BQ4" i="14"/>
  <c r="BK4" i="14"/>
  <c r="BZ4" i="14"/>
  <c r="BN4" i="14"/>
  <c r="BI125" i="14"/>
  <c r="BI123" i="14"/>
  <c r="BI121" i="14"/>
  <c r="BI119" i="14"/>
  <c r="BI117" i="14"/>
  <c r="BI115" i="14"/>
  <c r="BI113" i="14"/>
  <c r="BI111" i="14"/>
  <c r="BI109" i="14"/>
  <c r="BI107" i="14"/>
  <c r="BI105" i="14"/>
  <c r="BI103" i="14"/>
  <c r="BI101" i="14"/>
  <c r="BI99" i="14"/>
  <c r="BI97" i="14"/>
  <c r="BI95" i="14"/>
  <c r="BI93" i="14"/>
  <c r="BI91" i="14"/>
  <c r="BI89" i="14"/>
  <c r="BI87" i="14"/>
  <c r="BI85" i="14"/>
  <c r="BI83" i="14"/>
  <c r="BI81" i="14"/>
  <c r="BI79" i="14"/>
  <c r="BI77" i="14"/>
  <c r="BI75" i="14"/>
  <c r="BI73" i="14"/>
  <c r="BI71" i="14"/>
  <c r="BI69" i="14"/>
  <c r="BI61" i="14"/>
  <c r="BI59" i="14"/>
  <c r="BI57" i="14"/>
  <c r="BI55" i="14"/>
  <c r="BI53" i="14"/>
  <c r="BI51" i="14"/>
  <c r="BI49" i="14"/>
  <c r="BI47" i="14"/>
  <c r="BI45" i="14"/>
  <c r="BI43" i="14"/>
  <c r="BI41" i="14"/>
  <c r="BI39" i="14"/>
  <c r="BI37" i="14"/>
  <c r="BI35" i="14"/>
  <c r="BI33" i="14"/>
  <c r="BI31" i="14"/>
  <c r="BI29" i="14"/>
  <c r="BI27" i="14"/>
  <c r="BI25" i="14"/>
  <c r="BI23" i="14"/>
  <c r="BI21" i="14"/>
  <c r="BI19" i="14"/>
  <c r="BI17" i="14"/>
  <c r="BI15" i="14"/>
  <c r="BI68" i="14"/>
  <c r="BI66" i="14"/>
  <c r="BI64" i="14"/>
  <c r="BI13" i="14"/>
  <c r="BI11" i="14"/>
  <c r="BI9" i="14"/>
  <c r="BI7" i="14"/>
  <c r="BI5" i="14"/>
  <c r="BO4" i="14"/>
  <c r="BI4" i="14"/>
  <c r="BJ4" i="14" s="1"/>
  <c r="BP4" i="14"/>
  <c r="BK93" i="14"/>
  <c r="BQ93" i="14" s="1"/>
  <c r="BK95" i="14"/>
  <c r="BM95" i="14" s="1"/>
  <c r="BN95" i="14" s="1"/>
  <c r="BM93" i="14"/>
  <c r="BN93" i="14" s="1"/>
  <c r="AV130" i="14"/>
  <c r="AV156" i="14"/>
  <c r="AV164" i="14" s="1"/>
  <c r="AZ180" i="14"/>
  <c r="AX128" i="14"/>
  <c r="AU4" i="14"/>
  <c r="AR1" i="14" s="1"/>
  <c r="AZ178" i="14"/>
  <c r="AZ176" i="14"/>
  <c r="AZ174" i="14"/>
  <c r="AY4" i="14"/>
  <c r="AS4" i="14"/>
  <c r="AR4" i="14"/>
  <c r="AZ177" i="14"/>
  <c r="AZ175" i="14"/>
  <c r="AT4" i="14"/>
  <c r="AO12" i="14"/>
  <c r="AO10" i="14"/>
  <c r="AO18" i="14"/>
  <c r="AO26" i="14"/>
  <c r="AO34" i="14"/>
  <c r="AM100" i="14"/>
  <c r="AL100" i="14"/>
  <c r="AJ100" i="14"/>
  <c r="AQ100" i="14"/>
  <c r="AJ36" i="14"/>
  <c r="AL36" i="14"/>
  <c r="AM36" i="14"/>
  <c r="AQ36" i="14"/>
  <c r="AJ28" i="14"/>
  <c r="AL28" i="14"/>
  <c r="AM28" i="14"/>
  <c r="AQ28" i="14"/>
  <c r="AJ20" i="14"/>
  <c r="AL20" i="14"/>
  <c r="AM20" i="14"/>
  <c r="AQ20" i="14"/>
  <c r="AL8" i="14"/>
  <c r="AJ8" i="14"/>
  <c r="AM8" i="14"/>
  <c r="AQ8" i="14"/>
  <c r="AJ52" i="14"/>
  <c r="AL52" i="14"/>
  <c r="AM52" i="14"/>
  <c r="AQ52" i="14"/>
  <c r="AL82" i="14"/>
  <c r="AJ82" i="14"/>
  <c r="AM82" i="14"/>
  <c r="AQ82" i="14"/>
  <c r="AL86" i="14"/>
  <c r="AJ86" i="14"/>
  <c r="AM86" i="14"/>
  <c r="AQ86" i="14"/>
  <c r="AM106" i="14"/>
  <c r="AJ106" i="14"/>
  <c r="AL106" i="14"/>
  <c r="AQ106" i="14"/>
  <c r="AJ47" i="14"/>
  <c r="AL47" i="14"/>
  <c r="AM47" i="14"/>
  <c r="AQ47" i="14"/>
  <c r="AJ55" i="14"/>
  <c r="AL55" i="14"/>
  <c r="AM55" i="14"/>
  <c r="AQ55" i="14"/>
  <c r="AJ63" i="14"/>
  <c r="AL63" i="14"/>
  <c r="AQ63" i="14"/>
  <c r="AM63" i="14"/>
  <c r="AL71" i="14"/>
  <c r="AJ71" i="14"/>
  <c r="AM71" i="14"/>
  <c r="AQ71" i="14"/>
  <c r="AL79" i="14"/>
  <c r="AJ79" i="14"/>
  <c r="AM79" i="14"/>
  <c r="AQ79" i="14"/>
  <c r="AL83" i="14"/>
  <c r="AJ83" i="14"/>
  <c r="AM83" i="14"/>
  <c r="AQ83" i="14"/>
  <c r="AL87" i="14"/>
  <c r="AJ87" i="14"/>
  <c r="AM87" i="14"/>
  <c r="AQ87" i="14"/>
  <c r="AM111" i="14"/>
  <c r="AL111" i="14"/>
  <c r="AJ111" i="14"/>
  <c r="AQ111" i="14"/>
  <c r="AM115" i="14"/>
  <c r="AL115" i="14"/>
  <c r="AJ115" i="14"/>
  <c r="AQ115" i="14"/>
  <c r="AL119" i="14"/>
  <c r="AJ119" i="14"/>
  <c r="AQ119" i="14"/>
  <c r="AM119" i="14"/>
  <c r="AL123" i="14"/>
  <c r="AJ123" i="14"/>
  <c r="AQ123" i="14"/>
  <c r="AM123" i="14"/>
  <c r="AJ121" i="14"/>
  <c r="AL121" i="14"/>
  <c r="AM121" i="14"/>
  <c r="AQ121" i="14"/>
  <c r="AJ50" i="14"/>
  <c r="AL50" i="14"/>
  <c r="AQ50" i="14"/>
  <c r="AM50" i="14"/>
  <c r="AJ58" i="14"/>
  <c r="AL58" i="14"/>
  <c r="AQ58" i="14"/>
  <c r="AM58" i="14"/>
  <c r="AL66" i="14"/>
  <c r="AJ66" i="14"/>
  <c r="AM66" i="14"/>
  <c r="AQ66" i="14"/>
  <c r="AM108" i="14"/>
  <c r="AL108" i="14"/>
  <c r="AJ108" i="14"/>
  <c r="AQ108" i="14"/>
  <c r="AM112" i="14"/>
  <c r="AL112" i="14"/>
  <c r="AJ112" i="14"/>
  <c r="AQ112" i="14"/>
  <c r="AM120" i="14"/>
  <c r="AJ120" i="14"/>
  <c r="AL120" i="14"/>
  <c r="AQ120" i="14"/>
  <c r="AJ49" i="14"/>
  <c r="AL49" i="14"/>
  <c r="AM49" i="14"/>
  <c r="AQ49" i="14"/>
  <c r="AJ57" i="14"/>
  <c r="AL57" i="14"/>
  <c r="AM57" i="14"/>
  <c r="AQ57" i="14"/>
  <c r="AM65" i="14"/>
  <c r="AL65" i="14"/>
  <c r="AJ65" i="14"/>
  <c r="AQ65" i="14"/>
  <c r="AL73" i="14"/>
  <c r="AJ73" i="14"/>
  <c r="AQ73" i="14"/>
  <c r="AM73" i="14"/>
  <c r="AL77" i="14"/>
  <c r="AJ77" i="14"/>
  <c r="AQ77" i="14"/>
  <c r="AM77" i="14"/>
  <c r="AL81" i="14"/>
  <c r="AJ81" i="14"/>
  <c r="AQ81" i="14"/>
  <c r="AM81" i="14"/>
  <c r="AM109" i="14"/>
  <c r="AL109" i="14"/>
  <c r="AJ109" i="14"/>
  <c r="AQ109" i="14"/>
  <c r="AJ125" i="14"/>
  <c r="AL125" i="14"/>
  <c r="AM125" i="14"/>
  <c r="AQ125" i="14"/>
  <c r="AJ42" i="14"/>
  <c r="AL42" i="14"/>
  <c r="AQ42" i="14"/>
  <c r="AM42" i="14"/>
  <c r="AJ7" i="14"/>
  <c r="AL7" i="14"/>
  <c r="AM7" i="14"/>
  <c r="AQ7" i="14"/>
  <c r="AL11" i="14"/>
  <c r="AJ11" i="14"/>
  <c r="AQ11" i="14"/>
  <c r="AM11" i="14"/>
  <c r="AL15" i="14"/>
  <c r="AJ15" i="14"/>
  <c r="AM15" i="14"/>
  <c r="AQ15" i="14"/>
  <c r="AK130" i="14"/>
  <c r="AJ19" i="14"/>
  <c r="AL19" i="14"/>
  <c r="AM19" i="14"/>
  <c r="AQ19" i="14"/>
  <c r="AJ23" i="14"/>
  <c r="AL23" i="14"/>
  <c r="AM23" i="14"/>
  <c r="AQ23" i="14"/>
  <c r="AJ27" i="14"/>
  <c r="AL27" i="14"/>
  <c r="AM27" i="14"/>
  <c r="AQ27" i="14"/>
  <c r="AJ31" i="14"/>
  <c r="AL31" i="14"/>
  <c r="AM31" i="14"/>
  <c r="AQ31" i="14"/>
  <c r="AJ35" i="14"/>
  <c r="AL35" i="14"/>
  <c r="AM35" i="14"/>
  <c r="AQ35" i="14"/>
  <c r="AJ39" i="14"/>
  <c r="AL39" i="14"/>
  <c r="AM39" i="14"/>
  <c r="AQ39" i="14"/>
  <c r="AJ43" i="14"/>
  <c r="AL43" i="14"/>
  <c r="AM43" i="14"/>
  <c r="AQ43" i="14"/>
  <c r="AJ40" i="14"/>
  <c r="AL40" i="14"/>
  <c r="AM40" i="14"/>
  <c r="AQ40" i="14"/>
  <c r="AJ44" i="14"/>
  <c r="AL44" i="14"/>
  <c r="AM44" i="14"/>
  <c r="AQ44" i="14"/>
  <c r="AL5" i="14"/>
  <c r="AJ5" i="14"/>
  <c r="AQ5" i="14"/>
  <c r="AM5" i="14"/>
  <c r="AM9" i="14"/>
  <c r="AJ9" i="14"/>
  <c r="AL9" i="14"/>
  <c r="AQ9" i="14"/>
  <c r="AJ13" i="14"/>
  <c r="AL13" i="14"/>
  <c r="AM13" i="14"/>
  <c r="AQ13" i="14"/>
  <c r="AL17" i="14"/>
  <c r="AJ17" i="14"/>
  <c r="AM17" i="14"/>
  <c r="AQ17" i="14"/>
  <c r="AJ21" i="14"/>
  <c r="AL21" i="14"/>
  <c r="AM21" i="14"/>
  <c r="AQ21" i="14"/>
  <c r="AJ25" i="14"/>
  <c r="AL25" i="14"/>
  <c r="AM25" i="14"/>
  <c r="AQ25" i="14"/>
  <c r="AJ29" i="14"/>
  <c r="AL29" i="14"/>
  <c r="AM29" i="14"/>
  <c r="AQ29" i="14"/>
  <c r="AJ33" i="14"/>
  <c r="AL33" i="14"/>
  <c r="AM33" i="14"/>
  <c r="AQ33" i="14"/>
  <c r="AJ37" i="14"/>
  <c r="AL37" i="14"/>
  <c r="AM37" i="14"/>
  <c r="AQ37" i="14"/>
  <c r="AJ41" i="14"/>
  <c r="AL41" i="14"/>
  <c r="AM41" i="14"/>
  <c r="AQ41" i="14"/>
  <c r="AJ45" i="14"/>
  <c r="AL45" i="14"/>
  <c r="AM45" i="14"/>
  <c r="AQ45" i="14"/>
  <c r="AL70" i="14"/>
  <c r="AJ70" i="14"/>
  <c r="AM70" i="14"/>
  <c r="AQ70" i="14"/>
  <c r="AL74" i="14"/>
  <c r="AJ74" i="14"/>
  <c r="AM74" i="14"/>
  <c r="AQ74" i="14"/>
  <c r="AL78" i="14"/>
  <c r="AJ78" i="14"/>
  <c r="AM78" i="14"/>
  <c r="AQ78" i="14"/>
  <c r="AL72" i="14"/>
  <c r="AJ72" i="14"/>
  <c r="AM72" i="14"/>
  <c r="AQ72" i="14"/>
  <c r="AL76" i="14"/>
  <c r="AJ76" i="14"/>
  <c r="AM76" i="14"/>
  <c r="AQ76" i="14"/>
  <c r="BO93" i="14"/>
  <c r="AO100" i="14"/>
  <c r="AA92" i="14"/>
  <c r="AK92" i="14"/>
  <c r="AO92" i="14" s="1"/>
  <c r="AJ96" i="14"/>
  <c r="AL96" i="14"/>
  <c r="AM96" i="14"/>
  <c r="AQ96" i="14"/>
  <c r="AA94" i="14"/>
  <c r="AK94" i="14"/>
  <c r="AO94" i="14" s="1"/>
  <c r="AY93" i="14"/>
  <c r="AW93" i="14"/>
  <c r="AV126" i="14"/>
  <c r="AX180" i="14" s="1"/>
  <c r="AI138" i="14"/>
  <c r="AK181" i="14" s="1"/>
  <c r="AJ181" i="14" s="1"/>
  <c r="AO8" i="14"/>
  <c r="AO16" i="14"/>
  <c r="AO24" i="14"/>
  <c r="AO32" i="14"/>
  <c r="AE125" i="14"/>
  <c r="AE118" i="14"/>
  <c r="AE116" i="14"/>
  <c r="AE114" i="14"/>
  <c r="AE112" i="14"/>
  <c r="AE110" i="14"/>
  <c r="AE108" i="14"/>
  <c r="AE106" i="14"/>
  <c r="AE104" i="14"/>
  <c r="AE102" i="14"/>
  <c r="AE100" i="14"/>
  <c r="AE98" i="14"/>
  <c r="AE122" i="14"/>
  <c r="AE120" i="14"/>
  <c r="AE97" i="14"/>
  <c r="AE95" i="14"/>
  <c r="AE93" i="14"/>
  <c r="AE91" i="14"/>
  <c r="AE89" i="14"/>
  <c r="AE87" i="14"/>
  <c r="AE85" i="14"/>
  <c r="AE83" i="14"/>
  <c r="AE81" i="14"/>
  <c r="AE79" i="14"/>
  <c r="AE77" i="14"/>
  <c r="AE75" i="14"/>
  <c r="AE73" i="14"/>
  <c r="AE71" i="14"/>
  <c r="AE69" i="14"/>
  <c r="AE67" i="14"/>
  <c r="AE65" i="14"/>
  <c r="AE63" i="14"/>
  <c r="AE61" i="14"/>
  <c r="AE59" i="14"/>
  <c r="AE57" i="14"/>
  <c r="AE55" i="14"/>
  <c r="AE53" i="14"/>
  <c r="AE51" i="14"/>
  <c r="AE49" i="14"/>
  <c r="AE47" i="14"/>
  <c r="AE45" i="14"/>
  <c r="AE43" i="14"/>
  <c r="AE41" i="14"/>
  <c r="AE39" i="14"/>
  <c r="AE37" i="14"/>
  <c r="AE124" i="14"/>
  <c r="AE117" i="14"/>
  <c r="AE115" i="14"/>
  <c r="AE113" i="14"/>
  <c r="AE111" i="14"/>
  <c r="AE109" i="14"/>
  <c r="AE107" i="14"/>
  <c r="AE105" i="14"/>
  <c r="AE103" i="14"/>
  <c r="AE101" i="14"/>
  <c r="AE99" i="14"/>
  <c r="AE123" i="14"/>
  <c r="AE121" i="14"/>
  <c r="AE119" i="14"/>
  <c r="AE96" i="14"/>
  <c r="AE94" i="14"/>
  <c r="AE92" i="14"/>
  <c r="AE90" i="14"/>
  <c r="AE88" i="14"/>
  <c r="AE86" i="14"/>
  <c r="AE84" i="14"/>
  <c r="AE82" i="14"/>
  <c r="AE80" i="14"/>
  <c r="AE78" i="14"/>
  <c r="AE76" i="14"/>
  <c r="AE74" i="14"/>
  <c r="AE72" i="14"/>
  <c r="AE70" i="14"/>
  <c r="AE68" i="14"/>
  <c r="AE66" i="14"/>
  <c r="AE64" i="14"/>
  <c r="AE62" i="14"/>
  <c r="AE60" i="14"/>
  <c r="AE58" i="14"/>
  <c r="AE56" i="14"/>
  <c r="AE54" i="14"/>
  <c r="AE52" i="14"/>
  <c r="AE50" i="14"/>
  <c r="AE48" i="14"/>
  <c r="AE46" i="14"/>
  <c r="AE44" i="14"/>
  <c r="AE42" i="14"/>
  <c r="AE40" i="14"/>
  <c r="AE38" i="14"/>
  <c r="AE36" i="14"/>
  <c r="AE35" i="14"/>
  <c r="AE33" i="14"/>
  <c r="AE31" i="14"/>
  <c r="AE29" i="14"/>
  <c r="AE27" i="14"/>
  <c r="AE25" i="14"/>
  <c r="AE23" i="14"/>
  <c r="AE21" i="14"/>
  <c r="AE19" i="14"/>
  <c r="AE17" i="14"/>
  <c r="AE15" i="14"/>
  <c r="AE5" i="14"/>
  <c r="AE7" i="14"/>
  <c r="AE9" i="14"/>
  <c r="AE11" i="14"/>
  <c r="AE13" i="14"/>
  <c r="AE34" i="14"/>
  <c r="AE32" i="14"/>
  <c r="AE30" i="14"/>
  <c r="AE28" i="14"/>
  <c r="AE26" i="14"/>
  <c r="AE24" i="14"/>
  <c r="AE22" i="14"/>
  <c r="AE20" i="14"/>
  <c r="AE18" i="14"/>
  <c r="AE16" i="14"/>
  <c r="AE14" i="14"/>
  <c r="AE6" i="14"/>
  <c r="AE8" i="14"/>
  <c r="AE10" i="14"/>
  <c r="AE12" i="14"/>
  <c r="AO6" i="14"/>
  <c r="AO14" i="14"/>
  <c r="AO22" i="14"/>
  <c r="AO30" i="14"/>
  <c r="AO38" i="14"/>
  <c r="C26" i="17"/>
  <c r="C23" i="17"/>
  <c r="D23" i="17"/>
  <c r="D24" i="17"/>
  <c r="AA101" i="14"/>
  <c r="AA99" i="14"/>
  <c r="AA107" i="14"/>
  <c r="AA105" i="14"/>
  <c r="AA104" i="14"/>
  <c r="AA102" i="14"/>
  <c r="AA100" i="14"/>
  <c r="AA98" i="14"/>
  <c r="AA106" i="14"/>
  <c r="AA108" i="14"/>
  <c r="V164" i="14"/>
  <c r="AA36" i="14"/>
  <c r="AA28" i="14"/>
  <c r="AA20" i="14"/>
  <c r="AA8" i="14"/>
  <c r="AA52" i="14"/>
  <c r="AA60" i="14"/>
  <c r="AA68" i="14"/>
  <c r="AA82" i="14"/>
  <c r="AA86" i="14"/>
  <c r="AA90" i="14"/>
  <c r="AA47" i="14"/>
  <c r="AA55" i="14"/>
  <c r="AA63" i="14"/>
  <c r="AA71" i="14"/>
  <c r="AA79" i="14"/>
  <c r="AA83" i="14"/>
  <c r="AA87" i="14"/>
  <c r="AA111" i="14"/>
  <c r="AA115" i="14"/>
  <c r="AA119" i="14"/>
  <c r="AA123" i="14"/>
  <c r="AA121" i="14"/>
  <c r="AA50" i="14"/>
  <c r="AA58" i="14"/>
  <c r="AA66" i="14"/>
  <c r="AA112" i="14"/>
  <c r="AA120" i="14"/>
  <c r="AA49" i="14"/>
  <c r="AA57" i="14"/>
  <c r="AA65" i="14"/>
  <c r="AA73" i="14"/>
  <c r="AA77" i="14"/>
  <c r="AA81" i="14"/>
  <c r="AA109" i="14"/>
  <c r="AA125" i="14"/>
  <c r="AA42" i="14"/>
  <c r="AA7" i="14"/>
  <c r="AA11" i="14"/>
  <c r="AA15" i="14"/>
  <c r="AA19" i="14"/>
  <c r="AA23" i="14"/>
  <c r="AA27" i="14"/>
  <c r="AA31" i="14"/>
  <c r="AA35" i="14"/>
  <c r="AA39" i="14"/>
  <c r="AA43" i="14"/>
  <c r="AA40" i="14"/>
  <c r="AA44" i="14"/>
  <c r="AA5" i="14"/>
  <c r="AA9" i="14"/>
  <c r="AA13" i="14"/>
  <c r="AA17" i="14"/>
  <c r="AA21" i="14"/>
  <c r="AA25" i="14"/>
  <c r="AA29" i="14"/>
  <c r="AA33" i="14"/>
  <c r="AA37" i="14"/>
  <c r="AA41" i="14"/>
  <c r="AA45" i="14"/>
  <c r="AA70" i="14"/>
  <c r="AA74" i="14"/>
  <c r="AA78" i="14"/>
  <c r="AA72" i="14"/>
  <c r="AA76" i="14"/>
  <c r="X138" i="14"/>
  <c r="X183" i="14" s="1"/>
  <c r="AA32" i="14"/>
  <c r="AA24" i="14"/>
  <c r="AA16" i="14"/>
  <c r="AA12" i="14"/>
  <c r="AA38" i="14"/>
  <c r="AA34" i="14"/>
  <c r="AA30" i="14"/>
  <c r="AA26" i="14"/>
  <c r="AA22" i="14"/>
  <c r="AA18" i="14"/>
  <c r="AA14" i="14"/>
  <c r="AA10" i="14"/>
  <c r="AA6" i="14"/>
  <c r="AA48" i="14"/>
  <c r="AA56" i="14"/>
  <c r="AA64" i="14"/>
  <c r="AA110" i="14"/>
  <c r="AA114" i="14"/>
  <c r="AA118" i="14"/>
  <c r="AA122" i="14"/>
  <c r="AA51" i="14"/>
  <c r="AA59" i="14"/>
  <c r="AA67" i="14"/>
  <c r="AA75" i="14"/>
  <c r="AA91" i="14"/>
  <c r="AA103" i="14"/>
  <c r="AA113" i="14"/>
  <c r="AA46" i="14"/>
  <c r="AA54" i="14"/>
  <c r="AA62" i="14"/>
  <c r="AA80" i="14"/>
  <c r="AA84" i="14"/>
  <c r="AA88" i="14"/>
  <c r="AA116" i="14"/>
  <c r="AA124" i="14"/>
  <c r="AA53" i="14"/>
  <c r="AA61" i="14"/>
  <c r="AA69" i="14"/>
  <c r="AA85" i="14"/>
  <c r="AA89" i="14"/>
  <c r="AA97" i="14"/>
  <c r="AA117" i="14"/>
  <c r="AD160" i="14"/>
  <c r="Y147" i="14"/>
  <c r="AD156" i="14"/>
  <c r="Y143" i="14"/>
  <c r="AB126" i="14"/>
  <c r="AD126" i="14"/>
  <c r="W126" i="14"/>
  <c r="X176" i="14" s="1"/>
  <c r="X177" i="14"/>
  <c r="V138" i="14"/>
  <c r="X181" i="14" s="1"/>
  <c r="X188" i="14"/>
  <c r="Y126" i="14"/>
  <c r="R125" i="14"/>
  <c r="R124" i="14"/>
  <c r="R123" i="14"/>
  <c r="R122" i="14"/>
  <c r="R121" i="14"/>
  <c r="R120" i="14"/>
  <c r="R119" i="14"/>
  <c r="R118" i="14"/>
  <c r="R117" i="14"/>
  <c r="R116" i="14"/>
  <c r="R115" i="14"/>
  <c r="R114" i="14"/>
  <c r="R113" i="14"/>
  <c r="R112" i="14"/>
  <c r="R111" i="14"/>
  <c r="R110" i="14"/>
  <c r="R109" i="14"/>
  <c r="R108" i="14"/>
  <c r="S108" i="14" s="1"/>
  <c r="R107" i="14"/>
  <c r="S107" i="14" s="1"/>
  <c r="R106" i="14"/>
  <c r="S106" i="14" s="1"/>
  <c r="R105" i="14"/>
  <c r="S105" i="14" s="1"/>
  <c r="R104" i="14"/>
  <c r="S104" i="14" s="1"/>
  <c r="R103" i="14"/>
  <c r="R102" i="14"/>
  <c r="S102" i="14" s="1"/>
  <c r="R101" i="14"/>
  <c r="S101" i="14" s="1"/>
  <c r="R100" i="14"/>
  <c r="S100" i="14" s="1"/>
  <c r="R99" i="14"/>
  <c r="S99" i="14" s="1"/>
  <c r="R98" i="14"/>
  <c r="S98" i="14" s="1"/>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R5" i="14"/>
  <c r="Z126" i="14"/>
  <c r="BI126" i="14" l="1"/>
  <c r="BK180" i="14" s="1"/>
  <c r="BQ95" i="14"/>
  <c r="AG12" i="14"/>
  <c r="AH12" i="14" s="1"/>
  <c r="AF12" i="14"/>
  <c r="AP12" i="14"/>
  <c r="AF8" i="14"/>
  <c r="AG8" i="14"/>
  <c r="AH8" i="14" s="1"/>
  <c r="AP8" i="14"/>
  <c r="AF14" i="14"/>
  <c r="AG14" i="14"/>
  <c r="AH14" i="14" s="1"/>
  <c r="AP14" i="14"/>
  <c r="AF18" i="14"/>
  <c r="AG18" i="14"/>
  <c r="AH18" i="14" s="1"/>
  <c r="AP18" i="14"/>
  <c r="AF22" i="14"/>
  <c r="AG22" i="14"/>
  <c r="AH22" i="14" s="1"/>
  <c r="AP22" i="14"/>
  <c r="AF26" i="14"/>
  <c r="AG26" i="14"/>
  <c r="AH26" i="14" s="1"/>
  <c r="AP26" i="14"/>
  <c r="AF30" i="14"/>
  <c r="AG30" i="14"/>
  <c r="AH30" i="14" s="1"/>
  <c r="AP30" i="14"/>
  <c r="AF34" i="14"/>
  <c r="AG34" i="14"/>
  <c r="AH34" i="14" s="1"/>
  <c r="AP34" i="14"/>
  <c r="AP11" i="14"/>
  <c r="AG11" i="14"/>
  <c r="AH11" i="14" s="1"/>
  <c r="AF11" i="14"/>
  <c r="AP7" i="14"/>
  <c r="AG7" i="14"/>
  <c r="AH7" i="14" s="1"/>
  <c r="AF7" i="14"/>
  <c r="AF15" i="14"/>
  <c r="AG15" i="14"/>
  <c r="AH15" i="14" s="1"/>
  <c r="AP15" i="14"/>
  <c r="AF19" i="14"/>
  <c r="AG19" i="14"/>
  <c r="AH19" i="14" s="1"/>
  <c r="AP19" i="14"/>
  <c r="AF23" i="14"/>
  <c r="AG23" i="14"/>
  <c r="AH23" i="14" s="1"/>
  <c r="AP23" i="14"/>
  <c r="AF27" i="14"/>
  <c r="AG27" i="14"/>
  <c r="AH27" i="14" s="1"/>
  <c r="AP27" i="14"/>
  <c r="AF31" i="14"/>
  <c r="AG31" i="14"/>
  <c r="AH31" i="14" s="1"/>
  <c r="AP31" i="14"/>
  <c r="AF35" i="14"/>
  <c r="AG35" i="14"/>
  <c r="AH35" i="14" s="1"/>
  <c r="AP35" i="14"/>
  <c r="AF38" i="14"/>
  <c r="AG38" i="14"/>
  <c r="AH38" i="14" s="1"/>
  <c r="AP38" i="14"/>
  <c r="AF42" i="14"/>
  <c r="AG42" i="14"/>
  <c r="AH42" i="14" s="1"/>
  <c r="AP42" i="14"/>
  <c r="AF46" i="14"/>
  <c r="AG46" i="14"/>
  <c r="AH46" i="14" s="1"/>
  <c r="AP46" i="14"/>
  <c r="AF50" i="14"/>
  <c r="AG50" i="14"/>
  <c r="AH50" i="14" s="1"/>
  <c r="AP50" i="14"/>
  <c r="AF54" i="14"/>
  <c r="AG54" i="14"/>
  <c r="AH54" i="14" s="1"/>
  <c r="AP54" i="14"/>
  <c r="AF58" i="14"/>
  <c r="AG58" i="14"/>
  <c r="AH58" i="14" s="1"/>
  <c r="AP58" i="14"/>
  <c r="AP62" i="14"/>
  <c r="AG62" i="14"/>
  <c r="AH62" i="14" s="1"/>
  <c r="AF62" i="14"/>
  <c r="AF66" i="14"/>
  <c r="AP66" i="14"/>
  <c r="AG66" i="14"/>
  <c r="AH66" i="14" s="1"/>
  <c r="AF70" i="14"/>
  <c r="AP70" i="14"/>
  <c r="AG70" i="14"/>
  <c r="AH70" i="14" s="1"/>
  <c r="AF74" i="14"/>
  <c r="AP74" i="14"/>
  <c r="AG74" i="14"/>
  <c r="AH74" i="14" s="1"/>
  <c r="AF78" i="14"/>
  <c r="AP78" i="14"/>
  <c r="AG78" i="14"/>
  <c r="AH78" i="14" s="1"/>
  <c r="AF82" i="14"/>
  <c r="AP82" i="14"/>
  <c r="AG82" i="14"/>
  <c r="AH82" i="14" s="1"/>
  <c r="AF86" i="14"/>
  <c r="AP86" i="14"/>
  <c r="AG86" i="14"/>
  <c r="AH86" i="14" s="1"/>
  <c r="AF90" i="14"/>
  <c r="AG90" i="14"/>
  <c r="AH90" i="14" s="1"/>
  <c r="AP90" i="14"/>
  <c r="AP94" i="14"/>
  <c r="AG94" i="14"/>
  <c r="AH94" i="14" s="1"/>
  <c r="AF94" i="14"/>
  <c r="AF119" i="14"/>
  <c r="AP119" i="14"/>
  <c r="AG119" i="14"/>
  <c r="AH119" i="14" s="1"/>
  <c r="AF123" i="14"/>
  <c r="AP123" i="14"/>
  <c r="AG123" i="14"/>
  <c r="AH123" i="14" s="1"/>
  <c r="AF101" i="14"/>
  <c r="AG101" i="14"/>
  <c r="AH101" i="14" s="1"/>
  <c r="AP101" i="14"/>
  <c r="AF105" i="14"/>
  <c r="AG105" i="14"/>
  <c r="AH105" i="14" s="1"/>
  <c r="AP105" i="14"/>
  <c r="AP109" i="14"/>
  <c r="AG109" i="14"/>
  <c r="AH109" i="14" s="1"/>
  <c r="AF109" i="14"/>
  <c r="AP113" i="14"/>
  <c r="AG113" i="14"/>
  <c r="AH113" i="14" s="1"/>
  <c r="AF113" i="14"/>
  <c r="AP117" i="14"/>
  <c r="AG117" i="14"/>
  <c r="AH117" i="14" s="1"/>
  <c r="AF117" i="14"/>
  <c r="AG37" i="14"/>
  <c r="AH37" i="14" s="1"/>
  <c r="AP37" i="14"/>
  <c r="AF37" i="14"/>
  <c r="AG41" i="14"/>
  <c r="AH41" i="14" s="1"/>
  <c r="AP41" i="14"/>
  <c r="AF41" i="14"/>
  <c r="AG45" i="14"/>
  <c r="AH45" i="14" s="1"/>
  <c r="AP45" i="14"/>
  <c r="AF45" i="14"/>
  <c r="AG49" i="14"/>
  <c r="AH49" i="14" s="1"/>
  <c r="AP49" i="14"/>
  <c r="AF49" i="14"/>
  <c r="AG53" i="14"/>
  <c r="AH53" i="14" s="1"/>
  <c r="AP53" i="14"/>
  <c r="AF53" i="14"/>
  <c r="AG57" i="14"/>
  <c r="AH57" i="14" s="1"/>
  <c r="AP57" i="14"/>
  <c r="AF57" i="14"/>
  <c r="AG61" i="14"/>
  <c r="AH61" i="14" s="1"/>
  <c r="AF61" i="14"/>
  <c r="AP61" i="14"/>
  <c r="AP65" i="14"/>
  <c r="AG65" i="14"/>
  <c r="AH65" i="14" s="1"/>
  <c r="AF65" i="14"/>
  <c r="AP69" i="14"/>
  <c r="AG69" i="14"/>
  <c r="AH69" i="14" s="1"/>
  <c r="AF69" i="14"/>
  <c r="AP73" i="14"/>
  <c r="AG73" i="14"/>
  <c r="AH73" i="14" s="1"/>
  <c r="AF73" i="14"/>
  <c r="AP77" i="14"/>
  <c r="AG77" i="14"/>
  <c r="AH77" i="14" s="1"/>
  <c r="AF77" i="14"/>
  <c r="AP81" i="14"/>
  <c r="AG81" i="14"/>
  <c r="AH81" i="14" s="1"/>
  <c r="AF81" i="14"/>
  <c r="AP85" i="14"/>
  <c r="AG85" i="14"/>
  <c r="AH85" i="14" s="1"/>
  <c r="AF85" i="14"/>
  <c r="AG89" i="14"/>
  <c r="AH89" i="14" s="1"/>
  <c r="AP89" i="14"/>
  <c r="AF89" i="14"/>
  <c r="AG93" i="14"/>
  <c r="AH93" i="14" s="1"/>
  <c r="AF93" i="14"/>
  <c r="AP93" i="14"/>
  <c r="AG97" i="14"/>
  <c r="AH97" i="14" s="1"/>
  <c r="AF97" i="14"/>
  <c r="AP97" i="14"/>
  <c r="AP122" i="14"/>
  <c r="AG122" i="14"/>
  <c r="AH122" i="14" s="1"/>
  <c r="AF122" i="14"/>
  <c r="AG100" i="14"/>
  <c r="AH100" i="14" s="1"/>
  <c r="AF100" i="14"/>
  <c r="AP100" i="14"/>
  <c r="AG104" i="14"/>
  <c r="AH104" i="14" s="1"/>
  <c r="AP104" i="14"/>
  <c r="AF104" i="14"/>
  <c r="AG108" i="14"/>
  <c r="AH108" i="14" s="1"/>
  <c r="AF108" i="14"/>
  <c r="AP108" i="14"/>
  <c r="AG112" i="14"/>
  <c r="AH112" i="14" s="1"/>
  <c r="AF112" i="14"/>
  <c r="AP112" i="14"/>
  <c r="AG116" i="14"/>
  <c r="AH116" i="14" s="1"/>
  <c r="AF116" i="14"/>
  <c r="AP116" i="14"/>
  <c r="AP125" i="14"/>
  <c r="AG125" i="14"/>
  <c r="AH125" i="14" s="1"/>
  <c r="AF125" i="14"/>
  <c r="AN96" i="14"/>
  <c r="AX96" i="14"/>
  <c r="AN76" i="14"/>
  <c r="AX76" i="14"/>
  <c r="AN72" i="14"/>
  <c r="AX72" i="14"/>
  <c r="AN78" i="14"/>
  <c r="AX78" i="14"/>
  <c r="AN74" i="14"/>
  <c r="AX74" i="14"/>
  <c r="AN70" i="14"/>
  <c r="AX70" i="14"/>
  <c r="AN45" i="14"/>
  <c r="AX45" i="14"/>
  <c r="AN41" i="14"/>
  <c r="AX41" i="14"/>
  <c r="AN37" i="14"/>
  <c r="AX37" i="14"/>
  <c r="AN33" i="14"/>
  <c r="AX33" i="14"/>
  <c r="AN29" i="14"/>
  <c r="AX29" i="14"/>
  <c r="AN25" i="14"/>
  <c r="AX25" i="14"/>
  <c r="AN21" i="14"/>
  <c r="AX21" i="14"/>
  <c r="AN17" i="14"/>
  <c r="AX17" i="14"/>
  <c r="AN13" i="14"/>
  <c r="AX13" i="14"/>
  <c r="AN9" i="14"/>
  <c r="AX9" i="14"/>
  <c r="BB9" i="14" s="1"/>
  <c r="AK126" i="14"/>
  <c r="AK174" i="14"/>
  <c r="AN44" i="14"/>
  <c r="AX44" i="14"/>
  <c r="BB44" i="14" s="1"/>
  <c r="AN40" i="14"/>
  <c r="AX40" i="14"/>
  <c r="AN43" i="14"/>
  <c r="AX43" i="14"/>
  <c r="AN39" i="14"/>
  <c r="AX39" i="14"/>
  <c r="AN35" i="14"/>
  <c r="AX35" i="14"/>
  <c r="BB35" i="14" s="1"/>
  <c r="AN31" i="14"/>
  <c r="AX31" i="14"/>
  <c r="AN27" i="14"/>
  <c r="AX27" i="14"/>
  <c r="AN23" i="14"/>
  <c r="AX23" i="14"/>
  <c r="AN19" i="14"/>
  <c r="AX19" i="14"/>
  <c r="BB19" i="14" s="1"/>
  <c r="AK138" i="14"/>
  <c r="AN15" i="14"/>
  <c r="AX15" i="14"/>
  <c r="AN7" i="14"/>
  <c r="AX7" i="14"/>
  <c r="AN125" i="14"/>
  <c r="AX125" i="14"/>
  <c r="AN57" i="14"/>
  <c r="AX57" i="14"/>
  <c r="AN120" i="14"/>
  <c r="AX120" i="14"/>
  <c r="AN50" i="14"/>
  <c r="AX50" i="14"/>
  <c r="AN121" i="14"/>
  <c r="AX121" i="14"/>
  <c r="AN115" i="14"/>
  <c r="AX115" i="14"/>
  <c r="AN111" i="14"/>
  <c r="AX111" i="14"/>
  <c r="AN71" i="14"/>
  <c r="AX71" i="14"/>
  <c r="AN47" i="14"/>
  <c r="AX47" i="14"/>
  <c r="AN106" i="14"/>
  <c r="AX106" i="14"/>
  <c r="AN86" i="14"/>
  <c r="AX86" i="14"/>
  <c r="AN82" i="14"/>
  <c r="AX82" i="14"/>
  <c r="AV138" i="14"/>
  <c r="AX181" i="14" s="1"/>
  <c r="AW181" i="14" s="1"/>
  <c r="BJ93" i="14"/>
  <c r="BL93" i="14"/>
  <c r="BM178" i="14"/>
  <c r="BM176" i="14"/>
  <c r="BM174" i="14"/>
  <c r="BG4" i="14"/>
  <c r="BL4" i="14"/>
  <c r="BH4" i="14"/>
  <c r="BE1" i="14" s="1"/>
  <c r="BM180" i="14"/>
  <c r="BM177" i="14"/>
  <c r="BM175" i="14"/>
  <c r="BK128" i="14"/>
  <c r="BE4" i="14"/>
  <c r="BF4" i="14"/>
  <c r="BB76" i="14"/>
  <c r="BB78" i="14"/>
  <c r="BB70" i="14"/>
  <c r="BB41" i="14"/>
  <c r="BB33" i="14"/>
  <c r="BB17" i="14"/>
  <c r="AN69" i="14"/>
  <c r="AX69" i="14"/>
  <c r="AN61" i="14"/>
  <c r="AX61" i="14"/>
  <c r="AN124" i="14"/>
  <c r="AX124" i="14"/>
  <c r="AN54" i="14"/>
  <c r="AX54" i="14"/>
  <c r="AN75" i="14"/>
  <c r="AX75" i="14"/>
  <c r="AN59" i="14"/>
  <c r="AX59" i="14"/>
  <c r="AN122" i="14"/>
  <c r="AX122" i="14"/>
  <c r="AN118" i="14"/>
  <c r="AX118" i="14"/>
  <c r="AN114" i="14"/>
  <c r="AX114" i="14"/>
  <c r="AN110" i="14"/>
  <c r="AX110" i="14"/>
  <c r="AN56" i="14"/>
  <c r="AX56" i="14"/>
  <c r="AN6" i="14"/>
  <c r="AX6" i="14"/>
  <c r="AN10" i="14"/>
  <c r="AX10" i="14"/>
  <c r="AN14" i="14"/>
  <c r="AX14" i="14"/>
  <c r="AN18" i="14"/>
  <c r="AX18" i="14"/>
  <c r="AN22" i="14"/>
  <c r="AX22" i="14"/>
  <c r="BB22" i="14" s="1"/>
  <c r="AN26" i="14"/>
  <c r="AX26" i="14"/>
  <c r="AN30" i="14"/>
  <c r="AX30" i="14"/>
  <c r="AN34" i="14"/>
  <c r="AX34" i="14"/>
  <c r="AN38" i="14"/>
  <c r="AX38" i="14"/>
  <c r="AN60" i="14"/>
  <c r="AX60" i="14"/>
  <c r="AP10" i="14"/>
  <c r="AG10" i="14"/>
  <c r="AH10" i="14" s="1"/>
  <c r="AF10" i="14"/>
  <c r="AG6" i="14"/>
  <c r="AH6" i="14" s="1"/>
  <c r="AP6" i="14"/>
  <c r="AF6" i="14"/>
  <c r="AG16" i="14"/>
  <c r="AH16" i="14" s="1"/>
  <c r="AP16" i="14"/>
  <c r="AF16" i="14"/>
  <c r="AG20" i="14"/>
  <c r="AH20" i="14" s="1"/>
  <c r="AP20" i="14"/>
  <c r="AF20" i="14"/>
  <c r="AG24" i="14"/>
  <c r="AH24" i="14" s="1"/>
  <c r="AP24" i="14"/>
  <c r="AF24" i="14"/>
  <c r="AG28" i="14"/>
  <c r="AH28" i="14" s="1"/>
  <c r="AP28" i="14"/>
  <c r="AF28" i="14"/>
  <c r="AG32" i="14"/>
  <c r="AH32" i="14" s="1"/>
  <c r="AP32" i="14"/>
  <c r="AF32" i="14"/>
  <c r="AP13" i="14"/>
  <c r="AG13" i="14"/>
  <c r="AH13" i="14" s="1"/>
  <c r="AF13" i="14"/>
  <c r="AF9" i="14"/>
  <c r="AG9" i="14"/>
  <c r="AH9" i="14" s="1"/>
  <c r="AP9" i="14"/>
  <c r="AG5" i="14"/>
  <c r="AP5" i="14"/>
  <c r="AE126" i="14"/>
  <c r="AF5" i="14"/>
  <c r="AG17" i="14"/>
  <c r="AH17" i="14" s="1"/>
  <c r="AP17" i="14"/>
  <c r="AF17" i="14"/>
  <c r="AG21" i="14"/>
  <c r="AH21" i="14" s="1"/>
  <c r="AP21" i="14"/>
  <c r="AF21" i="14"/>
  <c r="AG25" i="14"/>
  <c r="AH25" i="14" s="1"/>
  <c r="AP25" i="14"/>
  <c r="AF25" i="14"/>
  <c r="AG29" i="14"/>
  <c r="AH29" i="14" s="1"/>
  <c r="AP29" i="14"/>
  <c r="AF29" i="14"/>
  <c r="AG33" i="14"/>
  <c r="AH33" i="14" s="1"/>
  <c r="AP33" i="14"/>
  <c r="AF33" i="14"/>
  <c r="AG36" i="14"/>
  <c r="AH36" i="14" s="1"/>
  <c r="AP36" i="14"/>
  <c r="AF36" i="14"/>
  <c r="AG40" i="14"/>
  <c r="AH40" i="14" s="1"/>
  <c r="AP40" i="14"/>
  <c r="AF40" i="14"/>
  <c r="AG44" i="14"/>
  <c r="AH44" i="14" s="1"/>
  <c r="AP44" i="14"/>
  <c r="AF44" i="14"/>
  <c r="AG48" i="14"/>
  <c r="AH48" i="14" s="1"/>
  <c r="AP48" i="14"/>
  <c r="AF48" i="14"/>
  <c r="AG52" i="14"/>
  <c r="AH52" i="14" s="1"/>
  <c r="AP52" i="14"/>
  <c r="AF52" i="14"/>
  <c r="AG56" i="14"/>
  <c r="AH56" i="14" s="1"/>
  <c r="AP56" i="14"/>
  <c r="AF56" i="14"/>
  <c r="AG60" i="14"/>
  <c r="AH60" i="14" s="1"/>
  <c r="AF60" i="14"/>
  <c r="AP60" i="14"/>
  <c r="AP64" i="14"/>
  <c r="AG64" i="14"/>
  <c r="AH64" i="14" s="1"/>
  <c r="AF64" i="14"/>
  <c r="AP68" i="14"/>
  <c r="AG68" i="14"/>
  <c r="AH68" i="14" s="1"/>
  <c r="AF68" i="14"/>
  <c r="AP72" i="14"/>
  <c r="AG72" i="14"/>
  <c r="AH72" i="14" s="1"/>
  <c r="AF72" i="14"/>
  <c r="AP76" i="14"/>
  <c r="AG76" i="14"/>
  <c r="AH76" i="14" s="1"/>
  <c r="AF76" i="14"/>
  <c r="AP80" i="14"/>
  <c r="AG80" i="14"/>
  <c r="AH80" i="14" s="1"/>
  <c r="AF80" i="14"/>
  <c r="AP84" i="14"/>
  <c r="AG84" i="14"/>
  <c r="AH84" i="14" s="1"/>
  <c r="AF84" i="14"/>
  <c r="AG88" i="14"/>
  <c r="AH88" i="14" s="1"/>
  <c r="AP88" i="14"/>
  <c r="AF88" i="14"/>
  <c r="AG92" i="14"/>
  <c r="AH92" i="14" s="1"/>
  <c r="AF92" i="14"/>
  <c r="AP92" i="14"/>
  <c r="AG96" i="14"/>
  <c r="AH96" i="14" s="1"/>
  <c r="AF96" i="14"/>
  <c r="AP96" i="14"/>
  <c r="AP121" i="14"/>
  <c r="AG121" i="14"/>
  <c r="AH121" i="14" s="1"/>
  <c r="AF121" i="14"/>
  <c r="AG99" i="14"/>
  <c r="AH99" i="14" s="1"/>
  <c r="AF99" i="14"/>
  <c r="AP99" i="14"/>
  <c r="AG103" i="14"/>
  <c r="AH103" i="14" s="1"/>
  <c r="AP103" i="14"/>
  <c r="AF103" i="14"/>
  <c r="AG107" i="14"/>
  <c r="AH107" i="14" s="1"/>
  <c r="AP107" i="14"/>
  <c r="AF107" i="14"/>
  <c r="AG111" i="14"/>
  <c r="AH111" i="14" s="1"/>
  <c r="AF111" i="14"/>
  <c r="AP111" i="14"/>
  <c r="AG115" i="14"/>
  <c r="AH115" i="14" s="1"/>
  <c r="AF115" i="14"/>
  <c r="AP115" i="14"/>
  <c r="AP124" i="14"/>
  <c r="AG124" i="14"/>
  <c r="AH124" i="14" s="1"/>
  <c r="AF124" i="14"/>
  <c r="AF39" i="14"/>
  <c r="AG39" i="14"/>
  <c r="AH39" i="14" s="1"/>
  <c r="AP39" i="14"/>
  <c r="AF43" i="14"/>
  <c r="AG43" i="14"/>
  <c r="AH43" i="14" s="1"/>
  <c r="AP43" i="14"/>
  <c r="AF47" i="14"/>
  <c r="AG47" i="14"/>
  <c r="AH47" i="14" s="1"/>
  <c r="AP47" i="14"/>
  <c r="AF51" i="14"/>
  <c r="AG51" i="14"/>
  <c r="AH51" i="14" s="1"/>
  <c r="AP51" i="14"/>
  <c r="AF55" i="14"/>
  <c r="AG55" i="14"/>
  <c r="AH55" i="14" s="1"/>
  <c r="AP55" i="14"/>
  <c r="AF59" i="14"/>
  <c r="AG59" i="14"/>
  <c r="AH59" i="14" s="1"/>
  <c r="AP59" i="14"/>
  <c r="AG63" i="14"/>
  <c r="AH63" i="14" s="1"/>
  <c r="AP63" i="14"/>
  <c r="AF63" i="14"/>
  <c r="AF67" i="14"/>
  <c r="AP67" i="14"/>
  <c r="AG67" i="14"/>
  <c r="AH67" i="14" s="1"/>
  <c r="AF71" i="14"/>
  <c r="AP71" i="14"/>
  <c r="AG71" i="14"/>
  <c r="AH71" i="14" s="1"/>
  <c r="AF75" i="14"/>
  <c r="AP75" i="14"/>
  <c r="AG75" i="14"/>
  <c r="AH75" i="14" s="1"/>
  <c r="AF79" i="14"/>
  <c r="AP79" i="14"/>
  <c r="AG79" i="14"/>
  <c r="AH79" i="14" s="1"/>
  <c r="AF83" i="14"/>
  <c r="AP83" i="14"/>
  <c r="AG83" i="14"/>
  <c r="AH83" i="14" s="1"/>
  <c r="AF87" i="14"/>
  <c r="AP87" i="14"/>
  <c r="AG87" i="14"/>
  <c r="AH87" i="14" s="1"/>
  <c r="AP91" i="14"/>
  <c r="AG91" i="14"/>
  <c r="AH91" i="14" s="1"/>
  <c r="AF91" i="14"/>
  <c r="AP95" i="14"/>
  <c r="AG95" i="14"/>
  <c r="AH95" i="14" s="1"/>
  <c r="AF95" i="14"/>
  <c r="AF120" i="14"/>
  <c r="AP120" i="14"/>
  <c r="AG120" i="14"/>
  <c r="AH120" i="14" s="1"/>
  <c r="AP98" i="14"/>
  <c r="AG98" i="14"/>
  <c r="AH98" i="14" s="1"/>
  <c r="AF98" i="14"/>
  <c r="AF102" i="14"/>
  <c r="AG102" i="14"/>
  <c r="AH102" i="14" s="1"/>
  <c r="AP102" i="14"/>
  <c r="AF106" i="14"/>
  <c r="AG106" i="14"/>
  <c r="AH106" i="14" s="1"/>
  <c r="AP106" i="14"/>
  <c r="AP110" i="14"/>
  <c r="AG110" i="14"/>
  <c r="AH110" i="14" s="1"/>
  <c r="AF110" i="14"/>
  <c r="AP114" i="14"/>
  <c r="AG114" i="14"/>
  <c r="AH114" i="14" s="1"/>
  <c r="AF114" i="14"/>
  <c r="AP118" i="14"/>
  <c r="AG118" i="14"/>
  <c r="AH118" i="14" s="1"/>
  <c r="AF118" i="14"/>
  <c r="AJ94" i="14"/>
  <c r="AL94" i="14"/>
  <c r="AM94" i="14"/>
  <c r="AQ94" i="14"/>
  <c r="AJ92" i="14"/>
  <c r="AJ126" i="14" s="1"/>
  <c r="AK176" i="14" s="1"/>
  <c r="AL92" i="14"/>
  <c r="AL126" i="14" s="1"/>
  <c r="AM92" i="14"/>
  <c r="AM126" i="14" s="1"/>
  <c r="AQ92" i="14"/>
  <c r="AQ126" i="14" s="1"/>
  <c r="AN5" i="14"/>
  <c r="AX5" i="14"/>
  <c r="AQ156" i="14"/>
  <c r="AQ164" i="14" s="1"/>
  <c r="AL143" i="14"/>
  <c r="AL151" i="14" s="1"/>
  <c r="AN11" i="14"/>
  <c r="AX11" i="14"/>
  <c r="AN42" i="14"/>
  <c r="AX42" i="14"/>
  <c r="BB42" i="14" s="1"/>
  <c r="AN109" i="14"/>
  <c r="AX109" i="14"/>
  <c r="AN81" i="14"/>
  <c r="AX81" i="14"/>
  <c r="AN77" i="14"/>
  <c r="AX77" i="14"/>
  <c r="BB77" i="14" s="1"/>
  <c r="AN73" i="14"/>
  <c r="AX73" i="14"/>
  <c r="AN65" i="14"/>
  <c r="AX65" i="14"/>
  <c r="AN49" i="14"/>
  <c r="AX49" i="14"/>
  <c r="BB49" i="14" s="1"/>
  <c r="AN112" i="14"/>
  <c r="AX112" i="14"/>
  <c r="AN108" i="14"/>
  <c r="AX108" i="14"/>
  <c r="BB108" i="14" s="1"/>
  <c r="AN66" i="14"/>
  <c r="AX66" i="14"/>
  <c r="BB66" i="14" s="1"/>
  <c r="AN58" i="14"/>
  <c r="AX58" i="14"/>
  <c r="AN123" i="14"/>
  <c r="AX123" i="14"/>
  <c r="BB123" i="14" s="1"/>
  <c r="AN119" i="14"/>
  <c r="AX119" i="14"/>
  <c r="AN87" i="14"/>
  <c r="AX87" i="14"/>
  <c r="BB87" i="14" s="1"/>
  <c r="AN83" i="14"/>
  <c r="AX83" i="14"/>
  <c r="AN79" i="14"/>
  <c r="AX79" i="14"/>
  <c r="AN63" i="14"/>
  <c r="AX63" i="14"/>
  <c r="BB63" i="14" s="1"/>
  <c r="AN55" i="14"/>
  <c r="AX55" i="14"/>
  <c r="AN52" i="14"/>
  <c r="AX52" i="14"/>
  <c r="BB52" i="14" s="1"/>
  <c r="AN8" i="14"/>
  <c r="AX8" i="14"/>
  <c r="BB8" i="14" s="1"/>
  <c r="AN20" i="14"/>
  <c r="AX20" i="14"/>
  <c r="AN28" i="14"/>
  <c r="AX28" i="14"/>
  <c r="AN36" i="14"/>
  <c r="AX36" i="14"/>
  <c r="AN100" i="14"/>
  <c r="AX100" i="14"/>
  <c r="BB26" i="14"/>
  <c r="BB10" i="14"/>
  <c r="AR125" i="14"/>
  <c r="AR123" i="14"/>
  <c r="AR121" i="14"/>
  <c r="AR119" i="14"/>
  <c r="AR117" i="14"/>
  <c r="AR115" i="14"/>
  <c r="AR113" i="14"/>
  <c r="AR111" i="14"/>
  <c r="AR109" i="14"/>
  <c r="AR107" i="14"/>
  <c r="AR105" i="14"/>
  <c r="AR103" i="14"/>
  <c r="AR101" i="14"/>
  <c r="AR99" i="14"/>
  <c r="AR97" i="14"/>
  <c r="AR95" i="14"/>
  <c r="AR93" i="14"/>
  <c r="AR91" i="14"/>
  <c r="AR89" i="14"/>
  <c r="AR87" i="14"/>
  <c r="AR85" i="14"/>
  <c r="AR83" i="14"/>
  <c r="AR81" i="14"/>
  <c r="AR79" i="14"/>
  <c r="AR77" i="14"/>
  <c r="AR75" i="14"/>
  <c r="AR73" i="14"/>
  <c r="AR71" i="14"/>
  <c r="AR69" i="14"/>
  <c r="AR67" i="14"/>
  <c r="AR65" i="14"/>
  <c r="AR63" i="14"/>
  <c r="AR61" i="14"/>
  <c r="AR59" i="14"/>
  <c r="AR57" i="14"/>
  <c r="AR55" i="14"/>
  <c r="AR53" i="14"/>
  <c r="AR51" i="14"/>
  <c r="AR49" i="14"/>
  <c r="AR47" i="14"/>
  <c r="AR45" i="14"/>
  <c r="AR43" i="14"/>
  <c r="AR41" i="14"/>
  <c r="AR39" i="14"/>
  <c r="AR37" i="14"/>
  <c r="AR35" i="14"/>
  <c r="AR33" i="14"/>
  <c r="AR31" i="14"/>
  <c r="AR29" i="14"/>
  <c r="AR27" i="14"/>
  <c r="AR25" i="14"/>
  <c r="AR23" i="14"/>
  <c r="AR21" i="14"/>
  <c r="AR19" i="14"/>
  <c r="AR17" i="14"/>
  <c r="AR15" i="14"/>
  <c r="AR12" i="14"/>
  <c r="AR10" i="14"/>
  <c r="AR8" i="14"/>
  <c r="AR6" i="14"/>
  <c r="AR13" i="14"/>
  <c r="AR124" i="14"/>
  <c r="AR122" i="14"/>
  <c r="AR120" i="14"/>
  <c r="AR118" i="14"/>
  <c r="AR116" i="14"/>
  <c r="AR114" i="14"/>
  <c r="AR112" i="14"/>
  <c r="AR110" i="14"/>
  <c r="AR108" i="14"/>
  <c r="AR106" i="14"/>
  <c r="AR104" i="14"/>
  <c r="AR102" i="14"/>
  <c r="AR100" i="14"/>
  <c r="AR98" i="14"/>
  <c r="AR96" i="14"/>
  <c r="AR94" i="14"/>
  <c r="AR92" i="14"/>
  <c r="AR90" i="14"/>
  <c r="AR88" i="14"/>
  <c r="AR86" i="14"/>
  <c r="AR84" i="14"/>
  <c r="AR82" i="14"/>
  <c r="AR80" i="14"/>
  <c r="AR78" i="14"/>
  <c r="AR76" i="14"/>
  <c r="AR74" i="14"/>
  <c r="AR72" i="14"/>
  <c r="AR70" i="14"/>
  <c r="AR68" i="14"/>
  <c r="AR66" i="14"/>
  <c r="AR64" i="14"/>
  <c r="AR62" i="14"/>
  <c r="AR60" i="14"/>
  <c r="AR58" i="14"/>
  <c r="AR56" i="14"/>
  <c r="AR54" i="14"/>
  <c r="AR52" i="14"/>
  <c r="AR50" i="14"/>
  <c r="AR48" i="14"/>
  <c r="AR46" i="14"/>
  <c r="AR44" i="14"/>
  <c r="AR42" i="14"/>
  <c r="AR40" i="14"/>
  <c r="AR38" i="14"/>
  <c r="AR36" i="14"/>
  <c r="AR34" i="14"/>
  <c r="AR32" i="14"/>
  <c r="AR30" i="14"/>
  <c r="AR28" i="14"/>
  <c r="AR26" i="14"/>
  <c r="AR24" i="14"/>
  <c r="AR22" i="14"/>
  <c r="AR20" i="14"/>
  <c r="AR18" i="14"/>
  <c r="AR16" i="14"/>
  <c r="AR14" i="14"/>
  <c r="AR11" i="14"/>
  <c r="AR9" i="14"/>
  <c r="AR7" i="14"/>
  <c r="AR5" i="14"/>
  <c r="BJ95" i="14"/>
  <c r="BL95" i="14"/>
  <c r="BI130" i="14"/>
  <c r="BI156" i="14"/>
  <c r="BI164" i="14" s="1"/>
  <c r="BV124" i="14"/>
  <c r="BV122" i="14"/>
  <c r="BV120" i="14"/>
  <c r="BV118" i="14"/>
  <c r="BV116" i="14"/>
  <c r="BV114" i="14"/>
  <c r="BV112" i="14"/>
  <c r="BV110" i="14"/>
  <c r="BV108" i="14"/>
  <c r="BV99" i="14"/>
  <c r="BV97" i="14"/>
  <c r="BV106" i="14"/>
  <c r="BV104" i="14"/>
  <c r="BV102" i="14"/>
  <c r="BV96" i="14"/>
  <c r="BV94" i="14"/>
  <c r="BV92" i="14"/>
  <c r="BV87" i="14"/>
  <c r="BV85" i="14"/>
  <c r="BV83" i="14"/>
  <c r="BV81" i="14"/>
  <c r="BV79" i="14"/>
  <c r="BV77" i="14"/>
  <c r="BV75" i="14"/>
  <c r="BV73" i="14"/>
  <c r="BV71" i="14"/>
  <c r="BV69" i="14"/>
  <c r="BV67" i="14"/>
  <c r="BV65" i="14"/>
  <c r="BV63" i="14"/>
  <c r="BV89" i="14"/>
  <c r="BV62" i="14"/>
  <c r="BV60" i="14"/>
  <c r="CC4" i="14"/>
  <c r="BV11" i="14"/>
  <c r="BV7" i="14"/>
  <c r="BV5" i="14"/>
  <c r="BV4" i="14"/>
  <c r="BW4" i="14" s="1"/>
  <c r="BV58" i="14"/>
  <c r="BV56" i="14"/>
  <c r="BV54" i="14"/>
  <c r="BV52" i="14"/>
  <c r="BV50" i="14"/>
  <c r="BV48" i="14"/>
  <c r="BV46" i="14"/>
  <c r="BV44" i="14"/>
  <c r="BV42" i="14"/>
  <c r="BV40" i="14"/>
  <c r="BV38" i="14"/>
  <c r="BV36" i="14"/>
  <c r="BV34" i="14"/>
  <c r="BV32" i="14"/>
  <c r="BV30" i="14"/>
  <c r="BV28" i="14"/>
  <c r="BV26" i="14"/>
  <c r="BV24" i="14"/>
  <c r="BV22" i="14"/>
  <c r="BV20" i="14"/>
  <c r="BV18" i="14"/>
  <c r="BV16" i="14"/>
  <c r="BV14" i="14"/>
  <c r="BV12" i="14"/>
  <c r="BV8" i="14"/>
  <c r="BX4" i="14"/>
  <c r="BV125" i="14"/>
  <c r="BV123" i="14"/>
  <c r="BV121" i="14"/>
  <c r="BV119" i="14"/>
  <c r="BV117" i="14"/>
  <c r="BV115" i="14"/>
  <c r="BV113" i="14"/>
  <c r="BV111" i="14"/>
  <c r="BV109" i="14"/>
  <c r="BV100" i="14"/>
  <c r="BV98" i="14"/>
  <c r="BV107" i="14"/>
  <c r="BV105" i="14"/>
  <c r="BV103" i="14"/>
  <c r="BV101" i="14"/>
  <c r="BV95" i="14"/>
  <c r="BV93" i="14"/>
  <c r="BV91" i="14"/>
  <c r="BV86" i="14"/>
  <c r="BV84" i="14"/>
  <c r="BV82" i="14"/>
  <c r="BV80" i="14"/>
  <c r="BV78" i="14"/>
  <c r="BV76" i="14"/>
  <c r="BV74" i="14"/>
  <c r="BV72" i="14"/>
  <c r="BV70" i="14"/>
  <c r="BV68" i="14"/>
  <c r="BV66" i="14"/>
  <c r="BV64" i="14"/>
  <c r="BV90" i="14"/>
  <c r="BV88" i="14"/>
  <c r="BV61" i="14"/>
  <c r="CM4" i="14"/>
  <c r="CA4" i="14"/>
  <c r="BV9" i="14"/>
  <c r="BV6" i="14"/>
  <c r="CD4" i="14"/>
  <c r="BV59" i="14"/>
  <c r="BV57" i="14"/>
  <c r="BV55" i="14"/>
  <c r="BV53" i="14"/>
  <c r="BV51" i="14"/>
  <c r="BV49" i="14"/>
  <c r="BV47" i="14"/>
  <c r="BV45" i="14"/>
  <c r="BV43" i="14"/>
  <c r="BV41" i="14"/>
  <c r="BV39" i="14"/>
  <c r="BV37" i="14"/>
  <c r="BV35" i="14"/>
  <c r="BV33" i="14"/>
  <c r="BV31" i="14"/>
  <c r="BV29" i="14"/>
  <c r="BV27" i="14"/>
  <c r="BV25" i="14"/>
  <c r="BV23" i="14"/>
  <c r="BV21" i="14"/>
  <c r="BV19" i="14"/>
  <c r="BV17" i="14"/>
  <c r="BV15" i="14"/>
  <c r="BV13" i="14"/>
  <c r="BV10" i="14"/>
  <c r="CB4" i="14"/>
  <c r="BX93" i="14"/>
  <c r="BX95" i="14"/>
  <c r="BZ95" i="14" s="1"/>
  <c r="CA95" i="14" s="1"/>
  <c r="BB96" i="14"/>
  <c r="BO95" i="14"/>
  <c r="BB72" i="14"/>
  <c r="BB74" i="14"/>
  <c r="BB45" i="14"/>
  <c r="BB37" i="14"/>
  <c r="BB29" i="14"/>
  <c r="BB21" i="14"/>
  <c r="BB13" i="14"/>
  <c r="AO126" i="14"/>
  <c r="BB40" i="14"/>
  <c r="BB39" i="14"/>
  <c r="BB31" i="14"/>
  <c r="BB23" i="14"/>
  <c r="BB15" i="14"/>
  <c r="BB7" i="14"/>
  <c r="BB125" i="14"/>
  <c r="AN117" i="14"/>
  <c r="AX117" i="14"/>
  <c r="AN97" i="14"/>
  <c r="AX97" i="14"/>
  <c r="AN89" i="14"/>
  <c r="AX89" i="14"/>
  <c r="AN85" i="14"/>
  <c r="AX85" i="14"/>
  <c r="BB81" i="14"/>
  <c r="BB73" i="14"/>
  <c r="BB57" i="14"/>
  <c r="AN53" i="14"/>
  <c r="AX53" i="14"/>
  <c r="BB120" i="14"/>
  <c r="AN116" i="14"/>
  <c r="AX116" i="14"/>
  <c r="AN104" i="14"/>
  <c r="AX104" i="14"/>
  <c r="AN88" i="14"/>
  <c r="AX88" i="14"/>
  <c r="AN84" i="14"/>
  <c r="AX84" i="14"/>
  <c r="AN80" i="14"/>
  <c r="AX80" i="14"/>
  <c r="AN62" i="14"/>
  <c r="AX62" i="14"/>
  <c r="BB58" i="14"/>
  <c r="AN46" i="14"/>
  <c r="AX46" i="14"/>
  <c r="BB121" i="14"/>
  <c r="AN113" i="14"/>
  <c r="AX113" i="14"/>
  <c r="AN105" i="14"/>
  <c r="AX105" i="14"/>
  <c r="BB119" i="14"/>
  <c r="BB111" i="14"/>
  <c r="AN107" i="14"/>
  <c r="AX107" i="14"/>
  <c r="AN103" i="14"/>
  <c r="AX103" i="14"/>
  <c r="AN91" i="14"/>
  <c r="AX91" i="14"/>
  <c r="BB83" i="14"/>
  <c r="BB71" i="14"/>
  <c r="AN67" i="14"/>
  <c r="AX67" i="14"/>
  <c r="BB55" i="14"/>
  <c r="AN51" i="14"/>
  <c r="AX51" i="14"/>
  <c r="BB106" i="14"/>
  <c r="BB86" i="14"/>
  <c r="AN64" i="14"/>
  <c r="AX64" i="14"/>
  <c r="AN48" i="14"/>
  <c r="AX48" i="14"/>
  <c r="AN99" i="14"/>
  <c r="AX99" i="14"/>
  <c r="AN101" i="14"/>
  <c r="AX101" i="14"/>
  <c r="AN90" i="14"/>
  <c r="AX90" i="14"/>
  <c r="AN68" i="14"/>
  <c r="AX68" i="14"/>
  <c r="AN12" i="14"/>
  <c r="AX12" i="14"/>
  <c r="AN16" i="14"/>
  <c r="AX16" i="14"/>
  <c r="AN24" i="14"/>
  <c r="AX24" i="14"/>
  <c r="AN32" i="14"/>
  <c r="AX32" i="14"/>
  <c r="AN98" i="14"/>
  <c r="AX98" i="14"/>
  <c r="AN102" i="14"/>
  <c r="AX102" i="14"/>
  <c r="AA143" i="14"/>
  <c r="E23" i="17"/>
  <c r="D25" i="17"/>
  <c r="E24" i="17"/>
  <c r="E25" i="17" s="1"/>
  <c r="F23" i="17"/>
  <c r="W183" i="14"/>
  <c r="C27" i="17"/>
  <c r="C28" i="17" s="1"/>
  <c r="W181" i="14"/>
  <c r="C24" i="17"/>
  <c r="C25" i="17" s="1"/>
  <c r="AA126" i="14"/>
  <c r="AA147" i="14"/>
  <c r="AA151" i="14" s="1"/>
  <c r="R126" i="14"/>
  <c r="T5" i="14"/>
  <c r="S5" i="14"/>
  <c r="AC5" i="14"/>
  <c r="T7" i="14"/>
  <c r="U7" i="14" s="1"/>
  <c r="S7" i="14"/>
  <c r="AC7" i="14"/>
  <c r="T9" i="14"/>
  <c r="U9" i="14" s="1"/>
  <c r="AC9" i="14"/>
  <c r="S9" i="14"/>
  <c r="T11" i="14"/>
  <c r="U11" i="14" s="1"/>
  <c r="AC11" i="14"/>
  <c r="S11" i="14"/>
  <c r="T13" i="14"/>
  <c r="U13" i="14" s="1"/>
  <c r="AC13" i="14"/>
  <c r="S13" i="14"/>
  <c r="T15" i="14"/>
  <c r="U15" i="14" s="1"/>
  <c r="AC15" i="14"/>
  <c r="S15" i="14"/>
  <c r="T17" i="14"/>
  <c r="U17" i="14" s="1"/>
  <c r="AC17" i="14"/>
  <c r="S17" i="14"/>
  <c r="T19" i="14"/>
  <c r="U19" i="14" s="1"/>
  <c r="AC19" i="14"/>
  <c r="S19" i="14"/>
  <c r="T21" i="14"/>
  <c r="U21" i="14" s="1"/>
  <c r="AC21" i="14"/>
  <c r="S21" i="14"/>
  <c r="T23" i="14"/>
  <c r="U23" i="14" s="1"/>
  <c r="AC23" i="14"/>
  <c r="S23" i="14"/>
  <c r="T25" i="14"/>
  <c r="U25" i="14" s="1"/>
  <c r="AC25" i="14"/>
  <c r="S25" i="14"/>
  <c r="T27" i="14"/>
  <c r="U27" i="14" s="1"/>
  <c r="AC27" i="14"/>
  <c r="S27" i="14"/>
  <c r="T29" i="14"/>
  <c r="U29" i="14" s="1"/>
  <c r="AC29" i="14"/>
  <c r="S29" i="14"/>
  <c r="T31" i="14"/>
  <c r="U31" i="14" s="1"/>
  <c r="AC31" i="14"/>
  <c r="S31" i="14"/>
  <c r="T33" i="14"/>
  <c r="U33" i="14" s="1"/>
  <c r="AC33" i="14"/>
  <c r="S33" i="14"/>
  <c r="T35" i="14"/>
  <c r="U35" i="14" s="1"/>
  <c r="AC35" i="14"/>
  <c r="S35" i="14"/>
  <c r="T37" i="14"/>
  <c r="U37" i="14" s="1"/>
  <c r="AC37" i="14"/>
  <c r="S37" i="14"/>
  <c r="T39" i="14"/>
  <c r="U39" i="14" s="1"/>
  <c r="AC39" i="14"/>
  <c r="S39" i="14"/>
  <c r="T41" i="14"/>
  <c r="U41" i="14" s="1"/>
  <c r="AC41" i="14"/>
  <c r="S41" i="14"/>
  <c r="T43" i="14"/>
  <c r="U43" i="14" s="1"/>
  <c r="AC43" i="14"/>
  <c r="S43" i="14"/>
  <c r="T45" i="14"/>
  <c r="U45" i="14" s="1"/>
  <c r="AC45" i="14"/>
  <c r="S45" i="14"/>
  <c r="AC47" i="14"/>
  <c r="S47" i="14"/>
  <c r="T47" i="14"/>
  <c r="U47" i="14" s="1"/>
  <c r="AC49" i="14"/>
  <c r="S49" i="14"/>
  <c r="T49" i="14"/>
  <c r="U49" i="14" s="1"/>
  <c r="AC51" i="14"/>
  <c r="S51" i="14"/>
  <c r="T51" i="14"/>
  <c r="U51" i="14" s="1"/>
  <c r="AC53" i="14"/>
  <c r="S53" i="14"/>
  <c r="T53" i="14"/>
  <c r="U53" i="14" s="1"/>
  <c r="AC55" i="14"/>
  <c r="S55" i="14"/>
  <c r="T55" i="14"/>
  <c r="U55" i="14" s="1"/>
  <c r="AC57" i="14"/>
  <c r="S57" i="14"/>
  <c r="T57" i="14"/>
  <c r="U57" i="14" s="1"/>
  <c r="AC59" i="14"/>
  <c r="S59" i="14"/>
  <c r="T59" i="14"/>
  <c r="U59" i="14" s="1"/>
  <c r="AC61" i="14"/>
  <c r="S61" i="14"/>
  <c r="T61" i="14"/>
  <c r="U61" i="14" s="1"/>
  <c r="AC63" i="14"/>
  <c r="S63" i="14"/>
  <c r="T63" i="14"/>
  <c r="U63" i="14" s="1"/>
  <c r="AC65" i="14"/>
  <c r="S65" i="14"/>
  <c r="T65" i="14"/>
  <c r="U65" i="14" s="1"/>
  <c r="AC67" i="14"/>
  <c r="S67" i="14"/>
  <c r="T67" i="14"/>
  <c r="U67" i="14" s="1"/>
  <c r="AC69" i="14"/>
  <c r="S69" i="14"/>
  <c r="T69" i="14"/>
  <c r="U69" i="14" s="1"/>
  <c r="T71" i="14"/>
  <c r="U71" i="14" s="1"/>
  <c r="S71" i="14"/>
  <c r="AC71" i="14"/>
  <c r="T73" i="14"/>
  <c r="U73" i="14" s="1"/>
  <c r="S73" i="14"/>
  <c r="AC73" i="14"/>
  <c r="T75" i="14"/>
  <c r="U75" i="14" s="1"/>
  <c r="S75" i="14"/>
  <c r="AC75" i="14"/>
  <c r="T77" i="14"/>
  <c r="U77" i="14" s="1"/>
  <c r="S77" i="14"/>
  <c r="AC77" i="14"/>
  <c r="T79" i="14"/>
  <c r="U79" i="14" s="1"/>
  <c r="AC79" i="14"/>
  <c r="S79" i="14"/>
  <c r="T81" i="14"/>
  <c r="U81" i="14" s="1"/>
  <c r="AC81" i="14"/>
  <c r="S81" i="14"/>
  <c r="T83" i="14"/>
  <c r="U83" i="14" s="1"/>
  <c r="AC83" i="14"/>
  <c r="S83" i="14"/>
  <c r="T85" i="14"/>
  <c r="U85" i="14" s="1"/>
  <c r="AC85" i="14"/>
  <c r="S85" i="14"/>
  <c r="T87" i="14"/>
  <c r="U87" i="14" s="1"/>
  <c r="AC87" i="14"/>
  <c r="S87" i="14"/>
  <c r="T89" i="14"/>
  <c r="U89" i="14" s="1"/>
  <c r="AC89" i="14"/>
  <c r="S89" i="14"/>
  <c r="T91" i="14"/>
  <c r="U91" i="14" s="1"/>
  <c r="AC91" i="14"/>
  <c r="S91" i="14"/>
  <c r="T93" i="14"/>
  <c r="U93" i="14" s="1"/>
  <c r="AC93" i="14"/>
  <c r="S93" i="14"/>
  <c r="T95" i="14"/>
  <c r="U95" i="14" s="1"/>
  <c r="AC95" i="14"/>
  <c r="S95" i="14"/>
  <c r="T97" i="14"/>
  <c r="U97" i="14" s="1"/>
  <c r="AC97" i="14"/>
  <c r="S97" i="14"/>
  <c r="T99" i="14"/>
  <c r="U99" i="14" s="1"/>
  <c r="AC99" i="14"/>
  <c r="T101" i="14"/>
  <c r="U101" i="14" s="1"/>
  <c r="AC101" i="14"/>
  <c r="T103" i="14"/>
  <c r="U103" i="14" s="1"/>
  <c r="AC103" i="14"/>
  <c r="S103" i="14"/>
  <c r="T105" i="14"/>
  <c r="T107" i="14"/>
  <c r="T109" i="14"/>
  <c r="U109" i="14" s="1"/>
  <c r="AC109" i="14"/>
  <c r="S109" i="14"/>
  <c r="T111" i="14"/>
  <c r="U111" i="14" s="1"/>
  <c r="AC111" i="14"/>
  <c r="S111" i="14"/>
  <c r="T113" i="14"/>
  <c r="U113" i="14" s="1"/>
  <c r="AC113" i="14"/>
  <c r="S113" i="14"/>
  <c r="T115" i="14"/>
  <c r="U115" i="14" s="1"/>
  <c r="AC115" i="14"/>
  <c r="S115" i="14"/>
  <c r="T117" i="14"/>
  <c r="U117" i="14" s="1"/>
  <c r="AC117" i="14"/>
  <c r="S117" i="14"/>
  <c r="T119" i="14"/>
  <c r="U119" i="14" s="1"/>
  <c r="AC119" i="14"/>
  <c r="S119" i="14"/>
  <c r="T121" i="14"/>
  <c r="U121" i="14" s="1"/>
  <c r="AC121" i="14"/>
  <c r="S121" i="14"/>
  <c r="T123" i="14"/>
  <c r="U123" i="14" s="1"/>
  <c r="AC123" i="14"/>
  <c r="S123" i="14"/>
  <c r="T125" i="14"/>
  <c r="U125" i="14" s="1"/>
  <c r="AC125" i="14"/>
  <c r="S125" i="14"/>
  <c r="X178" i="14"/>
  <c r="C73" i="10" s="1"/>
  <c r="AD164" i="14"/>
  <c r="T6" i="14"/>
  <c r="U6" i="14" s="1"/>
  <c r="S6" i="14"/>
  <c r="AC6" i="14"/>
  <c r="T8" i="14"/>
  <c r="U8" i="14" s="1"/>
  <c r="AC8" i="14"/>
  <c r="S8" i="14"/>
  <c r="T10" i="14"/>
  <c r="U10" i="14" s="1"/>
  <c r="AC10" i="14"/>
  <c r="S10" i="14"/>
  <c r="T12" i="14"/>
  <c r="U12" i="14" s="1"/>
  <c r="AC12" i="14"/>
  <c r="S12" i="14"/>
  <c r="T14" i="14"/>
  <c r="U14" i="14" s="1"/>
  <c r="AC14" i="14"/>
  <c r="S14" i="14"/>
  <c r="T16" i="14"/>
  <c r="U16" i="14" s="1"/>
  <c r="AC16" i="14"/>
  <c r="S16" i="14"/>
  <c r="T18" i="14"/>
  <c r="U18" i="14" s="1"/>
  <c r="AC18" i="14"/>
  <c r="S18" i="14"/>
  <c r="T20" i="14"/>
  <c r="U20" i="14" s="1"/>
  <c r="AC20" i="14"/>
  <c r="S20" i="14"/>
  <c r="T22" i="14"/>
  <c r="U22" i="14" s="1"/>
  <c r="AC22" i="14"/>
  <c r="S22" i="14"/>
  <c r="T24" i="14"/>
  <c r="U24" i="14" s="1"/>
  <c r="AC24" i="14"/>
  <c r="S24" i="14"/>
  <c r="T26" i="14"/>
  <c r="U26" i="14" s="1"/>
  <c r="AC26" i="14"/>
  <c r="S26" i="14"/>
  <c r="T28" i="14"/>
  <c r="U28" i="14" s="1"/>
  <c r="AC28" i="14"/>
  <c r="S28" i="14"/>
  <c r="T30" i="14"/>
  <c r="U30" i="14" s="1"/>
  <c r="AC30" i="14"/>
  <c r="S30" i="14"/>
  <c r="T32" i="14"/>
  <c r="U32" i="14" s="1"/>
  <c r="AC32" i="14"/>
  <c r="S32" i="14"/>
  <c r="T34" i="14"/>
  <c r="U34" i="14" s="1"/>
  <c r="AC34" i="14"/>
  <c r="S34" i="14"/>
  <c r="T36" i="14"/>
  <c r="U36" i="14" s="1"/>
  <c r="AC36" i="14"/>
  <c r="S36" i="14"/>
  <c r="T38" i="14"/>
  <c r="U38" i="14" s="1"/>
  <c r="AC38" i="14"/>
  <c r="S38" i="14"/>
  <c r="T40" i="14"/>
  <c r="U40" i="14" s="1"/>
  <c r="AC40" i="14"/>
  <c r="S40" i="14"/>
  <c r="T42" i="14"/>
  <c r="U42" i="14" s="1"/>
  <c r="AC42" i="14"/>
  <c r="S42" i="14"/>
  <c r="T44" i="14"/>
  <c r="U44" i="14" s="1"/>
  <c r="AC44" i="14"/>
  <c r="S44" i="14"/>
  <c r="AC46" i="14"/>
  <c r="S46" i="14"/>
  <c r="T46" i="14"/>
  <c r="U46" i="14" s="1"/>
  <c r="AC48" i="14"/>
  <c r="S48" i="14"/>
  <c r="T48" i="14"/>
  <c r="U48" i="14" s="1"/>
  <c r="AC50" i="14"/>
  <c r="S50" i="14"/>
  <c r="T50" i="14"/>
  <c r="U50" i="14" s="1"/>
  <c r="AC52" i="14"/>
  <c r="S52" i="14"/>
  <c r="T52" i="14"/>
  <c r="U52" i="14" s="1"/>
  <c r="AC54" i="14"/>
  <c r="S54" i="14"/>
  <c r="T54" i="14"/>
  <c r="U54" i="14" s="1"/>
  <c r="AC56" i="14"/>
  <c r="S56" i="14"/>
  <c r="T56" i="14"/>
  <c r="U56" i="14" s="1"/>
  <c r="AC58" i="14"/>
  <c r="S58" i="14"/>
  <c r="T58" i="14"/>
  <c r="U58" i="14" s="1"/>
  <c r="AC60" i="14"/>
  <c r="S60" i="14"/>
  <c r="T60" i="14"/>
  <c r="U60" i="14" s="1"/>
  <c r="AC62" i="14"/>
  <c r="S62" i="14"/>
  <c r="T62" i="14"/>
  <c r="U62" i="14" s="1"/>
  <c r="AC64" i="14"/>
  <c r="S64" i="14"/>
  <c r="T64" i="14"/>
  <c r="U64" i="14" s="1"/>
  <c r="AC66" i="14"/>
  <c r="S66" i="14"/>
  <c r="T66" i="14"/>
  <c r="U66" i="14" s="1"/>
  <c r="AC68" i="14"/>
  <c r="S68" i="14"/>
  <c r="T68" i="14"/>
  <c r="U68" i="14" s="1"/>
  <c r="T70" i="14"/>
  <c r="U70" i="14" s="1"/>
  <c r="S70" i="14"/>
  <c r="AC70" i="14"/>
  <c r="T72" i="14"/>
  <c r="U72" i="14" s="1"/>
  <c r="S72" i="14"/>
  <c r="AC72" i="14"/>
  <c r="T74" i="14"/>
  <c r="U74" i="14" s="1"/>
  <c r="S74" i="14"/>
  <c r="AC74" i="14"/>
  <c r="T76" i="14"/>
  <c r="U76" i="14" s="1"/>
  <c r="S76" i="14"/>
  <c r="AC76" i="14"/>
  <c r="T78" i="14"/>
  <c r="U78" i="14" s="1"/>
  <c r="S78" i="14"/>
  <c r="AC78" i="14"/>
  <c r="T80" i="14"/>
  <c r="U80" i="14" s="1"/>
  <c r="AC80" i="14"/>
  <c r="S80" i="14"/>
  <c r="T82" i="14"/>
  <c r="U82" i="14" s="1"/>
  <c r="AC82" i="14"/>
  <c r="S82" i="14"/>
  <c r="T84" i="14"/>
  <c r="U84" i="14" s="1"/>
  <c r="AC84" i="14"/>
  <c r="S84" i="14"/>
  <c r="T86" i="14"/>
  <c r="U86" i="14" s="1"/>
  <c r="AC86" i="14"/>
  <c r="S86" i="14"/>
  <c r="T88" i="14"/>
  <c r="U88" i="14" s="1"/>
  <c r="AC88" i="14"/>
  <c r="S88" i="14"/>
  <c r="T90" i="14"/>
  <c r="U90" i="14" s="1"/>
  <c r="AC90" i="14"/>
  <c r="S90" i="14"/>
  <c r="T92" i="14"/>
  <c r="U92" i="14" s="1"/>
  <c r="AC92" i="14"/>
  <c r="S92" i="14"/>
  <c r="T94" i="14"/>
  <c r="U94" i="14" s="1"/>
  <c r="AC94" i="14"/>
  <c r="S94" i="14"/>
  <c r="T96" i="14"/>
  <c r="U96" i="14" s="1"/>
  <c r="AC96" i="14"/>
  <c r="S96" i="14"/>
  <c r="T98" i="14"/>
  <c r="U98" i="14" s="1"/>
  <c r="AC98" i="14"/>
  <c r="T100" i="14"/>
  <c r="U100" i="14" s="1"/>
  <c r="AC100" i="14"/>
  <c r="T102" i="14"/>
  <c r="U102" i="14" s="1"/>
  <c r="AC102" i="14"/>
  <c r="T104" i="14"/>
  <c r="T106" i="14"/>
  <c r="T108" i="14"/>
  <c r="AC110" i="14"/>
  <c r="T110" i="14"/>
  <c r="U110" i="14" s="1"/>
  <c r="S110" i="14"/>
  <c r="T112" i="14"/>
  <c r="U112" i="14" s="1"/>
  <c r="AC112" i="14"/>
  <c r="S112" i="14"/>
  <c r="T114" i="14"/>
  <c r="U114" i="14" s="1"/>
  <c r="AC114" i="14"/>
  <c r="S114" i="14"/>
  <c r="T116" i="14"/>
  <c r="U116" i="14" s="1"/>
  <c r="AC116" i="14"/>
  <c r="S116" i="14"/>
  <c r="T118" i="14"/>
  <c r="U118" i="14" s="1"/>
  <c r="AC118" i="14"/>
  <c r="S118" i="14"/>
  <c r="T120" i="14"/>
  <c r="U120" i="14" s="1"/>
  <c r="AC120" i="14"/>
  <c r="S120" i="14"/>
  <c r="T122" i="14"/>
  <c r="U122" i="14" s="1"/>
  <c r="AC122" i="14"/>
  <c r="S122" i="14"/>
  <c r="T124" i="14"/>
  <c r="U124" i="14" s="1"/>
  <c r="AC124" i="14"/>
  <c r="S124" i="14"/>
  <c r="X175" i="14"/>
  <c r="Y151" i="14"/>
  <c r="V141" i="12"/>
  <c r="CD95" i="14" l="1"/>
  <c r="AY102" i="14"/>
  <c r="AW102" i="14"/>
  <c r="BD102" i="14"/>
  <c r="AZ102" i="14"/>
  <c r="AY98" i="14"/>
  <c r="AW98" i="14"/>
  <c r="AZ98" i="14"/>
  <c r="BD98" i="14"/>
  <c r="AW32" i="14"/>
  <c r="AY32" i="14"/>
  <c r="AZ32" i="14"/>
  <c r="BD32" i="14"/>
  <c r="AY24" i="14"/>
  <c r="AW24" i="14"/>
  <c r="AZ24" i="14"/>
  <c r="BD24" i="14"/>
  <c r="AW16" i="14"/>
  <c r="AY16" i="14"/>
  <c r="BD16" i="14"/>
  <c r="AZ16" i="14"/>
  <c r="AW12" i="14"/>
  <c r="AY12" i="14"/>
  <c r="AZ12" i="14"/>
  <c r="BD12" i="14"/>
  <c r="AY68" i="14"/>
  <c r="AW68" i="14"/>
  <c r="BD68" i="14"/>
  <c r="AZ68" i="14"/>
  <c r="AY90" i="14"/>
  <c r="AW90" i="14"/>
  <c r="BD90" i="14"/>
  <c r="AZ90" i="14"/>
  <c r="AY101" i="14"/>
  <c r="AW101" i="14"/>
  <c r="AZ101" i="14"/>
  <c r="BD101" i="14"/>
  <c r="AY99" i="14"/>
  <c r="AW99" i="14"/>
  <c r="AZ99" i="14"/>
  <c r="BD99" i="14"/>
  <c r="AW48" i="14"/>
  <c r="AY48" i="14"/>
  <c r="AZ48" i="14"/>
  <c r="BD48" i="14"/>
  <c r="BB48" i="14"/>
  <c r="AY51" i="14"/>
  <c r="AW51" i="14"/>
  <c r="BD51" i="14"/>
  <c r="AZ51" i="14"/>
  <c r="BB51" i="14"/>
  <c r="AY46" i="14"/>
  <c r="AW46" i="14"/>
  <c r="AZ46" i="14"/>
  <c r="BD46" i="14"/>
  <c r="BB46" i="14"/>
  <c r="AY116" i="14"/>
  <c r="AW116" i="14"/>
  <c r="AZ116" i="14"/>
  <c r="BD116" i="14"/>
  <c r="BB116" i="14"/>
  <c r="AY85" i="14"/>
  <c r="AW85" i="14"/>
  <c r="AZ85" i="14"/>
  <c r="BD85" i="14"/>
  <c r="BB85" i="14"/>
  <c r="AW89" i="14"/>
  <c r="AY89" i="14"/>
  <c r="AZ89" i="14"/>
  <c r="BD89" i="14"/>
  <c r="BB89" i="14"/>
  <c r="AY97" i="14"/>
  <c r="AW97" i="14"/>
  <c r="BD97" i="14"/>
  <c r="AZ97" i="14"/>
  <c r="BB97" i="14"/>
  <c r="AY117" i="14"/>
  <c r="AW117" i="14"/>
  <c r="AZ117" i="14"/>
  <c r="BD117" i="14"/>
  <c r="BB117" i="14"/>
  <c r="BB101" i="14"/>
  <c r="BY93" i="14"/>
  <c r="BW93" i="14"/>
  <c r="CI125" i="14"/>
  <c r="CI123" i="14"/>
  <c r="CI116" i="14"/>
  <c r="CI114" i="14"/>
  <c r="CI112" i="14"/>
  <c r="CI110" i="14"/>
  <c r="CI108" i="14"/>
  <c r="CI106" i="14"/>
  <c r="CI104" i="14"/>
  <c r="CI102" i="14"/>
  <c r="CI100" i="14"/>
  <c r="CI98" i="14"/>
  <c r="CI122" i="14"/>
  <c r="CI120" i="14"/>
  <c r="CI118" i="14"/>
  <c r="CI95" i="14"/>
  <c r="CI93" i="14"/>
  <c r="CI91" i="14"/>
  <c r="CI89" i="14"/>
  <c r="CI87" i="14"/>
  <c r="CI85" i="14"/>
  <c r="CI83" i="14"/>
  <c r="CI81" i="14"/>
  <c r="CI79" i="14"/>
  <c r="CI77" i="14"/>
  <c r="CI75" i="14"/>
  <c r="CI73" i="14"/>
  <c r="CI71" i="14"/>
  <c r="CI69" i="14"/>
  <c r="CI67" i="14"/>
  <c r="CI65" i="14"/>
  <c r="CI63" i="14"/>
  <c r="CI61" i="14"/>
  <c r="CI59" i="14"/>
  <c r="CI57" i="14"/>
  <c r="CI55" i="14"/>
  <c r="CI53" i="14"/>
  <c r="CI51" i="14"/>
  <c r="CI49" i="14"/>
  <c r="CI47" i="14"/>
  <c r="CI45" i="14"/>
  <c r="CI43" i="14"/>
  <c r="CI41" i="14"/>
  <c r="CI39" i="14"/>
  <c r="CI37" i="14"/>
  <c r="CI35" i="14"/>
  <c r="CI33" i="14"/>
  <c r="CI31" i="14"/>
  <c r="CI29" i="14"/>
  <c r="CI27" i="14"/>
  <c r="CI25" i="14"/>
  <c r="CI23" i="14"/>
  <c r="CI21" i="14"/>
  <c r="CI19" i="14"/>
  <c r="CI17" i="14"/>
  <c r="CI15" i="14"/>
  <c r="CI13" i="14"/>
  <c r="CI11" i="14"/>
  <c r="CI9" i="14"/>
  <c r="CI7" i="14"/>
  <c r="CI5" i="14"/>
  <c r="CO4" i="14"/>
  <c r="CI4" i="14"/>
  <c r="CJ4" i="14" s="1"/>
  <c r="CN4" i="14"/>
  <c r="CI124" i="14"/>
  <c r="CI117" i="14"/>
  <c r="CI115" i="14"/>
  <c r="CI113" i="14"/>
  <c r="CI111" i="14"/>
  <c r="CI109" i="14"/>
  <c r="CI107" i="14"/>
  <c r="CI105" i="14"/>
  <c r="CI103" i="14"/>
  <c r="CI101" i="14"/>
  <c r="CI99" i="14"/>
  <c r="CI97" i="14"/>
  <c r="CI121" i="14"/>
  <c r="CI119" i="14"/>
  <c r="CI96" i="14"/>
  <c r="CI94" i="14"/>
  <c r="CI92" i="14"/>
  <c r="CI90" i="14"/>
  <c r="CI88" i="14"/>
  <c r="CI86" i="14"/>
  <c r="CI84" i="14"/>
  <c r="CI82" i="14"/>
  <c r="CI80" i="14"/>
  <c r="CI78" i="14"/>
  <c r="CI76" i="14"/>
  <c r="CI74" i="14"/>
  <c r="CI72" i="14"/>
  <c r="CI70" i="14"/>
  <c r="CI68" i="14"/>
  <c r="CI66" i="14"/>
  <c r="CI64" i="14"/>
  <c r="CI62" i="14"/>
  <c r="CI60" i="14"/>
  <c r="CI58" i="14"/>
  <c r="CI56" i="14"/>
  <c r="CI54" i="14"/>
  <c r="CI52" i="14"/>
  <c r="CI50" i="14"/>
  <c r="CI48" i="14"/>
  <c r="CI46" i="14"/>
  <c r="CI44" i="14"/>
  <c r="CI42" i="14"/>
  <c r="CI40" i="14"/>
  <c r="CI38" i="14"/>
  <c r="CI36" i="14"/>
  <c r="CI34" i="14"/>
  <c r="CI32" i="14"/>
  <c r="CI30" i="14"/>
  <c r="CI28" i="14"/>
  <c r="CI26" i="14"/>
  <c r="CI24" i="14"/>
  <c r="CI22" i="14"/>
  <c r="CI20" i="14"/>
  <c r="CI18" i="14"/>
  <c r="CI16" i="14"/>
  <c r="CI14" i="14"/>
  <c r="CI12" i="14"/>
  <c r="CI10" i="14"/>
  <c r="CI8" i="14"/>
  <c r="CI6" i="14"/>
  <c r="CQ4" i="14"/>
  <c r="CK4" i="14"/>
  <c r="CP4" i="14"/>
  <c r="CZ4" i="14"/>
  <c r="CK95" i="14"/>
  <c r="CQ95" i="14" s="1"/>
  <c r="BZ178" i="14"/>
  <c r="BZ176" i="14"/>
  <c r="BZ174" i="14"/>
  <c r="BY4" i="14"/>
  <c r="BS4" i="14"/>
  <c r="BT4" i="14"/>
  <c r="BZ180" i="14"/>
  <c r="BZ177" i="14"/>
  <c r="BZ175" i="14"/>
  <c r="BX128" i="14"/>
  <c r="BU4" i="14"/>
  <c r="BR1" i="14" s="1"/>
  <c r="BR4" i="14"/>
  <c r="BI138" i="14"/>
  <c r="BK181" i="14" s="1"/>
  <c r="BJ181" i="14" s="1"/>
  <c r="AS7" i="14"/>
  <c r="BC7" i="14"/>
  <c r="AT7" i="14"/>
  <c r="AU7" i="14" s="1"/>
  <c r="AS11" i="14"/>
  <c r="BC11" i="14"/>
  <c r="AT11" i="14"/>
  <c r="AU11" i="14" s="1"/>
  <c r="AS16" i="14"/>
  <c r="BC16" i="14"/>
  <c r="AT16" i="14"/>
  <c r="AU16" i="14" s="1"/>
  <c r="AS20" i="14"/>
  <c r="BC20" i="14"/>
  <c r="AT20" i="14"/>
  <c r="AU20" i="14" s="1"/>
  <c r="AS24" i="14"/>
  <c r="BC24" i="14"/>
  <c r="AT24" i="14"/>
  <c r="AU24" i="14" s="1"/>
  <c r="AS28" i="14"/>
  <c r="BC28" i="14"/>
  <c r="AT28" i="14"/>
  <c r="AU28" i="14" s="1"/>
  <c r="AS32" i="14"/>
  <c r="BC32" i="14"/>
  <c r="AT32" i="14"/>
  <c r="AU32" i="14" s="1"/>
  <c r="AS36" i="14"/>
  <c r="BC36" i="14"/>
  <c r="AT36" i="14"/>
  <c r="AU36" i="14" s="1"/>
  <c r="AS40" i="14"/>
  <c r="BC40" i="14"/>
  <c r="AT40" i="14"/>
  <c r="AU40" i="14" s="1"/>
  <c r="AS44" i="14"/>
  <c r="BC44" i="14"/>
  <c r="AT44" i="14"/>
  <c r="AU44" i="14" s="1"/>
  <c r="AS48" i="14"/>
  <c r="BC48" i="14"/>
  <c r="AT48" i="14"/>
  <c r="AU48" i="14" s="1"/>
  <c r="AS52" i="14"/>
  <c r="BC52" i="14"/>
  <c r="AT52" i="14"/>
  <c r="AU52" i="14" s="1"/>
  <c r="AS56" i="14"/>
  <c r="BC56" i="14"/>
  <c r="AT56" i="14"/>
  <c r="AU56" i="14" s="1"/>
  <c r="AS60" i="14"/>
  <c r="BC60" i="14"/>
  <c r="AT60" i="14"/>
  <c r="AU60" i="14" s="1"/>
  <c r="BC64" i="14"/>
  <c r="AT64" i="14"/>
  <c r="AU64" i="14" s="1"/>
  <c r="AS64" i="14"/>
  <c r="BC68" i="14"/>
  <c r="AT68" i="14"/>
  <c r="AU68" i="14" s="1"/>
  <c r="AS68" i="14"/>
  <c r="BC72" i="14"/>
  <c r="AT72" i="14"/>
  <c r="AU72" i="14" s="1"/>
  <c r="AS72" i="14"/>
  <c r="BC76" i="14"/>
  <c r="AT76" i="14"/>
  <c r="AU76" i="14" s="1"/>
  <c r="AS76" i="14"/>
  <c r="BC80" i="14"/>
  <c r="AT80" i="14"/>
  <c r="AU80" i="14" s="1"/>
  <c r="AS80" i="14"/>
  <c r="BC84" i="14"/>
  <c r="AT84" i="14"/>
  <c r="AU84" i="14" s="1"/>
  <c r="AS84" i="14"/>
  <c r="AS88" i="14"/>
  <c r="BC88" i="14"/>
  <c r="AT88" i="14"/>
  <c r="AU88" i="14" s="1"/>
  <c r="AS92" i="14"/>
  <c r="BC92" i="14"/>
  <c r="AT92" i="14"/>
  <c r="AU92" i="14" s="1"/>
  <c r="AS96" i="14"/>
  <c r="BC96" i="14"/>
  <c r="AT96" i="14"/>
  <c r="AU96" i="14" s="1"/>
  <c r="AS100" i="14"/>
  <c r="BC100" i="14"/>
  <c r="AT100" i="14"/>
  <c r="AU100" i="14" s="1"/>
  <c r="AS104" i="14"/>
  <c r="BC104" i="14"/>
  <c r="AT104" i="14"/>
  <c r="AU104" i="14" s="1"/>
  <c r="AS108" i="14"/>
  <c r="BC108" i="14"/>
  <c r="AT108" i="14"/>
  <c r="AU108" i="14" s="1"/>
  <c r="AS112" i="14"/>
  <c r="BC112" i="14"/>
  <c r="AT112" i="14"/>
  <c r="AU112" i="14" s="1"/>
  <c r="AS116" i="14"/>
  <c r="BC116" i="14"/>
  <c r="AT116" i="14"/>
  <c r="AU116" i="14" s="1"/>
  <c r="AS120" i="14"/>
  <c r="AT120" i="14"/>
  <c r="AU120" i="14" s="1"/>
  <c r="BC120" i="14"/>
  <c r="BC124" i="14"/>
  <c r="AT124" i="14"/>
  <c r="AU124" i="14" s="1"/>
  <c r="AS124" i="14"/>
  <c r="BC6" i="14"/>
  <c r="AT6" i="14"/>
  <c r="AU6" i="14" s="1"/>
  <c r="AS6" i="14"/>
  <c r="BC10" i="14"/>
  <c r="AT10" i="14"/>
  <c r="AU10" i="14" s="1"/>
  <c r="AS10" i="14"/>
  <c r="BC15" i="14"/>
  <c r="AT15" i="14"/>
  <c r="AU15" i="14" s="1"/>
  <c r="AS15" i="14"/>
  <c r="BC19" i="14"/>
  <c r="AT19" i="14"/>
  <c r="AU19" i="14" s="1"/>
  <c r="AS19" i="14"/>
  <c r="BC23" i="14"/>
  <c r="AT23" i="14"/>
  <c r="AU23" i="14" s="1"/>
  <c r="AS23" i="14"/>
  <c r="BC27" i="14"/>
  <c r="AT27" i="14"/>
  <c r="AU27" i="14" s="1"/>
  <c r="AS27" i="14"/>
  <c r="BC31" i="14"/>
  <c r="AT31" i="14"/>
  <c r="AU31" i="14" s="1"/>
  <c r="AS31" i="14"/>
  <c r="BC35" i="14"/>
  <c r="AT35" i="14"/>
  <c r="AU35" i="14" s="1"/>
  <c r="AS35" i="14"/>
  <c r="BC39" i="14"/>
  <c r="AT39" i="14"/>
  <c r="AU39" i="14" s="1"/>
  <c r="AS39" i="14"/>
  <c r="BC43" i="14"/>
  <c r="AT43" i="14"/>
  <c r="AU43" i="14" s="1"/>
  <c r="AS43" i="14"/>
  <c r="BC47" i="14"/>
  <c r="AT47" i="14"/>
  <c r="AU47" i="14" s="1"/>
  <c r="AS47" i="14"/>
  <c r="BC51" i="14"/>
  <c r="AT51" i="14"/>
  <c r="AU51" i="14" s="1"/>
  <c r="AS51" i="14"/>
  <c r="BC55" i="14"/>
  <c r="AT55" i="14"/>
  <c r="AU55" i="14" s="1"/>
  <c r="AS55" i="14"/>
  <c r="BC59" i="14"/>
  <c r="AT59" i="14"/>
  <c r="AU59" i="14" s="1"/>
  <c r="AS59" i="14"/>
  <c r="AT63" i="14"/>
  <c r="AU63" i="14" s="1"/>
  <c r="AS63" i="14"/>
  <c r="BC63" i="14"/>
  <c r="AT67" i="14"/>
  <c r="AU67" i="14" s="1"/>
  <c r="AS67" i="14"/>
  <c r="BC67" i="14"/>
  <c r="AT71" i="14"/>
  <c r="AU71" i="14" s="1"/>
  <c r="AS71" i="14"/>
  <c r="BC71" i="14"/>
  <c r="AT75" i="14"/>
  <c r="AU75" i="14" s="1"/>
  <c r="AS75" i="14"/>
  <c r="BC75" i="14"/>
  <c r="AT79" i="14"/>
  <c r="AU79" i="14" s="1"/>
  <c r="AS79" i="14"/>
  <c r="BC79" i="14"/>
  <c r="AT83" i="14"/>
  <c r="AU83" i="14" s="1"/>
  <c r="AS83" i="14"/>
  <c r="BC83" i="14"/>
  <c r="AT87" i="14"/>
  <c r="AU87" i="14" s="1"/>
  <c r="AS87" i="14"/>
  <c r="BC87" i="14"/>
  <c r="BC91" i="14"/>
  <c r="AT91" i="14"/>
  <c r="AU91" i="14" s="1"/>
  <c r="AS91" i="14"/>
  <c r="BC95" i="14"/>
  <c r="AT95" i="14"/>
  <c r="AU95" i="14" s="1"/>
  <c r="AS95" i="14"/>
  <c r="BC99" i="14"/>
  <c r="AT99" i="14"/>
  <c r="AU99" i="14" s="1"/>
  <c r="AS99" i="14"/>
  <c r="BC103" i="14"/>
  <c r="AT103" i="14"/>
  <c r="AU103" i="14" s="1"/>
  <c r="AS103" i="14"/>
  <c r="BC107" i="14"/>
  <c r="AT107" i="14"/>
  <c r="AU107" i="14" s="1"/>
  <c r="AS107" i="14"/>
  <c r="BC111" i="14"/>
  <c r="AT111" i="14"/>
  <c r="AU111" i="14" s="1"/>
  <c r="AS111" i="14"/>
  <c r="BC115" i="14"/>
  <c r="AT115" i="14"/>
  <c r="AU115" i="14" s="1"/>
  <c r="AS115" i="14"/>
  <c r="AT119" i="14"/>
  <c r="AU119" i="14" s="1"/>
  <c r="BC119" i="14"/>
  <c r="AS119" i="14"/>
  <c r="AT123" i="14"/>
  <c r="AU123" i="14" s="1"/>
  <c r="BC123" i="14"/>
  <c r="AS123" i="14"/>
  <c r="BB12" i="14"/>
  <c r="BB5" i="14"/>
  <c r="AY5" i="14"/>
  <c r="AW5" i="14"/>
  <c r="AZ5" i="14"/>
  <c r="BD5" i="14"/>
  <c r="AF126" i="14"/>
  <c r="AP126" i="14"/>
  <c r="AY60" i="14"/>
  <c r="AW60" i="14"/>
  <c r="AZ60" i="14"/>
  <c r="BD60" i="14"/>
  <c r="AY38" i="14"/>
  <c r="AW38" i="14"/>
  <c r="AZ38" i="14"/>
  <c r="BD38" i="14"/>
  <c r="AY34" i="14"/>
  <c r="AW34" i="14"/>
  <c r="AZ34" i="14"/>
  <c r="BD34" i="14"/>
  <c r="AY30" i="14"/>
  <c r="AW30" i="14"/>
  <c r="AZ30" i="14"/>
  <c r="BD30" i="14"/>
  <c r="AY26" i="14"/>
  <c r="AW26" i="14"/>
  <c r="BD26" i="14"/>
  <c r="AZ26" i="14"/>
  <c r="AY22" i="14"/>
  <c r="AW22" i="14"/>
  <c r="AZ22" i="14"/>
  <c r="BD22" i="14"/>
  <c r="AY18" i="14"/>
  <c r="AW18" i="14"/>
  <c r="AZ18" i="14"/>
  <c r="BD18" i="14"/>
  <c r="AY14" i="14"/>
  <c r="AW14" i="14"/>
  <c r="BD14" i="14"/>
  <c r="AZ14" i="14"/>
  <c r="AY10" i="14"/>
  <c r="AW10" i="14"/>
  <c r="AZ10" i="14"/>
  <c r="BD10" i="14"/>
  <c r="AY6" i="14"/>
  <c r="AW6" i="14"/>
  <c r="BD6" i="14"/>
  <c r="AZ6" i="14"/>
  <c r="AY56" i="14"/>
  <c r="AW56" i="14"/>
  <c r="BD56" i="14"/>
  <c r="AZ56" i="14"/>
  <c r="BB56" i="14"/>
  <c r="BB60" i="14"/>
  <c r="BB90" i="14"/>
  <c r="AY59" i="14"/>
  <c r="AW59" i="14"/>
  <c r="AZ59" i="14"/>
  <c r="BD59" i="14"/>
  <c r="BB59" i="14"/>
  <c r="AY54" i="14"/>
  <c r="AW54" i="14"/>
  <c r="BD54" i="14"/>
  <c r="AZ54" i="14"/>
  <c r="BB54" i="14"/>
  <c r="AY124" i="14"/>
  <c r="AW124" i="14"/>
  <c r="AZ124" i="14"/>
  <c r="BD124" i="14"/>
  <c r="BB124" i="14"/>
  <c r="AW69" i="14"/>
  <c r="AY69" i="14"/>
  <c r="AZ69" i="14"/>
  <c r="BD69" i="14"/>
  <c r="BB69" i="14"/>
  <c r="BB98" i="14"/>
  <c r="BE125" i="14"/>
  <c r="BE123" i="14"/>
  <c r="BE121" i="14"/>
  <c r="BE119" i="14"/>
  <c r="BE117" i="14"/>
  <c r="BE115" i="14"/>
  <c r="BE113" i="14"/>
  <c r="BE111" i="14"/>
  <c r="BE109" i="14"/>
  <c r="BE107" i="14"/>
  <c r="BE105" i="14"/>
  <c r="BE103" i="14"/>
  <c r="BE101" i="14"/>
  <c r="BE99" i="14"/>
  <c r="BE97" i="14"/>
  <c r="BE95" i="14"/>
  <c r="BE93" i="14"/>
  <c r="BE91" i="14"/>
  <c r="BE89" i="14"/>
  <c r="BE87" i="14"/>
  <c r="BE85" i="14"/>
  <c r="BE83" i="14"/>
  <c r="BE81" i="14"/>
  <c r="BE79" i="14"/>
  <c r="BE77" i="14"/>
  <c r="BE75" i="14"/>
  <c r="BE73" i="14"/>
  <c r="BE71" i="14"/>
  <c r="BE69" i="14"/>
  <c r="BE61" i="14"/>
  <c r="BE59" i="14"/>
  <c r="BE57" i="14"/>
  <c r="BE55" i="14"/>
  <c r="BE53" i="14"/>
  <c r="BE51" i="14"/>
  <c r="BE49" i="14"/>
  <c r="BE47" i="14"/>
  <c r="BE45" i="14"/>
  <c r="BE43" i="14"/>
  <c r="BE41" i="14"/>
  <c r="BE39" i="14"/>
  <c r="BE37" i="14"/>
  <c r="BE35" i="14"/>
  <c r="BE33" i="14"/>
  <c r="BE31" i="14"/>
  <c r="BE29" i="14"/>
  <c r="BE27" i="14"/>
  <c r="BE25" i="14"/>
  <c r="BE23" i="14"/>
  <c r="BE21" i="14"/>
  <c r="BE19" i="14"/>
  <c r="BE17" i="14"/>
  <c r="BE15" i="14"/>
  <c r="BE68" i="14"/>
  <c r="BE66" i="14"/>
  <c r="BE64" i="14"/>
  <c r="BE13" i="14"/>
  <c r="BE11" i="14"/>
  <c r="BE9" i="14"/>
  <c r="BE7" i="14"/>
  <c r="BE5" i="14"/>
  <c r="BE124" i="14"/>
  <c r="BE122" i="14"/>
  <c r="BE120" i="14"/>
  <c r="BE118" i="14"/>
  <c r="BE116" i="14"/>
  <c r="BE114" i="14"/>
  <c r="BE112" i="14"/>
  <c r="BE110" i="14"/>
  <c r="BE108" i="14"/>
  <c r="BE106" i="14"/>
  <c r="BE104" i="14"/>
  <c r="BE102" i="14"/>
  <c r="BE100" i="14"/>
  <c r="BE98" i="14"/>
  <c r="BE96" i="14"/>
  <c r="BE94" i="14"/>
  <c r="BE92" i="14"/>
  <c r="BE90" i="14"/>
  <c r="BE88" i="14"/>
  <c r="BE86" i="14"/>
  <c r="BE84" i="14"/>
  <c r="BE82" i="14"/>
  <c r="BE80" i="14"/>
  <c r="BE78" i="14"/>
  <c r="BE76" i="14"/>
  <c r="BE74" i="14"/>
  <c r="BE72" i="14"/>
  <c r="BE70" i="14"/>
  <c r="BE62" i="14"/>
  <c r="BE60" i="14"/>
  <c r="BE58" i="14"/>
  <c r="BE56" i="14"/>
  <c r="BE54" i="14"/>
  <c r="BE52" i="14"/>
  <c r="BE50" i="14"/>
  <c r="BE48" i="14"/>
  <c r="BE46" i="14"/>
  <c r="BE44" i="14"/>
  <c r="BE42" i="14"/>
  <c r="BE40" i="14"/>
  <c r="BE38" i="14"/>
  <c r="BE36" i="14"/>
  <c r="BE34" i="14"/>
  <c r="BE32" i="14"/>
  <c r="BE30" i="14"/>
  <c r="BE28" i="14"/>
  <c r="BE26" i="14"/>
  <c r="BE24" i="14"/>
  <c r="BE22" i="14"/>
  <c r="BE20" i="14"/>
  <c r="BE18" i="14"/>
  <c r="BE16" i="14"/>
  <c r="BE14" i="14"/>
  <c r="BE67" i="14"/>
  <c r="BE65" i="14"/>
  <c r="BE63" i="14"/>
  <c r="BE12" i="14"/>
  <c r="BE10" i="14"/>
  <c r="BE8" i="14"/>
  <c r="BE6" i="14"/>
  <c r="BB18" i="14"/>
  <c r="AY82" i="14"/>
  <c r="AW82" i="14"/>
  <c r="AZ82" i="14"/>
  <c r="BD82" i="14"/>
  <c r="AY86" i="14"/>
  <c r="AW86" i="14"/>
  <c r="AZ86" i="14"/>
  <c r="BD86" i="14"/>
  <c r="AY106" i="14"/>
  <c r="AW106" i="14"/>
  <c r="BD106" i="14"/>
  <c r="AZ106" i="14"/>
  <c r="AY47" i="14"/>
  <c r="AW47" i="14"/>
  <c r="AZ47" i="14"/>
  <c r="BD47" i="14"/>
  <c r="AY71" i="14"/>
  <c r="AW71" i="14"/>
  <c r="BD71" i="14"/>
  <c r="AZ71" i="14"/>
  <c r="AY111" i="14"/>
  <c r="AW111" i="14"/>
  <c r="AZ111" i="14"/>
  <c r="BD111" i="14"/>
  <c r="AY115" i="14"/>
  <c r="AW115" i="14"/>
  <c r="AZ115" i="14"/>
  <c r="BD115" i="14"/>
  <c r="AW121" i="14"/>
  <c r="AY121" i="14"/>
  <c r="AZ121" i="14"/>
  <c r="BD121" i="14"/>
  <c r="AY50" i="14"/>
  <c r="AW50" i="14"/>
  <c r="BD50" i="14"/>
  <c r="AZ50" i="14"/>
  <c r="AW120" i="14"/>
  <c r="AY120" i="14"/>
  <c r="AZ120" i="14"/>
  <c r="BD120" i="14"/>
  <c r="AW57" i="14"/>
  <c r="AY57" i="14"/>
  <c r="BD57" i="14"/>
  <c r="AZ57" i="14"/>
  <c r="AY125" i="14"/>
  <c r="AW125" i="14"/>
  <c r="AZ125" i="14"/>
  <c r="BD125" i="14"/>
  <c r="AY7" i="14"/>
  <c r="AW7" i="14"/>
  <c r="AZ7" i="14"/>
  <c r="BD7" i="14"/>
  <c r="AY15" i="14"/>
  <c r="AW15" i="14"/>
  <c r="BD15" i="14"/>
  <c r="AZ15" i="14"/>
  <c r="AK183" i="14"/>
  <c r="AK188" i="14"/>
  <c r="AY19" i="14"/>
  <c r="AW19" i="14"/>
  <c r="AZ19" i="14"/>
  <c r="BD19" i="14"/>
  <c r="AY23" i="14"/>
  <c r="AW23" i="14"/>
  <c r="BD23" i="14"/>
  <c r="AZ23" i="14"/>
  <c r="AY27" i="14"/>
  <c r="AW27" i="14"/>
  <c r="AZ27" i="14"/>
  <c r="BD27" i="14"/>
  <c r="AY31" i="14"/>
  <c r="AW31" i="14"/>
  <c r="BD31" i="14"/>
  <c r="AZ31" i="14"/>
  <c r="AY35" i="14"/>
  <c r="AW35" i="14"/>
  <c r="AZ35" i="14"/>
  <c r="BD35" i="14"/>
  <c r="AY39" i="14"/>
  <c r="AW39" i="14"/>
  <c r="AZ39" i="14"/>
  <c r="BD39" i="14"/>
  <c r="AY43" i="14"/>
  <c r="AW43" i="14"/>
  <c r="BD43" i="14"/>
  <c r="AZ43" i="14"/>
  <c r="AW40" i="14"/>
  <c r="AY40" i="14"/>
  <c r="AZ40" i="14"/>
  <c r="BD40" i="14"/>
  <c r="AY44" i="14"/>
  <c r="AW44" i="14"/>
  <c r="AZ44" i="14"/>
  <c r="BD44" i="14"/>
  <c r="AK175" i="14"/>
  <c r="AW13" i="14"/>
  <c r="AY13" i="14"/>
  <c r="BD13" i="14"/>
  <c r="AZ13" i="14"/>
  <c r="AW17" i="14"/>
  <c r="AY17" i="14"/>
  <c r="AZ17" i="14"/>
  <c r="BD17" i="14"/>
  <c r="AW21" i="14"/>
  <c r="AY21" i="14"/>
  <c r="AZ21" i="14"/>
  <c r="BD21" i="14"/>
  <c r="AW25" i="14"/>
  <c r="AY25" i="14"/>
  <c r="BD25" i="14"/>
  <c r="AZ25" i="14"/>
  <c r="AW29" i="14"/>
  <c r="AY29" i="14"/>
  <c r="BD29" i="14"/>
  <c r="AZ29" i="14"/>
  <c r="AW33" i="14"/>
  <c r="AY33" i="14"/>
  <c r="BD33" i="14"/>
  <c r="AZ33" i="14"/>
  <c r="AW37" i="14"/>
  <c r="AY37" i="14"/>
  <c r="AZ37" i="14"/>
  <c r="BD37" i="14"/>
  <c r="AW41" i="14"/>
  <c r="AY41" i="14"/>
  <c r="BD41" i="14"/>
  <c r="AZ41" i="14"/>
  <c r="AW45" i="14"/>
  <c r="AY45" i="14"/>
  <c r="BD45" i="14"/>
  <c r="AZ45" i="14"/>
  <c r="AY70" i="14"/>
  <c r="AW70" i="14"/>
  <c r="AZ70" i="14"/>
  <c r="BD70" i="14"/>
  <c r="AY74" i="14"/>
  <c r="AW74" i="14"/>
  <c r="AZ74" i="14"/>
  <c r="BD74" i="14"/>
  <c r="AY78" i="14"/>
  <c r="AW78" i="14"/>
  <c r="AZ78" i="14"/>
  <c r="BD78" i="14"/>
  <c r="AY72" i="14"/>
  <c r="AW72" i="14"/>
  <c r="BD72" i="14"/>
  <c r="AZ72" i="14"/>
  <c r="AY76" i="14"/>
  <c r="AW76" i="14"/>
  <c r="BD76" i="14"/>
  <c r="AZ76" i="14"/>
  <c r="CB93" i="14"/>
  <c r="BB32" i="14"/>
  <c r="AP156" i="14"/>
  <c r="AF143" i="14"/>
  <c r="AF151" i="14" s="1"/>
  <c r="BB14" i="14"/>
  <c r="AY64" i="14"/>
  <c r="AW64" i="14"/>
  <c r="AZ64" i="14"/>
  <c r="BD64" i="14"/>
  <c r="BB64" i="14"/>
  <c r="BB68" i="14"/>
  <c r="BB67" i="14"/>
  <c r="AW67" i="14"/>
  <c r="AY67" i="14"/>
  <c r="AZ67" i="14"/>
  <c r="BD67" i="14"/>
  <c r="AY91" i="14"/>
  <c r="AW91" i="14"/>
  <c r="AZ91" i="14"/>
  <c r="BD91" i="14"/>
  <c r="BB91" i="14"/>
  <c r="AY103" i="14"/>
  <c r="AW103" i="14"/>
  <c r="BD103" i="14"/>
  <c r="AZ103" i="14"/>
  <c r="BB103" i="14"/>
  <c r="AY107" i="14"/>
  <c r="AW107" i="14"/>
  <c r="BD107" i="14"/>
  <c r="AZ107" i="14"/>
  <c r="BB107" i="14"/>
  <c r="AY105" i="14"/>
  <c r="AW105" i="14"/>
  <c r="AZ105" i="14"/>
  <c r="BD105" i="14"/>
  <c r="BB105" i="14"/>
  <c r="AY113" i="14"/>
  <c r="AW113" i="14"/>
  <c r="BD113" i="14"/>
  <c r="AZ113" i="14"/>
  <c r="BB113" i="14"/>
  <c r="AY62" i="14"/>
  <c r="AW62" i="14"/>
  <c r="AZ62" i="14"/>
  <c r="BD62" i="14"/>
  <c r="BB62" i="14"/>
  <c r="AY80" i="14"/>
  <c r="AW80" i="14"/>
  <c r="BD80" i="14"/>
  <c r="AZ80" i="14"/>
  <c r="BB80" i="14"/>
  <c r="AY84" i="14"/>
  <c r="AW84" i="14"/>
  <c r="BD84" i="14"/>
  <c r="AZ84" i="14"/>
  <c r="BB84" i="14"/>
  <c r="AY88" i="14"/>
  <c r="AW88" i="14"/>
  <c r="AZ88" i="14"/>
  <c r="BD88" i="14"/>
  <c r="BB88" i="14"/>
  <c r="AY104" i="14"/>
  <c r="AW104" i="14"/>
  <c r="AZ104" i="14"/>
  <c r="BD104" i="14"/>
  <c r="BB104" i="14"/>
  <c r="AW53" i="14"/>
  <c r="AY53" i="14"/>
  <c r="AZ53" i="14"/>
  <c r="BD53" i="14"/>
  <c r="BB53" i="14"/>
  <c r="BB102" i="14"/>
  <c r="CD93" i="14"/>
  <c r="BZ93" i="14"/>
  <c r="CA93" i="14" s="1"/>
  <c r="CB95" i="14"/>
  <c r="CO95" i="14" s="1"/>
  <c r="BY95" i="14"/>
  <c r="BW95" i="14"/>
  <c r="BV156" i="14"/>
  <c r="BV164" i="14" s="1"/>
  <c r="BV130" i="14"/>
  <c r="BV126" i="14"/>
  <c r="BX180" i="14" s="1"/>
  <c r="BC5" i="14"/>
  <c r="AT5" i="14"/>
  <c r="AR126" i="14"/>
  <c r="AS5" i="14"/>
  <c r="BC9" i="14"/>
  <c r="AT9" i="14"/>
  <c r="AU9" i="14" s="1"/>
  <c r="AS9" i="14"/>
  <c r="BC14" i="14"/>
  <c r="AT14" i="14"/>
  <c r="AU14" i="14" s="1"/>
  <c r="AS14" i="14"/>
  <c r="BC18" i="14"/>
  <c r="AT18" i="14"/>
  <c r="AU18" i="14" s="1"/>
  <c r="AS18" i="14"/>
  <c r="BC22" i="14"/>
  <c r="AT22" i="14"/>
  <c r="AU22" i="14" s="1"/>
  <c r="AS22" i="14"/>
  <c r="BC26" i="14"/>
  <c r="AT26" i="14"/>
  <c r="AU26" i="14" s="1"/>
  <c r="AS26" i="14"/>
  <c r="BC30" i="14"/>
  <c r="AT30" i="14"/>
  <c r="AU30" i="14" s="1"/>
  <c r="AS30" i="14"/>
  <c r="BC34" i="14"/>
  <c r="AT34" i="14"/>
  <c r="AU34" i="14" s="1"/>
  <c r="AS34" i="14"/>
  <c r="BC38" i="14"/>
  <c r="AT38" i="14"/>
  <c r="AU38" i="14" s="1"/>
  <c r="AS38" i="14"/>
  <c r="BC42" i="14"/>
  <c r="AT42" i="14"/>
  <c r="AU42" i="14" s="1"/>
  <c r="AS42" i="14"/>
  <c r="BC46" i="14"/>
  <c r="AT46" i="14"/>
  <c r="AU46" i="14" s="1"/>
  <c r="AS46" i="14"/>
  <c r="BC50" i="14"/>
  <c r="AT50" i="14"/>
  <c r="AU50" i="14" s="1"/>
  <c r="AS50" i="14"/>
  <c r="BC54" i="14"/>
  <c r="AT54" i="14"/>
  <c r="AU54" i="14" s="1"/>
  <c r="AS54" i="14"/>
  <c r="BC58" i="14"/>
  <c r="AT58" i="14"/>
  <c r="AU58" i="14" s="1"/>
  <c r="AS58" i="14"/>
  <c r="BC62" i="14"/>
  <c r="AT62" i="14"/>
  <c r="AU62" i="14" s="1"/>
  <c r="AS62" i="14"/>
  <c r="AT66" i="14"/>
  <c r="AU66" i="14" s="1"/>
  <c r="AS66" i="14"/>
  <c r="BC66" i="14"/>
  <c r="AT70" i="14"/>
  <c r="AU70" i="14" s="1"/>
  <c r="AS70" i="14"/>
  <c r="BC70" i="14"/>
  <c r="AT74" i="14"/>
  <c r="AU74" i="14" s="1"/>
  <c r="AS74" i="14"/>
  <c r="BC74" i="14"/>
  <c r="AT78" i="14"/>
  <c r="AU78" i="14" s="1"/>
  <c r="AS78" i="14"/>
  <c r="BC78" i="14"/>
  <c r="AT82" i="14"/>
  <c r="AU82" i="14" s="1"/>
  <c r="AS82" i="14"/>
  <c r="BC82" i="14"/>
  <c r="AT86" i="14"/>
  <c r="AU86" i="14" s="1"/>
  <c r="AS86" i="14"/>
  <c r="BC86" i="14"/>
  <c r="BC90" i="14"/>
  <c r="AT90" i="14"/>
  <c r="AU90" i="14" s="1"/>
  <c r="AS90" i="14"/>
  <c r="BC94" i="14"/>
  <c r="AT94" i="14"/>
  <c r="AU94" i="14" s="1"/>
  <c r="AS94" i="14"/>
  <c r="BC98" i="14"/>
  <c r="AT98" i="14"/>
  <c r="AU98" i="14" s="1"/>
  <c r="AS98" i="14"/>
  <c r="BC102" i="14"/>
  <c r="AT102" i="14"/>
  <c r="AU102" i="14" s="1"/>
  <c r="AS102" i="14"/>
  <c r="BC106" i="14"/>
  <c r="AT106" i="14"/>
  <c r="AU106" i="14" s="1"/>
  <c r="AS106" i="14"/>
  <c r="BC110" i="14"/>
  <c r="AT110" i="14"/>
  <c r="AU110" i="14" s="1"/>
  <c r="AS110" i="14"/>
  <c r="BC114" i="14"/>
  <c r="AT114" i="14"/>
  <c r="AU114" i="14" s="1"/>
  <c r="AS114" i="14"/>
  <c r="BC118" i="14"/>
  <c r="AT118" i="14"/>
  <c r="AU118" i="14" s="1"/>
  <c r="AS118" i="14"/>
  <c r="AT122" i="14"/>
  <c r="AU122" i="14" s="1"/>
  <c r="BC122" i="14"/>
  <c r="AS122" i="14"/>
  <c r="AS13" i="14"/>
  <c r="BC13" i="14"/>
  <c r="AT13" i="14"/>
  <c r="AU13" i="14" s="1"/>
  <c r="AS8" i="14"/>
  <c r="BC8" i="14"/>
  <c r="AT8" i="14"/>
  <c r="AU8" i="14" s="1"/>
  <c r="AS12" i="14"/>
  <c r="BC12" i="14"/>
  <c r="AT12" i="14"/>
  <c r="AU12" i="14" s="1"/>
  <c r="AS17" i="14"/>
  <c r="BC17" i="14"/>
  <c r="AT17" i="14"/>
  <c r="AU17" i="14" s="1"/>
  <c r="AS21" i="14"/>
  <c r="BC21" i="14"/>
  <c r="AT21" i="14"/>
  <c r="AU21" i="14" s="1"/>
  <c r="AS25" i="14"/>
  <c r="BC25" i="14"/>
  <c r="AT25" i="14"/>
  <c r="AU25" i="14" s="1"/>
  <c r="AS29" i="14"/>
  <c r="BC29" i="14"/>
  <c r="AT29" i="14"/>
  <c r="AU29" i="14" s="1"/>
  <c r="AS33" i="14"/>
  <c r="BC33" i="14"/>
  <c r="AT33" i="14"/>
  <c r="AU33" i="14" s="1"/>
  <c r="AS37" i="14"/>
  <c r="BC37" i="14"/>
  <c r="AT37" i="14"/>
  <c r="AU37" i="14" s="1"/>
  <c r="AS41" i="14"/>
  <c r="BC41" i="14"/>
  <c r="AT41" i="14"/>
  <c r="AU41" i="14" s="1"/>
  <c r="AS45" i="14"/>
  <c r="BC45" i="14"/>
  <c r="AT45" i="14"/>
  <c r="AU45" i="14" s="1"/>
  <c r="AS49" i="14"/>
  <c r="BC49" i="14"/>
  <c r="AT49" i="14"/>
  <c r="AU49" i="14" s="1"/>
  <c r="AS53" i="14"/>
  <c r="BC53" i="14"/>
  <c r="AT53" i="14"/>
  <c r="AU53" i="14" s="1"/>
  <c r="AS57" i="14"/>
  <c r="BC57" i="14"/>
  <c r="AT57" i="14"/>
  <c r="AU57" i="14" s="1"/>
  <c r="AS61" i="14"/>
  <c r="BC61" i="14"/>
  <c r="AT61" i="14"/>
  <c r="AU61" i="14" s="1"/>
  <c r="BC65" i="14"/>
  <c r="AT65" i="14"/>
  <c r="AU65" i="14" s="1"/>
  <c r="AS65" i="14"/>
  <c r="BC69" i="14"/>
  <c r="AT69" i="14"/>
  <c r="AU69" i="14" s="1"/>
  <c r="AS69" i="14"/>
  <c r="BC73" i="14"/>
  <c r="AT73" i="14"/>
  <c r="AU73" i="14" s="1"/>
  <c r="AS73" i="14"/>
  <c r="BC77" i="14"/>
  <c r="AT77" i="14"/>
  <c r="AU77" i="14" s="1"/>
  <c r="AS77" i="14"/>
  <c r="BC81" i="14"/>
  <c r="AT81" i="14"/>
  <c r="AU81" i="14" s="1"/>
  <c r="AS81" i="14"/>
  <c r="BC85" i="14"/>
  <c r="AT85" i="14"/>
  <c r="AU85" i="14" s="1"/>
  <c r="AS85" i="14"/>
  <c r="AS89" i="14"/>
  <c r="BC89" i="14"/>
  <c r="AT89" i="14"/>
  <c r="AU89" i="14" s="1"/>
  <c r="AS93" i="14"/>
  <c r="BC93" i="14"/>
  <c r="AT93" i="14"/>
  <c r="AU93" i="14" s="1"/>
  <c r="AS97" i="14"/>
  <c r="BC97" i="14"/>
  <c r="AT97" i="14"/>
  <c r="AU97" i="14" s="1"/>
  <c r="AS101" i="14"/>
  <c r="BC101" i="14"/>
  <c r="AT101" i="14"/>
  <c r="AU101" i="14" s="1"/>
  <c r="AS105" i="14"/>
  <c r="BC105" i="14"/>
  <c r="AT105" i="14"/>
  <c r="AU105" i="14" s="1"/>
  <c r="AS109" i="14"/>
  <c r="BC109" i="14"/>
  <c r="AT109" i="14"/>
  <c r="AU109" i="14" s="1"/>
  <c r="AS113" i="14"/>
  <c r="BC113" i="14"/>
  <c r="AT113" i="14"/>
  <c r="AU113" i="14" s="1"/>
  <c r="AS117" i="14"/>
  <c r="BC117" i="14"/>
  <c r="AT117" i="14"/>
  <c r="AU117" i="14" s="1"/>
  <c r="AS121" i="14"/>
  <c r="AT121" i="14"/>
  <c r="AU121" i="14" s="1"/>
  <c r="BC121" i="14"/>
  <c r="BC125" i="14"/>
  <c r="AT125" i="14"/>
  <c r="AU125" i="14" s="1"/>
  <c r="AS125" i="14"/>
  <c r="AY100" i="14"/>
  <c r="AW100" i="14"/>
  <c r="BD100" i="14"/>
  <c r="AZ100" i="14"/>
  <c r="AY36" i="14"/>
  <c r="AW36" i="14"/>
  <c r="BD36" i="14"/>
  <c r="AZ36" i="14"/>
  <c r="BB36" i="14"/>
  <c r="AW28" i="14"/>
  <c r="AY28" i="14"/>
  <c r="BD28" i="14"/>
  <c r="AZ28" i="14"/>
  <c r="BB28" i="14"/>
  <c r="AW20" i="14"/>
  <c r="AY20" i="14"/>
  <c r="AZ20" i="14"/>
  <c r="BD20" i="14"/>
  <c r="BB20" i="14"/>
  <c r="AW8" i="14"/>
  <c r="AY8" i="14"/>
  <c r="BD8" i="14"/>
  <c r="AZ8" i="14"/>
  <c r="AW52" i="14"/>
  <c r="AY52" i="14"/>
  <c r="AZ52" i="14"/>
  <c r="BD52" i="14"/>
  <c r="AY55" i="14"/>
  <c r="AW55" i="14"/>
  <c r="AZ55" i="14"/>
  <c r="BD55" i="14"/>
  <c r="AY63" i="14"/>
  <c r="AW63" i="14"/>
  <c r="BD63" i="14"/>
  <c r="AZ63" i="14"/>
  <c r="AY79" i="14"/>
  <c r="AW79" i="14"/>
  <c r="BD79" i="14"/>
  <c r="AZ79" i="14"/>
  <c r="AW83" i="14"/>
  <c r="AY83" i="14"/>
  <c r="AZ83" i="14"/>
  <c r="BD83" i="14"/>
  <c r="AW87" i="14"/>
  <c r="AY87" i="14"/>
  <c r="AZ87" i="14"/>
  <c r="BD87" i="14"/>
  <c r="AY119" i="14"/>
  <c r="AW119" i="14"/>
  <c r="BD119" i="14"/>
  <c r="AZ119" i="14"/>
  <c r="AY123" i="14"/>
  <c r="AW123" i="14"/>
  <c r="AZ123" i="14"/>
  <c r="BD123" i="14"/>
  <c r="AY58" i="14"/>
  <c r="AW58" i="14"/>
  <c r="BD58" i="14"/>
  <c r="AZ58" i="14"/>
  <c r="AW66" i="14"/>
  <c r="AY66" i="14"/>
  <c r="AZ66" i="14"/>
  <c r="BD66" i="14"/>
  <c r="AY108" i="14"/>
  <c r="AW108" i="14"/>
  <c r="BD108" i="14"/>
  <c r="AZ108" i="14"/>
  <c r="AY112" i="14"/>
  <c r="AW112" i="14"/>
  <c r="BD112" i="14"/>
  <c r="AZ112" i="14"/>
  <c r="AW49" i="14"/>
  <c r="AY49" i="14"/>
  <c r="BD49" i="14"/>
  <c r="AZ49" i="14"/>
  <c r="AY65" i="14"/>
  <c r="AW65" i="14"/>
  <c r="AZ65" i="14"/>
  <c r="BD65" i="14"/>
  <c r="AW73" i="14"/>
  <c r="AY73" i="14"/>
  <c r="AZ73" i="14"/>
  <c r="BD73" i="14"/>
  <c r="AW77" i="14"/>
  <c r="AY77" i="14"/>
  <c r="AZ77" i="14"/>
  <c r="BD77" i="14"/>
  <c r="AW81" i="14"/>
  <c r="AY81" i="14"/>
  <c r="AZ81" i="14"/>
  <c r="BD81" i="14"/>
  <c r="AY109" i="14"/>
  <c r="AW109" i="14"/>
  <c r="BD109" i="14"/>
  <c r="AZ109" i="14"/>
  <c r="AY42" i="14"/>
  <c r="AW42" i="14"/>
  <c r="AZ42" i="14"/>
  <c r="BD42" i="14"/>
  <c r="AX130" i="14"/>
  <c r="AY11" i="14"/>
  <c r="AW11" i="14"/>
  <c r="BD11" i="14"/>
  <c r="AZ11" i="14"/>
  <c r="BB100" i="14"/>
  <c r="AN92" i="14"/>
  <c r="AX92" i="14"/>
  <c r="AN94" i="14"/>
  <c r="AX94" i="14"/>
  <c r="BB24" i="14"/>
  <c r="AG126" i="14"/>
  <c r="AH5" i="14"/>
  <c r="AH126" i="14" s="1"/>
  <c r="BB6" i="14"/>
  <c r="BB38" i="14"/>
  <c r="BB82" i="14"/>
  <c r="AY110" i="14"/>
  <c r="AW110" i="14"/>
  <c r="AZ110" i="14"/>
  <c r="BD110" i="14"/>
  <c r="BB110" i="14"/>
  <c r="AY114" i="14"/>
  <c r="AW114" i="14"/>
  <c r="AZ114" i="14"/>
  <c r="BD114" i="14"/>
  <c r="BB114" i="14"/>
  <c r="AY118" i="14"/>
  <c r="AW118" i="14"/>
  <c r="AZ118" i="14"/>
  <c r="BD118" i="14"/>
  <c r="BB118" i="14"/>
  <c r="AW122" i="14"/>
  <c r="AY122" i="14"/>
  <c r="BD122" i="14"/>
  <c r="AZ122" i="14"/>
  <c r="BB122" i="14"/>
  <c r="BB47" i="14"/>
  <c r="AY75" i="14"/>
  <c r="AW75" i="14"/>
  <c r="AZ75" i="14"/>
  <c r="BD75" i="14"/>
  <c r="BB75" i="14"/>
  <c r="BB79" i="14"/>
  <c r="BB115" i="14"/>
  <c r="BB50" i="14"/>
  <c r="BB112" i="14"/>
  <c r="AW61" i="14"/>
  <c r="AY61" i="14"/>
  <c r="AZ61" i="14"/>
  <c r="BD61" i="14"/>
  <c r="BB61" i="14"/>
  <c r="BB65" i="14"/>
  <c r="BB109" i="14"/>
  <c r="BB11" i="14"/>
  <c r="BB27" i="14"/>
  <c r="BB43" i="14"/>
  <c r="BB25" i="14"/>
  <c r="BB99" i="14"/>
  <c r="BB34" i="14"/>
  <c r="AN143" i="14"/>
  <c r="AK182" i="14"/>
  <c r="AK177" i="14"/>
  <c r="AK178" i="14" s="1"/>
  <c r="AY9" i="14"/>
  <c r="AW9" i="14"/>
  <c r="BD9" i="14"/>
  <c r="AZ9" i="14"/>
  <c r="AW96" i="14"/>
  <c r="AY96" i="14"/>
  <c r="AZ96" i="14"/>
  <c r="BD96" i="14"/>
  <c r="BB16" i="14"/>
  <c r="AH143" i="14"/>
  <c r="AH151" i="14" s="1"/>
  <c r="BB30" i="14"/>
  <c r="F24" i="17"/>
  <c r="F25" i="17" s="1"/>
  <c r="D27" i="17"/>
  <c r="AC106" i="14"/>
  <c r="U106" i="14"/>
  <c r="AC105" i="14"/>
  <c r="U105" i="14"/>
  <c r="AC108" i="14"/>
  <c r="U108" i="14"/>
  <c r="AC104" i="14"/>
  <c r="U104" i="14"/>
  <c r="AC107" i="14"/>
  <c r="U107" i="14"/>
  <c r="S147" i="14"/>
  <c r="U147" i="14"/>
  <c r="AC156" i="14"/>
  <c r="AC160" i="14"/>
  <c r="S143" i="14"/>
  <c r="U143" i="14"/>
  <c r="S126" i="14"/>
  <c r="AC126" i="14"/>
  <c r="T126" i="14"/>
  <c r="U5" i="14"/>
  <c r="U126" i="14" s="1"/>
  <c r="CM95" i="14" l="1"/>
  <c r="CN95" i="14" s="1"/>
  <c r="AN126" i="14"/>
  <c r="BA75" i="14"/>
  <c r="BK75" i="14"/>
  <c r="BA114" i="14"/>
  <c r="BK114" i="14"/>
  <c r="AW94" i="14"/>
  <c r="AY94" i="14"/>
  <c r="BD94" i="14"/>
  <c r="AZ94" i="14"/>
  <c r="BB94" i="14"/>
  <c r="AW92" i="14"/>
  <c r="AY92" i="14"/>
  <c r="AZ92" i="14"/>
  <c r="BD92" i="14"/>
  <c r="BB92" i="14"/>
  <c r="BB126" i="14" s="1"/>
  <c r="BA11" i="14"/>
  <c r="BK11" i="14"/>
  <c r="AX138" i="14"/>
  <c r="BA42" i="14"/>
  <c r="BK42" i="14"/>
  <c r="BA81" i="14"/>
  <c r="BK81" i="14"/>
  <c r="BA77" i="14"/>
  <c r="BK77" i="14"/>
  <c r="BA73" i="14"/>
  <c r="BK73" i="14"/>
  <c r="BA65" i="14"/>
  <c r="BK65" i="14"/>
  <c r="BA66" i="14"/>
  <c r="BK66" i="14"/>
  <c r="BA123" i="14"/>
  <c r="BK123" i="14"/>
  <c r="BA87" i="14"/>
  <c r="BK87" i="14"/>
  <c r="BA83" i="14"/>
  <c r="BK83" i="14"/>
  <c r="BA55" i="14"/>
  <c r="BK55" i="14"/>
  <c r="BA52" i="14"/>
  <c r="BK52" i="14"/>
  <c r="BA36" i="14"/>
  <c r="BK36" i="14"/>
  <c r="BA100" i="14"/>
  <c r="BK100" i="14"/>
  <c r="BO100" i="14" s="1"/>
  <c r="BC126" i="14"/>
  <c r="BA88" i="14"/>
  <c r="BK88" i="14"/>
  <c r="BA84" i="14"/>
  <c r="BK84" i="14"/>
  <c r="BA113" i="14"/>
  <c r="BK113" i="14"/>
  <c r="BA105" i="14"/>
  <c r="BK105" i="14"/>
  <c r="BA103" i="14"/>
  <c r="BK103" i="14"/>
  <c r="BA91" i="14"/>
  <c r="BK91" i="14"/>
  <c r="AP164" i="14"/>
  <c r="BA78" i="14"/>
  <c r="BK78" i="14"/>
  <c r="BA74" i="14"/>
  <c r="BK74" i="14"/>
  <c r="BA70" i="14"/>
  <c r="BK70" i="14"/>
  <c r="BA37" i="14"/>
  <c r="BK37" i="14"/>
  <c r="BA21" i="14"/>
  <c r="BK21" i="14"/>
  <c r="BA17" i="14"/>
  <c r="BK17" i="14"/>
  <c r="BA43" i="14"/>
  <c r="BK43" i="14"/>
  <c r="BA31" i="14"/>
  <c r="BK31" i="14"/>
  <c r="BA23" i="14"/>
  <c r="BK23" i="14"/>
  <c r="BD156" i="14"/>
  <c r="BD164" i="14" s="1"/>
  <c r="AY143" i="14"/>
  <c r="AY151" i="14" s="1"/>
  <c r="AJ183" i="14"/>
  <c r="BA7" i="14"/>
  <c r="BK7" i="14"/>
  <c r="BA125" i="14"/>
  <c r="BK125" i="14"/>
  <c r="BA120" i="14"/>
  <c r="BK120" i="14"/>
  <c r="BA121" i="14"/>
  <c r="BK121" i="14"/>
  <c r="BA115" i="14"/>
  <c r="BK115" i="14"/>
  <c r="BA111" i="14"/>
  <c r="BK111" i="14"/>
  <c r="BA47" i="14"/>
  <c r="BK47" i="14"/>
  <c r="BA86" i="14"/>
  <c r="BK86" i="14"/>
  <c r="BA82" i="14"/>
  <c r="BK82" i="14"/>
  <c r="BP6" i="14"/>
  <c r="BG6" i="14"/>
  <c r="BH6" i="14" s="1"/>
  <c r="BF6" i="14"/>
  <c r="BF10" i="14"/>
  <c r="BG10" i="14"/>
  <c r="BH10" i="14" s="1"/>
  <c r="BP10" i="14"/>
  <c r="BF63" i="14"/>
  <c r="BP63" i="14"/>
  <c r="BG63" i="14"/>
  <c r="BH63" i="14" s="1"/>
  <c r="BF67" i="14"/>
  <c r="BP67" i="14"/>
  <c r="BG67" i="14"/>
  <c r="BH67" i="14" s="1"/>
  <c r="BP16" i="14"/>
  <c r="BG16" i="14"/>
  <c r="BH16" i="14" s="1"/>
  <c r="BF16" i="14"/>
  <c r="BP20" i="14"/>
  <c r="BG20" i="14"/>
  <c r="BH20" i="14" s="1"/>
  <c r="BF20" i="14"/>
  <c r="BP24" i="14"/>
  <c r="BG24" i="14"/>
  <c r="BH24" i="14" s="1"/>
  <c r="BF24" i="14"/>
  <c r="BP28" i="14"/>
  <c r="BG28" i="14"/>
  <c r="BH28" i="14" s="1"/>
  <c r="BF28" i="14"/>
  <c r="BP32" i="14"/>
  <c r="BG32" i="14"/>
  <c r="BH32" i="14" s="1"/>
  <c r="BF32" i="14"/>
  <c r="BP36" i="14"/>
  <c r="BG36" i="14"/>
  <c r="BH36" i="14" s="1"/>
  <c r="BF36" i="14"/>
  <c r="BP40" i="14"/>
  <c r="BG40" i="14"/>
  <c r="BH40" i="14" s="1"/>
  <c r="BF40" i="14"/>
  <c r="BP44" i="14"/>
  <c r="BG44" i="14"/>
  <c r="BH44" i="14" s="1"/>
  <c r="BF44" i="14"/>
  <c r="BP48" i="14"/>
  <c r="BG48" i="14"/>
  <c r="BH48" i="14" s="1"/>
  <c r="BF48" i="14"/>
  <c r="BP52" i="14"/>
  <c r="BG52" i="14"/>
  <c r="BH52" i="14" s="1"/>
  <c r="BF52" i="14"/>
  <c r="BP56" i="14"/>
  <c r="BG56" i="14"/>
  <c r="BH56" i="14" s="1"/>
  <c r="BF56" i="14"/>
  <c r="BP60" i="14"/>
  <c r="BG60" i="14"/>
  <c r="BH60" i="14" s="1"/>
  <c r="BF60" i="14"/>
  <c r="BF70" i="14"/>
  <c r="BP70" i="14"/>
  <c r="BG70" i="14"/>
  <c r="BH70" i="14" s="1"/>
  <c r="BF74" i="14"/>
  <c r="BP74" i="14"/>
  <c r="BG74" i="14"/>
  <c r="BH74" i="14" s="1"/>
  <c r="BF78" i="14"/>
  <c r="BP78" i="14"/>
  <c r="BG78" i="14"/>
  <c r="BH78" i="14" s="1"/>
  <c r="BF82" i="14"/>
  <c r="BP82" i="14"/>
  <c r="BG82" i="14"/>
  <c r="BH82" i="14" s="1"/>
  <c r="BF86" i="14"/>
  <c r="BP86" i="14"/>
  <c r="BG86" i="14"/>
  <c r="BH86" i="14" s="1"/>
  <c r="BP90" i="14"/>
  <c r="BG90" i="14"/>
  <c r="BH90" i="14" s="1"/>
  <c r="BF90" i="14"/>
  <c r="BP94" i="14"/>
  <c r="BG94" i="14"/>
  <c r="BH94" i="14" s="1"/>
  <c r="BF94" i="14"/>
  <c r="BF98" i="14"/>
  <c r="BG98" i="14"/>
  <c r="BH98" i="14" s="1"/>
  <c r="BP98" i="14"/>
  <c r="BP102" i="14"/>
  <c r="BG102" i="14"/>
  <c r="BH102" i="14" s="1"/>
  <c r="BF102" i="14"/>
  <c r="BP106" i="14"/>
  <c r="BG106" i="14"/>
  <c r="BH106" i="14" s="1"/>
  <c r="BF106" i="14"/>
  <c r="BF110" i="14"/>
  <c r="BG110" i="14"/>
  <c r="BH110" i="14" s="1"/>
  <c r="BP110" i="14"/>
  <c r="BF114" i="14"/>
  <c r="BG114" i="14"/>
  <c r="BH114" i="14" s="1"/>
  <c r="BP114" i="14"/>
  <c r="BF118" i="14"/>
  <c r="BG118" i="14"/>
  <c r="BH118" i="14" s="1"/>
  <c r="BP118" i="14"/>
  <c r="BF122" i="14"/>
  <c r="BP122" i="14"/>
  <c r="BG122" i="14"/>
  <c r="BH122" i="14" s="1"/>
  <c r="BE126" i="14"/>
  <c r="BP5" i="14"/>
  <c r="BG5" i="14"/>
  <c r="BF5" i="14"/>
  <c r="BF9" i="14"/>
  <c r="BG9" i="14"/>
  <c r="BH9" i="14" s="1"/>
  <c r="BP9" i="14"/>
  <c r="BP13" i="14"/>
  <c r="BG13" i="14"/>
  <c r="BH13" i="14" s="1"/>
  <c r="BF13" i="14"/>
  <c r="BF66" i="14"/>
  <c r="BP66" i="14"/>
  <c r="BG66" i="14"/>
  <c r="BH66" i="14" s="1"/>
  <c r="BP15" i="14"/>
  <c r="BG15" i="14"/>
  <c r="BH15" i="14" s="1"/>
  <c r="BF15" i="14"/>
  <c r="BP19" i="14"/>
  <c r="BG19" i="14"/>
  <c r="BH19" i="14" s="1"/>
  <c r="BF19" i="14"/>
  <c r="BP23" i="14"/>
  <c r="BG23" i="14"/>
  <c r="BH23" i="14" s="1"/>
  <c r="BF23" i="14"/>
  <c r="BP27" i="14"/>
  <c r="BG27" i="14"/>
  <c r="BH27" i="14" s="1"/>
  <c r="BF27" i="14"/>
  <c r="BP31" i="14"/>
  <c r="BG31" i="14"/>
  <c r="BH31" i="14" s="1"/>
  <c r="BF31" i="14"/>
  <c r="BP35" i="14"/>
  <c r="BG35" i="14"/>
  <c r="BH35" i="14" s="1"/>
  <c r="BF35" i="14"/>
  <c r="BP39" i="14"/>
  <c r="BG39" i="14"/>
  <c r="BH39" i="14" s="1"/>
  <c r="BF39" i="14"/>
  <c r="BP43" i="14"/>
  <c r="BG43" i="14"/>
  <c r="BH43" i="14" s="1"/>
  <c r="BF43" i="14"/>
  <c r="BP47" i="14"/>
  <c r="BG47" i="14"/>
  <c r="BH47" i="14" s="1"/>
  <c r="BF47" i="14"/>
  <c r="BP51" i="14"/>
  <c r="BG51" i="14"/>
  <c r="BH51" i="14" s="1"/>
  <c r="BF51" i="14"/>
  <c r="BP55" i="14"/>
  <c r="BG55" i="14"/>
  <c r="BH55" i="14" s="1"/>
  <c r="BF55" i="14"/>
  <c r="BP59" i="14"/>
  <c r="BG59" i="14"/>
  <c r="BH59" i="14" s="1"/>
  <c r="BF59" i="14"/>
  <c r="BF69" i="14"/>
  <c r="BP69" i="14"/>
  <c r="BG69" i="14"/>
  <c r="BH69" i="14" s="1"/>
  <c r="BF73" i="14"/>
  <c r="BP73" i="14"/>
  <c r="BG73" i="14"/>
  <c r="BH73" i="14" s="1"/>
  <c r="BF77" i="14"/>
  <c r="BP77" i="14"/>
  <c r="BG77" i="14"/>
  <c r="BH77" i="14" s="1"/>
  <c r="BF81" i="14"/>
  <c r="BP81" i="14"/>
  <c r="BG81" i="14"/>
  <c r="BH81" i="14" s="1"/>
  <c r="BF85" i="14"/>
  <c r="BP85" i="14"/>
  <c r="BG85" i="14"/>
  <c r="BH85" i="14" s="1"/>
  <c r="BP89" i="14"/>
  <c r="BG89" i="14"/>
  <c r="BH89" i="14" s="1"/>
  <c r="BF89" i="14"/>
  <c r="BP93" i="14"/>
  <c r="BG93" i="14"/>
  <c r="BH93" i="14" s="1"/>
  <c r="BF93" i="14"/>
  <c r="BF97" i="14"/>
  <c r="BG97" i="14"/>
  <c r="BH97" i="14" s="1"/>
  <c r="BP97" i="14"/>
  <c r="BP101" i="14"/>
  <c r="BG101" i="14"/>
  <c r="BH101" i="14" s="1"/>
  <c r="BF101" i="14"/>
  <c r="BP105" i="14"/>
  <c r="BG105" i="14"/>
  <c r="BH105" i="14" s="1"/>
  <c r="BF105" i="14"/>
  <c r="BF109" i="14"/>
  <c r="BG109" i="14"/>
  <c r="BH109" i="14" s="1"/>
  <c r="BP109" i="14"/>
  <c r="BF113" i="14"/>
  <c r="BG113" i="14"/>
  <c r="BH113" i="14" s="1"/>
  <c r="BP113" i="14"/>
  <c r="BF117" i="14"/>
  <c r="BG117" i="14"/>
  <c r="BH117" i="14" s="1"/>
  <c r="BP117" i="14"/>
  <c r="BF121" i="14"/>
  <c r="BP121" i="14"/>
  <c r="BG121" i="14"/>
  <c r="BH121" i="14" s="1"/>
  <c r="BF125" i="14"/>
  <c r="BP125" i="14"/>
  <c r="BG125" i="14"/>
  <c r="BH125" i="14" s="1"/>
  <c r="BA69" i="14"/>
  <c r="BK69" i="14"/>
  <c r="BA124" i="14"/>
  <c r="BK124" i="14"/>
  <c r="BA54" i="14"/>
  <c r="BK54" i="14"/>
  <c r="BA59" i="14"/>
  <c r="BK59" i="14"/>
  <c r="BA56" i="14"/>
  <c r="BK56" i="14"/>
  <c r="BA6" i="14"/>
  <c r="BK6" i="14"/>
  <c r="BA14" i="14"/>
  <c r="BK14" i="14"/>
  <c r="BA26" i="14"/>
  <c r="BK26" i="14"/>
  <c r="AZ126" i="14"/>
  <c r="BA5" i="14"/>
  <c r="BK5" i="14"/>
  <c r="AX126" i="14"/>
  <c r="AX174" i="14"/>
  <c r="AS143" i="14"/>
  <c r="AS151" i="14" s="1"/>
  <c r="BC156" i="14"/>
  <c r="BR125" i="14"/>
  <c r="BR123" i="14"/>
  <c r="BR121" i="14"/>
  <c r="BR119" i="14"/>
  <c r="BR117" i="14"/>
  <c r="BR115" i="14"/>
  <c r="BR113" i="14"/>
  <c r="BR111" i="14"/>
  <c r="BR109" i="14"/>
  <c r="BR107" i="14"/>
  <c r="BR105" i="14"/>
  <c r="BR103" i="14"/>
  <c r="BR101" i="14"/>
  <c r="BR99" i="14"/>
  <c r="BR97" i="14"/>
  <c r="BR95" i="14"/>
  <c r="BR93" i="14"/>
  <c r="BR91" i="14"/>
  <c r="BR86" i="14"/>
  <c r="BR84" i="14"/>
  <c r="BR82" i="14"/>
  <c r="BR80" i="14"/>
  <c r="BR78" i="14"/>
  <c r="BR76" i="14"/>
  <c r="BR74" i="14"/>
  <c r="BR72" i="14"/>
  <c r="BR70" i="14"/>
  <c r="BR68" i="14"/>
  <c r="BR66" i="14"/>
  <c r="BR64" i="14"/>
  <c r="BR90" i="14"/>
  <c r="BR88" i="14"/>
  <c r="BR61" i="14"/>
  <c r="BR11" i="14"/>
  <c r="BR9" i="14"/>
  <c r="BR7" i="14"/>
  <c r="BR59" i="14"/>
  <c r="BR57" i="14"/>
  <c r="BR55" i="14"/>
  <c r="BR53" i="14"/>
  <c r="BR51" i="14"/>
  <c r="BR49" i="14"/>
  <c r="BR47" i="14"/>
  <c r="BR45" i="14"/>
  <c r="BR43" i="14"/>
  <c r="BR41" i="14"/>
  <c r="BR39" i="14"/>
  <c r="BR37" i="14"/>
  <c r="BR35" i="14"/>
  <c r="BR33" i="14"/>
  <c r="BR31" i="14"/>
  <c r="BR29" i="14"/>
  <c r="BR27" i="14"/>
  <c r="BR25" i="14"/>
  <c r="BR23" i="14"/>
  <c r="BR21" i="14"/>
  <c r="BR19" i="14"/>
  <c r="BR17" i="14"/>
  <c r="BR15" i="14"/>
  <c r="BR13" i="14"/>
  <c r="BR6" i="14"/>
  <c r="BR124" i="14"/>
  <c r="BR122" i="14"/>
  <c r="BR120" i="14"/>
  <c r="BR118" i="14"/>
  <c r="BR116" i="14"/>
  <c r="BR114" i="14"/>
  <c r="BR112" i="14"/>
  <c r="BR110" i="14"/>
  <c r="BR108" i="14"/>
  <c r="BR106" i="14"/>
  <c r="BR104" i="14"/>
  <c r="BR102" i="14"/>
  <c r="BR100" i="14"/>
  <c r="BR98" i="14"/>
  <c r="BR96" i="14"/>
  <c r="BR94" i="14"/>
  <c r="BR92" i="14"/>
  <c r="BR87" i="14"/>
  <c r="BR85" i="14"/>
  <c r="BR83" i="14"/>
  <c r="BR81" i="14"/>
  <c r="BR79" i="14"/>
  <c r="BR77" i="14"/>
  <c r="BR75" i="14"/>
  <c r="BR73" i="14"/>
  <c r="BR71" i="14"/>
  <c r="BR69" i="14"/>
  <c r="BR67" i="14"/>
  <c r="BR65" i="14"/>
  <c r="BR63" i="14"/>
  <c r="BR89" i="14"/>
  <c r="BR62" i="14"/>
  <c r="BR60" i="14"/>
  <c r="BR10" i="14"/>
  <c r="BR8" i="14"/>
  <c r="BR5" i="14"/>
  <c r="BR58" i="14"/>
  <c r="BR56" i="14"/>
  <c r="BR54" i="14"/>
  <c r="BR52" i="14"/>
  <c r="BR50" i="14"/>
  <c r="BR48" i="14"/>
  <c r="BR46" i="14"/>
  <c r="BR44" i="14"/>
  <c r="BR42" i="14"/>
  <c r="BR40" i="14"/>
  <c r="BR38" i="14"/>
  <c r="BR36" i="14"/>
  <c r="BR34" i="14"/>
  <c r="BR32" i="14"/>
  <c r="BR30" i="14"/>
  <c r="BR28" i="14"/>
  <c r="BR26" i="14"/>
  <c r="BR24" i="14"/>
  <c r="BR22" i="14"/>
  <c r="BR20" i="14"/>
  <c r="BR18" i="14"/>
  <c r="BR16" i="14"/>
  <c r="BR14" i="14"/>
  <c r="BR12" i="14"/>
  <c r="CL95" i="14"/>
  <c r="CJ95" i="14"/>
  <c r="CI126" i="14"/>
  <c r="CK180" i="14" s="1"/>
  <c r="BA117" i="14"/>
  <c r="BK117" i="14"/>
  <c r="BA97" i="14"/>
  <c r="BK97" i="14"/>
  <c r="BA89" i="14"/>
  <c r="BK89" i="14"/>
  <c r="BA48" i="14"/>
  <c r="BK48" i="14"/>
  <c r="BA99" i="14"/>
  <c r="BK99" i="14"/>
  <c r="BO99" i="14" s="1"/>
  <c r="BA101" i="14"/>
  <c r="BK101" i="14"/>
  <c r="BA12" i="14"/>
  <c r="BK12" i="14"/>
  <c r="BO12" i="14" s="1"/>
  <c r="BA24" i="14"/>
  <c r="BK24" i="14"/>
  <c r="BO24" i="14" s="1"/>
  <c r="BA32" i="14"/>
  <c r="BK32" i="14"/>
  <c r="BA98" i="14"/>
  <c r="BK98" i="14"/>
  <c r="BA9" i="14"/>
  <c r="BK9" i="14"/>
  <c r="BO43" i="14"/>
  <c r="BO115" i="14"/>
  <c r="BO75" i="14"/>
  <c r="BO114" i="14"/>
  <c r="BO82" i="14"/>
  <c r="BO6" i="14"/>
  <c r="BA96" i="14"/>
  <c r="BK96" i="14"/>
  <c r="AM143" i="14"/>
  <c r="AN151" i="14"/>
  <c r="BA61" i="14"/>
  <c r="BK61" i="14"/>
  <c r="BO47" i="14"/>
  <c r="BA122" i="14"/>
  <c r="BK122" i="14"/>
  <c r="BA118" i="14"/>
  <c r="BK118" i="14"/>
  <c r="BA110" i="14"/>
  <c r="BK110" i="14"/>
  <c r="BA109" i="14"/>
  <c r="BK109" i="14"/>
  <c r="BA49" i="14"/>
  <c r="BK49" i="14"/>
  <c r="BA112" i="14"/>
  <c r="BK112" i="14"/>
  <c r="BA108" i="14"/>
  <c r="BK108" i="14"/>
  <c r="BA58" i="14"/>
  <c r="BK58" i="14"/>
  <c r="BA119" i="14"/>
  <c r="BK119" i="14"/>
  <c r="BA79" i="14"/>
  <c r="BK79" i="14"/>
  <c r="BA63" i="14"/>
  <c r="BK63" i="14"/>
  <c r="BA8" i="14"/>
  <c r="BK8" i="14"/>
  <c r="BA20" i="14"/>
  <c r="BK20" i="14"/>
  <c r="BA28" i="14"/>
  <c r="BK28" i="14"/>
  <c r="BO36" i="14"/>
  <c r="AS126" i="14"/>
  <c r="AT126" i="14"/>
  <c r="AU5" i="14"/>
  <c r="AU126" i="14" s="1"/>
  <c r="BV138" i="14"/>
  <c r="BX181" i="14" s="1"/>
  <c r="BW181" i="14" s="1"/>
  <c r="BA53" i="14"/>
  <c r="BK53" i="14"/>
  <c r="BA104" i="14"/>
  <c r="BK104" i="14"/>
  <c r="BO84" i="14"/>
  <c r="BA80" i="14"/>
  <c r="BK80" i="14"/>
  <c r="BA62" i="14"/>
  <c r="BK62" i="14"/>
  <c r="BO113" i="14"/>
  <c r="BA107" i="14"/>
  <c r="BK107" i="14"/>
  <c r="BO103" i="14"/>
  <c r="BA67" i="14"/>
  <c r="BK67" i="14"/>
  <c r="BA64" i="14"/>
  <c r="BK64" i="14"/>
  <c r="BA76" i="14"/>
  <c r="BK76" i="14"/>
  <c r="BA72" i="14"/>
  <c r="BK72" i="14"/>
  <c r="BA45" i="14"/>
  <c r="BK45" i="14"/>
  <c r="BA41" i="14"/>
  <c r="BK41" i="14"/>
  <c r="BA33" i="14"/>
  <c r="BK33" i="14"/>
  <c r="BA29" i="14"/>
  <c r="BK29" i="14"/>
  <c r="BA25" i="14"/>
  <c r="BK25" i="14"/>
  <c r="BA13" i="14"/>
  <c r="BK13" i="14"/>
  <c r="BA44" i="14"/>
  <c r="BK44" i="14"/>
  <c r="BA40" i="14"/>
  <c r="BK40" i="14"/>
  <c r="BA39" i="14"/>
  <c r="BK39" i="14"/>
  <c r="BA35" i="14"/>
  <c r="BK35" i="14"/>
  <c r="BA27" i="14"/>
  <c r="BK27" i="14"/>
  <c r="BA19" i="14"/>
  <c r="BK19" i="14"/>
  <c r="BA15" i="14"/>
  <c r="BK15" i="14"/>
  <c r="BA57" i="14"/>
  <c r="BK57" i="14"/>
  <c r="BA50" i="14"/>
  <c r="BK50" i="14"/>
  <c r="BO50" i="14" s="1"/>
  <c r="BA71" i="14"/>
  <c r="BK71" i="14"/>
  <c r="BA106" i="14"/>
  <c r="BK106" i="14"/>
  <c r="BG8" i="14"/>
  <c r="BH8" i="14" s="1"/>
  <c r="BF8" i="14"/>
  <c r="BP8" i="14"/>
  <c r="BG12" i="14"/>
  <c r="BH12" i="14" s="1"/>
  <c r="BF12" i="14"/>
  <c r="BP12" i="14"/>
  <c r="BP65" i="14"/>
  <c r="BG65" i="14"/>
  <c r="BH65" i="14" s="1"/>
  <c r="BF65" i="14"/>
  <c r="BG14" i="14"/>
  <c r="BH14" i="14" s="1"/>
  <c r="BF14" i="14"/>
  <c r="BP14" i="14"/>
  <c r="BG18" i="14"/>
  <c r="BH18" i="14" s="1"/>
  <c r="BF18" i="14"/>
  <c r="BP18" i="14"/>
  <c r="BG22" i="14"/>
  <c r="BH22" i="14" s="1"/>
  <c r="BF22" i="14"/>
  <c r="BP22" i="14"/>
  <c r="BG26" i="14"/>
  <c r="BH26" i="14" s="1"/>
  <c r="BF26" i="14"/>
  <c r="BP26" i="14"/>
  <c r="BG30" i="14"/>
  <c r="BH30" i="14" s="1"/>
  <c r="BF30" i="14"/>
  <c r="BP30" i="14"/>
  <c r="BG34" i="14"/>
  <c r="BH34" i="14" s="1"/>
  <c r="BF34" i="14"/>
  <c r="BP34" i="14"/>
  <c r="BG38" i="14"/>
  <c r="BH38" i="14" s="1"/>
  <c r="BF38" i="14"/>
  <c r="BP38" i="14"/>
  <c r="BG42" i="14"/>
  <c r="BH42" i="14" s="1"/>
  <c r="BF42" i="14"/>
  <c r="BP42" i="14"/>
  <c r="BG46" i="14"/>
  <c r="BH46" i="14" s="1"/>
  <c r="BF46" i="14"/>
  <c r="BP46" i="14"/>
  <c r="BG50" i="14"/>
  <c r="BH50" i="14" s="1"/>
  <c r="BF50" i="14"/>
  <c r="BP50" i="14"/>
  <c r="BG54" i="14"/>
  <c r="BH54" i="14" s="1"/>
  <c r="BF54" i="14"/>
  <c r="BP54" i="14"/>
  <c r="BG58" i="14"/>
  <c r="BH58" i="14" s="1"/>
  <c r="BF58" i="14"/>
  <c r="BP58" i="14"/>
  <c r="BG62" i="14"/>
  <c r="BH62" i="14" s="1"/>
  <c r="BF62" i="14"/>
  <c r="BP62" i="14"/>
  <c r="BP72" i="14"/>
  <c r="BG72" i="14"/>
  <c r="BH72" i="14" s="1"/>
  <c r="BF72" i="14"/>
  <c r="BP76" i="14"/>
  <c r="BG76" i="14"/>
  <c r="BH76" i="14" s="1"/>
  <c r="BF76" i="14"/>
  <c r="BP80" i="14"/>
  <c r="BG80" i="14"/>
  <c r="BH80" i="14" s="1"/>
  <c r="BF80" i="14"/>
  <c r="BP84" i="14"/>
  <c r="BG84" i="14"/>
  <c r="BH84" i="14" s="1"/>
  <c r="BF84" i="14"/>
  <c r="BG88" i="14"/>
  <c r="BH88" i="14" s="1"/>
  <c r="BF88" i="14"/>
  <c r="BP88" i="14"/>
  <c r="BG92" i="14"/>
  <c r="BH92" i="14" s="1"/>
  <c r="BF92" i="14"/>
  <c r="BP92" i="14"/>
  <c r="BG96" i="14"/>
  <c r="BH96" i="14" s="1"/>
  <c r="BF96" i="14"/>
  <c r="BP96" i="14"/>
  <c r="BG100" i="14"/>
  <c r="BH100" i="14" s="1"/>
  <c r="BP100" i="14"/>
  <c r="BF100" i="14"/>
  <c r="BG104" i="14"/>
  <c r="BH104" i="14" s="1"/>
  <c r="BF104" i="14"/>
  <c r="BP104" i="14"/>
  <c r="BG108" i="14"/>
  <c r="BH108" i="14" s="1"/>
  <c r="BP108" i="14"/>
  <c r="BF108" i="14"/>
  <c r="BG112" i="14"/>
  <c r="BH112" i="14" s="1"/>
  <c r="BP112" i="14"/>
  <c r="BF112" i="14"/>
  <c r="BG116" i="14"/>
  <c r="BH116" i="14" s="1"/>
  <c r="BP116" i="14"/>
  <c r="BF116" i="14"/>
  <c r="BP120" i="14"/>
  <c r="BG120" i="14"/>
  <c r="BH120" i="14" s="1"/>
  <c r="BF120" i="14"/>
  <c r="BP124" i="14"/>
  <c r="BG124" i="14"/>
  <c r="BH124" i="14" s="1"/>
  <c r="BF124" i="14"/>
  <c r="BG7" i="14"/>
  <c r="BH7" i="14" s="1"/>
  <c r="BP7" i="14"/>
  <c r="BF7" i="14"/>
  <c r="BG11" i="14"/>
  <c r="BH11" i="14" s="1"/>
  <c r="BF11" i="14"/>
  <c r="BP11" i="14"/>
  <c r="BP64" i="14"/>
  <c r="BG64" i="14"/>
  <c r="BH64" i="14" s="1"/>
  <c r="BF64" i="14"/>
  <c r="BP68" i="14"/>
  <c r="BG68" i="14"/>
  <c r="BH68" i="14" s="1"/>
  <c r="BF68" i="14"/>
  <c r="BG17" i="14"/>
  <c r="BH17" i="14" s="1"/>
  <c r="BF17" i="14"/>
  <c r="BP17" i="14"/>
  <c r="BG21" i="14"/>
  <c r="BH21" i="14" s="1"/>
  <c r="BF21" i="14"/>
  <c r="BP21" i="14"/>
  <c r="BG25" i="14"/>
  <c r="BH25" i="14" s="1"/>
  <c r="BF25" i="14"/>
  <c r="BP25" i="14"/>
  <c r="BG29" i="14"/>
  <c r="BH29" i="14" s="1"/>
  <c r="BF29" i="14"/>
  <c r="BP29" i="14"/>
  <c r="BG33" i="14"/>
  <c r="BH33" i="14" s="1"/>
  <c r="BF33" i="14"/>
  <c r="BP33" i="14"/>
  <c r="BG37" i="14"/>
  <c r="BH37" i="14" s="1"/>
  <c r="BF37" i="14"/>
  <c r="BP37" i="14"/>
  <c r="BG41" i="14"/>
  <c r="BH41" i="14" s="1"/>
  <c r="BF41" i="14"/>
  <c r="BP41" i="14"/>
  <c r="BG45" i="14"/>
  <c r="BH45" i="14" s="1"/>
  <c r="BF45" i="14"/>
  <c r="BP45" i="14"/>
  <c r="BG49" i="14"/>
  <c r="BH49" i="14" s="1"/>
  <c r="BF49" i="14"/>
  <c r="BP49" i="14"/>
  <c r="BG53" i="14"/>
  <c r="BH53" i="14" s="1"/>
  <c r="BF53" i="14"/>
  <c r="BP53" i="14"/>
  <c r="BG57" i="14"/>
  <c r="BH57" i="14" s="1"/>
  <c r="BF57" i="14"/>
  <c r="BP57" i="14"/>
  <c r="BG61" i="14"/>
  <c r="BH61" i="14" s="1"/>
  <c r="BF61" i="14"/>
  <c r="BP61" i="14"/>
  <c r="BP71" i="14"/>
  <c r="BG71" i="14"/>
  <c r="BH71" i="14" s="1"/>
  <c r="BF71" i="14"/>
  <c r="BP75" i="14"/>
  <c r="BG75" i="14"/>
  <c r="BH75" i="14" s="1"/>
  <c r="BF75" i="14"/>
  <c r="BP79" i="14"/>
  <c r="BG79" i="14"/>
  <c r="BH79" i="14" s="1"/>
  <c r="BF79" i="14"/>
  <c r="BP83" i="14"/>
  <c r="BG83" i="14"/>
  <c r="BH83" i="14" s="1"/>
  <c r="BF83" i="14"/>
  <c r="BP87" i="14"/>
  <c r="BG87" i="14"/>
  <c r="BH87" i="14" s="1"/>
  <c r="BF87" i="14"/>
  <c r="BG91" i="14"/>
  <c r="BH91" i="14" s="1"/>
  <c r="BF91" i="14"/>
  <c r="BP91" i="14"/>
  <c r="BG95" i="14"/>
  <c r="BH95" i="14" s="1"/>
  <c r="BF95" i="14"/>
  <c r="BP95" i="14"/>
  <c r="BG99" i="14"/>
  <c r="BH99" i="14" s="1"/>
  <c r="BP99" i="14"/>
  <c r="BF99" i="14"/>
  <c r="BG103" i="14"/>
  <c r="BH103" i="14" s="1"/>
  <c r="BF103" i="14"/>
  <c r="BP103" i="14"/>
  <c r="BG107" i="14"/>
  <c r="BH107" i="14" s="1"/>
  <c r="BF107" i="14"/>
  <c r="BP107" i="14"/>
  <c r="BG111" i="14"/>
  <c r="BH111" i="14" s="1"/>
  <c r="BP111" i="14"/>
  <c r="BF111" i="14"/>
  <c r="BG115" i="14"/>
  <c r="BH115" i="14" s="1"/>
  <c r="BP115" i="14"/>
  <c r="BF115" i="14"/>
  <c r="BP119" i="14"/>
  <c r="BG119" i="14"/>
  <c r="BH119" i="14" s="1"/>
  <c r="BF119" i="14"/>
  <c r="BP123" i="14"/>
  <c r="BG123" i="14"/>
  <c r="BH123" i="14" s="1"/>
  <c r="BF123" i="14"/>
  <c r="BO98" i="14"/>
  <c r="BO54" i="14"/>
  <c r="BO56" i="14"/>
  <c r="BA10" i="14"/>
  <c r="BK10" i="14"/>
  <c r="BA18" i="14"/>
  <c r="BK18" i="14"/>
  <c r="BA22" i="14"/>
  <c r="BK22" i="14"/>
  <c r="BA30" i="14"/>
  <c r="BK30" i="14"/>
  <c r="BA34" i="14"/>
  <c r="BK34" i="14"/>
  <c r="BA38" i="14"/>
  <c r="BK38" i="14"/>
  <c r="BA60" i="14"/>
  <c r="BK60" i="14"/>
  <c r="BD126" i="14"/>
  <c r="AW126" i="14"/>
  <c r="AX176" i="14" s="1"/>
  <c r="AY126" i="14"/>
  <c r="BO5" i="14"/>
  <c r="AU143" i="14"/>
  <c r="AU151" i="14" s="1"/>
  <c r="CK93" i="14"/>
  <c r="CV124" i="14"/>
  <c r="CV122" i="14"/>
  <c r="CV120" i="14"/>
  <c r="CV118" i="14"/>
  <c r="CV116" i="14"/>
  <c r="CV114" i="14"/>
  <c r="CV112" i="14"/>
  <c r="CV110" i="14"/>
  <c r="CV108" i="14"/>
  <c r="CV106" i="14"/>
  <c r="CV104" i="14"/>
  <c r="CV102" i="14"/>
  <c r="CV100" i="14"/>
  <c r="CV98" i="14"/>
  <c r="CV96" i="14"/>
  <c r="CV94" i="14"/>
  <c r="CV92" i="14"/>
  <c r="CV90" i="14"/>
  <c r="CV88" i="14"/>
  <c r="CV86" i="14"/>
  <c r="CV84" i="14"/>
  <c r="CV82" i="14"/>
  <c r="CV80" i="14"/>
  <c r="CV78" i="14"/>
  <c r="CV76" i="14"/>
  <c r="CV74" i="14"/>
  <c r="CV72" i="14"/>
  <c r="CV70" i="14"/>
  <c r="CV68" i="14"/>
  <c r="CV66" i="14"/>
  <c r="CV64" i="14"/>
  <c r="CV62" i="14"/>
  <c r="CV60" i="14"/>
  <c r="CV58" i="14"/>
  <c r="CV56" i="14"/>
  <c r="CV54" i="14"/>
  <c r="CV52" i="14"/>
  <c r="CV50" i="14"/>
  <c r="CV48" i="14"/>
  <c r="CV46" i="14"/>
  <c r="CV44" i="14"/>
  <c r="CV42" i="14"/>
  <c r="CV40" i="14"/>
  <c r="CV38" i="14"/>
  <c r="CV36" i="14"/>
  <c r="CV34" i="14"/>
  <c r="CV32" i="14"/>
  <c r="CV30" i="14"/>
  <c r="CV28" i="14"/>
  <c r="CV26" i="14"/>
  <c r="CV24" i="14"/>
  <c r="CV22" i="14"/>
  <c r="CV20" i="14"/>
  <c r="CV18" i="14"/>
  <c r="CV16" i="14"/>
  <c r="CV14" i="14"/>
  <c r="DM4" i="14"/>
  <c r="DA4" i="14"/>
  <c r="CV9" i="14"/>
  <c r="CV6" i="14"/>
  <c r="CX4" i="14"/>
  <c r="CV12" i="14"/>
  <c r="CV8" i="14"/>
  <c r="DD4" i="14"/>
  <c r="CV125" i="14"/>
  <c r="CV123" i="14"/>
  <c r="CV121" i="14"/>
  <c r="CV119" i="14"/>
  <c r="CV117" i="14"/>
  <c r="CV115" i="14"/>
  <c r="CV113" i="14"/>
  <c r="CV111" i="14"/>
  <c r="CV109" i="14"/>
  <c r="CV107" i="14"/>
  <c r="CV105" i="14"/>
  <c r="CV103" i="14"/>
  <c r="CV101" i="14"/>
  <c r="CV99" i="14"/>
  <c r="CV97" i="14"/>
  <c r="CV95" i="14"/>
  <c r="CV93" i="14"/>
  <c r="CV91" i="14"/>
  <c r="CV89" i="14"/>
  <c r="CV87" i="14"/>
  <c r="CV85" i="14"/>
  <c r="CV83" i="14"/>
  <c r="CV81" i="14"/>
  <c r="CV79" i="14"/>
  <c r="CV77" i="14"/>
  <c r="CV75" i="14"/>
  <c r="CV73" i="14"/>
  <c r="CV71" i="14"/>
  <c r="CV69" i="14"/>
  <c r="CV67" i="14"/>
  <c r="CV65" i="14"/>
  <c r="CV63" i="14"/>
  <c r="CV61" i="14"/>
  <c r="CV59" i="14"/>
  <c r="CV57" i="14"/>
  <c r="CV55" i="14"/>
  <c r="CV53" i="14"/>
  <c r="CV51" i="14"/>
  <c r="CV49" i="14"/>
  <c r="CV47" i="14"/>
  <c r="CV45" i="14"/>
  <c r="CV43" i="14"/>
  <c r="CV41" i="14"/>
  <c r="CV39" i="14"/>
  <c r="CV37" i="14"/>
  <c r="CV35" i="14"/>
  <c r="CV33" i="14"/>
  <c r="CV31" i="14"/>
  <c r="CV29" i="14"/>
  <c r="CV27" i="14"/>
  <c r="CV25" i="14"/>
  <c r="CV23" i="14"/>
  <c r="CV21" i="14"/>
  <c r="CV19" i="14"/>
  <c r="CV17" i="14"/>
  <c r="CV15" i="14"/>
  <c r="CV13" i="14"/>
  <c r="DC4" i="14"/>
  <c r="CV10" i="14"/>
  <c r="CV7" i="14"/>
  <c r="DB4" i="14"/>
  <c r="CV4" i="14"/>
  <c r="CW4" i="14" s="1"/>
  <c r="CV11" i="14"/>
  <c r="CV5" i="14"/>
  <c r="CX95" i="14"/>
  <c r="DB95" i="14" s="1"/>
  <c r="CM178" i="14"/>
  <c r="CM176" i="14"/>
  <c r="CM174" i="14"/>
  <c r="CG4" i="14"/>
  <c r="CL4" i="14"/>
  <c r="CF4" i="14"/>
  <c r="CM180" i="14"/>
  <c r="CM177" i="14"/>
  <c r="CM175" i="14"/>
  <c r="CK128" i="14"/>
  <c r="H23" i="17" s="1"/>
  <c r="CE4" i="14"/>
  <c r="CH4" i="14"/>
  <c r="CE1" i="14" s="1"/>
  <c r="CI130" i="14"/>
  <c r="CI156" i="14"/>
  <c r="CI164" i="14" s="1"/>
  <c r="BO97" i="14"/>
  <c r="BA85" i="14"/>
  <c r="BK85" i="14"/>
  <c r="BA116" i="14"/>
  <c r="BK116" i="14"/>
  <c r="BA46" i="14"/>
  <c r="BK46" i="14"/>
  <c r="BA51" i="14"/>
  <c r="BK51" i="14"/>
  <c r="BO51" i="14" s="1"/>
  <c r="BA90" i="14"/>
  <c r="BK90" i="14"/>
  <c r="BA68" i="14"/>
  <c r="BK68" i="14"/>
  <c r="BO68" i="14" s="1"/>
  <c r="BA16" i="14"/>
  <c r="BK16" i="14"/>
  <c r="BA102" i="14"/>
  <c r="BK102" i="14"/>
  <c r="Z147" i="14"/>
  <c r="D26" i="17"/>
  <c r="D28" i="17" s="1"/>
  <c r="G24" i="17"/>
  <c r="G23" i="17"/>
  <c r="AC164" i="14"/>
  <c r="U151" i="14"/>
  <c r="S151" i="14"/>
  <c r="Z143" i="14"/>
  <c r="E16" i="7"/>
  <c r="H16" i="7" s="1"/>
  <c r="E13" i="7"/>
  <c r="H13" i="7" s="1"/>
  <c r="CZ95" i="14" l="1"/>
  <c r="DA95" i="14" s="1"/>
  <c r="CV126" i="14"/>
  <c r="CX180" i="14" s="1"/>
  <c r="DD95" i="14"/>
  <c r="BL102" i="14"/>
  <c r="BJ102" i="14"/>
  <c r="BQ102" i="14"/>
  <c r="BM102" i="14"/>
  <c r="BJ16" i="14"/>
  <c r="BL16" i="14"/>
  <c r="BM16" i="14"/>
  <c r="BQ16" i="14"/>
  <c r="BJ90" i="14"/>
  <c r="BL90" i="14"/>
  <c r="BM90" i="14"/>
  <c r="BQ90" i="14"/>
  <c r="BL46" i="14"/>
  <c r="BJ46" i="14"/>
  <c r="BQ46" i="14"/>
  <c r="BM46" i="14"/>
  <c r="BO46" i="14"/>
  <c r="BL85" i="14"/>
  <c r="BJ85" i="14"/>
  <c r="BQ85" i="14"/>
  <c r="BM85" i="14"/>
  <c r="BO85" i="14"/>
  <c r="CV130" i="14"/>
  <c r="CV156" i="14"/>
  <c r="CV164" i="14" s="1"/>
  <c r="CJ93" i="14"/>
  <c r="CL93" i="14"/>
  <c r="CM93" i="14"/>
  <c r="CQ93" i="14"/>
  <c r="BJ60" i="14"/>
  <c r="BL60" i="14"/>
  <c r="BQ60" i="14"/>
  <c r="BM60" i="14"/>
  <c r="BL38" i="14"/>
  <c r="BJ38" i="14"/>
  <c r="BM38" i="14"/>
  <c r="BQ38" i="14"/>
  <c r="BJ34" i="14"/>
  <c r="BL34" i="14"/>
  <c r="BM34" i="14"/>
  <c r="BQ34" i="14"/>
  <c r="BL30" i="14"/>
  <c r="BJ30" i="14"/>
  <c r="BQ30" i="14"/>
  <c r="BM30" i="14"/>
  <c r="BL22" i="14"/>
  <c r="BJ22" i="14"/>
  <c r="BQ22" i="14"/>
  <c r="BM22" i="14"/>
  <c r="BO22" i="14"/>
  <c r="BJ18" i="14"/>
  <c r="BL18" i="14"/>
  <c r="BM18" i="14"/>
  <c r="BQ18" i="14"/>
  <c r="BL10" i="14"/>
  <c r="BJ10" i="14"/>
  <c r="BM10" i="14"/>
  <c r="BQ10" i="14"/>
  <c r="BO10" i="14"/>
  <c r="BO18" i="14"/>
  <c r="BA143" i="14"/>
  <c r="BJ67" i="14"/>
  <c r="BL67" i="14"/>
  <c r="BQ67" i="14"/>
  <c r="BM67" i="14"/>
  <c r="BJ62" i="14"/>
  <c r="BL62" i="14"/>
  <c r="BM62" i="14"/>
  <c r="BQ62" i="14"/>
  <c r="BO62" i="14"/>
  <c r="BJ104" i="14"/>
  <c r="BL104" i="14"/>
  <c r="BQ104" i="14"/>
  <c r="BM104" i="14"/>
  <c r="BO104" i="14"/>
  <c r="BJ28" i="14"/>
  <c r="BL28" i="14"/>
  <c r="BQ28" i="14"/>
  <c r="BM28" i="14"/>
  <c r="BO20" i="14"/>
  <c r="BJ20" i="14"/>
  <c r="BL20" i="14"/>
  <c r="BM20" i="14"/>
  <c r="BQ20" i="14"/>
  <c r="BJ8" i="14"/>
  <c r="BL8" i="14"/>
  <c r="BM8" i="14"/>
  <c r="BQ8" i="14"/>
  <c r="BO8" i="14"/>
  <c r="BJ63" i="14"/>
  <c r="BL63" i="14"/>
  <c r="BQ63" i="14"/>
  <c r="BM63" i="14"/>
  <c r="BO63" i="14"/>
  <c r="BL79" i="14"/>
  <c r="BJ79" i="14"/>
  <c r="BM79" i="14"/>
  <c r="BQ79" i="14"/>
  <c r="BJ119" i="14"/>
  <c r="BL119" i="14"/>
  <c r="BM119" i="14"/>
  <c r="BQ119" i="14"/>
  <c r="BO119" i="14"/>
  <c r="BL58" i="14"/>
  <c r="BJ58" i="14"/>
  <c r="BQ58" i="14"/>
  <c r="BM58" i="14"/>
  <c r="BO58" i="14"/>
  <c r="BJ108" i="14"/>
  <c r="BL108" i="14"/>
  <c r="BQ108" i="14"/>
  <c r="BM108" i="14"/>
  <c r="BO108" i="14"/>
  <c r="BJ112" i="14"/>
  <c r="BL112" i="14"/>
  <c r="BQ112" i="14"/>
  <c r="BM112" i="14"/>
  <c r="BL49" i="14"/>
  <c r="BJ49" i="14"/>
  <c r="BQ49" i="14"/>
  <c r="BM49" i="14"/>
  <c r="BO49" i="14"/>
  <c r="BJ109" i="14"/>
  <c r="BL109" i="14"/>
  <c r="BM109" i="14"/>
  <c r="BQ109" i="14"/>
  <c r="BL110" i="14"/>
  <c r="BJ110" i="14"/>
  <c r="BQ110" i="14"/>
  <c r="BM110" i="14"/>
  <c r="BO110" i="14"/>
  <c r="BL122" i="14"/>
  <c r="BJ122" i="14"/>
  <c r="BM122" i="14"/>
  <c r="BQ122" i="14"/>
  <c r="BO109" i="14"/>
  <c r="AM151" i="14"/>
  <c r="BJ98" i="14"/>
  <c r="BL98" i="14"/>
  <c r="BM98" i="14"/>
  <c r="BQ98" i="14"/>
  <c r="BO32" i="14"/>
  <c r="BJ32" i="14"/>
  <c r="BL32" i="14"/>
  <c r="BQ32" i="14"/>
  <c r="BM32" i="14"/>
  <c r="BL24" i="14"/>
  <c r="BJ24" i="14"/>
  <c r="BQ24" i="14"/>
  <c r="BM24" i="14"/>
  <c r="BJ12" i="14"/>
  <c r="BL12" i="14"/>
  <c r="BQ12" i="14"/>
  <c r="BM12" i="14"/>
  <c r="BL101" i="14"/>
  <c r="BJ101" i="14"/>
  <c r="BM101" i="14"/>
  <c r="BQ101" i="14"/>
  <c r="BL99" i="14"/>
  <c r="BJ99" i="14"/>
  <c r="BQ99" i="14"/>
  <c r="BM99" i="14"/>
  <c r="BO48" i="14"/>
  <c r="BJ48" i="14"/>
  <c r="BL48" i="14"/>
  <c r="BQ48" i="14"/>
  <c r="BM48" i="14"/>
  <c r="BO101" i="14"/>
  <c r="CC12" i="14"/>
  <c r="BT12" i="14"/>
  <c r="BU12" i="14" s="1"/>
  <c r="BS12" i="14"/>
  <c r="CC16" i="14"/>
  <c r="BT16" i="14"/>
  <c r="BU16" i="14" s="1"/>
  <c r="BS16" i="14"/>
  <c r="BS20" i="14"/>
  <c r="CC20" i="14"/>
  <c r="BT20" i="14"/>
  <c r="BU20" i="14" s="1"/>
  <c r="CC24" i="14"/>
  <c r="BT24" i="14"/>
  <c r="BU24" i="14" s="1"/>
  <c r="BS24" i="14"/>
  <c r="CC28" i="14"/>
  <c r="BT28" i="14"/>
  <c r="BU28" i="14" s="1"/>
  <c r="BS28" i="14"/>
  <c r="BS32" i="14"/>
  <c r="CC32" i="14"/>
  <c r="BT32" i="14"/>
  <c r="BU32" i="14" s="1"/>
  <c r="BS36" i="14"/>
  <c r="CC36" i="14"/>
  <c r="BT36" i="14"/>
  <c r="BU36" i="14" s="1"/>
  <c r="CC40" i="14"/>
  <c r="BT40" i="14"/>
  <c r="BU40" i="14" s="1"/>
  <c r="BS40" i="14"/>
  <c r="BS44" i="14"/>
  <c r="CC44" i="14"/>
  <c r="BT44" i="14"/>
  <c r="BU44" i="14" s="1"/>
  <c r="CC48" i="14"/>
  <c r="BT48" i="14"/>
  <c r="BU48" i="14" s="1"/>
  <c r="BS48" i="14"/>
  <c r="CC52" i="14"/>
  <c r="BT52" i="14"/>
  <c r="BU52" i="14" s="1"/>
  <c r="BS52" i="14"/>
  <c r="BS56" i="14"/>
  <c r="CC56" i="14"/>
  <c r="BT56" i="14"/>
  <c r="BU56" i="14" s="1"/>
  <c r="BR126" i="14"/>
  <c r="BS5" i="14"/>
  <c r="CC5" i="14"/>
  <c r="BT5" i="14"/>
  <c r="CC10" i="14"/>
  <c r="BT10" i="14"/>
  <c r="BU10" i="14" s="1"/>
  <c r="BS10" i="14"/>
  <c r="BS62" i="14"/>
  <c r="CC62" i="14"/>
  <c r="BT62" i="14"/>
  <c r="BU62" i="14" s="1"/>
  <c r="BS63" i="14"/>
  <c r="BT63" i="14"/>
  <c r="BU63" i="14" s="1"/>
  <c r="CC63" i="14"/>
  <c r="BT67" i="14"/>
  <c r="BU67" i="14" s="1"/>
  <c r="CC67" i="14"/>
  <c r="BS67" i="14"/>
  <c r="CC71" i="14"/>
  <c r="BT71" i="14"/>
  <c r="BU71" i="14" s="1"/>
  <c r="BS71" i="14"/>
  <c r="CC75" i="14"/>
  <c r="BT75" i="14"/>
  <c r="BU75" i="14" s="1"/>
  <c r="BS75" i="14"/>
  <c r="BT79" i="14"/>
  <c r="BU79" i="14" s="1"/>
  <c r="BS79" i="14"/>
  <c r="CC79" i="14"/>
  <c r="BT83" i="14"/>
  <c r="BU83" i="14" s="1"/>
  <c r="BS83" i="14"/>
  <c r="CC83" i="14"/>
  <c r="CC87" i="14"/>
  <c r="BT87" i="14"/>
  <c r="BU87" i="14" s="1"/>
  <c r="BS87" i="14"/>
  <c r="BS94" i="14"/>
  <c r="CC94" i="14"/>
  <c r="BT94" i="14"/>
  <c r="BU94" i="14" s="1"/>
  <c r="CC98" i="14"/>
  <c r="BT98" i="14"/>
  <c r="BU98" i="14" s="1"/>
  <c r="BS98" i="14"/>
  <c r="BS102" i="14"/>
  <c r="CC102" i="14"/>
  <c r="BT102" i="14"/>
  <c r="BU102" i="14" s="1"/>
  <c r="BS106" i="14"/>
  <c r="CC106" i="14"/>
  <c r="BT106" i="14"/>
  <c r="BU106" i="14" s="1"/>
  <c r="CC110" i="14"/>
  <c r="BT110" i="14"/>
  <c r="BU110" i="14" s="1"/>
  <c r="BS110" i="14"/>
  <c r="BS114" i="14"/>
  <c r="CC114" i="14"/>
  <c r="BT114" i="14"/>
  <c r="BU114" i="14" s="1"/>
  <c r="CC118" i="14"/>
  <c r="BT118" i="14"/>
  <c r="BU118" i="14" s="1"/>
  <c r="BS118" i="14"/>
  <c r="CC122" i="14"/>
  <c r="BT122" i="14"/>
  <c r="BU122" i="14" s="1"/>
  <c r="BS122" i="14"/>
  <c r="BS6" i="14"/>
  <c r="CC6" i="14"/>
  <c r="BT6" i="14"/>
  <c r="BU6" i="14" s="1"/>
  <c r="BS15" i="14"/>
  <c r="CC15" i="14"/>
  <c r="BT15" i="14"/>
  <c r="BU15" i="14" s="1"/>
  <c r="BS19" i="14"/>
  <c r="CC19" i="14"/>
  <c r="BT19" i="14"/>
  <c r="BU19" i="14" s="1"/>
  <c r="BS23" i="14"/>
  <c r="CC23" i="14"/>
  <c r="BT23" i="14"/>
  <c r="BU23" i="14" s="1"/>
  <c r="BS27" i="14"/>
  <c r="CC27" i="14"/>
  <c r="BT27" i="14"/>
  <c r="BU27" i="14" s="1"/>
  <c r="BS31" i="14"/>
  <c r="CC31" i="14"/>
  <c r="BT31" i="14"/>
  <c r="BU31" i="14" s="1"/>
  <c r="BS35" i="14"/>
  <c r="CC35" i="14"/>
  <c r="BT35" i="14"/>
  <c r="BU35" i="14" s="1"/>
  <c r="BS39" i="14"/>
  <c r="CC39" i="14"/>
  <c r="BT39" i="14"/>
  <c r="BU39" i="14" s="1"/>
  <c r="BS43" i="14"/>
  <c r="CC43" i="14"/>
  <c r="BT43" i="14"/>
  <c r="BU43" i="14" s="1"/>
  <c r="BS47" i="14"/>
  <c r="CC47" i="14"/>
  <c r="BT47" i="14"/>
  <c r="BU47" i="14" s="1"/>
  <c r="BS51" i="14"/>
  <c r="CC51" i="14"/>
  <c r="BT51" i="14"/>
  <c r="BU51" i="14" s="1"/>
  <c r="BS55" i="14"/>
  <c r="CC55" i="14"/>
  <c r="BT55" i="14"/>
  <c r="BU55" i="14" s="1"/>
  <c r="BS59" i="14"/>
  <c r="CC59" i="14"/>
  <c r="BT59" i="14"/>
  <c r="BU59" i="14" s="1"/>
  <c r="BS9" i="14"/>
  <c r="CC9" i="14"/>
  <c r="BT9" i="14"/>
  <c r="BU9" i="14" s="1"/>
  <c r="BS61" i="14"/>
  <c r="CC61" i="14"/>
  <c r="BT61" i="14"/>
  <c r="BU61" i="14" s="1"/>
  <c r="BS90" i="14"/>
  <c r="CC90" i="14"/>
  <c r="BT90" i="14"/>
  <c r="BU90" i="14" s="1"/>
  <c r="BS66" i="14"/>
  <c r="BT66" i="14"/>
  <c r="BU66" i="14" s="1"/>
  <c r="CC66" i="14"/>
  <c r="CC70" i="14"/>
  <c r="BT70" i="14"/>
  <c r="BU70" i="14" s="1"/>
  <c r="BS70" i="14"/>
  <c r="CC74" i="14"/>
  <c r="BT74" i="14"/>
  <c r="BU74" i="14" s="1"/>
  <c r="BS74" i="14"/>
  <c r="CC78" i="14"/>
  <c r="BT78" i="14"/>
  <c r="BU78" i="14" s="1"/>
  <c r="BS78" i="14"/>
  <c r="CC82" i="14"/>
  <c r="BT82" i="14"/>
  <c r="BU82" i="14" s="1"/>
  <c r="BS82" i="14"/>
  <c r="CC86" i="14"/>
  <c r="BT86" i="14"/>
  <c r="BU86" i="14" s="1"/>
  <c r="BS86" i="14"/>
  <c r="BS93" i="14"/>
  <c r="CC93" i="14"/>
  <c r="BT93" i="14"/>
  <c r="BU93" i="14" s="1"/>
  <c r="BS97" i="14"/>
  <c r="CC97" i="14"/>
  <c r="BT97" i="14"/>
  <c r="BU97" i="14" s="1"/>
  <c r="BS101" i="14"/>
  <c r="CC101" i="14"/>
  <c r="BT101" i="14"/>
  <c r="BU101" i="14" s="1"/>
  <c r="BS105" i="14"/>
  <c r="CC105" i="14"/>
  <c r="BT105" i="14"/>
  <c r="BU105" i="14" s="1"/>
  <c r="BS109" i="14"/>
  <c r="CC109" i="14"/>
  <c r="BT109" i="14"/>
  <c r="BU109" i="14" s="1"/>
  <c r="BS113" i="14"/>
  <c r="CC113" i="14"/>
  <c r="BT113" i="14"/>
  <c r="BU113" i="14" s="1"/>
  <c r="BS117" i="14"/>
  <c r="CC117" i="14"/>
  <c r="BT117" i="14"/>
  <c r="BU117" i="14" s="1"/>
  <c r="CC121" i="14"/>
  <c r="BT121" i="14"/>
  <c r="BU121" i="14" s="1"/>
  <c r="BS121" i="14"/>
  <c r="BS125" i="14"/>
  <c r="BT125" i="14"/>
  <c r="BU125" i="14" s="1"/>
  <c r="CC125" i="14"/>
  <c r="AX182" i="14"/>
  <c r="AX177" i="14"/>
  <c r="AX178" i="14" s="1"/>
  <c r="BL26" i="14"/>
  <c r="BJ26" i="14"/>
  <c r="BM26" i="14"/>
  <c r="BQ26" i="14"/>
  <c r="BO26" i="14"/>
  <c r="BJ14" i="14"/>
  <c r="BL14" i="14"/>
  <c r="BM14" i="14"/>
  <c r="BQ14" i="14"/>
  <c r="BJ6" i="14"/>
  <c r="BL6" i="14"/>
  <c r="BM6" i="14"/>
  <c r="BQ6" i="14"/>
  <c r="BL56" i="14"/>
  <c r="BJ56" i="14"/>
  <c r="BM56" i="14"/>
  <c r="BQ56" i="14"/>
  <c r="BO60" i="14"/>
  <c r="BJ54" i="14"/>
  <c r="BL54" i="14"/>
  <c r="BM54" i="14"/>
  <c r="BQ54" i="14"/>
  <c r="BJ124" i="14"/>
  <c r="BL124" i="14"/>
  <c r="BQ124" i="14"/>
  <c r="BM124" i="14"/>
  <c r="BO124" i="14"/>
  <c r="BF143" i="14"/>
  <c r="BF151" i="14" s="1"/>
  <c r="BP156" i="14"/>
  <c r="BG126" i="14"/>
  <c r="BH5" i="14"/>
  <c r="BH126" i="14" s="1"/>
  <c r="BJ23" i="14"/>
  <c r="BL23" i="14"/>
  <c r="BM23" i="14"/>
  <c r="BQ23" i="14"/>
  <c r="BO23" i="14"/>
  <c r="BJ31" i="14"/>
  <c r="BL31" i="14"/>
  <c r="BQ31" i="14"/>
  <c r="BM31" i="14"/>
  <c r="BO31" i="14"/>
  <c r="BJ43" i="14"/>
  <c r="BL43" i="14"/>
  <c r="BM43" i="14"/>
  <c r="BQ43" i="14"/>
  <c r="BO17" i="14"/>
  <c r="BL17" i="14"/>
  <c r="BJ17" i="14"/>
  <c r="BQ17" i="14"/>
  <c r="BM17" i="14"/>
  <c r="BL21" i="14"/>
  <c r="BJ21" i="14"/>
  <c r="BM21" i="14"/>
  <c r="BQ21" i="14"/>
  <c r="BO21" i="14"/>
  <c r="BL37" i="14"/>
  <c r="BJ37" i="14"/>
  <c r="BM37" i="14"/>
  <c r="BQ37" i="14"/>
  <c r="BO37" i="14"/>
  <c r="BL70" i="14"/>
  <c r="BJ70" i="14"/>
  <c r="BM70" i="14"/>
  <c r="BQ70" i="14"/>
  <c r="BO70" i="14"/>
  <c r="BL74" i="14"/>
  <c r="BJ74" i="14"/>
  <c r="BM74" i="14"/>
  <c r="BQ74" i="14"/>
  <c r="BO74" i="14"/>
  <c r="BL78" i="14"/>
  <c r="BJ78" i="14"/>
  <c r="BM78" i="14"/>
  <c r="BQ78" i="14"/>
  <c r="BO78" i="14"/>
  <c r="CO93" i="14"/>
  <c r="BJ91" i="14"/>
  <c r="BL91" i="14"/>
  <c r="BQ91" i="14"/>
  <c r="BM91" i="14"/>
  <c r="BO91" i="14"/>
  <c r="BL105" i="14"/>
  <c r="BJ105" i="14"/>
  <c r="BM105" i="14"/>
  <c r="BQ105" i="14"/>
  <c r="BO105" i="14"/>
  <c r="BL84" i="14"/>
  <c r="BJ84" i="14"/>
  <c r="BQ84" i="14"/>
  <c r="BM84" i="14"/>
  <c r="BJ88" i="14"/>
  <c r="BL88" i="14"/>
  <c r="BM88" i="14"/>
  <c r="BQ88" i="14"/>
  <c r="BO88" i="14"/>
  <c r="BO52" i="14"/>
  <c r="BJ52" i="14"/>
  <c r="BL52" i="14"/>
  <c r="BM52" i="14"/>
  <c r="BQ52" i="14"/>
  <c r="BJ55" i="14"/>
  <c r="BL55" i="14"/>
  <c r="BM55" i="14"/>
  <c r="BQ55" i="14"/>
  <c r="BO55" i="14"/>
  <c r="BO83" i="14"/>
  <c r="BJ83" i="14"/>
  <c r="BL83" i="14"/>
  <c r="BM83" i="14"/>
  <c r="BQ83" i="14"/>
  <c r="BJ87" i="14"/>
  <c r="BL87" i="14"/>
  <c r="BQ87" i="14"/>
  <c r="BM87" i="14"/>
  <c r="BO87" i="14"/>
  <c r="BL123" i="14"/>
  <c r="BJ123" i="14"/>
  <c r="BM123" i="14"/>
  <c r="BQ123" i="14"/>
  <c r="BO123" i="14"/>
  <c r="BO66" i="14"/>
  <c r="BJ66" i="14"/>
  <c r="BL66" i="14"/>
  <c r="BQ66" i="14"/>
  <c r="BM66" i="14"/>
  <c r="BJ65" i="14"/>
  <c r="BL65" i="14"/>
  <c r="BQ65" i="14"/>
  <c r="BM65" i="14"/>
  <c r="BO73" i="14"/>
  <c r="BJ73" i="14"/>
  <c r="BL73" i="14"/>
  <c r="BQ73" i="14"/>
  <c r="BM73" i="14"/>
  <c r="BJ77" i="14"/>
  <c r="BL77" i="14"/>
  <c r="BM77" i="14"/>
  <c r="BQ77" i="14"/>
  <c r="BO77" i="14"/>
  <c r="BJ81" i="14"/>
  <c r="BL81" i="14"/>
  <c r="BQ81" i="14"/>
  <c r="BM81" i="14"/>
  <c r="BO81" i="14"/>
  <c r="BJ42" i="14"/>
  <c r="BL42" i="14"/>
  <c r="BM42" i="14"/>
  <c r="BQ42" i="14"/>
  <c r="BO42" i="14"/>
  <c r="BJ11" i="14"/>
  <c r="BL11" i="14"/>
  <c r="BQ11" i="14"/>
  <c r="BM11" i="14"/>
  <c r="BL75" i="14"/>
  <c r="BJ75" i="14"/>
  <c r="BQ75" i="14"/>
  <c r="BM75" i="14"/>
  <c r="BO65" i="14"/>
  <c r="BO34" i="14"/>
  <c r="BL68" i="14"/>
  <c r="BJ68" i="14"/>
  <c r="BQ68" i="14"/>
  <c r="BM68" i="14"/>
  <c r="BJ51" i="14"/>
  <c r="BL51" i="14"/>
  <c r="BQ51" i="14"/>
  <c r="BM51" i="14"/>
  <c r="CI138" i="14"/>
  <c r="CK181" i="14" s="1"/>
  <c r="H24" i="17" s="1"/>
  <c r="CE124" i="14"/>
  <c r="CE117" i="14"/>
  <c r="CE115" i="14"/>
  <c r="CE113" i="14"/>
  <c r="CE111" i="14"/>
  <c r="CE109" i="14"/>
  <c r="CE107" i="14"/>
  <c r="CE105" i="14"/>
  <c r="CE103" i="14"/>
  <c r="CE101" i="14"/>
  <c r="CE99" i="14"/>
  <c r="CE97" i="14"/>
  <c r="CE121" i="14"/>
  <c r="CE119" i="14"/>
  <c r="CE96" i="14"/>
  <c r="CE94" i="14"/>
  <c r="CE92" i="14"/>
  <c r="CE90" i="14"/>
  <c r="CE88" i="14"/>
  <c r="CE86" i="14"/>
  <c r="CE84" i="14"/>
  <c r="CE82" i="14"/>
  <c r="CE80" i="14"/>
  <c r="CE78" i="14"/>
  <c r="CE76" i="14"/>
  <c r="CE74" i="14"/>
  <c r="CE72" i="14"/>
  <c r="CE70" i="14"/>
  <c r="CE68" i="14"/>
  <c r="CE66" i="14"/>
  <c r="CE64" i="14"/>
  <c r="CE62" i="14"/>
  <c r="CE60" i="14"/>
  <c r="CE58" i="14"/>
  <c r="CE56" i="14"/>
  <c r="CE54" i="14"/>
  <c r="CE52" i="14"/>
  <c r="CE50" i="14"/>
  <c r="CE48" i="14"/>
  <c r="CE46" i="14"/>
  <c r="CE44" i="14"/>
  <c r="CE42" i="14"/>
  <c r="CE40" i="14"/>
  <c r="CE38" i="14"/>
  <c r="CE36" i="14"/>
  <c r="CE34" i="14"/>
  <c r="CE32" i="14"/>
  <c r="CE30" i="14"/>
  <c r="CE28" i="14"/>
  <c r="CE26" i="14"/>
  <c r="CE24" i="14"/>
  <c r="CE22" i="14"/>
  <c r="CE20" i="14"/>
  <c r="CE18" i="14"/>
  <c r="CE16" i="14"/>
  <c r="CE14" i="14"/>
  <c r="CE12" i="14"/>
  <c r="CE10" i="14"/>
  <c r="CE8" i="14"/>
  <c r="CE6" i="14"/>
  <c r="CE123" i="14"/>
  <c r="CE114" i="14"/>
  <c r="CE110" i="14"/>
  <c r="CE106" i="14"/>
  <c r="CE102" i="14"/>
  <c r="CE98" i="14"/>
  <c r="CE120" i="14"/>
  <c r="CE95" i="14"/>
  <c r="CE91" i="14"/>
  <c r="CE87" i="14"/>
  <c r="CE83" i="14"/>
  <c r="CE79" i="14"/>
  <c r="CE75" i="14"/>
  <c r="CE71" i="14"/>
  <c r="CE67" i="14"/>
  <c r="CE63" i="14"/>
  <c r="CE59" i="14"/>
  <c r="CE55" i="14"/>
  <c r="CE51" i="14"/>
  <c r="CE47" i="14"/>
  <c r="CE43" i="14"/>
  <c r="CE39" i="14"/>
  <c r="CE35" i="14"/>
  <c r="CE31" i="14"/>
  <c r="CE27" i="14"/>
  <c r="CE23" i="14"/>
  <c r="CE19" i="14"/>
  <c r="CE15" i="14"/>
  <c r="CE11" i="14"/>
  <c r="CE7" i="14"/>
  <c r="CE125" i="14"/>
  <c r="CE116" i="14"/>
  <c r="CE112" i="14"/>
  <c r="CE108" i="14"/>
  <c r="CE104" i="14"/>
  <c r="CE100" i="14"/>
  <c r="CE122" i="14"/>
  <c r="CE118" i="14"/>
  <c r="CE93" i="14"/>
  <c r="CE89" i="14"/>
  <c r="CE85" i="14"/>
  <c r="CE81" i="14"/>
  <c r="CE77" i="14"/>
  <c r="CE73" i="14"/>
  <c r="CE69" i="14"/>
  <c r="CE65" i="14"/>
  <c r="CE61" i="14"/>
  <c r="CE57" i="14"/>
  <c r="CE53" i="14"/>
  <c r="CE49" i="14"/>
  <c r="CE45" i="14"/>
  <c r="CE41" i="14"/>
  <c r="CE37" i="14"/>
  <c r="CE33" i="14"/>
  <c r="CE29" i="14"/>
  <c r="CE25" i="14"/>
  <c r="CE21" i="14"/>
  <c r="CE17" i="14"/>
  <c r="CE13" i="14"/>
  <c r="CE9" i="14"/>
  <c r="CE5" i="14"/>
  <c r="BL116" i="14"/>
  <c r="BJ116" i="14"/>
  <c r="BQ116" i="14"/>
  <c r="BM116" i="14"/>
  <c r="BO116" i="14"/>
  <c r="CY95" i="14"/>
  <c r="CW95" i="14"/>
  <c r="CZ180" i="14"/>
  <c r="CZ177" i="14"/>
  <c r="CZ175" i="14"/>
  <c r="CX128" i="14"/>
  <c r="CU4" i="14"/>
  <c r="CR1" i="14" s="1"/>
  <c r="CT4" i="14"/>
  <c r="CZ178" i="14"/>
  <c r="CZ174" i="14"/>
  <c r="CS4" i="14"/>
  <c r="CZ176" i="14"/>
  <c r="CY4" i="14"/>
  <c r="CR4" i="14"/>
  <c r="DI125" i="14"/>
  <c r="DI123" i="14"/>
  <c r="DI121" i="14"/>
  <c r="DI119" i="14"/>
  <c r="DI117" i="14"/>
  <c r="DI115" i="14"/>
  <c r="DI113" i="14"/>
  <c r="DI111" i="14"/>
  <c r="DI109" i="14"/>
  <c r="DI107" i="14"/>
  <c r="DI105" i="14"/>
  <c r="DI103" i="14"/>
  <c r="DI101" i="14"/>
  <c r="DI99" i="14"/>
  <c r="DI97" i="14"/>
  <c r="DI95" i="14"/>
  <c r="DI93" i="14"/>
  <c r="DI91" i="14"/>
  <c r="DI89" i="14"/>
  <c r="DI87" i="14"/>
  <c r="DI85" i="14"/>
  <c r="DI83" i="14"/>
  <c r="DI81" i="14"/>
  <c r="DI79" i="14"/>
  <c r="DI77" i="14"/>
  <c r="DI75" i="14"/>
  <c r="DI73" i="14"/>
  <c r="DI71" i="14"/>
  <c r="DI69" i="14"/>
  <c r="DI61" i="14"/>
  <c r="DI59" i="14"/>
  <c r="DI57" i="14"/>
  <c r="DI55" i="14"/>
  <c r="DI53" i="14"/>
  <c r="DI51" i="14"/>
  <c r="DI49" i="14"/>
  <c r="DI47" i="14"/>
  <c r="DI45" i="14"/>
  <c r="DI43" i="14"/>
  <c r="DI41" i="14"/>
  <c r="DI39" i="14"/>
  <c r="DI37" i="14"/>
  <c r="DI35" i="14"/>
  <c r="DI33" i="14"/>
  <c r="DI31" i="14"/>
  <c r="DI29" i="14"/>
  <c r="DI27" i="14"/>
  <c r="DI25" i="14"/>
  <c r="DI23" i="14"/>
  <c r="DI21" i="14"/>
  <c r="DI19" i="14"/>
  <c r="DI17" i="14"/>
  <c r="DI15" i="14"/>
  <c r="DI13" i="14"/>
  <c r="DI67" i="14"/>
  <c r="DI65" i="14"/>
  <c r="DI63" i="14"/>
  <c r="DI11" i="14"/>
  <c r="DI9" i="14"/>
  <c r="DI7" i="14"/>
  <c r="DI5" i="14"/>
  <c r="DO4" i="14"/>
  <c r="DI4" i="14"/>
  <c r="DJ4" i="14" s="1"/>
  <c r="DP4" i="14"/>
  <c r="DI124" i="14"/>
  <c r="DI120" i="14"/>
  <c r="DI116" i="14"/>
  <c r="DI112" i="14"/>
  <c r="DI108" i="14"/>
  <c r="DI104" i="14"/>
  <c r="DI100" i="14"/>
  <c r="DI96" i="14"/>
  <c r="DI92" i="14"/>
  <c r="DI88" i="14"/>
  <c r="DI84" i="14"/>
  <c r="DI80" i="14"/>
  <c r="DI76" i="14"/>
  <c r="DI72" i="14"/>
  <c r="DI62" i="14"/>
  <c r="DI58" i="14"/>
  <c r="DI54" i="14"/>
  <c r="DI50" i="14"/>
  <c r="DI46" i="14"/>
  <c r="DI42" i="14"/>
  <c r="DI38" i="14"/>
  <c r="DI34" i="14"/>
  <c r="DI30" i="14"/>
  <c r="DI26" i="14"/>
  <c r="DI22" i="14"/>
  <c r="DI18" i="14"/>
  <c r="DI14" i="14"/>
  <c r="DI66" i="14"/>
  <c r="DI12" i="14"/>
  <c r="DI8" i="14"/>
  <c r="DQ4" i="14"/>
  <c r="DZ4" i="14"/>
  <c r="DI122" i="14"/>
  <c r="DI118" i="14"/>
  <c r="DI114" i="14"/>
  <c r="DI110" i="14"/>
  <c r="DI106" i="14"/>
  <c r="DI102" i="14"/>
  <c r="DI98" i="14"/>
  <c r="DI94" i="14"/>
  <c r="DI90" i="14"/>
  <c r="DI86" i="14"/>
  <c r="DI82" i="14"/>
  <c r="DI78" i="14"/>
  <c r="DI74" i="14"/>
  <c r="DI70" i="14"/>
  <c r="DI60" i="14"/>
  <c r="DI56" i="14"/>
  <c r="DI52" i="14"/>
  <c r="DI48" i="14"/>
  <c r="DI44" i="14"/>
  <c r="DI40" i="14"/>
  <c r="DI36" i="14"/>
  <c r="DI32" i="14"/>
  <c r="DI28" i="14"/>
  <c r="DI24" i="14"/>
  <c r="DI20" i="14"/>
  <c r="DI16" i="14"/>
  <c r="DI68" i="14"/>
  <c r="DI64" i="14"/>
  <c r="DI10" i="14"/>
  <c r="DI6" i="14"/>
  <c r="DK4" i="14"/>
  <c r="DN4" i="14"/>
  <c r="DK95" i="14"/>
  <c r="DM95" i="14" s="1"/>
  <c r="DN95" i="14" s="1"/>
  <c r="BO90" i="14"/>
  <c r="BL106" i="14"/>
  <c r="BJ106" i="14"/>
  <c r="BQ106" i="14"/>
  <c r="BM106" i="14"/>
  <c r="BO106" i="14"/>
  <c r="BL71" i="14"/>
  <c r="BJ71" i="14"/>
  <c r="BM71" i="14"/>
  <c r="BQ71" i="14"/>
  <c r="BO71" i="14"/>
  <c r="BL50" i="14"/>
  <c r="BJ50" i="14"/>
  <c r="BM50" i="14"/>
  <c r="BQ50" i="14"/>
  <c r="BJ57" i="14"/>
  <c r="BL57" i="14"/>
  <c r="BQ57" i="14"/>
  <c r="BM57" i="14"/>
  <c r="BO57" i="14"/>
  <c r="BJ15" i="14"/>
  <c r="BL15" i="14"/>
  <c r="BM15" i="14"/>
  <c r="BQ15" i="14"/>
  <c r="BO15" i="14"/>
  <c r="BJ19" i="14"/>
  <c r="BL19" i="14"/>
  <c r="BK130" i="14"/>
  <c r="BQ19" i="14"/>
  <c r="BM19" i="14"/>
  <c r="BO19" i="14"/>
  <c r="BJ27" i="14"/>
  <c r="BL27" i="14"/>
  <c r="BM27" i="14"/>
  <c r="BQ27" i="14"/>
  <c r="BJ35" i="14"/>
  <c r="BL35" i="14"/>
  <c r="BQ35" i="14"/>
  <c r="BM35" i="14"/>
  <c r="BO35" i="14"/>
  <c r="BJ39" i="14"/>
  <c r="BL39" i="14"/>
  <c r="BM39" i="14"/>
  <c r="BQ39" i="14"/>
  <c r="BO39" i="14"/>
  <c r="BO40" i="14"/>
  <c r="BJ40" i="14"/>
  <c r="BL40" i="14"/>
  <c r="BM40" i="14"/>
  <c r="BQ40" i="14"/>
  <c r="BL44" i="14"/>
  <c r="BJ44" i="14"/>
  <c r="BQ44" i="14"/>
  <c r="BM44" i="14"/>
  <c r="BO44" i="14"/>
  <c r="BL13" i="14"/>
  <c r="BJ13" i="14"/>
  <c r="BQ13" i="14"/>
  <c r="BM13" i="14"/>
  <c r="BO13" i="14"/>
  <c r="BL25" i="14"/>
  <c r="BJ25" i="14"/>
  <c r="BQ25" i="14"/>
  <c r="BM25" i="14"/>
  <c r="BL29" i="14"/>
  <c r="BJ29" i="14"/>
  <c r="BQ29" i="14"/>
  <c r="BM29" i="14"/>
  <c r="BO29" i="14"/>
  <c r="BJ33" i="14"/>
  <c r="BL33" i="14"/>
  <c r="BM33" i="14"/>
  <c r="BQ33" i="14"/>
  <c r="BO33" i="14"/>
  <c r="BJ41" i="14"/>
  <c r="BL41" i="14"/>
  <c r="BQ41" i="14"/>
  <c r="BM41" i="14"/>
  <c r="BO41" i="14"/>
  <c r="BL45" i="14"/>
  <c r="BJ45" i="14"/>
  <c r="BQ45" i="14"/>
  <c r="BM45" i="14"/>
  <c r="BO45" i="14"/>
  <c r="BL72" i="14"/>
  <c r="BJ72" i="14"/>
  <c r="BQ72" i="14"/>
  <c r="BM72" i="14"/>
  <c r="BO72" i="14"/>
  <c r="BL76" i="14"/>
  <c r="BJ76" i="14"/>
  <c r="BQ76" i="14"/>
  <c r="BM76" i="14"/>
  <c r="BO76" i="14"/>
  <c r="BL64" i="14"/>
  <c r="BJ64" i="14"/>
  <c r="BM64" i="14"/>
  <c r="BQ64" i="14"/>
  <c r="BO64" i="14"/>
  <c r="BJ107" i="14"/>
  <c r="BL107" i="14"/>
  <c r="BQ107" i="14"/>
  <c r="BM107" i="14"/>
  <c r="BL80" i="14"/>
  <c r="BJ80" i="14"/>
  <c r="BQ80" i="14"/>
  <c r="BM80" i="14"/>
  <c r="BJ53" i="14"/>
  <c r="BL53" i="14"/>
  <c r="BM53" i="14"/>
  <c r="BQ53" i="14"/>
  <c r="BO53" i="14"/>
  <c r="BO38" i="14"/>
  <c r="BJ118" i="14"/>
  <c r="BL118" i="14"/>
  <c r="BQ118" i="14"/>
  <c r="BM118" i="14"/>
  <c r="BO118" i="14"/>
  <c r="BO79" i="14"/>
  <c r="BJ61" i="14"/>
  <c r="BL61" i="14"/>
  <c r="BQ61" i="14"/>
  <c r="BM61" i="14"/>
  <c r="BO61" i="14"/>
  <c r="BO27" i="14"/>
  <c r="BL96" i="14"/>
  <c r="BJ96" i="14"/>
  <c r="BQ96" i="14"/>
  <c r="BM96" i="14"/>
  <c r="BO96" i="14"/>
  <c r="BO16" i="14"/>
  <c r="BO112" i="14"/>
  <c r="BJ9" i="14"/>
  <c r="BL9" i="14"/>
  <c r="BM9" i="14"/>
  <c r="BQ9" i="14"/>
  <c r="BO9" i="14"/>
  <c r="BO30" i="14"/>
  <c r="BO89" i="14"/>
  <c r="BL89" i="14"/>
  <c r="BJ89" i="14"/>
  <c r="BQ89" i="14"/>
  <c r="BM89" i="14"/>
  <c r="BL97" i="14"/>
  <c r="BJ97" i="14"/>
  <c r="BQ97" i="14"/>
  <c r="BM97" i="14"/>
  <c r="BJ117" i="14"/>
  <c r="BL117" i="14"/>
  <c r="BM117" i="14"/>
  <c r="BQ117" i="14"/>
  <c r="BO117" i="14"/>
  <c r="CJ181" i="14"/>
  <c r="BS14" i="14"/>
  <c r="CC14" i="14"/>
  <c r="BT14" i="14"/>
  <c r="BU14" i="14" s="1"/>
  <c r="CC18" i="14"/>
  <c r="BT18" i="14"/>
  <c r="BU18" i="14" s="1"/>
  <c r="BS18" i="14"/>
  <c r="BS22" i="14"/>
  <c r="CC22" i="14"/>
  <c r="BT22" i="14"/>
  <c r="BU22" i="14" s="1"/>
  <c r="BS26" i="14"/>
  <c r="CC26" i="14"/>
  <c r="BT26" i="14"/>
  <c r="BU26" i="14" s="1"/>
  <c r="CC30" i="14"/>
  <c r="BT30" i="14"/>
  <c r="BU30" i="14" s="1"/>
  <c r="BS30" i="14"/>
  <c r="CC34" i="14"/>
  <c r="BT34" i="14"/>
  <c r="BU34" i="14" s="1"/>
  <c r="BS34" i="14"/>
  <c r="BS38" i="14"/>
  <c r="CC38" i="14"/>
  <c r="BT38" i="14"/>
  <c r="BU38" i="14" s="1"/>
  <c r="CC42" i="14"/>
  <c r="BT42" i="14"/>
  <c r="BU42" i="14" s="1"/>
  <c r="BS42" i="14"/>
  <c r="BS46" i="14"/>
  <c r="CC46" i="14"/>
  <c r="BT46" i="14"/>
  <c r="BU46" i="14" s="1"/>
  <c r="BS50" i="14"/>
  <c r="CC50" i="14"/>
  <c r="BT50" i="14"/>
  <c r="BU50" i="14" s="1"/>
  <c r="CC54" i="14"/>
  <c r="BT54" i="14"/>
  <c r="BU54" i="14" s="1"/>
  <c r="BS54" i="14"/>
  <c r="BS58" i="14"/>
  <c r="CC58" i="14"/>
  <c r="BT58" i="14"/>
  <c r="BU58" i="14" s="1"/>
  <c r="CC8" i="14"/>
  <c r="BT8" i="14"/>
  <c r="BU8" i="14" s="1"/>
  <c r="BS8" i="14"/>
  <c r="BS60" i="14"/>
  <c r="CC60" i="14"/>
  <c r="BT60" i="14"/>
  <c r="BU60" i="14" s="1"/>
  <c r="CC89" i="14"/>
  <c r="BT89" i="14"/>
  <c r="BU89" i="14" s="1"/>
  <c r="BS89" i="14"/>
  <c r="BT65" i="14"/>
  <c r="BU65" i="14" s="1"/>
  <c r="CC65" i="14"/>
  <c r="BS65" i="14"/>
  <c r="CC69" i="14"/>
  <c r="BT69" i="14"/>
  <c r="BU69" i="14" s="1"/>
  <c r="BS69" i="14"/>
  <c r="BT73" i="14"/>
  <c r="BU73" i="14" s="1"/>
  <c r="BS73" i="14"/>
  <c r="CC73" i="14"/>
  <c r="BT77" i="14"/>
  <c r="BU77" i="14" s="1"/>
  <c r="BS77" i="14"/>
  <c r="CC77" i="14"/>
  <c r="CC81" i="14"/>
  <c r="BT81" i="14"/>
  <c r="BU81" i="14" s="1"/>
  <c r="BS81" i="14"/>
  <c r="CC85" i="14"/>
  <c r="BT85" i="14"/>
  <c r="BU85" i="14" s="1"/>
  <c r="BS85" i="14"/>
  <c r="CC92" i="14"/>
  <c r="BT92" i="14"/>
  <c r="BU92" i="14" s="1"/>
  <c r="BS92" i="14"/>
  <c r="CC96" i="14"/>
  <c r="BT96" i="14"/>
  <c r="BU96" i="14" s="1"/>
  <c r="BS96" i="14"/>
  <c r="BS100" i="14"/>
  <c r="CC100" i="14"/>
  <c r="BT100" i="14"/>
  <c r="BU100" i="14" s="1"/>
  <c r="CC104" i="14"/>
  <c r="BT104" i="14"/>
  <c r="BU104" i="14" s="1"/>
  <c r="BS104" i="14"/>
  <c r="CC108" i="14"/>
  <c r="BT108" i="14"/>
  <c r="BU108" i="14" s="1"/>
  <c r="BS108" i="14"/>
  <c r="BS112" i="14"/>
  <c r="CC112" i="14"/>
  <c r="BT112" i="14"/>
  <c r="BU112" i="14" s="1"/>
  <c r="CC116" i="14"/>
  <c r="BT116" i="14"/>
  <c r="BU116" i="14" s="1"/>
  <c r="BS116" i="14"/>
  <c r="CC120" i="14"/>
  <c r="BT120" i="14"/>
  <c r="BU120" i="14" s="1"/>
  <c r="BS120" i="14"/>
  <c r="BT124" i="14"/>
  <c r="BU124" i="14" s="1"/>
  <c r="CC124" i="14"/>
  <c r="BS124" i="14"/>
  <c r="CC13" i="14"/>
  <c r="BT13" i="14"/>
  <c r="BU13" i="14" s="1"/>
  <c r="BS13" i="14"/>
  <c r="CC17" i="14"/>
  <c r="BT17" i="14"/>
  <c r="BU17" i="14" s="1"/>
  <c r="BS17" i="14"/>
  <c r="CC21" i="14"/>
  <c r="BT21" i="14"/>
  <c r="BU21" i="14" s="1"/>
  <c r="BS21" i="14"/>
  <c r="CC25" i="14"/>
  <c r="BT25" i="14"/>
  <c r="BU25" i="14" s="1"/>
  <c r="BS25" i="14"/>
  <c r="CC29" i="14"/>
  <c r="BT29" i="14"/>
  <c r="BU29" i="14" s="1"/>
  <c r="BS29" i="14"/>
  <c r="CC33" i="14"/>
  <c r="BT33" i="14"/>
  <c r="BU33" i="14" s="1"/>
  <c r="BS33" i="14"/>
  <c r="CC37" i="14"/>
  <c r="BT37" i="14"/>
  <c r="BU37" i="14" s="1"/>
  <c r="BS37" i="14"/>
  <c r="CC41" i="14"/>
  <c r="BT41" i="14"/>
  <c r="BU41" i="14" s="1"/>
  <c r="BS41" i="14"/>
  <c r="CC45" i="14"/>
  <c r="BT45" i="14"/>
  <c r="BU45" i="14" s="1"/>
  <c r="BS45" i="14"/>
  <c r="CC49" i="14"/>
  <c r="BT49" i="14"/>
  <c r="BU49" i="14" s="1"/>
  <c r="BS49" i="14"/>
  <c r="CC53" i="14"/>
  <c r="BT53" i="14"/>
  <c r="BU53" i="14" s="1"/>
  <c r="BS53" i="14"/>
  <c r="CC57" i="14"/>
  <c r="BT57" i="14"/>
  <c r="BU57" i="14" s="1"/>
  <c r="BS57" i="14"/>
  <c r="CC7" i="14"/>
  <c r="BT7" i="14"/>
  <c r="BU7" i="14" s="1"/>
  <c r="BS7" i="14"/>
  <c r="CC11" i="14"/>
  <c r="BT11" i="14"/>
  <c r="BU11" i="14" s="1"/>
  <c r="BS11" i="14"/>
  <c r="CC88" i="14"/>
  <c r="BT88" i="14"/>
  <c r="BU88" i="14" s="1"/>
  <c r="BS88" i="14"/>
  <c r="BT64" i="14"/>
  <c r="BU64" i="14" s="1"/>
  <c r="CC64" i="14"/>
  <c r="BS64" i="14"/>
  <c r="BT68" i="14"/>
  <c r="BU68" i="14" s="1"/>
  <c r="CC68" i="14"/>
  <c r="BS68" i="14"/>
  <c r="BT72" i="14"/>
  <c r="BU72" i="14" s="1"/>
  <c r="BS72" i="14"/>
  <c r="CC72" i="14"/>
  <c r="BT76" i="14"/>
  <c r="BU76" i="14" s="1"/>
  <c r="BS76" i="14"/>
  <c r="CC76" i="14"/>
  <c r="BT80" i="14"/>
  <c r="BU80" i="14" s="1"/>
  <c r="BS80" i="14"/>
  <c r="CC80" i="14"/>
  <c r="BT84" i="14"/>
  <c r="BU84" i="14" s="1"/>
  <c r="BS84" i="14"/>
  <c r="CC84" i="14"/>
  <c r="CC91" i="14"/>
  <c r="BT91" i="14"/>
  <c r="BU91" i="14" s="1"/>
  <c r="BS91" i="14"/>
  <c r="CC95" i="14"/>
  <c r="BT95" i="14"/>
  <c r="BU95" i="14" s="1"/>
  <c r="BS95" i="14"/>
  <c r="CC99" i="14"/>
  <c r="BT99" i="14"/>
  <c r="BU99" i="14" s="1"/>
  <c r="BS99" i="14"/>
  <c r="CC103" i="14"/>
  <c r="BT103" i="14"/>
  <c r="BU103" i="14" s="1"/>
  <c r="BS103" i="14"/>
  <c r="CC107" i="14"/>
  <c r="BT107" i="14"/>
  <c r="BU107" i="14" s="1"/>
  <c r="BS107" i="14"/>
  <c r="CC111" i="14"/>
  <c r="BT111" i="14"/>
  <c r="BU111" i="14" s="1"/>
  <c r="BS111" i="14"/>
  <c r="CC115" i="14"/>
  <c r="BT115" i="14"/>
  <c r="BU115" i="14" s="1"/>
  <c r="BS115" i="14"/>
  <c r="BT119" i="14"/>
  <c r="BU119" i="14" s="1"/>
  <c r="BS119" i="14"/>
  <c r="CC119" i="14"/>
  <c r="BT123" i="14"/>
  <c r="BU123" i="14" s="1"/>
  <c r="BS123" i="14"/>
  <c r="CC123" i="14"/>
  <c r="BC164" i="14"/>
  <c r="AX175" i="14"/>
  <c r="BJ5" i="14"/>
  <c r="BL5" i="14"/>
  <c r="BQ5" i="14"/>
  <c r="BM5" i="14"/>
  <c r="BJ59" i="14"/>
  <c r="BL59" i="14"/>
  <c r="BM59" i="14"/>
  <c r="BQ59" i="14"/>
  <c r="BO59" i="14"/>
  <c r="BO69" i="14"/>
  <c r="BJ69" i="14"/>
  <c r="BL69" i="14"/>
  <c r="BM69" i="14"/>
  <c r="BQ69" i="14"/>
  <c r="BH143" i="14"/>
  <c r="BH151" i="14" s="1"/>
  <c r="BF126" i="14"/>
  <c r="BP126" i="14"/>
  <c r="BL82" i="14"/>
  <c r="BJ82" i="14"/>
  <c r="BM82" i="14"/>
  <c r="BQ82" i="14"/>
  <c r="BL86" i="14"/>
  <c r="BJ86" i="14"/>
  <c r="BM86" i="14"/>
  <c r="BQ86" i="14"/>
  <c r="BO86" i="14"/>
  <c r="BJ47" i="14"/>
  <c r="BL47" i="14"/>
  <c r="BQ47" i="14"/>
  <c r="BM47" i="14"/>
  <c r="BL111" i="14"/>
  <c r="BJ111" i="14"/>
  <c r="BQ111" i="14"/>
  <c r="BM111" i="14"/>
  <c r="BO111" i="14"/>
  <c r="BL115" i="14"/>
  <c r="BJ115" i="14"/>
  <c r="BQ115" i="14"/>
  <c r="BM115" i="14"/>
  <c r="BJ121" i="14"/>
  <c r="BL121" i="14"/>
  <c r="BM121" i="14"/>
  <c r="BQ121" i="14"/>
  <c r="BO121" i="14"/>
  <c r="BJ120" i="14"/>
  <c r="BL120" i="14"/>
  <c r="BQ120" i="14"/>
  <c r="BM120" i="14"/>
  <c r="BO120" i="14"/>
  <c r="BJ125" i="14"/>
  <c r="BL125" i="14"/>
  <c r="BQ125" i="14"/>
  <c r="BM125" i="14"/>
  <c r="BO125" i="14"/>
  <c r="BJ7" i="14"/>
  <c r="BL7" i="14"/>
  <c r="BM7" i="14"/>
  <c r="BQ7" i="14"/>
  <c r="BO7" i="14"/>
  <c r="BO14" i="14"/>
  <c r="BO67" i="14"/>
  <c r="BJ103" i="14"/>
  <c r="BL103" i="14"/>
  <c r="BQ103" i="14"/>
  <c r="BM103" i="14"/>
  <c r="BO107" i="14"/>
  <c r="BJ113" i="14"/>
  <c r="BL113" i="14"/>
  <c r="BM113" i="14"/>
  <c r="BQ113" i="14"/>
  <c r="BO80" i="14"/>
  <c r="BO102" i="14"/>
  <c r="BL100" i="14"/>
  <c r="BJ100" i="14"/>
  <c r="BQ100" i="14"/>
  <c r="BM100" i="14"/>
  <c r="BL36" i="14"/>
  <c r="BJ36" i="14"/>
  <c r="BM36" i="14"/>
  <c r="BQ36" i="14"/>
  <c r="BO28" i="14"/>
  <c r="AX183" i="14"/>
  <c r="E27" i="17" s="1"/>
  <c r="AX188" i="14"/>
  <c r="BA92" i="14"/>
  <c r="BK92" i="14"/>
  <c r="BA94" i="14"/>
  <c r="BK94" i="14"/>
  <c r="BL114" i="14"/>
  <c r="BJ114" i="14"/>
  <c r="BQ114" i="14"/>
  <c r="BM114" i="14"/>
  <c r="BO122" i="14"/>
  <c r="BO11" i="14"/>
  <c r="BO25" i="14"/>
  <c r="H25" i="17"/>
  <c r="E26" i="17"/>
  <c r="E28" i="17" s="1"/>
  <c r="G25" i="17"/>
  <c r="I23" i="17"/>
  <c r="Z151" i="14"/>
  <c r="D23" i="7"/>
  <c r="E23" i="7" s="1"/>
  <c r="F23" i="7" s="1"/>
  <c r="G23" i="7" s="1"/>
  <c r="H25" i="7"/>
  <c r="I25" i="7" s="1"/>
  <c r="J25" i="7" s="1"/>
  <c r="K25" i="7" s="1"/>
  <c r="C25" i="7"/>
  <c r="D25" i="7" s="1"/>
  <c r="E25" i="7" s="1"/>
  <c r="F25" i="7" s="1"/>
  <c r="G25" i="7" s="1"/>
  <c r="H24" i="7"/>
  <c r="I24" i="7" s="1"/>
  <c r="D24" i="7"/>
  <c r="E24" i="7" s="1"/>
  <c r="C24" i="7"/>
  <c r="H23" i="7"/>
  <c r="C23" i="7"/>
  <c r="H22" i="7"/>
  <c r="I22" i="7" s="1"/>
  <c r="H21" i="7"/>
  <c r="C22" i="7"/>
  <c r="D22" i="7"/>
  <c r="E22" i="7" s="1"/>
  <c r="D21" i="7"/>
  <c r="BK174" i="14" l="1"/>
  <c r="DQ95" i="14"/>
  <c r="BA126" i="14"/>
  <c r="BN100" i="14"/>
  <c r="BX100" i="14"/>
  <c r="BN120" i="14"/>
  <c r="BX120" i="14"/>
  <c r="BN121" i="14"/>
  <c r="BX121" i="14"/>
  <c r="BN111" i="14"/>
  <c r="BX111" i="14"/>
  <c r="BN47" i="14"/>
  <c r="BX47" i="14"/>
  <c r="BN86" i="14"/>
  <c r="BX86" i="14"/>
  <c r="BN82" i="14"/>
  <c r="BX82" i="14"/>
  <c r="BN69" i="14"/>
  <c r="BX69" i="14"/>
  <c r="BN59" i="14"/>
  <c r="BX59" i="14"/>
  <c r="BK126" i="14"/>
  <c r="BN97" i="14"/>
  <c r="BX97" i="14"/>
  <c r="BN89" i="14"/>
  <c r="BX89" i="14"/>
  <c r="CB89" i="14" s="1"/>
  <c r="BN9" i="14"/>
  <c r="BX9" i="14"/>
  <c r="BN96" i="14"/>
  <c r="BX96" i="14"/>
  <c r="BN61" i="14"/>
  <c r="BX61" i="14"/>
  <c r="BN118" i="14"/>
  <c r="BX118" i="14"/>
  <c r="BN53" i="14"/>
  <c r="BX53" i="14"/>
  <c r="BN80" i="14"/>
  <c r="BX80" i="14"/>
  <c r="BN72" i="14"/>
  <c r="BX72" i="14"/>
  <c r="BN41" i="14"/>
  <c r="BX41" i="14"/>
  <c r="BN33" i="14"/>
  <c r="BX33" i="14"/>
  <c r="BN29" i="14"/>
  <c r="BX29" i="14"/>
  <c r="BN25" i="14"/>
  <c r="BX25" i="14"/>
  <c r="CB25" i="14" s="1"/>
  <c r="BN44" i="14"/>
  <c r="BX44" i="14"/>
  <c r="BN27" i="14"/>
  <c r="BX27" i="14"/>
  <c r="BN19" i="14"/>
  <c r="BX19" i="14"/>
  <c r="BK138" i="14"/>
  <c r="BL143" i="14"/>
  <c r="BL151" i="14" s="1"/>
  <c r="BN15" i="14"/>
  <c r="BX15" i="14"/>
  <c r="BN57" i="14"/>
  <c r="BX57" i="14"/>
  <c r="BN71" i="14"/>
  <c r="BX71" i="14"/>
  <c r="BN106" i="14"/>
  <c r="BX106" i="14"/>
  <c r="DV125" i="14"/>
  <c r="DV123" i="14"/>
  <c r="DV121" i="14"/>
  <c r="DV119" i="14"/>
  <c r="DV117" i="14"/>
  <c r="DV115" i="14"/>
  <c r="DV113" i="14"/>
  <c r="DV111" i="14"/>
  <c r="DV109" i="14"/>
  <c r="DV107" i="14"/>
  <c r="DV105" i="14"/>
  <c r="DV103" i="14"/>
  <c r="DV101" i="14"/>
  <c r="DV99" i="14"/>
  <c r="DV97" i="14"/>
  <c r="DV95" i="14"/>
  <c r="DV93" i="14"/>
  <c r="DV91" i="14"/>
  <c r="DV85" i="14"/>
  <c r="DV83" i="14"/>
  <c r="DV81" i="14"/>
  <c r="DV79" i="14"/>
  <c r="DV77" i="14"/>
  <c r="DV75" i="14"/>
  <c r="DV73" i="14"/>
  <c r="DV71" i="14"/>
  <c r="DV69" i="14"/>
  <c r="DV67" i="14"/>
  <c r="DV65" i="14"/>
  <c r="DV63" i="14"/>
  <c r="DV89" i="14"/>
  <c r="DV87" i="14"/>
  <c r="DV61" i="14"/>
  <c r="DV59" i="14"/>
  <c r="EA4" i="14"/>
  <c r="DV10" i="14"/>
  <c r="ED4" i="14"/>
  <c r="DV57" i="14"/>
  <c r="DV55" i="14"/>
  <c r="DV53" i="14"/>
  <c r="DV51" i="14"/>
  <c r="DV49" i="14"/>
  <c r="DV47" i="14"/>
  <c r="DV45" i="14"/>
  <c r="DV43" i="14"/>
  <c r="DV41" i="14"/>
  <c r="DV39" i="14"/>
  <c r="DV37" i="14"/>
  <c r="DV35" i="14"/>
  <c r="DV33" i="14"/>
  <c r="DV31" i="14"/>
  <c r="DV29" i="14"/>
  <c r="DV27" i="14"/>
  <c r="DV25" i="14"/>
  <c r="DV23" i="14"/>
  <c r="DV21" i="14"/>
  <c r="DV19" i="14"/>
  <c r="DV17" i="14"/>
  <c r="DV15" i="14"/>
  <c r="DV13" i="14"/>
  <c r="DV9" i="14"/>
  <c r="DV7" i="14"/>
  <c r="EB4" i="14"/>
  <c r="DV4" i="14"/>
  <c r="DW4" i="14" s="1"/>
  <c r="DV124" i="14"/>
  <c r="DV122" i="14"/>
  <c r="DV120" i="14"/>
  <c r="DV118" i="14"/>
  <c r="DV116" i="14"/>
  <c r="DV114" i="14"/>
  <c r="DV112" i="14"/>
  <c r="DV110" i="14"/>
  <c r="DV108" i="14"/>
  <c r="DV106" i="14"/>
  <c r="DV104" i="14"/>
  <c r="DV102" i="14"/>
  <c r="DV100" i="14"/>
  <c r="DV98" i="14"/>
  <c r="DV96" i="14"/>
  <c r="DV94" i="14"/>
  <c r="DV92" i="14"/>
  <c r="DV86" i="14"/>
  <c r="DV84" i="14"/>
  <c r="DV82" i="14"/>
  <c r="DV80" i="14"/>
  <c r="DV78" i="14"/>
  <c r="DV76" i="14"/>
  <c r="DV74" i="14"/>
  <c r="DV72" i="14"/>
  <c r="DV70" i="14"/>
  <c r="DV68" i="14"/>
  <c r="DV66" i="14"/>
  <c r="DV64" i="14"/>
  <c r="DV90" i="14"/>
  <c r="DV88" i="14"/>
  <c r="DV62" i="14"/>
  <c r="DV60" i="14"/>
  <c r="EC4" i="14"/>
  <c r="DV11" i="14"/>
  <c r="DV6" i="14"/>
  <c r="DV58" i="14"/>
  <c r="DV56" i="14"/>
  <c r="DV54" i="14"/>
  <c r="DV52" i="14"/>
  <c r="DV50" i="14"/>
  <c r="DV48" i="14"/>
  <c r="DV46" i="14"/>
  <c r="DV44" i="14"/>
  <c r="DV42" i="14"/>
  <c r="DV40" i="14"/>
  <c r="DV38" i="14"/>
  <c r="DV36" i="14"/>
  <c r="DV34" i="14"/>
  <c r="DV32" i="14"/>
  <c r="DV30" i="14"/>
  <c r="DV28" i="14"/>
  <c r="DV26" i="14"/>
  <c r="DV24" i="14"/>
  <c r="DV22" i="14"/>
  <c r="DV20" i="14"/>
  <c r="DV18" i="14"/>
  <c r="DV16" i="14"/>
  <c r="DV14" i="14"/>
  <c r="DV12" i="14"/>
  <c r="DV8" i="14"/>
  <c r="DV5" i="14"/>
  <c r="DV126" i="14" s="1"/>
  <c r="DX180" i="14" s="1"/>
  <c r="DX4" i="14"/>
  <c r="DX95" i="14"/>
  <c r="DZ95" i="14" s="1"/>
  <c r="EA95" i="14" s="1"/>
  <c r="CR125" i="14"/>
  <c r="CR123" i="14"/>
  <c r="CR121" i="14"/>
  <c r="CR119" i="14"/>
  <c r="CR117" i="14"/>
  <c r="CR115" i="14"/>
  <c r="CR113" i="14"/>
  <c r="CR111" i="14"/>
  <c r="CR109" i="14"/>
  <c r="CR107" i="14"/>
  <c r="CR105" i="14"/>
  <c r="CR103" i="14"/>
  <c r="CR101" i="14"/>
  <c r="CR99" i="14"/>
  <c r="CR97" i="14"/>
  <c r="CR95" i="14"/>
  <c r="CR93" i="14"/>
  <c r="CR91" i="14"/>
  <c r="CR89" i="14"/>
  <c r="CR87" i="14"/>
  <c r="CR85" i="14"/>
  <c r="CR83" i="14"/>
  <c r="CR81" i="14"/>
  <c r="CR79" i="14"/>
  <c r="CR77" i="14"/>
  <c r="CR75" i="14"/>
  <c r="CR73" i="14"/>
  <c r="CR71" i="14"/>
  <c r="CR69" i="14"/>
  <c r="CR67" i="14"/>
  <c r="CR65" i="14"/>
  <c r="CR63" i="14"/>
  <c r="CR61" i="14"/>
  <c r="CR59" i="14"/>
  <c r="CR57" i="14"/>
  <c r="CR55" i="14"/>
  <c r="CR53" i="14"/>
  <c r="CR51" i="14"/>
  <c r="CR49" i="14"/>
  <c r="CR47" i="14"/>
  <c r="CR45" i="14"/>
  <c r="CR43" i="14"/>
  <c r="CR41" i="14"/>
  <c r="CR39" i="14"/>
  <c r="CR37" i="14"/>
  <c r="CR35" i="14"/>
  <c r="CR33" i="14"/>
  <c r="CR31" i="14"/>
  <c r="CR29" i="14"/>
  <c r="CR27" i="14"/>
  <c r="CR25" i="14"/>
  <c r="CR23" i="14"/>
  <c r="CR21" i="14"/>
  <c r="CR19" i="14"/>
  <c r="CR17" i="14"/>
  <c r="CR15" i="14"/>
  <c r="CR13" i="14"/>
  <c r="CR9" i="14"/>
  <c r="CR6" i="14"/>
  <c r="CR12" i="14"/>
  <c r="CR8" i="14"/>
  <c r="CR124" i="14"/>
  <c r="CR122" i="14"/>
  <c r="CR120" i="14"/>
  <c r="CR118" i="14"/>
  <c r="CR116" i="14"/>
  <c r="CR114" i="14"/>
  <c r="CR112" i="14"/>
  <c r="CR110" i="14"/>
  <c r="CR108" i="14"/>
  <c r="CR106" i="14"/>
  <c r="CR104" i="14"/>
  <c r="CR102" i="14"/>
  <c r="CR100" i="14"/>
  <c r="CR98" i="14"/>
  <c r="CR96" i="14"/>
  <c r="CR94" i="14"/>
  <c r="CR92" i="14"/>
  <c r="CR90" i="14"/>
  <c r="CR88" i="14"/>
  <c r="CR86" i="14"/>
  <c r="CR84" i="14"/>
  <c r="CR82" i="14"/>
  <c r="CR80" i="14"/>
  <c r="CR78" i="14"/>
  <c r="CR76" i="14"/>
  <c r="CR74" i="14"/>
  <c r="CR72" i="14"/>
  <c r="CR70" i="14"/>
  <c r="CR68" i="14"/>
  <c r="CR66" i="14"/>
  <c r="CR64" i="14"/>
  <c r="CR62" i="14"/>
  <c r="CR60" i="14"/>
  <c r="CR58" i="14"/>
  <c r="CR56" i="14"/>
  <c r="CR54" i="14"/>
  <c r="CR52" i="14"/>
  <c r="CR50" i="14"/>
  <c r="CR48" i="14"/>
  <c r="CR46" i="14"/>
  <c r="CR44" i="14"/>
  <c r="CR42" i="14"/>
  <c r="CR40" i="14"/>
  <c r="CR38" i="14"/>
  <c r="CR36" i="14"/>
  <c r="CR34" i="14"/>
  <c r="CR32" i="14"/>
  <c r="CR30" i="14"/>
  <c r="CR28" i="14"/>
  <c r="CR26" i="14"/>
  <c r="CR24" i="14"/>
  <c r="CR22" i="14"/>
  <c r="CR20" i="14"/>
  <c r="CR18" i="14"/>
  <c r="CR16" i="14"/>
  <c r="CR14" i="14"/>
  <c r="CR10" i="14"/>
  <c r="CR7" i="14"/>
  <c r="CR5" i="14"/>
  <c r="CR11" i="14"/>
  <c r="BN116" i="14"/>
  <c r="BX116" i="14"/>
  <c r="CE126" i="14"/>
  <c r="CP5" i="14"/>
  <c r="CG5" i="14"/>
  <c r="CF5" i="14"/>
  <c r="CF13" i="14"/>
  <c r="CG13" i="14"/>
  <c r="CH13" i="14" s="1"/>
  <c r="CP13" i="14"/>
  <c r="CF21" i="14"/>
  <c r="CG21" i="14"/>
  <c r="CH21" i="14" s="1"/>
  <c r="CP21" i="14"/>
  <c r="CF29" i="14"/>
  <c r="CG29" i="14"/>
  <c r="CH29" i="14" s="1"/>
  <c r="CP29" i="14"/>
  <c r="CF37" i="14"/>
  <c r="CG37" i="14"/>
  <c r="CH37" i="14" s="1"/>
  <c r="CP37" i="14"/>
  <c r="CF45" i="14"/>
  <c r="CG45" i="14"/>
  <c r="CH45" i="14" s="1"/>
  <c r="CP45" i="14"/>
  <c r="CF53" i="14"/>
  <c r="CG53" i="14"/>
  <c r="CH53" i="14" s="1"/>
  <c r="CP53" i="14"/>
  <c r="CP61" i="14"/>
  <c r="CG61" i="14"/>
  <c r="CH61" i="14" s="1"/>
  <c r="CF61" i="14"/>
  <c r="CF69" i="14"/>
  <c r="CP69" i="14"/>
  <c r="CG69" i="14"/>
  <c r="CH69" i="14" s="1"/>
  <c r="CF77" i="14"/>
  <c r="CP77" i="14"/>
  <c r="CG77" i="14"/>
  <c r="CH77" i="14" s="1"/>
  <c r="CF85" i="14"/>
  <c r="CP85" i="14"/>
  <c r="CG85" i="14"/>
  <c r="CH85" i="14" s="1"/>
  <c r="CP93" i="14"/>
  <c r="CG93" i="14"/>
  <c r="CH93" i="14" s="1"/>
  <c r="CF93" i="14"/>
  <c r="CF122" i="14"/>
  <c r="CP122" i="14"/>
  <c r="CG122" i="14"/>
  <c r="CH122" i="14" s="1"/>
  <c r="CF104" i="14"/>
  <c r="CG104" i="14"/>
  <c r="CH104" i="14" s="1"/>
  <c r="CP104" i="14"/>
  <c r="CP112" i="14"/>
  <c r="CG112" i="14"/>
  <c r="CH112" i="14" s="1"/>
  <c r="CF112" i="14"/>
  <c r="CF125" i="14"/>
  <c r="CP125" i="14"/>
  <c r="CG125" i="14"/>
  <c r="CH125" i="14" s="1"/>
  <c r="CG11" i="14"/>
  <c r="CH11" i="14" s="1"/>
  <c r="CF11" i="14"/>
  <c r="CP11" i="14"/>
  <c r="CG19" i="14"/>
  <c r="CH19" i="14" s="1"/>
  <c r="CP19" i="14"/>
  <c r="CF19" i="14"/>
  <c r="CG27" i="14"/>
  <c r="CH27" i="14" s="1"/>
  <c r="CP27" i="14"/>
  <c r="CF27" i="14"/>
  <c r="CG35" i="14"/>
  <c r="CH35" i="14" s="1"/>
  <c r="CP35" i="14"/>
  <c r="CF35" i="14"/>
  <c r="CG43" i="14"/>
  <c r="CH43" i="14" s="1"/>
  <c r="CP43" i="14"/>
  <c r="CF43" i="14"/>
  <c r="CG51" i="14"/>
  <c r="CH51" i="14" s="1"/>
  <c r="CP51" i="14"/>
  <c r="CF51" i="14"/>
  <c r="CG59" i="14"/>
  <c r="CH59" i="14" s="1"/>
  <c r="CP59" i="14"/>
  <c r="CF59" i="14"/>
  <c r="CP67" i="14"/>
  <c r="CG67" i="14"/>
  <c r="CH67" i="14" s="1"/>
  <c r="CF67" i="14"/>
  <c r="CP75" i="14"/>
  <c r="CG75" i="14"/>
  <c r="CH75" i="14" s="1"/>
  <c r="CF75" i="14"/>
  <c r="CP83" i="14"/>
  <c r="CG83" i="14"/>
  <c r="CH83" i="14" s="1"/>
  <c r="CF83" i="14"/>
  <c r="CG91" i="14"/>
  <c r="CH91" i="14" s="1"/>
  <c r="CP91" i="14"/>
  <c r="CF91" i="14"/>
  <c r="CP120" i="14"/>
  <c r="CG120" i="14"/>
  <c r="CH120" i="14" s="1"/>
  <c r="CF120" i="14"/>
  <c r="CG102" i="14"/>
  <c r="CH102" i="14" s="1"/>
  <c r="CP102" i="14"/>
  <c r="CF102" i="14"/>
  <c r="CG110" i="14"/>
  <c r="CH110" i="14" s="1"/>
  <c r="CF110" i="14"/>
  <c r="CP110" i="14"/>
  <c r="CP123" i="14"/>
  <c r="CG123" i="14"/>
  <c r="CH123" i="14" s="1"/>
  <c r="CF123" i="14"/>
  <c r="CG8" i="14"/>
  <c r="CH8" i="14" s="1"/>
  <c r="CF8" i="14"/>
  <c r="CP8" i="14"/>
  <c r="CG12" i="14"/>
  <c r="CH12" i="14" s="1"/>
  <c r="CF12" i="14"/>
  <c r="CP12" i="14"/>
  <c r="CG16" i="14"/>
  <c r="CH16" i="14" s="1"/>
  <c r="CP16" i="14"/>
  <c r="CF16" i="14"/>
  <c r="CG20" i="14"/>
  <c r="CH20" i="14" s="1"/>
  <c r="CP20" i="14"/>
  <c r="CF20" i="14"/>
  <c r="CG24" i="14"/>
  <c r="CH24" i="14" s="1"/>
  <c r="CP24" i="14"/>
  <c r="CF24" i="14"/>
  <c r="CG28" i="14"/>
  <c r="CH28" i="14" s="1"/>
  <c r="CP28" i="14"/>
  <c r="CF28" i="14"/>
  <c r="CG32" i="14"/>
  <c r="CH32" i="14" s="1"/>
  <c r="CP32" i="14"/>
  <c r="CF32" i="14"/>
  <c r="CG36" i="14"/>
  <c r="CH36" i="14" s="1"/>
  <c r="CP36" i="14"/>
  <c r="CF36" i="14"/>
  <c r="CG40" i="14"/>
  <c r="CH40" i="14" s="1"/>
  <c r="CP40" i="14"/>
  <c r="CF40" i="14"/>
  <c r="CG44" i="14"/>
  <c r="CH44" i="14" s="1"/>
  <c r="CP44" i="14"/>
  <c r="CF44" i="14"/>
  <c r="CG48" i="14"/>
  <c r="CH48" i="14" s="1"/>
  <c r="CP48" i="14"/>
  <c r="CF48" i="14"/>
  <c r="CG52" i="14"/>
  <c r="CH52" i="14" s="1"/>
  <c r="CP52" i="14"/>
  <c r="CF52" i="14"/>
  <c r="CG56" i="14"/>
  <c r="CH56" i="14" s="1"/>
  <c r="CP56" i="14"/>
  <c r="CF56" i="14"/>
  <c r="CG60" i="14"/>
  <c r="CH60" i="14" s="1"/>
  <c r="CF60" i="14"/>
  <c r="CP60" i="14"/>
  <c r="CP64" i="14"/>
  <c r="CG64" i="14"/>
  <c r="CH64" i="14" s="1"/>
  <c r="CF64" i="14"/>
  <c r="CP68" i="14"/>
  <c r="CG68" i="14"/>
  <c r="CH68" i="14" s="1"/>
  <c r="CF68" i="14"/>
  <c r="CP72" i="14"/>
  <c r="CG72" i="14"/>
  <c r="CH72" i="14" s="1"/>
  <c r="CF72" i="14"/>
  <c r="CP76" i="14"/>
  <c r="CG76" i="14"/>
  <c r="CH76" i="14" s="1"/>
  <c r="CF76" i="14"/>
  <c r="CP80" i="14"/>
  <c r="CG80" i="14"/>
  <c r="CH80" i="14" s="1"/>
  <c r="CF80" i="14"/>
  <c r="CP84" i="14"/>
  <c r="CG84" i="14"/>
  <c r="CH84" i="14" s="1"/>
  <c r="CF84" i="14"/>
  <c r="CG88" i="14"/>
  <c r="CH88" i="14" s="1"/>
  <c r="CP88" i="14"/>
  <c r="CF88" i="14"/>
  <c r="CG92" i="14"/>
  <c r="CH92" i="14" s="1"/>
  <c r="CF92" i="14"/>
  <c r="CP92" i="14"/>
  <c r="CG96" i="14"/>
  <c r="CH96" i="14" s="1"/>
  <c r="CF96" i="14"/>
  <c r="CP96" i="14"/>
  <c r="CP121" i="14"/>
  <c r="CG121" i="14"/>
  <c r="CH121" i="14" s="1"/>
  <c r="CF121" i="14"/>
  <c r="CG99" i="14"/>
  <c r="CH99" i="14" s="1"/>
  <c r="CF99" i="14"/>
  <c r="CP99" i="14"/>
  <c r="CG103" i="14"/>
  <c r="CH103" i="14" s="1"/>
  <c r="CP103" i="14"/>
  <c r="CF103" i="14"/>
  <c r="CG107" i="14"/>
  <c r="CH107" i="14" s="1"/>
  <c r="CP107" i="14"/>
  <c r="CF107" i="14"/>
  <c r="CG111" i="14"/>
  <c r="CH111" i="14" s="1"/>
  <c r="CF111" i="14"/>
  <c r="CP111" i="14"/>
  <c r="CG115" i="14"/>
  <c r="CH115" i="14" s="1"/>
  <c r="CF115" i="14"/>
  <c r="CP115" i="14"/>
  <c r="CP124" i="14"/>
  <c r="CG124" i="14"/>
  <c r="CH124" i="14" s="1"/>
  <c r="CF124" i="14"/>
  <c r="BN11" i="14"/>
  <c r="BX11" i="14"/>
  <c r="CB11" i="14" s="1"/>
  <c r="BN42" i="14"/>
  <c r="BX42" i="14"/>
  <c r="BN81" i="14"/>
  <c r="BX81" i="14"/>
  <c r="BN77" i="14"/>
  <c r="BX77" i="14"/>
  <c r="BN65" i="14"/>
  <c r="BX65" i="14"/>
  <c r="BN66" i="14"/>
  <c r="BX66" i="14"/>
  <c r="CB66" i="14" s="1"/>
  <c r="BN83" i="14"/>
  <c r="BX83" i="14"/>
  <c r="BN55" i="14"/>
  <c r="BX55" i="14"/>
  <c r="BN52" i="14"/>
  <c r="BX52" i="14"/>
  <c r="BN88" i="14"/>
  <c r="BX88" i="14"/>
  <c r="BN78" i="14"/>
  <c r="BX78" i="14"/>
  <c r="BN70" i="14"/>
  <c r="BX70" i="14"/>
  <c r="BN21" i="14"/>
  <c r="BX21" i="14"/>
  <c r="BP164" i="14"/>
  <c r="BN54" i="14"/>
  <c r="BX54" i="14"/>
  <c r="BN26" i="14"/>
  <c r="BX26" i="14"/>
  <c r="BU143" i="14"/>
  <c r="BU151" i="14" s="1"/>
  <c r="BS143" i="14"/>
  <c r="BS151" i="14" s="1"/>
  <c r="BT126" i="14"/>
  <c r="BU5" i="14"/>
  <c r="BU126" i="14" s="1"/>
  <c r="BS126" i="14"/>
  <c r="BN99" i="14"/>
  <c r="BX99" i="14"/>
  <c r="BN12" i="14"/>
  <c r="BX12" i="14"/>
  <c r="BN24" i="14"/>
  <c r="BX24" i="14"/>
  <c r="BN32" i="14"/>
  <c r="BX32" i="14"/>
  <c r="CB32" i="14" s="1"/>
  <c r="BN98" i="14"/>
  <c r="BX98" i="14"/>
  <c r="BN108" i="14"/>
  <c r="BX108" i="14"/>
  <c r="BN104" i="14"/>
  <c r="BX104" i="14"/>
  <c r="BN62" i="14"/>
  <c r="BX62" i="14"/>
  <c r="BN67" i="14"/>
  <c r="BX67" i="14"/>
  <c r="CB67" i="14" s="1"/>
  <c r="AZ143" i="14"/>
  <c r="BA151" i="14"/>
  <c r="BN10" i="14"/>
  <c r="BX10" i="14"/>
  <c r="BN18" i="14"/>
  <c r="BX18" i="14"/>
  <c r="BN22" i="14"/>
  <c r="BX22" i="14"/>
  <c r="BN30" i="14"/>
  <c r="BX30" i="14"/>
  <c r="CB30" i="14" s="1"/>
  <c r="BN60" i="14"/>
  <c r="BX60" i="14"/>
  <c r="CN93" i="14"/>
  <c r="CX93" i="14"/>
  <c r="BN46" i="14"/>
  <c r="BX46" i="14"/>
  <c r="BN102" i="14"/>
  <c r="BX102" i="14"/>
  <c r="BN114" i="14"/>
  <c r="BX114" i="14"/>
  <c r="BJ94" i="14"/>
  <c r="BL94" i="14"/>
  <c r="BQ94" i="14"/>
  <c r="BM94" i="14"/>
  <c r="BJ92" i="14"/>
  <c r="BJ126" i="14" s="1"/>
  <c r="BK176" i="14" s="1"/>
  <c r="BL92" i="14"/>
  <c r="BM92" i="14"/>
  <c r="BQ92" i="14"/>
  <c r="BO92" i="14"/>
  <c r="BN36" i="14"/>
  <c r="BX36" i="14"/>
  <c r="CB80" i="14"/>
  <c r="BN113" i="14"/>
  <c r="BX113" i="14"/>
  <c r="BN103" i="14"/>
  <c r="BX103" i="14"/>
  <c r="BN7" i="14"/>
  <c r="BX7" i="14"/>
  <c r="BN125" i="14"/>
  <c r="BX125" i="14"/>
  <c r="CB120" i="14"/>
  <c r="BN115" i="14"/>
  <c r="BX115" i="14"/>
  <c r="CB111" i="14"/>
  <c r="CB69" i="14"/>
  <c r="BN5" i="14"/>
  <c r="BX5" i="14"/>
  <c r="BL126" i="14"/>
  <c r="BN117" i="14"/>
  <c r="BX117" i="14"/>
  <c r="CB96" i="14"/>
  <c r="CB61" i="14"/>
  <c r="CB118" i="14"/>
  <c r="BN107" i="14"/>
  <c r="BX107" i="14"/>
  <c r="CB107" i="14" s="1"/>
  <c r="BN64" i="14"/>
  <c r="BX64" i="14"/>
  <c r="BN76" i="14"/>
  <c r="BX76" i="14"/>
  <c r="CB72" i="14"/>
  <c r="BN45" i="14"/>
  <c r="BX45" i="14"/>
  <c r="CB41" i="14"/>
  <c r="CB29" i="14"/>
  <c r="BN13" i="14"/>
  <c r="BX13" i="14"/>
  <c r="CB13" i="14" s="1"/>
  <c r="CB44" i="14"/>
  <c r="BN40" i="14"/>
  <c r="BX40" i="14"/>
  <c r="BN39" i="14"/>
  <c r="BX39" i="14"/>
  <c r="BN35" i="14"/>
  <c r="BX35" i="14"/>
  <c r="CB19" i="14"/>
  <c r="BQ156" i="14"/>
  <c r="BQ164" i="14" s="1"/>
  <c r="BN50" i="14"/>
  <c r="BX50" i="14"/>
  <c r="CB106" i="14"/>
  <c r="DO95" i="14"/>
  <c r="EB95" i="14" s="1"/>
  <c r="DL95" i="14"/>
  <c r="DJ95" i="14"/>
  <c r="DM180" i="14"/>
  <c r="DM177" i="14"/>
  <c r="DM175" i="14"/>
  <c r="DK128" i="14"/>
  <c r="DE4" i="14"/>
  <c r="DH4" i="14"/>
  <c r="DE1" i="14" s="1"/>
  <c r="DM178" i="14"/>
  <c r="DM176" i="14"/>
  <c r="DM174" i="14"/>
  <c r="DG4" i="14"/>
  <c r="DL4" i="14"/>
  <c r="DF4" i="14"/>
  <c r="DI126" i="14"/>
  <c r="DK180" i="14" s="1"/>
  <c r="DI156" i="14"/>
  <c r="DI164" i="14" s="1"/>
  <c r="DI130" i="14"/>
  <c r="CB116" i="14"/>
  <c r="CP9" i="14"/>
  <c r="CG9" i="14"/>
  <c r="CH9" i="14" s="1"/>
  <c r="CF9" i="14"/>
  <c r="CF17" i="14"/>
  <c r="CG17" i="14"/>
  <c r="CH17" i="14" s="1"/>
  <c r="CP17" i="14"/>
  <c r="CF25" i="14"/>
  <c r="CG25" i="14"/>
  <c r="CH25" i="14" s="1"/>
  <c r="CP25" i="14"/>
  <c r="CF33" i="14"/>
  <c r="CG33" i="14"/>
  <c r="CH33" i="14" s="1"/>
  <c r="CP33" i="14"/>
  <c r="CF41" i="14"/>
  <c r="CG41" i="14"/>
  <c r="CH41" i="14" s="1"/>
  <c r="CP41" i="14"/>
  <c r="CF49" i="14"/>
  <c r="CG49" i="14"/>
  <c r="CH49" i="14" s="1"/>
  <c r="CP49" i="14"/>
  <c r="CF57" i="14"/>
  <c r="CG57" i="14"/>
  <c r="CH57" i="14" s="1"/>
  <c r="CP57" i="14"/>
  <c r="CF65" i="14"/>
  <c r="CP65" i="14"/>
  <c r="CG65" i="14"/>
  <c r="CH65" i="14" s="1"/>
  <c r="CF73" i="14"/>
  <c r="CP73" i="14"/>
  <c r="CG73" i="14"/>
  <c r="CH73" i="14" s="1"/>
  <c r="CF81" i="14"/>
  <c r="CP81" i="14"/>
  <c r="CG81" i="14"/>
  <c r="CH81" i="14" s="1"/>
  <c r="CF89" i="14"/>
  <c r="CG89" i="14"/>
  <c r="CH89" i="14" s="1"/>
  <c r="CP89" i="14"/>
  <c r="CF118" i="14"/>
  <c r="CP118" i="14"/>
  <c r="CG118" i="14"/>
  <c r="CH118" i="14" s="1"/>
  <c r="CF100" i="14"/>
  <c r="CG100" i="14"/>
  <c r="CH100" i="14" s="1"/>
  <c r="CP100" i="14"/>
  <c r="CP108" i="14"/>
  <c r="CG108" i="14"/>
  <c r="CH108" i="14" s="1"/>
  <c r="CF108" i="14"/>
  <c r="CP116" i="14"/>
  <c r="CG116" i="14"/>
  <c r="CH116" i="14" s="1"/>
  <c r="CF116" i="14"/>
  <c r="CG7" i="14"/>
  <c r="CH7" i="14" s="1"/>
  <c r="CP7" i="14"/>
  <c r="CF7" i="14"/>
  <c r="CG15" i="14"/>
  <c r="CH15" i="14" s="1"/>
  <c r="CP15" i="14"/>
  <c r="CF15" i="14"/>
  <c r="CG23" i="14"/>
  <c r="CH23" i="14" s="1"/>
  <c r="CP23" i="14"/>
  <c r="CF23" i="14"/>
  <c r="CG31" i="14"/>
  <c r="CH31" i="14" s="1"/>
  <c r="CP31" i="14"/>
  <c r="CF31" i="14"/>
  <c r="CG39" i="14"/>
  <c r="CH39" i="14" s="1"/>
  <c r="CP39" i="14"/>
  <c r="CF39" i="14"/>
  <c r="CG47" i="14"/>
  <c r="CH47" i="14" s="1"/>
  <c r="CP47" i="14"/>
  <c r="CF47" i="14"/>
  <c r="CG55" i="14"/>
  <c r="CH55" i="14" s="1"/>
  <c r="CP55" i="14"/>
  <c r="CF55" i="14"/>
  <c r="CP63" i="14"/>
  <c r="CG63" i="14"/>
  <c r="CH63" i="14" s="1"/>
  <c r="CF63" i="14"/>
  <c r="CP71" i="14"/>
  <c r="CG71" i="14"/>
  <c r="CH71" i="14" s="1"/>
  <c r="CF71" i="14"/>
  <c r="CP79" i="14"/>
  <c r="CG79" i="14"/>
  <c r="CH79" i="14" s="1"/>
  <c r="CF79" i="14"/>
  <c r="CG87" i="14"/>
  <c r="CH87" i="14" s="1"/>
  <c r="CP87" i="14"/>
  <c r="CF87" i="14"/>
  <c r="CG95" i="14"/>
  <c r="CH95" i="14" s="1"/>
  <c r="CF95" i="14"/>
  <c r="CP95" i="14"/>
  <c r="CG98" i="14"/>
  <c r="CH98" i="14" s="1"/>
  <c r="CF98" i="14"/>
  <c r="CP98" i="14"/>
  <c r="CG106" i="14"/>
  <c r="CH106" i="14" s="1"/>
  <c r="CP106" i="14"/>
  <c r="CF106" i="14"/>
  <c r="CG114" i="14"/>
  <c r="CH114" i="14" s="1"/>
  <c r="CF114" i="14"/>
  <c r="CP114" i="14"/>
  <c r="CP6" i="14"/>
  <c r="CG6" i="14"/>
  <c r="CH6" i="14" s="1"/>
  <c r="CF6" i="14"/>
  <c r="CF10" i="14"/>
  <c r="CG10" i="14"/>
  <c r="CH10" i="14" s="1"/>
  <c r="CP10" i="14"/>
  <c r="CF14" i="14"/>
  <c r="CG14" i="14"/>
  <c r="CH14" i="14" s="1"/>
  <c r="CP14" i="14"/>
  <c r="CF18" i="14"/>
  <c r="CG18" i="14"/>
  <c r="CH18" i="14" s="1"/>
  <c r="CP18" i="14"/>
  <c r="CF22" i="14"/>
  <c r="CG22" i="14"/>
  <c r="CH22" i="14" s="1"/>
  <c r="CP22" i="14"/>
  <c r="CF26" i="14"/>
  <c r="CG26" i="14"/>
  <c r="CH26" i="14" s="1"/>
  <c r="CP26" i="14"/>
  <c r="CF30" i="14"/>
  <c r="CG30" i="14"/>
  <c r="CH30" i="14" s="1"/>
  <c r="CP30" i="14"/>
  <c r="CF34" i="14"/>
  <c r="CG34" i="14"/>
  <c r="CH34" i="14" s="1"/>
  <c r="CP34" i="14"/>
  <c r="CF38" i="14"/>
  <c r="CG38" i="14"/>
  <c r="CH38" i="14" s="1"/>
  <c r="CP38" i="14"/>
  <c r="CF42" i="14"/>
  <c r="CG42" i="14"/>
  <c r="CH42" i="14" s="1"/>
  <c r="CP42" i="14"/>
  <c r="CF46" i="14"/>
  <c r="CG46" i="14"/>
  <c r="CH46" i="14" s="1"/>
  <c r="CP46" i="14"/>
  <c r="CF50" i="14"/>
  <c r="CG50" i="14"/>
  <c r="CH50" i="14" s="1"/>
  <c r="CP50" i="14"/>
  <c r="CF54" i="14"/>
  <c r="CG54" i="14"/>
  <c r="CH54" i="14" s="1"/>
  <c r="CP54" i="14"/>
  <c r="CF58" i="14"/>
  <c r="CG58" i="14"/>
  <c r="CH58" i="14" s="1"/>
  <c r="CP58" i="14"/>
  <c r="CP62" i="14"/>
  <c r="CG62" i="14"/>
  <c r="CH62" i="14" s="1"/>
  <c r="CF62" i="14"/>
  <c r="CF66" i="14"/>
  <c r="CP66" i="14"/>
  <c r="CG66" i="14"/>
  <c r="CH66" i="14" s="1"/>
  <c r="CF70" i="14"/>
  <c r="CP70" i="14"/>
  <c r="CG70" i="14"/>
  <c r="CH70" i="14" s="1"/>
  <c r="CF74" i="14"/>
  <c r="CP74" i="14"/>
  <c r="CG74" i="14"/>
  <c r="CH74" i="14" s="1"/>
  <c r="CF78" i="14"/>
  <c r="CP78" i="14"/>
  <c r="CG78" i="14"/>
  <c r="CH78" i="14" s="1"/>
  <c r="CF82" i="14"/>
  <c r="CP82" i="14"/>
  <c r="CG82" i="14"/>
  <c r="CH82" i="14" s="1"/>
  <c r="CF86" i="14"/>
  <c r="CP86" i="14"/>
  <c r="CG86" i="14"/>
  <c r="CH86" i="14" s="1"/>
  <c r="CF90" i="14"/>
  <c r="CG90" i="14"/>
  <c r="CH90" i="14" s="1"/>
  <c r="CP90" i="14"/>
  <c r="CP94" i="14"/>
  <c r="CG94" i="14"/>
  <c r="CH94" i="14" s="1"/>
  <c r="CF94" i="14"/>
  <c r="CF119" i="14"/>
  <c r="CP119" i="14"/>
  <c r="CG119" i="14"/>
  <c r="CH119" i="14" s="1"/>
  <c r="CP97" i="14"/>
  <c r="CG97" i="14"/>
  <c r="CH97" i="14" s="1"/>
  <c r="CF97" i="14"/>
  <c r="CF101" i="14"/>
  <c r="CG101" i="14"/>
  <c r="CH101" i="14" s="1"/>
  <c r="CP101" i="14"/>
  <c r="CF105" i="14"/>
  <c r="CG105" i="14"/>
  <c r="CH105" i="14" s="1"/>
  <c r="CP105" i="14"/>
  <c r="CP109" i="14"/>
  <c r="CG109" i="14"/>
  <c r="CH109" i="14" s="1"/>
  <c r="CF109" i="14"/>
  <c r="CP113" i="14"/>
  <c r="CG113" i="14"/>
  <c r="CH113" i="14" s="1"/>
  <c r="CF113" i="14"/>
  <c r="CP117" i="14"/>
  <c r="CG117" i="14"/>
  <c r="CH117" i="14" s="1"/>
  <c r="CF117" i="14"/>
  <c r="BN51" i="14"/>
  <c r="BX51" i="14"/>
  <c r="BN68" i="14"/>
  <c r="BX68" i="14"/>
  <c r="BN75" i="14"/>
  <c r="BX75" i="14"/>
  <c r="BO94" i="14"/>
  <c r="CB81" i="14"/>
  <c r="BN73" i="14"/>
  <c r="BX73" i="14"/>
  <c r="CB73" i="14" s="1"/>
  <c r="BN123" i="14"/>
  <c r="BX123" i="14"/>
  <c r="BN87" i="14"/>
  <c r="BX87" i="14"/>
  <c r="CB83" i="14"/>
  <c r="CB52" i="14"/>
  <c r="BN84" i="14"/>
  <c r="BX84" i="14"/>
  <c r="BN105" i="14"/>
  <c r="BX105" i="14"/>
  <c r="BN91" i="14"/>
  <c r="BX91" i="14"/>
  <c r="DB93" i="14"/>
  <c r="BN74" i="14"/>
  <c r="BX74" i="14"/>
  <c r="BN37" i="14"/>
  <c r="BX37" i="14"/>
  <c r="BN17" i="14"/>
  <c r="BX17" i="14"/>
  <c r="CB17" i="14" s="1"/>
  <c r="BN43" i="14"/>
  <c r="BX43" i="14"/>
  <c r="BN31" i="14"/>
  <c r="BX31" i="14"/>
  <c r="BN23" i="14"/>
  <c r="BX23" i="14"/>
  <c r="BN124" i="14"/>
  <c r="BX124" i="14"/>
  <c r="CB124" i="14" s="1"/>
  <c r="CB60" i="14"/>
  <c r="BN56" i="14"/>
  <c r="BX56" i="14"/>
  <c r="BN6" i="14"/>
  <c r="BX6" i="14"/>
  <c r="BN14" i="14"/>
  <c r="BX14" i="14"/>
  <c r="AW183" i="14"/>
  <c r="CC156" i="14"/>
  <c r="CC126" i="14"/>
  <c r="BN48" i="14"/>
  <c r="BX48" i="14"/>
  <c r="CB48" i="14" s="1"/>
  <c r="BN101" i="14"/>
  <c r="BX101" i="14"/>
  <c r="BN122" i="14"/>
  <c r="BX122" i="14"/>
  <c r="BN110" i="14"/>
  <c r="BX110" i="14"/>
  <c r="CB110" i="14" s="1"/>
  <c r="BN109" i="14"/>
  <c r="BX109" i="14"/>
  <c r="BN49" i="14"/>
  <c r="BX49" i="14"/>
  <c r="BN112" i="14"/>
  <c r="BX112" i="14"/>
  <c r="CB108" i="14"/>
  <c r="BN58" i="14"/>
  <c r="BX58" i="14"/>
  <c r="BN119" i="14"/>
  <c r="BX119" i="14"/>
  <c r="BN79" i="14"/>
  <c r="BX79" i="14"/>
  <c r="BN63" i="14"/>
  <c r="BX63" i="14"/>
  <c r="BN8" i="14"/>
  <c r="BX8" i="14"/>
  <c r="BN20" i="14"/>
  <c r="BX20" i="14"/>
  <c r="BN28" i="14"/>
  <c r="BX28" i="14"/>
  <c r="CB104" i="14"/>
  <c r="CB18" i="14"/>
  <c r="CB22" i="14"/>
  <c r="BN34" i="14"/>
  <c r="BX34" i="14"/>
  <c r="BN38" i="14"/>
  <c r="BX38" i="14"/>
  <c r="CV138" i="14"/>
  <c r="CX181" i="14" s="1"/>
  <c r="CW181" i="14" s="1"/>
  <c r="BN85" i="14"/>
  <c r="BX85" i="14"/>
  <c r="CB46" i="14"/>
  <c r="BN90" i="14"/>
  <c r="BX90" i="14"/>
  <c r="CB90" i="14" s="1"/>
  <c r="BN16" i="14"/>
  <c r="BX16" i="14"/>
  <c r="F24" i="7"/>
  <c r="J22" i="7"/>
  <c r="F22" i="7"/>
  <c r="J24" i="7"/>
  <c r="J23" i="17"/>
  <c r="I21" i="7"/>
  <c r="J21" i="7" s="1"/>
  <c r="I23" i="7"/>
  <c r="E21" i="7"/>
  <c r="C21" i="7"/>
  <c r="BM126" i="14" l="1"/>
  <c r="I24" i="17"/>
  <c r="I25" i="17" s="1"/>
  <c r="ED95" i="14"/>
  <c r="BQ126" i="14"/>
  <c r="BO126" i="14"/>
  <c r="BW16" i="14"/>
  <c r="BY16" i="14"/>
  <c r="CD16" i="14"/>
  <c r="BZ16" i="14"/>
  <c r="BY34" i="14"/>
  <c r="BW34" i="14"/>
  <c r="BZ34" i="14"/>
  <c r="CD34" i="14"/>
  <c r="BY79" i="14"/>
  <c r="BW79" i="14"/>
  <c r="CD79" i="14"/>
  <c r="BZ79" i="14"/>
  <c r="BY112" i="14"/>
  <c r="BW112" i="14"/>
  <c r="CD112" i="14"/>
  <c r="BZ112" i="14"/>
  <c r="BY109" i="14"/>
  <c r="BW109" i="14"/>
  <c r="CD109" i="14"/>
  <c r="BZ109" i="14"/>
  <c r="CC164" i="14"/>
  <c r="BY85" i="14"/>
  <c r="BW85" i="14"/>
  <c r="CD85" i="14"/>
  <c r="BZ85" i="14"/>
  <c r="BW28" i="14"/>
  <c r="BY28" i="14"/>
  <c r="CD28" i="14"/>
  <c r="BZ28" i="14"/>
  <c r="BW20" i="14"/>
  <c r="BY20" i="14"/>
  <c r="CD20" i="14"/>
  <c r="BZ20" i="14"/>
  <c r="BW8" i="14"/>
  <c r="BY8" i="14"/>
  <c r="BZ8" i="14"/>
  <c r="CD8" i="14"/>
  <c r="CB8" i="14"/>
  <c r="BY58" i="14"/>
  <c r="BW58" i="14"/>
  <c r="BZ58" i="14"/>
  <c r="CD58" i="14"/>
  <c r="BY48" i="14"/>
  <c r="BW48" i="14"/>
  <c r="BZ48" i="14"/>
  <c r="CD48" i="14"/>
  <c r="BY14" i="14"/>
  <c r="BW14" i="14"/>
  <c r="BZ14" i="14"/>
  <c r="CD14" i="14"/>
  <c r="BW6" i="14"/>
  <c r="BY6" i="14"/>
  <c r="BZ6" i="14"/>
  <c r="CD6" i="14"/>
  <c r="CB6" i="14"/>
  <c r="BW56" i="14"/>
  <c r="BY56" i="14"/>
  <c r="CD56" i="14"/>
  <c r="BZ56" i="14"/>
  <c r="CB56" i="14"/>
  <c r="BW31" i="14"/>
  <c r="BY31" i="14"/>
  <c r="BZ31" i="14"/>
  <c r="CD31" i="14"/>
  <c r="BW43" i="14"/>
  <c r="BY43" i="14"/>
  <c r="BZ43" i="14"/>
  <c r="CD43" i="14"/>
  <c r="CB43" i="14"/>
  <c r="BW74" i="14"/>
  <c r="BY74" i="14"/>
  <c r="BZ74" i="14"/>
  <c r="CD74" i="14"/>
  <c r="CB74" i="14"/>
  <c r="BY91" i="14"/>
  <c r="BW91" i="14"/>
  <c r="BZ91" i="14"/>
  <c r="CD91" i="14"/>
  <c r="BW105" i="14"/>
  <c r="BY105" i="14"/>
  <c r="CD105" i="14"/>
  <c r="BZ105" i="14"/>
  <c r="CB105" i="14"/>
  <c r="BY68" i="14"/>
  <c r="BW68" i="14"/>
  <c r="BZ68" i="14"/>
  <c r="CD68" i="14"/>
  <c r="CB68" i="14"/>
  <c r="BW51" i="14"/>
  <c r="BY51" i="14"/>
  <c r="BZ51" i="14"/>
  <c r="CD51" i="14"/>
  <c r="CB51" i="14"/>
  <c r="DI138" i="14"/>
  <c r="DK181" i="14" s="1"/>
  <c r="DJ181" i="14" s="1"/>
  <c r="DE124" i="14"/>
  <c r="DE122" i="14"/>
  <c r="DE120" i="14"/>
  <c r="DE118" i="14"/>
  <c r="DE116" i="14"/>
  <c r="DE114" i="14"/>
  <c r="DE112" i="14"/>
  <c r="DE110" i="14"/>
  <c r="DE108" i="14"/>
  <c r="DE106" i="14"/>
  <c r="DE104" i="14"/>
  <c r="DE102" i="14"/>
  <c r="DE100" i="14"/>
  <c r="DE98" i="14"/>
  <c r="DE96" i="14"/>
  <c r="DE94" i="14"/>
  <c r="DE92" i="14"/>
  <c r="DE90" i="14"/>
  <c r="DE88" i="14"/>
  <c r="DE86" i="14"/>
  <c r="DE84" i="14"/>
  <c r="DE82" i="14"/>
  <c r="DE80" i="14"/>
  <c r="DE78" i="14"/>
  <c r="DE76" i="14"/>
  <c r="DE74" i="14"/>
  <c r="DE72" i="14"/>
  <c r="DE70" i="14"/>
  <c r="DE62" i="14"/>
  <c r="DE60" i="14"/>
  <c r="DE58" i="14"/>
  <c r="DE56" i="14"/>
  <c r="DE54" i="14"/>
  <c r="DE52" i="14"/>
  <c r="DE50" i="14"/>
  <c r="DE48" i="14"/>
  <c r="DE46" i="14"/>
  <c r="DE44" i="14"/>
  <c r="DE42" i="14"/>
  <c r="DE40" i="14"/>
  <c r="DE38" i="14"/>
  <c r="DE36" i="14"/>
  <c r="DE34" i="14"/>
  <c r="DE32" i="14"/>
  <c r="DE30" i="14"/>
  <c r="DE28" i="14"/>
  <c r="DE26" i="14"/>
  <c r="DE24" i="14"/>
  <c r="DE22" i="14"/>
  <c r="DE20" i="14"/>
  <c r="DE18" i="14"/>
  <c r="DE16" i="14"/>
  <c r="DE14" i="14"/>
  <c r="DE68" i="14"/>
  <c r="DE66" i="14"/>
  <c r="DE64" i="14"/>
  <c r="DE12" i="14"/>
  <c r="DE10" i="14"/>
  <c r="DE8" i="14"/>
  <c r="DE6" i="14"/>
  <c r="DE125" i="14"/>
  <c r="DE123" i="14"/>
  <c r="DE121" i="14"/>
  <c r="DE119" i="14"/>
  <c r="DE117" i="14"/>
  <c r="DE115" i="14"/>
  <c r="DE113" i="14"/>
  <c r="DE111" i="14"/>
  <c r="DE109" i="14"/>
  <c r="DE107" i="14"/>
  <c r="DE105" i="14"/>
  <c r="DE103" i="14"/>
  <c r="DE101" i="14"/>
  <c r="DE99" i="14"/>
  <c r="DE97" i="14"/>
  <c r="DE95" i="14"/>
  <c r="DE93" i="14"/>
  <c r="DE91" i="14"/>
  <c r="DE89" i="14"/>
  <c r="DE87" i="14"/>
  <c r="DE85" i="14"/>
  <c r="DE83" i="14"/>
  <c r="DE81" i="14"/>
  <c r="DE79" i="14"/>
  <c r="DE77" i="14"/>
  <c r="DE75" i="14"/>
  <c r="DE73" i="14"/>
  <c r="DE71" i="14"/>
  <c r="DE69" i="14"/>
  <c r="DE61" i="14"/>
  <c r="DE59" i="14"/>
  <c r="DE57" i="14"/>
  <c r="DE55" i="14"/>
  <c r="DE53" i="14"/>
  <c r="DE51" i="14"/>
  <c r="DE49" i="14"/>
  <c r="DE47" i="14"/>
  <c r="DE45" i="14"/>
  <c r="DE43" i="14"/>
  <c r="DE41" i="14"/>
  <c r="DE39" i="14"/>
  <c r="DE37" i="14"/>
  <c r="DE35" i="14"/>
  <c r="DE33" i="14"/>
  <c r="DE31" i="14"/>
  <c r="DE29" i="14"/>
  <c r="DE27" i="14"/>
  <c r="DE25" i="14"/>
  <c r="DE23" i="14"/>
  <c r="DE21" i="14"/>
  <c r="DE19" i="14"/>
  <c r="DE17" i="14"/>
  <c r="DE15" i="14"/>
  <c r="DE13" i="14"/>
  <c r="DE67" i="14"/>
  <c r="DE65" i="14"/>
  <c r="DE63" i="14"/>
  <c r="DE11" i="14"/>
  <c r="DE9" i="14"/>
  <c r="DE7" i="14"/>
  <c r="DE5" i="14"/>
  <c r="BW50" i="14"/>
  <c r="BY50" i="14"/>
  <c r="CD50" i="14"/>
  <c r="BZ50" i="14"/>
  <c r="CB50" i="14"/>
  <c r="BW40" i="14"/>
  <c r="BY40" i="14"/>
  <c r="CD40" i="14"/>
  <c r="BZ40" i="14"/>
  <c r="BW76" i="14"/>
  <c r="BY76" i="14"/>
  <c r="BZ76" i="14"/>
  <c r="CD76" i="14"/>
  <c r="BW64" i="14"/>
  <c r="BY64" i="14"/>
  <c r="CD64" i="14"/>
  <c r="BZ64" i="14"/>
  <c r="CB64" i="14"/>
  <c r="CB112" i="14"/>
  <c r="BY117" i="14"/>
  <c r="BW117" i="14"/>
  <c r="BZ117" i="14"/>
  <c r="CD117" i="14"/>
  <c r="CB117" i="14"/>
  <c r="BY115" i="14"/>
  <c r="BW115" i="14"/>
  <c r="BZ115" i="14"/>
  <c r="CD115" i="14"/>
  <c r="CB115" i="14"/>
  <c r="BY36" i="14"/>
  <c r="BW36" i="14"/>
  <c r="BZ36" i="14"/>
  <c r="CD36" i="14"/>
  <c r="CB36" i="14"/>
  <c r="CB28" i="14"/>
  <c r="BN94" i="14"/>
  <c r="BX94" i="14"/>
  <c r="BW114" i="14"/>
  <c r="BY114" i="14"/>
  <c r="BZ114" i="14"/>
  <c r="CD114" i="14"/>
  <c r="CB114" i="14"/>
  <c r="CW93" i="14"/>
  <c r="CY93" i="14"/>
  <c r="DD93" i="14"/>
  <c r="CZ93" i="14"/>
  <c r="BW60" i="14"/>
  <c r="BY60" i="14"/>
  <c r="CD60" i="14"/>
  <c r="BZ60" i="14"/>
  <c r="BY30" i="14"/>
  <c r="BW30" i="14"/>
  <c r="BZ30" i="14"/>
  <c r="CD30" i="14"/>
  <c r="BW22" i="14"/>
  <c r="BY22" i="14"/>
  <c r="CD22" i="14"/>
  <c r="BZ22" i="14"/>
  <c r="BY18" i="14"/>
  <c r="BW18" i="14"/>
  <c r="BZ18" i="14"/>
  <c r="CD18" i="14"/>
  <c r="BW10" i="14"/>
  <c r="BY10" i="14"/>
  <c r="CD10" i="14"/>
  <c r="BZ10" i="14"/>
  <c r="CB10" i="14"/>
  <c r="AZ151" i="14"/>
  <c r="BW104" i="14"/>
  <c r="BY104" i="14"/>
  <c r="BZ104" i="14"/>
  <c r="CD104" i="14"/>
  <c r="CB20" i="14"/>
  <c r="CB58" i="14"/>
  <c r="BY98" i="14"/>
  <c r="BW98" i="14"/>
  <c r="CD98" i="14"/>
  <c r="BZ98" i="14"/>
  <c r="CB98" i="14"/>
  <c r="BY54" i="14"/>
  <c r="BW54" i="14"/>
  <c r="BZ54" i="14"/>
  <c r="CD54" i="14"/>
  <c r="CB54" i="14"/>
  <c r="CB21" i="14"/>
  <c r="BW21" i="14"/>
  <c r="BY21" i="14"/>
  <c r="BZ21" i="14"/>
  <c r="CD21" i="14"/>
  <c r="BW70" i="14"/>
  <c r="BY70" i="14"/>
  <c r="CD70" i="14"/>
  <c r="BZ70" i="14"/>
  <c r="CB70" i="14"/>
  <c r="CB91" i="14"/>
  <c r="BW52" i="14"/>
  <c r="BY52" i="14"/>
  <c r="CD52" i="14"/>
  <c r="BZ52" i="14"/>
  <c r="BY55" i="14"/>
  <c r="BW55" i="14"/>
  <c r="CD55" i="14"/>
  <c r="BZ55" i="14"/>
  <c r="CB55" i="14"/>
  <c r="BW81" i="14"/>
  <c r="BY81" i="14"/>
  <c r="BZ81" i="14"/>
  <c r="CD81" i="14"/>
  <c r="BW42" i="14"/>
  <c r="BY42" i="14"/>
  <c r="CD42" i="14"/>
  <c r="BZ42" i="14"/>
  <c r="CB42" i="14"/>
  <c r="BN143" i="14"/>
  <c r="CP156" i="14"/>
  <c r="CF126" i="14"/>
  <c r="CP126" i="14"/>
  <c r="BW116" i="14"/>
  <c r="BY116" i="14"/>
  <c r="CD116" i="14"/>
  <c r="BZ116" i="14"/>
  <c r="CS11" i="14"/>
  <c r="DC11" i="14"/>
  <c r="CT11" i="14"/>
  <c r="CU11" i="14" s="1"/>
  <c r="DC7" i="14"/>
  <c r="CT7" i="14"/>
  <c r="CU7" i="14" s="1"/>
  <c r="CS7" i="14"/>
  <c r="DC14" i="14"/>
  <c r="CT14" i="14"/>
  <c r="CU14" i="14" s="1"/>
  <c r="CS14" i="14"/>
  <c r="CS18" i="14"/>
  <c r="DC18" i="14"/>
  <c r="CT18" i="14"/>
  <c r="CU18" i="14" s="1"/>
  <c r="DC22" i="14"/>
  <c r="CT22" i="14"/>
  <c r="CU22" i="14" s="1"/>
  <c r="CS22" i="14"/>
  <c r="DC26" i="14"/>
  <c r="CT26" i="14"/>
  <c r="CU26" i="14" s="1"/>
  <c r="CS26" i="14"/>
  <c r="CS30" i="14"/>
  <c r="DC30" i="14"/>
  <c r="CT30" i="14"/>
  <c r="CU30" i="14" s="1"/>
  <c r="DC34" i="14"/>
  <c r="CT34" i="14"/>
  <c r="CU34" i="14" s="1"/>
  <c r="CS34" i="14"/>
  <c r="CS38" i="14"/>
  <c r="DC38" i="14"/>
  <c r="CT38" i="14"/>
  <c r="CU38" i="14" s="1"/>
  <c r="CS42" i="14"/>
  <c r="DC42" i="14"/>
  <c r="CT42" i="14"/>
  <c r="CU42" i="14" s="1"/>
  <c r="DC46" i="14"/>
  <c r="CT46" i="14"/>
  <c r="CU46" i="14" s="1"/>
  <c r="CS46" i="14"/>
  <c r="CS50" i="14"/>
  <c r="DC50" i="14"/>
  <c r="CT50" i="14"/>
  <c r="CU50" i="14" s="1"/>
  <c r="DC54" i="14"/>
  <c r="CT54" i="14"/>
  <c r="CU54" i="14" s="1"/>
  <c r="CS54" i="14"/>
  <c r="DC58" i="14"/>
  <c r="CT58" i="14"/>
  <c r="CU58" i="14" s="1"/>
  <c r="CS58" i="14"/>
  <c r="CS62" i="14"/>
  <c r="DC62" i="14"/>
  <c r="CT62" i="14"/>
  <c r="CU62" i="14" s="1"/>
  <c r="DC66" i="14"/>
  <c r="CT66" i="14"/>
  <c r="CU66" i="14" s="1"/>
  <c r="CS66" i="14"/>
  <c r="CT70" i="14"/>
  <c r="CU70" i="14" s="1"/>
  <c r="CS70" i="14"/>
  <c r="DC70" i="14"/>
  <c r="DC74" i="14"/>
  <c r="CT74" i="14"/>
  <c r="CU74" i="14" s="1"/>
  <c r="CS74" i="14"/>
  <c r="CT78" i="14"/>
  <c r="CU78" i="14" s="1"/>
  <c r="CS78" i="14"/>
  <c r="DC78" i="14"/>
  <c r="DC82" i="14"/>
  <c r="CT82" i="14"/>
  <c r="CU82" i="14" s="1"/>
  <c r="CS82" i="14"/>
  <c r="DC86" i="14"/>
  <c r="CT86" i="14"/>
  <c r="CU86" i="14" s="1"/>
  <c r="CS86" i="14"/>
  <c r="DC90" i="14"/>
  <c r="CT90" i="14"/>
  <c r="CU90" i="14" s="1"/>
  <c r="CS90" i="14"/>
  <c r="CS94" i="14"/>
  <c r="DC94" i="14"/>
  <c r="CT94" i="14"/>
  <c r="CU94" i="14" s="1"/>
  <c r="DC98" i="14"/>
  <c r="CT98" i="14"/>
  <c r="CU98" i="14" s="1"/>
  <c r="CS98" i="14"/>
  <c r="CS102" i="14"/>
  <c r="DC102" i="14"/>
  <c r="CT102" i="14"/>
  <c r="CU102" i="14" s="1"/>
  <c r="CS106" i="14"/>
  <c r="DC106" i="14"/>
  <c r="CT106" i="14"/>
  <c r="CU106" i="14" s="1"/>
  <c r="CS110" i="14"/>
  <c r="DC110" i="14"/>
  <c r="CT110" i="14"/>
  <c r="CU110" i="14" s="1"/>
  <c r="CS114" i="14"/>
  <c r="DC114" i="14"/>
  <c r="CT114" i="14"/>
  <c r="CU114" i="14" s="1"/>
  <c r="CS118" i="14"/>
  <c r="CT118" i="14"/>
  <c r="CU118" i="14" s="1"/>
  <c r="DC118" i="14"/>
  <c r="CS122" i="14"/>
  <c r="CT122" i="14"/>
  <c r="CU122" i="14" s="1"/>
  <c r="DC122" i="14"/>
  <c r="CS8" i="14"/>
  <c r="DC8" i="14"/>
  <c r="CT8" i="14"/>
  <c r="CU8" i="14" s="1"/>
  <c r="CS6" i="14"/>
  <c r="DC6" i="14"/>
  <c r="CT6" i="14"/>
  <c r="CU6" i="14" s="1"/>
  <c r="CS13" i="14"/>
  <c r="DC13" i="14"/>
  <c r="CT13" i="14"/>
  <c r="CU13" i="14" s="1"/>
  <c r="CS17" i="14"/>
  <c r="DC17" i="14"/>
  <c r="CT17" i="14"/>
  <c r="CU17" i="14" s="1"/>
  <c r="CS21" i="14"/>
  <c r="DC21" i="14"/>
  <c r="CT21" i="14"/>
  <c r="CU21" i="14" s="1"/>
  <c r="CS25" i="14"/>
  <c r="DC25" i="14"/>
  <c r="CT25" i="14"/>
  <c r="CU25" i="14" s="1"/>
  <c r="CS29" i="14"/>
  <c r="DC29" i="14"/>
  <c r="CT29" i="14"/>
  <c r="CU29" i="14" s="1"/>
  <c r="CS33" i="14"/>
  <c r="DC33" i="14"/>
  <c r="CT33" i="14"/>
  <c r="CU33" i="14" s="1"/>
  <c r="CS37" i="14"/>
  <c r="DC37" i="14"/>
  <c r="CT37" i="14"/>
  <c r="CU37" i="14" s="1"/>
  <c r="CS41" i="14"/>
  <c r="DC41" i="14"/>
  <c r="CT41" i="14"/>
  <c r="CU41" i="14" s="1"/>
  <c r="CS45" i="14"/>
  <c r="DC45" i="14"/>
  <c r="CT45" i="14"/>
  <c r="CU45" i="14" s="1"/>
  <c r="CS49" i="14"/>
  <c r="DC49" i="14"/>
  <c r="CT49" i="14"/>
  <c r="CU49" i="14" s="1"/>
  <c r="CS53" i="14"/>
  <c r="DC53" i="14"/>
  <c r="CT53" i="14"/>
  <c r="CU53" i="14" s="1"/>
  <c r="CS57" i="14"/>
  <c r="DC57" i="14"/>
  <c r="CT57" i="14"/>
  <c r="CU57" i="14" s="1"/>
  <c r="CS61" i="14"/>
  <c r="DC61" i="14"/>
  <c r="CT61" i="14"/>
  <c r="CU61" i="14" s="1"/>
  <c r="DC65" i="14"/>
  <c r="CT65" i="14"/>
  <c r="CU65" i="14" s="1"/>
  <c r="CS65" i="14"/>
  <c r="DC69" i="14"/>
  <c r="CT69" i="14"/>
  <c r="CU69" i="14" s="1"/>
  <c r="CS69" i="14"/>
  <c r="DC73" i="14"/>
  <c r="CT73" i="14"/>
  <c r="CU73" i="14" s="1"/>
  <c r="CS73" i="14"/>
  <c r="DC77" i="14"/>
  <c r="CT77" i="14"/>
  <c r="CU77" i="14" s="1"/>
  <c r="CS77" i="14"/>
  <c r="DC81" i="14"/>
  <c r="CT81" i="14"/>
  <c r="CU81" i="14" s="1"/>
  <c r="CS81" i="14"/>
  <c r="DC85" i="14"/>
  <c r="CT85" i="14"/>
  <c r="CU85" i="14" s="1"/>
  <c r="CS85" i="14"/>
  <c r="CS89" i="14"/>
  <c r="DC89" i="14"/>
  <c r="CT89" i="14"/>
  <c r="CU89" i="14" s="1"/>
  <c r="CS93" i="14"/>
  <c r="DC93" i="14"/>
  <c r="CT93" i="14"/>
  <c r="CU93" i="14" s="1"/>
  <c r="CS97" i="14"/>
  <c r="DC97" i="14"/>
  <c r="CT97" i="14"/>
  <c r="CU97" i="14" s="1"/>
  <c r="CS101" i="14"/>
  <c r="DC101" i="14"/>
  <c r="CT101" i="14"/>
  <c r="CU101" i="14" s="1"/>
  <c r="CS105" i="14"/>
  <c r="DC105" i="14"/>
  <c r="CT105" i="14"/>
  <c r="CU105" i="14" s="1"/>
  <c r="CS109" i="14"/>
  <c r="DC109" i="14"/>
  <c r="CT109" i="14"/>
  <c r="CU109" i="14" s="1"/>
  <c r="CS113" i="14"/>
  <c r="DC113" i="14"/>
  <c r="CT113" i="14"/>
  <c r="CU113" i="14" s="1"/>
  <c r="CS117" i="14"/>
  <c r="DC117" i="14"/>
  <c r="CT117" i="14"/>
  <c r="CU117" i="14" s="1"/>
  <c r="CS121" i="14"/>
  <c r="CT121" i="14"/>
  <c r="CU121" i="14" s="1"/>
  <c r="DC121" i="14"/>
  <c r="DC125" i="14"/>
  <c r="CT125" i="14"/>
  <c r="CU125" i="14" s="1"/>
  <c r="CS125" i="14"/>
  <c r="DY95" i="14"/>
  <c r="DW95" i="14"/>
  <c r="DZ178" i="14"/>
  <c r="DZ176" i="14"/>
  <c r="DZ174" i="14"/>
  <c r="DY4" i="14"/>
  <c r="DS4" i="14"/>
  <c r="DT4" i="14"/>
  <c r="DZ180" i="14"/>
  <c r="DZ177" i="14"/>
  <c r="DZ175" i="14"/>
  <c r="DX128" i="14"/>
  <c r="DU4" i="14"/>
  <c r="DR1" i="14" s="1"/>
  <c r="DR4" i="14"/>
  <c r="DV156" i="14"/>
  <c r="DV164" i="14" s="1"/>
  <c r="DV130" i="14"/>
  <c r="CB57" i="14"/>
  <c r="BW57" i="14"/>
  <c r="BY57" i="14"/>
  <c r="BZ57" i="14"/>
  <c r="CD57" i="14"/>
  <c r="BY15" i="14"/>
  <c r="BW15" i="14"/>
  <c r="CD15" i="14"/>
  <c r="BZ15" i="14"/>
  <c r="CB15" i="14"/>
  <c r="BK183" i="14"/>
  <c r="BK188" i="14"/>
  <c r="BW44" i="14"/>
  <c r="BY44" i="14"/>
  <c r="BZ44" i="14"/>
  <c r="CD44" i="14"/>
  <c r="BY80" i="14"/>
  <c r="BW80" i="14"/>
  <c r="CD80" i="14"/>
  <c r="BZ80" i="14"/>
  <c r="BY53" i="14"/>
  <c r="BW53" i="14"/>
  <c r="CD53" i="14"/>
  <c r="BZ53" i="14"/>
  <c r="CB53" i="14"/>
  <c r="BY118" i="14"/>
  <c r="BW118" i="14"/>
  <c r="BZ118" i="14"/>
  <c r="CD118" i="14"/>
  <c r="CB79" i="14"/>
  <c r="BW96" i="14"/>
  <c r="BY96" i="14"/>
  <c r="CD96" i="14"/>
  <c r="BZ96" i="14"/>
  <c r="CB16" i="14"/>
  <c r="BY69" i="14"/>
  <c r="BW69" i="14"/>
  <c r="CD69" i="14"/>
  <c r="BZ69" i="14"/>
  <c r="BW82" i="14"/>
  <c r="BY82" i="14"/>
  <c r="BZ82" i="14"/>
  <c r="CD82" i="14"/>
  <c r="CB82" i="14"/>
  <c r="BY86" i="14"/>
  <c r="BW86" i="14"/>
  <c r="CD86" i="14"/>
  <c r="BZ86" i="14"/>
  <c r="CB86" i="14"/>
  <c r="BY120" i="14"/>
  <c r="BW120" i="14"/>
  <c r="BZ120" i="14"/>
  <c r="CD120" i="14"/>
  <c r="CB14" i="14"/>
  <c r="BY100" i="14"/>
  <c r="BW100" i="14"/>
  <c r="CD100" i="14"/>
  <c r="BZ100" i="14"/>
  <c r="CB100" i="14"/>
  <c r="BW90" i="14"/>
  <c r="BY90" i="14"/>
  <c r="BZ90" i="14"/>
  <c r="CD90" i="14"/>
  <c r="BY38" i="14"/>
  <c r="BW38" i="14"/>
  <c r="BZ38" i="14"/>
  <c r="CD38" i="14"/>
  <c r="BW63" i="14"/>
  <c r="BY63" i="14"/>
  <c r="CD63" i="14"/>
  <c r="BZ63" i="14"/>
  <c r="BY119" i="14"/>
  <c r="BW119" i="14"/>
  <c r="BZ119" i="14"/>
  <c r="CD119" i="14"/>
  <c r="CB119" i="14"/>
  <c r="BY49" i="14"/>
  <c r="BW49" i="14"/>
  <c r="CD49" i="14"/>
  <c r="BZ49" i="14"/>
  <c r="BY110" i="14"/>
  <c r="BW110" i="14"/>
  <c r="CD110" i="14"/>
  <c r="BZ110" i="14"/>
  <c r="BW122" i="14"/>
  <c r="BY122" i="14"/>
  <c r="CD122" i="14"/>
  <c r="BZ122" i="14"/>
  <c r="BW101" i="14"/>
  <c r="BY101" i="14"/>
  <c r="CD101" i="14"/>
  <c r="BZ101" i="14"/>
  <c r="BY124" i="14"/>
  <c r="BW124" i="14"/>
  <c r="CD124" i="14"/>
  <c r="BZ124" i="14"/>
  <c r="BW23" i="14"/>
  <c r="BY23" i="14"/>
  <c r="BZ23" i="14"/>
  <c r="CD23" i="14"/>
  <c r="CB23" i="14"/>
  <c r="BY17" i="14"/>
  <c r="BW17" i="14"/>
  <c r="CD17" i="14"/>
  <c r="BZ17" i="14"/>
  <c r="BW37" i="14"/>
  <c r="BY37" i="14"/>
  <c r="BZ37" i="14"/>
  <c r="CD37" i="14"/>
  <c r="CB37" i="14"/>
  <c r="BW84" i="14"/>
  <c r="BY84" i="14"/>
  <c r="CD84" i="14"/>
  <c r="BZ84" i="14"/>
  <c r="CB84" i="14"/>
  <c r="BY87" i="14"/>
  <c r="BW87" i="14"/>
  <c r="CD87" i="14"/>
  <c r="BZ87" i="14"/>
  <c r="BW123" i="14"/>
  <c r="BY123" i="14"/>
  <c r="BZ123" i="14"/>
  <c r="CD123" i="14"/>
  <c r="CB123" i="14"/>
  <c r="BW73" i="14"/>
  <c r="BY73" i="14"/>
  <c r="BZ73" i="14"/>
  <c r="CD73" i="14"/>
  <c r="BW75" i="14"/>
  <c r="BY75" i="14"/>
  <c r="CD75" i="14"/>
  <c r="BZ75" i="14"/>
  <c r="CB75" i="14"/>
  <c r="CB34" i="14"/>
  <c r="CB35" i="14"/>
  <c r="BY35" i="14"/>
  <c r="BW35" i="14"/>
  <c r="CD35" i="14"/>
  <c r="BZ35" i="14"/>
  <c r="BY39" i="14"/>
  <c r="BW39" i="14"/>
  <c r="CD39" i="14"/>
  <c r="BZ39" i="14"/>
  <c r="CB39" i="14"/>
  <c r="BY13" i="14"/>
  <c r="BW13" i="14"/>
  <c r="CD13" i="14"/>
  <c r="BZ13" i="14"/>
  <c r="CB45" i="14"/>
  <c r="BW45" i="14"/>
  <c r="BY45" i="14"/>
  <c r="BZ45" i="14"/>
  <c r="CD45" i="14"/>
  <c r="BW107" i="14"/>
  <c r="BY107" i="14"/>
  <c r="CD107" i="14"/>
  <c r="BZ107" i="14"/>
  <c r="BY5" i="14"/>
  <c r="BW5" i="14"/>
  <c r="BZ5" i="14"/>
  <c r="CD5" i="14"/>
  <c r="CB5" i="14"/>
  <c r="BW125" i="14"/>
  <c r="BY125" i="14"/>
  <c r="BZ125" i="14"/>
  <c r="CD125" i="14"/>
  <c r="BW7" i="14"/>
  <c r="BY7" i="14"/>
  <c r="CD7" i="14"/>
  <c r="BZ7" i="14"/>
  <c r="CB7" i="14"/>
  <c r="BW103" i="14"/>
  <c r="BY103" i="14"/>
  <c r="CD103" i="14"/>
  <c r="BZ103" i="14"/>
  <c r="CB103" i="14"/>
  <c r="BY113" i="14"/>
  <c r="BW113" i="14"/>
  <c r="CD113" i="14"/>
  <c r="BZ113" i="14"/>
  <c r="CB113" i="14"/>
  <c r="BN92" i="14"/>
  <c r="BN126" i="14" s="1"/>
  <c r="BX92" i="14"/>
  <c r="CB125" i="14"/>
  <c r="BY102" i="14"/>
  <c r="BW102" i="14"/>
  <c r="CD102" i="14"/>
  <c r="BZ102" i="14"/>
  <c r="BW46" i="14"/>
  <c r="BY46" i="14"/>
  <c r="BZ46" i="14"/>
  <c r="CD46" i="14"/>
  <c r="CB85" i="14"/>
  <c r="BW67" i="14"/>
  <c r="BY67" i="14"/>
  <c r="CD67" i="14"/>
  <c r="BZ67" i="14"/>
  <c r="BY62" i="14"/>
  <c r="BW62" i="14"/>
  <c r="BZ62" i="14"/>
  <c r="CD62" i="14"/>
  <c r="CB62" i="14"/>
  <c r="CB63" i="14"/>
  <c r="BW108" i="14"/>
  <c r="BY108" i="14"/>
  <c r="BZ108" i="14"/>
  <c r="CD108" i="14"/>
  <c r="CB49" i="14"/>
  <c r="CB109" i="14"/>
  <c r="BY32" i="14"/>
  <c r="BW32" i="14"/>
  <c r="BZ32" i="14"/>
  <c r="CD32" i="14"/>
  <c r="BY24" i="14"/>
  <c r="BW24" i="14"/>
  <c r="BZ24" i="14"/>
  <c r="CD24" i="14"/>
  <c r="CB24" i="14"/>
  <c r="BY12" i="14"/>
  <c r="BW12" i="14"/>
  <c r="BZ12" i="14"/>
  <c r="CD12" i="14"/>
  <c r="CB12" i="14"/>
  <c r="BY99" i="14"/>
  <c r="BW99" i="14"/>
  <c r="BZ99" i="14"/>
  <c r="CD99" i="14"/>
  <c r="CB99" i="14"/>
  <c r="CB101" i="14"/>
  <c r="BW26" i="14"/>
  <c r="BY26" i="14"/>
  <c r="BZ26" i="14"/>
  <c r="CD26" i="14"/>
  <c r="CB26" i="14"/>
  <c r="CB31" i="14"/>
  <c r="BY78" i="14"/>
  <c r="BW78" i="14"/>
  <c r="CD78" i="14"/>
  <c r="BZ78" i="14"/>
  <c r="CB78" i="14"/>
  <c r="BW88" i="14"/>
  <c r="BY88" i="14"/>
  <c r="BZ88" i="14"/>
  <c r="CD88" i="14"/>
  <c r="CB88" i="14"/>
  <c r="BY83" i="14"/>
  <c r="BW83" i="14"/>
  <c r="CD83" i="14"/>
  <c r="BZ83" i="14"/>
  <c r="CB87" i="14"/>
  <c r="BY66" i="14"/>
  <c r="BW66" i="14"/>
  <c r="BZ66" i="14"/>
  <c r="CD66" i="14"/>
  <c r="BW65" i="14"/>
  <c r="BY65" i="14"/>
  <c r="CD65" i="14"/>
  <c r="BZ65" i="14"/>
  <c r="BW77" i="14"/>
  <c r="BY77" i="14"/>
  <c r="BZ77" i="14"/>
  <c r="CD77" i="14"/>
  <c r="CB77" i="14"/>
  <c r="BY11" i="14"/>
  <c r="BW11" i="14"/>
  <c r="CD11" i="14"/>
  <c r="BZ11" i="14"/>
  <c r="CB65" i="14"/>
  <c r="CF143" i="14"/>
  <c r="CF151" i="14" s="1"/>
  <c r="CH143" i="14"/>
  <c r="CH151" i="14" s="1"/>
  <c r="CG126" i="14"/>
  <c r="CH5" i="14"/>
  <c r="CH126" i="14" s="1"/>
  <c r="CR126" i="14"/>
  <c r="CS5" i="14"/>
  <c r="DC5" i="14"/>
  <c r="CT5" i="14"/>
  <c r="CS10" i="14"/>
  <c r="DC10" i="14"/>
  <c r="CT10" i="14"/>
  <c r="CU10" i="14" s="1"/>
  <c r="DC16" i="14"/>
  <c r="CT16" i="14"/>
  <c r="CU16" i="14" s="1"/>
  <c r="CS16" i="14"/>
  <c r="CS20" i="14"/>
  <c r="DC20" i="14"/>
  <c r="CT20" i="14"/>
  <c r="CU20" i="14" s="1"/>
  <c r="CS24" i="14"/>
  <c r="DC24" i="14"/>
  <c r="CT24" i="14"/>
  <c r="CU24" i="14" s="1"/>
  <c r="DC28" i="14"/>
  <c r="CT28" i="14"/>
  <c r="CU28" i="14" s="1"/>
  <c r="CS28" i="14"/>
  <c r="CS32" i="14"/>
  <c r="DC32" i="14"/>
  <c r="CT32" i="14"/>
  <c r="CU32" i="14" s="1"/>
  <c r="DC36" i="14"/>
  <c r="CT36" i="14"/>
  <c r="CU36" i="14" s="1"/>
  <c r="CS36" i="14"/>
  <c r="DC40" i="14"/>
  <c r="CT40" i="14"/>
  <c r="CU40" i="14" s="1"/>
  <c r="CS40" i="14"/>
  <c r="CS44" i="14"/>
  <c r="DC44" i="14"/>
  <c r="CT44" i="14"/>
  <c r="CU44" i="14" s="1"/>
  <c r="DC48" i="14"/>
  <c r="CT48" i="14"/>
  <c r="CU48" i="14" s="1"/>
  <c r="CS48" i="14"/>
  <c r="CS52" i="14"/>
  <c r="DC52" i="14"/>
  <c r="CT52" i="14"/>
  <c r="CU52" i="14" s="1"/>
  <c r="CS56" i="14"/>
  <c r="DC56" i="14"/>
  <c r="CT56" i="14"/>
  <c r="CU56" i="14" s="1"/>
  <c r="DC60" i="14"/>
  <c r="CT60" i="14"/>
  <c r="CU60" i="14" s="1"/>
  <c r="CS60" i="14"/>
  <c r="CT64" i="14"/>
  <c r="CU64" i="14" s="1"/>
  <c r="CS64" i="14"/>
  <c r="DC64" i="14"/>
  <c r="DC68" i="14"/>
  <c r="CT68" i="14"/>
  <c r="CU68" i="14" s="1"/>
  <c r="CS68" i="14"/>
  <c r="CT72" i="14"/>
  <c r="CU72" i="14" s="1"/>
  <c r="CS72" i="14"/>
  <c r="DC72" i="14"/>
  <c r="DC76" i="14"/>
  <c r="CT76" i="14"/>
  <c r="CU76" i="14" s="1"/>
  <c r="CS76" i="14"/>
  <c r="CT80" i="14"/>
  <c r="CU80" i="14" s="1"/>
  <c r="CS80" i="14"/>
  <c r="DC80" i="14"/>
  <c r="CT84" i="14"/>
  <c r="CU84" i="14" s="1"/>
  <c r="CS84" i="14"/>
  <c r="DC84" i="14"/>
  <c r="CS88" i="14"/>
  <c r="DC88" i="14"/>
  <c r="CT88" i="14"/>
  <c r="CU88" i="14" s="1"/>
  <c r="DC92" i="14"/>
  <c r="CT92" i="14"/>
  <c r="CU92" i="14" s="1"/>
  <c r="CS92" i="14"/>
  <c r="CS96" i="14"/>
  <c r="DC96" i="14"/>
  <c r="CT96" i="14"/>
  <c r="CU96" i="14" s="1"/>
  <c r="DC100" i="14"/>
  <c r="CT100" i="14"/>
  <c r="CU100" i="14" s="1"/>
  <c r="CS100" i="14"/>
  <c r="DC104" i="14"/>
  <c r="CT104" i="14"/>
  <c r="CU104" i="14" s="1"/>
  <c r="CS104" i="14"/>
  <c r="DC108" i="14"/>
  <c r="CT108" i="14"/>
  <c r="CU108" i="14" s="1"/>
  <c r="CS108" i="14"/>
  <c r="DC112" i="14"/>
  <c r="CT112" i="14"/>
  <c r="CU112" i="14" s="1"/>
  <c r="CS112" i="14"/>
  <c r="DC116" i="14"/>
  <c r="CT116" i="14"/>
  <c r="CU116" i="14" s="1"/>
  <c r="CS116" i="14"/>
  <c r="CT120" i="14"/>
  <c r="CU120" i="14" s="1"/>
  <c r="DC120" i="14"/>
  <c r="CS120" i="14"/>
  <c r="CT124" i="14"/>
  <c r="CU124" i="14" s="1"/>
  <c r="CS124" i="14"/>
  <c r="DC124" i="14"/>
  <c r="DC12" i="14"/>
  <c r="CT12" i="14"/>
  <c r="CU12" i="14" s="1"/>
  <c r="CS12" i="14"/>
  <c r="DC9" i="14"/>
  <c r="CT9" i="14"/>
  <c r="CU9" i="14" s="1"/>
  <c r="CS9" i="14"/>
  <c r="DC15" i="14"/>
  <c r="CT15" i="14"/>
  <c r="CU15" i="14" s="1"/>
  <c r="CS15" i="14"/>
  <c r="DC19" i="14"/>
  <c r="CT19" i="14"/>
  <c r="CU19" i="14" s="1"/>
  <c r="CS19" i="14"/>
  <c r="DC23" i="14"/>
  <c r="CT23" i="14"/>
  <c r="CU23" i="14" s="1"/>
  <c r="CS23" i="14"/>
  <c r="DC27" i="14"/>
  <c r="CT27" i="14"/>
  <c r="CU27" i="14" s="1"/>
  <c r="CS27" i="14"/>
  <c r="DC31" i="14"/>
  <c r="CT31" i="14"/>
  <c r="CU31" i="14" s="1"/>
  <c r="CS31" i="14"/>
  <c r="DC35" i="14"/>
  <c r="CT35" i="14"/>
  <c r="CU35" i="14" s="1"/>
  <c r="CS35" i="14"/>
  <c r="DC39" i="14"/>
  <c r="CT39" i="14"/>
  <c r="CU39" i="14" s="1"/>
  <c r="CS39" i="14"/>
  <c r="DC43" i="14"/>
  <c r="CT43" i="14"/>
  <c r="CU43" i="14" s="1"/>
  <c r="CS43" i="14"/>
  <c r="DC47" i="14"/>
  <c r="CT47" i="14"/>
  <c r="CU47" i="14" s="1"/>
  <c r="CS47" i="14"/>
  <c r="DC51" i="14"/>
  <c r="CT51" i="14"/>
  <c r="CU51" i="14" s="1"/>
  <c r="CS51" i="14"/>
  <c r="DC55" i="14"/>
  <c r="CT55" i="14"/>
  <c r="CU55" i="14" s="1"/>
  <c r="CS55" i="14"/>
  <c r="DC59" i="14"/>
  <c r="CT59" i="14"/>
  <c r="CU59" i="14" s="1"/>
  <c r="CS59" i="14"/>
  <c r="CT63" i="14"/>
  <c r="CU63" i="14" s="1"/>
  <c r="CS63" i="14"/>
  <c r="DC63" i="14"/>
  <c r="CT67" i="14"/>
  <c r="CU67" i="14" s="1"/>
  <c r="CS67" i="14"/>
  <c r="DC67" i="14"/>
  <c r="CT71" i="14"/>
  <c r="CU71" i="14" s="1"/>
  <c r="CS71" i="14"/>
  <c r="DC71" i="14"/>
  <c r="CT75" i="14"/>
  <c r="CU75" i="14" s="1"/>
  <c r="CS75" i="14"/>
  <c r="DC75" i="14"/>
  <c r="CT79" i="14"/>
  <c r="CU79" i="14" s="1"/>
  <c r="CS79" i="14"/>
  <c r="DC79" i="14"/>
  <c r="CT83" i="14"/>
  <c r="CU83" i="14" s="1"/>
  <c r="CS83" i="14"/>
  <c r="DC83" i="14"/>
  <c r="DC87" i="14"/>
  <c r="CT87" i="14"/>
  <c r="CU87" i="14" s="1"/>
  <c r="CS87" i="14"/>
  <c r="DC91" i="14"/>
  <c r="CT91" i="14"/>
  <c r="CU91" i="14" s="1"/>
  <c r="CS91" i="14"/>
  <c r="DC95" i="14"/>
  <c r="CT95" i="14"/>
  <c r="CU95" i="14" s="1"/>
  <c r="CS95" i="14"/>
  <c r="DC99" i="14"/>
  <c r="CT99" i="14"/>
  <c r="CU99" i="14" s="1"/>
  <c r="CS99" i="14"/>
  <c r="DC103" i="14"/>
  <c r="CT103" i="14"/>
  <c r="CU103" i="14" s="1"/>
  <c r="CS103" i="14"/>
  <c r="DC107" i="14"/>
  <c r="CT107" i="14"/>
  <c r="CU107" i="14" s="1"/>
  <c r="CS107" i="14"/>
  <c r="DC111" i="14"/>
  <c r="CT111" i="14"/>
  <c r="CU111" i="14" s="1"/>
  <c r="CS111" i="14"/>
  <c r="DC115" i="14"/>
  <c r="CT115" i="14"/>
  <c r="CU115" i="14" s="1"/>
  <c r="CS115" i="14"/>
  <c r="CT119" i="14"/>
  <c r="CU119" i="14" s="1"/>
  <c r="DC119" i="14"/>
  <c r="CS119" i="14"/>
  <c r="CT123" i="14"/>
  <c r="CU123" i="14" s="1"/>
  <c r="CS123" i="14"/>
  <c r="DC123" i="14"/>
  <c r="BY106" i="14"/>
  <c r="BW106" i="14"/>
  <c r="CD106" i="14"/>
  <c r="BZ106" i="14"/>
  <c r="BW71" i="14"/>
  <c r="BY71" i="14"/>
  <c r="BZ71" i="14"/>
  <c r="CD71" i="14"/>
  <c r="CB71" i="14"/>
  <c r="BY19" i="14"/>
  <c r="BX130" i="14"/>
  <c r="BW19" i="14"/>
  <c r="CD19" i="14"/>
  <c r="BZ19" i="14"/>
  <c r="BY27" i="14"/>
  <c r="BW27" i="14"/>
  <c r="CD27" i="14"/>
  <c r="BZ27" i="14"/>
  <c r="CB40" i="14"/>
  <c r="BY25" i="14"/>
  <c r="BW25" i="14"/>
  <c r="CD25" i="14"/>
  <c r="BZ25" i="14"/>
  <c r="BW29" i="14"/>
  <c r="BY29" i="14"/>
  <c r="BZ29" i="14"/>
  <c r="CD29" i="14"/>
  <c r="CB33" i="14"/>
  <c r="BW33" i="14"/>
  <c r="BY33" i="14"/>
  <c r="BZ33" i="14"/>
  <c r="CD33" i="14"/>
  <c r="BY41" i="14"/>
  <c r="BW41" i="14"/>
  <c r="CD41" i="14"/>
  <c r="BZ41" i="14"/>
  <c r="BY72" i="14"/>
  <c r="BW72" i="14"/>
  <c r="CD72" i="14"/>
  <c r="BZ72" i="14"/>
  <c r="CB76" i="14"/>
  <c r="CB38" i="14"/>
  <c r="BY61" i="14"/>
  <c r="BW61" i="14"/>
  <c r="BZ61" i="14"/>
  <c r="CD61" i="14"/>
  <c r="CB27" i="14"/>
  <c r="BW9" i="14"/>
  <c r="BY9" i="14"/>
  <c r="BZ9" i="14"/>
  <c r="CD9" i="14"/>
  <c r="CB9" i="14"/>
  <c r="BW89" i="14"/>
  <c r="BY89" i="14"/>
  <c r="CD89" i="14"/>
  <c r="BZ89" i="14"/>
  <c r="CB97" i="14"/>
  <c r="BW97" i="14"/>
  <c r="BY97" i="14"/>
  <c r="CD97" i="14"/>
  <c r="BZ97" i="14"/>
  <c r="BK182" i="14"/>
  <c r="BK177" i="14"/>
  <c r="BK178" i="14" s="1"/>
  <c r="BY59" i="14"/>
  <c r="BW59" i="14"/>
  <c r="CD59" i="14"/>
  <c r="BZ59" i="14"/>
  <c r="CB59" i="14"/>
  <c r="BY47" i="14"/>
  <c r="BW47" i="14"/>
  <c r="CD47" i="14"/>
  <c r="BZ47" i="14"/>
  <c r="CB47" i="14"/>
  <c r="BY111" i="14"/>
  <c r="BW111" i="14"/>
  <c r="BZ111" i="14"/>
  <c r="CD111" i="14"/>
  <c r="BY121" i="14"/>
  <c r="BW121" i="14"/>
  <c r="BZ121" i="14"/>
  <c r="CD121" i="14"/>
  <c r="CB121" i="14"/>
  <c r="CB102" i="14"/>
  <c r="CB122" i="14"/>
  <c r="BK175" i="14"/>
  <c r="G22" i="7"/>
  <c r="K24" i="7"/>
  <c r="K22" i="7"/>
  <c r="G24" i="7"/>
  <c r="F27" i="17"/>
  <c r="J23" i="7"/>
  <c r="K21" i="7"/>
  <c r="F21" i="7"/>
  <c r="N126" i="12"/>
  <c r="P126" i="12"/>
  <c r="L125" i="12"/>
  <c r="K125" i="12"/>
  <c r="L124" i="12"/>
  <c r="K124" i="12"/>
  <c r="L123" i="12"/>
  <c r="K123" i="12"/>
  <c r="L122" i="12"/>
  <c r="K122" i="12"/>
  <c r="L121" i="12"/>
  <c r="K121" i="12"/>
  <c r="L120" i="12"/>
  <c r="K120" i="12"/>
  <c r="L119" i="12"/>
  <c r="K119" i="12"/>
  <c r="L118" i="12"/>
  <c r="K118" i="12"/>
  <c r="L117" i="12"/>
  <c r="K117" i="12"/>
  <c r="L116" i="12"/>
  <c r="K116" i="12"/>
  <c r="L115" i="12"/>
  <c r="K115" i="12"/>
  <c r="L114" i="12"/>
  <c r="K114" i="12"/>
  <c r="L113" i="12"/>
  <c r="K113" i="12"/>
  <c r="L112" i="12"/>
  <c r="K112" i="12"/>
  <c r="L111" i="12"/>
  <c r="K111" i="12"/>
  <c r="L110" i="12"/>
  <c r="K110" i="12"/>
  <c r="L109" i="12"/>
  <c r="K109" i="12"/>
  <c r="K108" i="12"/>
  <c r="K107" i="12"/>
  <c r="K106" i="12"/>
  <c r="K105" i="12"/>
  <c r="K104" i="12"/>
  <c r="L103" i="12"/>
  <c r="K103" i="12"/>
  <c r="K102" i="12"/>
  <c r="K101" i="12"/>
  <c r="K100" i="12"/>
  <c r="K99" i="12"/>
  <c r="K98" i="12"/>
  <c r="K97" i="12"/>
  <c r="K96" i="12"/>
  <c r="K95" i="12"/>
  <c r="K94" i="12"/>
  <c r="K93" i="12"/>
  <c r="K92" i="12"/>
  <c r="L91" i="12"/>
  <c r="K91" i="12"/>
  <c r="L90" i="12"/>
  <c r="K90" i="12"/>
  <c r="L89" i="12"/>
  <c r="K89" i="12"/>
  <c r="L88" i="12"/>
  <c r="K88" i="12"/>
  <c r="L87" i="12"/>
  <c r="K87" i="12"/>
  <c r="L86" i="12"/>
  <c r="K86" i="12"/>
  <c r="L85" i="12"/>
  <c r="K85" i="12"/>
  <c r="L84" i="12"/>
  <c r="K84" i="12"/>
  <c r="L83" i="12"/>
  <c r="K83" i="12"/>
  <c r="L82" i="12"/>
  <c r="K82" i="12"/>
  <c r="L81" i="12"/>
  <c r="K81" i="12"/>
  <c r="L80" i="12"/>
  <c r="K80" i="12"/>
  <c r="L79" i="12"/>
  <c r="K79" i="12"/>
  <c r="L78" i="12"/>
  <c r="K78" i="12"/>
  <c r="L77" i="12"/>
  <c r="K77" i="12"/>
  <c r="L76" i="12"/>
  <c r="K76" i="12"/>
  <c r="L75" i="12"/>
  <c r="K75" i="12"/>
  <c r="L74" i="12"/>
  <c r="K74" i="12"/>
  <c r="L73" i="12"/>
  <c r="K73" i="12"/>
  <c r="L72" i="12"/>
  <c r="K72" i="12"/>
  <c r="L71" i="12"/>
  <c r="K71" i="12"/>
  <c r="L70" i="12"/>
  <c r="K70" i="12"/>
  <c r="L69" i="12"/>
  <c r="K69" i="12"/>
  <c r="L68" i="12"/>
  <c r="K68" i="12"/>
  <c r="L67"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K44" i="12"/>
  <c r="L44" i="12" s="1"/>
  <c r="K43" i="12"/>
  <c r="L43" i="12" s="1"/>
  <c r="L42" i="12"/>
  <c r="K42" i="12"/>
  <c r="K41" i="12"/>
  <c r="L41" i="12" s="1"/>
  <c r="K40" i="12"/>
  <c r="L40" i="12" s="1"/>
  <c r="L39" i="12"/>
  <c r="K39" i="12"/>
  <c r="K38" i="12"/>
  <c r="L38" i="12" s="1"/>
  <c r="K37" i="12"/>
  <c r="L37" i="12" s="1"/>
  <c r="L36" i="12"/>
  <c r="K36" i="12"/>
  <c r="K35" i="12"/>
  <c r="L35" i="12" s="1"/>
  <c r="K34" i="12"/>
  <c r="L34" i="12" s="1"/>
  <c r="L33" i="12"/>
  <c r="K33" i="12"/>
  <c r="L32" i="12"/>
  <c r="K32" i="12"/>
  <c r="K31" i="12"/>
  <c r="L31" i="12" s="1"/>
  <c r="K30" i="12"/>
  <c r="L30" i="12" s="1"/>
  <c r="K29" i="12"/>
  <c r="L29" i="12" s="1"/>
  <c r="K28" i="12"/>
  <c r="L28" i="12" s="1"/>
  <c r="K27" i="12"/>
  <c r="L27" i="12" s="1"/>
  <c r="K26" i="12"/>
  <c r="L26" i="12" s="1"/>
  <c r="K25" i="12"/>
  <c r="L25" i="12" s="1"/>
  <c r="K24" i="12"/>
  <c r="L24" i="12" s="1"/>
  <c r="K23" i="12"/>
  <c r="L23" i="12" s="1"/>
  <c r="K22" i="12"/>
  <c r="L22" i="12" s="1"/>
  <c r="K21" i="12"/>
  <c r="L21" i="12" s="1"/>
  <c r="K20" i="12"/>
  <c r="L20" i="12" s="1"/>
  <c r="K19" i="12"/>
  <c r="L19" i="12" s="1"/>
  <c r="K18" i="12"/>
  <c r="L18" i="12" s="1"/>
  <c r="K17" i="12"/>
  <c r="L17" i="12" s="1"/>
  <c r="K16" i="12"/>
  <c r="L16" i="12" s="1"/>
  <c r="K15" i="12"/>
  <c r="L15" i="12" s="1"/>
  <c r="K14" i="12"/>
  <c r="L14" i="12" s="1"/>
  <c r="K13" i="12"/>
  <c r="L13" i="12" s="1"/>
  <c r="K12" i="12"/>
  <c r="L12" i="12" s="1"/>
  <c r="K11" i="12"/>
  <c r="L11" i="12" s="1"/>
  <c r="K10" i="12"/>
  <c r="L10" i="12" s="1"/>
  <c r="K9" i="12"/>
  <c r="L9" i="12" s="1"/>
  <c r="K8" i="12"/>
  <c r="L8" i="12" s="1"/>
  <c r="K7" i="12"/>
  <c r="L7" i="12" s="1"/>
  <c r="L6" i="12"/>
  <c r="K6" i="12"/>
  <c r="CA111" i="14" l="1"/>
  <c r="CK111" i="14"/>
  <c r="CA47" i="14"/>
  <c r="CK47" i="14"/>
  <c r="CA89" i="14"/>
  <c r="CK89" i="14"/>
  <c r="CA9" i="14"/>
  <c r="CK9" i="14"/>
  <c r="CA72" i="14"/>
  <c r="CK72" i="14"/>
  <c r="CA41" i="14"/>
  <c r="CK41" i="14"/>
  <c r="CA29" i="14"/>
  <c r="CK29" i="14"/>
  <c r="CA27" i="14"/>
  <c r="CK27" i="14"/>
  <c r="CA19" i="14"/>
  <c r="CK19" i="14"/>
  <c r="BX138" i="14"/>
  <c r="CA71" i="14"/>
  <c r="CK71" i="14"/>
  <c r="CS143" i="14"/>
  <c r="CS151" i="14" s="1"/>
  <c r="DC156" i="14"/>
  <c r="DC126" i="14"/>
  <c r="CA11" i="14"/>
  <c r="CK11" i="14"/>
  <c r="CA77" i="14"/>
  <c r="CK77" i="14"/>
  <c r="CA66" i="14"/>
  <c r="CK66" i="14"/>
  <c r="CA83" i="14"/>
  <c r="CK83" i="14"/>
  <c r="CA88" i="14"/>
  <c r="CK88" i="14"/>
  <c r="CA78" i="14"/>
  <c r="CK78" i="14"/>
  <c r="CA26" i="14"/>
  <c r="CK26" i="14"/>
  <c r="CA99" i="14"/>
  <c r="CK99" i="14"/>
  <c r="CA24" i="14"/>
  <c r="CK24" i="14"/>
  <c r="CA32" i="14"/>
  <c r="CK32" i="14"/>
  <c r="CA108" i="14"/>
  <c r="CK108" i="14"/>
  <c r="CA62" i="14"/>
  <c r="CK62" i="14"/>
  <c r="CA102" i="14"/>
  <c r="CK102" i="14"/>
  <c r="CA113" i="14"/>
  <c r="CK113" i="14"/>
  <c r="CA7" i="14"/>
  <c r="CK7" i="14"/>
  <c r="CA107" i="14"/>
  <c r="CK107" i="14"/>
  <c r="CA45" i="14"/>
  <c r="CK45" i="14"/>
  <c r="CA39" i="14"/>
  <c r="CK39" i="14"/>
  <c r="CA35" i="14"/>
  <c r="CK35" i="14"/>
  <c r="CA75" i="14"/>
  <c r="CK75" i="14"/>
  <c r="CA73" i="14"/>
  <c r="CK73" i="14"/>
  <c r="CA87" i="14"/>
  <c r="CK87" i="14"/>
  <c r="CA84" i="14"/>
  <c r="CK84" i="14"/>
  <c r="CA17" i="14"/>
  <c r="CK17" i="14"/>
  <c r="CA23" i="14"/>
  <c r="CK23" i="14"/>
  <c r="CA101" i="14"/>
  <c r="CK101" i="14"/>
  <c r="CA122" i="14"/>
  <c r="CK122" i="14"/>
  <c r="CO122" i="14" s="1"/>
  <c r="CA110" i="14"/>
  <c r="CK110" i="14"/>
  <c r="CA49" i="14"/>
  <c r="CK49" i="14"/>
  <c r="CO49" i="14" s="1"/>
  <c r="CA119" i="14"/>
  <c r="CK119" i="14"/>
  <c r="CA38" i="14"/>
  <c r="CK38" i="14"/>
  <c r="CA90" i="14"/>
  <c r="CK90" i="14"/>
  <c r="CA100" i="14"/>
  <c r="CK100" i="14"/>
  <c r="CA120" i="14"/>
  <c r="CK120" i="14"/>
  <c r="CA86" i="14"/>
  <c r="CK86" i="14"/>
  <c r="CA82" i="14"/>
  <c r="CK82" i="14"/>
  <c r="CA96" i="14"/>
  <c r="CK96" i="14"/>
  <c r="CA118" i="14"/>
  <c r="CK118" i="14"/>
  <c r="CA53" i="14"/>
  <c r="CK53" i="14"/>
  <c r="CA80" i="14"/>
  <c r="CK80" i="14"/>
  <c r="BJ183" i="14"/>
  <c r="CA15" i="14"/>
  <c r="CK15" i="14"/>
  <c r="DV138" i="14"/>
  <c r="DX181" i="14" s="1"/>
  <c r="DW181" i="14" s="1"/>
  <c r="DR125" i="14"/>
  <c r="DR123" i="14"/>
  <c r="DR121" i="14"/>
  <c r="DR119" i="14"/>
  <c r="DR117" i="14"/>
  <c r="DR115" i="14"/>
  <c r="DR113" i="14"/>
  <c r="DR111" i="14"/>
  <c r="DR109" i="14"/>
  <c r="DR107" i="14"/>
  <c r="DR98" i="14"/>
  <c r="DR106" i="14"/>
  <c r="DR104" i="14"/>
  <c r="DR102" i="14"/>
  <c r="DR100" i="14"/>
  <c r="DR95" i="14"/>
  <c r="DR93" i="14"/>
  <c r="DR91" i="14"/>
  <c r="DR85" i="14"/>
  <c r="DR83" i="14"/>
  <c r="DR81" i="14"/>
  <c r="DR79" i="14"/>
  <c r="DR77" i="14"/>
  <c r="DR75" i="14"/>
  <c r="DR73" i="14"/>
  <c r="DR71" i="14"/>
  <c r="DR69" i="14"/>
  <c r="DR67" i="14"/>
  <c r="DR65" i="14"/>
  <c r="DR63" i="14"/>
  <c r="DR89" i="14"/>
  <c r="DR87" i="14"/>
  <c r="DR61" i="14"/>
  <c r="DR59" i="14"/>
  <c r="DR10" i="14"/>
  <c r="DR8" i="14"/>
  <c r="DR6" i="14"/>
  <c r="DR57" i="14"/>
  <c r="DR55" i="14"/>
  <c r="DR53" i="14"/>
  <c r="DR51" i="14"/>
  <c r="DR49" i="14"/>
  <c r="DR47" i="14"/>
  <c r="DR45" i="14"/>
  <c r="DR43" i="14"/>
  <c r="DR41" i="14"/>
  <c r="DR39" i="14"/>
  <c r="DR37" i="14"/>
  <c r="DR35" i="14"/>
  <c r="DR33" i="14"/>
  <c r="DR31" i="14"/>
  <c r="DR29" i="14"/>
  <c r="DR27" i="14"/>
  <c r="DR25" i="14"/>
  <c r="DR23" i="14"/>
  <c r="DR21" i="14"/>
  <c r="DR19" i="14"/>
  <c r="DR17" i="14"/>
  <c r="DR15" i="14"/>
  <c r="DR13" i="14"/>
  <c r="DR5" i="14"/>
  <c r="DR124" i="14"/>
  <c r="DR122" i="14"/>
  <c r="DR120" i="14"/>
  <c r="DR118" i="14"/>
  <c r="DR116" i="14"/>
  <c r="DR114" i="14"/>
  <c r="DR112" i="14"/>
  <c r="DR110" i="14"/>
  <c r="DR108" i="14"/>
  <c r="DR99" i="14"/>
  <c r="DR97" i="14"/>
  <c r="DR105" i="14"/>
  <c r="DR103" i="14"/>
  <c r="DR101" i="14"/>
  <c r="DR96" i="14"/>
  <c r="DR94" i="14"/>
  <c r="DR92" i="14"/>
  <c r="DR86" i="14"/>
  <c r="DR84" i="14"/>
  <c r="DR82" i="14"/>
  <c r="DR80" i="14"/>
  <c r="DR78" i="14"/>
  <c r="DR76" i="14"/>
  <c r="DR74" i="14"/>
  <c r="DR72" i="14"/>
  <c r="DR70" i="14"/>
  <c r="DR68" i="14"/>
  <c r="DR66" i="14"/>
  <c r="DR64" i="14"/>
  <c r="DR90" i="14"/>
  <c r="DR88" i="14"/>
  <c r="DR62" i="14"/>
  <c r="DR60" i="14"/>
  <c r="DR11" i="14"/>
  <c r="DR9" i="14"/>
  <c r="DR7" i="14"/>
  <c r="DR58" i="14"/>
  <c r="DR56" i="14"/>
  <c r="DR54" i="14"/>
  <c r="DR52" i="14"/>
  <c r="DR50" i="14"/>
  <c r="DR48" i="14"/>
  <c r="DR46" i="14"/>
  <c r="DR44" i="14"/>
  <c r="DR42" i="14"/>
  <c r="DR40" i="14"/>
  <c r="DR38" i="14"/>
  <c r="DR36" i="14"/>
  <c r="DR34" i="14"/>
  <c r="DR32" i="14"/>
  <c r="DR30" i="14"/>
  <c r="DR28" i="14"/>
  <c r="DR26" i="14"/>
  <c r="DR24" i="14"/>
  <c r="DR22" i="14"/>
  <c r="DR20" i="14"/>
  <c r="DR18" i="14"/>
  <c r="DR16" i="14"/>
  <c r="DR14" i="14"/>
  <c r="DR12" i="14"/>
  <c r="CA81" i="14"/>
  <c r="CK81" i="14"/>
  <c r="CA55" i="14"/>
  <c r="CK55" i="14"/>
  <c r="CA52" i="14"/>
  <c r="CK52" i="14"/>
  <c r="CA70" i="14"/>
  <c r="CK70" i="14"/>
  <c r="CA104" i="14"/>
  <c r="CK104" i="14"/>
  <c r="CA10" i="14"/>
  <c r="CK10" i="14"/>
  <c r="CA22" i="14"/>
  <c r="CK22" i="14"/>
  <c r="CA60" i="14"/>
  <c r="CK60" i="14"/>
  <c r="DA93" i="14"/>
  <c r="DK93" i="14"/>
  <c r="BW94" i="14"/>
  <c r="BY94" i="14"/>
  <c r="CD94" i="14"/>
  <c r="BZ94" i="14"/>
  <c r="CA117" i="14"/>
  <c r="CK117" i="14"/>
  <c r="CA64" i="14"/>
  <c r="CK64" i="14"/>
  <c r="CA40" i="14"/>
  <c r="CK40" i="14"/>
  <c r="CA50" i="14"/>
  <c r="CK50" i="14"/>
  <c r="DG5" i="14"/>
  <c r="DF5" i="14"/>
  <c r="DE126" i="14"/>
  <c r="DP5" i="14"/>
  <c r="DG9" i="14"/>
  <c r="DH9" i="14" s="1"/>
  <c r="DF9" i="14"/>
  <c r="DP9" i="14"/>
  <c r="DP63" i="14"/>
  <c r="DG63" i="14"/>
  <c r="DH63" i="14" s="1"/>
  <c r="DF63" i="14"/>
  <c r="DP67" i="14"/>
  <c r="DG67" i="14"/>
  <c r="DH67" i="14" s="1"/>
  <c r="DF67" i="14"/>
  <c r="DG15" i="14"/>
  <c r="DH15" i="14" s="1"/>
  <c r="DF15" i="14"/>
  <c r="DP15" i="14"/>
  <c r="DG19" i="14"/>
  <c r="DH19" i="14" s="1"/>
  <c r="DF19" i="14"/>
  <c r="DP19" i="14"/>
  <c r="DG23" i="14"/>
  <c r="DH23" i="14" s="1"/>
  <c r="DF23" i="14"/>
  <c r="DP23" i="14"/>
  <c r="DG27" i="14"/>
  <c r="DH27" i="14" s="1"/>
  <c r="DF27" i="14"/>
  <c r="DP27" i="14"/>
  <c r="DG31" i="14"/>
  <c r="DH31" i="14" s="1"/>
  <c r="DF31" i="14"/>
  <c r="DP31" i="14"/>
  <c r="DG35" i="14"/>
  <c r="DH35" i="14" s="1"/>
  <c r="DF35" i="14"/>
  <c r="DP35" i="14"/>
  <c r="DG39" i="14"/>
  <c r="DH39" i="14" s="1"/>
  <c r="DF39" i="14"/>
  <c r="DP39" i="14"/>
  <c r="DG43" i="14"/>
  <c r="DH43" i="14" s="1"/>
  <c r="DF43" i="14"/>
  <c r="DP43" i="14"/>
  <c r="DG47" i="14"/>
  <c r="DH47" i="14" s="1"/>
  <c r="DF47" i="14"/>
  <c r="DP47" i="14"/>
  <c r="DG51" i="14"/>
  <c r="DH51" i="14" s="1"/>
  <c r="DF51" i="14"/>
  <c r="DP51" i="14"/>
  <c r="DG55" i="14"/>
  <c r="DH55" i="14" s="1"/>
  <c r="DF55" i="14"/>
  <c r="DP55" i="14"/>
  <c r="DG59" i="14"/>
  <c r="DH59" i="14" s="1"/>
  <c r="DF59" i="14"/>
  <c r="DP59" i="14"/>
  <c r="DP69" i="14"/>
  <c r="DG69" i="14"/>
  <c r="DH69" i="14" s="1"/>
  <c r="DF69" i="14"/>
  <c r="DP73" i="14"/>
  <c r="DG73" i="14"/>
  <c r="DH73" i="14" s="1"/>
  <c r="DF73" i="14"/>
  <c r="DP77" i="14"/>
  <c r="DG77" i="14"/>
  <c r="DH77" i="14" s="1"/>
  <c r="DF77" i="14"/>
  <c r="DP81" i="14"/>
  <c r="DG81" i="14"/>
  <c r="DH81" i="14" s="1"/>
  <c r="DF81" i="14"/>
  <c r="DP85" i="14"/>
  <c r="DG85" i="14"/>
  <c r="DH85" i="14" s="1"/>
  <c r="DF85" i="14"/>
  <c r="DG89" i="14"/>
  <c r="DH89" i="14" s="1"/>
  <c r="DF89" i="14"/>
  <c r="DP89" i="14"/>
  <c r="DG93" i="14"/>
  <c r="DH93" i="14" s="1"/>
  <c r="DF93" i="14"/>
  <c r="DP93" i="14"/>
  <c r="DG97" i="14"/>
  <c r="DH97" i="14" s="1"/>
  <c r="DP97" i="14"/>
  <c r="DF97" i="14"/>
  <c r="DG101" i="14"/>
  <c r="DH101" i="14" s="1"/>
  <c r="DF101" i="14"/>
  <c r="DP101" i="14"/>
  <c r="DG105" i="14"/>
  <c r="DH105" i="14" s="1"/>
  <c r="DF105" i="14"/>
  <c r="DP105" i="14"/>
  <c r="DG109" i="14"/>
  <c r="DH109" i="14" s="1"/>
  <c r="DP109" i="14"/>
  <c r="DF109" i="14"/>
  <c r="DG113" i="14"/>
  <c r="DH113" i="14" s="1"/>
  <c r="DP113" i="14"/>
  <c r="DF113" i="14"/>
  <c r="DG117" i="14"/>
  <c r="DH117" i="14" s="1"/>
  <c r="DP117" i="14"/>
  <c r="DF117" i="14"/>
  <c r="DP121" i="14"/>
  <c r="DG121" i="14"/>
  <c r="DH121" i="14" s="1"/>
  <c r="DF121" i="14"/>
  <c r="DP125" i="14"/>
  <c r="DG125" i="14"/>
  <c r="DH125" i="14" s="1"/>
  <c r="DF125" i="14"/>
  <c r="DG8" i="14"/>
  <c r="DH8" i="14" s="1"/>
  <c r="DP8" i="14"/>
  <c r="DF8" i="14"/>
  <c r="DG12" i="14"/>
  <c r="DH12" i="14" s="1"/>
  <c r="DF12" i="14"/>
  <c r="DP12" i="14"/>
  <c r="DP66" i="14"/>
  <c r="DG66" i="14"/>
  <c r="DH66" i="14" s="1"/>
  <c r="DF66" i="14"/>
  <c r="DG14" i="14"/>
  <c r="DH14" i="14" s="1"/>
  <c r="DF14" i="14"/>
  <c r="DP14" i="14"/>
  <c r="DG18" i="14"/>
  <c r="DH18" i="14" s="1"/>
  <c r="DF18" i="14"/>
  <c r="DP18" i="14"/>
  <c r="DG22" i="14"/>
  <c r="DH22" i="14" s="1"/>
  <c r="DF22" i="14"/>
  <c r="DP22" i="14"/>
  <c r="DG26" i="14"/>
  <c r="DH26" i="14" s="1"/>
  <c r="DF26" i="14"/>
  <c r="DP26" i="14"/>
  <c r="DG30" i="14"/>
  <c r="DH30" i="14" s="1"/>
  <c r="DF30" i="14"/>
  <c r="DP30" i="14"/>
  <c r="DG34" i="14"/>
  <c r="DH34" i="14" s="1"/>
  <c r="DF34" i="14"/>
  <c r="DP34" i="14"/>
  <c r="DG38" i="14"/>
  <c r="DH38" i="14" s="1"/>
  <c r="DF38" i="14"/>
  <c r="DP38" i="14"/>
  <c r="DG42" i="14"/>
  <c r="DH42" i="14" s="1"/>
  <c r="DF42" i="14"/>
  <c r="DP42" i="14"/>
  <c r="DG46" i="14"/>
  <c r="DH46" i="14" s="1"/>
  <c r="DF46" i="14"/>
  <c r="DP46" i="14"/>
  <c r="DG50" i="14"/>
  <c r="DH50" i="14" s="1"/>
  <c r="DF50" i="14"/>
  <c r="DP50" i="14"/>
  <c r="DG54" i="14"/>
  <c r="DH54" i="14" s="1"/>
  <c r="DF54" i="14"/>
  <c r="DP54" i="14"/>
  <c r="DG58" i="14"/>
  <c r="DH58" i="14" s="1"/>
  <c r="DF58" i="14"/>
  <c r="DP58" i="14"/>
  <c r="DG62" i="14"/>
  <c r="DH62" i="14" s="1"/>
  <c r="DF62" i="14"/>
  <c r="DP62" i="14"/>
  <c r="DP72" i="14"/>
  <c r="DG72" i="14"/>
  <c r="DH72" i="14" s="1"/>
  <c r="DF72" i="14"/>
  <c r="DP76" i="14"/>
  <c r="DG76" i="14"/>
  <c r="DH76" i="14" s="1"/>
  <c r="DF76" i="14"/>
  <c r="DP80" i="14"/>
  <c r="DG80" i="14"/>
  <c r="DH80" i="14" s="1"/>
  <c r="DF80" i="14"/>
  <c r="DP84" i="14"/>
  <c r="DG84" i="14"/>
  <c r="DH84" i="14" s="1"/>
  <c r="DF84" i="14"/>
  <c r="DG88" i="14"/>
  <c r="DH88" i="14" s="1"/>
  <c r="DF88" i="14"/>
  <c r="DP88" i="14"/>
  <c r="DG92" i="14"/>
  <c r="DH92" i="14" s="1"/>
  <c r="DF92" i="14"/>
  <c r="DP92" i="14"/>
  <c r="DG96" i="14"/>
  <c r="DH96" i="14" s="1"/>
  <c r="DF96" i="14"/>
  <c r="DP96" i="14"/>
  <c r="DG100" i="14"/>
  <c r="DH100" i="14" s="1"/>
  <c r="DF100" i="14"/>
  <c r="DP100" i="14"/>
  <c r="DG104" i="14"/>
  <c r="DH104" i="14" s="1"/>
  <c r="DF104" i="14"/>
  <c r="DP104" i="14"/>
  <c r="DG108" i="14"/>
  <c r="DH108" i="14" s="1"/>
  <c r="DP108" i="14"/>
  <c r="DF108" i="14"/>
  <c r="DG112" i="14"/>
  <c r="DH112" i="14" s="1"/>
  <c r="DP112" i="14"/>
  <c r="DF112" i="14"/>
  <c r="DG116" i="14"/>
  <c r="DH116" i="14" s="1"/>
  <c r="DP116" i="14"/>
  <c r="DF116" i="14"/>
  <c r="DP120" i="14"/>
  <c r="DG120" i="14"/>
  <c r="DH120" i="14" s="1"/>
  <c r="DF120" i="14"/>
  <c r="DP124" i="14"/>
  <c r="DG124" i="14"/>
  <c r="DH124" i="14" s="1"/>
  <c r="DF124" i="14"/>
  <c r="CA68" i="14"/>
  <c r="CK68" i="14"/>
  <c r="CA105" i="14"/>
  <c r="CK105" i="14"/>
  <c r="CA74" i="14"/>
  <c r="CK74" i="14"/>
  <c r="CA56" i="14"/>
  <c r="CK56" i="14"/>
  <c r="CA6" i="14"/>
  <c r="CK6" i="14"/>
  <c r="CA14" i="14"/>
  <c r="CK14" i="14"/>
  <c r="CA48" i="14"/>
  <c r="CK48" i="14"/>
  <c r="CA8" i="14"/>
  <c r="CK8" i="14"/>
  <c r="CA85" i="14"/>
  <c r="CK85" i="14"/>
  <c r="CA109" i="14"/>
  <c r="CK109" i="14"/>
  <c r="CA112" i="14"/>
  <c r="CK112" i="14"/>
  <c r="CA79" i="14"/>
  <c r="CK79" i="14"/>
  <c r="CA121" i="14"/>
  <c r="CK121" i="14"/>
  <c r="CO102" i="14"/>
  <c r="CO47" i="14"/>
  <c r="CA59" i="14"/>
  <c r="CK59" i="14"/>
  <c r="CA97" i="14"/>
  <c r="CK97" i="14"/>
  <c r="CA61" i="14"/>
  <c r="CK61" i="14"/>
  <c r="CA33" i="14"/>
  <c r="CK33" i="14"/>
  <c r="CA25" i="14"/>
  <c r="CK25" i="14"/>
  <c r="CD156" i="14"/>
  <c r="BY143" i="14"/>
  <c r="BY151" i="14" s="1"/>
  <c r="CA106" i="14"/>
  <c r="CK106" i="14"/>
  <c r="CU143" i="14"/>
  <c r="CU151" i="14" s="1"/>
  <c r="CT126" i="14"/>
  <c r="CU5" i="14"/>
  <c r="CU126" i="14" s="1"/>
  <c r="CS126" i="14"/>
  <c r="CA65" i="14"/>
  <c r="CK65" i="14"/>
  <c r="CO87" i="14"/>
  <c r="CO78" i="14"/>
  <c r="CO101" i="14"/>
  <c r="CA12" i="14"/>
  <c r="CK12" i="14"/>
  <c r="CA67" i="14"/>
  <c r="CK67" i="14"/>
  <c r="CA46" i="14"/>
  <c r="CK46" i="14"/>
  <c r="BW92" i="14"/>
  <c r="BW126" i="14" s="1"/>
  <c r="BX176" i="14" s="1"/>
  <c r="BY92" i="14"/>
  <c r="BY126" i="14" s="1"/>
  <c r="CD92" i="14"/>
  <c r="CD126" i="14" s="1"/>
  <c r="BZ92" i="14"/>
  <c r="CB92" i="14"/>
  <c r="CO113" i="14"/>
  <c r="CA103" i="14"/>
  <c r="CK103" i="14"/>
  <c r="CO7" i="14"/>
  <c r="CA125" i="14"/>
  <c r="CK125" i="14"/>
  <c r="BZ126" i="14"/>
  <c r="CA5" i="14"/>
  <c r="CK5" i="14"/>
  <c r="CO5" i="14" s="1"/>
  <c r="BX126" i="14"/>
  <c r="BX174" i="14"/>
  <c r="CO45" i="14"/>
  <c r="CA13" i="14"/>
  <c r="CK13" i="14"/>
  <c r="CO39" i="14"/>
  <c r="CO75" i="14"/>
  <c r="CA123" i="14"/>
  <c r="CK123" i="14"/>
  <c r="CO84" i="14"/>
  <c r="CA37" i="14"/>
  <c r="CK37" i="14"/>
  <c r="CA124" i="14"/>
  <c r="CK124" i="14"/>
  <c r="CA63" i="14"/>
  <c r="CK63" i="14"/>
  <c r="CO63" i="14" s="1"/>
  <c r="CO100" i="14"/>
  <c r="CO86" i="14"/>
  <c r="CA69" i="14"/>
  <c r="CK69" i="14"/>
  <c r="CO53" i="14"/>
  <c r="CA44" i="14"/>
  <c r="CK44" i="14"/>
  <c r="CO15" i="14"/>
  <c r="CA57" i="14"/>
  <c r="CK57" i="14"/>
  <c r="CA116" i="14"/>
  <c r="CK116" i="14"/>
  <c r="CP164" i="14"/>
  <c r="BN151" i="14"/>
  <c r="BM143" i="14"/>
  <c r="CA42" i="14"/>
  <c r="CK42" i="14"/>
  <c r="CO55" i="14"/>
  <c r="CO70" i="14"/>
  <c r="CA21" i="14"/>
  <c r="CK21" i="14"/>
  <c r="CA54" i="14"/>
  <c r="CK54" i="14"/>
  <c r="CA98" i="14"/>
  <c r="CK98" i="14"/>
  <c r="CO10" i="14"/>
  <c r="CA18" i="14"/>
  <c r="CK18" i="14"/>
  <c r="CA30" i="14"/>
  <c r="CK30" i="14"/>
  <c r="CA114" i="14"/>
  <c r="CK114" i="14"/>
  <c r="CA36" i="14"/>
  <c r="CK36" i="14"/>
  <c r="CA115" i="14"/>
  <c r="CK115" i="14"/>
  <c r="CO112" i="14"/>
  <c r="CA76" i="14"/>
  <c r="CK76" i="14"/>
  <c r="CO76" i="14" s="1"/>
  <c r="CO50" i="14"/>
  <c r="DP7" i="14"/>
  <c r="DG7" i="14"/>
  <c r="DH7" i="14" s="1"/>
  <c r="DF7" i="14"/>
  <c r="DP11" i="14"/>
  <c r="DG11" i="14"/>
  <c r="DH11" i="14" s="1"/>
  <c r="DF11" i="14"/>
  <c r="DF65" i="14"/>
  <c r="DP65" i="14"/>
  <c r="DG65" i="14"/>
  <c r="DH65" i="14" s="1"/>
  <c r="DP13" i="14"/>
  <c r="DG13" i="14"/>
  <c r="DH13" i="14" s="1"/>
  <c r="DF13" i="14"/>
  <c r="DP17" i="14"/>
  <c r="DG17" i="14"/>
  <c r="DH17" i="14" s="1"/>
  <c r="DF17" i="14"/>
  <c r="DP21" i="14"/>
  <c r="DG21" i="14"/>
  <c r="DH21" i="14" s="1"/>
  <c r="DF21" i="14"/>
  <c r="DP25" i="14"/>
  <c r="DG25" i="14"/>
  <c r="DH25" i="14" s="1"/>
  <c r="DF25" i="14"/>
  <c r="DP29" i="14"/>
  <c r="DG29" i="14"/>
  <c r="DH29" i="14" s="1"/>
  <c r="DF29" i="14"/>
  <c r="DP33" i="14"/>
  <c r="DG33" i="14"/>
  <c r="DH33" i="14" s="1"/>
  <c r="DF33" i="14"/>
  <c r="DP37" i="14"/>
  <c r="DG37" i="14"/>
  <c r="DH37" i="14" s="1"/>
  <c r="DF37" i="14"/>
  <c r="DP41" i="14"/>
  <c r="DG41" i="14"/>
  <c r="DH41" i="14" s="1"/>
  <c r="DF41" i="14"/>
  <c r="DP45" i="14"/>
  <c r="DG45" i="14"/>
  <c r="DH45" i="14" s="1"/>
  <c r="DF45" i="14"/>
  <c r="DP49" i="14"/>
  <c r="DG49" i="14"/>
  <c r="DH49" i="14" s="1"/>
  <c r="DF49" i="14"/>
  <c r="DP53" i="14"/>
  <c r="DG53" i="14"/>
  <c r="DH53" i="14" s="1"/>
  <c r="DF53" i="14"/>
  <c r="DP57" i="14"/>
  <c r="DG57" i="14"/>
  <c r="DH57" i="14" s="1"/>
  <c r="DF57" i="14"/>
  <c r="DP61" i="14"/>
  <c r="DG61" i="14"/>
  <c r="DH61" i="14" s="1"/>
  <c r="DF61" i="14"/>
  <c r="DF71" i="14"/>
  <c r="DP71" i="14"/>
  <c r="DG71" i="14"/>
  <c r="DH71" i="14" s="1"/>
  <c r="DF75" i="14"/>
  <c r="DP75" i="14"/>
  <c r="DG75" i="14"/>
  <c r="DH75" i="14" s="1"/>
  <c r="DF79" i="14"/>
  <c r="DP79" i="14"/>
  <c r="DG79" i="14"/>
  <c r="DH79" i="14" s="1"/>
  <c r="DF83" i="14"/>
  <c r="DP83" i="14"/>
  <c r="DG83" i="14"/>
  <c r="DH83" i="14" s="1"/>
  <c r="DP87" i="14"/>
  <c r="DG87" i="14"/>
  <c r="DH87" i="14" s="1"/>
  <c r="DF87" i="14"/>
  <c r="DP91" i="14"/>
  <c r="DG91" i="14"/>
  <c r="DH91" i="14" s="1"/>
  <c r="DF91" i="14"/>
  <c r="DP95" i="14"/>
  <c r="DG95" i="14"/>
  <c r="DH95" i="14" s="1"/>
  <c r="DF95" i="14"/>
  <c r="DF99" i="14"/>
  <c r="DG99" i="14"/>
  <c r="DH99" i="14" s="1"/>
  <c r="DP99" i="14"/>
  <c r="DP103" i="14"/>
  <c r="DG103" i="14"/>
  <c r="DH103" i="14" s="1"/>
  <c r="DF103" i="14"/>
  <c r="DP107" i="14"/>
  <c r="DG107" i="14"/>
  <c r="DH107" i="14" s="1"/>
  <c r="DF107" i="14"/>
  <c r="DF111" i="14"/>
  <c r="DG111" i="14"/>
  <c r="DH111" i="14" s="1"/>
  <c r="DP111" i="14"/>
  <c r="DF115" i="14"/>
  <c r="DG115" i="14"/>
  <c r="DH115" i="14" s="1"/>
  <c r="DP115" i="14"/>
  <c r="DF119" i="14"/>
  <c r="DP119" i="14"/>
  <c r="DG119" i="14"/>
  <c r="DH119" i="14" s="1"/>
  <c r="DF123" i="14"/>
  <c r="DP123" i="14"/>
  <c r="DG123" i="14"/>
  <c r="DH123" i="14" s="1"/>
  <c r="DP6" i="14"/>
  <c r="DG6" i="14"/>
  <c r="DH6" i="14" s="1"/>
  <c r="DF6" i="14"/>
  <c r="DF10" i="14"/>
  <c r="DG10" i="14"/>
  <c r="DH10" i="14" s="1"/>
  <c r="DP10" i="14"/>
  <c r="DF64" i="14"/>
  <c r="DP64" i="14"/>
  <c r="DG64" i="14"/>
  <c r="DH64" i="14" s="1"/>
  <c r="DF68" i="14"/>
  <c r="DP68" i="14"/>
  <c r="DG68" i="14"/>
  <c r="DH68" i="14" s="1"/>
  <c r="DP16" i="14"/>
  <c r="DG16" i="14"/>
  <c r="DH16" i="14" s="1"/>
  <c r="DF16" i="14"/>
  <c r="DP20" i="14"/>
  <c r="DG20" i="14"/>
  <c r="DH20" i="14" s="1"/>
  <c r="DF20" i="14"/>
  <c r="DP24" i="14"/>
  <c r="DG24" i="14"/>
  <c r="DH24" i="14" s="1"/>
  <c r="DF24" i="14"/>
  <c r="DP28" i="14"/>
  <c r="DG28" i="14"/>
  <c r="DH28" i="14" s="1"/>
  <c r="DF28" i="14"/>
  <c r="DP32" i="14"/>
  <c r="DG32" i="14"/>
  <c r="DH32" i="14" s="1"/>
  <c r="DF32" i="14"/>
  <c r="DP36" i="14"/>
  <c r="DG36" i="14"/>
  <c r="DH36" i="14" s="1"/>
  <c r="DF36" i="14"/>
  <c r="DP40" i="14"/>
  <c r="DG40" i="14"/>
  <c r="DH40" i="14" s="1"/>
  <c r="DF40" i="14"/>
  <c r="DP44" i="14"/>
  <c r="DG44" i="14"/>
  <c r="DH44" i="14" s="1"/>
  <c r="DF44" i="14"/>
  <c r="DP48" i="14"/>
  <c r="DG48" i="14"/>
  <c r="DH48" i="14" s="1"/>
  <c r="DF48" i="14"/>
  <c r="DP52" i="14"/>
  <c r="DG52" i="14"/>
  <c r="DH52" i="14" s="1"/>
  <c r="DF52" i="14"/>
  <c r="DP56" i="14"/>
  <c r="DG56" i="14"/>
  <c r="DH56" i="14" s="1"/>
  <c r="DF56" i="14"/>
  <c r="DP60" i="14"/>
  <c r="DG60" i="14"/>
  <c r="DH60" i="14" s="1"/>
  <c r="DF60" i="14"/>
  <c r="DF70" i="14"/>
  <c r="DP70" i="14"/>
  <c r="DG70" i="14"/>
  <c r="DH70" i="14" s="1"/>
  <c r="DF74" i="14"/>
  <c r="DP74" i="14"/>
  <c r="DG74" i="14"/>
  <c r="DH74" i="14" s="1"/>
  <c r="DF78" i="14"/>
  <c r="DP78" i="14"/>
  <c r="DG78" i="14"/>
  <c r="DH78" i="14" s="1"/>
  <c r="DF82" i="14"/>
  <c r="DP82" i="14"/>
  <c r="DG82" i="14"/>
  <c r="DH82" i="14" s="1"/>
  <c r="DF86" i="14"/>
  <c r="DP86" i="14"/>
  <c r="DG86" i="14"/>
  <c r="DH86" i="14" s="1"/>
  <c r="DP90" i="14"/>
  <c r="DG90" i="14"/>
  <c r="DH90" i="14" s="1"/>
  <c r="DF90" i="14"/>
  <c r="DP94" i="14"/>
  <c r="DG94" i="14"/>
  <c r="DH94" i="14" s="1"/>
  <c r="DF94" i="14"/>
  <c r="DF98" i="14"/>
  <c r="DG98" i="14"/>
  <c r="DH98" i="14" s="1"/>
  <c r="DP98" i="14"/>
  <c r="DP102" i="14"/>
  <c r="DG102" i="14"/>
  <c r="DH102" i="14" s="1"/>
  <c r="DF102" i="14"/>
  <c r="DP106" i="14"/>
  <c r="DG106" i="14"/>
  <c r="DH106" i="14" s="1"/>
  <c r="DF106" i="14"/>
  <c r="DF110" i="14"/>
  <c r="DG110" i="14"/>
  <c r="DH110" i="14" s="1"/>
  <c r="DP110" i="14"/>
  <c r="DF114" i="14"/>
  <c r="DG114" i="14"/>
  <c r="DH114" i="14" s="1"/>
  <c r="DP114" i="14"/>
  <c r="DF118" i="14"/>
  <c r="DP118" i="14"/>
  <c r="DG118" i="14"/>
  <c r="DH118" i="14" s="1"/>
  <c r="DF122" i="14"/>
  <c r="DP122" i="14"/>
  <c r="DG122" i="14"/>
  <c r="DH122" i="14" s="1"/>
  <c r="CA51" i="14"/>
  <c r="CK51" i="14"/>
  <c r="CB94" i="14"/>
  <c r="CO105" i="14"/>
  <c r="CA91" i="14"/>
  <c r="CK91" i="14"/>
  <c r="CA43" i="14"/>
  <c r="CK43" i="14"/>
  <c r="CA31" i="14"/>
  <c r="CK31" i="14"/>
  <c r="CO31" i="14" s="1"/>
  <c r="CO56" i="14"/>
  <c r="CA58" i="14"/>
  <c r="CK58" i="14"/>
  <c r="CO58" i="14" s="1"/>
  <c r="CA20" i="14"/>
  <c r="CK20" i="14"/>
  <c r="CO20" i="14" s="1"/>
  <c r="CA28" i="14"/>
  <c r="CK28" i="14"/>
  <c r="CA34" i="14"/>
  <c r="CK34" i="14"/>
  <c r="CO34" i="14" s="1"/>
  <c r="CA16" i="14"/>
  <c r="CK16" i="14"/>
  <c r="CO16" i="14" s="1"/>
  <c r="F26" i="17"/>
  <c r="F28" i="17" s="1"/>
  <c r="K24" i="17"/>
  <c r="L93" i="12"/>
  <c r="L95" i="12"/>
  <c r="L97" i="12"/>
  <c r="L99" i="12"/>
  <c r="L101" i="12"/>
  <c r="L104" i="12"/>
  <c r="L106" i="12"/>
  <c r="L108" i="12"/>
  <c r="L92" i="12"/>
  <c r="L94" i="12"/>
  <c r="L96" i="12"/>
  <c r="L98" i="12"/>
  <c r="L100" i="12"/>
  <c r="L102" i="12"/>
  <c r="L105" i="12"/>
  <c r="L107" i="12"/>
  <c r="K23" i="7"/>
  <c r="G21" i="7"/>
  <c r="M4" i="12"/>
  <c r="O61" i="12" s="1"/>
  <c r="K5" i="12"/>
  <c r="L5" i="12" s="1"/>
  <c r="CL43" i="14" l="1"/>
  <c r="CJ43" i="14"/>
  <c r="CM43" i="14"/>
  <c r="CQ43" i="14"/>
  <c r="CJ115" i="14"/>
  <c r="CL115" i="14"/>
  <c r="CQ115" i="14"/>
  <c r="CM115" i="14"/>
  <c r="CO115" i="14"/>
  <c r="CJ114" i="14"/>
  <c r="CL114" i="14"/>
  <c r="CQ114" i="14"/>
  <c r="CM114" i="14"/>
  <c r="CO114" i="14"/>
  <c r="CL21" i="14"/>
  <c r="CJ21" i="14"/>
  <c r="CM21" i="14"/>
  <c r="CQ21" i="14"/>
  <c r="CL42" i="14"/>
  <c r="CJ42" i="14"/>
  <c r="CM42" i="14"/>
  <c r="CQ42" i="14"/>
  <c r="BM151" i="14"/>
  <c r="CL116" i="14"/>
  <c r="CJ116" i="14"/>
  <c r="CM116" i="14"/>
  <c r="CQ116" i="14"/>
  <c r="CO116" i="14"/>
  <c r="CJ57" i="14"/>
  <c r="CL57" i="14"/>
  <c r="CQ57" i="14"/>
  <c r="CM57" i="14"/>
  <c r="CJ13" i="14"/>
  <c r="CL13" i="14"/>
  <c r="CQ13" i="14"/>
  <c r="CM13" i="14"/>
  <c r="CO13" i="14"/>
  <c r="BX182" i="14"/>
  <c r="BX177" i="14"/>
  <c r="BX178" i="14" s="1"/>
  <c r="CL125" i="14"/>
  <c r="CJ125" i="14"/>
  <c r="CQ125" i="14"/>
  <c r="CM125" i="14"/>
  <c r="CJ67" i="14"/>
  <c r="CL67" i="14"/>
  <c r="CQ67" i="14"/>
  <c r="CM67" i="14"/>
  <c r="CO67" i="14"/>
  <c r="CJ12" i="14"/>
  <c r="CL12" i="14"/>
  <c r="CM12" i="14"/>
  <c r="CQ12" i="14"/>
  <c r="CO12" i="14"/>
  <c r="CL65" i="14"/>
  <c r="CJ65" i="14"/>
  <c r="CM65" i="14"/>
  <c r="CQ65" i="14"/>
  <c r="CO65" i="14"/>
  <c r="CJ106" i="14"/>
  <c r="CL106" i="14"/>
  <c r="CM106" i="14"/>
  <c r="CQ106" i="14"/>
  <c r="CO106" i="14"/>
  <c r="CJ25" i="14"/>
  <c r="CL25" i="14"/>
  <c r="CQ25" i="14"/>
  <c r="CM25" i="14"/>
  <c r="CO25" i="14"/>
  <c r="CL33" i="14"/>
  <c r="CJ33" i="14"/>
  <c r="CM33" i="14"/>
  <c r="CQ33" i="14"/>
  <c r="CJ97" i="14"/>
  <c r="CL97" i="14"/>
  <c r="CQ97" i="14"/>
  <c r="CM97" i="14"/>
  <c r="CJ59" i="14"/>
  <c r="CL59" i="14"/>
  <c r="CQ59" i="14"/>
  <c r="CM59" i="14"/>
  <c r="CJ121" i="14"/>
  <c r="CL121" i="14"/>
  <c r="CQ121" i="14"/>
  <c r="CM121" i="14"/>
  <c r="CJ79" i="14"/>
  <c r="CL79" i="14"/>
  <c r="CM79" i="14"/>
  <c r="CQ79" i="14"/>
  <c r="CJ112" i="14"/>
  <c r="CL112" i="14"/>
  <c r="CQ112" i="14"/>
  <c r="CM112" i="14"/>
  <c r="CL109" i="14"/>
  <c r="CJ109" i="14"/>
  <c r="CQ109" i="14"/>
  <c r="CM109" i="14"/>
  <c r="CL85" i="14"/>
  <c r="CJ85" i="14"/>
  <c r="CQ85" i="14"/>
  <c r="CM85" i="14"/>
  <c r="CJ8" i="14"/>
  <c r="CL8" i="14"/>
  <c r="CM8" i="14"/>
  <c r="CQ8" i="14"/>
  <c r="CO8" i="14"/>
  <c r="CJ56" i="14"/>
  <c r="CL56" i="14"/>
  <c r="CQ56" i="14"/>
  <c r="CM56" i="14"/>
  <c r="CJ74" i="14"/>
  <c r="CL74" i="14"/>
  <c r="CM74" i="14"/>
  <c r="CQ74" i="14"/>
  <c r="CO74" i="14"/>
  <c r="DF143" i="14"/>
  <c r="DF151" i="14" s="1"/>
  <c r="DP126" i="14"/>
  <c r="DF126" i="14"/>
  <c r="CL50" i="14"/>
  <c r="CJ50" i="14"/>
  <c r="CM50" i="14"/>
  <c r="CQ50" i="14"/>
  <c r="CO40" i="14"/>
  <c r="CJ40" i="14"/>
  <c r="CL40" i="14"/>
  <c r="CQ40" i="14"/>
  <c r="CM40" i="14"/>
  <c r="CO64" i="14"/>
  <c r="CJ64" i="14"/>
  <c r="CL64" i="14"/>
  <c r="CM64" i="14"/>
  <c r="CQ64" i="14"/>
  <c r="CL117" i="14"/>
  <c r="CJ117" i="14"/>
  <c r="CM117" i="14"/>
  <c r="CQ117" i="14"/>
  <c r="CO117" i="14"/>
  <c r="CA94" i="14"/>
  <c r="CK94" i="14"/>
  <c r="CO94" i="14" s="1"/>
  <c r="DJ93" i="14"/>
  <c r="DL93" i="14"/>
  <c r="DM93" i="14"/>
  <c r="DQ93" i="14"/>
  <c r="DO93" i="14"/>
  <c r="CL60" i="14"/>
  <c r="CJ60" i="14"/>
  <c r="CQ60" i="14"/>
  <c r="CM60" i="14"/>
  <c r="CO60" i="14"/>
  <c r="CL22" i="14"/>
  <c r="CJ22" i="14"/>
  <c r="CM22" i="14"/>
  <c r="CQ22" i="14"/>
  <c r="CO22" i="14"/>
  <c r="CJ10" i="14"/>
  <c r="CL10" i="14"/>
  <c r="CQ10" i="14"/>
  <c r="CM10" i="14"/>
  <c r="CJ104" i="14"/>
  <c r="CL104" i="14"/>
  <c r="CM104" i="14"/>
  <c r="CQ104" i="14"/>
  <c r="CO104" i="14"/>
  <c r="CO21" i="14"/>
  <c r="CJ52" i="14"/>
  <c r="CL52" i="14"/>
  <c r="CQ52" i="14"/>
  <c r="CM52" i="14"/>
  <c r="CO52" i="14"/>
  <c r="CL55" i="14"/>
  <c r="CJ55" i="14"/>
  <c r="CQ55" i="14"/>
  <c r="CM55" i="14"/>
  <c r="CJ81" i="14"/>
  <c r="CL81" i="14"/>
  <c r="CM81" i="14"/>
  <c r="CQ81" i="14"/>
  <c r="CO81" i="14"/>
  <c r="CO42" i="14"/>
  <c r="EC14" i="14"/>
  <c r="DT14" i="14"/>
  <c r="DU14" i="14" s="1"/>
  <c r="DS14" i="14"/>
  <c r="EC18" i="14"/>
  <c r="DT18" i="14"/>
  <c r="DU18" i="14" s="1"/>
  <c r="DS18" i="14"/>
  <c r="EC22" i="14"/>
  <c r="DT22" i="14"/>
  <c r="DU22" i="14" s="1"/>
  <c r="DS22" i="14"/>
  <c r="EC26" i="14"/>
  <c r="DT26" i="14"/>
  <c r="DU26" i="14" s="1"/>
  <c r="DS26" i="14"/>
  <c r="EC30" i="14"/>
  <c r="DT30" i="14"/>
  <c r="DU30" i="14" s="1"/>
  <c r="DS30" i="14"/>
  <c r="EC34" i="14"/>
  <c r="DT34" i="14"/>
  <c r="DU34" i="14" s="1"/>
  <c r="DS34" i="14"/>
  <c r="EC38" i="14"/>
  <c r="DT38" i="14"/>
  <c r="DU38" i="14" s="1"/>
  <c r="DS38" i="14"/>
  <c r="EC42" i="14"/>
  <c r="DT42" i="14"/>
  <c r="DU42" i="14" s="1"/>
  <c r="DS42" i="14"/>
  <c r="EC46" i="14"/>
  <c r="DT46" i="14"/>
  <c r="DU46" i="14" s="1"/>
  <c r="DS46" i="14"/>
  <c r="EC50" i="14"/>
  <c r="DT50" i="14"/>
  <c r="DU50" i="14" s="1"/>
  <c r="DS50" i="14"/>
  <c r="EC54" i="14"/>
  <c r="DT54" i="14"/>
  <c r="DU54" i="14" s="1"/>
  <c r="DS54" i="14"/>
  <c r="EC58" i="14"/>
  <c r="DT58" i="14"/>
  <c r="DU58" i="14" s="1"/>
  <c r="DS58" i="14"/>
  <c r="EC9" i="14"/>
  <c r="DT9" i="14"/>
  <c r="DU9" i="14" s="1"/>
  <c r="DS9" i="14"/>
  <c r="EC60" i="14"/>
  <c r="DT60" i="14"/>
  <c r="DU60" i="14" s="1"/>
  <c r="DS60" i="14"/>
  <c r="EC88" i="14"/>
  <c r="DT88" i="14"/>
  <c r="DU88" i="14" s="1"/>
  <c r="DS88" i="14"/>
  <c r="DT64" i="14"/>
  <c r="DU64" i="14" s="1"/>
  <c r="EC64" i="14"/>
  <c r="DS64" i="14"/>
  <c r="DT68" i="14"/>
  <c r="DU68" i="14" s="1"/>
  <c r="DS68" i="14"/>
  <c r="EC68" i="14"/>
  <c r="DT72" i="14"/>
  <c r="DU72" i="14" s="1"/>
  <c r="DS72" i="14"/>
  <c r="EC72" i="14"/>
  <c r="DT76" i="14"/>
  <c r="DU76" i="14" s="1"/>
  <c r="DS76" i="14"/>
  <c r="EC76" i="14"/>
  <c r="DT80" i="14"/>
  <c r="DU80" i="14" s="1"/>
  <c r="DS80" i="14"/>
  <c r="EC80" i="14"/>
  <c r="DT84" i="14"/>
  <c r="DU84" i="14" s="1"/>
  <c r="DS84" i="14"/>
  <c r="EC84" i="14"/>
  <c r="EC92" i="14"/>
  <c r="DT92" i="14"/>
  <c r="DU92" i="14" s="1"/>
  <c r="DS92" i="14"/>
  <c r="EC96" i="14"/>
  <c r="DT96" i="14"/>
  <c r="DU96" i="14" s="1"/>
  <c r="DS96" i="14"/>
  <c r="EC103" i="14"/>
  <c r="DT103" i="14"/>
  <c r="DU103" i="14" s="1"/>
  <c r="DS103" i="14"/>
  <c r="EC97" i="14"/>
  <c r="DT97" i="14"/>
  <c r="DU97" i="14" s="1"/>
  <c r="DS97" i="14"/>
  <c r="EC108" i="14"/>
  <c r="DT108" i="14"/>
  <c r="DU108" i="14" s="1"/>
  <c r="DS108" i="14"/>
  <c r="EC112" i="14"/>
  <c r="DT112" i="14"/>
  <c r="DU112" i="14" s="1"/>
  <c r="DS112" i="14"/>
  <c r="EC116" i="14"/>
  <c r="DT116" i="14"/>
  <c r="DU116" i="14" s="1"/>
  <c r="DS116" i="14"/>
  <c r="DT120" i="14"/>
  <c r="DU120" i="14" s="1"/>
  <c r="DS120" i="14"/>
  <c r="EC120" i="14"/>
  <c r="DT124" i="14"/>
  <c r="DU124" i="14" s="1"/>
  <c r="EC124" i="14"/>
  <c r="DS124" i="14"/>
  <c r="EC13" i="14"/>
  <c r="DT13" i="14"/>
  <c r="DU13" i="14" s="1"/>
  <c r="DS13" i="14"/>
  <c r="EC17" i="14"/>
  <c r="DT17" i="14"/>
  <c r="DU17" i="14" s="1"/>
  <c r="DS17" i="14"/>
  <c r="EC21" i="14"/>
  <c r="DT21" i="14"/>
  <c r="DU21" i="14" s="1"/>
  <c r="DS21" i="14"/>
  <c r="EC25" i="14"/>
  <c r="DT25" i="14"/>
  <c r="DU25" i="14" s="1"/>
  <c r="DS25" i="14"/>
  <c r="EC29" i="14"/>
  <c r="DT29" i="14"/>
  <c r="DU29" i="14" s="1"/>
  <c r="DS29" i="14"/>
  <c r="EC33" i="14"/>
  <c r="DT33" i="14"/>
  <c r="DU33" i="14" s="1"/>
  <c r="DS33" i="14"/>
  <c r="EC37" i="14"/>
  <c r="DT37" i="14"/>
  <c r="DU37" i="14" s="1"/>
  <c r="DS37" i="14"/>
  <c r="EC41" i="14"/>
  <c r="DT41" i="14"/>
  <c r="DU41" i="14" s="1"/>
  <c r="DS41" i="14"/>
  <c r="EC45" i="14"/>
  <c r="DT45" i="14"/>
  <c r="DU45" i="14" s="1"/>
  <c r="DS45" i="14"/>
  <c r="EC49" i="14"/>
  <c r="DT49" i="14"/>
  <c r="DU49" i="14" s="1"/>
  <c r="DS49" i="14"/>
  <c r="EC53" i="14"/>
  <c r="DT53" i="14"/>
  <c r="DU53" i="14" s="1"/>
  <c r="DS53" i="14"/>
  <c r="EC57" i="14"/>
  <c r="DT57" i="14"/>
  <c r="DU57" i="14" s="1"/>
  <c r="DS57" i="14"/>
  <c r="EC8" i="14"/>
  <c r="DT8" i="14"/>
  <c r="DU8" i="14" s="1"/>
  <c r="DS8" i="14"/>
  <c r="EC59" i="14"/>
  <c r="DT59" i="14"/>
  <c r="DU59" i="14" s="1"/>
  <c r="DS59" i="14"/>
  <c r="EC87" i="14"/>
  <c r="DT87" i="14"/>
  <c r="DU87" i="14" s="1"/>
  <c r="DS87" i="14"/>
  <c r="DT63" i="14"/>
  <c r="DU63" i="14" s="1"/>
  <c r="EC63" i="14"/>
  <c r="DS63" i="14"/>
  <c r="DT67" i="14"/>
  <c r="DU67" i="14" s="1"/>
  <c r="EC67" i="14"/>
  <c r="DS67" i="14"/>
  <c r="DT71" i="14"/>
  <c r="DU71" i="14" s="1"/>
  <c r="DS71" i="14"/>
  <c r="EC71" i="14"/>
  <c r="DT75" i="14"/>
  <c r="DU75" i="14" s="1"/>
  <c r="DS75" i="14"/>
  <c r="EC75" i="14"/>
  <c r="DT79" i="14"/>
  <c r="DU79" i="14" s="1"/>
  <c r="DS79" i="14"/>
  <c r="EC79" i="14"/>
  <c r="DT83" i="14"/>
  <c r="DU83" i="14" s="1"/>
  <c r="DS83" i="14"/>
  <c r="EC83" i="14"/>
  <c r="EC91" i="14"/>
  <c r="DT91" i="14"/>
  <c r="DU91" i="14" s="1"/>
  <c r="DS91" i="14"/>
  <c r="EC95" i="14"/>
  <c r="DT95" i="14"/>
  <c r="DU95" i="14" s="1"/>
  <c r="DS95" i="14"/>
  <c r="EC102" i="14"/>
  <c r="DT102" i="14"/>
  <c r="DU102" i="14" s="1"/>
  <c r="DS102" i="14"/>
  <c r="EC106" i="14"/>
  <c r="DT106" i="14"/>
  <c r="DU106" i="14" s="1"/>
  <c r="DS106" i="14"/>
  <c r="EC107" i="14"/>
  <c r="DT107" i="14"/>
  <c r="DU107" i="14" s="1"/>
  <c r="DS107" i="14"/>
  <c r="EC111" i="14"/>
  <c r="DT111" i="14"/>
  <c r="DU111" i="14" s="1"/>
  <c r="DS111" i="14"/>
  <c r="EC115" i="14"/>
  <c r="DT115" i="14"/>
  <c r="DU115" i="14" s="1"/>
  <c r="DS115" i="14"/>
  <c r="DT119" i="14"/>
  <c r="DU119" i="14" s="1"/>
  <c r="DS119" i="14"/>
  <c r="EC119" i="14"/>
  <c r="DT123" i="14"/>
  <c r="DU123" i="14" s="1"/>
  <c r="EC123" i="14"/>
  <c r="DS123" i="14"/>
  <c r="CO57" i="14"/>
  <c r="CJ96" i="14"/>
  <c r="CL96" i="14"/>
  <c r="CM96" i="14"/>
  <c r="CQ96" i="14"/>
  <c r="CO96" i="14"/>
  <c r="CL82" i="14"/>
  <c r="CJ82" i="14"/>
  <c r="CQ82" i="14"/>
  <c r="CM82" i="14"/>
  <c r="CO82" i="14"/>
  <c r="CL100" i="14"/>
  <c r="CJ100" i="14"/>
  <c r="CQ100" i="14"/>
  <c r="CM100" i="14"/>
  <c r="CL90" i="14"/>
  <c r="CJ90" i="14"/>
  <c r="CM90" i="14"/>
  <c r="CQ90" i="14"/>
  <c r="CO90" i="14"/>
  <c r="CJ38" i="14"/>
  <c r="CL38" i="14"/>
  <c r="CQ38" i="14"/>
  <c r="CM38" i="14"/>
  <c r="CJ119" i="14"/>
  <c r="CL119" i="14"/>
  <c r="CQ119" i="14"/>
  <c r="CM119" i="14"/>
  <c r="CO119" i="14"/>
  <c r="CJ17" i="14"/>
  <c r="CL17" i="14"/>
  <c r="CQ17" i="14"/>
  <c r="CM17" i="14"/>
  <c r="CO17" i="14"/>
  <c r="CJ84" i="14"/>
  <c r="CL84" i="14"/>
  <c r="CM84" i="14"/>
  <c r="CQ84" i="14"/>
  <c r="CL87" i="14"/>
  <c r="CJ87" i="14"/>
  <c r="CM87" i="14"/>
  <c r="CQ87" i="14"/>
  <c r="CL73" i="14"/>
  <c r="CJ73" i="14"/>
  <c r="CQ73" i="14"/>
  <c r="CM73" i="14"/>
  <c r="CO73" i="14"/>
  <c r="CL75" i="14"/>
  <c r="CJ75" i="14"/>
  <c r="CQ75" i="14"/>
  <c r="CM75" i="14"/>
  <c r="CL35" i="14"/>
  <c r="CJ35" i="14"/>
  <c r="CQ35" i="14"/>
  <c r="CM35" i="14"/>
  <c r="CJ39" i="14"/>
  <c r="CL39" i="14"/>
  <c r="CQ39" i="14"/>
  <c r="CM39" i="14"/>
  <c r="CL45" i="14"/>
  <c r="CJ45" i="14"/>
  <c r="CM45" i="14"/>
  <c r="CQ45" i="14"/>
  <c r="CJ107" i="14"/>
  <c r="CL107" i="14"/>
  <c r="CM107" i="14"/>
  <c r="CQ107" i="14"/>
  <c r="CO107" i="14"/>
  <c r="CJ113" i="14"/>
  <c r="CL113" i="14"/>
  <c r="CQ113" i="14"/>
  <c r="CM113" i="14"/>
  <c r="CO125" i="14"/>
  <c r="CL108" i="14"/>
  <c r="CJ108" i="14"/>
  <c r="CM108" i="14"/>
  <c r="CQ108" i="14"/>
  <c r="CO108" i="14"/>
  <c r="CJ99" i="14"/>
  <c r="CL99" i="14"/>
  <c r="CQ99" i="14"/>
  <c r="CM99" i="14"/>
  <c r="CO99" i="14"/>
  <c r="CL83" i="14"/>
  <c r="CJ83" i="14"/>
  <c r="CM83" i="14"/>
  <c r="CQ83" i="14"/>
  <c r="CO83" i="14"/>
  <c r="CJ66" i="14"/>
  <c r="CL66" i="14"/>
  <c r="CM66" i="14"/>
  <c r="CQ66" i="14"/>
  <c r="CO66" i="14"/>
  <c r="CL77" i="14"/>
  <c r="CJ77" i="14"/>
  <c r="CQ77" i="14"/>
  <c r="CM77" i="14"/>
  <c r="CO77" i="14"/>
  <c r="CA143" i="14"/>
  <c r="CJ71" i="14"/>
  <c r="CL71" i="14"/>
  <c r="CM71" i="14"/>
  <c r="CQ71" i="14"/>
  <c r="CO71" i="14"/>
  <c r="CL41" i="14"/>
  <c r="CJ41" i="14"/>
  <c r="CM41" i="14"/>
  <c r="CQ41" i="14"/>
  <c r="CO41" i="14"/>
  <c r="CJ72" i="14"/>
  <c r="CL72" i="14"/>
  <c r="CM72" i="14"/>
  <c r="CQ72" i="14"/>
  <c r="CO72" i="14"/>
  <c r="CO38" i="14"/>
  <c r="CO89" i="14"/>
  <c r="CJ89" i="14"/>
  <c r="CL89" i="14"/>
  <c r="CQ89" i="14"/>
  <c r="CM89" i="14"/>
  <c r="CO59" i="14"/>
  <c r="CJ31" i="14"/>
  <c r="CL31" i="14"/>
  <c r="CQ31" i="14"/>
  <c r="CM31" i="14"/>
  <c r="CO43" i="14"/>
  <c r="CL16" i="14"/>
  <c r="CJ16" i="14"/>
  <c r="CM16" i="14"/>
  <c r="CQ16" i="14"/>
  <c r="CL34" i="14"/>
  <c r="CJ34" i="14"/>
  <c r="CM34" i="14"/>
  <c r="CQ34" i="14"/>
  <c r="CL28" i="14"/>
  <c r="CJ28" i="14"/>
  <c r="CM28" i="14"/>
  <c r="CQ28" i="14"/>
  <c r="CL20" i="14"/>
  <c r="CJ20" i="14"/>
  <c r="CQ20" i="14"/>
  <c r="CM20" i="14"/>
  <c r="CJ58" i="14"/>
  <c r="CL58" i="14"/>
  <c r="CQ58" i="14"/>
  <c r="CM58" i="14"/>
  <c r="CL91" i="14"/>
  <c r="CJ91" i="14"/>
  <c r="CQ91" i="14"/>
  <c r="CM91" i="14"/>
  <c r="CL51" i="14"/>
  <c r="CJ51" i="14"/>
  <c r="CM51" i="14"/>
  <c r="CQ51" i="14"/>
  <c r="CO51" i="14"/>
  <c r="CL76" i="14"/>
  <c r="CJ76" i="14"/>
  <c r="CQ76" i="14"/>
  <c r="CM76" i="14"/>
  <c r="CL36" i="14"/>
  <c r="CJ36" i="14"/>
  <c r="CM36" i="14"/>
  <c r="CQ36" i="14"/>
  <c r="CO36" i="14"/>
  <c r="CL30" i="14"/>
  <c r="CJ30" i="14"/>
  <c r="CM30" i="14"/>
  <c r="CQ30" i="14"/>
  <c r="CO30" i="14"/>
  <c r="CL18" i="14"/>
  <c r="CJ18" i="14"/>
  <c r="CM18" i="14"/>
  <c r="CQ18" i="14"/>
  <c r="CO18" i="14"/>
  <c r="CL98" i="14"/>
  <c r="CJ98" i="14"/>
  <c r="CM98" i="14"/>
  <c r="CQ98" i="14"/>
  <c r="CL54" i="14"/>
  <c r="CJ54" i="14"/>
  <c r="CM54" i="14"/>
  <c r="CQ54" i="14"/>
  <c r="CO54" i="14"/>
  <c r="CL44" i="14"/>
  <c r="CJ44" i="14"/>
  <c r="CM44" i="14"/>
  <c r="CQ44" i="14"/>
  <c r="CO44" i="14"/>
  <c r="CJ69" i="14"/>
  <c r="CL69" i="14"/>
  <c r="CM69" i="14"/>
  <c r="CQ69" i="14"/>
  <c r="CO69" i="14"/>
  <c r="CL63" i="14"/>
  <c r="CJ63" i="14"/>
  <c r="CM63" i="14"/>
  <c r="CQ63" i="14"/>
  <c r="CL124" i="14"/>
  <c r="CJ124" i="14"/>
  <c r="CM124" i="14"/>
  <c r="CQ124" i="14"/>
  <c r="CO124" i="14"/>
  <c r="CL37" i="14"/>
  <c r="CJ37" i="14"/>
  <c r="CM37" i="14"/>
  <c r="CQ37" i="14"/>
  <c r="CO37" i="14"/>
  <c r="CL123" i="14"/>
  <c r="CJ123" i="14"/>
  <c r="CQ123" i="14"/>
  <c r="CM123" i="14"/>
  <c r="CO123" i="14"/>
  <c r="BX175" i="14"/>
  <c r="CJ5" i="14"/>
  <c r="CL5" i="14"/>
  <c r="CM5" i="14"/>
  <c r="CQ5" i="14"/>
  <c r="CB126" i="14"/>
  <c r="CJ103" i="14"/>
  <c r="CL103" i="14"/>
  <c r="CM103" i="14"/>
  <c r="CQ103" i="14"/>
  <c r="CA92" i="14"/>
  <c r="CA126" i="14" s="1"/>
  <c r="CK92" i="14"/>
  <c r="CO92" i="14" s="1"/>
  <c r="CJ46" i="14"/>
  <c r="CL46" i="14"/>
  <c r="CQ46" i="14"/>
  <c r="CM46" i="14"/>
  <c r="CO46" i="14"/>
  <c r="CO85" i="14"/>
  <c r="CO109" i="14"/>
  <c r="CD164" i="14"/>
  <c r="CJ61" i="14"/>
  <c r="CL61" i="14"/>
  <c r="CQ61" i="14"/>
  <c r="CM61" i="14"/>
  <c r="CO61" i="14"/>
  <c r="CO97" i="14"/>
  <c r="CJ48" i="14"/>
  <c r="CL48" i="14"/>
  <c r="CQ48" i="14"/>
  <c r="CM48" i="14"/>
  <c r="CO48" i="14"/>
  <c r="CL14" i="14"/>
  <c r="CJ14" i="14"/>
  <c r="CM14" i="14"/>
  <c r="CQ14" i="14"/>
  <c r="CL6" i="14"/>
  <c r="CJ6" i="14"/>
  <c r="CQ6" i="14"/>
  <c r="CM6" i="14"/>
  <c r="CO6" i="14"/>
  <c r="CL105" i="14"/>
  <c r="CJ105" i="14"/>
  <c r="CQ105" i="14"/>
  <c r="CM105" i="14"/>
  <c r="CJ68" i="14"/>
  <c r="CL68" i="14"/>
  <c r="CM68" i="14"/>
  <c r="CQ68" i="14"/>
  <c r="CO68" i="14"/>
  <c r="DP156" i="14"/>
  <c r="DH143" i="14"/>
  <c r="DH151" i="14" s="1"/>
  <c r="DG126" i="14"/>
  <c r="DH5" i="14"/>
  <c r="DH126" i="14" s="1"/>
  <c r="CO28" i="14"/>
  <c r="CO98" i="14"/>
  <c r="CJ70" i="14"/>
  <c r="CL70" i="14"/>
  <c r="CM70" i="14"/>
  <c r="CQ70" i="14"/>
  <c r="CO91" i="14"/>
  <c r="DS12" i="14"/>
  <c r="EC12" i="14"/>
  <c r="DT12" i="14"/>
  <c r="DU12" i="14" s="1"/>
  <c r="DS16" i="14"/>
  <c r="EC16" i="14"/>
  <c r="DT16" i="14"/>
  <c r="DU16" i="14" s="1"/>
  <c r="DS20" i="14"/>
  <c r="EC20" i="14"/>
  <c r="DT20" i="14"/>
  <c r="DU20" i="14" s="1"/>
  <c r="DS24" i="14"/>
  <c r="EC24" i="14"/>
  <c r="DT24" i="14"/>
  <c r="DU24" i="14" s="1"/>
  <c r="DS28" i="14"/>
  <c r="EC28" i="14"/>
  <c r="DT28" i="14"/>
  <c r="DU28" i="14" s="1"/>
  <c r="DS32" i="14"/>
  <c r="EC32" i="14"/>
  <c r="DT32" i="14"/>
  <c r="DU32" i="14" s="1"/>
  <c r="DS36" i="14"/>
  <c r="EC36" i="14"/>
  <c r="DT36" i="14"/>
  <c r="DU36" i="14" s="1"/>
  <c r="DS40" i="14"/>
  <c r="EC40" i="14"/>
  <c r="DT40" i="14"/>
  <c r="DU40" i="14" s="1"/>
  <c r="DS44" i="14"/>
  <c r="EC44" i="14"/>
  <c r="DT44" i="14"/>
  <c r="DU44" i="14" s="1"/>
  <c r="DS48" i="14"/>
  <c r="EC48" i="14"/>
  <c r="DT48" i="14"/>
  <c r="DU48" i="14" s="1"/>
  <c r="DS52" i="14"/>
  <c r="EC52" i="14"/>
  <c r="DT52" i="14"/>
  <c r="DU52" i="14" s="1"/>
  <c r="DS56" i="14"/>
  <c r="EC56" i="14"/>
  <c r="DT56" i="14"/>
  <c r="DU56" i="14" s="1"/>
  <c r="DS7" i="14"/>
  <c r="EC7" i="14"/>
  <c r="DT7" i="14"/>
  <c r="DU7" i="14" s="1"/>
  <c r="DS11" i="14"/>
  <c r="EC11" i="14"/>
  <c r="DT11" i="14"/>
  <c r="DU11" i="14" s="1"/>
  <c r="DS62" i="14"/>
  <c r="EC62" i="14"/>
  <c r="DT62" i="14"/>
  <c r="DU62" i="14" s="1"/>
  <c r="DS90" i="14"/>
  <c r="EC90" i="14"/>
  <c r="DT90" i="14"/>
  <c r="DU90" i="14" s="1"/>
  <c r="DS66" i="14"/>
  <c r="DT66" i="14"/>
  <c r="DU66" i="14" s="1"/>
  <c r="EC66" i="14"/>
  <c r="EC70" i="14"/>
  <c r="DT70" i="14"/>
  <c r="DU70" i="14" s="1"/>
  <c r="DS70" i="14"/>
  <c r="EC74" i="14"/>
  <c r="DT74" i="14"/>
  <c r="DU74" i="14" s="1"/>
  <c r="DS74" i="14"/>
  <c r="EC78" i="14"/>
  <c r="DT78" i="14"/>
  <c r="DU78" i="14" s="1"/>
  <c r="DS78" i="14"/>
  <c r="EC82" i="14"/>
  <c r="DT82" i="14"/>
  <c r="DU82" i="14" s="1"/>
  <c r="DS82" i="14"/>
  <c r="EC86" i="14"/>
  <c r="DT86" i="14"/>
  <c r="DU86" i="14" s="1"/>
  <c r="DS86" i="14"/>
  <c r="DS94" i="14"/>
  <c r="EC94" i="14"/>
  <c r="DT94" i="14"/>
  <c r="DU94" i="14" s="1"/>
  <c r="DS101" i="14"/>
  <c r="EC101" i="14"/>
  <c r="DT101" i="14"/>
  <c r="DU101" i="14" s="1"/>
  <c r="DS105" i="14"/>
  <c r="EC105" i="14"/>
  <c r="DT105" i="14"/>
  <c r="DU105" i="14" s="1"/>
  <c r="DS99" i="14"/>
  <c r="EC99" i="14"/>
  <c r="DT99" i="14"/>
  <c r="DU99" i="14" s="1"/>
  <c r="DS110" i="14"/>
  <c r="EC110" i="14"/>
  <c r="DT110" i="14"/>
  <c r="DU110" i="14" s="1"/>
  <c r="DS114" i="14"/>
  <c r="EC114" i="14"/>
  <c r="DT114" i="14"/>
  <c r="DU114" i="14" s="1"/>
  <c r="EC118" i="14"/>
  <c r="DT118" i="14"/>
  <c r="DU118" i="14" s="1"/>
  <c r="DS118" i="14"/>
  <c r="EC122" i="14"/>
  <c r="DT122" i="14"/>
  <c r="DU122" i="14" s="1"/>
  <c r="DS122" i="14"/>
  <c r="DR126" i="14"/>
  <c r="DS5" i="14"/>
  <c r="EC5" i="14"/>
  <c r="DT5" i="14"/>
  <c r="DS15" i="14"/>
  <c r="EC15" i="14"/>
  <c r="DT15" i="14"/>
  <c r="DU15" i="14" s="1"/>
  <c r="DS19" i="14"/>
  <c r="EC19" i="14"/>
  <c r="DT19" i="14"/>
  <c r="DU19" i="14" s="1"/>
  <c r="DS23" i="14"/>
  <c r="EC23" i="14"/>
  <c r="DT23" i="14"/>
  <c r="DU23" i="14" s="1"/>
  <c r="DS27" i="14"/>
  <c r="EC27" i="14"/>
  <c r="DT27" i="14"/>
  <c r="DU27" i="14" s="1"/>
  <c r="DS31" i="14"/>
  <c r="EC31" i="14"/>
  <c r="DT31" i="14"/>
  <c r="DU31" i="14" s="1"/>
  <c r="DS35" i="14"/>
  <c r="EC35" i="14"/>
  <c r="DT35" i="14"/>
  <c r="DU35" i="14" s="1"/>
  <c r="DS39" i="14"/>
  <c r="EC39" i="14"/>
  <c r="DT39" i="14"/>
  <c r="DU39" i="14" s="1"/>
  <c r="DS43" i="14"/>
  <c r="EC43" i="14"/>
  <c r="DT43" i="14"/>
  <c r="DU43" i="14" s="1"/>
  <c r="DS47" i="14"/>
  <c r="EC47" i="14"/>
  <c r="DT47" i="14"/>
  <c r="DU47" i="14" s="1"/>
  <c r="DS51" i="14"/>
  <c r="EC51" i="14"/>
  <c r="DT51" i="14"/>
  <c r="DU51" i="14" s="1"/>
  <c r="DS55" i="14"/>
  <c r="EC55" i="14"/>
  <c r="DT55" i="14"/>
  <c r="DU55" i="14" s="1"/>
  <c r="DS6" i="14"/>
  <c r="EC6" i="14"/>
  <c r="DT6" i="14"/>
  <c r="DU6" i="14" s="1"/>
  <c r="DS10" i="14"/>
  <c r="EC10" i="14"/>
  <c r="DT10" i="14"/>
  <c r="DU10" i="14" s="1"/>
  <c r="DS61" i="14"/>
  <c r="EC61" i="14"/>
  <c r="DT61" i="14"/>
  <c r="DU61" i="14" s="1"/>
  <c r="DS89" i="14"/>
  <c r="EC89" i="14"/>
  <c r="DT89" i="14"/>
  <c r="DU89" i="14" s="1"/>
  <c r="DS65" i="14"/>
  <c r="DT65" i="14"/>
  <c r="DU65" i="14" s="1"/>
  <c r="EC65" i="14"/>
  <c r="EC69" i="14"/>
  <c r="DT69" i="14"/>
  <c r="DU69" i="14" s="1"/>
  <c r="DS69" i="14"/>
  <c r="EC73" i="14"/>
  <c r="DT73" i="14"/>
  <c r="DU73" i="14" s="1"/>
  <c r="DS73" i="14"/>
  <c r="EC77" i="14"/>
  <c r="DT77" i="14"/>
  <c r="DU77" i="14" s="1"/>
  <c r="DS77" i="14"/>
  <c r="EC81" i="14"/>
  <c r="DT81" i="14"/>
  <c r="DU81" i="14" s="1"/>
  <c r="DS81" i="14"/>
  <c r="EC85" i="14"/>
  <c r="DT85" i="14"/>
  <c r="DU85" i="14" s="1"/>
  <c r="DS85" i="14"/>
  <c r="DS93" i="14"/>
  <c r="EC93" i="14"/>
  <c r="DT93" i="14"/>
  <c r="DU93" i="14" s="1"/>
  <c r="DS100" i="14"/>
  <c r="EC100" i="14"/>
  <c r="DT100" i="14"/>
  <c r="DU100" i="14" s="1"/>
  <c r="DS104" i="14"/>
  <c r="EC104" i="14"/>
  <c r="DT104" i="14"/>
  <c r="DU104" i="14" s="1"/>
  <c r="DS98" i="14"/>
  <c r="EC98" i="14"/>
  <c r="DT98" i="14"/>
  <c r="DU98" i="14" s="1"/>
  <c r="DS109" i="14"/>
  <c r="EC109" i="14"/>
  <c r="DT109" i="14"/>
  <c r="DU109" i="14" s="1"/>
  <c r="DS113" i="14"/>
  <c r="EC113" i="14"/>
  <c r="DT113" i="14"/>
  <c r="DU113" i="14" s="1"/>
  <c r="DS117" i="14"/>
  <c r="EC117" i="14"/>
  <c r="DT117" i="14"/>
  <c r="DU117" i="14" s="1"/>
  <c r="EC121" i="14"/>
  <c r="DT121" i="14"/>
  <c r="DU121" i="14" s="1"/>
  <c r="DS121" i="14"/>
  <c r="DS125" i="14"/>
  <c r="DT125" i="14"/>
  <c r="DU125" i="14" s="1"/>
  <c r="EC125" i="14"/>
  <c r="CJ15" i="14"/>
  <c r="CL15" i="14"/>
  <c r="CQ15" i="14"/>
  <c r="CM15" i="14"/>
  <c r="CJ80" i="14"/>
  <c r="CL80" i="14"/>
  <c r="CM80" i="14"/>
  <c r="CQ80" i="14"/>
  <c r="CO80" i="14"/>
  <c r="CJ53" i="14"/>
  <c r="CL53" i="14"/>
  <c r="CQ53" i="14"/>
  <c r="CM53" i="14"/>
  <c r="CL118" i="14"/>
  <c r="CJ118" i="14"/>
  <c r="CQ118" i="14"/>
  <c r="CM118" i="14"/>
  <c r="CO118" i="14"/>
  <c r="CO79" i="14"/>
  <c r="CL86" i="14"/>
  <c r="CJ86" i="14"/>
  <c r="CQ86" i="14"/>
  <c r="CM86" i="14"/>
  <c r="CL120" i="14"/>
  <c r="CJ120" i="14"/>
  <c r="CQ120" i="14"/>
  <c r="CM120" i="14"/>
  <c r="CO120" i="14"/>
  <c r="CO14" i="14"/>
  <c r="CL49" i="14"/>
  <c r="CJ49" i="14"/>
  <c r="CM49" i="14"/>
  <c r="CQ49" i="14"/>
  <c r="CL110" i="14"/>
  <c r="CJ110" i="14"/>
  <c r="CQ110" i="14"/>
  <c r="CM110" i="14"/>
  <c r="CO110" i="14"/>
  <c r="CJ122" i="14"/>
  <c r="CL122" i="14"/>
  <c r="CM122" i="14"/>
  <c r="CQ122" i="14"/>
  <c r="CL101" i="14"/>
  <c r="CJ101" i="14"/>
  <c r="CM101" i="14"/>
  <c r="CQ101" i="14"/>
  <c r="CL23" i="14"/>
  <c r="CJ23" i="14"/>
  <c r="CM23" i="14"/>
  <c r="CQ23" i="14"/>
  <c r="CO23" i="14"/>
  <c r="CO35" i="14"/>
  <c r="CL7" i="14"/>
  <c r="CJ7" i="14"/>
  <c r="CM7" i="14"/>
  <c r="CQ7" i="14"/>
  <c r="CO103" i="14"/>
  <c r="CL102" i="14"/>
  <c r="CJ102" i="14"/>
  <c r="CQ102" i="14"/>
  <c r="CM102" i="14"/>
  <c r="CL62" i="14"/>
  <c r="CJ62" i="14"/>
  <c r="CQ62" i="14"/>
  <c r="CM62" i="14"/>
  <c r="CO62" i="14"/>
  <c r="CJ32" i="14"/>
  <c r="CL32" i="14"/>
  <c r="CQ32" i="14"/>
  <c r="CM32" i="14"/>
  <c r="CO32" i="14"/>
  <c r="CJ24" i="14"/>
  <c r="CL24" i="14"/>
  <c r="CQ24" i="14"/>
  <c r="CM24" i="14"/>
  <c r="CO24" i="14"/>
  <c r="CL26" i="14"/>
  <c r="CJ26" i="14"/>
  <c r="CM26" i="14"/>
  <c r="CQ26" i="14"/>
  <c r="CO26" i="14"/>
  <c r="CJ78" i="14"/>
  <c r="CL78" i="14"/>
  <c r="CM78" i="14"/>
  <c r="CQ78" i="14"/>
  <c r="CJ88" i="14"/>
  <c r="CL88" i="14"/>
  <c r="CQ88" i="14"/>
  <c r="CM88" i="14"/>
  <c r="CO88" i="14"/>
  <c r="CL11" i="14"/>
  <c r="CJ11" i="14"/>
  <c r="CM11" i="14"/>
  <c r="CQ11" i="14"/>
  <c r="CO11" i="14"/>
  <c r="DC164" i="14"/>
  <c r="BX183" i="14"/>
  <c r="BX188" i="14"/>
  <c r="CJ19" i="14"/>
  <c r="CL19" i="14"/>
  <c r="CK130" i="14"/>
  <c r="CQ19" i="14"/>
  <c r="CM19" i="14"/>
  <c r="CO19" i="14"/>
  <c r="CO27" i="14"/>
  <c r="CJ27" i="14"/>
  <c r="CL27" i="14"/>
  <c r="CQ27" i="14"/>
  <c r="CM27" i="14"/>
  <c r="CL29" i="14"/>
  <c r="CJ29" i="14"/>
  <c r="CM29" i="14"/>
  <c r="CQ29" i="14"/>
  <c r="CO29" i="14"/>
  <c r="CO33" i="14"/>
  <c r="CL9" i="14"/>
  <c r="CJ9" i="14"/>
  <c r="CM9" i="14"/>
  <c r="CQ9" i="14"/>
  <c r="CO9" i="14"/>
  <c r="CJ47" i="14"/>
  <c r="CL47" i="14"/>
  <c r="CQ47" i="14"/>
  <c r="CM47" i="14"/>
  <c r="CL111" i="14"/>
  <c r="CJ111" i="14"/>
  <c r="CM111" i="14"/>
  <c r="CQ111" i="14"/>
  <c r="CO111" i="14"/>
  <c r="CO121" i="14"/>
  <c r="G27" i="17"/>
  <c r="O113" i="12"/>
  <c r="M113" i="12" s="1"/>
  <c r="O111" i="12"/>
  <c r="O109" i="12"/>
  <c r="M109" i="12" s="1"/>
  <c r="O73" i="12"/>
  <c r="O69" i="12"/>
  <c r="M69" i="12" s="1"/>
  <c r="O65" i="12"/>
  <c r="O103" i="12"/>
  <c r="O101" i="12"/>
  <c r="O99" i="12"/>
  <c r="O97" i="12"/>
  <c r="M97" i="12" s="1"/>
  <c r="O95" i="12"/>
  <c r="O93" i="12"/>
  <c r="O91" i="12"/>
  <c r="O89" i="12"/>
  <c r="O87" i="12"/>
  <c r="O85" i="12"/>
  <c r="O83" i="12"/>
  <c r="O81" i="12"/>
  <c r="O77" i="12"/>
  <c r="O79" i="12"/>
  <c r="M79" i="12" s="1"/>
  <c r="O45" i="12"/>
  <c r="O43" i="12"/>
  <c r="O41" i="12"/>
  <c r="O39" i="12"/>
  <c r="O37" i="12"/>
  <c r="O35" i="12"/>
  <c r="O33" i="12"/>
  <c r="O31" i="12"/>
  <c r="O29" i="12"/>
  <c r="O27" i="12"/>
  <c r="O25" i="12"/>
  <c r="O23" i="12"/>
  <c r="O48" i="12"/>
  <c r="M48" i="12" s="1"/>
  <c r="O52" i="12"/>
  <c r="M52" i="12" s="1"/>
  <c r="O22" i="12"/>
  <c r="M22" i="12" s="1"/>
  <c r="O26" i="12"/>
  <c r="M26" i="12" s="1"/>
  <c r="O30" i="12"/>
  <c r="M30" i="12" s="1"/>
  <c r="O34" i="12"/>
  <c r="M34" i="12" s="1"/>
  <c r="O38" i="12"/>
  <c r="M38" i="12" s="1"/>
  <c r="O42" i="12"/>
  <c r="M42" i="12" s="1"/>
  <c r="O46" i="12"/>
  <c r="M46" i="12" s="1"/>
  <c r="O49" i="12"/>
  <c r="O53" i="12"/>
  <c r="O57" i="12"/>
  <c r="O78" i="12"/>
  <c r="O84" i="12"/>
  <c r="M84" i="12" s="1"/>
  <c r="O88" i="12"/>
  <c r="M88" i="12" s="1"/>
  <c r="O92" i="12"/>
  <c r="M92" i="12" s="1"/>
  <c r="O58" i="12"/>
  <c r="M58" i="12" s="1"/>
  <c r="O80" i="12"/>
  <c r="O98" i="12"/>
  <c r="O102" i="12"/>
  <c r="M102" i="12" s="1"/>
  <c r="O106" i="12"/>
  <c r="O115" i="12"/>
  <c r="M115" i="12" s="1"/>
  <c r="O117" i="12"/>
  <c r="M117" i="12" s="1"/>
  <c r="O119" i="12"/>
  <c r="M119" i="12" s="1"/>
  <c r="O121" i="12"/>
  <c r="O125" i="12"/>
  <c r="M125" i="12" s="1"/>
  <c r="O105" i="12"/>
  <c r="M105" i="12" s="1"/>
  <c r="O122" i="12"/>
  <c r="O6" i="12"/>
  <c r="M6" i="12" s="1"/>
  <c r="O8" i="12"/>
  <c r="M8" i="12" s="1"/>
  <c r="O10" i="12"/>
  <c r="M10" i="12" s="1"/>
  <c r="O12" i="12"/>
  <c r="O14" i="12"/>
  <c r="M14" i="12" s="1"/>
  <c r="O16" i="12"/>
  <c r="M16" i="12" s="1"/>
  <c r="O18" i="12"/>
  <c r="M18" i="12" s="1"/>
  <c r="O20" i="12"/>
  <c r="M20" i="12" s="1"/>
  <c r="O60" i="12"/>
  <c r="O62" i="12"/>
  <c r="M62" i="12" s="1"/>
  <c r="O64" i="12"/>
  <c r="M64" i="12" s="1"/>
  <c r="O66" i="12"/>
  <c r="M66" i="12" s="1"/>
  <c r="O68" i="12"/>
  <c r="M68" i="12" s="1"/>
  <c r="O70" i="12"/>
  <c r="M70" i="12" s="1"/>
  <c r="O72" i="12"/>
  <c r="M72" i="12" s="1"/>
  <c r="O74" i="12"/>
  <c r="O50" i="12"/>
  <c r="M50" i="12" s="1"/>
  <c r="O54" i="12"/>
  <c r="M54" i="12" s="1"/>
  <c r="O24" i="12"/>
  <c r="O28" i="12"/>
  <c r="M28" i="12" s="1"/>
  <c r="O32" i="12"/>
  <c r="M32" i="12" s="1"/>
  <c r="O36" i="12"/>
  <c r="M36" i="12" s="1"/>
  <c r="O40" i="12"/>
  <c r="M40" i="12" s="1"/>
  <c r="O44" i="12"/>
  <c r="M44" i="12" s="1"/>
  <c r="O47" i="12"/>
  <c r="M47" i="12" s="1"/>
  <c r="O51" i="12"/>
  <c r="O55" i="12"/>
  <c r="O82" i="12"/>
  <c r="M82" i="12" s="1"/>
  <c r="O86" i="12"/>
  <c r="M86" i="12" s="1"/>
  <c r="O90" i="12"/>
  <c r="M90" i="12" s="1"/>
  <c r="O56" i="12"/>
  <c r="M56" i="12" s="1"/>
  <c r="O76" i="12"/>
  <c r="O96" i="12"/>
  <c r="O100" i="12"/>
  <c r="O104" i="12"/>
  <c r="O114" i="12"/>
  <c r="M114" i="12" s="1"/>
  <c r="O116" i="12"/>
  <c r="M116" i="12" s="1"/>
  <c r="O118" i="12"/>
  <c r="M118" i="12" s="1"/>
  <c r="O120" i="12"/>
  <c r="M120" i="12" s="1"/>
  <c r="O123" i="12"/>
  <c r="O94" i="12"/>
  <c r="M94" i="12" s="1"/>
  <c r="O107" i="12"/>
  <c r="M107" i="12" s="1"/>
  <c r="O124" i="12"/>
  <c r="O7" i="12"/>
  <c r="M7" i="12" s="1"/>
  <c r="O9" i="12"/>
  <c r="M9" i="12" s="1"/>
  <c r="O11" i="12"/>
  <c r="M11" i="12" s="1"/>
  <c r="O13" i="12"/>
  <c r="M13" i="12" s="1"/>
  <c r="O15" i="12"/>
  <c r="M15" i="12" s="1"/>
  <c r="O17" i="12"/>
  <c r="M17" i="12" s="1"/>
  <c r="O19" i="12"/>
  <c r="M19" i="12" s="1"/>
  <c r="O21" i="12"/>
  <c r="M21" i="12" s="1"/>
  <c r="O112" i="12"/>
  <c r="O110" i="12"/>
  <c r="M110" i="12" s="1"/>
  <c r="O108" i="12"/>
  <c r="M108" i="12" s="1"/>
  <c r="O75" i="12"/>
  <c r="M75" i="12" s="1"/>
  <c r="O71" i="12"/>
  <c r="M71" i="12" s="1"/>
  <c r="O67" i="12"/>
  <c r="M67" i="12" s="1"/>
  <c r="O63" i="12"/>
  <c r="M63" i="12" s="1"/>
  <c r="O59" i="12"/>
  <c r="M59" i="12" s="1"/>
  <c r="M74" i="12"/>
  <c r="M111" i="12"/>
  <c r="M112" i="12"/>
  <c r="M73" i="12"/>
  <c r="M65" i="12"/>
  <c r="M61" i="12"/>
  <c r="M60" i="12"/>
  <c r="M12" i="12"/>
  <c r="O5" i="12"/>
  <c r="Z4" i="12"/>
  <c r="AM4" i="12" s="1"/>
  <c r="Q4" i="12"/>
  <c r="O4" i="12"/>
  <c r="CK174" i="14" l="1"/>
  <c r="CK126" i="14"/>
  <c r="AK4" i="12"/>
  <c r="AI5" i="12"/>
  <c r="AI8" i="12"/>
  <c r="AI11" i="12"/>
  <c r="AI31" i="12"/>
  <c r="AI33" i="12"/>
  <c r="AI35" i="12"/>
  <c r="AI37" i="12"/>
  <c r="AI121" i="12"/>
  <c r="AI119" i="12"/>
  <c r="AO4" i="12"/>
  <c r="AI9" i="12"/>
  <c r="AI13" i="12"/>
  <c r="AN4" i="12"/>
  <c r="AZ4" i="12"/>
  <c r="AI4" i="12"/>
  <c r="AJ4" i="12" s="1"/>
  <c r="AQ4" i="12"/>
  <c r="AI6" i="12"/>
  <c r="AI10" i="12"/>
  <c r="AI16" i="12"/>
  <c r="AI17" i="12"/>
  <c r="AI18" i="12"/>
  <c r="AI19" i="12"/>
  <c r="AI20" i="12"/>
  <c r="AI21" i="12"/>
  <c r="AI22" i="12"/>
  <c r="AI23" i="12"/>
  <c r="AI24" i="12"/>
  <c r="AI25" i="12"/>
  <c r="AI26" i="12"/>
  <c r="AI27" i="12"/>
  <c r="AI28" i="12"/>
  <c r="AI29" i="12"/>
  <c r="AI30" i="12"/>
  <c r="AI32" i="12"/>
  <c r="AI34" i="12"/>
  <c r="AI36" i="12"/>
  <c r="AI125" i="12"/>
  <c r="AI124" i="12"/>
  <c r="AI123" i="12"/>
  <c r="AI122" i="12"/>
  <c r="AI101" i="12"/>
  <c r="AI100" i="12"/>
  <c r="AI99" i="12"/>
  <c r="AI98" i="12"/>
  <c r="AI97" i="12"/>
  <c r="AI96" i="12"/>
  <c r="AI95" i="12"/>
  <c r="AI94" i="12"/>
  <c r="AI93" i="12"/>
  <c r="AI92" i="12"/>
  <c r="AI91" i="12"/>
  <c r="AI90" i="12"/>
  <c r="AI89" i="12"/>
  <c r="AI88" i="12"/>
  <c r="AI87" i="12"/>
  <c r="AI120" i="12"/>
  <c r="AI118" i="12"/>
  <c r="AI117" i="12"/>
  <c r="AI116" i="12"/>
  <c r="AI115" i="12"/>
  <c r="AI114" i="12"/>
  <c r="AI113" i="12"/>
  <c r="AI112" i="12"/>
  <c r="AI111" i="12"/>
  <c r="AI110" i="12"/>
  <c r="AI109" i="12"/>
  <c r="AI108" i="12"/>
  <c r="AI107" i="12"/>
  <c r="AI106" i="12"/>
  <c r="AI105" i="12"/>
  <c r="AI104" i="12"/>
  <c r="AI103" i="12"/>
  <c r="AI102" i="12"/>
  <c r="AI86" i="12"/>
  <c r="AI85" i="12"/>
  <c r="AI84" i="12"/>
  <c r="AI83" i="12"/>
  <c r="AI82" i="12"/>
  <c r="AI81" i="12"/>
  <c r="AI80" i="12"/>
  <c r="AI79" i="12"/>
  <c r="AI78" i="12"/>
  <c r="AI77" i="12"/>
  <c r="AI76" i="12"/>
  <c r="AI75" i="12"/>
  <c r="AI74" i="12"/>
  <c r="AI73" i="12"/>
  <c r="AI72" i="12"/>
  <c r="AI71" i="12"/>
  <c r="AI70" i="12"/>
  <c r="AI69" i="12"/>
  <c r="AI68" i="12"/>
  <c r="AI67" i="12"/>
  <c r="AI66" i="12"/>
  <c r="AI65" i="12"/>
  <c r="AI64" i="12"/>
  <c r="AI63" i="12"/>
  <c r="AI62" i="12"/>
  <c r="AI61" i="12"/>
  <c r="AI60" i="12"/>
  <c r="AI59" i="12"/>
  <c r="AI58" i="12"/>
  <c r="AI57" i="12"/>
  <c r="AI56" i="12"/>
  <c r="AI55" i="12"/>
  <c r="AI54" i="12"/>
  <c r="AI53" i="12"/>
  <c r="AI52" i="12"/>
  <c r="AI51" i="12"/>
  <c r="AI50" i="12"/>
  <c r="AI49" i="12"/>
  <c r="AI48" i="12"/>
  <c r="AI47" i="12"/>
  <c r="AI46" i="12"/>
  <c r="AI45" i="12"/>
  <c r="AI44" i="12"/>
  <c r="AI43" i="12"/>
  <c r="AI42" i="12"/>
  <c r="AI41" i="12"/>
  <c r="AI40" i="12"/>
  <c r="AI39" i="12"/>
  <c r="AI38" i="12"/>
  <c r="AI7" i="12"/>
  <c r="AI12" i="12"/>
  <c r="AI14" i="12"/>
  <c r="AI15" i="12"/>
  <c r="AP4" i="12"/>
  <c r="CN111" i="14"/>
  <c r="CX111" i="14"/>
  <c r="CN27" i="14"/>
  <c r="CX27" i="14"/>
  <c r="DB27" i="14" s="1"/>
  <c r="CN19" i="14"/>
  <c r="CX19" i="14"/>
  <c r="CK138" i="14"/>
  <c r="CL143" i="14"/>
  <c r="CL151" i="14" s="1"/>
  <c r="CN11" i="14"/>
  <c r="CX11" i="14"/>
  <c r="CN88" i="14"/>
  <c r="CX88" i="14"/>
  <c r="CN26" i="14"/>
  <c r="CX26" i="14"/>
  <c r="CN24" i="14"/>
  <c r="CX24" i="14"/>
  <c r="CN62" i="14"/>
  <c r="CX62" i="14"/>
  <c r="CN102" i="14"/>
  <c r="CX102" i="14"/>
  <c r="CN7" i="14"/>
  <c r="CX7" i="14"/>
  <c r="CN23" i="14"/>
  <c r="CX23" i="14"/>
  <c r="CN101" i="14"/>
  <c r="CX101" i="14"/>
  <c r="CN122" i="14"/>
  <c r="CX122" i="14"/>
  <c r="CN110" i="14"/>
  <c r="CX110" i="14"/>
  <c r="CN120" i="14"/>
  <c r="CX120" i="14"/>
  <c r="CN86" i="14"/>
  <c r="CX86" i="14"/>
  <c r="CN118" i="14"/>
  <c r="CX118" i="14"/>
  <c r="CN53" i="14"/>
  <c r="CX53" i="14"/>
  <c r="CN80" i="14"/>
  <c r="CX80" i="14"/>
  <c r="EC156" i="14"/>
  <c r="EC126" i="14"/>
  <c r="DP164" i="14"/>
  <c r="CN68" i="14"/>
  <c r="CX68" i="14"/>
  <c r="CN6" i="14"/>
  <c r="CX6" i="14"/>
  <c r="CN61" i="14"/>
  <c r="CX61" i="14"/>
  <c r="CN5" i="14"/>
  <c r="CX5" i="14"/>
  <c r="CK177" i="14"/>
  <c r="CK182" i="14"/>
  <c r="CN123" i="14"/>
  <c r="CX123" i="14"/>
  <c r="CN37" i="14"/>
  <c r="CX37" i="14"/>
  <c r="CN69" i="14"/>
  <c r="CX69" i="14"/>
  <c r="CN44" i="14"/>
  <c r="CX44" i="14"/>
  <c r="CN54" i="14"/>
  <c r="CX54" i="14"/>
  <c r="CN98" i="14"/>
  <c r="CX98" i="14"/>
  <c r="CN18" i="14"/>
  <c r="CX18" i="14"/>
  <c r="CN36" i="14"/>
  <c r="CX36" i="14"/>
  <c r="CN76" i="14"/>
  <c r="CX76" i="14"/>
  <c r="CN51" i="14"/>
  <c r="CX51" i="14"/>
  <c r="CN91" i="14"/>
  <c r="CX91" i="14"/>
  <c r="CN58" i="14"/>
  <c r="CX58" i="14"/>
  <c r="CN20" i="14"/>
  <c r="CX20" i="14"/>
  <c r="CN89" i="14"/>
  <c r="CX89" i="14"/>
  <c r="DB89" i="14" s="1"/>
  <c r="CN72" i="14"/>
  <c r="CX72" i="14"/>
  <c r="CA151" i="14"/>
  <c r="BZ143" i="14"/>
  <c r="CN77" i="14"/>
  <c r="CX77" i="14"/>
  <c r="CN66" i="14"/>
  <c r="CX66" i="14"/>
  <c r="CN39" i="14"/>
  <c r="CX39" i="14"/>
  <c r="CN35" i="14"/>
  <c r="CX35" i="14"/>
  <c r="DB35" i="14" s="1"/>
  <c r="CN75" i="14"/>
  <c r="CX75" i="14"/>
  <c r="CN87" i="14"/>
  <c r="CX87" i="14"/>
  <c r="CN84" i="14"/>
  <c r="CX84" i="14"/>
  <c r="CN17" i="14"/>
  <c r="CX17" i="14"/>
  <c r="DB17" i="14" s="1"/>
  <c r="CN100" i="14"/>
  <c r="CX100" i="14"/>
  <c r="CN81" i="14"/>
  <c r="CX81" i="14"/>
  <c r="CN52" i="14"/>
  <c r="CX52" i="14"/>
  <c r="CN10" i="14"/>
  <c r="CX10" i="14"/>
  <c r="CN22" i="14"/>
  <c r="CX22" i="14"/>
  <c r="CN60" i="14"/>
  <c r="CX60" i="14"/>
  <c r="DB60" i="14" s="1"/>
  <c r="DN93" i="14"/>
  <c r="DX93" i="14"/>
  <c r="CN74" i="14"/>
  <c r="CX74" i="14"/>
  <c r="CN85" i="14"/>
  <c r="CX85" i="14"/>
  <c r="DB85" i="14" s="1"/>
  <c r="CN109" i="14"/>
  <c r="CX109" i="14"/>
  <c r="CN112" i="14"/>
  <c r="CX112" i="14"/>
  <c r="CN121" i="14"/>
  <c r="CX121" i="14"/>
  <c r="DB121" i="14" s="1"/>
  <c r="CN33" i="14"/>
  <c r="CX33" i="14"/>
  <c r="DB33" i="14" s="1"/>
  <c r="CN25" i="14"/>
  <c r="CX25" i="14"/>
  <c r="CN106" i="14"/>
  <c r="CX106" i="14"/>
  <c r="CN67" i="14"/>
  <c r="CX67" i="14"/>
  <c r="DB67" i="14" s="1"/>
  <c r="CN125" i="14"/>
  <c r="CX125" i="14"/>
  <c r="DB125" i="14" s="1"/>
  <c r="BW183" i="14"/>
  <c r="CN21" i="14"/>
  <c r="CX21" i="14"/>
  <c r="DB21" i="14" s="1"/>
  <c r="CN114" i="14"/>
  <c r="CX114" i="14"/>
  <c r="CN43" i="14"/>
  <c r="CX43" i="14"/>
  <c r="CN47" i="14"/>
  <c r="CX47" i="14"/>
  <c r="CN9" i="14"/>
  <c r="CX9" i="14"/>
  <c r="CN29" i="14"/>
  <c r="CX29" i="14"/>
  <c r="DB19" i="14"/>
  <c r="CQ156" i="14"/>
  <c r="CN78" i="14"/>
  <c r="CX78" i="14"/>
  <c r="DB24" i="14"/>
  <c r="CN32" i="14"/>
  <c r="CX32" i="14"/>
  <c r="DB110" i="14"/>
  <c r="CN49" i="14"/>
  <c r="CX49" i="14"/>
  <c r="DB120" i="14"/>
  <c r="DB118" i="14"/>
  <c r="CN15" i="14"/>
  <c r="CX15" i="14"/>
  <c r="DU143" i="14"/>
  <c r="DU151" i="14" s="1"/>
  <c r="DS143" i="14"/>
  <c r="DS151" i="14" s="1"/>
  <c r="DT126" i="14"/>
  <c r="DU5" i="14"/>
  <c r="DU126" i="14" s="1"/>
  <c r="DS126" i="14"/>
  <c r="DB91" i="14"/>
  <c r="CN70" i="14"/>
  <c r="CX70" i="14"/>
  <c r="CN105" i="14"/>
  <c r="CX105" i="14"/>
  <c r="DB6" i="14"/>
  <c r="CN14" i="14"/>
  <c r="CX14" i="14"/>
  <c r="CN48" i="14"/>
  <c r="CX48" i="14"/>
  <c r="DB61" i="14"/>
  <c r="CN46" i="14"/>
  <c r="CX46" i="14"/>
  <c r="CJ92" i="14"/>
  <c r="CL92" i="14"/>
  <c r="CM92" i="14"/>
  <c r="CQ92" i="14"/>
  <c r="CN103" i="14"/>
  <c r="CX103" i="14"/>
  <c r="DB123" i="14"/>
  <c r="CN124" i="14"/>
  <c r="CX124" i="14"/>
  <c r="CN63" i="14"/>
  <c r="CX63" i="14"/>
  <c r="CN30" i="14"/>
  <c r="CX30" i="14"/>
  <c r="CN28" i="14"/>
  <c r="CX28" i="14"/>
  <c r="CN34" i="14"/>
  <c r="CX34" i="14"/>
  <c r="CN16" i="14"/>
  <c r="CX16" i="14"/>
  <c r="CN31" i="14"/>
  <c r="CX31" i="14"/>
  <c r="CN41" i="14"/>
  <c r="CX41" i="14"/>
  <c r="CN71" i="14"/>
  <c r="CX71" i="14"/>
  <c r="DB77" i="14"/>
  <c r="CN83" i="14"/>
  <c r="CX83" i="14"/>
  <c r="CN99" i="14"/>
  <c r="CX99" i="14"/>
  <c r="CN108" i="14"/>
  <c r="CX108" i="14"/>
  <c r="CN113" i="14"/>
  <c r="CX113" i="14"/>
  <c r="CN107" i="14"/>
  <c r="CX107" i="14"/>
  <c r="CN45" i="14"/>
  <c r="CX45" i="14"/>
  <c r="CN73" i="14"/>
  <c r="CX73" i="14"/>
  <c r="CN119" i="14"/>
  <c r="CX119" i="14"/>
  <c r="CN38" i="14"/>
  <c r="CX38" i="14"/>
  <c r="CN90" i="14"/>
  <c r="CX90" i="14"/>
  <c r="CN82" i="14"/>
  <c r="CX82" i="14"/>
  <c r="CN96" i="14"/>
  <c r="CX96" i="14"/>
  <c r="CN55" i="14"/>
  <c r="CX55" i="14"/>
  <c r="DB52" i="14"/>
  <c r="CN104" i="14"/>
  <c r="CX104" i="14"/>
  <c r="CJ94" i="14"/>
  <c r="CL94" i="14"/>
  <c r="CM94" i="14"/>
  <c r="CQ94" i="14"/>
  <c r="CN117" i="14"/>
  <c r="CX117" i="14"/>
  <c r="CN64" i="14"/>
  <c r="CX64" i="14"/>
  <c r="DB64" i="14" s="1"/>
  <c r="CN40" i="14"/>
  <c r="CX40" i="14"/>
  <c r="DB40" i="14" s="1"/>
  <c r="CN50" i="14"/>
  <c r="CX50" i="14"/>
  <c r="CN56" i="14"/>
  <c r="CX56" i="14"/>
  <c r="CN8" i="14"/>
  <c r="CX8" i="14"/>
  <c r="CN79" i="14"/>
  <c r="CX79" i="14"/>
  <c r="CN59" i="14"/>
  <c r="CX59" i="14"/>
  <c r="DB59" i="14" s="1"/>
  <c r="CN97" i="14"/>
  <c r="CX97" i="14"/>
  <c r="DB97" i="14" s="1"/>
  <c r="DB25" i="14"/>
  <c r="CN65" i="14"/>
  <c r="CX65" i="14"/>
  <c r="CN12" i="14"/>
  <c r="CX12" i="14"/>
  <c r="CO126" i="14"/>
  <c r="CN13" i="14"/>
  <c r="CX13" i="14"/>
  <c r="DB13" i="14" s="1"/>
  <c r="CN57" i="14"/>
  <c r="CX57" i="14"/>
  <c r="CN116" i="14"/>
  <c r="CX116" i="14"/>
  <c r="CN42" i="14"/>
  <c r="CX42" i="14"/>
  <c r="DB114" i="14"/>
  <c r="CN115" i="14"/>
  <c r="CX115" i="14"/>
  <c r="G26" i="17"/>
  <c r="G28" i="17" s="1"/>
  <c r="O126" i="12"/>
  <c r="AD4" i="12"/>
  <c r="V125" i="12"/>
  <c r="V123" i="12"/>
  <c r="V121" i="12"/>
  <c r="V112" i="12"/>
  <c r="V110" i="12"/>
  <c r="V108" i="12"/>
  <c r="V106" i="12"/>
  <c r="V104" i="12"/>
  <c r="V94" i="12"/>
  <c r="V93" i="12"/>
  <c r="V92" i="12"/>
  <c r="V124" i="12"/>
  <c r="V122" i="12"/>
  <c r="V120" i="12"/>
  <c r="V119" i="12"/>
  <c r="V118" i="12"/>
  <c r="V117" i="12"/>
  <c r="V116" i="12"/>
  <c r="V115" i="12"/>
  <c r="V114" i="12"/>
  <c r="V113" i="12"/>
  <c r="V111" i="12"/>
  <c r="V109" i="12"/>
  <c r="V107" i="12"/>
  <c r="V105" i="12"/>
  <c r="V103" i="12"/>
  <c r="V102" i="12"/>
  <c r="V101" i="12"/>
  <c r="V100" i="12"/>
  <c r="V99" i="12"/>
  <c r="V98" i="12"/>
  <c r="V97" i="12"/>
  <c r="V96" i="12"/>
  <c r="V95" i="12"/>
  <c r="V80" i="12"/>
  <c r="V79" i="12"/>
  <c r="V76" i="12"/>
  <c r="V75" i="12"/>
  <c r="V73" i="12"/>
  <c r="V71" i="12"/>
  <c r="V69" i="12"/>
  <c r="V67" i="12"/>
  <c r="V65" i="12"/>
  <c r="V63" i="12"/>
  <c r="V61" i="12"/>
  <c r="V57" i="12"/>
  <c r="V55" i="12"/>
  <c r="V91" i="12"/>
  <c r="V90" i="12"/>
  <c r="V89" i="12"/>
  <c r="V88" i="12"/>
  <c r="V87" i="12"/>
  <c r="V86" i="12"/>
  <c r="V85" i="12"/>
  <c r="V84" i="12"/>
  <c r="V83" i="12"/>
  <c r="V82" i="12"/>
  <c r="V81" i="12"/>
  <c r="V78" i="12"/>
  <c r="V77" i="12"/>
  <c r="V74" i="12"/>
  <c r="V72" i="12"/>
  <c r="V70" i="12"/>
  <c r="V68" i="12"/>
  <c r="V66" i="12"/>
  <c r="V64" i="12"/>
  <c r="V62" i="12"/>
  <c r="V60" i="12"/>
  <c r="V59" i="12"/>
  <c r="V58" i="12"/>
  <c r="V56" i="12"/>
  <c r="V54" i="12"/>
  <c r="V52" i="12"/>
  <c r="V50" i="12"/>
  <c r="V48"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19" i="12"/>
  <c r="V17" i="12"/>
  <c r="V15" i="12"/>
  <c r="V13" i="12"/>
  <c r="V11" i="12"/>
  <c r="V9" i="12"/>
  <c r="V7" i="12"/>
  <c r="V53" i="12"/>
  <c r="V51" i="12"/>
  <c r="V49" i="12"/>
  <c r="V47" i="12"/>
  <c r="V20" i="12"/>
  <c r="V18" i="12"/>
  <c r="V16" i="12"/>
  <c r="V14" i="12"/>
  <c r="V12" i="12"/>
  <c r="V10" i="12"/>
  <c r="V8" i="12"/>
  <c r="V6" i="12"/>
  <c r="X125" i="12"/>
  <c r="Z125" i="12" s="1"/>
  <c r="AA125" i="12" s="1"/>
  <c r="V5" i="12"/>
  <c r="X6" i="12"/>
  <c r="AB6" i="12" s="1"/>
  <c r="X10" i="12"/>
  <c r="AB10" i="12" s="1"/>
  <c r="X12" i="12"/>
  <c r="AB12" i="12" s="1"/>
  <c r="X16" i="12"/>
  <c r="AB16" i="12" s="1"/>
  <c r="X20" i="12"/>
  <c r="AB20" i="12" s="1"/>
  <c r="X60" i="12"/>
  <c r="AB60" i="12" s="1"/>
  <c r="X61" i="12"/>
  <c r="AB61" i="12" s="1"/>
  <c r="X62" i="12"/>
  <c r="AB62" i="12" s="1"/>
  <c r="X63" i="12"/>
  <c r="AB63" i="12" s="1"/>
  <c r="X64" i="12"/>
  <c r="AB64" i="12" s="1"/>
  <c r="X65" i="12"/>
  <c r="AB65" i="12" s="1"/>
  <c r="X67" i="12"/>
  <c r="AB67" i="12" s="1"/>
  <c r="X69" i="12"/>
  <c r="AB69" i="12" s="1"/>
  <c r="X71" i="12"/>
  <c r="AB71" i="12" s="1"/>
  <c r="X73" i="12"/>
  <c r="AB73" i="12" s="1"/>
  <c r="X75" i="12"/>
  <c r="AB75" i="12" s="1"/>
  <c r="X112" i="12"/>
  <c r="AB112" i="12" s="1"/>
  <c r="X9" i="12"/>
  <c r="AB9" i="12" s="1"/>
  <c r="X13" i="12"/>
  <c r="AB13" i="12" s="1"/>
  <c r="X17" i="12"/>
  <c r="AB17" i="12" s="1"/>
  <c r="X21" i="12"/>
  <c r="AB21" i="12" s="1"/>
  <c r="X111" i="12"/>
  <c r="AB111" i="12" s="1"/>
  <c r="X66" i="12"/>
  <c r="AB66" i="12" s="1"/>
  <c r="X70" i="12"/>
  <c r="AB70" i="12" s="1"/>
  <c r="X74" i="12"/>
  <c r="AB74" i="12" s="1"/>
  <c r="X107" i="12"/>
  <c r="AD107" i="12" s="1"/>
  <c r="M123" i="12"/>
  <c r="X123" i="12" s="1"/>
  <c r="AB123" i="12" s="1"/>
  <c r="X118" i="12"/>
  <c r="Z118" i="12" s="1"/>
  <c r="AA118" i="12" s="1"/>
  <c r="X114" i="12"/>
  <c r="M100" i="12"/>
  <c r="X100" i="12" s="1"/>
  <c r="M76" i="12"/>
  <c r="X76" i="12" s="1"/>
  <c r="X90" i="12"/>
  <c r="Z90" i="12" s="1"/>
  <c r="AK90" i="12" s="1"/>
  <c r="X82" i="12"/>
  <c r="Z82" i="12" s="1"/>
  <c r="AK82" i="12" s="1"/>
  <c r="M51" i="12"/>
  <c r="X51" i="12" s="1"/>
  <c r="Z51" i="12" s="1"/>
  <c r="AA51" i="12" s="1"/>
  <c r="X44" i="12"/>
  <c r="AD44" i="12" s="1"/>
  <c r="X36" i="12"/>
  <c r="Z36" i="12" s="1"/>
  <c r="AA36" i="12" s="1"/>
  <c r="X28" i="12"/>
  <c r="AD28" i="12" s="1"/>
  <c r="X54" i="12"/>
  <c r="Z54" i="12" s="1"/>
  <c r="AA54" i="12" s="1"/>
  <c r="M122" i="12"/>
  <c r="X122" i="12" s="1"/>
  <c r="Z122" i="12" s="1"/>
  <c r="AA122" i="12" s="1"/>
  <c r="X119" i="12"/>
  <c r="AD119" i="12" s="1"/>
  <c r="X115" i="12"/>
  <c r="AD115" i="12" s="1"/>
  <c r="X102" i="12"/>
  <c r="AD102" i="12" s="1"/>
  <c r="M80" i="12"/>
  <c r="X80" i="12" s="1"/>
  <c r="X92" i="12"/>
  <c r="X84" i="12"/>
  <c r="AD84" i="12" s="1"/>
  <c r="M57" i="12"/>
  <c r="X57" i="12" s="1"/>
  <c r="AD57" i="12" s="1"/>
  <c r="M49" i="12"/>
  <c r="X49" i="12" s="1"/>
  <c r="AD49" i="12" s="1"/>
  <c r="X42" i="12"/>
  <c r="Z42" i="12" s="1"/>
  <c r="AA42" i="12" s="1"/>
  <c r="X34" i="12"/>
  <c r="AD34" i="12" s="1"/>
  <c r="X26" i="12"/>
  <c r="AD26" i="12" s="1"/>
  <c r="X52" i="12"/>
  <c r="Z52" i="12" s="1"/>
  <c r="AA52" i="12" s="1"/>
  <c r="M23" i="12"/>
  <c r="X23" i="12" s="1"/>
  <c r="AD23" i="12" s="1"/>
  <c r="M27" i="12"/>
  <c r="X27" i="12" s="1"/>
  <c r="AD27" i="12" s="1"/>
  <c r="M31" i="12"/>
  <c r="X31" i="12" s="1"/>
  <c r="AD31" i="12" s="1"/>
  <c r="M35" i="12"/>
  <c r="X35" i="12" s="1"/>
  <c r="AD35" i="12" s="1"/>
  <c r="M39" i="12"/>
  <c r="X39" i="12" s="1"/>
  <c r="AD39" i="12" s="1"/>
  <c r="M43" i="12"/>
  <c r="X43" i="12" s="1"/>
  <c r="AD43" i="12" s="1"/>
  <c r="X79" i="12"/>
  <c r="Z79" i="12" s="1"/>
  <c r="AK79" i="12" s="1"/>
  <c r="M81" i="12"/>
  <c r="X81" i="12" s="1"/>
  <c r="AB81" i="12" s="1"/>
  <c r="M85" i="12"/>
  <c r="X85" i="12" s="1"/>
  <c r="AB85" i="12" s="1"/>
  <c r="M89" i="12"/>
  <c r="X89" i="12" s="1"/>
  <c r="AB89" i="12" s="1"/>
  <c r="M93" i="12"/>
  <c r="X93" i="12" s="1"/>
  <c r="AB93" i="12" s="1"/>
  <c r="X97" i="12"/>
  <c r="Z97" i="12" s="1"/>
  <c r="AK97" i="12" s="1"/>
  <c r="M101" i="12"/>
  <c r="X101" i="12" s="1"/>
  <c r="Z101" i="12" s="1"/>
  <c r="AK101" i="12" s="1"/>
  <c r="Q125" i="12"/>
  <c r="Q123" i="12"/>
  <c r="Q121" i="12"/>
  <c r="Q120" i="12"/>
  <c r="Q119" i="12"/>
  <c r="Q118" i="12"/>
  <c r="Q117" i="12"/>
  <c r="Q116" i="12"/>
  <c r="Q115" i="12"/>
  <c r="Q114" i="12"/>
  <c r="Q112" i="12"/>
  <c r="Q110" i="12"/>
  <c r="Q108" i="12"/>
  <c r="Q106" i="12"/>
  <c r="Q104" i="12"/>
  <c r="Q102" i="12"/>
  <c r="Q100" i="12"/>
  <c r="Q98" i="12"/>
  <c r="Q96" i="12"/>
  <c r="Q95" i="12"/>
  <c r="Q93" i="12"/>
  <c r="Q124" i="12"/>
  <c r="Q122" i="12"/>
  <c r="Q113" i="12"/>
  <c r="Q111" i="12"/>
  <c r="Q109" i="12"/>
  <c r="Q107" i="12"/>
  <c r="Q105" i="12"/>
  <c r="Q103" i="12"/>
  <c r="Q101" i="12"/>
  <c r="Q99" i="12"/>
  <c r="Q97" i="12"/>
  <c r="Q94" i="12"/>
  <c r="Q92" i="12"/>
  <c r="Q90" i="12"/>
  <c r="Q88" i="12"/>
  <c r="Q86" i="12"/>
  <c r="Q84" i="12"/>
  <c r="Q82" i="12"/>
  <c r="Q79" i="12"/>
  <c r="Q78" i="12"/>
  <c r="Q74" i="12"/>
  <c r="Q72" i="12"/>
  <c r="Q70" i="12"/>
  <c r="Q68" i="12"/>
  <c r="Q66" i="12"/>
  <c r="Q64" i="12"/>
  <c r="Q62" i="12"/>
  <c r="Q60" i="12"/>
  <c r="Q59" i="12"/>
  <c r="Q57" i="12"/>
  <c r="Q91" i="12"/>
  <c r="Q89" i="12"/>
  <c r="Q87" i="12"/>
  <c r="Q85" i="12"/>
  <c r="Q83" i="12"/>
  <c r="Q81" i="12"/>
  <c r="Q80" i="12"/>
  <c r="Q77" i="12"/>
  <c r="Q76" i="12"/>
  <c r="Q75" i="12"/>
  <c r="Q73" i="12"/>
  <c r="Q71" i="12"/>
  <c r="Q69" i="12"/>
  <c r="Q67" i="12"/>
  <c r="Q65" i="12"/>
  <c r="Q63" i="12"/>
  <c r="Q61" i="12"/>
  <c r="Q58" i="12"/>
  <c r="Q56" i="12"/>
  <c r="Q54" i="12"/>
  <c r="Q52" i="12"/>
  <c r="Q50" i="12"/>
  <c r="Q48" i="12"/>
  <c r="Q45" i="12"/>
  <c r="Q43" i="12"/>
  <c r="Q41" i="12"/>
  <c r="Q39" i="12"/>
  <c r="Q37" i="12"/>
  <c r="Q35" i="12"/>
  <c r="Q33" i="12"/>
  <c r="Q31" i="12"/>
  <c r="Q29" i="12"/>
  <c r="Q27" i="12"/>
  <c r="Q25" i="12"/>
  <c r="Q23" i="12"/>
  <c r="Q20" i="12"/>
  <c r="Q18" i="12"/>
  <c r="Q16" i="12"/>
  <c r="Q14" i="12"/>
  <c r="Q12" i="12"/>
  <c r="Q10" i="12"/>
  <c r="Q8" i="12"/>
  <c r="Q6" i="12"/>
  <c r="Q55" i="12"/>
  <c r="Q53" i="12"/>
  <c r="Q51" i="12"/>
  <c r="Q49" i="12"/>
  <c r="Q47" i="12"/>
  <c r="Q46" i="12"/>
  <c r="Q44" i="12"/>
  <c r="Q42" i="12"/>
  <c r="Q40" i="12"/>
  <c r="Q38" i="12"/>
  <c r="Q36" i="12"/>
  <c r="Q34" i="12"/>
  <c r="Q32" i="12"/>
  <c r="Q30" i="12"/>
  <c r="Q28" i="12"/>
  <c r="Q26" i="12"/>
  <c r="Q24" i="12"/>
  <c r="Q22" i="12"/>
  <c r="Q21" i="12"/>
  <c r="Q19" i="12"/>
  <c r="Q17" i="12"/>
  <c r="Q15" i="12"/>
  <c r="Q13" i="12"/>
  <c r="Q11" i="12"/>
  <c r="Q9" i="12"/>
  <c r="Q7" i="12"/>
  <c r="Q5" i="12"/>
  <c r="Z26" i="12"/>
  <c r="AA26" i="12" s="1"/>
  <c r="Z44" i="12"/>
  <c r="AA44" i="12" s="1"/>
  <c r="X8" i="12"/>
  <c r="Z8" i="12" s="1"/>
  <c r="AA8" i="12" s="1"/>
  <c r="X14" i="12"/>
  <c r="AB14" i="12" s="1"/>
  <c r="X18" i="12"/>
  <c r="AB18" i="12" s="1"/>
  <c r="X59" i="12"/>
  <c r="AB59" i="12" s="1"/>
  <c r="X108" i="12"/>
  <c r="AB108" i="12" s="1"/>
  <c r="X7" i="12"/>
  <c r="AD7" i="12" s="1"/>
  <c r="X11" i="12"/>
  <c r="AB11" i="12" s="1"/>
  <c r="X15" i="12"/>
  <c r="AB15" i="12" s="1"/>
  <c r="X19" i="12"/>
  <c r="AB19" i="12" s="1"/>
  <c r="X109" i="12"/>
  <c r="AB109" i="12" s="1"/>
  <c r="X113" i="12"/>
  <c r="AB113" i="12" s="1"/>
  <c r="AD122" i="12"/>
  <c r="X68" i="12"/>
  <c r="AB68" i="12" s="1"/>
  <c r="X72" i="12"/>
  <c r="AB72" i="12" s="1"/>
  <c r="Z114" i="12"/>
  <c r="AA114" i="12" s="1"/>
  <c r="X110" i="12"/>
  <c r="AB110" i="12" s="1"/>
  <c r="M124" i="12"/>
  <c r="X124" i="12" s="1"/>
  <c r="AB124" i="12" s="1"/>
  <c r="X94" i="12"/>
  <c r="X120" i="12"/>
  <c r="X116" i="12"/>
  <c r="AD116" i="12" s="1"/>
  <c r="M104" i="12"/>
  <c r="X104" i="12" s="1"/>
  <c r="AB104" i="12" s="1"/>
  <c r="M96" i="12"/>
  <c r="X96" i="12" s="1"/>
  <c r="AD96" i="12" s="1"/>
  <c r="X56" i="12"/>
  <c r="X86" i="12"/>
  <c r="AD86" i="12" s="1"/>
  <c r="M55" i="12"/>
  <c r="X55" i="12" s="1"/>
  <c r="AB55" i="12" s="1"/>
  <c r="X47" i="12"/>
  <c r="X40" i="12"/>
  <c r="Z40" i="12" s="1"/>
  <c r="AA40" i="12" s="1"/>
  <c r="X32" i="12"/>
  <c r="M24" i="12"/>
  <c r="X24" i="12" s="1"/>
  <c r="X50" i="12"/>
  <c r="AD50" i="12" s="1"/>
  <c r="X105" i="12"/>
  <c r="M121" i="12"/>
  <c r="X121" i="12" s="1"/>
  <c r="X117" i="12"/>
  <c r="Z117" i="12" s="1"/>
  <c r="AA117" i="12" s="1"/>
  <c r="M106" i="12"/>
  <c r="X106" i="12" s="1"/>
  <c r="M98" i="12"/>
  <c r="X98" i="12" s="1"/>
  <c r="X58" i="12"/>
  <c r="X88" i="12"/>
  <c r="AD88" i="12" s="1"/>
  <c r="M78" i="12"/>
  <c r="X78" i="12" s="1"/>
  <c r="M53" i="12"/>
  <c r="X53" i="12" s="1"/>
  <c r="X46" i="12"/>
  <c r="X38" i="12"/>
  <c r="AD38" i="12" s="1"/>
  <c r="X30" i="12"/>
  <c r="X22" i="12"/>
  <c r="AD22" i="12" s="1"/>
  <c r="X48" i="12"/>
  <c r="M25" i="12"/>
  <c r="X25" i="12" s="1"/>
  <c r="Z25" i="12" s="1"/>
  <c r="AA25" i="12" s="1"/>
  <c r="M29" i="12"/>
  <c r="X29" i="12" s="1"/>
  <c r="Z29" i="12" s="1"/>
  <c r="AA29" i="12" s="1"/>
  <c r="M33" i="12"/>
  <c r="X33" i="12" s="1"/>
  <c r="Z33" i="12" s="1"/>
  <c r="AA33" i="12" s="1"/>
  <c r="M37" i="12"/>
  <c r="X37" i="12" s="1"/>
  <c r="Z37" i="12" s="1"/>
  <c r="AA37" i="12" s="1"/>
  <c r="M41" i="12"/>
  <c r="X41" i="12" s="1"/>
  <c r="Z41" i="12" s="1"/>
  <c r="AA41" i="12" s="1"/>
  <c r="M45" i="12"/>
  <c r="X45" i="12" s="1"/>
  <c r="Z45" i="12" s="1"/>
  <c r="AA45" i="12" s="1"/>
  <c r="M77" i="12"/>
  <c r="X77" i="12" s="1"/>
  <c r="Z77" i="12" s="1"/>
  <c r="AK77" i="12" s="1"/>
  <c r="M83" i="12"/>
  <c r="X83" i="12" s="1"/>
  <c r="AD83" i="12" s="1"/>
  <c r="M87" i="12"/>
  <c r="X87" i="12" s="1"/>
  <c r="AD87" i="12" s="1"/>
  <c r="M91" i="12"/>
  <c r="X91" i="12" s="1"/>
  <c r="AD91" i="12" s="1"/>
  <c r="M95" i="12"/>
  <c r="X95" i="12" s="1"/>
  <c r="AD95" i="12" s="1"/>
  <c r="M99" i="12"/>
  <c r="X99" i="12" s="1"/>
  <c r="AD99" i="12" s="1"/>
  <c r="M103" i="12"/>
  <c r="X103" i="12" s="1"/>
  <c r="AD103" i="12" s="1"/>
  <c r="Z6" i="12"/>
  <c r="AA6" i="12" s="1"/>
  <c r="Y6" i="12"/>
  <c r="W8" i="12"/>
  <c r="W10" i="12"/>
  <c r="Z12" i="12"/>
  <c r="AA12" i="12" s="1"/>
  <c r="Y12" i="12"/>
  <c r="Y16" i="12"/>
  <c r="W18" i="12"/>
  <c r="Z20" i="12"/>
  <c r="AA20" i="12" s="1"/>
  <c r="W20" i="12"/>
  <c r="W60" i="12"/>
  <c r="Z61" i="12"/>
  <c r="AA61" i="12" s="1"/>
  <c r="Y61" i="12"/>
  <c r="W62" i="12"/>
  <c r="Z63" i="12"/>
  <c r="AA63" i="12" s="1"/>
  <c r="Y63" i="12"/>
  <c r="W64" i="12"/>
  <c r="Z65" i="12"/>
  <c r="AA65" i="12" s="1"/>
  <c r="Y65" i="12"/>
  <c r="W67" i="12"/>
  <c r="Z69" i="12"/>
  <c r="AA69" i="12" s="1"/>
  <c r="Y69" i="12"/>
  <c r="W71" i="12"/>
  <c r="Z73" i="12"/>
  <c r="AK73" i="12" s="1"/>
  <c r="Y73" i="12"/>
  <c r="W75" i="12"/>
  <c r="Z112" i="12"/>
  <c r="AK112" i="12" s="1"/>
  <c r="W112" i="12"/>
  <c r="Z7" i="12"/>
  <c r="AK7" i="12" s="1"/>
  <c r="Y7" i="12"/>
  <c r="Z13" i="12"/>
  <c r="AA13" i="12" s="1"/>
  <c r="W13" i="12"/>
  <c r="AD15" i="12"/>
  <c r="Z15" i="12"/>
  <c r="AA15" i="12" s="1"/>
  <c r="Y15" i="12"/>
  <c r="Z17" i="12"/>
  <c r="AA17" i="12" s="1"/>
  <c r="AD21" i="12"/>
  <c r="W21" i="12"/>
  <c r="AD109" i="12"/>
  <c r="Y111" i="12"/>
  <c r="Z66" i="12"/>
  <c r="AA66" i="12" s="1"/>
  <c r="Y66" i="12"/>
  <c r="W68" i="12"/>
  <c r="W70" i="12"/>
  <c r="AD72" i="12"/>
  <c r="Z74" i="12"/>
  <c r="AK74" i="12" s="1"/>
  <c r="Y74" i="12"/>
  <c r="Y110" i="12"/>
  <c r="M5" i="12"/>
  <c r="V4" i="12"/>
  <c r="W4" i="12" s="1"/>
  <c r="X4" i="12"/>
  <c r="Z180" i="12" s="1"/>
  <c r="AA4" i="12"/>
  <c r="AC4" i="12"/>
  <c r="AB4" i="12"/>
  <c r="W15" i="12" l="1"/>
  <c r="AD70" i="12"/>
  <c r="Y113" i="12"/>
  <c r="AD111" i="12"/>
  <c r="W17" i="12"/>
  <c r="Z9" i="12"/>
  <c r="AA9" i="12" s="1"/>
  <c r="Y75" i="12"/>
  <c r="AD71" i="12"/>
  <c r="AD67" i="12"/>
  <c r="AD64" i="12"/>
  <c r="AD62" i="12"/>
  <c r="AD60" i="12"/>
  <c r="Z18" i="12"/>
  <c r="AA18" i="12" s="1"/>
  <c r="AD16" i="12"/>
  <c r="Z10" i="12"/>
  <c r="AA10" i="12" s="1"/>
  <c r="CQ126" i="14"/>
  <c r="CL126" i="14"/>
  <c r="CJ126" i="14"/>
  <c r="CK176" i="14" s="1"/>
  <c r="CK178" i="14" s="1"/>
  <c r="AJ74" i="12"/>
  <c r="AL74" i="12"/>
  <c r="AQ74" i="12"/>
  <c r="AM74" i="12"/>
  <c r="AN74" i="12" s="1"/>
  <c r="AJ77" i="12"/>
  <c r="AL77" i="12"/>
  <c r="AQ77" i="12"/>
  <c r="AM77" i="12"/>
  <c r="AN77" i="12" s="1"/>
  <c r="AL101" i="12"/>
  <c r="AJ101" i="12"/>
  <c r="AQ101" i="12"/>
  <c r="AM101" i="12"/>
  <c r="AN101" i="12" s="1"/>
  <c r="AJ79" i="12"/>
  <c r="AL79" i="12"/>
  <c r="AM79" i="12"/>
  <c r="AN79" i="12" s="1"/>
  <c r="AQ79" i="12"/>
  <c r="AL90" i="12"/>
  <c r="AJ90" i="12"/>
  <c r="AQ90" i="12"/>
  <c r="AM90" i="12"/>
  <c r="AN90" i="12" s="1"/>
  <c r="CK175" i="14"/>
  <c r="AJ7" i="12"/>
  <c r="AL7" i="12"/>
  <c r="AQ7" i="12"/>
  <c r="AM7" i="12"/>
  <c r="AN7" i="12" s="1"/>
  <c r="AJ112" i="12"/>
  <c r="AL112" i="12"/>
  <c r="AQ112" i="12"/>
  <c r="AM112" i="12"/>
  <c r="AN112" i="12" s="1"/>
  <c r="AJ73" i="12"/>
  <c r="AL73" i="12"/>
  <c r="AQ73" i="12"/>
  <c r="AM73" i="12"/>
  <c r="AN73" i="12" s="1"/>
  <c r="AL97" i="12"/>
  <c r="AJ97" i="12"/>
  <c r="AQ97" i="12"/>
  <c r="AM97" i="12"/>
  <c r="AN97" i="12" s="1"/>
  <c r="AJ82" i="12"/>
  <c r="AL82" i="12"/>
  <c r="AQ82" i="12"/>
  <c r="AM82" i="12"/>
  <c r="AN82" i="12" s="1"/>
  <c r="DB42" i="14"/>
  <c r="CW42" i="14"/>
  <c r="CY42" i="14"/>
  <c r="DD42" i="14"/>
  <c r="CZ42" i="14"/>
  <c r="CY116" i="14"/>
  <c r="CW116" i="14"/>
  <c r="CZ116" i="14"/>
  <c r="DD116" i="14"/>
  <c r="DB116" i="14"/>
  <c r="DB65" i="14"/>
  <c r="CW65" i="14"/>
  <c r="CY65" i="14"/>
  <c r="CZ65" i="14"/>
  <c r="DD65" i="14"/>
  <c r="DB56" i="14"/>
  <c r="CW56" i="14"/>
  <c r="CY56" i="14"/>
  <c r="CZ56" i="14"/>
  <c r="DD56" i="14"/>
  <c r="CW50" i="14"/>
  <c r="CY50" i="14"/>
  <c r="DD50" i="14"/>
  <c r="CZ50" i="14"/>
  <c r="DB50" i="14"/>
  <c r="CW82" i="14"/>
  <c r="CY82" i="14"/>
  <c r="CZ82" i="14"/>
  <c r="DD82" i="14"/>
  <c r="CY90" i="14"/>
  <c r="CW90" i="14"/>
  <c r="CZ90" i="14"/>
  <c r="DD90" i="14"/>
  <c r="DB90" i="14"/>
  <c r="CW73" i="14"/>
  <c r="CY73" i="14"/>
  <c r="CZ73" i="14"/>
  <c r="DD73" i="14"/>
  <c r="CW45" i="14"/>
  <c r="CY45" i="14"/>
  <c r="CZ45" i="14"/>
  <c r="DD45" i="14"/>
  <c r="DB45" i="14"/>
  <c r="CW107" i="14"/>
  <c r="CY107" i="14"/>
  <c r="DD107" i="14"/>
  <c r="CZ107" i="14"/>
  <c r="DB107" i="14"/>
  <c r="CW99" i="14"/>
  <c r="CY99" i="14"/>
  <c r="DD99" i="14"/>
  <c r="CZ99" i="14"/>
  <c r="CW83" i="14"/>
  <c r="CY83" i="14"/>
  <c r="DD83" i="14"/>
  <c r="CZ83" i="14"/>
  <c r="DB83" i="14"/>
  <c r="CY71" i="14"/>
  <c r="CW71" i="14"/>
  <c r="DD71" i="14"/>
  <c r="CZ71" i="14"/>
  <c r="DB71" i="14"/>
  <c r="CY103" i="14"/>
  <c r="CW103" i="14"/>
  <c r="CZ103" i="14"/>
  <c r="DD103" i="14"/>
  <c r="DB46" i="14"/>
  <c r="CY46" i="14"/>
  <c r="CW46" i="14"/>
  <c r="DD46" i="14"/>
  <c r="CZ46" i="14"/>
  <c r="CW48" i="14"/>
  <c r="CY48" i="14"/>
  <c r="CZ48" i="14"/>
  <c r="DD48" i="14"/>
  <c r="CW14" i="14"/>
  <c r="CY14" i="14"/>
  <c r="DD14" i="14"/>
  <c r="CZ14" i="14"/>
  <c r="CW70" i="14"/>
  <c r="CY70" i="14"/>
  <c r="CZ70" i="14"/>
  <c r="DD70" i="14"/>
  <c r="DB70" i="14"/>
  <c r="CW15" i="14"/>
  <c r="CY15" i="14"/>
  <c r="CZ15" i="14"/>
  <c r="DD15" i="14"/>
  <c r="DB15" i="14"/>
  <c r="CW49" i="14"/>
  <c r="CY49" i="14"/>
  <c r="CZ49" i="14"/>
  <c r="DD49" i="14"/>
  <c r="DB49" i="14"/>
  <c r="DB32" i="14"/>
  <c r="CY32" i="14"/>
  <c r="CW32" i="14"/>
  <c r="CZ32" i="14"/>
  <c r="DD32" i="14"/>
  <c r="CY29" i="14"/>
  <c r="CW29" i="14"/>
  <c r="CZ29" i="14"/>
  <c r="DD29" i="14"/>
  <c r="DB29" i="14"/>
  <c r="CY47" i="14"/>
  <c r="CW47" i="14"/>
  <c r="CZ47" i="14"/>
  <c r="DD47" i="14"/>
  <c r="DB47" i="14"/>
  <c r="CW114" i="14"/>
  <c r="CY114" i="14"/>
  <c r="CZ114" i="14"/>
  <c r="DD114" i="14"/>
  <c r="CW21" i="14"/>
  <c r="CY21" i="14"/>
  <c r="CZ21" i="14"/>
  <c r="DD21" i="14"/>
  <c r="CW125" i="14"/>
  <c r="CY125" i="14"/>
  <c r="DD125" i="14"/>
  <c r="CZ125" i="14"/>
  <c r="CW67" i="14"/>
  <c r="CY67" i="14"/>
  <c r="DD67" i="14"/>
  <c r="CZ67" i="14"/>
  <c r="CY106" i="14"/>
  <c r="CW106" i="14"/>
  <c r="DD106" i="14"/>
  <c r="CZ106" i="14"/>
  <c r="DB106" i="14"/>
  <c r="CY60" i="14"/>
  <c r="CW60" i="14"/>
  <c r="CZ60" i="14"/>
  <c r="DD60" i="14"/>
  <c r="CW22" i="14"/>
  <c r="CY22" i="14"/>
  <c r="CZ22" i="14"/>
  <c r="DD22" i="14"/>
  <c r="DB22" i="14"/>
  <c r="CW52" i="14"/>
  <c r="CY52" i="14"/>
  <c r="CZ52" i="14"/>
  <c r="DD52" i="14"/>
  <c r="CY81" i="14"/>
  <c r="CW81" i="14"/>
  <c r="CZ81" i="14"/>
  <c r="DD81" i="14"/>
  <c r="DB81" i="14"/>
  <c r="DB82" i="14"/>
  <c r="CY17" i="14"/>
  <c r="CW17" i="14"/>
  <c r="CZ17" i="14"/>
  <c r="DD17" i="14"/>
  <c r="CY84" i="14"/>
  <c r="CW84" i="14"/>
  <c r="CZ84" i="14"/>
  <c r="DD84" i="14"/>
  <c r="DB84" i="14"/>
  <c r="CW87" i="14"/>
  <c r="CY87" i="14"/>
  <c r="DD87" i="14"/>
  <c r="CZ87" i="14"/>
  <c r="DB87" i="14"/>
  <c r="DB73" i="14"/>
  <c r="DB99" i="14"/>
  <c r="CY20" i="14"/>
  <c r="CW20" i="14"/>
  <c r="CZ20" i="14"/>
  <c r="DD20" i="14"/>
  <c r="DB20" i="14"/>
  <c r="CY58" i="14"/>
  <c r="CW58" i="14"/>
  <c r="DD58" i="14"/>
  <c r="CZ58" i="14"/>
  <c r="DB58" i="14"/>
  <c r="CW91" i="14"/>
  <c r="CY91" i="14"/>
  <c r="CZ91" i="14"/>
  <c r="DD91" i="14"/>
  <c r="CW51" i="14"/>
  <c r="CY51" i="14"/>
  <c r="DD51" i="14"/>
  <c r="CZ51" i="14"/>
  <c r="DB51" i="14"/>
  <c r="CY18" i="14"/>
  <c r="CW18" i="14"/>
  <c r="DD18" i="14"/>
  <c r="CZ18" i="14"/>
  <c r="DB18" i="14"/>
  <c r="CW44" i="14"/>
  <c r="CY44" i="14"/>
  <c r="DD44" i="14"/>
  <c r="CZ44" i="14"/>
  <c r="DB44" i="14"/>
  <c r="CY37" i="14"/>
  <c r="CW37" i="14"/>
  <c r="CZ37" i="14"/>
  <c r="DD37" i="14"/>
  <c r="DB37" i="14"/>
  <c r="CW5" i="14"/>
  <c r="CY5" i="14"/>
  <c r="CZ5" i="14"/>
  <c r="DD5" i="14"/>
  <c r="DB5" i="14"/>
  <c r="CW61" i="14"/>
  <c r="CY61" i="14"/>
  <c r="DD61" i="14"/>
  <c r="CZ61" i="14"/>
  <c r="CY6" i="14"/>
  <c r="CW6" i="14"/>
  <c r="CZ6" i="14"/>
  <c r="DD6" i="14"/>
  <c r="CW68" i="14"/>
  <c r="CY68" i="14"/>
  <c r="DD68" i="14"/>
  <c r="CZ68" i="14"/>
  <c r="DB68" i="14"/>
  <c r="CW80" i="14"/>
  <c r="CY80" i="14"/>
  <c r="DD80" i="14"/>
  <c r="CZ80" i="14"/>
  <c r="DB80" i="14"/>
  <c r="DB86" i="14"/>
  <c r="CW86" i="14"/>
  <c r="CY86" i="14"/>
  <c r="CZ86" i="14"/>
  <c r="DD86" i="14"/>
  <c r="CY120" i="14"/>
  <c r="CW120" i="14"/>
  <c r="DD120" i="14"/>
  <c r="CZ120" i="14"/>
  <c r="DB14" i="14"/>
  <c r="CW7" i="14"/>
  <c r="CY7" i="14"/>
  <c r="CZ7" i="14"/>
  <c r="DD7" i="14"/>
  <c r="DB7" i="14"/>
  <c r="DB103" i="14"/>
  <c r="DB88" i="14"/>
  <c r="CY88" i="14"/>
  <c r="CW88" i="14"/>
  <c r="CZ88" i="14"/>
  <c r="DD88" i="14"/>
  <c r="CW11" i="14"/>
  <c r="CY11" i="14"/>
  <c r="CZ11" i="14"/>
  <c r="DD11" i="14"/>
  <c r="DB11" i="14"/>
  <c r="CY27" i="14"/>
  <c r="CW27" i="14"/>
  <c r="CZ27" i="14"/>
  <c r="DD27" i="14"/>
  <c r="AK9" i="12"/>
  <c r="AK114" i="12"/>
  <c r="AK118" i="12"/>
  <c r="AK122" i="12"/>
  <c r="AK37" i="12"/>
  <c r="AK33" i="12"/>
  <c r="AX112" i="12"/>
  <c r="AV101" i="12"/>
  <c r="AV99" i="12"/>
  <c r="AV97" i="12"/>
  <c r="AV95" i="12"/>
  <c r="AV93" i="12"/>
  <c r="AV91" i="12"/>
  <c r="AV89" i="12"/>
  <c r="AX90" i="12"/>
  <c r="AV88" i="12"/>
  <c r="AV85" i="12"/>
  <c r="AV84" i="12"/>
  <c r="AX82" i="12"/>
  <c r="AV125" i="12"/>
  <c r="AV124" i="12"/>
  <c r="AV123" i="12"/>
  <c r="AV122" i="12"/>
  <c r="AV121" i="12"/>
  <c r="AV120" i="12"/>
  <c r="AV119" i="12"/>
  <c r="AV118" i="12"/>
  <c r="AV117" i="12"/>
  <c r="AV116" i="12"/>
  <c r="AV115" i="12"/>
  <c r="AV114" i="12"/>
  <c r="AV113" i="12"/>
  <c r="AV112" i="12"/>
  <c r="AV111" i="12"/>
  <c r="AV110" i="12"/>
  <c r="AV109" i="12"/>
  <c r="AV108" i="12"/>
  <c r="AV107" i="12"/>
  <c r="AV106" i="12"/>
  <c r="AV105" i="12"/>
  <c r="AV104" i="12"/>
  <c r="AV103" i="12"/>
  <c r="AV102" i="12"/>
  <c r="AV100" i="12"/>
  <c r="AV98" i="12"/>
  <c r="AV96" i="12"/>
  <c r="AV94" i="12"/>
  <c r="AV92" i="12"/>
  <c r="AV90" i="12"/>
  <c r="AV87" i="12"/>
  <c r="AV86" i="12"/>
  <c r="AV83" i="12"/>
  <c r="AV82" i="12"/>
  <c r="AV79" i="12"/>
  <c r="AV78" i="12"/>
  <c r="AV76" i="12"/>
  <c r="AV73" i="12"/>
  <c r="AV72" i="12"/>
  <c r="AV69" i="12"/>
  <c r="AV68" i="12"/>
  <c r="AV65" i="12"/>
  <c r="AV64" i="12"/>
  <c r="AV61" i="12"/>
  <c r="AV60" i="12"/>
  <c r="AV57" i="12"/>
  <c r="AV56" i="12"/>
  <c r="AV53" i="12"/>
  <c r="AV52" i="12"/>
  <c r="AV49" i="12"/>
  <c r="AV48" i="12"/>
  <c r="AV46" i="12"/>
  <c r="AV44" i="12"/>
  <c r="AV42" i="12"/>
  <c r="AV40" i="12"/>
  <c r="AV38" i="12"/>
  <c r="AV37" i="12"/>
  <c r="AV34" i="12"/>
  <c r="AV33" i="12"/>
  <c r="AV30" i="12"/>
  <c r="AV29" i="12"/>
  <c r="AV28" i="12"/>
  <c r="AV27" i="12"/>
  <c r="AV26" i="12"/>
  <c r="AV25" i="12"/>
  <c r="AV24" i="12"/>
  <c r="AV23" i="12"/>
  <c r="AV22" i="12"/>
  <c r="AV21" i="12"/>
  <c r="AV20" i="12"/>
  <c r="AV19" i="12"/>
  <c r="AV18" i="12"/>
  <c r="AV17" i="12"/>
  <c r="AV16" i="12"/>
  <c r="AV15" i="12"/>
  <c r="AV14" i="12"/>
  <c r="AV13" i="12"/>
  <c r="AV12" i="12"/>
  <c r="AX7" i="12"/>
  <c r="AZ7" i="12" s="1"/>
  <c r="BA7" i="12" s="1"/>
  <c r="BD4" i="12"/>
  <c r="AX4" i="12"/>
  <c r="BM4" i="12"/>
  <c r="BC4" i="12"/>
  <c r="AV81" i="12"/>
  <c r="AV80" i="12"/>
  <c r="AV77" i="12"/>
  <c r="AX74" i="12"/>
  <c r="AV75" i="12"/>
  <c r="AV74" i="12"/>
  <c r="AV71" i="12"/>
  <c r="AV70" i="12"/>
  <c r="AV67" i="12"/>
  <c r="AV66" i="12"/>
  <c r="AV63" i="12"/>
  <c r="AV62" i="12"/>
  <c r="AV59" i="12"/>
  <c r="AV58" i="12"/>
  <c r="AV55" i="12"/>
  <c r="AV54" i="12"/>
  <c r="AV51" i="12"/>
  <c r="AV50" i="12"/>
  <c r="AV47" i="12"/>
  <c r="AV45" i="12"/>
  <c r="AV43" i="12"/>
  <c r="AV41" i="12"/>
  <c r="AV39" i="12"/>
  <c r="AV36" i="12"/>
  <c r="AV35" i="12"/>
  <c r="AV32" i="12"/>
  <c r="AV31" i="12"/>
  <c r="AV11" i="12"/>
  <c r="AV10" i="12"/>
  <c r="AV9" i="12"/>
  <c r="AV8" i="12"/>
  <c r="AV7" i="12"/>
  <c r="AV6" i="12"/>
  <c r="AV5" i="12"/>
  <c r="BB4" i="12"/>
  <c r="AV4" i="12"/>
  <c r="AW4" i="12" s="1"/>
  <c r="BA4" i="12"/>
  <c r="BD7" i="12"/>
  <c r="AX77" i="12"/>
  <c r="BD82" i="12"/>
  <c r="BD112" i="12"/>
  <c r="AZ74" i="12"/>
  <c r="BA74" i="12" s="1"/>
  <c r="AX97" i="12"/>
  <c r="AX101" i="12"/>
  <c r="AZ101" i="12" s="1"/>
  <c r="BA101" i="12" s="1"/>
  <c r="AZ90" i="12"/>
  <c r="BA90" i="12" s="1"/>
  <c r="AX79" i="12"/>
  <c r="BD79" i="12" s="1"/>
  <c r="AX73" i="12"/>
  <c r="BD73" i="12" s="1"/>
  <c r="AZ82" i="12"/>
  <c r="BA82" i="12" s="1"/>
  <c r="BD90" i="12"/>
  <c r="AZ112" i="12"/>
  <c r="BA112" i="12" s="1"/>
  <c r="BD101" i="12"/>
  <c r="AZ77" i="12"/>
  <c r="BA77" i="12" s="1"/>
  <c r="BD97" i="12"/>
  <c r="BD77" i="12"/>
  <c r="AZ97" i="12"/>
  <c r="BA97" i="12" s="1"/>
  <c r="AK15" i="12"/>
  <c r="AK12" i="12"/>
  <c r="AO12" i="12" s="1"/>
  <c r="AK40" i="12"/>
  <c r="AK42" i="12"/>
  <c r="AK44" i="12"/>
  <c r="AK52" i="12"/>
  <c r="AK54" i="12"/>
  <c r="AK66" i="12"/>
  <c r="AO66" i="12" s="1"/>
  <c r="AK29" i="12"/>
  <c r="AK26" i="12"/>
  <c r="AK25" i="12"/>
  <c r="AK20" i="12"/>
  <c r="AO20" i="12" s="1"/>
  <c r="AK18" i="12"/>
  <c r="AK17" i="12"/>
  <c r="AM180" i="12"/>
  <c r="AM177" i="12"/>
  <c r="AM175" i="12"/>
  <c r="AK128" i="12"/>
  <c r="AH4" i="12"/>
  <c r="AE1" i="12" s="1"/>
  <c r="AG4" i="12"/>
  <c r="AM178" i="12"/>
  <c r="AM176" i="12"/>
  <c r="AM174" i="12"/>
  <c r="AL4" i="12"/>
  <c r="AF4" i="12"/>
  <c r="AE4" i="12"/>
  <c r="AO15" i="12"/>
  <c r="AO74" i="12"/>
  <c r="BB74" i="12" s="1"/>
  <c r="AO112" i="12"/>
  <c r="BB112" i="12" s="1"/>
  <c r="AO73" i="12"/>
  <c r="BB73" i="12" s="1"/>
  <c r="CY115" i="14"/>
  <c r="CW115" i="14"/>
  <c r="CZ115" i="14"/>
  <c r="DD115" i="14"/>
  <c r="CY57" i="14"/>
  <c r="CW57" i="14"/>
  <c r="DD57" i="14"/>
  <c r="CZ57" i="14"/>
  <c r="CY13" i="14"/>
  <c r="CW13" i="14"/>
  <c r="CZ13" i="14"/>
  <c r="DD13" i="14"/>
  <c r="CW12" i="14"/>
  <c r="CY12" i="14"/>
  <c r="CZ12" i="14"/>
  <c r="DD12" i="14"/>
  <c r="DB12" i="14"/>
  <c r="CW97" i="14"/>
  <c r="CY97" i="14"/>
  <c r="CZ97" i="14"/>
  <c r="DD97" i="14"/>
  <c r="CW59" i="14"/>
  <c r="CY59" i="14"/>
  <c r="CZ59" i="14"/>
  <c r="DD59" i="14"/>
  <c r="CW79" i="14"/>
  <c r="CY79" i="14"/>
  <c r="CZ79" i="14"/>
  <c r="DD79" i="14"/>
  <c r="CW8" i="14"/>
  <c r="CY8" i="14"/>
  <c r="CZ8" i="14"/>
  <c r="DD8" i="14"/>
  <c r="DB8" i="14"/>
  <c r="CW40" i="14"/>
  <c r="CY40" i="14"/>
  <c r="DD40" i="14"/>
  <c r="CZ40" i="14"/>
  <c r="CW64" i="14"/>
  <c r="CY64" i="14"/>
  <c r="DD64" i="14"/>
  <c r="CZ64" i="14"/>
  <c r="CW117" i="14"/>
  <c r="CY117" i="14"/>
  <c r="DD117" i="14"/>
  <c r="CZ117" i="14"/>
  <c r="DB117" i="14"/>
  <c r="CN94" i="14"/>
  <c r="CX94" i="14"/>
  <c r="CY104" i="14"/>
  <c r="CW104" i="14"/>
  <c r="DD104" i="14"/>
  <c r="CZ104" i="14"/>
  <c r="DB104" i="14"/>
  <c r="CY55" i="14"/>
  <c r="CW55" i="14"/>
  <c r="CZ55" i="14"/>
  <c r="DD55" i="14"/>
  <c r="DB55" i="14"/>
  <c r="CY96" i="14"/>
  <c r="CW96" i="14"/>
  <c r="DD96" i="14"/>
  <c r="CZ96" i="14"/>
  <c r="DB96" i="14"/>
  <c r="DB38" i="14"/>
  <c r="CW38" i="14"/>
  <c r="CY38" i="14"/>
  <c r="CZ38" i="14"/>
  <c r="DD38" i="14"/>
  <c r="CW119" i="14"/>
  <c r="CY119" i="14"/>
  <c r="DD119" i="14"/>
  <c r="CZ119" i="14"/>
  <c r="CY113" i="14"/>
  <c r="CW113" i="14"/>
  <c r="CZ113" i="14"/>
  <c r="DD113" i="14"/>
  <c r="DB113" i="14"/>
  <c r="CW108" i="14"/>
  <c r="CY108" i="14"/>
  <c r="DD108" i="14"/>
  <c r="CZ108" i="14"/>
  <c r="DB108" i="14"/>
  <c r="CY41" i="14"/>
  <c r="CW41" i="14"/>
  <c r="DD41" i="14"/>
  <c r="CZ41" i="14"/>
  <c r="DB41" i="14"/>
  <c r="CW31" i="14"/>
  <c r="CY31" i="14"/>
  <c r="DD31" i="14"/>
  <c r="CZ31" i="14"/>
  <c r="DB31" i="14"/>
  <c r="CY16" i="14"/>
  <c r="CW16" i="14"/>
  <c r="CZ16" i="14"/>
  <c r="DD16" i="14"/>
  <c r="DB16" i="14"/>
  <c r="CW34" i="14"/>
  <c r="CY34" i="14"/>
  <c r="CZ34" i="14"/>
  <c r="DD34" i="14"/>
  <c r="DB34" i="14"/>
  <c r="CW28" i="14"/>
  <c r="CY28" i="14"/>
  <c r="CZ28" i="14"/>
  <c r="DD28" i="14"/>
  <c r="DB30" i="14"/>
  <c r="CW30" i="14"/>
  <c r="CY30" i="14"/>
  <c r="DD30" i="14"/>
  <c r="CZ30" i="14"/>
  <c r="CY63" i="14"/>
  <c r="CW63" i="14"/>
  <c r="DD63" i="14"/>
  <c r="CZ63" i="14"/>
  <c r="DB63" i="14"/>
  <c r="CW124" i="14"/>
  <c r="CY124" i="14"/>
  <c r="DD124" i="14"/>
  <c r="CZ124" i="14"/>
  <c r="DB124" i="14"/>
  <c r="CN92" i="14"/>
  <c r="CN126" i="14" s="1"/>
  <c r="CX92" i="14"/>
  <c r="CX126" i="14" s="1"/>
  <c r="CY105" i="14"/>
  <c r="CW105" i="14"/>
  <c r="DD105" i="14"/>
  <c r="CZ105" i="14"/>
  <c r="DB105" i="14"/>
  <c r="DB28" i="14"/>
  <c r="CY78" i="14"/>
  <c r="CW78" i="14"/>
  <c r="DD78" i="14"/>
  <c r="CZ78" i="14"/>
  <c r="DB78" i="14"/>
  <c r="CQ164" i="14"/>
  <c r="CW9" i="14"/>
  <c r="CY9" i="14"/>
  <c r="DD9" i="14"/>
  <c r="CZ9" i="14"/>
  <c r="DB9" i="14"/>
  <c r="CW43" i="14"/>
  <c r="CY43" i="14"/>
  <c r="CZ43" i="14"/>
  <c r="DD43" i="14"/>
  <c r="DB115" i="14"/>
  <c r="CY25" i="14"/>
  <c r="CW25" i="14"/>
  <c r="CZ25" i="14"/>
  <c r="DD25" i="14"/>
  <c r="CW33" i="14"/>
  <c r="CY33" i="14"/>
  <c r="DD33" i="14"/>
  <c r="CZ33" i="14"/>
  <c r="CY121" i="14"/>
  <c r="CW121" i="14"/>
  <c r="DD121" i="14"/>
  <c r="CZ121" i="14"/>
  <c r="CW112" i="14"/>
  <c r="CY112" i="14"/>
  <c r="DD112" i="14"/>
  <c r="CZ112" i="14"/>
  <c r="DB112" i="14"/>
  <c r="CY109" i="14"/>
  <c r="CW109" i="14"/>
  <c r="CZ109" i="14"/>
  <c r="DD109" i="14"/>
  <c r="CY85" i="14"/>
  <c r="CW85" i="14"/>
  <c r="CZ85" i="14"/>
  <c r="DD85" i="14"/>
  <c r="CY74" i="14"/>
  <c r="CW74" i="14"/>
  <c r="DD74" i="14"/>
  <c r="CZ74" i="14"/>
  <c r="DB74" i="14"/>
  <c r="DW93" i="14"/>
  <c r="DY93" i="14"/>
  <c r="DZ93" i="14"/>
  <c r="EA93" i="14" s="1"/>
  <c r="ED93" i="14"/>
  <c r="EB93" i="14"/>
  <c r="CW10" i="14"/>
  <c r="CY10" i="14"/>
  <c r="CZ10" i="14"/>
  <c r="DD10" i="14"/>
  <c r="DB10" i="14"/>
  <c r="DB57" i="14"/>
  <c r="CW100" i="14"/>
  <c r="CY100" i="14"/>
  <c r="CZ100" i="14"/>
  <c r="DD100" i="14"/>
  <c r="DB100" i="14"/>
  <c r="DB119" i="14"/>
  <c r="CW75" i="14"/>
  <c r="CY75" i="14"/>
  <c r="DD75" i="14"/>
  <c r="CZ75" i="14"/>
  <c r="DB75" i="14"/>
  <c r="CY35" i="14"/>
  <c r="CW35" i="14"/>
  <c r="DD35" i="14"/>
  <c r="CZ35" i="14"/>
  <c r="CW39" i="14"/>
  <c r="CY39" i="14"/>
  <c r="CZ39" i="14"/>
  <c r="DD39" i="14"/>
  <c r="DB39" i="14"/>
  <c r="DB66" i="14"/>
  <c r="CY66" i="14"/>
  <c r="CW66" i="14"/>
  <c r="DD66" i="14"/>
  <c r="CZ66" i="14"/>
  <c r="CY77" i="14"/>
  <c r="CW77" i="14"/>
  <c r="DD77" i="14"/>
  <c r="CZ77" i="14"/>
  <c r="BZ151" i="14"/>
  <c r="CY72" i="14"/>
  <c r="CW72" i="14"/>
  <c r="CZ72" i="14"/>
  <c r="DD72" i="14"/>
  <c r="DB72" i="14"/>
  <c r="CY89" i="14"/>
  <c r="CW89" i="14"/>
  <c r="DD89" i="14"/>
  <c r="CZ89" i="14"/>
  <c r="DB43" i="14"/>
  <c r="CY76" i="14"/>
  <c r="CW76" i="14"/>
  <c r="DD76" i="14"/>
  <c r="CZ76" i="14"/>
  <c r="DB76" i="14"/>
  <c r="CY36" i="14"/>
  <c r="CW36" i="14"/>
  <c r="CZ36" i="14"/>
  <c r="DD36" i="14"/>
  <c r="DB36" i="14"/>
  <c r="DB98" i="14"/>
  <c r="CY98" i="14"/>
  <c r="CW98" i="14"/>
  <c r="CZ98" i="14"/>
  <c r="DD98" i="14"/>
  <c r="CY54" i="14"/>
  <c r="CW54" i="14"/>
  <c r="CZ54" i="14"/>
  <c r="DD54" i="14"/>
  <c r="DB54" i="14"/>
  <c r="CY69" i="14"/>
  <c r="CW69" i="14"/>
  <c r="DD69" i="14"/>
  <c r="CZ69" i="14"/>
  <c r="DB69" i="14"/>
  <c r="CY123" i="14"/>
  <c r="CW123" i="14"/>
  <c r="CZ123" i="14"/>
  <c r="DD123" i="14"/>
  <c r="CM126" i="14"/>
  <c r="DB109" i="14"/>
  <c r="DB48" i="14"/>
  <c r="EC164" i="14"/>
  <c r="CW53" i="14"/>
  <c r="CY53" i="14"/>
  <c r="DD53" i="14"/>
  <c r="CZ53" i="14"/>
  <c r="DB53" i="14"/>
  <c r="CW118" i="14"/>
  <c r="CY118" i="14"/>
  <c r="CZ118" i="14"/>
  <c r="DD118" i="14"/>
  <c r="DB79" i="14"/>
  <c r="CY110" i="14"/>
  <c r="CW110" i="14"/>
  <c r="CZ110" i="14"/>
  <c r="DD110" i="14"/>
  <c r="CW122" i="14"/>
  <c r="CY122" i="14"/>
  <c r="DD122" i="14"/>
  <c r="CZ122" i="14"/>
  <c r="DB122" i="14"/>
  <c r="CY101" i="14"/>
  <c r="CW101" i="14"/>
  <c r="DD101" i="14"/>
  <c r="CZ101" i="14"/>
  <c r="DB101" i="14"/>
  <c r="CY23" i="14"/>
  <c r="CW23" i="14"/>
  <c r="DD23" i="14"/>
  <c r="CZ23" i="14"/>
  <c r="DB23" i="14"/>
  <c r="CY102" i="14"/>
  <c r="CW102" i="14"/>
  <c r="DD102" i="14"/>
  <c r="CZ102" i="14"/>
  <c r="DB102" i="14"/>
  <c r="DB62" i="14"/>
  <c r="CY62" i="14"/>
  <c r="CW62" i="14"/>
  <c r="CZ62" i="14"/>
  <c r="DD62" i="14"/>
  <c r="CY24" i="14"/>
  <c r="CW24" i="14"/>
  <c r="DD24" i="14"/>
  <c r="CZ24" i="14"/>
  <c r="CW26" i="14"/>
  <c r="CY26" i="14"/>
  <c r="CZ26" i="14"/>
  <c r="DD26" i="14"/>
  <c r="DB26" i="14"/>
  <c r="CN143" i="14"/>
  <c r="CK188" i="14"/>
  <c r="CK183" i="14"/>
  <c r="CJ183" i="14" s="1"/>
  <c r="CY19" i="14"/>
  <c r="CY143" i="14" s="1"/>
  <c r="CY151" i="14" s="1"/>
  <c r="CW19" i="14"/>
  <c r="CX130" i="14"/>
  <c r="DD19" i="14"/>
  <c r="DD156" i="14" s="1"/>
  <c r="CZ19" i="14"/>
  <c r="CW111" i="14"/>
  <c r="CY111" i="14"/>
  <c r="CZ111" i="14"/>
  <c r="DD111" i="14"/>
  <c r="DB111" i="14"/>
  <c r="AK10" i="12"/>
  <c r="AO10" i="12" s="1"/>
  <c r="AI134" i="12"/>
  <c r="AI138" i="12" s="1"/>
  <c r="AK181" i="12" s="1"/>
  <c r="AK13" i="12"/>
  <c r="AO13" i="12" s="1"/>
  <c r="AK8" i="12"/>
  <c r="AK6" i="12"/>
  <c r="AK41" i="12"/>
  <c r="AK45" i="12"/>
  <c r="AK51" i="12"/>
  <c r="AK61" i="12"/>
  <c r="AO61" i="12" s="1"/>
  <c r="AK63" i="12"/>
  <c r="AK65" i="12"/>
  <c r="AO65" i="12" s="1"/>
  <c r="AK69" i="12"/>
  <c r="AK117" i="12"/>
  <c r="AK125" i="12"/>
  <c r="AK36" i="12"/>
  <c r="AI126" i="12"/>
  <c r="AK180" i="12" s="1"/>
  <c r="W72" i="12"/>
  <c r="Y109" i="12"/>
  <c r="W11" i="12"/>
  <c r="W59" i="12"/>
  <c r="Z123" i="12"/>
  <c r="H27" i="17"/>
  <c r="AA82" i="12"/>
  <c r="AA79" i="12"/>
  <c r="AA90" i="12"/>
  <c r="AA74" i="12"/>
  <c r="AA112" i="12"/>
  <c r="AA73" i="12"/>
  <c r="AA77" i="12"/>
  <c r="AA101" i="12"/>
  <c r="AA97" i="12"/>
  <c r="AB8" i="12"/>
  <c r="AO8" i="12" s="1"/>
  <c r="X134" i="12"/>
  <c r="W14" i="12"/>
  <c r="AD94" i="12"/>
  <c r="X130" i="12"/>
  <c r="AA7" i="12"/>
  <c r="W7" i="12"/>
  <c r="Y108" i="12"/>
  <c r="V134" i="12"/>
  <c r="X128" i="12"/>
  <c r="Z176" i="12"/>
  <c r="Z178" i="12"/>
  <c r="Z174" i="12"/>
  <c r="Z175" i="12"/>
  <c r="Z177" i="12"/>
  <c r="Y72" i="12"/>
  <c r="Z72" i="12"/>
  <c r="AK72" i="12" s="1"/>
  <c r="Y70" i="12"/>
  <c r="Z70" i="12"/>
  <c r="AK70" i="12" s="1"/>
  <c r="W111" i="12"/>
  <c r="Z111" i="12"/>
  <c r="AK111" i="12" s="1"/>
  <c r="W109" i="12"/>
  <c r="Z109" i="12"/>
  <c r="AK109" i="12" s="1"/>
  <c r="Y19" i="12"/>
  <c r="Y17" i="12"/>
  <c r="AD17" i="12"/>
  <c r="Y9" i="12"/>
  <c r="AD9" i="12"/>
  <c r="Z75" i="12"/>
  <c r="AK75" i="12" s="1"/>
  <c r="AD75" i="12"/>
  <c r="Y71" i="12"/>
  <c r="Z71" i="12"/>
  <c r="AK71" i="12" s="1"/>
  <c r="AO71" i="12" s="1"/>
  <c r="Y67" i="12"/>
  <c r="Z67" i="12"/>
  <c r="AK67" i="12" s="1"/>
  <c r="Y64" i="12"/>
  <c r="Z64" i="12"/>
  <c r="AK64" i="12" s="1"/>
  <c r="AO64" i="12" s="1"/>
  <c r="Y62" i="12"/>
  <c r="Z62" i="12"/>
  <c r="AK62" i="12" s="1"/>
  <c r="Y60" i="12"/>
  <c r="Z60" i="12"/>
  <c r="AK60" i="12" s="1"/>
  <c r="AO60" i="12" s="1"/>
  <c r="Y18" i="12"/>
  <c r="AD18" i="12"/>
  <c r="Z16" i="12"/>
  <c r="AK16" i="12" s="1"/>
  <c r="Y10" i="12"/>
  <c r="AD10" i="12"/>
  <c r="Y8" i="12"/>
  <c r="AD8" i="12"/>
  <c r="AB7" i="12"/>
  <c r="AO7" i="12" s="1"/>
  <c r="BB7" i="12" s="1"/>
  <c r="AD54" i="12"/>
  <c r="AD42" i="12"/>
  <c r="W16" i="12"/>
  <c r="W9" i="12"/>
  <c r="V130" i="12"/>
  <c r="AD110" i="12"/>
  <c r="W74" i="12"/>
  <c r="AD74" i="12"/>
  <c r="AD68" i="12"/>
  <c r="W66" i="12"/>
  <c r="AD66" i="12"/>
  <c r="Z113" i="12"/>
  <c r="AK113" i="12" s="1"/>
  <c r="AO113" i="12" s="1"/>
  <c r="Y21" i="12"/>
  <c r="Z21" i="12"/>
  <c r="AK21" i="12" s="1"/>
  <c r="AD19" i="12"/>
  <c r="Y13" i="12"/>
  <c r="AD13" i="12"/>
  <c r="AD11" i="12"/>
  <c r="Y112" i="12"/>
  <c r="AD112" i="12"/>
  <c r="AD108" i="12"/>
  <c r="W73" i="12"/>
  <c r="AD73" i="12"/>
  <c r="W69" i="12"/>
  <c r="AD69" i="12"/>
  <c r="W65" i="12"/>
  <c r="AD65" i="12"/>
  <c r="W63" i="12"/>
  <c r="AD63" i="12"/>
  <c r="W61" i="12"/>
  <c r="AD61" i="12"/>
  <c r="AD59" i="12"/>
  <c r="Y20" i="12"/>
  <c r="AD20" i="12"/>
  <c r="AD14" i="12"/>
  <c r="W12" i="12"/>
  <c r="AD12" i="12"/>
  <c r="W6" i="12"/>
  <c r="AD6" i="12"/>
  <c r="AD125" i="12"/>
  <c r="AD79" i="12"/>
  <c r="AD36" i="12"/>
  <c r="W110" i="12"/>
  <c r="Z110" i="12"/>
  <c r="AK110" i="12" s="1"/>
  <c r="AO110" i="12" s="1"/>
  <c r="Y68" i="12"/>
  <c r="Z68" i="12"/>
  <c r="AK68" i="12" s="1"/>
  <c r="W113" i="12"/>
  <c r="AD113" i="12"/>
  <c r="W19" i="12"/>
  <c r="Z19" i="12"/>
  <c r="AK19" i="12" s="1"/>
  <c r="Y11" i="12"/>
  <c r="Z11" i="12"/>
  <c r="AK11" i="12" s="1"/>
  <c r="AO11" i="12" s="1"/>
  <c r="W108" i="12"/>
  <c r="Z108" i="12"/>
  <c r="AK108" i="12" s="1"/>
  <c r="Y59" i="12"/>
  <c r="Z59" i="12"/>
  <c r="AK59" i="12" s="1"/>
  <c r="AO59" i="12" s="1"/>
  <c r="Y14" i="12"/>
  <c r="Z14" i="12"/>
  <c r="AK14" i="12" s="1"/>
  <c r="Z57" i="12"/>
  <c r="AK57" i="12" s="1"/>
  <c r="Z49" i="12"/>
  <c r="AK49" i="12" s="1"/>
  <c r="AD52" i="12"/>
  <c r="AB57" i="12"/>
  <c r="Z107" i="12"/>
  <c r="AK107" i="12" s="1"/>
  <c r="Z92" i="12"/>
  <c r="AK92" i="12" s="1"/>
  <c r="V126" i="12"/>
  <c r="X180" i="12" s="1"/>
  <c r="AD92" i="12"/>
  <c r="Q126" i="12"/>
  <c r="AB122" i="12"/>
  <c r="AO122" i="12" s="1"/>
  <c r="AB41" i="12"/>
  <c r="AO41" i="12" s="1"/>
  <c r="AB37" i="12"/>
  <c r="AO37" i="12" s="1"/>
  <c r="AB33" i="12"/>
  <c r="AO33" i="12" s="1"/>
  <c r="AB29" i="12"/>
  <c r="AO29" i="12" s="1"/>
  <c r="AB25" i="12"/>
  <c r="AO25" i="12" s="1"/>
  <c r="Y76" i="12"/>
  <c r="W76" i="12"/>
  <c r="AD76" i="12"/>
  <c r="AB76" i="12"/>
  <c r="Z76" i="12"/>
  <c r="AK76" i="12" s="1"/>
  <c r="W78" i="12"/>
  <c r="Y78" i="12"/>
  <c r="AD78" i="12"/>
  <c r="AB78" i="12"/>
  <c r="Z78" i="12"/>
  <c r="AK78" i="12" s="1"/>
  <c r="W80" i="12"/>
  <c r="Y80" i="12"/>
  <c r="Z80" i="12"/>
  <c r="AK80" i="12" s="1"/>
  <c r="AD80" i="12"/>
  <c r="AB80" i="12"/>
  <c r="AO80" i="12" s="1"/>
  <c r="AB103" i="12"/>
  <c r="AB99" i="12"/>
  <c r="AB95" i="12"/>
  <c r="AB91" i="12"/>
  <c r="AB87" i="12"/>
  <c r="AB83" i="12"/>
  <c r="AB77" i="12"/>
  <c r="AO77" i="12" s="1"/>
  <c r="BB77" i="12" s="1"/>
  <c r="AB45" i="12"/>
  <c r="AO45" i="12" s="1"/>
  <c r="AB48" i="12"/>
  <c r="Y48" i="12"/>
  <c r="W48" i="12"/>
  <c r="AB30" i="12"/>
  <c r="Y30" i="12"/>
  <c r="W30" i="12"/>
  <c r="AB46" i="12"/>
  <c r="Y46" i="12"/>
  <c r="W46" i="12"/>
  <c r="W53" i="12"/>
  <c r="Y53" i="12"/>
  <c r="AB58" i="12"/>
  <c r="Y58" i="12"/>
  <c r="W58" i="12"/>
  <c r="W98" i="12"/>
  <c r="Y98" i="12"/>
  <c r="W106" i="12"/>
  <c r="Y106" i="12"/>
  <c r="W121" i="12"/>
  <c r="Y121" i="12"/>
  <c r="AB105" i="12"/>
  <c r="Y105" i="12"/>
  <c r="W105" i="12"/>
  <c r="Y24" i="12"/>
  <c r="W24" i="12"/>
  <c r="AB32" i="12"/>
  <c r="Y32" i="12"/>
  <c r="W32" i="12"/>
  <c r="AB47" i="12"/>
  <c r="Y47" i="12"/>
  <c r="W47" i="12"/>
  <c r="W55" i="12"/>
  <c r="Y55" i="12"/>
  <c r="AB56" i="12"/>
  <c r="Y56" i="12"/>
  <c r="W56" i="12"/>
  <c r="AB96" i="12"/>
  <c r="W104" i="12"/>
  <c r="Y104" i="12"/>
  <c r="W120" i="12"/>
  <c r="Y120" i="12"/>
  <c r="AB120" i="12"/>
  <c r="Y124" i="12"/>
  <c r="W124" i="12"/>
  <c r="Z121" i="12"/>
  <c r="AK121" i="12" s="1"/>
  <c r="Z104" i="12"/>
  <c r="AK104" i="12" s="1"/>
  <c r="Z55" i="12"/>
  <c r="AK55" i="12" s="1"/>
  <c r="AD58" i="12"/>
  <c r="AD46" i="12"/>
  <c r="AD30" i="12"/>
  <c r="Z56" i="12"/>
  <c r="AK56" i="12" s="1"/>
  <c r="Z48" i="12"/>
  <c r="AK48" i="12" s="1"/>
  <c r="Z30" i="12"/>
  <c r="AK30" i="12" s="1"/>
  <c r="Z24" i="12"/>
  <c r="AK24" i="12" s="1"/>
  <c r="AB101" i="12"/>
  <c r="AO101" i="12" s="1"/>
  <c r="BB101" i="12" s="1"/>
  <c r="AB97" i="12"/>
  <c r="AO97" i="12" s="1"/>
  <c r="BB97" i="12" s="1"/>
  <c r="Y97" i="12"/>
  <c r="W97" i="12"/>
  <c r="W93" i="12"/>
  <c r="Y93" i="12"/>
  <c r="W89" i="12"/>
  <c r="Y89" i="12"/>
  <c r="W85" i="12"/>
  <c r="Y85" i="12"/>
  <c r="W81" i="12"/>
  <c r="Y81" i="12"/>
  <c r="AB43" i="12"/>
  <c r="AB39" i="12"/>
  <c r="AB35" i="12"/>
  <c r="AB31" i="12"/>
  <c r="AB27" i="12"/>
  <c r="AB23" i="12"/>
  <c r="AB52" i="12"/>
  <c r="AO52" i="12" s="1"/>
  <c r="Y52" i="12"/>
  <c r="W52" i="12"/>
  <c r="AB34" i="12"/>
  <c r="Y34" i="12"/>
  <c r="W34" i="12"/>
  <c r="AB49" i="12"/>
  <c r="AO49" i="12" s="1"/>
  <c r="AB84" i="12"/>
  <c r="Y84" i="12"/>
  <c r="W84" i="12"/>
  <c r="AB102" i="12"/>
  <c r="Y102" i="12"/>
  <c r="W102" i="12"/>
  <c r="AB119" i="12"/>
  <c r="Y119" i="12"/>
  <c r="W119" i="12"/>
  <c r="AB28" i="12"/>
  <c r="Y28" i="12"/>
  <c r="W28" i="12"/>
  <c r="AB44" i="12"/>
  <c r="AO44" i="12" s="1"/>
  <c r="Y44" i="12"/>
  <c r="W44" i="12"/>
  <c r="W51" i="12"/>
  <c r="Y51" i="12"/>
  <c r="W90" i="12"/>
  <c r="AB90" i="12"/>
  <c r="AO90" i="12" s="1"/>
  <c r="BB90" i="12" s="1"/>
  <c r="Y90" i="12"/>
  <c r="W100" i="12"/>
  <c r="Y100" i="12"/>
  <c r="W118" i="12"/>
  <c r="AB118" i="12"/>
  <c r="AO118" i="12" s="1"/>
  <c r="Y118" i="12"/>
  <c r="W123" i="12"/>
  <c r="Y123" i="12"/>
  <c r="AD120" i="12"/>
  <c r="AD123" i="12"/>
  <c r="AD106" i="12"/>
  <c r="AD53" i="12"/>
  <c r="Z105" i="12"/>
  <c r="AK105" i="12" s="1"/>
  <c r="AD97" i="12"/>
  <c r="Z84" i="12"/>
  <c r="AK84" i="12" s="1"/>
  <c r="Z28" i="12"/>
  <c r="AK28" i="12" s="1"/>
  <c r="AD100" i="12"/>
  <c r="Z98" i="12"/>
  <c r="AK98" i="12" s="1"/>
  <c r="Z93" i="12"/>
  <c r="AK93" i="12" s="1"/>
  <c r="Z89" i="12"/>
  <c r="AK89" i="12" s="1"/>
  <c r="AO89" i="12" s="1"/>
  <c r="Z85" i="12"/>
  <c r="AK85" i="12" s="1"/>
  <c r="Z81" i="12"/>
  <c r="AK81" i="12" s="1"/>
  <c r="X5" i="12"/>
  <c r="Z5" i="12" s="1"/>
  <c r="AK5" i="12" s="1"/>
  <c r="M126" i="12"/>
  <c r="W103" i="12"/>
  <c r="Y103" i="12"/>
  <c r="W99" i="12"/>
  <c r="Y99" i="12"/>
  <c r="W95" i="12"/>
  <c r="Y95" i="12"/>
  <c r="W91" i="12"/>
  <c r="Y91" i="12"/>
  <c r="W87" i="12"/>
  <c r="Y87" i="12"/>
  <c r="W83" i="12"/>
  <c r="Y83" i="12"/>
  <c r="W77" i="12"/>
  <c r="Y77" i="12"/>
  <c r="W45" i="12"/>
  <c r="Y45" i="12"/>
  <c r="W41" i="12"/>
  <c r="Y41" i="12"/>
  <c r="W37" i="12"/>
  <c r="Y37" i="12"/>
  <c r="W33" i="12"/>
  <c r="Y33" i="12"/>
  <c r="W29" i="12"/>
  <c r="Y29" i="12"/>
  <c r="W25" i="12"/>
  <c r="Y25" i="12"/>
  <c r="AB22" i="12"/>
  <c r="Y22" i="12"/>
  <c r="W22" i="12"/>
  <c r="AB38" i="12"/>
  <c r="Y38" i="12"/>
  <c r="W38" i="12"/>
  <c r="AB53" i="12"/>
  <c r="AB88" i="12"/>
  <c r="Y88" i="12"/>
  <c r="W88" i="12"/>
  <c r="AB98" i="12"/>
  <c r="AB106" i="12"/>
  <c r="AB117" i="12"/>
  <c r="AO117" i="12" s="1"/>
  <c r="Y117" i="12"/>
  <c r="W117" i="12"/>
  <c r="AB121" i="12"/>
  <c r="AO121" i="12" s="1"/>
  <c r="AB50" i="12"/>
  <c r="Y50" i="12"/>
  <c r="W50" i="12"/>
  <c r="AB24" i="12"/>
  <c r="AO24" i="12" s="1"/>
  <c r="AB40" i="12"/>
  <c r="AO40" i="12" s="1"/>
  <c r="Y40" i="12"/>
  <c r="W40" i="12"/>
  <c r="W86" i="12"/>
  <c r="Y86" i="12"/>
  <c r="AB86" i="12"/>
  <c r="W96" i="12"/>
  <c r="Y96" i="12"/>
  <c r="W116" i="12"/>
  <c r="Y116" i="12"/>
  <c r="AB116" i="12"/>
  <c r="W94" i="12"/>
  <c r="Y94" i="12"/>
  <c r="AB94" i="12"/>
  <c r="Z120" i="12"/>
  <c r="AK120" i="12" s="1"/>
  <c r="Z116" i="12"/>
  <c r="AK116" i="12" s="1"/>
  <c r="Z94" i="12"/>
  <c r="AK94" i="12" s="1"/>
  <c r="Z86" i="12"/>
  <c r="AK86" i="12" s="1"/>
  <c r="AD124" i="12"/>
  <c r="Z106" i="12"/>
  <c r="AK106" i="12" s="1"/>
  <c r="Z103" i="12"/>
  <c r="AK103" i="12" s="1"/>
  <c r="Z96" i="12"/>
  <c r="AK96" i="12" s="1"/>
  <c r="Z53" i="12"/>
  <c r="AK53" i="12" s="1"/>
  <c r="AD105" i="12"/>
  <c r="AD117" i="12"/>
  <c r="AD47" i="12"/>
  <c r="AD56" i="12"/>
  <c r="AD48" i="12"/>
  <c r="AD40" i="12"/>
  <c r="AD32" i="12"/>
  <c r="AD24" i="12"/>
  <c r="Z58" i="12"/>
  <c r="AK58" i="12" s="1"/>
  <c r="Z50" i="12"/>
  <c r="AK50" i="12" s="1"/>
  <c r="Z46" i="12"/>
  <c r="AK46" i="12" s="1"/>
  <c r="Z38" i="12"/>
  <c r="AK38" i="12" s="1"/>
  <c r="Z32" i="12"/>
  <c r="AK32" i="12" s="1"/>
  <c r="W101" i="12"/>
  <c r="Y101" i="12"/>
  <c r="AB79" i="12"/>
  <c r="AO79" i="12" s="1"/>
  <c r="BB79" i="12" s="1"/>
  <c r="Y79" i="12"/>
  <c r="W79" i="12"/>
  <c r="W43" i="12"/>
  <c r="Y43" i="12"/>
  <c r="W39" i="12"/>
  <c r="Y39" i="12"/>
  <c r="W35" i="12"/>
  <c r="Y35" i="12"/>
  <c r="W31" i="12"/>
  <c r="Y31" i="12"/>
  <c r="W27" i="12"/>
  <c r="Y27" i="12"/>
  <c r="W23" i="12"/>
  <c r="Y23" i="12"/>
  <c r="AB26" i="12"/>
  <c r="AO26" i="12" s="1"/>
  <c r="Y26" i="12"/>
  <c r="W26" i="12"/>
  <c r="AB42" i="12"/>
  <c r="AO42" i="12" s="1"/>
  <c r="Y42" i="12"/>
  <c r="W42" i="12"/>
  <c r="W49" i="12"/>
  <c r="Y49" i="12"/>
  <c r="W57" i="12"/>
  <c r="Y57" i="12"/>
  <c r="AB92" i="12"/>
  <c r="AO92" i="12" s="1"/>
  <c r="Y92" i="12"/>
  <c r="W92" i="12"/>
  <c r="AB115" i="12"/>
  <c r="Y115" i="12"/>
  <c r="W115" i="12"/>
  <c r="Y122" i="12"/>
  <c r="W122" i="12"/>
  <c r="AB54" i="12"/>
  <c r="AO54" i="12" s="1"/>
  <c r="Y54" i="12"/>
  <c r="W54" i="12"/>
  <c r="AB36" i="12"/>
  <c r="AO36" i="12" s="1"/>
  <c r="Y36" i="12"/>
  <c r="W36" i="12"/>
  <c r="AB51" i="12"/>
  <c r="AO51" i="12" s="1"/>
  <c r="W82" i="12"/>
  <c r="AB82" i="12"/>
  <c r="AO82" i="12" s="1"/>
  <c r="BB82" i="12" s="1"/>
  <c r="Y82" i="12"/>
  <c r="AB100" i="12"/>
  <c r="W114" i="12"/>
  <c r="AB114" i="12"/>
  <c r="AO114" i="12" s="1"/>
  <c r="Y114" i="12"/>
  <c r="W107" i="12"/>
  <c r="Y107" i="12"/>
  <c r="AB107" i="12"/>
  <c r="AO107" i="12" s="1"/>
  <c r="AD118" i="12"/>
  <c r="AD114" i="12"/>
  <c r="AD90" i="12"/>
  <c r="AD82" i="12"/>
  <c r="Z124" i="12"/>
  <c r="AK124" i="12" s="1"/>
  <c r="AD121" i="12"/>
  <c r="AD104" i="12"/>
  <c r="Z99" i="12"/>
  <c r="AK99" i="12" s="1"/>
  <c r="AD77" i="12"/>
  <c r="AD55" i="12"/>
  <c r="AD51" i="12"/>
  <c r="Z119" i="12"/>
  <c r="AK119" i="12" s="1"/>
  <c r="Z115" i="12"/>
  <c r="AK115" i="12" s="1"/>
  <c r="Z102" i="12"/>
  <c r="AK102" i="12" s="1"/>
  <c r="Z88" i="12"/>
  <c r="AK88" i="12" s="1"/>
  <c r="Z47" i="12"/>
  <c r="AK47" i="12" s="1"/>
  <c r="Z34" i="12"/>
  <c r="AK34" i="12" s="1"/>
  <c r="Z22" i="12"/>
  <c r="AK22" i="12" s="1"/>
  <c r="AD101" i="12"/>
  <c r="Y125" i="12"/>
  <c r="W125" i="12"/>
  <c r="AB125" i="12"/>
  <c r="AO125" i="12" s="1"/>
  <c r="AD98" i="12"/>
  <c r="AD93" i="12"/>
  <c r="AD89" i="12"/>
  <c r="AD85" i="12"/>
  <c r="AD81" i="12"/>
  <c r="AD45" i="12"/>
  <c r="AD41" i="12"/>
  <c r="AD37" i="12"/>
  <c r="AD33" i="12"/>
  <c r="AD29" i="12"/>
  <c r="AD25" i="12"/>
  <c r="Z100" i="12"/>
  <c r="AK100" i="12" s="1"/>
  <c r="Z95" i="12"/>
  <c r="AK95" i="12" s="1"/>
  <c r="Z91" i="12"/>
  <c r="AK91" i="12" s="1"/>
  <c r="Z87" i="12"/>
  <c r="AK87" i="12" s="1"/>
  <c r="Z83" i="12"/>
  <c r="AK83" i="12" s="1"/>
  <c r="Z43" i="12"/>
  <c r="AK43" i="12" s="1"/>
  <c r="Z39" i="12"/>
  <c r="AK39" i="12" s="1"/>
  <c r="Z35" i="12"/>
  <c r="AK35" i="12" s="1"/>
  <c r="Z31" i="12"/>
  <c r="AK31" i="12" s="1"/>
  <c r="Z27" i="12"/>
  <c r="AK27" i="12" s="1"/>
  <c r="Z23" i="12"/>
  <c r="AK23" i="12" s="1"/>
  <c r="W5" i="12"/>
  <c r="Y4" i="12"/>
  <c r="U4" i="12"/>
  <c r="R1" i="12" s="1"/>
  <c r="S4" i="12"/>
  <c r="T4" i="12"/>
  <c r="R4" i="12"/>
  <c r="AO78" i="12" l="1"/>
  <c r="AO57" i="12"/>
  <c r="AZ73" i="12"/>
  <c r="BA73" i="12" s="1"/>
  <c r="AZ79" i="12"/>
  <c r="BA79" i="12" s="1"/>
  <c r="AO116" i="12"/>
  <c r="AO98" i="12"/>
  <c r="CX177" i="14"/>
  <c r="CX182" i="14"/>
  <c r="AL27" i="12"/>
  <c r="AJ27" i="12"/>
  <c r="AQ27" i="12"/>
  <c r="AM27" i="12"/>
  <c r="AL35" i="12"/>
  <c r="AJ35" i="12"/>
  <c r="AM35" i="12"/>
  <c r="AQ35" i="12"/>
  <c r="AL43" i="12"/>
  <c r="AJ43" i="12"/>
  <c r="AM43" i="12"/>
  <c r="AQ43" i="12"/>
  <c r="AJ87" i="12"/>
  <c r="AL87" i="12"/>
  <c r="AM87" i="12"/>
  <c r="AQ87" i="12"/>
  <c r="AL95" i="12"/>
  <c r="AJ95" i="12"/>
  <c r="AM95" i="12"/>
  <c r="AQ95" i="12"/>
  <c r="AJ34" i="12"/>
  <c r="AL34" i="12"/>
  <c r="AQ34" i="12"/>
  <c r="AM34" i="12"/>
  <c r="AJ88" i="12"/>
  <c r="AL88" i="12"/>
  <c r="AQ88" i="12"/>
  <c r="AM88" i="12"/>
  <c r="AL115" i="12"/>
  <c r="AJ115" i="12"/>
  <c r="AM115" i="12"/>
  <c r="AQ115" i="12"/>
  <c r="AJ124" i="12"/>
  <c r="AL124" i="12"/>
  <c r="AQ124" i="12"/>
  <c r="AM124" i="12"/>
  <c r="AO115" i="12"/>
  <c r="AL38" i="12"/>
  <c r="AJ38" i="12"/>
  <c r="AQ38" i="12"/>
  <c r="AM38" i="12"/>
  <c r="AL50" i="12"/>
  <c r="AJ50" i="12"/>
  <c r="AQ50" i="12"/>
  <c r="AM50" i="12"/>
  <c r="AQ53" i="12"/>
  <c r="AL53" i="12"/>
  <c r="AJ53" i="12"/>
  <c r="AM53" i="12"/>
  <c r="AL103" i="12"/>
  <c r="AJ103" i="12"/>
  <c r="AM103" i="12"/>
  <c r="AQ103" i="12"/>
  <c r="AL94" i="12"/>
  <c r="AJ94" i="12"/>
  <c r="AQ94" i="12"/>
  <c r="AM94" i="12"/>
  <c r="AJ120" i="12"/>
  <c r="AL120" i="12"/>
  <c r="AQ120" i="12"/>
  <c r="AM120" i="12"/>
  <c r="AO50" i="12"/>
  <c r="AO53" i="12"/>
  <c r="AO22" i="12"/>
  <c r="AJ5" i="12"/>
  <c r="AL5" i="12"/>
  <c r="AM5" i="12"/>
  <c r="AQ5" i="12"/>
  <c r="AJ85" i="12"/>
  <c r="AL85" i="12"/>
  <c r="AQ85" i="12"/>
  <c r="AM85" i="12"/>
  <c r="AL93" i="12"/>
  <c r="AJ93" i="12"/>
  <c r="AQ93" i="12"/>
  <c r="AM93" i="12"/>
  <c r="AJ84" i="12"/>
  <c r="AL84" i="12"/>
  <c r="AQ84" i="12"/>
  <c r="AM84" i="12"/>
  <c r="AJ105" i="12"/>
  <c r="AL105" i="12"/>
  <c r="AQ105" i="12"/>
  <c r="AM105" i="12"/>
  <c r="AO28" i="12"/>
  <c r="AO102" i="12"/>
  <c r="AO27" i="12"/>
  <c r="AO35" i="12"/>
  <c r="AO43" i="12"/>
  <c r="AJ30" i="12"/>
  <c r="AL30" i="12"/>
  <c r="AQ30" i="12"/>
  <c r="AM30" i="12"/>
  <c r="AJ56" i="12"/>
  <c r="AL56" i="12"/>
  <c r="AM56" i="12"/>
  <c r="AQ56" i="12"/>
  <c r="AJ55" i="12"/>
  <c r="AL55" i="12"/>
  <c r="AQ55" i="12"/>
  <c r="AM55" i="12"/>
  <c r="AJ121" i="12"/>
  <c r="AL121" i="12"/>
  <c r="AQ121" i="12"/>
  <c r="AM121" i="12"/>
  <c r="AO96" i="12"/>
  <c r="AO47" i="12"/>
  <c r="AO105" i="12"/>
  <c r="AO46" i="12"/>
  <c r="AO48" i="12"/>
  <c r="AO87" i="12"/>
  <c r="AO95" i="12"/>
  <c r="AO103" i="12"/>
  <c r="AJ78" i="12"/>
  <c r="AL78" i="12"/>
  <c r="AQ78" i="12"/>
  <c r="AM78" i="12"/>
  <c r="AO76" i="12"/>
  <c r="AL107" i="12"/>
  <c r="AJ107" i="12"/>
  <c r="AM107" i="12"/>
  <c r="AQ107" i="12"/>
  <c r="AJ57" i="12"/>
  <c r="AL57" i="12"/>
  <c r="AQ57" i="12"/>
  <c r="AM57" i="12"/>
  <c r="AM16" i="12"/>
  <c r="AL16" i="12"/>
  <c r="AJ16" i="12"/>
  <c r="AQ16" i="12"/>
  <c r="AJ75" i="12"/>
  <c r="AL75" i="12"/>
  <c r="AM75" i="12"/>
  <c r="AQ75" i="12"/>
  <c r="AJ109" i="12"/>
  <c r="AL109" i="12"/>
  <c r="AQ109" i="12"/>
  <c r="AM109" i="12"/>
  <c r="AL111" i="12"/>
  <c r="AJ111" i="12"/>
  <c r="AM111" i="12"/>
  <c r="AQ111" i="12"/>
  <c r="AJ70" i="12"/>
  <c r="AL70" i="12"/>
  <c r="AQ70" i="12"/>
  <c r="AM70" i="12"/>
  <c r="AJ72" i="12"/>
  <c r="AL72" i="12"/>
  <c r="AQ72" i="12"/>
  <c r="AM72" i="12"/>
  <c r="AJ125" i="12"/>
  <c r="AL125" i="12"/>
  <c r="AQ125" i="12"/>
  <c r="AM125" i="12"/>
  <c r="AQ69" i="12"/>
  <c r="AJ69" i="12"/>
  <c r="AL69" i="12"/>
  <c r="AM69" i="12"/>
  <c r="AJ63" i="12"/>
  <c r="AL63" i="12"/>
  <c r="AM63" i="12"/>
  <c r="AQ63" i="12"/>
  <c r="AJ51" i="12"/>
  <c r="AL51" i="12"/>
  <c r="AQ51" i="12"/>
  <c r="AM51" i="12"/>
  <c r="AL41" i="12"/>
  <c r="AJ41" i="12"/>
  <c r="AQ41" i="12"/>
  <c r="AM41" i="12"/>
  <c r="AM8" i="12"/>
  <c r="AL8" i="12"/>
  <c r="AJ8" i="12"/>
  <c r="AQ8" i="12"/>
  <c r="AJ181" i="12"/>
  <c r="DA111" i="14"/>
  <c r="DK111" i="14"/>
  <c r="DA19" i="14"/>
  <c r="DK19" i="14"/>
  <c r="CX138" i="14"/>
  <c r="DA26" i="14"/>
  <c r="DK26" i="14"/>
  <c r="DA62" i="14"/>
  <c r="DK62" i="14"/>
  <c r="DA23" i="14"/>
  <c r="DK23" i="14"/>
  <c r="DA122" i="14"/>
  <c r="DK122" i="14"/>
  <c r="DA118" i="14"/>
  <c r="DK118" i="14"/>
  <c r="DA53" i="14"/>
  <c r="DK53" i="14"/>
  <c r="DA89" i="14"/>
  <c r="DK89" i="14"/>
  <c r="DA72" i="14"/>
  <c r="DK72" i="14"/>
  <c r="DA39" i="14"/>
  <c r="DK39" i="14"/>
  <c r="DA75" i="14"/>
  <c r="DK75" i="14"/>
  <c r="DA10" i="14"/>
  <c r="DK10" i="14"/>
  <c r="DA85" i="14"/>
  <c r="DK85" i="14"/>
  <c r="DA109" i="14"/>
  <c r="DK109" i="14"/>
  <c r="DA112" i="14"/>
  <c r="DK112" i="14"/>
  <c r="DA121" i="14"/>
  <c r="DK121" i="14"/>
  <c r="DA33" i="14"/>
  <c r="DK33" i="14"/>
  <c r="DA43" i="14"/>
  <c r="DK43" i="14"/>
  <c r="DA9" i="14"/>
  <c r="DK9" i="14"/>
  <c r="DA78" i="14"/>
  <c r="DK78" i="14"/>
  <c r="DA105" i="14"/>
  <c r="DK105" i="14"/>
  <c r="DA124" i="14"/>
  <c r="DK124" i="14"/>
  <c r="DA34" i="14"/>
  <c r="DK34" i="14"/>
  <c r="DA41" i="14"/>
  <c r="DK41" i="14"/>
  <c r="DA108" i="14"/>
  <c r="DK108" i="14"/>
  <c r="DA113" i="14"/>
  <c r="DK113" i="14"/>
  <c r="DA119" i="14"/>
  <c r="DK119" i="14"/>
  <c r="DA96" i="14"/>
  <c r="DK96" i="14"/>
  <c r="DA55" i="14"/>
  <c r="DK55" i="14"/>
  <c r="DA104" i="14"/>
  <c r="DK104" i="14"/>
  <c r="CY94" i="14"/>
  <c r="CW94" i="14"/>
  <c r="CZ94" i="14"/>
  <c r="DD94" i="14"/>
  <c r="DB94" i="14"/>
  <c r="DA12" i="14"/>
  <c r="DK12" i="14"/>
  <c r="DA13" i="14"/>
  <c r="DK13" i="14"/>
  <c r="DA115" i="14"/>
  <c r="DK115" i="14"/>
  <c r="AO109" i="12"/>
  <c r="AJ18" i="12"/>
  <c r="AL18" i="12"/>
  <c r="AQ18" i="12"/>
  <c r="AM18" i="12"/>
  <c r="AL25" i="12"/>
  <c r="AJ25" i="12"/>
  <c r="AQ25" i="12"/>
  <c r="AM25" i="12"/>
  <c r="AL29" i="12"/>
  <c r="AJ29" i="12"/>
  <c r="AQ29" i="12"/>
  <c r="AM29" i="12"/>
  <c r="AJ54" i="12"/>
  <c r="AL54" i="12"/>
  <c r="AQ54" i="12"/>
  <c r="AM54" i="12"/>
  <c r="AJ44" i="12"/>
  <c r="AL44" i="12"/>
  <c r="AM44" i="12"/>
  <c r="AQ44" i="12"/>
  <c r="AL40" i="12"/>
  <c r="AJ40" i="12"/>
  <c r="AQ40" i="12"/>
  <c r="AM40" i="12"/>
  <c r="AM15" i="12"/>
  <c r="AJ15" i="12"/>
  <c r="AL15" i="12"/>
  <c r="AQ15" i="12"/>
  <c r="AY79" i="12"/>
  <c r="AW79" i="12"/>
  <c r="AW97" i="12"/>
  <c r="AY97" i="12"/>
  <c r="AY77" i="12"/>
  <c r="AW77" i="12"/>
  <c r="AV126" i="12"/>
  <c r="AX180" i="12" s="1"/>
  <c r="AV134" i="12"/>
  <c r="AV138" i="12" s="1"/>
  <c r="AX181" i="12" s="1"/>
  <c r="AY74" i="12"/>
  <c r="AW74" i="12"/>
  <c r="BI124" i="12"/>
  <c r="BI122" i="12"/>
  <c r="BI120" i="12"/>
  <c r="BI118" i="12"/>
  <c r="BI116" i="12"/>
  <c r="BI114" i="12"/>
  <c r="BI112" i="12"/>
  <c r="BI110" i="12"/>
  <c r="BI108" i="12"/>
  <c r="BI106" i="12"/>
  <c r="BI104" i="12"/>
  <c r="BI102" i="12"/>
  <c r="BI100" i="12"/>
  <c r="BI98" i="12"/>
  <c r="BI96" i="12"/>
  <c r="BI94" i="12"/>
  <c r="BI92" i="12"/>
  <c r="BI90" i="12"/>
  <c r="BI88" i="12"/>
  <c r="BI86" i="12"/>
  <c r="BI84" i="12"/>
  <c r="BI82" i="12"/>
  <c r="BI80" i="12"/>
  <c r="BI78" i="12"/>
  <c r="BI76" i="12"/>
  <c r="BI74" i="12"/>
  <c r="BI72" i="12"/>
  <c r="BI70" i="12"/>
  <c r="BI68" i="12"/>
  <c r="BI66" i="12"/>
  <c r="BI64" i="12"/>
  <c r="BI62" i="12"/>
  <c r="BI60" i="12"/>
  <c r="BI58" i="12"/>
  <c r="BI56" i="12"/>
  <c r="BI54" i="12"/>
  <c r="BI52" i="12"/>
  <c r="BI50" i="12"/>
  <c r="BI48" i="12"/>
  <c r="BI46" i="12"/>
  <c r="BI44" i="12"/>
  <c r="BI42" i="12"/>
  <c r="BI40" i="12"/>
  <c r="BI38" i="12"/>
  <c r="BP4" i="12"/>
  <c r="BI15" i="12"/>
  <c r="BI12" i="12"/>
  <c r="BI9" i="12"/>
  <c r="BI6" i="12"/>
  <c r="BO4" i="12"/>
  <c r="BI37" i="12"/>
  <c r="BI35" i="12"/>
  <c r="BI33" i="12"/>
  <c r="BI31" i="12"/>
  <c r="BI29" i="12"/>
  <c r="BI27" i="12"/>
  <c r="BI25" i="12"/>
  <c r="BI23" i="12"/>
  <c r="BI21" i="12"/>
  <c r="BI19" i="12"/>
  <c r="BI17" i="12"/>
  <c r="BI13" i="12"/>
  <c r="BI7" i="12"/>
  <c r="BK4" i="12"/>
  <c r="BI125" i="12"/>
  <c r="BI123" i="12"/>
  <c r="BI121" i="12"/>
  <c r="BI119" i="12"/>
  <c r="BI117" i="12"/>
  <c r="BI115" i="12"/>
  <c r="BI113" i="12"/>
  <c r="BI111" i="12"/>
  <c r="BI109" i="12"/>
  <c r="BI107" i="12"/>
  <c r="BI105" i="12"/>
  <c r="BI103" i="12"/>
  <c r="BI101" i="12"/>
  <c r="BI99" i="12"/>
  <c r="BI97" i="12"/>
  <c r="BI95" i="12"/>
  <c r="BI93" i="12"/>
  <c r="BI91" i="12"/>
  <c r="BI89" i="12"/>
  <c r="BI87" i="12"/>
  <c r="BI85" i="12"/>
  <c r="BI83" i="12"/>
  <c r="BI81" i="12"/>
  <c r="BI79" i="12"/>
  <c r="BI77" i="12"/>
  <c r="BI75" i="12"/>
  <c r="BI73" i="12"/>
  <c r="BI71" i="12"/>
  <c r="BI69" i="12"/>
  <c r="BI67" i="12"/>
  <c r="BI65" i="12"/>
  <c r="BI63" i="12"/>
  <c r="BI61" i="12"/>
  <c r="BI59" i="12"/>
  <c r="BI57" i="12"/>
  <c r="BI55" i="12"/>
  <c r="BI53" i="12"/>
  <c r="BI51" i="12"/>
  <c r="BI49" i="12"/>
  <c r="BI47" i="12"/>
  <c r="BI45" i="12"/>
  <c r="BI43" i="12"/>
  <c r="BI41" i="12"/>
  <c r="BI39" i="12"/>
  <c r="BZ4" i="12"/>
  <c r="BN4" i="12"/>
  <c r="BI14" i="12"/>
  <c r="BI10" i="12"/>
  <c r="BI8" i="12"/>
  <c r="BI5" i="12"/>
  <c r="BI4" i="12"/>
  <c r="BJ4" i="12" s="1"/>
  <c r="BI36" i="12"/>
  <c r="BI34" i="12"/>
  <c r="BI32" i="12"/>
  <c r="BI30" i="12"/>
  <c r="BI28" i="12"/>
  <c r="BI26" i="12"/>
  <c r="BI24" i="12"/>
  <c r="BI22" i="12"/>
  <c r="BI20" i="12"/>
  <c r="BI18" i="12"/>
  <c r="BI16" i="12"/>
  <c r="BI11" i="12"/>
  <c r="BQ4" i="12"/>
  <c r="BK74" i="12"/>
  <c r="BK82" i="12"/>
  <c r="BQ82" i="12" s="1"/>
  <c r="BK90" i="12"/>
  <c r="BK112" i="12"/>
  <c r="BQ112" i="12" s="1"/>
  <c r="BK7" i="12"/>
  <c r="BM7" i="12"/>
  <c r="BN7" i="12" s="1"/>
  <c r="BM90" i="12"/>
  <c r="BN90" i="12" s="1"/>
  <c r="BM82" i="12"/>
  <c r="BN82" i="12" s="1"/>
  <c r="BM74" i="12"/>
  <c r="BN74" i="12" s="1"/>
  <c r="BK101" i="12"/>
  <c r="BQ101" i="12" s="1"/>
  <c r="BQ7" i="12"/>
  <c r="BQ90" i="12"/>
  <c r="BQ74" i="12"/>
  <c r="BK97" i="12"/>
  <c r="BM97" i="12" s="1"/>
  <c r="BN97" i="12" s="1"/>
  <c r="BK77" i="12"/>
  <c r="BQ77" i="12" s="1"/>
  <c r="BK73" i="12"/>
  <c r="BQ73" i="12" s="1"/>
  <c r="BK79" i="12"/>
  <c r="BQ79" i="12" s="1"/>
  <c r="BM73" i="12"/>
  <c r="BN73" i="12" s="1"/>
  <c r="BM79" i="12"/>
  <c r="BN79" i="12" s="1"/>
  <c r="BD74" i="12"/>
  <c r="AY82" i="12"/>
  <c r="AW82" i="12"/>
  <c r="AL37" i="12"/>
  <c r="AJ37" i="12"/>
  <c r="AQ37" i="12"/>
  <c r="AM37" i="12"/>
  <c r="AL118" i="12"/>
  <c r="AJ118" i="12"/>
  <c r="AM118" i="12"/>
  <c r="AQ118" i="12"/>
  <c r="AJ9" i="12"/>
  <c r="AL9" i="12"/>
  <c r="AQ9" i="12"/>
  <c r="AM9" i="12"/>
  <c r="DA27" i="14"/>
  <c r="DK27" i="14"/>
  <c r="DA11" i="14"/>
  <c r="DK11" i="14"/>
  <c r="DA7" i="14"/>
  <c r="DK7" i="14"/>
  <c r="DA120" i="14"/>
  <c r="DK120" i="14"/>
  <c r="DA80" i="14"/>
  <c r="DK80" i="14"/>
  <c r="DA6" i="14"/>
  <c r="DK6" i="14"/>
  <c r="DA5" i="14"/>
  <c r="DK5" i="14"/>
  <c r="CX174" i="14"/>
  <c r="DA18" i="14"/>
  <c r="DK18" i="14"/>
  <c r="DA91" i="14"/>
  <c r="DK91" i="14"/>
  <c r="DA58" i="14"/>
  <c r="DK58" i="14"/>
  <c r="DA20" i="14"/>
  <c r="DK20" i="14"/>
  <c r="DA87" i="14"/>
  <c r="DK87" i="14"/>
  <c r="DA84" i="14"/>
  <c r="DK84" i="14"/>
  <c r="DA17" i="14"/>
  <c r="DK17" i="14"/>
  <c r="DA81" i="14"/>
  <c r="DK81" i="14"/>
  <c r="DA52" i="14"/>
  <c r="DK52" i="14"/>
  <c r="DA21" i="14"/>
  <c r="DK21" i="14"/>
  <c r="DA114" i="14"/>
  <c r="DK114" i="14"/>
  <c r="DA29" i="14"/>
  <c r="DK29" i="14"/>
  <c r="DA49" i="14"/>
  <c r="DK49" i="14"/>
  <c r="DA15" i="14"/>
  <c r="DK15" i="14"/>
  <c r="DA70" i="14"/>
  <c r="DK70" i="14"/>
  <c r="DA14" i="14"/>
  <c r="DK14" i="14"/>
  <c r="DA46" i="14"/>
  <c r="DK46" i="14"/>
  <c r="DA103" i="14"/>
  <c r="DK103" i="14"/>
  <c r="DA83" i="14"/>
  <c r="DK83" i="14"/>
  <c r="DA99" i="14"/>
  <c r="DK99" i="14"/>
  <c r="DA90" i="14"/>
  <c r="DK90" i="14"/>
  <c r="DA82" i="14"/>
  <c r="DK82" i="14"/>
  <c r="DA50" i="14"/>
  <c r="DK50" i="14"/>
  <c r="DA116" i="14"/>
  <c r="DK116" i="14"/>
  <c r="AO9" i="12"/>
  <c r="AO111" i="12"/>
  <c r="AO85" i="12"/>
  <c r="AO18" i="12"/>
  <c r="AO124" i="12"/>
  <c r="AO55" i="12"/>
  <c r="AL23" i="12"/>
  <c r="AJ23" i="12"/>
  <c r="AQ23" i="12"/>
  <c r="AM23" i="12"/>
  <c r="AL31" i="12"/>
  <c r="AJ31" i="12"/>
  <c r="AM31" i="12"/>
  <c r="AQ31" i="12"/>
  <c r="AL39" i="12"/>
  <c r="AJ39" i="12"/>
  <c r="AM39" i="12"/>
  <c r="AQ39" i="12"/>
  <c r="AJ83" i="12"/>
  <c r="AL83" i="12"/>
  <c r="AM83" i="12"/>
  <c r="AQ83" i="12"/>
  <c r="AL91" i="12"/>
  <c r="AJ91" i="12"/>
  <c r="AM91" i="12"/>
  <c r="AQ91" i="12"/>
  <c r="AL100" i="12"/>
  <c r="AJ100" i="12"/>
  <c r="AQ100" i="12"/>
  <c r="AM100" i="12"/>
  <c r="AJ22" i="12"/>
  <c r="AL22" i="12"/>
  <c r="AQ22" i="12"/>
  <c r="AM22" i="12"/>
  <c r="AL47" i="12"/>
  <c r="AJ47" i="12"/>
  <c r="AM47" i="12"/>
  <c r="AQ47" i="12"/>
  <c r="AL102" i="12"/>
  <c r="AJ102" i="12"/>
  <c r="AQ102" i="12"/>
  <c r="AM102" i="12"/>
  <c r="AL119" i="12"/>
  <c r="AJ119" i="12"/>
  <c r="AQ119" i="12"/>
  <c r="AM119" i="12"/>
  <c r="AL99" i="12"/>
  <c r="AJ99" i="12"/>
  <c r="AM99" i="12"/>
  <c r="AQ99" i="12"/>
  <c r="AO100" i="12"/>
  <c r="BO82" i="12"/>
  <c r="AJ32" i="12"/>
  <c r="AL32" i="12"/>
  <c r="AQ32" i="12"/>
  <c r="AM32" i="12"/>
  <c r="AJ46" i="12"/>
  <c r="AL46" i="12"/>
  <c r="AQ46" i="12"/>
  <c r="AM46" i="12"/>
  <c r="AJ58" i="12"/>
  <c r="AL58" i="12"/>
  <c r="AQ58" i="12"/>
  <c r="AM58" i="12"/>
  <c r="AL96" i="12"/>
  <c r="AJ96" i="12"/>
  <c r="AQ96" i="12"/>
  <c r="AM96" i="12"/>
  <c r="AL106" i="12"/>
  <c r="AJ106" i="12"/>
  <c r="AQ106" i="12"/>
  <c r="AM106" i="12"/>
  <c r="AJ86" i="12"/>
  <c r="AL86" i="12"/>
  <c r="AQ86" i="12"/>
  <c r="AM86" i="12"/>
  <c r="AJ116" i="12"/>
  <c r="AL116" i="12"/>
  <c r="AQ116" i="12"/>
  <c r="AM116" i="12"/>
  <c r="AO94" i="12"/>
  <c r="AO86" i="12"/>
  <c r="AO106" i="12"/>
  <c r="AO88" i="12"/>
  <c r="AO38" i="12"/>
  <c r="AJ81" i="12"/>
  <c r="AL81" i="12"/>
  <c r="AQ81" i="12"/>
  <c r="AM81" i="12"/>
  <c r="AL89" i="12"/>
  <c r="AJ89" i="12"/>
  <c r="AQ89" i="12"/>
  <c r="AM89" i="12"/>
  <c r="AL98" i="12"/>
  <c r="AJ98" i="12"/>
  <c r="AQ98" i="12"/>
  <c r="AM98" i="12"/>
  <c r="AJ28" i="12"/>
  <c r="AL28" i="12"/>
  <c r="AQ28" i="12"/>
  <c r="AM28" i="12"/>
  <c r="BO90" i="12"/>
  <c r="AO119" i="12"/>
  <c r="AO84" i="12"/>
  <c r="AO34" i="12"/>
  <c r="AO23" i="12"/>
  <c r="AO31" i="12"/>
  <c r="AO39" i="12"/>
  <c r="AJ24" i="12"/>
  <c r="AL24" i="12"/>
  <c r="AQ24" i="12"/>
  <c r="AM24" i="12"/>
  <c r="AL48" i="12"/>
  <c r="AJ48" i="12"/>
  <c r="AM48" i="12"/>
  <c r="AQ48" i="12"/>
  <c r="AJ104" i="12"/>
  <c r="AL104" i="12"/>
  <c r="AQ104" i="12"/>
  <c r="AM104" i="12"/>
  <c r="AO120" i="12"/>
  <c r="AO56" i="12"/>
  <c r="AO32" i="12"/>
  <c r="AO58" i="12"/>
  <c r="AO30" i="12"/>
  <c r="AO83" i="12"/>
  <c r="AO91" i="12"/>
  <c r="AO99" i="12"/>
  <c r="AJ80" i="12"/>
  <c r="AL80" i="12"/>
  <c r="AQ80" i="12"/>
  <c r="AM80" i="12"/>
  <c r="AJ76" i="12"/>
  <c r="AL76" i="12"/>
  <c r="AQ76" i="12"/>
  <c r="AM76" i="12"/>
  <c r="AL92" i="12"/>
  <c r="AJ92" i="12"/>
  <c r="AQ92" i="12"/>
  <c r="AM92" i="12"/>
  <c r="AJ49" i="12"/>
  <c r="AL49" i="12"/>
  <c r="AQ49" i="12"/>
  <c r="AM49" i="12"/>
  <c r="AL14" i="12"/>
  <c r="AJ14" i="12"/>
  <c r="AQ14" i="12"/>
  <c r="AM14" i="12"/>
  <c r="AJ59" i="12"/>
  <c r="AL59" i="12"/>
  <c r="AM59" i="12"/>
  <c r="AQ59" i="12"/>
  <c r="AJ108" i="12"/>
  <c r="AL108" i="12"/>
  <c r="AQ108" i="12"/>
  <c r="AM108" i="12"/>
  <c r="AQ11" i="12"/>
  <c r="AL11" i="12"/>
  <c r="AJ11" i="12"/>
  <c r="AM11" i="12"/>
  <c r="AL19" i="12"/>
  <c r="AJ19" i="12"/>
  <c r="AQ19" i="12"/>
  <c r="AM19" i="12"/>
  <c r="AJ68" i="12"/>
  <c r="AL68" i="12"/>
  <c r="AM68" i="12"/>
  <c r="AQ68" i="12"/>
  <c r="AL110" i="12"/>
  <c r="AJ110" i="12"/>
  <c r="AQ110" i="12"/>
  <c r="AM110" i="12"/>
  <c r="AL21" i="12"/>
  <c r="AJ21" i="12"/>
  <c r="AQ21" i="12"/>
  <c r="AM21" i="12"/>
  <c r="AJ113" i="12"/>
  <c r="AL113" i="12"/>
  <c r="AQ113" i="12"/>
  <c r="AM113" i="12"/>
  <c r="BO7" i="12"/>
  <c r="AJ60" i="12"/>
  <c r="AL60" i="12"/>
  <c r="AQ60" i="12"/>
  <c r="AM60" i="12"/>
  <c r="AJ62" i="12"/>
  <c r="AL62" i="12"/>
  <c r="AQ62" i="12"/>
  <c r="AM62" i="12"/>
  <c r="AJ64" i="12"/>
  <c r="AL64" i="12"/>
  <c r="AQ64" i="12"/>
  <c r="AM64" i="12"/>
  <c r="AJ67" i="12"/>
  <c r="AL67" i="12"/>
  <c r="AQ67" i="12"/>
  <c r="AM67" i="12"/>
  <c r="AJ71" i="12"/>
  <c r="AL71" i="12"/>
  <c r="AM71" i="12"/>
  <c r="AQ71" i="12"/>
  <c r="AA123" i="12"/>
  <c r="AK123" i="12"/>
  <c r="AJ36" i="12"/>
  <c r="AL36" i="12"/>
  <c r="AQ36" i="12"/>
  <c r="AM36" i="12"/>
  <c r="AJ117" i="12"/>
  <c r="AL117" i="12"/>
  <c r="AQ117" i="12"/>
  <c r="AM117" i="12"/>
  <c r="AJ65" i="12"/>
  <c r="AL65" i="12"/>
  <c r="AQ65" i="12"/>
  <c r="AM65" i="12"/>
  <c r="AJ61" i="12"/>
  <c r="AL61" i="12"/>
  <c r="AQ61" i="12"/>
  <c r="AM61" i="12"/>
  <c r="AL45" i="12"/>
  <c r="AJ45" i="12"/>
  <c r="AQ45" i="12"/>
  <c r="AM45" i="12"/>
  <c r="AQ6" i="12"/>
  <c r="AL6" i="12"/>
  <c r="AJ6" i="12"/>
  <c r="AM6" i="12"/>
  <c r="AM13" i="12"/>
  <c r="AL13" i="12"/>
  <c r="AJ13" i="12"/>
  <c r="AQ13" i="12"/>
  <c r="AL10" i="12"/>
  <c r="AJ10" i="12"/>
  <c r="AM10" i="12"/>
  <c r="AQ10" i="12"/>
  <c r="DD164" i="14"/>
  <c r="CM143" i="14"/>
  <c r="CN151" i="14"/>
  <c r="DA24" i="14"/>
  <c r="DK24" i="14"/>
  <c r="DO62" i="14"/>
  <c r="DA102" i="14"/>
  <c r="DK102" i="14"/>
  <c r="DO23" i="14"/>
  <c r="DA101" i="14"/>
  <c r="DK101" i="14"/>
  <c r="DO122" i="14"/>
  <c r="DA110" i="14"/>
  <c r="DK110" i="14"/>
  <c r="DO53" i="14"/>
  <c r="DO109" i="14"/>
  <c r="DA123" i="14"/>
  <c r="DK123" i="14"/>
  <c r="DA69" i="14"/>
  <c r="DK69" i="14"/>
  <c r="DO69" i="14" s="1"/>
  <c r="DA54" i="14"/>
  <c r="DK54" i="14"/>
  <c r="DA98" i="14"/>
  <c r="DK98" i="14"/>
  <c r="DA36" i="14"/>
  <c r="DK36" i="14"/>
  <c r="DA76" i="14"/>
  <c r="DK76" i="14"/>
  <c r="DO76" i="14" s="1"/>
  <c r="DO43" i="14"/>
  <c r="DA77" i="14"/>
  <c r="DK77" i="14"/>
  <c r="DA66" i="14"/>
  <c r="DK66" i="14"/>
  <c r="DA35" i="14"/>
  <c r="DK35" i="14"/>
  <c r="DO75" i="14"/>
  <c r="DA100" i="14"/>
  <c r="DK100" i="14"/>
  <c r="DA74" i="14"/>
  <c r="DK74" i="14"/>
  <c r="DO74" i="14" s="1"/>
  <c r="DO112" i="14"/>
  <c r="DA25" i="14"/>
  <c r="DK25" i="14"/>
  <c r="DO9" i="14"/>
  <c r="DO78" i="14"/>
  <c r="DO105" i="14"/>
  <c r="CW92" i="14"/>
  <c r="CW126" i="14" s="1"/>
  <c r="CX176" i="14" s="1"/>
  <c r="CX178" i="14" s="1"/>
  <c r="CY92" i="14"/>
  <c r="CY126" i="14" s="1"/>
  <c r="DD92" i="14"/>
  <c r="CZ92" i="14"/>
  <c r="CZ126" i="14" s="1"/>
  <c r="DB92" i="14"/>
  <c r="DO124" i="14"/>
  <c r="DA63" i="14"/>
  <c r="DK63" i="14"/>
  <c r="DA30" i="14"/>
  <c r="DK30" i="14"/>
  <c r="DO30" i="14" s="1"/>
  <c r="DA28" i="14"/>
  <c r="DK28" i="14"/>
  <c r="DA16" i="14"/>
  <c r="DK16" i="14"/>
  <c r="DA31" i="14"/>
  <c r="DK31" i="14"/>
  <c r="DO41" i="14"/>
  <c r="DO108" i="14"/>
  <c r="DA38" i="14"/>
  <c r="DK38" i="14"/>
  <c r="DO96" i="14"/>
  <c r="DO104" i="14"/>
  <c r="DA117" i="14"/>
  <c r="DK117" i="14"/>
  <c r="DO117" i="14" s="1"/>
  <c r="DA64" i="14"/>
  <c r="DK64" i="14"/>
  <c r="DA40" i="14"/>
  <c r="DK40" i="14"/>
  <c r="DA8" i="14"/>
  <c r="DK8" i="14"/>
  <c r="DA79" i="14"/>
  <c r="DK79" i="14"/>
  <c r="DA59" i="14"/>
  <c r="DK59" i="14"/>
  <c r="DA97" i="14"/>
  <c r="DK97" i="14"/>
  <c r="DA57" i="14"/>
  <c r="DK57" i="14"/>
  <c r="AO6" i="12"/>
  <c r="AO63" i="12"/>
  <c r="AO69" i="12"/>
  <c r="BO112" i="12"/>
  <c r="AO21" i="12"/>
  <c r="BO74" i="12"/>
  <c r="AO81" i="12"/>
  <c r="AO14" i="12"/>
  <c r="AO72" i="12"/>
  <c r="AE101" i="12"/>
  <c r="AE99" i="12"/>
  <c r="AE97" i="12"/>
  <c r="AE95" i="12"/>
  <c r="AE93" i="12"/>
  <c r="AE91" i="12"/>
  <c r="AE89" i="12"/>
  <c r="AE87" i="12"/>
  <c r="AE124" i="12"/>
  <c r="AE122" i="12"/>
  <c r="AE120" i="12"/>
  <c r="AE118" i="12"/>
  <c r="AE116" i="12"/>
  <c r="AE114" i="12"/>
  <c r="AE112" i="12"/>
  <c r="AE110" i="12"/>
  <c r="AE108" i="12"/>
  <c r="AE106" i="12"/>
  <c r="AE104" i="12"/>
  <c r="AE102" i="12"/>
  <c r="AE85" i="12"/>
  <c r="AE83" i="12"/>
  <c r="AE81" i="12"/>
  <c r="AE79" i="12"/>
  <c r="AE77" i="12"/>
  <c r="AE75" i="12"/>
  <c r="AE73" i="12"/>
  <c r="AE71" i="12"/>
  <c r="AE69" i="12"/>
  <c r="AE67" i="12"/>
  <c r="AE65" i="12"/>
  <c r="AE63" i="12"/>
  <c r="AE61" i="12"/>
  <c r="AE59" i="12"/>
  <c r="AE57" i="12"/>
  <c r="AE55" i="12"/>
  <c r="AE53" i="12"/>
  <c r="AE51" i="12"/>
  <c r="AE49" i="12"/>
  <c r="AE47" i="12"/>
  <c r="AE45" i="12"/>
  <c r="AE43" i="12"/>
  <c r="AE41" i="12"/>
  <c r="AE39" i="12"/>
  <c r="AE14" i="12"/>
  <c r="AE12" i="12"/>
  <c r="AE9" i="12"/>
  <c r="AE7" i="12"/>
  <c r="AE5" i="12"/>
  <c r="AE36" i="12"/>
  <c r="AE34" i="12"/>
  <c r="AE32" i="12"/>
  <c r="AE30" i="12"/>
  <c r="AE28" i="12"/>
  <c r="AE26" i="12"/>
  <c r="AE24" i="12"/>
  <c r="AE22" i="12"/>
  <c r="AE20" i="12"/>
  <c r="AE18" i="12"/>
  <c r="AE16" i="12"/>
  <c r="AE11" i="12"/>
  <c r="AE100" i="12"/>
  <c r="AE98" i="12"/>
  <c r="AE96" i="12"/>
  <c r="AE94" i="12"/>
  <c r="AE92" i="12"/>
  <c r="AE90" i="12"/>
  <c r="AE88" i="12"/>
  <c r="AE125" i="12"/>
  <c r="AE123" i="12"/>
  <c r="AE121" i="12"/>
  <c r="AE119" i="12"/>
  <c r="AE117" i="12"/>
  <c r="AE115" i="12"/>
  <c r="AE113" i="12"/>
  <c r="AE111" i="12"/>
  <c r="AE109" i="12"/>
  <c r="AE107" i="12"/>
  <c r="AE105" i="12"/>
  <c r="AE103" i="12"/>
  <c r="AE86" i="12"/>
  <c r="AE84" i="12"/>
  <c r="AE82" i="12"/>
  <c r="AE80" i="12"/>
  <c r="AE78" i="12"/>
  <c r="AE76" i="12"/>
  <c r="AE74" i="12"/>
  <c r="AE72" i="12"/>
  <c r="AE70" i="12"/>
  <c r="AE68" i="12"/>
  <c r="AE66" i="12"/>
  <c r="AE64" i="12"/>
  <c r="AE62" i="12"/>
  <c r="AE60" i="12"/>
  <c r="AE58" i="12"/>
  <c r="AE56" i="12"/>
  <c r="AE54" i="12"/>
  <c r="AE52" i="12"/>
  <c r="AE50" i="12"/>
  <c r="AE48" i="12"/>
  <c r="AE46" i="12"/>
  <c r="AE44" i="12"/>
  <c r="AE42" i="12"/>
  <c r="AE40" i="12"/>
  <c r="AE38" i="12"/>
  <c r="AE13" i="12"/>
  <c r="AE10" i="12"/>
  <c r="AE8" i="12"/>
  <c r="AE6" i="12"/>
  <c r="AE37" i="12"/>
  <c r="AE35" i="12"/>
  <c r="AE33" i="12"/>
  <c r="AE31" i="12"/>
  <c r="AE29" i="12"/>
  <c r="AE27" i="12"/>
  <c r="AE25" i="12"/>
  <c r="AE23" i="12"/>
  <c r="AE21" i="12"/>
  <c r="AE19" i="12"/>
  <c r="AE17" i="12"/>
  <c r="AE15" i="12"/>
  <c r="AL17" i="12"/>
  <c r="AJ17" i="12"/>
  <c r="AQ17" i="12"/>
  <c r="AM17" i="12"/>
  <c r="AJ20" i="12"/>
  <c r="AL20" i="12"/>
  <c r="AQ20" i="12"/>
  <c r="AM20" i="12"/>
  <c r="AJ26" i="12"/>
  <c r="AL26" i="12"/>
  <c r="AQ26" i="12"/>
  <c r="AM26" i="12"/>
  <c r="AJ66" i="12"/>
  <c r="AL66" i="12"/>
  <c r="AQ66" i="12"/>
  <c r="AM66" i="12"/>
  <c r="AJ52" i="12"/>
  <c r="AL52" i="12"/>
  <c r="AM52" i="12"/>
  <c r="AQ52" i="12"/>
  <c r="AL42" i="12"/>
  <c r="AJ42" i="12"/>
  <c r="AQ42" i="12"/>
  <c r="AM42" i="12"/>
  <c r="AJ12" i="12"/>
  <c r="AL12" i="12"/>
  <c r="AQ12" i="12"/>
  <c r="AM12" i="12"/>
  <c r="AY73" i="12"/>
  <c r="AW73" i="12"/>
  <c r="AW101" i="12"/>
  <c r="AY101" i="12"/>
  <c r="AZ178" i="12"/>
  <c r="AZ176" i="12"/>
  <c r="AZ174" i="12"/>
  <c r="AT4" i="12"/>
  <c r="AY4" i="12"/>
  <c r="AS4" i="12"/>
  <c r="AZ180" i="12"/>
  <c r="AZ177" i="12"/>
  <c r="AZ175" i="12"/>
  <c r="AX128" i="12"/>
  <c r="AR4" i="12"/>
  <c r="AU4" i="12"/>
  <c r="AR1" i="12" s="1"/>
  <c r="AY7" i="12"/>
  <c r="AW7" i="12"/>
  <c r="AW90" i="12"/>
  <c r="AY90" i="12"/>
  <c r="AW112" i="12"/>
  <c r="AY112" i="12"/>
  <c r="AL33" i="12"/>
  <c r="AJ33" i="12"/>
  <c r="AQ33" i="12"/>
  <c r="AM33" i="12"/>
  <c r="AL122" i="12"/>
  <c r="AJ122" i="12"/>
  <c r="AM122" i="12"/>
  <c r="AQ122" i="12"/>
  <c r="AL114" i="12"/>
  <c r="AJ114" i="12"/>
  <c r="AQ114" i="12"/>
  <c r="AM114" i="12"/>
  <c r="DA88" i="14"/>
  <c r="DK88" i="14"/>
  <c r="DO88" i="14" s="1"/>
  <c r="DO14" i="14"/>
  <c r="DA86" i="14"/>
  <c r="DK86" i="14"/>
  <c r="DO80" i="14"/>
  <c r="DA68" i="14"/>
  <c r="DK68" i="14"/>
  <c r="DA61" i="14"/>
  <c r="DK61" i="14"/>
  <c r="DD126" i="14"/>
  <c r="DA37" i="14"/>
  <c r="DK37" i="14"/>
  <c r="DA44" i="14"/>
  <c r="DK44" i="14"/>
  <c r="DO44" i="14" s="1"/>
  <c r="DO18" i="14"/>
  <c r="DA51" i="14"/>
  <c r="DK51" i="14"/>
  <c r="DO58" i="14"/>
  <c r="DO99" i="14"/>
  <c r="DO87" i="14"/>
  <c r="DO82" i="14"/>
  <c r="DA22" i="14"/>
  <c r="DK22" i="14"/>
  <c r="DA60" i="14"/>
  <c r="DK60" i="14"/>
  <c r="DA106" i="14"/>
  <c r="DK106" i="14"/>
  <c r="DA67" i="14"/>
  <c r="DK67" i="14"/>
  <c r="DA125" i="14"/>
  <c r="DK125" i="14"/>
  <c r="DA47" i="14"/>
  <c r="DK47" i="14"/>
  <c r="DA32" i="14"/>
  <c r="DK32" i="14"/>
  <c r="DA48" i="14"/>
  <c r="DK48" i="14"/>
  <c r="DA71" i="14"/>
  <c r="DK71" i="14"/>
  <c r="DO83" i="14"/>
  <c r="DA107" i="14"/>
  <c r="DK107" i="14"/>
  <c r="DO107" i="14" s="1"/>
  <c r="DA45" i="14"/>
  <c r="DK45" i="14"/>
  <c r="DA73" i="14"/>
  <c r="DK73" i="14"/>
  <c r="DO50" i="14"/>
  <c r="DA56" i="14"/>
  <c r="DK56" i="14"/>
  <c r="DA65" i="14"/>
  <c r="DK65" i="14"/>
  <c r="DO65" i="14" s="1"/>
  <c r="DA42" i="14"/>
  <c r="DK42" i="14"/>
  <c r="DO42" i="14" s="1"/>
  <c r="AO16" i="12"/>
  <c r="AO62" i="12"/>
  <c r="AO67" i="12"/>
  <c r="AO75" i="12"/>
  <c r="AO17" i="12"/>
  <c r="AO70" i="12"/>
  <c r="AO93" i="12"/>
  <c r="AO108" i="12"/>
  <c r="AO19" i="12"/>
  <c r="AO68" i="12"/>
  <c r="AO104" i="12"/>
  <c r="AK134" i="12"/>
  <c r="AK138" i="12" s="1"/>
  <c r="AK183" i="12" s="1"/>
  <c r="D18" i="17" s="1"/>
  <c r="C14" i="17"/>
  <c r="D14" i="17"/>
  <c r="D15" i="17"/>
  <c r="H26" i="17"/>
  <c r="H28" i="17" s="1"/>
  <c r="AA35" i="12"/>
  <c r="AA87" i="12"/>
  <c r="AA88" i="12"/>
  <c r="AA124" i="12"/>
  <c r="AA23" i="12"/>
  <c r="AA31" i="12"/>
  <c r="AA39" i="12"/>
  <c r="AA83" i="12"/>
  <c r="AA91" i="12"/>
  <c r="AA22" i="12"/>
  <c r="AA47" i="12"/>
  <c r="AA119" i="12"/>
  <c r="AA46" i="12"/>
  <c r="AA58" i="12"/>
  <c r="AA106" i="12"/>
  <c r="AA86" i="12"/>
  <c r="AA116" i="12"/>
  <c r="AA81" i="12"/>
  <c r="AA89" i="12"/>
  <c r="AA28" i="12"/>
  <c r="AA24" i="12"/>
  <c r="AA48" i="12"/>
  <c r="AA80" i="12"/>
  <c r="AA76" i="12"/>
  <c r="AA49" i="12"/>
  <c r="AA14" i="12"/>
  <c r="AA59" i="12"/>
  <c r="AA108" i="12"/>
  <c r="AA11" i="12"/>
  <c r="AA19" i="12"/>
  <c r="AA68" i="12"/>
  <c r="AA110" i="12"/>
  <c r="AA21" i="12"/>
  <c r="AA113" i="12"/>
  <c r="AA60" i="12"/>
  <c r="AA62" i="12"/>
  <c r="AA64" i="12"/>
  <c r="AA67" i="12"/>
  <c r="AA71" i="12"/>
  <c r="AA27" i="12"/>
  <c r="AA43" i="12"/>
  <c r="AA34" i="12"/>
  <c r="AA115" i="12"/>
  <c r="AA38" i="12"/>
  <c r="AA50" i="12"/>
  <c r="AA53" i="12"/>
  <c r="AA120" i="12"/>
  <c r="AA85" i="12"/>
  <c r="AA84" i="12"/>
  <c r="AA30" i="12"/>
  <c r="AA56" i="12"/>
  <c r="AA55" i="12"/>
  <c r="AA121" i="12"/>
  <c r="AA78" i="12"/>
  <c r="AA107" i="12"/>
  <c r="AA57" i="12"/>
  <c r="AA16" i="12"/>
  <c r="AA75" i="12"/>
  <c r="AA109" i="12"/>
  <c r="AA111" i="12"/>
  <c r="AA70" i="12"/>
  <c r="AA72" i="12"/>
  <c r="AA103" i="12"/>
  <c r="AA94" i="12"/>
  <c r="AA93" i="12"/>
  <c r="AA105" i="12"/>
  <c r="AA95" i="12"/>
  <c r="AA100" i="12"/>
  <c r="AA102" i="12"/>
  <c r="AA99" i="12"/>
  <c r="AA96" i="12"/>
  <c r="AA98" i="12"/>
  <c r="AA104" i="12"/>
  <c r="AA92" i="12"/>
  <c r="V138" i="12"/>
  <c r="X181" i="12" s="1"/>
  <c r="AA32" i="12"/>
  <c r="X138" i="12"/>
  <c r="X183" i="12" s="1"/>
  <c r="C18" i="17" s="1"/>
  <c r="Y147" i="12"/>
  <c r="AD160" i="12"/>
  <c r="AD156" i="12"/>
  <c r="Y143" i="12"/>
  <c r="AD5" i="12"/>
  <c r="X174" i="12"/>
  <c r="AD126" i="12"/>
  <c r="Y5" i="12"/>
  <c r="Y126" i="12" s="1"/>
  <c r="W126" i="12"/>
  <c r="X176" i="12" s="1"/>
  <c r="AB5" i="12"/>
  <c r="AO5" i="12" s="1"/>
  <c r="X126" i="12"/>
  <c r="X182" i="12" s="1"/>
  <c r="C17" i="17" s="1"/>
  <c r="R124" i="12"/>
  <c r="R122" i="12"/>
  <c r="R113" i="12"/>
  <c r="R111" i="12"/>
  <c r="R109" i="12"/>
  <c r="R107" i="12"/>
  <c r="R105" i="12"/>
  <c r="R103" i="12"/>
  <c r="R101" i="12"/>
  <c r="R99" i="12"/>
  <c r="R97" i="12"/>
  <c r="R94" i="12"/>
  <c r="R92" i="12"/>
  <c r="R125" i="12"/>
  <c r="R123" i="12"/>
  <c r="R121" i="12"/>
  <c r="R120" i="12"/>
  <c r="R119" i="12"/>
  <c r="R118" i="12"/>
  <c r="R117" i="12"/>
  <c r="R116" i="12"/>
  <c r="R115" i="12"/>
  <c r="R114" i="12"/>
  <c r="R112" i="12"/>
  <c r="R110" i="12"/>
  <c r="R108" i="12"/>
  <c r="R106" i="12"/>
  <c r="R104" i="12"/>
  <c r="R102" i="12"/>
  <c r="R100" i="12"/>
  <c r="R98" i="12"/>
  <c r="R96" i="12"/>
  <c r="R95" i="12"/>
  <c r="R93" i="12"/>
  <c r="R91" i="12"/>
  <c r="R89" i="12"/>
  <c r="R87" i="12"/>
  <c r="R85" i="12"/>
  <c r="R83" i="12"/>
  <c r="R81" i="12"/>
  <c r="R80" i="12"/>
  <c r="R77" i="12"/>
  <c r="R76" i="12"/>
  <c r="R75" i="12"/>
  <c r="R73" i="12"/>
  <c r="R71" i="12"/>
  <c r="R69" i="12"/>
  <c r="R67" i="12"/>
  <c r="R65" i="12"/>
  <c r="R63" i="12"/>
  <c r="R61" i="12"/>
  <c r="R58" i="12"/>
  <c r="R56" i="12"/>
  <c r="R90" i="12"/>
  <c r="R88" i="12"/>
  <c r="R86" i="12"/>
  <c r="R84" i="12"/>
  <c r="R82" i="12"/>
  <c r="R79" i="12"/>
  <c r="R78" i="12"/>
  <c r="R74" i="12"/>
  <c r="R72" i="12"/>
  <c r="R70" i="12"/>
  <c r="R68" i="12"/>
  <c r="R66" i="12"/>
  <c r="R64" i="12"/>
  <c r="R62" i="12"/>
  <c r="R60" i="12"/>
  <c r="R59" i="12"/>
  <c r="R57" i="12"/>
  <c r="R55" i="12"/>
  <c r="R54" i="12"/>
  <c r="R53" i="12"/>
  <c r="R51" i="12"/>
  <c r="R49" i="12"/>
  <c r="R47" i="12"/>
  <c r="R46" i="12"/>
  <c r="R44" i="12"/>
  <c r="R42" i="12"/>
  <c r="R40" i="12"/>
  <c r="R38" i="12"/>
  <c r="R36" i="12"/>
  <c r="R34" i="12"/>
  <c r="R32" i="12"/>
  <c r="R30" i="12"/>
  <c r="R28" i="12"/>
  <c r="R26" i="12"/>
  <c r="R24" i="12"/>
  <c r="R22" i="12"/>
  <c r="R21" i="12"/>
  <c r="R19" i="12"/>
  <c r="R17" i="12"/>
  <c r="R15" i="12"/>
  <c r="R13" i="12"/>
  <c r="R11" i="12"/>
  <c r="R9" i="12"/>
  <c r="R7" i="12"/>
  <c r="R52" i="12"/>
  <c r="R50" i="12"/>
  <c r="R48" i="12"/>
  <c r="R45" i="12"/>
  <c r="R43" i="12"/>
  <c r="R41" i="12"/>
  <c r="R39" i="12"/>
  <c r="R37" i="12"/>
  <c r="R35" i="12"/>
  <c r="R33" i="12"/>
  <c r="R31" i="12"/>
  <c r="R29" i="12"/>
  <c r="R27" i="12"/>
  <c r="R25" i="12"/>
  <c r="R23" i="12"/>
  <c r="R20" i="12"/>
  <c r="R18" i="12"/>
  <c r="R16" i="12"/>
  <c r="R14" i="12"/>
  <c r="R12" i="12"/>
  <c r="R10" i="12"/>
  <c r="R8" i="12"/>
  <c r="R6" i="12"/>
  <c r="R5" i="12"/>
  <c r="AA5" i="12"/>
  <c r="Z126" i="12"/>
  <c r="AL147" i="12" l="1"/>
  <c r="AL151" i="12" s="1"/>
  <c r="BO97" i="12"/>
  <c r="BQ97" i="12"/>
  <c r="BM101" i="12"/>
  <c r="BN101" i="12" s="1"/>
  <c r="BM77" i="12"/>
  <c r="BN77" i="12" s="1"/>
  <c r="BM112" i="12"/>
  <c r="BN112" i="12" s="1"/>
  <c r="AQ160" i="12"/>
  <c r="AQ164" i="12" s="1"/>
  <c r="DL73" i="14"/>
  <c r="DJ73" i="14"/>
  <c r="DQ73" i="14"/>
  <c r="DM73" i="14"/>
  <c r="DJ45" i="14"/>
  <c r="DL45" i="14"/>
  <c r="DQ45" i="14"/>
  <c r="DM45" i="14"/>
  <c r="DO45" i="14"/>
  <c r="DO71" i="14"/>
  <c r="DJ71" i="14"/>
  <c r="DL71" i="14"/>
  <c r="DQ71" i="14"/>
  <c r="DM71" i="14"/>
  <c r="DO48" i="14"/>
  <c r="DJ48" i="14"/>
  <c r="DL48" i="14"/>
  <c r="DQ48" i="14"/>
  <c r="DM48" i="14"/>
  <c r="DL32" i="14"/>
  <c r="DJ32" i="14"/>
  <c r="DQ32" i="14"/>
  <c r="DM32" i="14"/>
  <c r="DJ47" i="14"/>
  <c r="DL47" i="14"/>
  <c r="DM47" i="14"/>
  <c r="DQ47" i="14"/>
  <c r="DO47" i="14"/>
  <c r="DO51" i="14"/>
  <c r="DJ51" i="14"/>
  <c r="DL51" i="14"/>
  <c r="DM51" i="14"/>
  <c r="DQ51" i="14"/>
  <c r="DJ86" i="14"/>
  <c r="DL86" i="14"/>
  <c r="DQ86" i="14"/>
  <c r="DM86" i="14"/>
  <c r="AN122" i="12"/>
  <c r="AX122" i="12"/>
  <c r="AN12" i="12"/>
  <c r="AX12" i="12"/>
  <c r="AN42" i="12"/>
  <c r="AX42" i="12"/>
  <c r="AN66" i="12"/>
  <c r="AX66" i="12"/>
  <c r="AN26" i="12"/>
  <c r="AX26" i="12"/>
  <c r="AN20" i="12"/>
  <c r="AX20" i="12"/>
  <c r="AN17" i="12"/>
  <c r="AX17" i="12"/>
  <c r="AF15" i="12"/>
  <c r="AP15" i="12"/>
  <c r="AG15" i="12"/>
  <c r="AH15" i="12" s="1"/>
  <c r="AF19" i="12"/>
  <c r="AP19" i="12"/>
  <c r="AG19" i="12"/>
  <c r="AH19" i="12" s="1"/>
  <c r="AF23" i="12"/>
  <c r="AP23" i="12"/>
  <c r="AG23" i="12"/>
  <c r="AH23" i="12" s="1"/>
  <c r="AF27" i="12"/>
  <c r="AP27" i="12"/>
  <c r="AG27" i="12"/>
  <c r="AH27" i="12" s="1"/>
  <c r="AF31" i="12"/>
  <c r="AP31" i="12"/>
  <c r="AG31" i="12"/>
  <c r="AH31" i="12" s="1"/>
  <c r="AF35" i="12"/>
  <c r="AP35" i="12"/>
  <c r="AG35" i="12"/>
  <c r="AH35" i="12" s="1"/>
  <c r="AF6" i="12"/>
  <c r="AP6" i="12"/>
  <c r="AG6" i="12"/>
  <c r="AH6" i="12" s="1"/>
  <c r="AF10" i="12"/>
  <c r="AP10" i="12"/>
  <c r="AG10" i="12"/>
  <c r="AH10" i="12" s="1"/>
  <c r="AF38" i="12"/>
  <c r="AG38" i="12"/>
  <c r="AH38" i="12" s="1"/>
  <c r="AP38" i="12"/>
  <c r="AF42" i="12"/>
  <c r="AG42" i="12"/>
  <c r="AH42" i="12" s="1"/>
  <c r="AP42" i="12"/>
  <c r="AF46" i="12"/>
  <c r="AG46" i="12"/>
  <c r="AH46" i="12" s="1"/>
  <c r="AP46" i="12"/>
  <c r="AP50" i="12"/>
  <c r="AG50" i="12"/>
  <c r="AH50" i="12" s="1"/>
  <c r="AF50" i="12"/>
  <c r="AP54" i="12"/>
  <c r="AG54" i="12"/>
  <c r="AH54" i="12" s="1"/>
  <c r="AF54" i="12"/>
  <c r="AP58" i="12"/>
  <c r="AG58" i="12"/>
  <c r="AH58" i="12" s="1"/>
  <c r="AF58" i="12"/>
  <c r="AP62" i="12"/>
  <c r="AG62" i="12"/>
  <c r="AH62" i="12" s="1"/>
  <c r="AF62" i="12"/>
  <c r="AP66" i="12"/>
  <c r="AG66" i="12"/>
  <c r="AH66" i="12" s="1"/>
  <c r="AF66" i="12"/>
  <c r="AP70" i="12"/>
  <c r="AG70" i="12"/>
  <c r="AH70" i="12" s="1"/>
  <c r="AF70" i="12"/>
  <c r="AP74" i="12"/>
  <c r="AG74" i="12"/>
  <c r="AH74" i="12" s="1"/>
  <c r="AF74" i="12"/>
  <c r="AP78" i="12"/>
  <c r="AG78" i="12"/>
  <c r="AH78" i="12" s="1"/>
  <c r="AF78" i="12"/>
  <c r="AP82" i="12"/>
  <c r="AG82" i="12"/>
  <c r="AH82" i="12" s="1"/>
  <c r="AF82" i="12"/>
  <c r="AP86" i="12"/>
  <c r="AG86" i="12"/>
  <c r="AH86" i="12" s="1"/>
  <c r="AF86" i="12"/>
  <c r="AF105" i="12"/>
  <c r="AP105" i="12"/>
  <c r="AG105" i="12"/>
  <c r="AH105" i="12" s="1"/>
  <c r="AF109" i="12"/>
  <c r="AP109" i="12"/>
  <c r="AG109" i="12"/>
  <c r="AH109" i="12" s="1"/>
  <c r="AF113" i="12"/>
  <c r="AP113" i="12"/>
  <c r="AG113" i="12"/>
  <c r="AH113" i="12" s="1"/>
  <c r="AF117" i="12"/>
  <c r="AP117" i="12"/>
  <c r="AG117" i="12"/>
  <c r="AH117" i="12" s="1"/>
  <c r="AF121" i="12"/>
  <c r="AP121" i="12"/>
  <c r="AG121" i="12"/>
  <c r="AH121" i="12" s="1"/>
  <c r="AF125" i="12"/>
  <c r="AP125" i="12"/>
  <c r="AG125" i="12"/>
  <c r="AH125" i="12" s="1"/>
  <c r="AF90" i="12"/>
  <c r="AG90" i="12"/>
  <c r="AH90" i="12" s="1"/>
  <c r="AP90" i="12"/>
  <c r="AF94" i="12"/>
  <c r="AG94" i="12"/>
  <c r="AH94" i="12" s="1"/>
  <c r="AP94" i="12"/>
  <c r="AF98" i="12"/>
  <c r="AG98" i="12"/>
  <c r="AH98" i="12" s="1"/>
  <c r="AP98" i="12"/>
  <c r="AP11" i="12"/>
  <c r="AG11" i="12"/>
  <c r="AH11" i="12" s="1"/>
  <c r="AF11" i="12"/>
  <c r="AP18" i="12"/>
  <c r="AG18" i="12"/>
  <c r="AH18" i="12" s="1"/>
  <c r="AF18" i="12"/>
  <c r="AP22" i="12"/>
  <c r="AG22" i="12"/>
  <c r="AH22" i="12" s="1"/>
  <c r="AF22" i="12"/>
  <c r="AP26" i="12"/>
  <c r="AG26" i="12"/>
  <c r="AH26" i="12" s="1"/>
  <c r="AF26" i="12"/>
  <c r="AP30" i="12"/>
  <c r="AG30" i="12"/>
  <c r="AH30" i="12" s="1"/>
  <c r="AF30" i="12"/>
  <c r="AP34" i="12"/>
  <c r="AG34" i="12"/>
  <c r="AH34" i="12" s="1"/>
  <c r="AF34" i="12"/>
  <c r="AE126" i="12"/>
  <c r="AF5" i="12"/>
  <c r="AP5" i="12"/>
  <c r="AG5" i="12"/>
  <c r="AF9" i="12"/>
  <c r="AP9" i="12"/>
  <c r="AG9" i="12"/>
  <c r="AH9" i="12" s="1"/>
  <c r="AF14" i="12"/>
  <c r="AP14" i="12"/>
  <c r="AG14" i="12"/>
  <c r="AH14" i="12" s="1"/>
  <c r="AF41" i="12"/>
  <c r="AG41" i="12"/>
  <c r="AH41" i="12" s="1"/>
  <c r="AP41" i="12"/>
  <c r="AF45" i="12"/>
  <c r="AG45" i="12"/>
  <c r="AH45" i="12" s="1"/>
  <c r="AP45" i="12"/>
  <c r="AP49" i="12"/>
  <c r="AG49" i="12"/>
  <c r="AH49" i="12" s="1"/>
  <c r="AF49" i="12"/>
  <c r="AP53" i="12"/>
  <c r="AG53" i="12"/>
  <c r="AH53" i="12" s="1"/>
  <c r="AF53" i="12"/>
  <c r="AP57" i="12"/>
  <c r="AG57" i="12"/>
  <c r="AH57" i="12" s="1"/>
  <c r="AF57" i="12"/>
  <c r="AP61" i="12"/>
  <c r="AG61" i="12"/>
  <c r="AH61" i="12" s="1"/>
  <c r="AF61" i="12"/>
  <c r="AP65" i="12"/>
  <c r="AG65" i="12"/>
  <c r="AH65" i="12" s="1"/>
  <c r="AF65" i="12"/>
  <c r="AP69" i="12"/>
  <c r="AG69" i="12"/>
  <c r="AH69" i="12" s="1"/>
  <c r="AF69" i="12"/>
  <c r="AP73" i="12"/>
  <c r="AG73" i="12"/>
  <c r="AH73" i="12" s="1"/>
  <c r="AF73" i="12"/>
  <c r="AP77" i="12"/>
  <c r="AG77" i="12"/>
  <c r="AH77" i="12" s="1"/>
  <c r="AF77" i="12"/>
  <c r="AP81" i="12"/>
  <c r="AG81" i="12"/>
  <c r="AH81" i="12" s="1"/>
  <c r="AF81" i="12"/>
  <c r="AP85" i="12"/>
  <c r="AG85" i="12"/>
  <c r="AH85" i="12" s="1"/>
  <c r="AF85" i="12"/>
  <c r="AF104" i="12"/>
  <c r="AP104" i="12"/>
  <c r="AG104" i="12"/>
  <c r="AH104" i="12" s="1"/>
  <c r="AF108" i="12"/>
  <c r="AP108" i="12"/>
  <c r="AG108" i="12"/>
  <c r="AH108" i="12" s="1"/>
  <c r="AF112" i="12"/>
  <c r="AP112" i="12"/>
  <c r="AG112" i="12"/>
  <c r="AH112" i="12" s="1"/>
  <c r="AF116" i="12"/>
  <c r="AP116" i="12"/>
  <c r="AG116" i="12"/>
  <c r="AH116" i="12" s="1"/>
  <c r="AF120" i="12"/>
  <c r="AP120" i="12"/>
  <c r="AG120" i="12"/>
  <c r="AH120" i="12" s="1"/>
  <c r="AF124" i="12"/>
  <c r="AP124" i="12"/>
  <c r="AG124" i="12"/>
  <c r="AH124" i="12" s="1"/>
  <c r="AP89" i="12"/>
  <c r="AG89" i="12"/>
  <c r="AH89" i="12" s="1"/>
  <c r="AF89" i="12"/>
  <c r="AF93" i="12"/>
  <c r="AG93" i="12"/>
  <c r="AH93" i="12" s="1"/>
  <c r="AP93" i="12"/>
  <c r="AF97" i="12"/>
  <c r="AG97" i="12"/>
  <c r="AH97" i="12" s="1"/>
  <c r="AP97" i="12"/>
  <c r="AF101" i="12"/>
  <c r="AG101" i="12"/>
  <c r="AH101" i="12" s="1"/>
  <c r="AP101" i="12"/>
  <c r="DJ57" i="14"/>
  <c r="DL57" i="14"/>
  <c r="DM57" i="14"/>
  <c r="DQ57" i="14"/>
  <c r="DL97" i="14"/>
  <c r="DJ97" i="14"/>
  <c r="DM97" i="14"/>
  <c r="DQ97" i="14"/>
  <c r="DO97" i="14"/>
  <c r="DJ59" i="14"/>
  <c r="DL59" i="14"/>
  <c r="DM59" i="14"/>
  <c r="DQ59" i="14"/>
  <c r="DO59" i="14"/>
  <c r="DJ79" i="14"/>
  <c r="DL79" i="14"/>
  <c r="DQ79" i="14"/>
  <c r="DM79" i="14"/>
  <c r="DL8" i="14"/>
  <c r="DJ8" i="14"/>
  <c r="DM8" i="14"/>
  <c r="DQ8" i="14"/>
  <c r="DO8" i="14"/>
  <c r="DL28" i="14"/>
  <c r="DJ28" i="14"/>
  <c r="DQ28" i="14"/>
  <c r="DM28" i="14"/>
  <c r="DL25" i="14"/>
  <c r="DJ25" i="14"/>
  <c r="DM25" i="14"/>
  <c r="DQ25" i="14"/>
  <c r="DO25" i="14"/>
  <c r="DJ66" i="14"/>
  <c r="DL66" i="14"/>
  <c r="DQ66" i="14"/>
  <c r="DM66" i="14"/>
  <c r="DL77" i="14"/>
  <c r="DJ77" i="14"/>
  <c r="DM77" i="14"/>
  <c r="DQ77" i="14"/>
  <c r="DO77" i="14"/>
  <c r="DL98" i="14"/>
  <c r="DJ98" i="14"/>
  <c r="DM98" i="14"/>
  <c r="DQ98" i="14"/>
  <c r="DL54" i="14"/>
  <c r="DJ54" i="14"/>
  <c r="DM54" i="14"/>
  <c r="DQ54" i="14"/>
  <c r="DO54" i="14"/>
  <c r="DJ101" i="14"/>
  <c r="DL101" i="14"/>
  <c r="DQ101" i="14"/>
  <c r="DM101" i="14"/>
  <c r="DL24" i="14"/>
  <c r="DJ24" i="14"/>
  <c r="DQ24" i="14"/>
  <c r="DM24" i="14"/>
  <c r="DO24" i="14"/>
  <c r="AN6" i="12"/>
  <c r="AX6" i="12"/>
  <c r="AN45" i="12"/>
  <c r="AX45" i="12"/>
  <c r="AN61" i="12"/>
  <c r="AX61" i="12"/>
  <c r="AN65" i="12"/>
  <c r="AX65" i="12"/>
  <c r="AN117" i="12"/>
  <c r="AX117" i="12"/>
  <c r="AN36" i="12"/>
  <c r="AX36" i="12"/>
  <c r="AL123" i="12"/>
  <c r="AJ123" i="12"/>
  <c r="AQ123" i="12"/>
  <c r="AM123" i="12"/>
  <c r="AO123" i="12"/>
  <c r="AO126" i="12" s="1"/>
  <c r="AN67" i="12"/>
  <c r="AX67" i="12"/>
  <c r="AN64" i="12"/>
  <c r="AX64" i="12"/>
  <c r="AN62" i="12"/>
  <c r="AX62" i="12"/>
  <c r="BB62" i="12" s="1"/>
  <c r="AN60" i="12"/>
  <c r="AX60" i="12"/>
  <c r="AN68" i="12"/>
  <c r="AX68" i="12"/>
  <c r="AN59" i="12"/>
  <c r="AX59" i="12"/>
  <c r="AN92" i="12"/>
  <c r="AX92" i="12"/>
  <c r="AN80" i="12"/>
  <c r="AX80" i="12"/>
  <c r="AN104" i="12"/>
  <c r="AX104" i="12"/>
  <c r="AN24" i="12"/>
  <c r="AX24" i="12"/>
  <c r="AN116" i="12"/>
  <c r="AX116" i="12"/>
  <c r="AN86" i="12"/>
  <c r="AX86" i="12"/>
  <c r="AN106" i="12"/>
  <c r="AX106" i="12"/>
  <c r="AN96" i="12"/>
  <c r="AX96" i="12"/>
  <c r="AN58" i="12"/>
  <c r="AX58" i="12"/>
  <c r="AN46" i="12"/>
  <c r="AX46" i="12"/>
  <c r="AN32" i="12"/>
  <c r="AX32" i="12"/>
  <c r="AN99" i="12"/>
  <c r="AX99" i="12"/>
  <c r="AN47" i="12"/>
  <c r="AX47" i="12"/>
  <c r="AN100" i="12"/>
  <c r="AX100" i="12"/>
  <c r="AN23" i="12"/>
  <c r="AX23" i="12"/>
  <c r="DL50" i="14"/>
  <c r="DJ50" i="14"/>
  <c r="DM50" i="14"/>
  <c r="DQ50" i="14"/>
  <c r="DL82" i="14"/>
  <c r="DJ82" i="14"/>
  <c r="DQ82" i="14"/>
  <c r="DM82" i="14"/>
  <c r="DO90" i="14"/>
  <c r="DL90" i="14"/>
  <c r="DJ90" i="14"/>
  <c r="DM90" i="14"/>
  <c r="DQ90" i="14"/>
  <c r="DL46" i="14"/>
  <c r="DJ46" i="14"/>
  <c r="DM46" i="14"/>
  <c r="DQ46" i="14"/>
  <c r="DL14" i="14"/>
  <c r="DJ14" i="14"/>
  <c r="DQ14" i="14"/>
  <c r="DM14" i="14"/>
  <c r="DJ70" i="14"/>
  <c r="DL70" i="14"/>
  <c r="DQ70" i="14"/>
  <c r="DM70" i="14"/>
  <c r="DO70" i="14"/>
  <c r="DJ49" i="14"/>
  <c r="DL49" i="14"/>
  <c r="DM49" i="14"/>
  <c r="DQ49" i="14"/>
  <c r="DO49" i="14"/>
  <c r="DJ29" i="14"/>
  <c r="DL29" i="14"/>
  <c r="DQ29" i="14"/>
  <c r="DM29" i="14"/>
  <c r="DO29" i="14"/>
  <c r="DL52" i="14"/>
  <c r="DJ52" i="14"/>
  <c r="DM52" i="14"/>
  <c r="DQ52" i="14"/>
  <c r="DO52" i="14"/>
  <c r="DJ81" i="14"/>
  <c r="DL81" i="14"/>
  <c r="DQ81" i="14"/>
  <c r="DM81" i="14"/>
  <c r="DO81" i="14"/>
  <c r="DL87" i="14"/>
  <c r="DJ87" i="14"/>
  <c r="DQ87" i="14"/>
  <c r="DM87" i="14"/>
  <c r="DO73" i="14"/>
  <c r="DL58" i="14"/>
  <c r="DJ58" i="14"/>
  <c r="DQ58" i="14"/>
  <c r="DM58" i="14"/>
  <c r="DL91" i="14"/>
  <c r="DJ91" i="14"/>
  <c r="DM91" i="14"/>
  <c r="DQ91" i="14"/>
  <c r="DO91" i="14"/>
  <c r="DL18" i="14"/>
  <c r="DJ18" i="14"/>
  <c r="DM18" i="14"/>
  <c r="DQ18" i="14"/>
  <c r="DL5" i="14"/>
  <c r="DJ5" i="14"/>
  <c r="DQ5" i="14"/>
  <c r="DM5" i="14"/>
  <c r="DB126" i="14"/>
  <c r="DL80" i="14"/>
  <c r="DJ80" i="14"/>
  <c r="DM80" i="14"/>
  <c r="DQ80" i="14"/>
  <c r="DO86" i="14"/>
  <c r="DA143" i="14"/>
  <c r="DL27" i="14"/>
  <c r="DJ27" i="14"/>
  <c r="DQ27" i="14"/>
  <c r="DM27" i="14"/>
  <c r="DO27" i="14"/>
  <c r="AN9" i="12"/>
  <c r="AX9" i="12"/>
  <c r="AN37" i="12"/>
  <c r="AX37" i="12"/>
  <c r="BJ79" i="12"/>
  <c r="BL79" i="12"/>
  <c r="BJ101" i="12"/>
  <c r="BL101" i="12"/>
  <c r="BL7" i="12"/>
  <c r="BJ7" i="12"/>
  <c r="BL90" i="12"/>
  <c r="BJ90" i="12"/>
  <c r="BL82" i="12"/>
  <c r="BJ82" i="12"/>
  <c r="BJ74" i="12"/>
  <c r="BL74" i="12"/>
  <c r="BI126" i="12"/>
  <c r="BK180" i="12" s="1"/>
  <c r="BM180" i="12"/>
  <c r="BM177" i="12"/>
  <c r="BM175" i="12"/>
  <c r="BK128" i="12"/>
  <c r="BH4" i="12"/>
  <c r="BE1" i="12" s="1"/>
  <c r="BE4" i="12"/>
  <c r="BM178" i="12"/>
  <c r="BM176" i="12"/>
  <c r="BM174" i="12"/>
  <c r="BL4" i="12"/>
  <c r="BF4" i="12"/>
  <c r="BG4" i="12"/>
  <c r="AN15" i="12"/>
  <c r="AX15" i="12"/>
  <c r="AN44" i="12"/>
  <c r="AX44" i="12"/>
  <c r="DL104" i="14"/>
  <c r="DJ104" i="14"/>
  <c r="DQ104" i="14"/>
  <c r="DM104" i="14"/>
  <c r="DJ55" i="14"/>
  <c r="DL55" i="14"/>
  <c r="DM55" i="14"/>
  <c r="DQ55" i="14"/>
  <c r="DO55" i="14"/>
  <c r="DJ119" i="14"/>
  <c r="DL119" i="14"/>
  <c r="DQ119" i="14"/>
  <c r="DM119" i="14"/>
  <c r="DJ113" i="14"/>
  <c r="DL113" i="14"/>
  <c r="DM113" i="14"/>
  <c r="DQ113" i="14"/>
  <c r="DO113" i="14"/>
  <c r="DJ34" i="14"/>
  <c r="DL34" i="14"/>
  <c r="DQ34" i="14"/>
  <c r="DM34" i="14"/>
  <c r="DO34" i="14"/>
  <c r="DL124" i="14"/>
  <c r="DJ124" i="14"/>
  <c r="DM124" i="14"/>
  <c r="DQ124" i="14"/>
  <c r="DJ105" i="14"/>
  <c r="DL105" i="14"/>
  <c r="DQ105" i="14"/>
  <c r="DM105" i="14"/>
  <c r="DO28" i="14"/>
  <c r="DL33" i="14"/>
  <c r="DJ33" i="14"/>
  <c r="DQ33" i="14"/>
  <c r="DM33" i="14"/>
  <c r="DO33" i="14"/>
  <c r="DL121" i="14"/>
  <c r="DJ121" i="14"/>
  <c r="DQ121" i="14"/>
  <c r="DM121" i="14"/>
  <c r="DO121" i="14"/>
  <c r="DL112" i="14"/>
  <c r="DJ112" i="14"/>
  <c r="DM112" i="14"/>
  <c r="DQ112" i="14"/>
  <c r="DJ109" i="14"/>
  <c r="DL109" i="14"/>
  <c r="DQ109" i="14"/>
  <c r="DM109" i="14"/>
  <c r="DO85" i="14"/>
  <c r="DJ85" i="14"/>
  <c r="DL85" i="14"/>
  <c r="DM85" i="14"/>
  <c r="DQ85" i="14"/>
  <c r="DO57" i="14"/>
  <c r="DJ75" i="14"/>
  <c r="DL75" i="14"/>
  <c r="DQ75" i="14"/>
  <c r="DM75" i="14"/>
  <c r="DL39" i="14"/>
  <c r="DJ39" i="14"/>
  <c r="DM39" i="14"/>
  <c r="DQ39" i="14"/>
  <c r="DO39" i="14"/>
  <c r="DJ89" i="14"/>
  <c r="DL89" i="14"/>
  <c r="DQ89" i="14"/>
  <c r="DM89" i="14"/>
  <c r="DO89" i="14"/>
  <c r="DL122" i="14"/>
  <c r="DJ122" i="14"/>
  <c r="DM122" i="14"/>
  <c r="DQ122" i="14"/>
  <c r="DO101" i="14"/>
  <c r="DL62" i="14"/>
  <c r="DJ62" i="14"/>
  <c r="DM62" i="14"/>
  <c r="DQ62" i="14"/>
  <c r="DJ26" i="14"/>
  <c r="DL26" i="14"/>
  <c r="DM26" i="14"/>
  <c r="DQ26" i="14"/>
  <c r="DO26" i="14"/>
  <c r="CX183" i="14"/>
  <c r="CW183" i="14" s="1"/>
  <c r="CX188" i="14"/>
  <c r="AN8" i="12"/>
  <c r="AX8" i="12"/>
  <c r="AN63" i="12"/>
  <c r="AX63" i="12"/>
  <c r="AN72" i="12"/>
  <c r="AX72" i="12"/>
  <c r="AN70" i="12"/>
  <c r="AX70" i="12"/>
  <c r="BB70" i="12" s="1"/>
  <c r="AN109" i="12"/>
  <c r="AX109" i="12"/>
  <c r="AN57" i="12"/>
  <c r="AX57" i="12"/>
  <c r="AN78" i="12"/>
  <c r="AX78" i="12"/>
  <c r="BB96" i="12"/>
  <c r="AN56" i="12"/>
  <c r="AX56" i="12"/>
  <c r="AN105" i="12"/>
  <c r="AX105" i="12"/>
  <c r="AN84" i="12"/>
  <c r="AX84" i="12"/>
  <c r="AN93" i="12"/>
  <c r="AX93" i="12"/>
  <c r="BB93" i="12" s="1"/>
  <c r="AN85" i="12"/>
  <c r="AX85" i="12"/>
  <c r="AL126" i="12"/>
  <c r="AJ126" i="12"/>
  <c r="AK176" i="12" s="1"/>
  <c r="AN103" i="12"/>
  <c r="AX103" i="12"/>
  <c r="BB103" i="12" s="1"/>
  <c r="AN115" i="12"/>
  <c r="AX115" i="12"/>
  <c r="AN95" i="12"/>
  <c r="AX95" i="12"/>
  <c r="AN87" i="12"/>
  <c r="AX87" i="12"/>
  <c r="AN43" i="12"/>
  <c r="AX43" i="12"/>
  <c r="AN35" i="12"/>
  <c r="AX35" i="12"/>
  <c r="BB104" i="12"/>
  <c r="BB17" i="12"/>
  <c r="BB67" i="12"/>
  <c r="DJ42" i="14"/>
  <c r="DL42" i="14"/>
  <c r="DM42" i="14"/>
  <c r="DQ42" i="14"/>
  <c r="DJ65" i="14"/>
  <c r="DL65" i="14"/>
  <c r="DQ65" i="14"/>
  <c r="DM65" i="14"/>
  <c r="DL56" i="14"/>
  <c r="DJ56" i="14"/>
  <c r="DQ56" i="14"/>
  <c r="DM56" i="14"/>
  <c r="DL107" i="14"/>
  <c r="DJ107" i="14"/>
  <c r="DM107" i="14"/>
  <c r="DQ107" i="14"/>
  <c r="DO125" i="14"/>
  <c r="DL125" i="14"/>
  <c r="DJ125" i="14"/>
  <c r="DM125" i="14"/>
  <c r="DQ125" i="14"/>
  <c r="DJ67" i="14"/>
  <c r="DL67" i="14"/>
  <c r="DM67" i="14"/>
  <c r="DQ67" i="14"/>
  <c r="DO67" i="14"/>
  <c r="DL106" i="14"/>
  <c r="DJ106" i="14"/>
  <c r="DQ106" i="14"/>
  <c r="DM106" i="14"/>
  <c r="DL60" i="14"/>
  <c r="DJ60" i="14"/>
  <c r="DQ60" i="14"/>
  <c r="DM60" i="14"/>
  <c r="DO60" i="14"/>
  <c r="DL22" i="14"/>
  <c r="DJ22" i="14"/>
  <c r="DQ22" i="14"/>
  <c r="DM22" i="14"/>
  <c r="DO22" i="14"/>
  <c r="DJ44" i="14"/>
  <c r="DL44" i="14"/>
  <c r="DQ44" i="14"/>
  <c r="DM44" i="14"/>
  <c r="DJ37" i="14"/>
  <c r="DL37" i="14"/>
  <c r="DQ37" i="14"/>
  <c r="DM37" i="14"/>
  <c r="DO37" i="14"/>
  <c r="DJ61" i="14"/>
  <c r="DL61" i="14"/>
  <c r="DQ61" i="14"/>
  <c r="DM61" i="14"/>
  <c r="DO61" i="14"/>
  <c r="DJ68" i="14"/>
  <c r="DL68" i="14"/>
  <c r="DQ68" i="14"/>
  <c r="DM68" i="14"/>
  <c r="DJ88" i="14"/>
  <c r="DL88" i="14"/>
  <c r="DQ88" i="14"/>
  <c r="DM88" i="14"/>
  <c r="AN114" i="12"/>
  <c r="AX114" i="12"/>
  <c r="AN33" i="12"/>
  <c r="AX33" i="12"/>
  <c r="AR125" i="12"/>
  <c r="AR123" i="12"/>
  <c r="AR121" i="12"/>
  <c r="AR119" i="12"/>
  <c r="AR117" i="12"/>
  <c r="AR115" i="12"/>
  <c r="AR113" i="12"/>
  <c r="AR111" i="12"/>
  <c r="AR109" i="12"/>
  <c r="AR107" i="12"/>
  <c r="AR105" i="12"/>
  <c r="AR103" i="12"/>
  <c r="AR101" i="12"/>
  <c r="AR99" i="12"/>
  <c r="AR97" i="12"/>
  <c r="AR95" i="12"/>
  <c r="AR93" i="12"/>
  <c r="AR91" i="12"/>
  <c r="AR89" i="12"/>
  <c r="AR87" i="12"/>
  <c r="AR85" i="12"/>
  <c r="AR83" i="12"/>
  <c r="AR81" i="12"/>
  <c r="AR79" i="12"/>
  <c r="AR77" i="12"/>
  <c r="AR75" i="12"/>
  <c r="AR73" i="12"/>
  <c r="AR71" i="12"/>
  <c r="AR69" i="12"/>
  <c r="AR67" i="12"/>
  <c r="AR65" i="12"/>
  <c r="AR63" i="12"/>
  <c r="AR61" i="12"/>
  <c r="AR59" i="12"/>
  <c r="AR57" i="12"/>
  <c r="AR55" i="12"/>
  <c r="AR53" i="12"/>
  <c r="AR51" i="12"/>
  <c r="AR49" i="12"/>
  <c r="AR47" i="12"/>
  <c r="AR45" i="12"/>
  <c r="AR43" i="12"/>
  <c r="AR41" i="12"/>
  <c r="AR39" i="12"/>
  <c r="AR37" i="12"/>
  <c r="AR35" i="12"/>
  <c r="AR33" i="12"/>
  <c r="AR31" i="12"/>
  <c r="AR29" i="12"/>
  <c r="AR27" i="12"/>
  <c r="AR25" i="12"/>
  <c r="AR23" i="12"/>
  <c r="AR21" i="12"/>
  <c r="AR19" i="12"/>
  <c r="AR17" i="12"/>
  <c r="AR15" i="12"/>
  <c r="AR13" i="12"/>
  <c r="AR11" i="12"/>
  <c r="AR9" i="12"/>
  <c r="AR7" i="12"/>
  <c r="AR5" i="12"/>
  <c r="AR124" i="12"/>
  <c r="AR122" i="12"/>
  <c r="AR120" i="12"/>
  <c r="AR118" i="12"/>
  <c r="AR116" i="12"/>
  <c r="AR114" i="12"/>
  <c r="AR112" i="12"/>
  <c r="AR110" i="12"/>
  <c r="AR108" i="12"/>
  <c r="AR106" i="12"/>
  <c r="AR104" i="12"/>
  <c r="AR102" i="12"/>
  <c r="AR100" i="12"/>
  <c r="AR98" i="12"/>
  <c r="AR96" i="12"/>
  <c r="AR94" i="12"/>
  <c r="AR92" i="12"/>
  <c r="AR90" i="12"/>
  <c r="AR88" i="12"/>
  <c r="AR86" i="12"/>
  <c r="AR84" i="12"/>
  <c r="AR82" i="12"/>
  <c r="AR80" i="12"/>
  <c r="AR78" i="12"/>
  <c r="AR76" i="12"/>
  <c r="AR74" i="12"/>
  <c r="AR72" i="12"/>
  <c r="AR70" i="12"/>
  <c r="AR68" i="12"/>
  <c r="AR66" i="12"/>
  <c r="AR64" i="12"/>
  <c r="AR62" i="12"/>
  <c r="AR60" i="12"/>
  <c r="AR58" i="12"/>
  <c r="AR56" i="12"/>
  <c r="AR54" i="12"/>
  <c r="AR52" i="12"/>
  <c r="AR50" i="12"/>
  <c r="AR48" i="12"/>
  <c r="AR46" i="12"/>
  <c r="AR44" i="12"/>
  <c r="AR42" i="12"/>
  <c r="AR40" i="12"/>
  <c r="AR38" i="12"/>
  <c r="AR36" i="12"/>
  <c r="AR34" i="12"/>
  <c r="AR32" i="12"/>
  <c r="AR30" i="12"/>
  <c r="AR28" i="12"/>
  <c r="AR26" i="12"/>
  <c r="AR24" i="12"/>
  <c r="AR22" i="12"/>
  <c r="AR20" i="12"/>
  <c r="AR18" i="12"/>
  <c r="AR16" i="12"/>
  <c r="AR14" i="12"/>
  <c r="AR12" i="12"/>
  <c r="AR10" i="12"/>
  <c r="AR8" i="12"/>
  <c r="AR6" i="12"/>
  <c r="AN52" i="12"/>
  <c r="AX52" i="12"/>
  <c r="AP17" i="12"/>
  <c r="AG17" i="12"/>
  <c r="AH17" i="12" s="1"/>
  <c r="AF17" i="12"/>
  <c r="AP21" i="12"/>
  <c r="AG21" i="12"/>
  <c r="AH21" i="12" s="1"/>
  <c r="AF21" i="12"/>
  <c r="AP25" i="12"/>
  <c r="AG25" i="12"/>
  <c r="AH25" i="12" s="1"/>
  <c r="AF25" i="12"/>
  <c r="AP29" i="12"/>
  <c r="AG29" i="12"/>
  <c r="AH29" i="12" s="1"/>
  <c r="AF29" i="12"/>
  <c r="AP33" i="12"/>
  <c r="AG33" i="12"/>
  <c r="AH33" i="12" s="1"/>
  <c r="AF33" i="12"/>
  <c r="AP37" i="12"/>
  <c r="AG37" i="12"/>
  <c r="AH37" i="12" s="1"/>
  <c r="AF37" i="12"/>
  <c r="AP8" i="12"/>
  <c r="AG8" i="12"/>
  <c r="AH8" i="12" s="1"/>
  <c r="AF8" i="12"/>
  <c r="AP13" i="12"/>
  <c r="AG13" i="12"/>
  <c r="AH13" i="12" s="1"/>
  <c r="AF13" i="12"/>
  <c r="AG40" i="12"/>
  <c r="AH40" i="12" s="1"/>
  <c r="AP40" i="12"/>
  <c r="AF40" i="12"/>
  <c r="AG44" i="12"/>
  <c r="AH44" i="12" s="1"/>
  <c r="AP44" i="12"/>
  <c r="AF44" i="12"/>
  <c r="AG48" i="12"/>
  <c r="AH48" i="12" s="1"/>
  <c r="AF48" i="12"/>
  <c r="AP48" i="12"/>
  <c r="AG52" i="12"/>
  <c r="AH52" i="12" s="1"/>
  <c r="AF52" i="12"/>
  <c r="AP52" i="12"/>
  <c r="AG56" i="12"/>
  <c r="AH56" i="12" s="1"/>
  <c r="AF56" i="12"/>
  <c r="AP56" i="12"/>
  <c r="AG60" i="12"/>
  <c r="AH60" i="12" s="1"/>
  <c r="AF60" i="12"/>
  <c r="AP60" i="12"/>
  <c r="AG64" i="12"/>
  <c r="AH64" i="12" s="1"/>
  <c r="AF64" i="12"/>
  <c r="AP64" i="12"/>
  <c r="AG68" i="12"/>
  <c r="AH68" i="12" s="1"/>
  <c r="AF68" i="12"/>
  <c r="AP68" i="12"/>
  <c r="AG72" i="12"/>
  <c r="AH72" i="12" s="1"/>
  <c r="AF72" i="12"/>
  <c r="AP72" i="12"/>
  <c r="AG76" i="12"/>
  <c r="AH76" i="12" s="1"/>
  <c r="AF76" i="12"/>
  <c r="AP76" i="12"/>
  <c r="AG80" i="12"/>
  <c r="AH80" i="12" s="1"/>
  <c r="AF80" i="12"/>
  <c r="AP80" i="12"/>
  <c r="AG84" i="12"/>
  <c r="AH84" i="12" s="1"/>
  <c r="AF84" i="12"/>
  <c r="AP84" i="12"/>
  <c r="AP103" i="12"/>
  <c r="AG103" i="12"/>
  <c r="AH103" i="12" s="1"/>
  <c r="AF103" i="12"/>
  <c r="AP107" i="12"/>
  <c r="AG107" i="12"/>
  <c r="AH107" i="12" s="1"/>
  <c r="AF107" i="12"/>
  <c r="AP111" i="12"/>
  <c r="AG111" i="12"/>
  <c r="AH111" i="12" s="1"/>
  <c r="AF111" i="12"/>
  <c r="AP115" i="12"/>
  <c r="AG115" i="12"/>
  <c r="AH115" i="12" s="1"/>
  <c r="AF115" i="12"/>
  <c r="AP119" i="12"/>
  <c r="AG119" i="12"/>
  <c r="AH119" i="12" s="1"/>
  <c r="AF119" i="12"/>
  <c r="AP123" i="12"/>
  <c r="AG123" i="12"/>
  <c r="AH123" i="12" s="1"/>
  <c r="AF123" i="12"/>
  <c r="AG88" i="12"/>
  <c r="AH88" i="12" s="1"/>
  <c r="AF88" i="12"/>
  <c r="AP88" i="12"/>
  <c r="AG92" i="12"/>
  <c r="AH92" i="12" s="1"/>
  <c r="AP92" i="12"/>
  <c r="AF92" i="12"/>
  <c r="AG96" i="12"/>
  <c r="AH96" i="12" s="1"/>
  <c r="AP96" i="12"/>
  <c r="AF96" i="12"/>
  <c r="AG100" i="12"/>
  <c r="AH100" i="12" s="1"/>
  <c r="AP100" i="12"/>
  <c r="AF100" i="12"/>
  <c r="AF16" i="12"/>
  <c r="AP16" i="12"/>
  <c r="AG16" i="12"/>
  <c r="AH16" i="12" s="1"/>
  <c r="AF20" i="12"/>
  <c r="AP20" i="12"/>
  <c r="AG20" i="12"/>
  <c r="AH20" i="12" s="1"/>
  <c r="AF24" i="12"/>
  <c r="AP24" i="12"/>
  <c r="AG24" i="12"/>
  <c r="AH24" i="12" s="1"/>
  <c r="AF28" i="12"/>
  <c r="AP28" i="12"/>
  <c r="AG28" i="12"/>
  <c r="AH28" i="12" s="1"/>
  <c r="AF32" i="12"/>
  <c r="AP32" i="12"/>
  <c r="AG32" i="12"/>
  <c r="AH32" i="12" s="1"/>
  <c r="AF36" i="12"/>
  <c r="AP36" i="12"/>
  <c r="AG36" i="12"/>
  <c r="AH36" i="12" s="1"/>
  <c r="AP7" i="12"/>
  <c r="AG7" i="12"/>
  <c r="AH7" i="12" s="1"/>
  <c r="AF7" i="12"/>
  <c r="AP12" i="12"/>
  <c r="AG12" i="12"/>
  <c r="AH12" i="12" s="1"/>
  <c r="AF12" i="12"/>
  <c r="AG39" i="12"/>
  <c r="AH39" i="12" s="1"/>
  <c r="AP39" i="12"/>
  <c r="AF39" i="12"/>
  <c r="AG43" i="12"/>
  <c r="AH43" i="12" s="1"/>
  <c r="AP43" i="12"/>
  <c r="AF43" i="12"/>
  <c r="AG47" i="12"/>
  <c r="AH47" i="12" s="1"/>
  <c r="AP47" i="12"/>
  <c r="AF47" i="12"/>
  <c r="AG51" i="12"/>
  <c r="AH51" i="12" s="1"/>
  <c r="AF51" i="12"/>
  <c r="AP51" i="12"/>
  <c r="AG55" i="12"/>
  <c r="AH55" i="12" s="1"/>
  <c r="AF55" i="12"/>
  <c r="AP55" i="12"/>
  <c r="AG59" i="12"/>
  <c r="AH59" i="12" s="1"/>
  <c r="AF59" i="12"/>
  <c r="AP59" i="12"/>
  <c r="AG63" i="12"/>
  <c r="AH63" i="12" s="1"/>
  <c r="AF63" i="12"/>
  <c r="AP63" i="12"/>
  <c r="AG67" i="12"/>
  <c r="AH67" i="12" s="1"/>
  <c r="AF67" i="12"/>
  <c r="AP67" i="12"/>
  <c r="AG71" i="12"/>
  <c r="AH71" i="12" s="1"/>
  <c r="AF71" i="12"/>
  <c r="AP71" i="12"/>
  <c r="AG75" i="12"/>
  <c r="AH75" i="12" s="1"/>
  <c r="AF75" i="12"/>
  <c r="AP75" i="12"/>
  <c r="AG79" i="12"/>
  <c r="AH79" i="12" s="1"/>
  <c r="AF79" i="12"/>
  <c r="AP79" i="12"/>
  <c r="AG83" i="12"/>
  <c r="AH83" i="12" s="1"/>
  <c r="AF83" i="12"/>
  <c r="AP83" i="12"/>
  <c r="AP102" i="12"/>
  <c r="AG102" i="12"/>
  <c r="AH102" i="12" s="1"/>
  <c r="AF102" i="12"/>
  <c r="AP106" i="12"/>
  <c r="AG106" i="12"/>
  <c r="AH106" i="12" s="1"/>
  <c r="AF106" i="12"/>
  <c r="AP110" i="12"/>
  <c r="AG110" i="12"/>
  <c r="AH110" i="12" s="1"/>
  <c r="AF110" i="12"/>
  <c r="AP114" i="12"/>
  <c r="AG114" i="12"/>
  <c r="AH114" i="12" s="1"/>
  <c r="AF114" i="12"/>
  <c r="AP118" i="12"/>
  <c r="AG118" i="12"/>
  <c r="AH118" i="12" s="1"/>
  <c r="AF118" i="12"/>
  <c r="AP122" i="12"/>
  <c r="AG122" i="12"/>
  <c r="AH122" i="12" s="1"/>
  <c r="AF122" i="12"/>
  <c r="AG87" i="12"/>
  <c r="AH87" i="12" s="1"/>
  <c r="AF87" i="12"/>
  <c r="AP87" i="12"/>
  <c r="AG91" i="12"/>
  <c r="AH91" i="12" s="1"/>
  <c r="AP91" i="12"/>
  <c r="AF91" i="12"/>
  <c r="AG95" i="12"/>
  <c r="AH95" i="12" s="1"/>
  <c r="AP95" i="12"/>
  <c r="AF95" i="12"/>
  <c r="AG99" i="12"/>
  <c r="AH99" i="12" s="1"/>
  <c r="AP99" i="12"/>
  <c r="AF99" i="12"/>
  <c r="BB72" i="12"/>
  <c r="BB63" i="12"/>
  <c r="BB6" i="12"/>
  <c r="DL40" i="14"/>
  <c r="DJ40" i="14"/>
  <c r="DQ40" i="14"/>
  <c r="DM40" i="14"/>
  <c r="DO40" i="14"/>
  <c r="DJ64" i="14"/>
  <c r="DL64" i="14"/>
  <c r="DM64" i="14"/>
  <c r="DQ64" i="14"/>
  <c r="DO64" i="14"/>
  <c r="DL117" i="14"/>
  <c r="DJ117" i="14"/>
  <c r="DM117" i="14"/>
  <c r="DQ117" i="14"/>
  <c r="DJ38" i="14"/>
  <c r="DL38" i="14"/>
  <c r="DM38" i="14"/>
  <c r="DQ38" i="14"/>
  <c r="DJ31" i="14"/>
  <c r="DL31" i="14"/>
  <c r="DQ31" i="14"/>
  <c r="DM31" i="14"/>
  <c r="DJ16" i="14"/>
  <c r="DL16" i="14"/>
  <c r="DQ16" i="14"/>
  <c r="DM16" i="14"/>
  <c r="DO16" i="14"/>
  <c r="DL30" i="14"/>
  <c r="DJ30" i="14"/>
  <c r="DM30" i="14"/>
  <c r="DQ30" i="14"/>
  <c r="DL63" i="14"/>
  <c r="DJ63" i="14"/>
  <c r="DQ63" i="14"/>
  <c r="DM63" i="14"/>
  <c r="DA92" i="14"/>
  <c r="DK92" i="14"/>
  <c r="DJ74" i="14"/>
  <c r="DL74" i="14"/>
  <c r="DQ74" i="14"/>
  <c r="DM74" i="14"/>
  <c r="DJ100" i="14"/>
  <c r="DL100" i="14"/>
  <c r="DQ100" i="14"/>
  <c r="DM100" i="14"/>
  <c r="DO100" i="14"/>
  <c r="DJ35" i="14"/>
  <c r="DL35" i="14"/>
  <c r="DQ35" i="14"/>
  <c r="DM35" i="14"/>
  <c r="DO35" i="14"/>
  <c r="DO66" i="14"/>
  <c r="DJ76" i="14"/>
  <c r="DL76" i="14"/>
  <c r="DQ76" i="14"/>
  <c r="DM76" i="14"/>
  <c r="DL36" i="14"/>
  <c r="DJ36" i="14"/>
  <c r="DM36" i="14"/>
  <c r="DQ36" i="14"/>
  <c r="DO36" i="14"/>
  <c r="DL69" i="14"/>
  <c r="DJ69" i="14"/>
  <c r="DM69" i="14"/>
  <c r="DQ69" i="14"/>
  <c r="DL123" i="14"/>
  <c r="DJ123" i="14"/>
  <c r="DQ123" i="14"/>
  <c r="DM123" i="14"/>
  <c r="DO123" i="14"/>
  <c r="DL110" i="14"/>
  <c r="DJ110" i="14"/>
  <c r="DM110" i="14"/>
  <c r="DQ110" i="14"/>
  <c r="DO110" i="14"/>
  <c r="DJ102" i="14"/>
  <c r="DL102" i="14"/>
  <c r="DQ102" i="14"/>
  <c r="DM102" i="14"/>
  <c r="CM151" i="14"/>
  <c r="AN10" i="12"/>
  <c r="AX10" i="12"/>
  <c r="AN13" i="12"/>
  <c r="AX13" i="12"/>
  <c r="AN71" i="12"/>
  <c r="AX71" i="12"/>
  <c r="AN113" i="12"/>
  <c r="AX113" i="12"/>
  <c r="AN21" i="12"/>
  <c r="AX21" i="12"/>
  <c r="AN110" i="12"/>
  <c r="AX110" i="12"/>
  <c r="AN19" i="12"/>
  <c r="AX19" i="12"/>
  <c r="AN11" i="12"/>
  <c r="AX11" i="12"/>
  <c r="AN108" i="12"/>
  <c r="AX108" i="12"/>
  <c r="AN14" i="12"/>
  <c r="AX14" i="12"/>
  <c r="AN49" i="12"/>
  <c r="AX49" i="12"/>
  <c r="AN76" i="12"/>
  <c r="AX76" i="12"/>
  <c r="BB99" i="12"/>
  <c r="BB32" i="12"/>
  <c r="AN48" i="12"/>
  <c r="AX48" i="12"/>
  <c r="BB48" i="12" s="1"/>
  <c r="BB23" i="12"/>
  <c r="BB84" i="12"/>
  <c r="AN28" i="12"/>
  <c r="AX28" i="12"/>
  <c r="AN98" i="12"/>
  <c r="AX98" i="12"/>
  <c r="AN89" i="12"/>
  <c r="AX89" i="12"/>
  <c r="AN81" i="12"/>
  <c r="AX81" i="12"/>
  <c r="BB81" i="12" s="1"/>
  <c r="BB106" i="12"/>
  <c r="AN119" i="12"/>
  <c r="AX119" i="12"/>
  <c r="AN102" i="12"/>
  <c r="AX102" i="12"/>
  <c r="AN22" i="12"/>
  <c r="AX22" i="12"/>
  <c r="BB22" i="12" s="1"/>
  <c r="AN91" i="12"/>
  <c r="AX91" i="12"/>
  <c r="AN83" i="12"/>
  <c r="AX83" i="12"/>
  <c r="BB83" i="12" s="1"/>
  <c r="AN39" i="12"/>
  <c r="AX39" i="12"/>
  <c r="AN31" i="12"/>
  <c r="AX31" i="12"/>
  <c r="DL116" i="14"/>
  <c r="DJ116" i="14"/>
  <c r="DQ116" i="14"/>
  <c r="DM116" i="14"/>
  <c r="DO116" i="14"/>
  <c r="DO56" i="14"/>
  <c r="DJ99" i="14"/>
  <c r="DL99" i="14"/>
  <c r="DM99" i="14"/>
  <c r="DQ99" i="14"/>
  <c r="DL83" i="14"/>
  <c r="DJ83" i="14"/>
  <c r="DM83" i="14"/>
  <c r="DQ83" i="14"/>
  <c r="DO103" i="14"/>
  <c r="DJ103" i="14"/>
  <c r="DL103" i="14"/>
  <c r="DM103" i="14"/>
  <c r="DQ103" i="14"/>
  <c r="DO46" i="14"/>
  <c r="DJ15" i="14"/>
  <c r="DL15" i="14"/>
  <c r="DQ15" i="14"/>
  <c r="DM15" i="14"/>
  <c r="DO15" i="14"/>
  <c r="DO32" i="14"/>
  <c r="DO114" i="14"/>
  <c r="DJ114" i="14"/>
  <c r="DL114" i="14"/>
  <c r="DQ114" i="14"/>
  <c r="DM114" i="14"/>
  <c r="DJ21" i="14"/>
  <c r="DL21" i="14"/>
  <c r="DQ21" i="14"/>
  <c r="DM21" i="14"/>
  <c r="DO21" i="14"/>
  <c r="DO106" i="14"/>
  <c r="DL17" i="14"/>
  <c r="DJ17" i="14"/>
  <c r="DM17" i="14"/>
  <c r="DQ17" i="14"/>
  <c r="DO17" i="14"/>
  <c r="DJ84" i="14"/>
  <c r="DL84" i="14"/>
  <c r="DM84" i="14"/>
  <c r="DQ84" i="14"/>
  <c r="DO84" i="14"/>
  <c r="DJ20" i="14"/>
  <c r="DL20" i="14"/>
  <c r="DM20" i="14"/>
  <c r="DQ20" i="14"/>
  <c r="DO20" i="14"/>
  <c r="CX175" i="14"/>
  <c r="DO5" i="14"/>
  <c r="DJ6" i="14"/>
  <c r="DL6" i="14"/>
  <c r="DQ6" i="14"/>
  <c r="DM6" i="14"/>
  <c r="DO6" i="14"/>
  <c r="DO68" i="14"/>
  <c r="DL120" i="14"/>
  <c r="DJ120" i="14"/>
  <c r="DM120" i="14"/>
  <c r="DQ120" i="14"/>
  <c r="DO120" i="14"/>
  <c r="DL7" i="14"/>
  <c r="DJ7" i="14"/>
  <c r="DQ7" i="14"/>
  <c r="DM7" i="14"/>
  <c r="DO7" i="14"/>
  <c r="DJ11" i="14"/>
  <c r="DL11" i="14"/>
  <c r="DM11" i="14"/>
  <c r="DQ11" i="14"/>
  <c r="DO11" i="14"/>
  <c r="AN118" i="12"/>
  <c r="AX118" i="12"/>
  <c r="BJ73" i="12"/>
  <c r="BL73" i="12"/>
  <c r="BL77" i="12"/>
  <c r="BJ77" i="12"/>
  <c r="BL97" i="12"/>
  <c r="BJ97" i="12"/>
  <c r="BJ112" i="12"/>
  <c r="BL112" i="12"/>
  <c r="BV125" i="12"/>
  <c r="BV123" i="12"/>
  <c r="BV121" i="12"/>
  <c r="BV119" i="12"/>
  <c r="BV117" i="12"/>
  <c r="BV115" i="12"/>
  <c r="BV113" i="12"/>
  <c r="BV111" i="12"/>
  <c r="BV109" i="12"/>
  <c r="BV107" i="12"/>
  <c r="BV105" i="12"/>
  <c r="BV103" i="12"/>
  <c r="BV101" i="12"/>
  <c r="BV99" i="12"/>
  <c r="BV97" i="12"/>
  <c r="BV95" i="12"/>
  <c r="BV94" i="12"/>
  <c r="BV92" i="12"/>
  <c r="BV90" i="12"/>
  <c r="BV88" i="12"/>
  <c r="BV86" i="12"/>
  <c r="BV84" i="12"/>
  <c r="BV82" i="12"/>
  <c r="BV80" i="12"/>
  <c r="BV78" i="12"/>
  <c r="BV76" i="12"/>
  <c r="BV74" i="12"/>
  <c r="BV72" i="12"/>
  <c r="BV70" i="12"/>
  <c r="BV68" i="12"/>
  <c r="BV66" i="12"/>
  <c r="BV64" i="12"/>
  <c r="BV62" i="12"/>
  <c r="BV60" i="12"/>
  <c r="BV58" i="12"/>
  <c r="BV56" i="12"/>
  <c r="BV54" i="12"/>
  <c r="BV52" i="12"/>
  <c r="BV50" i="12"/>
  <c r="BV48" i="12"/>
  <c r="BV37" i="12"/>
  <c r="BV35" i="12"/>
  <c r="BV33" i="12"/>
  <c r="BV31" i="12"/>
  <c r="BV29" i="12"/>
  <c r="BV27" i="12"/>
  <c r="BV25" i="12"/>
  <c r="BV23" i="12"/>
  <c r="BV21" i="12"/>
  <c r="BV19" i="12"/>
  <c r="BV17" i="12"/>
  <c r="BV15" i="12"/>
  <c r="BV13" i="12"/>
  <c r="BV11" i="12"/>
  <c r="BV9" i="12"/>
  <c r="BV7" i="12"/>
  <c r="BV5" i="12"/>
  <c r="CB4" i="12"/>
  <c r="BV4" i="12"/>
  <c r="BW4" i="12" s="1"/>
  <c r="CA4" i="12"/>
  <c r="BV45" i="12"/>
  <c r="BV43" i="12"/>
  <c r="BV41" i="12"/>
  <c r="BV39" i="12"/>
  <c r="CC4" i="12"/>
  <c r="BV124" i="12"/>
  <c r="BV122" i="12"/>
  <c r="BV120" i="12"/>
  <c r="BV118" i="12"/>
  <c r="BV116" i="12"/>
  <c r="BV114" i="12"/>
  <c r="BV112" i="12"/>
  <c r="BV110" i="12"/>
  <c r="BV108" i="12"/>
  <c r="BV106" i="12"/>
  <c r="BV104" i="12"/>
  <c r="BV102" i="12"/>
  <c r="BV100" i="12"/>
  <c r="BV98" i="12"/>
  <c r="BV96" i="12"/>
  <c r="BV93" i="12"/>
  <c r="BV91" i="12"/>
  <c r="BV89" i="12"/>
  <c r="BV87" i="12"/>
  <c r="BV85" i="12"/>
  <c r="BV83" i="12"/>
  <c r="BV81" i="12"/>
  <c r="BV79" i="12"/>
  <c r="BV77" i="12"/>
  <c r="BV75" i="12"/>
  <c r="BV73" i="12"/>
  <c r="BV71" i="12"/>
  <c r="BV69" i="12"/>
  <c r="BV67" i="12"/>
  <c r="BV65" i="12"/>
  <c r="BV63" i="12"/>
  <c r="BV61" i="12"/>
  <c r="BV59" i="12"/>
  <c r="BV57" i="12"/>
  <c r="BV55" i="12"/>
  <c r="BV53" i="12"/>
  <c r="BV51" i="12"/>
  <c r="BV49" i="12"/>
  <c r="BV47" i="12"/>
  <c r="BV36" i="12"/>
  <c r="BV34" i="12"/>
  <c r="BV32" i="12"/>
  <c r="BV30" i="12"/>
  <c r="BV28" i="12"/>
  <c r="BV26" i="12"/>
  <c r="BV24" i="12"/>
  <c r="BV22" i="12"/>
  <c r="BV20" i="12"/>
  <c r="BV18" i="12"/>
  <c r="BV16" i="12"/>
  <c r="BV14" i="12"/>
  <c r="BV12" i="12"/>
  <c r="BV10" i="12"/>
  <c r="BV8" i="12"/>
  <c r="BV6" i="12"/>
  <c r="CD4" i="12"/>
  <c r="BX4" i="12"/>
  <c r="CM4" i="12"/>
  <c r="BV46" i="12"/>
  <c r="BV44" i="12"/>
  <c r="BV42" i="12"/>
  <c r="BV40" i="12"/>
  <c r="BV38" i="12"/>
  <c r="BX74" i="12"/>
  <c r="CD74" i="12" s="1"/>
  <c r="BX82" i="12"/>
  <c r="BX90" i="12"/>
  <c r="CB90" i="12" s="1"/>
  <c r="BX112" i="12"/>
  <c r="BX7" i="12"/>
  <c r="CB7" i="12" s="1"/>
  <c r="CD112" i="12"/>
  <c r="BX97" i="12"/>
  <c r="CB97" i="12" s="1"/>
  <c r="CD82" i="12"/>
  <c r="BX79" i="12"/>
  <c r="BZ79" i="12" s="1"/>
  <c r="CA79" i="12" s="1"/>
  <c r="BX73" i="12"/>
  <c r="CD73" i="12" s="1"/>
  <c r="BZ7" i="12"/>
  <c r="CA7" i="12" s="1"/>
  <c r="BX77" i="12"/>
  <c r="BZ112" i="12"/>
  <c r="CA112" i="12" s="1"/>
  <c r="BX101" i="12"/>
  <c r="BZ82" i="12"/>
  <c r="CA82" i="12" s="1"/>
  <c r="CD101" i="12"/>
  <c r="CD79" i="12"/>
  <c r="CD77" i="12"/>
  <c r="BZ101" i="12"/>
  <c r="CA101" i="12" s="1"/>
  <c r="BZ77" i="12"/>
  <c r="CA77" i="12" s="1"/>
  <c r="BI134" i="12"/>
  <c r="BI138" i="12" s="1"/>
  <c r="BK181" i="12" s="1"/>
  <c r="AW181" i="12"/>
  <c r="AQ126" i="12"/>
  <c r="AN40" i="12"/>
  <c r="AX40" i="12"/>
  <c r="AN54" i="12"/>
  <c r="AX54" i="12"/>
  <c r="AN29" i="12"/>
  <c r="AX29" i="12"/>
  <c r="AN25" i="12"/>
  <c r="AX25" i="12"/>
  <c r="AN18" i="12"/>
  <c r="AX18" i="12"/>
  <c r="BB109" i="12"/>
  <c r="BO73" i="12"/>
  <c r="DJ115" i="14"/>
  <c r="DL115" i="14"/>
  <c r="DQ115" i="14"/>
  <c r="DM115" i="14"/>
  <c r="DL13" i="14"/>
  <c r="DJ13" i="14"/>
  <c r="DQ13" i="14"/>
  <c r="DM13" i="14"/>
  <c r="DO13" i="14"/>
  <c r="DJ12" i="14"/>
  <c r="DL12" i="14"/>
  <c r="DQ12" i="14"/>
  <c r="DM12" i="14"/>
  <c r="DO12" i="14"/>
  <c r="DA94" i="14"/>
  <c r="DA126" i="14" s="1"/>
  <c r="DK94" i="14"/>
  <c r="DL96" i="14"/>
  <c r="DJ96" i="14"/>
  <c r="DM96" i="14"/>
  <c r="DQ96" i="14"/>
  <c r="DO38" i="14"/>
  <c r="DL108" i="14"/>
  <c r="DJ108" i="14"/>
  <c r="DM108" i="14"/>
  <c r="DQ108" i="14"/>
  <c r="DL41" i="14"/>
  <c r="DJ41" i="14"/>
  <c r="DM41" i="14"/>
  <c r="DQ41" i="14"/>
  <c r="DO31" i="14"/>
  <c r="DO63" i="14"/>
  <c r="DJ78" i="14"/>
  <c r="DL78" i="14"/>
  <c r="DQ78" i="14"/>
  <c r="DM78" i="14"/>
  <c r="DL9" i="14"/>
  <c r="DJ9" i="14"/>
  <c r="DM9" i="14"/>
  <c r="DQ9" i="14"/>
  <c r="DL43" i="14"/>
  <c r="DJ43" i="14"/>
  <c r="DM43" i="14"/>
  <c r="DQ43" i="14"/>
  <c r="DO115" i="14"/>
  <c r="DL10" i="14"/>
  <c r="DJ10" i="14"/>
  <c r="DM10" i="14"/>
  <c r="DQ10" i="14"/>
  <c r="DO10" i="14"/>
  <c r="DO119" i="14"/>
  <c r="DL72" i="14"/>
  <c r="DJ72" i="14"/>
  <c r="DM72" i="14"/>
  <c r="DQ72" i="14"/>
  <c r="DO72" i="14"/>
  <c r="DO98" i="14"/>
  <c r="DL53" i="14"/>
  <c r="DJ53" i="14"/>
  <c r="DM53" i="14"/>
  <c r="DQ53" i="14"/>
  <c r="DJ118" i="14"/>
  <c r="DL118" i="14"/>
  <c r="DM118" i="14"/>
  <c r="DQ118" i="14"/>
  <c r="DO118" i="14"/>
  <c r="DO79" i="14"/>
  <c r="DJ23" i="14"/>
  <c r="DL23" i="14"/>
  <c r="DQ23" i="14"/>
  <c r="DM23" i="14"/>
  <c r="DO102" i="14"/>
  <c r="DJ19" i="14"/>
  <c r="DL19" i="14"/>
  <c r="DK130" i="14"/>
  <c r="DM19" i="14"/>
  <c r="DQ19" i="14"/>
  <c r="DO19" i="14"/>
  <c r="DJ111" i="14"/>
  <c r="DL111" i="14"/>
  <c r="DM111" i="14"/>
  <c r="DQ111" i="14"/>
  <c r="DO111" i="14"/>
  <c r="AN41" i="12"/>
  <c r="AX41" i="12"/>
  <c r="AN51" i="12"/>
  <c r="AX51" i="12"/>
  <c r="AN69" i="12"/>
  <c r="AX69" i="12"/>
  <c r="AN125" i="12"/>
  <c r="AX125" i="12"/>
  <c r="AN111" i="12"/>
  <c r="AX111" i="12"/>
  <c r="AN75" i="12"/>
  <c r="AX75" i="12"/>
  <c r="AN16" i="12"/>
  <c r="AX16" i="12"/>
  <c r="AN107" i="12"/>
  <c r="AX107" i="12"/>
  <c r="BB76" i="12"/>
  <c r="BB95" i="12"/>
  <c r="BO77" i="12"/>
  <c r="CB77" i="12" s="1"/>
  <c r="BB46" i="12"/>
  <c r="BB47" i="12"/>
  <c r="AN121" i="12"/>
  <c r="AX121" i="12"/>
  <c r="AN55" i="12"/>
  <c r="AX55" i="12"/>
  <c r="BB55" i="12" s="1"/>
  <c r="AN30" i="12"/>
  <c r="AX30" i="12"/>
  <c r="BO101" i="12"/>
  <c r="CB101" i="12" s="1"/>
  <c r="BB35" i="12"/>
  <c r="BB102" i="12"/>
  <c r="AN5" i="12"/>
  <c r="AM126" i="12"/>
  <c r="AX5" i="12"/>
  <c r="AK126" i="12"/>
  <c r="AK174" i="12"/>
  <c r="AK175" i="12" s="1"/>
  <c r="AN120" i="12"/>
  <c r="AX120" i="12"/>
  <c r="AN94" i="12"/>
  <c r="AX94" i="12"/>
  <c r="AN53" i="12"/>
  <c r="AX53" i="12"/>
  <c r="AN50" i="12"/>
  <c r="AX50" i="12"/>
  <c r="AN38" i="12"/>
  <c r="AX38" i="12"/>
  <c r="BO79" i="12"/>
  <c r="CB79" i="12" s="1"/>
  <c r="BB115" i="12"/>
  <c r="AN124" i="12"/>
  <c r="AX124" i="12"/>
  <c r="AN88" i="12"/>
  <c r="AX88" i="12"/>
  <c r="AN34" i="12"/>
  <c r="AX34" i="12"/>
  <c r="AN27" i="12"/>
  <c r="AX27" i="12"/>
  <c r="D16" i="17"/>
  <c r="E14" i="17"/>
  <c r="I27" i="17"/>
  <c r="E15" i="17"/>
  <c r="C19" i="17"/>
  <c r="W181" i="12"/>
  <c r="C15" i="17"/>
  <c r="C16" i="17" s="1"/>
  <c r="W183" i="12"/>
  <c r="AA143" i="12"/>
  <c r="Y151" i="12"/>
  <c r="AA147" i="12"/>
  <c r="AB126" i="12"/>
  <c r="AD164" i="12"/>
  <c r="AA126" i="12"/>
  <c r="X175" i="12"/>
  <c r="X177" i="12"/>
  <c r="X178" i="12" s="1"/>
  <c r="C72" i="10" s="1"/>
  <c r="T6" i="12"/>
  <c r="U6" i="12" s="1"/>
  <c r="AC6" i="12"/>
  <c r="S6" i="12"/>
  <c r="T10" i="12"/>
  <c r="U10" i="12" s="1"/>
  <c r="AC10" i="12"/>
  <c r="S10" i="12"/>
  <c r="T14" i="12"/>
  <c r="U14" i="12" s="1"/>
  <c r="AC14" i="12"/>
  <c r="S14" i="12"/>
  <c r="T18" i="12"/>
  <c r="U18" i="12" s="1"/>
  <c r="AC18" i="12"/>
  <c r="S18" i="12"/>
  <c r="AC23" i="12"/>
  <c r="T23" i="12"/>
  <c r="U23" i="12" s="1"/>
  <c r="S23" i="12"/>
  <c r="AC27" i="12"/>
  <c r="T27" i="12"/>
  <c r="U27" i="12" s="1"/>
  <c r="S27" i="12"/>
  <c r="AC31" i="12"/>
  <c r="T31" i="12"/>
  <c r="U31" i="12" s="1"/>
  <c r="S31" i="12"/>
  <c r="AC35" i="12"/>
  <c r="T35" i="12"/>
  <c r="U35" i="12" s="1"/>
  <c r="S35" i="12"/>
  <c r="AC39" i="12"/>
  <c r="T39" i="12"/>
  <c r="U39" i="12" s="1"/>
  <c r="S39" i="12"/>
  <c r="AC43" i="12"/>
  <c r="T43" i="12"/>
  <c r="U43" i="12" s="1"/>
  <c r="S43" i="12"/>
  <c r="AC48" i="12"/>
  <c r="S48" i="12"/>
  <c r="T48" i="12"/>
  <c r="U48" i="12" s="1"/>
  <c r="AC52" i="12"/>
  <c r="S52" i="12"/>
  <c r="T52" i="12"/>
  <c r="U52" i="12" s="1"/>
  <c r="T9" i="12"/>
  <c r="U9" i="12" s="1"/>
  <c r="AC9" i="12"/>
  <c r="S9" i="12"/>
  <c r="T13" i="12"/>
  <c r="U13" i="12" s="1"/>
  <c r="AC13" i="12"/>
  <c r="S13" i="12"/>
  <c r="T17" i="12"/>
  <c r="U17" i="12" s="1"/>
  <c r="AC17" i="12"/>
  <c r="S17" i="12"/>
  <c r="S21" i="12"/>
  <c r="AC21" i="12"/>
  <c r="T21" i="12"/>
  <c r="U21" i="12" s="1"/>
  <c r="T24" i="12"/>
  <c r="U24" i="12" s="1"/>
  <c r="AC24" i="12"/>
  <c r="S24" i="12"/>
  <c r="T28" i="12"/>
  <c r="U28" i="12" s="1"/>
  <c r="AC28" i="12"/>
  <c r="S28" i="12"/>
  <c r="T32" i="12"/>
  <c r="U32" i="12" s="1"/>
  <c r="AC32" i="12"/>
  <c r="S32" i="12"/>
  <c r="T36" i="12"/>
  <c r="U36" i="12" s="1"/>
  <c r="AC36" i="12"/>
  <c r="S36" i="12"/>
  <c r="T40" i="12"/>
  <c r="U40" i="12" s="1"/>
  <c r="AC40" i="12"/>
  <c r="S40" i="12"/>
  <c r="T44" i="12"/>
  <c r="U44" i="12" s="1"/>
  <c r="AC44" i="12"/>
  <c r="S44" i="12"/>
  <c r="T47" i="12"/>
  <c r="U47" i="12" s="1"/>
  <c r="AC47" i="12"/>
  <c r="S47" i="12"/>
  <c r="AC51" i="12"/>
  <c r="T51" i="12"/>
  <c r="U51" i="12" s="1"/>
  <c r="S51" i="12"/>
  <c r="AC54" i="12"/>
  <c r="S54" i="12"/>
  <c r="T54" i="12"/>
  <c r="U54" i="12" s="1"/>
  <c r="AC57" i="12"/>
  <c r="T57" i="12"/>
  <c r="U57" i="12" s="1"/>
  <c r="S57" i="12"/>
  <c r="T60" i="12"/>
  <c r="U60" i="12" s="1"/>
  <c r="AC60" i="12"/>
  <c r="S60" i="12"/>
  <c r="T64" i="12"/>
  <c r="U64" i="12" s="1"/>
  <c r="AC64" i="12"/>
  <c r="S64" i="12"/>
  <c r="T68" i="12"/>
  <c r="U68" i="12" s="1"/>
  <c r="AC68" i="12"/>
  <c r="S68" i="12"/>
  <c r="T72" i="12"/>
  <c r="U72" i="12" s="1"/>
  <c r="AC72" i="12"/>
  <c r="S72" i="12"/>
  <c r="T78" i="12"/>
  <c r="U78" i="12" s="1"/>
  <c r="S78" i="12"/>
  <c r="AC78" i="12"/>
  <c r="T82" i="12"/>
  <c r="U82" i="12" s="1"/>
  <c r="AC82" i="12"/>
  <c r="S82" i="12"/>
  <c r="T86" i="12"/>
  <c r="U86" i="12" s="1"/>
  <c r="AC86" i="12"/>
  <c r="S86" i="12"/>
  <c r="T90" i="12"/>
  <c r="U90" i="12" s="1"/>
  <c r="AC90" i="12"/>
  <c r="S90" i="12"/>
  <c r="AC58" i="12"/>
  <c r="S58" i="12"/>
  <c r="T58" i="12"/>
  <c r="U58" i="12" s="1"/>
  <c r="T63" i="12"/>
  <c r="U63" i="12" s="1"/>
  <c r="AC63" i="12"/>
  <c r="S63" i="12"/>
  <c r="T67" i="12"/>
  <c r="U67" i="12" s="1"/>
  <c r="AC67" i="12"/>
  <c r="S67" i="12"/>
  <c r="T71" i="12"/>
  <c r="U71" i="12" s="1"/>
  <c r="AC71" i="12"/>
  <c r="S71" i="12"/>
  <c r="S75" i="12"/>
  <c r="T75" i="12"/>
  <c r="U75" i="12" s="1"/>
  <c r="AC75" i="12"/>
  <c r="AC77" i="12"/>
  <c r="T77" i="12"/>
  <c r="U77" i="12" s="1"/>
  <c r="S77" i="12"/>
  <c r="T81" i="12"/>
  <c r="U81" i="12" s="1"/>
  <c r="AC81" i="12"/>
  <c r="S81" i="12"/>
  <c r="T85" i="12"/>
  <c r="U85" i="12" s="1"/>
  <c r="S85" i="12"/>
  <c r="T89" i="12"/>
  <c r="U89" i="12" s="1"/>
  <c r="AC89" i="12"/>
  <c r="S89" i="12"/>
  <c r="T93" i="12"/>
  <c r="U93" i="12" s="1"/>
  <c r="AC93" i="12"/>
  <c r="S93" i="12"/>
  <c r="T96" i="12"/>
  <c r="U96" i="12" s="1"/>
  <c r="S96" i="12"/>
  <c r="AC96" i="12"/>
  <c r="T100" i="12"/>
  <c r="U100" i="12" s="1"/>
  <c r="AC100" i="12"/>
  <c r="S100" i="12"/>
  <c r="T104" i="12"/>
  <c r="U104" i="12" s="1"/>
  <c r="S104" i="12"/>
  <c r="T108" i="12"/>
  <c r="U108" i="12" s="1"/>
  <c r="S108" i="12"/>
  <c r="T112" i="12"/>
  <c r="U112" i="12" s="1"/>
  <c r="AC112" i="12"/>
  <c r="S112" i="12"/>
  <c r="T115" i="12"/>
  <c r="U115" i="12" s="1"/>
  <c r="S115" i="12"/>
  <c r="AC115" i="12"/>
  <c r="T117" i="12"/>
  <c r="U117" i="12" s="1"/>
  <c r="S117" i="12"/>
  <c r="AC117" i="12"/>
  <c r="T119" i="12"/>
  <c r="U119" i="12" s="1"/>
  <c r="S119" i="12"/>
  <c r="AC119" i="12"/>
  <c r="T121" i="12"/>
  <c r="U121" i="12" s="1"/>
  <c r="AC121" i="12"/>
  <c r="S121" i="12"/>
  <c r="T125" i="12"/>
  <c r="U125" i="12" s="1"/>
  <c r="AC125" i="12"/>
  <c r="S125" i="12"/>
  <c r="T94" i="12"/>
  <c r="U94" i="12" s="1"/>
  <c r="AC94" i="12"/>
  <c r="S94" i="12"/>
  <c r="AC99" i="12"/>
  <c r="T99" i="12"/>
  <c r="U99" i="12" s="1"/>
  <c r="S99" i="12"/>
  <c r="S103" i="12"/>
  <c r="T103" i="12"/>
  <c r="U103" i="12" s="1"/>
  <c r="T107" i="12"/>
  <c r="U107" i="12" s="1"/>
  <c r="S107" i="12"/>
  <c r="T111" i="12"/>
  <c r="U111" i="12" s="1"/>
  <c r="AC111" i="12"/>
  <c r="S111" i="12"/>
  <c r="T122" i="12"/>
  <c r="U122" i="12" s="1"/>
  <c r="AC122" i="12"/>
  <c r="S122" i="12"/>
  <c r="S5" i="12"/>
  <c r="R126" i="12"/>
  <c r="AC5" i="12"/>
  <c r="T5" i="12"/>
  <c r="T8" i="12"/>
  <c r="U8" i="12" s="1"/>
  <c r="AC8" i="12"/>
  <c r="S8" i="12"/>
  <c r="T12" i="12"/>
  <c r="U12" i="12" s="1"/>
  <c r="AC12" i="12"/>
  <c r="S12" i="12"/>
  <c r="T16" i="12"/>
  <c r="U16" i="12" s="1"/>
  <c r="AC16" i="12"/>
  <c r="S16" i="12"/>
  <c r="T20" i="12"/>
  <c r="U20" i="12" s="1"/>
  <c r="AC20" i="12"/>
  <c r="S20" i="12"/>
  <c r="AC25" i="12"/>
  <c r="T25" i="12"/>
  <c r="U25" i="12" s="1"/>
  <c r="S25" i="12"/>
  <c r="AC29" i="12"/>
  <c r="T29" i="12"/>
  <c r="U29" i="12" s="1"/>
  <c r="S29" i="12"/>
  <c r="AC33" i="12"/>
  <c r="T33" i="12"/>
  <c r="U33" i="12" s="1"/>
  <c r="S33" i="12"/>
  <c r="AC37" i="12"/>
  <c r="T37" i="12"/>
  <c r="U37" i="12" s="1"/>
  <c r="S37" i="12"/>
  <c r="AC41" i="12"/>
  <c r="T41" i="12"/>
  <c r="U41" i="12" s="1"/>
  <c r="S41" i="12"/>
  <c r="AC45" i="12"/>
  <c r="T45" i="12"/>
  <c r="U45" i="12" s="1"/>
  <c r="S45" i="12"/>
  <c r="AC50" i="12"/>
  <c r="S50" i="12"/>
  <c r="T50" i="12"/>
  <c r="U50" i="12" s="1"/>
  <c r="T7" i="12"/>
  <c r="U7" i="12" s="1"/>
  <c r="AC7" i="12"/>
  <c r="S7" i="12"/>
  <c r="T11" i="12"/>
  <c r="U11" i="12" s="1"/>
  <c r="AC11" i="12"/>
  <c r="S11" i="12"/>
  <c r="T15" i="12"/>
  <c r="U15" i="12" s="1"/>
  <c r="AC15" i="12"/>
  <c r="S15" i="12"/>
  <c r="T19" i="12"/>
  <c r="U19" i="12" s="1"/>
  <c r="AC19" i="12"/>
  <c r="S19" i="12"/>
  <c r="T22" i="12"/>
  <c r="U22" i="12" s="1"/>
  <c r="AC22" i="12"/>
  <c r="S22" i="12"/>
  <c r="T26" i="12"/>
  <c r="U26" i="12" s="1"/>
  <c r="AC26" i="12"/>
  <c r="S26" i="12"/>
  <c r="T30" i="12"/>
  <c r="U30" i="12" s="1"/>
  <c r="AC30" i="12"/>
  <c r="S30" i="12"/>
  <c r="T34" i="12"/>
  <c r="U34" i="12" s="1"/>
  <c r="AC34" i="12"/>
  <c r="S34" i="12"/>
  <c r="T38" i="12"/>
  <c r="U38" i="12" s="1"/>
  <c r="AC38" i="12"/>
  <c r="S38" i="12"/>
  <c r="T42" i="12"/>
  <c r="U42" i="12" s="1"/>
  <c r="AC42" i="12"/>
  <c r="S42" i="12"/>
  <c r="T46" i="12"/>
  <c r="U46" i="12" s="1"/>
  <c r="AC46" i="12"/>
  <c r="S46" i="12"/>
  <c r="AC49" i="12"/>
  <c r="T49" i="12"/>
  <c r="U49" i="12" s="1"/>
  <c r="S49" i="12"/>
  <c r="AC53" i="12"/>
  <c r="T53" i="12"/>
  <c r="U53" i="12" s="1"/>
  <c r="S53" i="12"/>
  <c r="AC55" i="12"/>
  <c r="T55" i="12"/>
  <c r="U55" i="12" s="1"/>
  <c r="S55" i="12"/>
  <c r="T59" i="12"/>
  <c r="U59" i="12" s="1"/>
  <c r="S59" i="12"/>
  <c r="AC59" i="12"/>
  <c r="T62" i="12"/>
  <c r="U62" i="12" s="1"/>
  <c r="AC62" i="12"/>
  <c r="S62" i="12"/>
  <c r="T66" i="12"/>
  <c r="U66" i="12" s="1"/>
  <c r="AC66" i="12"/>
  <c r="S66" i="12"/>
  <c r="T70" i="12"/>
  <c r="U70" i="12" s="1"/>
  <c r="AC70" i="12"/>
  <c r="S70" i="12"/>
  <c r="T74" i="12"/>
  <c r="U74" i="12" s="1"/>
  <c r="AC74" i="12"/>
  <c r="S74" i="12"/>
  <c r="AC79" i="12"/>
  <c r="T79" i="12"/>
  <c r="U79" i="12" s="1"/>
  <c r="S79" i="12"/>
  <c r="T84" i="12"/>
  <c r="U84" i="12" s="1"/>
  <c r="S84" i="12"/>
  <c r="AC84" i="12"/>
  <c r="T88" i="12"/>
  <c r="U88" i="12" s="1"/>
  <c r="S88" i="12"/>
  <c r="AC88" i="12"/>
  <c r="AC56" i="12"/>
  <c r="S56" i="12"/>
  <c r="T56" i="12"/>
  <c r="U56" i="12" s="1"/>
  <c r="T61" i="12"/>
  <c r="U61" i="12" s="1"/>
  <c r="AC61" i="12"/>
  <c r="S61" i="12"/>
  <c r="T65" i="12"/>
  <c r="U65" i="12" s="1"/>
  <c r="AC65" i="12"/>
  <c r="S65" i="12"/>
  <c r="T69" i="12"/>
  <c r="U69" i="12" s="1"/>
  <c r="AC69" i="12"/>
  <c r="S69" i="12"/>
  <c r="T73" i="12"/>
  <c r="U73" i="12" s="1"/>
  <c r="AC73" i="12"/>
  <c r="S73" i="12"/>
  <c r="T76" i="12"/>
  <c r="U76" i="12" s="1"/>
  <c r="S76" i="12"/>
  <c r="AC76" i="12"/>
  <c r="T80" i="12"/>
  <c r="U80" i="12" s="1"/>
  <c r="S80" i="12"/>
  <c r="AC80" i="12"/>
  <c r="T83" i="12"/>
  <c r="U83" i="12" s="1"/>
  <c r="AC83" i="12"/>
  <c r="S83" i="12"/>
  <c r="T87" i="12"/>
  <c r="U87" i="12" s="1"/>
  <c r="AC87" i="12"/>
  <c r="S87" i="12"/>
  <c r="T91" i="12"/>
  <c r="U91" i="12" s="1"/>
  <c r="AC91" i="12"/>
  <c r="S91" i="12"/>
  <c r="T95" i="12"/>
  <c r="U95" i="12" s="1"/>
  <c r="AC95" i="12"/>
  <c r="S95" i="12"/>
  <c r="T98" i="12"/>
  <c r="U98" i="12" s="1"/>
  <c r="AC98" i="12"/>
  <c r="S98" i="12"/>
  <c r="T102" i="12"/>
  <c r="U102" i="12" s="1"/>
  <c r="S102" i="12"/>
  <c r="T106" i="12"/>
  <c r="U106" i="12" s="1"/>
  <c r="S106" i="12"/>
  <c r="T110" i="12"/>
  <c r="U110" i="12" s="1"/>
  <c r="AC110" i="12"/>
  <c r="S110" i="12"/>
  <c r="T114" i="12"/>
  <c r="U114" i="12" s="1"/>
  <c r="AC114" i="12"/>
  <c r="S114" i="12"/>
  <c r="T116" i="12"/>
  <c r="U116" i="12" s="1"/>
  <c r="AC116" i="12"/>
  <c r="S116" i="12"/>
  <c r="T118" i="12"/>
  <c r="U118" i="12" s="1"/>
  <c r="AC118" i="12"/>
  <c r="S118" i="12"/>
  <c r="T120" i="12"/>
  <c r="U120" i="12" s="1"/>
  <c r="AC120" i="12"/>
  <c r="S120" i="12"/>
  <c r="T123" i="12"/>
  <c r="U123" i="12" s="1"/>
  <c r="AC123" i="12"/>
  <c r="S123" i="12"/>
  <c r="T92" i="12"/>
  <c r="U92" i="12" s="1"/>
  <c r="S92" i="12"/>
  <c r="AC92" i="12"/>
  <c r="S97" i="12"/>
  <c r="AC97" i="12"/>
  <c r="T97" i="12"/>
  <c r="U97" i="12" s="1"/>
  <c r="S101" i="12"/>
  <c r="T101" i="12"/>
  <c r="U101" i="12" s="1"/>
  <c r="AC101" i="12"/>
  <c r="T105" i="12"/>
  <c r="U105" i="12" s="1"/>
  <c r="S105" i="12"/>
  <c r="T109" i="12"/>
  <c r="U109" i="12" s="1"/>
  <c r="AC109" i="12"/>
  <c r="S109" i="12"/>
  <c r="S113" i="12"/>
  <c r="AC113" i="12"/>
  <c r="T113" i="12"/>
  <c r="U113" i="12" s="1"/>
  <c r="T124" i="12"/>
  <c r="U124" i="12" s="1"/>
  <c r="AC124" i="12"/>
  <c r="S124" i="12"/>
  <c r="CD97" i="12" l="1"/>
  <c r="BZ97" i="12"/>
  <c r="CA97" i="12" s="1"/>
  <c r="BZ74" i="12"/>
  <c r="CA74" i="12" s="1"/>
  <c r="CD7" i="12"/>
  <c r="CD90" i="12"/>
  <c r="BZ90" i="12"/>
  <c r="CA90" i="12" s="1"/>
  <c r="AF147" i="12"/>
  <c r="AF151" i="12" s="1"/>
  <c r="AP160" i="12"/>
  <c r="AY27" i="12"/>
  <c r="AW27" i="12"/>
  <c r="BD27" i="12"/>
  <c r="AZ27" i="12"/>
  <c r="AY34" i="12"/>
  <c r="AW34" i="12"/>
  <c r="AZ34" i="12"/>
  <c r="BD34" i="12"/>
  <c r="BD88" i="12"/>
  <c r="AW88" i="12"/>
  <c r="AY88" i="12"/>
  <c r="AZ88" i="12"/>
  <c r="AY124" i="12"/>
  <c r="AW124" i="12"/>
  <c r="AZ124" i="12"/>
  <c r="BD124" i="12"/>
  <c r="AY38" i="12"/>
  <c r="AW38" i="12"/>
  <c r="BD38" i="12"/>
  <c r="AZ38" i="12"/>
  <c r="AY50" i="12"/>
  <c r="AW50" i="12"/>
  <c r="BD50" i="12"/>
  <c r="AZ50" i="12"/>
  <c r="AY53" i="12"/>
  <c r="AW53" i="12"/>
  <c r="AZ53" i="12"/>
  <c r="BD53" i="12"/>
  <c r="AZ94" i="12"/>
  <c r="AW94" i="12"/>
  <c r="AY94" i="12"/>
  <c r="BD94" i="12"/>
  <c r="AY120" i="12"/>
  <c r="AW120" i="12"/>
  <c r="AZ120" i="12"/>
  <c r="BD120" i="12"/>
  <c r="BB53" i="12"/>
  <c r="AK177" i="12"/>
  <c r="AK182" i="12"/>
  <c r="AJ183" i="12" s="1"/>
  <c r="AW107" i="12"/>
  <c r="AY107" i="12"/>
  <c r="BD107" i="12"/>
  <c r="AZ107" i="12"/>
  <c r="BB107" i="12"/>
  <c r="AW16" i="12"/>
  <c r="AY16" i="12"/>
  <c r="BD16" i="12"/>
  <c r="AZ16" i="12"/>
  <c r="AW75" i="12"/>
  <c r="AY75" i="12"/>
  <c r="AZ75" i="12"/>
  <c r="BD75" i="12"/>
  <c r="AW111" i="12"/>
  <c r="AY111" i="12"/>
  <c r="AZ111" i="12"/>
  <c r="BD111" i="12"/>
  <c r="AW125" i="12"/>
  <c r="AY125" i="12"/>
  <c r="BD125" i="12"/>
  <c r="AZ125" i="12"/>
  <c r="BB125" i="12"/>
  <c r="AY69" i="12"/>
  <c r="AW69" i="12"/>
  <c r="AZ69" i="12"/>
  <c r="BD69" i="12"/>
  <c r="BB51" i="12"/>
  <c r="AY51" i="12"/>
  <c r="AW51" i="12"/>
  <c r="AZ51" i="12"/>
  <c r="BD51" i="12"/>
  <c r="AY41" i="12"/>
  <c r="AW41" i="12"/>
  <c r="AZ41" i="12"/>
  <c r="BD41" i="12"/>
  <c r="BB41" i="12"/>
  <c r="DN111" i="14"/>
  <c r="DX111" i="14"/>
  <c r="DQ156" i="14"/>
  <c r="DL143" i="14"/>
  <c r="DL151" i="14" s="1"/>
  <c r="DN118" i="14"/>
  <c r="DX118" i="14"/>
  <c r="DN53" i="14"/>
  <c r="DX53" i="14"/>
  <c r="DN72" i="14"/>
  <c r="DX72" i="14"/>
  <c r="DN10" i="14"/>
  <c r="DX10" i="14"/>
  <c r="DN78" i="14"/>
  <c r="DX78" i="14"/>
  <c r="DN96" i="14"/>
  <c r="DX96" i="14"/>
  <c r="DN13" i="14"/>
  <c r="DX13" i="14"/>
  <c r="DN115" i="14"/>
  <c r="DX115" i="14"/>
  <c r="CB73" i="12"/>
  <c r="AY18" i="12"/>
  <c r="AW18" i="12"/>
  <c r="AZ18" i="12"/>
  <c r="BD18" i="12"/>
  <c r="AY25" i="12"/>
  <c r="AW25" i="12"/>
  <c r="AZ25" i="12"/>
  <c r="BD25" i="12"/>
  <c r="BB25" i="12"/>
  <c r="AW29" i="12"/>
  <c r="AY29" i="12"/>
  <c r="AZ29" i="12"/>
  <c r="BD29" i="12"/>
  <c r="BB29" i="12"/>
  <c r="AW54" i="12"/>
  <c r="AY54" i="12"/>
  <c r="AZ54" i="12"/>
  <c r="BD54" i="12"/>
  <c r="BB54" i="12"/>
  <c r="AW40" i="12"/>
  <c r="AY40" i="12"/>
  <c r="AZ40" i="12"/>
  <c r="BD40" i="12"/>
  <c r="BB40" i="12"/>
  <c r="BZ73" i="12"/>
  <c r="CA73" i="12" s="1"/>
  <c r="BY101" i="12"/>
  <c r="BW101" i="12"/>
  <c r="BW79" i="12"/>
  <c r="BY79" i="12"/>
  <c r="CI101" i="12"/>
  <c r="CI100" i="12"/>
  <c r="CI97" i="12"/>
  <c r="CI95" i="12"/>
  <c r="CI94" i="12"/>
  <c r="CI91" i="12"/>
  <c r="CI89" i="12"/>
  <c r="CI87" i="12"/>
  <c r="CI125" i="12"/>
  <c r="CI123" i="12"/>
  <c r="CI121" i="12"/>
  <c r="CI119" i="12"/>
  <c r="CI117" i="12"/>
  <c r="CI115" i="12"/>
  <c r="CI113" i="12"/>
  <c r="CI111" i="12"/>
  <c r="CI109" i="12"/>
  <c r="CI107" i="12"/>
  <c r="CI105" i="12"/>
  <c r="CI103" i="12"/>
  <c r="CI85" i="12"/>
  <c r="CI83" i="12"/>
  <c r="CI81" i="12"/>
  <c r="CI79" i="12"/>
  <c r="CI77" i="12"/>
  <c r="CI75" i="12"/>
  <c r="CI73" i="12"/>
  <c r="CI71" i="12"/>
  <c r="CI69" i="12"/>
  <c r="CI67" i="12"/>
  <c r="CI65" i="12"/>
  <c r="CI63" i="12"/>
  <c r="CI61" i="12"/>
  <c r="CI59" i="12"/>
  <c r="CI57" i="12"/>
  <c r="CI55" i="12"/>
  <c r="CI53" i="12"/>
  <c r="CI51" i="12"/>
  <c r="CI49" i="12"/>
  <c r="CI47" i="12"/>
  <c r="CI45" i="12"/>
  <c r="CI43" i="12"/>
  <c r="CI41" i="12"/>
  <c r="CI39" i="12"/>
  <c r="CZ4" i="12"/>
  <c r="CN4" i="12"/>
  <c r="CI12" i="12"/>
  <c r="CI10" i="12"/>
  <c r="CI6" i="12"/>
  <c r="CO4" i="12"/>
  <c r="CI37" i="12"/>
  <c r="CI35" i="12"/>
  <c r="CI33" i="12"/>
  <c r="CI31" i="12"/>
  <c r="CI29" i="12"/>
  <c r="CI27" i="12"/>
  <c r="CI25" i="12"/>
  <c r="CI23" i="12"/>
  <c r="CI21" i="12"/>
  <c r="CI19" i="12"/>
  <c r="CI17" i="12"/>
  <c r="CI15" i="12"/>
  <c r="CI9" i="12"/>
  <c r="CI5" i="12"/>
  <c r="CI99" i="12"/>
  <c r="CI98" i="12"/>
  <c r="CI96" i="12"/>
  <c r="CI93" i="12"/>
  <c r="CI92" i="12"/>
  <c r="CI90" i="12"/>
  <c r="CI88" i="12"/>
  <c r="CI86" i="12"/>
  <c r="CI124" i="12"/>
  <c r="CI122" i="12"/>
  <c r="CI120" i="12"/>
  <c r="CI118" i="12"/>
  <c r="CI116" i="12"/>
  <c r="CI114" i="12"/>
  <c r="CI112" i="12"/>
  <c r="CI110" i="12"/>
  <c r="CI108" i="12"/>
  <c r="CI106" i="12"/>
  <c r="CI104" i="12"/>
  <c r="CI102" i="12"/>
  <c r="CI84" i="12"/>
  <c r="CI82" i="12"/>
  <c r="CI80" i="12"/>
  <c r="CI78" i="12"/>
  <c r="CI76" i="12"/>
  <c r="CI74" i="12"/>
  <c r="CI72" i="12"/>
  <c r="CI70" i="12"/>
  <c r="CI68" i="12"/>
  <c r="CI66" i="12"/>
  <c r="CI64" i="12"/>
  <c r="CI62" i="12"/>
  <c r="CI60" i="12"/>
  <c r="CI58" i="12"/>
  <c r="CI56" i="12"/>
  <c r="CI54" i="12"/>
  <c r="CI52" i="12"/>
  <c r="CI50" i="12"/>
  <c r="CI48" i="12"/>
  <c r="CI46" i="12"/>
  <c r="CI44" i="12"/>
  <c r="CI42" i="12"/>
  <c r="CI40" i="12"/>
  <c r="CI38" i="12"/>
  <c r="CP4" i="12"/>
  <c r="CI14" i="12"/>
  <c r="CI11" i="12"/>
  <c r="CI7" i="12"/>
  <c r="CQ4" i="12"/>
  <c r="CI4" i="12"/>
  <c r="CJ4" i="12" s="1"/>
  <c r="CI36" i="12"/>
  <c r="CI34" i="12"/>
  <c r="CI32" i="12"/>
  <c r="CI30" i="12"/>
  <c r="CI28" i="12"/>
  <c r="CI26" i="12"/>
  <c r="CI24" i="12"/>
  <c r="CI22" i="12"/>
  <c r="CI20" i="12"/>
  <c r="CI18" i="12"/>
  <c r="CI16" i="12"/>
  <c r="CI13" i="12"/>
  <c r="CI8" i="12"/>
  <c r="CK4" i="12"/>
  <c r="CK90" i="12"/>
  <c r="CK82" i="12"/>
  <c r="CM82" i="12" s="1"/>
  <c r="CN82" i="12" s="1"/>
  <c r="CK112" i="12"/>
  <c r="CK7" i="12"/>
  <c r="CQ7" i="12" s="1"/>
  <c r="CK74" i="12"/>
  <c r="CQ82" i="12"/>
  <c r="CQ74" i="12"/>
  <c r="CM90" i="12"/>
  <c r="CN90" i="12" s="1"/>
  <c r="CQ112" i="12"/>
  <c r="CK77" i="12"/>
  <c r="CM77" i="12" s="1"/>
  <c r="CN77" i="12" s="1"/>
  <c r="CK97" i="12"/>
  <c r="CM97" i="12" s="1"/>
  <c r="CN97" i="12" s="1"/>
  <c r="CK79" i="12"/>
  <c r="CQ79" i="12" s="1"/>
  <c r="CM74" i="12"/>
  <c r="CN74" i="12" s="1"/>
  <c r="CQ90" i="12"/>
  <c r="CM112" i="12"/>
  <c r="CN112" i="12" s="1"/>
  <c r="CK101" i="12"/>
  <c r="CK73" i="12"/>
  <c r="CM73" i="12" s="1"/>
  <c r="CN73" i="12" s="1"/>
  <c r="CQ77" i="12"/>
  <c r="BV126" i="12"/>
  <c r="BX180" i="12" s="1"/>
  <c r="AW118" i="12"/>
  <c r="AY118" i="12"/>
  <c r="BD118" i="12"/>
  <c r="AZ118" i="12"/>
  <c r="BB118" i="12"/>
  <c r="DN11" i="14"/>
  <c r="DX11" i="14"/>
  <c r="DN7" i="14"/>
  <c r="DX7" i="14"/>
  <c r="DN120" i="14"/>
  <c r="DX120" i="14"/>
  <c r="DN20" i="14"/>
  <c r="DX20" i="14"/>
  <c r="DN17" i="14"/>
  <c r="DX17" i="14"/>
  <c r="DN15" i="14"/>
  <c r="DX15" i="14"/>
  <c r="DN103" i="14"/>
  <c r="DX103" i="14"/>
  <c r="DN116" i="14"/>
  <c r="DX116" i="14"/>
  <c r="BB111" i="12"/>
  <c r="BB94" i="12"/>
  <c r="BB38" i="12"/>
  <c r="AY76" i="12"/>
  <c r="AW76" i="12"/>
  <c r="BD76" i="12"/>
  <c r="AZ76" i="12"/>
  <c r="AW49" i="12"/>
  <c r="AY49" i="12"/>
  <c r="BD49" i="12"/>
  <c r="AZ49" i="12"/>
  <c r="BB49" i="12"/>
  <c r="AY14" i="12"/>
  <c r="AW14" i="12"/>
  <c r="BD14" i="12"/>
  <c r="AZ14" i="12"/>
  <c r="AW108" i="12"/>
  <c r="AY108" i="12"/>
  <c r="BD108" i="12"/>
  <c r="AZ108" i="12"/>
  <c r="AW11" i="12"/>
  <c r="AY11" i="12"/>
  <c r="AZ11" i="12"/>
  <c r="BD11" i="12"/>
  <c r="BB11" i="12"/>
  <c r="AY19" i="12"/>
  <c r="AW19" i="12"/>
  <c r="BD19" i="12"/>
  <c r="AZ19" i="12"/>
  <c r="AY110" i="12"/>
  <c r="AW110" i="12"/>
  <c r="BD110" i="12"/>
  <c r="AZ110" i="12"/>
  <c r="BB110" i="12"/>
  <c r="AW21" i="12"/>
  <c r="AY21" i="12"/>
  <c r="AZ21" i="12"/>
  <c r="BD21" i="12"/>
  <c r="AY113" i="12"/>
  <c r="AW113" i="12"/>
  <c r="AZ113" i="12"/>
  <c r="BD113" i="12"/>
  <c r="BB113" i="12"/>
  <c r="AW71" i="12"/>
  <c r="AY71" i="12"/>
  <c r="AZ71" i="12"/>
  <c r="BD71" i="12"/>
  <c r="BB71" i="12"/>
  <c r="AY13" i="12"/>
  <c r="AW13" i="12"/>
  <c r="AZ13" i="12"/>
  <c r="BD13" i="12"/>
  <c r="BB13" i="12"/>
  <c r="AY10" i="12"/>
  <c r="AW10" i="12"/>
  <c r="AZ10" i="12"/>
  <c r="BD10" i="12"/>
  <c r="BB10" i="12"/>
  <c r="DN123" i="14"/>
  <c r="DX123" i="14"/>
  <c r="DN36" i="14"/>
  <c r="DX36" i="14"/>
  <c r="DN100" i="14"/>
  <c r="DX100" i="14"/>
  <c r="DN74" i="14"/>
  <c r="DX74" i="14"/>
  <c r="DN63" i="14"/>
  <c r="DX63" i="14"/>
  <c r="DN117" i="14"/>
  <c r="DX117" i="14"/>
  <c r="BB14" i="12"/>
  <c r="AH147" i="12"/>
  <c r="AH151" i="12" s="1"/>
  <c r="AW52" i="12"/>
  <c r="AY52" i="12"/>
  <c r="BD52" i="12"/>
  <c r="AZ52" i="12"/>
  <c r="BB52" i="12"/>
  <c r="AT6" i="12"/>
  <c r="AU6" i="12" s="1"/>
  <c r="BC6" i="12"/>
  <c r="AS6" i="12"/>
  <c r="AT10" i="12"/>
  <c r="AU10" i="12" s="1"/>
  <c r="BC10" i="12"/>
  <c r="AS10" i="12"/>
  <c r="AT14" i="12"/>
  <c r="AU14" i="12" s="1"/>
  <c r="AS14" i="12"/>
  <c r="BC14" i="12"/>
  <c r="AT18" i="12"/>
  <c r="AU18" i="12" s="1"/>
  <c r="AS18" i="12"/>
  <c r="BC18" i="12"/>
  <c r="AT22" i="12"/>
  <c r="AU22" i="12" s="1"/>
  <c r="AS22" i="12"/>
  <c r="BC22" i="12"/>
  <c r="AT26" i="12"/>
  <c r="AU26" i="12" s="1"/>
  <c r="AS26" i="12"/>
  <c r="BC26" i="12"/>
  <c r="AT30" i="12"/>
  <c r="AU30" i="12" s="1"/>
  <c r="AS30" i="12"/>
  <c r="BC30" i="12"/>
  <c r="AT34" i="12"/>
  <c r="AU34" i="12" s="1"/>
  <c r="AS34" i="12"/>
  <c r="BC34" i="12"/>
  <c r="BC38" i="12"/>
  <c r="AT38" i="12"/>
  <c r="AU38" i="12" s="1"/>
  <c r="AS38" i="12"/>
  <c r="BC42" i="12"/>
  <c r="AT42" i="12"/>
  <c r="AU42" i="12" s="1"/>
  <c r="AS42" i="12"/>
  <c r="BC46" i="12"/>
  <c r="AT46" i="12"/>
  <c r="AU46" i="12" s="1"/>
  <c r="AS46" i="12"/>
  <c r="BC50" i="12"/>
  <c r="AT50" i="12"/>
  <c r="AU50" i="12" s="1"/>
  <c r="AS50" i="12"/>
  <c r="BC54" i="12"/>
  <c r="AT54" i="12"/>
  <c r="AU54" i="12" s="1"/>
  <c r="AS54" i="12"/>
  <c r="BC58" i="12"/>
  <c r="AT58" i="12"/>
  <c r="AU58" i="12" s="1"/>
  <c r="AS58" i="12"/>
  <c r="BC62" i="12"/>
  <c r="AT62" i="12"/>
  <c r="AU62" i="12" s="1"/>
  <c r="AS62" i="12"/>
  <c r="BC66" i="12"/>
  <c r="AT66" i="12"/>
  <c r="AU66" i="12" s="1"/>
  <c r="AS66" i="12"/>
  <c r="BC70" i="12"/>
  <c r="AT70" i="12"/>
  <c r="AU70" i="12" s="1"/>
  <c r="AS70" i="12"/>
  <c r="BC74" i="12"/>
  <c r="AT74" i="12"/>
  <c r="AU74" i="12" s="1"/>
  <c r="AS74" i="12"/>
  <c r="BC78" i="12"/>
  <c r="AT78" i="12"/>
  <c r="AU78" i="12" s="1"/>
  <c r="AS78" i="12"/>
  <c r="BC82" i="12"/>
  <c r="AT82" i="12"/>
  <c r="AU82" i="12" s="1"/>
  <c r="AS82" i="12"/>
  <c r="BC86" i="12"/>
  <c r="AT86" i="12"/>
  <c r="AU86" i="12" s="1"/>
  <c r="AS86" i="12"/>
  <c r="BC90" i="12"/>
  <c r="AT90" i="12"/>
  <c r="AU90" i="12" s="1"/>
  <c r="AS90" i="12"/>
  <c r="BC94" i="12"/>
  <c r="AT94" i="12"/>
  <c r="AU94" i="12" s="1"/>
  <c r="AS94" i="12"/>
  <c r="BC98" i="12"/>
  <c r="AT98" i="12"/>
  <c r="AU98" i="12" s="1"/>
  <c r="AS98" i="12"/>
  <c r="AT102" i="12"/>
  <c r="AU102" i="12" s="1"/>
  <c r="BC102" i="12"/>
  <c r="AS102" i="12"/>
  <c r="AT106" i="12"/>
  <c r="AU106" i="12" s="1"/>
  <c r="BC106" i="12"/>
  <c r="AS106" i="12"/>
  <c r="AT110" i="12"/>
  <c r="AU110" i="12" s="1"/>
  <c r="BC110" i="12"/>
  <c r="AS110" i="12"/>
  <c r="AT114" i="12"/>
  <c r="AU114" i="12" s="1"/>
  <c r="BC114" i="12"/>
  <c r="AS114" i="12"/>
  <c r="AT118" i="12"/>
  <c r="AU118" i="12" s="1"/>
  <c r="BC118" i="12"/>
  <c r="AS118" i="12"/>
  <c r="AT122" i="12"/>
  <c r="AU122" i="12" s="1"/>
  <c r="BC122" i="12"/>
  <c r="AS122" i="12"/>
  <c r="AR126" i="12"/>
  <c r="BC5" i="12"/>
  <c r="AT5" i="12"/>
  <c r="AS5" i="12"/>
  <c r="AS9" i="12"/>
  <c r="AT9" i="12"/>
  <c r="AU9" i="12" s="1"/>
  <c r="BC9" i="12"/>
  <c r="AT13" i="12"/>
  <c r="AU13" i="12" s="1"/>
  <c r="AS13" i="12"/>
  <c r="BC13" i="12"/>
  <c r="AT17" i="12"/>
  <c r="AU17" i="12" s="1"/>
  <c r="AS17" i="12"/>
  <c r="BC17" i="12"/>
  <c r="AT21" i="12"/>
  <c r="AU21" i="12" s="1"/>
  <c r="AS21" i="12"/>
  <c r="BC21" i="12"/>
  <c r="AT25" i="12"/>
  <c r="AU25" i="12" s="1"/>
  <c r="AS25" i="12"/>
  <c r="BC25" i="12"/>
  <c r="AT29" i="12"/>
  <c r="AU29" i="12" s="1"/>
  <c r="AS29" i="12"/>
  <c r="BC29" i="12"/>
  <c r="AT33" i="12"/>
  <c r="AU33" i="12" s="1"/>
  <c r="AS33" i="12"/>
  <c r="BC33" i="12"/>
  <c r="AT37" i="12"/>
  <c r="AU37" i="12" s="1"/>
  <c r="AS37" i="12"/>
  <c r="BC37" i="12"/>
  <c r="BC41" i="12"/>
  <c r="AT41" i="12"/>
  <c r="AU41" i="12" s="1"/>
  <c r="AS41" i="12"/>
  <c r="BC45" i="12"/>
  <c r="AT45" i="12"/>
  <c r="AU45" i="12" s="1"/>
  <c r="AS45" i="12"/>
  <c r="BC49" i="12"/>
  <c r="AT49" i="12"/>
  <c r="AU49" i="12" s="1"/>
  <c r="AS49" i="12"/>
  <c r="BC53" i="12"/>
  <c r="AT53" i="12"/>
  <c r="AU53" i="12" s="1"/>
  <c r="AS53" i="12"/>
  <c r="BC57" i="12"/>
  <c r="AT57" i="12"/>
  <c r="AU57" i="12" s="1"/>
  <c r="AS57" i="12"/>
  <c r="BC61" i="12"/>
  <c r="AT61" i="12"/>
  <c r="AU61" i="12" s="1"/>
  <c r="AS61" i="12"/>
  <c r="BC65" i="12"/>
  <c r="AT65" i="12"/>
  <c r="AU65" i="12" s="1"/>
  <c r="AS65" i="12"/>
  <c r="BC69" i="12"/>
  <c r="AT69" i="12"/>
  <c r="AU69" i="12" s="1"/>
  <c r="AS69" i="12"/>
  <c r="BC73" i="12"/>
  <c r="AT73" i="12"/>
  <c r="AU73" i="12" s="1"/>
  <c r="AS73" i="12"/>
  <c r="BC77" i="12"/>
  <c r="AT77" i="12"/>
  <c r="AU77" i="12" s="1"/>
  <c r="AS77" i="12"/>
  <c r="BC81" i="12"/>
  <c r="AT81" i="12"/>
  <c r="AU81" i="12" s="1"/>
  <c r="AS81" i="12"/>
  <c r="BC85" i="12"/>
  <c r="AT85" i="12"/>
  <c r="AU85" i="12" s="1"/>
  <c r="AS85" i="12"/>
  <c r="BC89" i="12"/>
  <c r="AT89" i="12"/>
  <c r="AU89" i="12" s="1"/>
  <c r="AS89" i="12"/>
  <c r="BC93" i="12"/>
  <c r="AT93" i="12"/>
  <c r="AU93" i="12" s="1"/>
  <c r="AS93" i="12"/>
  <c r="BC97" i="12"/>
  <c r="AT97" i="12"/>
  <c r="AU97" i="12" s="1"/>
  <c r="AS97" i="12"/>
  <c r="BC101" i="12"/>
  <c r="AT101" i="12"/>
  <c r="AU101" i="12" s="1"/>
  <c r="AS101" i="12"/>
  <c r="AT105" i="12"/>
  <c r="AU105" i="12" s="1"/>
  <c r="BC105" i="12"/>
  <c r="AS105" i="12"/>
  <c r="AT109" i="12"/>
  <c r="AU109" i="12" s="1"/>
  <c r="BC109" i="12"/>
  <c r="AS109" i="12"/>
  <c r="AT113" i="12"/>
  <c r="AU113" i="12" s="1"/>
  <c r="BC113" i="12"/>
  <c r="AS113" i="12"/>
  <c r="AT117" i="12"/>
  <c r="AU117" i="12" s="1"/>
  <c r="BC117" i="12"/>
  <c r="AS117" i="12"/>
  <c r="AT121" i="12"/>
  <c r="AU121" i="12" s="1"/>
  <c r="BC121" i="12"/>
  <c r="AS121" i="12"/>
  <c r="AT125" i="12"/>
  <c r="AU125" i="12" s="1"/>
  <c r="BC125" i="12"/>
  <c r="AS125" i="12"/>
  <c r="AY33" i="12"/>
  <c r="AW33" i="12"/>
  <c r="BD33" i="12"/>
  <c r="AZ33" i="12"/>
  <c r="BB33" i="12"/>
  <c r="AY114" i="12"/>
  <c r="AW114" i="12"/>
  <c r="BD114" i="12"/>
  <c r="AZ114" i="12"/>
  <c r="BB114" i="12"/>
  <c r="DN88" i="14"/>
  <c r="DX88" i="14"/>
  <c r="DN61" i="14"/>
  <c r="DX61" i="14"/>
  <c r="DN22" i="14"/>
  <c r="DX22" i="14"/>
  <c r="DN42" i="14"/>
  <c r="DX42" i="14"/>
  <c r="BB27" i="12"/>
  <c r="AY56" i="12"/>
  <c r="AW56" i="12"/>
  <c r="BD56" i="12"/>
  <c r="AZ56" i="12"/>
  <c r="AN147" i="12"/>
  <c r="DN26" i="14"/>
  <c r="DX26" i="14"/>
  <c r="DN62" i="14"/>
  <c r="DX62" i="14"/>
  <c r="DN75" i="14"/>
  <c r="DX75" i="14"/>
  <c r="DN85" i="14"/>
  <c r="DX85" i="14"/>
  <c r="DN109" i="14"/>
  <c r="DX109" i="14"/>
  <c r="DN33" i="14"/>
  <c r="DX33" i="14"/>
  <c r="DN124" i="14"/>
  <c r="DX124" i="14"/>
  <c r="DN34" i="14"/>
  <c r="DX34" i="14"/>
  <c r="DN113" i="14"/>
  <c r="DX113" i="14"/>
  <c r="DN104" i="14"/>
  <c r="DX104" i="14"/>
  <c r="AW44" i="12"/>
  <c r="AY44" i="12"/>
  <c r="AZ44" i="12"/>
  <c r="BD44" i="12"/>
  <c r="BB44" i="12"/>
  <c r="AW15" i="12"/>
  <c r="AY15" i="12"/>
  <c r="BD15" i="12"/>
  <c r="AZ15" i="12"/>
  <c r="BB15" i="12"/>
  <c r="BE125" i="12"/>
  <c r="BE123" i="12"/>
  <c r="BE121" i="12"/>
  <c r="BE119" i="12"/>
  <c r="BE117" i="12"/>
  <c r="BE115" i="12"/>
  <c r="BE113" i="12"/>
  <c r="BE111" i="12"/>
  <c r="BE109" i="12"/>
  <c r="BE107" i="12"/>
  <c r="BE105" i="12"/>
  <c r="BE103" i="12"/>
  <c r="BE101" i="12"/>
  <c r="BE99" i="12"/>
  <c r="BE97" i="12"/>
  <c r="BE95" i="12"/>
  <c r="BE93" i="12"/>
  <c r="BE91" i="12"/>
  <c r="BE89" i="12"/>
  <c r="BE87" i="12"/>
  <c r="BE85" i="12"/>
  <c r="BE83" i="12"/>
  <c r="BE81" i="12"/>
  <c r="BE79" i="12"/>
  <c r="BE77" i="12"/>
  <c r="BE75" i="12"/>
  <c r="BE73" i="12"/>
  <c r="BE71" i="12"/>
  <c r="BE69" i="12"/>
  <c r="BE67" i="12"/>
  <c r="BE65" i="12"/>
  <c r="BE63" i="12"/>
  <c r="BE61" i="12"/>
  <c r="BE59" i="12"/>
  <c r="BE57" i="12"/>
  <c r="BE55" i="12"/>
  <c r="BE53" i="12"/>
  <c r="BE51" i="12"/>
  <c r="BE49" i="12"/>
  <c r="BE47" i="12"/>
  <c r="BE45" i="12"/>
  <c r="BE43" i="12"/>
  <c r="BE41" i="12"/>
  <c r="BE39" i="12"/>
  <c r="BE15" i="12"/>
  <c r="BE13" i="12"/>
  <c r="BE10" i="12"/>
  <c r="BE8" i="12"/>
  <c r="BE37" i="12"/>
  <c r="BE35" i="12"/>
  <c r="BE33" i="12"/>
  <c r="BE31" i="12"/>
  <c r="BE29" i="12"/>
  <c r="BE27" i="12"/>
  <c r="BE25" i="12"/>
  <c r="BE23" i="12"/>
  <c r="BE21" i="12"/>
  <c r="BE19" i="12"/>
  <c r="BE17" i="12"/>
  <c r="BE11" i="12"/>
  <c r="BE5" i="12"/>
  <c r="BE124" i="12"/>
  <c r="BE122" i="12"/>
  <c r="BE120" i="12"/>
  <c r="BE118" i="12"/>
  <c r="BE116" i="12"/>
  <c r="BE114" i="12"/>
  <c r="BE112" i="12"/>
  <c r="BE110" i="12"/>
  <c r="BE108" i="12"/>
  <c r="BE106" i="12"/>
  <c r="BE104" i="12"/>
  <c r="BE102" i="12"/>
  <c r="BE100" i="12"/>
  <c r="BE98" i="12"/>
  <c r="BE96" i="12"/>
  <c r="BE94" i="12"/>
  <c r="BE92" i="12"/>
  <c r="BE90" i="12"/>
  <c r="BE88" i="12"/>
  <c r="BE86" i="12"/>
  <c r="BE84" i="12"/>
  <c r="BE82" i="12"/>
  <c r="BE80" i="12"/>
  <c r="BE78" i="12"/>
  <c r="BE76" i="12"/>
  <c r="BE74" i="12"/>
  <c r="BE72" i="12"/>
  <c r="BE70" i="12"/>
  <c r="BE68" i="12"/>
  <c r="BE66" i="12"/>
  <c r="BE64" i="12"/>
  <c r="BE62" i="12"/>
  <c r="BE60" i="12"/>
  <c r="BE58" i="12"/>
  <c r="BE56" i="12"/>
  <c r="BE54" i="12"/>
  <c r="BE52" i="12"/>
  <c r="BE50" i="12"/>
  <c r="BE48" i="12"/>
  <c r="BE46" i="12"/>
  <c r="BE44" i="12"/>
  <c r="BE42" i="12"/>
  <c r="BE40" i="12"/>
  <c r="BE38" i="12"/>
  <c r="BE14" i="12"/>
  <c r="BE12" i="12"/>
  <c r="BE9" i="12"/>
  <c r="BE6" i="12"/>
  <c r="BE36" i="12"/>
  <c r="BE34" i="12"/>
  <c r="BE32" i="12"/>
  <c r="BE30" i="12"/>
  <c r="BE28" i="12"/>
  <c r="BE26" i="12"/>
  <c r="BE24" i="12"/>
  <c r="BE22" i="12"/>
  <c r="BE20" i="12"/>
  <c r="BE18" i="12"/>
  <c r="BE16" i="12"/>
  <c r="BE7" i="12"/>
  <c r="BJ181" i="12"/>
  <c r="AY37" i="12"/>
  <c r="AW37" i="12"/>
  <c r="BD37" i="12"/>
  <c r="AZ37" i="12"/>
  <c r="BB37" i="12"/>
  <c r="AW9" i="12"/>
  <c r="AY9" i="12"/>
  <c r="AZ9" i="12"/>
  <c r="BD9" i="12"/>
  <c r="DN80" i="14"/>
  <c r="DX80" i="14"/>
  <c r="DN5" i="14"/>
  <c r="DX5" i="14"/>
  <c r="DN91" i="14"/>
  <c r="DX91" i="14"/>
  <c r="DN87" i="14"/>
  <c r="DX87" i="14"/>
  <c r="DN46" i="14"/>
  <c r="DX46" i="14"/>
  <c r="DN90" i="14"/>
  <c r="DX90" i="14"/>
  <c r="DN82" i="14"/>
  <c r="DX82" i="14"/>
  <c r="BB9" i="12"/>
  <c r="BB124" i="12"/>
  <c r="AY32" i="12"/>
  <c r="AW32" i="12"/>
  <c r="AZ32" i="12"/>
  <c r="BD32" i="12"/>
  <c r="AY46" i="12"/>
  <c r="AW46" i="12"/>
  <c r="BD46" i="12"/>
  <c r="AZ46" i="12"/>
  <c r="AW58" i="12"/>
  <c r="AY58" i="12"/>
  <c r="BD58" i="12"/>
  <c r="AZ58" i="12"/>
  <c r="AW96" i="12"/>
  <c r="AY96" i="12"/>
  <c r="BD96" i="12"/>
  <c r="AZ96" i="12"/>
  <c r="AY106" i="12"/>
  <c r="AW106" i="12"/>
  <c r="BD106" i="12"/>
  <c r="AZ106" i="12"/>
  <c r="AY86" i="12"/>
  <c r="AW86" i="12"/>
  <c r="BD86" i="12"/>
  <c r="AZ86" i="12"/>
  <c r="AY116" i="12"/>
  <c r="AW116" i="12"/>
  <c r="BD116" i="12"/>
  <c r="AZ116" i="12"/>
  <c r="BB116" i="12"/>
  <c r="BB86" i="12"/>
  <c r="BB34" i="12"/>
  <c r="BB58" i="12"/>
  <c r="AW80" i="12"/>
  <c r="AY80" i="12"/>
  <c r="AZ80" i="12"/>
  <c r="BD80" i="12"/>
  <c r="BB80" i="12"/>
  <c r="AW92" i="12"/>
  <c r="AY92" i="12"/>
  <c r="AZ92" i="12"/>
  <c r="BD92" i="12"/>
  <c r="BB92" i="12"/>
  <c r="AW59" i="12"/>
  <c r="AY59" i="12"/>
  <c r="BD59" i="12"/>
  <c r="AZ59" i="12"/>
  <c r="BB59" i="12"/>
  <c r="AY68" i="12"/>
  <c r="AW68" i="12"/>
  <c r="BD68" i="12"/>
  <c r="AZ68" i="12"/>
  <c r="AN123" i="12"/>
  <c r="AX123" i="12"/>
  <c r="AY36" i="12"/>
  <c r="AW36" i="12"/>
  <c r="AZ36" i="12"/>
  <c r="BD36" i="12"/>
  <c r="BB36" i="12"/>
  <c r="AW117" i="12"/>
  <c r="AY117" i="12"/>
  <c r="BD117" i="12"/>
  <c r="AZ117" i="12"/>
  <c r="BB117" i="12"/>
  <c r="BB65" i="12"/>
  <c r="AY65" i="12"/>
  <c r="AW65" i="12"/>
  <c r="AZ65" i="12"/>
  <c r="BD65" i="12"/>
  <c r="BB61" i="12"/>
  <c r="AY61" i="12"/>
  <c r="AW61" i="12"/>
  <c r="AZ61" i="12"/>
  <c r="BD61" i="12"/>
  <c r="AY45" i="12"/>
  <c r="AW45" i="12"/>
  <c r="AZ45" i="12"/>
  <c r="BD45" i="12"/>
  <c r="BB45" i="12"/>
  <c r="AW6" i="12"/>
  <c r="AY6" i="12"/>
  <c r="AZ6" i="12"/>
  <c r="BD6" i="12"/>
  <c r="DN101" i="14"/>
  <c r="DX101" i="14"/>
  <c r="DN66" i="14"/>
  <c r="DX66" i="14"/>
  <c r="DN79" i="14"/>
  <c r="DX79" i="14"/>
  <c r="DN59" i="14"/>
  <c r="DX59" i="14"/>
  <c r="BB69" i="12"/>
  <c r="AP126" i="12"/>
  <c r="DN86" i="14"/>
  <c r="DX86" i="14"/>
  <c r="DN51" i="14"/>
  <c r="DX51" i="14"/>
  <c r="DN32" i="14"/>
  <c r="DX32" i="14"/>
  <c r="DN48" i="14"/>
  <c r="DX48" i="14"/>
  <c r="BB68" i="12"/>
  <c r="CO79" i="12"/>
  <c r="AY5" i="12"/>
  <c r="AW5" i="12"/>
  <c r="AX174" i="12"/>
  <c r="AZ5" i="12"/>
  <c r="BD5" i="12"/>
  <c r="AN126" i="12"/>
  <c r="AW30" i="12"/>
  <c r="AY30" i="12"/>
  <c r="BD30" i="12"/>
  <c r="AZ30" i="12"/>
  <c r="AY55" i="12"/>
  <c r="AW55" i="12"/>
  <c r="AZ55" i="12"/>
  <c r="BD55" i="12"/>
  <c r="AW121" i="12"/>
  <c r="AY121" i="12"/>
  <c r="BD121" i="12"/>
  <c r="AZ121" i="12"/>
  <c r="BB121" i="12"/>
  <c r="CO77" i="12"/>
  <c r="DN19" i="14"/>
  <c r="DX19" i="14"/>
  <c r="DK138" i="14"/>
  <c r="DN23" i="14"/>
  <c r="DX23" i="14"/>
  <c r="EB79" i="14"/>
  <c r="EB115" i="14"/>
  <c r="DN43" i="14"/>
  <c r="DX43" i="14"/>
  <c r="DN9" i="14"/>
  <c r="DX9" i="14"/>
  <c r="DN41" i="14"/>
  <c r="DX41" i="14"/>
  <c r="DN108" i="14"/>
  <c r="DX108" i="14"/>
  <c r="DL94" i="14"/>
  <c r="DJ94" i="14"/>
  <c r="DQ94" i="14"/>
  <c r="DM94" i="14"/>
  <c r="DO94" i="14"/>
  <c r="DN12" i="14"/>
  <c r="DX12" i="14"/>
  <c r="EB13" i="14"/>
  <c r="BW77" i="12"/>
  <c r="BY77" i="12"/>
  <c r="BW73" i="12"/>
  <c r="BY73" i="12"/>
  <c r="BW97" i="12"/>
  <c r="BY97" i="12"/>
  <c r="BW7" i="12"/>
  <c r="BY7" i="12"/>
  <c r="BW112" i="12"/>
  <c r="BY112" i="12"/>
  <c r="BY90" i="12"/>
  <c r="BW90" i="12"/>
  <c r="BW82" i="12"/>
  <c r="BY82" i="12"/>
  <c r="CB74" i="12"/>
  <c r="CO74" i="12" s="1"/>
  <c r="BW74" i="12"/>
  <c r="BY74" i="12"/>
  <c r="BZ180" i="12"/>
  <c r="BZ177" i="12"/>
  <c r="BZ175" i="12"/>
  <c r="BX128" i="12"/>
  <c r="BR4" i="12"/>
  <c r="BU4" i="12"/>
  <c r="BR1" i="12" s="1"/>
  <c r="BZ178" i="12"/>
  <c r="BZ176" i="12"/>
  <c r="BZ174" i="12"/>
  <c r="BT4" i="12"/>
  <c r="BY4" i="12"/>
  <c r="BS4" i="12"/>
  <c r="BV134" i="12"/>
  <c r="BV138" i="12" s="1"/>
  <c r="BX181" i="12" s="1"/>
  <c r="BW181" i="12" s="1"/>
  <c r="EB7" i="14"/>
  <c r="DN6" i="14"/>
  <c r="DX6" i="14"/>
  <c r="EB5" i="14"/>
  <c r="DN84" i="14"/>
  <c r="DX84" i="14"/>
  <c r="DN21" i="14"/>
  <c r="DX21" i="14"/>
  <c r="DN114" i="14"/>
  <c r="DX114" i="14"/>
  <c r="EB114" i="14" s="1"/>
  <c r="EB15" i="14"/>
  <c r="EB103" i="14"/>
  <c r="DN83" i="14"/>
  <c r="DX83" i="14"/>
  <c r="DN99" i="14"/>
  <c r="DX99" i="14"/>
  <c r="EB116" i="14"/>
  <c r="BB18" i="12"/>
  <c r="BD31" i="12"/>
  <c r="AY31" i="12"/>
  <c r="AW31" i="12"/>
  <c r="AZ31" i="12"/>
  <c r="BB39" i="12"/>
  <c r="AW39" i="12"/>
  <c r="AY39" i="12"/>
  <c r="BD39" i="12"/>
  <c r="AZ39" i="12"/>
  <c r="AY83" i="12"/>
  <c r="AW83" i="12"/>
  <c r="AZ83" i="12"/>
  <c r="BD83" i="12"/>
  <c r="AY91" i="12"/>
  <c r="AW91" i="12"/>
  <c r="AZ91" i="12"/>
  <c r="BD91" i="12"/>
  <c r="AY22" i="12"/>
  <c r="AW22" i="12"/>
  <c r="BD22" i="12"/>
  <c r="AZ22" i="12"/>
  <c r="AY102" i="12"/>
  <c r="AW102" i="12"/>
  <c r="BD102" i="12"/>
  <c r="AZ102" i="12"/>
  <c r="AY119" i="12"/>
  <c r="AW119" i="12"/>
  <c r="AZ119" i="12"/>
  <c r="BD119" i="12"/>
  <c r="CB82" i="12"/>
  <c r="CO82" i="12" s="1"/>
  <c r="AW81" i="12"/>
  <c r="AY81" i="12"/>
  <c r="BD81" i="12"/>
  <c r="AZ81" i="12"/>
  <c r="AW89" i="12"/>
  <c r="AY89" i="12"/>
  <c r="BD89" i="12"/>
  <c r="AZ89" i="12"/>
  <c r="BB89" i="12"/>
  <c r="AZ98" i="12"/>
  <c r="AW98" i="12"/>
  <c r="AY98" i="12"/>
  <c r="BD98" i="12"/>
  <c r="BB98" i="12"/>
  <c r="AW28" i="12"/>
  <c r="AY28" i="12"/>
  <c r="BD28" i="12"/>
  <c r="AZ28" i="12"/>
  <c r="AW48" i="12"/>
  <c r="AY48" i="12"/>
  <c r="BD48" i="12"/>
  <c r="AZ48" i="12"/>
  <c r="BB120" i="12"/>
  <c r="BB30" i="12"/>
  <c r="DN102" i="14"/>
  <c r="DX102" i="14"/>
  <c r="DN110" i="14"/>
  <c r="DX110" i="14"/>
  <c r="EB123" i="14"/>
  <c r="DN69" i="14"/>
  <c r="DX69" i="14"/>
  <c r="DN76" i="14"/>
  <c r="DX76" i="14"/>
  <c r="EB66" i="14"/>
  <c r="DN35" i="14"/>
  <c r="DX35" i="14"/>
  <c r="EB35" i="14" s="1"/>
  <c r="EB100" i="14"/>
  <c r="DJ92" i="14"/>
  <c r="DJ126" i="14" s="1"/>
  <c r="DK176" i="14" s="1"/>
  <c r="DL92" i="14"/>
  <c r="DQ92" i="14"/>
  <c r="DM92" i="14"/>
  <c r="DN30" i="14"/>
  <c r="DX30" i="14"/>
  <c r="DN16" i="14"/>
  <c r="DX16" i="14"/>
  <c r="DN31" i="14"/>
  <c r="DX31" i="14"/>
  <c r="DN38" i="14"/>
  <c r="DX38" i="14"/>
  <c r="DN64" i="14"/>
  <c r="DX64" i="14"/>
  <c r="DN40" i="14"/>
  <c r="DX40" i="14"/>
  <c r="EB40" i="14" s="1"/>
  <c r="CB112" i="12"/>
  <c r="CO112" i="12" s="1"/>
  <c r="AP164" i="12"/>
  <c r="BC8" i="12"/>
  <c r="AT8" i="12"/>
  <c r="AU8" i="12" s="1"/>
  <c r="AS8" i="12"/>
  <c r="AS12" i="12"/>
  <c r="AT12" i="12"/>
  <c r="AU12" i="12" s="1"/>
  <c r="BC12" i="12"/>
  <c r="BC16" i="12"/>
  <c r="AT16" i="12"/>
  <c r="AU16" i="12" s="1"/>
  <c r="AS16" i="12"/>
  <c r="BC20" i="12"/>
  <c r="AT20" i="12"/>
  <c r="AU20" i="12" s="1"/>
  <c r="AS20" i="12"/>
  <c r="BC24" i="12"/>
  <c r="AT24" i="12"/>
  <c r="AU24" i="12" s="1"/>
  <c r="AS24" i="12"/>
  <c r="BC28" i="12"/>
  <c r="AT28" i="12"/>
  <c r="AU28" i="12" s="1"/>
  <c r="AS28" i="12"/>
  <c r="BC32" i="12"/>
  <c r="AT32" i="12"/>
  <c r="AU32" i="12" s="1"/>
  <c r="AS32" i="12"/>
  <c r="BC36" i="12"/>
  <c r="AT36" i="12"/>
  <c r="AU36" i="12" s="1"/>
  <c r="AS36" i="12"/>
  <c r="AS40" i="12"/>
  <c r="BC40" i="12"/>
  <c r="AT40" i="12"/>
  <c r="AU40" i="12" s="1"/>
  <c r="AS44" i="12"/>
  <c r="BC44" i="12"/>
  <c r="AT44" i="12"/>
  <c r="AU44" i="12" s="1"/>
  <c r="AS48" i="12"/>
  <c r="BC48" i="12"/>
  <c r="AT48" i="12"/>
  <c r="AU48" i="12" s="1"/>
  <c r="AS52" i="12"/>
  <c r="BC52" i="12"/>
  <c r="AT52" i="12"/>
  <c r="AU52" i="12" s="1"/>
  <c r="AS56" i="12"/>
  <c r="BC56" i="12"/>
  <c r="AT56" i="12"/>
  <c r="AU56" i="12" s="1"/>
  <c r="AS60" i="12"/>
  <c r="BC60" i="12"/>
  <c r="AT60" i="12"/>
  <c r="AU60" i="12" s="1"/>
  <c r="AS64" i="12"/>
  <c r="BC64" i="12"/>
  <c r="AT64" i="12"/>
  <c r="AU64" i="12" s="1"/>
  <c r="AS68" i="12"/>
  <c r="BC68" i="12"/>
  <c r="AT68" i="12"/>
  <c r="AU68" i="12" s="1"/>
  <c r="AS72" i="12"/>
  <c r="BC72" i="12"/>
  <c r="AT72" i="12"/>
  <c r="AU72" i="12" s="1"/>
  <c r="AS76" i="12"/>
  <c r="BC76" i="12"/>
  <c r="AT76" i="12"/>
  <c r="AU76" i="12" s="1"/>
  <c r="AS80" i="12"/>
  <c r="BC80" i="12"/>
  <c r="AT80" i="12"/>
  <c r="AU80" i="12" s="1"/>
  <c r="AS84" i="12"/>
  <c r="BC84" i="12"/>
  <c r="AT84" i="12"/>
  <c r="AU84" i="12" s="1"/>
  <c r="AS88" i="12"/>
  <c r="BC88" i="12"/>
  <c r="AT88" i="12"/>
  <c r="AU88" i="12" s="1"/>
  <c r="AS92" i="12"/>
  <c r="BC92" i="12"/>
  <c r="AT92" i="12"/>
  <c r="AU92" i="12" s="1"/>
  <c r="AS96" i="12"/>
  <c r="BC96" i="12"/>
  <c r="AT96" i="12"/>
  <c r="AU96" i="12" s="1"/>
  <c r="AS100" i="12"/>
  <c r="BC100" i="12"/>
  <c r="AT100" i="12"/>
  <c r="AU100" i="12" s="1"/>
  <c r="AS104" i="12"/>
  <c r="AT104" i="12"/>
  <c r="AU104" i="12" s="1"/>
  <c r="BC104" i="12"/>
  <c r="AS108" i="12"/>
  <c r="AT108" i="12"/>
  <c r="AU108" i="12" s="1"/>
  <c r="BC108" i="12"/>
  <c r="AS112" i="12"/>
  <c r="AT112" i="12"/>
  <c r="AU112" i="12" s="1"/>
  <c r="BC112" i="12"/>
  <c r="AS116" i="12"/>
  <c r="AT116" i="12"/>
  <c r="AU116" i="12" s="1"/>
  <c r="BC116" i="12"/>
  <c r="AS120" i="12"/>
  <c r="AT120" i="12"/>
  <c r="AU120" i="12" s="1"/>
  <c r="BC120" i="12"/>
  <c r="AS124" i="12"/>
  <c r="AT124" i="12"/>
  <c r="AU124" i="12" s="1"/>
  <c r="BC124" i="12"/>
  <c r="AT7" i="12"/>
  <c r="AU7" i="12" s="1"/>
  <c r="AS7" i="12"/>
  <c r="BC7" i="12"/>
  <c r="BC11" i="12"/>
  <c r="AT11" i="12"/>
  <c r="AU11" i="12" s="1"/>
  <c r="AS11" i="12"/>
  <c r="BC15" i="12"/>
  <c r="AT15" i="12"/>
  <c r="AU15" i="12" s="1"/>
  <c r="AS15" i="12"/>
  <c r="BC19" i="12"/>
  <c r="AT19" i="12"/>
  <c r="AU19" i="12" s="1"/>
  <c r="AS19" i="12"/>
  <c r="BC23" i="12"/>
  <c r="AT23" i="12"/>
  <c r="AU23" i="12" s="1"/>
  <c r="AS23" i="12"/>
  <c r="BC27" i="12"/>
  <c r="AT27" i="12"/>
  <c r="AU27" i="12" s="1"/>
  <c r="AS27" i="12"/>
  <c r="BC31" i="12"/>
  <c r="AT31" i="12"/>
  <c r="AU31" i="12" s="1"/>
  <c r="AS31" i="12"/>
  <c r="BC35" i="12"/>
  <c r="AT35" i="12"/>
  <c r="AU35" i="12" s="1"/>
  <c r="AS35" i="12"/>
  <c r="AS39" i="12"/>
  <c r="BC39" i="12"/>
  <c r="AT39" i="12"/>
  <c r="AU39" i="12" s="1"/>
  <c r="AS43" i="12"/>
  <c r="BC43" i="12"/>
  <c r="AT43" i="12"/>
  <c r="AU43" i="12" s="1"/>
  <c r="AS47" i="12"/>
  <c r="BC47" i="12"/>
  <c r="AT47" i="12"/>
  <c r="AU47" i="12" s="1"/>
  <c r="AS51" i="12"/>
  <c r="BC51" i="12"/>
  <c r="AT51" i="12"/>
  <c r="AU51" i="12" s="1"/>
  <c r="AS55" i="12"/>
  <c r="BC55" i="12"/>
  <c r="AT55" i="12"/>
  <c r="AU55" i="12" s="1"/>
  <c r="AS59" i="12"/>
  <c r="BC59" i="12"/>
  <c r="AT59" i="12"/>
  <c r="AU59" i="12" s="1"/>
  <c r="AS63" i="12"/>
  <c r="BC63" i="12"/>
  <c r="AT63" i="12"/>
  <c r="AU63" i="12" s="1"/>
  <c r="AS67" i="12"/>
  <c r="BC67" i="12"/>
  <c r="AT67" i="12"/>
  <c r="AU67" i="12" s="1"/>
  <c r="AS71" i="12"/>
  <c r="BC71" i="12"/>
  <c r="AT71" i="12"/>
  <c r="AU71" i="12" s="1"/>
  <c r="AS75" i="12"/>
  <c r="BC75" i="12"/>
  <c r="AT75" i="12"/>
  <c r="AU75" i="12" s="1"/>
  <c r="AS79" i="12"/>
  <c r="BC79" i="12"/>
  <c r="AT79" i="12"/>
  <c r="AU79" i="12" s="1"/>
  <c r="AS83" i="12"/>
  <c r="BC83" i="12"/>
  <c r="AT83" i="12"/>
  <c r="AU83" i="12" s="1"/>
  <c r="AS87" i="12"/>
  <c r="BC87" i="12"/>
  <c r="AT87" i="12"/>
  <c r="AU87" i="12" s="1"/>
  <c r="AS91" i="12"/>
  <c r="BC91" i="12"/>
  <c r="AT91" i="12"/>
  <c r="AU91" i="12" s="1"/>
  <c r="AS95" i="12"/>
  <c r="BC95" i="12"/>
  <c r="AT95" i="12"/>
  <c r="AU95" i="12" s="1"/>
  <c r="AS99" i="12"/>
  <c r="BC99" i="12"/>
  <c r="AT99" i="12"/>
  <c r="AU99" i="12" s="1"/>
  <c r="AS103" i="12"/>
  <c r="AT103" i="12"/>
  <c r="AU103" i="12" s="1"/>
  <c r="BC103" i="12"/>
  <c r="AS107" i="12"/>
  <c r="AT107" i="12"/>
  <c r="AU107" i="12" s="1"/>
  <c r="BC107" i="12"/>
  <c r="AS111" i="12"/>
  <c r="AT111" i="12"/>
  <c r="AU111" i="12" s="1"/>
  <c r="BC111" i="12"/>
  <c r="AS115" i="12"/>
  <c r="AT115" i="12"/>
  <c r="AU115" i="12" s="1"/>
  <c r="BC115" i="12"/>
  <c r="AS119" i="12"/>
  <c r="AT119" i="12"/>
  <c r="AU119" i="12" s="1"/>
  <c r="BC119" i="12"/>
  <c r="AS123" i="12"/>
  <c r="AT123" i="12"/>
  <c r="AU123" i="12" s="1"/>
  <c r="BC123" i="12"/>
  <c r="DN68" i="14"/>
  <c r="DX68" i="14"/>
  <c r="EB68" i="14" s="1"/>
  <c r="EB61" i="14"/>
  <c r="DN37" i="14"/>
  <c r="DX37" i="14"/>
  <c r="DN44" i="14"/>
  <c r="DX44" i="14"/>
  <c r="EB22" i="14"/>
  <c r="DN60" i="14"/>
  <c r="DX60" i="14"/>
  <c r="EB60" i="14" s="1"/>
  <c r="DN106" i="14"/>
  <c r="DX106" i="14"/>
  <c r="DN67" i="14"/>
  <c r="DX67" i="14"/>
  <c r="DN125" i="14"/>
  <c r="DX125" i="14"/>
  <c r="DN107" i="14"/>
  <c r="DX107" i="14"/>
  <c r="DN56" i="14"/>
  <c r="DX56" i="14"/>
  <c r="DN65" i="14"/>
  <c r="DX65" i="14"/>
  <c r="BB16" i="12"/>
  <c r="BB19" i="12"/>
  <c r="AY35" i="12"/>
  <c r="AW35" i="12"/>
  <c r="BD35" i="12"/>
  <c r="AZ35" i="12"/>
  <c r="AW43" i="12"/>
  <c r="AY43" i="12"/>
  <c r="BD43" i="12"/>
  <c r="AZ43" i="12"/>
  <c r="AY87" i="12"/>
  <c r="AW87" i="12"/>
  <c r="BD87" i="12"/>
  <c r="AZ87" i="12"/>
  <c r="AY95" i="12"/>
  <c r="AW95" i="12"/>
  <c r="AZ95" i="12"/>
  <c r="BD95" i="12"/>
  <c r="AW115" i="12"/>
  <c r="AY115" i="12"/>
  <c r="BD115" i="12"/>
  <c r="AZ115" i="12"/>
  <c r="AY103" i="12"/>
  <c r="AW103" i="12"/>
  <c r="AZ103" i="12"/>
  <c r="BD103" i="12"/>
  <c r="BB50" i="12"/>
  <c r="AK178" i="12"/>
  <c r="AY85" i="12"/>
  <c r="AW85" i="12"/>
  <c r="AZ85" i="12"/>
  <c r="BD85" i="12"/>
  <c r="AW93" i="12"/>
  <c r="AY93" i="12"/>
  <c r="BD93" i="12"/>
  <c r="AZ93" i="12"/>
  <c r="AW84" i="12"/>
  <c r="AY84" i="12"/>
  <c r="AZ84" i="12"/>
  <c r="BD84" i="12"/>
  <c r="BD105" i="12"/>
  <c r="AW105" i="12"/>
  <c r="AY105" i="12"/>
  <c r="AZ105" i="12"/>
  <c r="BB28" i="12"/>
  <c r="BB43" i="12"/>
  <c r="BB105" i="12"/>
  <c r="BB87" i="12"/>
  <c r="AY78" i="12"/>
  <c r="AW78" i="12"/>
  <c r="BD78" i="12"/>
  <c r="AZ78" i="12"/>
  <c r="BB78" i="12"/>
  <c r="AY57" i="12"/>
  <c r="AW57" i="12"/>
  <c r="AZ57" i="12"/>
  <c r="BD57" i="12"/>
  <c r="BB57" i="12"/>
  <c r="AY109" i="12"/>
  <c r="AW109" i="12"/>
  <c r="BD109" i="12"/>
  <c r="AZ109" i="12"/>
  <c r="AW70" i="12"/>
  <c r="AY70" i="12"/>
  <c r="AZ70" i="12"/>
  <c r="BD70" i="12"/>
  <c r="AY72" i="12"/>
  <c r="AW72" i="12"/>
  <c r="AZ72" i="12"/>
  <c r="BD72" i="12"/>
  <c r="AY63" i="12"/>
  <c r="AW63" i="12"/>
  <c r="AZ63" i="12"/>
  <c r="BD63" i="12"/>
  <c r="AW8" i="12"/>
  <c r="AY8" i="12"/>
  <c r="AZ8" i="12"/>
  <c r="BD8" i="12"/>
  <c r="BB8" i="12"/>
  <c r="AX134" i="12"/>
  <c r="AX138" i="12" s="1"/>
  <c r="AX183" i="12" s="1"/>
  <c r="EB101" i="14"/>
  <c r="DN122" i="14"/>
  <c r="DX122" i="14"/>
  <c r="DN89" i="14"/>
  <c r="DX89" i="14"/>
  <c r="DN39" i="14"/>
  <c r="DX39" i="14"/>
  <c r="EB85" i="14"/>
  <c r="DN112" i="14"/>
  <c r="DX112" i="14"/>
  <c r="DN121" i="14"/>
  <c r="DX121" i="14"/>
  <c r="EB33" i="14"/>
  <c r="DN105" i="14"/>
  <c r="DX105" i="14"/>
  <c r="EB34" i="14"/>
  <c r="DN119" i="14"/>
  <c r="DX119" i="14"/>
  <c r="EB119" i="14" s="1"/>
  <c r="DN55" i="14"/>
  <c r="DX55" i="14"/>
  <c r="DN27" i="14"/>
  <c r="DX27" i="14"/>
  <c r="DA151" i="14"/>
  <c r="CZ143" i="14"/>
  <c r="DQ126" i="14"/>
  <c r="DK126" i="14"/>
  <c r="DK174" i="14"/>
  <c r="DN18" i="14"/>
  <c r="DX18" i="14"/>
  <c r="DN58" i="14"/>
  <c r="DX58" i="14"/>
  <c r="DN81" i="14"/>
  <c r="DX81" i="14"/>
  <c r="DN52" i="14"/>
  <c r="DX52" i="14"/>
  <c r="DN29" i="14"/>
  <c r="DX29" i="14"/>
  <c r="EB29" i="14" s="1"/>
  <c r="DN49" i="14"/>
  <c r="DX49" i="14"/>
  <c r="DN70" i="14"/>
  <c r="DX70" i="14"/>
  <c r="DN14" i="14"/>
  <c r="DX14" i="14"/>
  <c r="EB90" i="14"/>
  <c r="DN50" i="14"/>
  <c r="DX50" i="14"/>
  <c r="BB85" i="12"/>
  <c r="AY23" i="12"/>
  <c r="AW23" i="12"/>
  <c r="BD23" i="12"/>
  <c r="AZ23" i="12"/>
  <c r="AW100" i="12"/>
  <c r="AY100" i="12"/>
  <c r="AZ100" i="12"/>
  <c r="BD100" i="12"/>
  <c r="AW47" i="12"/>
  <c r="AY47" i="12"/>
  <c r="BD47" i="12"/>
  <c r="AZ47" i="12"/>
  <c r="AY99" i="12"/>
  <c r="AW99" i="12"/>
  <c r="AZ99" i="12"/>
  <c r="BD99" i="12"/>
  <c r="BB100" i="12"/>
  <c r="BB88" i="12"/>
  <c r="BB119" i="12"/>
  <c r="BB31" i="12"/>
  <c r="AY24" i="12"/>
  <c r="AW24" i="12"/>
  <c r="BD24" i="12"/>
  <c r="AZ24" i="12"/>
  <c r="BB24" i="12"/>
  <c r="AW104" i="12"/>
  <c r="AY104" i="12"/>
  <c r="AZ104" i="12"/>
  <c r="BD104" i="12"/>
  <c r="BB56" i="12"/>
  <c r="BB91" i="12"/>
  <c r="AY60" i="12"/>
  <c r="AW60" i="12"/>
  <c r="BD60" i="12"/>
  <c r="AZ60" i="12"/>
  <c r="BB60" i="12"/>
  <c r="AW62" i="12"/>
  <c r="AY62" i="12"/>
  <c r="AZ62" i="12"/>
  <c r="BD62" i="12"/>
  <c r="AY64" i="12"/>
  <c r="AW64" i="12"/>
  <c r="BD64" i="12"/>
  <c r="AZ64" i="12"/>
  <c r="BB64" i="12"/>
  <c r="AY67" i="12"/>
  <c r="AW67" i="12"/>
  <c r="AZ67" i="12"/>
  <c r="BD67" i="12"/>
  <c r="BB123" i="12"/>
  <c r="DN24" i="14"/>
  <c r="DX24" i="14"/>
  <c r="DN54" i="14"/>
  <c r="DX54" i="14"/>
  <c r="DN98" i="14"/>
  <c r="DX98" i="14"/>
  <c r="DN77" i="14"/>
  <c r="DX77" i="14"/>
  <c r="DN25" i="14"/>
  <c r="DX25" i="14"/>
  <c r="DO92" i="14"/>
  <c r="DN28" i="14"/>
  <c r="DX28" i="14"/>
  <c r="EB28" i="14" s="1"/>
  <c r="DN8" i="14"/>
  <c r="DX8" i="14"/>
  <c r="DN97" i="14"/>
  <c r="DX97" i="14"/>
  <c r="DN57" i="14"/>
  <c r="DX57" i="14"/>
  <c r="EB57" i="14" s="1"/>
  <c r="BB21" i="12"/>
  <c r="AH5" i="12"/>
  <c r="AH126" i="12" s="1"/>
  <c r="AG126" i="12"/>
  <c r="AF126" i="12"/>
  <c r="AW17" i="12"/>
  <c r="AY17" i="12"/>
  <c r="AZ17" i="12"/>
  <c r="BD17" i="12"/>
  <c r="AW20" i="12"/>
  <c r="AY20" i="12"/>
  <c r="BD20" i="12"/>
  <c r="AZ20" i="12"/>
  <c r="BB20" i="12"/>
  <c r="AW26" i="12"/>
  <c r="AY26" i="12"/>
  <c r="BD26" i="12"/>
  <c r="AZ26" i="12"/>
  <c r="BB26" i="12"/>
  <c r="AW66" i="12"/>
  <c r="AY66" i="12"/>
  <c r="BD66" i="12"/>
  <c r="AZ66" i="12"/>
  <c r="BB66" i="12"/>
  <c r="AY42" i="12"/>
  <c r="AW42" i="12"/>
  <c r="BD42" i="12"/>
  <c r="AZ42" i="12"/>
  <c r="BB42" i="12"/>
  <c r="AW12" i="12"/>
  <c r="AY12" i="12"/>
  <c r="BD12" i="12"/>
  <c r="AZ12" i="12"/>
  <c r="BB12" i="12"/>
  <c r="AW122" i="12"/>
  <c r="AY122" i="12"/>
  <c r="BD122" i="12"/>
  <c r="AZ122" i="12"/>
  <c r="BB122" i="12"/>
  <c r="EB51" i="14"/>
  <c r="DN47" i="14"/>
  <c r="DX47" i="14"/>
  <c r="DN71" i="14"/>
  <c r="DX71" i="14"/>
  <c r="EB71" i="14" s="1"/>
  <c r="DN45" i="14"/>
  <c r="DX45" i="14"/>
  <c r="DN73" i="14"/>
  <c r="DX73" i="14"/>
  <c r="BB75" i="12"/>
  <c r="BB108" i="12"/>
  <c r="BB5" i="12"/>
  <c r="E16" i="17"/>
  <c r="F14" i="17"/>
  <c r="D17" i="17"/>
  <c r="D19" i="17" s="1"/>
  <c r="E18" i="17"/>
  <c r="F15" i="17"/>
  <c r="AA151" i="12"/>
  <c r="AC85" i="12"/>
  <c r="U143" i="12"/>
  <c r="AC103" i="12"/>
  <c r="AC102" i="12"/>
  <c r="S143" i="12"/>
  <c r="S147" i="12"/>
  <c r="U147" i="12"/>
  <c r="AC105" i="12"/>
  <c r="AC160" i="12" s="1"/>
  <c r="AC106" i="12"/>
  <c r="AC108" i="12"/>
  <c r="AC104" i="12"/>
  <c r="AC156" i="12" s="1"/>
  <c r="AC107" i="12"/>
  <c r="U5" i="12"/>
  <c r="U126" i="12" s="1"/>
  <c r="T126" i="12"/>
  <c r="S126" i="12"/>
  <c r="CM79" i="12" l="1"/>
  <c r="CN79" i="12" s="1"/>
  <c r="DL126" i="14"/>
  <c r="CQ97" i="12"/>
  <c r="CQ73" i="12"/>
  <c r="CM7" i="12"/>
  <c r="CN7" i="12" s="1"/>
  <c r="F16" i="17"/>
  <c r="DW73" i="14"/>
  <c r="DY73" i="14"/>
  <c r="ED73" i="14"/>
  <c r="DZ73" i="14"/>
  <c r="EA73" i="14" s="1"/>
  <c r="DW45" i="14"/>
  <c r="DY45" i="14"/>
  <c r="DZ45" i="14"/>
  <c r="EA45" i="14" s="1"/>
  <c r="ED45" i="14"/>
  <c r="BA122" i="12"/>
  <c r="BK122" i="12"/>
  <c r="BA42" i="12"/>
  <c r="BK42" i="12"/>
  <c r="BA26" i="12"/>
  <c r="BK26" i="12"/>
  <c r="BA17" i="12"/>
  <c r="BK17" i="12"/>
  <c r="DW8" i="14"/>
  <c r="DY8" i="14"/>
  <c r="DZ8" i="14"/>
  <c r="EA8" i="14" s="1"/>
  <c r="ED8" i="14"/>
  <c r="EB8" i="14"/>
  <c r="DW25" i="14"/>
  <c r="DY25" i="14"/>
  <c r="ED25" i="14"/>
  <c r="DZ25" i="14"/>
  <c r="EA25" i="14" s="1"/>
  <c r="EB25" i="14"/>
  <c r="DW98" i="14"/>
  <c r="DY98" i="14"/>
  <c r="DZ98" i="14"/>
  <c r="EA98" i="14" s="1"/>
  <c r="ED98" i="14"/>
  <c r="DW54" i="14"/>
  <c r="DY54" i="14"/>
  <c r="ED54" i="14"/>
  <c r="DZ54" i="14"/>
  <c r="EA54" i="14" s="1"/>
  <c r="EB54" i="14"/>
  <c r="BA62" i="12"/>
  <c r="BK62" i="12"/>
  <c r="BA60" i="12"/>
  <c r="BK60" i="12"/>
  <c r="BA99" i="12"/>
  <c r="BK99" i="12"/>
  <c r="BA100" i="12"/>
  <c r="BK100" i="12"/>
  <c r="DY50" i="14"/>
  <c r="DW50" i="14"/>
  <c r="DZ50" i="14"/>
  <c r="EA50" i="14" s="1"/>
  <c r="ED50" i="14"/>
  <c r="EB50" i="14"/>
  <c r="EB81" i="14"/>
  <c r="DY81" i="14"/>
  <c r="DW81" i="14"/>
  <c r="DZ81" i="14"/>
  <c r="EA81" i="14" s="1"/>
  <c r="ED81" i="14"/>
  <c r="EB73" i="14"/>
  <c r="DK182" i="14"/>
  <c r="DK177" i="14"/>
  <c r="DK178" i="14" s="1"/>
  <c r="CZ151" i="14"/>
  <c r="EB27" i="14"/>
  <c r="DW27" i="14"/>
  <c r="DY27" i="14"/>
  <c r="DZ27" i="14"/>
  <c r="EA27" i="14" s="1"/>
  <c r="ED27" i="14"/>
  <c r="DW55" i="14"/>
  <c r="DY55" i="14"/>
  <c r="ED55" i="14"/>
  <c r="DZ55" i="14"/>
  <c r="EA55" i="14" s="1"/>
  <c r="EB55" i="14"/>
  <c r="EB105" i="14"/>
  <c r="DY105" i="14"/>
  <c r="DW105" i="14"/>
  <c r="DZ105" i="14"/>
  <c r="EA105" i="14" s="1"/>
  <c r="ED105" i="14"/>
  <c r="DW39" i="14"/>
  <c r="DY39" i="14"/>
  <c r="DZ39" i="14"/>
  <c r="EA39" i="14" s="1"/>
  <c r="ED39" i="14"/>
  <c r="EB39" i="14"/>
  <c r="BA8" i="12"/>
  <c r="BK8" i="12"/>
  <c r="BA63" i="12"/>
  <c r="BK63" i="12"/>
  <c r="BA72" i="12"/>
  <c r="BK72" i="12"/>
  <c r="BA70" i="12"/>
  <c r="BK70" i="12"/>
  <c r="BA84" i="12"/>
  <c r="BK84" i="12"/>
  <c r="BA85" i="12"/>
  <c r="BK85" i="12"/>
  <c r="BA103" i="12"/>
  <c r="BK103" i="12"/>
  <c r="BA95" i="12"/>
  <c r="BK95" i="12"/>
  <c r="DW65" i="14"/>
  <c r="DY65" i="14"/>
  <c r="DZ65" i="14"/>
  <c r="EA65" i="14" s="1"/>
  <c r="ED65" i="14"/>
  <c r="EB65" i="14"/>
  <c r="DY56" i="14"/>
  <c r="DW56" i="14"/>
  <c r="DZ56" i="14"/>
  <c r="EA56" i="14" s="1"/>
  <c r="ED56" i="14"/>
  <c r="DW107" i="14"/>
  <c r="DY107" i="14"/>
  <c r="ED107" i="14"/>
  <c r="DZ107" i="14"/>
  <c r="EA107" i="14" s="1"/>
  <c r="EB107" i="14"/>
  <c r="DW125" i="14"/>
  <c r="DY125" i="14"/>
  <c r="DZ125" i="14"/>
  <c r="EA125" i="14" s="1"/>
  <c r="ED125" i="14"/>
  <c r="DY67" i="14"/>
  <c r="DW67" i="14"/>
  <c r="ED67" i="14"/>
  <c r="DZ67" i="14"/>
  <c r="EA67" i="14" s="1"/>
  <c r="EB67" i="14"/>
  <c r="DY44" i="14"/>
  <c r="DW44" i="14"/>
  <c r="ED44" i="14"/>
  <c r="DZ44" i="14"/>
  <c r="EA44" i="14" s="1"/>
  <c r="EB44" i="14"/>
  <c r="DY37" i="14"/>
  <c r="DW37" i="14"/>
  <c r="ED37" i="14"/>
  <c r="DZ37" i="14"/>
  <c r="EA37" i="14" s="1"/>
  <c r="BC160" i="12"/>
  <c r="AU147" i="12"/>
  <c r="AU151" i="12" s="1"/>
  <c r="DY38" i="14"/>
  <c r="DW38" i="14"/>
  <c r="DZ38" i="14"/>
  <c r="EA38" i="14" s="1"/>
  <c r="ED38" i="14"/>
  <c r="DY31" i="14"/>
  <c r="DW31" i="14"/>
  <c r="ED31" i="14"/>
  <c r="DZ31" i="14"/>
  <c r="EA31" i="14" s="1"/>
  <c r="DW16" i="14"/>
  <c r="DY16" i="14"/>
  <c r="ED16" i="14"/>
  <c r="DZ16" i="14"/>
  <c r="EA16" i="14" s="1"/>
  <c r="DY30" i="14"/>
  <c r="DW30" i="14"/>
  <c r="ED30" i="14"/>
  <c r="DZ30" i="14"/>
  <c r="EA30" i="14" s="1"/>
  <c r="EB30" i="14"/>
  <c r="DN92" i="14"/>
  <c r="DX92" i="14"/>
  <c r="EB76" i="14"/>
  <c r="DW76" i="14"/>
  <c r="DY76" i="14"/>
  <c r="ED76" i="14"/>
  <c r="DZ76" i="14"/>
  <c r="EA76" i="14" s="1"/>
  <c r="DY69" i="14"/>
  <c r="DW69" i="14"/>
  <c r="ED69" i="14"/>
  <c r="DZ69" i="14"/>
  <c r="EA69" i="14" s="1"/>
  <c r="EB69" i="14"/>
  <c r="DY102" i="14"/>
  <c r="DW102" i="14"/>
  <c r="DZ102" i="14"/>
  <c r="EA102" i="14" s="1"/>
  <c r="ED102" i="14"/>
  <c r="BA119" i="12"/>
  <c r="BK119" i="12"/>
  <c r="BA91" i="12"/>
  <c r="BK91" i="12"/>
  <c r="BA83" i="12"/>
  <c r="BK83" i="12"/>
  <c r="BA31" i="12"/>
  <c r="BK31" i="12"/>
  <c r="DW99" i="14"/>
  <c r="DY99" i="14"/>
  <c r="DZ99" i="14"/>
  <c r="EA99" i="14" s="1"/>
  <c r="ED99" i="14"/>
  <c r="EB99" i="14"/>
  <c r="DY83" i="14"/>
  <c r="DW83" i="14"/>
  <c r="DZ83" i="14"/>
  <c r="EA83" i="14" s="1"/>
  <c r="ED83" i="14"/>
  <c r="EB83" i="14"/>
  <c r="DY6" i="14"/>
  <c r="DW6" i="14"/>
  <c r="DZ6" i="14"/>
  <c r="EA6" i="14" s="1"/>
  <c r="ED6" i="14"/>
  <c r="BR125" i="12"/>
  <c r="BR123" i="12"/>
  <c r="BR121" i="12"/>
  <c r="BR119" i="12"/>
  <c r="BR117" i="12"/>
  <c r="BR115" i="12"/>
  <c r="BR113" i="12"/>
  <c r="BR111" i="12"/>
  <c r="BR109" i="12"/>
  <c r="BR107" i="12"/>
  <c r="BR105" i="12"/>
  <c r="BR103" i="12"/>
  <c r="BR101" i="12"/>
  <c r="BR99" i="12"/>
  <c r="BR97" i="12"/>
  <c r="BR87" i="12"/>
  <c r="BR96" i="12"/>
  <c r="BR94" i="12"/>
  <c r="BR92" i="12"/>
  <c r="BR90" i="12"/>
  <c r="BR85" i="12"/>
  <c r="BR83" i="12"/>
  <c r="BR81" i="12"/>
  <c r="BR79" i="12"/>
  <c r="BR77" i="12"/>
  <c r="BR75" i="12"/>
  <c r="BR73" i="12"/>
  <c r="BR71" i="12"/>
  <c r="BR69" i="12"/>
  <c r="BR67" i="12"/>
  <c r="BR65" i="12"/>
  <c r="BR63" i="12"/>
  <c r="BR61" i="12"/>
  <c r="BR59" i="12"/>
  <c r="BR57" i="12"/>
  <c r="BR55" i="12"/>
  <c r="BR53" i="12"/>
  <c r="BR51" i="12"/>
  <c r="BR49" i="12"/>
  <c r="BR47" i="12"/>
  <c r="BR36" i="12"/>
  <c r="BR34" i="12"/>
  <c r="BR32" i="12"/>
  <c r="BR30" i="12"/>
  <c r="BR28" i="12"/>
  <c r="BR26" i="12"/>
  <c r="BR24" i="12"/>
  <c r="BR22" i="12"/>
  <c r="BR20" i="12"/>
  <c r="BR18" i="12"/>
  <c r="BR16" i="12"/>
  <c r="BR14" i="12"/>
  <c r="BR12" i="12"/>
  <c r="BR10" i="12"/>
  <c r="BR8" i="12"/>
  <c r="BR6" i="12"/>
  <c r="BR46" i="12"/>
  <c r="BR44" i="12"/>
  <c r="BR42" i="12"/>
  <c r="BR40" i="12"/>
  <c r="BR38" i="12"/>
  <c r="BR124" i="12"/>
  <c r="BR122" i="12"/>
  <c r="BR120" i="12"/>
  <c r="BR118" i="12"/>
  <c r="BR116" i="12"/>
  <c r="BR114" i="12"/>
  <c r="BR112" i="12"/>
  <c r="BR110" i="12"/>
  <c r="BR108" i="12"/>
  <c r="BR106" i="12"/>
  <c r="BR104" i="12"/>
  <c r="BR102" i="12"/>
  <c r="BR100" i="12"/>
  <c r="BR98" i="12"/>
  <c r="BR88" i="12"/>
  <c r="BR86" i="12"/>
  <c r="BR95" i="12"/>
  <c r="BR93" i="12"/>
  <c r="BR91" i="12"/>
  <c r="BR89" i="12"/>
  <c r="BR84" i="12"/>
  <c r="BR82" i="12"/>
  <c r="BR80" i="12"/>
  <c r="BR78" i="12"/>
  <c r="BR76" i="12"/>
  <c r="BR74" i="12"/>
  <c r="BR72" i="12"/>
  <c r="BR70" i="12"/>
  <c r="BR68" i="12"/>
  <c r="BR66" i="12"/>
  <c r="BR64" i="12"/>
  <c r="BR62" i="12"/>
  <c r="BR60" i="12"/>
  <c r="BR58" i="12"/>
  <c r="BR56" i="12"/>
  <c r="BR54" i="12"/>
  <c r="BR52" i="12"/>
  <c r="BR50" i="12"/>
  <c r="BR48" i="12"/>
  <c r="BR37" i="12"/>
  <c r="BR35" i="12"/>
  <c r="BR33" i="12"/>
  <c r="BR31" i="12"/>
  <c r="BR29" i="12"/>
  <c r="BR27" i="12"/>
  <c r="BR25" i="12"/>
  <c r="BR23" i="12"/>
  <c r="BR21" i="12"/>
  <c r="BR19" i="12"/>
  <c r="BR17" i="12"/>
  <c r="BR15" i="12"/>
  <c r="BR13" i="12"/>
  <c r="BR11" i="12"/>
  <c r="BR9" i="12"/>
  <c r="BR7" i="12"/>
  <c r="BR5" i="12"/>
  <c r="BR45" i="12"/>
  <c r="BR43" i="12"/>
  <c r="BR41" i="12"/>
  <c r="BR39" i="12"/>
  <c r="DN94" i="14"/>
  <c r="DX94" i="14"/>
  <c r="DY108" i="14"/>
  <c r="DW108" i="14"/>
  <c r="ED108" i="14"/>
  <c r="DZ108" i="14"/>
  <c r="EA108" i="14" s="1"/>
  <c r="EB108" i="14"/>
  <c r="DY41" i="14"/>
  <c r="DW41" i="14"/>
  <c r="ED41" i="14"/>
  <c r="DZ41" i="14"/>
  <c r="EA41" i="14" s="1"/>
  <c r="EB41" i="14"/>
  <c r="EB31" i="14"/>
  <c r="DN143" i="14"/>
  <c r="BA55" i="12"/>
  <c r="BK55" i="12"/>
  <c r="BA5" i="12"/>
  <c r="BK5" i="12"/>
  <c r="EB45" i="14"/>
  <c r="DW48" i="14"/>
  <c r="DY48" i="14"/>
  <c r="ED48" i="14"/>
  <c r="DZ48" i="14"/>
  <c r="EA48" i="14" s="1"/>
  <c r="DW32" i="14"/>
  <c r="DY32" i="14"/>
  <c r="ED32" i="14"/>
  <c r="DZ32" i="14"/>
  <c r="EA32" i="14" s="1"/>
  <c r="DW51" i="14"/>
  <c r="DY51" i="14"/>
  <c r="ED51" i="14"/>
  <c r="DZ51" i="14"/>
  <c r="EA51" i="14" s="1"/>
  <c r="DY86" i="14"/>
  <c r="DW86" i="14"/>
  <c r="DZ86" i="14"/>
  <c r="EA86" i="14" s="1"/>
  <c r="ED86" i="14"/>
  <c r="DW59" i="14"/>
  <c r="DY59" i="14"/>
  <c r="ED59" i="14"/>
  <c r="DZ59" i="14"/>
  <c r="EA59" i="14" s="1"/>
  <c r="EB59" i="14"/>
  <c r="BA45" i="12"/>
  <c r="BK45" i="12"/>
  <c r="BA61" i="12"/>
  <c r="BK61" i="12"/>
  <c r="BA117" i="12"/>
  <c r="BK117" i="12"/>
  <c r="BA36" i="12"/>
  <c r="BK36" i="12"/>
  <c r="AY123" i="12"/>
  <c r="AW123" i="12"/>
  <c r="AZ123" i="12"/>
  <c r="BD123" i="12"/>
  <c r="BA68" i="12"/>
  <c r="BK68" i="12"/>
  <c r="BA80" i="12"/>
  <c r="BK80" i="12"/>
  <c r="BA32" i="12"/>
  <c r="BK32" i="12"/>
  <c r="DM126" i="14"/>
  <c r="DW80" i="14"/>
  <c r="DY80" i="14"/>
  <c r="ED80" i="14"/>
  <c r="DZ80" i="14"/>
  <c r="EA80" i="14" s="1"/>
  <c r="EB80" i="14"/>
  <c r="EB86" i="14"/>
  <c r="BA9" i="12"/>
  <c r="BK9" i="12"/>
  <c r="BA37" i="12"/>
  <c r="BK37" i="12"/>
  <c r="BP7" i="12"/>
  <c r="BG7" i="12"/>
  <c r="BH7" i="12" s="1"/>
  <c r="BF7" i="12"/>
  <c r="BP18" i="12"/>
  <c r="BG18" i="12"/>
  <c r="BH18" i="12" s="1"/>
  <c r="BF18" i="12"/>
  <c r="BP22" i="12"/>
  <c r="BG22" i="12"/>
  <c r="BH22" i="12" s="1"/>
  <c r="BF22" i="12"/>
  <c r="BP26" i="12"/>
  <c r="BG26" i="12"/>
  <c r="BH26" i="12" s="1"/>
  <c r="BF26" i="12"/>
  <c r="BP30" i="12"/>
  <c r="BG30" i="12"/>
  <c r="BH30" i="12" s="1"/>
  <c r="BF30" i="12"/>
  <c r="BP34" i="12"/>
  <c r="BG34" i="12"/>
  <c r="BH34" i="12" s="1"/>
  <c r="BF34" i="12"/>
  <c r="BP6" i="12"/>
  <c r="BG6" i="12"/>
  <c r="BH6" i="12" s="1"/>
  <c r="BF6" i="12"/>
  <c r="BP12" i="12"/>
  <c r="BG12" i="12"/>
  <c r="BH12" i="12" s="1"/>
  <c r="BF12" i="12"/>
  <c r="BG38" i="12"/>
  <c r="BH38" i="12" s="1"/>
  <c r="BF38" i="12"/>
  <c r="BP38" i="12"/>
  <c r="BG42" i="12"/>
  <c r="BH42" i="12" s="1"/>
  <c r="BF42" i="12"/>
  <c r="BP42" i="12"/>
  <c r="BG46" i="12"/>
  <c r="BH46" i="12" s="1"/>
  <c r="BF46" i="12"/>
  <c r="BP46" i="12"/>
  <c r="BG50" i="12"/>
  <c r="BH50" i="12" s="1"/>
  <c r="BF50" i="12"/>
  <c r="BP50" i="12"/>
  <c r="BG54" i="12"/>
  <c r="BH54" i="12" s="1"/>
  <c r="BF54" i="12"/>
  <c r="BP54" i="12"/>
  <c r="BG58" i="12"/>
  <c r="BH58" i="12" s="1"/>
  <c r="BF58" i="12"/>
  <c r="BP58" i="12"/>
  <c r="BG62" i="12"/>
  <c r="BH62" i="12" s="1"/>
  <c r="BF62" i="12"/>
  <c r="BP62" i="12"/>
  <c r="BG66" i="12"/>
  <c r="BH66" i="12" s="1"/>
  <c r="BF66" i="12"/>
  <c r="BP66" i="12"/>
  <c r="BG70" i="12"/>
  <c r="BH70" i="12" s="1"/>
  <c r="BF70" i="12"/>
  <c r="BP70" i="12"/>
  <c r="BG74" i="12"/>
  <c r="BH74" i="12" s="1"/>
  <c r="BP74" i="12"/>
  <c r="BF74" i="12"/>
  <c r="BG78" i="12"/>
  <c r="BH78" i="12" s="1"/>
  <c r="BF78" i="12"/>
  <c r="BP78" i="12"/>
  <c r="BG82" i="12"/>
  <c r="BH82" i="12" s="1"/>
  <c r="BF82" i="12"/>
  <c r="BP82" i="12"/>
  <c r="BG86" i="12"/>
  <c r="BH86" i="12" s="1"/>
  <c r="BP86" i="12"/>
  <c r="BF86" i="12"/>
  <c r="BG90" i="12"/>
  <c r="BH90" i="12" s="1"/>
  <c r="BF90" i="12"/>
  <c r="BP90" i="12"/>
  <c r="BG94" i="12"/>
  <c r="BH94" i="12" s="1"/>
  <c r="BF94" i="12"/>
  <c r="BP94" i="12"/>
  <c r="BG98" i="12"/>
  <c r="BH98" i="12" s="1"/>
  <c r="BF98" i="12"/>
  <c r="BP98" i="12"/>
  <c r="BP102" i="12"/>
  <c r="BG102" i="12"/>
  <c r="BH102" i="12" s="1"/>
  <c r="BF102" i="12"/>
  <c r="BP106" i="12"/>
  <c r="BG106" i="12"/>
  <c r="BH106" i="12" s="1"/>
  <c r="BF106" i="12"/>
  <c r="BP110" i="12"/>
  <c r="BG110" i="12"/>
  <c r="BH110" i="12" s="1"/>
  <c r="BF110" i="12"/>
  <c r="BP114" i="12"/>
  <c r="BG114" i="12"/>
  <c r="BH114" i="12" s="1"/>
  <c r="BF114" i="12"/>
  <c r="BP118" i="12"/>
  <c r="BG118" i="12"/>
  <c r="BH118" i="12" s="1"/>
  <c r="BF118" i="12"/>
  <c r="BP122" i="12"/>
  <c r="BG122" i="12"/>
  <c r="BH122" i="12" s="1"/>
  <c r="BF122" i="12"/>
  <c r="BP5" i="12"/>
  <c r="BG5" i="12"/>
  <c r="BE126" i="12"/>
  <c r="BF5" i="12"/>
  <c r="BP17" i="12"/>
  <c r="BG17" i="12"/>
  <c r="BH17" i="12" s="1"/>
  <c r="BF17" i="12"/>
  <c r="BP21" i="12"/>
  <c r="BG21" i="12"/>
  <c r="BH21" i="12" s="1"/>
  <c r="BF21" i="12"/>
  <c r="BP25" i="12"/>
  <c r="BG25" i="12"/>
  <c r="BH25" i="12" s="1"/>
  <c r="BF25" i="12"/>
  <c r="BP29" i="12"/>
  <c r="BG29" i="12"/>
  <c r="BH29" i="12" s="1"/>
  <c r="BF29" i="12"/>
  <c r="BP33" i="12"/>
  <c r="BG33" i="12"/>
  <c r="BH33" i="12" s="1"/>
  <c r="BF33" i="12"/>
  <c r="BP37" i="12"/>
  <c r="BG37" i="12"/>
  <c r="BH37" i="12" s="1"/>
  <c r="BF37" i="12"/>
  <c r="BP10" i="12"/>
  <c r="BG10" i="12"/>
  <c r="BH10" i="12" s="1"/>
  <c r="BF10" i="12"/>
  <c r="BP15" i="12"/>
  <c r="BG15" i="12"/>
  <c r="BH15" i="12" s="1"/>
  <c r="BF15" i="12"/>
  <c r="BG41" i="12"/>
  <c r="BH41" i="12" s="1"/>
  <c r="BF41" i="12"/>
  <c r="BP41" i="12"/>
  <c r="BG45" i="12"/>
  <c r="BH45" i="12" s="1"/>
  <c r="BF45" i="12"/>
  <c r="BP45" i="12"/>
  <c r="BG49" i="12"/>
  <c r="BH49" i="12" s="1"/>
  <c r="BF49" i="12"/>
  <c r="BP49" i="12"/>
  <c r="BG53" i="12"/>
  <c r="BH53" i="12" s="1"/>
  <c r="BF53" i="12"/>
  <c r="BP53" i="12"/>
  <c r="BG57" i="12"/>
  <c r="BH57" i="12" s="1"/>
  <c r="BF57" i="12"/>
  <c r="BP57" i="12"/>
  <c r="BG61" i="12"/>
  <c r="BH61" i="12" s="1"/>
  <c r="BF61" i="12"/>
  <c r="BP61" i="12"/>
  <c r="BG65" i="12"/>
  <c r="BH65" i="12" s="1"/>
  <c r="BF65" i="12"/>
  <c r="BP65" i="12"/>
  <c r="BG69" i="12"/>
  <c r="BH69" i="12" s="1"/>
  <c r="BF69" i="12"/>
  <c r="BP69" i="12"/>
  <c r="BG73" i="12"/>
  <c r="BH73" i="12" s="1"/>
  <c r="BP73" i="12"/>
  <c r="BF73" i="12"/>
  <c r="BG77" i="12"/>
  <c r="BH77" i="12" s="1"/>
  <c r="BF77" i="12"/>
  <c r="BP77" i="12"/>
  <c r="BG81" i="12"/>
  <c r="BH81" i="12" s="1"/>
  <c r="BF81" i="12"/>
  <c r="BP81" i="12"/>
  <c r="BG85" i="12"/>
  <c r="BH85" i="12" s="1"/>
  <c r="BF85" i="12"/>
  <c r="BP85" i="12"/>
  <c r="BG89" i="12"/>
  <c r="BH89" i="12" s="1"/>
  <c r="BF89" i="12"/>
  <c r="BP89" i="12"/>
  <c r="BG93" i="12"/>
  <c r="BH93" i="12" s="1"/>
  <c r="BF93" i="12"/>
  <c r="BP93" i="12"/>
  <c r="BG97" i="12"/>
  <c r="BH97" i="12" s="1"/>
  <c r="BF97" i="12"/>
  <c r="BP97" i="12"/>
  <c r="BG101" i="12"/>
  <c r="BH101" i="12" s="1"/>
  <c r="BF101" i="12"/>
  <c r="BP101" i="12"/>
  <c r="BP105" i="12"/>
  <c r="BG105" i="12"/>
  <c r="BH105" i="12" s="1"/>
  <c r="BF105" i="12"/>
  <c r="BP109" i="12"/>
  <c r="BG109" i="12"/>
  <c r="BH109" i="12" s="1"/>
  <c r="BF109" i="12"/>
  <c r="BP113" i="12"/>
  <c r="BG113" i="12"/>
  <c r="BH113" i="12" s="1"/>
  <c r="BF113" i="12"/>
  <c r="BP117" i="12"/>
  <c r="BG117" i="12"/>
  <c r="BH117" i="12" s="1"/>
  <c r="BF117" i="12"/>
  <c r="BP121" i="12"/>
  <c r="BG121" i="12"/>
  <c r="BH121" i="12" s="1"/>
  <c r="BF121" i="12"/>
  <c r="BP125" i="12"/>
  <c r="BG125" i="12"/>
  <c r="BH125" i="12" s="1"/>
  <c r="BF125" i="12"/>
  <c r="BA15" i="12"/>
  <c r="BK15" i="12"/>
  <c r="BA44" i="12"/>
  <c r="BK44" i="12"/>
  <c r="DY34" i="14"/>
  <c r="DW34" i="14"/>
  <c r="DZ34" i="14"/>
  <c r="EA34" i="14" s="1"/>
  <c r="ED34" i="14"/>
  <c r="DW124" i="14"/>
  <c r="DY124" i="14"/>
  <c r="DZ124" i="14"/>
  <c r="EA124" i="14" s="1"/>
  <c r="ED124" i="14"/>
  <c r="EB124" i="14"/>
  <c r="DY109" i="14"/>
  <c r="DW109" i="14"/>
  <c r="ED109" i="14"/>
  <c r="DZ109" i="14"/>
  <c r="EA109" i="14" s="1"/>
  <c r="EB109" i="14"/>
  <c r="DW85" i="14"/>
  <c r="DY85" i="14"/>
  <c r="ED85" i="14"/>
  <c r="DZ85" i="14"/>
  <c r="EA85" i="14" s="1"/>
  <c r="DY62" i="14"/>
  <c r="DW62" i="14"/>
  <c r="ED62" i="14"/>
  <c r="DZ62" i="14"/>
  <c r="EA62" i="14" s="1"/>
  <c r="EB62" i="14"/>
  <c r="DY26" i="14"/>
  <c r="DW26" i="14"/>
  <c r="ED26" i="14"/>
  <c r="DZ26" i="14"/>
  <c r="EA26" i="14" s="1"/>
  <c r="EB26" i="14"/>
  <c r="BA56" i="12"/>
  <c r="BK56" i="12"/>
  <c r="DW61" i="14"/>
  <c r="DY61" i="14"/>
  <c r="ED61" i="14"/>
  <c r="DZ61" i="14"/>
  <c r="EA61" i="14" s="1"/>
  <c r="DY88" i="14"/>
  <c r="DW88" i="14"/>
  <c r="DZ88" i="14"/>
  <c r="EA88" i="14" s="1"/>
  <c r="ED88" i="14"/>
  <c r="EB88" i="14"/>
  <c r="BA33" i="12"/>
  <c r="BK33" i="12"/>
  <c r="AS126" i="12"/>
  <c r="BC126" i="12"/>
  <c r="DW63" i="14"/>
  <c r="DY63" i="14"/>
  <c r="DZ63" i="14"/>
  <c r="EA63" i="14" s="1"/>
  <c r="ED63" i="14"/>
  <c r="DY74" i="14"/>
  <c r="DW74" i="14"/>
  <c r="DZ74" i="14"/>
  <c r="EA74" i="14" s="1"/>
  <c r="ED74" i="14"/>
  <c r="EB74" i="14"/>
  <c r="DW100" i="14"/>
  <c r="DY100" i="14"/>
  <c r="DZ100" i="14"/>
  <c r="EA100" i="14" s="1"/>
  <c r="ED100" i="14"/>
  <c r="DW123" i="14"/>
  <c r="DY123" i="14"/>
  <c r="DZ123" i="14"/>
  <c r="EA123" i="14" s="1"/>
  <c r="ED123" i="14"/>
  <c r="BA10" i="12"/>
  <c r="BK10" i="12"/>
  <c r="BA71" i="12"/>
  <c r="BK71" i="12"/>
  <c r="BD160" i="12"/>
  <c r="BD164" i="12" s="1"/>
  <c r="AY126" i="12"/>
  <c r="BA108" i="12"/>
  <c r="BK108" i="12"/>
  <c r="BO108" i="12" s="1"/>
  <c r="BA14" i="12"/>
  <c r="BK14" i="12"/>
  <c r="DY116" i="14"/>
  <c r="DW116" i="14"/>
  <c r="ED116" i="14"/>
  <c r="DZ116" i="14"/>
  <c r="EA116" i="14" s="1"/>
  <c r="EB56" i="14"/>
  <c r="DY15" i="14"/>
  <c r="DW15" i="14"/>
  <c r="ED15" i="14"/>
  <c r="DZ15" i="14"/>
  <c r="EA15" i="14" s="1"/>
  <c r="EB32" i="14"/>
  <c r="EB20" i="14"/>
  <c r="DY20" i="14"/>
  <c r="DW20" i="14"/>
  <c r="DZ20" i="14"/>
  <c r="EA20" i="14" s="1"/>
  <c r="ED20" i="14"/>
  <c r="EB6" i="14"/>
  <c r="DW7" i="14"/>
  <c r="DY7" i="14"/>
  <c r="DZ7" i="14"/>
  <c r="EA7" i="14" s="1"/>
  <c r="ED7" i="14"/>
  <c r="DY11" i="14"/>
  <c r="DW11" i="14"/>
  <c r="ED11" i="14"/>
  <c r="DZ11" i="14"/>
  <c r="EA11" i="14" s="1"/>
  <c r="EB11" i="14"/>
  <c r="BA118" i="12"/>
  <c r="BK118" i="12"/>
  <c r="CL101" i="12"/>
  <c r="CJ101" i="12"/>
  <c r="CO97" i="12"/>
  <c r="CL97" i="12"/>
  <c r="CJ97" i="12"/>
  <c r="CL77" i="12"/>
  <c r="CJ77" i="12"/>
  <c r="CL7" i="12"/>
  <c r="CJ7" i="12"/>
  <c r="CL112" i="12"/>
  <c r="CJ112" i="12"/>
  <c r="CV124" i="12"/>
  <c r="CV122" i="12"/>
  <c r="CV120" i="12"/>
  <c r="CV118" i="12"/>
  <c r="CV116" i="12"/>
  <c r="CV114" i="12"/>
  <c r="CV112" i="12"/>
  <c r="CV110" i="12"/>
  <c r="CV108" i="12"/>
  <c r="CV106" i="12"/>
  <c r="CV104" i="12"/>
  <c r="CV102" i="12"/>
  <c r="CV99" i="12"/>
  <c r="CV97" i="12"/>
  <c r="CV95" i="12"/>
  <c r="CV93" i="12"/>
  <c r="CV91" i="12"/>
  <c r="CV89" i="12"/>
  <c r="CV88" i="12"/>
  <c r="CV86" i="12"/>
  <c r="CV84" i="12"/>
  <c r="CV82" i="12"/>
  <c r="CV80" i="12"/>
  <c r="CV78" i="12"/>
  <c r="CV76" i="12"/>
  <c r="CV74" i="12"/>
  <c r="CV72" i="12"/>
  <c r="CV70" i="12"/>
  <c r="CV68" i="12"/>
  <c r="CV66" i="12"/>
  <c r="CV64" i="12"/>
  <c r="CV62" i="12"/>
  <c r="CV60" i="12"/>
  <c r="CV58" i="12"/>
  <c r="CV56" i="12"/>
  <c r="CV54" i="12"/>
  <c r="CV52" i="12"/>
  <c r="CV50" i="12"/>
  <c r="CV48" i="12"/>
  <c r="CV46" i="12"/>
  <c r="CV44" i="12"/>
  <c r="CV42" i="12"/>
  <c r="CV40" i="12"/>
  <c r="CV38" i="12"/>
  <c r="CV36" i="12"/>
  <c r="CV34" i="12"/>
  <c r="CV32" i="12"/>
  <c r="CV30" i="12"/>
  <c r="CV28" i="12"/>
  <c r="CV26" i="12"/>
  <c r="CV24" i="12"/>
  <c r="CV22" i="12"/>
  <c r="CV20" i="12"/>
  <c r="CV18" i="12"/>
  <c r="CV16" i="12"/>
  <c r="CV14" i="12"/>
  <c r="CV12" i="12"/>
  <c r="CV10" i="12"/>
  <c r="CV8" i="12"/>
  <c r="CV6" i="12"/>
  <c r="DD4" i="12"/>
  <c r="CX4" i="12"/>
  <c r="DC4" i="12"/>
  <c r="DM4" i="12"/>
  <c r="CV125" i="12"/>
  <c r="CV123" i="12"/>
  <c r="CV121" i="12"/>
  <c r="CV119" i="12"/>
  <c r="CV117" i="12"/>
  <c r="CV115" i="12"/>
  <c r="CV113" i="12"/>
  <c r="CV111" i="12"/>
  <c r="CV109" i="12"/>
  <c r="CV107" i="12"/>
  <c r="CV105" i="12"/>
  <c r="CV103" i="12"/>
  <c r="CV101" i="12"/>
  <c r="CV100" i="12"/>
  <c r="CV98" i="12"/>
  <c r="CV96" i="12"/>
  <c r="CV94" i="12"/>
  <c r="CV92" i="12"/>
  <c r="CV90" i="12"/>
  <c r="CV87" i="12"/>
  <c r="CV85" i="12"/>
  <c r="CV83" i="12"/>
  <c r="CV81" i="12"/>
  <c r="CV79" i="12"/>
  <c r="CV77" i="12"/>
  <c r="CV75" i="12"/>
  <c r="CV73" i="12"/>
  <c r="CV71" i="12"/>
  <c r="CV69" i="12"/>
  <c r="CV67" i="12"/>
  <c r="CV65" i="12"/>
  <c r="CV63" i="12"/>
  <c r="CV61" i="12"/>
  <c r="CV59" i="12"/>
  <c r="CV57" i="12"/>
  <c r="CV55" i="12"/>
  <c r="CV53" i="12"/>
  <c r="CV51" i="12"/>
  <c r="CV49" i="12"/>
  <c r="CV47" i="12"/>
  <c r="CV45" i="12"/>
  <c r="CV43" i="12"/>
  <c r="CV41" i="12"/>
  <c r="CV39" i="12"/>
  <c r="CV37" i="12"/>
  <c r="CV35" i="12"/>
  <c r="CV33" i="12"/>
  <c r="CV31" i="12"/>
  <c r="CV29" i="12"/>
  <c r="CV27" i="12"/>
  <c r="CV25" i="12"/>
  <c r="CV23" i="12"/>
  <c r="CV21" i="12"/>
  <c r="CV19" i="12"/>
  <c r="CV17" i="12"/>
  <c r="CV15" i="12"/>
  <c r="CV13" i="12"/>
  <c r="CV11" i="12"/>
  <c r="CV9" i="12"/>
  <c r="CV7" i="12"/>
  <c r="CV5" i="12"/>
  <c r="DB4" i="12"/>
  <c r="CV4" i="12"/>
  <c r="CW4" i="12" s="1"/>
  <c r="DA4" i="12"/>
  <c r="CX112" i="12"/>
  <c r="CX74" i="12"/>
  <c r="DD74" i="12" s="1"/>
  <c r="CX82" i="12"/>
  <c r="CX7" i="12"/>
  <c r="DD7" i="12" s="1"/>
  <c r="CX90" i="12"/>
  <c r="CZ90" i="12" s="1"/>
  <c r="DA90" i="12" s="1"/>
  <c r="CX97" i="12"/>
  <c r="DD112" i="12"/>
  <c r="CX73" i="12"/>
  <c r="CX77" i="12"/>
  <c r="CX79" i="12"/>
  <c r="DB79" i="12" s="1"/>
  <c r="CZ112" i="12"/>
  <c r="DA112" i="12" s="1"/>
  <c r="CZ79" i="12"/>
  <c r="DA79" i="12" s="1"/>
  <c r="BA40" i="12"/>
  <c r="BK40" i="12"/>
  <c r="BO40" i="12" s="1"/>
  <c r="BA29" i="12"/>
  <c r="BK29" i="12"/>
  <c r="CO73" i="12"/>
  <c r="DW96" i="14"/>
  <c r="DY96" i="14"/>
  <c r="ED96" i="14"/>
  <c r="DZ96" i="14"/>
  <c r="EA96" i="14" s="1"/>
  <c r="EB96" i="14"/>
  <c r="EB38" i="14"/>
  <c r="DW78" i="14"/>
  <c r="DY78" i="14"/>
  <c r="ED78" i="14"/>
  <c r="DZ78" i="14"/>
  <c r="EA78" i="14" s="1"/>
  <c r="EB78" i="14"/>
  <c r="EB10" i="14"/>
  <c r="DW10" i="14"/>
  <c r="DY10" i="14"/>
  <c r="DZ10" i="14"/>
  <c r="EA10" i="14" s="1"/>
  <c r="ED10" i="14"/>
  <c r="DY72" i="14"/>
  <c r="DW72" i="14"/>
  <c r="DZ72" i="14"/>
  <c r="EA72" i="14" s="1"/>
  <c r="ED72" i="14"/>
  <c r="EB72" i="14"/>
  <c r="EB102" i="14"/>
  <c r="DQ164" i="14"/>
  <c r="BA41" i="12"/>
  <c r="BK41" i="12"/>
  <c r="BA51" i="12"/>
  <c r="BK51" i="12"/>
  <c r="BA111" i="12"/>
  <c r="BK111" i="12"/>
  <c r="BA75" i="12"/>
  <c r="BK75" i="12"/>
  <c r="BO75" i="12" s="1"/>
  <c r="BA107" i="12"/>
  <c r="BK107" i="12"/>
  <c r="CO101" i="12"/>
  <c r="BA120" i="12"/>
  <c r="BK120" i="12"/>
  <c r="BA94" i="12"/>
  <c r="BK94" i="12"/>
  <c r="BA53" i="12"/>
  <c r="BK53" i="12"/>
  <c r="BA88" i="12"/>
  <c r="BK88" i="12"/>
  <c r="BA27" i="12"/>
  <c r="BK27" i="12"/>
  <c r="CO7" i="12"/>
  <c r="BO5" i="12"/>
  <c r="BB126" i="12"/>
  <c r="DY71" i="14"/>
  <c r="DW71" i="14"/>
  <c r="ED71" i="14"/>
  <c r="DZ71" i="14"/>
  <c r="EA71" i="14" s="1"/>
  <c r="DW47" i="14"/>
  <c r="DY47" i="14"/>
  <c r="DZ47" i="14"/>
  <c r="EA47" i="14" s="1"/>
  <c r="ED47" i="14"/>
  <c r="EB47" i="14"/>
  <c r="BO122" i="12"/>
  <c r="BA12" i="12"/>
  <c r="BK12" i="12"/>
  <c r="BO42" i="12"/>
  <c r="BA66" i="12"/>
  <c r="BK66" i="12"/>
  <c r="BO66" i="12" s="1"/>
  <c r="BO26" i="12"/>
  <c r="BA20" i="12"/>
  <c r="BK20" i="12"/>
  <c r="DW57" i="14"/>
  <c r="DY57" i="14"/>
  <c r="DZ57" i="14"/>
  <c r="EA57" i="14" s="1"/>
  <c r="ED57" i="14"/>
  <c r="DW97" i="14"/>
  <c r="DY97" i="14"/>
  <c r="DZ97" i="14"/>
  <c r="EA97" i="14" s="1"/>
  <c r="ED97" i="14"/>
  <c r="EB97" i="14"/>
  <c r="DY28" i="14"/>
  <c r="DW28" i="14"/>
  <c r="ED28" i="14"/>
  <c r="DZ28" i="14"/>
  <c r="EA28" i="14" s="1"/>
  <c r="EB92" i="14"/>
  <c r="DY77" i="14"/>
  <c r="DW77" i="14"/>
  <c r="DZ77" i="14"/>
  <c r="EA77" i="14" s="1"/>
  <c r="ED77" i="14"/>
  <c r="EB77" i="14"/>
  <c r="DW24" i="14"/>
  <c r="DY24" i="14"/>
  <c r="ED24" i="14"/>
  <c r="DZ24" i="14"/>
  <c r="EA24" i="14" s="1"/>
  <c r="BA67" i="12"/>
  <c r="BK67" i="12"/>
  <c r="BA64" i="12"/>
  <c r="BK64" i="12"/>
  <c r="BO60" i="12"/>
  <c r="BO56" i="12"/>
  <c r="BA104" i="12"/>
  <c r="BK104" i="12"/>
  <c r="BA24" i="12"/>
  <c r="BK24" i="12"/>
  <c r="BO24" i="12" s="1"/>
  <c r="BO31" i="12"/>
  <c r="BA47" i="12"/>
  <c r="BK47" i="12"/>
  <c r="BA23" i="12"/>
  <c r="BK23" i="12"/>
  <c r="BO85" i="12"/>
  <c r="DY14" i="14"/>
  <c r="DW14" i="14"/>
  <c r="DZ14" i="14"/>
  <c r="EA14" i="14" s="1"/>
  <c r="ED14" i="14"/>
  <c r="EB14" i="14"/>
  <c r="DW70" i="14"/>
  <c r="DY70" i="14"/>
  <c r="DZ70" i="14"/>
  <c r="EA70" i="14" s="1"/>
  <c r="ED70" i="14"/>
  <c r="EB49" i="14"/>
  <c r="DY49" i="14"/>
  <c r="DW49" i="14"/>
  <c r="ED49" i="14"/>
  <c r="DZ49" i="14"/>
  <c r="EA49" i="14" s="1"/>
  <c r="DW29" i="14"/>
  <c r="DY29" i="14"/>
  <c r="DZ29" i="14"/>
  <c r="EA29" i="14" s="1"/>
  <c r="ED29" i="14"/>
  <c r="DY52" i="14"/>
  <c r="DW52" i="14"/>
  <c r="DZ52" i="14"/>
  <c r="EA52" i="14" s="1"/>
  <c r="ED52" i="14"/>
  <c r="EB52" i="14"/>
  <c r="DY58" i="14"/>
  <c r="DW58" i="14"/>
  <c r="DZ58" i="14"/>
  <c r="EA58" i="14" s="1"/>
  <c r="ED58" i="14"/>
  <c r="EB58" i="14"/>
  <c r="DW18" i="14"/>
  <c r="DY18" i="14"/>
  <c r="ED18" i="14"/>
  <c r="DZ18" i="14"/>
  <c r="EA18" i="14" s="1"/>
  <c r="EB18" i="14"/>
  <c r="DK175" i="14"/>
  <c r="DW119" i="14"/>
  <c r="DY119" i="14"/>
  <c r="ED119" i="14"/>
  <c r="DZ119" i="14"/>
  <c r="EA119" i="14" s="1"/>
  <c r="DW121" i="14"/>
  <c r="DY121" i="14"/>
  <c r="ED121" i="14"/>
  <c r="DZ121" i="14"/>
  <c r="EA121" i="14" s="1"/>
  <c r="DY112" i="14"/>
  <c r="DW112" i="14"/>
  <c r="ED112" i="14"/>
  <c r="DZ112" i="14"/>
  <c r="EA112" i="14" s="1"/>
  <c r="EB112" i="14"/>
  <c r="DW89" i="14"/>
  <c r="DY89" i="14"/>
  <c r="DZ89" i="14"/>
  <c r="EA89" i="14" s="1"/>
  <c r="ED89" i="14"/>
  <c r="EB122" i="14"/>
  <c r="DY122" i="14"/>
  <c r="DW122" i="14"/>
  <c r="DZ122" i="14"/>
  <c r="EA122" i="14" s="1"/>
  <c r="ED122" i="14"/>
  <c r="AY147" i="12"/>
  <c r="AY151" i="12" s="1"/>
  <c r="BA109" i="12"/>
  <c r="BK109" i="12"/>
  <c r="BA57" i="12"/>
  <c r="BK57" i="12"/>
  <c r="BA78" i="12"/>
  <c r="BK78" i="12"/>
  <c r="BA105" i="12"/>
  <c r="BK105" i="12"/>
  <c r="BA93" i="12"/>
  <c r="BK93" i="12"/>
  <c r="BA115" i="12"/>
  <c r="BK115" i="12"/>
  <c r="BA87" i="12"/>
  <c r="BK87" i="12"/>
  <c r="BA43" i="12"/>
  <c r="BK43" i="12"/>
  <c r="BA35" i="12"/>
  <c r="BK35" i="12"/>
  <c r="EB106" i="14"/>
  <c r="DY106" i="14"/>
  <c r="DW106" i="14"/>
  <c r="ED106" i="14"/>
  <c r="DZ106" i="14"/>
  <c r="EA106" i="14" s="1"/>
  <c r="DY60" i="14"/>
  <c r="DW60" i="14"/>
  <c r="DZ60" i="14"/>
  <c r="EA60" i="14" s="1"/>
  <c r="ED60" i="14"/>
  <c r="DY68" i="14"/>
  <c r="DW68" i="14"/>
  <c r="DZ68" i="14"/>
  <c r="EA68" i="14" s="1"/>
  <c r="ED68" i="14"/>
  <c r="AS147" i="12"/>
  <c r="AS151" i="12" s="1"/>
  <c r="DB112" i="12"/>
  <c r="DY40" i="14"/>
  <c r="DW40" i="14"/>
  <c r="ED40" i="14"/>
  <c r="DZ40" i="14"/>
  <c r="EA40" i="14" s="1"/>
  <c r="DY64" i="14"/>
  <c r="DW64" i="14"/>
  <c r="ED64" i="14"/>
  <c r="DZ64" i="14"/>
  <c r="EA64" i="14" s="1"/>
  <c r="EB64" i="14"/>
  <c r="DY35" i="14"/>
  <c r="DW35" i="14"/>
  <c r="DZ35" i="14"/>
  <c r="EA35" i="14" s="1"/>
  <c r="ED35" i="14"/>
  <c r="DW110" i="14"/>
  <c r="DY110" i="14"/>
  <c r="DZ110" i="14"/>
  <c r="EA110" i="14" s="1"/>
  <c r="ED110" i="14"/>
  <c r="EB110" i="14"/>
  <c r="BA48" i="12"/>
  <c r="BK48" i="12"/>
  <c r="BA28" i="12"/>
  <c r="BK28" i="12"/>
  <c r="BO28" i="12" s="1"/>
  <c r="BA98" i="12"/>
  <c r="BK98" i="12"/>
  <c r="BA89" i="12"/>
  <c r="BK89" i="12"/>
  <c r="BO89" i="12" s="1"/>
  <c r="BA81" i="12"/>
  <c r="BK81" i="12"/>
  <c r="BA102" i="12"/>
  <c r="BK102" i="12"/>
  <c r="BA22" i="12"/>
  <c r="BK22" i="12"/>
  <c r="BA39" i="12"/>
  <c r="BK39" i="12"/>
  <c r="BO39" i="12" s="1"/>
  <c r="DY114" i="14"/>
  <c r="DW114" i="14"/>
  <c r="ED114" i="14"/>
  <c r="DZ114" i="14"/>
  <c r="EA114" i="14" s="1"/>
  <c r="EB21" i="14"/>
  <c r="DW21" i="14"/>
  <c r="DY21" i="14"/>
  <c r="DZ21" i="14"/>
  <c r="EA21" i="14" s="1"/>
  <c r="ED21" i="14"/>
  <c r="DW84" i="14"/>
  <c r="DY84" i="14"/>
  <c r="ED84" i="14"/>
  <c r="DZ84" i="14"/>
  <c r="EA84" i="14" s="1"/>
  <c r="EB84" i="14"/>
  <c r="DO126" i="14"/>
  <c r="DB74" i="12"/>
  <c r="DY12" i="14"/>
  <c r="DW12" i="14"/>
  <c r="DZ12" i="14"/>
  <c r="EA12" i="14" s="1"/>
  <c r="ED12" i="14"/>
  <c r="EB94" i="14"/>
  <c r="DY9" i="14"/>
  <c r="DW9" i="14"/>
  <c r="ED9" i="14"/>
  <c r="DZ9" i="14"/>
  <c r="EA9" i="14" s="1"/>
  <c r="EB9" i="14"/>
  <c r="DW43" i="14"/>
  <c r="DY43" i="14"/>
  <c r="ED43" i="14"/>
  <c r="DZ43" i="14"/>
  <c r="EA43" i="14" s="1"/>
  <c r="EB43" i="14"/>
  <c r="EB98" i="14"/>
  <c r="DY23" i="14"/>
  <c r="DW23" i="14"/>
  <c r="ED23" i="14"/>
  <c r="DZ23" i="14"/>
  <c r="EA23" i="14" s="1"/>
  <c r="EB23" i="14"/>
  <c r="DK188" i="14"/>
  <c r="DK183" i="14"/>
  <c r="J27" i="17" s="1"/>
  <c r="DX130" i="14"/>
  <c r="DW19" i="14"/>
  <c r="DY19" i="14"/>
  <c r="ED19" i="14"/>
  <c r="DZ19" i="14"/>
  <c r="EA19" i="14" s="1"/>
  <c r="EB19" i="14"/>
  <c r="BA121" i="12"/>
  <c r="BK121" i="12"/>
  <c r="BA30" i="12"/>
  <c r="BK30" i="12"/>
  <c r="BD126" i="12"/>
  <c r="BO68" i="12"/>
  <c r="EB48" i="14"/>
  <c r="DW79" i="14"/>
  <c r="DY79" i="14"/>
  <c r="DZ79" i="14"/>
  <c r="EA79" i="14" s="1"/>
  <c r="ED79" i="14"/>
  <c r="DW66" i="14"/>
  <c r="DY66" i="14"/>
  <c r="DZ66" i="14"/>
  <c r="EA66" i="14" s="1"/>
  <c r="ED66" i="14"/>
  <c r="DY101" i="14"/>
  <c r="DW101" i="14"/>
  <c r="ED101" i="14"/>
  <c r="DZ101" i="14"/>
  <c r="EA101" i="14" s="1"/>
  <c r="EB24" i="14"/>
  <c r="BA6" i="12"/>
  <c r="BK6" i="12"/>
  <c r="BO61" i="12"/>
  <c r="BA65" i="12"/>
  <c r="BK65" i="12"/>
  <c r="BO65" i="12" s="1"/>
  <c r="BO117" i="12"/>
  <c r="AX126" i="12"/>
  <c r="BA59" i="12"/>
  <c r="BK59" i="12"/>
  <c r="BO59" i="12" s="1"/>
  <c r="BA92" i="12"/>
  <c r="BK92" i="12"/>
  <c r="BA116" i="12"/>
  <c r="BK116" i="12"/>
  <c r="BO116" i="12" s="1"/>
  <c r="BA86" i="12"/>
  <c r="BK86" i="12"/>
  <c r="BA106" i="12"/>
  <c r="BK106" i="12"/>
  <c r="BA96" i="12"/>
  <c r="BK96" i="12"/>
  <c r="BA58" i="12"/>
  <c r="BK58" i="12"/>
  <c r="BA46" i="12"/>
  <c r="BK46" i="12"/>
  <c r="EB82" i="14"/>
  <c r="DW82" i="14"/>
  <c r="DY82" i="14"/>
  <c r="DZ82" i="14"/>
  <c r="EA82" i="14" s="1"/>
  <c r="ED82" i="14"/>
  <c r="DY90" i="14"/>
  <c r="DW90" i="14"/>
  <c r="DZ90" i="14"/>
  <c r="EA90" i="14" s="1"/>
  <c r="ED90" i="14"/>
  <c r="DY46" i="14"/>
  <c r="DW46" i="14"/>
  <c r="DZ46" i="14"/>
  <c r="EA46" i="14" s="1"/>
  <c r="ED46" i="14"/>
  <c r="EB70" i="14"/>
  <c r="DY87" i="14"/>
  <c r="DW87" i="14"/>
  <c r="DZ87" i="14"/>
  <c r="EA87" i="14" s="1"/>
  <c r="ED87" i="14"/>
  <c r="EB87" i="14"/>
  <c r="EB91" i="14"/>
  <c r="DW91" i="14"/>
  <c r="DY91" i="14"/>
  <c r="ED91" i="14"/>
  <c r="DZ91" i="14"/>
  <c r="EA91" i="14" s="1"/>
  <c r="DX174" i="14"/>
  <c r="DY5" i="14"/>
  <c r="DX126" i="14"/>
  <c r="DW5" i="14"/>
  <c r="DZ5" i="14"/>
  <c r="ED5" i="14"/>
  <c r="DN126" i="14"/>
  <c r="BF16" i="12"/>
  <c r="BP16" i="12"/>
  <c r="BG16" i="12"/>
  <c r="BH16" i="12" s="1"/>
  <c r="BF20" i="12"/>
  <c r="BP20" i="12"/>
  <c r="BG20" i="12"/>
  <c r="BH20" i="12" s="1"/>
  <c r="BF24" i="12"/>
  <c r="BP24" i="12"/>
  <c r="BG24" i="12"/>
  <c r="BH24" i="12" s="1"/>
  <c r="BF28" i="12"/>
  <c r="BP28" i="12"/>
  <c r="BG28" i="12"/>
  <c r="BH28" i="12" s="1"/>
  <c r="BF32" i="12"/>
  <c r="BP32" i="12"/>
  <c r="BG32" i="12"/>
  <c r="BH32" i="12" s="1"/>
  <c r="BF36" i="12"/>
  <c r="BP36" i="12"/>
  <c r="BG36" i="12"/>
  <c r="BH36" i="12" s="1"/>
  <c r="BF9" i="12"/>
  <c r="BP9" i="12"/>
  <c r="BG9" i="12"/>
  <c r="BH9" i="12" s="1"/>
  <c r="BF14" i="12"/>
  <c r="BP14" i="12"/>
  <c r="BG14" i="12"/>
  <c r="BH14" i="12" s="1"/>
  <c r="BP40" i="12"/>
  <c r="BG40" i="12"/>
  <c r="BH40" i="12" s="1"/>
  <c r="BF40" i="12"/>
  <c r="BP44" i="12"/>
  <c r="BG44" i="12"/>
  <c r="BH44" i="12" s="1"/>
  <c r="BF44" i="12"/>
  <c r="BP48" i="12"/>
  <c r="BG48" i="12"/>
  <c r="BH48" i="12" s="1"/>
  <c r="BF48" i="12"/>
  <c r="BP52" i="12"/>
  <c r="BG52" i="12"/>
  <c r="BH52" i="12" s="1"/>
  <c r="BF52" i="12"/>
  <c r="BP56" i="12"/>
  <c r="BG56" i="12"/>
  <c r="BH56" i="12" s="1"/>
  <c r="BF56" i="12"/>
  <c r="BP60" i="12"/>
  <c r="BG60" i="12"/>
  <c r="BH60" i="12" s="1"/>
  <c r="BF60" i="12"/>
  <c r="BP64" i="12"/>
  <c r="BG64" i="12"/>
  <c r="BH64" i="12" s="1"/>
  <c r="BF64" i="12"/>
  <c r="BP68" i="12"/>
  <c r="BG68" i="12"/>
  <c r="BH68" i="12" s="1"/>
  <c r="BF68" i="12"/>
  <c r="BF72" i="12"/>
  <c r="BG72" i="12"/>
  <c r="BH72" i="12" s="1"/>
  <c r="BP72" i="12"/>
  <c r="BF76" i="12"/>
  <c r="BG76" i="12"/>
  <c r="BH76" i="12" s="1"/>
  <c r="BP76" i="12"/>
  <c r="BP80" i="12"/>
  <c r="BG80" i="12"/>
  <c r="BH80" i="12" s="1"/>
  <c r="BF80" i="12"/>
  <c r="BP84" i="12"/>
  <c r="BG84" i="12"/>
  <c r="BH84" i="12" s="1"/>
  <c r="BF84" i="12"/>
  <c r="BF88" i="12"/>
  <c r="BG88" i="12"/>
  <c r="BH88" i="12" s="1"/>
  <c r="BP88" i="12"/>
  <c r="BP92" i="12"/>
  <c r="BG92" i="12"/>
  <c r="BH92" i="12" s="1"/>
  <c r="BF92" i="12"/>
  <c r="BP96" i="12"/>
  <c r="BG96" i="12"/>
  <c r="BH96" i="12" s="1"/>
  <c r="BF96" i="12"/>
  <c r="BP100" i="12"/>
  <c r="BG100" i="12"/>
  <c r="BH100" i="12" s="1"/>
  <c r="BF100" i="12"/>
  <c r="BF104" i="12"/>
  <c r="BP104" i="12"/>
  <c r="BG104" i="12"/>
  <c r="BH104" i="12" s="1"/>
  <c r="BF108" i="12"/>
  <c r="BP108" i="12"/>
  <c r="BG108" i="12"/>
  <c r="BH108" i="12" s="1"/>
  <c r="BF112" i="12"/>
  <c r="BP112" i="12"/>
  <c r="BG112" i="12"/>
  <c r="BH112" i="12" s="1"/>
  <c r="BF116" i="12"/>
  <c r="BP116" i="12"/>
  <c r="BG116" i="12"/>
  <c r="BH116" i="12" s="1"/>
  <c r="BF120" i="12"/>
  <c r="BP120" i="12"/>
  <c r="BG120" i="12"/>
  <c r="BH120" i="12" s="1"/>
  <c r="BF124" i="12"/>
  <c r="BP124" i="12"/>
  <c r="BG124" i="12"/>
  <c r="BH124" i="12" s="1"/>
  <c r="BF11" i="12"/>
  <c r="BP11" i="12"/>
  <c r="BG11" i="12"/>
  <c r="BH11" i="12" s="1"/>
  <c r="BF19" i="12"/>
  <c r="BP19" i="12"/>
  <c r="BG19" i="12"/>
  <c r="BH19" i="12" s="1"/>
  <c r="BF23" i="12"/>
  <c r="BP23" i="12"/>
  <c r="BG23" i="12"/>
  <c r="BH23" i="12" s="1"/>
  <c r="BF27" i="12"/>
  <c r="BP27" i="12"/>
  <c r="BG27" i="12"/>
  <c r="BH27" i="12" s="1"/>
  <c r="BF31" i="12"/>
  <c r="BP31" i="12"/>
  <c r="BG31" i="12"/>
  <c r="BH31" i="12" s="1"/>
  <c r="BF35" i="12"/>
  <c r="BP35" i="12"/>
  <c r="BG35" i="12"/>
  <c r="BH35" i="12" s="1"/>
  <c r="BF8" i="12"/>
  <c r="BP8" i="12"/>
  <c r="BG8" i="12"/>
  <c r="BH8" i="12" s="1"/>
  <c r="BF13" i="12"/>
  <c r="BP13" i="12"/>
  <c r="BG13" i="12"/>
  <c r="BH13" i="12" s="1"/>
  <c r="BP39" i="12"/>
  <c r="BG39" i="12"/>
  <c r="BH39" i="12" s="1"/>
  <c r="BF39" i="12"/>
  <c r="BP43" i="12"/>
  <c r="BG43" i="12"/>
  <c r="BH43" i="12" s="1"/>
  <c r="BF43" i="12"/>
  <c r="BP47" i="12"/>
  <c r="BG47" i="12"/>
  <c r="BH47" i="12" s="1"/>
  <c r="BF47" i="12"/>
  <c r="BP51" i="12"/>
  <c r="BG51" i="12"/>
  <c r="BH51" i="12" s="1"/>
  <c r="BF51" i="12"/>
  <c r="BP55" i="12"/>
  <c r="BG55" i="12"/>
  <c r="BH55" i="12" s="1"/>
  <c r="BF55" i="12"/>
  <c r="BP59" i="12"/>
  <c r="BG59" i="12"/>
  <c r="BH59" i="12" s="1"/>
  <c r="BF59" i="12"/>
  <c r="BP63" i="12"/>
  <c r="BG63" i="12"/>
  <c r="BH63" i="12" s="1"/>
  <c r="BF63" i="12"/>
  <c r="BP67" i="12"/>
  <c r="BG67" i="12"/>
  <c r="BH67" i="12" s="1"/>
  <c r="BF67" i="12"/>
  <c r="BF71" i="12"/>
  <c r="BG71" i="12"/>
  <c r="BH71" i="12" s="1"/>
  <c r="BP71" i="12"/>
  <c r="BF75" i="12"/>
  <c r="BG75" i="12"/>
  <c r="BH75" i="12" s="1"/>
  <c r="BP75" i="12"/>
  <c r="BP79" i="12"/>
  <c r="BG79" i="12"/>
  <c r="BH79" i="12" s="1"/>
  <c r="BF79" i="12"/>
  <c r="BP83" i="12"/>
  <c r="BG83" i="12"/>
  <c r="BH83" i="12" s="1"/>
  <c r="BF83" i="12"/>
  <c r="BF87" i="12"/>
  <c r="BG87" i="12"/>
  <c r="BH87" i="12" s="1"/>
  <c r="BP87" i="12"/>
  <c r="BP91" i="12"/>
  <c r="BG91" i="12"/>
  <c r="BH91" i="12" s="1"/>
  <c r="BF91" i="12"/>
  <c r="BP95" i="12"/>
  <c r="BG95" i="12"/>
  <c r="BH95" i="12" s="1"/>
  <c r="BF95" i="12"/>
  <c r="BP99" i="12"/>
  <c r="BG99" i="12"/>
  <c r="BH99" i="12" s="1"/>
  <c r="BF99" i="12"/>
  <c r="BF103" i="12"/>
  <c r="BP103" i="12"/>
  <c r="BG103" i="12"/>
  <c r="BH103" i="12" s="1"/>
  <c r="BF107" i="12"/>
  <c r="BP107" i="12"/>
  <c r="BG107" i="12"/>
  <c r="BH107" i="12" s="1"/>
  <c r="BF111" i="12"/>
  <c r="BP111" i="12"/>
  <c r="BG111" i="12"/>
  <c r="BH111" i="12" s="1"/>
  <c r="BF115" i="12"/>
  <c r="BP115" i="12"/>
  <c r="BG115" i="12"/>
  <c r="BH115" i="12" s="1"/>
  <c r="BF119" i="12"/>
  <c r="BP119" i="12"/>
  <c r="BG119" i="12"/>
  <c r="BH119" i="12" s="1"/>
  <c r="BF123" i="12"/>
  <c r="BP123" i="12"/>
  <c r="BG123" i="12"/>
  <c r="BH123" i="12" s="1"/>
  <c r="BO15" i="12"/>
  <c r="DY104" i="14"/>
  <c r="DW104" i="14"/>
  <c r="ED104" i="14"/>
  <c r="DZ104" i="14"/>
  <c r="EA104" i="14" s="1"/>
  <c r="EB104" i="14"/>
  <c r="DW113" i="14"/>
  <c r="DY113" i="14"/>
  <c r="ED113" i="14"/>
  <c r="DZ113" i="14"/>
  <c r="EA113" i="14" s="1"/>
  <c r="EB113" i="14"/>
  <c r="DW33" i="14"/>
  <c r="DY33" i="14"/>
  <c r="DZ33" i="14"/>
  <c r="EA33" i="14" s="1"/>
  <c r="ED33" i="14"/>
  <c r="EB121" i="14"/>
  <c r="EB75" i="14"/>
  <c r="DY75" i="14"/>
  <c r="DW75" i="14"/>
  <c r="DZ75" i="14"/>
  <c r="EA75" i="14" s="1"/>
  <c r="ED75" i="14"/>
  <c r="EB89" i="14"/>
  <c r="AN151" i="12"/>
  <c r="AM147" i="12"/>
  <c r="DW42" i="14"/>
  <c r="DY42" i="14"/>
  <c r="DZ42" i="14"/>
  <c r="EA42" i="14" s="1"/>
  <c r="ED42" i="14"/>
  <c r="EB42" i="14"/>
  <c r="EB125" i="14"/>
  <c r="DY22" i="14"/>
  <c r="DW22" i="14"/>
  <c r="DZ22" i="14"/>
  <c r="EA22" i="14" s="1"/>
  <c r="ED22" i="14"/>
  <c r="EB37" i="14"/>
  <c r="BA114" i="12"/>
  <c r="BK114" i="12"/>
  <c r="AU5" i="12"/>
  <c r="AU126" i="12" s="1"/>
  <c r="AT126" i="12"/>
  <c r="BA52" i="12"/>
  <c r="BK52" i="12"/>
  <c r="DW117" i="14"/>
  <c r="DY117" i="14"/>
  <c r="ED117" i="14"/>
  <c r="DZ117" i="14"/>
  <c r="EA117" i="14" s="1"/>
  <c r="EB117" i="14"/>
  <c r="EB16" i="14"/>
  <c r="DW36" i="14"/>
  <c r="DY36" i="14"/>
  <c r="ED36" i="14"/>
  <c r="DZ36" i="14"/>
  <c r="EA36" i="14" s="1"/>
  <c r="EB36" i="14"/>
  <c r="BA13" i="12"/>
  <c r="BK13" i="12"/>
  <c r="BA113" i="12"/>
  <c r="BK113" i="12"/>
  <c r="BA21" i="12"/>
  <c r="BK21" i="12"/>
  <c r="BO21" i="12" s="1"/>
  <c r="BA110" i="12"/>
  <c r="BK110" i="12"/>
  <c r="BO110" i="12" s="1"/>
  <c r="BA19" i="12"/>
  <c r="BK19" i="12"/>
  <c r="BA11" i="12"/>
  <c r="BK11" i="12"/>
  <c r="AW126" i="12"/>
  <c r="AX176" i="12" s="1"/>
  <c r="AX175" i="12" s="1"/>
  <c r="BA49" i="12"/>
  <c r="BK49" i="12"/>
  <c r="BA76" i="12"/>
  <c r="BK76" i="12"/>
  <c r="BO111" i="12"/>
  <c r="DY103" i="14"/>
  <c r="DW103" i="14"/>
  <c r="ED103" i="14"/>
  <c r="DZ103" i="14"/>
  <c r="EA103" i="14" s="1"/>
  <c r="EB46" i="14"/>
  <c r="DY17" i="14"/>
  <c r="DW17" i="14"/>
  <c r="ED17" i="14"/>
  <c r="DZ17" i="14"/>
  <c r="EA17" i="14" s="1"/>
  <c r="EB17" i="14"/>
  <c r="DW120" i="14"/>
  <c r="DY120" i="14"/>
  <c r="DZ120" i="14"/>
  <c r="EA120" i="14" s="1"/>
  <c r="ED120" i="14"/>
  <c r="EB120" i="14"/>
  <c r="BO118" i="12"/>
  <c r="CM101" i="12"/>
  <c r="CN101" i="12" s="1"/>
  <c r="CQ101" i="12"/>
  <c r="CJ73" i="12"/>
  <c r="CL73" i="12"/>
  <c r="CJ79" i="12"/>
  <c r="CL79" i="12"/>
  <c r="CL74" i="12"/>
  <c r="CJ74" i="12"/>
  <c r="CJ82" i="12"/>
  <c r="CL82" i="12"/>
  <c r="CO90" i="12"/>
  <c r="DB90" i="12" s="1"/>
  <c r="CJ90" i="12"/>
  <c r="CL90" i="12"/>
  <c r="CM178" i="12"/>
  <c r="CM176" i="12"/>
  <c r="CM174" i="12"/>
  <c r="CL4" i="12"/>
  <c r="CF4" i="12"/>
  <c r="CG4" i="12"/>
  <c r="CM180" i="12"/>
  <c r="CM177" i="12"/>
  <c r="CM175" i="12"/>
  <c r="CK128" i="12"/>
  <c r="CH4" i="12"/>
  <c r="CE1" i="12" s="1"/>
  <c r="CE4" i="12"/>
  <c r="CI134" i="12"/>
  <c r="CI138" i="12" s="1"/>
  <c r="CK181" i="12" s="1"/>
  <c r="CI126" i="12"/>
  <c r="CK180" i="12" s="1"/>
  <c r="BA54" i="12"/>
  <c r="BK54" i="12"/>
  <c r="BA25" i="12"/>
  <c r="BK25" i="12"/>
  <c r="BA18" i="12"/>
  <c r="BK18" i="12"/>
  <c r="DW115" i="14"/>
  <c r="DY115" i="14"/>
  <c r="ED115" i="14"/>
  <c r="DZ115" i="14"/>
  <c r="EA115" i="14" s="1"/>
  <c r="DW13" i="14"/>
  <c r="DY13" i="14"/>
  <c r="ED13" i="14"/>
  <c r="DZ13" i="14"/>
  <c r="EA13" i="14" s="1"/>
  <c r="EB12" i="14"/>
  <c r="EB63" i="14"/>
  <c r="DW53" i="14"/>
  <c r="DY53" i="14"/>
  <c r="DZ53" i="14"/>
  <c r="EA53" i="14" s="1"/>
  <c r="ED53" i="14"/>
  <c r="EB53" i="14"/>
  <c r="DY118" i="14"/>
  <c r="DW118" i="14"/>
  <c r="ED118" i="14"/>
  <c r="DZ118" i="14"/>
  <c r="EA118" i="14" s="1"/>
  <c r="EB118" i="14"/>
  <c r="DY111" i="14"/>
  <c r="DW111" i="14"/>
  <c r="DZ111" i="14"/>
  <c r="EA111" i="14" s="1"/>
  <c r="ED111" i="14"/>
  <c r="EB111" i="14"/>
  <c r="BO51" i="12"/>
  <c r="BA69" i="12"/>
  <c r="BK69" i="12"/>
  <c r="BA125" i="12"/>
  <c r="BK125" i="12"/>
  <c r="BA16" i="12"/>
  <c r="BK16" i="12"/>
  <c r="BA50" i="12"/>
  <c r="BK50" i="12"/>
  <c r="BA38" i="12"/>
  <c r="BK38" i="12"/>
  <c r="BA124" i="12"/>
  <c r="BK124" i="12"/>
  <c r="BA34" i="12"/>
  <c r="BK34" i="12"/>
  <c r="AC126" i="12"/>
  <c r="G15" i="17"/>
  <c r="G14" i="17"/>
  <c r="U151" i="12"/>
  <c r="AC164" i="12"/>
  <c r="S151" i="12"/>
  <c r="Z143" i="12"/>
  <c r="Z147" i="12"/>
  <c r="DB73" i="12" l="1"/>
  <c r="CV134" i="12"/>
  <c r="CV138" i="12" s="1"/>
  <c r="CX181" i="12" s="1"/>
  <c r="EB126" i="14"/>
  <c r="DD79" i="12"/>
  <c r="CZ74" i="12"/>
  <c r="DA74" i="12" s="1"/>
  <c r="BL16" i="12"/>
  <c r="BJ16" i="12"/>
  <c r="BQ16" i="12"/>
  <c r="BM16" i="12"/>
  <c r="BL69" i="12"/>
  <c r="BJ69" i="12"/>
  <c r="BM69" i="12"/>
  <c r="BQ69" i="12"/>
  <c r="BL18" i="12"/>
  <c r="BJ18" i="12"/>
  <c r="BQ18" i="12"/>
  <c r="BM18" i="12"/>
  <c r="BJ25" i="12"/>
  <c r="BL25" i="12"/>
  <c r="BQ25" i="12"/>
  <c r="BM25" i="12"/>
  <c r="BO25" i="12"/>
  <c r="BO13" i="12"/>
  <c r="BL13" i="12"/>
  <c r="BJ13" i="12"/>
  <c r="BQ13" i="12"/>
  <c r="BM13" i="12"/>
  <c r="EA5" i="14"/>
  <c r="DX182" i="14"/>
  <c r="DX177" i="14"/>
  <c r="BJ46" i="12"/>
  <c r="BL46" i="12"/>
  <c r="BQ46" i="12"/>
  <c r="BM46" i="12"/>
  <c r="BO46" i="12"/>
  <c r="BO96" i="12"/>
  <c r="BL96" i="12"/>
  <c r="BJ96" i="12"/>
  <c r="BM96" i="12"/>
  <c r="BQ96" i="12"/>
  <c r="BJ86" i="12"/>
  <c r="BL86" i="12"/>
  <c r="BM86" i="12"/>
  <c r="BQ86" i="12"/>
  <c r="BJ92" i="12"/>
  <c r="BL92" i="12"/>
  <c r="BM92" i="12"/>
  <c r="BQ92" i="12"/>
  <c r="BO92" i="12"/>
  <c r="BL30" i="12"/>
  <c r="BJ30" i="12"/>
  <c r="BQ30" i="12"/>
  <c r="BM30" i="12"/>
  <c r="BO121" i="12"/>
  <c r="BL121" i="12"/>
  <c r="BJ121" i="12"/>
  <c r="BM121" i="12"/>
  <c r="BQ121" i="12"/>
  <c r="ED156" i="14"/>
  <c r="DY143" i="14"/>
  <c r="DY151" i="14" s="1"/>
  <c r="BL48" i="12"/>
  <c r="BJ48" i="12"/>
  <c r="BM48" i="12"/>
  <c r="BQ48" i="12"/>
  <c r="BO48" i="12"/>
  <c r="BO30" i="12"/>
  <c r="BL35" i="12"/>
  <c r="BJ35" i="12"/>
  <c r="BQ35" i="12"/>
  <c r="BM35" i="12"/>
  <c r="BO35" i="12"/>
  <c r="BJ87" i="12"/>
  <c r="BL87" i="12"/>
  <c r="BM87" i="12"/>
  <c r="BQ87" i="12"/>
  <c r="BO93" i="12"/>
  <c r="BJ93" i="12"/>
  <c r="BL93" i="12"/>
  <c r="BQ93" i="12"/>
  <c r="BM93" i="12"/>
  <c r="BL78" i="12"/>
  <c r="BJ78" i="12"/>
  <c r="BM78" i="12"/>
  <c r="BQ78" i="12"/>
  <c r="BL104" i="12"/>
  <c r="BJ104" i="12"/>
  <c r="BM104" i="12"/>
  <c r="BQ104" i="12"/>
  <c r="BO104" i="12"/>
  <c r="BL64" i="12"/>
  <c r="BJ64" i="12"/>
  <c r="BM64" i="12"/>
  <c r="BQ64" i="12"/>
  <c r="BL12" i="12"/>
  <c r="BJ12" i="12"/>
  <c r="BM12" i="12"/>
  <c r="BQ12" i="12"/>
  <c r="BO88" i="12"/>
  <c r="BJ88" i="12"/>
  <c r="BL88" i="12"/>
  <c r="BM88" i="12"/>
  <c r="BQ88" i="12"/>
  <c r="BL94" i="12"/>
  <c r="BJ94" i="12"/>
  <c r="BQ94" i="12"/>
  <c r="BM94" i="12"/>
  <c r="BL107" i="12"/>
  <c r="BJ107" i="12"/>
  <c r="BQ107" i="12"/>
  <c r="BM107" i="12"/>
  <c r="BL111" i="12"/>
  <c r="BJ111" i="12"/>
  <c r="BM111" i="12"/>
  <c r="BQ111" i="12"/>
  <c r="BO41" i="12"/>
  <c r="BJ41" i="12"/>
  <c r="BL41" i="12"/>
  <c r="BQ41" i="12"/>
  <c r="BM41" i="12"/>
  <c r="CW77" i="12"/>
  <c r="CY77" i="12"/>
  <c r="CW97" i="12"/>
  <c r="CY97" i="12"/>
  <c r="CW7" i="12"/>
  <c r="CY7" i="12"/>
  <c r="BO94" i="12"/>
  <c r="BJ14" i="12"/>
  <c r="BL14" i="12"/>
  <c r="BQ14" i="12"/>
  <c r="BM14" i="12"/>
  <c r="BO14" i="12"/>
  <c r="BL32" i="12"/>
  <c r="BJ32" i="12"/>
  <c r="BQ32" i="12"/>
  <c r="BM32" i="12"/>
  <c r="BO32" i="12"/>
  <c r="BO80" i="12"/>
  <c r="BL80" i="12"/>
  <c r="BJ80" i="12"/>
  <c r="BM80" i="12"/>
  <c r="BQ80" i="12"/>
  <c r="BA123" i="12"/>
  <c r="BK123" i="12"/>
  <c r="BL117" i="12"/>
  <c r="BJ117" i="12"/>
  <c r="BM117" i="12"/>
  <c r="BQ117" i="12"/>
  <c r="AZ126" i="12"/>
  <c r="BS39" i="12"/>
  <c r="CC39" i="12"/>
  <c r="BT39" i="12"/>
  <c r="BU39" i="12" s="1"/>
  <c r="BS43" i="12"/>
  <c r="CC43" i="12"/>
  <c r="BT43" i="12"/>
  <c r="BU43" i="12" s="1"/>
  <c r="BT5" i="12"/>
  <c r="BS5" i="12"/>
  <c r="BR126" i="12"/>
  <c r="CC5" i="12"/>
  <c r="BT9" i="12"/>
  <c r="BU9" i="12" s="1"/>
  <c r="BS9" i="12"/>
  <c r="CC9" i="12"/>
  <c r="BT13" i="12"/>
  <c r="BU13" i="12" s="1"/>
  <c r="BS13" i="12"/>
  <c r="CC13" i="12"/>
  <c r="BT17" i="12"/>
  <c r="BU17" i="12" s="1"/>
  <c r="BS17" i="12"/>
  <c r="CC17" i="12"/>
  <c r="BT21" i="12"/>
  <c r="BU21" i="12" s="1"/>
  <c r="BS21" i="12"/>
  <c r="CC21" i="12"/>
  <c r="BT25" i="12"/>
  <c r="BU25" i="12" s="1"/>
  <c r="BS25" i="12"/>
  <c r="CC25" i="12"/>
  <c r="BT29" i="12"/>
  <c r="BU29" i="12" s="1"/>
  <c r="BS29" i="12"/>
  <c r="CC29" i="12"/>
  <c r="BT33" i="12"/>
  <c r="BU33" i="12" s="1"/>
  <c r="BS33" i="12"/>
  <c r="CC33" i="12"/>
  <c r="BT37" i="12"/>
  <c r="BU37" i="12" s="1"/>
  <c r="BS37" i="12"/>
  <c r="CC37" i="12"/>
  <c r="CC50" i="12"/>
  <c r="BT50" i="12"/>
  <c r="BU50" i="12" s="1"/>
  <c r="BS50" i="12"/>
  <c r="CC54" i="12"/>
  <c r="BT54" i="12"/>
  <c r="BU54" i="12" s="1"/>
  <c r="BS54" i="12"/>
  <c r="CC58" i="12"/>
  <c r="BT58" i="12"/>
  <c r="BU58" i="12" s="1"/>
  <c r="BS58" i="12"/>
  <c r="CC62" i="12"/>
  <c r="BT62" i="12"/>
  <c r="BU62" i="12" s="1"/>
  <c r="BS62" i="12"/>
  <c r="CC66" i="12"/>
  <c r="BT66" i="12"/>
  <c r="BU66" i="12" s="1"/>
  <c r="BS66" i="12"/>
  <c r="CC70" i="12"/>
  <c r="BT70" i="12"/>
  <c r="BU70" i="12" s="1"/>
  <c r="BS70" i="12"/>
  <c r="CC74" i="12"/>
  <c r="BT74" i="12"/>
  <c r="BU74" i="12" s="1"/>
  <c r="BS74" i="12"/>
  <c r="CC78" i="12"/>
  <c r="BT78" i="12"/>
  <c r="BU78" i="12" s="1"/>
  <c r="BS78" i="12"/>
  <c r="CC82" i="12"/>
  <c r="BT82" i="12"/>
  <c r="BU82" i="12" s="1"/>
  <c r="BS82" i="12"/>
  <c r="CC89" i="12"/>
  <c r="BT89" i="12"/>
  <c r="BU89" i="12" s="1"/>
  <c r="BS89" i="12"/>
  <c r="CC93" i="12"/>
  <c r="BT93" i="12"/>
  <c r="BU93" i="12" s="1"/>
  <c r="BS93" i="12"/>
  <c r="CC86" i="12"/>
  <c r="BT86" i="12"/>
  <c r="BU86" i="12" s="1"/>
  <c r="BS86" i="12"/>
  <c r="CC98" i="12"/>
  <c r="BT98" i="12"/>
  <c r="BU98" i="12" s="1"/>
  <c r="BS98" i="12"/>
  <c r="BT102" i="12"/>
  <c r="BU102" i="12" s="1"/>
  <c r="BS102" i="12"/>
  <c r="CC102" i="12"/>
  <c r="BT106" i="12"/>
  <c r="BU106" i="12" s="1"/>
  <c r="BS106" i="12"/>
  <c r="CC106" i="12"/>
  <c r="BT110" i="12"/>
  <c r="BU110" i="12" s="1"/>
  <c r="BS110" i="12"/>
  <c r="CC110" i="12"/>
  <c r="BT114" i="12"/>
  <c r="BU114" i="12" s="1"/>
  <c r="BS114" i="12"/>
  <c r="CC114" i="12"/>
  <c r="BT118" i="12"/>
  <c r="BU118" i="12" s="1"/>
  <c r="BS118" i="12"/>
  <c r="CC118" i="12"/>
  <c r="BT122" i="12"/>
  <c r="BU122" i="12" s="1"/>
  <c r="BS122" i="12"/>
  <c r="CC122" i="12"/>
  <c r="CC38" i="12"/>
  <c r="BT38" i="12"/>
  <c r="BU38" i="12" s="1"/>
  <c r="BS38" i="12"/>
  <c r="CC42" i="12"/>
  <c r="BT42" i="12"/>
  <c r="BU42" i="12" s="1"/>
  <c r="BS42" i="12"/>
  <c r="CC46" i="12"/>
  <c r="BT46" i="12"/>
  <c r="BU46" i="12" s="1"/>
  <c r="BS46" i="12"/>
  <c r="BT8" i="12"/>
  <c r="BU8" i="12" s="1"/>
  <c r="BS8" i="12"/>
  <c r="CC8" i="12"/>
  <c r="BT12" i="12"/>
  <c r="BU12" i="12" s="1"/>
  <c r="BS12" i="12"/>
  <c r="CC12" i="12"/>
  <c r="BT16" i="12"/>
  <c r="BU16" i="12" s="1"/>
  <c r="BS16" i="12"/>
  <c r="CC16" i="12"/>
  <c r="BT20" i="12"/>
  <c r="BU20" i="12" s="1"/>
  <c r="BS20" i="12"/>
  <c r="CC20" i="12"/>
  <c r="BT24" i="12"/>
  <c r="BU24" i="12" s="1"/>
  <c r="BS24" i="12"/>
  <c r="CC24" i="12"/>
  <c r="BT28" i="12"/>
  <c r="BU28" i="12" s="1"/>
  <c r="BS28" i="12"/>
  <c r="CC28" i="12"/>
  <c r="BT32" i="12"/>
  <c r="BU32" i="12" s="1"/>
  <c r="BS32" i="12"/>
  <c r="CC32" i="12"/>
  <c r="BT36" i="12"/>
  <c r="BU36" i="12" s="1"/>
  <c r="BS36" i="12"/>
  <c r="CC36" i="12"/>
  <c r="CC49" i="12"/>
  <c r="BT49" i="12"/>
  <c r="BU49" i="12" s="1"/>
  <c r="BS49" i="12"/>
  <c r="CC53" i="12"/>
  <c r="BT53" i="12"/>
  <c r="BU53" i="12" s="1"/>
  <c r="BS53" i="12"/>
  <c r="CC57" i="12"/>
  <c r="BT57" i="12"/>
  <c r="BU57" i="12" s="1"/>
  <c r="BS57" i="12"/>
  <c r="CC61" i="12"/>
  <c r="BT61" i="12"/>
  <c r="BU61" i="12" s="1"/>
  <c r="BS61" i="12"/>
  <c r="CC65" i="12"/>
  <c r="BT65" i="12"/>
  <c r="BU65" i="12" s="1"/>
  <c r="BS65" i="12"/>
  <c r="CC69" i="12"/>
  <c r="BT69" i="12"/>
  <c r="BU69" i="12" s="1"/>
  <c r="BS69" i="12"/>
  <c r="CC73" i="12"/>
  <c r="BT73" i="12"/>
  <c r="BU73" i="12" s="1"/>
  <c r="BS73" i="12"/>
  <c r="CC77" i="12"/>
  <c r="BT77" i="12"/>
  <c r="BU77" i="12" s="1"/>
  <c r="BS77" i="12"/>
  <c r="CC81" i="12"/>
  <c r="BT81" i="12"/>
  <c r="BU81" i="12" s="1"/>
  <c r="BS81" i="12"/>
  <c r="CC85" i="12"/>
  <c r="BT85" i="12"/>
  <c r="BU85" i="12" s="1"/>
  <c r="BS85" i="12"/>
  <c r="CC92" i="12"/>
  <c r="BT92" i="12"/>
  <c r="BU92" i="12" s="1"/>
  <c r="BS92" i="12"/>
  <c r="CC96" i="12"/>
  <c r="BT96" i="12"/>
  <c r="BU96" i="12" s="1"/>
  <c r="BS96" i="12"/>
  <c r="CC97" i="12"/>
  <c r="BT97" i="12"/>
  <c r="BU97" i="12" s="1"/>
  <c r="BS97" i="12"/>
  <c r="CC101" i="12"/>
  <c r="BT101" i="12"/>
  <c r="BU101" i="12" s="1"/>
  <c r="BS101" i="12"/>
  <c r="BT105" i="12"/>
  <c r="BU105" i="12" s="1"/>
  <c r="BS105" i="12"/>
  <c r="CC105" i="12"/>
  <c r="BT109" i="12"/>
  <c r="BU109" i="12" s="1"/>
  <c r="BS109" i="12"/>
  <c r="CC109" i="12"/>
  <c r="BT113" i="12"/>
  <c r="BU113" i="12" s="1"/>
  <c r="BS113" i="12"/>
  <c r="CC113" i="12"/>
  <c r="BT117" i="12"/>
  <c r="BU117" i="12" s="1"/>
  <c r="BS117" i="12"/>
  <c r="CC117" i="12"/>
  <c r="BT121" i="12"/>
  <c r="BU121" i="12" s="1"/>
  <c r="BS121" i="12"/>
  <c r="CC121" i="12"/>
  <c r="BT125" i="12"/>
  <c r="BU125" i="12" s="1"/>
  <c r="BS125" i="12"/>
  <c r="CC125" i="12"/>
  <c r="BO18" i="12"/>
  <c r="DW92" i="14"/>
  <c r="DY92" i="14"/>
  <c r="ED92" i="14"/>
  <c r="DZ92" i="14"/>
  <c r="EA92" i="14" s="1"/>
  <c r="BC164" i="12"/>
  <c r="BL85" i="12"/>
  <c r="BJ85" i="12"/>
  <c r="BM85" i="12"/>
  <c r="BQ85" i="12"/>
  <c r="BO84" i="12"/>
  <c r="BL84" i="12"/>
  <c r="BJ84" i="12"/>
  <c r="BM84" i="12"/>
  <c r="BQ84" i="12"/>
  <c r="BL70" i="12"/>
  <c r="BJ70" i="12"/>
  <c r="BM70" i="12"/>
  <c r="BQ70" i="12"/>
  <c r="BO70" i="12"/>
  <c r="BO72" i="12"/>
  <c r="BJ72" i="12"/>
  <c r="BL72" i="12"/>
  <c r="BM72" i="12"/>
  <c r="BQ72" i="12"/>
  <c r="BJ63" i="12"/>
  <c r="BL63" i="12"/>
  <c r="BQ63" i="12"/>
  <c r="BM63" i="12"/>
  <c r="BO63" i="12"/>
  <c r="BJ8" i="12"/>
  <c r="BL8" i="12"/>
  <c r="BQ8" i="12"/>
  <c r="BM8" i="12"/>
  <c r="BO8" i="12"/>
  <c r="DJ183" i="14"/>
  <c r="BJ100" i="12"/>
  <c r="BL100" i="12"/>
  <c r="BM100" i="12"/>
  <c r="BQ100" i="12"/>
  <c r="BL99" i="12"/>
  <c r="BJ99" i="12"/>
  <c r="BM99" i="12"/>
  <c r="BQ99" i="12"/>
  <c r="BO99" i="12"/>
  <c r="BO100" i="12"/>
  <c r="BL60" i="12"/>
  <c r="BJ60" i="12"/>
  <c r="BM60" i="12"/>
  <c r="BQ60" i="12"/>
  <c r="BL62" i="12"/>
  <c r="BJ62" i="12"/>
  <c r="BM62" i="12"/>
  <c r="BQ62" i="12"/>
  <c r="BO62" i="12"/>
  <c r="BO64" i="12"/>
  <c r="BL26" i="12"/>
  <c r="BJ26" i="12"/>
  <c r="BQ26" i="12"/>
  <c r="BM26" i="12"/>
  <c r="BJ122" i="12"/>
  <c r="BL122" i="12"/>
  <c r="BM122" i="12"/>
  <c r="BQ122" i="12"/>
  <c r="BO125" i="12"/>
  <c r="BL125" i="12"/>
  <c r="BJ125" i="12"/>
  <c r="BM125" i="12"/>
  <c r="BQ125" i="12"/>
  <c r="CE124" i="12"/>
  <c r="CE122" i="12"/>
  <c r="CE101" i="12"/>
  <c r="CE99" i="12"/>
  <c r="CE97" i="12"/>
  <c r="CE95" i="12"/>
  <c r="CE93" i="12"/>
  <c r="CE91" i="12"/>
  <c r="CE89" i="12"/>
  <c r="CE87" i="12"/>
  <c r="CE120" i="12"/>
  <c r="CE118" i="12"/>
  <c r="CE116" i="12"/>
  <c r="CE114" i="12"/>
  <c r="CE112" i="12"/>
  <c r="CE110" i="12"/>
  <c r="CE108" i="12"/>
  <c r="CE106" i="12"/>
  <c r="CE104" i="12"/>
  <c r="CE102" i="12"/>
  <c r="CE84" i="12"/>
  <c r="CE82" i="12"/>
  <c r="CE80" i="12"/>
  <c r="CE78" i="12"/>
  <c r="CE76" i="12"/>
  <c r="CE74" i="12"/>
  <c r="CE72" i="12"/>
  <c r="CE70" i="12"/>
  <c r="CE68" i="12"/>
  <c r="CE66" i="12"/>
  <c r="CE64" i="12"/>
  <c r="CE62" i="12"/>
  <c r="CE60" i="12"/>
  <c r="CE58" i="12"/>
  <c r="CE56" i="12"/>
  <c r="CE54" i="12"/>
  <c r="CE52" i="12"/>
  <c r="CE50" i="12"/>
  <c r="CE48" i="12"/>
  <c r="CE46" i="12"/>
  <c r="CE44" i="12"/>
  <c r="CE42" i="12"/>
  <c r="CE40" i="12"/>
  <c r="CE38" i="12"/>
  <c r="CE14" i="12"/>
  <c r="CE11" i="12"/>
  <c r="CE9" i="12"/>
  <c r="CE6" i="12"/>
  <c r="CE37" i="12"/>
  <c r="CE35" i="12"/>
  <c r="CE33" i="12"/>
  <c r="CE31" i="12"/>
  <c r="CE29" i="12"/>
  <c r="CE27" i="12"/>
  <c r="CE25" i="12"/>
  <c r="CE23" i="12"/>
  <c r="CE21" i="12"/>
  <c r="CE19" i="12"/>
  <c r="CE17" i="12"/>
  <c r="CE13" i="12"/>
  <c r="CE125" i="12"/>
  <c r="CE123" i="12"/>
  <c r="CE121" i="12"/>
  <c r="CE100" i="12"/>
  <c r="CE98" i="12"/>
  <c r="CE96" i="12"/>
  <c r="CE94" i="12"/>
  <c r="CE92" i="12"/>
  <c r="CE90" i="12"/>
  <c r="CE88" i="12"/>
  <c r="CE86" i="12"/>
  <c r="CE119" i="12"/>
  <c r="CE117" i="12"/>
  <c r="CE115" i="12"/>
  <c r="CE113" i="12"/>
  <c r="CE111" i="12"/>
  <c r="CE109" i="12"/>
  <c r="CE107" i="12"/>
  <c r="CE105" i="12"/>
  <c r="CE103" i="12"/>
  <c r="CE85" i="12"/>
  <c r="CE83" i="12"/>
  <c r="CE81" i="12"/>
  <c r="CE79" i="12"/>
  <c r="CE77" i="12"/>
  <c r="CE75" i="12"/>
  <c r="CE73" i="12"/>
  <c r="CE71" i="12"/>
  <c r="CE69" i="12"/>
  <c r="CE67" i="12"/>
  <c r="CE65" i="12"/>
  <c r="CE63" i="12"/>
  <c r="CE61" i="12"/>
  <c r="CE59" i="12"/>
  <c r="CE57" i="12"/>
  <c r="CE55" i="12"/>
  <c r="CE53" i="12"/>
  <c r="CE51" i="12"/>
  <c r="CE49" i="12"/>
  <c r="CE47" i="12"/>
  <c r="CE45" i="12"/>
  <c r="CE43" i="12"/>
  <c r="CE41" i="12"/>
  <c r="CE39" i="12"/>
  <c r="CE15" i="12"/>
  <c r="CE12" i="12"/>
  <c r="CE10" i="12"/>
  <c r="CE7" i="12"/>
  <c r="CE5" i="12"/>
  <c r="CE36" i="12"/>
  <c r="CE34" i="12"/>
  <c r="CE32" i="12"/>
  <c r="CE30" i="12"/>
  <c r="CE28" i="12"/>
  <c r="CE26" i="12"/>
  <c r="CE24" i="12"/>
  <c r="CE22" i="12"/>
  <c r="CE20" i="12"/>
  <c r="CE18" i="12"/>
  <c r="CE16" i="12"/>
  <c r="CE8" i="12"/>
  <c r="BK134" i="12"/>
  <c r="BK138" i="12" s="1"/>
  <c r="BK183" i="12" s="1"/>
  <c r="BJ11" i="12"/>
  <c r="BL11" i="12"/>
  <c r="BQ11" i="12"/>
  <c r="BM11" i="12"/>
  <c r="BO11" i="12"/>
  <c r="BJ114" i="12"/>
  <c r="BL114" i="12"/>
  <c r="BM114" i="12"/>
  <c r="BQ114" i="12"/>
  <c r="BL58" i="12"/>
  <c r="BJ58" i="12"/>
  <c r="BQ58" i="12"/>
  <c r="BM58" i="12"/>
  <c r="BJ106" i="12"/>
  <c r="BL106" i="12"/>
  <c r="BM106" i="12"/>
  <c r="BQ106" i="12"/>
  <c r="BO106" i="12"/>
  <c r="BL116" i="12"/>
  <c r="BJ116" i="12"/>
  <c r="BM116" i="12"/>
  <c r="BQ116" i="12"/>
  <c r="BO86" i="12"/>
  <c r="BJ6" i="12"/>
  <c r="BL6" i="12"/>
  <c r="BM6" i="12"/>
  <c r="BQ6" i="12"/>
  <c r="BO6" i="12"/>
  <c r="DX138" i="14"/>
  <c r="BL28" i="12"/>
  <c r="BJ28" i="12"/>
  <c r="BQ28" i="12"/>
  <c r="BM28" i="12"/>
  <c r="BO16" i="12"/>
  <c r="BL43" i="12"/>
  <c r="BJ43" i="12"/>
  <c r="BM43" i="12"/>
  <c r="BQ43" i="12"/>
  <c r="BL115" i="12"/>
  <c r="BJ115" i="12"/>
  <c r="BQ115" i="12"/>
  <c r="BM115" i="12"/>
  <c r="BO115" i="12"/>
  <c r="BO105" i="12"/>
  <c r="BL105" i="12"/>
  <c r="BJ105" i="12"/>
  <c r="BM105" i="12"/>
  <c r="BQ105" i="12"/>
  <c r="BO43" i="12"/>
  <c r="BL57" i="12"/>
  <c r="BJ57" i="12"/>
  <c r="BM57" i="12"/>
  <c r="BQ57" i="12"/>
  <c r="BO57" i="12"/>
  <c r="BL24" i="12"/>
  <c r="BJ24" i="12"/>
  <c r="BQ24" i="12"/>
  <c r="BM24" i="12"/>
  <c r="BJ67" i="12"/>
  <c r="BL67" i="12"/>
  <c r="BQ67" i="12"/>
  <c r="BM67" i="12"/>
  <c r="BO67" i="12"/>
  <c r="BL20" i="12"/>
  <c r="BJ20" i="12"/>
  <c r="BQ20" i="12"/>
  <c r="BM20" i="12"/>
  <c r="BJ27" i="12"/>
  <c r="BL27" i="12"/>
  <c r="BM27" i="12"/>
  <c r="BQ27" i="12"/>
  <c r="BJ53" i="12"/>
  <c r="BL53" i="12"/>
  <c r="BQ53" i="12"/>
  <c r="BM53" i="12"/>
  <c r="BL120" i="12"/>
  <c r="BJ120" i="12"/>
  <c r="BQ120" i="12"/>
  <c r="BM120" i="12"/>
  <c r="BO53" i="12"/>
  <c r="BL75" i="12"/>
  <c r="BJ75" i="12"/>
  <c r="BQ75" i="12"/>
  <c r="BM75" i="12"/>
  <c r="BL51" i="12"/>
  <c r="BJ51" i="12"/>
  <c r="BM51" i="12"/>
  <c r="BQ51" i="12"/>
  <c r="BJ40" i="12"/>
  <c r="BL40" i="12"/>
  <c r="BQ40" i="12"/>
  <c r="BM40" i="12"/>
  <c r="CY79" i="12"/>
  <c r="CW79" i="12"/>
  <c r="CW73" i="12"/>
  <c r="CY73" i="12"/>
  <c r="CW90" i="12"/>
  <c r="CY90" i="12"/>
  <c r="CW82" i="12"/>
  <c r="CY82" i="12"/>
  <c r="CY74" i="12"/>
  <c r="CW74" i="12"/>
  <c r="DB97" i="12"/>
  <c r="BJ108" i="12"/>
  <c r="BL108" i="12"/>
  <c r="BQ108" i="12"/>
  <c r="BM108" i="12"/>
  <c r="BJ10" i="12"/>
  <c r="BL10" i="12"/>
  <c r="BQ10" i="12"/>
  <c r="BM10" i="12"/>
  <c r="BO10" i="12"/>
  <c r="BJ33" i="12"/>
  <c r="BL33" i="12"/>
  <c r="BQ33" i="12"/>
  <c r="BM33" i="12"/>
  <c r="BO114" i="12"/>
  <c r="BO27" i="12"/>
  <c r="BJ15" i="12"/>
  <c r="BL15" i="12"/>
  <c r="BM15" i="12"/>
  <c r="BQ15" i="12"/>
  <c r="BF126" i="12"/>
  <c r="BH5" i="12"/>
  <c r="BH126" i="12" s="1"/>
  <c r="BG126" i="12"/>
  <c r="BH147" i="12"/>
  <c r="BH151" i="12" s="1"/>
  <c r="BL37" i="12"/>
  <c r="BJ37" i="12"/>
  <c r="BQ37" i="12"/>
  <c r="BM37" i="12"/>
  <c r="BJ9" i="12"/>
  <c r="BL9" i="12"/>
  <c r="BQ9" i="12"/>
  <c r="BM9" i="12"/>
  <c r="H14" i="17"/>
  <c r="BJ34" i="12"/>
  <c r="BL34" i="12"/>
  <c r="BM34" i="12"/>
  <c r="BQ34" i="12"/>
  <c r="BJ124" i="12"/>
  <c r="BL124" i="12"/>
  <c r="BM124" i="12"/>
  <c r="BQ124" i="12"/>
  <c r="BO38" i="12"/>
  <c r="BL38" i="12"/>
  <c r="BJ38" i="12"/>
  <c r="BM38" i="12"/>
  <c r="BQ38" i="12"/>
  <c r="BL50" i="12"/>
  <c r="BJ50" i="12"/>
  <c r="BQ50" i="12"/>
  <c r="BM50" i="12"/>
  <c r="BO107" i="12"/>
  <c r="BL54" i="12"/>
  <c r="BJ54" i="12"/>
  <c r="BM54" i="12"/>
  <c r="BQ54" i="12"/>
  <c r="BO54" i="12"/>
  <c r="CJ181" i="12"/>
  <c r="BO76" i="12"/>
  <c r="BJ76" i="12"/>
  <c r="BL76" i="12"/>
  <c r="BM76" i="12"/>
  <c r="BQ76" i="12"/>
  <c r="BJ49" i="12"/>
  <c r="BL49" i="12"/>
  <c r="BQ49" i="12"/>
  <c r="BM49" i="12"/>
  <c r="BJ19" i="12"/>
  <c r="BL19" i="12"/>
  <c r="BM19" i="12"/>
  <c r="BQ19" i="12"/>
  <c r="BJ110" i="12"/>
  <c r="BL110" i="12"/>
  <c r="BM110" i="12"/>
  <c r="BQ110" i="12"/>
  <c r="BJ21" i="12"/>
  <c r="BL21" i="12"/>
  <c r="BQ21" i="12"/>
  <c r="BM21" i="12"/>
  <c r="BL113" i="12"/>
  <c r="BJ113" i="12"/>
  <c r="BM113" i="12"/>
  <c r="BQ113" i="12"/>
  <c r="BO113" i="12"/>
  <c r="BL52" i="12"/>
  <c r="BJ52" i="12"/>
  <c r="BM52" i="12"/>
  <c r="BQ52" i="12"/>
  <c r="BO33" i="12"/>
  <c r="AM151" i="12"/>
  <c r="BO37" i="12"/>
  <c r="BO124" i="12"/>
  <c r="BO58" i="12"/>
  <c r="BL59" i="12"/>
  <c r="BJ59" i="12"/>
  <c r="BM59" i="12"/>
  <c r="BQ59" i="12"/>
  <c r="AX182" i="12"/>
  <c r="AW183" i="12" s="1"/>
  <c r="AX177" i="12"/>
  <c r="AX178" i="12" s="1"/>
  <c r="BL65" i="12"/>
  <c r="BJ65" i="12"/>
  <c r="BM65" i="12"/>
  <c r="BQ65" i="12"/>
  <c r="BO69" i="12"/>
  <c r="BA126" i="12"/>
  <c r="EA143" i="14"/>
  <c r="BJ39" i="12"/>
  <c r="BL39" i="12"/>
  <c r="BQ39" i="12"/>
  <c r="BM39" i="12"/>
  <c r="BL22" i="12"/>
  <c r="BJ22" i="12"/>
  <c r="BQ22" i="12"/>
  <c r="BM22" i="12"/>
  <c r="BO22" i="12"/>
  <c r="BJ102" i="12"/>
  <c r="BL102" i="12"/>
  <c r="BM102" i="12"/>
  <c r="BQ102" i="12"/>
  <c r="BO102" i="12"/>
  <c r="BJ81" i="12"/>
  <c r="BL81" i="12"/>
  <c r="BQ81" i="12"/>
  <c r="BM81" i="12"/>
  <c r="BO81" i="12"/>
  <c r="BJ89" i="12"/>
  <c r="BL89" i="12"/>
  <c r="BQ89" i="12"/>
  <c r="BM89" i="12"/>
  <c r="BL98" i="12"/>
  <c r="BJ98" i="12"/>
  <c r="BM98" i="12"/>
  <c r="BQ98" i="12"/>
  <c r="BO98" i="12"/>
  <c r="BO19" i="12"/>
  <c r="BO87" i="12"/>
  <c r="BO109" i="12"/>
  <c r="BL109" i="12"/>
  <c r="BJ109" i="12"/>
  <c r="BM109" i="12"/>
  <c r="BQ109" i="12"/>
  <c r="BJ23" i="12"/>
  <c r="BL23" i="12"/>
  <c r="BM23" i="12"/>
  <c r="BQ23" i="12"/>
  <c r="BO23" i="12"/>
  <c r="BL47" i="12"/>
  <c r="BJ47" i="12"/>
  <c r="BM47" i="12"/>
  <c r="BQ47" i="12"/>
  <c r="BO47" i="12"/>
  <c r="BL66" i="12"/>
  <c r="BJ66" i="12"/>
  <c r="BQ66" i="12"/>
  <c r="BM66" i="12"/>
  <c r="DB7" i="12"/>
  <c r="BL29" i="12"/>
  <c r="BJ29" i="12"/>
  <c r="BQ29" i="12"/>
  <c r="BM29" i="12"/>
  <c r="BO29" i="12"/>
  <c r="DD97" i="12"/>
  <c r="CZ77" i="12"/>
  <c r="DA77" i="12" s="1"/>
  <c r="CZ73" i="12"/>
  <c r="DA73" i="12" s="1"/>
  <c r="CZ97" i="12"/>
  <c r="DA97" i="12" s="1"/>
  <c r="DD77" i="12"/>
  <c r="DD73" i="12"/>
  <c r="CZ7" i="12"/>
  <c r="DA7" i="12" s="1"/>
  <c r="CZ82" i="12"/>
  <c r="DA82" i="12" s="1"/>
  <c r="DD90" i="12"/>
  <c r="CX101" i="12"/>
  <c r="DB101" i="12" s="1"/>
  <c r="DD82" i="12"/>
  <c r="CY112" i="12"/>
  <c r="CW112" i="12"/>
  <c r="CV126" i="12"/>
  <c r="CX180" i="12" s="1"/>
  <c r="CW181" i="12" s="1"/>
  <c r="DI124" i="12"/>
  <c r="DI122" i="12"/>
  <c r="DI120" i="12"/>
  <c r="DI118" i="12"/>
  <c r="DI116" i="12"/>
  <c r="DI114" i="12"/>
  <c r="DI112" i="12"/>
  <c r="DI110" i="12"/>
  <c r="DI108" i="12"/>
  <c r="DI106" i="12"/>
  <c r="DI104" i="12"/>
  <c r="DI102" i="12"/>
  <c r="DI100" i="12"/>
  <c r="DI98" i="12"/>
  <c r="DI96" i="12"/>
  <c r="DI94" i="12"/>
  <c r="DI92" i="12"/>
  <c r="DI90" i="12"/>
  <c r="DI88" i="12"/>
  <c r="DI86" i="12"/>
  <c r="DI84" i="12"/>
  <c r="DI82" i="12"/>
  <c r="DI80" i="12"/>
  <c r="DI78" i="12"/>
  <c r="DI76" i="12"/>
  <c r="DI74" i="12"/>
  <c r="DI72" i="12"/>
  <c r="DI70" i="12"/>
  <c r="DI68" i="12"/>
  <c r="DI66" i="12"/>
  <c r="DI64" i="12"/>
  <c r="DI62" i="12"/>
  <c r="DI60" i="12"/>
  <c r="DI58" i="12"/>
  <c r="DI56" i="12"/>
  <c r="DI54" i="12"/>
  <c r="DI52" i="12"/>
  <c r="DI50" i="12"/>
  <c r="DI48" i="12"/>
  <c r="DI46" i="12"/>
  <c r="DI44" i="12"/>
  <c r="DI42" i="12"/>
  <c r="DI40" i="12"/>
  <c r="DI38" i="12"/>
  <c r="DZ4" i="12"/>
  <c r="DN4" i="12"/>
  <c r="DI13" i="12"/>
  <c r="DI11" i="12"/>
  <c r="DI9" i="12"/>
  <c r="DI7" i="12"/>
  <c r="DI5" i="12"/>
  <c r="DO4" i="12"/>
  <c r="DI4" i="12"/>
  <c r="DJ4" i="12" s="1"/>
  <c r="DI35" i="12"/>
  <c r="DI33" i="12"/>
  <c r="DI31" i="12"/>
  <c r="DI29" i="12"/>
  <c r="DI27" i="12"/>
  <c r="DI25" i="12"/>
  <c r="DI23" i="12"/>
  <c r="DI21" i="12"/>
  <c r="DI19" i="12"/>
  <c r="DI17" i="12"/>
  <c r="DI15" i="12"/>
  <c r="DI125" i="12"/>
  <c r="DI123" i="12"/>
  <c r="DI121" i="12"/>
  <c r="DI119" i="12"/>
  <c r="DI117" i="12"/>
  <c r="DI115" i="12"/>
  <c r="DI113" i="12"/>
  <c r="DI111" i="12"/>
  <c r="DI109" i="12"/>
  <c r="DI107" i="12"/>
  <c r="DI105" i="12"/>
  <c r="DI103" i="12"/>
  <c r="DI101" i="12"/>
  <c r="DI99" i="12"/>
  <c r="DI97" i="12"/>
  <c r="DI95" i="12"/>
  <c r="DI93" i="12"/>
  <c r="DI91" i="12"/>
  <c r="DI89" i="12"/>
  <c r="DI87" i="12"/>
  <c r="DI85" i="12"/>
  <c r="DI83" i="12"/>
  <c r="DI81" i="12"/>
  <c r="DI79" i="12"/>
  <c r="DI77" i="12"/>
  <c r="DI75" i="12"/>
  <c r="DI73" i="12"/>
  <c r="DI71" i="12"/>
  <c r="DI69" i="12"/>
  <c r="DI67" i="12"/>
  <c r="DI65" i="12"/>
  <c r="DI63" i="12"/>
  <c r="DI61" i="12"/>
  <c r="DI59" i="12"/>
  <c r="DI57" i="12"/>
  <c r="DI55" i="12"/>
  <c r="DI53" i="12"/>
  <c r="DI51" i="12"/>
  <c r="DI49" i="12"/>
  <c r="DI47" i="12"/>
  <c r="DI45" i="12"/>
  <c r="DI43" i="12"/>
  <c r="DI41" i="12"/>
  <c r="DI39" i="12"/>
  <c r="DI37" i="12"/>
  <c r="DP4" i="12"/>
  <c r="DI14" i="12"/>
  <c r="DI12" i="12"/>
  <c r="DI10" i="12"/>
  <c r="DI8" i="12"/>
  <c r="DI6" i="12"/>
  <c r="DQ4" i="12"/>
  <c r="DK4" i="12"/>
  <c r="DI36" i="12"/>
  <c r="DI34" i="12"/>
  <c r="DI32" i="12"/>
  <c r="DI30" i="12"/>
  <c r="DI28" i="12"/>
  <c r="DI26" i="12"/>
  <c r="DI24" i="12"/>
  <c r="DI22" i="12"/>
  <c r="DI20" i="12"/>
  <c r="DI18" i="12"/>
  <c r="DI16" i="12"/>
  <c r="DK112" i="12"/>
  <c r="DM112" i="12" s="1"/>
  <c r="DN112" i="12" s="1"/>
  <c r="DK74" i="12"/>
  <c r="DK82" i="12"/>
  <c r="DQ82" i="12" s="1"/>
  <c r="DK90" i="12"/>
  <c r="DO90" i="12" s="1"/>
  <c r="DK77" i="12"/>
  <c r="DQ90" i="12"/>
  <c r="DQ112" i="12"/>
  <c r="DM74" i="12"/>
  <c r="DN74" i="12" s="1"/>
  <c r="DK97" i="12"/>
  <c r="DM97" i="12" s="1"/>
  <c r="DN97" i="12" s="1"/>
  <c r="DK79" i="12"/>
  <c r="DO79" i="12" s="1"/>
  <c r="DK73" i="12"/>
  <c r="DM73" i="12" s="1"/>
  <c r="DN73" i="12" s="1"/>
  <c r="DQ73" i="12"/>
  <c r="DQ79" i="12"/>
  <c r="CZ178" i="12"/>
  <c r="CZ176" i="12"/>
  <c r="CZ174" i="12"/>
  <c r="CT4" i="12"/>
  <c r="CY4" i="12"/>
  <c r="CS4" i="12"/>
  <c r="CZ180" i="12"/>
  <c r="CZ177" i="12"/>
  <c r="CZ175" i="12"/>
  <c r="CX128" i="12"/>
  <c r="CR4" i="12"/>
  <c r="CU4" i="12"/>
  <c r="CR1" i="12" s="1"/>
  <c r="BJ118" i="12"/>
  <c r="BL118" i="12"/>
  <c r="BM118" i="12"/>
  <c r="BQ118" i="12"/>
  <c r="BO49" i="12"/>
  <c r="BJ71" i="12"/>
  <c r="BL71" i="12"/>
  <c r="BM71" i="12"/>
  <c r="BQ71" i="12"/>
  <c r="BO71" i="12"/>
  <c r="BO52" i="12"/>
  <c r="BL56" i="12"/>
  <c r="BJ56" i="12"/>
  <c r="BM56" i="12"/>
  <c r="BQ56" i="12"/>
  <c r="BJ44" i="12"/>
  <c r="BL44" i="12"/>
  <c r="BQ44" i="12"/>
  <c r="BM44" i="12"/>
  <c r="BO44" i="12"/>
  <c r="BP126" i="12"/>
  <c r="BF147" i="12"/>
  <c r="BF151" i="12" s="1"/>
  <c r="BP160" i="12"/>
  <c r="BO9" i="12"/>
  <c r="BO34" i="12"/>
  <c r="BL68" i="12"/>
  <c r="BJ68" i="12"/>
  <c r="BM68" i="12"/>
  <c r="BQ68" i="12"/>
  <c r="BJ36" i="12"/>
  <c r="BL36" i="12"/>
  <c r="BM36" i="12"/>
  <c r="BQ36" i="12"/>
  <c r="BO36" i="12"/>
  <c r="BJ61" i="12"/>
  <c r="BL61" i="12"/>
  <c r="BQ61" i="12"/>
  <c r="BM61" i="12"/>
  <c r="BJ45" i="12"/>
  <c r="BL45" i="12"/>
  <c r="BQ45" i="12"/>
  <c r="BM45" i="12"/>
  <c r="BO45" i="12"/>
  <c r="BL5" i="12"/>
  <c r="BJ5" i="12"/>
  <c r="BK126" i="12"/>
  <c r="BK174" i="12"/>
  <c r="BQ5" i="12"/>
  <c r="BM5" i="12"/>
  <c r="BL55" i="12"/>
  <c r="BJ55" i="12"/>
  <c r="BM55" i="12"/>
  <c r="BQ55" i="12"/>
  <c r="BO55" i="12"/>
  <c r="DB77" i="12"/>
  <c r="DN151" i="14"/>
  <c r="DM143" i="14"/>
  <c r="DW94" i="14"/>
  <c r="DY94" i="14"/>
  <c r="DY126" i="14" s="1"/>
  <c r="ED94" i="14"/>
  <c r="ED126" i="14" s="1"/>
  <c r="DZ94" i="14"/>
  <c r="EA94" i="14" s="1"/>
  <c r="CC41" i="12"/>
  <c r="BT41" i="12"/>
  <c r="BU41" i="12" s="1"/>
  <c r="BS41" i="12"/>
  <c r="CC45" i="12"/>
  <c r="BT45" i="12"/>
  <c r="BU45" i="12" s="1"/>
  <c r="BS45" i="12"/>
  <c r="BS7" i="12"/>
  <c r="BT7" i="12"/>
  <c r="BU7" i="12" s="1"/>
  <c r="CC7" i="12"/>
  <c r="BS11" i="12"/>
  <c r="BT11" i="12"/>
  <c r="BU11" i="12" s="1"/>
  <c r="CC11" i="12"/>
  <c r="BS15" i="12"/>
  <c r="BT15" i="12"/>
  <c r="BU15" i="12" s="1"/>
  <c r="CC15" i="12"/>
  <c r="CC19" i="12"/>
  <c r="BT19" i="12"/>
  <c r="BU19" i="12" s="1"/>
  <c r="BS19" i="12"/>
  <c r="CC23" i="12"/>
  <c r="BT23" i="12"/>
  <c r="BU23" i="12" s="1"/>
  <c r="BS23" i="12"/>
  <c r="CC27" i="12"/>
  <c r="BT27" i="12"/>
  <c r="BU27" i="12" s="1"/>
  <c r="BS27" i="12"/>
  <c r="CC31" i="12"/>
  <c r="BT31" i="12"/>
  <c r="BU31" i="12" s="1"/>
  <c r="BS31" i="12"/>
  <c r="CC35" i="12"/>
  <c r="BT35" i="12"/>
  <c r="BU35" i="12" s="1"/>
  <c r="BS35" i="12"/>
  <c r="BS48" i="12"/>
  <c r="CC48" i="12"/>
  <c r="BT48" i="12"/>
  <c r="BU48" i="12" s="1"/>
  <c r="BS52" i="12"/>
  <c r="CC52" i="12"/>
  <c r="BT52" i="12"/>
  <c r="BU52" i="12" s="1"/>
  <c r="BS56" i="12"/>
  <c r="CC56" i="12"/>
  <c r="BT56" i="12"/>
  <c r="BU56" i="12" s="1"/>
  <c r="BS60" i="12"/>
  <c r="CC60" i="12"/>
  <c r="BT60" i="12"/>
  <c r="BU60" i="12" s="1"/>
  <c r="BS64" i="12"/>
  <c r="CC64" i="12"/>
  <c r="BT64" i="12"/>
  <c r="BU64" i="12" s="1"/>
  <c r="BS68" i="12"/>
  <c r="CC68" i="12"/>
  <c r="BT68" i="12"/>
  <c r="BU68" i="12" s="1"/>
  <c r="BS72" i="12"/>
  <c r="CC72" i="12"/>
  <c r="BT72" i="12"/>
  <c r="BU72" i="12" s="1"/>
  <c r="BS76" i="12"/>
  <c r="CC76" i="12"/>
  <c r="BT76" i="12"/>
  <c r="BU76" i="12" s="1"/>
  <c r="BS80" i="12"/>
  <c r="CC80" i="12"/>
  <c r="BT80" i="12"/>
  <c r="BU80" i="12" s="1"/>
  <c r="BS84" i="12"/>
  <c r="CC84" i="12"/>
  <c r="BT84" i="12"/>
  <c r="BU84" i="12" s="1"/>
  <c r="BS91" i="12"/>
  <c r="CC91" i="12"/>
  <c r="BT91" i="12"/>
  <c r="BU91" i="12" s="1"/>
  <c r="BS95" i="12"/>
  <c r="CC95" i="12"/>
  <c r="BT95" i="12"/>
  <c r="BU95" i="12" s="1"/>
  <c r="BS88" i="12"/>
  <c r="CC88" i="12"/>
  <c r="BT88" i="12"/>
  <c r="BU88" i="12" s="1"/>
  <c r="BS100" i="12"/>
  <c r="CC100" i="12"/>
  <c r="BT100" i="12"/>
  <c r="BU100" i="12" s="1"/>
  <c r="CC104" i="12"/>
  <c r="BT104" i="12"/>
  <c r="BU104" i="12" s="1"/>
  <c r="BS104" i="12"/>
  <c r="CC108" i="12"/>
  <c r="BT108" i="12"/>
  <c r="BU108" i="12" s="1"/>
  <c r="BS108" i="12"/>
  <c r="CC112" i="12"/>
  <c r="BT112" i="12"/>
  <c r="BU112" i="12" s="1"/>
  <c r="BS112" i="12"/>
  <c r="CC116" i="12"/>
  <c r="BT116" i="12"/>
  <c r="BU116" i="12" s="1"/>
  <c r="BS116" i="12"/>
  <c r="CC120" i="12"/>
  <c r="BT120" i="12"/>
  <c r="BU120" i="12" s="1"/>
  <c r="BS120" i="12"/>
  <c r="CC124" i="12"/>
  <c r="BT124" i="12"/>
  <c r="BU124" i="12" s="1"/>
  <c r="BS124" i="12"/>
  <c r="BS40" i="12"/>
  <c r="CC40" i="12"/>
  <c r="BT40" i="12"/>
  <c r="BU40" i="12" s="1"/>
  <c r="BS44" i="12"/>
  <c r="CC44" i="12"/>
  <c r="BT44" i="12"/>
  <c r="BU44" i="12" s="1"/>
  <c r="BS6" i="12"/>
  <c r="BT6" i="12"/>
  <c r="BU6" i="12" s="1"/>
  <c r="CC6" i="12"/>
  <c r="CC10" i="12"/>
  <c r="BT10" i="12"/>
  <c r="BU10" i="12" s="1"/>
  <c r="BS10" i="12"/>
  <c r="CC14" i="12"/>
  <c r="BT14" i="12"/>
  <c r="BU14" i="12" s="1"/>
  <c r="BS14" i="12"/>
  <c r="CC18" i="12"/>
  <c r="BT18" i="12"/>
  <c r="BU18" i="12" s="1"/>
  <c r="BS18" i="12"/>
  <c r="CC22" i="12"/>
  <c r="BT22" i="12"/>
  <c r="BU22" i="12" s="1"/>
  <c r="BS22" i="12"/>
  <c r="CC26" i="12"/>
  <c r="BT26" i="12"/>
  <c r="BU26" i="12" s="1"/>
  <c r="BS26" i="12"/>
  <c r="CC30" i="12"/>
  <c r="BT30" i="12"/>
  <c r="BU30" i="12" s="1"/>
  <c r="BS30" i="12"/>
  <c r="CC34" i="12"/>
  <c r="BT34" i="12"/>
  <c r="BU34" i="12" s="1"/>
  <c r="BS34" i="12"/>
  <c r="BS47" i="12"/>
  <c r="CC47" i="12"/>
  <c r="BT47" i="12"/>
  <c r="BU47" i="12" s="1"/>
  <c r="BS51" i="12"/>
  <c r="CC51" i="12"/>
  <c r="BT51" i="12"/>
  <c r="BU51" i="12" s="1"/>
  <c r="BS55" i="12"/>
  <c r="CC55" i="12"/>
  <c r="BT55" i="12"/>
  <c r="BU55" i="12" s="1"/>
  <c r="BS59" i="12"/>
  <c r="CC59" i="12"/>
  <c r="BT59" i="12"/>
  <c r="BU59" i="12" s="1"/>
  <c r="BS63" i="12"/>
  <c r="CC63" i="12"/>
  <c r="BT63" i="12"/>
  <c r="BU63" i="12" s="1"/>
  <c r="BS67" i="12"/>
  <c r="CC67" i="12"/>
  <c r="BT67" i="12"/>
  <c r="BU67" i="12" s="1"/>
  <c r="BS71" i="12"/>
  <c r="CC71" i="12"/>
  <c r="BT71" i="12"/>
  <c r="BU71" i="12" s="1"/>
  <c r="BS75" i="12"/>
  <c r="CC75" i="12"/>
  <c r="BT75" i="12"/>
  <c r="BU75" i="12" s="1"/>
  <c r="BS79" i="12"/>
  <c r="CC79" i="12"/>
  <c r="BT79" i="12"/>
  <c r="BU79" i="12" s="1"/>
  <c r="BS83" i="12"/>
  <c r="CC83" i="12"/>
  <c r="BT83" i="12"/>
  <c r="BU83" i="12" s="1"/>
  <c r="BS90" i="12"/>
  <c r="CC90" i="12"/>
  <c r="BT90" i="12"/>
  <c r="BU90" i="12" s="1"/>
  <c r="BS94" i="12"/>
  <c r="CC94" i="12"/>
  <c r="BT94" i="12"/>
  <c r="BU94" i="12" s="1"/>
  <c r="BS87" i="12"/>
  <c r="CC87" i="12"/>
  <c r="BT87" i="12"/>
  <c r="BU87" i="12" s="1"/>
  <c r="BS99" i="12"/>
  <c r="CC99" i="12"/>
  <c r="BT99" i="12"/>
  <c r="BU99" i="12" s="1"/>
  <c r="CC103" i="12"/>
  <c r="BT103" i="12"/>
  <c r="BU103" i="12" s="1"/>
  <c r="BS103" i="12"/>
  <c r="CC107" i="12"/>
  <c r="BT107" i="12"/>
  <c r="BU107" i="12" s="1"/>
  <c r="BS107" i="12"/>
  <c r="CC111" i="12"/>
  <c r="BT111" i="12"/>
  <c r="BU111" i="12" s="1"/>
  <c r="BS111" i="12"/>
  <c r="CC115" i="12"/>
  <c r="BT115" i="12"/>
  <c r="BU115" i="12" s="1"/>
  <c r="BS115" i="12"/>
  <c r="CC119" i="12"/>
  <c r="BT119" i="12"/>
  <c r="BU119" i="12" s="1"/>
  <c r="BS119" i="12"/>
  <c r="CC123" i="12"/>
  <c r="BT123" i="12"/>
  <c r="BU123" i="12" s="1"/>
  <c r="BS123" i="12"/>
  <c r="BL31" i="12"/>
  <c r="BJ31" i="12"/>
  <c r="BQ31" i="12"/>
  <c r="BM31" i="12"/>
  <c r="BL83" i="12"/>
  <c r="BJ83" i="12"/>
  <c r="BM83" i="12"/>
  <c r="BQ83" i="12"/>
  <c r="BO83" i="12"/>
  <c r="BJ91" i="12"/>
  <c r="BL91" i="12"/>
  <c r="BQ91" i="12"/>
  <c r="BM91" i="12"/>
  <c r="BL119" i="12"/>
  <c r="BJ119" i="12"/>
  <c r="BM119" i="12"/>
  <c r="BQ119" i="12"/>
  <c r="DB82" i="12"/>
  <c r="DO82" i="12" s="1"/>
  <c r="BO120" i="12"/>
  <c r="BL95" i="12"/>
  <c r="BJ95" i="12"/>
  <c r="BM95" i="12"/>
  <c r="BQ95" i="12"/>
  <c r="BO95" i="12"/>
  <c r="BL103" i="12"/>
  <c r="BJ103" i="12"/>
  <c r="BM103" i="12"/>
  <c r="BQ103" i="12"/>
  <c r="BO103" i="12"/>
  <c r="BO50" i="12"/>
  <c r="BO78" i="12"/>
  <c r="BA147" i="12"/>
  <c r="BO119" i="12"/>
  <c r="BO91" i="12"/>
  <c r="BJ17" i="12"/>
  <c r="BL17" i="12"/>
  <c r="BQ17" i="12"/>
  <c r="BM17" i="12"/>
  <c r="BO17" i="12"/>
  <c r="BO20" i="12"/>
  <c r="BL42" i="12"/>
  <c r="BJ42" i="12"/>
  <c r="BM42" i="12"/>
  <c r="BQ42" i="12"/>
  <c r="BO12" i="12"/>
  <c r="E17" i="17"/>
  <c r="E19" i="17" s="1"/>
  <c r="J26" i="17"/>
  <c r="J28" i="17" s="1"/>
  <c r="G16" i="17"/>
  <c r="F18" i="17"/>
  <c r="H15" i="17"/>
  <c r="Z151" i="12"/>
  <c r="DO77" i="12" l="1"/>
  <c r="DQ97" i="12"/>
  <c r="H16" i="17"/>
  <c r="DM79" i="12"/>
  <c r="DN79" i="12" s="1"/>
  <c r="DM90" i="12"/>
  <c r="DN90" i="12" s="1"/>
  <c r="DW126" i="14"/>
  <c r="DX176" i="14" s="1"/>
  <c r="DX178" i="14" s="1"/>
  <c r="AZ147" i="12"/>
  <c r="BA151" i="12"/>
  <c r="BN119" i="12"/>
  <c r="BX119" i="12"/>
  <c r="CB119" i="12" s="1"/>
  <c r="DM151" i="14"/>
  <c r="BP164" i="12"/>
  <c r="DL73" i="12"/>
  <c r="DJ73" i="12"/>
  <c r="DL97" i="12"/>
  <c r="DJ97" i="12"/>
  <c r="DL77" i="12"/>
  <c r="DJ77" i="12"/>
  <c r="DJ74" i="12"/>
  <c r="DL74" i="12"/>
  <c r="DI134" i="12"/>
  <c r="DI138" i="12" s="1"/>
  <c r="DK181" i="12" s="1"/>
  <c r="BN29" i="12"/>
  <c r="BX29" i="12"/>
  <c r="BN47" i="12"/>
  <c r="BX47" i="12"/>
  <c r="BN98" i="12"/>
  <c r="BX98" i="12"/>
  <c r="BN102" i="12"/>
  <c r="BX102" i="12"/>
  <c r="BN39" i="12"/>
  <c r="BX39" i="12"/>
  <c r="BN52" i="12"/>
  <c r="BX52" i="12"/>
  <c r="BN21" i="12"/>
  <c r="BX21" i="12"/>
  <c r="BN76" i="12"/>
  <c r="BX76" i="12"/>
  <c r="BN38" i="12"/>
  <c r="BX38" i="12"/>
  <c r="BN15" i="12"/>
  <c r="BX15" i="12"/>
  <c r="BN108" i="12"/>
  <c r="BX108" i="12"/>
  <c r="DO97" i="12"/>
  <c r="BN75" i="12"/>
  <c r="BX75" i="12"/>
  <c r="BN20" i="12"/>
  <c r="BX20" i="12"/>
  <c r="BN105" i="12"/>
  <c r="BX105" i="12"/>
  <c r="BN43" i="12"/>
  <c r="BX43" i="12"/>
  <c r="DX188" i="14"/>
  <c r="DX183" i="14"/>
  <c r="K27" i="17" s="1"/>
  <c r="BN116" i="12"/>
  <c r="BX116" i="12"/>
  <c r="CF20" i="12"/>
  <c r="CP20" i="12"/>
  <c r="CG20" i="12"/>
  <c r="CH20" i="12" s="1"/>
  <c r="CF24" i="12"/>
  <c r="CP24" i="12"/>
  <c r="CG24" i="12"/>
  <c r="CH24" i="12" s="1"/>
  <c r="CF32" i="12"/>
  <c r="CP32" i="12"/>
  <c r="CG32" i="12"/>
  <c r="CH32" i="12" s="1"/>
  <c r="CP7" i="12"/>
  <c r="CG7" i="12"/>
  <c r="CH7" i="12" s="1"/>
  <c r="CF7" i="12"/>
  <c r="CG39" i="12"/>
  <c r="CH39" i="12" s="1"/>
  <c r="CP39" i="12"/>
  <c r="CF39" i="12"/>
  <c r="CG47" i="12"/>
  <c r="CH47" i="12" s="1"/>
  <c r="CF47" i="12"/>
  <c r="CP47" i="12"/>
  <c r="CG55" i="12"/>
  <c r="CH55" i="12" s="1"/>
  <c r="CF55" i="12"/>
  <c r="CP55" i="12"/>
  <c r="CG63" i="12"/>
  <c r="CH63" i="12" s="1"/>
  <c r="CF63" i="12"/>
  <c r="CP63" i="12"/>
  <c r="CG71" i="12"/>
  <c r="CH71" i="12" s="1"/>
  <c r="CF71" i="12"/>
  <c r="CP71" i="12"/>
  <c r="CG79" i="12"/>
  <c r="CH79" i="12" s="1"/>
  <c r="CF79" i="12"/>
  <c r="CP79" i="12"/>
  <c r="CP103" i="12"/>
  <c r="CG103" i="12"/>
  <c r="CH103" i="12" s="1"/>
  <c r="CF103" i="12"/>
  <c r="CP111" i="12"/>
  <c r="CG111" i="12"/>
  <c r="CH111" i="12" s="1"/>
  <c r="CF111" i="12"/>
  <c r="CG88" i="12"/>
  <c r="CH88" i="12" s="1"/>
  <c r="CF88" i="12"/>
  <c r="CP88" i="12"/>
  <c r="CG96" i="12"/>
  <c r="CH96" i="12" s="1"/>
  <c r="CP96" i="12"/>
  <c r="CF96" i="12"/>
  <c r="CG100" i="12"/>
  <c r="CH100" i="12" s="1"/>
  <c r="CP100" i="12"/>
  <c r="CF100" i="12"/>
  <c r="CP13" i="12"/>
  <c r="CG13" i="12"/>
  <c r="CH13" i="12" s="1"/>
  <c r="CF13" i="12"/>
  <c r="CP23" i="12"/>
  <c r="CG23" i="12"/>
  <c r="CH23" i="12" s="1"/>
  <c r="CF23" i="12"/>
  <c r="CP31" i="12"/>
  <c r="CG31" i="12"/>
  <c r="CH31" i="12" s="1"/>
  <c r="CF31" i="12"/>
  <c r="CP6" i="12"/>
  <c r="CG6" i="12"/>
  <c r="CH6" i="12" s="1"/>
  <c r="CF6" i="12"/>
  <c r="CG38" i="12"/>
  <c r="CH38" i="12" s="1"/>
  <c r="CP38" i="12"/>
  <c r="CF38" i="12"/>
  <c r="CG46" i="12"/>
  <c r="CH46" i="12" s="1"/>
  <c r="CP46" i="12"/>
  <c r="CF46" i="12"/>
  <c r="CG54" i="12"/>
  <c r="CH54" i="12" s="1"/>
  <c r="CF54" i="12"/>
  <c r="CP54" i="12"/>
  <c r="CG62" i="12"/>
  <c r="CH62" i="12" s="1"/>
  <c r="CF62" i="12"/>
  <c r="CP62" i="12"/>
  <c r="CG70" i="12"/>
  <c r="CH70" i="12" s="1"/>
  <c r="CF70" i="12"/>
  <c r="CP70" i="12"/>
  <c r="CG78" i="12"/>
  <c r="CH78" i="12" s="1"/>
  <c r="CF78" i="12"/>
  <c r="CP78" i="12"/>
  <c r="CP102" i="12"/>
  <c r="CG102" i="12"/>
  <c r="CH102" i="12" s="1"/>
  <c r="CF102" i="12"/>
  <c r="CP110" i="12"/>
  <c r="CG110" i="12"/>
  <c r="CH110" i="12" s="1"/>
  <c r="CF110" i="12"/>
  <c r="CG87" i="12"/>
  <c r="CH87" i="12" s="1"/>
  <c r="CF87" i="12"/>
  <c r="CP87" i="12"/>
  <c r="CG95" i="12"/>
  <c r="CH95" i="12" s="1"/>
  <c r="CP95" i="12"/>
  <c r="CF95" i="12"/>
  <c r="BN122" i="12"/>
  <c r="BX122" i="12"/>
  <c r="BN60" i="12"/>
  <c r="BX60" i="12"/>
  <c r="BN100" i="12"/>
  <c r="BX100" i="12"/>
  <c r="BN63" i="12"/>
  <c r="BX63" i="12"/>
  <c r="CB20" i="12"/>
  <c r="BN17" i="12"/>
  <c r="BX17" i="12"/>
  <c r="BN95" i="12"/>
  <c r="BX95" i="12"/>
  <c r="BN31" i="12"/>
  <c r="BX31" i="12"/>
  <c r="BU147" i="12"/>
  <c r="BU151" i="12" s="1"/>
  <c r="BN5" i="12"/>
  <c r="BX5" i="12"/>
  <c r="BN44" i="12"/>
  <c r="BX44" i="12"/>
  <c r="BN71" i="12"/>
  <c r="BX71" i="12"/>
  <c r="CB71" i="12" s="1"/>
  <c r="DL82" i="12"/>
  <c r="DJ82" i="12"/>
  <c r="DJ112" i="12"/>
  <c r="DL112" i="12"/>
  <c r="DM178" i="12"/>
  <c r="DM176" i="12"/>
  <c r="DM174" i="12"/>
  <c r="DL4" i="12"/>
  <c r="DF4" i="12"/>
  <c r="DE4" i="12"/>
  <c r="DM180" i="12"/>
  <c r="DM177" i="12"/>
  <c r="DM175" i="12"/>
  <c r="DK128" i="12"/>
  <c r="DH4" i="12"/>
  <c r="DE1" i="12" s="1"/>
  <c r="DG4" i="12"/>
  <c r="BN66" i="12"/>
  <c r="BX66" i="12"/>
  <c r="CB47" i="12"/>
  <c r="CB98" i="12"/>
  <c r="BN81" i="12"/>
  <c r="BX81" i="12"/>
  <c r="BN22" i="12"/>
  <c r="BX22" i="12"/>
  <c r="BN10" i="12"/>
  <c r="BX10" i="12"/>
  <c r="BN40" i="12"/>
  <c r="BX40" i="12"/>
  <c r="BN27" i="12"/>
  <c r="BX27" i="12"/>
  <c r="BN24" i="12"/>
  <c r="BX24" i="12"/>
  <c r="CB43" i="12"/>
  <c r="BN28" i="12"/>
  <c r="BX28" i="12"/>
  <c r="BN58" i="12"/>
  <c r="BX58" i="12"/>
  <c r="CF16" i="12"/>
  <c r="CP16" i="12"/>
  <c r="CG16" i="12"/>
  <c r="CH16" i="12" s="1"/>
  <c r="CF28" i="12"/>
  <c r="CP28" i="12"/>
  <c r="CG28" i="12"/>
  <c r="CH28" i="12" s="1"/>
  <c r="CF36" i="12"/>
  <c r="CP36" i="12"/>
  <c r="CG36" i="12"/>
  <c r="CH36" i="12" s="1"/>
  <c r="CP12" i="12"/>
  <c r="CG12" i="12"/>
  <c r="CH12" i="12" s="1"/>
  <c r="CF12" i="12"/>
  <c r="CG43" i="12"/>
  <c r="CH43" i="12" s="1"/>
  <c r="CP43" i="12"/>
  <c r="CF43" i="12"/>
  <c r="CG51" i="12"/>
  <c r="CH51" i="12" s="1"/>
  <c r="CF51" i="12"/>
  <c r="CP51" i="12"/>
  <c r="CG59" i="12"/>
  <c r="CH59" i="12" s="1"/>
  <c r="CF59" i="12"/>
  <c r="CP59" i="12"/>
  <c r="CG67" i="12"/>
  <c r="CH67" i="12" s="1"/>
  <c r="CF67" i="12"/>
  <c r="CP67" i="12"/>
  <c r="CG75" i="12"/>
  <c r="CH75" i="12" s="1"/>
  <c r="CF75" i="12"/>
  <c r="CP75" i="12"/>
  <c r="CG83" i="12"/>
  <c r="CH83" i="12" s="1"/>
  <c r="CF83" i="12"/>
  <c r="CP83" i="12"/>
  <c r="CP107" i="12"/>
  <c r="CG107" i="12"/>
  <c r="CH107" i="12" s="1"/>
  <c r="CF107" i="12"/>
  <c r="CP115" i="12"/>
  <c r="CG115" i="12"/>
  <c r="CH115" i="12" s="1"/>
  <c r="CF115" i="12"/>
  <c r="CP119" i="12"/>
  <c r="CG119" i="12"/>
  <c r="CH119" i="12" s="1"/>
  <c r="CF119" i="12"/>
  <c r="CG92" i="12"/>
  <c r="CH92" i="12" s="1"/>
  <c r="CP92" i="12"/>
  <c r="CF92" i="12"/>
  <c r="CP123" i="12"/>
  <c r="CG123" i="12"/>
  <c r="CH123" i="12" s="1"/>
  <c r="CF123" i="12"/>
  <c r="CP19" i="12"/>
  <c r="CG19" i="12"/>
  <c r="CH19" i="12" s="1"/>
  <c r="CF19" i="12"/>
  <c r="CP27" i="12"/>
  <c r="CG27" i="12"/>
  <c r="CH27" i="12" s="1"/>
  <c r="CF27" i="12"/>
  <c r="CP35" i="12"/>
  <c r="CG35" i="12"/>
  <c r="CH35" i="12" s="1"/>
  <c r="CF35" i="12"/>
  <c r="CP11" i="12"/>
  <c r="CG11" i="12"/>
  <c r="CH11" i="12" s="1"/>
  <c r="CF11" i="12"/>
  <c r="CG42" i="12"/>
  <c r="CH42" i="12" s="1"/>
  <c r="CP42" i="12"/>
  <c r="CF42" i="12"/>
  <c r="CG50" i="12"/>
  <c r="CH50" i="12" s="1"/>
  <c r="CF50" i="12"/>
  <c r="CP50" i="12"/>
  <c r="CG58" i="12"/>
  <c r="CH58" i="12" s="1"/>
  <c r="CF58" i="12"/>
  <c r="CP58" i="12"/>
  <c r="CG66" i="12"/>
  <c r="CH66" i="12" s="1"/>
  <c r="CF66" i="12"/>
  <c r="CP66" i="12"/>
  <c r="CG74" i="12"/>
  <c r="CH74" i="12" s="1"/>
  <c r="CF74" i="12"/>
  <c r="CP74" i="12"/>
  <c r="CG82" i="12"/>
  <c r="CH82" i="12" s="1"/>
  <c r="CF82" i="12"/>
  <c r="CP82" i="12"/>
  <c r="CP106" i="12"/>
  <c r="CG106" i="12"/>
  <c r="CH106" i="12" s="1"/>
  <c r="CF106" i="12"/>
  <c r="CP114" i="12"/>
  <c r="CG114" i="12"/>
  <c r="CH114" i="12" s="1"/>
  <c r="CF114" i="12"/>
  <c r="CP118" i="12"/>
  <c r="CG118" i="12"/>
  <c r="CH118" i="12" s="1"/>
  <c r="CF118" i="12"/>
  <c r="CG91" i="12"/>
  <c r="CH91" i="12" s="1"/>
  <c r="CP91" i="12"/>
  <c r="CF91" i="12"/>
  <c r="CG99" i="12"/>
  <c r="CH99" i="12" s="1"/>
  <c r="CP99" i="12"/>
  <c r="CF99" i="12"/>
  <c r="CP122" i="12"/>
  <c r="CG122" i="12"/>
  <c r="CH122" i="12" s="1"/>
  <c r="CF122" i="12"/>
  <c r="BN62" i="12"/>
  <c r="BX62" i="12"/>
  <c r="BN99" i="12"/>
  <c r="BX99" i="12"/>
  <c r="BQ160" i="12"/>
  <c r="BQ164" i="12" s="1"/>
  <c r="BN85" i="12"/>
  <c r="BX85" i="12"/>
  <c r="CC126" i="12"/>
  <c r="BS126" i="12"/>
  <c r="BN117" i="12"/>
  <c r="BX117" i="12"/>
  <c r="BN80" i="12"/>
  <c r="BX80" i="12"/>
  <c r="BN41" i="12"/>
  <c r="BX41" i="12"/>
  <c r="CB41" i="12" s="1"/>
  <c r="BN111" i="12"/>
  <c r="BX111" i="12"/>
  <c r="BN88" i="12"/>
  <c r="BX88" i="12"/>
  <c r="BN104" i="12"/>
  <c r="BX104" i="12"/>
  <c r="BN78" i="12"/>
  <c r="BX78" i="12"/>
  <c r="CB78" i="12" s="1"/>
  <c r="BN48" i="12"/>
  <c r="BX48" i="12"/>
  <c r="ED164" i="14"/>
  <c r="BN121" i="12"/>
  <c r="BX121" i="12"/>
  <c r="BN30" i="12"/>
  <c r="BX30" i="12"/>
  <c r="BN92" i="12"/>
  <c r="BX92" i="12"/>
  <c r="BN86" i="12"/>
  <c r="BX86" i="12"/>
  <c r="BN96" i="12"/>
  <c r="BX96" i="12"/>
  <c r="DZ126" i="14"/>
  <c r="BN13" i="12"/>
  <c r="BX13" i="12"/>
  <c r="CB13" i="12" s="1"/>
  <c r="BN25" i="12"/>
  <c r="BX25" i="12"/>
  <c r="BN18" i="12"/>
  <c r="BX18" i="12"/>
  <c r="BN69" i="12"/>
  <c r="BX69" i="12"/>
  <c r="BN42" i="12"/>
  <c r="BX42" i="12"/>
  <c r="BN103" i="12"/>
  <c r="BX103" i="12"/>
  <c r="BN91" i="12"/>
  <c r="BX91" i="12"/>
  <c r="CB91" i="12" s="1"/>
  <c r="BN83" i="12"/>
  <c r="BX83" i="12"/>
  <c r="CC160" i="12"/>
  <c r="BS147" i="12"/>
  <c r="BS151" i="12" s="1"/>
  <c r="BN55" i="12"/>
  <c r="BX55" i="12"/>
  <c r="BK177" i="12"/>
  <c r="BK182" i="12"/>
  <c r="BJ183" i="12" s="1"/>
  <c r="BN45" i="12"/>
  <c r="BX45" i="12"/>
  <c r="BN61" i="12"/>
  <c r="BX61" i="12"/>
  <c r="BN36" i="12"/>
  <c r="BX36" i="12"/>
  <c r="BN68" i="12"/>
  <c r="BX68" i="12"/>
  <c r="CB44" i="12"/>
  <c r="BN56" i="12"/>
  <c r="BX56" i="12"/>
  <c r="CB52" i="12"/>
  <c r="BN118" i="12"/>
  <c r="BX118" i="12"/>
  <c r="CR125" i="12"/>
  <c r="CR123" i="12"/>
  <c r="CR121" i="12"/>
  <c r="CR119" i="12"/>
  <c r="CR117" i="12"/>
  <c r="CR115" i="12"/>
  <c r="CR113" i="12"/>
  <c r="CR111" i="12"/>
  <c r="CR109" i="12"/>
  <c r="CR107" i="12"/>
  <c r="CR105" i="12"/>
  <c r="CR103" i="12"/>
  <c r="CR101" i="12"/>
  <c r="CR99" i="12"/>
  <c r="CR97" i="12"/>
  <c r="CR95" i="12"/>
  <c r="CR93" i="12"/>
  <c r="CR91" i="12"/>
  <c r="CR89" i="12"/>
  <c r="CR87" i="12"/>
  <c r="CR85" i="12"/>
  <c r="CR83" i="12"/>
  <c r="CR81" i="12"/>
  <c r="CR79" i="12"/>
  <c r="CR77" i="12"/>
  <c r="CR75" i="12"/>
  <c r="CR73" i="12"/>
  <c r="CR71" i="12"/>
  <c r="CR69" i="12"/>
  <c r="CR67" i="12"/>
  <c r="CR65" i="12"/>
  <c r="CR63" i="12"/>
  <c r="CR61" i="12"/>
  <c r="CR59" i="12"/>
  <c r="CR57" i="12"/>
  <c r="CR55" i="12"/>
  <c r="CR53" i="12"/>
  <c r="CR51" i="12"/>
  <c r="CR49" i="12"/>
  <c r="CR47" i="12"/>
  <c r="CR45" i="12"/>
  <c r="CR43" i="12"/>
  <c r="CR41" i="12"/>
  <c r="CR39" i="12"/>
  <c r="CR37" i="12"/>
  <c r="CR35" i="12"/>
  <c r="CR33" i="12"/>
  <c r="CR31" i="12"/>
  <c r="CR29" i="12"/>
  <c r="CR27" i="12"/>
  <c r="CR25" i="12"/>
  <c r="CR23" i="12"/>
  <c r="CR21" i="12"/>
  <c r="CR19" i="12"/>
  <c r="CR17" i="12"/>
  <c r="CR15" i="12"/>
  <c r="CR13" i="12"/>
  <c r="CR11" i="12"/>
  <c r="CR9" i="12"/>
  <c r="CR7" i="12"/>
  <c r="CR5" i="12"/>
  <c r="CR124" i="12"/>
  <c r="CR122" i="12"/>
  <c r="CR120" i="12"/>
  <c r="CR118" i="12"/>
  <c r="CR116" i="12"/>
  <c r="CR114" i="12"/>
  <c r="CR112" i="12"/>
  <c r="CR110" i="12"/>
  <c r="CR108" i="12"/>
  <c r="CR106" i="12"/>
  <c r="CR104" i="12"/>
  <c r="CR102" i="12"/>
  <c r="CR100" i="12"/>
  <c r="CR98" i="12"/>
  <c r="CR96" i="12"/>
  <c r="CR94" i="12"/>
  <c r="CR92" i="12"/>
  <c r="CR90" i="12"/>
  <c r="CR88" i="12"/>
  <c r="CR86" i="12"/>
  <c r="CR84" i="12"/>
  <c r="CR82" i="12"/>
  <c r="CR80" i="12"/>
  <c r="CR78" i="12"/>
  <c r="CR76" i="12"/>
  <c r="CR74" i="12"/>
  <c r="CR72" i="12"/>
  <c r="CR70" i="12"/>
  <c r="CR68" i="12"/>
  <c r="CR66" i="12"/>
  <c r="CR64" i="12"/>
  <c r="CR62" i="12"/>
  <c r="CR60" i="12"/>
  <c r="CR58" i="12"/>
  <c r="CR56" i="12"/>
  <c r="CR54" i="12"/>
  <c r="CR52" i="12"/>
  <c r="CR50" i="12"/>
  <c r="CR48" i="12"/>
  <c r="CR46" i="12"/>
  <c r="CR44" i="12"/>
  <c r="CR42" i="12"/>
  <c r="CR40" i="12"/>
  <c r="CR38" i="12"/>
  <c r="CR36" i="12"/>
  <c r="CR34" i="12"/>
  <c r="CR32" i="12"/>
  <c r="CR30" i="12"/>
  <c r="CR28" i="12"/>
  <c r="CR26" i="12"/>
  <c r="CR24" i="12"/>
  <c r="CR22" i="12"/>
  <c r="CR20" i="12"/>
  <c r="CR18" i="12"/>
  <c r="CR16" i="12"/>
  <c r="CR14" i="12"/>
  <c r="CR12" i="12"/>
  <c r="CR10" i="12"/>
  <c r="CR8" i="12"/>
  <c r="CR6" i="12"/>
  <c r="DQ77" i="12"/>
  <c r="DM77" i="12"/>
  <c r="DN77" i="12" s="1"/>
  <c r="DQ74" i="12"/>
  <c r="DL79" i="12"/>
  <c r="DJ79" i="12"/>
  <c r="DM82" i="12"/>
  <c r="DN82" i="12" s="1"/>
  <c r="DK7" i="12"/>
  <c r="DO7" i="12" s="1"/>
  <c r="DJ90" i="12"/>
  <c r="DL90" i="12"/>
  <c r="DI126" i="12"/>
  <c r="DK180" i="12" s="1"/>
  <c r="DV124" i="12"/>
  <c r="DV122" i="12"/>
  <c r="DV120" i="12"/>
  <c r="DV118" i="12"/>
  <c r="DV116" i="12"/>
  <c r="DV114" i="12"/>
  <c r="DV112" i="12"/>
  <c r="DV110" i="12"/>
  <c r="DV108" i="12"/>
  <c r="DV106" i="12"/>
  <c r="DV104" i="12"/>
  <c r="DV102" i="12"/>
  <c r="DV99" i="12"/>
  <c r="DV97" i="12"/>
  <c r="DV88" i="12"/>
  <c r="DV86" i="12"/>
  <c r="DV94" i="12"/>
  <c r="DV92" i="12"/>
  <c r="DV90" i="12"/>
  <c r="DV85" i="12"/>
  <c r="DV83" i="12"/>
  <c r="DV81" i="12"/>
  <c r="DV79" i="12"/>
  <c r="DV77" i="12"/>
  <c r="DV75" i="12"/>
  <c r="DV73" i="12"/>
  <c r="DV71" i="12"/>
  <c r="DV69" i="12"/>
  <c r="DV67" i="12"/>
  <c r="DV65" i="12"/>
  <c r="DV63" i="12"/>
  <c r="DV61" i="12"/>
  <c r="DV59" i="12"/>
  <c r="DV57" i="12"/>
  <c r="DV55" i="12"/>
  <c r="DV53" i="12"/>
  <c r="DV51" i="12"/>
  <c r="DV49" i="12"/>
  <c r="DV47" i="12"/>
  <c r="DV35" i="12"/>
  <c r="DV33" i="12"/>
  <c r="DV31" i="12"/>
  <c r="DV29" i="12"/>
  <c r="DV27" i="12"/>
  <c r="DV25" i="12"/>
  <c r="DV23" i="12"/>
  <c r="DV21" i="12"/>
  <c r="DV19" i="12"/>
  <c r="DV17" i="12"/>
  <c r="DV15" i="12"/>
  <c r="DV13" i="12"/>
  <c r="DV11" i="12"/>
  <c r="DV9" i="12"/>
  <c r="DV7" i="12"/>
  <c r="DV5" i="12"/>
  <c r="EB4" i="12"/>
  <c r="DV4" i="12"/>
  <c r="DW4" i="12" s="1"/>
  <c r="DV46" i="12"/>
  <c r="DV44" i="12"/>
  <c r="DV42" i="12"/>
  <c r="DV40" i="12"/>
  <c r="DV38" i="12"/>
  <c r="EA4" i="12"/>
  <c r="DV125" i="12"/>
  <c r="DV123" i="12"/>
  <c r="DV121" i="12"/>
  <c r="DV119" i="12"/>
  <c r="DV117" i="12"/>
  <c r="DV115" i="12"/>
  <c r="DV113" i="12"/>
  <c r="DV111" i="12"/>
  <c r="DV109" i="12"/>
  <c r="DV107" i="12"/>
  <c r="DV105" i="12"/>
  <c r="DV103" i="12"/>
  <c r="DV101" i="12"/>
  <c r="DV100" i="12"/>
  <c r="DV98" i="12"/>
  <c r="DV96" i="12"/>
  <c r="DV87" i="12"/>
  <c r="DV95" i="12"/>
  <c r="DV93" i="12"/>
  <c r="DV91" i="12"/>
  <c r="DV89" i="12"/>
  <c r="DV84" i="12"/>
  <c r="DV82" i="12"/>
  <c r="DV80" i="12"/>
  <c r="DV78" i="12"/>
  <c r="DV76" i="12"/>
  <c r="DV74" i="12"/>
  <c r="DV72" i="12"/>
  <c r="DV70" i="12"/>
  <c r="DV68" i="12"/>
  <c r="DV66" i="12"/>
  <c r="DV64" i="12"/>
  <c r="DV62" i="12"/>
  <c r="DV60" i="12"/>
  <c r="DV58" i="12"/>
  <c r="DV56" i="12"/>
  <c r="DV54" i="12"/>
  <c r="DV52" i="12"/>
  <c r="DV50" i="12"/>
  <c r="DV48" i="12"/>
  <c r="DV36" i="12"/>
  <c r="DV34" i="12"/>
  <c r="DV32" i="12"/>
  <c r="DV30" i="12"/>
  <c r="DV28" i="12"/>
  <c r="DV26" i="12"/>
  <c r="DV24" i="12"/>
  <c r="DV22" i="12"/>
  <c r="DV20" i="12"/>
  <c r="DV18" i="12"/>
  <c r="DV16" i="12"/>
  <c r="DV14" i="12"/>
  <c r="DV12" i="12"/>
  <c r="DV10" i="12"/>
  <c r="DV8" i="12"/>
  <c r="DV6" i="12"/>
  <c r="ED4" i="12"/>
  <c r="DX4" i="12"/>
  <c r="EC4" i="12"/>
  <c r="DV45" i="12"/>
  <c r="DV43" i="12"/>
  <c r="DV41" i="12"/>
  <c r="DV39" i="12"/>
  <c r="DV37" i="12"/>
  <c r="DX74" i="12"/>
  <c r="DZ74" i="12" s="1"/>
  <c r="EA74" i="12" s="1"/>
  <c r="DX90" i="12"/>
  <c r="DZ90" i="12" s="1"/>
  <c r="EA90" i="12" s="1"/>
  <c r="DX112" i="12"/>
  <c r="DZ112" i="12" s="1"/>
  <c r="EA112" i="12" s="1"/>
  <c r="DX73" i="12"/>
  <c r="ED73" i="12" s="1"/>
  <c r="DX77" i="12"/>
  <c r="ED77" i="12" s="1"/>
  <c r="DX97" i="12"/>
  <c r="ED97" i="12" s="1"/>
  <c r="ED74" i="12"/>
  <c r="DZ73" i="12"/>
  <c r="EA73" i="12" s="1"/>
  <c r="DZ77" i="12"/>
  <c r="EA77" i="12" s="1"/>
  <c r="CW101" i="12"/>
  <c r="CY101" i="12"/>
  <c r="CZ101" i="12"/>
  <c r="DD101" i="12"/>
  <c r="CB29" i="12"/>
  <c r="BN23" i="12"/>
  <c r="BX23" i="12"/>
  <c r="BN109" i="12"/>
  <c r="BX109" i="12"/>
  <c r="DO112" i="12"/>
  <c r="BN89" i="12"/>
  <c r="BX89" i="12"/>
  <c r="CB81" i="12"/>
  <c r="CB22" i="12"/>
  <c r="EA151" i="14"/>
  <c r="DZ143" i="14"/>
  <c r="BN65" i="12"/>
  <c r="BX65" i="12"/>
  <c r="BN59" i="12"/>
  <c r="BX59" i="12"/>
  <c r="BN113" i="12"/>
  <c r="BX113" i="12"/>
  <c r="BN110" i="12"/>
  <c r="BX110" i="12"/>
  <c r="BN19" i="12"/>
  <c r="BX19" i="12"/>
  <c r="CB19" i="12" s="1"/>
  <c r="BN49" i="12"/>
  <c r="BX49" i="12"/>
  <c r="CB49" i="12" s="1"/>
  <c r="CB76" i="12"/>
  <c r="BN54" i="12"/>
  <c r="BX54" i="12"/>
  <c r="BN50" i="12"/>
  <c r="BX50" i="12"/>
  <c r="CB38" i="12"/>
  <c r="BN124" i="12"/>
  <c r="BX124" i="12"/>
  <c r="BN34" i="12"/>
  <c r="BX34" i="12"/>
  <c r="BN9" i="12"/>
  <c r="BX9" i="12"/>
  <c r="BN37" i="12"/>
  <c r="BX37" i="12"/>
  <c r="CB37" i="12" s="1"/>
  <c r="BN33" i="12"/>
  <c r="BX33" i="12"/>
  <c r="CB33" i="12" s="1"/>
  <c r="BN51" i="12"/>
  <c r="BX51" i="12"/>
  <c r="BN120" i="12"/>
  <c r="BX120" i="12"/>
  <c r="BN53" i="12"/>
  <c r="BX53" i="12"/>
  <c r="BN67" i="12"/>
  <c r="BX67" i="12"/>
  <c r="BN57" i="12"/>
  <c r="BX57" i="12"/>
  <c r="CB105" i="12"/>
  <c r="BN115" i="12"/>
  <c r="BX115" i="12"/>
  <c r="CB115" i="12" s="1"/>
  <c r="BN6" i="12"/>
  <c r="BX6" i="12"/>
  <c r="BN106" i="12"/>
  <c r="BX106" i="12"/>
  <c r="BN114" i="12"/>
  <c r="BX114" i="12"/>
  <c r="BN11" i="12"/>
  <c r="BX11" i="12"/>
  <c r="CP8" i="12"/>
  <c r="CG8" i="12"/>
  <c r="CH8" i="12" s="1"/>
  <c r="CF8" i="12"/>
  <c r="CP18" i="12"/>
  <c r="CG18" i="12"/>
  <c r="CH18" i="12" s="1"/>
  <c r="CF18" i="12"/>
  <c r="CP22" i="12"/>
  <c r="CG22" i="12"/>
  <c r="CH22" i="12" s="1"/>
  <c r="CF22" i="12"/>
  <c r="CP26" i="12"/>
  <c r="CG26" i="12"/>
  <c r="CH26" i="12" s="1"/>
  <c r="CF26" i="12"/>
  <c r="CP30" i="12"/>
  <c r="CG30" i="12"/>
  <c r="CH30" i="12" s="1"/>
  <c r="CF30" i="12"/>
  <c r="CP34" i="12"/>
  <c r="CG34" i="12"/>
  <c r="CH34" i="12" s="1"/>
  <c r="CF34" i="12"/>
  <c r="CE126" i="12"/>
  <c r="CF5" i="12"/>
  <c r="CP5" i="12"/>
  <c r="CG5" i="12"/>
  <c r="CF10" i="12"/>
  <c r="CP10" i="12"/>
  <c r="CG10" i="12"/>
  <c r="CH10" i="12" s="1"/>
  <c r="CF15" i="12"/>
  <c r="CP15" i="12"/>
  <c r="CG15" i="12"/>
  <c r="CH15" i="12" s="1"/>
  <c r="CF41" i="12"/>
  <c r="CG41" i="12"/>
  <c r="CH41" i="12" s="1"/>
  <c r="CP41" i="12"/>
  <c r="CF45" i="12"/>
  <c r="CG45" i="12"/>
  <c r="CH45" i="12" s="1"/>
  <c r="CP45" i="12"/>
  <c r="CP49" i="12"/>
  <c r="CG49" i="12"/>
  <c r="CH49" i="12" s="1"/>
  <c r="CF49" i="12"/>
  <c r="CP53" i="12"/>
  <c r="CG53" i="12"/>
  <c r="CH53" i="12" s="1"/>
  <c r="CF53" i="12"/>
  <c r="CP57" i="12"/>
  <c r="CG57" i="12"/>
  <c r="CH57" i="12" s="1"/>
  <c r="CF57" i="12"/>
  <c r="CP61" i="12"/>
  <c r="CG61" i="12"/>
  <c r="CH61" i="12" s="1"/>
  <c r="CF61" i="12"/>
  <c r="CP65" i="12"/>
  <c r="CG65" i="12"/>
  <c r="CH65" i="12" s="1"/>
  <c r="CF65" i="12"/>
  <c r="CP69" i="12"/>
  <c r="CG69" i="12"/>
  <c r="CH69" i="12" s="1"/>
  <c r="CF69" i="12"/>
  <c r="CP73" i="12"/>
  <c r="CG73" i="12"/>
  <c r="CH73" i="12" s="1"/>
  <c r="CF73" i="12"/>
  <c r="CP77" i="12"/>
  <c r="CG77" i="12"/>
  <c r="CH77" i="12" s="1"/>
  <c r="CF77" i="12"/>
  <c r="CP81" i="12"/>
  <c r="CG81" i="12"/>
  <c r="CH81" i="12" s="1"/>
  <c r="CF81" i="12"/>
  <c r="CP85" i="12"/>
  <c r="CG85" i="12"/>
  <c r="CH85" i="12" s="1"/>
  <c r="CF85" i="12"/>
  <c r="CF105" i="12"/>
  <c r="CP105" i="12"/>
  <c r="CG105" i="12"/>
  <c r="CH105" i="12" s="1"/>
  <c r="CF109" i="12"/>
  <c r="CP109" i="12"/>
  <c r="CG109" i="12"/>
  <c r="CH109" i="12" s="1"/>
  <c r="CF113" i="12"/>
  <c r="CP113" i="12"/>
  <c r="CG113" i="12"/>
  <c r="CH113" i="12" s="1"/>
  <c r="CF117" i="12"/>
  <c r="CP117" i="12"/>
  <c r="CG117" i="12"/>
  <c r="CH117" i="12" s="1"/>
  <c r="CP86" i="12"/>
  <c r="CG86" i="12"/>
  <c r="CH86" i="12" s="1"/>
  <c r="CF86" i="12"/>
  <c r="CF90" i="12"/>
  <c r="CG90" i="12"/>
  <c r="CH90" i="12" s="1"/>
  <c r="CP90" i="12"/>
  <c r="CF94" i="12"/>
  <c r="CG94" i="12"/>
  <c r="CH94" i="12" s="1"/>
  <c r="CP94" i="12"/>
  <c r="CF98" i="12"/>
  <c r="CG98" i="12"/>
  <c r="CH98" i="12" s="1"/>
  <c r="CP98" i="12"/>
  <c r="CF121" i="12"/>
  <c r="CP121" i="12"/>
  <c r="CG121" i="12"/>
  <c r="CH121" i="12" s="1"/>
  <c r="CF125" i="12"/>
  <c r="CP125" i="12"/>
  <c r="CG125" i="12"/>
  <c r="CH125" i="12" s="1"/>
  <c r="CF17" i="12"/>
  <c r="CP17" i="12"/>
  <c r="CG17" i="12"/>
  <c r="CH17" i="12" s="1"/>
  <c r="CF21" i="12"/>
  <c r="CP21" i="12"/>
  <c r="CG21" i="12"/>
  <c r="CH21" i="12" s="1"/>
  <c r="CF25" i="12"/>
  <c r="CP25" i="12"/>
  <c r="CG25" i="12"/>
  <c r="CH25" i="12" s="1"/>
  <c r="CF29" i="12"/>
  <c r="CP29" i="12"/>
  <c r="CG29" i="12"/>
  <c r="CH29" i="12" s="1"/>
  <c r="CF33" i="12"/>
  <c r="CP33" i="12"/>
  <c r="CG33" i="12"/>
  <c r="CH33" i="12" s="1"/>
  <c r="CF37" i="12"/>
  <c r="CP37" i="12"/>
  <c r="CG37" i="12"/>
  <c r="CH37" i="12" s="1"/>
  <c r="CF9" i="12"/>
  <c r="CP9" i="12"/>
  <c r="CG9" i="12"/>
  <c r="CH9" i="12" s="1"/>
  <c r="CF14" i="12"/>
  <c r="CP14" i="12"/>
  <c r="CG14" i="12"/>
  <c r="CH14" i="12" s="1"/>
  <c r="CF40" i="12"/>
  <c r="CG40" i="12"/>
  <c r="CH40" i="12" s="1"/>
  <c r="CP40" i="12"/>
  <c r="CF44" i="12"/>
  <c r="CG44" i="12"/>
  <c r="CH44" i="12" s="1"/>
  <c r="CP44" i="12"/>
  <c r="CP48" i="12"/>
  <c r="CG48" i="12"/>
  <c r="CH48" i="12" s="1"/>
  <c r="CF48" i="12"/>
  <c r="CP52" i="12"/>
  <c r="CG52" i="12"/>
  <c r="CH52" i="12" s="1"/>
  <c r="CF52" i="12"/>
  <c r="CP56" i="12"/>
  <c r="CG56" i="12"/>
  <c r="CH56" i="12" s="1"/>
  <c r="CF56" i="12"/>
  <c r="CP60" i="12"/>
  <c r="CG60" i="12"/>
  <c r="CH60" i="12" s="1"/>
  <c r="CF60" i="12"/>
  <c r="CP64" i="12"/>
  <c r="CG64" i="12"/>
  <c r="CH64" i="12" s="1"/>
  <c r="CF64" i="12"/>
  <c r="CP68" i="12"/>
  <c r="CG68" i="12"/>
  <c r="CH68" i="12" s="1"/>
  <c r="CF68" i="12"/>
  <c r="CP72" i="12"/>
  <c r="CG72" i="12"/>
  <c r="CH72" i="12" s="1"/>
  <c r="CF72" i="12"/>
  <c r="CP76" i="12"/>
  <c r="CG76" i="12"/>
  <c r="CH76" i="12" s="1"/>
  <c r="CF76" i="12"/>
  <c r="CP80" i="12"/>
  <c r="CG80" i="12"/>
  <c r="CH80" i="12" s="1"/>
  <c r="CF80" i="12"/>
  <c r="CP84" i="12"/>
  <c r="CG84" i="12"/>
  <c r="CH84" i="12" s="1"/>
  <c r="CF84" i="12"/>
  <c r="CF104" i="12"/>
  <c r="CP104" i="12"/>
  <c r="CG104" i="12"/>
  <c r="CH104" i="12" s="1"/>
  <c r="CF108" i="12"/>
  <c r="CP108" i="12"/>
  <c r="CG108" i="12"/>
  <c r="CH108" i="12" s="1"/>
  <c r="CF112" i="12"/>
  <c r="CP112" i="12"/>
  <c r="CG112" i="12"/>
  <c r="CH112" i="12" s="1"/>
  <c r="CF116" i="12"/>
  <c r="CP116" i="12"/>
  <c r="CG116" i="12"/>
  <c r="CH116" i="12" s="1"/>
  <c r="CF120" i="12"/>
  <c r="CP120" i="12"/>
  <c r="CG120" i="12"/>
  <c r="CH120" i="12" s="1"/>
  <c r="CF89" i="12"/>
  <c r="CG89" i="12"/>
  <c r="CH89" i="12" s="1"/>
  <c r="CP89" i="12"/>
  <c r="CF93" i="12"/>
  <c r="CG93" i="12"/>
  <c r="CH93" i="12" s="1"/>
  <c r="CP93" i="12"/>
  <c r="CF97" i="12"/>
  <c r="CG97" i="12"/>
  <c r="CH97" i="12" s="1"/>
  <c r="CP97" i="12"/>
  <c r="CF101" i="12"/>
  <c r="CG101" i="12"/>
  <c r="CH101" i="12" s="1"/>
  <c r="CP101" i="12"/>
  <c r="CF124" i="12"/>
  <c r="CP124" i="12"/>
  <c r="CG124" i="12"/>
  <c r="CH124" i="12" s="1"/>
  <c r="BN125" i="12"/>
  <c r="BX125" i="12"/>
  <c r="BN26" i="12"/>
  <c r="BX26" i="12"/>
  <c r="CB100" i="12"/>
  <c r="BN8" i="12"/>
  <c r="BX8" i="12"/>
  <c r="BL147" i="12"/>
  <c r="BL151" i="12" s="1"/>
  <c r="CB63" i="12"/>
  <c r="BN72" i="12"/>
  <c r="BX72" i="12"/>
  <c r="BN70" i="12"/>
  <c r="BX70" i="12"/>
  <c r="BN84" i="12"/>
  <c r="BX84" i="12"/>
  <c r="CB84" i="12" s="1"/>
  <c r="CB18" i="12"/>
  <c r="BU5" i="12"/>
  <c r="BU126" i="12" s="1"/>
  <c r="BT126" i="12"/>
  <c r="BL123" i="12"/>
  <c r="BL126" i="12" s="1"/>
  <c r="BJ123" i="12"/>
  <c r="BJ126" i="12" s="1"/>
  <c r="BK176" i="12" s="1"/>
  <c r="BK175" i="12" s="1"/>
  <c r="BQ123" i="12"/>
  <c r="BQ126" i="12" s="1"/>
  <c r="BM123" i="12"/>
  <c r="BO123" i="12"/>
  <c r="CB80" i="12"/>
  <c r="BN32" i="12"/>
  <c r="BX32" i="12"/>
  <c r="BN14" i="12"/>
  <c r="BX14" i="12"/>
  <c r="DO73" i="12"/>
  <c r="BN107" i="12"/>
  <c r="BX107" i="12"/>
  <c r="BN94" i="12"/>
  <c r="BX94" i="12"/>
  <c r="CB94" i="12" s="1"/>
  <c r="CB88" i="12"/>
  <c r="BN12" i="12"/>
  <c r="BX12" i="12"/>
  <c r="BN64" i="12"/>
  <c r="BX64" i="12"/>
  <c r="BN93" i="12"/>
  <c r="BX93" i="12"/>
  <c r="BN87" i="12"/>
  <c r="BX87" i="12"/>
  <c r="BN35" i="12"/>
  <c r="BX35" i="12"/>
  <c r="CB30" i="12"/>
  <c r="DO74" i="12"/>
  <c r="EB74" i="12" s="1"/>
  <c r="CB121" i="12"/>
  <c r="CB96" i="12"/>
  <c r="BN46" i="12"/>
  <c r="BX46" i="12"/>
  <c r="EA126" i="14"/>
  <c r="CB25" i="12"/>
  <c r="BN16" i="12"/>
  <c r="BX16" i="12"/>
  <c r="I15" i="17"/>
  <c r="J14" i="17"/>
  <c r="E93" i="7"/>
  <c r="D92" i="7"/>
  <c r="DZ97" i="12" l="1"/>
  <c r="EA97" i="12" s="1"/>
  <c r="EB73" i="12"/>
  <c r="EB112" i="12"/>
  <c r="DX79" i="12"/>
  <c r="ED79" i="12" s="1"/>
  <c r="ED112" i="12"/>
  <c r="DX82" i="12"/>
  <c r="EB82" i="12" s="1"/>
  <c r="DW183" i="14"/>
  <c r="ED90" i="12"/>
  <c r="DZ79" i="12"/>
  <c r="EA79" i="12" s="1"/>
  <c r="ED82" i="12"/>
  <c r="DX175" i="14"/>
  <c r="BW93" i="12"/>
  <c r="BY93" i="12"/>
  <c r="BZ93" i="12"/>
  <c r="CD93" i="12"/>
  <c r="CB12" i="12"/>
  <c r="BY12" i="12"/>
  <c r="BW12" i="12"/>
  <c r="CD12" i="12"/>
  <c r="BZ12" i="12"/>
  <c r="CB16" i="12"/>
  <c r="BY16" i="12"/>
  <c r="BW16" i="12"/>
  <c r="CD16" i="12"/>
  <c r="BZ16" i="12"/>
  <c r="BY46" i="12"/>
  <c r="BW46" i="12"/>
  <c r="CD46" i="12"/>
  <c r="BZ46" i="12"/>
  <c r="BY35" i="12"/>
  <c r="BW35" i="12"/>
  <c r="CD35" i="12"/>
  <c r="BZ35" i="12"/>
  <c r="BW87" i="12"/>
  <c r="BY87" i="12"/>
  <c r="BZ87" i="12"/>
  <c r="CD87" i="12"/>
  <c r="CB93" i="12"/>
  <c r="BY94" i="12"/>
  <c r="BW94" i="12"/>
  <c r="BZ94" i="12"/>
  <c r="CD94" i="12"/>
  <c r="BY107" i="12"/>
  <c r="BW107" i="12"/>
  <c r="CD107" i="12"/>
  <c r="BZ107" i="12"/>
  <c r="BY14" i="12"/>
  <c r="BW14" i="12"/>
  <c r="CD14" i="12"/>
  <c r="BZ14" i="12"/>
  <c r="CB14" i="12"/>
  <c r="BY32" i="12"/>
  <c r="BW32" i="12"/>
  <c r="CD32" i="12"/>
  <c r="BZ32" i="12"/>
  <c r="BN123" i="12"/>
  <c r="BX123" i="12"/>
  <c r="BY72" i="12"/>
  <c r="BW72" i="12"/>
  <c r="BZ72" i="12"/>
  <c r="CD72" i="12"/>
  <c r="BY8" i="12"/>
  <c r="BW8" i="12"/>
  <c r="CD8" i="12"/>
  <c r="BZ8" i="12"/>
  <c r="CB26" i="12"/>
  <c r="BY26" i="12"/>
  <c r="BW26" i="12"/>
  <c r="CD26" i="12"/>
  <c r="BZ26" i="12"/>
  <c r="BW125" i="12"/>
  <c r="BY125" i="12"/>
  <c r="CD125" i="12"/>
  <c r="BZ125" i="12"/>
  <c r="CG126" i="12"/>
  <c r="CH5" i="12"/>
  <c r="CH126" i="12" s="1"/>
  <c r="CF126" i="12"/>
  <c r="BY11" i="12"/>
  <c r="BW11" i="12"/>
  <c r="BZ11" i="12"/>
  <c r="CD11" i="12"/>
  <c r="CB114" i="12"/>
  <c r="BY114" i="12"/>
  <c r="BW114" i="12"/>
  <c r="BZ114" i="12"/>
  <c r="CD114" i="12"/>
  <c r="BY106" i="12"/>
  <c r="BW106" i="12"/>
  <c r="BZ106" i="12"/>
  <c r="CD106" i="12"/>
  <c r="CB106" i="12"/>
  <c r="BW57" i="12"/>
  <c r="BY57" i="12"/>
  <c r="CD57" i="12"/>
  <c r="BZ57" i="12"/>
  <c r="CB57" i="12"/>
  <c r="BW50" i="12"/>
  <c r="BY50" i="12"/>
  <c r="CD50" i="12"/>
  <c r="BZ50" i="12"/>
  <c r="CB54" i="12"/>
  <c r="BY54" i="12"/>
  <c r="BW54" i="12"/>
  <c r="CD54" i="12"/>
  <c r="BZ54" i="12"/>
  <c r="BW59" i="12"/>
  <c r="BY59" i="12"/>
  <c r="CD59" i="12"/>
  <c r="BZ59" i="12"/>
  <c r="CB59" i="12"/>
  <c r="BY65" i="12"/>
  <c r="BW65" i="12"/>
  <c r="BZ65" i="12"/>
  <c r="CD65" i="12"/>
  <c r="CB65" i="12"/>
  <c r="DZ151" i="14"/>
  <c r="BW89" i="12"/>
  <c r="BY89" i="12"/>
  <c r="BZ89" i="12"/>
  <c r="CD89" i="12"/>
  <c r="CB89" i="12"/>
  <c r="BW109" i="12"/>
  <c r="BY109" i="12"/>
  <c r="CD109" i="12"/>
  <c r="BZ109" i="12"/>
  <c r="BY23" i="12"/>
  <c r="BW23" i="12"/>
  <c r="CD23" i="12"/>
  <c r="BZ23" i="12"/>
  <c r="CB23" i="12"/>
  <c r="DA101" i="12"/>
  <c r="DK101" i="12"/>
  <c r="DW79" i="12"/>
  <c r="DY79" i="12"/>
  <c r="DW97" i="12"/>
  <c r="DY97" i="12"/>
  <c r="DY112" i="12"/>
  <c r="DW112" i="12"/>
  <c r="DW74" i="12"/>
  <c r="DY74" i="12"/>
  <c r="DV126" i="12"/>
  <c r="DX180" i="12" s="1"/>
  <c r="DJ7" i="12"/>
  <c r="DL7" i="12"/>
  <c r="DM7" i="12"/>
  <c r="DQ7" i="12"/>
  <c r="DC8" i="12"/>
  <c r="CT8" i="12"/>
  <c r="CU8" i="12" s="1"/>
  <c r="CS8" i="12"/>
  <c r="CS12" i="12"/>
  <c r="CT12" i="12"/>
  <c r="CU12" i="12" s="1"/>
  <c r="DC12" i="12"/>
  <c r="DC16" i="12"/>
  <c r="CT16" i="12"/>
  <c r="CU16" i="12" s="1"/>
  <c r="CS16" i="12"/>
  <c r="DC20" i="12"/>
  <c r="CT20" i="12"/>
  <c r="CU20" i="12" s="1"/>
  <c r="CS20" i="12"/>
  <c r="DC24" i="12"/>
  <c r="CT24" i="12"/>
  <c r="CU24" i="12" s="1"/>
  <c r="CS24" i="12"/>
  <c r="DC28" i="12"/>
  <c r="CT28" i="12"/>
  <c r="CU28" i="12" s="1"/>
  <c r="CS28" i="12"/>
  <c r="DC32" i="12"/>
  <c r="CT32" i="12"/>
  <c r="CU32" i="12" s="1"/>
  <c r="CS32" i="12"/>
  <c r="DC36" i="12"/>
  <c r="CT36" i="12"/>
  <c r="CU36" i="12" s="1"/>
  <c r="CS36" i="12"/>
  <c r="CS40" i="12"/>
  <c r="DC40" i="12"/>
  <c r="CT40" i="12"/>
  <c r="CU40" i="12" s="1"/>
  <c r="CS44" i="12"/>
  <c r="DC44" i="12"/>
  <c r="CT44" i="12"/>
  <c r="CU44" i="12" s="1"/>
  <c r="CS48" i="12"/>
  <c r="DC48" i="12"/>
  <c r="CT48" i="12"/>
  <c r="CU48" i="12" s="1"/>
  <c r="CS52" i="12"/>
  <c r="DC52" i="12"/>
  <c r="CT52" i="12"/>
  <c r="CU52" i="12" s="1"/>
  <c r="CS56" i="12"/>
  <c r="DC56" i="12"/>
  <c r="CT56" i="12"/>
  <c r="CU56" i="12" s="1"/>
  <c r="CS60" i="12"/>
  <c r="DC60" i="12"/>
  <c r="CT60" i="12"/>
  <c r="CU60" i="12" s="1"/>
  <c r="CS64" i="12"/>
  <c r="DC64" i="12"/>
  <c r="CT64" i="12"/>
  <c r="CU64" i="12" s="1"/>
  <c r="CS68" i="12"/>
  <c r="DC68" i="12"/>
  <c r="CT68" i="12"/>
  <c r="CU68" i="12" s="1"/>
  <c r="CS72" i="12"/>
  <c r="DC72" i="12"/>
  <c r="CT72" i="12"/>
  <c r="CU72" i="12" s="1"/>
  <c r="CS76" i="12"/>
  <c r="DC76" i="12"/>
  <c r="CT76" i="12"/>
  <c r="CU76" i="12" s="1"/>
  <c r="CS80" i="12"/>
  <c r="DC80" i="12"/>
  <c r="CT80" i="12"/>
  <c r="CU80" i="12" s="1"/>
  <c r="CS84" i="12"/>
  <c r="DC84" i="12"/>
  <c r="CT84" i="12"/>
  <c r="CU84" i="12" s="1"/>
  <c r="CS88" i="12"/>
  <c r="DC88" i="12"/>
  <c r="CT88" i="12"/>
  <c r="CU88" i="12" s="1"/>
  <c r="CS92" i="12"/>
  <c r="DC92" i="12"/>
  <c r="CT92" i="12"/>
  <c r="CU92" i="12" s="1"/>
  <c r="CS96" i="12"/>
  <c r="DC96" i="12"/>
  <c r="CT96" i="12"/>
  <c r="CU96" i="12" s="1"/>
  <c r="CS100" i="12"/>
  <c r="DC100" i="12"/>
  <c r="CT100" i="12"/>
  <c r="CU100" i="12" s="1"/>
  <c r="CS104" i="12"/>
  <c r="CT104" i="12"/>
  <c r="CU104" i="12" s="1"/>
  <c r="DC104" i="12"/>
  <c r="CS108" i="12"/>
  <c r="CT108" i="12"/>
  <c r="CU108" i="12" s="1"/>
  <c r="DC108" i="12"/>
  <c r="CS112" i="12"/>
  <c r="CT112" i="12"/>
  <c r="CU112" i="12" s="1"/>
  <c r="DC112" i="12"/>
  <c r="CS116" i="12"/>
  <c r="CT116" i="12"/>
  <c r="CU116" i="12" s="1"/>
  <c r="DC116" i="12"/>
  <c r="CS120" i="12"/>
  <c r="CT120" i="12"/>
  <c r="CU120" i="12" s="1"/>
  <c r="DC120" i="12"/>
  <c r="CS124" i="12"/>
  <c r="CT124" i="12"/>
  <c r="CU124" i="12" s="1"/>
  <c r="DC124" i="12"/>
  <c r="DC7" i="12"/>
  <c r="CT7" i="12"/>
  <c r="CU7" i="12" s="1"/>
  <c r="CS7" i="12"/>
  <c r="CS11" i="12"/>
  <c r="CT11" i="12"/>
  <c r="CU11" i="12" s="1"/>
  <c r="DC11" i="12"/>
  <c r="DC15" i="12"/>
  <c r="CT15" i="12"/>
  <c r="CU15" i="12" s="1"/>
  <c r="CS15" i="12"/>
  <c r="DC19" i="12"/>
  <c r="CT19" i="12"/>
  <c r="CU19" i="12" s="1"/>
  <c r="CS19" i="12"/>
  <c r="DC23" i="12"/>
  <c r="CT23" i="12"/>
  <c r="CU23" i="12" s="1"/>
  <c r="CS23" i="12"/>
  <c r="DC27" i="12"/>
  <c r="CT27" i="12"/>
  <c r="CU27" i="12" s="1"/>
  <c r="CS27" i="12"/>
  <c r="DC31" i="12"/>
  <c r="CT31" i="12"/>
  <c r="CU31" i="12" s="1"/>
  <c r="CS31" i="12"/>
  <c r="DC35" i="12"/>
  <c r="CT35" i="12"/>
  <c r="CU35" i="12" s="1"/>
  <c r="CS35" i="12"/>
  <c r="CS39" i="12"/>
  <c r="DC39" i="12"/>
  <c r="CT39" i="12"/>
  <c r="CU39" i="12" s="1"/>
  <c r="CS43" i="12"/>
  <c r="DC43" i="12"/>
  <c r="CT43" i="12"/>
  <c r="CU43" i="12" s="1"/>
  <c r="CS47" i="12"/>
  <c r="DC47" i="12"/>
  <c r="CT47" i="12"/>
  <c r="CU47" i="12" s="1"/>
  <c r="CS51" i="12"/>
  <c r="DC51" i="12"/>
  <c r="CT51" i="12"/>
  <c r="CU51" i="12" s="1"/>
  <c r="CS55" i="12"/>
  <c r="DC55" i="12"/>
  <c r="CT55" i="12"/>
  <c r="CU55" i="12" s="1"/>
  <c r="CS59" i="12"/>
  <c r="DC59" i="12"/>
  <c r="CT59" i="12"/>
  <c r="CU59" i="12" s="1"/>
  <c r="CS63" i="12"/>
  <c r="DC63" i="12"/>
  <c r="CT63" i="12"/>
  <c r="CU63" i="12" s="1"/>
  <c r="CS67" i="12"/>
  <c r="DC67" i="12"/>
  <c r="CT67" i="12"/>
  <c r="CU67" i="12" s="1"/>
  <c r="CS71" i="12"/>
  <c r="DC71" i="12"/>
  <c r="CT71" i="12"/>
  <c r="CU71" i="12" s="1"/>
  <c r="CS75" i="12"/>
  <c r="DC75" i="12"/>
  <c r="CT75" i="12"/>
  <c r="CU75" i="12" s="1"/>
  <c r="CS79" i="12"/>
  <c r="DC79" i="12"/>
  <c r="CT79" i="12"/>
  <c r="CU79" i="12" s="1"/>
  <c r="CS83" i="12"/>
  <c r="DC83" i="12"/>
  <c r="CT83" i="12"/>
  <c r="CU83" i="12" s="1"/>
  <c r="CS87" i="12"/>
  <c r="DC87" i="12"/>
  <c r="CT87" i="12"/>
  <c r="CU87" i="12" s="1"/>
  <c r="CS91" i="12"/>
  <c r="DC91" i="12"/>
  <c r="CT91" i="12"/>
  <c r="CU91" i="12" s="1"/>
  <c r="CS95" i="12"/>
  <c r="DC95" i="12"/>
  <c r="CT95" i="12"/>
  <c r="CU95" i="12" s="1"/>
  <c r="CS99" i="12"/>
  <c r="DC99" i="12"/>
  <c r="CT99" i="12"/>
  <c r="CU99" i="12" s="1"/>
  <c r="CS103" i="12"/>
  <c r="CT103" i="12"/>
  <c r="CU103" i="12" s="1"/>
  <c r="DC103" i="12"/>
  <c r="CS107" i="12"/>
  <c r="CT107" i="12"/>
  <c r="CU107" i="12" s="1"/>
  <c r="DC107" i="12"/>
  <c r="CS111" i="12"/>
  <c r="CT111" i="12"/>
  <c r="CU111" i="12" s="1"/>
  <c r="DC111" i="12"/>
  <c r="CS115" i="12"/>
  <c r="CT115" i="12"/>
  <c r="CU115" i="12" s="1"/>
  <c r="DC115" i="12"/>
  <c r="CS119" i="12"/>
  <c r="CT119" i="12"/>
  <c r="CU119" i="12" s="1"/>
  <c r="DC119" i="12"/>
  <c r="CS123" i="12"/>
  <c r="CT123" i="12"/>
  <c r="CU123" i="12" s="1"/>
  <c r="DC123" i="12"/>
  <c r="BY118" i="12"/>
  <c r="BW118" i="12"/>
  <c r="BZ118" i="12"/>
  <c r="CD118" i="12"/>
  <c r="CB118" i="12"/>
  <c r="BW56" i="12"/>
  <c r="BY56" i="12"/>
  <c r="BZ56" i="12"/>
  <c r="CD56" i="12"/>
  <c r="CB56" i="12"/>
  <c r="BW68" i="12"/>
  <c r="BY68" i="12"/>
  <c r="CD68" i="12"/>
  <c r="BZ68" i="12"/>
  <c r="CB68" i="12"/>
  <c r="BY36" i="12"/>
  <c r="BW36" i="12"/>
  <c r="CD36" i="12"/>
  <c r="BZ36" i="12"/>
  <c r="CB36" i="12"/>
  <c r="BY83" i="12"/>
  <c r="BW83" i="12"/>
  <c r="BZ83" i="12"/>
  <c r="CD83" i="12"/>
  <c r="CB83" i="12"/>
  <c r="BW103" i="12"/>
  <c r="BY103" i="12"/>
  <c r="CD103" i="12"/>
  <c r="BZ103" i="12"/>
  <c r="CB103" i="12"/>
  <c r="BY69" i="12"/>
  <c r="BW69" i="12"/>
  <c r="BZ69" i="12"/>
  <c r="CD69" i="12"/>
  <c r="BY18" i="12"/>
  <c r="BW18" i="12"/>
  <c r="BZ18" i="12"/>
  <c r="CD18" i="12"/>
  <c r="BY25" i="12"/>
  <c r="BW25" i="12"/>
  <c r="CD25" i="12"/>
  <c r="BZ25" i="12"/>
  <c r="BW96" i="12"/>
  <c r="BY96" i="12"/>
  <c r="CD96" i="12"/>
  <c r="BZ96" i="12"/>
  <c r="BW86" i="12"/>
  <c r="BY86" i="12"/>
  <c r="BZ86" i="12"/>
  <c r="CD86" i="12"/>
  <c r="CB92" i="12"/>
  <c r="BY92" i="12"/>
  <c r="BW92" i="12"/>
  <c r="BZ92" i="12"/>
  <c r="CD92" i="12"/>
  <c r="BX134" i="12"/>
  <c r="BX138" i="12" s="1"/>
  <c r="BX183" i="12" s="1"/>
  <c r="BY30" i="12"/>
  <c r="BW30" i="12"/>
  <c r="CD30" i="12"/>
  <c r="BZ30" i="12"/>
  <c r="BY121" i="12"/>
  <c r="BW121" i="12"/>
  <c r="CD121" i="12"/>
  <c r="BZ121" i="12"/>
  <c r="BW48" i="12"/>
  <c r="BY48" i="12"/>
  <c r="BZ48" i="12"/>
  <c r="CD48" i="12"/>
  <c r="CB48" i="12"/>
  <c r="BY78" i="12"/>
  <c r="BW78" i="12"/>
  <c r="BZ78" i="12"/>
  <c r="CD78" i="12"/>
  <c r="BY104" i="12"/>
  <c r="BW104" i="12"/>
  <c r="BZ104" i="12"/>
  <c r="CD104" i="12"/>
  <c r="CB104" i="12"/>
  <c r="BY41" i="12"/>
  <c r="BW41" i="12"/>
  <c r="BZ41" i="12"/>
  <c r="CD41" i="12"/>
  <c r="BY80" i="12"/>
  <c r="BW80" i="12"/>
  <c r="CD80" i="12"/>
  <c r="BZ80" i="12"/>
  <c r="CB117" i="12"/>
  <c r="BW117" i="12"/>
  <c r="BY117" i="12"/>
  <c r="CD117" i="12"/>
  <c r="BZ117" i="12"/>
  <c r="BW85" i="12"/>
  <c r="BY85" i="12"/>
  <c r="CD85" i="12"/>
  <c r="BZ85" i="12"/>
  <c r="CB85" i="12"/>
  <c r="CB72" i="12"/>
  <c r="BY99" i="12"/>
  <c r="BW99" i="12"/>
  <c r="CD99" i="12"/>
  <c r="BZ99" i="12"/>
  <c r="BW62" i="12"/>
  <c r="BY62" i="12"/>
  <c r="CD62" i="12"/>
  <c r="BZ62" i="12"/>
  <c r="CB125" i="12"/>
  <c r="CB11" i="12"/>
  <c r="BY28" i="12"/>
  <c r="BW28" i="12"/>
  <c r="CD28" i="12"/>
  <c r="BZ28" i="12"/>
  <c r="CB28" i="12"/>
  <c r="BO126" i="12"/>
  <c r="BY5" i="12"/>
  <c r="BW5" i="12"/>
  <c r="BX126" i="12"/>
  <c r="BX174" i="12"/>
  <c r="BZ5" i="12"/>
  <c r="CD5" i="12"/>
  <c r="CB5" i="12"/>
  <c r="BN126" i="12"/>
  <c r="BY31" i="12"/>
  <c r="BW31" i="12"/>
  <c r="BZ31" i="12"/>
  <c r="CD31" i="12"/>
  <c r="CB31" i="12"/>
  <c r="BY100" i="12"/>
  <c r="BW100" i="12"/>
  <c r="CD100" i="12"/>
  <c r="BZ100" i="12"/>
  <c r="CB99" i="12"/>
  <c r="CB122" i="12"/>
  <c r="BY122" i="12"/>
  <c r="BW122" i="12"/>
  <c r="BZ122" i="12"/>
  <c r="CD122" i="12"/>
  <c r="CH147" i="12"/>
  <c r="CH151" i="12" s="1"/>
  <c r="BW116" i="12"/>
  <c r="BY116" i="12"/>
  <c r="CD116" i="12"/>
  <c r="BZ116" i="12"/>
  <c r="CB116" i="12"/>
  <c r="BY43" i="12"/>
  <c r="BW43" i="12"/>
  <c r="BZ43" i="12"/>
  <c r="CD43" i="12"/>
  <c r="BY75" i="12"/>
  <c r="BW75" i="12"/>
  <c r="BZ75" i="12"/>
  <c r="CD75" i="12"/>
  <c r="CB75" i="12"/>
  <c r="EB97" i="12"/>
  <c r="CB69" i="12"/>
  <c r="BY29" i="12"/>
  <c r="BW29" i="12"/>
  <c r="BZ29" i="12"/>
  <c r="CD29" i="12"/>
  <c r="DJ181" i="12"/>
  <c r="BY64" i="12"/>
  <c r="BW64" i="12"/>
  <c r="CD64" i="12"/>
  <c r="BZ64" i="12"/>
  <c r="BW84" i="12"/>
  <c r="BY84" i="12"/>
  <c r="CD84" i="12"/>
  <c r="BZ84" i="12"/>
  <c r="BY70" i="12"/>
  <c r="BW70" i="12"/>
  <c r="BZ70" i="12"/>
  <c r="CD70" i="12"/>
  <c r="CB70" i="12"/>
  <c r="CB64" i="12"/>
  <c r="CP126" i="12"/>
  <c r="CB6" i="12"/>
  <c r="BW6" i="12"/>
  <c r="BY6" i="12"/>
  <c r="CD6" i="12"/>
  <c r="BZ6" i="12"/>
  <c r="BW115" i="12"/>
  <c r="BY115" i="12"/>
  <c r="CD115" i="12"/>
  <c r="BZ115" i="12"/>
  <c r="BY67" i="12"/>
  <c r="BW67" i="12"/>
  <c r="BZ67" i="12"/>
  <c r="CD67" i="12"/>
  <c r="BW53" i="12"/>
  <c r="BY53" i="12"/>
  <c r="CD53" i="12"/>
  <c r="BZ53" i="12"/>
  <c r="BY120" i="12"/>
  <c r="BW120" i="12"/>
  <c r="BZ120" i="12"/>
  <c r="CD120" i="12"/>
  <c r="BW51" i="12"/>
  <c r="BY51" i="12"/>
  <c r="CD51" i="12"/>
  <c r="BZ51" i="12"/>
  <c r="CB51" i="12"/>
  <c r="BY33" i="12"/>
  <c r="BW33" i="12"/>
  <c r="CD33" i="12"/>
  <c r="BZ33" i="12"/>
  <c r="BY37" i="12"/>
  <c r="BW37" i="12"/>
  <c r="BZ37" i="12"/>
  <c r="CD37" i="12"/>
  <c r="BW9" i="12"/>
  <c r="BY9" i="12"/>
  <c r="CD9" i="12"/>
  <c r="BZ9" i="12"/>
  <c r="BY34" i="12"/>
  <c r="BW34" i="12"/>
  <c r="CD34" i="12"/>
  <c r="BZ34" i="12"/>
  <c r="BW124" i="12"/>
  <c r="BY124" i="12"/>
  <c r="CD124" i="12"/>
  <c r="BZ124" i="12"/>
  <c r="BY49" i="12"/>
  <c r="BW49" i="12"/>
  <c r="BZ49" i="12"/>
  <c r="CD49" i="12"/>
  <c r="BY19" i="12"/>
  <c r="BW19" i="12"/>
  <c r="CD19" i="12"/>
  <c r="BZ19" i="12"/>
  <c r="BY110" i="12"/>
  <c r="BW110" i="12"/>
  <c r="CD110" i="12"/>
  <c r="BZ110" i="12"/>
  <c r="CB110" i="12"/>
  <c r="BW113" i="12"/>
  <c r="BY113" i="12"/>
  <c r="BZ113" i="12"/>
  <c r="CD113" i="12"/>
  <c r="CB113" i="12"/>
  <c r="CB124" i="12"/>
  <c r="CB87" i="12"/>
  <c r="EB77" i="12"/>
  <c r="DW77" i="12"/>
  <c r="DY77" i="12"/>
  <c r="DW73" i="12"/>
  <c r="DY73" i="12"/>
  <c r="DY82" i="12"/>
  <c r="DW82" i="12"/>
  <c r="DW90" i="12"/>
  <c r="DY90" i="12"/>
  <c r="DZ178" i="12"/>
  <c r="DZ176" i="12"/>
  <c r="DZ174" i="12"/>
  <c r="DT4" i="12"/>
  <c r="DY4" i="12"/>
  <c r="DS4" i="12"/>
  <c r="DZ180" i="12"/>
  <c r="DZ177" i="12"/>
  <c r="DZ175" i="12"/>
  <c r="DX128" i="12"/>
  <c r="DR4" i="12"/>
  <c r="DU4" i="12"/>
  <c r="DR1" i="12" s="1"/>
  <c r="DV134" i="12"/>
  <c r="DV138" i="12" s="1"/>
  <c r="DX181" i="12" s="1"/>
  <c r="DW181" i="12" s="1"/>
  <c r="CT6" i="12"/>
  <c r="CU6" i="12" s="1"/>
  <c r="DC6" i="12"/>
  <c r="CS6" i="12"/>
  <c r="CT10" i="12"/>
  <c r="CU10" i="12" s="1"/>
  <c r="CS10" i="12"/>
  <c r="DC10" i="12"/>
  <c r="CT14" i="12"/>
  <c r="CU14" i="12" s="1"/>
  <c r="CS14" i="12"/>
  <c r="DC14" i="12"/>
  <c r="CT18" i="12"/>
  <c r="CU18" i="12" s="1"/>
  <c r="CS18" i="12"/>
  <c r="DC18" i="12"/>
  <c r="CT22" i="12"/>
  <c r="CU22" i="12" s="1"/>
  <c r="CS22" i="12"/>
  <c r="DC22" i="12"/>
  <c r="CT26" i="12"/>
  <c r="CU26" i="12" s="1"/>
  <c r="CS26" i="12"/>
  <c r="DC26" i="12"/>
  <c r="CT30" i="12"/>
  <c r="CU30" i="12" s="1"/>
  <c r="CS30" i="12"/>
  <c r="DC30" i="12"/>
  <c r="CT34" i="12"/>
  <c r="CU34" i="12" s="1"/>
  <c r="CS34" i="12"/>
  <c r="DC34" i="12"/>
  <c r="DC38" i="12"/>
  <c r="CT38" i="12"/>
  <c r="CU38" i="12" s="1"/>
  <c r="CS38" i="12"/>
  <c r="DC42" i="12"/>
  <c r="CT42" i="12"/>
  <c r="CU42" i="12" s="1"/>
  <c r="CS42" i="12"/>
  <c r="DC46" i="12"/>
  <c r="CT46" i="12"/>
  <c r="CU46" i="12" s="1"/>
  <c r="CS46" i="12"/>
  <c r="DC50" i="12"/>
  <c r="CT50" i="12"/>
  <c r="CU50" i="12" s="1"/>
  <c r="CS50" i="12"/>
  <c r="DC54" i="12"/>
  <c r="CT54" i="12"/>
  <c r="CU54" i="12" s="1"/>
  <c r="CS54" i="12"/>
  <c r="DC58" i="12"/>
  <c r="CT58" i="12"/>
  <c r="CU58" i="12" s="1"/>
  <c r="CS58" i="12"/>
  <c r="DC62" i="12"/>
  <c r="CT62" i="12"/>
  <c r="CU62" i="12" s="1"/>
  <c r="CS62" i="12"/>
  <c r="DC66" i="12"/>
  <c r="CT66" i="12"/>
  <c r="CU66" i="12" s="1"/>
  <c r="CS66" i="12"/>
  <c r="DC70" i="12"/>
  <c r="CT70" i="12"/>
  <c r="CU70" i="12" s="1"/>
  <c r="CS70" i="12"/>
  <c r="DC74" i="12"/>
  <c r="CT74" i="12"/>
  <c r="CU74" i="12" s="1"/>
  <c r="CS74" i="12"/>
  <c r="DC78" i="12"/>
  <c r="CT78" i="12"/>
  <c r="CU78" i="12" s="1"/>
  <c r="CS78" i="12"/>
  <c r="DC82" i="12"/>
  <c r="CT82" i="12"/>
  <c r="CU82" i="12" s="1"/>
  <c r="CS82" i="12"/>
  <c r="DC86" i="12"/>
  <c r="CT86" i="12"/>
  <c r="CU86" i="12" s="1"/>
  <c r="CS86" i="12"/>
  <c r="DC90" i="12"/>
  <c r="CT90" i="12"/>
  <c r="CU90" i="12" s="1"/>
  <c r="CS90" i="12"/>
  <c r="DC94" i="12"/>
  <c r="CT94" i="12"/>
  <c r="CU94" i="12" s="1"/>
  <c r="CS94" i="12"/>
  <c r="DC98" i="12"/>
  <c r="CT98" i="12"/>
  <c r="CU98" i="12" s="1"/>
  <c r="CS98" i="12"/>
  <c r="CT102" i="12"/>
  <c r="CU102" i="12" s="1"/>
  <c r="DC102" i="12"/>
  <c r="CS102" i="12"/>
  <c r="CT106" i="12"/>
  <c r="CU106" i="12" s="1"/>
  <c r="DC106" i="12"/>
  <c r="CS106" i="12"/>
  <c r="CT110" i="12"/>
  <c r="CU110" i="12" s="1"/>
  <c r="DC110" i="12"/>
  <c r="CS110" i="12"/>
  <c r="CT114" i="12"/>
  <c r="CU114" i="12" s="1"/>
  <c r="DC114" i="12"/>
  <c r="CS114" i="12"/>
  <c r="CT118" i="12"/>
  <c r="CU118" i="12" s="1"/>
  <c r="DC118" i="12"/>
  <c r="CS118" i="12"/>
  <c r="CT122" i="12"/>
  <c r="CU122" i="12" s="1"/>
  <c r="DC122" i="12"/>
  <c r="CS122" i="12"/>
  <c r="CT5" i="12"/>
  <c r="CS5" i="12"/>
  <c r="CR126" i="12"/>
  <c r="DC5" i="12"/>
  <c r="CT9" i="12"/>
  <c r="CU9" i="12" s="1"/>
  <c r="CS9" i="12"/>
  <c r="DC9" i="12"/>
  <c r="CT13" i="12"/>
  <c r="CU13" i="12" s="1"/>
  <c r="DC13" i="12"/>
  <c r="CS13" i="12"/>
  <c r="CT17" i="12"/>
  <c r="CU17" i="12" s="1"/>
  <c r="CS17" i="12"/>
  <c r="DC17" i="12"/>
  <c r="CT21" i="12"/>
  <c r="CU21" i="12" s="1"/>
  <c r="CS21" i="12"/>
  <c r="DC21" i="12"/>
  <c r="CT25" i="12"/>
  <c r="CU25" i="12" s="1"/>
  <c r="CS25" i="12"/>
  <c r="DC25" i="12"/>
  <c r="CT29" i="12"/>
  <c r="CU29" i="12" s="1"/>
  <c r="CS29" i="12"/>
  <c r="DC29" i="12"/>
  <c r="CT33" i="12"/>
  <c r="CU33" i="12" s="1"/>
  <c r="CS33" i="12"/>
  <c r="DC33" i="12"/>
  <c r="DC37" i="12"/>
  <c r="CS37" i="12"/>
  <c r="CT37" i="12"/>
  <c r="CU37" i="12" s="1"/>
  <c r="DC41" i="12"/>
  <c r="CT41" i="12"/>
  <c r="CU41" i="12" s="1"/>
  <c r="CS41" i="12"/>
  <c r="DC45" i="12"/>
  <c r="CT45" i="12"/>
  <c r="CU45" i="12" s="1"/>
  <c r="CS45" i="12"/>
  <c r="DC49" i="12"/>
  <c r="CT49" i="12"/>
  <c r="CU49" i="12" s="1"/>
  <c r="CS49" i="12"/>
  <c r="DC53" i="12"/>
  <c r="CT53" i="12"/>
  <c r="CU53" i="12" s="1"/>
  <c r="CS53" i="12"/>
  <c r="DC57" i="12"/>
  <c r="CT57" i="12"/>
  <c r="CU57" i="12" s="1"/>
  <c r="CS57" i="12"/>
  <c r="DC61" i="12"/>
  <c r="CT61" i="12"/>
  <c r="CU61" i="12" s="1"/>
  <c r="CS61" i="12"/>
  <c r="DC65" i="12"/>
  <c r="CT65" i="12"/>
  <c r="CU65" i="12" s="1"/>
  <c r="CS65" i="12"/>
  <c r="DC69" i="12"/>
  <c r="CT69" i="12"/>
  <c r="CU69" i="12" s="1"/>
  <c r="CS69" i="12"/>
  <c r="DC73" i="12"/>
  <c r="CT73" i="12"/>
  <c r="CU73" i="12" s="1"/>
  <c r="CS73" i="12"/>
  <c r="DC77" i="12"/>
  <c r="CT77" i="12"/>
  <c r="CU77" i="12" s="1"/>
  <c r="CS77" i="12"/>
  <c r="DC81" i="12"/>
  <c r="CT81" i="12"/>
  <c r="CU81" i="12" s="1"/>
  <c r="CS81" i="12"/>
  <c r="DC85" i="12"/>
  <c r="CT85" i="12"/>
  <c r="CU85" i="12" s="1"/>
  <c r="CS85" i="12"/>
  <c r="DC89" i="12"/>
  <c r="CT89" i="12"/>
  <c r="CU89" i="12" s="1"/>
  <c r="CS89" i="12"/>
  <c r="DC93" i="12"/>
  <c r="CT93" i="12"/>
  <c r="CU93" i="12" s="1"/>
  <c r="CS93" i="12"/>
  <c r="DC97" i="12"/>
  <c r="CT97" i="12"/>
  <c r="CU97" i="12" s="1"/>
  <c r="CS97" i="12"/>
  <c r="CS101" i="12"/>
  <c r="CT101" i="12"/>
  <c r="CU101" i="12" s="1"/>
  <c r="DC101" i="12"/>
  <c r="CT105" i="12"/>
  <c r="CU105" i="12" s="1"/>
  <c r="DC105" i="12"/>
  <c r="CS105" i="12"/>
  <c r="CT109" i="12"/>
  <c r="CU109" i="12" s="1"/>
  <c r="DC109" i="12"/>
  <c r="CS109" i="12"/>
  <c r="CT113" i="12"/>
  <c r="CU113" i="12" s="1"/>
  <c r="DC113" i="12"/>
  <c r="CS113" i="12"/>
  <c r="CT117" i="12"/>
  <c r="CU117" i="12" s="1"/>
  <c r="DC117" i="12"/>
  <c r="CS117" i="12"/>
  <c r="CT121" i="12"/>
  <c r="CU121" i="12" s="1"/>
  <c r="DC121" i="12"/>
  <c r="CS121" i="12"/>
  <c r="CT125" i="12"/>
  <c r="CU125" i="12" s="1"/>
  <c r="DC125" i="12"/>
  <c r="CS125" i="12"/>
  <c r="CB9" i="12"/>
  <c r="BW61" i="12"/>
  <c r="BY61" i="12"/>
  <c r="CD61" i="12"/>
  <c r="BZ61" i="12"/>
  <c r="CB61" i="12"/>
  <c r="BW45" i="12"/>
  <c r="BY45" i="12"/>
  <c r="CD45" i="12"/>
  <c r="BZ45" i="12"/>
  <c r="BK178" i="12"/>
  <c r="BY55" i="12"/>
  <c r="BW55" i="12"/>
  <c r="BZ55" i="12"/>
  <c r="CD55" i="12"/>
  <c r="CB55" i="12"/>
  <c r="CC164" i="12"/>
  <c r="BY91" i="12"/>
  <c r="BW91" i="12"/>
  <c r="CD91" i="12"/>
  <c r="BZ91" i="12"/>
  <c r="CB120" i="12"/>
  <c r="CB42" i="12"/>
  <c r="BY42" i="12"/>
  <c r="BW42" i="12"/>
  <c r="CD42" i="12"/>
  <c r="BZ42" i="12"/>
  <c r="EB79" i="12"/>
  <c r="BW13" i="12"/>
  <c r="BY13" i="12"/>
  <c r="BZ13" i="12"/>
  <c r="CD13" i="12"/>
  <c r="CB46" i="12"/>
  <c r="BN147" i="12"/>
  <c r="CB35" i="12"/>
  <c r="BY88" i="12"/>
  <c r="BW88" i="12"/>
  <c r="CD88" i="12"/>
  <c r="BZ88" i="12"/>
  <c r="BY111" i="12"/>
  <c r="BW111" i="12"/>
  <c r="BZ111" i="12"/>
  <c r="CD111" i="12"/>
  <c r="CB111" i="12"/>
  <c r="CB32" i="12"/>
  <c r="BW58" i="12"/>
  <c r="BY58" i="12"/>
  <c r="CD58" i="12"/>
  <c r="BZ58" i="12"/>
  <c r="CB86" i="12"/>
  <c r="BY24" i="12"/>
  <c r="BW24" i="12"/>
  <c r="BZ24" i="12"/>
  <c r="CD24" i="12"/>
  <c r="CB24" i="12"/>
  <c r="CB67" i="12"/>
  <c r="CB27" i="12"/>
  <c r="BY27" i="12"/>
  <c r="BW27" i="12"/>
  <c r="CD27" i="12"/>
  <c r="BZ27" i="12"/>
  <c r="BW40" i="12"/>
  <c r="BY40" i="12"/>
  <c r="BZ40" i="12"/>
  <c r="CD40" i="12"/>
  <c r="CB40" i="12"/>
  <c r="CB10" i="12"/>
  <c r="BW10" i="12"/>
  <c r="BY10" i="12"/>
  <c r="BZ10" i="12"/>
  <c r="CD10" i="12"/>
  <c r="CB107" i="12"/>
  <c r="BY22" i="12"/>
  <c r="BW22" i="12"/>
  <c r="CD22" i="12"/>
  <c r="BZ22" i="12"/>
  <c r="BY81" i="12"/>
  <c r="BW81" i="12"/>
  <c r="BZ81" i="12"/>
  <c r="CD81" i="12"/>
  <c r="CB109" i="12"/>
  <c r="BY66" i="12"/>
  <c r="BW66" i="12"/>
  <c r="BZ66" i="12"/>
  <c r="CD66" i="12"/>
  <c r="CB66" i="12"/>
  <c r="DE124" i="12"/>
  <c r="DE122" i="12"/>
  <c r="DE120" i="12"/>
  <c r="DE118" i="12"/>
  <c r="DE116" i="12"/>
  <c r="DE114" i="12"/>
  <c r="DE112" i="12"/>
  <c r="DE110" i="12"/>
  <c r="DE108" i="12"/>
  <c r="DE106" i="12"/>
  <c r="DE104" i="12"/>
  <c r="DE102" i="12"/>
  <c r="DE100" i="12"/>
  <c r="DE98" i="12"/>
  <c r="DE96" i="12"/>
  <c r="DE94" i="12"/>
  <c r="DE92" i="12"/>
  <c r="DE90" i="12"/>
  <c r="DE88" i="12"/>
  <c r="DE86" i="12"/>
  <c r="DE84" i="12"/>
  <c r="DE82" i="12"/>
  <c r="DE80" i="12"/>
  <c r="DE78" i="12"/>
  <c r="DE76" i="12"/>
  <c r="DE74" i="12"/>
  <c r="DE72" i="12"/>
  <c r="DE70" i="12"/>
  <c r="DE68" i="12"/>
  <c r="DE66" i="12"/>
  <c r="DE64" i="12"/>
  <c r="DE62" i="12"/>
  <c r="DE60" i="12"/>
  <c r="DE58" i="12"/>
  <c r="DE56" i="12"/>
  <c r="DE54" i="12"/>
  <c r="DE52" i="12"/>
  <c r="DE50" i="12"/>
  <c r="DE48" i="12"/>
  <c r="DE46" i="12"/>
  <c r="DE44" i="12"/>
  <c r="DE42" i="12"/>
  <c r="DE40" i="12"/>
  <c r="DE38" i="12"/>
  <c r="DE15" i="12"/>
  <c r="DE13" i="12"/>
  <c r="DE11" i="12"/>
  <c r="DE9" i="12"/>
  <c r="DE7" i="12"/>
  <c r="DE5" i="12"/>
  <c r="DE35" i="12"/>
  <c r="DE33" i="12"/>
  <c r="DE31" i="12"/>
  <c r="DE29" i="12"/>
  <c r="DE27" i="12"/>
  <c r="DE25" i="12"/>
  <c r="DE23" i="12"/>
  <c r="DE21" i="12"/>
  <c r="DE19" i="12"/>
  <c r="DE17" i="12"/>
  <c r="DE125" i="12"/>
  <c r="DE123" i="12"/>
  <c r="DE121" i="12"/>
  <c r="DE119" i="12"/>
  <c r="DE117" i="12"/>
  <c r="DE115" i="12"/>
  <c r="DE113" i="12"/>
  <c r="DE111" i="12"/>
  <c r="DE109" i="12"/>
  <c r="DE107" i="12"/>
  <c r="DE105" i="12"/>
  <c r="DE103" i="12"/>
  <c r="DE101" i="12"/>
  <c r="DE99" i="12"/>
  <c r="DE97" i="12"/>
  <c r="DE95" i="12"/>
  <c r="DE93" i="12"/>
  <c r="DE91" i="12"/>
  <c r="DE89" i="12"/>
  <c r="DE87" i="12"/>
  <c r="DE85" i="12"/>
  <c r="DE83" i="12"/>
  <c r="DE81" i="12"/>
  <c r="DE79" i="12"/>
  <c r="DE77" i="12"/>
  <c r="DE75" i="12"/>
  <c r="DE73" i="12"/>
  <c r="DE71" i="12"/>
  <c r="DE69" i="12"/>
  <c r="DE67" i="12"/>
  <c r="DE65" i="12"/>
  <c r="DE63" i="12"/>
  <c r="DE61" i="12"/>
  <c r="DE59" i="12"/>
  <c r="DE57" i="12"/>
  <c r="DE55" i="12"/>
  <c r="DE53" i="12"/>
  <c r="DE51" i="12"/>
  <c r="DE49" i="12"/>
  <c r="DE47" i="12"/>
  <c r="DE45" i="12"/>
  <c r="DE43" i="12"/>
  <c r="DE41" i="12"/>
  <c r="DE39" i="12"/>
  <c r="DE37" i="12"/>
  <c r="DE14" i="12"/>
  <c r="DE12" i="12"/>
  <c r="DE10" i="12"/>
  <c r="DE8" i="12"/>
  <c r="DE6" i="12"/>
  <c r="DE36" i="12"/>
  <c r="DE34" i="12"/>
  <c r="DE32" i="12"/>
  <c r="DE30" i="12"/>
  <c r="DE28" i="12"/>
  <c r="DE26" i="12"/>
  <c r="DE24" i="12"/>
  <c r="DE22" i="12"/>
  <c r="DE20" i="12"/>
  <c r="DE18" i="12"/>
  <c r="DE16" i="12"/>
  <c r="BY71" i="12"/>
  <c r="BW71" i="12"/>
  <c r="BZ71" i="12"/>
  <c r="CD71" i="12"/>
  <c r="BY44" i="12"/>
  <c r="BW44" i="12"/>
  <c r="CD44" i="12"/>
  <c r="BZ44" i="12"/>
  <c r="CB34" i="12"/>
  <c r="BM126" i="12"/>
  <c r="BY95" i="12"/>
  <c r="BW95" i="12"/>
  <c r="CD95" i="12"/>
  <c r="BZ95" i="12"/>
  <c r="CB50" i="12"/>
  <c r="CB17" i="12"/>
  <c r="BW17" i="12"/>
  <c r="BY17" i="12"/>
  <c r="BZ17" i="12"/>
  <c r="CD17" i="12"/>
  <c r="BY63" i="12"/>
  <c r="BW63" i="12"/>
  <c r="BZ63" i="12"/>
  <c r="CD63" i="12"/>
  <c r="CB8" i="12"/>
  <c r="BY60" i="12"/>
  <c r="BW60" i="12"/>
  <c r="BZ60" i="12"/>
  <c r="CD60" i="12"/>
  <c r="CB60" i="12"/>
  <c r="CB62" i="12"/>
  <c r="CF147" i="12"/>
  <c r="CF151" i="12" s="1"/>
  <c r="CP160" i="12"/>
  <c r="EB90" i="12"/>
  <c r="BY105" i="12"/>
  <c r="BW105" i="12"/>
  <c r="CD105" i="12"/>
  <c r="BZ105" i="12"/>
  <c r="BY20" i="12"/>
  <c r="BW20" i="12"/>
  <c r="CD20" i="12"/>
  <c r="BZ20" i="12"/>
  <c r="CB53" i="12"/>
  <c r="BY108" i="12"/>
  <c r="BW108" i="12"/>
  <c r="BZ108" i="12"/>
  <c r="CD108" i="12"/>
  <c r="CB108" i="12"/>
  <c r="BY15" i="12"/>
  <c r="BW15" i="12"/>
  <c r="CD15" i="12"/>
  <c r="BZ15" i="12"/>
  <c r="CB15" i="12"/>
  <c r="BY38" i="12"/>
  <c r="BW38" i="12"/>
  <c r="CD38" i="12"/>
  <c r="BZ38" i="12"/>
  <c r="BW76" i="12"/>
  <c r="BY76" i="12"/>
  <c r="CD76" i="12"/>
  <c r="BZ76" i="12"/>
  <c r="BY21" i="12"/>
  <c r="BW21" i="12"/>
  <c r="CD21" i="12"/>
  <c r="BZ21" i="12"/>
  <c r="CB21" i="12"/>
  <c r="BY52" i="12"/>
  <c r="BW52" i="12"/>
  <c r="BZ52" i="12"/>
  <c r="CD52" i="12"/>
  <c r="CB58" i="12"/>
  <c r="BW39" i="12"/>
  <c r="BY39" i="12"/>
  <c r="CD39" i="12"/>
  <c r="BZ39" i="12"/>
  <c r="CB39" i="12"/>
  <c r="CB102" i="12"/>
  <c r="BY102" i="12"/>
  <c r="BW102" i="12"/>
  <c r="BZ102" i="12"/>
  <c r="CD102" i="12"/>
  <c r="BY98" i="12"/>
  <c r="BW98" i="12"/>
  <c r="CD98" i="12"/>
  <c r="BZ98" i="12"/>
  <c r="BW47" i="12"/>
  <c r="BY47" i="12"/>
  <c r="CD47" i="12"/>
  <c r="BZ47" i="12"/>
  <c r="CB45" i="12"/>
  <c r="BW119" i="12"/>
  <c r="BY119" i="12"/>
  <c r="CD119" i="12"/>
  <c r="BZ119" i="12"/>
  <c r="CB95" i="12"/>
  <c r="AZ151" i="12"/>
  <c r="F17" i="17"/>
  <c r="F19" i="17" s="1"/>
  <c r="G18" i="17"/>
  <c r="K14" i="17"/>
  <c r="DZ82" i="12" l="1"/>
  <c r="EA82" i="12" s="1"/>
  <c r="CA98" i="12"/>
  <c r="CK98" i="12"/>
  <c r="CA39" i="12"/>
  <c r="CK39" i="12"/>
  <c r="CA21" i="12"/>
  <c r="CK21" i="12"/>
  <c r="CA119" i="12"/>
  <c r="CK119" i="12"/>
  <c r="CA102" i="12"/>
  <c r="CK102" i="12"/>
  <c r="CA15" i="12"/>
  <c r="CK15" i="12"/>
  <c r="CA108" i="12"/>
  <c r="CK108" i="12"/>
  <c r="CA20" i="12"/>
  <c r="CK20" i="12"/>
  <c r="CA105" i="12"/>
  <c r="CK105" i="12"/>
  <c r="CP164" i="12"/>
  <c r="CA63" i="12"/>
  <c r="CK63" i="12"/>
  <c r="CA95" i="12"/>
  <c r="CK95" i="12"/>
  <c r="CA44" i="12"/>
  <c r="CK44" i="12"/>
  <c r="DF16" i="12"/>
  <c r="DP16" i="12"/>
  <c r="DG16" i="12"/>
  <c r="DH16" i="12" s="1"/>
  <c r="DF20" i="12"/>
  <c r="DP20" i="12"/>
  <c r="DG20" i="12"/>
  <c r="DH20" i="12" s="1"/>
  <c r="DF24" i="12"/>
  <c r="DP24" i="12"/>
  <c r="DG24" i="12"/>
  <c r="DH24" i="12" s="1"/>
  <c r="DF28" i="12"/>
  <c r="DP28" i="12"/>
  <c r="DG28" i="12"/>
  <c r="DH28" i="12" s="1"/>
  <c r="DF32" i="12"/>
  <c r="DP32" i="12"/>
  <c r="DG32" i="12"/>
  <c r="DH32" i="12" s="1"/>
  <c r="DF36" i="12"/>
  <c r="DP36" i="12"/>
  <c r="DG36" i="12"/>
  <c r="DH36" i="12" s="1"/>
  <c r="DF8" i="12"/>
  <c r="DP8" i="12"/>
  <c r="DG8" i="12"/>
  <c r="DH8" i="12" s="1"/>
  <c r="DF12" i="12"/>
  <c r="DP12" i="12"/>
  <c r="DG12" i="12"/>
  <c r="DH12" i="12" s="1"/>
  <c r="DP37" i="12"/>
  <c r="DG37" i="12"/>
  <c r="DH37" i="12" s="1"/>
  <c r="DF37" i="12"/>
  <c r="DP41" i="12"/>
  <c r="DG41" i="12"/>
  <c r="DH41" i="12" s="1"/>
  <c r="DF41" i="12"/>
  <c r="DP45" i="12"/>
  <c r="DG45" i="12"/>
  <c r="DH45" i="12" s="1"/>
  <c r="DF45" i="12"/>
  <c r="DP49" i="12"/>
  <c r="DG49" i="12"/>
  <c r="DH49" i="12" s="1"/>
  <c r="DF49" i="12"/>
  <c r="DP53" i="12"/>
  <c r="DG53" i="12"/>
  <c r="DH53" i="12" s="1"/>
  <c r="DF53" i="12"/>
  <c r="DP57" i="12"/>
  <c r="DG57" i="12"/>
  <c r="DH57" i="12" s="1"/>
  <c r="DF57" i="12"/>
  <c r="DP61" i="12"/>
  <c r="DG61" i="12"/>
  <c r="DH61" i="12" s="1"/>
  <c r="DF61" i="12"/>
  <c r="DP65" i="12"/>
  <c r="DG65" i="12"/>
  <c r="DH65" i="12" s="1"/>
  <c r="DF65" i="12"/>
  <c r="DP69" i="12"/>
  <c r="DG69" i="12"/>
  <c r="DH69" i="12" s="1"/>
  <c r="DF69" i="12"/>
  <c r="DF73" i="12"/>
  <c r="DG73" i="12"/>
  <c r="DH73" i="12" s="1"/>
  <c r="DP73" i="12"/>
  <c r="DP77" i="12"/>
  <c r="DG77" i="12"/>
  <c r="DH77" i="12" s="1"/>
  <c r="DF77" i="12"/>
  <c r="DP81" i="12"/>
  <c r="DG81" i="12"/>
  <c r="DH81" i="12" s="1"/>
  <c r="DF81" i="12"/>
  <c r="DP85" i="12"/>
  <c r="DG85" i="12"/>
  <c r="DH85" i="12" s="1"/>
  <c r="DF85" i="12"/>
  <c r="DP89" i="12"/>
  <c r="DG89" i="12"/>
  <c r="DH89" i="12" s="1"/>
  <c r="DF89" i="12"/>
  <c r="DP93" i="12"/>
  <c r="DG93" i="12"/>
  <c r="DH93" i="12" s="1"/>
  <c r="DF93" i="12"/>
  <c r="DP97" i="12"/>
  <c r="DG97" i="12"/>
  <c r="DH97" i="12" s="1"/>
  <c r="DF97" i="12"/>
  <c r="DF101" i="12"/>
  <c r="DP101" i="12"/>
  <c r="DG101" i="12"/>
  <c r="DH101" i="12" s="1"/>
  <c r="DF105" i="12"/>
  <c r="DP105" i="12"/>
  <c r="DG105" i="12"/>
  <c r="DH105" i="12" s="1"/>
  <c r="DF109" i="12"/>
  <c r="DP109" i="12"/>
  <c r="DG109" i="12"/>
  <c r="DH109" i="12" s="1"/>
  <c r="DF113" i="12"/>
  <c r="DP113" i="12"/>
  <c r="DG113" i="12"/>
  <c r="DH113" i="12" s="1"/>
  <c r="DF117" i="12"/>
  <c r="DP117" i="12"/>
  <c r="DG117" i="12"/>
  <c r="DH117" i="12" s="1"/>
  <c r="DF121" i="12"/>
  <c r="DP121" i="12"/>
  <c r="DG121" i="12"/>
  <c r="DH121" i="12" s="1"/>
  <c r="DF125" i="12"/>
  <c r="DP125" i="12"/>
  <c r="DG125" i="12"/>
  <c r="DH125" i="12" s="1"/>
  <c r="DP19" i="12"/>
  <c r="DG19" i="12"/>
  <c r="DH19" i="12" s="1"/>
  <c r="DF19" i="12"/>
  <c r="DF23" i="12"/>
  <c r="DP23" i="12"/>
  <c r="DG23" i="12"/>
  <c r="DH23" i="12" s="1"/>
  <c r="DF27" i="12"/>
  <c r="DP27" i="12"/>
  <c r="DG27" i="12"/>
  <c r="DH27" i="12" s="1"/>
  <c r="DP31" i="12"/>
  <c r="DG31" i="12"/>
  <c r="DH31" i="12" s="1"/>
  <c r="DF31" i="12"/>
  <c r="DF35" i="12"/>
  <c r="DP35" i="12"/>
  <c r="DG35" i="12"/>
  <c r="DH35" i="12" s="1"/>
  <c r="DP7" i="12"/>
  <c r="DG7" i="12"/>
  <c r="DH7" i="12" s="1"/>
  <c r="DF7" i="12"/>
  <c r="DF11" i="12"/>
  <c r="DP11" i="12"/>
  <c r="DG11" i="12"/>
  <c r="DH11" i="12" s="1"/>
  <c r="DF15" i="12"/>
  <c r="DP15" i="12"/>
  <c r="DG15" i="12"/>
  <c r="DH15" i="12" s="1"/>
  <c r="DG40" i="12"/>
  <c r="DH40" i="12" s="1"/>
  <c r="DF40" i="12"/>
  <c r="DP40" i="12"/>
  <c r="DP44" i="12"/>
  <c r="DG44" i="12"/>
  <c r="DH44" i="12" s="1"/>
  <c r="DF44" i="12"/>
  <c r="DG48" i="12"/>
  <c r="DH48" i="12" s="1"/>
  <c r="DF48" i="12"/>
  <c r="DP48" i="12"/>
  <c r="DG52" i="12"/>
  <c r="DH52" i="12" s="1"/>
  <c r="DF52" i="12"/>
  <c r="DP52" i="12"/>
  <c r="DP56" i="12"/>
  <c r="DG56" i="12"/>
  <c r="DH56" i="12" s="1"/>
  <c r="DF56" i="12"/>
  <c r="DG60" i="12"/>
  <c r="DH60" i="12" s="1"/>
  <c r="DF60" i="12"/>
  <c r="DP60" i="12"/>
  <c r="DG64" i="12"/>
  <c r="DH64" i="12" s="1"/>
  <c r="DF64" i="12"/>
  <c r="DP64" i="12"/>
  <c r="DP68" i="12"/>
  <c r="DG68" i="12"/>
  <c r="DH68" i="12" s="1"/>
  <c r="DF68" i="12"/>
  <c r="DG72" i="12"/>
  <c r="DH72" i="12" s="1"/>
  <c r="DP72" i="12"/>
  <c r="DF72" i="12"/>
  <c r="DG76" i="12"/>
  <c r="DH76" i="12" s="1"/>
  <c r="DF76" i="12"/>
  <c r="DP76" i="12"/>
  <c r="DP80" i="12"/>
  <c r="DG80" i="12"/>
  <c r="DH80" i="12" s="1"/>
  <c r="DF80" i="12"/>
  <c r="DG84" i="12"/>
  <c r="DH84" i="12" s="1"/>
  <c r="DF84" i="12"/>
  <c r="DP84" i="12"/>
  <c r="DG88" i="12"/>
  <c r="DH88" i="12" s="1"/>
  <c r="DP88" i="12"/>
  <c r="DF88" i="12"/>
  <c r="DP92" i="12"/>
  <c r="DG92" i="12"/>
  <c r="DH92" i="12" s="1"/>
  <c r="DF92" i="12"/>
  <c r="DG96" i="12"/>
  <c r="DH96" i="12" s="1"/>
  <c r="DF96" i="12"/>
  <c r="DP96" i="12"/>
  <c r="DG100" i="12"/>
  <c r="DH100" i="12" s="1"/>
  <c r="DF100" i="12"/>
  <c r="DP100" i="12"/>
  <c r="DF104" i="12"/>
  <c r="DP104" i="12"/>
  <c r="DG104" i="12"/>
  <c r="DH104" i="12" s="1"/>
  <c r="DP108" i="12"/>
  <c r="DG108" i="12"/>
  <c r="DH108" i="12" s="1"/>
  <c r="DF108" i="12"/>
  <c r="DF112" i="12"/>
  <c r="DP112" i="12"/>
  <c r="DG112" i="12"/>
  <c r="DH112" i="12" s="1"/>
  <c r="DF116" i="12"/>
  <c r="DP116" i="12"/>
  <c r="DG116" i="12"/>
  <c r="DH116" i="12" s="1"/>
  <c r="DP120" i="12"/>
  <c r="DG120" i="12"/>
  <c r="DH120" i="12" s="1"/>
  <c r="DF120" i="12"/>
  <c r="DP124" i="12"/>
  <c r="DG124" i="12"/>
  <c r="DH124" i="12" s="1"/>
  <c r="DF124" i="12"/>
  <c r="CA22" i="12"/>
  <c r="CK22" i="12"/>
  <c r="CA10" i="12"/>
  <c r="CK10" i="12"/>
  <c r="CA40" i="12"/>
  <c r="CK40" i="12"/>
  <c r="CA88" i="12"/>
  <c r="CK88" i="12"/>
  <c r="CA13" i="12"/>
  <c r="CK13" i="12"/>
  <c r="CA42" i="12"/>
  <c r="CK42" i="12"/>
  <c r="CO42" i="12" s="1"/>
  <c r="CA91" i="12"/>
  <c r="CK91" i="12"/>
  <c r="CA55" i="12"/>
  <c r="CK55" i="12"/>
  <c r="CA45" i="12"/>
  <c r="CK45" i="12"/>
  <c r="CO45" i="12" s="1"/>
  <c r="CU5" i="12"/>
  <c r="CU126" i="12" s="1"/>
  <c r="CT126" i="12"/>
  <c r="CA49" i="12"/>
  <c r="CK49" i="12"/>
  <c r="CA124" i="12"/>
  <c r="CK124" i="12"/>
  <c r="CO124" i="12" s="1"/>
  <c r="CA34" i="12"/>
  <c r="CK34" i="12"/>
  <c r="CA9" i="12"/>
  <c r="CK9" i="12"/>
  <c r="CA33" i="12"/>
  <c r="CK33" i="12"/>
  <c r="CA120" i="12"/>
  <c r="CK120" i="12"/>
  <c r="CA67" i="12"/>
  <c r="CK67" i="12"/>
  <c r="CA115" i="12"/>
  <c r="CK115" i="12"/>
  <c r="CA6" i="12"/>
  <c r="CK6" i="12"/>
  <c r="CO6" i="12" s="1"/>
  <c r="CA84" i="12"/>
  <c r="CK84" i="12"/>
  <c r="CA64" i="12"/>
  <c r="CK64" i="12"/>
  <c r="CA29" i="12"/>
  <c r="CK29" i="12"/>
  <c r="CA100" i="12"/>
  <c r="CK100" i="12"/>
  <c r="CA31" i="12"/>
  <c r="CK31" i="12"/>
  <c r="CA5" i="12"/>
  <c r="CK5" i="12"/>
  <c r="BX182" i="12"/>
  <c r="BW183" i="12" s="1"/>
  <c r="BX177" i="12"/>
  <c r="CA80" i="12"/>
  <c r="CK80" i="12"/>
  <c r="CA104" i="12"/>
  <c r="CK104" i="12"/>
  <c r="CA78" i="12"/>
  <c r="CK78" i="12"/>
  <c r="CA121" i="12"/>
  <c r="CK121" i="12"/>
  <c r="CA30" i="12"/>
  <c r="CK30" i="12"/>
  <c r="CA92" i="12"/>
  <c r="CK92" i="12"/>
  <c r="CO92" i="12" s="1"/>
  <c r="CA96" i="12"/>
  <c r="CK96" i="12"/>
  <c r="CA25" i="12"/>
  <c r="CK25" i="12"/>
  <c r="CA103" i="12"/>
  <c r="CK103" i="12"/>
  <c r="CA83" i="12"/>
  <c r="CK83" i="12"/>
  <c r="CA36" i="12"/>
  <c r="CK36" i="12"/>
  <c r="CO36" i="12" s="1"/>
  <c r="CA56" i="12"/>
  <c r="CK56" i="12"/>
  <c r="CU147" i="12"/>
  <c r="CU151" i="12" s="1"/>
  <c r="CA54" i="12"/>
  <c r="CK54" i="12"/>
  <c r="CO54" i="12" s="1"/>
  <c r="CA57" i="12"/>
  <c r="CK57" i="12"/>
  <c r="CA106" i="12"/>
  <c r="CK106" i="12"/>
  <c r="CA114" i="12"/>
  <c r="CK114" i="12"/>
  <c r="CD160" i="12"/>
  <c r="BY147" i="12"/>
  <c r="BY151" i="12" s="1"/>
  <c r="CA32" i="12"/>
  <c r="CK32" i="12"/>
  <c r="CA94" i="12"/>
  <c r="CK94" i="12"/>
  <c r="CA35" i="12"/>
  <c r="CK35" i="12"/>
  <c r="CO35" i="12" s="1"/>
  <c r="CA16" i="12"/>
  <c r="CK16" i="12"/>
  <c r="CO16" i="12" s="1"/>
  <c r="CA12" i="12"/>
  <c r="CK12" i="12"/>
  <c r="CO12" i="12"/>
  <c r="CA93" i="12"/>
  <c r="CK93" i="12"/>
  <c r="CO95" i="12"/>
  <c r="CA47" i="12"/>
  <c r="CK47" i="12"/>
  <c r="CO102" i="12"/>
  <c r="CA52" i="12"/>
  <c r="CK52" i="12"/>
  <c r="CA76" i="12"/>
  <c r="CK76" i="12"/>
  <c r="CA38" i="12"/>
  <c r="CK38" i="12"/>
  <c r="CO15" i="12"/>
  <c r="CA60" i="12"/>
  <c r="CK60" i="12"/>
  <c r="CA17" i="12"/>
  <c r="CK17" i="12"/>
  <c r="CO34" i="12"/>
  <c r="CA71" i="12"/>
  <c r="CK71" i="12"/>
  <c r="DP18" i="12"/>
  <c r="DG18" i="12"/>
  <c r="DH18" i="12" s="1"/>
  <c r="DF18" i="12"/>
  <c r="DP22" i="12"/>
  <c r="DG22" i="12"/>
  <c r="DH22" i="12" s="1"/>
  <c r="DF22" i="12"/>
  <c r="DP26" i="12"/>
  <c r="DG26" i="12"/>
  <c r="DH26" i="12" s="1"/>
  <c r="DF26" i="12"/>
  <c r="DP30" i="12"/>
  <c r="DG30" i="12"/>
  <c r="DH30" i="12" s="1"/>
  <c r="DF30" i="12"/>
  <c r="DP34" i="12"/>
  <c r="DG34" i="12"/>
  <c r="DH34" i="12" s="1"/>
  <c r="DF34" i="12"/>
  <c r="DP6" i="12"/>
  <c r="DG6" i="12"/>
  <c r="DH6" i="12" s="1"/>
  <c r="DF6" i="12"/>
  <c r="DP10" i="12"/>
  <c r="DG10" i="12"/>
  <c r="DH10" i="12" s="1"/>
  <c r="DF10" i="12"/>
  <c r="DP14" i="12"/>
  <c r="DG14" i="12"/>
  <c r="DH14" i="12" s="1"/>
  <c r="DF14" i="12"/>
  <c r="DG39" i="12"/>
  <c r="DH39" i="12" s="1"/>
  <c r="DF39" i="12"/>
  <c r="DP39" i="12"/>
  <c r="DG43" i="12"/>
  <c r="DH43" i="12" s="1"/>
  <c r="DF43" i="12"/>
  <c r="DP43" i="12"/>
  <c r="DG47" i="12"/>
  <c r="DH47" i="12" s="1"/>
  <c r="DF47" i="12"/>
  <c r="DP47" i="12"/>
  <c r="DG51" i="12"/>
  <c r="DH51" i="12" s="1"/>
  <c r="DF51" i="12"/>
  <c r="DP51" i="12"/>
  <c r="DG55" i="12"/>
  <c r="DH55" i="12" s="1"/>
  <c r="DF55" i="12"/>
  <c r="DP55" i="12"/>
  <c r="DG59" i="12"/>
  <c r="DH59" i="12" s="1"/>
  <c r="DF59" i="12"/>
  <c r="DP59" i="12"/>
  <c r="DG63" i="12"/>
  <c r="DH63" i="12" s="1"/>
  <c r="DF63" i="12"/>
  <c r="DP63" i="12"/>
  <c r="DG67" i="12"/>
  <c r="DH67" i="12" s="1"/>
  <c r="DF67" i="12"/>
  <c r="DP67" i="12"/>
  <c r="DG71" i="12"/>
  <c r="DH71" i="12" s="1"/>
  <c r="DP71" i="12"/>
  <c r="DF71" i="12"/>
  <c r="DG75" i="12"/>
  <c r="DH75" i="12" s="1"/>
  <c r="DP75" i="12"/>
  <c r="DF75" i="12"/>
  <c r="DG79" i="12"/>
  <c r="DH79" i="12" s="1"/>
  <c r="DF79" i="12"/>
  <c r="DP79" i="12"/>
  <c r="DG83" i="12"/>
  <c r="DH83" i="12" s="1"/>
  <c r="DF83" i="12"/>
  <c r="DP83" i="12"/>
  <c r="DG87" i="12"/>
  <c r="DH87" i="12" s="1"/>
  <c r="DP87" i="12"/>
  <c r="DF87" i="12"/>
  <c r="DG91" i="12"/>
  <c r="DH91" i="12" s="1"/>
  <c r="DF91" i="12"/>
  <c r="DP91" i="12"/>
  <c r="DG95" i="12"/>
  <c r="DH95" i="12" s="1"/>
  <c r="DF95" i="12"/>
  <c r="DP95" i="12"/>
  <c r="DG99" i="12"/>
  <c r="DH99" i="12" s="1"/>
  <c r="DF99" i="12"/>
  <c r="DP99" i="12"/>
  <c r="DP103" i="12"/>
  <c r="DG103" i="12"/>
  <c r="DH103" i="12" s="1"/>
  <c r="DF103" i="12"/>
  <c r="DP107" i="12"/>
  <c r="DG107" i="12"/>
  <c r="DH107" i="12" s="1"/>
  <c r="DF107" i="12"/>
  <c r="DP111" i="12"/>
  <c r="DG111" i="12"/>
  <c r="DH111" i="12" s="1"/>
  <c r="DF111" i="12"/>
  <c r="DP115" i="12"/>
  <c r="DG115" i="12"/>
  <c r="DH115" i="12" s="1"/>
  <c r="DF115" i="12"/>
  <c r="DP119" i="12"/>
  <c r="DG119" i="12"/>
  <c r="DH119" i="12" s="1"/>
  <c r="DF119" i="12"/>
  <c r="DP123" i="12"/>
  <c r="DG123" i="12"/>
  <c r="DH123" i="12" s="1"/>
  <c r="DF123" i="12"/>
  <c r="DP17" i="12"/>
  <c r="DG17" i="12"/>
  <c r="DH17" i="12" s="1"/>
  <c r="DF17" i="12"/>
  <c r="DF21" i="12"/>
  <c r="DP21" i="12"/>
  <c r="DG21" i="12"/>
  <c r="DH21" i="12" s="1"/>
  <c r="DP25" i="12"/>
  <c r="DG25" i="12"/>
  <c r="DH25" i="12" s="1"/>
  <c r="DF25" i="12"/>
  <c r="DP29" i="12"/>
  <c r="DG29" i="12"/>
  <c r="DH29" i="12" s="1"/>
  <c r="DF29" i="12"/>
  <c r="DF33" i="12"/>
  <c r="DP33" i="12"/>
  <c r="DG33" i="12"/>
  <c r="DH33" i="12" s="1"/>
  <c r="DE126" i="12"/>
  <c r="DF5" i="12"/>
  <c r="DP5" i="12"/>
  <c r="DG5" i="12"/>
  <c r="DP9" i="12"/>
  <c r="DG9" i="12"/>
  <c r="DH9" i="12" s="1"/>
  <c r="DF9" i="12"/>
  <c r="DP13" i="12"/>
  <c r="DG13" i="12"/>
  <c r="DH13" i="12" s="1"/>
  <c r="DF13" i="12"/>
  <c r="DP38" i="12"/>
  <c r="DG38" i="12"/>
  <c r="DH38" i="12" s="1"/>
  <c r="DF38" i="12"/>
  <c r="DG42" i="12"/>
  <c r="DH42" i="12" s="1"/>
  <c r="DF42" i="12"/>
  <c r="DP42" i="12"/>
  <c r="DP46" i="12"/>
  <c r="DG46" i="12"/>
  <c r="DH46" i="12" s="1"/>
  <c r="DF46" i="12"/>
  <c r="DP50" i="12"/>
  <c r="DG50" i="12"/>
  <c r="DH50" i="12" s="1"/>
  <c r="DF50" i="12"/>
  <c r="DG54" i="12"/>
  <c r="DH54" i="12" s="1"/>
  <c r="DF54" i="12"/>
  <c r="DP54" i="12"/>
  <c r="DP58" i="12"/>
  <c r="DG58" i="12"/>
  <c r="DH58" i="12" s="1"/>
  <c r="DF58" i="12"/>
  <c r="DP62" i="12"/>
  <c r="DG62" i="12"/>
  <c r="DH62" i="12" s="1"/>
  <c r="DF62" i="12"/>
  <c r="DG66" i="12"/>
  <c r="DH66" i="12" s="1"/>
  <c r="DF66" i="12"/>
  <c r="DP66" i="12"/>
  <c r="DF70" i="12"/>
  <c r="DG70" i="12"/>
  <c r="DH70" i="12" s="1"/>
  <c r="DP70" i="12"/>
  <c r="DF74" i="12"/>
  <c r="DG74" i="12"/>
  <c r="DH74" i="12" s="1"/>
  <c r="DP74" i="12"/>
  <c r="DG78" i="12"/>
  <c r="DH78" i="12" s="1"/>
  <c r="DF78" i="12"/>
  <c r="DP78" i="12"/>
  <c r="DP82" i="12"/>
  <c r="DG82" i="12"/>
  <c r="DH82" i="12" s="1"/>
  <c r="DF82" i="12"/>
  <c r="DF86" i="12"/>
  <c r="DG86" i="12"/>
  <c r="DH86" i="12" s="1"/>
  <c r="DP86" i="12"/>
  <c r="DG90" i="12"/>
  <c r="DH90" i="12" s="1"/>
  <c r="DF90" i="12"/>
  <c r="DP90" i="12"/>
  <c r="DP94" i="12"/>
  <c r="DG94" i="12"/>
  <c r="DH94" i="12" s="1"/>
  <c r="DF94" i="12"/>
  <c r="DP98" i="12"/>
  <c r="DG98" i="12"/>
  <c r="DH98" i="12" s="1"/>
  <c r="DF98" i="12"/>
  <c r="DP102" i="12"/>
  <c r="DG102" i="12"/>
  <c r="DH102" i="12" s="1"/>
  <c r="DF102" i="12"/>
  <c r="DF106" i="12"/>
  <c r="DP106" i="12"/>
  <c r="DG106" i="12"/>
  <c r="DH106" i="12" s="1"/>
  <c r="DP110" i="12"/>
  <c r="DG110" i="12"/>
  <c r="DH110" i="12" s="1"/>
  <c r="DF110" i="12"/>
  <c r="DP114" i="12"/>
  <c r="DG114" i="12"/>
  <c r="DH114" i="12" s="1"/>
  <c r="DF114" i="12"/>
  <c r="DF118" i="12"/>
  <c r="DP118" i="12"/>
  <c r="DG118" i="12"/>
  <c r="DH118" i="12" s="1"/>
  <c r="DF122" i="12"/>
  <c r="DP122" i="12"/>
  <c r="DG122" i="12"/>
  <c r="DH122" i="12" s="1"/>
  <c r="CA66" i="12"/>
  <c r="CK66" i="12"/>
  <c r="CA81" i="12"/>
  <c r="CK81" i="12"/>
  <c r="CO10" i="12"/>
  <c r="CA27" i="12"/>
  <c r="CK27" i="12"/>
  <c r="CO27" i="12" s="1"/>
  <c r="CA24" i="12"/>
  <c r="CK24" i="12"/>
  <c r="CA58" i="12"/>
  <c r="CK58" i="12"/>
  <c r="CO32" i="12"/>
  <c r="CA111" i="12"/>
  <c r="CK111" i="12"/>
  <c r="BM147" i="12"/>
  <c r="BN151" i="12"/>
  <c r="CO120" i="12"/>
  <c r="CA61" i="12"/>
  <c r="CK61" i="12"/>
  <c r="CO61" i="12" s="1"/>
  <c r="CO9" i="12"/>
  <c r="DC126" i="12"/>
  <c r="CS126" i="12"/>
  <c r="DR124" i="12"/>
  <c r="DR122" i="12"/>
  <c r="DR120" i="12"/>
  <c r="DR118" i="12"/>
  <c r="DR116" i="12"/>
  <c r="DR114" i="12"/>
  <c r="DR112" i="12"/>
  <c r="DR110" i="12"/>
  <c r="DR108" i="12"/>
  <c r="DR106" i="12"/>
  <c r="DR104" i="12"/>
  <c r="DR102" i="12"/>
  <c r="DR100" i="12"/>
  <c r="DR98" i="12"/>
  <c r="DR96" i="12"/>
  <c r="DR94" i="12"/>
  <c r="DR92" i="12"/>
  <c r="DR90" i="12"/>
  <c r="DR88" i="12"/>
  <c r="DR86" i="12"/>
  <c r="DR84" i="12"/>
  <c r="DR82" i="12"/>
  <c r="DR80" i="12"/>
  <c r="DR78" i="12"/>
  <c r="DR76" i="12"/>
  <c r="DR74" i="12"/>
  <c r="DR72" i="12"/>
  <c r="DR70" i="12"/>
  <c r="DR68" i="12"/>
  <c r="DR66" i="12"/>
  <c r="DR64" i="12"/>
  <c r="DR62" i="12"/>
  <c r="DR60" i="12"/>
  <c r="DR58" i="12"/>
  <c r="DR56" i="12"/>
  <c r="DR54" i="12"/>
  <c r="DR52" i="12"/>
  <c r="DR50" i="12"/>
  <c r="DR48" i="12"/>
  <c r="DR36" i="12"/>
  <c r="DR34" i="12"/>
  <c r="DR32" i="12"/>
  <c r="DR30" i="12"/>
  <c r="DR28" i="12"/>
  <c r="DR26" i="12"/>
  <c r="DR24" i="12"/>
  <c r="DR22" i="12"/>
  <c r="DR20" i="12"/>
  <c r="DR18" i="12"/>
  <c r="DR16" i="12"/>
  <c r="DR14" i="12"/>
  <c r="DR12" i="12"/>
  <c r="DR10" i="12"/>
  <c r="DR8" i="12"/>
  <c r="DR6" i="12"/>
  <c r="DR46" i="12"/>
  <c r="DR44" i="12"/>
  <c r="DR42" i="12"/>
  <c r="DR40" i="12"/>
  <c r="DR38" i="12"/>
  <c r="DR125" i="12"/>
  <c r="DR123" i="12"/>
  <c r="DR121" i="12"/>
  <c r="DR119" i="12"/>
  <c r="DR117" i="12"/>
  <c r="DR115" i="12"/>
  <c r="DR113" i="12"/>
  <c r="DR111" i="12"/>
  <c r="DR109" i="12"/>
  <c r="DR107" i="12"/>
  <c r="DR105" i="12"/>
  <c r="DR103" i="12"/>
  <c r="DR101" i="12"/>
  <c r="DR99" i="12"/>
  <c r="DR97" i="12"/>
  <c r="DR95" i="12"/>
  <c r="DR93" i="12"/>
  <c r="DR91" i="12"/>
  <c r="DR89" i="12"/>
  <c r="DR87" i="12"/>
  <c r="DR85" i="12"/>
  <c r="DR83" i="12"/>
  <c r="DR81" i="12"/>
  <c r="DR79" i="12"/>
  <c r="DR77" i="12"/>
  <c r="DR75" i="12"/>
  <c r="DR73" i="12"/>
  <c r="DR71" i="12"/>
  <c r="DR69" i="12"/>
  <c r="DR67" i="12"/>
  <c r="DR65" i="12"/>
  <c r="DR63" i="12"/>
  <c r="DR61" i="12"/>
  <c r="DR59" i="12"/>
  <c r="DR57" i="12"/>
  <c r="DR55" i="12"/>
  <c r="DR53" i="12"/>
  <c r="DR51" i="12"/>
  <c r="DR49" i="12"/>
  <c r="DR47" i="12"/>
  <c r="DR35" i="12"/>
  <c r="DR33" i="12"/>
  <c r="DR31" i="12"/>
  <c r="DR29" i="12"/>
  <c r="DR27" i="12"/>
  <c r="DR25" i="12"/>
  <c r="DR23" i="12"/>
  <c r="DR21" i="12"/>
  <c r="DR19" i="12"/>
  <c r="DR17" i="12"/>
  <c r="DR15" i="12"/>
  <c r="DR13" i="12"/>
  <c r="DR11" i="12"/>
  <c r="DR9" i="12"/>
  <c r="DR7" i="12"/>
  <c r="DR5" i="12"/>
  <c r="DR45" i="12"/>
  <c r="DR43" i="12"/>
  <c r="DR41" i="12"/>
  <c r="DR39" i="12"/>
  <c r="DR37" i="12"/>
  <c r="CA113" i="12"/>
  <c r="CK113" i="12"/>
  <c r="CA110" i="12"/>
  <c r="CK110" i="12"/>
  <c r="CA19" i="12"/>
  <c r="CK19" i="12"/>
  <c r="CA37" i="12"/>
  <c r="CK37" i="12"/>
  <c r="CA51" i="12"/>
  <c r="CK51" i="12"/>
  <c r="CA53" i="12"/>
  <c r="CK53" i="12"/>
  <c r="CA70" i="12"/>
  <c r="CK70" i="12"/>
  <c r="CA75" i="12"/>
  <c r="CK75" i="12"/>
  <c r="CA43" i="12"/>
  <c r="CK43" i="12"/>
  <c r="CA116" i="12"/>
  <c r="CK116" i="12"/>
  <c r="CA122" i="12"/>
  <c r="CK122" i="12"/>
  <c r="CA28" i="12"/>
  <c r="CK28" i="12"/>
  <c r="CA62" i="12"/>
  <c r="CK62" i="12"/>
  <c r="CA99" i="12"/>
  <c r="CK99" i="12"/>
  <c r="CA85" i="12"/>
  <c r="CK85" i="12"/>
  <c r="CA117" i="12"/>
  <c r="CK117" i="12"/>
  <c r="CO117" i="12" s="1"/>
  <c r="CA41" i="12"/>
  <c r="CK41" i="12"/>
  <c r="CA48" i="12"/>
  <c r="CK48" i="12"/>
  <c r="CA86" i="12"/>
  <c r="CK86" i="12"/>
  <c r="CA18" i="12"/>
  <c r="CK18" i="12"/>
  <c r="CA69" i="12"/>
  <c r="CK69" i="12"/>
  <c r="CO103" i="12"/>
  <c r="CA68" i="12"/>
  <c r="CK68" i="12"/>
  <c r="CA118" i="12"/>
  <c r="CK118" i="12"/>
  <c r="CS147" i="12"/>
  <c r="CS151" i="12" s="1"/>
  <c r="DC160" i="12"/>
  <c r="DN7" i="12"/>
  <c r="DX7" i="12"/>
  <c r="DL101" i="12"/>
  <c r="DJ101" i="12"/>
  <c r="DQ101" i="12"/>
  <c r="DM101" i="12"/>
  <c r="DO101" i="12"/>
  <c r="CA23" i="12"/>
  <c r="CK23" i="12"/>
  <c r="CO23" i="12" s="1"/>
  <c r="CA109" i="12"/>
  <c r="CK109" i="12"/>
  <c r="CA89" i="12"/>
  <c r="CK89" i="12"/>
  <c r="CA65" i="12"/>
  <c r="CK65" i="12"/>
  <c r="CA59" i="12"/>
  <c r="CK59" i="12"/>
  <c r="CA50" i="12"/>
  <c r="CK50" i="12"/>
  <c r="CO57" i="12"/>
  <c r="CO114" i="12"/>
  <c r="CA11" i="12"/>
  <c r="CK11" i="12"/>
  <c r="CA125" i="12"/>
  <c r="CK125" i="12"/>
  <c r="CO125" i="12" s="1"/>
  <c r="CA26" i="12"/>
  <c r="CK26" i="12"/>
  <c r="CA8" i="12"/>
  <c r="CK8" i="12"/>
  <c r="CO8" i="12" s="1"/>
  <c r="CA72" i="12"/>
  <c r="CK72" i="12"/>
  <c r="BY123" i="12"/>
  <c r="BY126" i="12" s="1"/>
  <c r="BW123" i="12"/>
  <c r="BW126" i="12" s="1"/>
  <c r="BX176" i="12" s="1"/>
  <c r="BX175" i="12" s="1"/>
  <c r="BZ123" i="12"/>
  <c r="BZ126" i="12" s="1"/>
  <c r="CD123" i="12"/>
  <c r="CD126" i="12" s="1"/>
  <c r="CA14" i="12"/>
  <c r="CK14" i="12"/>
  <c r="CA107" i="12"/>
  <c r="CK107" i="12"/>
  <c r="CO107" i="12" s="1"/>
  <c r="CO93" i="12"/>
  <c r="CA87" i="12"/>
  <c r="CK87" i="12"/>
  <c r="CA46" i="12"/>
  <c r="CK46" i="12"/>
  <c r="CB123" i="12"/>
  <c r="CB126" i="12" s="1"/>
  <c r="I34" i="7"/>
  <c r="I35" i="7"/>
  <c r="D35" i="7"/>
  <c r="D34" i="7"/>
  <c r="CL87" i="12" l="1"/>
  <c r="CJ87" i="12"/>
  <c r="CQ87" i="12"/>
  <c r="CM87" i="12"/>
  <c r="CA147" i="12"/>
  <c r="CJ26" i="12"/>
  <c r="CL26" i="12"/>
  <c r="CQ26" i="12"/>
  <c r="CM26" i="12"/>
  <c r="CJ11" i="12"/>
  <c r="CL11" i="12"/>
  <c r="CQ11" i="12"/>
  <c r="CM11" i="12"/>
  <c r="CL59" i="12"/>
  <c r="CJ59" i="12"/>
  <c r="CM59" i="12"/>
  <c r="CQ59" i="12"/>
  <c r="CL109" i="12"/>
  <c r="CJ109" i="12"/>
  <c r="CM109" i="12"/>
  <c r="CQ109" i="12"/>
  <c r="CJ68" i="12"/>
  <c r="CL68" i="12"/>
  <c r="CM68" i="12"/>
  <c r="CQ68" i="12"/>
  <c r="CL69" i="12"/>
  <c r="CJ69" i="12"/>
  <c r="CM69" i="12"/>
  <c r="CQ69" i="12"/>
  <c r="CJ18" i="12"/>
  <c r="CL18" i="12"/>
  <c r="CQ18" i="12"/>
  <c r="CM18" i="12"/>
  <c r="CO18" i="12"/>
  <c r="CL86" i="12"/>
  <c r="CJ86" i="12"/>
  <c r="CM86" i="12"/>
  <c r="CQ86" i="12"/>
  <c r="CJ41" i="12"/>
  <c r="CL41" i="12"/>
  <c r="CQ41" i="12"/>
  <c r="CM41" i="12"/>
  <c r="CO41" i="12"/>
  <c r="CJ99" i="12"/>
  <c r="CL99" i="12"/>
  <c r="CM99" i="12"/>
  <c r="CQ99" i="12"/>
  <c r="CJ62" i="12"/>
  <c r="CL62" i="12"/>
  <c r="CQ62" i="12"/>
  <c r="CM62" i="12"/>
  <c r="CO11" i="12"/>
  <c r="CL122" i="12"/>
  <c r="CJ122" i="12"/>
  <c r="CM122" i="12"/>
  <c r="CQ122" i="12"/>
  <c r="CL116" i="12"/>
  <c r="CJ116" i="12"/>
  <c r="CQ116" i="12"/>
  <c r="CM116" i="12"/>
  <c r="CL43" i="12"/>
  <c r="CJ43" i="12"/>
  <c r="CQ43" i="12"/>
  <c r="CM43" i="12"/>
  <c r="CO43" i="12"/>
  <c r="CO75" i="12"/>
  <c r="CL75" i="12"/>
  <c r="CJ75" i="12"/>
  <c r="CM75" i="12"/>
  <c r="CQ75" i="12"/>
  <c r="CO69" i="12"/>
  <c r="CL53" i="12"/>
  <c r="CJ53" i="12"/>
  <c r="CM53" i="12"/>
  <c r="CQ53" i="12"/>
  <c r="CJ51" i="12"/>
  <c r="CL51" i="12"/>
  <c r="CQ51" i="12"/>
  <c r="CM51" i="12"/>
  <c r="CL37" i="12"/>
  <c r="CJ37" i="12"/>
  <c r="CM37" i="12"/>
  <c r="CQ37" i="12"/>
  <c r="CO37" i="12"/>
  <c r="CO19" i="12"/>
  <c r="CJ19" i="12"/>
  <c r="CL19" i="12"/>
  <c r="CQ19" i="12"/>
  <c r="CM19" i="12"/>
  <c r="CJ110" i="12"/>
  <c r="CL110" i="12"/>
  <c r="CQ110" i="12"/>
  <c r="CM110" i="12"/>
  <c r="CJ113" i="12"/>
  <c r="CL113" i="12"/>
  <c r="CQ113" i="12"/>
  <c r="CM113" i="12"/>
  <c r="CO113" i="12"/>
  <c r="DS39" i="12"/>
  <c r="EC39" i="12"/>
  <c r="DT39" i="12"/>
  <c r="DU39" i="12" s="1"/>
  <c r="DS43" i="12"/>
  <c r="EC43" i="12"/>
  <c r="DT43" i="12"/>
  <c r="DU43" i="12" s="1"/>
  <c r="DT5" i="12"/>
  <c r="EC5" i="12"/>
  <c r="DR126" i="12"/>
  <c r="DS5" i="12"/>
  <c r="DT9" i="12"/>
  <c r="DU9" i="12" s="1"/>
  <c r="EC9" i="12"/>
  <c r="DS9" i="12"/>
  <c r="DT13" i="12"/>
  <c r="DU13" i="12" s="1"/>
  <c r="EC13" i="12"/>
  <c r="DS13" i="12"/>
  <c r="DT17" i="12"/>
  <c r="DU17" i="12" s="1"/>
  <c r="DS17" i="12"/>
  <c r="EC17" i="12"/>
  <c r="DT21" i="12"/>
  <c r="DU21" i="12" s="1"/>
  <c r="DS21" i="12"/>
  <c r="EC21" i="12"/>
  <c r="DT25" i="12"/>
  <c r="DU25" i="12" s="1"/>
  <c r="DS25" i="12"/>
  <c r="EC25" i="12"/>
  <c r="DT29" i="12"/>
  <c r="DU29" i="12" s="1"/>
  <c r="DS29" i="12"/>
  <c r="EC29" i="12"/>
  <c r="DT33" i="12"/>
  <c r="DU33" i="12" s="1"/>
  <c r="DS33" i="12"/>
  <c r="EC33" i="12"/>
  <c r="EC47" i="12"/>
  <c r="DT47" i="12"/>
  <c r="DU47" i="12" s="1"/>
  <c r="DS47" i="12"/>
  <c r="EC51" i="12"/>
  <c r="DT51" i="12"/>
  <c r="DU51" i="12" s="1"/>
  <c r="DS51" i="12"/>
  <c r="EC55" i="12"/>
  <c r="DT55" i="12"/>
  <c r="DU55" i="12" s="1"/>
  <c r="DS55" i="12"/>
  <c r="EC59" i="12"/>
  <c r="DT59" i="12"/>
  <c r="DU59" i="12" s="1"/>
  <c r="DS59" i="12"/>
  <c r="EC63" i="12"/>
  <c r="DT63" i="12"/>
  <c r="DU63" i="12" s="1"/>
  <c r="DS63" i="12"/>
  <c r="EC67" i="12"/>
  <c r="DT67" i="12"/>
  <c r="DU67" i="12" s="1"/>
  <c r="DS67" i="12"/>
  <c r="EC71" i="12"/>
  <c r="DT71" i="12"/>
  <c r="DU71" i="12" s="1"/>
  <c r="DS71" i="12"/>
  <c r="EC75" i="12"/>
  <c r="DT75" i="12"/>
  <c r="DU75" i="12" s="1"/>
  <c r="DS75" i="12"/>
  <c r="EC79" i="12"/>
  <c r="DT79" i="12"/>
  <c r="DU79" i="12" s="1"/>
  <c r="DS79" i="12"/>
  <c r="EC83" i="12"/>
  <c r="DT83" i="12"/>
  <c r="DU83" i="12" s="1"/>
  <c r="DS83" i="12"/>
  <c r="EC87" i="12"/>
  <c r="DT87" i="12"/>
  <c r="DU87" i="12" s="1"/>
  <c r="DS87" i="12"/>
  <c r="EC91" i="12"/>
  <c r="DT91" i="12"/>
  <c r="DU91" i="12" s="1"/>
  <c r="DS91" i="12"/>
  <c r="EC95" i="12"/>
  <c r="DT95" i="12"/>
  <c r="DU95" i="12" s="1"/>
  <c r="DS95" i="12"/>
  <c r="EC99" i="12"/>
  <c r="DT99" i="12"/>
  <c r="DU99" i="12" s="1"/>
  <c r="DS99" i="12"/>
  <c r="DT103" i="12"/>
  <c r="DU103" i="12" s="1"/>
  <c r="DS103" i="12"/>
  <c r="EC103" i="12"/>
  <c r="DT107" i="12"/>
  <c r="DU107" i="12" s="1"/>
  <c r="DS107" i="12"/>
  <c r="EC107" i="12"/>
  <c r="DT111" i="12"/>
  <c r="DU111" i="12" s="1"/>
  <c r="DS111" i="12"/>
  <c r="EC111" i="12"/>
  <c r="DT115" i="12"/>
  <c r="DU115" i="12" s="1"/>
  <c r="DS115" i="12"/>
  <c r="EC115" i="12"/>
  <c r="DT119" i="12"/>
  <c r="DU119" i="12" s="1"/>
  <c r="DS119" i="12"/>
  <c r="EC119" i="12"/>
  <c r="DT123" i="12"/>
  <c r="DU123" i="12" s="1"/>
  <c r="DS123" i="12"/>
  <c r="EC123" i="12"/>
  <c r="DS38" i="12"/>
  <c r="EC38" i="12"/>
  <c r="DT38" i="12"/>
  <c r="DU38" i="12" s="1"/>
  <c r="DS42" i="12"/>
  <c r="EC42" i="12"/>
  <c r="DT42" i="12"/>
  <c r="DU42" i="12" s="1"/>
  <c r="DS46" i="12"/>
  <c r="EC46" i="12"/>
  <c r="DT46" i="12"/>
  <c r="DU46" i="12" s="1"/>
  <c r="DS8" i="12"/>
  <c r="DT8" i="12"/>
  <c r="DU8" i="12" s="1"/>
  <c r="EC8" i="12"/>
  <c r="EC12" i="12"/>
  <c r="DT12" i="12"/>
  <c r="DU12" i="12" s="1"/>
  <c r="DS12" i="12"/>
  <c r="EC16" i="12"/>
  <c r="DT16" i="12"/>
  <c r="DU16" i="12" s="1"/>
  <c r="DS16" i="12"/>
  <c r="EC20" i="12"/>
  <c r="DT20" i="12"/>
  <c r="DU20" i="12" s="1"/>
  <c r="DS20" i="12"/>
  <c r="EC24" i="12"/>
  <c r="DT24" i="12"/>
  <c r="DU24" i="12" s="1"/>
  <c r="DS24" i="12"/>
  <c r="EC28" i="12"/>
  <c r="DT28" i="12"/>
  <c r="DU28" i="12" s="1"/>
  <c r="DS28" i="12"/>
  <c r="EC32" i="12"/>
  <c r="DT32" i="12"/>
  <c r="DU32" i="12" s="1"/>
  <c r="DS32" i="12"/>
  <c r="EC36" i="12"/>
  <c r="DT36" i="12"/>
  <c r="DU36" i="12" s="1"/>
  <c r="DS36" i="12"/>
  <c r="DS50" i="12"/>
  <c r="EC50" i="12"/>
  <c r="DT50" i="12"/>
  <c r="DU50" i="12" s="1"/>
  <c r="DS54" i="12"/>
  <c r="EC54" i="12"/>
  <c r="DT54" i="12"/>
  <c r="DU54" i="12" s="1"/>
  <c r="DS58" i="12"/>
  <c r="EC58" i="12"/>
  <c r="DT58" i="12"/>
  <c r="DU58" i="12" s="1"/>
  <c r="DS62" i="12"/>
  <c r="EC62" i="12"/>
  <c r="DT62" i="12"/>
  <c r="DU62" i="12" s="1"/>
  <c r="DS66" i="12"/>
  <c r="EC66" i="12"/>
  <c r="DT66" i="12"/>
  <c r="DU66" i="12" s="1"/>
  <c r="DS70" i="12"/>
  <c r="EC70" i="12"/>
  <c r="DT70" i="12"/>
  <c r="DU70" i="12" s="1"/>
  <c r="DS74" i="12"/>
  <c r="EC74" i="12"/>
  <c r="DT74" i="12"/>
  <c r="DU74" i="12" s="1"/>
  <c r="DS78" i="12"/>
  <c r="EC78" i="12"/>
  <c r="DT78" i="12"/>
  <c r="DU78" i="12" s="1"/>
  <c r="DS82" i="12"/>
  <c r="EC82" i="12"/>
  <c r="DT82" i="12"/>
  <c r="DU82" i="12" s="1"/>
  <c r="DS86" i="12"/>
  <c r="EC86" i="12"/>
  <c r="DT86" i="12"/>
  <c r="DU86" i="12" s="1"/>
  <c r="DS90" i="12"/>
  <c r="EC90" i="12"/>
  <c r="DT90" i="12"/>
  <c r="DU90" i="12" s="1"/>
  <c r="DS94" i="12"/>
  <c r="EC94" i="12"/>
  <c r="DT94" i="12"/>
  <c r="DU94" i="12" s="1"/>
  <c r="DS98" i="12"/>
  <c r="EC98" i="12"/>
  <c r="DT98" i="12"/>
  <c r="DU98" i="12" s="1"/>
  <c r="EC102" i="12"/>
  <c r="DT102" i="12"/>
  <c r="DU102" i="12" s="1"/>
  <c r="DS102" i="12"/>
  <c r="EC106" i="12"/>
  <c r="DT106" i="12"/>
  <c r="DU106" i="12" s="1"/>
  <c r="DS106" i="12"/>
  <c r="EC110" i="12"/>
  <c r="DT110" i="12"/>
  <c r="DU110" i="12" s="1"/>
  <c r="DS110" i="12"/>
  <c r="EC114" i="12"/>
  <c r="DT114" i="12"/>
  <c r="DU114" i="12" s="1"/>
  <c r="DS114" i="12"/>
  <c r="EC118" i="12"/>
  <c r="DT118" i="12"/>
  <c r="DU118" i="12" s="1"/>
  <c r="DS118" i="12"/>
  <c r="EC122" i="12"/>
  <c r="DT122" i="12"/>
  <c r="DU122" i="12" s="1"/>
  <c r="DS122" i="12"/>
  <c r="CL111" i="12"/>
  <c r="CJ111" i="12"/>
  <c r="CQ111" i="12"/>
  <c r="CM111" i="12"/>
  <c r="CO111" i="12"/>
  <c r="CL58" i="12"/>
  <c r="CJ58" i="12"/>
  <c r="CQ58" i="12"/>
  <c r="CM58" i="12"/>
  <c r="CO24" i="12"/>
  <c r="CJ24" i="12"/>
  <c r="CL24" i="12"/>
  <c r="CM24" i="12"/>
  <c r="CQ24" i="12"/>
  <c r="CL81" i="12"/>
  <c r="CJ81" i="12"/>
  <c r="CQ81" i="12"/>
  <c r="CM81" i="12"/>
  <c r="CO81" i="12"/>
  <c r="CJ66" i="12"/>
  <c r="CL66" i="12"/>
  <c r="CQ66" i="12"/>
  <c r="CM66" i="12"/>
  <c r="CO66" i="12"/>
  <c r="DP126" i="12"/>
  <c r="CL71" i="12"/>
  <c r="CJ71" i="12"/>
  <c r="CQ71" i="12"/>
  <c r="CM71" i="12"/>
  <c r="CO71" i="12"/>
  <c r="CL17" i="12"/>
  <c r="CJ17" i="12"/>
  <c r="CM17" i="12"/>
  <c r="CQ17" i="12"/>
  <c r="CL60" i="12"/>
  <c r="CJ60" i="12"/>
  <c r="CQ60" i="12"/>
  <c r="CM60" i="12"/>
  <c r="CO60" i="12"/>
  <c r="CL47" i="12"/>
  <c r="CJ47" i="12"/>
  <c r="CQ47" i="12"/>
  <c r="CM47" i="12"/>
  <c r="CO47" i="12"/>
  <c r="CL12" i="12"/>
  <c r="CJ12" i="12"/>
  <c r="CM12" i="12"/>
  <c r="CQ12" i="12"/>
  <c r="CJ32" i="12"/>
  <c r="CL32" i="12"/>
  <c r="CM32" i="12"/>
  <c r="CQ32" i="12"/>
  <c r="CJ57" i="12"/>
  <c r="CL57" i="12"/>
  <c r="CM57" i="12"/>
  <c r="CQ57" i="12"/>
  <c r="CL56" i="12"/>
  <c r="CJ56" i="12"/>
  <c r="CQ56" i="12"/>
  <c r="CM56" i="12"/>
  <c r="CO56" i="12"/>
  <c r="CJ36" i="12"/>
  <c r="CL36" i="12"/>
  <c r="CQ36" i="12"/>
  <c r="CM36" i="12"/>
  <c r="CJ83" i="12"/>
  <c r="CL83" i="12"/>
  <c r="CQ83" i="12"/>
  <c r="CM83" i="12"/>
  <c r="CO83" i="12"/>
  <c r="CO31" i="12"/>
  <c r="CJ31" i="12"/>
  <c r="CL31" i="12"/>
  <c r="CM31" i="12"/>
  <c r="CQ31" i="12"/>
  <c r="CM100" i="12"/>
  <c r="CJ100" i="12"/>
  <c r="CL100" i="12"/>
  <c r="CQ100" i="12"/>
  <c r="CO100" i="12"/>
  <c r="CO122" i="12"/>
  <c r="CJ29" i="12"/>
  <c r="CL29" i="12"/>
  <c r="CQ29" i="12"/>
  <c r="CM29" i="12"/>
  <c r="CO29" i="12"/>
  <c r="CL64" i="12"/>
  <c r="CJ64" i="12"/>
  <c r="CQ64" i="12"/>
  <c r="CM64" i="12"/>
  <c r="CL84" i="12"/>
  <c r="CJ84" i="12"/>
  <c r="CM84" i="12"/>
  <c r="CQ84" i="12"/>
  <c r="CO84" i="12"/>
  <c r="CO64" i="12"/>
  <c r="CL6" i="12"/>
  <c r="CJ6" i="12"/>
  <c r="CQ6" i="12"/>
  <c r="CM6" i="12"/>
  <c r="CJ115" i="12"/>
  <c r="CL115" i="12"/>
  <c r="CQ115" i="12"/>
  <c r="CM115" i="12"/>
  <c r="CO115" i="12"/>
  <c r="CJ67" i="12"/>
  <c r="CL67" i="12"/>
  <c r="CQ67" i="12"/>
  <c r="CM67" i="12"/>
  <c r="CJ120" i="12"/>
  <c r="CL120" i="12"/>
  <c r="CQ120" i="12"/>
  <c r="CM120" i="12"/>
  <c r="CO51" i="12"/>
  <c r="CJ91" i="12"/>
  <c r="CL91" i="12"/>
  <c r="CQ91" i="12"/>
  <c r="CM91" i="12"/>
  <c r="CO91" i="12"/>
  <c r="CO67" i="12"/>
  <c r="CJ10" i="12"/>
  <c r="CL10" i="12"/>
  <c r="CM10" i="12"/>
  <c r="CQ10" i="12"/>
  <c r="DF147" i="12"/>
  <c r="DF151" i="12" s="1"/>
  <c r="DP160" i="12"/>
  <c r="CL63" i="12"/>
  <c r="CJ63" i="12"/>
  <c r="CQ63" i="12"/>
  <c r="CM63" i="12"/>
  <c r="CO63" i="12"/>
  <c r="CJ105" i="12"/>
  <c r="CL105" i="12"/>
  <c r="CQ105" i="12"/>
  <c r="CM105" i="12"/>
  <c r="CO105" i="12"/>
  <c r="CJ20" i="12"/>
  <c r="CL20" i="12"/>
  <c r="CM20" i="12"/>
  <c r="CQ20" i="12"/>
  <c r="CO20" i="12"/>
  <c r="CJ108" i="12"/>
  <c r="CL108" i="12"/>
  <c r="CM108" i="12"/>
  <c r="CQ108" i="12"/>
  <c r="CO108" i="12"/>
  <c r="CL102" i="12"/>
  <c r="CJ102" i="12"/>
  <c r="CQ102" i="12"/>
  <c r="CM102" i="12"/>
  <c r="CL39" i="12"/>
  <c r="CJ39" i="12"/>
  <c r="CQ39" i="12"/>
  <c r="CM39" i="12"/>
  <c r="CJ98" i="12"/>
  <c r="CL98" i="12"/>
  <c r="CQ98" i="12"/>
  <c r="CM98" i="12"/>
  <c r="CO98" i="12"/>
  <c r="CL46" i="12"/>
  <c r="CJ46" i="12"/>
  <c r="CQ46" i="12"/>
  <c r="CM46" i="12"/>
  <c r="CA123" i="12"/>
  <c r="CK123" i="12"/>
  <c r="CK174" i="12" s="1"/>
  <c r="CJ125" i="12"/>
  <c r="CL125" i="12"/>
  <c r="CQ125" i="12"/>
  <c r="CM125" i="12"/>
  <c r="CL50" i="12"/>
  <c r="CJ50" i="12"/>
  <c r="CM50" i="12"/>
  <c r="CQ50" i="12"/>
  <c r="CL65" i="12"/>
  <c r="CJ65" i="12"/>
  <c r="CM65" i="12"/>
  <c r="CQ65" i="12"/>
  <c r="CO65" i="12"/>
  <c r="CJ23" i="12"/>
  <c r="CL23" i="12"/>
  <c r="CQ23" i="12"/>
  <c r="CM23" i="12"/>
  <c r="CO123" i="12"/>
  <c r="CJ107" i="12"/>
  <c r="CL107" i="12"/>
  <c r="CM107" i="12"/>
  <c r="CQ107" i="12"/>
  <c r="CL14" i="12"/>
  <c r="CJ14" i="12"/>
  <c r="CM14" i="12"/>
  <c r="CQ14" i="12"/>
  <c r="CJ72" i="12"/>
  <c r="CL72" i="12"/>
  <c r="CM72" i="12"/>
  <c r="CQ72" i="12"/>
  <c r="CJ8" i="12"/>
  <c r="CL8" i="12"/>
  <c r="CQ8" i="12"/>
  <c r="CM8" i="12"/>
  <c r="CK134" i="12"/>
  <c r="CK138" i="12" s="1"/>
  <c r="CK183" i="12" s="1"/>
  <c r="CO26" i="12"/>
  <c r="CL89" i="12"/>
  <c r="CJ89" i="12"/>
  <c r="CM89" i="12"/>
  <c r="CQ89" i="12"/>
  <c r="CO89" i="12"/>
  <c r="DN101" i="12"/>
  <c r="DX101" i="12"/>
  <c r="DW7" i="12"/>
  <c r="DY7" i="12"/>
  <c r="DZ7" i="12"/>
  <c r="EA7" i="12" s="1"/>
  <c r="ED7" i="12"/>
  <c r="EB7" i="12"/>
  <c r="DC164" i="12"/>
  <c r="CJ118" i="12"/>
  <c r="CL118" i="12"/>
  <c r="CQ118" i="12"/>
  <c r="CM118" i="12"/>
  <c r="CO118" i="12"/>
  <c r="CL48" i="12"/>
  <c r="CJ48" i="12"/>
  <c r="CQ48" i="12"/>
  <c r="CM48" i="12"/>
  <c r="CO48" i="12"/>
  <c r="CL117" i="12"/>
  <c r="CJ117" i="12"/>
  <c r="CM117" i="12"/>
  <c r="CQ117" i="12"/>
  <c r="CJ85" i="12"/>
  <c r="CL85" i="12"/>
  <c r="CM85" i="12"/>
  <c r="CQ85" i="12"/>
  <c r="CO72" i="12"/>
  <c r="CJ28" i="12"/>
  <c r="CL28" i="12"/>
  <c r="CQ28" i="12"/>
  <c r="CM28" i="12"/>
  <c r="CO99" i="12"/>
  <c r="CJ70" i="12"/>
  <c r="CL70" i="12"/>
  <c r="CM70" i="12"/>
  <c r="CQ70" i="12"/>
  <c r="CO70" i="12"/>
  <c r="EC37" i="12"/>
  <c r="DT37" i="12"/>
  <c r="DU37" i="12" s="1"/>
  <c r="DS37" i="12"/>
  <c r="EC41" i="12"/>
  <c r="DT41" i="12"/>
  <c r="DU41" i="12" s="1"/>
  <c r="DS41" i="12"/>
  <c r="EC45" i="12"/>
  <c r="DT45" i="12"/>
  <c r="DU45" i="12" s="1"/>
  <c r="DS45" i="12"/>
  <c r="EC7" i="12"/>
  <c r="DT7" i="12"/>
  <c r="DU7" i="12" s="1"/>
  <c r="DS7" i="12"/>
  <c r="EC11" i="12"/>
  <c r="DT11" i="12"/>
  <c r="DU11" i="12" s="1"/>
  <c r="DS11" i="12"/>
  <c r="EC15" i="12"/>
  <c r="DT15" i="12"/>
  <c r="DU15" i="12" s="1"/>
  <c r="DS15" i="12"/>
  <c r="EC19" i="12"/>
  <c r="DT19" i="12"/>
  <c r="DU19" i="12" s="1"/>
  <c r="DS19" i="12"/>
  <c r="EC23" i="12"/>
  <c r="DT23" i="12"/>
  <c r="DU23" i="12" s="1"/>
  <c r="DS23" i="12"/>
  <c r="EC27" i="12"/>
  <c r="DT27" i="12"/>
  <c r="DU27" i="12" s="1"/>
  <c r="DS27" i="12"/>
  <c r="EC31" i="12"/>
  <c r="DT31" i="12"/>
  <c r="DU31" i="12" s="1"/>
  <c r="DS31" i="12"/>
  <c r="EC35" i="12"/>
  <c r="DT35" i="12"/>
  <c r="DU35" i="12" s="1"/>
  <c r="DS35" i="12"/>
  <c r="DS49" i="12"/>
  <c r="EC49" i="12"/>
  <c r="DT49" i="12"/>
  <c r="DU49" i="12" s="1"/>
  <c r="DS53" i="12"/>
  <c r="EC53" i="12"/>
  <c r="DT53" i="12"/>
  <c r="DU53" i="12" s="1"/>
  <c r="DS57" i="12"/>
  <c r="EC57" i="12"/>
  <c r="DT57" i="12"/>
  <c r="DU57" i="12" s="1"/>
  <c r="DS61" i="12"/>
  <c r="EC61" i="12"/>
  <c r="DT61" i="12"/>
  <c r="DU61" i="12" s="1"/>
  <c r="DS65" i="12"/>
  <c r="EC65" i="12"/>
  <c r="DT65" i="12"/>
  <c r="DU65" i="12" s="1"/>
  <c r="DS69" i="12"/>
  <c r="EC69" i="12"/>
  <c r="DT69" i="12"/>
  <c r="DU69" i="12" s="1"/>
  <c r="DS73" i="12"/>
  <c r="EC73" i="12"/>
  <c r="DT73" i="12"/>
  <c r="DU73" i="12" s="1"/>
  <c r="DS77" i="12"/>
  <c r="EC77" i="12"/>
  <c r="DT77" i="12"/>
  <c r="DU77" i="12" s="1"/>
  <c r="DS81" i="12"/>
  <c r="EC81" i="12"/>
  <c r="DT81" i="12"/>
  <c r="DU81" i="12" s="1"/>
  <c r="DS85" i="12"/>
  <c r="EC85" i="12"/>
  <c r="DT85" i="12"/>
  <c r="DU85" i="12" s="1"/>
  <c r="DS89" i="12"/>
  <c r="EC89" i="12"/>
  <c r="DT89" i="12"/>
  <c r="DU89" i="12" s="1"/>
  <c r="DS93" i="12"/>
  <c r="EC93" i="12"/>
  <c r="DT93" i="12"/>
  <c r="DU93" i="12" s="1"/>
  <c r="DS97" i="12"/>
  <c r="EC97" i="12"/>
  <c r="DT97" i="12"/>
  <c r="DU97" i="12" s="1"/>
  <c r="EC101" i="12"/>
  <c r="DT101" i="12"/>
  <c r="DU101" i="12" s="1"/>
  <c r="DS101" i="12"/>
  <c r="EC105" i="12"/>
  <c r="DT105" i="12"/>
  <c r="DU105" i="12" s="1"/>
  <c r="DS105" i="12"/>
  <c r="EC109" i="12"/>
  <c r="DT109" i="12"/>
  <c r="DU109" i="12" s="1"/>
  <c r="DS109" i="12"/>
  <c r="EC113" i="12"/>
  <c r="DT113" i="12"/>
  <c r="DU113" i="12" s="1"/>
  <c r="DS113" i="12"/>
  <c r="EC117" i="12"/>
  <c r="DT117" i="12"/>
  <c r="DU117" i="12" s="1"/>
  <c r="DS117" i="12"/>
  <c r="EC121" i="12"/>
  <c r="DT121" i="12"/>
  <c r="DU121" i="12" s="1"/>
  <c r="DS121" i="12"/>
  <c r="EC125" i="12"/>
  <c r="DT125" i="12"/>
  <c r="DU125" i="12" s="1"/>
  <c r="DS125" i="12"/>
  <c r="EC40" i="12"/>
  <c r="DT40" i="12"/>
  <c r="DU40" i="12" s="1"/>
  <c r="DS40" i="12"/>
  <c r="EC44" i="12"/>
  <c r="DT44" i="12"/>
  <c r="DU44" i="12" s="1"/>
  <c r="DS44" i="12"/>
  <c r="DT6" i="12"/>
  <c r="DU6" i="12" s="1"/>
  <c r="DS6" i="12"/>
  <c r="EC6" i="12"/>
  <c r="DT10" i="12"/>
  <c r="DU10" i="12" s="1"/>
  <c r="DS10" i="12"/>
  <c r="EC10" i="12"/>
  <c r="DT14" i="12"/>
  <c r="DU14" i="12" s="1"/>
  <c r="DS14" i="12"/>
  <c r="EC14" i="12"/>
  <c r="DT18" i="12"/>
  <c r="DU18" i="12" s="1"/>
  <c r="DS18" i="12"/>
  <c r="EC18" i="12"/>
  <c r="DT22" i="12"/>
  <c r="DU22" i="12" s="1"/>
  <c r="DS22" i="12"/>
  <c r="EC22" i="12"/>
  <c r="DT26" i="12"/>
  <c r="DU26" i="12" s="1"/>
  <c r="DS26" i="12"/>
  <c r="EC26" i="12"/>
  <c r="DT30" i="12"/>
  <c r="DU30" i="12" s="1"/>
  <c r="DS30" i="12"/>
  <c r="EC30" i="12"/>
  <c r="DT34" i="12"/>
  <c r="DU34" i="12" s="1"/>
  <c r="DS34" i="12"/>
  <c r="EC34" i="12"/>
  <c r="EC48" i="12"/>
  <c r="DT48" i="12"/>
  <c r="DU48" i="12" s="1"/>
  <c r="DS48" i="12"/>
  <c r="EC52" i="12"/>
  <c r="DT52" i="12"/>
  <c r="DU52" i="12" s="1"/>
  <c r="DS52" i="12"/>
  <c r="EC56" i="12"/>
  <c r="DT56" i="12"/>
  <c r="DU56" i="12" s="1"/>
  <c r="DS56" i="12"/>
  <c r="EC60" i="12"/>
  <c r="DT60" i="12"/>
  <c r="DU60" i="12" s="1"/>
  <c r="DS60" i="12"/>
  <c r="EC64" i="12"/>
  <c r="DT64" i="12"/>
  <c r="DU64" i="12" s="1"/>
  <c r="DS64" i="12"/>
  <c r="EC68" i="12"/>
  <c r="DT68" i="12"/>
  <c r="DU68" i="12" s="1"/>
  <c r="DS68" i="12"/>
  <c r="EC72" i="12"/>
  <c r="DT72" i="12"/>
  <c r="DU72" i="12" s="1"/>
  <c r="DS72" i="12"/>
  <c r="EC76" i="12"/>
  <c r="DT76" i="12"/>
  <c r="DU76" i="12" s="1"/>
  <c r="DS76" i="12"/>
  <c r="EC80" i="12"/>
  <c r="DT80" i="12"/>
  <c r="DU80" i="12" s="1"/>
  <c r="DS80" i="12"/>
  <c r="EC84" i="12"/>
  <c r="DT84" i="12"/>
  <c r="DU84" i="12" s="1"/>
  <c r="DS84" i="12"/>
  <c r="EC88" i="12"/>
  <c r="DT88" i="12"/>
  <c r="DU88" i="12" s="1"/>
  <c r="DS88" i="12"/>
  <c r="EC92" i="12"/>
  <c r="DT92" i="12"/>
  <c r="DU92" i="12" s="1"/>
  <c r="DS92" i="12"/>
  <c r="EC96" i="12"/>
  <c r="DT96" i="12"/>
  <c r="DU96" i="12" s="1"/>
  <c r="DS96" i="12"/>
  <c r="EC100" i="12"/>
  <c r="DT100" i="12"/>
  <c r="DU100" i="12" s="1"/>
  <c r="DS100" i="12"/>
  <c r="DT104" i="12"/>
  <c r="DU104" i="12" s="1"/>
  <c r="DS104" i="12"/>
  <c r="EC104" i="12"/>
  <c r="DT108" i="12"/>
  <c r="DU108" i="12" s="1"/>
  <c r="DS108" i="12"/>
  <c r="EC108" i="12"/>
  <c r="DT112" i="12"/>
  <c r="DU112" i="12" s="1"/>
  <c r="DS112" i="12"/>
  <c r="EC112" i="12"/>
  <c r="DT116" i="12"/>
  <c r="DU116" i="12" s="1"/>
  <c r="DS116" i="12"/>
  <c r="EC116" i="12"/>
  <c r="DT120" i="12"/>
  <c r="DU120" i="12" s="1"/>
  <c r="DS120" i="12"/>
  <c r="EC120" i="12"/>
  <c r="DT124" i="12"/>
  <c r="DU124" i="12" s="1"/>
  <c r="DS124" i="12"/>
  <c r="EC124" i="12"/>
  <c r="CL61" i="12"/>
  <c r="CJ61" i="12"/>
  <c r="CQ61" i="12"/>
  <c r="CM61" i="12"/>
  <c r="BM151" i="12"/>
  <c r="CJ27" i="12"/>
  <c r="CL27" i="12"/>
  <c r="CQ27" i="12"/>
  <c r="CM27" i="12"/>
  <c r="DG126" i="12"/>
  <c r="DH5" i="12"/>
  <c r="DH126" i="12" s="1"/>
  <c r="DF126" i="12"/>
  <c r="CO50" i="12"/>
  <c r="CO53" i="12"/>
  <c r="CJ38" i="12"/>
  <c r="CL38" i="12"/>
  <c r="CQ38" i="12"/>
  <c r="CM38" i="12"/>
  <c r="CO38" i="12"/>
  <c r="CJ76" i="12"/>
  <c r="CL76" i="12"/>
  <c r="CM76" i="12"/>
  <c r="CQ76" i="12"/>
  <c r="CO76" i="12"/>
  <c r="CL52" i="12"/>
  <c r="CJ52" i="12"/>
  <c r="CM52" i="12"/>
  <c r="CQ52" i="12"/>
  <c r="CO52" i="12"/>
  <c r="CL93" i="12"/>
  <c r="CJ93" i="12"/>
  <c r="CM93" i="12"/>
  <c r="CQ93" i="12"/>
  <c r="CL16" i="12"/>
  <c r="CJ16" i="12"/>
  <c r="CM16" i="12"/>
  <c r="CQ16" i="12"/>
  <c r="CJ35" i="12"/>
  <c r="CL35" i="12"/>
  <c r="CQ35" i="12"/>
  <c r="CM35" i="12"/>
  <c r="CL94" i="12"/>
  <c r="CJ94" i="12"/>
  <c r="CM94" i="12"/>
  <c r="CQ94" i="12"/>
  <c r="CO94" i="12"/>
  <c r="CO14" i="12"/>
  <c r="CD164" i="12"/>
  <c r="CJ114" i="12"/>
  <c r="CL114" i="12"/>
  <c r="CQ114" i="12"/>
  <c r="CM114" i="12"/>
  <c r="CJ106" i="12"/>
  <c r="CL106" i="12"/>
  <c r="CM106" i="12"/>
  <c r="CQ106" i="12"/>
  <c r="CO106" i="12"/>
  <c r="CJ54" i="12"/>
  <c r="CL54" i="12"/>
  <c r="CM54" i="12"/>
  <c r="CQ54" i="12"/>
  <c r="CO59" i="12"/>
  <c r="CO68" i="12"/>
  <c r="CJ103" i="12"/>
  <c r="CL103" i="12"/>
  <c r="CQ103" i="12"/>
  <c r="CM103" i="12"/>
  <c r="CJ25" i="12"/>
  <c r="CL25" i="12"/>
  <c r="CM25" i="12"/>
  <c r="CQ25" i="12"/>
  <c r="CO25" i="12"/>
  <c r="CL96" i="12"/>
  <c r="CJ96" i="12"/>
  <c r="CQ96" i="12"/>
  <c r="CM96" i="12"/>
  <c r="CO96" i="12"/>
  <c r="CJ92" i="12"/>
  <c r="CL92" i="12"/>
  <c r="CM92" i="12"/>
  <c r="CQ92" i="12"/>
  <c r="CJ30" i="12"/>
  <c r="CL30" i="12"/>
  <c r="CM30" i="12"/>
  <c r="CQ30" i="12"/>
  <c r="CO30" i="12"/>
  <c r="CL121" i="12"/>
  <c r="CJ121" i="12"/>
  <c r="CM121" i="12"/>
  <c r="CQ121" i="12"/>
  <c r="CO121" i="12"/>
  <c r="CO78" i="12"/>
  <c r="CJ78" i="12"/>
  <c r="CL78" i="12"/>
  <c r="CM78" i="12"/>
  <c r="CQ78" i="12"/>
  <c r="CL104" i="12"/>
  <c r="CJ104" i="12"/>
  <c r="CM104" i="12"/>
  <c r="CQ104" i="12"/>
  <c r="CO104" i="12"/>
  <c r="CJ80" i="12"/>
  <c r="CL80" i="12"/>
  <c r="CM80" i="12"/>
  <c r="CQ80" i="12"/>
  <c r="CO80" i="12"/>
  <c r="CO85" i="12"/>
  <c r="CO28" i="12"/>
  <c r="BX178" i="12"/>
  <c r="CL5" i="12"/>
  <c r="CJ5" i="12"/>
  <c r="CK126" i="12"/>
  <c r="CQ5" i="12"/>
  <c r="CM5" i="12"/>
  <c r="CA126" i="12"/>
  <c r="CO5" i="12"/>
  <c r="CO116" i="12"/>
  <c r="CO33" i="12"/>
  <c r="CJ33" i="12"/>
  <c r="CL33" i="12"/>
  <c r="CM33" i="12"/>
  <c r="CQ33" i="12"/>
  <c r="CJ9" i="12"/>
  <c r="CL9" i="12"/>
  <c r="CQ9" i="12"/>
  <c r="CM9" i="12"/>
  <c r="CJ34" i="12"/>
  <c r="CL34" i="12"/>
  <c r="CM34" i="12"/>
  <c r="CQ34" i="12"/>
  <c r="CJ124" i="12"/>
  <c r="CL124" i="12"/>
  <c r="CQ124" i="12"/>
  <c r="CM124" i="12"/>
  <c r="CL49" i="12"/>
  <c r="CJ49" i="12"/>
  <c r="CM49" i="12"/>
  <c r="CQ49" i="12"/>
  <c r="CO49" i="12"/>
  <c r="CO110" i="12"/>
  <c r="CO87" i="12"/>
  <c r="CL45" i="12"/>
  <c r="CJ45" i="12"/>
  <c r="CM45" i="12"/>
  <c r="CQ45" i="12"/>
  <c r="CL55" i="12"/>
  <c r="CJ55" i="12"/>
  <c r="CQ55" i="12"/>
  <c r="CM55" i="12"/>
  <c r="CO55" i="12"/>
  <c r="CL42" i="12"/>
  <c r="CJ42" i="12"/>
  <c r="CM42" i="12"/>
  <c r="CQ42" i="12"/>
  <c r="CL13" i="12"/>
  <c r="CJ13" i="12"/>
  <c r="CQ13" i="12"/>
  <c r="CM13" i="12"/>
  <c r="CO13" i="12"/>
  <c r="CO46" i="12"/>
  <c r="CL88" i="12"/>
  <c r="CJ88" i="12"/>
  <c r="CM88" i="12"/>
  <c r="CQ88" i="12"/>
  <c r="CO88" i="12"/>
  <c r="CO86" i="12"/>
  <c r="CL40" i="12"/>
  <c r="CJ40" i="12"/>
  <c r="CM40" i="12"/>
  <c r="CQ40" i="12"/>
  <c r="CO40" i="12"/>
  <c r="CL22" i="12"/>
  <c r="CJ22" i="12"/>
  <c r="CQ22" i="12"/>
  <c r="CM22" i="12"/>
  <c r="CO22" i="12"/>
  <c r="CO109" i="12"/>
  <c r="DH147" i="12"/>
  <c r="DH151" i="12" s="1"/>
  <c r="CL44" i="12"/>
  <c r="CJ44" i="12"/>
  <c r="CQ44" i="12"/>
  <c r="CM44" i="12"/>
  <c r="CO44" i="12"/>
  <c r="CL95" i="12"/>
  <c r="CJ95" i="12"/>
  <c r="CQ95" i="12"/>
  <c r="CM95" i="12"/>
  <c r="CO17" i="12"/>
  <c r="CO62" i="12"/>
  <c r="CJ15" i="12"/>
  <c r="CL15" i="12"/>
  <c r="CQ15" i="12"/>
  <c r="CM15" i="12"/>
  <c r="CO39" i="12"/>
  <c r="CJ119" i="12"/>
  <c r="CL119" i="12"/>
  <c r="CQ119" i="12"/>
  <c r="CM119" i="12"/>
  <c r="CO119" i="12"/>
  <c r="CO21" i="12"/>
  <c r="CL21" i="12"/>
  <c r="CJ21" i="12"/>
  <c r="CQ21" i="12"/>
  <c r="CM21" i="12"/>
  <c r="CO58" i="12"/>
  <c r="G17" i="17"/>
  <c r="G19" i="17" s="1"/>
  <c r="H18" i="17"/>
  <c r="B97" i="7"/>
  <c r="B46" i="7"/>
  <c r="CN15" i="12" l="1"/>
  <c r="CX15" i="12"/>
  <c r="CN21" i="12"/>
  <c r="CX21" i="12"/>
  <c r="DB21" i="12" s="1"/>
  <c r="CN119" i="12"/>
  <c r="CX119" i="12"/>
  <c r="CN44" i="12"/>
  <c r="CX44" i="12"/>
  <c r="CN13" i="12"/>
  <c r="CX13" i="12"/>
  <c r="CN45" i="12"/>
  <c r="CX45" i="12"/>
  <c r="CN124" i="12"/>
  <c r="CX124" i="12"/>
  <c r="CN9" i="12"/>
  <c r="CX9" i="12"/>
  <c r="CN104" i="12"/>
  <c r="CX104" i="12"/>
  <c r="CN78" i="12"/>
  <c r="CX78" i="12"/>
  <c r="CN121" i="12"/>
  <c r="CX121" i="12"/>
  <c r="CN103" i="12"/>
  <c r="CX103" i="12"/>
  <c r="CN106" i="12"/>
  <c r="CX106" i="12"/>
  <c r="CN94" i="12"/>
  <c r="CX94" i="12"/>
  <c r="CN16" i="12"/>
  <c r="CX16" i="12"/>
  <c r="CN76" i="12"/>
  <c r="CX76" i="12"/>
  <c r="CN38" i="12"/>
  <c r="CX38" i="12"/>
  <c r="CN27" i="12"/>
  <c r="CX27" i="12"/>
  <c r="CN61" i="12"/>
  <c r="CX61" i="12"/>
  <c r="DU147" i="12"/>
  <c r="DU151" i="12" s="1"/>
  <c r="CQ160" i="12"/>
  <c r="CN72" i="12"/>
  <c r="CX72" i="12"/>
  <c r="CN14" i="12"/>
  <c r="CX14" i="12"/>
  <c r="CN107" i="12"/>
  <c r="CX107" i="12"/>
  <c r="CN23" i="12"/>
  <c r="CX23" i="12"/>
  <c r="CN65" i="12"/>
  <c r="CX65" i="12"/>
  <c r="CN50" i="12"/>
  <c r="CX50" i="12"/>
  <c r="CN98" i="12"/>
  <c r="CX98" i="12"/>
  <c r="CN39" i="12"/>
  <c r="CX39" i="12"/>
  <c r="CN102" i="12"/>
  <c r="CX102" i="12"/>
  <c r="CN108" i="12"/>
  <c r="CX108" i="12"/>
  <c r="CN63" i="12"/>
  <c r="CX63" i="12"/>
  <c r="DP164" i="12"/>
  <c r="CN120" i="12"/>
  <c r="CX120" i="12"/>
  <c r="CN67" i="12"/>
  <c r="CX67" i="12"/>
  <c r="DB67" i="12" s="1"/>
  <c r="CN84" i="12"/>
  <c r="CX84" i="12"/>
  <c r="CN29" i="12"/>
  <c r="CX29" i="12"/>
  <c r="CN83" i="12"/>
  <c r="CX83" i="12"/>
  <c r="CN36" i="12"/>
  <c r="CX36" i="12"/>
  <c r="CN56" i="12"/>
  <c r="CX56" i="12"/>
  <c r="CN47" i="12"/>
  <c r="CX47" i="12"/>
  <c r="CN60" i="12"/>
  <c r="CX60" i="12"/>
  <c r="CN81" i="12"/>
  <c r="CX81" i="12"/>
  <c r="CN111" i="12"/>
  <c r="CX111" i="12"/>
  <c r="DS126" i="12"/>
  <c r="EC126" i="12"/>
  <c r="CN37" i="12"/>
  <c r="CX37" i="12"/>
  <c r="CN53" i="12"/>
  <c r="CX53" i="12"/>
  <c r="DB53" i="12" s="1"/>
  <c r="CN43" i="12"/>
  <c r="CX43" i="12"/>
  <c r="CN116" i="12"/>
  <c r="CX116" i="12"/>
  <c r="CN99" i="12"/>
  <c r="CX99" i="12"/>
  <c r="DB99" i="12" s="1"/>
  <c r="CN69" i="12"/>
  <c r="CX69" i="12"/>
  <c r="CN95" i="12"/>
  <c r="CX95" i="12"/>
  <c r="CN22" i="12"/>
  <c r="CX22" i="12"/>
  <c r="CN40" i="12"/>
  <c r="CX40" i="12"/>
  <c r="CN88" i="12"/>
  <c r="CX88" i="12"/>
  <c r="DB13" i="12"/>
  <c r="CN42" i="12"/>
  <c r="CX42" i="12"/>
  <c r="CN55" i="12"/>
  <c r="CX55" i="12"/>
  <c r="CN49" i="12"/>
  <c r="CX49" i="12"/>
  <c r="CN34" i="12"/>
  <c r="CX34" i="12"/>
  <c r="CN33" i="12"/>
  <c r="CX33" i="12"/>
  <c r="CO126" i="12"/>
  <c r="CN5" i="12"/>
  <c r="CX5" i="12"/>
  <c r="DB5" i="12" s="1"/>
  <c r="CK182" i="12"/>
  <c r="CJ183" i="12" s="1"/>
  <c r="CK177" i="12"/>
  <c r="CN80" i="12"/>
  <c r="CX80" i="12"/>
  <c r="DB78" i="12"/>
  <c r="CN30" i="12"/>
  <c r="CX30" i="12"/>
  <c r="CN92" i="12"/>
  <c r="CX92" i="12"/>
  <c r="CN96" i="12"/>
  <c r="CX96" i="12"/>
  <c r="CN25" i="12"/>
  <c r="CX25" i="12"/>
  <c r="CN54" i="12"/>
  <c r="CX54" i="12"/>
  <c r="CN114" i="12"/>
  <c r="CX114" i="12"/>
  <c r="DB14" i="12"/>
  <c r="CN35" i="12"/>
  <c r="CX35" i="12"/>
  <c r="CN93" i="12"/>
  <c r="CX93" i="12"/>
  <c r="CN52" i="12"/>
  <c r="CX52" i="12"/>
  <c r="DB38" i="12"/>
  <c r="DB50" i="12"/>
  <c r="DS147" i="12"/>
  <c r="DS151" i="12" s="1"/>
  <c r="EC160" i="12"/>
  <c r="CN70" i="12"/>
  <c r="CX70" i="12"/>
  <c r="CN28" i="12"/>
  <c r="CX28" i="12"/>
  <c r="DB72" i="12"/>
  <c r="CN85" i="12"/>
  <c r="CX85" i="12"/>
  <c r="CN117" i="12"/>
  <c r="CX117" i="12"/>
  <c r="CN48" i="12"/>
  <c r="CX48" i="12"/>
  <c r="CN118" i="12"/>
  <c r="CX118" i="12"/>
  <c r="DY101" i="12"/>
  <c r="DW101" i="12"/>
  <c r="DZ101" i="12"/>
  <c r="EA101" i="12" s="1"/>
  <c r="ED101" i="12"/>
  <c r="CN89" i="12"/>
  <c r="CX89" i="12"/>
  <c r="CN8" i="12"/>
  <c r="CX8" i="12"/>
  <c r="CL147" i="12"/>
  <c r="CL151" i="12" s="1"/>
  <c r="EB101" i="12"/>
  <c r="CN125" i="12"/>
  <c r="CX125" i="12"/>
  <c r="CL123" i="12"/>
  <c r="CL126" i="12" s="1"/>
  <c r="CJ123" i="12"/>
  <c r="CJ126" i="12" s="1"/>
  <c r="CK176" i="12" s="1"/>
  <c r="CK175" i="12" s="1"/>
  <c r="CM123" i="12"/>
  <c r="CM126" i="12" s="1"/>
  <c r="CQ123" i="12"/>
  <c r="CQ126" i="12" s="1"/>
  <c r="CN46" i="12"/>
  <c r="CX46" i="12"/>
  <c r="DB98" i="12"/>
  <c r="CN20" i="12"/>
  <c r="CX20" i="12"/>
  <c r="CN105" i="12"/>
  <c r="CX105" i="12"/>
  <c r="DB63" i="12"/>
  <c r="CN10" i="12"/>
  <c r="CX10" i="12"/>
  <c r="CN91" i="12"/>
  <c r="CX91" i="12"/>
  <c r="CN115" i="12"/>
  <c r="CX115" i="12"/>
  <c r="DB115" i="12" s="1"/>
  <c r="CN6" i="12"/>
  <c r="CX6" i="12"/>
  <c r="CN64" i="12"/>
  <c r="CX64" i="12"/>
  <c r="DB29" i="12"/>
  <c r="CN100" i="12"/>
  <c r="CX100" i="12"/>
  <c r="CN31" i="12"/>
  <c r="CX31" i="12"/>
  <c r="DB83" i="12"/>
  <c r="CN57" i="12"/>
  <c r="CX57" i="12"/>
  <c r="CN32" i="12"/>
  <c r="CX32" i="12"/>
  <c r="CN12" i="12"/>
  <c r="CX12" i="12"/>
  <c r="DB47" i="12"/>
  <c r="DB60" i="12"/>
  <c r="CN17" i="12"/>
  <c r="CX17" i="12"/>
  <c r="DB17" i="12" s="1"/>
  <c r="CN71" i="12"/>
  <c r="CX71" i="12"/>
  <c r="DB71" i="12" s="1"/>
  <c r="CN66" i="12"/>
  <c r="CX66" i="12"/>
  <c r="DB81" i="12"/>
  <c r="CN24" i="12"/>
  <c r="CX24" i="12"/>
  <c r="CN58" i="12"/>
  <c r="CX58" i="12"/>
  <c r="DB111" i="12"/>
  <c r="DU5" i="12"/>
  <c r="DU126" i="12" s="1"/>
  <c r="DT126" i="12"/>
  <c r="CN113" i="12"/>
  <c r="CX113" i="12"/>
  <c r="CN110" i="12"/>
  <c r="CX110" i="12"/>
  <c r="CN19" i="12"/>
  <c r="CX19" i="12"/>
  <c r="DB19" i="12" s="1"/>
  <c r="CN51" i="12"/>
  <c r="CX51" i="12"/>
  <c r="DB69" i="12"/>
  <c r="CN75" i="12"/>
  <c r="CX75" i="12"/>
  <c r="DB75" i="12" s="1"/>
  <c r="DB43" i="12"/>
  <c r="CN122" i="12"/>
  <c r="CX122" i="12"/>
  <c r="CN62" i="12"/>
  <c r="CX62" i="12"/>
  <c r="CN41" i="12"/>
  <c r="CX41" i="12"/>
  <c r="CN86" i="12"/>
  <c r="CX86" i="12"/>
  <c r="CN18" i="12"/>
  <c r="CX18" i="12"/>
  <c r="CN68" i="12"/>
  <c r="CX68" i="12"/>
  <c r="CN109" i="12"/>
  <c r="CX109" i="12"/>
  <c r="CN59" i="12"/>
  <c r="CX59" i="12"/>
  <c r="DB59" i="12" s="1"/>
  <c r="CN11" i="12"/>
  <c r="CX11" i="12"/>
  <c r="CN26" i="12"/>
  <c r="CX26" i="12"/>
  <c r="BZ147" i="12"/>
  <c r="CA151" i="12"/>
  <c r="CN87" i="12"/>
  <c r="CX87" i="12"/>
  <c r="H18" i="7"/>
  <c r="CY87" i="12" l="1"/>
  <c r="CW87" i="12"/>
  <c r="CZ87" i="12"/>
  <c r="DD87" i="12"/>
  <c r="CW26" i="12"/>
  <c r="CY26" i="12"/>
  <c r="DD26" i="12"/>
  <c r="CZ26" i="12"/>
  <c r="CY11" i="12"/>
  <c r="CW11" i="12"/>
  <c r="CZ11" i="12"/>
  <c r="DD11" i="12"/>
  <c r="CY109" i="12"/>
  <c r="CW109" i="12"/>
  <c r="CZ109" i="12"/>
  <c r="DD109" i="12"/>
  <c r="CW68" i="12"/>
  <c r="CY68" i="12"/>
  <c r="DD68" i="12"/>
  <c r="CZ68" i="12"/>
  <c r="CY18" i="12"/>
  <c r="CW18" i="12"/>
  <c r="DD18" i="12"/>
  <c r="CZ18" i="12"/>
  <c r="CW86" i="12"/>
  <c r="CY86" i="12"/>
  <c r="CZ86" i="12"/>
  <c r="DD86" i="12"/>
  <c r="CY41" i="12"/>
  <c r="CW41" i="12"/>
  <c r="DD41" i="12"/>
  <c r="CZ41" i="12"/>
  <c r="DB62" i="12"/>
  <c r="CY62" i="12"/>
  <c r="CW62" i="12"/>
  <c r="CZ62" i="12"/>
  <c r="DD62" i="12"/>
  <c r="CY122" i="12"/>
  <c r="CW122" i="12"/>
  <c r="DD122" i="12"/>
  <c r="CZ122" i="12"/>
  <c r="CY51" i="12"/>
  <c r="CW51" i="12"/>
  <c r="CZ51" i="12"/>
  <c r="DD51" i="12"/>
  <c r="CW58" i="12"/>
  <c r="CY58" i="12"/>
  <c r="CZ58" i="12"/>
  <c r="DD58" i="12"/>
  <c r="CW24" i="12"/>
  <c r="CY24" i="12"/>
  <c r="DD24" i="12"/>
  <c r="CZ24" i="12"/>
  <c r="CY31" i="12"/>
  <c r="CW31" i="12"/>
  <c r="DD31" i="12"/>
  <c r="CZ31" i="12"/>
  <c r="CY100" i="12"/>
  <c r="CW100" i="12"/>
  <c r="CZ100" i="12"/>
  <c r="DD100" i="12"/>
  <c r="DB100" i="12"/>
  <c r="CY64" i="12"/>
  <c r="CW64" i="12"/>
  <c r="DD64" i="12"/>
  <c r="CZ64" i="12"/>
  <c r="DB64" i="12"/>
  <c r="CW91" i="12"/>
  <c r="CY91" i="12"/>
  <c r="CZ91" i="12"/>
  <c r="DD91" i="12"/>
  <c r="CW10" i="12"/>
  <c r="CY10" i="12"/>
  <c r="DD10" i="12"/>
  <c r="CZ10" i="12"/>
  <c r="DB10" i="12"/>
  <c r="CY46" i="12"/>
  <c r="CW46" i="12"/>
  <c r="CZ46" i="12"/>
  <c r="DD46" i="12"/>
  <c r="CW125" i="12"/>
  <c r="CY125" i="12"/>
  <c r="CZ125" i="12"/>
  <c r="DD125" i="12"/>
  <c r="DB125" i="12"/>
  <c r="CN147" i="12"/>
  <c r="CY89" i="12"/>
  <c r="CW89" i="12"/>
  <c r="DD89" i="12"/>
  <c r="CZ89" i="12"/>
  <c r="DB89" i="12"/>
  <c r="CW118" i="12"/>
  <c r="CY118" i="12"/>
  <c r="DD118" i="12"/>
  <c r="CZ118" i="12"/>
  <c r="CY48" i="12"/>
  <c r="CW48" i="12"/>
  <c r="CZ48" i="12"/>
  <c r="DD48" i="12"/>
  <c r="CW117" i="12"/>
  <c r="CY117" i="12"/>
  <c r="DD117" i="12"/>
  <c r="CZ117" i="12"/>
  <c r="DB117" i="12"/>
  <c r="DB85" i="12"/>
  <c r="CY85" i="12"/>
  <c r="CW85" i="12"/>
  <c r="CZ85" i="12"/>
  <c r="DD85" i="12"/>
  <c r="EC164" i="12"/>
  <c r="CW52" i="12"/>
  <c r="CY52" i="12"/>
  <c r="CZ52" i="12"/>
  <c r="DD52" i="12"/>
  <c r="DB52" i="12"/>
  <c r="CW114" i="12"/>
  <c r="CY114" i="12"/>
  <c r="DD114" i="12"/>
  <c r="CZ114" i="12"/>
  <c r="DB114" i="12"/>
  <c r="CY54" i="12"/>
  <c r="CW54" i="12"/>
  <c r="DD54" i="12"/>
  <c r="CZ54" i="12"/>
  <c r="DB54" i="12"/>
  <c r="CW96" i="12"/>
  <c r="CY96" i="12"/>
  <c r="CZ96" i="12"/>
  <c r="DD96" i="12"/>
  <c r="CY92" i="12"/>
  <c r="CW92" i="12"/>
  <c r="CZ92" i="12"/>
  <c r="DD92" i="12"/>
  <c r="DB92" i="12"/>
  <c r="CW30" i="12"/>
  <c r="CY30" i="12"/>
  <c r="CZ30" i="12"/>
  <c r="DD30" i="12"/>
  <c r="DB30" i="12"/>
  <c r="CY80" i="12"/>
  <c r="CW80" i="12"/>
  <c r="CZ80" i="12"/>
  <c r="DD80" i="12"/>
  <c r="DB80" i="12"/>
  <c r="CW33" i="12"/>
  <c r="CY33" i="12"/>
  <c r="CZ33" i="12"/>
  <c r="DD33" i="12"/>
  <c r="DB34" i="12"/>
  <c r="CW34" i="12"/>
  <c r="CY34" i="12"/>
  <c r="CZ34" i="12"/>
  <c r="DD34" i="12"/>
  <c r="CY49" i="12"/>
  <c r="CW49" i="12"/>
  <c r="CZ49" i="12"/>
  <c r="DD49" i="12"/>
  <c r="DB49" i="12"/>
  <c r="CW55" i="12"/>
  <c r="CY55" i="12"/>
  <c r="DD55" i="12"/>
  <c r="CZ55" i="12"/>
  <c r="CW42" i="12"/>
  <c r="CY42" i="12"/>
  <c r="DD42" i="12"/>
  <c r="CZ42" i="12"/>
  <c r="DB42" i="12"/>
  <c r="CY22" i="12"/>
  <c r="CW22" i="12"/>
  <c r="DD22" i="12"/>
  <c r="CZ22" i="12"/>
  <c r="CW95" i="12"/>
  <c r="CY95" i="12"/>
  <c r="CZ95" i="12"/>
  <c r="DD95" i="12"/>
  <c r="DB95" i="12"/>
  <c r="DB58" i="12"/>
  <c r="DB41" i="12"/>
  <c r="CY116" i="12"/>
  <c r="CW116" i="12"/>
  <c r="CZ116" i="12"/>
  <c r="DD116" i="12"/>
  <c r="CY43" i="12"/>
  <c r="CW43" i="12"/>
  <c r="DD43" i="12"/>
  <c r="CZ43" i="12"/>
  <c r="CY111" i="12"/>
  <c r="CW111" i="12"/>
  <c r="CZ111" i="12"/>
  <c r="DD111" i="12"/>
  <c r="DB24" i="12"/>
  <c r="DB122" i="12"/>
  <c r="CY108" i="12"/>
  <c r="CW108" i="12"/>
  <c r="DD108" i="12"/>
  <c r="CZ108" i="12"/>
  <c r="DB108" i="12"/>
  <c r="CY23" i="12"/>
  <c r="CW23" i="12"/>
  <c r="DD23" i="12"/>
  <c r="CZ23" i="12"/>
  <c r="DB23" i="12"/>
  <c r="CY107" i="12"/>
  <c r="CW107" i="12"/>
  <c r="CZ107" i="12"/>
  <c r="DD107" i="12"/>
  <c r="DB107" i="12"/>
  <c r="CY14" i="12"/>
  <c r="CW14" i="12"/>
  <c r="DD14" i="12"/>
  <c r="CZ14" i="12"/>
  <c r="CY72" i="12"/>
  <c r="CW72" i="12"/>
  <c r="CZ72" i="12"/>
  <c r="DD72" i="12"/>
  <c r="CQ164" i="12"/>
  <c r="DB118" i="12"/>
  <c r="CW61" i="12"/>
  <c r="CY61" i="12"/>
  <c r="DD61" i="12"/>
  <c r="CZ61" i="12"/>
  <c r="DB61" i="12"/>
  <c r="CW27" i="12"/>
  <c r="CY27" i="12"/>
  <c r="CZ27" i="12"/>
  <c r="DD27" i="12"/>
  <c r="DB27" i="12"/>
  <c r="CW16" i="12"/>
  <c r="CY16" i="12"/>
  <c r="CZ16" i="12"/>
  <c r="DD16" i="12"/>
  <c r="DB16" i="12"/>
  <c r="CW94" i="12"/>
  <c r="CY94" i="12"/>
  <c r="DD94" i="12"/>
  <c r="CZ94" i="12"/>
  <c r="DB94" i="12"/>
  <c r="DB68" i="12"/>
  <c r="CY121" i="12"/>
  <c r="CW121" i="12"/>
  <c r="CZ121" i="12"/>
  <c r="DD121" i="12"/>
  <c r="DB121" i="12"/>
  <c r="DB33" i="12"/>
  <c r="CY45" i="12"/>
  <c r="CW45" i="12"/>
  <c r="DD45" i="12"/>
  <c r="CZ45" i="12"/>
  <c r="DB45" i="12"/>
  <c r="DB55" i="12"/>
  <c r="DB86" i="12"/>
  <c r="DB44" i="12"/>
  <c r="CW44" i="12"/>
  <c r="CY44" i="12"/>
  <c r="DD44" i="12"/>
  <c r="CZ44" i="12"/>
  <c r="CY119" i="12"/>
  <c r="CW119" i="12"/>
  <c r="CZ119" i="12"/>
  <c r="DD119" i="12"/>
  <c r="CY15" i="12"/>
  <c r="CW15" i="12"/>
  <c r="DD15" i="12"/>
  <c r="CZ15" i="12"/>
  <c r="DB15" i="12"/>
  <c r="DB119" i="12"/>
  <c r="CW59" i="12"/>
  <c r="CY59" i="12"/>
  <c r="DD59" i="12"/>
  <c r="CZ59" i="12"/>
  <c r="BZ151" i="12"/>
  <c r="CW75" i="12"/>
  <c r="CY75" i="12"/>
  <c r="DD75" i="12"/>
  <c r="CZ75" i="12"/>
  <c r="CW19" i="12"/>
  <c r="CY19" i="12"/>
  <c r="CZ19" i="12"/>
  <c r="DD19" i="12"/>
  <c r="CW110" i="12"/>
  <c r="CY110" i="12"/>
  <c r="CZ110" i="12"/>
  <c r="DD110" i="12"/>
  <c r="CW113" i="12"/>
  <c r="CY113" i="12"/>
  <c r="CZ113" i="12"/>
  <c r="DD113" i="12"/>
  <c r="CW66" i="12"/>
  <c r="CY66" i="12"/>
  <c r="DD66" i="12"/>
  <c r="CZ66" i="12"/>
  <c r="CW71" i="12"/>
  <c r="CY71" i="12"/>
  <c r="DD71" i="12"/>
  <c r="CZ71" i="12"/>
  <c r="CW17" i="12"/>
  <c r="CY17" i="12"/>
  <c r="DD17" i="12"/>
  <c r="CZ17" i="12"/>
  <c r="CY12" i="12"/>
  <c r="CW12" i="12"/>
  <c r="DD12" i="12"/>
  <c r="CZ12" i="12"/>
  <c r="DB12" i="12"/>
  <c r="CW32" i="12"/>
  <c r="CY32" i="12"/>
  <c r="CZ32" i="12"/>
  <c r="DD32" i="12"/>
  <c r="DB32" i="12"/>
  <c r="CW57" i="12"/>
  <c r="CY57" i="12"/>
  <c r="CZ57" i="12"/>
  <c r="DD57" i="12"/>
  <c r="DB57" i="12"/>
  <c r="CY6" i="12"/>
  <c r="CW6" i="12"/>
  <c r="DD6" i="12"/>
  <c r="CZ6" i="12"/>
  <c r="DB6" i="12"/>
  <c r="CY115" i="12"/>
  <c r="CW115" i="12"/>
  <c r="CZ115" i="12"/>
  <c r="DD115" i="12"/>
  <c r="DB51" i="12"/>
  <c r="CW105" i="12"/>
  <c r="CY105" i="12"/>
  <c r="CZ105" i="12"/>
  <c r="DD105" i="12"/>
  <c r="DB20" i="12"/>
  <c r="CW20" i="12"/>
  <c r="CY20" i="12"/>
  <c r="CZ20" i="12"/>
  <c r="DD20" i="12"/>
  <c r="CN123" i="12"/>
  <c r="CN126" i="12" s="1"/>
  <c r="CX123" i="12"/>
  <c r="CW8" i="12"/>
  <c r="CY8" i="12"/>
  <c r="DD8" i="12"/>
  <c r="CZ8" i="12"/>
  <c r="CX134" i="12"/>
  <c r="CX138" i="12" s="1"/>
  <c r="CX183" i="12" s="1"/>
  <c r="DB8" i="12"/>
  <c r="DB26" i="12"/>
  <c r="CY28" i="12"/>
  <c r="CW28" i="12"/>
  <c r="CZ28" i="12"/>
  <c r="DD28" i="12"/>
  <c r="CY70" i="12"/>
  <c r="CW70" i="12"/>
  <c r="CZ70" i="12"/>
  <c r="DD70" i="12"/>
  <c r="DB70" i="12"/>
  <c r="CW93" i="12"/>
  <c r="CY93" i="12"/>
  <c r="CZ93" i="12"/>
  <c r="DD93" i="12"/>
  <c r="DB93" i="12"/>
  <c r="CW35" i="12"/>
  <c r="CY35" i="12"/>
  <c r="CZ35" i="12"/>
  <c r="DD35" i="12"/>
  <c r="DB35" i="12"/>
  <c r="CY25" i="12"/>
  <c r="CW25" i="12"/>
  <c r="DD25" i="12"/>
  <c r="CZ25" i="12"/>
  <c r="DB25" i="12"/>
  <c r="DB28" i="12"/>
  <c r="CK178" i="12"/>
  <c r="CW5" i="12"/>
  <c r="CY5" i="12"/>
  <c r="CX174" i="12"/>
  <c r="CZ5" i="12"/>
  <c r="DD5" i="12"/>
  <c r="DB87" i="12"/>
  <c r="DB88" i="12"/>
  <c r="CW88" i="12"/>
  <c r="CY88" i="12"/>
  <c r="CZ88" i="12"/>
  <c r="DD88" i="12"/>
  <c r="CW40" i="12"/>
  <c r="CY40" i="12"/>
  <c r="DD40" i="12"/>
  <c r="CZ40" i="12"/>
  <c r="DB40" i="12"/>
  <c r="CY69" i="12"/>
  <c r="CW69" i="12"/>
  <c r="CZ69" i="12"/>
  <c r="DD69" i="12"/>
  <c r="DB18" i="12"/>
  <c r="CW99" i="12"/>
  <c r="CY99" i="12"/>
  <c r="CZ99" i="12"/>
  <c r="DD99" i="12"/>
  <c r="DB11" i="12"/>
  <c r="CY53" i="12"/>
  <c r="CW53" i="12"/>
  <c r="DD53" i="12"/>
  <c r="CZ53" i="12"/>
  <c r="DB37" i="12"/>
  <c r="CW37" i="12"/>
  <c r="CY37" i="12"/>
  <c r="CZ37" i="12"/>
  <c r="DD37" i="12"/>
  <c r="DB113" i="12"/>
  <c r="CW81" i="12"/>
  <c r="CY81" i="12"/>
  <c r="DD81" i="12"/>
  <c r="CZ81" i="12"/>
  <c r="DB66" i="12"/>
  <c r="CY60" i="12"/>
  <c r="CW60" i="12"/>
  <c r="CZ60" i="12"/>
  <c r="DD60" i="12"/>
  <c r="CY47" i="12"/>
  <c r="CW47" i="12"/>
  <c r="CZ47" i="12"/>
  <c r="DD47" i="12"/>
  <c r="DB56" i="12"/>
  <c r="CY56" i="12"/>
  <c r="CW56" i="12"/>
  <c r="CZ56" i="12"/>
  <c r="DD56" i="12"/>
  <c r="CY36" i="12"/>
  <c r="CW36" i="12"/>
  <c r="DD36" i="12"/>
  <c r="CZ36" i="12"/>
  <c r="DB36" i="12"/>
  <c r="CW83" i="12"/>
  <c r="CY83" i="12"/>
  <c r="DD83" i="12"/>
  <c r="CZ83" i="12"/>
  <c r="DB31" i="12"/>
  <c r="CY29" i="12"/>
  <c r="CW29" i="12"/>
  <c r="DD29" i="12"/>
  <c r="CZ29" i="12"/>
  <c r="CY84" i="12"/>
  <c r="CW84" i="12"/>
  <c r="CZ84" i="12"/>
  <c r="DD84" i="12"/>
  <c r="DB84" i="12"/>
  <c r="CY67" i="12"/>
  <c r="CW67" i="12"/>
  <c r="CZ67" i="12"/>
  <c r="DD67" i="12"/>
  <c r="CW120" i="12"/>
  <c r="CY120" i="12"/>
  <c r="CZ120" i="12"/>
  <c r="DD120" i="12"/>
  <c r="DB120" i="12"/>
  <c r="DB91" i="12"/>
  <c r="CW63" i="12"/>
  <c r="CY63" i="12"/>
  <c r="DD63" i="12"/>
  <c r="CZ63" i="12"/>
  <c r="DB105" i="12"/>
  <c r="CY102" i="12"/>
  <c r="CW102" i="12"/>
  <c r="DD102" i="12"/>
  <c r="CZ102" i="12"/>
  <c r="DB102" i="12"/>
  <c r="CX126" i="12"/>
  <c r="CW39" i="12"/>
  <c r="CY39" i="12"/>
  <c r="CZ39" i="12"/>
  <c r="DD39" i="12"/>
  <c r="CY98" i="12"/>
  <c r="CW98" i="12"/>
  <c r="CZ98" i="12"/>
  <c r="DD98" i="12"/>
  <c r="CW50" i="12"/>
  <c r="CY50" i="12"/>
  <c r="DD50" i="12"/>
  <c r="CZ50" i="12"/>
  <c r="CW65" i="12"/>
  <c r="CY65" i="12"/>
  <c r="DD65" i="12"/>
  <c r="CZ65" i="12"/>
  <c r="DB65" i="12"/>
  <c r="DB48" i="12"/>
  <c r="CW38" i="12"/>
  <c r="CY38" i="12"/>
  <c r="DD38" i="12"/>
  <c r="CZ38" i="12"/>
  <c r="CW76" i="12"/>
  <c r="CY76" i="12"/>
  <c r="DD76" i="12"/>
  <c r="CZ76" i="12"/>
  <c r="DB76" i="12"/>
  <c r="CY106" i="12"/>
  <c r="CW106" i="12"/>
  <c r="CZ106" i="12"/>
  <c r="DD106" i="12"/>
  <c r="DB106" i="12"/>
  <c r="CW103" i="12"/>
  <c r="CY103" i="12"/>
  <c r="DD103" i="12"/>
  <c r="CZ103" i="12"/>
  <c r="DB103" i="12"/>
  <c r="DB96" i="12"/>
  <c r="CY78" i="12"/>
  <c r="CW78" i="12"/>
  <c r="CZ78" i="12"/>
  <c r="DD78" i="12"/>
  <c r="CW104" i="12"/>
  <c r="CY104" i="12"/>
  <c r="DD104" i="12"/>
  <c r="CZ104" i="12"/>
  <c r="DB104" i="12"/>
  <c r="DB116" i="12"/>
  <c r="CW9" i="12"/>
  <c r="CY9" i="12"/>
  <c r="CZ9" i="12"/>
  <c r="DD9" i="12"/>
  <c r="DB9" i="12"/>
  <c r="CW124" i="12"/>
  <c r="CY124" i="12"/>
  <c r="CZ124" i="12"/>
  <c r="DD124" i="12"/>
  <c r="DB124" i="12"/>
  <c r="DB110" i="12"/>
  <c r="CW13" i="12"/>
  <c r="CY13" i="12"/>
  <c r="DD13" i="12"/>
  <c r="CZ13" i="12"/>
  <c r="DB46" i="12"/>
  <c r="DB22" i="12"/>
  <c r="DB39" i="12"/>
  <c r="CW21" i="12"/>
  <c r="CY21" i="12"/>
  <c r="CZ21" i="12"/>
  <c r="DD21" i="12"/>
  <c r="DB109" i="12"/>
  <c r="H17" i="17"/>
  <c r="H19" i="17" s="1"/>
  <c r="I18" i="17"/>
  <c r="DA103" i="12" l="1"/>
  <c r="DK103" i="12"/>
  <c r="DA106" i="12"/>
  <c r="DK106" i="12"/>
  <c r="DA76" i="12"/>
  <c r="DK76" i="12"/>
  <c r="DA38" i="12"/>
  <c r="DK38" i="12"/>
  <c r="DA65" i="12"/>
  <c r="DK65" i="12"/>
  <c r="DA50" i="12"/>
  <c r="DK50" i="12"/>
  <c r="CX182" i="12"/>
  <c r="CW183" i="12" s="1"/>
  <c r="CX177" i="12"/>
  <c r="DA102" i="12"/>
  <c r="DK102" i="12"/>
  <c r="DA120" i="12"/>
  <c r="DK120" i="12"/>
  <c r="DA67" i="12"/>
  <c r="DK67" i="12"/>
  <c r="DA29" i="12"/>
  <c r="DK29" i="12"/>
  <c r="DA36" i="12"/>
  <c r="DK36" i="12"/>
  <c r="DO36" i="12" s="1"/>
  <c r="DA47" i="12"/>
  <c r="DK47" i="12"/>
  <c r="DA60" i="12"/>
  <c r="DK60" i="12"/>
  <c r="DA81" i="12"/>
  <c r="DK81" i="12"/>
  <c r="DA37" i="12"/>
  <c r="DK37" i="12"/>
  <c r="DO37" i="12" s="1"/>
  <c r="DA53" i="12"/>
  <c r="DK53" i="12"/>
  <c r="DA99" i="12"/>
  <c r="DK99" i="12"/>
  <c r="DA88" i="12"/>
  <c r="DK88" i="12"/>
  <c r="DO88" i="12" s="1"/>
  <c r="DA5" i="12"/>
  <c r="DK5" i="12"/>
  <c r="DA93" i="12"/>
  <c r="DK93" i="12"/>
  <c r="DA70" i="12"/>
  <c r="DK70" i="12"/>
  <c r="DA28" i="12"/>
  <c r="DK28" i="12"/>
  <c r="DA8" i="12"/>
  <c r="DK8" i="12"/>
  <c r="CY147" i="12"/>
  <c r="CY151" i="12" s="1"/>
  <c r="CY123" i="12"/>
  <c r="CY126" i="12" s="1"/>
  <c r="CW123" i="12"/>
  <c r="DD123" i="12"/>
  <c r="DD126" i="12" s="1"/>
  <c r="CZ123" i="12"/>
  <c r="DB123" i="12"/>
  <c r="DA20" i="12"/>
  <c r="DK20" i="12"/>
  <c r="DA115" i="12"/>
  <c r="DK115" i="12"/>
  <c r="DA6" i="12"/>
  <c r="DK6" i="12"/>
  <c r="DO6" i="12" s="1"/>
  <c r="DA57" i="12"/>
  <c r="DK57" i="12"/>
  <c r="DA17" i="12"/>
  <c r="DK17" i="12"/>
  <c r="DA71" i="12"/>
  <c r="DK71" i="12"/>
  <c r="DA66" i="12"/>
  <c r="DK66" i="12"/>
  <c r="DO66" i="12" s="1"/>
  <c r="DA113" i="12"/>
  <c r="DK113" i="12"/>
  <c r="DA110" i="12"/>
  <c r="DK110" i="12"/>
  <c r="DO110" i="12" s="1"/>
  <c r="DA19" i="12"/>
  <c r="DK19" i="12"/>
  <c r="DA75" i="12"/>
  <c r="DK75" i="12"/>
  <c r="DA59" i="12"/>
  <c r="DK59" i="12"/>
  <c r="DA15" i="12"/>
  <c r="DK15" i="12"/>
  <c r="DO15" i="12" s="1"/>
  <c r="DA44" i="12"/>
  <c r="DK44" i="12"/>
  <c r="DO44" i="12" s="1"/>
  <c r="DA45" i="12"/>
  <c r="DK45" i="12"/>
  <c r="DO45" i="12" s="1"/>
  <c r="DA94" i="12"/>
  <c r="DK94" i="12"/>
  <c r="DO94" i="12" s="1"/>
  <c r="DA16" i="12"/>
  <c r="DK16" i="12"/>
  <c r="DA14" i="12"/>
  <c r="DK14" i="12"/>
  <c r="DA107" i="12"/>
  <c r="DK107" i="12"/>
  <c r="DA23" i="12"/>
  <c r="DK23" i="12"/>
  <c r="DA111" i="12"/>
  <c r="DK111" i="12"/>
  <c r="DA116" i="12"/>
  <c r="DK116" i="12"/>
  <c r="DO116" i="12" s="1"/>
  <c r="DA22" i="12"/>
  <c r="DK22" i="12"/>
  <c r="DO22" i="12" s="1"/>
  <c r="DA33" i="12"/>
  <c r="DK33" i="12"/>
  <c r="DO33" i="12" s="1"/>
  <c r="DA30" i="12"/>
  <c r="DK30" i="12"/>
  <c r="DA114" i="12"/>
  <c r="DK114" i="12"/>
  <c r="DO114" i="12" s="1"/>
  <c r="DA52" i="12"/>
  <c r="DK52" i="12"/>
  <c r="DA85" i="12"/>
  <c r="DK85" i="12"/>
  <c r="DO85" i="12" s="1"/>
  <c r="DA48" i="12"/>
  <c r="DK48" i="12"/>
  <c r="DA89" i="12"/>
  <c r="DK89" i="12"/>
  <c r="DO89" i="12" s="1"/>
  <c r="CM147" i="12"/>
  <c r="CN151" i="12"/>
  <c r="DA10" i="12"/>
  <c r="DK10" i="12"/>
  <c r="DO10" i="12" s="1"/>
  <c r="DA31" i="12"/>
  <c r="DK31" i="12"/>
  <c r="DA24" i="12"/>
  <c r="DK24" i="12"/>
  <c r="DA62" i="12"/>
  <c r="DK62" i="12"/>
  <c r="DO62" i="12" s="1"/>
  <c r="DA41" i="12"/>
  <c r="DK41" i="12"/>
  <c r="DO41" i="12" s="1"/>
  <c r="DA18" i="12"/>
  <c r="DK18" i="12"/>
  <c r="DO18" i="12" s="1"/>
  <c r="DA68" i="12"/>
  <c r="DK68" i="12"/>
  <c r="DD160" i="12"/>
  <c r="CW126" i="12"/>
  <c r="CX176" i="12" s="1"/>
  <c r="CX178" i="12" s="1"/>
  <c r="DA26" i="12"/>
  <c r="DK26" i="12"/>
  <c r="DO26" i="12" s="1"/>
  <c r="DA124" i="12"/>
  <c r="DK124" i="12"/>
  <c r="DA104" i="12"/>
  <c r="DK104" i="12"/>
  <c r="DA21" i="12"/>
  <c r="DK21" i="12"/>
  <c r="DA13" i="12"/>
  <c r="DK13" i="12"/>
  <c r="DA9" i="12"/>
  <c r="DK9" i="12"/>
  <c r="DA78" i="12"/>
  <c r="DK78" i="12"/>
  <c r="DO103" i="12"/>
  <c r="DO76" i="12"/>
  <c r="DO65" i="12"/>
  <c r="DA98" i="12"/>
  <c r="DK98" i="12"/>
  <c r="DA39" i="12"/>
  <c r="DK39" i="12"/>
  <c r="DO102" i="12"/>
  <c r="DA63" i="12"/>
  <c r="DK63" i="12"/>
  <c r="DA84" i="12"/>
  <c r="DK84" i="12"/>
  <c r="DA83" i="12"/>
  <c r="DK83" i="12"/>
  <c r="DA56" i="12"/>
  <c r="DK56" i="12"/>
  <c r="DA69" i="12"/>
  <c r="DK69" i="12"/>
  <c r="DA40" i="12"/>
  <c r="DK40" i="12"/>
  <c r="DA25" i="12"/>
  <c r="DK25" i="12"/>
  <c r="DA35" i="12"/>
  <c r="DK35" i="12"/>
  <c r="DO20" i="12"/>
  <c r="DA105" i="12"/>
  <c r="DK105" i="12"/>
  <c r="DA32" i="12"/>
  <c r="DK32" i="12"/>
  <c r="DA12" i="12"/>
  <c r="DK12" i="12"/>
  <c r="DA119" i="12"/>
  <c r="DK119" i="12"/>
  <c r="DA121" i="12"/>
  <c r="DK121" i="12"/>
  <c r="DA27" i="12"/>
  <c r="DK27" i="12"/>
  <c r="DA61" i="12"/>
  <c r="DK61" i="12"/>
  <c r="DA72" i="12"/>
  <c r="DK72" i="12"/>
  <c r="DA108" i="12"/>
  <c r="DK108" i="12"/>
  <c r="DA43" i="12"/>
  <c r="DK43" i="12"/>
  <c r="DA95" i="12"/>
  <c r="DK95" i="12"/>
  <c r="DA42" i="12"/>
  <c r="DK42" i="12"/>
  <c r="DA55" i="12"/>
  <c r="DK55" i="12"/>
  <c r="DA49" i="12"/>
  <c r="DK49" i="12"/>
  <c r="DA34" i="12"/>
  <c r="DK34" i="12"/>
  <c r="DA80" i="12"/>
  <c r="DK80" i="12"/>
  <c r="DA92" i="12"/>
  <c r="DK92" i="12"/>
  <c r="DA96" i="12"/>
  <c r="DK96" i="12"/>
  <c r="DA54" i="12"/>
  <c r="DK54" i="12"/>
  <c r="DO54" i="12" s="1"/>
  <c r="DA117" i="12"/>
  <c r="DK117" i="12"/>
  <c r="DO117" i="12" s="1"/>
  <c r="DA118" i="12"/>
  <c r="DK118" i="12"/>
  <c r="DA125" i="12"/>
  <c r="DK125" i="12"/>
  <c r="DA46" i="12"/>
  <c r="DK46" i="12"/>
  <c r="DO46" i="12" s="1"/>
  <c r="DA91" i="12"/>
  <c r="DK91" i="12"/>
  <c r="DA64" i="12"/>
  <c r="DK64" i="12"/>
  <c r="DA100" i="12"/>
  <c r="DK100" i="12"/>
  <c r="DA58" i="12"/>
  <c r="DK58" i="12"/>
  <c r="DO58" i="12" s="1"/>
  <c r="DA51" i="12"/>
  <c r="DK51" i="12"/>
  <c r="DO51" i="12" s="1"/>
  <c r="DA122" i="12"/>
  <c r="DK122" i="12"/>
  <c r="DO122" i="12" s="1"/>
  <c r="DA86" i="12"/>
  <c r="DK86" i="12"/>
  <c r="DA109" i="12"/>
  <c r="DK109" i="12"/>
  <c r="DA11" i="12"/>
  <c r="DA147" i="12" s="1"/>
  <c r="DK11" i="12"/>
  <c r="DA87" i="12"/>
  <c r="DK87" i="12"/>
  <c r="DB126" i="12"/>
  <c r="D40" i="4"/>
  <c r="C40" i="4"/>
  <c r="I5" i="18"/>
  <c r="I24" i="18" s="1"/>
  <c r="C31" i="4"/>
  <c r="C56" i="4"/>
  <c r="C47" i="4"/>
  <c r="D31" i="4"/>
  <c r="C87" i="4"/>
  <c r="C86" i="4"/>
  <c r="C84" i="4"/>
  <c r="C71" i="4"/>
  <c r="C78" i="4"/>
  <c r="H5" i="16"/>
  <c r="D5" i="16" s="1"/>
  <c r="D18" i="16" s="1"/>
  <c r="H18" i="16" s="1"/>
  <c r="C63" i="4"/>
  <c r="C46" i="4"/>
  <c r="C30" i="4"/>
  <c r="AQ2" i="13"/>
  <c r="H20" i="7"/>
  <c r="B47" i="11"/>
  <c r="H16" i="11"/>
  <c r="I91" i="7"/>
  <c r="B16" i="11"/>
  <c r="H65" i="11" s="1"/>
  <c r="I30" i="7"/>
  <c r="I78" i="7"/>
  <c r="I97" i="7" s="1"/>
  <c r="A4" i="4"/>
  <c r="C20" i="7"/>
  <c r="CX175" i="12" l="1"/>
  <c r="DO87" i="12"/>
  <c r="DJ87" i="12"/>
  <c r="DL87" i="12"/>
  <c r="DM87" i="12"/>
  <c r="DQ87" i="12"/>
  <c r="DK134" i="12"/>
  <c r="DK138" i="12" s="1"/>
  <c r="DK183" i="12" s="1"/>
  <c r="DL11" i="12"/>
  <c r="DJ11" i="12"/>
  <c r="DM11" i="12"/>
  <c r="DQ11" i="12"/>
  <c r="DJ109" i="12"/>
  <c r="DL109" i="12"/>
  <c r="DQ109" i="12"/>
  <c r="DM109" i="12"/>
  <c r="DJ86" i="12"/>
  <c r="DL86" i="12"/>
  <c r="DQ86" i="12"/>
  <c r="DM86" i="12"/>
  <c r="DL64" i="12"/>
  <c r="DJ64" i="12"/>
  <c r="DQ64" i="12"/>
  <c r="DM64" i="12"/>
  <c r="DL91" i="12"/>
  <c r="DJ91" i="12"/>
  <c r="DM91" i="12"/>
  <c r="DQ91" i="12"/>
  <c r="DJ80" i="12"/>
  <c r="DL80" i="12"/>
  <c r="DQ80" i="12"/>
  <c r="DM80" i="12"/>
  <c r="DO80" i="12"/>
  <c r="DJ55" i="12"/>
  <c r="DL55" i="12"/>
  <c r="DQ55" i="12"/>
  <c r="DM55" i="12"/>
  <c r="DJ42" i="12"/>
  <c r="DL42" i="12"/>
  <c r="DQ42" i="12"/>
  <c r="DM42" i="12"/>
  <c r="DL95" i="12"/>
  <c r="DJ95" i="12"/>
  <c r="DM95" i="12"/>
  <c r="DQ95" i="12"/>
  <c r="DO95" i="12"/>
  <c r="DL43" i="12"/>
  <c r="DJ43" i="12"/>
  <c r="DM43" i="12"/>
  <c r="DQ43" i="12"/>
  <c r="DO43" i="12"/>
  <c r="DL61" i="12"/>
  <c r="DJ61" i="12"/>
  <c r="DM61" i="12"/>
  <c r="DQ61" i="12"/>
  <c r="DL27" i="12"/>
  <c r="DJ27" i="12"/>
  <c r="DM27" i="12"/>
  <c r="DQ27" i="12"/>
  <c r="DO27" i="12"/>
  <c r="DL121" i="12"/>
  <c r="DJ121" i="12"/>
  <c r="DM121" i="12"/>
  <c r="DQ121" i="12"/>
  <c r="DO121" i="12"/>
  <c r="DO86" i="12"/>
  <c r="DJ12" i="12"/>
  <c r="DL12" i="12"/>
  <c r="DM12" i="12"/>
  <c r="DQ12" i="12"/>
  <c r="DL32" i="12"/>
  <c r="DJ32" i="12"/>
  <c r="DM32" i="12"/>
  <c r="DQ32" i="12"/>
  <c r="DO32" i="12"/>
  <c r="DJ105" i="12"/>
  <c r="DL105" i="12"/>
  <c r="DM105" i="12"/>
  <c r="DQ105" i="12"/>
  <c r="DO35" i="12"/>
  <c r="DL35" i="12"/>
  <c r="DJ35" i="12"/>
  <c r="DM35" i="12"/>
  <c r="DQ35" i="12"/>
  <c r="DL25" i="12"/>
  <c r="DJ25" i="12"/>
  <c r="DM25" i="12"/>
  <c r="DQ25" i="12"/>
  <c r="DL56" i="12"/>
  <c r="DJ56" i="12"/>
  <c r="DM56" i="12"/>
  <c r="DQ56" i="12"/>
  <c r="DO91" i="12"/>
  <c r="DJ39" i="12"/>
  <c r="DL39" i="12"/>
  <c r="DQ39" i="12"/>
  <c r="DM39" i="12"/>
  <c r="DL98" i="12"/>
  <c r="DJ98" i="12"/>
  <c r="DM98" i="12"/>
  <c r="DQ98" i="12"/>
  <c r="DO98" i="12"/>
  <c r="DJ21" i="12"/>
  <c r="DL21" i="12"/>
  <c r="DQ21" i="12"/>
  <c r="DM21" i="12"/>
  <c r="DO21" i="12"/>
  <c r="DO109" i="12"/>
  <c r="DD164" i="12"/>
  <c r="DL10" i="12"/>
  <c r="DJ10" i="12"/>
  <c r="DM10" i="12"/>
  <c r="DQ10" i="12"/>
  <c r="DJ89" i="12"/>
  <c r="DL89" i="12"/>
  <c r="DQ89" i="12"/>
  <c r="DM89" i="12"/>
  <c r="DJ48" i="12"/>
  <c r="DL48" i="12"/>
  <c r="DQ48" i="12"/>
  <c r="DM48" i="12"/>
  <c r="DL114" i="12"/>
  <c r="DJ114" i="12"/>
  <c r="DM114" i="12"/>
  <c r="DQ114" i="12"/>
  <c r="DL22" i="12"/>
  <c r="DJ22" i="12"/>
  <c r="DQ22" i="12"/>
  <c r="DM22" i="12"/>
  <c r="DO23" i="12"/>
  <c r="DL23" i="12"/>
  <c r="DJ23" i="12"/>
  <c r="DQ23" i="12"/>
  <c r="DM23" i="12"/>
  <c r="DJ107" i="12"/>
  <c r="DL107" i="12"/>
  <c r="DQ107" i="12"/>
  <c r="DM107" i="12"/>
  <c r="DO107" i="12"/>
  <c r="DJ16" i="12"/>
  <c r="DL16" i="12"/>
  <c r="DM16" i="12"/>
  <c r="DQ16" i="12"/>
  <c r="DO16" i="12"/>
  <c r="DL59" i="12"/>
  <c r="DJ59" i="12"/>
  <c r="DM59" i="12"/>
  <c r="DQ59" i="12"/>
  <c r="DO59" i="12"/>
  <c r="DL75" i="12"/>
  <c r="DJ75" i="12"/>
  <c r="DQ75" i="12"/>
  <c r="DM75" i="12"/>
  <c r="DO75" i="12"/>
  <c r="DL19" i="12"/>
  <c r="DJ19" i="12"/>
  <c r="DQ19" i="12"/>
  <c r="DM19" i="12"/>
  <c r="DO19" i="12"/>
  <c r="DL110" i="12"/>
  <c r="DJ110" i="12"/>
  <c r="DM110" i="12"/>
  <c r="DQ110" i="12"/>
  <c r="DJ113" i="12"/>
  <c r="DL113" i="12"/>
  <c r="DM113" i="12"/>
  <c r="DQ113" i="12"/>
  <c r="DJ66" i="12"/>
  <c r="DL66" i="12"/>
  <c r="DQ66" i="12"/>
  <c r="DM66" i="12"/>
  <c r="DJ71" i="12"/>
  <c r="DL71" i="12"/>
  <c r="DM71" i="12"/>
  <c r="DQ71" i="12"/>
  <c r="DO71" i="12"/>
  <c r="DJ17" i="12"/>
  <c r="DL17" i="12"/>
  <c r="DM17" i="12"/>
  <c r="DQ17" i="12"/>
  <c r="DO17" i="12"/>
  <c r="DO12" i="12"/>
  <c r="DJ6" i="12"/>
  <c r="DL6" i="12"/>
  <c r="DQ6" i="12"/>
  <c r="DM6" i="12"/>
  <c r="DL115" i="12"/>
  <c r="DJ115" i="12"/>
  <c r="DQ115" i="12"/>
  <c r="DM115" i="12"/>
  <c r="DO115" i="12"/>
  <c r="DA123" i="12"/>
  <c r="DK123" i="12"/>
  <c r="DO28" i="12"/>
  <c r="DL28" i="12"/>
  <c r="DJ28" i="12"/>
  <c r="DQ28" i="12"/>
  <c r="DM28" i="12"/>
  <c r="DL70" i="12"/>
  <c r="DJ70" i="12"/>
  <c r="DQ70" i="12"/>
  <c r="DM70" i="12"/>
  <c r="DO70" i="12"/>
  <c r="DO25" i="12"/>
  <c r="DL5" i="12"/>
  <c r="DJ5" i="12"/>
  <c r="DK126" i="12"/>
  <c r="DM5" i="12"/>
  <c r="DQ5" i="12"/>
  <c r="DK174" i="12"/>
  <c r="DO5" i="12"/>
  <c r="DA126" i="12"/>
  <c r="DL99" i="12"/>
  <c r="DJ99" i="12"/>
  <c r="DM99" i="12"/>
  <c r="DQ99" i="12"/>
  <c r="DO99" i="12"/>
  <c r="DO11" i="12"/>
  <c r="DL81" i="12"/>
  <c r="DJ81" i="12"/>
  <c r="DM81" i="12"/>
  <c r="DQ81" i="12"/>
  <c r="DO81" i="12"/>
  <c r="DL60" i="12"/>
  <c r="DJ60" i="12"/>
  <c r="DM60" i="12"/>
  <c r="DQ60" i="12"/>
  <c r="DO60" i="12"/>
  <c r="DL47" i="12"/>
  <c r="DJ47" i="12"/>
  <c r="DM47" i="12"/>
  <c r="DQ47" i="12"/>
  <c r="DO47" i="12"/>
  <c r="DO56" i="12"/>
  <c r="DL29" i="12"/>
  <c r="DJ29" i="12"/>
  <c r="DM29" i="12"/>
  <c r="DQ29" i="12"/>
  <c r="DO29" i="12"/>
  <c r="DL67" i="12"/>
  <c r="DJ67" i="12"/>
  <c r="DM67" i="12"/>
  <c r="DQ67" i="12"/>
  <c r="DO67" i="12"/>
  <c r="DO120" i="12"/>
  <c r="DL120" i="12"/>
  <c r="DJ120" i="12"/>
  <c r="DM120" i="12"/>
  <c r="DQ120" i="12"/>
  <c r="DO105" i="12"/>
  <c r="DJ38" i="12"/>
  <c r="DL38" i="12"/>
  <c r="DM38" i="12"/>
  <c r="DQ38" i="12"/>
  <c r="DO38" i="12"/>
  <c r="DL76" i="12"/>
  <c r="DJ76" i="12"/>
  <c r="DM76" i="12"/>
  <c r="DQ76" i="12"/>
  <c r="DL106" i="12"/>
  <c r="DJ106" i="12"/>
  <c r="DM106" i="12"/>
  <c r="DQ106" i="12"/>
  <c r="DO106" i="12"/>
  <c r="CZ147" i="12"/>
  <c r="DA151" i="12"/>
  <c r="DL122" i="12"/>
  <c r="DJ122" i="12"/>
  <c r="DM122" i="12"/>
  <c r="DQ122" i="12"/>
  <c r="DL51" i="12"/>
  <c r="DJ51" i="12"/>
  <c r="DM51" i="12"/>
  <c r="DQ51" i="12"/>
  <c r="DL58" i="12"/>
  <c r="DJ58" i="12"/>
  <c r="DM58" i="12"/>
  <c r="DQ58" i="12"/>
  <c r="DJ100" i="12"/>
  <c r="DL100" i="12"/>
  <c r="DM100" i="12"/>
  <c r="DQ100" i="12"/>
  <c r="DO100" i="12"/>
  <c r="DJ46" i="12"/>
  <c r="DL46" i="12"/>
  <c r="DQ46" i="12"/>
  <c r="DM46" i="12"/>
  <c r="DJ125" i="12"/>
  <c r="DL125" i="12"/>
  <c r="DQ125" i="12"/>
  <c r="DM125" i="12"/>
  <c r="DO125" i="12"/>
  <c r="DL118" i="12"/>
  <c r="DJ118" i="12"/>
  <c r="DQ118" i="12"/>
  <c r="DM118" i="12"/>
  <c r="DJ117" i="12"/>
  <c r="DL117" i="12"/>
  <c r="DM117" i="12"/>
  <c r="DQ117" i="12"/>
  <c r="DJ54" i="12"/>
  <c r="DL54" i="12"/>
  <c r="DM54" i="12"/>
  <c r="DQ54" i="12"/>
  <c r="DJ96" i="12"/>
  <c r="DL96" i="12"/>
  <c r="DM96" i="12"/>
  <c r="DQ96" i="12"/>
  <c r="DJ92" i="12"/>
  <c r="DL92" i="12"/>
  <c r="DM92" i="12"/>
  <c r="DQ92" i="12"/>
  <c r="DO92" i="12"/>
  <c r="DL34" i="12"/>
  <c r="DJ34" i="12"/>
  <c r="DM34" i="12"/>
  <c r="DQ34" i="12"/>
  <c r="DJ49" i="12"/>
  <c r="DL49" i="12"/>
  <c r="DQ49" i="12"/>
  <c r="DM49" i="12"/>
  <c r="DO49" i="12"/>
  <c r="DJ108" i="12"/>
  <c r="DL108" i="12"/>
  <c r="DM108" i="12"/>
  <c r="DQ108" i="12"/>
  <c r="DJ72" i="12"/>
  <c r="DL72" i="12"/>
  <c r="DM72" i="12"/>
  <c r="DQ72" i="12"/>
  <c r="DO72" i="12"/>
  <c r="DO118" i="12"/>
  <c r="DJ119" i="12"/>
  <c r="DL119" i="12"/>
  <c r="DM119" i="12"/>
  <c r="DQ119" i="12"/>
  <c r="DJ40" i="12"/>
  <c r="DL40" i="12"/>
  <c r="DQ40" i="12"/>
  <c r="DM40" i="12"/>
  <c r="DJ69" i="12"/>
  <c r="DL69" i="12"/>
  <c r="DQ69" i="12"/>
  <c r="DM69" i="12"/>
  <c r="DO69" i="12"/>
  <c r="DJ83" i="12"/>
  <c r="DL83" i="12"/>
  <c r="DQ83" i="12"/>
  <c r="DM83" i="12"/>
  <c r="DO83" i="12"/>
  <c r="DL84" i="12"/>
  <c r="DJ84" i="12"/>
  <c r="DM84" i="12"/>
  <c r="DQ84" i="12"/>
  <c r="DO84" i="12"/>
  <c r="DL63" i="12"/>
  <c r="DJ63" i="12"/>
  <c r="DM63" i="12"/>
  <c r="DQ63" i="12"/>
  <c r="DO63" i="12"/>
  <c r="DJ78" i="12"/>
  <c r="DL78" i="12"/>
  <c r="DQ78" i="12"/>
  <c r="DM78" i="12"/>
  <c r="DO78" i="12"/>
  <c r="DJ9" i="12"/>
  <c r="DL9" i="12"/>
  <c r="DQ9" i="12"/>
  <c r="DM9" i="12"/>
  <c r="DO9" i="12"/>
  <c r="DO13" i="12"/>
  <c r="DL13" i="12"/>
  <c r="DJ13" i="12"/>
  <c r="DM13" i="12"/>
  <c r="DQ13" i="12"/>
  <c r="DO104" i="12"/>
  <c r="DL104" i="12"/>
  <c r="DJ104" i="12"/>
  <c r="DQ104" i="12"/>
  <c r="DM104" i="12"/>
  <c r="DL124" i="12"/>
  <c r="DJ124" i="12"/>
  <c r="DQ124" i="12"/>
  <c r="DM124" i="12"/>
  <c r="DL26" i="12"/>
  <c r="DJ26" i="12"/>
  <c r="DQ26" i="12"/>
  <c r="DM26" i="12"/>
  <c r="DL68" i="12"/>
  <c r="DJ68" i="12"/>
  <c r="DM68" i="12"/>
  <c r="DQ68" i="12"/>
  <c r="DL18" i="12"/>
  <c r="DJ18" i="12"/>
  <c r="DM18" i="12"/>
  <c r="DQ18" i="12"/>
  <c r="DL41" i="12"/>
  <c r="DJ41" i="12"/>
  <c r="DM41" i="12"/>
  <c r="DQ41" i="12"/>
  <c r="DJ62" i="12"/>
  <c r="DL62" i="12"/>
  <c r="DM62" i="12"/>
  <c r="DQ62" i="12"/>
  <c r="DO24" i="12"/>
  <c r="DL24" i="12"/>
  <c r="DJ24" i="12"/>
  <c r="DM24" i="12"/>
  <c r="DQ24" i="12"/>
  <c r="DL31" i="12"/>
  <c r="DJ31" i="12"/>
  <c r="DM31" i="12"/>
  <c r="DQ31" i="12"/>
  <c r="DO64" i="12"/>
  <c r="CM151" i="12"/>
  <c r="DJ85" i="12"/>
  <c r="DL85" i="12"/>
  <c r="DQ85" i="12"/>
  <c r="DM85" i="12"/>
  <c r="DJ52" i="12"/>
  <c r="DL52" i="12"/>
  <c r="DQ52" i="12"/>
  <c r="DM52" i="12"/>
  <c r="DO52" i="12"/>
  <c r="DO30" i="12"/>
  <c r="DL30" i="12"/>
  <c r="DJ30" i="12"/>
  <c r="DQ30" i="12"/>
  <c r="DM30" i="12"/>
  <c r="DL33" i="12"/>
  <c r="DJ33" i="12"/>
  <c r="DQ33" i="12"/>
  <c r="DM33" i="12"/>
  <c r="DO34" i="12"/>
  <c r="DO42" i="12"/>
  <c r="DJ116" i="12"/>
  <c r="DL116" i="12"/>
  <c r="DM116" i="12"/>
  <c r="DQ116" i="12"/>
  <c r="DL111" i="12"/>
  <c r="DJ111" i="12"/>
  <c r="DQ111" i="12"/>
  <c r="DM111" i="12"/>
  <c r="DO111" i="12"/>
  <c r="DO108" i="12"/>
  <c r="DO14" i="12"/>
  <c r="DJ14" i="12"/>
  <c r="DL14" i="12"/>
  <c r="DM14" i="12"/>
  <c r="DQ14" i="12"/>
  <c r="DO61" i="12"/>
  <c r="DL94" i="12"/>
  <c r="DJ94" i="12"/>
  <c r="DQ94" i="12"/>
  <c r="DM94" i="12"/>
  <c r="DO68" i="12"/>
  <c r="DL45" i="12"/>
  <c r="DJ45" i="12"/>
  <c r="DM45" i="12"/>
  <c r="DQ45" i="12"/>
  <c r="DO55" i="12"/>
  <c r="DJ44" i="12"/>
  <c r="DL44" i="12"/>
  <c r="DQ44" i="12"/>
  <c r="DM44" i="12"/>
  <c r="DJ15" i="12"/>
  <c r="DL15" i="12"/>
  <c r="DM15" i="12"/>
  <c r="DQ15" i="12"/>
  <c r="DO119" i="12"/>
  <c r="DL57" i="12"/>
  <c r="DJ57" i="12"/>
  <c r="DM57" i="12"/>
  <c r="DQ57" i="12"/>
  <c r="DO57" i="12"/>
  <c r="DJ20" i="12"/>
  <c r="DL20" i="12"/>
  <c r="DQ20" i="12"/>
  <c r="DM20" i="12"/>
  <c r="DO123" i="12"/>
  <c r="DL8" i="12"/>
  <c r="DL147" i="12" s="1"/>
  <c r="DL151" i="12" s="1"/>
  <c r="DJ8" i="12"/>
  <c r="DQ8" i="12"/>
  <c r="DQ160" i="12" s="1"/>
  <c r="DM8" i="12"/>
  <c r="DO8" i="12"/>
  <c r="DL93" i="12"/>
  <c r="DJ93" i="12"/>
  <c r="DM93" i="12"/>
  <c r="DQ93" i="12"/>
  <c r="DO93" i="12"/>
  <c r="CZ126" i="12"/>
  <c r="DL88" i="12"/>
  <c r="DJ88" i="12"/>
  <c r="DQ88" i="12"/>
  <c r="DM88" i="12"/>
  <c r="DO40" i="12"/>
  <c r="DJ53" i="12"/>
  <c r="DL53" i="12"/>
  <c r="DQ53" i="12"/>
  <c r="DM53" i="12"/>
  <c r="DO53" i="12"/>
  <c r="DL37" i="12"/>
  <c r="DJ37" i="12"/>
  <c r="DQ37" i="12"/>
  <c r="DM37" i="12"/>
  <c r="DO113" i="12"/>
  <c r="DL36" i="12"/>
  <c r="DJ36" i="12"/>
  <c r="DM36" i="12"/>
  <c r="DQ36" i="12"/>
  <c r="DO31" i="12"/>
  <c r="DL102" i="12"/>
  <c r="DJ102" i="12"/>
  <c r="DM102" i="12"/>
  <c r="DQ102" i="12"/>
  <c r="DL50" i="12"/>
  <c r="DJ50" i="12"/>
  <c r="DQ50" i="12"/>
  <c r="DM50" i="12"/>
  <c r="DO50" i="12"/>
  <c r="DL65" i="12"/>
  <c r="DJ65" i="12"/>
  <c r="DM65" i="12"/>
  <c r="DQ65" i="12"/>
  <c r="DO48" i="12"/>
  <c r="DJ103" i="12"/>
  <c r="DL103" i="12"/>
  <c r="DQ103" i="12"/>
  <c r="DM103" i="12"/>
  <c r="DO96" i="12"/>
  <c r="DO124" i="12"/>
  <c r="DO39" i="12"/>
  <c r="F40" i="4"/>
  <c r="E40" i="4"/>
  <c r="AW100" i="13"/>
  <c r="AU100" i="13"/>
  <c r="AV99" i="13"/>
  <c r="AW98" i="13"/>
  <c r="AU98" i="13"/>
  <c r="AV97" i="13"/>
  <c r="AW96" i="13"/>
  <c r="AU96" i="13"/>
  <c r="AV95" i="13"/>
  <c r="AW94" i="13"/>
  <c r="AU94" i="13"/>
  <c r="AV93" i="13"/>
  <c r="AW92" i="13"/>
  <c r="AU92" i="13"/>
  <c r="AV91" i="13"/>
  <c r="AW90" i="13"/>
  <c r="AU90" i="13"/>
  <c r="AV89" i="13"/>
  <c r="AW88" i="13"/>
  <c r="AV100" i="13"/>
  <c r="AW99" i="13"/>
  <c r="AU99" i="13"/>
  <c r="AV98" i="13"/>
  <c r="AW97" i="13"/>
  <c r="AU97" i="13"/>
  <c r="AV96" i="13"/>
  <c r="AW95" i="13"/>
  <c r="AU95" i="13"/>
  <c r="AV94" i="13"/>
  <c r="AW93" i="13"/>
  <c r="AU93" i="13"/>
  <c r="AV92" i="13"/>
  <c r="AW91" i="13"/>
  <c r="AU91" i="13"/>
  <c r="AV90" i="13"/>
  <c r="AW89" i="13"/>
  <c r="AU89" i="13"/>
  <c r="AV88" i="13"/>
  <c r="AW87" i="13"/>
  <c r="AU88" i="13"/>
  <c r="AU87" i="13"/>
  <c r="AV86" i="13"/>
  <c r="AW85" i="13"/>
  <c r="AU85" i="13"/>
  <c r="AV84" i="13"/>
  <c r="AW83" i="13"/>
  <c r="AU83" i="13"/>
  <c r="AV82" i="13"/>
  <c r="AW81" i="13"/>
  <c r="AU81" i="13"/>
  <c r="AV80" i="13"/>
  <c r="AW79" i="13"/>
  <c r="AU79" i="13"/>
  <c r="AV78" i="13"/>
  <c r="AW77" i="13"/>
  <c r="AU77" i="13"/>
  <c r="AV76" i="13"/>
  <c r="AW75" i="13"/>
  <c r="AU75" i="13"/>
  <c r="AV74" i="13"/>
  <c r="AW73" i="13"/>
  <c r="AU73" i="13"/>
  <c r="AV72" i="13"/>
  <c r="AW71" i="13"/>
  <c r="AU71" i="13"/>
  <c r="AV70" i="13"/>
  <c r="AW69" i="13"/>
  <c r="AU69" i="13"/>
  <c r="AV68" i="13"/>
  <c r="AW67" i="13"/>
  <c r="AU67" i="13"/>
  <c r="AV66" i="13"/>
  <c r="AW65" i="13"/>
  <c r="AU65" i="13"/>
  <c r="AV64" i="13"/>
  <c r="AW63" i="13"/>
  <c r="AU63" i="13"/>
  <c r="AV62" i="13"/>
  <c r="AW61" i="13"/>
  <c r="AU61" i="13"/>
  <c r="AV60" i="13"/>
  <c r="AW59" i="13"/>
  <c r="AU59" i="13"/>
  <c r="AV58" i="13"/>
  <c r="AW57" i="13"/>
  <c r="AU57" i="13"/>
  <c r="AV56" i="13"/>
  <c r="AW55" i="13"/>
  <c r="AU55" i="13"/>
  <c r="AV54" i="13"/>
  <c r="AW53" i="13"/>
  <c r="AU53" i="13"/>
  <c r="AV52" i="13"/>
  <c r="AW51" i="13"/>
  <c r="AU51" i="13"/>
  <c r="AV50" i="13"/>
  <c r="AW49" i="13"/>
  <c r="AU49" i="13"/>
  <c r="AV48" i="13"/>
  <c r="AW47" i="13"/>
  <c r="AU47" i="13"/>
  <c r="AV46" i="13"/>
  <c r="AW43" i="13"/>
  <c r="AU43" i="13"/>
  <c r="AV30" i="13"/>
  <c r="AV87" i="13"/>
  <c r="AW86" i="13"/>
  <c r="AU86" i="13"/>
  <c r="AV85" i="13"/>
  <c r="AW84" i="13"/>
  <c r="AU84" i="13"/>
  <c r="AV83" i="13"/>
  <c r="AW82" i="13"/>
  <c r="AU82" i="13"/>
  <c r="AV81" i="13"/>
  <c r="AW80" i="13"/>
  <c r="AU80" i="13"/>
  <c r="AV79" i="13"/>
  <c r="AW78" i="13"/>
  <c r="AU78" i="13"/>
  <c r="AV77" i="13"/>
  <c r="AW76" i="13"/>
  <c r="AU76" i="13"/>
  <c r="AV75" i="13"/>
  <c r="AW74" i="13"/>
  <c r="AU74" i="13"/>
  <c r="AV73" i="13"/>
  <c r="AW72" i="13"/>
  <c r="AU72" i="13"/>
  <c r="AV71" i="13"/>
  <c r="AW70" i="13"/>
  <c r="AU70" i="13"/>
  <c r="AV69" i="13"/>
  <c r="AW68" i="13"/>
  <c r="AU68" i="13"/>
  <c r="AV67" i="13"/>
  <c r="AW66" i="13"/>
  <c r="AU66" i="13"/>
  <c r="AV65" i="13"/>
  <c r="AW64" i="13"/>
  <c r="AU64" i="13"/>
  <c r="AV63" i="13"/>
  <c r="AW62" i="13"/>
  <c r="AU62" i="13"/>
  <c r="AV61" i="13"/>
  <c r="AW60" i="13"/>
  <c r="AU60" i="13"/>
  <c r="AV59" i="13"/>
  <c r="AW58" i="13"/>
  <c r="AU58" i="13"/>
  <c r="AV57" i="13"/>
  <c r="AW56" i="13"/>
  <c r="AU56" i="13"/>
  <c r="AV55" i="13"/>
  <c r="AW54" i="13"/>
  <c r="AU54" i="13"/>
  <c r="AV53" i="13"/>
  <c r="AW52" i="13"/>
  <c r="AU52" i="13"/>
  <c r="AV51" i="13"/>
  <c r="AW50" i="13"/>
  <c r="AU50" i="13"/>
  <c r="AV49" i="13"/>
  <c r="AW48" i="13"/>
  <c r="AU48" i="13"/>
  <c r="AV47" i="13"/>
  <c r="AW46" i="13"/>
  <c r="AU46" i="13"/>
  <c r="AV43" i="13"/>
  <c r="AW30" i="13"/>
  <c r="AU30" i="13"/>
  <c r="AW26" i="13"/>
  <c r="AU26" i="13"/>
  <c r="AV25" i="13"/>
  <c r="AW24" i="13"/>
  <c r="AU24" i="13"/>
  <c r="AV23" i="13"/>
  <c r="AW22" i="13"/>
  <c r="AU22" i="13"/>
  <c r="AV21" i="13"/>
  <c r="AW20" i="13"/>
  <c r="AU20" i="13"/>
  <c r="AV19" i="13"/>
  <c r="AW18" i="13"/>
  <c r="AU18" i="13"/>
  <c r="AV17" i="13"/>
  <c r="AW16" i="13"/>
  <c r="AU16" i="13"/>
  <c r="AV15" i="13"/>
  <c r="AW14" i="13"/>
  <c r="AU14" i="13"/>
  <c r="AV13" i="13"/>
  <c r="AW12" i="13"/>
  <c r="AU12" i="13"/>
  <c r="AV11" i="13"/>
  <c r="AV9" i="13"/>
  <c r="AW8" i="13"/>
  <c r="AU8" i="13"/>
  <c r="AV26" i="13"/>
  <c r="AW25" i="13"/>
  <c r="AU25" i="13"/>
  <c r="AV24" i="13"/>
  <c r="AW23" i="13"/>
  <c r="AU23" i="13"/>
  <c r="AV22" i="13"/>
  <c r="AW21" i="13"/>
  <c r="AU21" i="13"/>
  <c r="AV20" i="13"/>
  <c r="AW19" i="13"/>
  <c r="AU19" i="13"/>
  <c r="AV18" i="13"/>
  <c r="AW17" i="13"/>
  <c r="AU17" i="13"/>
  <c r="AV16" i="13"/>
  <c r="AW15" i="13"/>
  <c r="AU15" i="13"/>
  <c r="AV14" i="13"/>
  <c r="AW13" i="13"/>
  <c r="AU13" i="13"/>
  <c r="AV12" i="13"/>
  <c r="AW11" i="13"/>
  <c r="AU11" i="13"/>
  <c r="AW9" i="13"/>
  <c r="AU9" i="13"/>
  <c r="AV8" i="13"/>
  <c r="J5" i="18"/>
  <c r="J24" i="18" s="1"/>
  <c r="J18" i="17"/>
  <c r="C64" i="4"/>
  <c r="D64" i="4"/>
  <c r="E31" i="4"/>
  <c r="F31" i="4"/>
  <c r="E56" i="4"/>
  <c r="E47" i="4"/>
  <c r="E87" i="4"/>
  <c r="C77" i="10"/>
  <c r="C84" i="10"/>
  <c r="E63" i="4"/>
  <c r="E84" i="4"/>
  <c r="E78" i="4"/>
  <c r="E71" i="4"/>
  <c r="D75" i="4"/>
  <c r="C75" i="4"/>
  <c r="D72" i="4"/>
  <c r="C72" i="4"/>
  <c r="H30" i="16"/>
  <c r="I59" i="7" s="1"/>
  <c r="I69" i="7" s="1"/>
  <c r="I5" i="16"/>
  <c r="I30" i="16" s="1"/>
  <c r="E46" i="4"/>
  <c r="B67" i="4"/>
  <c r="B66" i="4"/>
  <c r="E5" i="16"/>
  <c r="E18" i="16" s="1"/>
  <c r="I18" i="16" s="1"/>
  <c r="E86" i="4"/>
  <c r="E30" i="4"/>
  <c r="I33" i="7"/>
  <c r="I46" i="7"/>
  <c r="AX2" i="13"/>
  <c r="I20" i="7"/>
  <c r="AQ103" i="13"/>
  <c r="AQ29" i="13"/>
  <c r="AQ4" i="13"/>
  <c r="X192" i="14"/>
  <c r="Z192" i="14"/>
  <c r="H4" i="11"/>
  <c r="B35" i="11"/>
  <c r="C47" i="11"/>
  <c r="I16" i="11"/>
  <c r="D91" i="7"/>
  <c r="B4" i="11"/>
  <c r="J91" i="7"/>
  <c r="C16" i="11"/>
  <c r="I65" i="11" s="1"/>
  <c r="D78" i="7"/>
  <c r="D97" i="7" s="1"/>
  <c r="J78" i="7"/>
  <c r="J97" i="7" s="1"/>
  <c r="J30" i="7"/>
  <c r="D11" i="7"/>
  <c r="D30" i="7"/>
  <c r="DN103" i="12" l="1"/>
  <c r="DX103" i="12"/>
  <c r="DN65" i="12"/>
  <c r="DX65" i="12"/>
  <c r="DN50" i="12"/>
  <c r="DX50" i="12"/>
  <c r="DN36" i="12"/>
  <c r="DX36" i="12"/>
  <c r="DN37" i="12"/>
  <c r="DX37" i="12"/>
  <c r="DN88" i="12"/>
  <c r="DX88" i="12"/>
  <c r="DQ164" i="12"/>
  <c r="DN20" i="12"/>
  <c r="DX20" i="12"/>
  <c r="DN57" i="12"/>
  <c r="DX57" i="12"/>
  <c r="DN44" i="12"/>
  <c r="DX44" i="12"/>
  <c r="DN45" i="12"/>
  <c r="DX45" i="12"/>
  <c r="DN94" i="12"/>
  <c r="DX94" i="12"/>
  <c r="DN14" i="12"/>
  <c r="DX14" i="12"/>
  <c r="DN111" i="12"/>
  <c r="DX111" i="12"/>
  <c r="DN33" i="12"/>
  <c r="DX33" i="12"/>
  <c r="DN30" i="12"/>
  <c r="DX30" i="12"/>
  <c r="DN52" i="12"/>
  <c r="DX52" i="12"/>
  <c r="EB52" i="12" s="1"/>
  <c r="DN85" i="12"/>
  <c r="DX85" i="12"/>
  <c r="DN31" i="12"/>
  <c r="DX31" i="12"/>
  <c r="DN24" i="12"/>
  <c r="DX24" i="12"/>
  <c r="DN26" i="12"/>
  <c r="DX26" i="12"/>
  <c r="DN124" i="12"/>
  <c r="DX124" i="12"/>
  <c r="DN104" i="12"/>
  <c r="DX104" i="12"/>
  <c r="DN9" i="12"/>
  <c r="DX9" i="12"/>
  <c r="EB9" i="12" s="1"/>
  <c r="DN84" i="12"/>
  <c r="DX84" i="12"/>
  <c r="DN83" i="12"/>
  <c r="DX83" i="12"/>
  <c r="EB83" i="12" s="1"/>
  <c r="DN49" i="12"/>
  <c r="DX49" i="12"/>
  <c r="EB49" i="12" s="1"/>
  <c r="DN92" i="12"/>
  <c r="DX92" i="12"/>
  <c r="DN96" i="12"/>
  <c r="DX96" i="12"/>
  <c r="EB96" i="12" s="1"/>
  <c r="DN54" i="12"/>
  <c r="DX54" i="12"/>
  <c r="DN118" i="12"/>
  <c r="DX118" i="12"/>
  <c r="EB118" i="12" s="1"/>
  <c r="DN106" i="12"/>
  <c r="DX106" i="12"/>
  <c r="DN76" i="12"/>
  <c r="DX76" i="12"/>
  <c r="DN120" i="12"/>
  <c r="DX120" i="12"/>
  <c r="EB120" i="12" s="1"/>
  <c r="DN67" i="12"/>
  <c r="DX67" i="12"/>
  <c r="DN60" i="12"/>
  <c r="DX60" i="12"/>
  <c r="DN5" i="12"/>
  <c r="DX5" i="12"/>
  <c r="EB5" i="12" s="1"/>
  <c r="DN70" i="12"/>
  <c r="DX70" i="12"/>
  <c r="EB70" i="12" s="1"/>
  <c r="DN28" i="12"/>
  <c r="DX28" i="12"/>
  <c r="DN115" i="12"/>
  <c r="DX115" i="12"/>
  <c r="EB115" i="12" s="1"/>
  <c r="DN6" i="12"/>
  <c r="DX6" i="12"/>
  <c r="DN71" i="12"/>
  <c r="DX71" i="12"/>
  <c r="DN113" i="12"/>
  <c r="DX113" i="12"/>
  <c r="EB113" i="12" s="1"/>
  <c r="DN110" i="12"/>
  <c r="DX110" i="12"/>
  <c r="DN19" i="12"/>
  <c r="DX19" i="12"/>
  <c r="EB19" i="12" s="1"/>
  <c r="DN16" i="12"/>
  <c r="DX16" i="12"/>
  <c r="DN107" i="12"/>
  <c r="DX107" i="12"/>
  <c r="EB107" i="12" s="1"/>
  <c r="DN23" i="12"/>
  <c r="DX23" i="12"/>
  <c r="EB23" i="12" s="1"/>
  <c r="DN114" i="12"/>
  <c r="DX114" i="12"/>
  <c r="DN10" i="12"/>
  <c r="DX10" i="12"/>
  <c r="DN98" i="12"/>
  <c r="DX98" i="12"/>
  <c r="DN56" i="12"/>
  <c r="DX56" i="12"/>
  <c r="DN25" i="12"/>
  <c r="DX25" i="12"/>
  <c r="DN35" i="12"/>
  <c r="DX35" i="12"/>
  <c r="EB35" i="12" s="1"/>
  <c r="DN105" i="12"/>
  <c r="DX105" i="12"/>
  <c r="DN27" i="12"/>
  <c r="DX27" i="12"/>
  <c r="DN61" i="12"/>
  <c r="DX61" i="12"/>
  <c r="EB61" i="12" s="1"/>
  <c r="DN95" i="12"/>
  <c r="DX95" i="12"/>
  <c r="DN80" i="12"/>
  <c r="DX80" i="12"/>
  <c r="EB80" i="12" s="1"/>
  <c r="DN91" i="12"/>
  <c r="DX91" i="12"/>
  <c r="EB91" i="12" s="1"/>
  <c r="DN86" i="12"/>
  <c r="DX86" i="12"/>
  <c r="DN109" i="12"/>
  <c r="DX109" i="12"/>
  <c r="EB109" i="12" s="1"/>
  <c r="DN87" i="12"/>
  <c r="DX87" i="12"/>
  <c r="EB87" i="12" s="1"/>
  <c r="EB50" i="12"/>
  <c r="DN102" i="12"/>
  <c r="DX102" i="12"/>
  <c r="DN53" i="12"/>
  <c r="DX53" i="12"/>
  <c r="DN93" i="12"/>
  <c r="DX93" i="12"/>
  <c r="DN8" i="12"/>
  <c r="DX8" i="12"/>
  <c r="DN15" i="12"/>
  <c r="DX15" i="12"/>
  <c r="EB14" i="12"/>
  <c r="EB111" i="12"/>
  <c r="DN116" i="12"/>
  <c r="DX116" i="12"/>
  <c r="EB24" i="12"/>
  <c r="DN62" i="12"/>
  <c r="DX62" i="12"/>
  <c r="DN41" i="12"/>
  <c r="DX41" i="12"/>
  <c r="DN18" i="12"/>
  <c r="DX18" i="12"/>
  <c r="DN68" i="12"/>
  <c r="DX68" i="12"/>
  <c r="EB68" i="12" s="1"/>
  <c r="DN13" i="12"/>
  <c r="DX13" i="12"/>
  <c r="EB13" i="12" s="1"/>
  <c r="DN78" i="12"/>
  <c r="DX78" i="12"/>
  <c r="DN63" i="12"/>
  <c r="DX63" i="12"/>
  <c r="DN69" i="12"/>
  <c r="DX69" i="12"/>
  <c r="DN40" i="12"/>
  <c r="DX40" i="12"/>
  <c r="DN119" i="12"/>
  <c r="DX119" i="12"/>
  <c r="DN72" i="12"/>
  <c r="DX72" i="12"/>
  <c r="DN108" i="12"/>
  <c r="DX108" i="12"/>
  <c r="DN34" i="12"/>
  <c r="DX34" i="12"/>
  <c r="DN117" i="12"/>
  <c r="DX117" i="12"/>
  <c r="DN125" i="12"/>
  <c r="DX125" i="12"/>
  <c r="DN46" i="12"/>
  <c r="DX46" i="12"/>
  <c r="DN100" i="12"/>
  <c r="DX100" i="12"/>
  <c r="DN58" i="12"/>
  <c r="DX58" i="12"/>
  <c r="DN51" i="12"/>
  <c r="DX51" i="12"/>
  <c r="DN122" i="12"/>
  <c r="DX122" i="12"/>
  <c r="CZ151" i="12"/>
  <c r="DN38" i="12"/>
  <c r="DX38" i="12"/>
  <c r="DN29" i="12"/>
  <c r="DX29" i="12"/>
  <c r="DN47" i="12"/>
  <c r="DX47" i="12"/>
  <c r="DN81" i="12"/>
  <c r="DX81" i="12"/>
  <c r="DN99" i="12"/>
  <c r="DX99" i="12"/>
  <c r="DO126" i="12"/>
  <c r="DK177" i="12"/>
  <c r="DK182" i="12"/>
  <c r="DJ183" i="12" s="1"/>
  <c r="DJ123" i="12"/>
  <c r="DJ126" i="12" s="1"/>
  <c r="DK176" i="12" s="1"/>
  <c r="DK175" i="12" s="1"/>
  <c r="DL123" i="12"/>
  <c r="DL126" i="12" s="1"/>
  <c r="DM123" i="12"/>
  <c r="DQ123" i="12"/>
  <c r="DQ126" i="12" s="1"/>
  <c r="DN17" i="12"/>
  <c r="DX17" i="12"/>
  <c r="DN66" i="12"/>
  <c r="DX66" i="12"/>
  <c r="DN75" i="12"/>
  <c r="DX75" i="12"/>
  <c r="DN59" i="12"/>
  <c r="DX59" i="12"/>
  <c r="DN22" i="12"/>
  <c r="DX22" i="12"/>
  <c r="DN48" i="12"/>
  <c r="DX48" i="12"/>
  <c r="DN89" i="12"/>
  <c r="DX89" i="12"/>
  <c r="DN21" i="12"/>
  <c r="DX21" i="12"/>
  <c r="DN39" i="12"/>
  <c r="DX39" i="12"/>
  <c r="DN32" i="12"/>
  <c r="DX32" i="12"/>
  <c r="DN12" i="12"/>
  <c r="DX12" i="12"/>
  <c r="DN121" i="12"/>
  <c r="DX121" i="12"/>
  <c r="DN43" i="12"/>
  <c r="DX43" i="12"/>
  <c r="DN42" i="12"/>
  <c r="DX42" i="12"/>
  <c r="DN55" i="12"/>
  <c r="DX55" i="12"/>
  <c r="DN64" i="12"/>
  <c r="DX64" i="12"/>
  <c r="EB64" i="12" s="1"/>
  <c r="DN11" i="12"/>
  <c r="DX11" i="12"/>
  <c r="EB11" i="12" s="1"/>
  <c r="H40" i="4"/>
  <c r="G40" i="4"/>
  <c r="BC100" i="13"/>
  <c r="BD99" i="13"/>
  <c r="BB99" i="13"/>
  <c r="BC98" i="13"/>
  <c r="BD97" i="13"/>
  <c r="BB97" i="13"/>
  <c r="BC96" i="13"/>
  <c r="BD95" i="13"/>
  <c r="BB95" i="13"/>
  <c r="BC94" i="13"/>
  <c r="BD93" i="13"/>
  <c r="BB93" i="13"/>
  <c r="BC92" i="13"/>
  <c r="BD91" i="13"/>
  <c r="BB91" i="13"/>
  <c r="BC90" i="13"/>
  <c r="BD89" i="13"/>
  <c r="BB89" i="13"/>
  <c r="BC88" i="13"/>
  <c r="BD87" i="13"/>
  <c r="BB87" i="13"/>
  <c r="BC86" i="13"/>
  <c r="BD85" i="13"/>
  <c r="BB85" i="13"/>
  <c r="BC84" i="13"/>
  <c r="BD83" i="13"/>
  <c r="BB83" i="13"/>
  <c r="BC82" i="13"/>
  <c r="BD81" i="13"/>
  <c r="BB81" i="13"/>
  <c r="BC80" i="13"/>
  <c r="BD79" i="13"/>
  <c r="BB79" i="13"/>
  <c r="BC78" i="13"/>
  <c r="BD77" i="13"/>
  <c r="BB77" i="13"/>
  <c r="BC76" i="13"/>
  <c r="BD75" i="13"/>
  <c r="BB75" i="13"/>
  <c r="BC74" i="13"/>
  <c r="BD73" i="13"/>
  <c r="BB73" i="13"/>
  <c r="BC72" i="13"/>
  <c r="BD71" i="13"/>
  <c r="BB71" i="13"/>
  <c r="BC70" i="13"/>
  <c r="BD69" i="13"/>
  <c r="BB69" i="13"/>
  <c r="BC68" i="13"/>
  <c r="BD67" i="13"/>
  <c r="BB67" i="13"/>
  <c r="BC66" i="13"/>
  <c r="BD65" i="13"/>
  <c r="BB65" i="13"/>
  <c r="BC64" i="13"/>
  <c r="BD63" i="13"/>
  <c r="BB63" i="13"/>
  <c r="BC62" i="13"/>
  <c r="BD61" i="13"/>
  <c r="BB61" i="13"/>
  <c r="BC60" i="13"/>
  <c r="BD59" i="13"/>
  <c r="BB59" i="13"/>
  <c r="BC58" i="13"/>
  <c r="BD57" i="13"/>
  <c r="BB57" i="13"/>
  <c r="BC56" i="13"/>
  <c r="BD55" i="13"/>
  <c r="BB55" i="13"/>
  <c r="BC54" i="13"/>
  <c r="BD53" i="13"/>
  <c r="BB53" i="13"/>
  <c r="BC52" i="13"/>
  <c r="BD51" i="13"/>
  <c r="BB51" i="13"/>
  <c r="BC50" i="13"/>
  <c r="BD49" i="13"/>
  <c r="BB49" i="13"/>
  <c r="BC48" i="13"/>
  <c r="BD47" i="13"/>
  <c r="BB47" i="13"/>
  <c r="BC46" i="13"/>
  <c r="BD43" i="13"/>
  <c r="BB43" i="13"/>
  <c r="BC30" i="13"/>
  <c r="BD100" i="13"/>
  <c r="BB100" i="13"/>
  <c r="BC99" i="13"/>
  <c r="BD98" i="13"/>
  <c r="BB98" i="13"/>
  <c r="BC97" i="13"/>
  <c r="BD96" i="13"/>
  <c r="BB96" i="13"/>
  <c r="BC95" i="13"/>
  <c r="BD94" i="13"/>
  <c r="BB94" i="13"/>
  <c r="BC93" i="13"/>
  <c r="BD92" i="13"/>
  <c r="BB92" i="13"/>
  <c r="BC91" i="13"/>
  <c r="BD90" i="13"/>
  <c r="BB90" i="13"/>
  <c r="BC89" i="13"/>
  <c r="BD88" i="13"/>
  <c r="BB88" i="13"/>
  <c r="BC87" i="13"/>
  <c r="BD86" i="13"/>
  <c r="BB86" i="13"/>
  <c r="BC85" i="13"/>
  <c r="BD84" i="13"/>
  <c r="BB84" i="13"/>
  <c r="BC83" i="13"/>
  <c r="BD82" i="13"/>
  <c r="BB82" i="13"/>
  <c r="BC81" i="13"/>
  <c r="BD80" i="13"/>
  <c r="BB80" i="13"/>
  <c r="BC79" i="13"/>
  <c r="BD78" i="13"/>
  <c r="BB78" i="13"/>
  <c r="BC77" i="13"/>
  <c r="BD76" i="13"/>
  <c r="BB76" i="13"/>
  <c r="BC75" i="13"/>
  <c r="BD74" i="13"/>
  <c r="BB74" i="13"/>
  <c r="BC73" i="13"/>
  <c r="BD72" i="13"/>
  <c r="BB72" i="13"/>
  <c r="BC71" i="13"/>
  <c r="BD70" i="13"/>
  <c r="BB70" i="13"/>
  <c r="BC69" i="13"/>
  <c r="BD68" i="13"/>
  <c r="BB68" i="13"/>
  <c r="BC67" i="13"/>
  <c r="BD66" i="13"/>
  <c r="BB66" i="13"/>
  <c r="BC65" i="13"/>
  <c r="BD64" i="13"/>
  <c r="BB64" i="13"/>
  <c r="BC63" i="13"/>
  <c r="BD62" i="13"/>
  <c r="BB62" i="13"/>
  <c r="BC61" i="13"/>
  <c r="BD60" i="13"/>
  <c r="BB60" i="13"/>
  <c r="BC59" i="13"/>
  <c r="BD58" i="13"/>
  <c r="BB58" i="13"/>
  <c r="BC57" i="13"/>
  <c r="BD56" i="13"/>
  <c r="BB56" i="13"/>
  <c r="BC55" i="13"/>
  <c r="BD54" i="13"/>
  <c r="BB54" i="13"/>
  <c r="BC53" i="13"/>
  <c r="BD52" i="13"/>
  <c r="BB52" i="13"/>
  <c r="BC51" i="13"/>
  <c r="BD50" i="13"/>
  <c r="BB50" i="13"/>
  <c r="BC49" i="13"/>
  <c r="BD48" i="13"/>
  <c r="BB48" i="13"/>
  <c r="BC47" i="13"/>
  <c r="BD46" i="13"/>
  <c r="BB46" i="13"/>
  <c r="BC43" i="13"/>
  <c r="BD30" i="13"/>
  <c r="BB30" i="13"/>
  <c r="BD26" i="13"/>
  <c r="BB26" i="13"/>
  <c r="BC25" i="13"/>
  <c r="BD24" i="13"/>
  <c r="BB24" i="13"/>
  <c r="BC23" i="13"/>
  <c r="BD22" i="13"/>
  <c r="BB22" i="13"/>
  <c r="BC21" i="13"/>
  <c r="BD20" i="13"/>
  <c r="BB20" i="13"/>
  <c r="BC19" i="13"/>
  <c r="BD18" i="13"/>
  <c r="BB18" i="13"/>
  <c r="BC17" i="13"/>
  <c r="BD16" i="13"/>
  <c r="BB16" i="13"/>
  <c r="BC15" i="13"/>
  <c r="BD14" i="13"/>
  <c r="BB14" i="13"/>
  <c r="BC13" i="13"/>
  <c r="BD12" i="13"/>
  <c r="BB12" i="13"/>
  <c r="BC11" i="13"/>
  <c r="BD25" i="13"/>
  <c r="BC24" i="13"/>
  <c r="BB23" i="13"/>
  <c r="BD21" i="13"/>
  <c r="BC20" i="13"/>
  <c r="BB19" i="13"/>
  <c r="BD17" i="13"/>
  <c r="BC16" i="13"/>
  <c r="BB15" i="13"/>
  <c r="BD13" i="13"/>
  <c r="BC12" i="13"/>
  <c r="BB11" i="13"/>
  <c r="BD9" i="13"/>
  <c r="BB9" i="13"/>
  <c r="BC8" i="13"/>
  <c r="BC26" i="13"/>
  <c r="BB25" i="13"/>
  <c r="BD23" i="13"/>
  <c r="BC22" i="13"/>
  <c r="BB21" i="13"/>
  <c r="BD19" i="13"/>
  <c r="BC18" i="13"/>
  <c r="BB17" i="13"/>
  <c r="BD15" i="13"/>
  <c r="BC14" i="13"/>
  <c r="BB13" i="13"/>
  <c r="BD11" i="13"/>
  <c r="BC9" i="13"/>
  <c r="BD8" i="13"/>
  <c r="BB8" i="13"/>
  <c r="K5" i="18"/>
  <c r="J20" i="7"/>
  <c r="K24" i="18"/>
  <c r="D106" i="7"/>
  <c r="J59" i="7"/>
  <c r="J69" i="7" s="1"/>
  <c r="J56" i="7"/>
  <c r="I56" i="7"/>
  <c r="D33" i="7"/>
  <c r="X156" i="14" s="1"/>
  <c r="G31" i="4"/>
  <c r="G56" i="4"/>
  <c r="G47" i="4"/>
  <c r="H31" i="4"/>
  <c r="E64" i="4"/>
  <c r="F64" i="4"/>
  <c r="G87" i="4"/>
  <c r="C88" i="10"/>
  <c r="D85" i="10"/>
  <c r="C85" i="10"/>
  <c r="C78" i="10"/>
  <c r="D78" i="10"/>
  <c r="C81" i="10"/>
  <c r="J32" i="7"/>
  <c r="J35" i="7" s="1"/>
  <c r="J31" i="7"/>
  <c r="J34" i="7" s="1"/>
  <c r="D100" i="7"/>
  <c r="D99" i="7"/>
  <c r="D37" i="10" s="1"/>
  <c r="D98" i="7"/>
  <c r="G78" i="4"/>
  <c r="G63" i="4"/>
  <c r="G84" i="4"/>
  <c r="G71" i="4"/>
  <c r="F75" i="4"/>
  <c r="E75" i="4"/>
  <c r="F72" i="4"/>
  <c r="E72" i="4"/>
  <c r="C57" i="4"/>
  <c r="C58" i="4"/>
  <c r="C41" i="4"/>
  <c r="D41" i="4"/>
  <c r="J5" i="16"/>
  <c r="J30" i="16" s="1"/>
  <c r="G46" i="4"/>
  <c r="G30" i="4"/>
  <c r="J46" i="7"/>
  <c r="E57" i="4" s="1"/>
  <c r="C37" i="10"/>
  <c r="BE2" i="13"/>
  <c r="AX103" i="13"/>
  <c r="AX4" i="13"/>
  <c r="AX29" i="13"/>
  <c r="J33" i="7"/>
  <c r="B65" i="11"/>
  <c r="X196" i="14"/>
  <c r="D47" i="11"/>
  <c r="J16" i="11"/>
  <c r="K91" i="7"/>
  <c r="D16" i="11"/>
  <c r="J65" i="11" s="1"/>
  <c r="K78" i="7"/>
  <c r="K30" i="7"/>
  <c r="X146" i="12" l="1"/>
  <c r="X185" i="14"/>
  <c r="C30" i="17" s="1"/>
  <c r="I55" i="7"/>
  <c r="I67" i="7"/>
  <c r="J55" i="7"/>
  <c r="J67" i="7"/>
  <c r="X156" i="12"/>
  <c r="DY55" i="12"/>
  <c r="DW55" i="12"/>
  <c r="ED55" i="12"/>
  <c r="DZ55" i="12"/>
  <c r="EA55" i="12" s="1"/>
  <c r="DY42" i="12"/>
  <c r="DW42" i="12"/>
  <c r="DZ42" i="12"/>
  <c r="EA42" i="12" s="1"/>
  <c r="ED42" i="12"/>
  <c r="DY43" i="12"/>
  <c r="DW43" i="12"/>
  <c r="DZ43" i="12"/>
  <c r="EA43" i="12" s="1"/>
  <c r="ED43" i="12"/>
  <c r="EB43" i="12"/>
  <c r="DY12" i="12"/>
  <c r="DW12" i="12"/>
  <c r="ED12" i="12"/>
  <c r="DZ12" i="12"/>
  <c r="EA12" i="12" s="1"/>
  <c r="DY32" i="12"/>
  <c r="DW32" i="12"/>
  <c r="ED32" i="12"/>
  <c r="DZ32" i="12"/>
  <c r="EA32" i="12" s="1"/>
  <c r="EB32" i="12"/>
  <c r="DW89" i="12"/>
  <c r="DY89" i="12"/>
  <c r="DZ89" i="12"/>
  <c r="EA89" i="12" s="1"/>
  <c r="ED89" i="12"/>
  <c r="EB89" i="12"/>
  <c r="DY48" i="12"/>
  <c r="DW48" i="12"/>
  <c r="ED48" i="12"/>
  <c r="DZ48" i="12"/>
  <c r="EA48" i="12" s="1"/>
  <c r="DY22" i="12"/>
  <c r="DW22" i="12"/>
  <c r="DZ22" i="12"/>
  <c r="EA22" i="12" s="1"/>
  <c r="ED22" i="12"/>
  <c r="EB22" i="12"/>
  <c r="DY75" i="12"/>
  <c r="DW75" i="12"/>
  <c r="DZ75" i="12"/>
  <c r="EA75" i="12" s="1"/>
  <c r="ED75" i="12"/>
  <c r="DN123" i="12"/>
  <c r="DX123" i="12"/>
  <c r="DW81" i="12"/>
  <c r="DY81" i="12"/>
  <c r="DZ81" i="12"/>
  <c r="EA81" i="12" s="1"/>
  <c r="ED81" i="12"/>
  <c r="EB81" i="12"/>
  <c r="DW29" i="12"/>
  <c r="DY29" i="12"/>
  <c r="ED29" i="12"/>
  <c r="DZ29" i="12"/>
  <c r="EA29" i="12" s="1"/>
  <c r="EB29" i="12"/>
  <c r="DY38" i="12"/>
  <c r="DW38" i="12"/>
  <c r="ED38" i="12"/>
  <c r="DZ38" i="12"/>
  <c r="EA38" i="12" s="1"/>
  <c r="EB38" i="12"/>
  <c r="DW46" i="12"/>
  <c r="DY46" i="12"/>
  <c r="ED46" i="12"/>
  <c r="DZ46" i="12"/>
  <c r="EA46" i="12" s="1"/>
  <c r="EB46" i="12"/>
  <c r="DY125" i="12"/>
  <c r="DW125" i="12"/>
  <c r="ED125" i="12"/>
  <c r="DZ125" i="12"/>
  <c r="EA125" i="12" s="1"/>
  <c r="DW117" i="12"/>
  <c r="DY117" i="12"/>
  <c r="ED117" i="12"/>
  <c r="DZ117" i="12"/>
  <c r="EA117" i="12" s="1"/>
  <c r="EB117" i="12"/>
  <c r="DY34" i="12"/>
  <c r="DW34" i="12"/>
  <c r="DZ34" i="12"/>
  <c r="EA34" i="12" s="1"/>
  <c r="ED34" i="12"/>
  <c r="DY119" i="12"/>
  <c r="DW119" i="12"/>
  <c r="DZ119" i="12"/>
  <c r="EA119" i="12" s="1"/>
  <c r="ED119" i="12"/>
  <c r="DW40" i="12"/>
  <c r="DY40" i="12"/>
  <c r="DZ40" i="12"/>
  <c r="EA40" i="12" s="1"/>
  <c r="ED40" i="12"/>
  <c r="DY69" i="12"/>
  <c r="DW69" i="12"/>
  <c r="ED69" i="12"/>
  <c r="DZ69" i="12"/>
  <c r="EA69" i="12" s="1"/>
  <c r="DY78" i="12"/>
  <c r="DW78" i="12"/>
  <c r="DZ78" i="12"/>
  <c r="EA78" i="12" s="1"/>
  <c r="ED78" i="12"/>
  <c r="EB116" i="12"/>
  <c r="DW116" i="12"/>
  <c r="DY116" i="12"/>
  <c r="DZ116" i="12"/>
  <c r="EA116" i="12" s="1"/>
  <c r="ED116" i="12"/>
  <c r="DY8" i="12"/>
  <c r="DW8" i="12"/>
  <c r="ED8" i="12"/>
  <c r="DZ8" i="12"/>
  <c r="EA8" i="12" s="1"/>
  <c r="DX134" i="12"/>
  <c r="DX138" i="12" s="1"/>
  <c r="DX183" i="12" s="1"/>
  <c r="DW93" i="12"/>
  <c r="DY93" i="12"/>
  <c r="DZ93" i="12"/>
  <c r="EA93" i="12" s="1"/>
  <c r="ED93" i="12"/>
  <c r="EB93" i="12"/>
  <c r="DY53" i="12"/>
  <c r="DW53" i="12"/>
  <c r="ED53" i="12"/>
  <c r="DZ53" i="12"/>
  <c r="EA53" i="12" s="1"/>
  <c r="DY109" i="12"/>
  <c r="DW109" i="12"/>
  <c r="ED109" i="12"/>
  <c r="DZ109" i="12"/>
  <c r="EA109" i="12" s="1"/>
  <c r="EB86" i="12"/>
  <c r="DW86" i="12"/>
  <c r="DY86" i="12"/>
  <c r="DZ86" i="12"/>
  <c r="EA86" i="12" s="1"/>
  <c r="ED86" i="12"/>
  <c r="DW91" i="12"/>
  <c r="DY91" i="12"/>
  <c r="ED91" i="12"/>
  <c r="DZ91" i="12"/>
  <c r="EA91" i="12" s="1"/>
  <c r="DY80" i="12"/>
  <c r="DW80" i="12"/>
  <c r="DZ80" i="12"/>
  <c r="EA80" i="12" s="1"/>
  <c r="ED80" i="12"/>
  <c r="DY95" i="12"/>
  <c r="DW95" i="12"/>
  <c r="ED95" i="12"/>
  <c r="DZ95" i="12"/>
  <c r="EA95" i="12" s="1"/>
  <c r="EB95" i="12"/>
  <c r="DW105" i="12"/>
  <c r="DY105" i="12"/>
  <c r="ED105" i="12"/>
  <c r="DZ105" i="12"/>
  <c r="EA105" i="12" s="1"/>
  <c r="DW35" i="12"/>
  <c r="DY35" i="12"/>
  <c r="ED35" i="12"/>
  <c r="DZ35" i="12"/>
  <c r="EA35" i="12" s="1"/>
  <c r="DW25" i="12"/>
  <c r="DY25" i="12"/>
  <c r="DZ25" i="12"/>
  <c r="EA25" i="12" s="1"/>
  <c r="ED25" i="12"/>
  <c r="DY56" i="12"/>
  <c r="DW56" i="12"/>
  <c r="DZ56" i="12"/>
  <c r="EA56" i="12" s="1"/>
  <c r="ED56" i="12"/>
  <c r="DW98" i="12"/>
  <c r="DY98" i="12"/>
  <c r="DZ98" i="12"/>
  <c r="EA98" i="12" s="1"/>
  <c r="ED98" i="12"/>
  <c r="EB98" i="12"/>
  <c r="DY10" i="12"/>
  <c r="DW10" i="12"/>
  <c r="ED10" i="12"/>
  <c r="DZ10" i="12"/>
  <c r="EA10" i="12" s="1"/>
  <c r="EB10" i="12"/>
  <c r="DW114" i="12"/>
  <c r="DY114" i="12"/>
  <c r="ED114" i="12"/>
  <c r="DZ114" i="12"/>
  <c r="EA114" i="12" s="1"/>
  <c r="EB114" i="12"/>
  <c r="EB75" i="12"/>
  <c r="EB12" i="12"/>
  <c r="DY28" i="12"/>
  <c r="DW28" i="12"/>
  <c r="DZ28" i="12"/>
  <c r="EA28" i="12" s="1"/>
  <c r="ED28" i="12"/>
  <c r="DY70" i="12"/>
  <c r="DW70" i="12"/>
  <c r="ED70" i="12"/>
  <c r="DZ70" i="12"/>
  <c r="EA70" i="12" s="1"/>
  <c r="EB25" i="12"/>
  <c r="DM126" i="12"/>
  <c r="EB56" i="12"/>
  <c r="DW120" i="12"/>
  <c r="DY120" i="12"/>
  <c r="ED120" i="12"/>
  <c r="DZ120" i="12"/>
  <c r="EA120" i="12" s="1"/>
  <c r="EB105" i="12"/>
  <c r="EB125" i="12"/>
  <c r="DW49" i="12"/>
  <c r="DY49" i="12"/>
  <c r="DZ49" i="12"/>
  <c r="EA49" i="12" s="1"/>
  <c r="ED49" i="12"/>
  <c r="DW83" i="12"/>
  <c r="DY83" i="12"/>
  <c r="DZ83" i="12"/>
  <c r="EA83" i="12" s="1"/>
  <c r="ED83" i="12"/>
  <c r="DW84" i="12"/>
  <c r="DY84" i="12"/>
  <c r="ED84" i="12"/>
  <c r="DZ84" i="12"/>
  <c r="EA84" i="12" s="1"/>
  <c r="EB84" i="12"/>
  <c r="DY9" i="12"/>
  <c r="DW9" i="12"/>
  <c r="ED9" i="12"/>
  <c r="DZ9" i="12"/>
  <c r="EA9" i="12" s="1"/>
  <c r="DY104" i="12"/>
  <c r="DW104" i="12"/>
  <c r="DZ104" i="12"/>
  <c r="EA104" i="12" s="1"/>
  <c r="ED104" i="12"/>
  <c r="DW124" i="12"/>
  <c r="DY124" i="12"/>
  <c r="ED124" i="12"/>
  <c r="DZ124" i="12"/>
  <c r="EA124" i="12" s="1"/>
  <c r="DY26" i="12"/>
  <c r="DW26" i="12"/>
  <c r="DZ26" i="12"/>
  <c r="EA26" i="12" s="1"/>
  <c r="ED26" i="12"/>
  <c r="EB26" i="12"/>
  <c r="DY24" i="12"/>
  <c r="DW24" i="12"/>
  <c r="DZ24" i="12"/>
  <c r="EA24" i="12" s="1"/>
  <c r="ED24" i="12"/>
  <c r="DW31" i="12"/>
  <c r="DY31" i="12"/>
  <c r="ED31" i="12"/>
  <c r="DZ31" i="12"/>
  <c r="EA31" i="12" s="1"/>
  <c r="DW30" i="12"/>
  <c r="DY30" i="12"/>
  <c r="ED30" i="12"/>
  <c r="DZ30" i="12"/>
  <c r="EA30" i="12" s="1"/>
  <c r="DY33" i="12"/>
  <c r="DW33" i="12"/>
  <c r="DZ33" i="12"/>
  <c r="EA33" i="12" s="1"/>
  <c r="ED33" i="12"/>
  <c r="EB33" i="12"/>
  <c r="EB42" i="12"/>
  <c r="DW14" i="12"/>
  <c r="DY14" i="12"/>
  <c r="DZ14" i="12"/>
  <c r="EA14" i="12" s="1"/>
  <c r="ED14" i="12"/>
  <c r="DW44" i="12"/>
  <c r="DY44" i="12"/>
  <c r="ED44" i="12"/>
  <c r="DZ44" i="12"/>
  <c r="EA44" i="12" s="1"/>
  <c r="EB44" i="12"/>
  <c r="DY57" i="12"/>
  <c r="DW57" i="12"/>
  <c r="DZ57" i="12"/>
  <c r="EA57" i="12" s="1"/>
  <c r="ED57" i="12"/>
  <c r="EB57" i="12"/>
  <c r="DW88" i="12"/>
  <c r="DY88" i="12"/>
  <c r="ED88" i="12"/>
  <c r="DZ88" i="12"/>
  <c r="EA88" i="12" s="1"/>
  <c r="EB88" i="12"/>
  <c r="EB53" i="12"/>
  <c r="DY50" i="12"/>
  <c r="DW50" i="12"/>
  <c r="DZ50" i="12"/>
  <c r="EA50" i="12" s="1"/>
  <c r="ED50" i="12"/>
  <c r="DW65" i="12"/>
  <c r="DY65" i="12"/>
  <c r="DZ65" i="12"/>
  <c r="EA65" i="12" s="1"/>
  <c r="ED65" i="12"/>
  <c r="EB65" i="12"/>
  <c r="EB48" i="12"/>
  <c r="X185" i="12"/>
  <c r="C21" i="17" s="1"/>
  <c r="DY11" i="12"/>
  <c r="DW11" i="12"/>
  <c r="ED11" i="12"/>
  <c r="DZ11" i="12"/>
  <c r="EA11" i="12" s="1"/>
  <c r="DY64" i="12"/>
  <c r="DW64" i="12"/>
  <c r="DZ64" i="12"/>
  <c r="EA64" i="12" s="1"/>
  <c r="ED64" i="12"/>
  <c r="DW121" i="12"/>
  <c r="DY121" i="12"/>
  <c r="ED121" i="12"/>
  <c r="DZ121" i="12"/>
  <c r="EA121" i="12" s="1"/>
  <c r="EB121" i="12"/>
  <c r="EB39" i="12"/>
  <c r="DY39" i="12"/>
  <c r="DW39" i="12"/>
  <c r="DZ39" i="12"/>
  <c r="EA39" i="12" s="1"/>
  <c r="ED39" i="12"/>
  <c r="DW21" i="12"/>
  <c r="DY21" i="12"/>
  <c r="ED21" i="12"/>
  <c r="DZ21" i="12"/>
  <c r="EA21" i="12" s="1"/>
  <c r="DY59" i="12"/>
  <c r="DW59" i="12"/>
  <c r="DZ59" i="12"/>
  <c r="EA59" i="12" s="1"/>
  <c r="ED59" i="12"/>
  <c r="EB59" i="12"/>
  <c r="DY66" i="12"/>
  <c r="DW66" i="12"/>
  <c r="DZ66" i="12"/>
  <c r="EA66" i="12" s="1"/>
  <c r="ED66" i="12"/>
  <c r="EB66" i="12"/>
  <c r="DY17" i="12"/>
  <c r="DW17" i="12"/>
  <c r="DZ17" i="12"/>
  <c r="EA17" i="12" s="1"/>
  <c r="ED17" i="12"/>
  <c r="EB17" i="12"/>
  <c r="DK178" i="12"/>
  <c r="G86" i="4" s="1"/>
  <c r="DY99" i="12"/>
  <c r="DW99" i="12"/>
  <c r="ED99" i="12"/>
  <c r="DZ99" i="12"/>
  <c r="EA99" i="12" s="1"/>
  <c r="EB99" i="12"/>
  <c r="DW47" i="12"/>
  <c r="DY47" i="12"/>
  <c r="ED47" i="12"/>
  <c r="DZ47" i="12"/>
  <c r="EA47" i="12" s="1"/>
  <c r="EB47" i="12"/>
  <c r="DW122" i="12"/>
  <c r="DY122" i="12"/>
  <c r="ED122" i="12"/>
  <c r="DZ122" i="12"/>
  <c r="EA122" i="12" s="1"/>
  <c r="EB122" i="12"/>
  <c r="DW51" i="12"/>
  <c r="DY51" i="12"/>
  <c r="DZ51" i="12"/>
  <c r="EA51" i="12" s="1"/>
  <c r="ED51" i="12"/>
  <c r="EB51" i="12"/>
  <c r="DY58" i="12"/>
  <c r="DW58" i="12"/>
  <c r="DZ58" i="12"/>
  <c r="EA58" i="12" s="1"/>
  <c r="ED58" i="12"/>
  <c r="EB58" i="12"/>
  <c r="DW100" i="12"/>
  <c r="DY100" i="12"/>
  <c r="DZ100" i="12"/>
  <c r="EA100" i="12" s="1"/>
  <c r="ED100" i="12"/>
  <c r="EB100" i="12"/>
  <c r="DN126" i="12"/>
  <c r="DY108" i="12"/>
  <c r="DW108" i="12"/>
  <c r="DZ108" i="12"/>
  <c r="EA108" i="12" s="1"/>
  <c r="ED108" i="12"/>
  <c r="DW72" i="12"/>
  <c r="DY72" i="12"/>
  <c r="DZ72" i="12"/>
  <c r="EA72" i="12" s="1"/>
  <c r="ED72" i="12"/>
  <c r="EB72" i="12"/>
  <c r="DY63" i="12"/>
  <c r="DW63" i="12"/>
  <c r="ED63" i="12"/>
  <c r="DZ63" i="12"/>
  <c r="EA63" i="12" s="1"/>
  <c r="EB63" i="12"/>
  <c r="DY13" i="12"/>
  <c r="DW13" i="12"/>
  <c r="ED13" i="12"/>
  <c r="DZ13" i="12"/>
  <c r="EA13" i="12" s="1"/>
  <c r="DY68" i="12"/>
  <c r="DW68" i="12"/>
  <c r="DZ68" i="12"/>
  <c r="EA68" i="12" s="1"/>
  <c r="ED68" i="12"/>
  <c r="DW18" i="12"/>
  <c r="DY18" i="12"/>
  <c r="DZ18" i="12"/>
  <c r="EA18" i="12" s="1"/>
  <c r="ED18" i="12"/>
  <c r="EB18" i="12"/>
  <c r="DW41" i="12"/>
  <c r="DY41" i="12"/>
  <c r="ED41" i="12"/>
  <c r="DZ41" i="12"/>
  <c r="EA41" i="12" s="1"/>
  <c r="EB41" i="12"/>
  <c r="DY62" i="12"/>
  <c r="DW62" i="12"/>
  <c r="DZ62" i="12"/>
  <c r="EA62" i="12" s="1"/>
  <c r="ED62" i="12"/>
  <c r="EB62" i="12"/>
  <c r="EB34" i="12"/>
  <c r="DY15" i="12"/>
  <c r="DW15" i="12"/>
  <c r="DZ15" i="12"/>
  <c r="EA15" i="12" s="1"/>
  <c r="ED15" i="12"/>
  <c r="EB15" i="12"/>
  <c r="EB119" i="12"/>
  <c r="DN147" i="12"/>
  <c r="EB40" i="12"/>
  <c r="DW102" i="12"/>
  <c r="DY102" i="12"/>
  <c r="ED102" i="12"/>
  <c r="DZ102" i="12"/>
  <c r="EA102" i="12" s="1"/>
  <c r="EB102" i="12"/>
  <c r="DY87" i="12"/>
  <c r="DW87" i="12"/>
  <c r="DZ87" i="12"/>
  <c r="EA87" i="12" s="1"/>
  <c r="ED87" i="12"/>
  <c r="DY61" i="12"/>
  <c r="DW61" i="12"/>
  <c r="ED61" i="12"/>
  <c r="DZ61" i="12"/>
  <c r="EA61" i="12" s="1"/>
  <c r="DY27" i="12"/>
  <c r="DW27" i="12"/>
  <c r="ED27" i="12"/>
  <c r="DZ27" i="12"/>
  <c r="EA27" i="12" s="1"/>
  <c r="EB27" i="12"/>
  <c r="EB21" i="12"/>
  <c r="DY23" i="12"/>
  <c r="DW23" i="12"/>
  <c r="DZ23" i="12"/>
  <c r="EA23" i="12" s="1"/>
  <c r="ED23" i="12"/>
  <c r="DY107" i="12"/>
  <c r="DW107" i="12"/>
  <c r="DZ107" i="12"/>
  <c r="EA107" i="12" s="1"/>
  <c r="ED107" i="12"/>
  <c r="DY16" i="12"/>
  <c r="DW16" i="12"/>
  <c r="DZ16" i="12"/>
  <c r="EA16" i="12" s="1"/>
  <c r="ED16" i="12"/>
  <c r="EB16" i="12"/>
  <c r="DW19" i="12"/>
  <c r="DY19" i="12"/>
  <c r="ED19" i="12"/>
  <c r="DZ19" i="12"/>
  <c r="EA19" i="12" s="1"/>
  <c r="DY110" i="12"/>
  <c r="DW110" i="12"/>
  <c r="ED110" i="12"/>
  <c r="DZ110" i="12"/>
  <c r="EA110" i="12" s="1"/>
  <c r="EB110" i="12"/>
  <c r="DY113" i="12"/>
  <c r="DW113" i="12"/>
  <c r="DZ113" i="12"/>
  <c r="EA113" i="12" s="1"/>
  <c r="ED113" i="12"/>
  <c r="DY71" i="12"/>
  <c r="DW71" i="12"/>
  <c r="DZ71" i="12"/>
  <c r="EA71" i="12" s="1"/>
  <c r="ED71" i="12"/>
  <c r="EB71" i="12"/>
  <c r="DW6" i="12"/>
  <c r="DY6" i="12"/>
  <c r="DZ6" i="12"/>
  <c r="EA6" i="12" s="1"/>
  <c r="ED6" i="12"/>
  <c r="EB6" i="12"/>
  <c r="DY115" i="12"/>
  <c r="DW115" i="12"/>
  <c r="DZ115" i="12"/>
  <c r="EA115" i="12" s="1"/>
  <c r="ED115" i="12"/>
  <c r="EB28" i="12"/>
  <c r="DY5" i="12"/>
  <c r="DW5" i="12"/>
  <c r="DX174" i="12"/>
  <c r="DX126" i="12"/>
  <c r="ED5" i="12"/>
  <c r="DZ5" i="12"/>
  <c r="DY60" i="12"/>
  <c r="DW60" i="12"/>
  <c r="ED60" i="12"/>
  <c r="DZ60" i="12"/>
  <c r="EA60" i="12" s="1"/>
  <c r="EB60" i="12"/>
  <c r="DY67" i="12"/>
  <c r="DW67" i="12"/>
  <c r="ED67" i="12"/>
  <c r="DZ67" i="12"/>
  <c r="EA67" i="12" s="1"/>
  <c r="EB67" i="12"/>
  <c r="DY76" i="12"/>
  <c r="DW76" i="12"/>
  <c r="DZ76" i="12"/>
  <c r="EA76" i="12" s="1"/>
  <c r="ED76" i="12"/>
  <c r="EB76" i="12"/>
  <c r="DY106" i="12"/>
  <c r="DW106" i="12"/>
  <c r="DZ106" i="12"/>
  <c r="EA106" i="12" s="1"/>
  <c r="ED106" i="12"/>
  <c r="EB106" i="12"/>
  <c r="DY118" i="12"/>
  <c r="DW118" i="12"/>
  <c r="DZ118" i="12"/>
  <c r="EA118" i="12" s="1"/>
  <c r="ED118" i="12"/>
  <c r="DW54" i="12"/>
  <c r="DY54" i="12"/>
  <c r="DZ54" i="12"/>
  <c r="EA54" i="12" s="1"/>
  <c r="ED54" i="12"/>
  <c r="EB54" i="12"/>
  <c r="DW96" i="12"/>
  <c r="DY96" i="12"/>
  <c r="ED96" i="12"/>
  <c r="DZ96" i="12"/>
  <c r="EA96" i="12" s="1"/>
  <c r="DW92" i="12"/>
  <c r="DY92" i="12"/>
  <c r="DZ92" i="12"/>
  <c r="EA92" i="12" s="1"/>
  <c r="ED92" i="12"/>
  <c r="EB92" i="12"/>
  <c r="EB69" i="12"/>
  <c r="EB78" i="12"/>
  <c r="EB104" i="12"/>
  <c r="DW85" i="12"/>
  <c r="DY85" i="12"/>
  <c r="DZ85" i="12"/>
  <c r="EA85" i="12" s="1"/>
  <c r="ED85" i="12"/>
  <c r="EB85" i="12"/>
  <c r="DY52" i="12"/>
  <c r="DW52" i="12"/>
  <c r="DZ52" i="12"/>
  <c r="EA52" i="12" s="1"/>
  <c r="ED52" i="12"/>
  <c r="EB30" i="12"/>
  <c r="DW111" i="12"/>
  <c r="DY111" i="12"/>
  <c r="DZ111" i="12"/>
  <c r="EA111" i="12" s="1"/>
  <c r="ED111" i="12"/>
  <c r="EB108" i="12"/>
  <c r="DY94" i="12"/>
  <c r="DW94" i="12"/>
  <c r="ED94" i="12"/>
  <c r="DZ94" i="12"/>
  <c r="EA94" i="12" s="1"/>
  <c r="EB94" i="12"/>
  <c r="DW45" i="12"/>
  <c r="DY45" i="12"/>
  <c r="ED45" i="12"/>
  <c r="DZ45" i="12"/>
  <c r="EA45" i="12" s="1"/>
  <c r="EB45" i="12"/>
  <c r="EB55" i="12"/>
  <c r="DW20" i="12"/>
  <c r="DY20" i="12"/>
  <c r="DZ20" i="12"/>
  <c r="EA20" i="12" s="1"/>
  <c r="ED20" i="12"/>
  <c r="EB20" i="12"/>
  <c r="EB8" i="12"/>
  <c r="DW37" i="12"/>
  <c r="DY37" i="12"/>
  <c r="DZ37" i="12"/>
  <c r="EA37" i="12" s="1"/>
  <c r="ED37" i="12"/>
  <c r="EB37" i="12"/>
  <c r="DW36" i="12"/>
  <c r="DY36" i="12"/>
  <c r="DZ36" i="12"/>
  <c r="EA36" i="12" s="1"/>
  <c r="ED36" i="12"/>
  <c r="EB36" i="12"/>
  <c r="EB31" i="12"/>
  <c r="DW103" i="12"/>
  <c r="DY103" i="12"/>
  <c r="DZ103" i="12"/>
  <c r="EA103" i="12" s="1"/>
  <c r="ED103" i="12"/>
  <c r="EB103" i="12"/>
  <c r="EB124" i="12"/>
  <c r="W159" i="14"/>
  <c r="W157" i="14"/>
  <c r="W158" i="14"/>
  <c r="W158" i="12"/>
  <c r="W159" i="12"/>
  <c r="W157" i="12"/>
  <c r="X159" i="12"/>
  <c r="B37" i="11"/>
  <c r="X147" i="14"/>
  <c r="X147" i="12"/>
  <c r="C74" i="10"/>
  <c r="X160" i="12"/>
  <c r="X163" i="12"/>
  <c r="X160" i="14"/>
  <c r="B6" i="11"/>
  <c r="H6" i="11"/>
  <c r="X143" i="14"/>
  <c r="X151" i="14" s="1"/>
  <c r="X143" i="12"/>
  <c r="X150" i="12"/>
  <c r="X154" i="12" s="1"/>
  <c r="J40" i="4"/>
  <c r="I40" i="4"/>
  <c r="BJ100" i="13"/>
  <c r="BK99" i="13"/>
  <c r="BI99" i="13"/>
  <c r="BJ98" i="13"/>
  <c r="BK97" i="13"/>
  <c r="BI97" i="13"/>
  <c r="BJ96" i="13"/>
  <c r="BK95" i="13"/>
  <c r="BI95" i="13"/>
  <c r="BJ94" i="13"/>
  <c r="BK93" i="13"/>
  <c r="BI93" i="13"/>
  <c r="BJ92" i="13"/>
  <c r="BK91" i="13"/>
  <c r="BI91" i="13"/>
  <c r="BJ90" i="13"/>
  <c r="BK89" i="13"/>
  <c r="BI89" i="13"/>
  <c r="BJ88" i="13"/>
  <c r="BK87" i="13"/>
  <c r="BI87" i="13"/>
  <c r="BJ86" i="13"/>
  <c r="BK85" i="13"/>
  <c r="BI85" i="13"/>
  <c r="BJ84" i="13"/>
  <c r="BK83" i="13"/>
  <c r="BI83" i="13"/>
  <c r="BJ82" i="13"/>
  <c r="BK81" i="13"/>
  <c r="BI81" i="13"/>
  <c r="BJ80" i="13"/>
  <c r="BK79" i="13"/>
  <c r="BI79" i="13"/>
  <c r="BJ78" i="13"/>
  <c r="BK77" i="13"/>
  <c r="BI77" i="13"/>
  <c r="BJ76" i="13"/>
  <c r="BK75" i="13"/>
  <c r="BI75" i="13"/>
  <c r="BJ74" i="13"/>
  <c r="BK73" i="13"/>
  <c r="BI73" i="13"/>
  <c r="BJ72" i="13"/>
  <c r="BK71" i="13"/>
  <c r="BI71" i="13"/>
  <c r="BJ70" i="13"/>
  <c r="BK69" i="13"/>
  <c r="BI69" i="13"/>
  <c r="BJ68" i="13"/>
  <c r="BK67" i="13"/>
  <c r="BI67" i="13"/>
  <c r="BJ66" i="13"/>
  <c r="BK65" i="13"/>
  <c r="BI65" i="13"/>
  <c r="BJ64" i="13"/>
  <c r="BK63" i="13"/>
  <c r="BI63" i="13"/>
  <c r="BJ62" i="13"/>
  <c r="BK61" i="13"/>
  <c r="BI61" i="13"/>
  <c r="BJ60" i="13"/>
  <c r="BK59" i="13"/>
  <c r="BK100" i="13"/>
  <c r="BI100" i="13"/>
  <c r="BJ99" i="13"/>
  <c r="BK98" i="13"/>
  <c r="BI98" i="13"/>
  <c r="BJ97" i="13"/>
  <c r="BK96" i="13"/>
  <c r="BI96" i="13"/>
  <c r="BJ95" i="13"/>
  <c r="BK94" i="13"/>
  <c r="BI94" i="13"/>
  <c r="BJ93" i="13"/>
  <c r="BK92" i="13"/>
  <c r="BI92" i="13"/>
  <c r="BJ91" i="13"/>
  <c r="BK90" i="13"/>
  <c r="BI90" i="13"/>
  <c r="BJ89" i="13"/>
  <c r="BK88" i="13"/>
  <c r="BI88" i="13"/>
  <c r="BJ87" i="13"/>
  <c r="BK86" i="13"/>
  <c r="BI86" i="13"/>
  <c r="BJ85" i="13"/>
  <c r="BK84" i="13"/>
  <c r="BI84" i="13"/>
  <c r="BJ83" i="13"/>
  <c r="BK82" i="13"/>
  <c r="BI82" i="13"/>
  <c r="BJ81" i="13"/>
  <c r="BK80" i="13"/>
  <c r="BI80" i="13"/>
  <c r="BJ79" i="13"/>
  <c r="BK78" i="13"/>
  <c r="BI78" i="13"/>
  <c r="BJ77" i="13"/>
  <c r="BK76" i="13"/>
  <c r="BI76" i="13"/>
  <c r="BJ75" i="13"/>
  <c r="BK74" i="13"/>
  <c r="BI74" i="13"/>
  <c r="BJ73" i="13"/>
  <c r="BK72" i="13"/>
  <c r="BI72" i="13"/>
  <c r="BJ71" i="13"/>
  <c r="BK70" i="13"/>
  <c r="BI70" i="13"/>
  <c r="BJ69" i="13"/>
  <c r="BK68" i="13"/>
  <c r="BI68" i="13"/>
  <c r="BJ67" i="13"/>
  <c r="BK66" i="13"/>
  <c r="BI66" i="13"/>
  <c r="BJ65" i="13"/>
  <c r="BK64" i="13"/>
  <c r="BI64" i="13"/>
  <c r="BJ63" i="13"/>
  <c r="BK62" i="13"/>
  <c r="BI62" i="13"/>
  <c r="BJ61" i="13"/>
  <c r="BK60" i="13"/>
  <c r="BI60" i="13"/>
  <c r="BJ59" i="13"/>
  <c r="BK58" i="13"/>
  <c r="BI59" i="13"/>
  <c r="BI58" i="13"/>
  <c r="BJ57" i="13"/>
  <c r="BK56" i="13"/>
  <c r="BI56" i="13"/>
  <c r="BJ55" i="13"/>
  <c r="BK54" i="13"/>
  <c r="BI54" i="13"/>
  <c r="BJ53" i="13"/>
  <c r="BK52" i="13"/>
  <c r="BI52" i="13"/>
  <c r="BJ51" i="13"/>
  <c r="BK50" i="13"/>
  <c r="BI50" i="13"/>
  <c r="BJ49" i="13"/>
  <c r="BK48" i="13"/>
  <c r="BI48" i="13"/>
  <c r="BJ47" i="13"/>
  <c r="BK46" i="13"/>
  <c r="BI46" i="13"/>
  <c r="BJ43" i="13"/>
  <c r="BK30" i="13"/>
  <c r="BI30" i="13"/>
  <c r="BJ58" i="13"/>
  <c r="BK57" i="13"/>
  <c r="BI57" i="13"/>
  <c r="BJ56" i="13"/>
  <c r="BK55" i="13"/>
  <c r="BI55" i="13"/>
  <c r="BJ54" i="13"/>
  <c r="BK53" i="13"/>
  <c r="BI53" i="13"/>
  <c r="BJ52" i="13"/>
  <c r="BK51" i="13"/>
  <c r="BI51" i="13"/>
  <c r="BJ50" i="13"/>
  <c r="BK49" i="13"/>
  <c r="BI49" i="13"/>
  <c r="BJ48" i="13"/>
  <c r="BK47" i="13"/>
  <c r="BI47" i="13"/>
  <c r="BJ46" i="13"/>
  <c r="BK43" i="13"/>
  <c r="BI43" i="13"/>
  <c r="BJ30" i="13"/>
  <c r="BJ26" i="13"/>
  <c r="BK25" i="13"/>
  <c r="BI25" i="13"/>
  <c r="BJ24" i="13"/>
  <c r="BK23" i="13"/>
  <c r="BI23" i="13"/>
  <c r="BJ22" i="13"/>
  <c r="BK21" i="13"/>
  <c r="BI21" i="13"/>
  <c r="BJ20" i="13"/>
  <c r="BK19" i="13"/>
  <c r="BI19" i="13"/>
  <c r="BJ18" i="13"/>
  <c r="BK17" i="13"/>
  <c r="BI17" i="13"/>
  <c r="BJ16" i="13"/>
  <c r="BK15" i="13"/>
  <c r="BI15" i="13"/>
  <c r="BJ14" i="13"/>
  <c r="BK13" i="13"/>
  <c r="BI13" i="13"/>
  <c r="BJ12" i="13"/>
  <c r="BK11" i="13"/>
  <c r="BI11" i="13"/>
  <c r="BK9" i="13"/>
  <c r="BI9" i="13"/>
  <c r="BJ8" i="13"/>
  <c r="BK26" i="13"/>
  <c r="BJ25" i="13"/>
  <c r="BI24" i="13"/>
  <c r="BK22" i="13"/>
  <c r="BJ21" i="13"/>
  <c r="BI20" i="13"/>
  <c r="BK18" i="13"/>
  <c r="BJ17" i="13"/>
  <c r="BI16" i="13"/>
  <c r="BK14" i="13"/>
  <c r="BJ13" i="13"/>
  <c r="BI12" i="13"/>
  <c r="BJ9" i="13"/>
  <c r="BI8" i="13"/>
  <c r="BI26" i="13"/>
  <c r="BK24" i="13"/>
  <c r="BJ23" i="13"/>
  <c r="BI22" i="13"/>
  <c r="BK20" i="13"/>
  <c r="BJ19" i="13"/>
  <c r="BI18" i="13"/>
  <c r="BK16" i="13"/>
  <c r="BJ15" i="13"/>
  <c r="BI14" i="13"/>
  <c r="BK12" i="13"/>
  <c r="BJ11" i="13"/>
  <c r="BK8" i="13"/>
  <c r="L5" i="18"/>
  <c r="L24" i="18" s="1"/>
  <c r="D19" i="18"/>
  <c r="D22" i="18" s="1"/>
  <c r="D30" i="18" s="1"/>
  <c r="K59" i="7"/>
  <c r="K69" i="7" s="1"/>
  <c r="K56" i="7"/>
  <c r="K18" i="17"/>
  <c r="I31" i="4"/>
  <c r="J31" i="4"/>
  <c r="I56" i="4"/>
  <c r="I47" i="4"/>
  <c r="F5" i="16"/>
  <c r="F18" i="16" s="1"/>
  <c r="J18" i="16" s="1"/>
  <c r="G64" i="4"/>
  <c r="H64" i="4"/>
  <c r="C49" i="10"/>
  <c r="K20" i="7"/>
  <c r="I87" i="4"/>
  <c r="K32" i="7"/>
  <c r="K31" i="7"/>
  <c r="K97" i="7"/>
  <c r="I63" i="4"/>
  <c r="I84" i="4"/>
  <c r="I78" i="4"/>
  <c r="I71" i="4"/>
  <c r="H75" i="4"/>
  <c r="G75" i="4"/>
  <c r="H72" i="4"/>
  <c r="G72" i="4"/>
  <c r="E58" i="4"/>
  <c r="E41" i="4"/>
  <c r="F41" i="4"/>
  <c r="K5" i="16"/>
  <c r="G5" i="16" s="1"/>
  <c r="G18" i="16" s="1"/>
  <c r="K18" i="16" s="1"/>
  <c r="I46" i="4"/>
  <c r="I30" i="4"/>
  <c r="X164" i="14"/>
  <c r="K33" i="7"/>
  <c r="K46" i="7"/>
  <c r="G41" i="4" s="1"/>
  <c r="X167" i="12"/>
  <c r="BL2" i="13"/>
  <c r="X151" i="12"/>
  <c r="BE103" i="13"/>
  <c r="BE4" i="13"/>
  <c r="BE29" i="13"/>
  <c r="W146" i="12"/>
  <c r="E47" i="11"/>
  <c r="K16" i="11"/>
  <c r="L91" i="7"/>
  <c r="E16" i="11"/>
  <c r="B18" i="11" s="1"/>
  <c r="L78" i="7"/>
  <c r="L30" i="7"/>
  <c r="K55" i="7" l="1"/>
  <c r="K67" i="7"/>
  <c r="DN151" i="12"/>
  <c r="DM147" i="12"/>
  <c r="ED160" i="12"/>
  <c r="EA5" i="12"/>
  <c r="DX182" i="12"/>
  <c r="DW183" i="12" s="1"/>
  <c r="DX177" i="12"/>
  <c r="DY147" i="12"/>
  <c r="DY151" i="12" s="1"/>
  <c r="EA147" i="12"/>
  <c r="DY126" i="12"/>
  <c r="EB123" i="12"/>
  <c r="EB126" i="12" s="1"/>
  <c r="DW123" i="12"/>
  <c r="DW126" i="12" s="1"/>
  <c r="DX176" i="12" s="1"/>
  <c r="DX175" i="12" s="1"/>
  <c r="DY123" i="12"/>
  <c r="DZ123" i="12"/>
  <c r="EA123" i="12" s="1"/>
  <c r="ED123" i="12"/>
  <c r="ED126" i="12" s="1"/>
  <c r="W156" i="12"/>
  <c r="W156" i="14"/>
  <c r="W163" i="14"/>
  <c r="W161" i="14"/>
  <c r="W162" i="14"/>
  <c r="X164" i="12"/>
  <c r="W163" i="12"/>
  <c r="W161" i="12"/>
  <c r="W162" i="12"/>
  <c r="K30" i="16"/>
  <c r="W150" i="12"/>
  <c r="BR100" i="13"/>
  <c r="BP100" i="13"/>
  <c r="BQ99" i="13"/>
  <c r="BR98" i="13"/>
  <c r="BP98" i="13"/>
  <c r="BQ97" i="13"/>
  <c r="BR96" i="13"/>
  <c r="BP96" i="13"/>
  <c r="BQ95" i="13"/>
  <c r="BR94" i="13"/>
  <c r="BP94" i="13"/>
  <c r="BQ93" i="13"/>
  <c r="BR92" i="13"/>
  <c r="BP92" i="13"/>
  <c r="BQ91" i="13"/>
  <c r="BR90" i="13"/>
  <c r="BP90" i="13"/>
  <c r="BQ89" i="13"/>
  <c r="BR88" i="13"/>
  <c r="BP88" i="13"/>
  <c r="BQ87" i="13"/>
  <c r="BR86" i="13"/>
  <c r="BP86" i="13"/>
  <c r="BQ85" i="13"/>
  <c r="BR84" i="13"/>
  <c r="BP84" i="13"/>
  <c r="BQ83" i="13"/>
  <c r="BR82" i="13"/>
  <c r="BP82" i="13"/>
  <c r="BQ81" i="13"/>
  <c r="BR80" i="13"/>
  <c r="BP80" i="13"/>
  <c r="BQ79" i="13"/>
  <c r="BR78" i="13"/>
  <c r="BP78" i="13"/>
  <c r="BQ77" i="13"/>
  <c r="BR76" i="13"/>
  <c r="BP76" i="13"/>
  <c r="BQ75" i="13"/>
  <c r="BR74" i="13"/>
  <c r="BP74" i="13"/>
  <c r="BQ73" i="13"/>
  <c r="BR72" i="13"/>
  <c r="BP72" i="13"/>
  <c r="BQ71" i="13"/>
  <c r="BR70" i="13"/>
  <c r="BP70" i="13"/>
  <c r="BQ69" i="13"/>
  <c r="BR68" i="13"/>
  <c r="BP68" i="13"/>
  <c r="BQ67" i="13"/>
  <c r="BR66" i="13"/>
  <c r="BP66" i="13"/>
  <c r="BQ65" i="13"/>
  <c r="BR64" i="13"/>
  <c r="BP64" i="13"/>
  <c r="BQ63" i="13"/>
  <c r="BR62" i="13"/>
  <c r="BP62" i="13"/>
  <c r="BQ61" i="13"/>
  <c r="BR60" i="13"/>
  <c r="BP60" i="13"/>
  <c r="BQ59" i="13"/>
  <c r="BR58" i="13"/>
  <c r="BP58" i="13"/>
  <c r="BQ57" i="13"/>
  <c r="BR56" i="13"/>
  <c r="BP56" i="13"/>
  <c r="BQ55" i="13"/>
  <c r="BR54" i="13"/>
  <c r="BP54" i="13"/>
  <c r="BQ53" i="13"/>
  <c r="BR52" i="13"/>
  <c r="BP52" i="13"/>
  <c r="BQ51" i="13"/>
  <c r="BR50" i="13"/>
  <c r="BP50" i="13"/>
  <c r="BQ49" i="13"/>
  <c r="BR48" i="13"/>
  <c r="BP48" i="13"/>
  <c r="BQ47" i="13"/>
  <c r="BR46" i="13"/>
  <c r="BP46" i="13"/>
  <c r="BQ100" i="13"/>
  <c r="BR99" i="13"/>
  <c r="BP99" i="13"/>
  <c r="BQ98" i="13"/>
  <c r="BR97" i="13"/>
  <c r="BP97" i="13"/>
  <c r="BQ96" i="13"/>
  <c r="BR95" i="13"/>
  <c r="BP95" i="13"/>
  <c r="BQ94" i="13"/>
  <c r="BR93" i="13"/>
  <c r="BP93" i="13"/>
  <c r="BQ92" i="13"/>
  <c r="BR91" i="13"/>
  <c r="BP91" i="13"/>
  <c r="BQ90" i="13"/>
  <c r="BR89" i="13"/>
  <c r="BP89" i="13"/>
  <c r="BQ88" i="13"/>
  <c r="BR87" i="13"/>
  <c r="BP87" i="13"/>
  <c r="BQ86" i="13"/>
  <c r="BR85" i="13"/>
  <c r="BP85" i="13"/>
  <c r="BQ84" i="13"/>
  <c r="BR83" i="13"/>
  <c r="BP83" i="13"/>
  <c r="BQ82" i="13"/>
  <c r="BR81" i="13"/>
  <c r="BP81" i="13"/>
  <c r="BQ80" i="13"/>
  <c r="BR79" i="13"/>
  <c r="BP79" i="13"/>
  <c r="BQ78" i="13"/>
  <c r="BR77" i="13"/>
  <c r="BP77" i="13"/>
  <c r="BQ76" i="13"/>
  <c r="BR75" i="13"/>
  <c r="BP75" i="13"/>
  <c r="BQ74" i="13"/>
  <c r="BR73" i="13"/>
  <c r="BP73" i="13"/>
  <c r="BQ72" i="13"/>
  <c r="BR71" i="13"/>
  <c r="BP71" i="13"/>
  <c r="BQ70" i="13"/>
  <c r="BR69" i="13"/>
  <c r="BP69" i="13"/>
  <c r="BQ68" i="13"/>
  <c r="BR67" i="13"/>
  <c r="BP67" i="13"/>
  <c r="BQ66" i="13"/>
  <c r="BR65" i="13"/>
  <c r="BP65" i="13"/>
  <c r="BQ64" i="13"/>
  <c r="BR63" i="13"/>
  <c r="BP63" i="13"/>
  <c r="BQ62" i="13"/>
  <c r="BR61" i="13"/>
  <c r="BP61" i="13"/>
  <c r="BQ60" i="13"/>
  <c r="BR59" i="13"/>
  <c r="BP59" i="13"/>
  <c r="BQ58" i="13"/>
  <c r="BR57" i="13"/>
  <c r="BP57" i="13"/>
  <c r="BQ56" i="13"/>
  <c r="BR55" i="13"/>
  <c r="BP55" i="13"/>
  <c r="BQ54" i="13"/>
  <c r="BR53" i="13"/>
  <c r="BP53" i="13"/>
  <c r="BQ52" i="13"/>
  <c r="BR51" i="13"/>
  <c r="BP51" i="13"/>
  <c r="BQ50" i="13"/>
  <c r="BR49" i="13"/>
  <c r="BP49" i="13"/>
  <c r="BQ48" i="13"/>
  <c r="BR47" i="13"/>
  <c r="BP47" i="13"/>
  <c r="BQ46" i="13"/>
  <c r="BQ43" i="13"/>
  <c r="BR30" i="13"/>
  <c r="BP30" i="13"/>
  <c r="BR43" i="13"/>
  <c r="BP43" i="13"/>
  <c r="BQ30" i="13"/>
  <c r="BR26" i="13"/>
  <c r="BP26" i="13"/>
  <c r="BQ25" i="13"/>
  <c r="BR24" i="13"/>
  <c r="BP24" i="13"/>
  <c r="BQ23" i="13"/>
  <c r="BR22" i="13"/>
  <c r="BP22" i="13"/>
  <c r="BQ21" i="13"/>
  <c r="BR20" i="13"/>
  <c r="BP20" i="13"/>
  <c r="BQ19" i="13"/>
  <c r="BR18" i="13"/>
  <c r="BP18" i="13"/>
  <c r="BQ17" i="13"/>
  <c r="BR16" i="13"/>
  <c r="BP16" i="13"/>
  <c r="BQ15" i="13"/>
  <c r="BR14" i="13"/>
  <c r="BP14" i="13"/>
  <c r="BQ13" i="13"/>
  <c r="BR12" i="13"/>
  <c r="BP12" i="13"/>
  <c r="BQ11" i="13"/>
  <c r="BQ9" i="13"/>
  <c r="BR8" i="13"/>
  <c r="BP8" i="13"/>
  <c r="BQ26" i="13"/>
  <c r="BP25" i="13"/>
  <c r="BR23" i="13"/>
  <c r="BQ22" i="13"/>
  <c r="BP21" i="13"/>
  <c r="BR19" i="13"/>
  <c r="BQ18" i="13"/>
  <c r="BP17" i="13"/>
  <c r="BR15" i="13"/>
  <c r="BQ14" i="13"/>
  <c r="BP13" i="13"/>
  <c r="BR11" i="13"/>
  <c r="BP9" i="13"/>
  <c r="BL29" i="13"/>
  <c r="BR25" i="13"/>
  <c r="BQ24" i="13"/>
  <c r="BP23" i="13"/>
  <c r="BR21" i="13"/>
  <c r="BQ20" i="13"/>
  <c r="BP19" i="13"/>
  <c r="BR17" i="13"/>
  <c r="BQ16" i="13"/>
  <c r="BP15" i="13"/>
  <c r="BR13" i="13"/>
  <c r="BQ12" i="13"/>
  <c r="BP11" i="13"/>
  <c r="BR9" i="13"/>
  <c r="BQ8" i="13"/>
  <c r="L59" i="7"/>
  <c r="L69" i="7" s="1"/>
  <c r="L56" i="7"/>
  <c r="I64" i="4"/>
  <c r="J64" i="4"/>
  <c r="BL103" i="13"/>
  <c r="X169" i="14"/>
  <c r="X184" i="14" s="1"/>
  <c r="BL4" i="13"/>
  <c r="L97" i="7"/>
  <c r="L32" i="7"/>
  <c r="L35" i="7" s="1"/>
  <c r="L31" i="7"/>
  <c r="L34" i="7" s="1"/>
  <c r="J72" i="4"/>
  <c r="I72" i="4"/>
  <c r="J75" i="4"/>
  <c r="I75" i="4"/>
  <c r="G58" i="4"/>
  <c r="G57" i="4"/>
  <c r="H41" i="4"/>
  <c r="L33" i="7"/>
  <c r="L46" i="7"/>
  <c r="J41" i="4" s="1"/>
  <c r="X172" i="12"/>
  <c r="K65" i="11"/>
  <c r="X169" i="12"/>
  <c r="W154" i="12"/>
  <c r="H18" i="11"/>
  <c r="B49" i="11"/>
  <c r="K35" i="7"/>
  <c r="K34" i="7"/>
  <c r="C51" i="4" l="1"/>
  <c r="E51" i="4"/>
  <c r="G51" i="4"/>
  <c r="I51" i="4"/>
  <c r="L55" i="7"/>
  <c r="L67" i="7"/>
  <c r="DZ147" i="12"/>
  <c r="EA151" i="12"/>
  <c r="EA126" i="12"/>
  <c r="DM151" i="12"/>
  <c r="DX178" i="12"/>
  <c r="I86" i="4" s="1"/>
  <c r="DZ126" i="12"/>
  <c r="ED164" i="12"/>
  <c r="W160" i="12"/>
  <c r="W160" i="14"/>
  <c r="X184" i="12"/>
  <c r="W185" i="12" s="1"/>
  <c r="W172" i="12"/>
  <c r="W166" i="12"/>
  <c r="W167" i="12"/>
  <c r="W165" i="12"/>
  <c r="C20" i="17"/>
  <c r="C22" i="17" s="1"/>
  <c r="W185" i="14"/>
  <c r="C29" i="17"/>
  <c r="C31" i="17" s="1"/>
  <c r="I58" i="4"/>
  <c r="I57" i="4"/>
  <c r="I41" i="4"/>
  <c r="G42" i="4"/>
  <c r="DZ151" i="12" l="1"/>
  <c r="W164" i="12"/>
  <c r="C42" i="4"/>
  <c r="G59" i="4"/>
  <c r="C59" i="4"/>
  <c r="I14" i="17" l="1"/>
  <c r="I16" i="17" s="1"/>
  <c r="J15" i="17"/>
  <c r="J16" i="17" s="1"/>
  <c r="J17" i="17"/>
  <c r="J19" i="17" s="1"/>
  <c r="I17" i="17"/>
  <c r="I19" i="17" s="1"/>
  <c r="K17" i="17"/>
  <c r="K19" i="17" s="1"/>
  <c r="K15" i="17"/>
  <c r="K16" i="17" s="1"/>
  <c r="O320" i="9" l="1"/>
  <c r="Q320" i="9"/>
  <c r="R320" i="9"/>
  <c r="S320" i="9"/>
  <c r="T320" i="9"/>
  <c r="U320" i="9"/>
  <c r="M319" i="9" l="1"/>
  <c r="L319" i="9"/>
  <c r="M318" i="9"/>
  <c r="L318" i="9"/>
  <c r="M317" i="9"/>
  <c r="L317" i="9"/>
  <c r="M316" i="9"/>
  <c r="L316" i="9"/>
  <c r="L315" i="9"/>
  <c r="L314" i="9"/>
  <c r="L313" i="9"/>
  <c r="L312" i="9"/>
  <c r="L311" i="9"/>
  <c r="L310" i="9"/>
  <c r="L309" i="9"/>
  <c r="M308" i="9"/>
  <c r="L308" i="9"/>
  <c r="L307" i="9"/>
  <c r="L306" i="9"/>
  <c r="L305" i="9"/>
  <c r="L304" i="9"/>
  <c r="L303" i="9"/>
  <c r="L302" i="9"/>
  <c r="L301" i="9"/>
  <c r="M300" i="9"/>
  <c r="L300" i="9"/>
  <c r="M299" i="9"/>
  <c r="L299" i="9"/>
  <c r="M298" i="9"/>
  <c r="L298" i="9"/>
  <c r="M297" i="9"/>
  <c r="L297" i="9"/>
  <c r="M296" i="9"/>
  <c r="L296" i="9"/>
  <c r="M295" i="9"/>
  <c r="L295" i="9"/>
  <c r="M294" i="9"/>
  <c r="L294" i="9"/>
  <c r="M293" i="9"/>
  <c r="L293" i="9"/>
  <c r="M292" i="9"/>
  <c r="L292" i="9"/>
  <c r="M291"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M229" i="9"/>
  <c r="L229" i="9"/>
  <c r="M228" i="9"/>
  <c r="L228" i="9"/>
  <c r="M227" i="9"/>
  <c r="L227" i="9"/>
  <c r="M226" i="9"/>
  <c r="L226" i="9"/>
  <c r="M225" i="9"/>
  <c r="L225" i="9"/>
  <c r="M224" i="9"/>
  <c r="L224" i="9"/>
  <c r="M223" i="9"/>
  <c r="L223" i="9"/>
  <c r="M222" i="9"/>
  <c r="L222" i="9"/>
  <c r="L221" i="9"/>
  <c r="M221" i="9" s="1"/>
  <c r="L220" i="9"/>
  <c r="M220" i="9" s="1"/>
  <c r="L219" i="9"/>
  <c r="M219" i="9" s="1"/>
  <c r="L218" i="9"/>
  <c r="M218" i="9" s="1"/>
  <c r="L217" i="9"/>
  <c r="L216" i="9"/>
  <c r="M216" i="9" s="1"/>
  <c r="L215" i="9"/>
  <c r="M215" i="9" s="1"/>
  <c r="M214" i="9"/>
  <c r="L214" i="9"/>
  <c r="M213" i="9"/>
  <c r="L213" i="9"/>
  <c r="L212" i="9"/>
  <c r="M212" i="9" s="1"/>
  <c r="L211" i="9"/>
  <c r="M211" i="9" s="1"/>
  <c r="L210" i="9"/>
  <c r="M210" i="9" s="1"/>
  <c r="L209" i="9"/>
  <c r="M209" i="9" s="1"/>
  <c r="L208" i="9"/>
  <c r="M208" i="9" s="1"/>
  <c r="L207" i="9"/>
  <c r="M207" i="9" s="1"/>
  <c r="L206" i="9"/>
  <c r="M206" i="9" s="1"/>
  <c r="M205" i="9"/>
  <c r="L205" i="9"/>
  <c r="M204" i="9"/>
  <c r="L204" i="9"/>
  <c r="L203" i="9"/>
  <c r="M203" i="9" s="1"/>
  <c r="L202" i="9"/>
  <c r="M202" i="9" s="1"/>
  <c r="L201" i="9"/>
  <c r="M201" i="9" s="1"/>
  <c r="L200" i="9"/>
  <c r="M200" i="9" s="1"/>
  <c r="L199" i="9"/>
  <c r="M199" i="9" s="1"/>
  <c r="L198" i="9"/>
  <c r="M198" i="9" s="1"/>
  <c r="L197" i="9"/>
  <c r="M197" i="9" s="1"/>
  <c r="L196" i="9"/>
  <c r="M196" i="9" s="1"/>
  <c r="L195" i="9"/>
  <c r="M195" i="9" s="1"/>
  <c r="L194" i="9"/>
  <c r="M194" i="9" s="1"/>
  <c r="L193" i="9"/>
  <c r="M193" i="9" s="1"/>
  <c r="L192" i="9"/>
  <c r="M192" i="9" s="1"/>
  <c r="L191" i="9"/>
  <c r="M191" i="9" s="1"/>
  <c r="L190" i="9"/>
  <c r="M189" i="9"/>
  <c r="L189" i="9"/>
  <c r="M188" i="9"/>
  <c r="L188" i="9"/>
  <c r="L187" i="9"/>
  <c r="M187" i="9" s="1"/>
  <c r="L186" i="9"/>
  <c r="M186" i="9" s="1"/>
  <c r="L185" i="9"/>
  <c r="L184" i="9"/>
  <c r="M184" i="9" s="1"/>
  <c r="L183" i="9"/>
  <c r="L182" i="9"/>
  <c r="M182" i="9" s="1"/>
  <c r="L181" i="9"/>
  <c r="M181" i="9" s="1"/>
  <c r="L180" i="9"/>
  <c r="M180" i="9" s="1"/>
  <c r="L179" i="9"/>
  <c r="M179" i="9" s="1"/>
  <c r="L178" i="9"/>
  <c r="M178" i="9" s="1"/>
  <c r="L177" i="9"/>
  <c r="L176" i="9"/>
  <c r="M176" i="9" s="1"/>
  <c r="L175" i="9"/>
  <c r="L174" i="9"/>
  <c r="M174" i="9" s="1"/>
  <c r="L173" i="9"/>
  <c r="M173" i="9" s="1"/>
  <c r="M172" i="9"/>
  <c r="L172" i="9"/>
  <c r="M171" i="9"/>
  <c r="L171" i="9"/>
  <c r="L170" i="9"/>
  <c r="L169" i="9"/>
  <c r="M169" i="9" s="1"/>
  <c r="L168" i="9"/>
  <c r="M168" i="9" s="1"/>
  <c r="M167" i="9"/>
  <c r="L167" i="9"/>
  <c r="M166" i="9"/>
  <c r="L166" i="9"/>
  <c r="L165" i="9"/>
  <c r="M165" i="9" s="1"/>
  <c r="L164" i="9"/>
  <c r="M164" i="9" s="1"/>
  <c r="L163" i="9"/>
  <c r="L162" i="9"/>
  <c r="M162" i="9" s="1"/>
  <c r="L161" i="9"/>
  <c r="M161" i="9" s="1"/>
  <c r="L160" i="9"/>
  <c r="M160" i="9" s="1"/>
  <c r="L159" i="9"/>
  <c r="M159" i="9" s="1"/>
  <c r="L158" i="9"/>
  <c r="M158" i="9" s="1"/>
  <c r="L157" i="9"/>
  <c r="M157" i="9" s="1"/>
  <c r="L156" i="9"/>
  <c r="M156" i="9" s="1"/>
  <c r="L155" i="9"/>
  <c r="M155" i="9" s="1"/>
  <c r="L154" i="9"/>
  <c r="M154" i="9" s="1"/>
  <c r="L153" i="9"/>
  <c r="M153" i="9" s="1"/>
  <c r="L152" i="9"/>
  <c r="M152" i="9" s="1"/>
  <c r="L151" i="9"/>
  <c r="L150" i="9"/>
  <c r="M150" i="9" s="1"/>
  <c r="L149" i="9"/>
  <c r="M149" i="9" s="1"/>
  <c r="L148" i="9"/>
  <c r="M148" i="9" s="1"/>
  <c r="L147" i="9"/>
  <c r="M147" i="9" s="1"/>
  <c r="L146" i="9"/>
  <c r="M146" i="9" s="1"/>
  <c r="L145" i="9"/>
  <c r="L144" i="9"/>
  <c r="M144" i="9" s="1"/>
  <c r="L143" i="9"/>
  <c r="M143" i="9" s="1"/>
  <c r="L142" i="9"/>
  <c r="M142" i="9" s="1"/>
  <c r="L141" i="9"/>
  <c r="M141" i="9" s="1"/>
  <c r="L140" i="9"/>
  <c r="M140" i="9" s="1"/>
  <c r="L139" i="9"/>
  <c r="M139" i="9" s="1"/>
  <c r="L138" i="9"/>
  <c r="M138" i="9" s="1"/>
  <c r="L137" i="9"/>
  <c r="M137" i="9" s="1"/>
  <c r="L136" i="9"/>
  <c r="M136" i="9" s="1"/>
  <c r="L135" i="9"/>
  <c r="M135" i="9" s="1"/>
  <c r="L134" i="9"/>
  <c r="M133" i="9"/>
  <c r="L133" i="9"/>
  <c r="M132" i="9"/>
  <c r="L132" i="9"/>
  <c r="L131" i="9"/>
  <c r="M131" i="9" s="1"/>
  <c r="L130" i="9"/>
  <c r="M130" i="9" s="1"/>
  <c r="L129" i="9"/>
  <c r="L128" i="9"/>
  <c r="M128" i="9" s="1"/>
  <c r="L127" i="9"/>
  <c r="M127" i="9" s="1"/>
  <c r="L126" i="9"/>
  <c r="M126" i="9" s="1"/>
  <c r="L125" i="9"/>
  <c r="M125" i="9" s="1"/>
  <c r="L124" i="9"/>
  <c r="M124" i="9" s="1"/>
  <c r="L123" i="9"/>
  <c r="M123" i="9" s="1"/>
  <c r="L122" i="9"/>
  <c r="M122" i="9" s="1"/>
  <c r="L121" i="9"/>
  <c r="M121" i="9" s="1"/>
  <c r="L120" i="9"/>
  <c r="M120" i="9" s="1"/>
  <c r="L119" i="9"/>
  <c r="M119" i="9" s="1"/>
  <c r="L118" i="9"/>
  <c r="M118" i="9" s="1"/>
  <c r="L117" i="9"/>
  <c r="M117" i="9" s="1"/>
  <c r="L116" i="9"/>
  <c r="M116" i="9" s="1"/>
  <c r="L115" i="9"/>
  <c r="M115" i="9" s="1"/>
  <c r="L114" i="9"/>
  <c r="M114" i="9" s="1"/>
  <c r="L113" i="9"/>
  <c r="M113" i="9" s="1"/>
  <c r="L112" i="9"/>
  <c r="M112" i="9" s="1"/>
  <c r="L111" i="9"/>
  <c r="M111" i="9" s="1"/>
  <c r="L110" i="9"/>
  <c r="M110" i="9" s="1"/>
  <c r="L109" i="9"/>
  <c r="M109" i="9" s="1"/>
  <c r="L108" i="9"/>
  <c r="M108" i="9" s="1"/>
  <c r="L107" i="9"/>
  <c r="M107" i="9" s="1"/>
  <c r="M106" i="9"/>
  <c r="L106" i="9"/>
  <c r="M105" i="9"/>
  <c r="L105" i="9"/>
  <c r="L104" i="9"/>
  <c r="M104" i="9" s="1"/>
  <c r="L103" i="9"/>
  <c r="M103" i="9" s="1"/>
  <c r="L102" i="9"/>
  <c r="M102" i="9" s="1"/>
  <c r="L101" i="9"/>
  <c r="M101" i="9" s="1"/>
  <c r="L100" i="9"/>
  <c r="M100" i="9" s="1"/>
  <c r="L99" i="9"/>
  <c r="M99" i="9" s="1"/>
  <c r="L98" i="9"/>
  <c r="M98" i="9" s="1"/>
  <c r="L97" i="9"/>
  <c r="M97" i="9" s="1"/>
  <c r="L96" i="9"/>
  <c r="M96" i="9" s="1"/>
  <c r="L95" i="9"/>
  <c r="M95" i="9" s="1"/>
  <c r="L94" i="9"/>
  <c r="M94" i="9" s="1"/>
  <c r="L93" i="9"/>
  <c r="M93" i="9" s="1"/>
  <c r="L92" i="9"/>
  <c r="M92" i="9" s="1"/>
  <c r="L91" i="9"/>
  <c r="M91" i="9" s="1"/>
  <c r="L90" i="9"/>
  <c r="M90" i="9" s="1"/>
  <c r="L89" i="9"/>
  <c r="M89" i="9" s="1"/>
  <c r="L88" i="9"/>
  <c r="M88" i="9" s="1"/>
  <c r="L87" i="9"/>
  <c r="M87" i="9" s="1"/>
  <c r="L86" i="9"/>
  <c r="M86" i="9" s="1"/>
  <c r="L85" i="9"/>
  <c r="M85" i="9" s="1"/>
  <c r="L84" i="9"/>
  <c r="M84" i="9" s="1"/>
  <c r="L83" i="9"/>
  <c r="M83" i="9" s="1"/>
  <c r="L82" i="9"/>
  <c r="M82" i="9" s="1"/>
  <c r="L81" i="9"/>
  <c r="M81" i="9" s="1"/>
  <c r="L80" i="9"/>
  <c r="M80" i="9" s="1"/>
  <c r="L79" i="9"/>
  <c r="M79" i="9" s="1"/>
  <c r="L78" i="9"/>
  <c r="M78" i="9" s="1"/>
  <c r="L77" i="9"/>
  <c r="M77" i="9" s="1"/>
  <c r="L76" i="9"/>
  <c r="M76" i="9" s="1"/>
  <c r="L75" i="9"/>
  <c r="M75" i="9" s="1"/>
  <c r="L74" i="9"/>
  <c r="M74" i="9" s="1"/>
  <c r="L73" i="9"/>
  <c r="M73" i="9" s="1"/>
  <c r="L72" i="9"/>
  <c r="M72" i="9" s="1"/>
  <c r="L71" i="9"/>
  <c r="M71" i="9" s="1"/>
  <c r="L70" i="9"/>
  <c r="M70" i="9" s="1"/>
  <c r="L69" i="9"/>
  <c r="M69" i="9" s="1"/>
  <c r="L68" i="9"/>
  <c r="M68" i="9" s="1"/>
  <c r="L67" i="9"/>
  <c r="M67" i="9" s="1"/>
  <c r="L66" i="9"/>
  <c r="M66" i="9" s="1"/>
  <c r="L65" i="9"/>
  <c r="M65" i="9" s="1"/>
  <c r="L64" i="9"/>
  <c r="M64" i="9" s="1"/>
  <c r="L63" i="9"/>
  <c r="M63" i="9" s="1"/>
  <c r="L62" i="9"/>
  <c r="M62" i="9" s="1"/>
  <c r="L61" i="9"/>
  <c r="M61" i="9" s="1"/>
  <c r="L60" i="9"/>
  <c r="M60" i="9" s="1"/>
  <c r="L59" i="9"/>
  <c r="M59" i="9" s="1"/>
  <c r="L58" i="9"/>
  <c r="M58" i="9" s="1"/>
  <c r="L57" i="9"/>
  <c r="M57" i="9" s="1"/>
  <c r="L56" i="9"/>
  <c r="M56" i="9" s="1"/>
  <c r="L55" i="9"/>
  <c r="M55" i="9" s="1"/>
  <c r="L54" i="9"/>
  <c r="M54" i="9" s="1"/>
  <c r="L53" i="9"/>
  <c r="M53" i="9" s="1"/>
  <c r="L52" i="9"/>
  <c r="M52" i="9" s="1"/>
  <c r="L51" i="9"/>
  <c r="M51" i="9" s="1"/>
  <c r="L50" i="9"/>
  <c r="M50" i="9" s="1"/>
  <c r="M49" i="9"/>
  <c r="L49" i="9"/>
  <c r="L48" i="9"/>
  <c r="M48" i="9" s="1"/>
  <c r="L47" i="9"/>
  <c r="M47" i="9" s="1"/>
  <c r="L46" i="9"/>
  <c r="M46" i="9" s="1"/>
  <c r="L45" i="9"/>
  <c r="M45" i="9" s="1"/>
  <c r="L44" i="9"/>
  <c r="M44" i="9" s="1"/>
  <c r="L43" i="9"/>
  <c r="M43" i="9" s="1"/>
  <c r="L42" i="9"/>
  <c r="M42" i="9" s="1"/>
  <c r="L41" i="9"/>
  <c r="M41" i="9" s="1"/>
  <c r="M40" i="9"/>
  <c r="L40" i="9"/>
  <c r="L39" i="9"/>
  <c r="M39" i="9" s="1"/>
  <c r="L38" i="9"/>
  <c r="M38" i="9" s="1"/>
  <c r="L37" i="9"/>
  <c r="M37" i="9" s="1"/>
  <c r="L36" i="9"/>
  <c r="M36" i="9" s="1"/>
  <c r="L35" i="9"/>
  <c r="M35" i="9" s="1"/>
  <c r="L34" i="9"/>
  <c r="M34" i="9" s="1"/>
  <c r="L33" i="9"/>
  <c r="M33" i="9" s="1"/>
  <c r="L32" i="9"/>
  <c r="M32" i="9" s="1"/>
  <c r="M31" i="9"/>
  <c r="L31" i="9"/>
  <c r="L30" i="9"/>
  <c r="M30" i="9" s="1"/>
  <c r="L29" i="9"/>
  <c r="M29" i="9" s="1"/>
  <c r="L28" i="9"/>
  <c r="M28" i="9" s="1"/>
  <c r="L27" i="9"/>
  <c r="M27" i="9" s="1"/>
  <c r="L26" i="9"/>
  <c r="M26" i="9" s="1"/>
  <c r="L25" i="9"/>
  <c r="M25" i="9" s="1"/>
  <c r="L24" i="9"/>
  <c r="M24" i="9" s="1"/>
  <c r="L23" i="9"/>
  <c r="M23" i="9" s="1"/>
  <c r="L22" i="9"/>
  <c r="M22" i="9" s="1"/>
  <c r="L21" i="9"/>
  <c r="M21" i="9" s="1"/>
  <c r="L20" i="9"/>
  <c r="M20" i="9" s="1"/>
  <c r="L19" i="9"/>
  <c r="M19" i="9" s="1"/>
  <c r="L18" i="9"/>
  <c r="M18" i="9" s="1"/>
  <c r="L17" i="9"/>
  <c r="M17" i="9" s="1"/>
  <c r="L16" i="9"/>
  <c r="M16" i="9" s="1"/>
  <c r="L15" i="9"/>
  <c r="M15" i="9" s="1"/>
  <c r="M14" i="9"/>
  <c r="L14" i="9"/>
  <c r="M13" i="9"/>
  <c r="L13" i="9"/>
  <c r="M12" i="9"/>
  <c r="L12" i="9"/>
  <c r="M11" i="9"/>
  <c r="L11" i="9"/>
  <c r="M10" i="9"/>
  <c r="L10" i="9"/>
  <c r="M9" i="9"/>
  <c r="L9" i="9"/>
  <c r="M8" i="9"/>
  <c r="L8" i="9"/>
  <c r="M7" i="9"/>
  <c r="L7" i="9"/>
  <c r="M230" i="9" l="1"/>
  <c r="M232" i="9"/>
  <c r="M234" i="9"/>
  <c r="M236" i="9"/>
  <c r="M238" i="9"/>
  <c r="M240" i="9"/>
  <c r="M242" i="9"/>
  <c r="M244" i="9"/>
  <c r="M246" i="9"/>
  <c r="M248" i="9"/>
  <c r="M250" i="9"/>
  <c r="M252" i="9"/>
  <c r="M254" i="9"/>
  <c r="M256" i="9"/>
  <c r="M280" i="9"/>
  <c r="M282" i="9"/>
  <c r="M284" i="9"/>
  <c r="M286" i="9"/>
  <c r="M288" i="9"/>
  <c r="M290" i="9"/>
  <c r="M302" i="9"/>
  <c r="M304" i="9"/>
  <c r="M306" i="9"/>
  <c r="M309" i="9"/>
  <c r="M310" i="9"/>
  <c r="M311" i="9"/>
  <c r="M312" i="9"/>
  <c r="M313" i="9"/>
  <c r="M314" i="9"/>
  <c r="M315" i="9"/>
  <c r="M231" i="9"/>
  <c r="M233" i="9"/>
  <c r="M235" i="9"/>
  <c r="M237" i="9"/>
  <c r="M239" i="9"/>
  <c r="M241" i="9"/>
  <c r="M243" i="9"/>
  <c r="M245" i="9"/>
  <c r="M247" i="9"/>
  <c r="M249" i="9"/>
  <c r="M251" i="9"/>
  <c r="M253" i="9"/>
  <c r="M255" i="9"/>
  <c r="M257" i="9"/>
  <c r="M281" i="9"/>
  <c r="M283" i="9"/>
  <c r="M285" i="9"/>
  <c r="M287" i="9"/>
  <c r="M289" i="9"/>
  <c r="M301" i="9"/>
  <c r="M303" i="9"/>
  <c r="M305" i="9"/>
  <c r="M307" i="9"/>
  <c r="M258" i="9"/>
  <c r="M259" i="9"/>
  <c r="M260" i="9"/>
  <c r="M261" i="9"/>
  <c r="M262" i="9"/>
  <c r="M263" i="9"/>
  <c r="M264" i="9"/>
  <c r="M265" i="9"/>
  <c r="M266" i="9"/>
  <c r="M267" i="9"/>
  <c r="M268" i="9"/>
  <c r="M269" i="9"/>
  <c r="M270" i="9"/>
  <c r="M271" i="9"/>
  <c r="M272" i="9"/>
  <c r="M273" i="9"/>
  <c r="M274" i="9"/>
  <c r="M275" i="9"/>
  <c r="M276" i="9"/>
  <c r="M277" i="9"/>
  <c r="M278" i="9"/>
  <c r="M279" i="9"/>
  <c r="M134" i="9"/>
  <c r="M145" i="9"/>
  <c r="M217" i="9"/>
  <c r="M129" i="9"/>
  <c r="M151" i="9"/>
  <c r="M175" i="9"/>
  <c r="M177" i="9"/>
  <c r="M190" i="9"/>
  <c r="M183" i="9"/>
  <c r="M185" i="9"/>
  <c r="M163" i="9"/>
  <c r="M170" i="9"/>
  <c r="M6" i="9"/>
  <c r="L6" i="9"/>
  <c r="M5" i="9" l="1"/>
  <c r="L5" i="9"/>
  <c r="N4" i="9" l="1"/>
  <c r="V319" i="9" l="1"/>
  <c r="V318" i="9"/>
  <c r="V317" i="9"/>
  <c r="V316" i="9"/>
  <c r="V315" i="9"/>
  <c r="V314" i="9"/>
  <c r="V313" i="9"/>
  <c r="V312" i="9"/>
  <c r="V311" i="9"/>
  <c r="V310" i="9"/>
  <c r="V309" i="9"/>
  <c r="V308" i="9"/>
  <c r="V306" i="9"/>
  <c r="V304" i="9"/>
  <c r="V302" i="9"/>
  <c r="V307" i="9"/>
  <c r="V305" i="9"/>
  <c r="V303" i="9"/>
  <c r="V301" i="9"/>
  <c r="V297" i="9"/>
  <c r="V295" i="9"/>
  <c r="V293" i="9"/>
  <c r="V292" i="9"/>
  <c r="V291" i="9"/>
  <c r="V290" i="9"/>
  <c r="V289" i="9"/>
  <c r="V288" i="9"/>
  <c r="V287" i="9"/>
  <c r="V286" i="9"/>
  <c r="V285" i="9"/>
  <c r="V284" i="9"/>
  <c r="V283" i="9"/>
  <c r="V282" i="9"/>
  <c r="V281" i="9"/>
  <c r="P279" i="9"/>
  <c r="P277" i="9"/>
  <c r="P275" i="9"/>
  <c r="V296" i="9"/>
  <c r="V280" i="9"/>
  <c r="V277" i="9"/>
  <c r="V276" i="9"/>
  <c r="V259" i="9"/>
  <c r="V258" i="9"/>
  <c r="V257" i="9"/>
  <c r="V256" i="9"/>
  <c r="V255" i="9"/>
  <c r="V254" i="9"/>
  <c r="V253" i="9"/>
  <c r="V252" i="9"/>
  <c r="V251" i="9"/>
  <c r="V250" i="9"/>
  <c r="V249" i="9"/>
  <c r="V248" i="9"/>
  <c r="V247" i="9"/>
  <c r="V246" i="9"/>
  <c r="V245" i="9"/>
  <c r="V244" i="9"/>
  <c r="V243" i="9"/>
  <c r="V242" i="9"/>
  <c r="V241" i="9"/>
  <c r="V240" i="9"/>
  <c r="V239" i="9"/>
  <c r="V238" i="9"/>
  <c r="V237" i="9"/>
  <c r="V236" i="9"/>
  <c r="V235" i="9"/>
  <c r="V234" i="9"/>
  <c r="V233" i="9"/>
  <c r="V232" i="9"/>
  <c r="V231" i="9"/>
  <c r="V230" i="9"/>
  <c r="V229" i="9"/>
  <c r="V228" i="9"/>
  <c r="V227" i="9"/>
  <c r="V226" i="9"/>
  <c r="V225" i="9"/>
  <c r="V224" i="9"/>
  <c r="V223" i="9"/>
  <c r="V221" i="9"/>
  <c r="V220" i="9"/>
  <c r="V219" i="9"/>
  <c r="V216" i="9"/>
  <c r="V215" i="9"/>
  <c r="V212" i="9"/>
  <c r="V211" i="9"/>
  <c r="V210" i="9"/>
  <c r="V209" i="9"/>
  <c r="V208" i="9"/>
  <c r="V207" i="9"/>
  <c r="V206" i="9"/>
  <c r="V203" i="9"/>
  <c r="V202" i="9"/>
  <c r="V201" i="9"/>
  <c r="V200" i="9"/>
  <c r="V199" i="9"/>
  <c r="V198" i="9"/>
  <c r="V197" i="9"/>
  <c r="V196" i="9"/>
  <c r="V194" i="9"/>
  <c r="V193" i="9"/>
  <c r="V192" i="9"/>
  <c r="V191" i="9"/>
  <c r="V187" i="9"/>
  <c r="V182" i="9"/>
  <c r="V179" i="9"/>
  <c r="V300" i="9"/>
  <c r="V298" i="9"/>
  <c r="V275" i="9"/>
  <c r="V274" i="9"/>
  <c r="V273" i="9"/>
  <c r="V272" i="9"/>
  <c r="V271" i="9"/>
  <c r="V270" i="9"/>
  <c r="V269" i="9"/>
  <c r="V268" i="9"/>
  <c r="V267" i="9"/>
  <c r="V266" i="9"/>
  <c r="V265" i="9"/>
  <c r="V264" i="9"/>
  <c r="V263" i="9"/>
  <c r="V262" i="9"/>
  <c r="V261" i="9"/>
  <c r="V260" i="9"/>
  <c r="V218" i="9"/>
  <c r="V217" i="9"/>
  <c r="V214" i="9"/>
  <c r="V204" i="9"/>
  <c r="V195" i="9"/>
  <c r="V190" i="9"/>
  <c r="V189" i="9"/>
  <c r="V178" i="9"/>
  <c r="V177" i="9"/>
  <c r="V174" i="9"/>
  <c r="V172" i="9"/>
  <c r="V171" i="9"/>
  <c r="V170" i="9"/>
  <c r="V169" i="9"/>
  <c r="V168" i="9"/>
  <c r="V165" i="9"/>
  <c r="V163" i="9"/>
  <c r="V162" i="9"/>
  <c r="V161" i="9"/>
  <c r="V160" i="9"/>
  <c r="V159" i="9"/>
  <c r="V157" i="9"/>
  <c r="V155" i="9"/>
  <c r="V150" i="9"/>
  <c r="V147" i="9"/>
  <c r="V142" i="9"/>
  <c r="P141" i="9"/>
  <c r="V140" i="9"/>
  <c r="V138" i="9"/>
  <c r="V137" i="9"/>
  <c r="V136" i="9"/>
  <c r="V135" i="9"/>
  <c r="V131" i="9"/>
  <c r="V126" i="9"/>
  <c r="P125" i="9"/>
  <c r="V124" i="9"/>
  <c r="V122" i="9"/>
  <c r="V121" i="9"/>
  <c r="P120" i="9"/>
  <c r="V119" i="9"/>
  <c r="V116" i="9"/>
  <c r="V114" i="9"/>
  <c r="V113" i="9"/>
  <c r="V112" i="9"/>
  <c r="V111" i="9"/>
  <c r="V110" i="9"/>
  <c r="V109" i="9"/>
  <c r="V108" i="9"/>
  <c r="V107" i="9"/>
  <c r="V104" i="9"/>
  <c r="V103" i="9"/>
  <c r="V102" i="9"/>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68" i="9"/>
  <c r="V67" i="9"/>
  <c r="V66" i="9"/>
  <c r="V65" i="9"/>
  <c r="V64" i="9"/>
  <c r="V63" i="9"/>
  <c r="V62" i="9"/>
  <c r="V61" i="9"/>
  <c r="V60" i="9"/>
  <c r="V59" i="9"/>
  <c r="V58" i="9"/>
  <c r="V57" i="9"/>
  <c r="V56" i="9"/>
  <c r="V55" i="9"/>
  <c r="V54" i="9"/>
  <c r="V53" i="9"/>
  <c r="V52" i="9"/>
  <c r="V51" i="9"/>
  <c r="V48" i="9"/>
  <c r="V47" i="9"/>
  <c r="V46" i="9"/>
  <c r="V45" i="9"/>
  <c r="V44" i="9"/>
  <c r="V43" i="9"/>
  <c r="V42" i="9"/>
  <c r="V299" i="9"/>
  <c r="V294" i="9"/>
  <c r="V278" i="9"/>
  <c r="V213" i="9"/>
  <c r="V205" i="9"/>
  <c r="V185" i="9"/>
  <c r="V183" i="9"/>
  <c r="V181" i="9"/>
  <c r="V166" i="9"/>
  <c r="V158" i="9"/>
  <c r="P157" i="9"/>
  <c r="V156" i="9"/>
  <c r="V146" i="9"/>
  <c r="V145" i="9"/>
  <c r="V144" i="9"/>
  <c r="V143" i="9"/>
  <c r="V141" i="9"/>
  <c r="V139" i="9"/>
  <c r="V134" i="9"/>
  <c r="V133" i="9"/>
  <c r="P131" i="9"/>
  <c r="V279" i="9"/>
  <c r="V222" i="9"/>
  <c r="V176" i="9"/>
  <c r="V167" i="9"/>
  <c r="V164" i="9"/>
  <c r="V153" i="9"/>
  <c r="V151" i="9"/>
  <c r="V149" i="9"/>
  <c r="P147" i="9"/>
  <c r="N147" i="9" s="1"/>
  <c r="V129" i="9"/>
  <c r="V128" i="9"/>
  <c r="V127" i="9"/>
  <c r="V125" i="9"/>
  <c r="V123" i="9"/>
  <c r="V120" i="9"/>
  <c r="V118" i="9"/>
  <c r="V117" i="9"/>
  <c r="P116" i="9"/>
  <c r="V115" i="9"/>
  <c r="V106" i="9"/>
  <c r="V105" i="9"/>
  <c r="V188" i="9"/>
  <c r="V186" i="9"/>
  <c r="V184" i="9"/>
  <c r="V180" i="9"/>
  <c r="V175" i="9"/>
  <c r="V173" i="9"/>
  <c r="P165" i="9"/>
  <c r="N165" i="9" s="1"/>
  <c r="V154" i="9"/>
  <c r="V152" i="9"/>
  <c r="V148" i="9"/>
  <c r="V132" i="9"/>
  <c r="V130" i="9"/>
  <c r="V70" i="9"/>
  <c r="V69" i="9"/>
  <c r="V39" i="9"/>
  <c r="V38" i="9"/>
  <c r="V37" i="9"/>
  <c r="V35" i="9"/>
  <c r="V33" i="9"/>
  <c r="V29" i="9"/>
  <c r="V27" i="9"/>
  <c r="V25" i="9"/>
  <c r="V23" i="9"/>
  <c r="V21" i="9"/>
  <c r="V19" i="9"/>
  <c r="V17" i="9"/>
  <c r="V15" i="9"/>
  <c r="V12" i="9"/>
  <c r="V8" i="9"/>
  <c r="V7" i="9"/>
  <c r="V50" i="9"/>
  <c r="V49" i="9"/>
  <c r="V41" i="9"/>
  <c r="V40" i="9"/>
  <c r="V36" i="9"/>
  <c r="V34" i="9"/>
  <c r="V32" i="9"/>
  <c r="V31" i="9"/>
  <c r="V30" i="9"/>
  <c r="V28" i="9"/>
  <c r="V26" i="9"/>
  <c r="V24" i="9"/>
  <c r="V22" i="9"/>
  <c r="V20" i="9"/>
  <c r="V18" i="9"/>
  <c r="V16" i="9"/>
  <c r="V13" i="9"/>
  <c r="V11" i="9"/>
  <c r="V9" i="9"/>
  <c r="V14" i="9"/>
  <c r="V10" i="9"/>
  <c r="P115" i="9"/>
  <c r="P122" i="9"/>
  <c r="P150" i="9"/>
  <c r="P158" i="9"/>
  <c r="P182" i="9"/>
  <c r="P124" i="9"/>
  <c r="P138" i="9"/>
  <c r="P174" i="9"/>
  <c r="P197" i="9"/>
  <c r="N197" i="9" s="1"/>
  <c r="P201" i="9"/>
  <c r="N201" i="9" s="1"/>
  <c r="P217" i="9"/>
  <c r="P226" i="9"/>
  <c r="P234" i="9"/>
  <c r="P242" i="9"/>
  <c r="P250" i="9"/>
  <c r="P129" i="9"/>
  <c r="P133" i="9"/>
  <c r="N133" i="9" s="1"/>
  <c r="P142" i="9"/>
  <c r="P151" i="9"/>
  <c r="N151" i="9" s="1"/>
  <c r="P164" i="9"/>
  <c r="P172" i="9"/>
  <c r="P207" i="9"/>
  <c r="N207" i="9" s="1"/>
  <c r="P211" i="9"/>
  <c r="N211" i="9" s="1"/>
  <c r="P220" i="9"/>
  <c r="N220" i="9" s="1"/>
  <c r="P228" i="9"/>
  <c r="P236" i="9"/>
  <c r="P244" i="9"/>
  <c r="P252" i="9"/>
  <c r="P291" i="9"/>
  <c r="P130" i="9"/>
  <c r="P135" i="9"/>
  <c r="N135" i="9" s="1"/>
  <c r="P146" i="9"/>
  <c r="P152" i="9"/>
  <c r="P161" i="9"/>
  <c r="P171" i="9"/>
  <c r="N171" i="9" s="1"/>
  <c r="P176" i="9"/>
  <c r="P183" i="9"/>
  <c r="N183" i="9" s="1"/>
  <c r="P185" i="9"/>
  <c r="P189" i="9"/>
  <c r="P198" i="9"/>
  <c r="N198" i="9" s="1"/>
  <c r="P202" i="9"/>
  <c r="N202" i="9" s="1"/>
  <c r="P208" i="9"/>
  <c r="N208" i="9" s="1"/>
  <c r="P212" i="9"/>
  <c r="N212" i="9" s="1"/>
  <c r="P223" i="9"/>
  <c r="P227" i="9"/>
  <c r="P231" i="9"/>
  <c r="P235" i="9"/>
  <c r="P239" i="9"/>
  <c r="P243" i="9"/>
  <c r="P247" i="9"/>
  <c r="P251" i="9"/>
  <c r="P281" i="9"/>
  <c r="P289" i="9"/>
  <c r="P186" i="9"/>
  <c r="P191" i="9"/>
  <c r="N191" i="9" s="1"/>
  <c r="P215" i="9"/>
  <c r="P219" i="9"/>
  <c r="P282" i="9"/>
  <c r="P286" i="9"/>
  <c r="P290" i="9"/>
  <c r="P276" i="9"/>
  <c r="P280" i="9"/>
  <c r="P295" i="9"/>
  <c r="P297" i="9"/>
  <c r="P118" i="9"/>
  <c r="P137" i="9"/>
  <c r="P139" i="9"/>
  <c r="N139" i="9" s="1"/>
  <c r="P143" i="9"/>
  <c r="N143" i="9" s="1"/>
  <c r="P153" i="9"/>
  <c r="P155" i="9"/>
  <c r="N155" i="9" s="1"/>
  <c r="P159" i="9"/>
  <c r="N159" i="9" s="1"/>
  <c r="P163" i="9"/>
  <c r="N163" i="9" s="1"/>
  <c r="P169" i="9"/>
  <c r="P179" i="9"/>
  <c r="N179" i="9" s="1"/>
  <c r="P214" i="9"/>
  <c r="P204" i="9"/>
  <c r="N204" i="9" s="1"/>
  <c r="P36" i="9"/>
  <c r="N36" i="9" s="1"/>
  <c r="P40" i="9"/>
  <c r="N40" i="9" s="1"/>
  <c r="P44" i="9"/>
  <c r="N44" i="9" s="1"/>
  <c r="P48" i="9"/>
  <c r="N48" i="9" s="1"/>
  <c r="P52" i="9"/>
  <c r="N52" i="9" s="1"/>
  <c r="P56" i="9"/>
  <c r="N56" i="9" s="1"/>
  <c r="P60" i="9"/>
  <c r="N60" i="9" s="1"/>
  <c r="P8" i="9"/>
  <c r="N8" i="9" s="1"/>
  <c r="P10" i="9"/>
  <c r="P12" i="9"/>
  <c r="N12" i="9" s="1"/>
  <c r="P14" i="9"/>
  <c r="P16" i="9"/>
  <c r="N16" i="9" s="1"/>
  <c r="P18" i="9"/>
  <c r="P20" i="9"/>
  <c r="N20" i="9" s="1"/>
  <c r="P22" i="9"/>
  <c r="P24" i="9"/>
  <c r="N24" i="9" s="1"/>
  <c r="P26" i="9"/>
  <c r="P28" i="9"/>
  <c r="N28" i="9" s="1"/>
  <c r="P30" i="9"/>
  <c r="P32" i="9"/>
  <c r="N32" i="9" s="1"/>
  <c r="P34" i="9"/>
  <c r="P37" i="9"/>
  <c r="P41" i="9"/>
  <c r="P45" i="9"/>
  <c r="P49" i="9"/>
  <c r="P53" i="9"/>
  <c r="P57" i="9"/>
  <c r="P61" i="9"/>
  <c r="P63" i="9"/>
  <c r="P65" i="9"/>
  <c r="N65" i="9" s="1"/>
  <c r="P67" i="9"/>
  <c r="P69" i="9"/>
  <c r="N69" i="9" s="1"/>
  <c r="P71" i="9"/>
  <c r="P73" i="9"/>
  <c r="N73" i="9" s="1"/>
  <c r="P75" i="9"/>
  <c r="P77" i="9"/>
  <c r="N77" i="9" s="1"/>
  <c r="P79" i="9"/>
  <c r="P81" i="9"/>
  <c r="N81" i="9" s="1"/>
  <c r="P83" i="9"/>
  <c r="P85" i="9"/>
  <c r="N85" i="9" s="1"/>
  <c r="P87" i="9"/>
  <c r="N87" i="9" s="1"/>
  <c r="P89" i="9"/>
  <c r="N89" i="9" s="1"/>
  <c r="P91" i="9"/>
  <c r="N91" i="9" s="1"/>
  <c r="P93" i="9"/>
  <c r="N93" i="9" s="1"/>
  <c r="P95" i="9"/>
  <c r="N95" i="9" s="1"/>
  <c r="P97" i="9"/>
  <c r="N97" i="9" s="1"/>
  <c r="P99" i="9"/>
  <c r="N99" i="9" s="1"/>
  <c r="P101" i="9"/>
  <c r="N101" i="9" s="1"/>
  <c r="P103" i="9"/>
  <c r="P105" i="9"/>
  <c r="P107" i="9"/>
  <c r="P109" i="9"/>
  <c r="P111" i="9"/>
  <c r="P254" i="9"/>
  <c r="N254" i="9" s="1"/>
  <c r="P258" i="9"/>
  <c r="N258" i="9" s="1"/>
  <c r="P262" i="9"/>
  <c r="P266" i="9"/>
  <c r="P270" i="9"/>
  <c r="P257" i="9"/>
  <c r="P261" i="9"/>
  <c r="P265" i="9"/>
  <c r="P269" i="9"/>
  <c r="P273" i="9"/>
  <c r="P300" i="9"/>
  <c r="N300" i="9" s="1"/>
  <c r="P301" i="9"/>
  <c r="N301" i="9" s="1"/>
  <c r="P303" i="9"/>
  <c r="N303" i="9" s="1"/>
  <c r="P305" i="9"/>
  <c r="P307" i="9"/>
  <c r="N307" i="9" s="1"/>
  <c r="P310" i="9"/>
  <c r="P311" i="9"/>
  <c r="P313" i="9"/>
  <c r="N313" i="9" s="1"/>
  <c r="P315" i="9"/>
  <c r="P317" i="9"/>
  <c r="N317" i="9" s="1"/>
  <c r="P113" i="9"/>
  <c r="P117" i="9"/>
  <c r="P136" i="9"/>
  <c r="P156" i="9"/>
  <c r="P162" i="9"/>
  <c r="P119" i="9"/>
  <c r="N119" i="9" s="1"/>
  <c r="P126" i="9"/>
  <c r="P145" i="9"/>
  <c r="P160" i="9"/>
  <c r="P192" i="9"/>
  <c r="P199" i="9"/>
  <c r="N199" i="9" s="1"/>
  <c r="P203" i="9"/>
  <c r="N203" i="9" s="1"/>
  <c r="P230" i="9"/>
  <c r="P238" i="9"/>
  <c r="P246" i="9"/>
  <c r="P287" i="9"/>
  <c r="P140" i="9"/>
  <c r="P148" i="9"/>
  <c r="P168" i="9"/>
  <c r="P175" i="9"/>
  <c r="N175" i="9" s="1"/>
  <c r="P177" i="9"/>
  <c r="P194" i="9"/>
  <c r="P209" i="9"/>
  <c r="N209" i="9" s="1"/>
  <c r="P213" i="9"/>
  <c r="P224" i="9"/>
  <c r="P232" i="9"/>
  <c r="P240" i="9"/>
  <c r="P248" i="9"/>
  <c r="P283" i="9"/>
  <c r="P128" i="9"/>
  <c r="P132" i="9"/>
  <c r="P144" i="9"/>
  <c r="P154" i="9"/>
  <c r="P166" i="9"/>
  <c r="P180" i="9"/>
  <c r="P196" i="9"/>
  <c r="P200" i="9"/>
  <c r="N200" i="9" s="1"/>
  <c r="P206" i="9"/>
  <c r="N206" i="9" s="1"/>
  <c r="P210" i="9"/>
  <c r="N210" i="9" s="1"/>
  <c r="P216" i="9"/>
  <c r="N216" i="9" s="1"/>
  <c r="P225" i="9"/>
  <c r="P229" i="9"/>
  <c r="P233" i="9"/>
  <c r="P237" i="9"/>
  <c r="P241" i="9"/>
  <c r="P245" i="9"/>
  <c r="P249" i="9"/>
  <c r="P253" i="9"/>
  <c r="P285" i="9"/>
  <c r="P293" i="9"/>
  <c r="P178" i="9"/>
  <c r="P184" i="9"/>
  <c r="P188" i="9"/>
  <c r="P193" i="9"/>
  <c r="P218" i="9"/>
  <c r="P221" i="9"/>
  <c r="P284" i="9"/>
  <c r="P288" i="9"/>
  <c r="P292" i="9"/>
  <c r="P278" i="9"/>
  <c r="P294" i="9"/>
  <c r="P296" i="9"/>
  <c r="P114" i="9"/>
  <c r="P121" i="9"/>
  <c r="P123" i="9"/>
  <c r="P127" i="9"/>
  <c r="P149" i="9"/>
  <c r="N149" i="9" s="1"/>
  <c r="P173" i="9"/>
  <c r="P167" i="9"/>
  <c r="N167" i="9" s="1"/>
  <c r="P181" i="9"/>
  <c r="N181" i="9" s="1"/>
  <c r="P187" i="9"/>
  <c r="N187" i="9" s="1"/>
  <c r="P195" i="9"/>
  <c r="N195" i="9" s="1"/>
  <c r="P222" i="9"/>
  <c r="N222" i="9" s="1"/>
  <c r="P205" i="9"/>
  <c r="N205" i="9" s="1"/>
  <c r="P38" i="9"/>
  <c r="N38" i="9" s="1"/>
  <c r="P42" i="9"/>
  <c r="N42" i="9" s="1"/>
  <c r="P46" i="9"/>
  <c r="N46" i="9" s="1"/>
  <c r="P50" i="9"/>
  <c r="N50" i="9" s="1"/>
  <c r="P54" i="9"/>
  <c r="N54" i="9" s="1"/>
  <c r="P58" i="9"/>
  <c r="N58" i="9" s="1"/>
  <c r="P7" i="9"/>
  <c r="N7" i="9" s="1"/>
  <c r="P9" i="9"/>
  <c r="P11" i="9"/>
  <c r="P13" i="9"/>
  <c r="P15" i="9"/>
  <c r="P17" i="9"/>
  <c r="P19" i="9"/>
  <c r="P21" i="9"/>
  <c r="P23" i="9"/>
  <c r="P25" i="9"/>
  <c r="P27" i="9"/>
  <c r="P29" i="9"/>
  <c r="P31" i="9"/>
  <c r="P33" i="9"/>
  <c r="P35" i="9"/>
  <c r="N35" i="9" s="1"/>
  <c r="P39" i="9"/>
  <c r="N39" i="9" s="1"/>
  <c r="P43" i="9"/>
  <c r="N43" i="9" s="1"/>
  <c r="P47" i="9"/>
  <c r="N47" i="9" s="1"/>
  <c r="P51" i="9"/>
  <c r="P55" i="9"/>
  <c r="N55" i="9" s="1"/>
  <c r="P59" i="9"/>
  <c r="N59" i="9" s="1"/>
  <c r="P62" i="9"/>
  <c r="P64" i="9"/>
  <c r="P66" i="9"/>
  <c r="P68" i="9"/>
  <c r="P70" i="9"/>
  <c r="P72" i="9"/>
  <c r="P74" i="9"/>
  <c r="P76" i="9"/>
  <c r="P78" i="9"/>
  <c r="P80" i="9"/>
  <c r="P82" i="9"/>
  <c r="P84" i="9"/>
  <c r="P86" i="9"/>
  <c r="P88" i="9"/>
  <c r="P90" i="9"/>
  <c r="P92" i="9"/>
  <c r="P94" i="9"/>
  <c r="P96" i="9"/>
  <c r="P98" i="9"/>
  <c r="P100" i="9"/>
  <c r="P102" i="9"/>
  <c r="P104" i="9"/>
  <c r="P106" i="9"/>
  <c r="P108" i="9"/>
  <c r="P110" i="9"/>
  <c r="P112" i="9"/>
  <c r="P260" i="9"/>
  <c r="N260" i="9" s="1"/>
  <c r="P268" i="9"/>
  <c r="P259" i="9"/>
  <c r="P267" i="9"/>
  <c r="P274" i="9"/>
  <c r="P299" i="9"/>
  <c r="P304" i="9"/>
  <c r="N304" i="9" s="1"/>
  <c r="P308" i="9"/>
  <c r="N308" i="9" s="1"/>
  <c r="P312" i="9"/>
  <c r="N312" i="9" s="1"/>
  <c r="P316" i="9"/>
  <c r="P319" i="9"/>
  <c r="P256" i="9"/>
  <c r="N256" i="9" s="1"/>
  <c r="P264" i="9"/>
  <c r="P255" i="9"/>
  <c r="P263" i="9"/>
  <c r="P271" i="9"/>
  <c r="P272" i="9"/>
  <c r="P298" i="9"/>
  <c r="P302" i="9"/>
  <c r="N302" i="9" s="1"/>
  <c r="P306" i="9"/>
  <c r="N306" i="9" s="1"/>
  <c r="P309" i="9"/>
  <c r="N309" i="9" s="1"/>
  <c r="P314" i="9"/>
  <c r="N314" i="9" s="1"/>
  <c r="P318" i="9"/>
  <c r="V6" i="9"/>
  <c r="P134" i="9"/>
  <c r="P6" i="9"/>
  <c r="V5" i="9"/>
  <c r="P170" i="9"/>
  <c r="P190" i="9"/>
  <c r="P5" i="9"/>
  <c r="AE4" i="9"/>
  <c r="AV4" i="9" s="1"/>
  <c r="V4" i="9"/>
  <c r="P4" i="9"/>
  <c r="BA64" i="9" l="1"/>
  <c r="BA48" i="9"/>
  <c r="BA39" i="9"/>
  <c r="BA30" i="9"/>
  <c r="BA13" i="9"/>
  <c r="BA11" i="9"/>
  <c r="BA9" i="9"/>
  <c r="BA7" i="9"/>
  <c r="BA5" i="9"/>
  <c r="AY4" i="9"/>
  <c r="AT4" i="9"/>
  <c r="AR4" i="9"/>
  <c r="AS4" i="9" s="1"/>
  <c r="BA65" i="9"/>
  <c r="BA49" i="9"/>
  <c r="BA40" i="9"/>
  <c r="BA31" i="9"/>
  <c r="BA14" i="9"/>
  <c r="BA12" i="9"/>
  <c r="BA10" i="9"/>
  <c r="BA8" i="9"/>
  <c r="BA6" i="9"/>
  <c r="BM4" i="9"/>
  <c r="AW4" i="9"/>
  <c r="BA319" i="9"/>
  <c r="BA317" i="9"/>
  <c r="BA315" i="9"/>
  <c r="BB319" i="9"/>
  <c r="BB318" i="9"/>
  <c r="BB317" i="9"/>
  <c r="BB316" i="9"/>
  <c r="BB315" i="9"/>
  <c r="BB314" i="9"/>
  <c r="BA313" i="9"/>
  <c r="BA311" i="9"/>
  <c r="BA309" i="9"/>
  <c r="BA307" i="9"/>
  <c r="BA305" i="9"/>
  <c r="BA303" i="9"/>
  <c r="BA301" i="9"/>
  <c r="BA299" i="9"/>
  <c r="BA297" i="9"/>
  <c r="BA295" i="9"/>
  <c r="BA293" i="9"/>
  <c r="BA291" i="9"/>
  <c r="BA289" i="9"/>
  <c r="BA287" i="9"/>
  <c r="BA285" i="9"/>
  <c r="BA283" i="9"/>
  <c r="BA281" i="9"/>
  <c r="AR313" i="9"/>
  <c r="AR312" i="9"/>
  <c r="AR311" i="9"/>
  <c r="AR310" i="9"/>
  <c r="AR309" i="9"/>
  <c r="AR308" i="9"/>
  <c r="AR307" i="9"/>
  <c r="AR306" i="9"/>
  <c r="AR305" i="9"/>
  <c r="AR304" i="9"/>
  <c r="AR303" i="9"/>
  <c r="AR302" i="9"/>
  <c r="AR301" i="9"/>
  <c r="AR300" i="9"/>
  <c r="AR299" i="9"/>
  <c r="AR298" i="9"/>
  <c r="AR297" i="9"/>
  <c r="AR296" i="9"/>
  <c r="AR295" i="9"/>
  <c r="AR294" i="9"/>
  <c r="AR293" i="9"/>
  <c r="AR292" i="9"/>
  <c r="AR291" i="9"/>
  <c r="AR290" i="9"/>
  <c r="AR289" i="9"/>
  <c r="AR288" i="9"/>
  <c r="AR287" i="9"/>
  <c r="AR286" i="9"/>
  <c r="AR285" i="9"/>
  <c r="AR284" i="9"/>
  <c r="AR283" i="9"/>
  <c r="AR282" i="9"/>
  <c r="AR281" i="9"/>
  <c r="AR280" i="9"/>
  <c r="BB313" i="9"/>
  <c r="BB312" i="9"/>
  <c r="BB311" i="9"/>
  <c r="BB310" i="9"/>
  <c r="BB309" i="9"/>
  <c r="BB308" i="9"/>
  <c r="BB307" i="9"/>
  <c r="BB306" i="9"/>
  <c r="BB305" i="9"/>
  <c r="BB304" i="9"/>
  <c r="BB303" i="9"/>
  <c r="BA318" i="9"/>
  <c r="BA316" i="9"/>
  <c r="BA314" i="9"/>
  <c r="BA312" i="9"/>
  <c r="BA310" i="9"/>
  <c r="BA308" i="9"/>
  <c r="BA306" i="9"/>
  <c r="BA304" i="9"/>
  <c r="BA302" i="9"/>
  <c r="BA300" i="9"/>
  <c r="BA298" i="9"/>
  <c r="BA296" i="9"/>
  <c r="BA294" i="9"/>
  <c r="BA292" i="9"/>
  <c r="BA290" i="9"/>
  <c r="BA288" i="9"/>
  <c r="BA286" i="9"/>
  <c r="BA284" i="9"/>
  <c r="BA282" i="9"/>
  <c r="BA280" i="9"/>
  <c r="BA279" i="9"/>
  <c r="AR319" i="9"/>
  <c r="AR318" i="9"/>
  <c r="AR317" i="9"/>
  <c r="AR316" i="9"/>
  <c r="AR315" i="9"/>
  <c r="AR314" i="9"/>
  <c r="BB302" i="9"/>
  <c r="BB300" i="9"/>
  <c r="BB298" i="9"/>
  <c r="BB296" i="9"/>
  <c r="BB294" i="9"/>
  <c r="BB292" i="9"/>
  <c r="BB290" i="9"/>
  <c r="BB288" i="9"/>
  <c r="AR279" i="9"/>
  <c r="BB277" i="9"/>
  <c r="BB276" i="9"/>
  <c r="AR276" i="9"/>
  <c r="AR275" i="9"/>
  <c r="BB273" i="9"/>
  <c r="BB272" i="9"/>
  <c r="AR272" i="9"/>
  <c r="AR271" i="9"/>
  <c r="BB269" i="9"/>
  <c r="BB268" i="9"/>
  <c r="AR268" i="9"/>
  <c r="AR267" i="9"/>
  <c r="BB265" i="9"/>
  <c r="BB264" i="9"/>
  <c r="AR264" i="9"/>
  <c r="AR263" i="9"/>
  <c r="BB261" i="9"/>
  <c r="BB260" i="9"/>
  <c r="AR260" i="9"/>
  <c r="AR259" i="9"/>
  <c r="BB257" i="9"/>
  <c r="BB256" i="9"/>
  <c r="AR256" i="9"/>
  <c r="AR255" i="9"/>
  <c r="BB253" i="9"/>
  <c r="BB252" i="9"/>
  <c r="AR252" i="9"/>
  <c r="AR251" i="9"/>
  <c r="BB249" i="9"/>
  <c r="BB248" i="9"/>
  <c r="AR248" i="9"/>
  <c r="AR247" i="9"/>
  <c r="BB245" i="9"/>
  <c r="BA278" i="9"/>
  <c r="BA276" i="9"/>
  <c r="BA274" i="9"/>
  <c r="BA272" i="9"/>
  <c r="BA270" i="9"/>
  <c r="BA268" i="9"/>
  <c r="BA266" i="9"/>
  <c r="BA264" i="9"/>
  <c r="BA262" i="9"/>
  <c r="BA260" i="9"/>
  <c r="BA258" i="9"/>
  <c r="BA256" i="9"/>
  <c r="BA254" i="9"/>
  <c r="BA252" i="9"/>
  <c r="BA250" i="9"/>
  <c r="BA248" i="9"/>
  <c r="BA246" i="9"/>
  <c r="BA244" i="9"/>
  <c r="BA242" i="9"/>
  <c r="BA240" i="9"/>
  <c r="BA238" i="9"/>
  <c r="BA236" i="9"/>
  <c r="BA234" i="9"/>
  <c r="BA232" i="9"/>
  <c r="BA230" i="9"/>
  <c r="BA228" i="9"/>
  <c r="BA226" i="9"/>
  <c r="BA224" i="9"/>
  <c r="BA222" i="9"/>
  <c r="AR244" i="9"/>
  <c r="BB242" i="9"/>
  <c r="BB241" i="9"/>
  <c r="AR241" i="9"/>
  <c r="AR240" i="9"/>
  <c r="BB238" i="9"/>
  <c r="BB237" i="9"/>
  <c r="AR237" i="9"/>
  <c r="AR236" i="9"/>
  <c r="BB234" i="9"/>
  <c r="BB233" i="9"/>
  <c r="AR233" i="9"/>
  <c r="AR232" i="9"/>
  <c r="BB230" i="9"/>
  <c r="BB229" i="9"/>
  <c r="AR229" i="9"/>
  <c r="AR228" i="9"/>
  <c r="BB226" i="9"/>
  <c r="BB225" i="9"/>
  <c r="AR225" i="9"/>
  <c r="AR224" i="9"/>
  <c r="BB222" i="9"/>
  <c r="BB221" i="9"/>
  <c r="AR221" i="9"/>
  <c r="AR220" i="9"/>
  <c r="BB218" i="9"/>
  <c r="BB217" i="9"/>
  <c r="AR217" i="9"/>
  <c r="AR216" i="9"/>
  <c r="BB214" i="9"/>
  <c r="BB213" i="9"/>
  <c r="AR213" i="9"/>
  <c r="AR212" i="9"/>
  <c r="BB210" i="9"/>
  <c r="BB209" i="9"/>
  <c r="AR209" i="9"/>
  <c r="AR208" i="9"/>
  <c r="BB206" i="9"/>
  <c r="BA205" i="9"/>
  <c r="BA203" i="9"/>
  <c r="BA201" i="9"/>
  <c r="BA199" i="9"/>
  <c r="BA197" i="9"/>
  <c r="BA195" i="9"/>
  <c r="BA193" i="9"/>
  <c r="BA191" i="9"/>
  <c r="BA189" i="9"/>
  <c r="BA187" i="9"/>
  <c r="BA185" i="9"/>
  <c r="BA183" i="9"/>
  <c r="BA181" i="9"/>
  <c r="BA179" i="9"/>
  <c r="BA177" i="9"/>
  <c r="BA175" i="9"/>
  <c r="BA173" i="9"/>
  <c r="BA171" i="9"/>
  <c r="BA169" i="9"/>
  <c r="BA167" i="9"/>
  <c r="BA165" i="9"/>
  <c r="BA163" i="9"/>
  <c r="BA161" i="9"/>
  <c r="BA159" i="9"/>
  <c r="BA221" i="9"/>
  <c r="BA219" i="9"/>
  <c r="BA217" i="9"/>
  <c r="BA215" i="9"/>
  <c r="BA213" i="9"/>
  <c r="BA211" i="9"/>
  <c r="BA209" i="9"/>
  <c r="BA207" i="9"/>
  <c r="BB205" i="9"/>
  <c r="AR205" i="9"/>
  <c r="AR204" i="9"/>
  <c r="BB202" i="9"/>
  <c r="BB201" i="9"/>
  <c r="AR201" i="9"/>
  <c r="AR200" i="9"/>
  <c r="BB198" i="9"/>
  <c r="BB197" i="9"/>
  <c r="AR197" i="9"/>
  <c r="AR196" i="9"/>
  <c r="BB194" i="9"/>
  <c r="BB193" i="9"/>
  <c r="AR193" i="9"/>
  <c r="AR192" i="9"/>
  <c r="BB190" i="9"/>
  <c r="BB189" i="9"/>
  <c r="AR189" i="9"/>
  <c r="AR188" i="9"/>
  <c r="BB186" i="9"/>
  <c r="BB185" i="9"/>
  <c r="AR185" i="9"/>
  <c r="AR184" i="9"/>
  <c r="BB182" i="9"/>
  <c r="BB181" i="9"/>
  <c r="AR181" i="9"/>
  <c r="AR180" i="9"/>
  <c r="BB178" i="9"/>
  <c r="BB177" i="9"/>
  <c r="AR177" i="9"/>
  <c r="AR176" i="9"/>
  <c r="BB174" i="9"/>
  <c r="BB173" i="9"/>
  <c r="AR173" i="9"/>
  <c r="AR172" i="9"/>
  <c r="BB170" i="9"/>
  <c r="BB169" i="9"/>
  <c r="AR169" i="9"/>
  <c r="AR168" i="9"/>
  <c r="BB166" i="9"/>
  <c r="BB165" i="9"/>
  <c r="AR165" i="9"/>
  <c r="AR164" i="9"/>
  <c r="BB162" i="9"/>
  <c r="BB161" i="9"/>
  <c r="AR161" i="9"/>
  <c r="AR160" i="9"/>
  <c r="BB158" i="9"/>
  <c r="BB157" i="9"/>
  <c r="AR157" i="9"/>
  <c r="AR156" i="9"/>
  <c r="BB154" i="9"/>
  <c r="BB153" i="9"/>
  <c r="AR153" i="9"/>
  <c r="AR152" i="9"/>
  <c r="BB150" i="9"/>
  <c r="BB149" i="9"/>
  <c r="AR149" i="9"/>
  <c r="AR148" i="9"/>
  <c r="BB146" i="9"/>
  <c r="BB145" i="9"/>
  <c r="AR145" i="9"/>
  <c r="AR144" i="9"/>
  <c r="BB142" i="9"/>
  <c r="BB141" i="9"/>
  <c r="AR141" i="9"/>
  <c r="AR140" i="9"/>
  <c r="BB138" i="9"/>
  <c r="BB137" i="9"/>
  <c r="AR137" i="9"/>
  <c r="AR136" i="9"/>
  <c r="BB134" i="9"/>
  <c r="AX4" i="9"/>
  <c r="BB301" i="9"/>
  <c r="BB299" i="9"/>
  <c r="BB297" i="9"/>
  <c r="BB295" i="9"/>
  <c r="BB293" i="9"/>
  <c r="BB291" i="9"/>
  <c r="BB289" i="9"/>
  <c r="BB287" i="9"/>
  <c r="BB286" i="9"/>
  <c r="BB285" i="9"/>
  <c r="BB284" i="9"/>
  <c r="BB283" i="9"/>
  <c r="BB282" i="9"/>
  <c r="BB281" i="9"/>
  <c r="BB280" i="9"/>
  <c r="BB279" i="9"/>
  <c r="BB278" i="9"/>
  <c r="AR278" i="9"/>
  <c r="AR277" i="9"/>
  <c r="BB275" i="9"/>
  <c r="BB274" i="9"/>
  <c r="AR274" i="9"/>
  <c r="AR273" i="9"/>
  <c r="BB271" i="9"/>
  <c r="BB270" i="9"/>
  <c r="AR270" i="9"/>
  <c r="AR269" i="9"/>
  <c r="BB267" i="9"/>
  <c r="BB266" i="9"/>
  <c r="AR266" i="9"/>
  <c r="AR265" i="9"/>
  <c r="BB263" i="9"/>
  <c r="BB262" i="9"/>
  <c r="AR262" i="9"/>
  <c r="AR261" i="9"/>
  <c r="BB259" i="9"/>
  <c r="BB258" i="9"/>
  <c r="AR258" i="9"/>
  <c r="AR257" i="9"/>
  <c r="BB255" i="9"/>
  <c r="BB254" i="9"/>
  <c r="AR254" i="9"/>
  <c r="AR253" i="9"/>
  <c r="BB251" i="9"/>
  <c r="BB250" i="9"/>
  <c r="AR250" i="9"/>
  <c r="AR249" i="9"/>
  <c r="BB247" i="9"/>
  <c r="BB246" i="9"/>
  <c r="AR246" i="9"/>
  <c r="AR245" i="9"/>
  <c r="BA277" i="9"/>
  <c r="BA275" i="9"/>
  <c r="BA273" i="9"/>
  <c r="BA271" i="9"/>
  <c r="BA269" i="9"/>
  <c r="BA267" i="9"/>
  <c r="BA265" i="9"/>
  <c r="BA263" i="9"/>
  <c r="BA261" i="9"/>
  <c r="BA259" i="9"/>
  <c r="BA257" i="9"/>
  <c r="BA255" i="9"/>
  <c r="BA253" i="9"/>
  <c r="BA251" i="9"/>
  <c r="BA249" i="9"/>
  <c r="BA247" i="9"/>
  <c r="BA245" i="9"/>
  <c r="BA243" i="9"/>
  <c r="BA241" i="9"/>
  <c r="BA239" i="9"/>
  <c r="BA237" i="9"/>
  <c r="BA235" i="9"/>
  <c r="BA233" i="9"/>
  <c r="BA231" i="9"/>
  <c r="BA229" i="9"/>
  <c r="BA227" i="9"/>
  <c r="BA225" i="9"/>
  <c r="BA223" i="9"/>
  <c r="BB244" i="9"/>
  <c r="BB243" i="9"/>
  <c r="AR243" i="9"/>
  <c r="AR242" i="9"/>
  <c r="BB240" i="9"/>
  <c r="BB239" i="9"/>
  <c r="AR239" i="9"/>
  <c r="AR238" i="9"/>
  <c r="BB236" i="9"/>
  <c r="BB235" i="9"/>
  <c r="AR235" i="9"/>
  <c r="AR234" i="9"/>
  <c r="BB232" i="9"/>
  <c r="BB231" i="9"/>
  <c r="AR231" i="9"/>
  <c r="AR230" i="9"/>
  <c r="BB228" i="9"/>
  <c r="BB227" i="9"/>
  <c r="AR227" i="9"/>
  <c r="AR226" i="9"/>
  <c r="BB224" i="9"/>
  <c r="BB223" i="9"/>
  <c r="AR223" i="9"/>
  <c r="AR222" i="9"/>
  <c r="BB220" i="9"/>
  <c r="BB219" i="9"/>
  <c r="AR219" i="9"/>
  <c r="AR218" i="9"/>
  <c r="BB216" i="9"/>
  <c r="BB215" i="9"/>
  <c r="AR215" i="9"/>
  <c r="AR214" i="9"/>
  <c r="BB212" i="9"/>
  <c r="BB211" i="9"/>
  <c r="AR211" i="9"/>
  <c r="AR210" i="9"/>
  <c r="BB208" i="9"/>
  <c r="BB207" i="9"/>
  <c r="AR207" i="9"/>
  <c r="AR206" i="9"/>
  <c r="BA204" i="9"/>
  <c r="BA202" i="9"/>
  <c r="BA200" i="9"/>
  <c r="BA198" i="9"/>
  <c r="BA196" i="9"/>
  <c r="BA194" i="9"/>
  <c r="BA192" i="9"/>
  <c r="BA190" i="9"/>
  <c r="BA188" i="9"/>
  <c r="BA186" i="9"/>
  <c r="BA184" i="9"/>
  <c r="BA182" i="9"/>
  <c r="BA180" i="9"/>
  <c r="BA178" i="9"/>
  <c r="BA176" i="9"/>
  <c r="BA174" i="9"/>
  <c r="BA172" i="9"/>
  <c r="BA170" i="9"/>
  <c r="BA168" i="9"/>
  <c r="BA166" i="9"/>
  <c r="BA164" i="9"/>
  <c r="BA162" i="9"/>
  <c r="BA160" i="9"/>
  <c r="BA158" i="9"/>
  <c r="BA220" i="9"/>
  <c r="BA218" i="9"/>
  <c r="BA216" i="9"/>
  <c r="BA214" i="9"/>
  <c r="BA212" i="9"/>
  <c r="BA210" i="9"/>
  <c r="BA208" i="9"/>
  <c r="BA206" i="9"/>
  <c r="BB204" i="9"/>
  <c r="BB203" i="9"/>
  <c r="AR203" i="9"/>
  <c r="AR202" i="9"/>
  <c r="BB200" i="9"/>
  <c r="BB199" i="9"/>
  <c r="AR199" i="9"/>
  <c r="AR198" i="9"/>
  <c r="BB196" i="9"/>
  <c r="BB195" i="9"/>
  <c r="AR195" i="9"/>
  <c r="AR194" i="9"/>
  <c r="BB192" i="9"/>
  <c r="BB191" i="9"/>
  <c r="AR191" i="9"/>
  <c r="AR190" i="9"/>
  <c r="BB188" i="9"/>
  <c r="BB187" i="9"/>
  <c r="AR187" i="9"/>
  <c r="AR186" i="9"/>
  <c r="BB184" i="9"/>
  <c r="BB183" i="9"/>
  <c r="AR183" i="9"/>
  <c r="AR182" i="9"/>
  <c r="BB180" i="9"/>
  <c r="BB179" i="9"/>
  <c r="AR179" i="9"/>
  <c r="AR178" i="9"/>
  <c r="BB176" i="9"/>
  <c r="BB175" i="9"/>
  <c r="AR175" i="9"/>
  <c r="AR174" i="9"/>
  <c r="BB172" i="9"/>
  <c r="BB171" i="9"/>
  <c r="AR171" i="9"/>
  <c r="AR170" i="9"/>
  <c r="BB168" i="9"/>
  <c r="BB167" i="9"/>
  <c r="AR167" i="9"/>
  <c r="AR166" i="9"/>
  <c r="BB164" i="9"/>
  <c r="BB163" i="9"/>
  <c r="AR163" i="9"/>
  <c r="AR162" i="9"/>
  <c r="BB160" i="9"/>
  <c r="BB159" i="9"/>
  <c r="AR159" i="9"/>
  <c r="AR158" i="9"/>
  <c r="BB156" i="9"/>
  <c r="BB155" i="9"/>
  <c r="AR155" i="9"/>
  <c r="AR154" i="9"/>
  <c r="BB152" i="9"/>
  <c r="BB151" i="9"/>
  <c r="AR151" i="9"/>
  <c r="AR150" i="9"/>
  <c r="BB148" i="9"/>
  <c r="BB147" i="9"/>
  <c r="AR147" i="9"/>
  <c r="AR146" i="9"/>
  <c r="BB144" i="9"/>
  <c r="BB143" i="9"/>
  <c r="AR143" i="9"/>
  <c r="AR142" i="9"/>
  <c r="BB140" i="9"/>
  <c r="BB139" i="9"/>
  <c r="AR139" i="9"/>
  <c r="AR138" i="9"/>
  <c r="BB136" i="9"/>
  <c r="BB135" i="9"/>
  <c r="AR135" i="9"/>
  <c r="AR134" i="9"/>
  <c r="AZ4" i="9"/>
  <c r="AR5" i="9"/>
  <c r="BB5" i="9"/>
  <c r="AR6" i="9"/>
  <c r="BB6" i="9"/>
  <c r="AR7" i="9"/>
  <c r="BB7" i="9"/>
  <c r="AR8" i="9"/>
  <c r="BB8" i="9"/>
  <c r="AR9" i="9"/>
  <c r="BB9" i="9"/>
  <c r="AR10" i="9"/>
  <c r="BB10" i="9"/>
  <c r="AR11" i="9"/>
  <c r="BB11" i="9"/>
  <c r="AR12" i="9"/>
  <c r="BB12" i="9"/>
  <c r="AR13" i="9"/>
  <c r="BB13" i="9"/>
  <c r="AR14" i="9"/>
  <c r="BB14" i="9"/>
  <c r="AR15" i="9"/>
  <c r="BB15" i="9"/>
  <c r="AR16" i="9"/>
  <c r="BB16" i="9"/>
  <c r="AR17" i="9"/>
  <c r="BB17" i="9"/>
  <c r="AR18" i="9"/>
  <c r="BB18" i="9"/>
  <c r="AR19" i="9"/>
  <c r="BB19" i="9"/>
  <c r="AR20" i="9"/>
  <c r="BB20" i="9"/>
  <c r="AR21" i="9"/>
  <c r="BB21" i="9"/>
  <c r="AR22" i="9"/>
  <c r="BB22" i="9"/>
  <c r="AR23" i="9"/>
  <c r="BB23" i="9"/>
  <c r="AR24" i="9"/>
  <c r="BB24" i="9"/>
  <c r="AR25" i="9"/>
  <c r="BB25" i="9"/>
  <c r="AR26" i="9"/>
  <c r="BB26" i="9"/>
  <c r="AR27" i="9"/>
  <c r="BB27" i="9"/>
  <c r="AR28" i="9"/>
  <c r="BB28" i="9"/>
  <c r="AR29" i="9"/>
  <c r="BB29" i="9"/>
  <c r="AR30" i="9"/>
  <c r="BB30" i="9"/>
  <c r="AR31" i="9"/>
  <c r="BB31" i="9"/>
  <c r="AR32" i="9"/>
  <c r="BB32" i="9"/>
  <c r="AR33" i="9"/>
  <c r="BB33" i="9"/>
  <c r="AR34" i="9"/>
  <c r="BB34" i="9"/>
  <c r="AR35" i="9"/>
  <c r="BB35" i="9"/>
  <c r="AR36" i="9"/>
  <c r="BB36" i="9"/>
  <c r="AR37" i="9"/>
  <c r="BB37" i="9"/>
  <c r="AR38" i="9"/>
  <c r="BB38" i="9"/>
  <c r="AR39" i="9"/>
  <c r="BB39" i="9"/>
  <c r="AR40" i="9"/>
  <c r="BB40" i="9"/>
  <c r="AR41" i="9"/>
  <c r="BB41" i="9"/>
  <c r="AR42" i="9"/>
  <c r="BB42" i="9"/>
  <c r="AR43" i="9"/>
  <c r="BB43" i="9"/>
  <c r="AR44" i="9"/>
  <c r="BB44" i="9"/>
  <c r="AR45" i="9"/>
  <c r="BB45" i="9"/>
  <c r="AR46" i="9"/>
  <c r="BB46" i="9"/>
  <c r="AR47" i="9"/>
  <c r="BB47" i="9"/>
  <c r="AR48" i="9"/>
  <c r="BB48" i="9"/>
  <c r="AR49" i="9"/>
  <c r="BB49" i="9"/>
  <c r="AR50" i="9"/>
  <c r="BB50" i="9"/>
  <c r="AR51" i="9"/>
  <c r="BB51" i="9"/>
  <c r="AR52" i="9"/>
  <c r="BB52" i="9"/>
  <c r="AR53" i="9"/>
  <c r="BB53" i="9"/>
  <c r="AR54" i="9"/>
  <c r="BB54" i="9"/>
  <c r="AR55" i="9"/>
  <c r="BB55" i="9"/>
  <c r="AR56" i="9"/>
  <c r="BB56" i="9"/>
  <c r="AR57" i="9"/>
  <c r="BB57" i="9"/>
  <c r="AR58" i="9"/>
  <c r="BB58" i="9"/>
  <c r="AR59" i="9"/>
  <c r="BB59" i="9"/>
  <c r="AR60" i="9"/>
  <c r="BB60" i="9"/>
  <c r="AR61" i="9"/>
  <c r="BB61" i="9"/>
  <c r="AR62" i="9"/>
  <c r="BB62" i="9"/>
  <c r="AR63" i="9"/>
  <c r="BB63" i="9"/>
  <c r="AR64" i="9"/>
  <c r="BB64" i="9"/>
  <c r="AR65" i="9"/>
  <c r="BB65" i="9"/>
  <c r="AR66" i="9"/>
  <c r="BB66" i="9"/>
  <c r="AR67" i="9"/>
  <c r="BB67" i="9"/>
  <c r="AR68" i="9"/>
  <c r="BB68" i="9"/>
  <c r="AR69" i="9"/>
  <c r="BB69" i="9"/>
  <c r="AR70" i="9"/>
  <c r="BB70" i="9"/>
  <c r="AR71" i="9"/>
  <c r="BB71" i="9"/>
  <c r="AR72" i="9"/>
  <c r="BB72" i="9"/>
  <c r="AR73" i="9"/>
  <c r="BB73" i="9"/>
  <c r="AR74" i="9"/>
  <c r="BB74" i="9"/>
  <c r="AR75" i="9"/>
  <c r="BB75" i="9"/>
  <c r="AR76" i="9"/>
  <c r="BB76" i="9"/>
  <c r="AR77" i="9"/>
  <c r="BB77" i="9"/>
  <c r="AR78" i="9"/>
  <c r="BB78" i="9"/>
  <c r="AR79" i="9"/>
  <c r="BB79" i="9"/>
  <c r="AR80" i="9"/>
  <c r="BB80" i="9"/>
  <c r="AR81" i="9"/>
  <c r="BB81" i="9"/>
  <c r="AR82" i="9"/>
  <c r="BB82" i="9"/>
  <c r="AR83" i="9"/>
  <c r="BB83" i="9"/>
  <c r="AR84" i="9"/>
  <c r="BB84" i="9"/>
  <c r="AR85" i="9"/>
  <c r="BB85" i="9"/>
  <c r="AR86" i="9"/>
  <c r="BB86" i="9"/>
  <c r="AR87" i="9"/>
  <c r="BB87" i="9"/>
  <c r="AR88" i="9"/>
  <c r="BB88" i="9"/>
  <c r="AR89" i="9"/>
  <c r="BB89" i="9"/>
  <c r="AR90" i="9"/>
  <c r="BB90" i="9"/>
  <c r="AR91" i="9"/>
  <c r="BB91" i="9"/>
  <c r="AR92" i="9"/>
  <c r="BB92" i="9"/>
  <c r="AR93" i="9"/>
  <c r="BB93" i="9"/>
  <c r="AR94" i="9"/>
  <c r="BB94" i="9"/>
  <c r="AR95" i="9"/>
  <c r="BB95" i="9"/>
  <c r="AR96" i="9"/>
  <c r="BB96" i="9"/>
  <c r="AR97" i="9"/>
  <c r="BB97" i="9"/>
  <c r="AR98" i="9"/>
  <c r="BB98" i="9"/>
  <c r="AR99" i="9"/>
  <c r="BB99" i="9"/>
  <c r="AR100" i="9"/>
  <c r="BB100" i="9"/>
  <c r="AR101" i="9"/>
  <c r="BB101" i="9"/>
  <c r="AR102" i="9"/>
  <c r="BB102" i="9"/>
  <c r="AR103" i="9"/>
  <c r="BB103" i="9"/>
  <c r="AR104" i="9"/>
  <c r="BB104" i="9"/>
  <c r="AR105" i="9"/>
  <c r="BB105" i="9"/>
  <c r="AR106" i="9"/>
  <c r="BB106" i="9"/>
  <c r="AR107" i="9"/>
  <c r="BB107" i="9"/>
  <c r="AR108" i="9"/>
  <c r="BB108" i="9"/>
  <c r="AR109" i="9"/>
  <c r="BB109" i="9"/>
  <c r="AR110" i="9"/>
  <c r="BB110" i="9"/>
  <c r="AR111" i="9"/>
  <c r="BB111" i="9"/>
  <c r="AR112" i="9"/>
  <c r="BB112" i="9"/>
  <c r="AR113" i="9"/>
  <c r="BB113" i="9"/>
  <c r="AR114" i="9"/>
  <c r="BB114" i="9"/>
  <c r="AR115" i="9"/>
  <c r="BB115" i="9"/>
  <c r="AR116" i="9"/>
  <c r="BB116" i="9"/>
  <c r="AR117" i="9"/>
  <c r="BB117" i="9"/>
  <c r="AR118" i="9"/>
  <c r="BB118" i="9"/>
  <c r="AR119" i="9"/>
  <c r="BB119" i="9"/>
  <c r="AR120" i="9"/>
  <c r="BB120" i="9"/>
  <c r="AR121" i="9"/>
  <c r="BB121" i="9"/>
  <c r="AR122" i="9"/>
  <c r="BB122" i="9"/>
  <c r="AR123" i="9"/>
  <c r="BB123" i="9"/>
  <c r="AR124" i="9"/>
  <c r="BB124" i="9"/>
  <c r="AR125" i="9"/>
  <c r="BB125" i="9"/>
  <c r="AR126" i="9"/>
  <c r="BB126" i="9"/>
  <c r="AR127" i="9"/>
  <c r="BB127" i="9"/>
  <c r="AR128" i="9"/>
  <c r="BB128" i="9"/>
  <c r="AR129" i="9"/>
  <c r="BB129" i="9"/>
  <c r="AR130" i="9"/>
  <c r="BB130" i="9"/>
  <c r="AR131" i="9"/>
  <c r="BB131" i="9"/>
  <c r="AR132" i="9"/>
  <c r="BB132" i="9"/>
  <c r="AR133" i="9"/>
  <c r="BB133" i="9"/>
  <c r="BA135" i="9"/>
  <c r="BA137" i="9"/>
  <c r="BA139" i="9"/>
  <c r="BA141" i="9"/>
  <c r="BA143" i="9"/>
  <c r="BA145" i="9"/>
  <c r="BA147" i="9"/>
  <c r="BA149" i="9"/>
  <c r="BA151" i="9"/>
  <c r="BA153" i="9"/>
  <c r="BA155" i="9"/>
  <c r="BA157" i="9"/>
  <c r="BA74" i="9"/>
  <c r="BA82" i="9"/>
  <c r="BA84" i="9"/>
  <c r="BA86" i="9"/>
  <c r="BA88" i="9"/>
  <c r="BA90" i="9"/>
  <c r="BA92" i="9"/>
  <c r="BA94" i="9"/>
  <c r="BA96" i="9"/>
  <c r="BA98" i="9"/>
  <c r="BA100" i="9"/>
  <c r="BA102" i="9"/>
  <c r="BA104" i="9"/>
  <c r="BA106" i="9"/>
  <c r="BA108" i="9"/>
  <c r="BA110" i="9"/>
  <c r="BA112" i="9"/>
  <c r="BA114" i="9"/>
  <c r="BA116" i="9"/>
  <c r="BA118" i="9"/>
  <c r="BA120" i="9"/>
  <c r="BA122" i="9"/>
  <c r="BA124" i="9"/>
  <c r="BA126" i="9"/>
  <c r="BA128" i="9"/>
  <c r="BA130" i="9"/>
  <c r="BA132" i="9"/>
  <c r="BA134" i="9"/>
  <c r="BA136" i="9"/>
  <c r="BA138" i="9"/>
  <c r="BA140" i="9"/>
  <c r="BA142" i="9"/>
  <c r="BA144" i="9"/>
  <c r="BA146" i="9"/>
  <c r="BA148" i="9"/>
  <c r="BA150" i="9"/>
  <c r="BA152" i="9"/>
  <c r="BA154" i="9"/>
  <c r="BA156" i="9"/>
  <c r="BA73" i="9"/>
  <c r="BA83" i="9"/>
  <c r="BA85" i="9"/>
  <c r="BA87" i="9"/>
  <c r="BA89" i="9"/>
  <c r="BA91" i="9"/>
  <c r="BA93" i="9"/>
  <c r="BA95" i="9"/>
  <c r="BA97" i="9"/>
  <c r="BA99" i="9"/>
  <c r="BA101" i="9"/>
  <c r="BA103" i="9"/>
  <c r="BA105" i="9"/>
  <c r="BA107" i="9"/>
  <c r="BA109" i="9"/>
  <c r="BA111" i="9"/>
  <c r="BA113" i="9"/>
  <c r="BA115" i="9"/>
  <c r="BA117" i="9"/>
  <c r="BA119" i="9"/>
  <c r="BA121" i="9"/>
  <c r="BA123" i="9"/>
  <c r="BA125" i="9"/>
  <c r="BA127" i="9"/>
  <c r="BA129" i="9"/>
  <c r="BA131" i="9"/>
  <c r="BA133" i="9"/>
  <c r="V320" i="9"/>
  <c r="N170" i="9"/>
  <c r="AC170" i="9" s="1"/>
  <c r="P320" i="9"/>
  <c r="N6" i="9"/>
  <c r="AC6" i="9" s="1"/>
  <c r="AE6" i="9" s="1"/>
  <c r="AT6" i="9" s="1"/>
  <c r="AC314" i="9"/>
  <c r="AC306" i="9"/>
  <c r="AI306" i="9" s="1"/>
  <c r="N298" i="9"/>
  <c r="AC298" i="9" s="1"/>
  <c r="N271" i="9"/>
  <c r="AC271" i="9" s="1"/>
  <c r="AE271" i="9" s="1"/>
  <c r="AT271" i="9" s="1"/>
  <c r="N255" i="9"/>
  <c r="AC255" i="9" s="1"/>
  <c r="AC256" i="9"/>
  <c r="AE256" i="9" s="1"/>
  <c r="AT256" i="9" s="1"/>
  <c r="N316" i="9"/>
  <c r="AC316" i="9" s="1"/>
  <c r="AC308" i="9"/>
  <c r="AE308" i="9" s="1"/>
  <c r="AT308" i="9" s="1"/>
  <c r="N299" i="9"/>
  <c r="AC299" i="9" s="1"/>
  <c r="N267" i="9"/>
  <c r="AC267" i="9" s="1"/>
  <c r="AI267" i="9" s="1"/>
  <c r="N268" i="9"/>
  <c r="AC268" i="9" s="1"/>
  <c r="AI268" i="9" s="1"/>
  <c r="N112" i="9"/>
  <c r="AC112" i="9" s="1"/>
  <c r="AG112" i="9" s="1"/>
  <c r="N108" i="9"/>
  <c r="AC108" i="9" s="1"/>
  <c r="N104" i="9"/>
  <c r="AC104" i="9" s="1"/>
  <c r="AG104" i="9" s="1"/>
  <c r="N100" i="9"/>
  <c r="AC100" i="9" s="1"/>
  <c r="N96" i="9"/>
  <c r="AC96" i="9" s="1"/>
  <c r="AG96" i="9" s="1"/>
  <c r="N92" i="9"/>
  <c r="AC92" i="9" s="1"/>
  <c r="N88" i="9"/>
  <c r="AC88" i="9" s="1"/>
  <c r="AG88" i="9" s="1"/>
  <c r="N84" i="9"/>
  <c r="AC84" i="9" s="1"/>
  <c r="N80" i="9"/>
  <c r="AC80" i="9" s="1"/>
  <c r="AG80" i="9" s="1"/>
  <c r="N76" i="9"/>
  <c r="AC76" i="9" s="1"/>
  <c r="N72" i="9"/>
  <c r="AC72" i="9" s="1"/>
  <c r="AG72" i="9" s="1"/>
  <c r="N68" i="9"/>
  <c r="AC68" i="9" s="1"/>
  <c r="N64" i="9"/>
  <c r="AC64" i="9" s="1"/>
  <c r="AG64" i="9" s="1"/>
  <c r="AC59" i="9"/>
  <c r="AE59" i="9" s="1"/>
  <c r="AT59" i="9" s="1"/>
  <c r="N51" i="9"/>
  <c r="AC51" i="9" s="1"/>
  <c r="AG51" i="9" s="1"/>
  <c r="AC43" i="9"/>
  <c r="AC35" i="9"/>
  <c r="AI35" i="9" s="1"/>
  <c r="N31" i="9"/>
  <c r="AC31" i="9" s="1"/>
  <c r="AG31" i="9" s="1"/>
  <c r="N27" i="9"/>
  <c r="AC27" i="9" s="1"/>
  <c r="AG27" i="9" s="1"/>
  <c r="N23" i="9"/>
  <c r="AC23" i="9" s="1"/>
  <c r="AG23" i="9" s="1"/>
  <c r="N19" i="9"/>
  <c r="AC19" i="9" s="1"/>
  <c r="AG19" i="9" s="1"/>
  <c r="N15" i="9"/>
  <c r="AC15" i="9" s="1"/>
  <c r="AG15" i="9" s="1"/>
  <c r="N11" i="9"/>
  <c r="AC11" i="9" s="1"/>
  <c r="AG11" i="9" s="1"/>
  <c r="AC7" i="9"/>
  <c r="AI7" i="9" s="1"/>
  <c r="AC54" i="9"/>
  <c r="AI54" i="9" s="1"/>
  <c r="AC46" i="9"/>
  <c r="AI46" i="9" s="1"/>
  <c r="AC38" i="9"/>
  <c r="AE38" i="9" s="1"/>
  <c r="AT38" i="9" s="1"/>
  <c r="AC222" i="9"/>
  <c r="AC187" i="9"/>
  <c r="AI187" i="9" s="1"/>
  <c r="AC167" i="9"/>
  <c r="AE167" i="9" s="1"/>
  <c r="AT167" i="9" s="1"/>
  <c r="AC149" i="9"/>
  <c r="AE149" i="9" s="1"/>
  <c r="AT149" i="9" s="1"/>
  <c r="N123" i="9"/>
  <c r="AC123" i="9" s="1"/>
  <c r="N114" i="9"/>
  <c r="AC114" i="9" s="1"/>
  <c r="AG114" i="9" s="1"/>
  <c r="N294" i="9"/>
  <c r="AC294" i="9" s="1"/>
  <c r="N292" i="9"/>
  <c r="AC292" i="9" s="1"/>
  <c r="AI292" i="9" s="1"/>
  <c r="N284" i="9"/>
  <c r="AC284" i="9" s="1"/>
  <c r="N218" i="9"/>
  <c r="AC218" i="9" s="1"/>
  <c r="AE218" i="9" s="1"/>
  <c r="AT218" i="9" s="1"/>
  <c r="N188" i="9"/>
  <c r="AC188" i="9" s="1"/>
  <c r="AI188" i="9" s="1"/>
  <c r="N178" i="9"/>
  <c r="AC178" i="9" s="1"/>
  <c r="AI178" i="9" s="1"/>
  <c r="N285" i="9"/>
  <c r="AC285" i="9" s="1"/>
  <c r="AE285" i="9" s="1"/>
  <c r="AT285" i="9" s="1"/>
  <c r="N249" i="9"/>
  <c r="AC249" i="9" s="1"/>
  <c r="AG249" i="9" s="1"/>
  <c r="N241" i="9"/>
  <c r="AC241" i="9" s="1"/>
  <c r="AG241" i="9" s="1"/>
  <c r="N233" i="9"/>
  <c r="AC233" i="9" s="1"/>
  <c r="AG233" i="9" s="1"/>
  <c r="N225" i="9"/>
  <c r="AC225" i="9" s="1"/>
  <c r="AG225" i="9" s="1"/>
  <c r="AC210" i="9"/>
  <c r="AI210" i="9" s="1"/>
  <c r="AC200" i="9"/>
  <c r="N180" i="9"/>
  <c r="AC180" i="9" s="1"/>
  <c r="AE180" i="9" s="1"/>
  <c r="AT180" i="9" s="1"/>
  <c r="N154" i="9"/>
  <c r="AC154" i="9" s="1"/>
  <c r="N132" i="9"/>
  <c r="AC132" i="9" s="1"/>
  <c r="AE132" i="9" s="1"/>
  <c r="AT132" i="9" s="1"/>
  <c r="N283" i="9"/>
  <c r="AC283" i="9" s="1"/>
  <c r="AI283" i="9" s="1"/>
  <c r="N240" i="9"/>
  <c r="AC240" i="9" s="1"/>
  <c r="N224" i="9"/>
  <c r="AC224" i="9" s="1"/>
  <c r="AC209" i="9"/>
  <c r="AI209" i="9" s="1"/>
  <c r="N177" i="9"/>
  <c r="AC177" i="9" s="1"/>
  <c r="AG177" i="9" s="1"/>
  <c r="N168" i="9"/>
  <c r="AC168" i="9" s="1"/>
  <c r="N140" i="9"/>
  <c r="AC140" i="9" s="1"/>
  <c r="AI140" i="9" s="1"/>
  <c r="N246" i="9"/>
  <c r="AC246" i="9" s="1"/>
  <c r="AI246" i="9" s="1"/>
  <c r="N230" i="9"/>
  <c r="AC230" i="9" s="1"/>
  <c r="AI230" i="9" s="1"/>
  <c r="AC199" i="9"/>
  <c r="N160" i="9"/>
  <c r="AC160" i="9" s="1"/>
  <c r="AI160" i="9" s="1"/>
  <c r="N126" i="9"/>
  <c r="AC126" i="9" s="1"/>
  <c r="AE126" i="9" s="1"/>
  <c r="AT126" i="9" s="1"/>
  <c r="N162" i="9"/>
  <c r="AC162" i="9" s="1"/>
  <c r="N136" i="9"/>
  <c r="AC136" i="9" s="1"/>
  <c r="AE136" i="9" s="1"/>
  <c r="AT136" i="9" s="1"/>
  <c r="N113" i="9"/>
  <c r="AC113" i="9" s="1"/>
  <c r="AI113" i="9" s="1"/>
  <c r="N315" i="9"/>
  <c r="AC315" i="9" s="1"/>
  <c r="AD315" i="9" s="1"/>
  <c r="N311" i="9"/>
  <c r="AC311" i="9" s="1"/>
  <c r="AE311" i="9" s="1"/>
  <c r="AT311" i="9" s="1"/>
  <c r="AC307" i="9"/>
  <c r="AI307" i="9" s="1"/>
  <c r="AC303" i="9"/>
  <c r="AE303" i="9" s="1"/>
  <c r="AT303" i="9" s="1"/>
  <c r="AC300" i="9"/>
  <c r="AE300" i="9" s="1"/>
  <c r="AT300" i="9" s="1"/>
  <c r="N269" i="9"/>
  <c r="AC269" i="9" s="1"/>
  <c r="AE269" i="9" s="1"/>
  <c r="AT269" i="9" s="1"/>
  <c r="N261" i="9"/>
  <c r="AC261" i="9" s="1"/>
  <c r="AG261" i="9" s="1"/>
  <c r="N270" i="9"/>
  <c r="AC270" i="9" s="1"/>
  <c r="AI270" i="9" s="1"/>
  <c r="N262" i="9"/>
  <c r="AC262" i="9" s="1"/>
  <c r="AE262" i="9" s="1"/>
  <c r="AT262" i="9" s="1"/>
  <c r="AC254" i="9"/>
  <c r="AI254" i="9" s="1"/>
  <c r="N109" i="9"/>
  <c r="AC109" i="9" s="1"/>
  <c r="AG109" i="9" s="1"/>
  <c r="N105" i="9"/>
  <c r="AC105" i="9" s="1"/>
  <c r="AG105" i="9" s="1"/>
  <c r="AC101" i="9"/>
  <c r="AE101" i="9" s="1"/>
  <c r="AT101" i="9" s="1"/>
  <c r="AC97" i="9"/>
  <c r="AI97" i="9" s="1"/>
  <c r="AC93" i="9"/>
  <c r="AI93" i="9" s="1"/>
  <c r="AC89" i="9"/>
  <c r="AI89" i="9" s="1"/>
  <c r="AC85" i="9"/>
  <c r="AI85" i="9" s="1"/>
  <c r="AC81" i="9"/>
  <c r="AI81" i="9" s="1"/>
  <c r="AC77" i="9"/>
  <c r="AE77" i="9" s="1"/>
  <c r="AT77" i="9" s="1"/>
  <c r="AC73" i="9"/>
  <c r="AE73" i="9" s="1"/>
  <c r="AT73" i="9" s="1"/>
  <c r="AC69" i="9"/>
  <c r="AI69" i="9" s="1"/>
  <c r="AC65" i="9"/>
  <c r="AE65" i="9" s="1"/>
  <c r="AT65" i="9" s="1"/>
  <c r="N61" i="9"/>
  <c r="AC61" i="9" s="1"/>
  <c r="AE61" i="9" s="1"/>
  <c r="AT61" i="9" s="1"/>
  <c r="N53" i="9"/>
  <c r="AC53" i="9" s="1"/>
  <c r="AI53" i="9" s="1"/>
  <c r="N45" i="9"/>
  <c r="AC45" i="9" s="1"/>
  <c r="AI45" i="9" s="1"/>
  <c r="N37" i="9"/>
  <c r="AC37" i="9" s="1"/>
  <c r="AI37" i="9" s="1"/>
  <c r="AC32" i="9"/>
  <c r="AI32" i="9" s="1"/>
  <c r="AC28" i="9"/>
  <c r="AI28" i="9" s="1"/>
  <c r="AC24" i="9"/>
  <c r="AI24" i="9" s="1"/>
  <c r="AC20" i="9"/>
  <c r="AC16" i="9"/>
  <c r="AI16" i="9" s="1"/>
  <c r="AC12" i="9"/>
  <c r="AC8" i="9"/>
  <c r="AI8" i="9" s="1"/>
  <c r="AC56" i="9"/>
  <c r="AI56" i="9" s="1"/>
  <c r="AC48" i="9"/>
  <c r="AE48" i="9" s="1"/>
  <c r="AT48" i="9" s="1"/>
  <c r="AC40" i="9"/>
  <c r="AE40" i="9" s="1"/>
  <c r="AT40" i="9" s="1"/>
  <c r="AC204" i="9"/>
  <c r="AI204" i="9" s="1"/>
  <c r="AC179" i="9"/>
  <c r="AE179" i="9" s="1"/>
  <c r="AT179" i="9" s="1"/>
  <c r="AC163" i="9"/>
  <c r="AI163" i="9" s="1"/>
  <c r="AC155" i="9"/>
  <c r="AE155" i="9" s="1"/>
  <c r="AT155" i="9" s="1"/>
  <c r="AC143" i="9"/>
  <c r="AE143" i="9" s="1"/>
  <c r="AT143" i="9" s="1"/>
  <c r="N137" i="9"/>
  <c r="AC137" i="9" s="1"/>
  <c r="AG137" i="9" s="1"/>
  <c r="N297" i="9"/>
  <c r="N280" i="9"/>
  <c r="AC280" i="9" s="1"/>
  <c r="AG280" i="9" s="1"/>
  <c r="N290" i="9"/>
  <c r="AC290" i="9" s="1"/>
  <c r="N282" i="9"/>
  <c r="AC282" i="9" s="1"/>
  <c r="N215" i="9"/>
  <c r="AC215" i="9" s="1"/>
  <c r="AG215" i="9" s="1"/>
  <c r="N186" i="9"/>
  <c r="AC186" i="9" s="1"/>
  <c r="AE186" i="9" s="1"/>
  <c r="AT186" i="9" s="1"/>
  <c r="N281" i="9"/>
  <c r="AC281" i="9" s="1"/>
  <c r="AG281" i="9" s="1"/>
  <c r="N247" i="9"/>
  <c r="AC247" i="9" s="1"/>
  <c r="N239" i="9"/>
  <c r="AC239" i="9" s="1"/>
  <c r="AI239" i="9" s="1"/>
  <c r="N231" i="9"/>
  <c r="AC231" i="9" s="1"/>
  <c r="N223" i="9"/>
  <c r="AC223" i="9" s="1"/>
  <c r="AE223" i="9" s="1"/>
  <c r="AT223" i="9" s="1"/>
  <c r="AC208" i="9"/>
  <c r="AC198" i="9"/>
  <c r="AE198" i="9" s="1"/>
  <c r="AT198" i="9" s="1"/>
  <c r="N185" i="9"/>
  <c r="AC185" i="9" s="1"/>
  <c r="N176" i="9"/>
  <c r="AC176" i="9" s="1"/>
  <c r="AG176" i="9" s="1"/>
  <c r="N161" i="9"/>
  <c r="AC161" i="9" s="1"/>
  <c r="N146" i="9"/>
  <c r="AC146" i="9" s="1"/>
  <c r="N130" i="9"/>
  <c r="AC130" i="9" s="1"/>
  <c r="AG130" i="9" s="1"/>
  <c r="N252" i="9"/>
  <c r="AC252" i="9" s="1"/>
  <c r="AI252" i="9" s="1"/>
  <c r="N236" i="9"/>
  <c r="AC236" i="9" s="1"/>
  <c r="AC220" i="9"/>
  <c r="AI220" i="9" s="1"/>
  <c r="AC207" i="9"/>
  <c r="AI207" i="9" s="1"/>
  <c r="N164" i="9"/>
  <c r="AC164" i="9" s="1"/>
  <c r="AG164" i="9" s="1"/>
  <c r="N142" i="9"/>
  <c r="N129" i="9"/>
  <c r="AC129" i="9" s="1"/>
  <c r="AG129" i="9" s="1"/>
  <c r="N242" i="9"/>
  <c r="AC242" i="9" s="1"/>
  <c r="N226" i="9"/>
  <c r="AC226" i="9" s="1"/>
  <c r="AC201" i="9"/>
  <c r="AE201" i="9" s="1"/>
  <c r="AT201" i="9" s="1"/>
  <c r="N174" i="9"/>
  <c r="AC174" i="9" s="1"/>
  <c r="AI174" i="9" s="1"/>
  <c r="N124" i="9"/>
  <c r="AC124" i="9" s="1"/>
  <c r="AI124" i="9" s="1"/>
  <c r="N158" i="9"/>
  <c r="N122" i="9"/>
  <c r="AC122" i="9" s="1"/>
  <c r="AC165" i="9"/>
  <c r="N116" i="9"/>
  <c r="AC116" i="9" s="1"/>
  <c r="AG116" i="9" s="1"/>
  <c r="N131" i="9"/>
  <c r="AC131" i="9" s="1"/>
  <c r="AG131" i="9" s="1"/>
  <c r="N157" i="9"/>
  <c r="AC157" i="9" s="1"/>
  <c r="AG157" i="9" s="1"/>
  <c r="N120" i="9"/>
  <c r="AC120" i="9" s="1"/>
  <c r="AG120" i="9" s="1"/>
  <c r="N125" i="9"/>
  <c r="AC125" i="9" s="1"/>
  <c r="AG125" i="9" s="1"/>
  <c r="N141" i="9"/>
  <c r="AC141" i="9" s="1"/>
  <c r="AG141" i="9" s="1"/>
  <c r="N277" i="9"/>
  <c r="AC277" i="9" s="1"/>
  <c r="AG277" i="9" s="1"/>
  <c r="N5" i="9"/>
  <c r="AC5" i="9" s="1"/>
  <c r="AC4" i="9"/>
  <c r="AJ319" i="9"/>
  <c r="AK318" i="9"/>
  <c r="AK317" i="9"/>
  <c r="AK316" i="9"/>
  <c r="AJ315" i="9"/>
  <c r="AJ314" i="9"/>
  <c r="AJ313" i="9"/>
  <c r="AJ312" i="9"/>
  <c r="AJ311" i="9"/>
  <c r="AJ310" i="9"/>
  <c r="AJ309" i="9"/>
  <c r="AK308" i="9"/>
  <c r="AA308" i="9"/>
  <c r="AJ307" i="9"/>
  <c r="AK306" i="9"/>
  <c r="AA306" i="9"/>
  <c r="AJ305" i="9"/>
  <c r="AK304" i="9"/>
  <c r="AA304" i="9"/>
  <c r="AJ303" i="9"/>
  <c r="AK302" i="9"/>
  <c r="AA302" i="9"/>
  <c r="AJ301" i="9"/>
  <c r="AJ300" i="9"/>
  <c r="AA300" i="9"/>
  <c r="AJ299" i="9"/>
  <c r="AA299" i="9"/>
  <c r="AJ298" i="9"/>
  <c r="AA298" i="9"/>
  <c r="AJ297" i="9"/>
  <c r="AJ296" i="9"/>
  <c r="AJ295" i="9"/>
  <c r="AJ294" i="9"/>
  <c r="AJ293" i="9"/>
  <c r="AK319" i="9"/>
  <c r="AJ318" i="9"/>
  <c r="AJ317" i="9"/>
  <c r="AJ316" i="9"/>
  <c r="AA315" i="9"/>
  <c r="AA314" i="9"/>
  <c r="AA313" i="9"/>
  <c r="AA312" i="9"/>
  <c r="AA311" i="9"/>
  <c r="AA310" i="9"/>
  <c r="AA309" i="9"/>
  <c r="AJ308" i="9"/>
  <c r="AK307" i="9"/>
  <c r="AJ306" i="9"/>
  <c r="AK305" i="9"/>
  <c r="AJ304" i="9"/>
  <c r="AK303" i="9"/>
  <c r="AJ302" i="9"/>
  <c r="AK301" i="9"/>
  <c r="AK300" i="9"/>
  <c r="AK299" i="9"/>
  <c r="AK298" i="9"/>
  <c r="AK297" i="9"/>
  <c r="AA296" i="9"/>
  <c r="AK295" i="9"/>
  <c r="AA294" i="9"/>
  <c r="AK293" i="9"/>
  <c r="AK292" i="9"/>
  <c r="AA292" i="9"/>
  <c r="AK291" i="9"/>
  <c r="AA291" i="9"/>
  <c r="AK290" i="9"/>
  <c r="AA290" i="9"/>
  <c r="AK289" i="9"/>
  <c r="AA289" i="9"/>
  <c r="AK288" i="9"/>
  <c r="AA288" i="9"/>
  <c r="AK287" i="9"/>
  <c r="AA287" i="9"/>
  <c r="AK286" i="9"/>
  <c r="AA286" i="9"/>
  <c r="AK285" i="9"/>
  <c r="AA285" i="9"/>
  <c r="AK284" i="9"/>
  <c r="AA284" i="9"/>
  <c r="AK283" i="9"/>
  <c r="AA283" i="9"/>
  <c r="AK282" i="9"/>
  <c r="AA282" i="9"/>
  <c r="AK281" i="9"/>
  <c r="AA281" i="9"/>
  <c r="AK280" i="9"/>
  <c r="AA280" i="9"/>
  <c r="AJ279" i="9"/>
  <c r="AK278" i="9"/>
  <c r="AA278" i="9"/>
  <c r="AJ277" i="9"/>
  <c r="AK276" i="9"/>
  <c r="AA276" i="9"/>
  <c r="AJ275" i="9"/>
  <c r="AK274" i="9"/>
  <c r="AA274" i="9"/>
  <c r="AJ273" i="9"/>
  <c r="AA273" i="9"/>
  <c r="AJ272" i="9"/>
  <c r="AA272" i="9"/>
  <c r="AJ271" i="9"/>
  <c r="AA271" i="9"/>
  <c r="AJ270" i="9"/>
  <c r="AA270" i="9"/>
  <c r="AJ269" i="9"/>
  <c r="AA269" i="9"/>
  <c r="AJ268" i="9"/>
  <c r="AA268" i="9"/>
  <c r="AJ267" i="9"/>
  <c r="AA267" i="9"/>
  <c r="AJ266" i="9"/>
  <c r="AA266" i="9"/>
  <c r="AJ265" i="9"/>
  <c r="AA265" i="9"/>
  <c r="AJ264" i="9"/>
  <c r="AA264" i="9"/>
  <c r="AJ263" i="9"/>
  <c r="AA263" i="9"/>
  <c r="AJ262" i="9"/>
  <c r="AA262" i="9"/>
  <c r="AJ261" i="9"/>
  <c r="AA261" i="9"/>
  <c r="AJ260" i="9"/>
  <c r="AA260" i="9"/>
  <c r="AJ259" i="9"/>
  <c r="AA259" i="9"/>
  <c r="AA319" i="9"/>
  <c r="AA318" i="9"/>
  <c r="AA317" i="9"/>
  <c r="AA316" i="9"/>
  <c r="AA305" i="9"/>
  <c r="AA301" i="9"/>
  <c r="AA297" i="9"/>
  <c r="AK294" i="9"/>
  <c r="AA293" i="9"/>
  <c r="AJ292" i="9"/>
  <c r="AJ290" i="9"/>
  <c r="AJ288" i="9"/>
  <c r="AJ286" i="9"/>
  <c r="AJ284" i="9"/>
  <c r="AJ282" i="9"/>
  <c r="AJ280" i="9"/>
  <c r="AA279" i="9"/>
  <c r="AK277" i="9"/>
  <c r="AJ276" i="9"/>
  <c r="AA275" i="9"/>
  <c r="AK273" i="9"/>
  <c r="AK272" i="9"/>
  <c r="AK271" i="9"/>
  <c r="AK270" i="9"/>
  <c r="AK269" i="9"/>
  <c r="AK268" i="9"/>
  <c r="AK267" i="9"/>
  <c r="AK266" i="9"/>
  <c r="AK265" i="9"/>
  <c r="AK264" i="9"/>
  <c r="AK263" i="9"/>
  <c r="AK262" i="9"/>
  <c r="AK261" i="9"/>
  <c r="AK260" i="9"/>
  <c r="AK259" i="9"/>
  <c r="AK258" i="9"/>
  <c r="AK257" i="9"/>
  <c r="AK256" i="9"/>
  <c r="AK255" i="9"/>
  <c r="AK254" i="9"/>
  <c r="AK253" i="9"/>
  <c r="AA253" i="9"/>
  <c r="AK252" i="9"/>
  <c r="AA252" i="9"/>
  <c r="AK251" i="9"/>
  <c r="AA251" i="9"/>
  <c r="AK250" i="9"/>
  <c r="AA250" i="9"/>
  <c r="AK249" i="9"/>
  <c r="AA249" i="9"/>
  <c r="AK248" i="9"/>
  <c r="AA248" i="9"/>
  <c r="AK247" i="9"/>
  <c r="AA247" i="9"/>
  <c r="AK246" i="9"/>
  <c r="AA246" i="9"/>
  <c r="AK245" i="9"/>
  <c r="AA245" i="9"/>
  <c r="AK244" i="9"/>
  <c r="AA244" i="9"/>
  <c r="AK243" i="9"/>
  <c r="AA243" i="9"/>
  <c r="AK242" i="9"/>
  <c r="AA242" i="9"/>
  <c r="AK241" i="9"/>
  <c r="AA241" i="9"/>
  <c r="AK240" i="9"/>
  <c r="AA240" i="9"/>
  <c r="AK239" i="9"/>
  <c r="AA239" i="9"/>
  <c r="AK238" i="9"/>
  <c r="AA238" i="9"/>
  <c r="AK237" i="9"/>
  <c r="AA237" i="9"/>
  <c r="AK236" i="9"/>
  <c r="AA236" i="9"/>
  <c r="AK235" i="9"/>
  <c r="AA235" i="9"/>
  <c r="AK234" i="9"/>
  <c r="AA234" i="9"/>
  <c r="AK233" i="9"/>
  <c r="AA233" i="9"/>
  <c r="AK232" i="9"/>
  <c r="AA232" i="9"/>
  <c r="AK231" i="9"/>
  <c r="AA231" i="9"/>
  <c r="AK230" i="9"/>
  <c r="AA230" i="9"/>
  <c r="AK229" i="9"/>
  <c r="AA229" i="9"/>
  <c r="AK228" i="9"/>
  <c r="AA228" i="9"/>
  <c r="AK227" i="9"/>
  <c r="AA227" i="9"/>
  <c r="AK226" i="9"/>
  <c r="AA226" i="9"/>
  <c r="AK225" i="9"/>
  <c r="AA225" i="9"/>
  <c r="AK224" i="9"/>
  <c r="AA224" i="9"/>
  <c r="AK223" i="9"/>
  <c r="AA223" i="9"/>
  <c r="AK222" i="9"/>
  <c r="AA222" i="9"/>
  <c r="AK221" i="9"/>
  <c r="AA221" i="9"/>
  <c r="AK219" i="9"/>
  <c r="AA219" i="9"/>
  <c r="AK216" i="9"/>
  <c r="AA216" i="9"/>
  <c r="AK215" i="9"/>
  <c r="AA215" i="9"/>
  <c r="AK214" i="9"/>
  <c r="AA214" i="9"/>
  <c r="AJ213" i="9"/>
  <c r="AK212" i="9"/>
  <c r="AA212" i="9"/>
  <c r="AK211" i="9"/>
  <c r="AA211" i="9"/>
  <c r="AK210" i="9"/>
  <c r="AA210" i="9"/>
  <c r="AK209" i="9"/>
  <c r="AA209" i="9"/>
  <c r="AK208" i="9"/>
  <c r="AA208" i="9"/>
  <c r="AK207" i="9"/>
  <c r="AA207" i="9"/>
  <c r="AK206" i="9"/>
  <c r="AA206" i="9"/>
  <c r="AJ205" i="9"/>
  <c r="AJ204" i="9"/>
  <c r="AK203" i="9"/>
  <c r="AA203" i="9"/>
  <c r="AK202" i="9"/>
  <c r="AA202" i="9"/>
  <c r="AK201" i="9"/>
  <c r="AA201" i="9"/>
  <c r="AK200" i="9"/>
  <c r="AA200" i="9"/>
  <c r="AK199" i="9"/>
  <c r="AA199" i="9"/>
  <c r="AK198" i="9"/>
  <c r="AA198" i="9"/>
  <c r="AK197" i="9"/>
  <c r="AA197" i="9"/>
  <c r="AK196" i="9"/>
  <c r="AA196" i="9"/>
  <c r="AK193" i="9"/>
  <c r="AA193" i="9"/>
  <c r="AK191" i="9"/>
  <c r="AA191" i="9"/>
  <c r="AJ189" i="9"/>
  <c r="AJ188" i="9"/>
  <c r="AK187" i="9"/>
  <c r="AA187" i="9"/>
  <c r="AK186" i="9"/>
  <c r="AA186" i="9"/>
  <c r="AK184" i="9"/>
  <c r="AA184" i="9"/>
  <c r="AK182" i="9"/>
  <c r="AA182" i="9"/>
  <c r="AK179" i="9"/>
  <c r="AA179" i="9"/>
  <c r="AK178" i="9"/>
  <c r="AA178" i="9"/>
  <c r="AA307" i="9"/>
  <c r="AA303" i="9"/>
  <c r="AA295" i="9"/>
  <c r="AJ291" i="9"/>
  <c r="AJ287" i="9"/>
  <c r="AJ283" i="9"/>
  <c r="AK279" i="9"/>
  <c r="AJ278" i="9"/>
  <c r="AA277" i="9"/>
  <c r="AJ258" i="9"/>
  <c r="AJ257" i="9"/>
  <c r="AJ256" i="9"/>
  <c r="AJ255" i="9"/>
  <c r="AJ254" i="9"/>
  <c r="AJ253" i="9"/>
  <c r="AJ251" i="9"/>
  <c r="AJ249" i="9"/>
  <c r="AJ247" i="9"/>
  <c r="AJ245" i="9"/>
  <c r="AJ243" i="9"/>
  <c r="AJ241" i="9"/>
  <c r="AJ239" i="9"/>
  <c r="AJ237" i="9"/>
  <c r="AJ235" i="9"/>
  <c r="AJ233" i="9"/>
  <c r="AJ231" i="9"/>
  <c r="AJ229" i="9"/>
  <c r="AJ227" i="9"/>
  <c r="AJ225" i="9"/>
  <c r="AJ223" i="9"/>
  <c r="AK220" i="9"/>
  <c r="AK218" i="9"/>
  <c r="AK217" i="9"/>
  <c r="AJ214" i="9"/>
  <c r="AA213" i="9"/>
  <c r="AA205" i="9"/>
  <c r="AK204" i="9"/>
  <c r="AK195" i="9"/>
  <c r="AK194" i="9"/>
  <c r="AK192" i="9"/>
  <c r="AK190" i="9"/>
  <c r="AK189" i="9"/>
  <c r="AA188" i="9"/>
  <c r="AA185" i="9"/>
  <c r="AA183" i="9"/>
  <c r="AA181" i="9"/>
  <c r="AA180" i="9"/>
  <c r="AK177" i="9"/>
  <c r="AK176" i="9"/>
  <c r="AA176" i="9"/>
  <c r="AK174" i="9"/>
  <c r="AA174" i="9"/>
  <c r="AK172" i="9"/>
  <c r="AA172" i="9"/>
  <c r="AK171" i="9"/>
  <c r="AA171" i="9"/>
  <c r="AK169" i="9"/>
  <c r="AA169" i="9"/>
  <c r="AJ167" i="9"/>
  <c r="AJ166" i="9"/>
  <c r="AK165" i="9"/>
  <c r="AA165" i="9"/>
  <c r="AK163" i="9"/>
  <c r="AA163" i="9"/>
  <c r="AK162" i="9"/>
  <c r="AK161" i="9"/>
  <c r="AA161" i="9"/>
  <c r="AK159" i="9"/>
  <c r="AA159" i="9"/>
  <c r="AK157" i="9"/>
  <c r="AA157" i="9"/>
  <c r="AK155" i="9"/>
  <c r="AA155" i="9"/>
  <c r="AK154" i="9"/>
  <c r="AA154" i="9"/>
  <c r="AK152" i="9"/>
  <c r="AA152" i="9"/>
  <c r="AK150" i="9"/>
  <c r="AA150" i="9"/>
  <c r="AK147" i="9"/>
  <c r="AA147" i="9"/>
  <c r="AA146" i="9"/>
  <c r="AK144" i="9"/>
  <c r="AA144" i="9"/>
  <c r="AK142" i="9"/>
  <c r="AA142" i="9"/>
  <c r="AK140" i="9"/>
  <c r="AA140" i="9"/>
  <c r="AK137" i="9"/>
  <c r="AA137" i="9"/>
  <c r="AK135" i="9"/>
  <c r="AA135" i="9"/>
  <c r="AJ133" i="9"/>
  <c r="AJ132" i="9"/>
  <c r="AK131" i="9"/>
  <c r="AA131" i="9"/>
  <c r="AA130" i="9"/>
  <c r="AK128" i="9"/>
  <c r="AA128" i="9"/>
  <c r="AK126" i="9"/>
  <c r="AA126" i="9"/>
  <c r="AK124" i="9"/>
  <c r="AA124" i="9"/>
  <c r="AK121" i="9"/>
  <c r="AA121" i="9"/>
  <c r="AK119" i="9"/>
  <c r="AA119" i="9"/>
  <c r="AK116" i="9"/>
  <c r="AA116" i="9"/>
  <c r="AK114" i="9"/>
  <c r="AA114" i="9"/>
  <c r="AK113" i="9"/>
  <c r="AA113" i="9"/>
  <c r="AK111" i="9"/>
  <c r="AK110" i="9"/>
  <c r="AK109" i="9"/>
  <c r="AK108" i="9"/>
  <c r="AK107" i="9"/>
  <c r="AJ106" i="9"/>
  <c r="AA106" i="9"/>
  <c r="AJ105" i="9"/>
  <c r="AA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A70" i="9"/>
  <c r="AA69" i="9"/>
  <c r="AK68" i="9"/>
  <c r="AK67" i="9"/>
  <c r="AK66" i="9"/>
  <c r="AK65" i="9"/>
  <c r="AK64" i="9"/>
  <c r="AK63" i="9"/>
  <c r="AK62" i="9"/>
  <c r="AK61" i="9"/>
  <c r="AK60" i="9"/>
  <c r="AK59" i="9"/>
  <c r="AK58" i="9"/>
  <c r="AK57" i="9"/>
  <c r="AK56" i="9"/>
  <c r="AK55" i="9"/>
  <c r="AK54" i="9"/>
  <c r="AK53" i="9"/>
  <c r="AK52" i="9"/>
  <c r="AK51" i="9"/>
  <c r="AA50" i="9"/>
  <c r="AJ49" i="9"/>
  <c r="AA49" i="9"/>
  <c r="AK48" i="9"/>
  <c r="AK47" i="9"/>
  <c r="AK46" i="9"/>
  <c r="AK45" i="9"/>
  <c r="AK44" i="9"/>
  <c r="AK43" i="9"/>
  <c r="AK42" i="9"/>
  <c r="AA41" i="9"/>
  <c r="AJ40" i="9"/>
  <c r="AA40" i="9"/>
  <c r="AK39" i="9"/>
  <c r="AJ285" i="9"/>
  <c r="AK275" i="9"/>
  <c r="AA258" i="9"/>
  <c r="AA257" i="9"/>
  <c r="AA256" i="9"/>
  <c r="AA344" i="9" s="1"/>
  <c r="AA255" i="9"/>
  <c r="AA254" i="9"/>
  <c r="AJ250" i="9"/>
  <c r="AJ246" i="9"/>
  <c r="AJ242" i="9"/>
  <c r="AJ238" i="9"/>
  <c r="AJ234" i="9"/>
  <c r="AJ230" i="9"/>
  <c r="AJ226" i="9"/>
  <c r="AJ222" i="9"/>
  <c r="AA218" i="9"/>
  <c r="AA217" i="9"/>
  <c r="AA192" i="9"/>
  <c r="AK188" i="9"/>
  <c r="AK180" i="9"/>
  <c r="AA175" i="9"/>
  <c r="AA173" i="9"/>
  <c r="AJ172" i="9"/>
  <c r="AA170" i="9"/>
  <c r="AA168" i="9"/>
  <c r="AA167" i="9"/>
  <c r="AK166" i="9"/>
  <c r="AA164" i="9"/>
  <c r="AK160" i="9"/>
  <c r="AK158" i="9"/>
  <c r="AK156" i="9"/>
  <c r="AA153" i="9"/>
  <c r="AA151" i="9"/>
  <c r="AA149" i="9"/>
  <c r="AA148" i="9"/>
  <c r="AK145" i="9"/>
  <c r="AK143" i="9"/>
  <c r="AK141" i="9"/>
  <c r="AK139" i="9"/>
  <c r="AK138" i="9"/>
  <c r="AK136" i="9"/>
  <c r="AK134" i="9"/>
  <c r="AK133" i="9"/>
  <c r="AA132" i="9"/>
  <c r="AK130" i="9"/>
  <c r="AA129" i="9"/>
  <c r="AK315" i="9"/>
  <c r="AK314" i="9"/>
  <c r="AK313" i="9"/>
  <c r="AK312" i="9"/>
  <c r="AK311" i="9"/>
  <c r="AK310" i="9"/>
  <c r="AK309" i="9"/>
  <c r="AK296" i="9"/>
  <c r="AJ289" i="9"/>
  <c r="AJ281" i="9"/>
  <c r="AJ274" i="9"/>
  <c r="AJ252" i="9"/>
  <c r="AJ248" i="9"/>
  <c r="AJ244" i="9"/>
  <c r="AJ240" i="9"/>
  <c r="AJ236" i="9"/>
  <c r="AJ232" i="9"/>
  <c r="AJ228" i="9"/>
  <c r="AJ224" i="9"/>
  <c r="AA220" i="9"/>
  <c r="AK213" i="9"/>
  <c r="AK205" i="9"/>
  <c r="AA204" i="9"/>
  <c r="AA195" i="9"/>
  <c r="AA194" i="9"/>
  <c r="AA190" i="9"/>
  <c r="AA189" i="9"/>
  <c r="AK175" i="9"/>
  <c r="AK173" i="9"/>
  <c r="AK170" i="9"/>
  <c r="AK168" i="9"/>
  <c r="AA162" i="9"/>
  <c r="AA158" i="9"/>
  <c r="AA156" i="9"/>
  <c r="AK148" i="9"/>
  <c r="AK146" i="9"/>
  <c r="AA141" i="9"/>
  <c r="AA136" i="9"/>
  <c r="AK132" i="9"/>
  <c r="AK127" i="9"/>
  <c r="AK125" i="9"/>
  <c r="AK123" i="9"/>
  <c r="AK122" i="9"/>
  <c r="AK120" i="9"/>
  <c r="AK118" i="9"/>
  <c r="AK117" i="9"/>
  <c r="AK115" i="9"/>
  <c r="AA112" i="9"/>
  <c r="AA111" i="9"/>
  <c r="AA110" i="9"/>
  <c r="AA109" i="9"/>
  <c r="AA108" i="9"/>
  <c r="AA107" i="9"/>
  <c r="AA104" i="9"/>
  <c r="AA103" i="9"/>
  <c r="AA102" i="9"/>
  <c r="AA101" i="9"/>
  <c r="AA100" i="9"/>
  <c r="AA99" i="9"/>
  <c r="AK185" i="9"/>
  <c r="AK183" i="9"/>
  <c r="AK181" i="9"/>
  <c r="AA177" i="9"/>
  <c r="AJ171" i="9"/>
  <c r="AK167" i="9"/>
  <c r="AA166" i="9"/>
  <c r="AK164" i="9"/>
  <c r="AA160" i="9"/>
  <c r="AK153" i="9"/>
  <c r="AK151" i="9"/>
  <c r="AK149" i="9"/>
  <c r="AA145" i="9"/>
  <c r="AA143" i="9"/>
  <c r="AA139" i="9"/>
  <c r="AA138" i="9"/>
  <c r="AA134" i="9"/>
  <c r="AA133" i="9"/>
  <c r="AK129" i="9"/>
  <c r="AA127" i="9"/>
  <c r="AA125" i="9"/>
  <c r="AA123" i="9"/>
  <c r="AA122" i="9"/>
  <c r="AA120" i="9"/>
  <c r="AA118" i="9"/>
  <c r="AA117" i="9"/>
  <c r="AA115" i="9"/>
  <c r="AK112" i="9"/>
  <c r="AK106" i="9"/>
  <c r="AK105" i="9"/>
  <c r="AK70" i="9"/>
  <c r="AK69" i="9"/>
  <c r="AK50" i="9"/>
  <c r="AK49" i="9"/>
  <c r="AK41" i="9"/>
  <c r="AK40" i="9"/>
  <c r="AK38" i="9"/>
  <c r="AK37" i="9"/>
  <c r="AK36" i="9"/>
  <c r="AA36" i="9"/>
  <c r="AK34" i="9"/>
  <c r="AA34" i="9"/>
  <c r="AA32" i="9"/>
  <c r="AJ31" i="9"/>
  <c r="AA31" i="9"/>
  <c r="AK30" i="9"/>
  <c r="AA30" i="9"/>
  <c r="AK28" i="9"/>
  <c r="AA28" i="9"/>
  <c r="AK26" i="9"/>
  <c r="AA26" i="9"/>
  <c r="AK24" i="9"/>
  <c r="AA24" i="9"/>
  <c r="AK22" i="9"/>
  <c r="AA22" i="9"/>
  <c r="AK20" i="9"/>
  <c r="AA20" i="9"/>
  <c r="AK18" i="9"/>
  <c r="AA18" i="9"/>
  <c r="AK16" i="9"/>
  <c r="AA16" i="9"/>
  <c r="AK15" i="9"/>
  <c r="AK14" i="9"/>
  <c r="AK12" i="9"/>
  <c r="AK10" i="9"/>
  <c r="AJ9" i="9"/>
  <c r="AA9" i="9"/>
  <c r="AK7" i="9"/>
  <c r="AA98" i="9"/>
  <c r="AA97" i="9"/>
  <c r="AA96" i="9"/>
  <c r="AA95" i="9"/>
  <c r="AA94" i="9"/>
  <c r="AA93" i="9"/>
  <c r="AA92" i="9"/>
  <c r="AA91" i="9"/>
  <c r="AA90" i="9"/>
  <c r="AA89" i="9"/>
  <c r="AA88" i="9"/>
  <c r="AA87" i="9"/>
  <c r="AA86" i="9"/>
  <c r="AA85" i="9"/>
  <c r="AA84" i="9"/>
  <c r="AA83" i="9"/>
  <c r="AA82" i="9"/>
  <c r="AA81" i="9"/>
  <c r="AA80" i="9"/>
  <c r="AA79" i="9"/>
  <c r="AA78" i="9"/>
  <c r="AA77" i="9"/>
  <c r="AA76" i="9"/>
  <c r="AA75" i="9"/>
  <c r="AA74" i="9"/>
  <c r="AA73" i="9"/>
  <c r="AA72" i="9"/>
  <c r="AA71" i="9"/>
  <c r="AA68" i="9"/>
  <c r="AA67" i="9"/>
  <c r="AA66" i="9"/>
  <c r="AA65" i="9"/>
  <c r="AA64" i="9"/>
  <c r="AA63" i="9"/>
  <c r="AA62" i="9"/>
  <c r="AA61" i="9"/>
  <c r="AA60" i="9"/>
  <c r="AA59" i="9"/>
  <c r="AA58" i="9"/>
  <c r="AA57" i="9"/>
  <c r="AA56" i="9"/>
  <c r="AA55" i="9"/>
  <c r="AA54" i="9"/>
  <c r="AA53" i="9"/>
  <c r="AA52" i="9"/>
  <c r="AA51" i="9"/>
  <c r="AA48" i="9"/>
  <c r="AA47" i="9"/>
  <c r="AA46" i="9"/>
  <c r="AA45" i="9"/>
  <c r="AA44" i="9"/>
  <c r="AA43" i="9"/>
  <c r="AA42" i="9"/>
  <c r="AA39" i="9"/>
  <c r="AA38" i="9"/>
  <c r="AA37" i="9"/>
  <c r="AK35" i="9"/>
  <c r="AA35" i="9"/>
  <c r="AK33" i="9"/>
  <c r="AA33" i="9"/>
  <c r="AK32" i="9"/>
  <c r="AK31" i="9"/>
  <c r="AK29" i="9"/>
  <c r="AA29" i="9"/>
  <c r="AK27" i="9"/>
  <c r="AA27" i="9"/>
  <c r="AK25" i="9"/>
  <c r="AA25" i="9"/>
  <c r="AK23" i="9"/>
  <c r="AA23" i="9"/>
  <c r="AK21" i="9"/>
  <c r="AA21" i="9"/>
  <c r="AK19" i="9"/>
  <c r="AA19" i="9"/>
  <c r="AK17" i="9"/>
  <c r="AA17" i="9"/>
  <c r="AA15" i="9"/>
  <c r="AJ14" i="9"/>
  <c r="AA14" i="9"/>
  <c r="AK13" i="9"/>
  <c r="AJ12" i="9"/>
  <c r="AA12" i="9"/>
  <c r="AK11" i="9"/>
  <c r="AJ10" i="9"/>
  <c r="AA10" i="9"/>
  <c r="AK9" i="9"/>
  <c r="AJ8" i="9"/>
  <c r="AA8" i="9"/>
  <c r="AJ7" i="9"/>
  <c r="AA7" i="9"/>
  <c r="AJ13" i="9"/>
  <c r="AA13" i="9"/>
  <c r="AJ11" i="9"/>
  <c r="AA11" i="9"/>
  <c r="AK8" i="9"/>
  <c r="AI120" i="9"/>
  <c r="AE168" i="9"/>
  <c r="AT168" i="9" s="1"/>
  <c r="AI277" i="9"/>
  <c r="AC297" i="9"/>
  <c r="AC142" i="9"/>
  <c r="AE142" i="9" s="1"/>
  <c r="AT142" i="9" s="1"/>
  <c r="AC158" i="9"/>
  <c r="AE158" i="9" s="1"/>
  <c r="AT158" i="9" s="1"/>
  <c r="AE124" i="9"/>
  <c r="AT124" i="9" s="1"/>
  <c r="AI180" i="9"/>
  <c r="AK6" i="9"/>
  <c r="AA6" i="9"/>
  <c r="AJ6" i="9"/>
  <c r="AE283" i="9"/>
  <c r="AT283" i="9" s="1"/>
  <c r="AI242" i="9"/>
  <c r="AE225" i="9"/>
  <c r="AT225" i="9" s="1"/>
  <c r="AE137" i="9"/>
  <c r="AT137" i="9" s="1"/>
  <c r="AE113" i="9"/>
  <c r="AT113" i="9" s="1"/>
  <c r="AE209" i="9"/>
  <c r="AT209" i="9" s="1"/>
  <c r="AE199" i="9"/>
  <c r="AT199" i="9" s="1"/>
  <c r="AJ5" i="9"/>
  <c r="AE292" i="9"/>
  <c r="AT292" i="9" s="1"/>
  <c r="AE242" i="9"/>
  <c r="AT242" i="9" s="1"/>
  <c r="AE230" i="9"/>
  <c r="AT230" i="9" s="1"/>
  <c r="AE177" i="9"/>
  <c r="AT177" i="9" s="1"/>
  <c r="AE204" i="9"/>
  <c r="AT204" i="9" s="1"/>
  <c r="AI199" i="9"/>
  <c r="AE163" i="9"/>
  <c r="AT163" i="9" s="1"/>
  <c r="AI141" i="9"/>
  <c r="AK5" i="9"/>
  <c r="AA5" i="9"/>
  <c r="AE45" i="9"/>
  <c r="AT45" i="9" s="1"/>
  <c r="AI271" i="9"/>
  <c r="AI315" i="9"/>
  <c r="AE69" i="9"/>
  <c r="AT69" i="9" s="1"/>
  <c r="AE268" i="9"/>
  <c r="AT268" i="9" s="1"/>
  <c r="AI61" i="9"/>
  <c r="AE64" i="9"/>
  <c r="AT64" i="9" s="1"/>
  <c r="AE104" i="9"/>
  <c r="AT104" i="9" s="1"/>
  <c r="AE298" i="9"/>
  <c r="AT298" i="9" s="1"/>
  <c r="AE16" i="9"/>
  <c r="AT16" i="9" s="1"/>
  <c r="AI43" i="9"/>
  <c r="AI77" i="9"/>
  <c r="AI109" i="9"/>
  <c r="AI38" i="9"/>
  <c r="AE56" i="9"/>
  <c r="AT56" i="9" s="1"/>
  <c r="AI27" i="9"/>
  <c r="AI31" i="9"/>
  <c r="AI256" i="9"/>
  <c r="AI419" i="9" s="1"/>
  <c r="AE270" i="9"/>
  <c r="AT270" i="9" s="1"/>
  <c r="AI80" i="9"/>
  <c r="AI108" i="9"/>
  <c r="AE35" i="9"/>
  <c r="AT35" i="9" s="1"/>
  <c r="AE43" i="9"/>
  <c r="AT43" i="9" s="1"/>
  <c r="AE51" i="9"/>
  <c r="AT51" i="9" s="1"/>
  <c r="AE89" i="9"/>
  <c r="AT89" i="9" s="1"/>
  <c r="AE97" i="9"/>
  <c r="AT97" i="9" s="1"/>
  <c r="AI308" i="9"/>
  <c r="AE54" i="9"/>
  <c r="AT54" i="9" s="1"/>
  <c r="AE31" i="9"/>
  <c r="AT31" i="9" s="1"/>
  <c r="AI303" i="9"/>
  <c r="N190" i="9"/>
  <c r="AC190" i="9" s="1"/>
  <c r="N134" i="9"/>
  <c r="AC134" i="9" s="1"/>
  <c r="N318" i="9"/>
  <c r="AC318" i="9" s="1"/>
  <c r="AG318" i="9" s="1"/>
  <c r="AC309" i="9"/>
  <c r="AC302" i="9"/>
  <c r="N272" i="9"/>
  <c r="AC272" i="9" s="1"/>
  <c r="N263" i="9"/>
  <c r="AC263" i="9" s="1"/>
  <c r="AI263" i="9" s="1"/>
  <c r="N264" i="9"/>
  <c r="AC264" i="9" s="1"/>
  <c r="N319" i="9"/>
  <c r="AC319" i="9" s="1"/>
  <c r="AG319" i="9" s="1"/>
  <c r="AC312" i="9"/>
  <c r="AC304" i="9"/>
  <c r="N274" i="9"/>
  <c r="AC274" i="9" s="1"/>
  <c r="N259" i="9"/>
  <c r="AC259" i="9" s="1"/>
  <c r="AI259" i="9" s="1"/>
  <c r="AC260" i="9"/>
  <c r="AE260" i="9" s="1"/>
  <c r="AT260" i="9" s="1"/>
  <c r="N110" i="9"/>
  <c r="AC110" i="9" s="1"/>
  <c r="N106" i="9"/>
  <c r="AC106" i="9" s="1"/>
  <c r="N102" i="9"/>
  <c r="AC102" i="9" s="1"/>
  <c r="AI102" i="9" s="1"/>
  <c r="N98" i="9"/>
  <c r="AC98" i="9" s="1"/>
  <c r="N94" i="9"/>
  <c r="AC94" i="9" s="1"/>
  <c r="AI94" i="9" s="1"/>
  <c r="N90" i="9"/>
  <c r="AC90" i="9" s="1"/>
  <c r="N86" i="9"/>
  <c r="AC86" i="9" s="1"/>
  <c r="AI86" i="9" s="1"/>
  <c r="N82" i="9"/>
  <c r="AC82" i="9" s="1"/>
  <c r="N78" i="9"/>
  <c r="AC78" i="9" s="1"/>
  <c r="AI78" i="9" s="1"/>
  <c r="N74" i="9"/>
  <c r="AC74" i="9" s="1"/>
  <c r="N70" i="9"/>
  <c r="AC70" i="9" s="1"/>
  <c r="AE70" i="9" s="1"/>
  <c r="AT70" i="9" s="1"/>
  <c r="N66" i="9"/>
  <c r="AC66" i="9" s="1"/>
  <c r="N62" i="9"/>
  <c r="AC62" i="9" s="1"/>
  <c r="AE62" i="9" s="1"/>
  <c r="AT62" i="9" s="1"/>
  <c r="AC55" i="9"/>
  <c r="AC47" i="9"/>
  <c r="AI47" i="9" s="1"/>
  <c r="AC39" i="9"/>
  <c r="AE39" i="9" s="1"/>
  <c r="AT39" i="9" s="1"/>
  <c r="N33" i="9"/>
  <c r="AC33" i="9" s="1"/>
  <c r="AG33" i="9" s="1"/>
  <c r="N29" i="9"/>
  <c r="AC29" i="9" s="1"/>
  <c r="AI29" i="9" s="1"/>
  <c r="N25" i="9"/>
  <c r="AC25" i="9" s="1"/>
  <c r="AI25" i="9" s="1"/>
  <c r="N21" i="9"/>
  <c r="AC21" i="9" s="1"/>
  <c r="AI21" i="9" s="1"/>
  <c r="N17" i="9"/>
  <c r="AC17" i="9" s="1"/>
  <c r="AG17" i="9" s="1"/>
  <c r="N13" i="9"/>
  <c r="AC13" i="9" s="1"/>
  <c r="AG13" i="9" s="1"/>
  <c r="N9" i="9"/>
  <c r="AC9" i="9" s="1"/>
  <c r="AG9" i="9" s="1"/>
  <c r="AC58" i="9"/>
  <c r="AE58" i="9" s="1"/>
  <c r="AT58" i="9" s="1"/>
  <c r="AC50" i="9"/>
  <c r="AC42" i="9"/>
  <c r="AI42" i="9" s="1"/>
  <c r="AC205" i="9"/>
  <c r="AE205" i="9" s="1"/>
  <c r="AT205" i="9" s="1"/>
  <c r="AC195" i="9"/>
  <c r="AI195" i="9" s="1"/>
  <c r="AC181" i="9"/>
  <c r="N173" i="9"/>
  <c r="AC173" i="9" s="1"/>
  <c r="N127" i="9"/>
  <c r="AC127" i="9" s="1"/>
  <c r="AI127" i="9" s="1"/>
  <c r="N121" i="9"/>
  <c r="AC121" i="9" s="1"/>
  <c r="AG121" i="9" s="1"/>
  <c r="N296" i="9"/>
  <c r="AC296" i="9" s="1"/>
  <c r="AG296" i="9" s="1"/>
  <c r="N278" i="9"/>
  <c r="AC278" i="9" s="1"/>
  <c r="AG278" i="9" s="1"/>
  <c r="N288" i="9"/>
  <c r="AC288" i="9" s="1"/>
  <c r="AG288" i="9" s="1"/>
  <c r="N221" i="9"/>
  <c r="AC221" i="9" s="1"/>
  <c r="AI221" i="9" s="1"/>
  <c r="N193" i="9"/>
  <c r="AC193" i="9" s="1"/>
  <c r="AI193" i="9" s="1"/>
  <c r="N184" i="9"/>
  <c r="AC184" i="9" s="1"/>
  <c r="AI184" i="9" s="1"/>
  <c r="N293" i="9"/>
  <c r="AC293" i="9" s="1"/>
  <c r="AE293" i="9" s="1"/>
  <c r="AT293" i="9" s="1"/>
  <c r="N253" i="9"/>
  <c r="AC253" i="9" s="1"/>
  <c r="AE253" i="9" s="1"/>
  <c r="AT253" i="9" s="1"/>
  <c r="N245" i="9"/>
  <c r="AC245" i="9" s="1"/>
  <c r="N237" i="9"/>
  <c r="AC237" i="9" s="1"/>
  <c r="AE237" i="9" s="1"/>
  <c r="AT237" i="9" s="1"/>
  <c r="N229" i="9"/>
  <c r="AC229" i="9" s="1"/>
  <c r="AC216" i="9"/>
  <c r="AE216" i="9" s="1"/>
  <c r="AT216" i="9" s="1"/>
  <c r="AC206" i="9"/>
  <c r="N196" i="9"/>
  <c r="AC196" i="9" s="1"/>
  <c r="AI196" i="9" s="1"/>
  <c r="N166" i="9"/>
  <c r="AC166" i="9" s="1"/>
  <c r="N144" i="9"/>
  <c r="AC144" i="9" s="1"/>
  <c r="AI144" i="9" s="1"/>
  <c r="N128" i="9"/>
  <c r="AC128" i="9" s="1"/>
  <c r="AI128" i="9" s="1"/>
  <c r="N248" i="9"/>
  <c r="AC248" i="9" s="1"/>
  <c r="N232" i="9"/>
  <c r="AC232" i="9" s="1"/>
  <c r="N213" i="9"/>
  <c r="AC213" i="9" s="1"/>
  <c r="AG213" i="9" s="1"/>
  <c r="N194" i="9"/>
  <c r="AC194" i="9" s="1"/>
  <c r="AC175" i="9"/>
  <c r="AI175" i="9" s="1"/>
  <c r="N148" i="9"/>
  <c r="AC148" i="9" s="1"/>
  <c r="N287" i="9"/>
  <c r="AC287" i="9" s="1"/>
  <c r="AE287" i="9" s="1"/>
  <c r="AT287" i="9" s="1"/>
  <c r="N238" i="9"/>
  <c r="AC238" i="9" s="1"/>
  <c r="AG238" i="9" s="1"/>
  <c r="AC203" i="9"/>
  <c r="N192" i="9"/>
  <c r="AC192" i="9" s="1"/>
  <c r="AI192" i="9" s="1"/>
  <c r="N145" i="9"/>
  <c r="AC145" i="9" s="1"/>
  <c r="AI145" i="9" s="1"/>
  <c r="AC119" i="9"/>
  <c r="AE119" i="9" s="1"/>
  <c r="AT119" i="9" s="1"/>
  <c r="N156" i="9"/>
  <c r="AC156" i="9" s="1"/>
  <c r="AI156" i="9" s="1"/>
  <c r="N117" i="9"/>
  <c r="AC117" i="9" s="1"/>
  <c r="AC317" i="9"/>
  <c r="AI317" i="9" s="1"/>
  <c r="AC313" i="9"/>
  <c r="AD313" i="9" s="1"/>
  <c r="N310" i="9"/>
  <c r="AC310" i="9" s="1"/>
  <c r="AD310" i="9" s="1"/>
  <c r="N305" i="9"/>
  <c r="AC305" i="9" s="1"/>
  <c r="AC301" i="9"/>
  <c r="N273" i="9"/>
  <c r="AC273" i="9" s="1"/>
  <c r="AE273" i="9" s="1"/>
  <c r="AT273" i="9" s="1"/>
  <c r="N265" i="9"/>
  <c r="AC265" i="9" s="1"/>
  <c r="N257" i="9"/>
  <c r="AC257" i="9" s="1"/>
  <c r="AI257" i="9" s="1"/>
  <c r="N266" i="9"/>
  <c r="AC266" i="9" s="1"/>
  <c r="AE266" i="9" s="1"/>
  <c r="AT266" i="9" s="1"/>
  <c r="AC258" i="9"/>
  <c r="AE258" i="9" s="1"/>
  <c r="AT258" i="9" s="1"/>
  <c r="N111" i="9"/>
  <c r="AC111" i="9" s="1"/>
  <c r="AI111" i="9" s="1"/>
  <c r="N107" i="9"/>
  <c r="AC107" i="9" s="1"/>
  <c r="AE107" i="9" s="1"/>
  <c r="AT107" i="9" s="1"/>
  <c r="N103" i="9"/>
  <c r="AC103" i="9" s="1"/>
  <c r="AE103" i="9" s="1"/>
  <c r="AT103" i="9" s="1"/>
  <c r="AC99" i="9"/>
  <c r="AC95" i="9"/>
  <c r="AE95" i="9" s="1"/>
  <c r="AT95" i="9" s="1"/>
  <c r="AC91" i="9"/>
  <c r="AE91" i="9" s="1"/>
  <c r="AT91" i="9" s="1"/>
  <c r="AC87" i="9"/>
  <c r="AE87" i="9" s="1"/>
  <c r="AT87" i="9" s="1"/>
  <c r="N83" i="9"/>
  <c r="AC83" i="9" s="1"/>
  <c r="AI83" i="9" s="1"/>
  <c r="N79" i="9"/>
  <c r="AC79" i="9" s="1"/>
  <c r="N75" i="9"/>
  <c r="AC75" i="9" s="1"/>
  <c r="AI75" i="9" s="1"/>
  <c r="N71" i="9"/>
  <c r="AC71" i="9" s="1"/>
  <c r="N67" i="9"/>
  <c r="AC67" i="9" s="1"/>
  <c r="AI67" i="9" s="1"/>
  <c r="N63" i="9"/>
  <c r="AC63" i="9" s="1"/>
  <c r="N57" i="9"/>
  <c r="AC57" i="9" s="1"/>
  <c r="AI57" i="9" s="1"/>
  <c r="N49" i="9"/>
  <c r="AC49" i="9" s="1"/>
  <c r="N41" i="9"/>
  <c r="AC41" i="9" s="1"/>
  <c r="AI41" i="9" s="1"/>
  <c r="N34" i="9"/>
  <c r="AC34" i="9" s="1"/>
  <c r="N30" i="9"/>
  <c r="AC30" i="9" s="1"/>
  <c r="AI30" i="9" s="1"/>
  <c r="N26" i="9"/>
  <c r="AC26" i="9" s="1"/>
  <c r="N22" i="9"/>
  <c r="AC22" i="9" s="1"/>
  <c r="AI22" i="9" s="1"/>
  <c r="N18" i="9"/>
  <c r="AC18" i="9" s="1"/>
  <c r="N14" i="9"/>
  <c r="AC14" i="9" s="1"/>
  <c r="AI14" i="9" s="1"/>
  <c r="N10" i="9"/>
  <c r="AC10" i="9" s="1"/>
  <c r="AC60" i="9"/>
  <c r="AC52" i="9"/>
  <c r="AC44" i="9"/>
  <c r="AC36" i="9"/>
  <c r="AI36" i="9" s="1"/>
  <c r="N214" i="9"/>
  <c r="AC214" i="9" s="1"/>
  <c r="N169" i="9"/>
  <c r="AC169" i="9" s="1"/>
  <c r="AC159" i="9"/>
  <c r="N153" i="9"/>
  <c r="AC153" i="9" s="1"/>
  <c r="AG153" i="9" s="1"/>
  <c r="AC139" i="9"/>
  <c r="AI139" i="9" s="1"/>
  <c r="N118" i="9"/>
  <c r="AC118" i="9" s="1"/>
  <c r="AI118" i="9" s="1"/>
  <c r="N295" i="9"/>
  <c r="AC295" i="9" s="1"/>
  <c r="AE295" i="9" s="1"/>
  <c r="AT295" i="9" s="1"/>
  <c r="N276" i="9"/>
  <c r="AC276" i="9" s="1"/>
  <c r="AI276" i="9" s="1"/>
  <c r="N286" i="9"/>
  <c r="AC286" i="9" s="1"/>
  <c r="N219" i="9"/>
  <c r="AC219" i="9" s="1"/>
  <c r="AE219" i="9" s="1"/>
  <c r="AT219" i="9" s="1"/>
  <c r="AC191" i="9"/>
  <c r="N289" i="9"/>
  <c r="AC289" i="9" s="1"/>
  <c r="AE289" i="9" s="1"/>
  <c r="AT289" i="9" s="1"/>
  <c r="N251" i="9"/>
  <c r="AC251" i="9" s="1"/>
  <c r="N243" i="9"/>
  <c r="AC243" i="9" s="1"/>
  <c r="AE243" i="9" s="1"/>
  <c r="AT243" i="9" s="1"/>
  <c r="N235" i="9"/>
  <c r="AC235" i="9" s="1"/>
  <c r="AE235" i="9" s="1"/>
  <c r="AT235" i="9" s="1"/>
  <c r="N227" i="9"/>
  <c r="AC227" i="9" s="1"/>
  <c r="AC212" i="9"/>
  <c r="AC202" i="9"/>
  <c r="N189" i="9"/>
  <c r="AC189" i="9" s="1"/>
  <c r="AC183" i="9"/>
  <c r="AI183" i="9" s="1"/>
  <c r="AC171" i="9"/>
  <c r="AI171" i="9" s="1"/>
  <c r="N152" i="9"/>
  <c r="AC152" i="9" s="1"/>
  <c r="AI152" i="9" s="1"/>
  <c r="AC135" i="9"/>
  <c r="AI135" i="9" s="1"/>
  <c r="N291" i="9"/>
  <c r="AC291" i="9" s="1"/>
  <c r="N244" i="9"/>
  <c r="AC244" i="9" s="1"/>
  <c r="AG244" i="9" s="1"/>
  <c r="N228" i="9"/>
  <c r="AC228" i="9" s="1"/>
  <c r="AG228" i="9" s="1"/>
  <c r="AC211" i="9"/>
  <c r="AE211" i="9" s="1"/>
  <c r="AT211" i="9" s="1"/>
  <c r="N172" i="9"/>
  <c r="AC172" i="9" s="1"/>
  <c r="AI172" i="9" s="1"/>
  <c r="AC151" i="9"/>
  <c r="AI151" i="9" s="1"/>
  <c r="AC133" i="9"/>
  <c r="AE133" i="9" s="1"/>
  <c r="AT133" i="9" s="1"/>
  <c r="N250" i="9"/>
  <c r="AC250" i="9" s="1"/>
  <c r="N234" i="9"/>
  <c r="AC234" i="9" s="1"/>
  <c r="N217" i="9"/>
  <c r="AC217" i="9" s="1"/>
  <c r="AG217" i="9" s="1"/>
  <c r="AC197" i="9"/>
  <c r="AE197" i="9" s="1"/>
  <c r="AT197" i="9" s="1"/>
  <c r="N138" i="9"/>
  <c r="AC138" i="9" s="1"/>
  <c r="N182" i="9"/>
  <c r="AC182" i="9" s="1"/>
  <c r="N150" i="9"/>
  <c r="AC150" i="9" s="1"/>
  <c r="N115" i="9"/>
  <c r="AC115" i="9" s="1"/>
  <c r="AG115" i="9" s="1"/>
  <c r="AC147" i="9"/>
  <c r="AI147" i="9" s="1"/>
  <c r="N275" i="9"/>
  <c r="AC275" i="9" s="1"/>
  <c r="AE275" i="9" s="1"/>
  <c r="AT275" i="9" s="1"/>
  <c r="N279" i="9"/>
  <c r="AC279" i="9" s="1"/>
  <c r="AI279" i="9" s="1"/>
  <c r="AG6" i="9"/>
  <c r="AD6" i="9"/>
  <c r="AI6" i="9"/>
  <c r="AA4" i="9"/>
  <c r="AB4" i="9" s="1"/>
  <c r="Y4" i="9"/>
  <c r="X4" i="9"/>
  <c r="AD4" i="9"/>
  <c r="AF4" i="9"/>
  <c r="AH4" i="9"/>
  <c r="AL4" i="9"/>
  <c r="AG4" i="9"/>
  <c r="AI4" i="9"/>
  <c r="AI40" i="9" l="1"/>
  <c r="AI125" i="9"/>
  <c r="AI201" i="9"/>
  <c r="AE280" i="9"/>
  <c r="AT280" i="9" s="1"/>
  <c r="AE125" i="9"/>
  <c r="AT125" i="9" s="1"/>
  <c r="AE307" i="9"/>
  <c r="AT307" i="9" s="1"/>
  <c r="AI262" i="9"/>
  <c r="AE19" i="9"/>
  <c r="AT19" i="9" s="1"/>
  <c r="AE109" i="9"/>
  <c r="AT109" i="9" s="1"/>
  <c r="AE93" i="9"/>
  <c r="AT93" i="9" s="1"/>
  <c r="AE85" i="9"/>
  <c r="AT85" i="9" s="1"/>
  <c r="AI11" i="9"/>
  <c r="AI300" i="9"/>
  <c r="AI51" i="9"/>
  <c r="AE32" i="9"/>
  <c r="AT32" i="9" s="1"/>
  <c r="AE315" i="9"/>
  <c r="AT315" i="9" s="1"/>
  <c r="AI112" i="9"/>
  <c r="AE80" i="9"/>
  <c r="AT80" i="9" s="1"/>
  <c r="AE267" i="9"/>
  <c r="AT267" i="9" s="1"/>
  <c r="AI72" i="9"/>
  <c r="AE261" i="9"/>
  <c r="AT261" i="9" s="1"/>
  <c r="AE131" i="9"/>
  <c r="AT131" i="9" s="1"/>
  <c r="AE187" i="9"/>
  <c r="AT187" i="9" s="1"/>
  <c r="AE210" i="9"/>
  <c r="AT210" i="9" s="1"/>
  <c r="AE129" i="9"/>
  <c r="AT129" i="9" s="1"/>
  <c r="AI218" i="9"/>
  <c r="AI233" i="9"/>
  <c r="AI249" i="9"/>
  <c r="AI143" i="9"/>
  <c r="AE249" i="9"/>
  <c r="AT249" i="9" s="1"/>
  <c r="AE215" i="9"/>
  <c r="AT215" i="9" s="1"/>
  <c r="AI132" i="9"/>
  <c r="AI114" i="9"/>
  <c r="AE27" i="9"/>
  <c r="AT27" i="9" s="1"/>
  <c r="AE11" i="9"/>
  <c r="AT11" i="9" s="1"/>
  <c r="AI48" i="9"/>
  <c r="AI96" i="9"/>
  <c r="AI19" i="9"/>
  <c r="AE306" i="9"/>
  <c r="AT306" i="9" s="1"/>
  <c r="AI101" i="9"/>
  <c r="AE24" i="9"/>
  <c r="AT24" i="9" s="1"/>
  <c r="AE8" i="9"/>
  <c r="AT8" i="9" s="1"/>
  <c r="AE112" i="9"/>
  <c r="AT112" i="9" s="1"/>
  <c r="AE88" i="9"/>
  <c r="AT88" i="9" s="1"/>
  <c r="AE72" i="9"/>
  <c r="AT72" i="9" s="1"/>
  <c r="AI261" i="9"/>
  <c r="AI104" i="9"/>
  <c r="AI64" i="9"/>
  <c r="AI149" i="9"/>
  <c r="AE220" i="9"/>
  <c r="AT220" i="9" s="1"/>
  <c r="AI281" i="9"/>
  <c r="AI198" i="9"/>
  <c r="AI129" i="9"/>
  <c r="AI136" i="9"/>
  <c r="AI164" i="9"/>
  <c r="AE114" i="9"/>
  <c r="AT114" i="9" s="1"/>
  <c r="BD275" i="9"/>
  <c r="AS275" i="9"/>
  <c r="AU275" i="9"/>
  <c r="AV275" i="9"/>
  <c r="AW275" i="9" s="1"/>
  <c r="AZ275" i="9"/>
  <c r="AU197" i="9"/>
  <c r="BD197" i="9"/>
  <c r="AS197" i="9"/>
  <c r="AZ197" i="9"/>
  <c r="AV197" i="9"/>
  <c r="AW197" i="9" s="1"/>
  <c r="AS289" i="9"/>
  <c r="AU289" i="9"/>
  <c r="BD289" i="9"/>
  <c r="AV289" i="9"/>
  <c r="AW289" i="9" s="1"/>
  <c r="AZ289" i="9"/>
  <c r="AS87" i="9"/>
  <c r="AU87" i="9"/>
  <c r="BD87" i="9"/>
  <c r="AV87" i="9"/>
  <c r="AW87" i="9" s="1"/>
  <c r="AZ87" i="9"/>
  <c r="AS103" i="9"/>
  <c r="AU103" i="9"/>
  <c r="BD103" i="9"/>
  <c r="AV103" i="9"/>
  <c r="AW103" i="9" s="1"/>
  <c r="AZ103" i="9"/>
  <c r="BD266" i="9"/>
  <c r="AS266" i="9"/>
  <c r="AU266" i="9"/>
  <c r="AV266" i="9"/>
  <c r="AW266" i="9" s="1"/>
  <c r="AZ266" i="9"/>
  <c r="AS287" i="9"/>
  <c r="AU287" i="9"/>
  <c r="BD287" i="9"/>
  <c r="AV287" i="9"/>
  <c r="AW287" i="9" s="1"/>
  <c r="AZ287" i="9"/>
  <c r="AS216" i="9"/>
  <c r="BD216" i="9"/>
  <c r="AU216" i="9"/>
  <c r="AV216" i="9"/>
  <c r="AW216" i="9" s="1"/>
  <c r="AZ216" i="9"/>
  <c r="AU237" i="9"/>
  <c r="BD237" i="9"/>
  <c r="AS237" i="9"/>
  <c r="AZ237" i="9"/>
  <c r="AV237" i="9"/>
  <c r="AW237" i="9" s="1"/>
  <c r="BD253" i="9"/>
  <c r="AS253" i="9"/>
  <c r="AU253" i="9"/>
  <c r="AZ253" i="9"/>
  <c r="AV253" i="9"/>
  <c r="AW253" i="9" s="1"/>
  <c r="AU58" i="9"/>
  <c r="AS58" i="9"/>
  <c r="AV58" i="9"/>
  <c r="AW58" i="9" s="1"/>
  <c r="AZ58" i="9"/>
  <c r="AS39" i="9"/>
  <c r="BD39" i="9"/>
  <c r="AU39" i="9"/>
  <c r="AV39" i="9"/>
  <c r="AW39" i="9" s="1"/>
  <c r="AZ39" i="9"/>
  <c r="AU260" i="9"/>
  <c r="BD260" i="9"/>
  <c r="AS260" i="9"/>
  <c r="AZ260" i="9"/>
  <c r="AV260" i="9"/>
  <c r="AW260" i="9" s="1"/>
  <c r="BD6" i="9"/>
  <c r="AU6" i="9"/>
  <c r="AS6" i="9"/>
  <c r="AZ6" i="9"/>
  <c r="AV6" i="9"/>
  <c r="AW6" i="9" s="1"/>
  <c r="AU256" i="9"/>
  <c r="BD256" i="9"/>
  <c r="AS256" i="9"/>
  <c r="AZ256" i="9"/>
  <c r="AV256" i="9"/>
  <c r="AW256" i="9" s="1"/>
  <c r="AS27" i="9"/>
  <c r="AU27" i="9"/>
  <c r="AV27" i="9"/>
  <c r="AW27" i="9" s="1"/>
  <c r="AZ27" i="9"/>
  <c r="AS11" i="9"/>
  <c r="BD11" i="9"/>
  <c r="AU11" i="9"/>
  <c r="AV11" i="9"/>
  <c r="AW11" i="9" s="1"/>
  <c r="AZ11" i="9"/>
  <c r="AU38" i="9"/>
  <c r="AS38" i="9"/>
  <c r="AV38" i="9"/>
  <c r="AW38" i="9" s="1"/>
  <c r="AZ38" i="9"/>
  <c r="AS300" i="9"/>
  <c r="AU300" i="9"/>
  <c r="BD300" i="9"/>
  <c r="AZ300" i="9"/>
  <c r="AV300" i="9"/>
  <c r="AW300" i="9" s="1"/>
  <c r="AS97" i="9"/>
  <c r="AU97" i="9"/>
  <c r="BD97" i="9"/>
  <c r="AV97" i="9"/>
  <c r="AW97" i="9" s="1"/>
  <c r="AZ97" i="9"/>
  <c r="AS89" i="9"/>
  <c r="AU89" i="9"/>
  <c r="BD89" i="9"/>
  <c r="AV89" i="9"/>
  <c r="AW89" i="9" s="1"/>
  <c r="AZ89" i="9"/>
  <c r="AS77" i="9"/>
  <c r="AU77" i="9"/>
  <c r="AV77" i="9"/>
  <c r="AW77" i="9" s="1"/>
  <c r="AZ77" i="9"/>
  <c r="AS43" i="9"/>
  <c r="AU43" i="9"/>
  <c r="AV43" i="9"/>
  <c r="AW43" i="9" s="1"/>
  <c r="AZ43" i="9"/>
  <c r="BD262" i="9"/>
  <c r="AS262" i="9"/>
  <c r="AU262" i="9"/>
  <c r="AZ262" i="9"/>
  <c r="AV262" i="9"/>
  <c r="AW262" i="9" s="1"/>
  <c r="AU56" i="9"/>
  <c r="AS56" i="9"/>
  <c r="AV56" i="9"/>
  <c r="AW56" i="9" s="1"/>
  <c r="AZ56" i="9"/>
  <c r="BD48" i="9"/>
  <c r="AU48" i="9"/>
  <c r="AS48" i="9"/>
  <c r="AV48" i="9"/>
  <c r="AW48" i="9" s="1"/>
  <c r="AZ48" i="9"/>
  <c r="AS308" i="9"/>
  <c r="AU308" i="9"/>
  <c r="BD308" i="9"/>
  <c r="AZ308" i="9"/>
  <c r="AV308" i="9"/>
  <c r="AW308" i="9" s="1"/>
  <c r="AS306" i="9"/>
  <c r="AU306" i="9"/>
  <c r="BD306" i="9"/>
  <c r="AV306" i="9"/>
  <c r="AW306" i="9" s="1"/>
  <c r="AZ306" i="9"/>
  <c r="AU24" i="9"/>
  <c r="AS24" i="9"/>
  <c r="AV24" i="9"/>
  <c r="AW24" i="9" s="1"/>
  <c r="AZ24" i="9"/>
  <c r="BD8" i="9"/>
  <c r="AU8" i="9"/>
  <c r="AS8" i="9"/>
  <c r="AV8" i="9"/>
  <c r="AW8" i="9" s="1"/>
  <c r="AZ8" i="9"/>
  <c r="AS298" i="9"/>
  <c r="AU298" i="9"/>
  <c r="BD298" i="9"/>
  <c r="AV298" i="9"/>
  <c r="AW298" i="9" s="1"/>
  <c r="AZ298" i="9"/>
  <c r="AU112" i="9"/>
  <c r="BD112" i="9"/>
  <c r="AS112" i="9"/>
  <c r="AV112" i="9"/>
  <c r="AW112" i="9" s="1"/>
  <c r="AZ112" i="9"/>
  <c r="AU88" i="9"/>
  <c r="BD88" i="9"/>
  <c r="AS88" i="9"/>
  <c r="AV88" i="9"/>
  <c r="AW88" i="9" s="1"/>
  <c r="AZ88" i="9"/>
  <c r="AU72" i="9"/>
  <c r="AS72" i="9"/>
  <c r="AV72" i="9"/>
  <c r="AW72" i="9" s="1"/>
  <c r="AZ72" i="9"/>
  <c r="BD271" i="9"/>
  <c r="AS271" i="9"/>
  <c r="AU271" i="9"/>
  <c r="AV271" i="9"/>
  <c r="AW271" i="9" s="1"/>
  <c r="AZ271" i="9"/>
  <c r="AS61" i="9"/>
  <c r="AU61" i="9"/>
  <c r="AV61" i="9"/>
  <c r="AW61" i="9" s="1"/>
  <c r="AZ61" i="9"/>
  <c r="AS220" i="9"/>
  <c r="BD220" i="9"/>
  <c r="AU220" i="9"/>
  <c r="AV220" i="9"/>
  <c r="AW220" i="9" s="1"/>
  <c r="AZ220" i="9"/>
  <c r="AS280" i="9"/>
  <c r="AU280" i="9"/>
  <c r="BD280" i="9"/>
  <c r="AZ280" i="9"/>
  <c r="AV280" i="9"/>
  <c r="AW280" i="9" s="1"/>
  <c r="AU177" i="9"/>
  <c r="BD177" i="9"/>
  <c r="AS177" i="9"/>
  <c r="AV177" i="9"/>
  <c r="AW177" i="9" s="1"/>
  <c r="AZ177" i="9"/>
  <c r="AS230" i="9"/>
  <c r="AU230" i="9"/>
  <c r="BD230" i="9"/>
  <c r="AV230" i="9"/>
  <c r="AW230" i="9" s="1"/>
  <c r="AZ230" i="9"/>
  <c r="AS242" i="9"/>
  <c r="AU242" i="9"/>
  <c r="BD242" i="9"/>
  <c r="AZ242" i="9"/>
  <c r="AV242" i="9"/>
  <c r="AW242" i="9" s="1"/>
  <c r="BD149" i="9"/>
  <c r="AU149" i="9"/>
  <c r="AS149" i="9"/>
  <c r="AZ149" i="9"/>
  <c r="AV149" i="9"/>
  <c r="AW149" i="9" s="1"/>
  <c r="AU201" i="9"/>
  <c r="BD201" i="9"/>
  <c r="AS201" i="9"/>
  <c r="AV201" i="9"/>
  <c r="AW201" i="9" s="1"/>
  <c r="AZ201" i="9"/>
  <c r="AS218" i="9"/>
  <c r="BD218" i="9"/>
  <c r="AU218" i="9"/>
  <c r="AZ218" i="9"/>
  <c r="AV218" i="9"/>
  <c r="AW218" i="9" s="1"/>
  <c r="AS283" i="9"/>
  <c r="AU283" i="9"/>
  <c r="BD283" i="9"/>
  <c r="AV283" i="9"/>
  <c r="AW283" i="9" s="1"/>
  <c r="AZ283" i="9"/>
  <c r="AU124" i="9"/>
  <c r="BD124" i="9"/>
  <c r="AS124" i="9"/>
  <c r="AV124" i="9"/>
  <c r="AW124" i="9" s="1"/>
  <c r="AZ124" i="9"/>
  <c r="AS142" i="9"/>
  <c r="BD142" i="9"/>
  <c r="AU142" i="9"/>
  <c r="AV142" i="9"/>
  <c r="AW142" i="9" s="1"/>
  <c r="AZ142" i="9"/>
  <c r="AS136" i="9"/>
  <c r="BD136" i="9"/>
  <c r="AU136" i="9"/>
  <c r="AV136" i="9"/>
  <c r="AW136" i="9" s="1"/>
  <c r="AZ136" i="9"/>
  <c r="AU132" i="9"/>
  <c r="BD132" i="9"/>
  <c r="AS132" i="9"/>
  <c r="AV132" i="9"/>
  <c r="AW132" i="9" s="1"/>
  <c r="AZ132" i="9"/>
  <c r="AU114" i="9"/>
  <c r="BD114" i="9"/>
  <c r="AS114" i="9"/>
  <c r="AV114" i="9"/>
  <c r="AW114" i="9" s="1"/>
  <c r="AZ114" i="9"/>
  <c r="AU126" i="9"/>
  <c r="BD126" i="9"/>
  <c r="AS126" i="9"/>
  <c r="AV126" i="9"/>
  <c r="AW126" i="9" s="1"/>
  <c r="AZ126" i="9"/>
  <c r="AS186" i="9"/>
  <c r="AU186" i="9"/>
  <c r="BD186" i="9"/>
  <c r="AZ186" i="9"/>
  <c r="AV186" i="9"/>
  <c r="AW186" i="9" s="1"/>
  <c r="AS155" i="9"/>
  <c r="BD155" i="9"/>
  <c r="AU155" i="9"/>
  <c r="AZ155" i="9"/>
  <c r="AV155" i="9"/>
  <c r="AW155" i="9" s="1"/>
  <c r="AS179" i="9"/>
  <c r="AU179" i="9"/>
  <c r="BD179" i="9"/>
  <c r="AZ179" i="9"/>
  <c r="AV179" i="9"/>
  <c r="AW179" i="9" s="1"/>
  <c r="BD40" i="9"/>
  <c r="AU40" i="9"/>
  <c r="AS40" i="9"/>
  <c r="AV40" i="9"/>
  <c r="AW40" i="9" s="1"/>
  <c r="AZ40" i="9"/>
  <c r="BD65" i="9"/>
  <c r="AS65" i="9"/>
  <c r="AU65" i="9"/>
  <c r="AV65" i="9"/>
  <c r="AW65" i="9" s="1"/>
  <c r="AZ65" i="9"/>
  <c r="AS73" i="9"/>
  <c r="AU73" i="9"/>
  <c r="BD73" i="9"/>
  <c r="AV73" i="9"/>
  <c r="AW73" i="9" s="1"/>
  <c r="AZ73" i="9"/>
  <c r="BD269" i="9"/>
  <c r="AS269" i="9"/>
  <c r="AU269" i="9"/>
  <c r="AZ269" i="9"/>
  <c r="AV269" i="9"/>
  <c r="AW269" i="9" s="1"/>
  <c r="AS303" i="9"/>
  <c r="AU303" i="9"/>
  <c r="BD303" i="9"/>
  <c r="AV303" i="9"/>
  <c r="AW303" i="9" s="1"/>
  <c r="AZ303" i="9"/>
  <c r="AS311" i="9"/>
  <c r="AU311" i="9"/>
  <c r="BD311" i="9"/>
  <c r="AV311" i="9"/>
  <c r="AW311" i="9" s="1"/>
  <c r="AZ311" i="9"/>
  <c r="AS285" i="9"/>
  <c r="AU285" i="9"/>
  <c r="BD285" i="9"/>
  <c r="AV285" i="9"/>
  <c r="AW285" i="9" s="1"/>
  <c r="AZ285" i="9"/>
  <c r="AS167" i="9"/>
  <c r="AU167" i="9"/>
  <c r="BD167" i="9"/>
  <c r="AZ167" i="9"/>
  <c r="AV167" i="9"/>
  <c r="AW167" i="9" s="1"/>
  <c r="AS59" i="9"/>
  <c r="AU59" i="9"/>
  <c r="AV59" i="9"/>
  <c r="AW59" i="9" s="1"/>
  <c r="AZ59" i="9"/>
  <c r="AS133" i="9"/>
  <c r="AU133" i="9"/>
  <c r="BD133" i="9"/>
  <c r="AV133" i="9"/>
  <c r="AW133" i="9" s="1"/>
  <c r="AZ133" i="9"/>
  <c r="AS243" i="9"/>
  <c r="AU243" i="9"/>
  <c r="BD243" i="9"/>
  <c r="AZ243" i="9"/>
  <c r="AV243" i="9"/>
  <c r="AW243" i="9" s="1"/>
  <c r="AS219" i="9"/>
  <c r="BD219" i="9"/>
  <c r="AU219" i="9"/>
  <c r="AZ219" i="9"/>
  <c r="AV219" i="9"/>
  <c r="AW219" i="9" s="1"/>
  <c r="AS95" i="9"/>
  <c r="AU95" i="9"/>
  <c r="BD95" i="9"/>
  <c r="AV95" i="9"/>
  <c r="AW95" i="9" s="1"/>
  <c r="AZ95" i="9"/>
  <c r="AS211" i="9"/>
  <c r="BD211" i="9"/>
  <c r="AU211" i="9"/>
  <c r="AZ211" i="9"/>
  <c r="AV211" i="9"/>
  <c r="AW211" i="9" s="1"/>
  <c r="AS235" i="9"/>
  <c r="AU235" i="9"/>
  <c r="BD235" i="9"/>
  <c r="AZ235" i="9"/>
  <c r="AV235" i="9"/>
  <c r="AW235" i="9" s="1"/>
  <c r="AS295" i="9"/>
  <c r="AU295" i="9"/>
  <c r="BD295" i="9"/>
  <c r="AV295" i="9"/>
  <c r="AW295" i="9" s="1"/>
  <c r="AZ295" i="9"/>
  <c r="AS91" i="9"/>
  <c r="AU91" i="9"/>
  <c r="BD91" i="9"/>
  <c r="AV91" i="9"/>
  <c r="AW91" i="9" s="1"/>
  <c r="AZ91" i="9"/>
  <c r="AS107" i="9"/>
  <c r="AU107" i="9"/>
  <c r="BD107" i="9"/>
  <c r="AV107" i="9"/>
  <c r="AW107" i="9" s="1"/>
  <c r="AZ107" i="9"/>
  <c r="BD258" i="9"/>
  <c r="AS258" i="9"/>
  <c r="AU258" i="9"/>
  <c r="AV258" i="9"/>
  <c r="AW258" i="9" s="1"/>
  <c r="AZ258" i="9"/>
  <c r="BD273" i="9"/>
  <c r="AS273" i="9"/>
  <c r="AU273" i="9"/>
  <c r="AV273" i="9"/>
  <c r="AW273" i="9" s="1"/>
  <c r="AZ273" i="9"/>
  <c r="AS119" i="9"/>
  <c r="AU119" i="9"/>
  <c r="BD119" i="9"/>
  <c r="AV119" i="9"/>
  <c r="AW119" i="9" s="1"/>
  <c r="AZ119" i="9"/>
  <c r="AS293" i="9"/>
  <c r="AU293" i="9"/>
  <c r="BD293" i="9"/>
  <c r="AV293" i="9"/>
  <c r="AW293" i="9" s="1"/>
  <c r="AZ293" i="9"/>
  <c r="AU205" i="9"/>
  <c r="BD205" i="9"/>
  <c r="AS205" i="9"/>
  <c r="AZ205" i="9"/>
  <c r="AV205" i="9"/>
  <c r="AW205" i="9" s="1"/>
  <c r="AU62" i="9"/>
  <c r="AS62" i="9"/>
  <c r="AV62" i="9"/>
  <c r="AW62" i="9" s="1"/>
  <c r="AZ62" i="9"/>
  <c r="AU70" i="9"/>
  <c r="AS70" i="9"/>
  <c r="AV70" i="9"/>
  <c r="AW70" i="9" s="1"/>
  <c r="AZ70" i="9"/>
  <c r="AS307" i="9"/>
  <c r="AU307" i="9"/>
  <c r="BD307" i="9"/>
  <c r="AV307" i="9"/>
  <c r="AW307" i="9" s="1"/>
  <c r="AZ307" i="9"/>
  <c r="AS31" i="9"/>
  <c r="BD31" i="9"/>
  <c r="AU31" i="9"/>
  <c r="AV31" i="9"/>
  <c r="AW31" i="9" s="1"/>
  <c r="AZ31" i="9"/>
  <c r="AS19" i="9"/>
  <c r="AU19" i="9"/>
  <c r="AV19" i="9"/>
  <c r="AW19" i="9" s="1"/>
  <c r="AZ19" i="9"/>
  <c r="AU54" i="9"/>
  <c r="AS54" i="9"/>
  <c r="AV54" i="9"/>
  <c r="AW54" i="9" s="1"/>
  <c r="AZ54" i="9"/>
  <c r="AS109" i="9"/>
  <c r="AU109" i="9"/>
  <c r="BD109" i="9"/>
  <c r="AV109" i="9"/>
  <c r="AW109" i="9" s="1"/>
  <c r="AZ109" i="9"/>
  <c r="AS93" i="9"/>
  <c r="AU93" i="9"/>
  <c r="BD93" i="9"/>
  <c r="AV93" i="9"/>
  <c r="AW93" i="9" s="1"/>
  <c r="AZ93" i="9"/>
  <c r="AS85" i="9"/>
  <c r="AU85" i="9"/>
  <c r="BD85" i="9"/>
  <c r="AV85" i="9"/>
  <c r="AW85" i="9" s="1"/>
  <c r="AZ85" i="9"/>
  <c r="AS51" i="9"/>
  <c r="AU51" i="9"/>
  <c r="AV51" i="9"/>
  <c r="AW51" i="9" s="1"/>
  <c r="AZ51" i="9"/>
  <c r="AS35" i="9"/>
  <c r="AU35" i="9"/>
  <c r="AV35" i="9"/>
  <c r="AW35" i="9" s="1"/>
  <c r="AZ35" i="9"/>
  <c r="BD270" i="9"/>
  <c r="AS270" i="9"/>
  <c r="AU270" i="9"/>
  <c r="AZ270" i="9"/>
  <c r="AV270" i="9"/>
  <c r="AW270" i="9" s="1"/>
  <c r="AU32" i="9"/>
  <c r="AS32" i="9"/>
  <c r="AV32" i="9"/>
  <c r="AW32" i="9" s="1"/>
  <c r="AZ32" i="9"/>
  <c r="AU16" i="9"/>
  <c r="AS16" i="9"/>
  <c r="AV16" i="9"/>
  <c r="AW16" i="9" s="1"/>
  <c r="AZ16" i="9"/>
  <c r="AS315" i="9"/>
  <c r="BD315" i="9"/>
  <c r="AU315" i="9"/>
  <c r="AV315" i="9"/>
  <c r="AW315" i="9" s="1"/>
  <c r="AZ315" i="9"/>
  <c r="AU104" i="9"/>
  <c r="BD104" i="9"/>
  <c r="AS104" i="9"/>
  <c r="AV104" i="9"/>
  <c r="AW104" i="9" s="1"/>
  <c r="AZ104" i="9"/>
  <c r="AU80" i="9"/>
  <c r="AS80" i="9"/>
  <c r="AV80" i="9"/>
  <c r="AW80" i="9" s="1"/>
  <c r="AZ80" i="9"/>
  <c r="BD64" i="9"/>
  <c r="AU64" i="9"/>
  <c r="AS64" i="9"/>
  <c r="AV64" i="9"/>
  <c r="AW64" i="9" s="1"/>
  <c r="AZ64" i="9"/>
  <c r="BD267" i="9"/>
  <c r="AS267" i="9"/>
  <c r="AU267" i="9"/>
  <c r="AV267" i="9"/>
  <c r="AW267" i="9" s="1"/>
  <c r="AZ267" i="9"/>
  <c r="AU268" i="9"/>
  <c r="BD268" i="9"/>
  <c r="AS268" i="9"/>
  <c r="AZ268" i="9"/>
  <c r="AV268" i="9"/>
  <c r="AW268" i="9" s="1"/>
  <c r="AS69" i="9"/>
  <c r="AU69" i="9"/>
  <c r="AV69" i="9"/>
  <c r="AW69" i="9" s="1"/>
  <c r="AZ69" i="9"/>
  <c r="BD261" i="9"/>
  <c r="AS261" i="9"/>
  <c r="AU261" i="9"/>
  <c r="AZ261" i="9"/>
  <c r="AV261" i="9"/>
  <c r="AW261" i="9" s="1"/>
  <c r="AS45" i="9"/>
  <c r="AU45" i="9"/>
  <c r="AV45" i="9"/>
  <c r="AW45" i="9" s="1"/>
  <c r="AZ45" i="9"/>
  <c r="AS131" i="9"/>
  <c r="AU131" i="9"/>
  <c r="BD131" i="9"/>
  <c r="AV131" i="9"/>
  <c r="AW131" i="9" s="1"/>
  <c r="AZ131" i="9"/>
  <c r="AS163" i="9"/>
  <c r="AU163" i="9"/>
  <c r="BD163" i="9"/>
  <c r="AZ163" i="9"/>
  <c r="AV163" i="9"/>
  <c r="AW163" i="9" s="1"/>
  <c r="AS187" i="9"/>
  <c r="AU187" i="9"/>
  <c r="BD187" i="9"/>
  <c r="AZ187" i="9"/>
  <c r="AV187" i="9"/>
  <c r="AW187" i="9" s="1"/>
  <c r="AS204" i="9"/>
  <c r="AU204" i="9"/>
  <c r="BD204" i="9"/>
  <c r="AV204" i="9"/>
  <c r="AW204" i="9" s="1"/>
  <c r="AZ204" i="9"/>
  <c r="AS210" i="9"/>
  <c r="BD210" i="9"/>
  <c r="AU210" i="9"/>
  <c r="AZ210" i="9"/>
  <c r="AV210" i="9"/>
  <c r="AW210" i="9" s="1"/>
  <c r="AS129" i="9"/>
  <c r="AU129" i="9"/>
  <c r="BD129" i="9"/>
  <c r="AV129" i="9"/>
  <c r="AW129" i="9" s="1"/>
  <c r="AZ129" i="9"/>
  <c r="AS292" i="9"/>
  <c r="AU292" i="9"/>
  <c r="BD292" i="9"/>
  <c r="AZ292" i="9"/>
  <c r="AV292" i="9"/>
  <c r="AW292" i="9" s="1"/>
  <c r="AS125" i="9"/>
  <c r="AU125" i="9"/>
  <c r="BD125" i="9"/>
  <c r="AV125" i="9"/>
  <c r="AW125" i="9" s="1"/>
  <c r="AZ125" i="9"/>
  <c r="AS199" i="9"/>
  <c r="AU199" i="9"/>
  <c r="BD199" i="9"/>
  <c r="AZ199" i="9"/>
  <c r="AV199" i="9"/>
  <c r="AW199" i="9" s="1"/>
  <c r="BD209" i="9"/>
  <c r="AU209" i="9"/>
  <c r="AS209" i="9"/>
  <c r="AV209" i="9"/>
  <c r="AW209" i="9" s="1"/>
  <c r="AZ209" i="9"/>
  <c r="AS113" i="9"/>
  <c r="AU113" i="9"/>
  <c r="BD113" i="9"/>
  <c r="AV113" i="9"/>
  <c r="AW113" i="9" s="1"/>
  <c r="AZ113" i="9"/>
  <c r="BD137" i="9"/>
  <c r="AU137" i="9"/>
  <c r="AS137" i="9"/>
  <c r="AV137" i="9"/>
  <c r="AW137" i="9" s="1"/>
  <c r="AZ137" i="9"/>
  <c r="AU225" i="9"/>
  <c r="BD225" i="9"/>
  <c r="AS225" i="9"/>
  <c r="AV225" i="9"/>
  <c r="AW225" i="9" s="1"/>
  <c r="AZ225" i="9"/>
  <c r="BD249" i="9"/>
  <c r="AS249" i="9"/>
  <c r="AU249" i="9"/>
  <c r="AV249" i="9"/>
  <c r="AW249" i="9" s="1"/>
  <c r="AZ249" i="9"/>
  <c r="AS215" i="9"/>
  <c r="BD215" i="9"/>
  <c r="AU215" i="9"/>
  <c r="AZ215" i="9"/>
  <c r="AV215" i="9"/>
  <c r="AW215" i="9" s="1"/>
  <c r="AS158" i="9"/>
  <c r="AU158" i="9"/>
  <c r="BD158" i="9"/>
  <c r="AV158" i="9"/>
  <c r="AW158" i="9" s="1"/>
  <c r="AZ158" i="9"/>
  <c r="AS168" i="9"/>
  <c r="AU168" i="9"/>
  <c r="BD168" i="9"/>
  <c r="AV168" i="9"/>
  <c r="AW168" i="9" s="1"/>
  <c r="AZ168" i="9"/>
  <c r="AS180" i="9"/>
  <c r="AU180" i="9"/>
  <c r="BD180" i="9"/>
  <c r="AV180" i="9"/>
  <c r="AW180" i="9" s="1"/>
  <c r="AZ180" i="9"/>
  <c r="AS198" i="9"/>
  <c r="AU198" i="9"/>
  <c r="BD198" i="9"/>
  <c r="AV198" i="9"/>
  <c r="AW198" i="9" s="1"/>
  <c r="AZ198" i="9"/>
  <c r="AS223" i="9"/>
  <c r="AU223" i="9"/>
  <c r="BD223" i="9"/>
  <c r="AZ223" i="9"/>
  <c r="AV223" i="9"/>
  <c r="AW223" i="9" s="1"/>
  <c r="AS143" i="9"/>
  <c r="BD143" i="9"/>
  <c r="AU143" i="9"/>
  <c r="AZ143" i="9"/>
  <c r="AV143" i="9"/>
  <c r="AW143" i="9" s="1"/>
  <c r="AS101" i="9"/>
  <c r="AU101" i="9"/>
  <c r="BD101" i="9"/>
  <c r="AV101" i="9"/>
  <c r="AW101" i="9" s="1"/>
  <c r="AZ101" i="9"/>
  <c r="AX131" i="9"/>
  <c r="AX129" i="9"/>
  <c r="AX215" i="9"/>
  <c r="AX109" i="9"/>
  <c r="AX261" i="9"/>
  <c r="AX249" i="9"/>
  <c r="AX114" i="9"/>
  <c r="AX11" i="9"/>
  <c r="AX19" i="9"/>
  <c r="AX27" i="9"/>
  <c r="AX51" i="9"/>
  <c r="AX64" i="9"/>
  <c r="AX72" i="9"/>
  <c r="AX80" i="9"/>
  <c r="AX88" i="9"/>
  <c r="AX104" i="9"/>
  <c r="AX112" i="9"/>
  <c r="AR336" i="9"/>
  <c r="AR462" i="9"/>
  <c r="AR320" i="9"/>
  <c r="AT439" i="9" s="1"/>
  <c r="BS319" i="9"/>
  <c r="BS318" i="9"/>
  <c r="BS317" i="9"/>
  <c r="BS316" i="9"/>
  <c r="BS315" i="9"/>
  <c r="BS314" i="9"/>
  <c r="BS313" i="9"/>
  <c r="BR318" i="9"/>
  <c r="BR316" i="9"/>
  <c r="BR314" i="9"/>
  <c r="BI313" i="9"/>
  <c r="BI312" i="9"/>
  <c r="BI311" i="9"/>
  <c r="BI310" i="9"/>
  <c r="BI309" i="9"/>
  <c r="BI308" i="9"/>
  <c r="BI307" i="9"/>
  <c r="BI306" i="9"/>
  <c r="BI305" i="9"/>
  <c r="BI304" i="9"/>
  <c r="BI303" i="9"/>
  <c r="BI302" i="9"/>
  <c r="BI301" i="9"/>
  <c r="BI300" i="9"/>
  <c r="BI299" i="9"/>
  <c r="BI298" i="9"/>
  <c r="BI297" i="9"/>
  <c r="BI296" i="9"/>
  <c r="BI295" i="9"/>
  <c r="BI294" i="9"/>
  <c r="BI293" i="9"/>
  <c r="BI292" i="9"/>
  <c r="BI291" i="9"/>
  <c r="BI290" i="9"/>
  <c r="BI289" i="9"/>
  <c r="BI288" i="9"/>
  <c r="BI287" i="9"/>
  <c r="BI286" i="9"/>
  <c r="BI285" i="9"/>
  <c r="BI284" i="9"/>
  <c r="BI283" i="9"/>
  <c r="BI282" i="9"/>
  <c r="BI281" i="9"/>
  <c r="BI280" i="9"/>
  <c r="BI279" i="9"/>
  <c r="BR311" i="9"/>
  <c r="BR309" i="9"/>
  <c r="BR307" i="9"/>
  <c r="BR305" i="9"/>
  <c r="BR303" i="9"/>
  <c r="BR301" i="9"/>
  <c r="BR299" i="9"/>
  <c r="BR297" i="9"/>
  <c r="BR295" i="9"/>
  <c r="BR293" i="9"/>
  <c r="BR291" i="9"/>
  <c r="BR289" i="9"/>
  <c r="BR287" i="9"/>
  <c r="BR285" i="9"/>
  <c r="BR283" i="9"/>
  <c r="BR281" i="9"/>
  <c r="BR279" i="9"/>
  <c r="BR277" i="9"/>
  <c r="BR275" i="9"/>
  <c r="BR273" i="9"/>
  <c r="BR271" i="9"/>
  <c r="BR269" i="9"/>
  <c r="BR267" i="9"/>
  <c r="BR265" i="9"/>
  <c r="BR263" i="9"/>
  <c r="BR261" i="9"/>
  <c r="BR259" i="9"/>
  <c r="BR257" i="9"/>
  <c r="BR255" i="9"/>
  <c r="BR253" i="9"/>
  <c r="BR251" i="9"/>
  <c r="BR249" i="9"/>
  <c r="BI319" i="9"/>
  <c r="BI318" i="9"/>
  <c r="BI317" i="9"/>
  <c r="BI316" i="9"/>
  <c r="BI315" i="9"/>
  <c r="BI314" i="9"/>
  <c r="BR319" i="9"/>
  <c r="BR317" i="9"/>
  <c r="BR315" i="9"/>
  <c r="BR313" i="9"/>
  <c r="BS312" i="9"/>
  <c r="BS311" i="9"/>
  <c r="BS310" i="9"/>
  <c r="BS309" i="9"/>
  <c r="BS308" i="9"/>
  <c r="BS307" i="9"/>
  <c r="BS306" i="9"/>
  <c r="BS305" i="9"/>
  <c r="BS304" i="9"/>
  <c r="BS303" i="9"/>
  <c r="BS302" i="9"/>
  <c r="BS301" i="9"/>
  <c r="BS300" i="9"/>
  <c r="BS298" i="9"/>
  <c r="BS296" i="9"/>
  <c r="BS294" i="9"/>
  <c r="BS292" i="9"/>
  <c r="BS290" i="9"/>
  <c r="BS288" i="9"/>
  <c r="BS286" i="9"/>
  <c r="BS284" i="9"/>
  <c r="BS282" i="9"/>
  <c r="BS280" i="9"/>
  <c r="BR312" i="9"/>
  <c r="BR308" i="9"/>
  <c r="BR304" i="9"/>
  <c r="BR300" i="9"/>
  <c r="BR296" i="9"/>
  <c r="BR292" i="9"/>
  <c r="BR288" i="9"/>
  <c r="BR284" i="9"/>
  <c r="BR280" i="9"/>
  <c r="BR276" i="9"/>
  <c r="BR272" i="9"/>
  <c r="BR268" i="9"/>
  <c r="BR264" i="9"/>
  <c r="BR260" i="9"/>
  <c r="BR256" i="9"/>
  <c r="BR252" i="9"/>
  <c r="BR248" i="9"/>
  <c r="BR246" i="9"/>
  <c r="BI278" i="9"/>
  <c r="BI276" i="9"/>
  <c r="BI274" i="9"/>
  <c r="BI272" i="9"/>
  <c r="BI270" i="9"/>
  <c r="BI268" i="9"/>
  <c r="BI266" i="9"/>
  <c r="BI264" i="9"/>
  <c r="BI262" i="9"/>
  <c r="BI260" i="9"/>
  <c r="BI258" i="9"/>
  <c r="BI256" i="9"/>
  <c r="BI254" i="9"/>
  <c r="BI252" i="9"/>
  <c r="BI250" i="9"/>
  <c r="BI248" i="9"/>
  <c r="BI246" i="9"/>
  <c r="BS244" i="9"/>
  <c r="BS243" i="9"/>
  <c r="BS242" i="9"/>
  <c r="BS241" i="9"/>
  <c r="BS240" i="9"/>
  <c r="BS239" i="9"/>
  <c r="BS238" i="9"/>
  <c r="BS237" i="9"/>
  <c r="BS236" i="9"/>
  <c r="BS235" i="9"/>
  <c r="BS234" i="9"/>
  <c r="BS233" i="9"/>
  <c r="BS232" i="9"/>
  <c r="BS231" i="9"/>
  <c r="BS230" i="9"/>
  <c r="BS229" i="9"/>
  <c r="BS228" i="9"/>
  <c r="BS227" i="9"/>
  <c r="BS226" i="9"/>
  <c r="BS225" i="9"/>
  <c r="BS224" i="9"/>
  <c r="BS223" i="9"/>
  <c r="BS222" i="9"/>
  <c r="BS278" i="9"/>
  <c r="BS276" i="9"/>
  <c r="BS274" i="9"/>
  <c r="BS272" i="9"/>
  <c r="BS270" i="9"/>
  <c r="BS268" i="9"/>
  <c r="BS266" i="9"/>
  <c r="BS264" i="9"/>
  <c r="BS262" i="9"/>
  <c r="BS260" i="9"/>
  <c r="BS258" i="9"/>
  <c r="BS256" i="9"/>
  <c r="BS299" i="9"/>
  <c r="BS297" i="9"/>
  <c r="BS295" i="9"/>
  <c r="BS293" i="9"/>
  <c r="BS291" i="9"/>
  <c r="BS289" i="9"/>
  <c r="BS287" i="9"/>
  <c r="BS285" i="9"/>
  <c r="BS283" i="9"/>
  <c r="BS281" i="9"/>
  <c r="BS279" i="9"/>
  <c r="BR310" i="9"/>
  <c r="BR306" i="9"/>
  <c r="BR302" i="9"/>
  <c r="BR298" i="9"/>
  <c r="BR294" i="9"/>
  <c r="BR290" i="9"/>
  <c r="BR286" i="9"/>
  <c r="BR282" i="9"/>
  <c r="BR278" i="9"/>
  <c r="BR274" i="9"/>
  <c r="BR270" i="9"/>
  <c r="BR266" i="9"/>
  <c r="BR262" i="9"/>
  <c r="BR258" i="9"/>
  <c r="BR254" i="9"/>
  <c r="BR250" i="9"/>
  <c r="BR247" i="9"/>
  <c r="BR245" i="9"/>
  <c r="BI277" i="9"/>
  <c r="BI275" i="9"/>
  <c r="BI273" i="9"/>
  <c r="BI271" i="9"/>
  <c r="BI269" i="9"/>
  <c r="BI267" i="9"/>
  <c r="BI265" i="9"/>
  <c r="BI263" i="9"/>
  <c r="BI261" i="9"/>
  <c r="BI259" i="9"/>
  <c r="BI257" i="9"/>
  <c r="BI255" i="9"/>
  <c r="BI253" i="9"/>
  <c r="BI251" i="9"/>
  <c r="BI249" i="9"/>
  <c r="BI247" i="9"/>
  <c r="BI245" i="9"/>
  <c r="BI244" i="9"/>
  <c r="BI243" i="9"/>
  <c r="BI242" i="9"/>
  <c r="BI241" i="9"/>
  <c r="BI240" i="9"/>
  <c r="BI239" i="9"/>
  <c r="BI238" i="9"/>
  <c r="BI237" i="9"/>
  <c r="BI236" i="9"/>
  <c r="BI235" i="9"/>
  <c r="BI234" i="9"/>
  <c r="BI233" i="9"/>
  <c r="BI232" i="9"/>
  <c r="BI231" i="9"/>
  <c r="BI230" i="9"/>
  <c r="BI229" i="9"/>
  <c r="BI228" i="9"/>
  <c r="BI227" i="9"/>
  <c r="BI226" i="9"/>
  <c r="BI225" i="9"/>
  <c r="BI224" i="9"/>
  <c r="BI223" i="9"/>
  <c r="BI222" i="9"/>
  <c r="BS277" i="9"/>
  <c r="BS275" i="9"/>
  <c r="BS273" i="9"/>
  <c r="BS271" i="9"/>
  <c r="BS269" i="9"/>
  <c r="BS267" i="9"/>
  <c r="BS265" i="9"/>
  <c r="BS263" i="9"/>
  <c r="BS261" i="9"/>
  <c r="BS259" i="9"/>
  <c r="BS257" i="9"/>
  <c r="BS255" i="9"/>
  <c r="BS253" i="9"/>
  <c r="BS251" i="9"/>
  <c r="BS249" i="9"/>
  <c r="BS247" i="9"/>
  <c r="BS254" i="9"/>
  <c r="BS250" i="9"/>
  <c r="BS246" i="9"/>
  <c r="BR244" i="9"/>
  <c r="BR242" i="9"/>
  <c r="BR240" i="9"/>
  <c r="BR238" i="9"/>
  <c r="BR236" i="9"/>
  <c r="BR234" i="9"/>
  <c r="BR232" i="9"/>
  <c r="BR230" i="9"/>
  <c r="BR228" i="9"/>
  <c r="BR226" i="9"/>
  <c r="BR224" i="9"/>
  <c r="BR222" i="9"/>
  <c r="BR220" i="9"/>
  <c r="BR218" i="9"/>
  <c r="BR216" i="9"/>
  <c r="BR214" i="9"/>
  <c r="BR212" i="9"/>
  <c r="BR210" i="9"/>
  <c r="BR208" i="9"/>
  <c r="BR206" i="9"/>
  <c r="BS220" i="9"/>
  <c r="BS218" i="9"/>
  <c r="BS216" i="9"/>
  <c r="BS214" i="9"/>
  <c r="BS212" i="9"/>
  <c r="BS210" i="9"/>
  <c r="BS208" i="9"/>
  <c r="BS206" i="9"/>
  <c r="BI205" i="9"/>
  <c r="BI204" i="9"/>
  <c r="BI203" i="9"/>
  <c r="BI202" i="9"/>
  <c r="BI201" i="9"/>
  <c r="BI200" i="9"/>
  <c r="BI199" i="9"/>
  <c r="BI198" i="9"/>
  <c r="BI197" i="9"/>
  <c r="BI196" i="9"/>
  <c r="BI195" i="9"/>
  <c r="BI194" i="9"/>
  <c r="BI193" i="9"/>
  <c r="BI192" i="9"/>
  <c r="BI191" i="9"/>
  <c r="BI190" i="9"/>
  <c r="BI189" i="9"/>
  <c r="BI188" i="9"/>
  <c r="BI187" i="9"/>
  <c r="BI186" i="9"/>
  <c r="BI185" i="9"/>
  <c r="BI184" i="9"/>
  <c r="BI183" i="9"/>
  <c r="BI182" i="9"/>
  <c r="BI181" i="9"/>
  <c r="BI180" i="9"/>
  <c r="BI179" i="9"/>
  <c r="BI178" i="9"/>
  <c r="BI177" i="9"/>
  <c r="BI176" i="9"/>
  <c r="BI175" i="9"/>
  <c r="BI174" i="9"/>
  <c r="BI173" i="9"/>
  <c r="BI172" i="9"/>
  <c r="BI171" i="9"/>
  <c r="BI170" i="9"/>
  <c r="BI169" i="9"/>
  <c r="BI168" i="9"/>
  <c r="BI167" i="9"/>
  <c r="BI166" i="9"/>
  <c r="BI165" i="9"/>
  <c r="BI164" i="9"/>
  <c r="BI163" i="9"/>
  <c r="BI162" i="9"/>
  <c r="BI161" i="9"/>
  <c r="BI160" i="9"/>
  <c r="BI159" i="9"/>
  <c r="BI158" i="9"/>
  <c r="BI220" i="9"/>
  <c r="BI218" i="9"/>
  <c r="BI216" i="9"/>
  <c r="BI214" i="9"/>
  <c r="BI212" i="9"/>
  <c r="BI210" i="9"/>
  <c r="BI208" i="9"/>
  <c r="BI206" i="9"/>
  <c r="BR204" i="9"/>
  <c r="BR202" i="9"/>
  <c r="BR200" i="9"/>
  <c r="BR198" i="9"/>
  <c r="BR196" i="9"/>
  <c r="BR194" i="9"/>
  <c r="BR192" i="9"/>
  <c r="BR190" i="9"/>
  <c r="BR188" i="9"/>
  <c r="BR186" i="9"/>
  <c r="BR184" i="9"/>
  <c r="BR182" i="9"/>
  <c r="BR180" i="9"/>
  <c r="BR178" i="9"/>
  <c r="BR176" i="9"/>
  <c r="BR174" i="9"/>
  <c r="BR172" i="9"/>
  <c r="BR170" i="9"/>
  <c r="BR168" i="9"/>
  <c r="BR166" i="9"/>
  <c r="BR164" i="9"/>
  <c r="BR162" i="9"/>
  <c r="BR160" i="9"/>
  <c r="BR158" i="9"/>
  <c r="BR156" i="9"/>
  <c r="BR154" i="9"/>
  <c r="BR152" i="9"/>
  <c r="BR150" i="9"/>
  <c r="BR148" i="9"/>
  <c r="BR146" i="9"/>
  <c r="BR144" i="9"/>
  <c r="BR142" i="9"/>
  <c r="BR140" i="9"/>
  <c r="BR138" i="9"/>
  <c r="BR136" i="9"/>
  <c r="BR134" i="9"/>
  <c r="BS156" i="9"/>
  <c r="BS154" i="9"/>
  <c r="BS152" i="9"/>
  <c r="BS150" i="9"/>
  <c r="BS148" i="9"/>
  <c r="BS146" i="9"/>
  <c r="BS144" i="9"/>
  <c r="BS142" i="9"/>
  <c r="BS140" i="9"/>
  <c r="BS138" i="9"/>
  <c r="BS136" i="9"/>
  <c r="BS134" i="9"/>
  <c r="BI133" i="9"/>
  <c r="BI132" i="9"/>
  <c r="BI131" i="9"/>
  <c r="BI130" i="9"/>
  <c r="BI129" i="9"/>
  <c r="BI128" i="9"/>
  <c r="BI127" i="9"/>
  <c r="BI126" i="9"/>
  <c r="BI125" i="9"/>
  <c r="BI124" i="9"/>
  <c r="BI123" i="9"/>
  <c r="BI122" i="9"/>
  <c r="BI121" i="9"/>
  <c r="BI120" i="9"/>
  <c r="BI119" i="9"/>
  <c r="BI118" i="9"/>
  <c r="BI117" i="9"/>
  <c r="BI116" i="9"/>
  <c r="BI115" i="9"/>
  <c r="BI114" i="9"/>
  <c r="BI113" i="9"/>
  <c r="BI112" i="9"/>
  <c r="BI111" i="9"/>
  <c r="BI110" i="9"/>
  <c r="BI109" i="9"/>
  <c r="BI108" i="9"/>
  <c r="BI107" i="9"/>
  <c r="BI106" i="9"/>
  <c r="BI105" i="9"/>
  <c r="BI104" i="9"/>
  <c r="BI103" i="9"/>
  <c r="BI102" i="9"/>
  <c r="BI101" i="9"/>
  <c r="BI100" i="9"/>
  <c r="BI99" i="9"/>
  <c r="BS252" i="9"/>
  <c r="BS248" i="9"/>
  <c r="BS245" i="9"/>
  <c r="BR243" i="9"/>
  <c r="BR241" i="9"/>
  <c r="BR239" i="9"/>
  <c r="BR237" i="9"/>
  <c r="BR235" i="9"/>
  <c r="BR233" i="9"/>
  <c r="BR231" i="9"/>
  <c r="BR229" i="9"/>
  <c r="BR227" i="9"/>
  <c r="BR225" i="9"/>
  <c r="BR223" i="9"/>
  <c r="BR221" i="9"/>
  <c r="BR219" i="9"/>
  <c r="BR217" i="9"/>
  <c r="BR215" i="9"/>
  <c r="BR213" i="9"/>
  <c r="BR211" i="9"/>
  <c r="BR209" i="9"/>
  <c r="BR207" i="9"/>
  <c r="BS221" i="9"/>
  <c r="BS219" i="9"/>
  <c r="BS217" i="9"/>
  <c r="BS215" i="9"/>
  <c r="BS213" i="9"/>
  <c r="BS211" i="9"/>
  <c r="BS209" i="9"/>
  <c r="BS207" i="9"/>
  <c r="BS205" i="9"/>
  <c r="BS204" i="9"/>
  <c r="BS203" i="9"/>
  <c r="BS202" i="9"/>
  <c r="BS201" i="9"/>
  <c r="BS200" i="9"/>
  <c r="BS199" i="9"/>
  <c r="BS198" i="9"/>
  <c r="BS197" i="9"/>
  <c r="BS196" i="9"/>
  <c r="BS195" i="9"/>
  <c r="BS194" i="9"/>
  <c r="BS193" i="9"/>
  <c r="BS192" i="9"/>
  <c r="BS191" i="9"/>
  <c r="BS190" i="9"/>
  <c r="BS189" i="9"/>
  <c r="BS188" i="9"/>
  <c r="BS187" i="9"/>
  <c r="BS186" i="9"/>
  <c r="BS185" i="9"/>
  <c r="BS184" i="9"/>
  <c r="BS183" i="9"/>
  <c r="BS182" i="9"/>
  <c r="BS181" i="9"/>
  <c r="BS180" i="9"/>
  <c r="BS179" i="9"/>
  <c r="BS178" i="9"/>
  <c r="BS177" i="9"/>
  <c r="BS176" i="9"/>
  <c r="BS175" i="9"/>
  <c r="BS174" i="9"/>
  <c r="BS173" i="9"/>
  <c r="BS172" i="9"/>
  <c r="BS171" i="9"/>
  <c r="BS170" i="9"/>
  <c r="BS169" i="9"/>
  <c r="BS168" i="9"/>
  <c r="BS167" i="9"/>
  <c r="BS166" i="9"/>
  <c r="BS165" i="9"/>
  <c r="BS164" i="9"/>
  <c r="BS163" i="9"/>
  <c r="BS162" i="9"/>
  <c r="BS161" i="9"/>
  <c r="BS160" i="9"/>
  <c r="BS159" i="9"/>
  <c r="BS158" i="9"/>
  <c r="BI221" i="9"/>
  <c r="BI219" i="9"/>
  <c r="BI217" i="9"/>
  <c r="BI215" i="9"/>
  <c r="BI213" i="9"/>
  <c r="BI211" i="9"/>
  <c r="BI209" i="9"/>
  <c r="BI207" i="9"/>
  <c r="BR205" i="9"/>
  <c r="BR203" i="9"/>
  <c r="BR201" i="9"/>
  <c r="BR199" i="9"/>
  <c r="BR197" i="9"/>
  <c r="BR195" i="9"/>
  <c r="BR193" i="9"/>
  <c r="BR191" i="9"/>
  <c r="BR189" i="9"/>
  <c r="BR187" i="9"/>
  <c r="BR185" i="9"/>
  <c r="BR183" i="9"/>
  <c r="BR181" i="9"/>
  <c r="BR179" i="9"/>
  <c r="BR177" i="9"/>
  <c r="BR175" i="9"/>
  <c r="BR173" i="9"/>
  <c r="BR171" i="9"/>
  <c r="BR169" i="9"/>
  <c r="BR167" i="9"/>
  <c r="BR165" i="9"/>
  <c r="BR163" i="9"/>
  <c r="BR161" i="9"/>
  <c r="BR159" i="9"/>
  <c r="BR157" i="9"/>
  <c r="BR155" i="9"/>
  <c r="BR153" i="9"/>
  <c r="BR151" i="9"/>
  <c r="BR149" i="9"/>
  <c r="BR147" i="9"/>
  <c r="BR145" i="9"/>
  <c r="BR143" i="9"/>
  <c r="BR141" i="9"/>
  <c r="BR139" i="9"/>
  <c r="BR137" i="9"/>
  <c r="BR135" i="9"/>
  <c r="BS157" i="9"/>
  <c r="BS155" i="9"/>
  <c r="BS153" i="9"/>
  <c r="BS151" i="9"/>
  <c r="BS149" i="9"/>
  <c r="BS147" i="9"/>
  <c r="BS145" i="9"/>
  <c r="BS143" i="9"/>
  <c r="BS141" i="9"/>
  <c r="BS139" i="9"/>
  <c r="BS137" i="9"/>
  <c r="BS135" i="9"/>
  <c r="BS133" i="9"/>
  <c r="BS132" i="9"/>
  <c r="BS131" i="9"/>
  <c r="BS130" i="9"/>
  <c r="BS129" i="9"/>
  <c r="BS128" i="9"/>
  <c r="BS127" i="9"/>
  <c r="BS126" i="9"/>
  <c r="BS125" i="9"/>
  <c r="BS124" i="9"/>
  <c r="BS123" i="9"/>
  <c r="BS122" i="9"/>
  <c r="BS121" i="9"/>
  <c r="BS120" i="9"/>
  <c r="BS119" i="9"/>
  <c r="BS118" i="9"/>
  <c r="BS117" i="9"/>
  <c r="BS116" i="9"/>
  <c r="BS115" i="9"/>
  <c r="BS114" i="9"/>
  <c r="BS113" i="9"/>
  <c r="BS112" i="9"/>
  <c r="BS111" i="9"/>
  <c r="BS110" i="9"/>
  <c r="BS109" i="9"/>
  <c r="BS107" i="9"/>
  <c r="BS105" i="9"/>
  <c r="BS103" i="9"/>
  <c r="BS101" i="9"/>
  <c r="BS99" i="9"/>
  <c r="BI98" i="9"/>
  <c r="BI97" i="9"/>
  <c r="BI96" i="9"/>
  <c r="BI95" i="9"/>
  <c r="BI94" i="9"/>
  <c r="BI93" i="9"/>
  <c r="BI92"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156" i="9"/>
  <c r="BI154" i="9"/>
  <c r="BI152" i="9"/>
  <c r="BI150" i="9"/>
  <c r="BI148" i="9"/>
  <c r="BI146" i="9"/>
  <c r="BI144" i="9"/>
  <c r="BI142" i="9"/>
  <c r="BI140" i="9"/>
  <c r="BI138" i="9"/>
  <c r="BI136" i="9"/>
  <c r="BI134" i="9"/>
  <c r="BR132" i="9"/>
  <c r="BR130" i="9"/>
  <c r="BR128" i="9"/>
  <c r="BR126" i="9"/>
  <c r="BR124" i="9"/>
  <c r="BR122" i="9"/>
  <c r="BR120" i="9"/>
  <c r="BR118" i="9"/>
  <c r="BR116" i="9"/>
  <c r="BR114" i="9"/>
  <c r="BR112" i="9"/>
  <c r="BR110" i="9"/>
  <c r="BR108" i="9"/>
  <c r="BR106" i="9"/>
  <c r="BR104" i="9"/>
  <c r="BR102" i="9"/>
  <c r="BR100" i="9"/>
  <c r="BR98" i="9"/>
  <c r="BR96" i="9"/>
  <c r="BR94" i="9"/>
  <c r="BR92" i="9"/>
  <c r="BR90" i="9"/>
  <c r="BR88" i="9"/>
  <c r="BR86" i="9"/>
  <c r="BR84" i="9"/>
  <c r="BR82" i="9"/>
  <c r="BR73" i="9"/>
  <c r="BR64" i="9"/>
  <c r="BR48" i="9"/>
  <c r="BR39" i="9"/>
  <c r="BR30" i="9"/>
  <c r="BR13" i="9"/>
  <c r="BR11" i="9"/>
  <c r="BR9" i="9"/>
  <c r="BR7" i="9"/>
  <c r="BR5" i="9"/>
  <c r="BP4" i="9"/>
  <c r="BI5" i="9"/>
  <c r="BI7" i="9"/>
  <c r="BI9" i="9"/>
  <c r="BI11" i="9"/>
  <c r="BI13" i="9"/>
  <c r="BI30" i="9"/>
  <c r="BI39" i="9"/>
  <c r="BI48" i="9"/>
  <c r="BI63" i="9"/>
  <c r="BS108" i="9"/>
  <c r="BS106" i="9"/>
  <c r="BS104" i="9"/>
  <c r="BS102" i="9"/>
  <c r="BS100" i="9"/>
  <c r="BS98" i="9"/>
  <c r="BS97" i="9"/>
  <c r="BS96" i="9"/>
  <c r="BS95" i="9"/>
  <c r="BS94" i="9"/>
  <c r="BS93" i="9"/>
  <c r="BS92" i="9"/>
  <c r="BS91" i="9"/>
  <c r="BS90" i="9"/>
  <c r="BS89" i="9"/>
  <c r="BS88" i="9"/>
  <c r="BS87" i="9"/>
  <c r="BS86" i="9"/>
  <c r="BS85" i="9"/>
  <c r="BS84" i="9"/>
  <c r="BS83" i="9"/>
  <c r="BS82" i="9"/>
  <c r="BS81" i="9"/>
  <c r="BS80" i="9"/>
  <c r="BS79" i="9"/>
  <c r="BS78" i="9"/>
  <c r="BS77" i="9"/>
  <c r="BS76" i="9"/>
  <c r="BS75" i="9"/>
  <c r="BS74" i="9"/>
  <c r="BS73" i="9"/>
  <c r="BS72" i="9"/>
  <c r="BS71" i="9"/>
  <c r="BS70" i="9"/>
  <c r="BS69" i="9"/>
  <c r="BS68" i="9"/>
  <c r="BS67" i="9"/>
  <c r="BS66" i="9"/>
  <c r="BS65" i="9"/>
  <c r="BI157" i="9"/>
  <c r="BI155" i="9"/>
  <c r="BI153" i="9"/>
  <c r="BI151" i="9"/>
  <c r="BI149" i="9"/>
  <c r="BI147" i="9"/>
  <c r="BI145" i="9"/>
  <c r="BI143" i="9"/>
  <c r="BI141" i="9"/>
  <c r="BI139" i="9"/>
  <c r="BI137" i="9"/>
  <c r="BI135" i="9"/>
  <c r="BR133" i="9"/>
  <c r="BR131" i="9"/>
  <c r="BR129" i="9"/>
  <c r="BR127" i="9"/>
  <c r="BR125" i="9"/>
  <c r="BR123" i="9"/>
  <c r="BR121" i="9"/>
  <c r="BR119" i="9"/>
  <c r="BR117" i="9"/>
  <c r="BR115" i="9"/>
  <c r="BR113" i="9"/>
  <c r="BR111" i="9"/>
  <c r="BR109" i="9"/>
  <c r="BR107" i="9"/>
  <c r="BR105" i="9"/>
  <c r="BR103" i="9"/>
  <c r="BR101" i="9"/>
  <c r="BR99" i="9"/>
  <c r="BR97" i="9"/>
  <c r="BR95" i="9"/>
  <c r="BR93" i="9"/>
  <c r="BR91" i="9"/>
  <c r="BR89" i="9"/>
  <c r="BR87" i="9"/>
  <c r="BR85" i="9"/>
  <c r="BR83" i="9"/>
  <c r="BR74" i="9"/>
  <c r="BR65" i="9"/>
  <c r="BR49" i="9"/>
  <c r="BR40" i="9"/>
  <c r="BR31" i="9"/>
  <c r="BR14" i="9"/>
  <c r="BR12" i="9"/>
  <c r="BR10" i="9"/>
  <c r="BR8" i="9"/>
  <c r="BR6" i="9"/>
  <c r="CD4" i="9"/>
  <c r="BN4" i="9"/>
  <c r="BI6" i="9"/>
  <c r="BI8" i="9"/>
  <c r="BI10" i="9"/>
  <c r="BI12" i="9"/>
  <c r="BI14" i="9"/>
  <c r="BI15" i="9"/>
  <c r="BI16" i="9"/>
  <c r="BI17" i="9"/>
  <c r="BI18" i="9"/>
  <c r="BI19" i="9"/>
  <c r="BI20" i="9"/>
  <c r="BI21" i="9"/>
  <c r="BI22" i="9"/>
  <c r="BI23" i="9"/>
  <c r="BI24" i="9"/>
  <c r="BI25" i="9"/>
  <c r="BI26" i="9"/>
  <c r="BI27" i="9"/>
  <c r="BI28" i="9"/>
  <c r="BI29" i="9"/>
  <c r="BI31" i="9"/>
  <c r="BI32" i="9"/>
  <c r="BI33" i="9"/>
  <c r="BI34" i="9"/>
  <c r="BI35" i="9"/>
  <c r="BI36" i="9"/>
  <c r="BI37" i="9"/>
  <c r="BI38" i="9"/>
  <c r="BI40" i="9"/>
  <c r="BI41" i="9"/>
  <c r="BI42" i="9"/>
  <c r="BI43" i="9"/>
  <c r="BI44" i="9"/>
  <c r="BI45" i="9"/>
  <c r="BI46" i="9"/>
  <c r="BI47" i="9"/>
  <c r="BI49" i="9"/>
  <c r="BI50" i="9"/>
  <c r="BI51" i="9"/>
  <c r="BI52" i="9"/>
  <c r="BI53" i="9"/>
  <c r="BI54" i="9"/>
  <c r="BI55" i="9"/>
  <c r="BI56" i="9"/>
  <c r="BI57" i="9"/>
  <c r="BI58" i="9"/>
  <c r="BI59" i="9"/>
  <c r="BI60" i="9"/>
  <c r="BI61" i="9"/>
  <c r="BI62" i="9"/>
  <c r="BI64" i="9"/>
  <c r="BQ4" i="9"/>
  <c r="BO4" i="9"/>
  <c r="BS5" i="9"/>
  <c r="BS6" i="9"/>
  <c r="BS7" i="9"/>
  <c r="BS8" i="9"/>
  <c r="BS9" i="9"/>
  <c r="BS10" i="9"/>
  <c r="BS11" i="9"/>
  <c r="BS12" i="9"/>
  <c r="BS13" i="9"/>
  <c r="BS14" i="9"/>
  <c r="BS17" i="9"/>
  <c r="BS18" i="9"/>
  <c r="BS21" i="9"/>
  <c r="BS22" i="9"/>
  <c r="BS25" i="9"/>
  <c r="BS26" i="9"/>
  <c r="BS29" i="9"/>
  <c r="BS30" i="9"/>
  <c r="BS31" i="9"/>
  <c r="BS32" i="9"/>
  <c r="BS35" i="9"/>
  <c r="BS36" i="9"/>
  <c r="BS41" i="9"/>
  <c r="BS42" i="9"/>
  <c r="BS45" i="9"/>
  <c r="BS46" i="9"/>
  <c r="BS51" i="9"/>
  <c r="BS52" i="9"/>
  <c r="BS55" i="9"/>
  <c r="BS56" i="9"/>
  <c r="BS59" i="9"/>
  <c r="BS60" i="9"/>
  <c r="BI4" i="9"/>
  <c r="BJ4" i="9" s="1"/>
  <c r="BK4" i="9"/>
  <c r="BS15" i="9"/>
  <c r="BS16" i="9"/>
  <c r="BS19" i="9"/>
  <c r="BS20" i="9"/>
  <c r="BS23" i="9"/>
  <c r="BS24" i="9"/>
  <c r="BS27" i="9"/>
  <c r="BS28" i="9"/>
  <c r="BS33" i="9"/>
  <c r="BS34" i="9"/>
  <c r="BS37" i="9"/>
  <c r="BS38" i="9"/>
  <c r="BS39" i="9"/>
  <c r="BS40" i="9"/>
  <c r="BS43" i="9"/>
  <c r="BS44" i="9"/>
  <c r="BS47" i="9"/>
  <c r="BS48" i="9"/>
  <c r="BS49" i="9"/>
  <c r="BS50" i="9"/>
  <c r="BS53" i="9"/>
  <c r="BS54" i="9"/>
  <c r="BS57" i="9"/>
  <c r="BS58" i="9"/>
  <c r="BS61" i="9"/>
  <c r="BS62" i="9"/>
  <c r="BS63" i="9"/>
  <c r="BS64" i="9"/>
  <c r="BK59" i="9"/>
  <c r="BK51" i="9"/>
  <c r="BQ51" i="9" s="1"/>
  <c r="BK43" i="9"/>
  <c r="BK39" i="9"/>
  <c r="BM39" i="9" s="1"/>
  <c r="BN39" i="9" s="1"/>
  <c r="BK35" i="9"/>
  <c r="BK31" i="9"/>
  <c r="BM31" i="9" s="1"/>
  <c r="BN31" i="9" s="1"/>
  <c r="BK27" i="9"/>
  <c r="BK19" i="9"/>
  <c r="BQ19" i="9" s="1"/>
  <c r="BK11" i="9"/>
  <c r="BK87" i="9"/>
  <c r="BQ87" i="9" s="1"/>
  <c r="BK91" i="9"/>
  <c r="BK95" i="9"/>
  <c r="BQ95" i="9" s="1"/>
  <c r="BK103" i="9"/>
  <c r="BK107" i="9"/>
  <c r="BM107" i="9" s="1"/>
  <c r="BN107" i="9" s="1"/>
  <c r="BK119" i="9"/>
  <c r="BK131" i="9"/>
  <c r="BM131" i="9" s="1"/>
  <c r="BN131" i="9" s="1"/>
  <c r="BK142" i="9"/>
  <c r="BK210" i="9"/>
  <c r="BM210" i="9" s="1"/>
  <c r="BN210" i="9" s="1"/>
  <c r="BK218" i="9"/>
  <c r="BK230" i="9"/>
  <c r="BQ230" i="9" s="1"/>
  <c r="BK242" i="9"/>
  <c r="BK61" i="9"/>
  <c r="BK45" i="9"/>
  <c r="BK65" i="9"/>
  <c r="BK69" i="9"/>
  <c r="BK73" i="9"/>
  <c r="BK77" i="9"/>
  <c r="BK85" i="9"/>
  <c r="BK89" i="9"/>
  <c r="BK93" i="9"/>
  <c r="BK97" i="9"/>
  <c r="BK101" i="9"/>
  <c r="BK109" i="9"/>
  <c r="BK113" i="9"/>
  <c r="BK125" i="9"/>
  <c r="BK129" i="9"/>
  <c r="BK133" i="9"/>
  <c r="BK136" i="9"/>
  <c r="BK216" i="9"/>
  <c r="BK220" i="9"/>
  <c r="BK62" i="9"/>
  <c r="BK58" i="9"/>
  <c r="BQ58" i="9" s="1"/>
  <c r="BK54" i="9"/>
  <c r="BK38" i="9"/>
  <c r="BM38" i="9" s="1"/>
  <c r="BN38" i="9" s="1"/>
  <c r="BK6" i="9"/>
  <c r="BK72" i="9"/>
  <c r="BQ72" i="9" s="1"/>
  <c r="BK80" i="9"/>
  <c r="BK88" i="9"/>
  <c r="BM88" i="9" s="1"/>
  <c r="BN88" i="9" s="1"/>
  <c r="BK104" i="9"/>
  <c r="BM104" i="9" s="1"/>
  <c r="BN104" i="9" s="1"/>
  <c r="BK112" i="9"/>
  <c r="BK124" i="9"/>
  <c r="BQ124" i="9" s="1"/>
  <c r="BK132" i="9"/>
  <c r="BQ132" i="9" s="1"/>
  <c r="BK168" i="9"/>
  <c r="BM168" i="9" s="1"/>
  <c r="BN168" i="9" s="1"/>
  <c r="BK180" i="9"/>
  <c r="BK204" i="9"/>
  <c r="BQ204" i="9" s="1"/>
  <c r="BK267" i="9"/>
  <c r="BM267" i="9" s="1"/>
  <c r="BN267" i="9" s="1"/>
  <c r="BK271" i="9"/>
  <c r="BQ271" i="9" s="1"/>
  <c r="BK275" i="9"/>
  <c r="BK283" i="9"/>
  <c r="BQ283" i="9" s="1"/>
  <c r="BK287" i="9"/>
  <c r="BM287" i="9" s="1"/>
  <c r="BN287" i="9" s="1"/>
  <c r="BK295" i="9"/>
  <c r="BM295" i="9" s="1"/>
  <c r="BN295" i="9" s="1"/>
  <c r="BK303" i="9"/>
  <c r="BK307" i="9"/>
  <c r="BQ307" i="9" s="1"/>
  <c r="BK311" i="9"/>
  <c r="BM311" i="9" s="1"/>
  <c r="BN311" i="9" s="1"/>
  <c r="BK64" i="9"/>
  <c r="BK56" i="9"/>
  <c r="BK48" i="9"/>
  <c r="BK40" i="9"/>
  <c r="BK32" i="9"/>
  <c r="BK24" i="9"/>
  <c r="BK16" i="9"/>
  <c r="BK8" i="9"/>
  <c r="BK70" i="9"/>
  <c r="BK114" i="9"/>
  <c r="BM114" i="9" s="1"/>
  <c r="BN114" i="9" s="1"/>
  <c r="BK126" i="9"/>
  <c r="BK158" i="9"/>
  <c r="BM158" i="9" s="1"/>
  <c r="BN158" i="9" s="1"/>
  <c r="BK186" i="9"/>
  <c r="BK198" i="9"/>
  <c r="BM198" i="9" s="1"/>
  <c r="BN198" i="9" s="1"/>
  <c r="BK249" i="9"/>
  <c r="BK253" i="9"/>
  <c r="BQ253" i="9" s="1"/>
  <c r="BK261" i="9"/>
  <c r="BK269" i="9"/>
  <c r="BQ269" i="9" s="1"/>
  <c r="BK273" i="9"/>
  <c r="BK285" i="9"/>
  <c r="BM285" i="9" s="1"/>
  <c r="BN285" i="9" s="1"/>
  <c r="BK289" i="9"/>
  <c r="BQ289" i="9" s="1"/>
  <c r="BK293" i="9"/>
  <c r="BM293" i="9" s="1"/>
  <c r="BN293" i="9" s="1"/>
  <c r="BQ198" i="9"/>
  <c r="BM186" i="9"/>
  <c r="BN186" i="9" s="1"/>
  <c r="BQ158" i="9"/>
  <c r="BM126" i="9"/>
  <c r="BN126" i="9" s="1"/>
  <c r="BQ114" i="9"/>
  <c r="BM303" i="9"/>
  <c r="BN303" i="9" s="1"/>
  <c r="BM275" i="9"/>
  <c r="BN275" i="9" s="1"/>
  <c r="BQ180" i="9"/>
  <c r="BM112" i="9"/>
  <c r="BN112" i="9" s="1"/>
  <c r="BQ80" i="9"/>
  <c r="BM6" i="9"/>
  <c r="BN6" i="9" s="1"/>
  <c r="BQ54" i="9"/>
  <c r="BQ62" i="9"/>
  <c r="BK237" i="9"/>
  <c r="BK223" i="9"/>
  <c r="BM223" i="9" s="1"/>
  <c r="BN223" i="9" s="1"/>
  <c r="BK215" i="9"/>
  <c r="BK205" i="9"/>
  <c r="BM205" i="9" s="1"/>
  <c r="BN205" i="9" s="1"/>
  <c r="BK201" i="9"/>
  <c r="BK197" i="9"/>
  <c r="BQ197" i="9" s="1"/>
  <c r="BK177" i="9"/>
  <c r="BK149" i="9"/>
  <c r="BM149" i="9" s="1"/>
  <c r="BN149" i="9" s="1"/>
  <c r="BK143" i="9"/>
  <c r="BM242" i="9"/>
  <c r="BN242" i="9" s="1"/>
  <c r="BM218" i="9"/>
  <c r="BN218" i="9" s="1"/>
  <c r="BM142" i="9"/>
  <c r="BN142" i="9" s="1"/>
  <c r="BQ119" i="9"/>
  <c r="BQ103" i="9"/>
  <c r="BM91" i="9"/>
  <c r="BN91" i="9" s="1"/>
  <c r="BM11" i="9"/>
  <c r="BN11" i="9" s="1"/>
  <c r="BQ27" i="9"/>
  <c r="BM35" i="9"/>
  <c r="BN35" i="9" s="1"/>
  <c r="BQ43" i="9"/>
  <c r="BQ59" i="9"/>
  <c r="BM273" i="9"/>
  <c r="BN273" i="9" s="1"/>
  <c r="BM261" i="9"/>
  <c r="BN261" i="9" s="1"/>
  <c r="BM249" i="9"/>
  <c r="BN249" i="9" s="1"/>
  <c r="BM70" i="9"/>
  <c r="BN70" i="9" s="1"/>
  <c r="BM8" i="9"/>
  <c r="BN8" i="9" s="1"/>
  <c r="BQ16" i="9"/>
  <c r="BQ24" i="9"/>
  <c r="BQ32" i="9"/>
  <c r="BM40" i="9"/>
  <c r="BN40" i="9" s="1"/>
  <c r="BM48" i="9"/>
  <c r="BN48" i="9" s="1"/>
  <c r="BQ56" i="9"/>
  <c r="BM64" i="9"/>
  <c r="BN64" i="9" s="1"/>
  <c r="BK315" i="9"/>
  <c r="BK308" i="9"/>
  <c r="BK306" i="9"/>
  <c r="BK300" i="9"/>
  <c r="BK298" i="9"/>
  <c r="BK292" i="9"/>
  <c r="BK280" i="9"/>
  <c r="BK268" i="9"/>
  <c r="BK260" i="9"/>
  <c r="BK256" i="9"/>
  <c r="BQ285" i="9"/>
  <c r="BQ186" i="9"/>
  <c r="BQ126" i="9"/>
  <c r="BQ311" i="9"/>
  <c r="BM307" i="9"/>
  <c r="BN307" i="9" s="1"/>
  <c r="BQ303" i="9"/>
  <c r="BQ295" i="9"/>
  <c r="BQ287" i="9"/>
  <c r="BM283" i="9"/>
  <c r="BN283" i="9" s="1"/>
  <c r="BQ275" i="9"/>
  <c r="BM271" i="9"/>
  <c r="BN271" i="9" s="1"/>
  <c r="BQ267" i="9"/>
  <c r="BM204" i="9"/>
  <c r="BN204" i="9" s="1"/>
  <c r="BM180" i="9"/>
  <c r="BN180" i="9" s="1"/>
  <c r="BQ168" i="9"/>
  <c r="BM132" i="9"/>
  <c r="BN132" i="9" s="1"/>
  <c r="BM124" i="9"/>
  <c r="BN124" i="9" s="1"/>
  <c r="BQ112" i="9"/>
  <c r="BQ104" i="9"/>
  <c r="BQ88" i="9"/>
  <c r="BM80" i="9"/>
  <c r="BN80" i="9" s="1"/>
  <c r="BM72" i="9"/>
  <c r="BN72" i="9" s="1"/>
  <c r="BQ6" i="9"/>
  <c r="BQ38" i="9"/>
  <c r="BM54" i="9"/>
  <c r="BN54" i="9" s="1"/>
  <c r="BM58" i="9"/>
  <c r="BN58" i="9" s="1"/>
  <c r="BM62" i="9"/>
  <c r="BN62" i="9" s="1"/>
  <c r="BK243" i="9"/>
  <c r="BM243" i="9" s="1"/>
  <c r="BN243" i="9" s="1"/>
  <c r="BK235" i="9"/>
  <c r="BK225" i="9"/>
  <c r="BM225" i="9" s="1"/>
  <c r="BN225" i="9" s="1"/>
  <c r="BK219" i="9"/>
  <c r="BK211" i="9"/>
  <c r="BK209" i="9"/>
  <c r="BK199" i="9"/>
  <c r="BM199" i="9" s="1"/>
  <c r="BN199" i="9" s="1"/>
  <c r="BK187" i="9"/>
  <c r="BK179" i="9"/>
  <c r="BQ179" i="9" s="1"/>
  <c r="BK167" i="9"/>
  <c r="BK163" i="9"/>
  <c r="BQ163" i="9" s="1"/>
  <c r="BK155" i="9"/>
  <c r="BK137" i="9"/>
  <c r="BQ242" i="9"/>
  <c r="BM230" i="9"/>
  <c r="BN230" i="9" s="1"/>
  <c r="BQ218" i="9"/>
  <c r="BQ210" i="9"/>
  <c r="BQ142" i="9"/>
  <c r="BQ131" i="9"/>
  <c r="BM119" i="9"/>
  <c r="BN119" i="9" s="1"/>
  <c r="BQ107" i="9"/>
  <c r="BM103" i="9"/>
  <c r="BN103" i="9" s="1"/>
  <c r="BM95" i="9"/>
  <c r="BN95" i="9" s="1"/>
  <c r="BQ91" i="9"/>
  <c r="BM87" i="9"/>
  <c r="BN87" i="9" s="1"/>
  <c r="BQ11" i="9"/>
  <c r="BM19" i="9"/>
  <c r="BN19" i="9" s="1"/>
  <c r="BM27" i="9"/>
  <c r="BN27" i="9" s="1"/>
  <c r="BQ31" i="9"/>
  <c r="BQ35" i="9"/>
  <c r="BQ39" i="9"/>
  <c r="BM43" i="9"/>
  <c r="BN43" i="9" s="1"/>
  <c r="BM51" i="9"/>
  <c r="BN51" i="9" s="1"/>
  <c r="BM59" i="9"/>
  <c r="BN59" i="9" s="1"/>
  <c r="BQ293" i="9"/>
  <c r="BM289" i="9"/>
  <c r="BN289" i="9" s="1"/>
  <c r="BQ273" i="9"/>
  <c r="BQ261" i="9"/>
  <c r="BQ249" i="9"/>
  <c r="BQ70" i="9"/>
  <c r="BQ8" i="9"/>
  <c r="BM16" i="9"/>
  <c r="BN16" i="9" s="1"/>
  <c r="BM24" i="9"/>
  <c r="BN24" i="9" s="1"/>
  <c r="BM32" i="9"/>
  <c r="BN32" i="9" s="1"/>
  <c r="BQ40" i="9"/>
  <c r="BQ48" i="9"/>
  <c r="BM56" i="9"/>
  <c r="BN56" i="9" s="1"/>
  <c r="BQ64" i="9"/>
  <c r="BK270" i="9"/>
  <c r="BM270" i="9" s="1"/>
  <c r="BN270" i="9" s="1"/>
  <c r="BK262" i="9"/>
  <c r="BM220" i="9"/>
  <c r="BN220" i="9" s="1"/>
  <c r="BQ216" i="9"/>
  <c r="BM136" i="9"/>
  <c r="BN136" i="9" s="1"/>
  <c r="BM133" i="9"/>
  <c r="BN133" i="9" s="1"/>
  <c r="BQ129" i="9"/>
  <c r="BM125" i="9"/>
  <c r="BN125" i="9" s="1"/>
  <c r="BQ113" i="9"/>
  <c r="BM109" i="9"/>
  <c r="BN109" i="9" s="1"/>
  <c r="BM101" i="9"/>
  <c r="BN101" i="9" s="1"/>
  <c r="BQ97" i="9"/>
  <c r="BM93" i="9"/>
  <c r="BN93" i="9" s="1"/>
  <c r="BQ89" i="9"/>
  <c r="BM85" i="9"/>
  <c r="BN85" i="9" s="1"/>
  <c r="BM77" i="9"/>
  <c r="BN77" i="9" s="1"/>
  <c r="BQ73" i="9"/>
  <c r="BQ69" i="9"/>
  <c r="BM65" i="9"/>
  <c r="BN65" i="9" s="1"/>
  <c r="BQ45" i="9"/>
  <c r="BQ61" i="9"/>
  <c r="BK266" i="9"/>
  <c r="BQ266" i="9" s="1"/>
  <c r="BK258" i="9"/>
  <c r="BQ220" i="9"/>
  <c r="BM216" i="9"/>
  <c r="BN216" i="9" s="1"/>
  <c r="BQ136" i="9"/>
  <c r="BQ133" i="9"/>
  <c r="BM129" i="9"/>
  <c r="BN129" i="9" s="1"/>
  <c r="BQ125" i="9"/>
  <c r="BM113" i="9"/>
  <c r="BN113" i="9" s="1"/>
  <c r="BQ109" i="9"/>
  <c r="BQ101" i="9"/>
  <c r="BM97" i="9"/>
  <c r="BN97" i="9" s="1"/>
  <c r="BQ93" i="9"/>
  <c r="BM89" i="9"/>
  <c r="BN89" i="9" s="1"/>
  <c r="BQ85" i="9"/>
  <c r="BQ77" i="9"/>
  <c r="BM73" i="9"/>
  <c r="BN73" i="9" s="1"/>
  <c r="BM69" i="9"/>
  <c r="BN69" i="9" s="1"/>
  <c r="BQ65" i="9"/>
  <c r="BM45" i="9"/>
  <c r="BN45" i="9" s="1"/>
  <c r="BM61" i="9"/>
  <c r="BN61" i="9" s="1"/>
  <c r="BQ258" i="9"/>
  <c r="BM262" i="9"/>
  <c r="BN262" i="9" s="1"/>
  <c r="BQ137" i="9"/>
  <c r="BQ177" i="9"/>
  <c r="BM201" i="9"/>
  <c r="BN201" i="9" s="1"/>
  <c r="BM209" i="9"/>
  <c r="BN209" i="9" s="1"/>
  <c r="BQ237" i="9"/>
  <c r="BM256" i="9"/>
  <c r="BN256" i="9" s="1"/>
  <c r="BM260" i="9"/>
  <c r="BN260" i="9" s="1"/>
  <c r="BQ268" i="9"/>
  <c r="BM280" i="9"/>
  <c r="BN280" i="9" s="1"/>
  <c r="BM292" i="9"/>
  <c r="BN292" i="9" s="1"/>
  <c r="BQ298" i="9"/>
  <c r="BM300" i="9"/>
  <c r="BN300" i="9" s="1"/>
  <c r="BQ306" i="9"/>
  <c r="BM308" i="9"/>
  <c r="BN308" i="9" s="1"/>
  <c r="BQ315" i="9"/>
  <c r="BQ143" i="9"/>
  <c r="BQ155" i="9"/>
  <c r="BM167" i="9"/>
  <c r="BN167" i="9" s="1"/>
  <c r="BM187" i="9"/>
  <c r="BN187" i="9" s="1"/>
  <c r="BM211" i="9"/>
  <c r="BN211" i="9" s="1"/>
  <c r="BM215" i="9"/>
  <c r="BN215" i="9" s="1"/>
  <c r="BM219" i="9"/>
  <c r="BN219" i="9" s="1"/>
  <c r="BM235" i="9"/>
  <c r="BN235" i="9" s="1"/>
  <c r="BM258" i="9"/>
  <c r="BN258" i="9" s="1"/>
  <c r="BQ262" i="9"/>
  <c r="BM137" i="9"/>
  <c r="BN137" i="9" s="1"/>
  <c r="BM177" i="9"/>
  <c r="BN177" i="9" s="1"/>
  <c r="BQ201" i="9"/>
  <c r="BQ209" i="9"/>
  <c r="BM237" i="9"/>
  <c r="BN237" i="9" s="1"/>
  <c r="BQ256" i="9"/>
  <c r="BQ260" i="9"/>
  <c r="BM268" i="9"/>
  <c r="BN268" i="9" s="1"/>
  <c r="BQ280" i="9"/>
  <c r="BQ292" i="9"/>
  <c r="BM298" i="9"/>
  <c r="BN298" i="9" s="1"/>
  <c r="BQ300" i="9"/>
  <c r="BM306" i="9"/>
  <c r="BN306" i="9" s="1"/>
  <c r="BQ308" i="9"/>
  <c r="BM315" i="9"/>
  <c r="BN315" i="9" s="1"/>
  <c r="BM143" i="9"/>
  <c r="BN143" i="9" s="1"/>
  <c r="BM155" i="9"/>
  <c r="BN155" i="9" s="1"/>
  <c r="BQ167" i="9"/>
  <c r="BQ187" i="9"/>
  <c r="BQ211" i="9"/>
  <c r="BQ215" i="9"/>
  <c r="BQ219" i="9"/>
  <c r="BQ235" i="9"/>
  <c r="AX6" i="9"/>
  <c r="BO6" i="9" s="1"/>
  <c r="AX125" i="9"/>
  <c r="BO125" i="9" s="1"/>
  <c r="AX280" i="9"/>
  <c r="AX137" i="9"/>
  <c r="AX177" i="9"/>
  <c r="BO177" i="9" s="1"/>
  <c r="AX225" i="9"/>
  <c r="AX31" i="9"/>
  <c r="BO31" i="9" s="1"/>
  <c r="AR447" i="9"/>
  <c r="AR324" i="9"/>
  <c r="AR332" i="9"/>
  <c r="AR457" i="9"/>
  <c r="BC4" i="9"/>
  <c r="AP4" i="9"/>
  <c r="AN4" i="9"/>
  <c r="BA4" i="9"/>
  <c r="AU4" i="9"/>
  <c r="AQ4" i="9"/>
  <c r="AO4" i="9"/>
  <c r="AN1" i="9"/>
  <c r="AV439" i="9"/>
  <c r="AV435" i="9"/>
  <c r="AV433" i="9"/>
  <c r="AV437" i="9"/>
  <c r="AV434" i="9"/>
  <c r="AT322" i="9"/>
  <c r="BB4" i="9"/>
  <c r="BD4" i="9"/>
  <c r="AE162" i="9"/>
  <c r="AT162" i="9" s="1"/>
  <c r="AI162" i="9"/>
  <c r="AE154" i="9"/>
  <c r="AT154" i="9" s="1"/>
  <c r="AI154" i="9"/>
  <c r="AE105" i="9"/>
  <c r="AT105" i="9" s="1"/>
  <c r="AE28" i="9"/>
  <c r="AT28" i="9" s="1"/>
  <c r="AE254" i="9"/>
  <c r="AT254" i="9" s="1"/>
  <c r="AI105" i="9"/>
  <c r="AE81" i="9"/>
  <c r="AT81" i="9" s="1"/>
  <c r="AI157" i="9"/>
  <c r="AI155" i="9"/>
  <c r="AI285" i="9"/>
  <c r="AI167" i="9"/>
  <c r="AE207" i="9"/>
  <c r="AT207" i="9" s="1"/>
  <c r="AE241" i="9"/>
  <c r="AT241" i="9" s="1"/>
  <c r="AX241" i="9" s="1"/>
  <c r="AE277" i="9"/>
  <c r="AT277" i="9" s="1"/>
  <c r="AE116" i="9"/>
  <c r="AT116" i="9" s="1"/>
  <c r="AI131" i="9"/>
  <c r="AI223" i="9"/>
  <c r="AE239" i="9"/>
  <c r="AT239" i="9" s="1"/>
  <c r="AE281" i="9"/>
  <c r="AT281" i="9" s="1"/>
  <c r="AX281" i="9" s="1"/>
  <c r="AI176" i="9"/>
  <c r="AE164" i="9"/>
  <c r="AT164" i="9" s="1"/>
  <c r="AX164" i="9" s="1"/>
  <c r="AI88" i="9"/>
  <c r="AE96" i="9"/>
  <c r="AT96" i="9" s="1"/>
  <c r="AI312" i="9"/>
  <c r="AD312" i="9"/>
  <c r="AE309" i="9"/>
  <c r="AT309" i="9" s="1"/>
  <c r="AD309" i="9"/>
  <c r="AI311" i="9"/>
  <c r="AD311" i="9"/>
  <c r="AI314" i="9"/>
  <c r="AD314" i="9"/>
  <c r="AF197" i="9"/>
  <c r="AF133" i="9"/>
  <c r="AF87" i="9"/>
  <c r="AF95" i="9"/>
  <c r="AF103" i="9"/>
  <c r="AF216" i="9"/>
  <c r="AF58" i="9"/>
  <c r="AF39" i="9"/>
  <c r="AF309" i="9"/>
  <c r="AF6" i="9"/>
  <c r="AF27" i="9"/>
  <c r="AF11" i="9"/>
  <c r="AF54" i="9"/>
  <c r="AF109" i="9"/>
  <c r="AF97" i="9"/>
  <c r="AF89" i="9"/>
  <c r="AF77" i="9"/>
  <c r="AF43" i="9"/>
  <c r="AF40" i="9"/>
  <c r="AF308" i="9"/>
  <c r="AF306" i="9"/>
  <c r="AF81" i="9"/>
  <c r="AF24" i="9"/>
  <c r="AF8" i="9"/>
  <c r="AF298" i="9"/>
  <c r="AF112" i="9"/>
  <c r="AF80" i="9"/>
  <c r="AF64" i="9"/>
  <c r="AF101" i="9"/>
  <c r="AF311" i="9"/>
  <c r="AF45" i="9"/>
  <c r="AF163" i="9"/>
  <c r="AF187" i="9"/>
  <c r="AF198" i="9"/>
  <c r="AF177" i="9"/>
  <c r="AF149" i="9"/>
  <c r="AF143" i="9"/>
  <c r="AF199" i="9"/>
  <c r="AF209" i="9"/>
  <c r="AF113" i="9"/>
  <c r="AF137" i="9"/>
  <c r="AF223" i="9"/>
  <c r="AF154" i="9"/>
  <c r="AF136" i="9"/>
  <c r="AF132" i="9"/>
  <c r="AF114" i="9"/>
  <c r="AC322" i="9"/>
  <c r="AE361" i="9" s="1"/>
  <c r="AE439" i="9"/>
  <c r="AF155" i="9"/>
  <c r="AF179" i="9"/>
  <c r="AF65" i="9"/>
  <c r="AF73" i="9"/>
  <c r="AF303" i="9"/>
  <c r="AF167" i="9"/>
  <c r="AF59" i="9"/>
  <c r="AF219" i="9"/>
  <c r="AF211" i="9"/>
  <c r="AF295" i="9"/>
  <c r="AF91" i="9"/>
  <c r="AF107" i="9"/>
  <c r="AF119" i="9"/>
  <c r="AF293" i="9"/>
  <c r="AF205" i="9"/>
  <c r="AF62" i="9"/>
  <c r="AF70" i="9"/>
  <c r="AF307" i="9"/>
  <c r="AF31" i="9"/>
  <c r="AF19" i="9"/>
  <c r="AF38" i="9"/>
  <c r="AF300" i="9"/>
  <c r="AF105" i="9"/>
  <c r="AF93" i="9"/>
  <c r="AF85" i="9"/>
  <c r="AF51" i="9"/>
  <c r="AF35" i="9"/>
  <c r="AF56" i="9"/>
  <c r="AF48" i="9"/>
  <c r="AF32" i="9"/>
  <c r="AF16" i="9"/>
  <c r="AF315" i="9"/>
  <c r="AF104" i="9"/>
  <c r="AF88" i="9"/>
  <c r="AF72" i="9"/>
  <c r="AF69" i="9"/>
  <c r="AF61" i="9"/>
  <c r="AF131" i="9"/>
  <c r="AF220" i="9"/>
  <c r="AF204" i="9"/>
  <c r="AF210" i="9"/>
  <c r="AF129" i="9"/>
  <c r="AF292" i="9"/>
  <c r="AF125" i="9"/>
  <c r="AF201" i="9"/>
  <c r="AF218" i="9"/>
  <c r="AF225" i="9"/>
  <c r="AF215" i="9"/>
  <c r="AF124" i="9"/>
  <c r="AF158" i="9"/>
  <c r="AF142" i="9"/>
  <c r="AF168" i="9"/>
  <c r="AF180" i="9"/>
  <c r="AF186" i="9"/>
  <c r="AF126" i="9"/>
  <c r="AC344" i="9"/>
  <c r="AF271" i="9"/>
  <c r="AF258" i="9"/>
  <c r="AF273" i="9"/>
  <c r="AF270" i="9"/>
  <c r="AF275" i="9"/>
  <c r="AF266" i="9"/>
  <c r="AF260" i="9"/>
  <c r="AF262" i="9"/>
  <c r="AF267" i="9"/>
  <c r="AF268" i="9"/>
  <c r="AF261" i="9"/>
  <c r="AF269" i="9"/>
  <c r="AF256" i="9"/>
  <c r="AF243" i="9"/>
  <c r="AF237" i="9"/>
  <c r="AF253" i="9"/>
  <c r="AF254" i="9"/>
  <c r="AF242" i="9"/>
  <c r="AF249" i="9"/>
  <c r="AF235" i="9"/>
  <c r="AC340" i="9"/>
  <c r="AE246" i="9"/>
  <c r="AT246" i="9" s="1"/>
  <c r="AE252" i="9"/>
  <c r="AT252" i="9" s="1"/>
  <c r="AE233" i="9"/>
  <c r="AT233" i="9" s="1"/>
  <c r="AF241" i="9"/>
  <c r="AA467" i="9"/>
  <c r="AA340" i="9"/>
  <c r="AF230" i="9"/>
  <c r="AF289" i="9"/>
  <c r="AF287" i="9"/>
  <c r="AF283" i="9"/>
  <c r="AF285" i="9"/>
  <c r="AF280" i="9"/>
  <c r="AF162" i="9"/>
  <c r="AE146" i="9"/>
  <c r="AT146" i="9" s="1"/>
  <c r="AI146" i="9"/>
  <c r="AE141" i="9"/>
  <c r="AT141" i="9" s="1"/>
  <c r="AX141" i="9" s="1"/>
  <c r="AE157" i="9"/>
  <c r="AT157" i="9" s="1"/>
  <c r="AE176" i="9"/>
  <c r="AT176" i="9" s="1"/>
  <c r="AE120" i="9"/>
  <c r="AT120" i="9" s="1"/>
  <c r="AI215" i="9"/>
  <c r="AI116" i="9"/>
  <c r="AG263" i="9"/>
  <c r="AI126" i="9"/>
  <c r="AG289" i="9"/>
  <c r="AX289" i="9" s="1"/>
  <c r="BO289" i="9" s="1"/>
  <c r="AG276" i="9"/>
  <c r="AG103" i="9"/>
  <c r="AX103" i="9" s="1"/>
  <c r="BO103" i="9" s="1"/>
  <c r="AG107" i="9"/>
  <c r="AX107" i="9" s="1"/>
  <c r="BO107" i="9" s="1"/>
  <c r="AG111" i="9"/>
  <c r="AG196" i="9"/>
  <c r="AG293" i="9"/>
  <c r="AX293" i="9" s="1"/>
  <c r="BO293" i="9" s="1"/>
  <c r="AG184" i="9"/>
  <c r="AG193" i="9"/>
  <c r="AG221" i="9"/>
  <c r="AG127" i="9"/>
  <c r="AM4" i="9"/>
  <c r="AE434" i="9"/>
  <c r="AE437" i="9"/>
  <c r="AE435" i="9"/>
  <c r="AE433" i="9"/>
  <c r="AE165" i="9"/>
  <c r="AT165" i="9" s="1"/>
  <c r="AI165" i="9"/>
  <c r="AI226" i="9"/>
  <c r="AE226" i="9"/>
  <c r="AT226" i="9" s="1"/>
  <c r="AI236" i="9"/>
  <c r="AE236" i="9"/>
  <c r="AT236" i="9" s="1"/>
  <c r="AG161" i="9"/>
  <c r="AI161" i="9"/>
  <c r="AE161" i="9"/>
  <c r="AT161" i="9" s="1"/>
  <c r="AG185" i="9"/>
  <c r="AE185" i="9"/>
  <c r="AT185" i="9" s="1"/>
  <c r="AI185" i="9"/>
  <c r="AI208" i="9"/>
  <c r="AE208" i="9"/>
  <c r="AT208" i="9" s="1"/>
  <c r="AE231" i="9"/>
  <c r="AT231" i="9" s="1"/>
  <c r="AI231" i="9"/>
  <c r="AE247" i="9"/>
  <c r="AT247" i="9" s="1"/>
  <c r="AI247" i="9"/>
  <c r="AG282" i="9"/>
  <c r="AI282" i="9"/>
  <c r="AE282" i="9"/>
  <c r="AT282" i="9" s="1"/>
  <c r="AE12" i="9"/>
  <c r="AT12" i="9" s="1"/>
  <c r="AI12" i="9"/>
  <c r="AE20" i="9"/>
  <c r="AT20" i="9" s="1"/>
  <c r="AI20" i="9"/>
  <c r="AG140" i="9"/>
  <c r="AE140" i="9"/>
  <c r="AT140" i="9" s="1"/>
  <c r="AG224" i="9"/>
  <c r="AI224" i="9"/>
  <c r="AE224" i="9"/>
  <c r="AT224" i="9" s="1"/>
  <c r="AI200" i="9"/>
  <c r="AE200" i="9"/>
  <c r="AT200" i="9" s="1"/>
  <c r="AI284" i="9"/>
  <c r="AE284" i="9"/>
  <c r="AT284" i="9" s="1"/>
  <c r="AG294" i="9"/>
  <c r="AI294" i="9"/>
  <c r="AE294" i="9"/>
  <c r="AT294" i="9" s="1"/>
  <c r="AG123" i="9"/>
  <c r="AE123" i="9"/>
  <c r="AT123" i="9" s="1"/>
  <c r="AI222" i="9"/>
  <c r="AE222" i="9"/>
  <c r="AT222" i="9" s="1"/>
  <c r="AG68" i="9"/>
  <c r="AE68" i="9"/>
  <c r="AT68" i="9" s="1"/>
  <c r="AG76" i="9"/>
  <c r="AE76" i="9"/>
  <c r="AT76" i="9" s="1"/>
  <c r="AG84" i="9"/>
  <c r="AE84" i="9"/>
  <c r="AT84" i="9" s="1"/>
  <c r="AG92" i="9"/>
  <c r="AE92" i="9"/>
  <c r="AT92" i="9" s="1"/>
  <c r="AG100" i="9"/>
  <c r="AE100" i="9"/>
  <c r="AT100" i="9" s="1"/>
  <c r="AG108" i="9"/>
  <c r="AE108" i="9"/>
  <c r="AT108" i="9" s="1"/>
  <c r="AG299" i="9"/>
  <c r="AI299" i="9"/>
  <c r="AG316" i="9"/>
  <c r="AI316" i="9"/>
  <c r="AG255" i="9"/>
  <c r="AE255" i="9"/>
  <c r="AT255" i="9" s="1"/>
  <c r="AG298" i="9"/>
  <c r="AX298" i="9" s="1"/>
  <c r="AI298" i="9"/>
  <c r="AK4" i="9"/>
  <c r="AJ4" i="9"/>
  <c r="AJ44" i="9" s="1"/>
  <c r="AL44" i="9" s="1"/>
  <c r="AM44" i="9" s="1"/>
  <c r="Z4" i="9"/>
  <c r="W1" i="9"/>
  <c r="W4" i="9"/>
  <c r="W300" i="9" s="1"/>
  <c r="AG172" i="9"/>
  <c r="AG273" i="9"/>
  <c r="AX273" i="9" s="1"/>
  <c r="BO273" i="9" s="1"/>
  <c r="AG145" i="9"/>
  <c r="AG192" i="9"/>
  <c r="AG259" i="9"/>
  <c r="AE23" i="9"/>
  <c r="AT23" i="9" s="1"/>
  <c r="AE15" i="9"/>
  <c r="AT15" i="9" s="1"/>
  <c r="AE7" i="9"/>
  <c r="AT7" i="9" s="1"/>
  <c r="AE46" i="9"/>
  <c r="AT46" i="9" s="1"/>
  <c r="AI107" i="9"/>
  <c r="AI103" i="9"/>
  <c r="AI73" i="9"/>
  <c r="AE299" i="9"/>
  <c r="AT299" i="9" s="1"/>
  <c r="AI100" i="9"/>
  <c r="AI92" i="9"/>
  <c r="AI84" i="9"/>
  <c r="AI76" i="9"/>
  <c r="AI23" i="9"/>
  <c r="AI15" i="9"/>
  <c r="AI59" i="9"/>
  <c r="AE314" i="9"/>
  <c r="AT314" i="9" s="1"/>
  <c r="AI269" i="9"/>
  <c r="AI65" i="9"/>
  <c r="AI68" i="9"/>
  <c r="AE316" i="9"/>
  <c r="AT316" i="9" s="1"/>
  <c r="AI255" i="9"/>
  <c r="AE53" i="9"/>
  <c r="AT53" i="9" s="1"/>
  <c r="AE37" i="9"/>
  <c r="AT37" i="9" s="1"/>
  <c r="AG5" i="9"/>
  <c r="AC433" i="9"/>
  <c r="AE5" i="9"/>
  <c r="AT5" i="9" s="1"/>
  <c r="AI123" i="9"/>
  <c r="AI179" i="9"/>
  <c r="AI137" i="9"/>
  <c r="AI225" i="9"/>
  <c r="AI241" i="9"/>
  <c r="AI280" i="9"/>
  <c r="AI177" i="9"/>
  <c r="AE160" i="9"/>
  <c r="AT160" i="9" s="1"/>
  <c r="AE188" i="9"/>
  <c r="AT188" i="9" s="1"/>
  <c r="AG290" i="9"/>
  <c r="AI290" i="9"/>
  <c r="AE290" i="9"/>
  <c r="AT290" i="9" s="1"/>
  <c r="AG168" i="9"/>
  <c r="AX168" i="9" s="1"/>
  <c r="BO168" i="9" s="1"/>
  <c r="AI168" i="9"/>
  <c r="AG240" i="9"/>
  <c r="AI240" i="9"/>
  <c r="AE240" i="9"/>
  <c r="AT240" i="9" s="1"/>
  <c r="AG297" i="9"/>
  <c r="AE297" i="9"/>
  <c r="AT297" i="9" s="1"/>
  <c r="AI297" i="9"/>
  <c r="AI58" i="9"/>
  <c r="AE47" i="9"/>
  <c r="AT47" i="9" s="1"/>
  <c r="AI17" i="9"/>
  <c r="AI309" i="9"/>
  <c r="AE319" i="9"/>
  <c r="AT319" i="9" s="1"/>
  <c r="AI318" i="9"/>
  <c r="AA324" i="9"/>
  <c r="AA447" i="9"/>
  <c r="AA457" i="9"/>
  <c r="AG279" i="9"/>
  <c r="AG275" i="9"/>
  <c r="AX275" i="9" s="1"/>
  <c r="BO275" i="9" s="1"/>
  <c r="AG152" i="9"/>
  <c r="AG257" i="9"/>
  <c r="AG128" i="9"/>
  <c r="AG144" i="9"/>
  <c r="AG21" i="9"/>
  <c r="AG25" i="9"/>
  <c r="AG29" i="9"/>
  <c r="AE130" i="9"/>
  <c r="AT130" i="9" s="1"/>
  <c r="AI130" i="9"/>
  <c r="AA452" i="9"/>
  <c r="AA472" i="9" s="1"/>
  <c r="AA462" i="9"/>
  <c r="AB150" i="9"/>
  <c r="AD150" i="9"/>
  <c r="AM150" i="9"/>
  <c r="AI150" i="9"/>
  <c r="AG150" i="9"/>
  <c r="AE150" i="9"/>
  <c r="AT150" i="9" s="1"/>
  <c r="AD138" i="9"/>
  <c r="AM138" i="9"/>
  <c r="AB138" i="9"/>
  <c r="AI138" i="9"/>
  <c r="AG138" i="9"/>
  <c r="AE138" i="9"/>
  <c r="AT138" i="9" s="1"/>
  <c r="AB194" i="9"/>
  <c r="AD194" i="9"/>
  <c r="AE194" i="9"/>
  <c r="AT194" i="9" s="1"/>
  <c r="AI194" i="9"/>
  <c r="AG194" i="9"/>
  <c r="AX194" i="9" s="1"/>
  <c r="AD190" i="9"/>
  <c r="AM190" i="9"/>
  <c r="AB190" i="9"/>
  <c r="AE190" i="9"/>
  <c r="AT190" i="9" s="1"/>
  <c r="AI190" i="9"/>
  <c r="AG190" i="9"/>
  <c r="AX190" i="9" s="1"/>
  <c r="AD182" i="9"/>
  <c r="AB182" i="9"/>
  <c r="AG182" i="9"/>
  <c r="AE182" i="9"/>
  <c r="AT182" i="9" s="1"/>
  <c r="AI182" i="9"/>
  <c r="AB166" i="9"/>
  <c r="AD166" i="9"/>
  <c r="AM166" i="9"/>
  <c r="AI166" i="9"/>
  <c r="AE166" i="9"/>
  <c r="AT166" i="9" s="1"/>
  <c r="AG166" i="9"/>
  <c r="AB134" i="9"/>
  <c r="AD134" i="9"/>
  <c r="AM134" i="9"/>
  <c r="AI134" i="9"/>
  <c r="AE134" i="9"/>
  <c r="AT134" i="9" s="1"/>
  <c r="AG134" i="9"/>
  <c r="W307" i="9"/>
  <c r="W315" i="9"/>
  <c r="X315" i="9" s="1"/>
  <c r="W271" i="9"/>
  <c r="W287" i="9"/>
  <c r="W185" i="9"/>
  <c r="W259" i="9"/>
  <c r="W248" i="9"/>
  <c r="W232" i="9"/>
  <c r="W209" i="9"/>
  <c r="W182" i="9"/>
  <c r="W158" i="9"/>
  <c r="W146" i="9"/>
  <c r="W132" i="9"/>
  <c r="W118" i="9"/>
  <c r="W49" i="9"/>
  <c r="W237" i="9"/>
  <c r="W198" i="9"/>
  <c r="W163" i="9"/>
  <c r="W284" i="9"/>
  <c r="W223" i="9"/>
  <c r="W161" i="9"/>
  <c r="W170" i="9"/>
  <c r="W126" i="9"/>
  <c r="W116" i="9"/>
  <c r="W110" i="9"/>
  <c r="W104" i="9"/>
  <c r="W100" i="9"/>
  <c r="W96" i="9"/>
  <c r="W92" i="9"/>
  <c r="W88" i="9"/>
  <c r="W84" i="9"/>
  <c r="W80" i="9"/>
  <c r="W76" i="9"/>
  <c r="W72" i="9"/>
  <c r="W66" i="9"/>
  <c r="W62" i="9"/>
  <c r="W58" i="9"/>
  <c r="W54" i="9"/>
  <c r="W48" i="9"/>
  <c r="W44" i="9"/>
  <c r="W34" i="9"/>
  <c r="W28" i="9"/>
  <c r="W20" i="9"/>
  <c r="W39" i="9"/>
  <c r="W33" i="9"/>
  <c r="W23" i="9"/>
  <c r="W15" i="9"/>
  <c r="W8" i="9"/>
  <c r="W6" i="9"/>
  <c r="AD250" i="9"/>
  <c r="AB250" i="9"/>
  <c r="AM291" i="9"/>
  <c r="AB291" i="9"/>
  <c r="AD291" i="9"/>
  <c r="AD189" i="9"/>
  <c r="AM189" i="9"/>
  <c r="AB189" i="9"/>
  <c r="AM227" i="9"/>
  <c r="AB227" i="9"/>
  <c r="AD227" i="9"/>
  <c r="AB251" i="9"/>
  <c r="AD251" i="9"/>
  <c r="AG191" i="9"/>
  <c r="AD191" i="9"/>
  <c r="AB191" i="9"/>
  <c r="AD286" i="9"/>
  <c r="AB286" i="9"/>
  <c r="AG159" i="9"/>
  <c r="AD159" i="9"/>
  <c r="AB159" i="9"/>
  <c r="AM159" i="9"/>
  <c r="AD169" i="9"/>
  <c r="AM169" i="9"/>
  <c r="AB169" i="9"/>
  <c r="AG44" i="9"/>
  <c r="AB44" i="9"/>
  <c r="AD44" i="9"/>
  <c r="AD10" i="9"/>
  <c r="AM10" i="9"/>
  <c r="AB10" i="9"/>
  <c r="AD18" i="9"/>
  <c r="AB18" i="9"/>
  <c r="AD26" i="9"/>
  <c r="AB26" i="9"/>
  <c r="AD34" i="9"/>
  <c r="AB34" i="9"/>
  <c r="AB49" i="9"/>
  <c r="AM49" i="9"/>
  <c r="AD49" i="9"/>
  <c r="AD63" i="9"/>
  <c r="AB63" i="9"/>
  <c r="AD71" i="9"/>
  <c r="AB71" i="9"/>
  <c r="AD79" i="9"/>
  <c r="AB79" i="9"/>
  <c r="AG99" i="9"/>
  <c r="AB99" i="9"/>
  <c r="AD99" i="9"/>
  <c r="AD265" i="9"/>
  <c r="AB265" i="9"/>
  <c r="AG301" i="9"/>
  <c r="AD301" i="9"/>
  <c r="AB301" i="9"/>
  <c r="AB310" i="9"/>
  <c r="AB117" i="9"/>
  <c r="AD117" i="9"/>
  <c r="AM117" i="9"/>
  <c r="AG203" i="9"/>
  <c r="AB203" i="9"/>
  <c r="AD203" i="9"/>
  <c r="AD148" i="9"/>
  <c r="AM148" i="9"/>
  <c r="AB148" i="9"/>
  <c r="AD248" i="9"/>
  <c r="AB248" i="9"/>
  <c r="AM229" i="9"/>
  <c r="AB229" i="9"/>
  <c r="AD229" i="9"/>
  <c r="AB245" i="9"/>
  <c r="AD245" i="9"/>
  <c r="AG181" i="9"/>
  <c r="AD181" i="9"/>
  <c r="AM181" i="9"/>
  <c r="AB181" i="9"/>
  <c r="AG50" i="9"/>
  <c r="AD50" i="9"/>
  <c r="AM50" i="9"/>
  <c r="AB50" i="9"/>
  <c r="AG55" i="9"/>
  <c r="AD55" i="9"/>
  <c r="AB55" i="9"/>
  <c r="AB66" i="9"/>
  <c r="AD66" i="9"/>
  <c r="AD74" i="9"/>
  <c r="AM74" i="9"/>
  <c r="AB74" i="9"/>
  <c r="AD82" i="9"/>
  <c r="AB82" i="9"/>
  <c r="AD90" i="9"/>
  <c r="AB90" i="9"/>
  <c r="AD98" i="9"/>
  <c r="AB98" i="9"/>
  <c r="AM106" i="9"/>
  <c r="AB106" i="9"/>
  <c r="AD106" i="9"/>
  <c r="AD110" i="9"/>
  <c r="AB110" i="9"/>
  <c r="AD274" i="9"/>
  <c r="AB274" i="9"/>
  <c r="AG304" i="9"/>
  <c r="AB304" i="9"/>
  <c r="AD304" i="9"/>
  <c r="AD264" i="9"/>
  <c r="AB264" i="9"/>
  <c r="AB272" i="9"/>
  <c r="AD272" i="9"/>
  <c r="AG302" i="9"/>
  <c r="AD302" i="9"/>
  <c r="AB302" i="9"/>
  <c r="AE264" i="9"/>
  <c r="AT264" i="9" s="1"/>
  <c r="AE317" i="9"/>
  <c r="AT317" i="9" s="1"/>
  <c r="AI39" i="9"/>
  <c r="AI310" i="9"/>
  <c r="AE102" i="9"/>
  <c r="AT102" i="9" s="1"/>
  <c r="AE98" i="9"/>
  <c r="AT98" i="9" s="1"/>
  <c r="AE94" i="9"/>
  <c r="AT94" i="9" s="1"/>
  <c r="AE90" i="9"/>
  <c r="AT90" i="9" s="1"/>
  <c r="AE86" i="9"/>
  <c r="AT86" i="9" s="1"/>
  <c r="AE82" i="9"/>
  <c r="AT82" i="9" s="1"/>
  <c r="AI50" i="9"/>
  <c r="AI304" i="9"/>
  <c r="AE111" i="9"/>
  <c r="AT111" i="9" s="1"/>
  <c r="AE99" i="9"/>
  <c r="AT99" i="9" s="1"/>
  <c r="AE55" i="9"/>
  <c r="AT55" i="9" s="1"/>
  <c r="AE310" i="9"/>
  <c r="AT310" i="9" s="1"/>
  <c r="AI110" i="9"/>
  <c r="AI106" i="9"/>
  <c r="AI98" i="9"/>
  <c r="AI90" i="9"/>
  <c r="AI82" i="9"/>
  <c r="AI74" i="9"/>
  <c r="AI70" i="9"/>
  <c r="AI66" i="9"/>
  <c r="AI62" i="9"/>
  <c r="AI301" i="9"/>
  <c r="AI272" i="9"/>
  <c r="AI265" i="9"/>
  <c r="AE50" i="9"/>
  <c r="AT50" i="9" s="1"/>
  <c r="AE304" i="9"/>
  <c r="AT304" i="9" s="1"/>
  <c r="AE74" i="9"/>
  <c r="AT74" i="9" s="1"/>
  <c r="AE66" i="9"/>
  <c r="AT66" i="9" s="1"/>
  <c r="AI274" i="9"/>
  <c r="AI79" i="9"/>
  <c r="AI71" i="9"/>
  <c r="AI63" i="9"/>
  <c r="AI49" i="9"/>
  <c r="AI34" i="9"/>
  <c r="AI26" i="9"/>
  <c r="AI18" i="9"/>
  <c r="AI10" i="9"/>
  <c r="AI119" i="9"/>
  <c r="AI133" i="9"/>
  <c r="AI181" i="9"/>
  <c r="AI216" i="9"/>
  <c r="AI197" i="9"/>
  <c r="AI203" i="9"/>
  <c r="AI205" i="9"/>
  <c r="AI211" i="9"/>
  <c r="AE276" i="9"/>
  <c r="AT276" i="9" s="1"/>
  <c r="AE117" i="9"/>
  <c r="AT117" i="9" s="1"/>
  <c r="AE145" i="9"/>
  <c r="AT145" i="9" s="1"/>
  <c r="AE193" i="9"/>
  <c r="AT193" i="9" s="1"/>
  <c r="AI227" i="9"/>
  <c r="AI229" i="9"/>
  <c r="AI235" i="9"/>
  <c r="AI237" i="9"/>
  <c r="AI243" i="9"/>
  <c r="AI245" i="9"/>
  <c r="AI251" i="9"/>
  <c r="AI253" i="9"/>
  <c r="AI287" i="9"/>
  <c r="AI289" i="9"/>
  <c r="AI291" i="9"/>
  <c r="AI293" i="9"/>
  <c r="AI295" i="9"/>
  <c r="AE181" i="9"/>
  <c r="AT181" i="9" s="1"/>
  <c r="AI159" i="9"/>
  <c r="AI191" i="9"/>
  <c r="AE203" i="9"/>
  <c r="AT203" i="9" s="1"/>
  <c r="AI117" i="9"/>
  <c r="AE227" i="9"/>
  <c r="AT227" i="9" s="1"/>
  <c r="AE229" i="9"/>
  <c r="AT229" i="9" s="1"/>
  <c r="AE245" i="9"/>
  <c r="AT245" i="9" s="1"/>
  <c r="AE251" i="9"/>
  <c r="AT251" i="9" s="1"/>
  <c r="AE291" i="9"/>
  <c r="AT291" i="9" s="1"/>
  <c r="AE118" i="9"/>
  <c r="AT118" i="9" s="1"/>
  <c r="AA320" i="9"/>
  <c r="AC439" i="9" s="1"/>
  <c r="AE279" i="9"/>
  <c r="AT279" i="9" s="1"/>
  <c r="AI148" i="9"/>
  <c r="AB158" i="9"/>
  <c r="AD158" i="9"/>
  <c r="AB142" i="9"/>
  <c r="AD142" i="9"/>
  <c r="AM142" i="9"/>
  <c r="AD174" i="9"/>
  <c r="AB174" i="9"/>
  <c r="AE174" i="9"/>
  <c r="AT174" i="9" s="1"/>
  <c r="AD186" i="9"/>
  <c r="AB186" i="9"/>
  <c r="AD170" i="9"/>
  <c r="AB170" i="9"/>
  <c r="AD122" i="9"/>
  <c r="AB122" i="9"/>
  <c r="AM122" i="9"/>
  <c r="AJ80" i="9"/>
  <c r="AL80" i="9" s="1"/>
  <c r="AM80" i="9" s="1"/>
  <c r="AJ96" i="9"/>
  <c r="AJ179" i="9"/>
  <c r="AL179" i="9" s="1"/>
  <c r="AJ209" i="9"/>
  <c r="AB146" i="9"/>
  <c r="AD146" i="9"/>
  <c r="AM146" i="9"/>
  <c r="AA332" i="9"/>
  <c r="AJ117" i="9"/>
  <c r="AL117" i="9" s="1"/>
  <c r="AJ146" i="9"/>
  <c r="AB162" i="9"/>
  <c r="AD162" i="9"/>
  <c r="AJ196" i="9"/>
  <c r="AL196" i="9" s="1"/>
  <c r="AM196" i="9" s="1"/>
  <c r="AJ192" i="9"/>
  <c r="AA336" i="9"/>
  <c r="AG165" i="9"/>
  <c r="AX165" i="9" s="1"/>
  <c r="AD165" i="9"/>
  <c r="AB165" i="9"/>
  <c r="AB124" i="9"/>
  <c r="AD124" i="9"/>
  <c r="AD226" i="9"/>
  <c r="AM226" i="9"/>
  <c r="AB226" i="9"/>
  <c r="AD242" i="9"/>
  <c r="AB242" i="9"/>
  <c r="AG142" i="9"/>
  <c r="AX142" i="9" s="1"/>
  <c r="BO142" i="9" s="1"/>
  <c r="AG207" i="9"/>
  <c r="AX207" i="9" s="1"/>
  <c r="AB207" i="9"/>
  <c r="AD207" i="9"/>
  <c r="AD236" i="9"/>
  <c r="AB236" i="9"/>
  <c r="AD252" i="9"/>
  <c r="AB252" i="9"/>
  <c r="AG146" i="9"/>
  <c r="AX146" i="9" s="1"/>
  <c r="AG198" i="9"/>
  <c r="AX198" i="9" s="1"/>
  <c r="BO198" i="9" s="1"/>
  <c r="AD198" i="9"/>
  <c r="AB198" i="9"/>
  <c r="AM223" i="9"/>
  <c r="AB223" i="9"/>
  <c r="AD223" i="9"/>
  <c r="AB231" i="9"/>
  <c r="AD231" i="9"/>
  <c r="AB239" i="9"/>
  <c r="AD239" i="9"/>
  <c r="AB247" i="9"/>
  <c r="AD247" i="9"/>
  <c r="AG186" i="9"/>
  <c r="AX186" i="9" s="1"/>
  <c r="BO186" i="9" s="1"/>
  <c r="AG143" i="9"/>
  <c r="AX143" i="9" s="1"/>
  <c r="BO143" i="9" s="1"/>
  <c r="AD143" i="9"/>
  <c r="AB143" i="9"/>
  <c r="AM143" i="9"/>
  <c r="AG163" i="9"/>
  <c r="AX163" i="9" s="1"/>
  <c r="BO163" i="9" s="1"/>
  <c r="AB163" i="9"/>
  <c r="AD163" i="9"/>
  <c r="AG204" i="9"/>
  <c r="AX204" i="9" s="1"/>
  <c r="BO204" i="9" s="1"/>
  <c r="AD204" i="9"/>
  <c r="AM204" i="9"/>
  <c r="AB204" i="9"/>
  <c r="AG48" i="9"/>
  <c r="AX48" i="9" s="1"/>
  <c r="BO48" i="9" s="1"/>
  <c r="AD48" i="9"/>
  <c r="AB48" i="9"/>
  <c r="AG8" i="9"/>
  <c r="AX8" i="9" s="1"/>
  <c r="BO8" i="9" s="1"/>
  <c r="AM8" i="9"/>
  <c r="AB8" i="9"/>
  <c r="AD8" i="9"/>
  <c r="AG16" i="9"/>
  <c r="AX16" i="9" s="1"/>
  <c r="BO16" i="9" s="1"/>
  <c r="AB16" i="9"/>
  <c r="AD16" i="9"/>
  <c r="AG24" i="9"/>
  <c r="AX24" i="9" s="1"/>
  <c r="BO24" i="9" s="1"/>
  <c r="AB24" i="9"/>
  <c r="AD24" i="9"/>
  <c r="AG32" i="9"/>
  <c r="AX32" i="9" s="1"/>
  <c r="BO32" i="9" s="1"/>
  <c r="AB32" i="9"/>
  <c r="AD32" i="9"/>
  <c r="AD37" i="9"/>
  <c r="AB37" i="9"/>
  <c r="AD45" i="9"/>
  <c r="AB45" i="9"/>
  <c r="AD53" i="9"/>
  <c r="AB53" i="9"/>
  <c r="AB61" i="9"/>
  <c r="AD61" i="9"/>
  <c r="AG69" i="9"/>
  <c r="AX69" i="9" s="1"/>
  <c r="BO69" i="9" s="1"/>
  <c r="AD69" i="9"/>
  <c r="AB69" i="9"/>
  <c r="AG77" i="9"/>
  <c r="AX77" i="9" s="1"/>
  <c r="BO77" i="9" s="1"/>
  <c r="AD77" i="9"/>
  <c r="AB77" i="9"/>
  <c r="AG85" i="9"/>
  <c r="AX85" i="9" s="1"/>
  <c r="BO85" i="9" s="1"/>
  <c r="AB85" i="9"/>
  <c r="AD85" i="9"/>
  <c r="AG93" i="9"/>
  <c r="AX93" i="9" s="1"/>
  <c r="BO93" i="9" s="1"/>
  <c r="AD93" i="9"/>
  <c r="AB93" i="9"/>
  <c r="AG101" i="9"/>
  <c r="AX101" i="9" s="1"/>
  <c r="BO101" i="9" s="1"/>
  <c r="AD101" i="9"/>
  <c r="AB101" i="9"/>
  <c r="AD262" i="9"/>
  <c r="AB262" i="9"/>
  <c r="AD270" i="9"/>
  <c r="AB270" i="9"/>
  <c r="AD269" i="9"/>
  <c r="AB269" i="9"/>
  <c r="AG300" i="9"/>
  <c r="AX300" i="9" s="1"/>
  <c r="AB300" i="9"/>
  <c r="AD300" i="9"/>
  <c r="AM300" i="9"/>
  <c r="AG307" i="9"/>
  <c r="AX307" i="9" s="1"/>
  <c r="BO307" i="9" s="1"/>
  <c r="AB307" i="9"/>
  <c r="AD307" i="9"/>
  <c r="AB311" i="9"/>
  <c r="AB315" i="9"/>
  <c r="AD113" i="9"/>
  <c r="AM113" i="9"/>
  <c r="AB113" i="9"/>
  <c r="AD136" i="9"/>
  <c r="AM136" i="9"/>
  <c r="AB136" i="9"/>
  <c r="AB160" i="9"/>
  <c r="AD160" i="9"/>
  <c r="AM160" i="9"/>
  <c r="AD230" i="9"/>
  <c r="AB230" i="9"/>
  <c r="AD246" i="9"/>
  <c r="AB246" i="9"/>
  <c r="AG209" i="9"/>
  <c r="AX209" i="9" s="1"/>
  <c r="BO209" i="9" s="1"/>
  <c r="AB209" i="9"/>
  <c r="AD209" i="9"/>
  <c r="AB283" i="9"/>
  <c r="AD283" i="9"/>
  <c r="AD132" i="9"/>
  <c r="AM132" i="9"/>
  <c r="AB132" i="9"/>
  <c r="AD180" i="9"/>
  <c r="AM180" i="9"/>
  <c r="AB180" i="9"/>
  <c r="AG210" i="9"/>
  <c r="AX210" i="9" s="1"/>
  <c r="BO210" i="9" s="1"/>
  <c r="AD210" i="9"/>
  <c r="AB210" i="9"/>
  <c r="AB285" i="9"/>
  <c r="AD285" i="9"/>
  <c r="AB188" i="9"/>
  <c r="AD188" i="9"/>
  <c r="AM188" i="9"/>
  <c r="AD218" i="9"/>
  <c r="AB218" i="9"/>
  <c r="AD284" i="9"/>
  <c r="AB284" i="9"/>
  <c r="AD292" i="9"/>
  <c r="AM292" i="9"/>
  <c r="AB292" i="9"/>
  <c r="AD294" i="9"/>
  <c r="AM294" i="9"/>
  <c r="AB294" i="9"/>
  <c r="AD114" i="9"/>
  <c r="AB114" i="9"/>
  <c r="AB123" i="9"/>
  <c r="AD123" i="9"/>
  <c r="AG167" i="9"/>
  <c r="AX167" i="9" s="1"/>
  <c r="BO167" i="9" s="1"/>
  <c r="AD167" i="9"/>
  <c r="AB167" i="9"/>
  <c r="AM167" i="9"/>
  <c r="AG222" i="9"/>
  <c r="AX222" i="9" s="1"/>
  <c r="AD222" i="9"/>
  <c r="AM222" i="9"/>
  <c r="AB222" i="9"/>
  <c r="AG46" i="9"/>
  <c r="AX46" i="9" s="1"/>
  <c r="AB46" i="9"/>
  <c r="AD46" i="9"/>
  <c r="AG7" i="9"/>
  <c r="AM7" i="9"/>
  <c r="AB7" i="9"/>
  <c r="AD7" i="9"/>
  <c r="AC324" i="9"/>
  <c r="AD11" i="9"/>
  <c r="AM11" i="9"/>
  <c r="AB11" i="9"/>
  <c r="AD15" i="9"/>
  <c r="AB15" i="9"/>
  <c r="AB19" i="9"/>
  <c r="AD19" i="9"/>
  <c r="AD23" i="9"/>
  <c r="AB23" i="9"/>
  <c r="AD27" i="9"/>
  <c r="AB27" i="9"/>
  <c r="AD31" i="9"/>
  <c r="AM31" i="9"/>
  <c r="AB31" i="9"/>
  <c r="AG43" i="9"/>
  <c r="AX43" i="9" s="1"/>
  <c r="BO43" i="9" s="1"/>
  <c r="AB43" i="9"/>
  <c r="AD43" i="9"/>
  <c r="AC328" i="9"/>
  <c r="AD51" i="9"/>
  <c r="AB51" i="9"/>
  <c r="AD268" i="9"/>
  <c r="AB268" i="9"/>
  <c r="AB267" i="9"/>
  <c r="AM267" i="9"/>
  <c r="AD267" i="9"/>
  <c r="AG308" i="9"/>
  <c r="AX308" i="9" s="1"/>
  <c r="AM308" i="9"/>
  <c r="AB308" i="9"/>
  <c r="AD308" i="9"/>
  <c r="AM316" i="9"/>
  <c r="AB316" i="9"/>
  <c r="AD316" i="9"/>
  <c r="AB271" i="9"/>
  <c r="AD271" i="9"/>
  <c r="AG306" i="9"/>
  <c r="AX306" i="9" s="1"/>
  <c r="AD306" i="9"/>
  <c r="AB306" i="9"/>
  <c r="AC320" i="9"/>
  <c r="AC441" i="9" s="1"/>
  <c r="AM6" i="9"/>
  <c r="AB6" i="9"/>
  <c r="AG170" i="9"/>
  <c r="AL266" i="9"/>
  <c r="AL213" i="9"/>
  <c r="AL242" i="9"/>
  <c r="AM242" i="9" s="1"/>
  <c r="AL105" i="9"/>
  <c r="AL227" i="9"/>
  <c r="AL233" i="9"/>
  <c r="AM233" i="9" s="1"/>
  <c r="AG147" i="9"/>
  <c r="AB147" i="9"/>
  <c r="AM147" i="9"/>
  <c r="AD147" i="9"/>
  <c r="AD234" i="9"/>
  <c r="AB234" i="9"/>
  <c r="AG133" i="9"/>
  <c r="AX133" i="9" s="1"/>
  <c r="BO133" i="9" s="1"/>
  <c r="AD133" i="9"/>
  <c r="AM133" i="9"/>
  <c r="AB133" i="9"/>
  <c r="AG211" i="9"/>
  <c r="AX211" i="9" s="1"/>
  <c r="BO211" i="9" s="1"/>
  <c r="AB211" i="9"/>
  <c r="AD211" i="9"/>
  <c r="AG171" i="9"/>
  <c r="AB171" i="9"/>
  <c r="AM171" i="9"/>
  <c r="AD171" i="9"/>
  <c r="AG202" i="9"/>
  <c r="AD202" i="9"/>
  <c r="AB202" i="9"/>
  <c r="AB235" i="9"/>
  <c r="AD235" i="9"/>
  <c r="AM243" i="9"/>
  <c r="AB243" i="9"/>
  <c r="AD243" i="9"/>
  <c r="AD219" i="9"/>
  <c r="AB219" i="9"/>
  <c r="AM295" i="9"/>
  <c r="AB295" i="9"/>
  <c r="AD295" i="9"/>
  <c r="AD118" i="9"/>
  <c r="AB118" i="9"/>
  <c r="AD214" i="9"/>
  <c r="AM214" i="9"/>
  <c r="AB214" i="9"/>
  <c r="AG60" i="9"/>
  <c r="AB60" i="9"/>
  <c r="AD60" i="9"/>
  <c r="AM14" i="9"/>
  <c r="AB14" i="9"/>
  <c r="AD14" i="9"/>
  <c r="AB22" i="9"/>
  <c r="AD22" i="9"/>
  <c r="AB30" i="9"/>
  <c r="AD30" i="9"/>
  <c r="AB41" i="9"/>
  <c r="AD41" i="9"/>
  <c r="AB57" i="9"/>
  <c r="AD57" i="9"/>
  <c r="AB67" i="9"/>
  <c r="AD67" i="9"/>
  <c r="AB75" i="9"/>
  <c r="AD75" i="9"/>
  <c r="AB83" i="9"/>
  <c r="AD83" i="9"/>
  <c r="AG91" i="9"/>
  <c r="AX91" i="9" s="1"/>
  <c r="BO91" i="9" s="1"/>
  <c r="AD91" i="9"/>
  <c r="AB91" i="9"/>
  <c r="AM266" i="9"/>
  <c r="AB266" i="9"/>
  <c r="AD266" i="9"/>
  <c r="AB305" i="9"/>
  <c r="AD305" i="9"/>
  <c r="AG317" i="9"/>
  <c r="AX317" i="9" s="1"/>
  <c r="AD317" i="9"/>
  <c r="AM317" i="9"/>
  <c r="AB317" i="9"/>
  <c r="AB156" i="9"/>
  <c r="AD156" i="9"/>
  <c r="AB287" i="9"/>
  <c r="AD287" i="9"/>
  <c r="AD232" i="9"/>
  <c r="AB232" i="9"/>
  <c r="AG206" i="9"/>
  <c r="AD206" i="9"/>
  <c r="AB206" i="9"/>
  <c r="AB237" i="9"/>
  <c r="AD237" i="9"/>
  <c r="AB253" i="9"/>
  <c r="AD253" i="9"/>
  <c r="AD173" i="9"/>
  <c r="AB173" i="9"/>
  <c r="AG205" i="9"/>
  <c r="AX205" i="9" s="1"/>
  <c r="BO205" i="9" s="1"/>
  <c r="AM205" i="9"/>
  <c r="AB205" i="9"/>
  <c r="AD205" i="9"/>
  <c r="AG39" i="9"/>
  <c r="AX39" i="9" s="1"/>
  <c r="BO39" i="9" s="1"/>
  <c r="AD39" i="9"/>
  <c r="AB39" i="9"/>
  <c r="AB62" i="9"/>
  <c r="AD62" i="9"/>
  <c r="AB70" i="9"/>
  <c r="AD70" i="9"/>
  <c r="AD78" i="9"/>
  <c r="AB78" i="9"/>
  <c r="AD86" i="9"/>
  <c r="AB86" i="9"/>
  <c r="AD94" i="9"/>
  <c r="AB94" i="9"/>
  <c r="AD102" i="9"/>
  <c r="AB102" i="9"/>
  <c r="AB279" i="9"/>
  <c r="AD279" i="9"/>
  <c r="AM279" i="9"/>
  <c r="AD275" i="9"/>
  <c r="AM275" i="9"/>
  <c r="AB275" i="9"/>
  <c r="AD115" i="9"/>
  <c r="AB115" i="9"/>
  <c r="AG197" i="9"/>
  <c r="AX197" i="9" s="1"/>
  <c r="BO197" i="9" s="1"/>
  <c r="AB197" i="9"/>
  <c r="AD197" i="9"/>
  <c r="AB217" i="9"/>
  <c r="AD217" i="9"/>
  <c r="AG234" i="9"/>
  <c r="AG250" i="9"/>
  <c r="AG151" i="9"/>
  <c r="AD151" i="9"/>
  <c r="AB151" i="9"/>
  <c r="AM151" i="9"/>
  <c r="AB172" i="9"/>
  <c r="AD172" i="9"/>
  <c r="AM172" i="9"/>
  <c r="AD228" i="9"/>
  <c r="AM228" i="9"/>
  <c r="AB228" i="9"/>
  <c r="AD244" i="9"/>
  <c r="AB244" i="9"/>
  <c r="AG291" i="9"/>
  <c r="AG135" i="9"/>
  <c r="AD135" i="9"/>
  <c r="AB135" i="9"/>
  <c r="AM135" i="9"/>
  <c r="AD152" i="9"/>
  <c r="AM152" i="9"/>
  <c r="AB152" i="9"/>
  <c r="AG183" i="9"/>
  <c r="AD183" i="9"/>
  <c r="AB183" i="9"/>
  <c r="AG189" i="9"/>
  <c r="AG212" i="9"/>
  <c r="AD212" i="9"/>
  <c r="AB212" i="9"/>
  <c r="AG227" i="9"/>
  <c r="AX227" i="9" s="1"/>
  <c r="AG235" i="9"/>
  <c r="AX235" i="9" s="1"/>
  <c r="BO235" i="9" s="1"/>
  <c r="AG243" i="9"/>
  <c r="AX243" i="9" s="1"/>
  <c r="BO243" i="9" s="1"/>
  <c r="AG251" i="9"/>
  <c r="AX251" i="9" s="1"/>
  <c r="AB289" i="9"/>
  <c r="AD289" i="9"/>
  <c r="AG219" i="9"/>
  <c r="AX219" i="9" s="1"/>
  <c r="BO219" i="9" s="1"/>
  <c r="AG286" i="9"/>
  <c r="AB276" i="9"/>
  <c r="AD276" i="9"/>
  <c r="AG295" i="9"/>
  <c r="AX295" i="9" s="1"/>
  <c r="BO295" i="9" s="1"/>
  <c r="AG118" i="9"/>
  <c r="AX118" i="9" s="1"/>
  <c r="AG139" i="9"/>
  <c r="AB139" i="9"/>
  <c r="AM139" i="9"/>
  <c r="AD139" i="9"/>
  <c r="AD153" i="9"/>
  <c r="AM153" i="9"/>
  <c r="AB153" i="9"/>
  <c r="AG169" i="9"/>
  <c r="AG214" i="9"/>
  <c r="AG36" i="9"/>
  <c r="AB36" i="9"/>
  <c r="AD36" i="9"/>
  <c r="AG52" i="9"/>
  <c r="AB52" i="9"/>
  <c r="AD52" i="9"/>
  <c r="AG10" i="9"/>
  <c r="AG14" i="9"/>
  <c r="AG18" i="9"/>
  <c r="AG22" i="9"/>
  <c r="AG26" i="9"/>
  <c r="AG30" i="9"/>
  <c r="AG34" i="9"/>
  <c r="AG41" i="9"/>
  <c r="AG49" i="9"/>
  <c r="AG57" i="9"/>
  <c r="AG63" i="9"/>
  <c r="AG67" i="9"/>
  <c r="AG71" i="9"/>
  <c r="AG75" i="9"/>
  <c r="AG79" i="9"/>
  <c r="AG83" i="9"/>
  <c r="AG87" i="9"/>
  <c r="AX87" i="9" s="1"/>
  <c r="BO87" i="9" s="1"/>
  <c r="AD87" i="9"/>
  <c r="AB87" i="9"/>
  <c r="AG95" i="9"/>
  <c r="AX95" i="9" s="1"/>
  <c r="BO95" i="9" s="1"/>
  <c r="AD95" i="9"/>
  <c r="AB95" i="9"/>
  <c r="AD103" i="9"/>
  <c r="AB103" i="9"/>
  <c r="AD107" i="9"/>
  <c r="AB107" i="9"/>
  <c r="AM111" i="9"/>
  <c r="AB111" i="9"/>
  <c r="AD111" i="9"/>
  <c r="AG258" i="9"/>
  <c r="AX258" i="9" s="1"/>
  <c r="BO258" i="9" s="1"/>
  <c r="AD258" i="9"/>
  <c r="AB258" i="9"/>
  <c r="AG266" i="9"/>
  <c r="AX266" i="9" s="1"/>
  <c r="BO266" i="9" s="1"/>
  <c r="AD257" i="9"/>
  <c r="AB257" i="9"/>
  <c r="AG265" i="9"/>
  <c r="AD273" i="9"/>
  <c r="AB273" i="9"/>
  <c r="AG305" i="9"/>
  <c r="AG310" i="9"/>
  <c r="AX310" i="9" s="1"/>
  <c r="AG313" i="9"/>
  <c r="AB313" i="9"/>
  <c r="AG117" i="9"/>
  <c r="AX117" i="9" s="1"/>
  <c r="AG156" i="9"/>
  <c r="AG119" i="9"/>
  <c r="AX119" i="9" s="1"/>
  <c r="BO119" i="9" s="1"/>
  <c r="AD119" i="9"/>
  <c r="AB119" i="9"/>
  <c r="AB145" i="9"/>
  <c r="AD145" i="9"/>
  <c r="AM145" i="9"/>
  <c r="AB192" i="9"/>
  <c r="AD192" i="9"/>
  <c r="AD238" i="9"/>
  <c r="AB238" i="9"/>
  <c r="AG287" i="9"/>
  <c r="AX287" i="9" s="1"/>
  <c r="BO287" i="9" s="1"/>
  <c r="AG148" i="9"/>
  <c r="AG175" i="9"/>
  <c r="AD175" i="9"/>
  <c r="AB175" i="9"/>
  <c r="AD213" i="9"/>
  <c r="AM213" i="9"/>
  <c r="AB213" i="9"/>
  <c r="AG232" i="9"/>
  <c r="AG248" i="9"/>
  <c r="AB128" i="9"/>
  <c r="AD128" i="9"/>
  <c r="AB144" i="9"/>
  <c r="AD144" i="9"/>
  <c r="AM144" i="9"/>
  <c r="AD196" i="9"/>
  <c r="AB196" i="9"/>
  <c r="AG216" i="9"/>
  <c r="AX216" i="9" s="1"/>
  <c r="BO216" i="9" s="1"/>
  <c r="AD216" i="9"/>
  <c r="AB216" i="9"/>
  <c r="AG229" i="9"/>
  <c r="AX229" i="9" s="1"/>
  <c r="AG237" i="9"/>
  <c r="AX237" i="9" s="1"/>
  <c r="BO237" i="9" s="1"/>
  <c r="AG245" i="9"/>
  <c r="AG253" i="9"/>
  <c r="AX253" i="9" s="1"/>
  <c r="BO253" i="9" s="1"/>
  <c r="AM293" i="9"/>
  <c r="AB293" i="9"/>
  <c r="AD293" i="9"/>
  <c r="AD184" i="9"/>
  <c r="AB184" i="9"/>
  <c r="AB193" i="9"/>
  <c r="AD193" i="9"/>
  <c r="AD221" i="9"/>
  <c r="AB221" i="9"/>
  <c r="AD288" i="9"/>
  <c r="AB288" i="9"/>
  <c r="AB278" i="9"/>
  <c r="AD278" i="9"/>
  <c r="AD296" i="9"/>
  <c r="AM296" i="9"/>
  <c r="AB296" i="9"/>
  <c r="AD121" i="9"/>
  <c r="AM121" i="9"/>
  <c r="AB121" i="9"/>
  <c r="AD127" i="9"/>
  <c r="AB127" i="9"/>
  <c r="AM127" i="9"/>
  <c r="AG173" i="9"/>
  <c r="AG195" i="9"/>
  <c r="AB195" i="9"/>
  <c r="AD195" i="9"/>
  <c r="AG42" i="9"/>
  <c r="AD42" i="9"/>
  <c r="AB42" i="9"/>
  <c r="AG58" i="9"/>
  <c r="AX58" i="9" s="1"/>
  <c r="BO58" i="9" s="1"/>
  <c r="AB58" i="9"/>
  <c r="AD58" i="9"/>
  <c r="AC332" i="9"/>
  <c r="AD9" i="9"/>
  <c r="AM9" i="9"/>
  <c r="AB9" i="9"/>
  <c r="AD13" i="9"/>
  <c r="AM13" i="9"/>
  <c r="AB13" i="9"/>
  <c r="AB17" i="9"/>
  <c r="AD17" i="9"/>
  <c r="AD21" i="9"/>
  <c r="AB21" i="9"/>
  <c r="AD25" i="9"/>
  <c r="AB25" i="9"/>
  <c r="AD29" i="9"/>
  <c r="AB29" i="9"/>
  <c r="AB33" i="9"/>
  <c r="AD33" i="9"/>
  <c r="AG47" i="9"/>
  <c r="AX47" i="9" s="1"/>
  <c r="AB47" i="9"/>
  <c r="AD47" i="9"/>
  <c r="AG62" i="9"/>
  <c r="AX62" i="9" s="1"/>
  <c r="BO62" i="9" s="1"/>
  <c r="AG66" i="9"/>
  <c r="AX66" i="9" s="1"/>
  <c r="AG70" i="9"/>
  <c r="AX70" i="9" s="1"/>
  <c r="BO70" i="9" s="1"/>
  <c r="AG74" i="9"/>
  <c r="AG78" i="9"/>
  <c r="AG82" i="9"/>
  <c r="AX82" i="9" s="1"/>
  <c r="AG86" i="9"/>
  <c r="AX86" i="9" s="1"/>
  <c r="AG90" i="9"/>
  <c r="AX90" i="9" s="1"/>
  <c r="AG94" i="9"/>
  <c r="AX94" i="9" s="1"/>
  <c r="AG98" i="9"/>
  <c r="AX98" i="9" s="1"/>
  <c r="AG102" i="9"/>
  <c r="AX102" i="9" s="1"/>
  <c r="AG106" i="9"/>
  <c r="AG110" i="9"/>
  <c r="AG260" i="9"/>
  <c r="AX260" i="9" s="1"/>
  <c r="AB260" i="9"/>
  <c r="AD260" i="9"/>
  <c r="AB259" i="9"/>
  <c r="AD259" i="9"/>
  <c r="AG274" i="9"/>
  <c r="AG312" i="9"/>
  <c r="AB312" i="9"/>
  <c r="AM319" i="9"/>
  <c r="AB319" i="9"/>
  <c r="AD319" i="9"/>
  <c r="AG264" i="9"/>
  <c r="AX264" i="9" s="1"/>
  <c r="AB263" i="9"/>
  <c r="AD263" i="9"/>
  <c r="AG272" i="9"/>
  <c r="AG309" i="9"/>
  <c r="AX309" i="9" s="1"/>
  <c r="AB309" i="9"/>
  <c r="AD318" i="9"/>
  <c r="AM318" i="9"/>
  <c r="AB318" i="9"/>
  <c r="AI258" i="9"/>
  <c r="AI13" i="9"/>
  <c r="AI9" i="9"/>
  <c r="AI60" i="9"/>
  <c r="AE42" i="9"/>
  <c r="AT42" i="9" s="1"/>
  <c r="AI99" i="9"/>
  <c r="AI95" i="9"/>
  <c r="AI91" i="9"/>
  <c r="AI87" i="9"/>
  <c r="AI55" i="9"/>
  <c r="AE110" i="9"/>
  <c r="AT110" i="9" s="1"/>
  <c r="AE106" i="9"/>
  <c r="AT106" i="9" s="1"/>
  <c r="AE301" i="9"/>
  <c r="AT301" i="9" s="1"/>
  <c r="AI264" i="9"/>
  <c r="AI260" i="9"/>
  <c r="AE33" i="9"/>
  <c r="AT33" i="9" s="1"/>
  <c r="AE29" i="9"/>
  <c r="AT29" i="9" s="1"/>
  <c r="AE25" i="9"/>
  <c r="AT25" i="9" s="1"/>
  <c r="AE21" i="9"/>
  <c r="AT21" i="9" s="1"/>
  <c r="AE17" i="9"/>
  <c r="AT17" i="9" s="1"/>
  <c r="AX17" i="9" s="1"/>
  <c r="AE13" i="9"/>
  <c r="AT13" i="9" s="1"/>
  <c r="AE9" i="9"/>
  <c r="AT9" i="9" s="1"/>
  <c r="AE60" i="9"/>
  <c r="AT60" i="9" s="1"/>
  <c r="AE52" i="9"/>
  <c r="AT52" i="9" s="1"/>
  <c r="AE44" i="9"/>
  <c r="AT44" i="9" s="1"/>
  <c r="AE36" i="9"/>
  <c r="AT36" i="9" s="1"/>
  <c r="AE313" i="9"/>
  <c r="AT313" i="9" s="1"/>
  <c r="AE302" i="9"/>
  <c r="AT302" i="9" s="1"/>
  <c r="AI319" i="9"/>
  <c r="AI273" i="9"/>
  <c r="AE305" i="9"/>
  <c r="AT305" i="9" s="1"/>
  <c r="AE318" i="9"/>
  <c r="AT318" i="9" s="1"/>
  <c r="AE274" i="9"/>
  <c r="AT274" i="9" s="1"/>
  <c r="AE263" i="9"/>
  <c r="AT263" i="9" s="1"/>
  <c r="AE259" i="9"/>
  <c r="AT259" i="9" s="1"/>
  <c r="AE79" i="9"/>
  <c r="AT79" i="9" s="1"/>
  <c r="AE71" i="9"/>
  <c r="AT71" i="9" s="1"/>
  <c r="AE63" i="9"/>
  <c r="AT63" i="9" s="1"/>
  <c r="AE57" i="9"/>
  <c r="AT57" i="9" s="1"/>
  <c r="AE49" i="9"/>
  <c r="AT49" i="9" s="1"/>
  <c r="AE41" i="9"/>
  <c r="AT41" i="9" s="1"/>
  <c r="AE34" i="9"/>
  <c r="AT34" i="9" s="1"/>
  <c r="AE26" i="9"/>
  <c r="AT26" i="9" s="1"/>
  <c r="AE18" i="9"/>
  <c r="AT18" i="9" s="1"/>
  <c r="AE10" i="9"/>
  <c r="AT10" i="9" s="1"/>
  <c r="AI266" i="9"/>
  <c r="AI33" i="9"/>
  <c r="AI52" i="9"/>
  <c r="AI44" i="9"/>
  <c r="AI313" i="9"/>
  <c r="AI302" i="9"/>
  <c r="AE78" i="9"/>
  <c r="AT78" i="9" s="1"/>
  <c r="AI305" i="9"/>
  <c r="AE312" i="9"/>
  <c r="AT312" i="9" s="1"/>
  <c r="AE272" i="9"/>
  <c r="AT272" i="9" s="1"/>
  <c r="AE265" i="9"/>
  <c r="AT265" i="9" s="1"/>
  <c r="AE257" i="9"/>
  <c r="AT257" i="9" s="1"/>
  <c r="AE83" i="9"/>
  <c r="AT83" i="9" s="1"/>
  <c r="AE75" i="9"/>
  <c r="AT75" i="9" s="1"/>
  <c r="AE67" i="9"/>
  <c r="AT67" i="9" s="1"/>
  <c r="AE30" i="9"/>
  <c r="AT30" i="9" s="1"/>
  <c r="AE22" i="9"/>
  <c r="AT22" i="9" s="1"/>
  <c r="AE14" i="9"/>
  <c r="AT14" i="9" s="1"/>
  <c r="AE115" i="9"/>
  <c r="AT115" i="9" s="1"/>
  <c r="AD5" i="9"/>
  <c r="AM5" i="9"/>
  <c r="AB5" i="9"/>
  <c r="AI5" i="9"/>
  <c r="AI115" i="9"/>
  <c r="AI173" i="9"/>
  <c r="AI189" i="9"/>
  <c r="AE139" i="9"/>
  <c r="AT139" i="9" s="1"/>
  <c r="AE147" i="9"/>
  <c r="AT147" i="9" s="1"/>
  <c r="AE171" i="9"/>
  <c r="AT171" i="9" s="1"/>
  <c r="AE195" i="9"/>
  <c r="AT195" i="9" s="1"/>
  <c r="AE202" i="9"/>
  <c r="AT202" i="9" s="1"/>
  <c r="AE206" i="9"/>
  <c r="AT206" i="9" s="1"/>
  <c r="AI212" i="9"/>
  <c r="AI121" i="9"/>
  <c r="AI153" i="9"/>
  <c r="AI169" i="9"/>
  <c r="AI214" i="9"/>
  <c r="AE228" i="9"/>
  <c r="AT228" i="9" s="1"/>
  <c r="AE232" i="9"/>
  <c r="AT232" i="9" s="1"/>
  <c r="AE234" i="9"/>
  <c r="AT234" i="9" s="1"/>
  <c r="AE238" i="9"/>
  <c r="AT238" i="9" s="1"/>
  <c r="AX238" i="9" s="1"/>
  <c r="AE244" i="9"/>
  <c r="AT244" i="9" s="1"/>
  <c r="AE248" i="9"/>
  <c r="AT248" i="9" s="1"/>
  <c r="AE250" i="9"/>
  <c r="AT250" i="9" s="1"/>
  <c r="AE278" i="9"/>
  <c r="AT278" i="9" s="1"/>
  <c r="AE286" i="9"/>
  <c r="AT286" i="9" s="1"/>
  <c r="AE288" i="9"/>
  <c r="AT288" i="9" s="1"/>
  <c r="AE296" i="9"/>
  <c r="AT296" i="9" s="1"/>
  <c r="AX296" i="9" s="1"/>
  <c r="AE170" i="9"/>
  <c r="AT170" i="9" s="1"/>
  <c r="AE173" i="9"/>
  <c r="AT173" i="9" s="1"/>
  <c r="AE189" i="9"/>
  <c r="AT189" i="9" s="1"/>
  <c r="AE127" i="9"/>
  <c r="AT127" i="9" s="1"/>
  <c r="AE135" i="9"/>
  <c r="AT135" i="9" s="1"/>
  <c r="AE151" i="9"/>
  <c r="AT151" i="9" s="1"/>
  <c r="AE159" i="9"/>
  <c r="AT159" i="9" s="1"/>
  <c r="AE175" i="9"/>
  <c r="AT175" i="9" s="1"/>
  <c r="AE183" i="9"/>
  <c r="AT183" i="9" s="1"/>
  <c r="AE191" i="9"/>
  <c r="AT191" i="9" s="1"/>
  <c r="AI202" i="9"/>
  <c r="AI206" i="9"/>
  <c r="AE212" i="9"/>
  <c r="AT212" i="9" s="1"/>
  <c r="AE121" i="9"/>
  <c r="AT121" i="9" s="1"/>
  <c r="AX121" i="9" s="1"/>
  <c r="AE153" i="9"/>
  <c r="AT153" i="9" s="1"/>
  <c r="AE169" i="9"/>
  <c r="AT169" i="9" s="1"/>
  <c r="AE214" i="9"/>
  <c r="AT214" i="9" s="1"/>
  <c r="AI228" i="9"/>
  <c r="AI232" i="9"/>
  <c r="AI234" i="9"/>
  <c r="AI238" i="9"/>
  <c r="AI244" i="9"/>
  <c r="AI248" i="9"/>
  <c r="AI250" i="9"/>
  <c r="AI278" i="9"/>
  <c r="AI286" i="9"/>
  <c r="AI288" i="9"/>
  <c r="AI296" i="9"/>
  <c r="AE122" i="9"/>
  <c r="AT122" i="9" s="1"/>
  <c r="AI275" i="9"/>
  <c r="AE217" i="9"/>
  <c r="AT217" i="9" s="1"/>
  <c r="AX217" i="9" s="1"/>
  <c r="AI219" i="9"/>
  <c r="AI213" i="9"/>
  <c r="AI186" i="9"/>
  <c r="AI170" i="9"/>
  <c r="AE192" i="9"/>
  <c r="AT192" i="9" s="1"/>
  <c r="AE144" i="9"/>
  <c r="AT144" i="9" s="1"/>
  <c r="AE128" i="9"/>
  <c r="AT128" i="9" s="1"/>
  <c r="AE172" i="9"/>
  <c r="AT172" i="9" s="1"/>
  <c r="AE156" i="9"/>
  <c r="AT156" i="9" s="1"/>
  <c r="AD178" i="9"/>
  <c r="AM178" i="9"/>
  <c r="AB178" i="9"/>
  <c r="AD154" i="9"/>
  <c r="AM154" i="9"/>
  <c r="AB154" i="9"/>
  <c r="AM297" i="9"/>
  <c r="AD297" i="9"/>
  <c r="AB297" i="9"/>
  <c r="AE221" i="9"/>
  <c r="AT221" i="9" s="1"/>
  <c r="AI217" i="9"/>
  <c r="AE213" i="9"/>
  <c r="AT213" i="9" s="1"/>
  <c r="AX213" i="9" s="1"/>
  <c r="AE178" i="9"/>
  <c r="AT178" i="9" s="1"/>
  <c r="AI158" i="9"/>
  <c r="AI142" i="9"/>
  <c r="AI122" i="9"/>
  <c r="AE184" i="9"/>
  <c r="AT184" i="9" s="1"/>
  <c r="AE152" i="9"/>
  <c r="AT152" i="9" s="1"/>
  <c r="AE196" i="9"/>
  <c r="AT196" i="9" s="1"/>
  <c r="AE148" i="9"/>
  <c r="AT148" i="9" s="1"/>
  <c r="AB126" i="9"/>
  <c r="AD126" i="9"/>
  <c r="AJ20" i="9"/>
  <c r="AL20" i="9" s="1"/>
  <c r="AM20" i="9" s="1"/>
  <c r="AA328" i="9"/>
  <c r="AJ27" i="9"/>
  <c r="AL27" i="9" s="1"/>
  <c r="AM27" i="9" s="1"/>
  <c r="AJ39" i="9"/>
  <c r="AJ45" i="9"/>
  <c r="AL45" i="9" s="1"/>
  <c r="AM45" i="9" s="1"/>
  <c r="AJ55" i="9"/>
  <c r="AL55" i="9" s="1"/>
  <c r="AM55" i="9" s="1"/>
  <c r="AJ63" i="9"/>
  <c r="AL63" i="9" s="1"/>
  <c r="AM63" i="9" s="1"/>
  <c r="AJ65" i="9"/>
  <c r="AJ67" i="9"/>
  <c r="AL67" i="9" s="1"/>
  <c r="AM67" i="9" s="1"/>
  <c r="AJ73" i="9"/>
  <c r="AL73" i="9" s="1"/>
  <c r="AM73" i="9" s="1"/>
  <c r="AJ77" i="9"/>
  <c r="AL77" i="9" s="1"/>
  <c r="AM77" i="9" s="1"/>
  <c r="AJ81" i="9"/>
  <c r="AL81" i="9" s="1"/>
  <c r="AJ83" i="9"/>
  <c r="AJ85" i="9"/>
  <c r="AL85" i="9" s="1"/>
  <c r="AM85" i="9" s="1"/>
  <c r="AJ87" i="9"/>
  <c r="AJ89" i="9"/>
  <c r="AL89" i="9" s="1"/>
  <c r="AM89" i="9" s="1"/>
  <c r="AJ91" i="9"/>
  <c r="AJ93" i="9"/>
  <c r="AL93" i="9" s="1"/>
  <c r="AM93" i="9" s="1"/>
  <c r="AJ95" i="9"/>
  <c r="AJ97" i="9"/>
  <c r="AL97" i="9" s="1"/>
  <c r="AM97" i="9" s="1"/>
  <c r="AJ99" i="9"/>
  <c r="AJ101" i="9"/>
  <c r="AL101" i="9" s="1"/>
  <c r="AM101" i="9" s="1"/>
  <c r="AJ103" i="9"/>
  <c r="AJ107" i="9"/>
  <c r="AL107" i="9" s="1"/>
  <c r="AM107" i="9" s="1"/>
  <c r="AJ109" i="9"/>
  <c r="AJ111" i="9"/>
  <c r="AL111" i="9" s="1"/>
  <c r="AJ113" i="9"/>
  <c r="AJ147" i="9"/>
  <c r="AL147" i="9" s="1"/>
  <c r="AJ169" i="9"/>
  <c r="AJ174" i="9"/>
  <c r="AL174" i="9" s="1"/>
  <c r="AM174" i="9" s="1"/>
  <c r="AJ119" i="9"/>
  <c r="AJ121" i="9"/>
  <c r="AL121" i="9" s="1"/>
  <c r="AB130" i="9"/>
  <c r="AD130" i="9"/>
  <c r="AJ150" i="9"/>
  <c r="AJ154" i="9"/>
  <c r="AL154" i="9" s="1"/>
  <c r="AJ163" i="9"/>
  <c r="AJ207" i="9"/>
  <c r="AL207" i="9" s="1"/>
  <c r="AM207" i="9" s="1"/>
  <c r="AJ211" i="9"/>
  <c r="AJ131" i="9"/>
  <c r="AL131" i="9" s="1"/>
  <c r="AM131" i="9" s="1"/>
  <c r="AJ135" i="9"/>
  <c r="AJ137" i="9"/>
  <c r="AL137" i="9" s="1"/>
  <c r="AJ155" i="9"/>
  <c r="AJ157" i="9"/>
  <c r="AL157" i="9" s="1"/>
  <c r="AJ159" i="9"/>
  <c r="AJ161" i="9"/>
  <c r="AL161" i="9" s="1"/>
  <c r="AM161" i="9" s="1"/>
  <c r="AJ184" i="9"/>
  <c r="AJ197" i="9"/>
  <c r="AL197" i="9" s="1"/>
  <c r="AM197" i="9" s="1"/>
  <c r="AJ201" i="9"/>
  <c r="AJ215" i="9"/>
  <c r="AL215" i="9" s="1"/>
  <c r="AM215" i="9" s="1"/>
  <c r="AJ115" i="9"/>
  <c r="AJ118" i="9"/>
  <c r="AL118" i="9" s="1"/>
  <c r="AM118" i="9" s="1"/>
  <c r="AJ122" i="9"/>
  <c r="AJ125" i="9"/>
  <c r="AL125" i="9" s="1"/>
  <c r="AJ129" i="9"/>
  <c r="AJ130" i="9"/>
  <c r="AL130" i="9" s="1"/>
  <c r="AM130" i="9" s="1"/>
  <c r="AJ136" i="9"/>
  <c r="AJ139" i="9"/>
  <c r="AL139" i="9" s="1"/>
  <c r="AJ143" i="9"/>
  <c r="AJ148" i="9"/>
  <c r="AL148" i="9" s="1"/>
  <c r="AJ151" i="9"/>
  <c r="AJ156" i="9"/>
  <c r="AL156" i="9" s="1"/>
  <c r="AM156" i="9" s="1"/>
  <c r="AJ160" i="9"/>
  <c r="AJ168" i="9"/>
  <c r="AL168" i="9" s="1"/>
  <c r="AJ173" i="9"/>
  <c r="AJ187" i="9"/>
  <c r="AL187" i="9" s="1"/>
  <c r="AM187" i="9" s="1"/>
  <c r="AJ191" i="9"/>
  <c r="AJ193" i="9"/>
  <c r="AL193" i="9" s="1"/>
  <c r="AM193" i="9" s="1"/>
  <c r="AJ198" i="9"/>
  <c r="AJ202" i="9"/>
  <c r="AL202" i="9" s="1"/>
  <c r="AM202" i="9" s="1"/>
  <c r="AJ208" i="9"/>
  <c r="AJ212" i="9"/>
  <c r="AL212" i="9" s="1"/>
  <c r="AM212" i="9" s="1"/>
  <c r="AJ219" i="9"/>
  <c r="AL219" i="9" s="1"/>
  <c r="AM219" i="9" s="1"/>
  <c r="AJ221" i="9"/>
  <c r="AL221" i="9" s="1"/>
  <c r="AM221" i="9" s="1"/>
  <c r="AJ180" i="9"/>
  <c r="AL180" i="9" s="1"/>
  <c r="AJ183" i="9"/>
  <c r="AL183" i="9" s="1"/>
  <c r="AM183" i="9" s="1"/>
  <c r="AJ190" i="9"/>
  <c r="AL190" i="9" s="1"/>
  <c r="AJ194" i="9"/>
  <c r="AL194" i="9" s="1"/>
  <c r="AM194" i="9" s="1"/>
  <c r="AJ218" i="9"/>
  <c r="AL218" i="9" s="1"/>
  <c r="AM218" i="9" s="1"/>
  <c r="AL302" i="9"/>
  <c r="AM302" i="9" s="1"/>
  <c r="AL304" i="9"/>
  <c r="AM304" i="9" s="1"/>
  <c r="AL306" i="9"/>
  <c r="AM306" i="9" s="1"/>
  <c r="AL303" i="9"/>
  <c r="AM303" i="9" s="1"/>
  <c r="AL307" i="9"/>
  <c r="AM307" i="9" s="1"/>
  <c r="AL310" i="9"/>
  <c r="AM310" i="9" s="1"/>
  <c r="AL312" i="9"/>
  <c r="AM312" i="9" s="1"/>
  <c r="AL314" i="9"/>
  <c r="AM314" i="9" s="1"/>
  <c r="N320" i="9"/>
  <c r="AB277" i="9"/>
  <c r="AM277" i="9"/>
  <c r="AD277" i="9"/>
  <c r="AD141" i="9"/>
  <c r="AM141" i="9"/>
  <c r="AB141" i="9"/>
  <c r="AD125" i="9"/>
  <c r="AM125" i="9"/>
  <c r="AB125" i="9"/>
  <c r="AD120" i="9"/>
  <c r="AB120" i="9"/>
  <c r="AM120" i="9"/>
  <c r="AD157" i="9"/>
  <c r="AM157" i="9"/>
  <c r="AB157" i="9"/>
  <c r="AB131" i="9"/>
  <c r="AD131" i="9"/>
  <c r="AB116" i="9"/>
  <c r="AD116" i="9"/>
  <c r="AG122" i="9"/>
  <c r="AG158" i="9"/>
  <c r="AX158" i="9" s="1"/>
  <c r="BO158" i="9" s="1"/>
  <c r="AG124" i="9"/>
  <c r="AX124" i="9" s="1"/>
  <c r="BO124" i="9" s="1"/>
  <c r="AG174" i="9"/>
  <c r="AX174" i="9" s="1"/>
  <c r="AG201" i="9"/>
  <c r="AX201" i="9" s="1"/>
  <c r="BO201" i="9" s="1"/>
  <c r="AB201" i="9"/>
  <c r="AD201" i="9"/>
  <c r="AG226" i="9"/>
  <c r="AX226" i="9" s="1"/>
  <c r="AG242" i="9"/>
  <c r="AX242" i="9" s="1"/>
  <c r="BO242" i="9" s="1"/>
  <c r="AB129" i="9"/>
  <c r="AD129" i="9"/>
  <c r="AM129" i="9"/>
  <c r="AD164" i="9"/>
  <c r="AB164" i="9"/>
  <c r="AG220" i="9"/>
  <c r="AX220" i="9" s="1"/>
  <c r="BO220" i="9" s="1"/>
  <c r="AB220" i="9"/>
  <c r="AD220" i="9"/>
  <c r="AG236" i="9"/>
  <c r="AX236" i="9" s="1"/>
  <c r="AG252" i="9"/>
  <c r="AX252" i="9" s="1"/>
  <c r="AB161" i="9"/>
  <c r="AD161" i="9"/>
  <c r="AB176" i="9"/>
  <c r="AD176" i="9"/>
  <c r="AD185" i="9"/>
  <c r="AB185" i="9"/>
  <c r="AG208" i="9"/>
  <c r="AX208" i="9" s="1"/>
  <c r="AD208" i="9"/>
  <c r="AB208" i="9"/>
  <c r="AG223" i="9"/>
  <c r="AX223" i="9" s="1"/>
  <c r="BO223" i="9" s="1"/>
  <c r="AG231" i="9"/>
  <c r="AX231" i="9" s="1"/>
  <c r="AG239" i="9"/>
  <c r="AX239" i="9" s="1"/>
  <c r="AG247" i="9"/>
  <c r="AX247" i="9" s="1"/>
  <c r="AB281" i="9"/>
  <c r="AD281" i="9"/>
  <c r="AB215" i="9"/>
  <c r="AD215" i="9"/>
  <c r="AC336" i="9"/>
  <c r="AD282" i="9"/>
  <c r="AM282" i="9"/>
  <c r="AB282" i="9"/>
  <c r="AD290" i="9"/>
  <c r="AB290" i="9"/>
  <c r="AD280" i="9"/>
  <c r="AM280" i="9"/>
  <c r="AB280" i="9"/>
  <c r="AD137" i="9"/>
  <c r="AM137" i="9"/>
  <c r="AB137" i="9"/>
  <c r="AG155" i="9"/>
  <c r="AX155" i="9" s="1"/>
  <c r="BO155" i="9" s="1"/>
  <c r="AB155" i="9"/>
  <c r="AD155" i="9"/>
  <c r="AG179" i="9"/>
  <c r="AX179" i="9" s="1"/>
  <c r="BO179" i="9" s="1"/>
  <c r="AB179" i="9"/>
  <c r="AM179" i="9"/>
  <c r="AD179" i="9"/>
  <c r="AG40" i="9"/>
  <c r="AX40" i="9" s="1"/>
  <c r="BO40" i="9" s="1"/>
  <c r="AD40" i="9"/>
  <c r="AM40" i="9"/>
  <c r="AB40" i="9"/>
  <c r="AG56" i="9"/>
  <c r="AX56" i="9" s="1"/>
  <c r="BO56" i="9" s="1"/>
  <c r="AD56" i="9"/>
  <c r="AB56" i="9"/>
  <c r="AG12" i="9"/>
  <c r="AX12" i="9" s="1"/>
  <c r="AM12" i="9"/>
  <c r="AD12" i="9"/>
  <c r="AB12" i="9"/>
  <c r="AG20" i="9"/>
  <c r="AX20" i="9" s="1"/>
  <c r="AD20" i="9"/>
  <c r="AB20" i="9"/>
  <c r="AG28" i="9"/>
  <c r="AX28" i="9" s="1"/>
  <c r="AB28" i="9"/>
  <c r="AD28" i="9"/>
  <c r="AG37" i="9"/>
  <c r="AX37" i="9" s="1"/>
  <c r="AG45" i="9"/>
  <c r="AX45" i="9" s="1"/>
  <c r="BO45" i="9" s="1"/>
  <c r="AG53" i="9"/>
  <c r="AX53" i="9" s="1"/>
  <c r="AG61" i="9"/>
  <c r="AX61" i="9" s="1"/>
  <c r="BO61" i="9" s="1"/>
  <c r="AG65" i="9"/>
  <c r="AX65" i="9" s="1"/>
  <c r="BO65" i="9" s="1"/>
  <c r="AM65" i="9"/>
  <c r="AB65" i="9"/>
  <c r="AD65" i="9"/>
  <c r="AG73" i="9"/>
  <c r="AX73" i="9" s="1"/>
  <c r="BO73" i="9" s="1"/>
  <c r="AD73" i="9"/>
  <c r="AB73" i="9"/>
  <c r="AG81" i="9"/>
  <c r="AX81" i="9" s="1"/>
  <c r="AM81" i="9"/>
  <c r="AB81" i="9"/>
  <c r="AD81" i="9"/>
  <c r="AG89" i="9"/>
  <c r="AX89" i="9" s="1"/>
  <c r="BO89" i="9" s="1"/>
  <c r="AB89" i="9"/>
  <c r="AD89" i="9"/>
  <c r="AG97" i="9"/>
  <c r="AX97" i="9" s="1"/>
  <c r="BO97" i="9" s="1"/>
  <c r="AB97" i="9"/>
  <c r="AD97" i="9"/>
  <c r="AB105" i="9"/>
  <c r="AD105" i="9"/>
  <c r="AM105" i="9"/>
  <c r="AD109" i="9"/>
  <c r="AB109" i="9"/>
  <c r="AG254" i="9"/>
  <c r="AX254" i="9" s="1"/>
  <c r="AB254" i="9"/>
  <c r="AD254" i="9"/>
  <c r="AG262" i="9"/>
  <c r="AX262" i="9" s="1"/>
  <c r="BO262" i="9" s="1"/>
  <c r="AG270" i="9"/>
  <c r="AX270" i="9" s="1"/>
  <c r="BO270" i="9" s="1"/>
  <c r="AM261" i="9"/>
  <c r="AD261" i="9"/>
  <c r="AB261" i="9"/>
  <c r="AG269" i="9"/>
  <c r="AX269" i="9" s="1"/>
  <c r="BO269" i="9" s="1"/>
  <c r="AG303" i="9"/>
  <c r="AX303" i="9" s="1"/>
  <c r="BO303" i="9" s="1"/>
  <c r="AB303" i="9"/>
  <c r="AD303" i="9"/>
  <c r="AG311" i="9"/>
  <c r="AX311" i="9" s="1"/>
  <c r="BO311" i="9" s="1"/>
  <c r="AG315" i="9"/>
  <c r="AX315" i="9" s="1"/>
  <c r="BO315" i="9" s="1"/>
  <c r="AG113" i="9"/>
  <c r="AX113" i="9" s="1"/>
  <c r="BO113" i="9" s="1"/>
  <c r="AG136" i="9"/>
  <c r="AX136" i="9" s="1"/>
  <c r="BO136" i="9" s="1"/>
  <c r="AG162" i="9"/>
  <c r="AX162" i="9" s="1"/>
  <c r="AG126" i="9"/>
  <c r="AX126" i="9" s="1"/>
  <c r="BO126" i="9" s="1"/>
  <c r="AG160" i="9"/>
  <c r="AX160" i="9" s="1"/>
  <c r="AG199" i="9"/>
  <c r="AX199" i="9" s="1"/>
  <c r="BO199" i="9" s="1"/>
  <c r="AB199" i="9"/>
  <c r="AD199" i="9"/>
  <c r="AG230" i="9"/>
  <c r="AX230" i="9" s="1"/>
  <c r="BO230" i="9" s="1"/>
  <c r="AG246" i="9"/>
  <c r="AX246" i="9" s="1"/>
  <c r="AB140" i="9"/>
  <c r="AD140" i="9"/>
  <c r="AM140" i="9"/>
  <c r="AD168" i="9"/>
  <c r="AB168" i="9"/>
  <c r="AB177" i="9"/>
  <c r="AD177" i="9"/>
  <c r="AD224" i="9"/>
  <c r="AM224" i="9"/>
  <c r="AB224" i="9"/>
  <c r="AD240" i="9"/>
  <c r="AM240" i="9"/>
  <c r="AB240" i="9"/>
  <c r="AG283" i="9"/>
  <c r="AX283" i="9" s="1"/>
  <c r="BO283" i="9" s="1"/>
  <c r="AG132" i="9"/>
  <c r="AX132" i="9" s="1"/>
  <c r="BO132" i="9" s="1"/>
  <c r="AG154" i="9"/>
  <c r="AX154" i="9" s="1"/>
  <c r="AG180" i="9"/>
  <c r="AX180" i="9" s="1"/>
  <c r="BO180" i="9" s="1"/>
  <c r="AG200" i="9"/>
  <c r="AX200" i="9" s="1"/>
  <c r="AD200" i="9"/>
  <c r="AB200" i="9"/>
  <c r="AM225" i="9"/>
  <c r="AB225" i="9"/>
  <c r="AD225" i="9"/>
  <c r="AB233" i="9"/>
  <c r="AD233" i="9"/>
  <c r="AB241" i="9"/>
  <c r="AD241" i="9"/>
  <c r="AM249" i="9"/>
  <c r="AB249" i="9"/>
  <c r="AD249" i="9"/>
  <c r="AG285" i="9"/>
  <c r="AX285" i="9" s="1"/>
  <c r="BO285" i="9" s="1"/>
  <c r="AG178" i="9"/>
  <c r="AX178" i="9" s="1"/>
  <c r="AG188" i="9"/>
  <c r="AX188" i="9" s="1"/>
  <c r="AG218" i="9"/>
  <c r="AX218" i="9" s="1"/>
  <c r="BO218" i="9" s="1"/>
  <c r="AG284" i="9"/>
  <c r="AX284" i="9" s="1"/>
  <c r="AG292" i="9"/>
  <c r="AX292" i="9" s="1"/>
  <c r="AG149" i="9"/>
  <c r="AX149" i="9" s="1"/>
  <c r="BO149" i="9" s="1"/>
  <c r="AD149" i="9"/>
  <c r="AM149" i="9"/>
  <c r="AB149" i="9"/>
  <c r="AG187" i="9"/>
  <c r="AX187" i="9" s="1"/>
  <c r="BO187" i="9" s="1"/>
  <c r="AB187" i="9"/>
  <c r="AD187" i="9"/>
  <c r="AG38" i="9"/>
  <c r="AX38" i="9" s="1"/>
  <c r="BO38" i="9" s="1"/>
  <c r="AB38" i="9"/>
  <c r="AD38" i="9"/>
  <c r="AG54" i="9"/>
  <c r="AX54" i="9" s="1"/>
  <c r="BO54" i="9" s="1"/>
  <c r="AB54" i="9"/>
  <c r="AD54" i="9"/>
  <c r="AG35" i="9"/>
  <c r="AX35" i="9" s="1"/>
  <c r="BO35" i="9" s="1"/>
  <c r="AD35" i="9"/>
  <c r="AB35" i="9"/>
  <c r="AG59" i="9"/>
  <c r="AX59" i="9" s="1"/>
  <c r="BO59" i="9" s="1"/>
  <c r="AB59" i="9"/>
  <c r="AD59" i="9"/>
  <c r="AD64" i="9"/>
  <c r="AM64" i="9"/>
  <c r="AB64" i="9"/>
  <c r="AD68" i="9"/>
  <c r="AB68" i="9"/>
  <c r="AD72" i="9"/>
  <c r="AB72" i="9"/>
  <c r="AB76" i="9"/>
  <c r="AD76" i="9"/>
  <c r="AD80" i="9"/>
  <c r="AB80" i="9"/>
  <c r="AD84" i="9"/>
  <c r="AB84" i="9"/>
  <c r="AD88" i="9"/>
  <c r="AB88" i="9"/>
  <c r="AD92" i="9"/>
  <c r="AB92" i="9"/>
  <c r="AD96" i="9"/>
  <c r="AM96" i="9"/>
  <c r="AB96" i="9"/>
  <c r="AD100" i="9"/>
  <c r="AB100" i="9"/>
  <c r="AB104" i="9"/>
  <c r="AD104" i="9"/>
  <c r="AD108" i="9"/>
  <c r="AB108" i="9"/>
  <c r="AD112" i="9"/>
  <c r="AB112" i="9"/>
  <c r="AM112" i="9"/>
  <c r="AG268" i="9"/>
  <c r="AX268" i="9" s="1"/>
  <c r="AG267" i="9"/>
  <c r="AX267" i="9" s="1"/>
  <c r="BO267" i="9" s="1"/>
  <c r="AM299" i="9"/>
  <c r="AD299" i="9"/>
  <c r="AB299" i="9"/>
  <c r="AG256" i="9"/>
  <c r="AX256" i="9" s="1"/>
  <c r="BO256" i="9" s="1"/>
  <c r="AM256" i="9"/>
  <c r="AB256" i="9"/>
  <c r="AD256" i="9"/>
  <c r="AD390" i="9" s="1"/>
  <c r="AB255" i="9"/>
  <c r="AM255" i="9"/>
  <c r="AD255" i="9"/>
  <c r="AG271" i="9"/>
  <c r="AX271" i="9" s="1"/>
  <c r="BO271" i="9" s="1"/>
  <c r="AM298" i="9"/>
  <c r="AB298" i="9"/>
  <c r="AD298" i="9"/>
  <c r="AG314" i="9"/>
  <c r="AX314" i="9" s="1"/>
  <c r="AB314" i="9"/>
  <c r="E69" i="8"/>
  <c r="E70" i="8" s="1"/>
  <c r="E71" i="8" s="1"/>
  <c r="E72" i="8" s="1"/>
  <c r="E73" i="8" s="1"/>
  <c r="E74" i="8" s="1"/>
  <c r="E75" i="8" s="1"/>
  <c r="E76" i="8" s="1"/>
  <c r="E77" i="8" s="1"/>
  <c r="E78" i="8" s="1"/>
  <c r="D69" i="8"/>
  <c r="D70" i="8" s="1"/>
  <c r="D71" i="8" s="1"/>
  <c r="D72" i="8" s="1"/>
  <c r="D73" i="8" s="1"/>
  <c r="D74" i="8" s="1"/>
  <c r="D75" i="8" s="1"/>
  <c r="D76" i="8" s="1"/>
  <c r="D77" i="8" s="1"/>
  <c r="D78" i="8" s="1"/>
  <c r="C69" i="8"/>
  <c r="C70" i="8" s="1"/>
  <c r="C71" i="8" s="1"/>
  <c r="C72" i="8" s="1"/>
  <c r="C73" i="8" s="1"/>
  <c r="C74" i="8" s="1"/>
  <c r="C75" i="8" s="1"/>
  <c r="C76" i="8" s="1"/>
  <c r="C77" i="8" s="1"/>
  <c r="C78" i="8" s="1"/>
  <c r="B69" i="8"/>
  <c r="B70" i="8" s="1"/>
  <c r="B71" i="8" s="1"/>
  <c r="B72" i="8" s="1"/>
  <c r="B73" i="8" s="1"/>
  <c r="B74" i="8" s="1"/>
  <c r="B75" i="8" s="1"/>
  <c r="B76" i="8" s="1"/>
  <c r="B77" i="8" s="1"/>
  <c r="B78" i="8" s="1"/>
  <c r="AX122" i="9" l="1"/>
  <c r="AX74" i="9"/>
  <c r="AF239" i="9"/>
  <c r="AF277" i="9"/>
  <c r="BO225" i="9"/>
  <c r="BO137" i="9"/>
  <c r="BQ243" i="9"/>
  <c r="BQ223" i="9"/>
  <c r="BQ199" i="9"/>
  <c r="BM179" i="9"/>
  <c r="BN179" i="9" s="1"/>
  <c r="BM163" i="9"/>
  <c r="BN163" i="9" s="1"/>
  <c r="BQ225" i="9"/>
  <c r="BQ205" i="9"/>
  <c r="BM197" i="9"/>
  <c r="BN197" i="9" s="1"/>
  <c r="BQ149" i="9"/>
  <c r="BM253" i="9"/>
  <c r="BN253" i="9" s="1"/>
  <c r="BM269" i="9"/>
  <c r="BN269" i="9" s="1"/>
  <c r="AT332" i="9"/>
  <c r="AU335" i="9" s="1"/>
  <c r="AX110" i="9"/>
  <c r="AX42" i="9"/>
  <c r="AX245" i="9"/>
  <c r="AX291" i="9"/>
  <c r="AX7" i="9"/>
  <c r="W13" i="9"/>
  <c r="W12" i="9"/>
  <c r="W19" i="9"/>
  <c r="W27" i="9"/>
  <c r="W37" i="9"/>
  <c r="W16" i="9"/>
  <c r="W24" i="9"/>
  <c r="W31" i="9"/>
  <c r="W42" i="9"/>
  <c r="W46" i="9"/>
  <c r="W52" i="9"/>
  <c r="W56" i="9"/>
  <c r="W60" i="9"/>
  <c r="W64" i="9"/>
  <c r="W68" i="9"/>
  <c r="W74" i="9"/>
  <c r="W78" i="9"/>
  <c r="W82" i="9"/>
  <c r="W86" i="9"/>
  <c r="W90" i="9"/>
  <c r="W94" i="9"/>
  <c r="W98" i="9"/>
  <c r="W102" i="9"/>
  <c r="W108" i="9"/>
  <c r="W112" i="9"/>
  <c r="W121" i="9"/>
  <c r="W142" i="9"/>
  <c r="W135" i="9"/>
  <c r="W208" i="9"/>
  <c r="W239" i="9"/>
  <c r="W147" i="9"/>
  <c r="W174" i="9"/>
  <c r="W221" i="9"/>
  <c r="W253" i="9"/>
  <c r="W105" i="9"/>
  <c r="W127" i="9"/>
  <c r="W141" i="9"/>
  <c r="W152" i="9"/>
  <c r="W173" i="9"/>
  <c r="W199" i="9"/>
  <c r="W224" i="9"/>
  <c r="W240" i="9"/>
  <c r="W255" i="9"/>
  <c r="W302" i="9"/>
  <c r="W213" i="9"/>
  <c r="W263" i="9"/>
  <c r="W279" i="9"/>
  <c r="W296" i="9"/>
  <c r="AX297" i="9"/>
  <c r="AF28" i="9"/>
  <c r="BM266" i="9"/>
  <c r="BN266" i="9" s="1"/>
  <c r="AX274" i="9"/>
  <c r="AX313" i="9"/>
  <c r="AX305" i="9"/>
  <c r="AF116" i="9"/>
  <c r="AX71" i="9"/>
  <c r="AX26" i="9"/>
  <c r="AX10" i="9"/>
  <c r="AX304" i="9"/>
  <c r="AX99" i="9"/>
  <c r="AX134" i="9"/>
  <c r="AX166" i="9"/>
  <c r="AX182" i="9"/>
  <c r="AF207" i="9"/>
  <c r="BQ270" i="9"/>
  <c r="AS234" i="9"/>
  <c r="AU234" i="9"/>
  <c r="BD234" i="9"/>
  <c r="AZ234" i="9"/>
  <c r="AV234" i="9"/>
  <c r="AS228" i="9"/>
  <c r="AU228" i="9"/>
  <c r="BD228" i="9"/>
  <c r="AV228" i="9"/>
  <c r="AZ228" i="9"/>
  <c r="AS206" i="9"/>
  <c r="BD206" i="9"/>
  <c r="AU206" i="9"/>
  <c r="AV206" i="9"/>
  <c r="AZ206" i="9"/>
  <c r="AS195" i="9"/>
  <c r="AU195" i="9"/>
  <c r="BD195" i="9"/>
  <c r="AZ195" i="9"/>
  <c r="AV195" i="9"/>
  <c r="AS147" i="9"/>
  <c r="BD147" i="9"/>
  <c r="AU147" i="9"/>
  <c r="AZ147" i="9"/>
  <c r="AV147" i="9"/>
  <c r="BD14" i="9"/>
  <c r="AU14" i="9"/>
  <c r="AS14" i="9"/>
  <c r="AV14" i="9"/>
  <c r="AZ14" i="9"/>
  <c r="BD30" i="9"/>
  <c r="AU30" i="9"/>
  <c r="AS30" i="9"/>
  <c r="AV30" i="9"/>
  <c r="AZ30" i="9"/>
  <c r="AT336" i="9"/>
  <c r="AS75" i="9"/>
  <c r="AU75" i="9"/>
  <c r="AV75" i="9"/>
  <c r="AZ75" i="9"/>
  <c r="BD257" i="9"/>
  <c r="AS257" i="9"/>
  <c r="AU257" i="9"/>
  <c r="AV257" i="9"/>
  <c r="AZ257" i="9"/>
  <c r="AU272" i="9"/>
  <c r="BD272" i="9"/>
  <c r="AS272" i="9"/>
  <c r="AZ272" i="9"/>
  <c r="AV272" i="9"/>
  <c r="BD10" i="9"/>
  <c r="AU10" i="9"/>
  <c r="AT324" i="9"/>
  <c r="AS10" i="9"/>
  <c r="AV10" i="9"/>
  <c r="AZ10" i="9"/>
  <c r="AU26" i="9"/>
  <c r="AS26" i="9"/>
  <c r="AV26" i="9"/>
  <c r="AZ26" i="9"/>
  <c r="AS41" i="9"/>
  <c r="AU41" i="9"/>
  <c r="AV41" i="9"/>
  <c r="AZ41" i="9"/>
  <c r="AS57" i="9"/>
  <c r="AU57" i="9"/>
  <c r="AV57" i="9"/>
  <c r="AZ57" i="9"/>
  <c r="AS71" i="9"/>
  <c r="AU71" i="9"/>
  <c r="AV71" i="9"/>
  <c r="AZ71" i="9"/>
  <c r="BD259" i="9"/>
  <c r="AS259" i="9"/>
  <c r="AU259" i="9"/>
  <c r="AV259" i="9"/>
  <c r="AZ259" i="9"/>
  <c r="BD274" i="9"/>
  <c r="AS274" i="9"/>
  <c r="AU274" i="9"/>
  <c r="AV274" i="9"/>
  <c r="AZ274" i="9"/>
  <c r="AS305" i="9"/>
  <c r="AU305" i="9"/>
  <c r="BD305" i="9"/>
  <c r="AV305" i="9"/>
  <c r="AZ305" i="9"/>
  <c r="AS313" i="9"/>
  <c r="AU313" i="9"/>
  <c r="BD313" i="9"/>
  <c r="AV313" i="9"/>
  <c r="AZ313" i="9"/>
  <c r="AU44" i="9"/>
  <c r="AS44" i="9"/>
  <c r="AV44" i="9"/>
  <c r="AZ44" i="9"/>
  <c r="AU60" i="9"/>
  <c r="AS60" i="9"/>
  <c r="AV60" i="9"/>
  <c r="AZ60" i="9"/>
  <c r="AS13" i="9"/>
  <c r="BD13" i="9"/>
  <c r="AU13" i="9"/>
  <c r="AV13" i="9"/>
  <c r="AZ13" i="9"/>
  <c r="AS21" i="9"/>
  <c r="AU21" i="9"/>
  <c r="AV21" i="9"/>
  <c r="AZ21" i="9"/>
  <c r="AS29" i="9"/>
  <c r="AU29" i="9"/>
  <c r="AV29" i="9"/>
  <c r="AZ29" i="9"/>
  <c r="AS301" i="9"/>
  <c r="AU301" i="9"/>
  <c r="BD301" i="9"/>
  <c r="AV301" i="9"/>
  <c r="AZ301" i="9"/>
  <c r="AU110" i="9"/>
  <c r="BD110" i="9"/>
  <c r="AS110" i="9"/>
  <c r="AV110" i="9"/>
  <c r="AZ110" i="9"/>
  <c r="AU42" i="9"/>
  <c r="AS42" i="9"/>
  <c r="AV42" i="9"/>
  <c r="AZ42" i="9"/>
  <c r="AX272" i="9"/>
  <c r="AX312" i="9"/>
  <c r="AX106" i="9"/>
  <c r="AX195" i="9"/>
  <c r="AX248" i="9"/>
  <c r="AX148" i="9"/>
  <c r="AX156" i="9"/>
  <c r="AX265" i="9"/>
  <c r="AX83" i="9"/>
  <c r="AX75" i="9"/>
  <c r="AX67" i="9"/>
  <c r="AX57" i="9"/>
  <c r="AX41" i="9"/>
  <c r="AX30" i="9"/>
  <c r="AX22" i="9"/>
  <c r="AX14" i="9"/>
  <c r="AX52" i="9"/>
  <c r="AX214" i="9"/>
  <c r="AX139" i="9"/>
  <c r="AX189" i="9"/>
  <c r="AX135" i="9"/>
  <c r="AX250" i="9"/>
  <c r="AX206" i="9"/>
  <c r="AX60" i="9"/>
  <c r="AX202" i="9"/>
  <c r="AX171" i="9"/>
  <c r="AX170" i="9"/>
  <c r="AS174" i="9"/>
  <c r="AU174" i="9"/>
  <c r="BD174" i="9"/>
  <c r="AV174" i="9"/>
  <c r="AZ174" i="9"/>
  <c r="AS291" i="9"/>
  <c r="AU291" i="9"/>
  <c r="BD291" i="9"/>
  <c r="AV291" i="9"/>
  <c r="AZ291" i="9"/>
  <c r="BD245" i="9"/>
  <c r="AS245" i="9"/>
  <c r="AU245" i="9"/>
  <c r="AZ245" i="9"/>
  <c r="AV245" i="9"/>
  <c r="AS227" i="9"/>
  <c r="AU227" i="9"/>
  <c r="BD227" i="9"/>
  <c r="AZ227" i="9"/>
  <c r="AV227" i="9"/>
  <c r="AS203" i="9"/>
  <c r="AU203" i="9"/>
  <c r="BD203" i="9"/>
  <c r="AZ203" i="9"/>
  <c r="AV203" i="9"/>
  <c r="BD145" i="9"/>
  <c r="AU145" i="9"/>
  <c r="AS145" i="9"/>
  <c r="AV145" i="9"/>
  <c r="AZ145" i="9"/>
  <c r="AU276" i="9"/>
  <c r="BD276" i="9"/>
  <c r="AS276" i="9"/>
  <c r="AZ276" i="9"/>
  <c r="AV276" i="9"/>
  <c r="AU66" i="9"/>
  <c r="AS66" i="9"/>
  <c r="AV66" i="9"/>
  <c r="AZ66" i="9"/>
  <c r="AS304" i="9"/>
  <c r="AU304" i="9"/>
  <c r="BD304" i="9"/>
  <c r="AZ304" i="9"/>
  <c r="AV304" i="9"/>
  <c r="AS310" i="9"/>
  <c r="AU310" i="9"/>
  <c r="BD310" i="9"/>
  <c r="AV310" i="9"/>
  <c r="AZ310" i="9"/>
  <c r="AS99" i="9"/>
  <c r="AU99" i="9"/>
  <c r="BD99" i="9"/>
  <c r="AV99" i="9"/>
  <c r="AZ99" i="9"/>
  <c r="AU82" i="9"/>
  <c r="BD82" i="9"/>
  <c r="AS82" i="9"/>
  <c r="AV82" i="9"/>
  <c r="AZ82" i="9"/>
  <c r="AU90" i="9"/>
  <c r="BD90" i="9"/>
  <c r="AS90" i="9"/>
  <c r="AV90" i="9"/>
  <c r="AZ90" i="9"/>
  <c r="AU98" i="9"/>
  <c r="BD98" i="9"/>
  <c r="AS98" i="9"/>
  <c r="AV98" i="9"/>
  <c r="AZ98" i="9"/>
  <c r="AS317" i="9"/>
  <c r="BD317" i="9"/>
  <c r="AU317" i="9"/>
  <c r="AZ317" i="9"/>
  <c r="AV317" i="9"/>
  <c r="AX302" i="9"/>
  <c r="AX55" i="9"/>
  <c r="AX50" i="9"/>
  <c r="AX181" i="9"/>
  <c r="AX301" i="9"/>
  <c r="AX44" i="9"/>
  <c r="AX191" i="9"/>
  <c r="AS134" i="9"/>
  <c r="BD134" i="9"/>
  <c r="AU134" i="9"/>
  <c r="AV134" i="9"/>
  <c r="AZ134" i="9"/>
  <c r="AS166" i="9"/>
  <c r="AU166" i="9"/>
  <c r="BD166" i="9"/>
  <c r="AV166" i="9"/>
  <c r="AZ166" i="9"/>
  <c r="AS182" i="9"/>
  <c r="AU182" i="9"/>
  <c r="BD182" i="9"/>
  <c r="AV182" i="9"/>
  <c r="AZ182" i="9"/>
  <c r="AS190" i="9"/>
  <c r="AU190" i="9"/>
  <c r="BD190" i="9"/>
  <c r="AV190" i="9"/>
  <c r="AZ190" i="9"/>
  <c r="AS194" i="9"/>
  <c r="AU194" i="9"/>
  <c r="BD194" i="9"/>
  <c r="AZ194" i="9"/>
  <c r="AV194" i="9"/>
  <c r="AX138" i="9"/>
  <c r="AX150" i="9"/>
  <c r="AU130" i="9"/>
  <c r="BD130" i="9"/>
  <c r="AS130" i="9"/>
  <c r="AV130" i="9"/>
  <c r="AZ130" i="9"/>
  <c r="AX25" i="9"/>
  <c r="AX144" i="9"/>
  <c r="AX257" i="9"/>
  <c r="AS319" i="9"/>
  <c r="BD319" i="9"/>
  <c r="AU319" i="9"/>
  <c r="AZ319" i="9"/>
  <c r="AV319" i="9"/>
  <c r="AS297" i="9"/>
  <c r="AU297" i="9"/>
  <c r="BD297" i="9"/>
  <c r="AV297" i="9"/>
  <c r="AZ297" i="9"/>
  <c r="AS240" i="9"/>
  <c r="AU240" i="9"/>
  <c r="BD240" i="9"/>
  <c r="AV240" i="9"/>
  <c r="AZ240" i="9"/>
  <c r="AX240" i="9"/>
  <c r="AS188" i="9"/>
  <c r="AU188" i="9"/>
  <c r="BD188" i="9"/>
  <c r="AV188" i="9"/>
  <c r="AZ188" i="9"/>
  <c r="AS37" i="9"/>
  <c r="AU37" i="9"/>
  <c r="AV37" i="9"/>
  <c r="AZ37" i="9"/>
  <c r="AS7" i="9"/>
  <c r="BD7" i="9"/>
  <c r="AU7" i="9"/>
  <c r="AV7" i="9"/>
  <c r="AZ7" i="9"/>
  <c r="AS23" i="9"/>
  <c r="AU23" i="9"/>
  <c r="AV23" i="9"/>
  <c r="AZ23" i="9"/>
  <c r="AX192" i="9"/>
  <c r="AX255" i="9"/>
  <c r="AX316" i="9"/>
  <c r="AX299" i="9"/>
  <c r="AX108" i="9"/>
  <c r="AX100" i="9"/>
  <c r="AX92" i="9"/>
  <c r="AX84" i="9"/>
  <c r="AX76" i="9"/>
  <c r="AX68" i="9"/>
  <c r="AX123" i="9"/>
  <c r="AS284" i="9"/>
  <c r="AU284" i="9"/>
  <c r="BD284" i="9"/>
  <c r="AZ284" i="9"/>
  <c r="AV284" i="9"/>
  <c r="AS200" i="9"/>
  <c r="AU200" i="9"/>
  <c r="BD200" i="9"/>
  <c r="AV200" i="9"/>
  <c r="AZ200" i="9"/>
  <c r="AS224" i="9"/>
  <c r="AU224" i="9"/>
  <c r="BD224" i="9"/>
  <c r="AV224" i="9"/>
  <c r="AZ224" i="9"/>
  <c r="AX224" i="9"/>
  <c r="AX140" i="9"/>
  <c r="AU20" i="9"/>
  <c r="AS20" i="9"/>
  <c r="AV20" i="9"/>
  <c r="AZ20" i="9"/>
  <c r="BD12" i="9"/>
  <c r="AU12" i="9"/>
  <c r="AS12" i="9"/>
  <c r="AV12" i="9"/>
  <c r="AZ12" i="9"/>
  <c r="AS208" i="9"/>
  <c r="BD208" i="9"/>
  <c r="AU208" i="9"/>
  <c r="AV208" i="9"/>
  <c r="AZ208" i="9"/>
  <c r="AX185" i="9"/>
  <c r="AS236" i="9"/>
  <c r="AU236" i="9"/>
  <c r="BD236" i="9"/>
  <c r="AV236" i="9"/>
  <c r="AZ236" i="9"/>
  <c r="AS226" i="9"/>
  <c r="AU226" i="9"/>
  <c r="BD226" i="9"/>
  <c r="AZ226" i="9"/>
  <c r="AV226" i="9"/>
  <c r="AX221" i="9"/>
  <c r="AX184" i="9"/>
  <c r="AX196" i="9"/>
  <c r="AX276" i="9"/>
  <c r="AU120" i="9"/>
  <c r="BD120" i="9"/>
  <c r="AS120" i="9"/>
  <c r="AV120" i="9"/>
  <c r="AZ120" i="9"/>
  <c r="BD157" i="9"/>
  <c r="AU157" i="9"/>
  <c r="AS157" i="9"/>
  <c r="AZ157" i="9"/>
  <c r="AV157" i="9"/>
  <c r="AU233" i="9"/>
  <c r="BD233" i="9"/>
  <c r="AS233" i="9"/>
  <c r="AV233" i="9"/>
  <c r="AZ233" i="9"/>
  <c r="BD246" i="9"/>
  <c r="AS246" i="9"/>
  <c r="AU246" i="9"/>
  <c r="AZ246" i="9"/>
  <c r="AV246" i="9"/>
  <c r="AS309" i="9"/>
  <c r="AU309" i="9"/>
  <c r="BD309" i="9"/>
  <c r="AV309" i="9"/>
  <c r="AZ309" i="9"/>
  <c r="AS239" i="9"/>
  <c r="AU239" i="9"/>
  <c r="BD239" i="9"/>
  <c r="AZ239" i="9"/>
  <c r="AV239" i="9"/>
  <c r="BD277" i="9"/>
  <c r="AS277" i="9"/>
  <c r="AU277" i="9"/>
  <c r="AZ277" i="9"/>
  <c r="AV277" i="9"/>
  <c r="AS207" i="9"/>
  <c r="BD207" i="9"/>
  <c r="AU207" i="9"/>
  <c r="AZ207" i="9"/>
  <c r="AV207" i="9"/>
  <c r="AU28" i="9"/>
  <c r="AS28" i="9"/>
  <c r="AV28" i="9"/>
  <c r="AZ28" i="9"/>
  <c r="BA63" i="9"/>
  <c r="AV436" i="9"/>
  <c r="BC318" i="9"/>
  <c r="BC316" i="9"/>
  <c r="BC314" i="9"/>
  <c r="BC312" i="9"/>
  <c r="BC310" i="9"/>
  <c r="BC308" i="9"/>
  <c r="BC306" i="9"/>
  <c r="BC304" i="9"/>
  <c r="BC302" i="9"/>
  <c r="BC300" i="9"/>
  <c r="BC298" i="9"/>
  <c r="BC296" i="9"/>
  <c r="BC294" i="9"/>
  <c r="BC292" i="9"/>
  <c r="BC290" i="9"/>
  <c r="BC288" i="9"/>
  <c r="BC286" i="9"/>
  <c r="BC284" i="9"/>
  <c r="BC319" i="9"/>
  <c r="BC317" i="9"/>
  <c r="BC315" i="9"/>
  <c r="BC313" i="9"/>
  <c r="BC311" i="9"/>
  <c r="BC309" i="9"/>
  <c r="BC307" i="9"/>
  <c r="BC305" i="9"/>
  <c r="BC303" i="9"/>
  <c r="BC301" i="9"/>
  <c r="BC299" i="9"/>
  <c r="BC297" i="9"/>
  <c r="BC295" i="9"/>
  <c r="BC293" i="9"/>
  <c r="BC291" i="9"/>
  <c r="BC289" i="9"/>
  <c r="BC287" i="9"/>
  <c r="BC285" i="9"/>
  <c r="BC283" i="9"/>
  <c r="BC281" i="9"/>
  <c r="BC279" i="9"/>
  <c r="BC243" i="9"/>
  <c r="BC241" i="9"/>
  <c r="BC239" i="9"/>
  <c r="BC237" i="9"/>
  <c r="BC235" i="9"/>
  <c r="BC233" i="9"/>
  <c r="BC231" i="9"/>
  <c r="BC229" i="9"/>
  <c r="BC227" i="9"/>
  <c r="BC282" i="9"/>
  <c r="BC244" i="9"/>
  <c r="BC240" i="9"/>
  <c r="BC236" i="9"/>
  <c r="BC232" i="9"/>
  <c r="BC228" i="9"/>
  <c r="BC225" i="9"/>
  <c r="BC223" i="9"/>
  <c r="BC278" i="9"/>
  <c r="BC276" i="9"/>
  <c r="BC274" i="9"/>
  <c r="BC272" i="9"/>
  <c r="BC270" i="9"/>
  <c r="BC268" i="9"/>
  <c r="BC266" i="9"/>
  <c r="BC264" i="9"/>
  <c r="BC262" i="9"/>
  <c r="BC260" i="9"/>
  <c r="BC258" i="9"/>
  <c r="BC256" i="9"/>
  <c r="BC254" i="9"/>
  <c r="BC252" i="9"/>
  <c r="BC250" i="9"/>
  <c r="BC248" i="9"/>
  <c r="BC246" i="9"/>
  <c r="BC221" i="9"/>
  <c r="BC219" i="9"/>
  <c r="BC217" i="9"/>
  <c r="BC215" i="9"/>
  <c r="BC213" i="9"/>
  <c r="BC211" i="9"/>
  <c r="BC209" i="9"/>
  <c r="BC207" i="9"/>
  <c r="BC205" i="9"/>
  <c r="BC203" i="9"/>
  <c r="BC201" i="9"/>
  <c r="BC199" i="9"/>
  <c r="BC197" i="9"/>
  <c r="BC195" i="9"/>
  <c r="BC193" i="9"/>
  <c r="BC191" i="9"/>
  <c r="BC189" i="9"/>
  <c r="BC187" i="9"/>
  <c r="BC185" i="9"/>
  <c r="BC183" i="9"/>
  <c r="BC181" i="9"/>
  <c r="BC179" i="9"/>
  <c r="BC177" i="9"/>
  <c r="BC175" i="9"/>
  <c r="BC173" i="9"/>
  <c r="BC171" i="9"/>
  <c r="BC169" i="9"/>
  <c r="BC167" i="9"/>
  <c r="BC165" i="9"/>
  <c r="BC163" i="9"/>
  <c r="BC161" i="9"/>
  <c r="BC159" i="9"/>
  <c r="BC157" i="9"/>
  <c r="BC155" i="9"/>
  <c r="BC153" i="9"/>
  <c r="BC151" i="9"/>
  <c r="BC149" i="9"/>
  <c r="BC147" i="9"/>
  <c r="BC145" i="9"/>
  <c r="BC143" i="9"/>
  <c r="BC141" i="9"/>
  <c r="BC139" i="9"/>
  <c r="BC137" i="9"/>
  <c r="BC135" i="9"/>
  <c r="BC133" i="9"/>
  <c r="BC131" i="9"/>
  <c r="BC129" i="9"/>
  <c r="BC127" i="9"/>
  <c r="BC125" i="9"/>
  <c r="BC123" i="9"/>
  <c r="BC121" i="9"/>
  <c r="BC119" i="9"/>
  <c r="BC117" i="9"/>
  <c r="BC115" i="9"/>
  <c r="BC113" i="9"/>
  <c r="BC111" i="9"/>
  <c r="BC109" i="9"/>
  <c r="BC107" i="9"/>
  <c r="BC105" i="9"/>
  <c r="BC103" i="9"/>
  <c r="BC101" i="9"/>
  <c r="BC99" i="9"/>
  <c r="BC97" i="9"/>
  <c r="BC95" i="9"/>
  <c r="BC93" i="9"/>
  <c r="BC91" i="9"/>
  <c r="BC89" i="9"/>
  <c r="BC87" i="9"/>
  <c r="BC85" i="9"/>
  <c r="BC83" i="9"/>
  <c r="BC74" i="9"/>
  <c r="BC65" i="9"/>
  <c r="BC39" i="9"/>
  <c r="BC40" i="9"/>
  <c r="BC48" i="9"/>
  <c r="BC49" i="9"/>
  <c r="BC63" i="9"/>
  <c r="BC64" i="9"/>
  <c r="BC280" i="9"/>
  <c r="BC242" i="9"/>
  <c r="BC238" i="9"/>
  <c r="BC234" i="9"/>
  <c r="BC230" i="9"/>
  <c r="BC226" i="9"/>
  <c r="BC224" i="9"/>
  <c r="BC222" i="9"/>
  <c r="BC277" i="9"/>
  <c r="BC275" i="9"/>
  <c r="BC273" i="9"/>
  <c r="BC271" i="9"/>
  <c r="BC269" i="9"/>
  <c r="BC267" i="9"/>
  <c r="BC265" i="9"/>
  <c r="BC263" i="9"/>
  <c r="BC261" i="9"/>
  <c r="BC259" i="9"/>
  <c r="BC257" i="9"/>
  <c r="BC255" i="9"/>
  <c r="BC253" i="9"/>
  <c r="BC251" i="9"/>
  <c r="BC249" i="9"/>
  <c r="BC247" i="9"/>
  <c r="BC245" i="9"/>
  <c r="BC220" i="9"/>
  <c r="BC218" i="9"/>
  <c r="BC216" i="9"/>
  <c r="BC214" i="9"/>
  <c r="BC212" i="9"/>
  <c r="BC210" i="9"/>
  <c r="BC208" i="9"/>
  <c r="BC206" i="9"/>
  <c r="BC204" i="9"/>
  <c r="BC202" i="9"/>
  <c r="BC200" i="9"/>
  <c r="BC198" i="9"/>
  <c r="BC196" i="9"/>
  <c r="BC194" i="9"/>
  <c r="BC192" i="9"/>
  <c r="BC190" i="9"/>
  <c r="BC188" i="9"/>
  <c r="BC186" i="9"/>
  <c r="BC184" i="9"/>
  <c r="BC182" i="9"/>
  <c r="BC180" i="9"/>
  <c r="BC178" i="9"/>
  <c r="BC176" i="9"/>
  <c r="BC174" i="9"/>
  <c r="BC172" i="9"/>
  <c r="BC170" i="9"/>
  <c r="BC168" i="9"/>
  <c r="BC166" i="9"/>
  <c r="BC164" i="9"/>
  <c r="BC162" i="9"/>
  <c r="BC160" i="9"/>
  <c r="BC158" i="9"/>
  <c r="BC156" i="9"/>
  <c r="BC154" i="9"/>
  <c r="BC152" i="9"/>
  <c r="BC150" i="9"/>
  <c r="BC148" i="9"/>
  <c r="BC146" i="9"/>
  <c r="BC144" i="9"/>
  <c r="BC142" i="9"/>
  <c r="BC140" i="9"/>
  <c r="BC138" i="9"/>
  <c r="BC136" i="9"/>
  <c r="BC134" i="9"/>
  <c r="BC132" i="9"/>
  <c r="BC130" i="9"/>
  <c r="BC128" i="9"/>
  <c r="BC126" i="9"/>
  <c r="BC124" i="9"/>
  <c r="BC122" i="9"/>
  <c r="BC120" i="9"/>
  <c r="BC118" i="9"/>
  <c r="BC116" i="9"/>
  <c r="BC114" i="9"/>
  <c r="BC112" i="9"/>
  <c r="BC110" i="9"/>
  <c r="BC108" i="9"/>
  <c r="BC106" i="9"/>
  <c r="BC104" i="9"/>
  <c r="BC102" i="9"/>
  <c r="BC100" i="9"/>
  <c r="BC98" i="9"/>
  <c r="BC96" i="9"/>
  <c r="BC94" i="9"/>
  <c r="BC92" i="9"/>
  <c r="BC90" i="9"/>
  <c r="BC88" i="9"/>
  <c r="BC86" i="9"/>
  <c r="BC84" i="9"/>
  <c r="BC82" i="9"/>
  <c r="BC73" i="9"/>
  <c r="BC5" i="9"/>
  <c r="BC6" i="9"/>
  <c r="BC7" i="9"/>
  <c r="BC8" i="9"/>
  <c r="BC9" i="9"/>
  <c r="BC10" i="9"/>
  <c r="BC11" i="9"/>
  <c r="BC12" i="9"/>
  <c r="BC13" i="9"/>
  <c r="BC14" i="9"/>
  <c r="BC30" i="9"/>
  <c r="BC31" i="9"/>
  <c r="BA16" i="9"/>
  <c r="BC16" i="9" s="1"/>
  <c r="BD16" i="9" s="1"/>
  <c r="BA18" i="9"/>
  <c r="BC18" i="9" s="1"/>
  <c r="BD18" i="9" s="1"/>
  <c r="BA20" i="9"/>
  <c r="BC20" i="9" s="1"/>
  <c r="BD20" i="9" s="1"/>
  <c r="BA22" i="9"/>
  <c r="BC22" i="9" s="1"/>
  <c r="BD22" i="9" s="1"/>
  <c r="BA24" i="9"/>
  <c r="BC24" i="9" s="1"/>
  <c r="BD24" i="9" s="1"/>
  <c r="BA26" i="9"/>
  <c r="BC26" i="9" s="1"/>
  <c r="BD26" i="9" s="1"/>
  <c r="BA28" i="9"/>
  <c r="BC28" i="9" s="1"/>
  <c r="BD28" i="9" s="1"/>
  <c r="BA32" i="9"/>
  <c r="BC32" i="9" s="1"/>
  <c r="BD32" i="9" s="1"/>
  <c r="BA34" i="9"/>
  <c r="BC34" i="9" s="1"/>
  <c r="BD34" i="9" s="1"/>
  <c r="BA36" i="9"/>
  <c r="BC36" i="9" s="1"/>
  <c r="BD36" i="9" s="1"/>
  <c r="BA38" i="9"/>
  <c r="BC38" i="9" s="1"/>
  <c r="BD38" i="9" s="1"/>
  <c r="BA42" i="9"/>
  <c r="BC42" i="9" s="1"/>
  <c r="BD42" i="9" s="1"/>
  <c r="BA44" i="9"/>
  <c r="BC44" i="9" s="1"/>
  <c r="BD44" i="9" s="1"/>
  <c r="BA46" i="9"/>
  <c r="BC46" i="9" s="1"/>
  <c r="BD46" i="9" s="1"/>
  <c r="BA50" i="9"/>
  <c r="BC50" i="9" s="1"/>
  <c r="BA52" i="9"/>
  <c r="BC52" i="9" s="1"/>
  <c r="BD52" i="9" s="1"/>
  <c r="BA54" i="9"/>
  <c r="BC54" i="9" s="1"/>
  <c r="BD54" i="9" s="1"/>
  <c r="BA56" i="9"/>
  <c r="BC56" i="9" s="1"/>
  <c r="BD56" i="9" s="1"/>
  <c r="BA58" i="9"/>
  <c r="BC58" i="9" s="1"/>
  <c r="BD58" i="9" s="1"/>
  <c r="BA60" i="9"/>
  <c r="BC60" i="9" s="1"/>
  <c r="BD60" i="9" s="1"/>
  <c r="BA62" i="9"/>
  <c r="BC62" i="9" s="1"/>
  <c r="BD62" i="9" s="1"/>
  <c r="BA68" i="9"/>
  <c r="BC68" i="9" s="1"/>
  <c r="BD68" i="9" s="1"/>
  <c r="BA66" i="9"/>
  <c r="BC66" i="9" s="1"/>
  <c r="BD66" i="9" s="1"/>
  <c r="BA70" i="9"/>
  <c r="BC70" i="9" s="1"/>
  <c r="BD70" i="9" s="1"/>
  <c r="BA78" i="9"/>
  <c r="BC78" i="9" s="1"/>
  <c r="BA69" i="9"/>
  <c r="BC69" i="9" s="1"/>
  <c r="BD69" i="9" s="1"/>
  <c r="BA77" i="9"/>
  <c r="BC77" i="9" s="1"/>
  <c r="BD77" i="9" s="1"/>
  <c r="BA81" i="9"/>
  <c r="BC81" i="9" s="1"/>
  <c r="BA15" i="9"/>
  <c r="BC15" i="9" s="1"/>
  <c r="BA17" i="9"/>
  <c r="BC17" i="9" s="1"/>
  <c r="BA19" i="9"/>
  <c r="BC19" i="9" s="1"/>
  <c r="BD19" i="9" s="1"/>
  <c r="BA21" i="9"/>
  <c r="BC21" i="9" s="1"/>
  <c r="BD21" i="9" s="1"/>
  <c r="BA23" i="9"/>
  <c r="BC23" i="9" s="1"/>
  <c r="BD23" i="9" s="1"/>
  <c r="BA25" i="9"/>
  <c r="BC25" i="9" s="1"/>
  <c r="BD25" i="9" s="1"/>
  <c r="BA27" i="9"/>
  <c r="BC27" i="9" s="1"/>
  <c r="BD27" i="9" s="1"/>
  <c r="BA29" i="9"/>
  <c r="BC29" i="9" s="1"/>
  <c r="BD29" i="9" s="1"/>
  <c r="BA33" i="9"/>
  <c r="BC33" i="9" s="1"/>
  <c r="BA35" i="9"/>
  <c r="BC35" i="9" s="1"/>
  <c r="BD35" i="9" s="1"/>
  <c r="BA37" i="9"/>
  <c r="BC37" i="9" s="1"/>
  <c r="BD37" i="9" s="1"/>
  <c r="BA41" i="9"/>
  <c r="BC41" i="9" s="1"/>
  <c r="BD41" i="9" s="1"/>
  <c r="BA43" i="9"/>
  <c r="BC43" i="9" s="1"/>
  <c r="BD43" i="9" s="1"/>
  <c r="BA45" i="9"/>
  <c r="BC45" i="9" s="1"/>
  <c r="BD45" i="9" s="1"/>
  <c r="BA47" i="9"/>
  <c r="BC47" i="9" s="1"/>
  <c r="BA51" i="9"/>
  <c r="BC51" i="9" s="1"/>
  <c r="BD51" i="9" s="1"/>
  <c r="BA53" i="9"/>
  <c r="BC53" i="9" s="1"/>
  <c r="BA55" i="9"/>
  <c r="BC55" i="9" s="1"/>
  <c r="BA57" i="9"/>
  <c r="BC57" i="9" s="1"/>
  <c r="BD57" i="9" s="1"/>
  <c r="BA59" i="9"/>
  <c r="BC59" i="9" s="1"/>
  <c r="BD59" i="9" s="1"/>
  <c r="BA61" i="9"/>
  <c r="BC61" i="9" s="1"/>
  <c r="BD61" i="9" s="1"/>
  <c r="BA67" i="9"/>
  <c r="BC67" i="9" s="1"/>
  <c r="BD67" i="9" s="1"/>
  <c r="BA72" i="9"/>
  <c r="BC72" i="9" s="1"/>
  <c r="BD72" i="9" s="1"/>
  <c r="BA76" i="9"/>
  <c r="BC76" i="9" s="1"/>
  <c r="BA80" i="9"/>
  <c r="BC80" i="9" s="1"/>
  <c r="BD80" i="9" s="1"/>
  <c r="BA71" i="9"/>
  <c r="BC71" i="9" s="1"/>
  <c r="BD71" i="9" s="1"/>
  <c r="BA75" i="9"/>
  <c r="BC75" i="9" s="1"/>
  <c r="BA79" i="9"/>
  <c r="BC79" i="9" s="1"/>
  <c r="AX23" i="9"/>
  <c r="AX130" i="9"/>
  <c r="AX157" i="9"/>
  <c r="AX277" i="9"/>
  <c r="AX228" i="9"/>
  <c r="BJ258" i="9"/>
  <c r="BL258" i="9"/>
  <c r="BU258" i="9"/>
  <c r="BL270" i="9"/>
  <c r="BU270" i="9"/>
  <c r="BJ270" i="9"/>
  <c r="BL137" i="9"/>
  <c r="BU137" i="9"/>
  <c r="BJ137" i="9"/>
  <c r="BL167" i="9"/>
  <c r="BU167" i="9"/>
  <c r="BJ167" i="9"/>
  <c r="BL199" i="9"/>
  <c r="BU199" i="9"/>
  <c r="BJ199" i="9"/>
  <c r="BL209" i="9"/>
  <c r="BU209" i="9"/>
  <c r="BJ209" i="9"/>
  <c r="BU225" i="9"/>
  <c r="BJ225" i="9"/>
  <c r="BL225" i="9"/>
  <c r="BL256" i="9"/>
  <c r="BU256" i="9"/>
  <c r="BJ256" i="9"/>
  <c r="BO280" i="9"/>
  <c r="BL280" i="9"/>
  <c r="BU280" i="9"/>
  <c r="BJ280" i="9"/>
  <c r="BO292" i="9"/>
  <c r="BL292" i="9"/>
  <c r="BU292" i="9"/>
  <c r="BJ292" i="9"/>
  <c r="BO300" i="9"/>
  <c r="BL300" i="9"/>
  <c r="BU300" i="9"/>
  <c r="BJ300" i="9"/>
  <c r="BO308" i="9"/>
  <c r="BL308" i="9"/>
  <c r="BU308" i="9"/>
  <c r="BJ308" i="9"/>
  <c r="BL143" i="9"/>
  <c r="BU143" i="9"/>
  <c r="BJ143" i="9"/>
  <c r="BU177" i="9"/>
  <c r="BJ177" i="9"/>
  <c r="BL177" i="9"/>
  <c r="BL201" i="9"/>
  <c r="BU201" i="9"/>
  <c r="BJ201" i="9"/>
  <c r="BL215" i="9"/>
  <c r="BU215" i="9"/>
  <c r="BJ215" i="9"/>
  <c r="BU223" i="9"/>
  <c r="BJ223" i="9"/>
  <c r="BL223" i="9"/>
  <c r="BU293" i="9"/>
  <c r="BJ293" i="9"/>
  <c r="BL293" i="9"/>
  <c r="BU285" i="9"/>
  <c r="BJ285" i="9"/>
  <c r="BL285" i="9"/>
  <c r="BL269" i="9"/>
  <c r="BU269" i="9"/>
  <c r="BJ269" i="9"/>
  <c r="BJ261" i="9"/>
  <c r="BL261" i="9"/>
  <c r="BU261" i="9"/>
  <c r="BL253" i="9"/>
  <c r="BU253" i="9"/>
  <c r="BJ253" i="9"/>
  <c r="BL198" i="9"/>
  <c r="BU198" i="9"/>
  <c r="BJ198" i="9"/>
  <c r="BL158" i="9"/>
  <c r="BU158" i="9"/>
  <c r="BJ158" i="9"/>
  <c r="BU126" i="9"/>
  <c r="BJ126" i="9"/>
  <c r="BL126" i="9"/>
  <c r="BJ70" i="9"/>
  <c r="BL70" i="9"/>
  <c r="BL8" i="9"/>
  <c r="BU8" i="9"/>
  <c r="BJ8" i="9"/>
  <c r="BL16" i="9"/>
  <c r="BJ16" i="9"/>
  <c r="BL24" i="9"/>
  <c r="BJ24" i="9"/>
  <c r="BL32" i="9"/>
  <c r="BJ32" i="9"/>
  <c r="BL40" i="9"/>
  <c r="BU40" i="9"/>
  <c r="BJ40" i="9"/>
  <c r="BJ48" i="9"/>
  <c r="BL48" i="9"/>
  <c r="BU48" i="9"/>
  <c r="BL56" i="9"/>
  <c r="BJ56" i="9"/>
  <c r="BL64" i="9"/>
  <c r="BU64" i="9"/>
  <c r="BJ64" i="9"/>
  <c r="BL307" i="9"/>
  <c r="BU307" i="9"/>
  <c r="BJ307" i="9"/>
  <c r="BL283" i="9"/>
  <c r="BU283" i="9"/>
  <c r="BJ283" i="9"/>
  <c r="BJ275" i="9"/>
  <c r="BL275" i="9"/>
  <c r="BU275" i="9"/>
  <c r="BJ267" i="9"/>
  <c r="BL267" i="9"/>
  <c r="BU267" i="9"/>
  <c r="BL204" i="9"/>
  <c r="BU204" i="9"/>
  <c r="BJ204" i="9"/>
  <c r="BL180" i="9"/>
  <c r="BU180" i="9"/>
  <c r="BJ180" i="9"/>
  <c r="BL132" i="9"/>
  <c r="BU132" i="9"/>
  <c r="BJ132" i="9"/>
  <c r="BL124" i="9"/>
  <c r="BU124" i="9"/>
  <c r="BJ124" i="9"/>
  <c r="BL58" i="9"/>
  <c r="BJ58" i="9"/>
  <c r="BJ220" i="9"/>
  <c r="BL220" i="9"/>
  <c r="BU220" i="9"/>
  <c r="BL133" i="9"/>
  <c r="BU133" i="9"/>
  <c r="BJ133" i="9"/>
  <c r="BL125" i="9"/>
  <c r="BU125" i="9"/>
  <c r="BJ125" i="9"/>
  <c r="BL109" i="9"/>
  <c r="BU109" i="9"/>
  <c r="BJ109" i="9"/>
  <c r="BL101" i="9"/>
  <c r="BU101" i="9"/>
  <c r="BJ101" i="9"/>
  <c r="BL93" i="9"/>
  <c r="BU93" i="9"/>
  <c r="BJ93" i="9"/>
  <c r="BL85" i="9"/>
  <c r="BU85" i="9"/>
  <c r="BJ85" i="9"/>
  <c r="BL77" i="9"/>
  <c r="BJ77" i="9"/>
  <c r="BJ69" i="9"/>
  <c r="BL69" i="9"/>
  <c r="BL242" i="9"/>
  <c r="BU242" i="9"/>
  <c r="BJ242" i="9"/>
  <c r="BJ218" i="9"/>
  <c r="BL218" i="9"/>
  <c r="BU218" i="9"/>
  <c r="BJ210" i="9"/>
  <c r="BL210" i="9"/>
  <c r="BU210" i="9"/>
  <c r="BL131" i="9"/>
  <c r="BU131" i="9"/>
  <c r="BJ131" i="9"/>
  <c r="BL107" i="9"/>
  <c r="BU107" i="9"/>
  <c r="BJ107" i="9"/>
  <c r="BL91" i="9"/>
  <c r="BU91" i="9"/>
  <c r="BJ91" i="9"/>
  <c r="BL31" i="9"/>
  <c r="BU31" i="9"/>
  <c r="BJ31" i="9"/>
  <c r="BJ39" i="9"/>
  <c r="BL39" i="9"/>
  <c r="BU39" i="9"/>
  <c r="BI457" i="9"/>
  <c r="BI332" i="9"/>
  <c r="BO104" i="9"/>
  <c r="BO88" i="9"/>
  <c r="BO72" i="9"/>
  <c r="BO51" i="9"/>
  <c r="BO19" i="9"/>
  <c r="BO114" i="9"/>
  <c r="AX233" i="9"/>
  <c r="BO109" i="9"/>
  <c r="BO131" i="9"/>
  <c r="AX319" i="9"/>
  <c r="AS148" i="9"/>
  <c r="BD148" i="9"/>
  <c r="AU148" i="9"/>
  <c r="AV148" i="9"/>
  <c r="AZ148" i="9"/>
  <c r="AS152" i="9"/>
  <c r="BD152" i="9"/>
  <c r="AU152" i="9"/>
  <c r="AV152" i="9"/>
  <c r="AZ152" i="9"/>
  <c r="BD213" i="9"/>
  <c r="AU213" i="9"/>
  <c r="AS213" i="9"/>
  <c r="AZ213" i="9"/>
  <c r="AV213" i="9"/>
  <c r="BD221" i="9"/>
  <c r="AU221" i="9"/>
  <c r="AS221" i="9"/>
  <c r="AZ221" i="9"/>
  <c r="AV221" i="9"/>
  <c r="AS156" i="9"/>
  <c r="BD156" i="9"/>
  <c r="AU156" i="9"/>
  <c r="AV156" i="9"/>
  <c r="AZ156" i="9"/>
  <c r="AU128" i="9"/>
  <c r="BD128" i="9"/>
  <c r="AS128" i="9"/>
  <c r="AV128" i="9"/>
  <c r="AZ128" i="9"/>
  <c r="AS192" i="9"/>
  <c r="AU192" i="9"/>
  <c r="BD192" i="9"/>
  <c r="AV192" i="9"/>
  <c r="AZ192" i="9"/>
  <c r="AU169" i="9"/>
  <c r="BD169" i="9"/>
  <c r="AS169" i="9"/>
  <c r="AV169" i="9"/>
  <c r="AZ169" i="9"/>
  <c r="AS121" i="9"/>
  <c r="AU121" i="9"/>
  <c r="BD121" i="9"/>
  <c r="AV121" i="9"/>
  <c r="AZ121" i="9"/>
  <c r="AS191" i="9"/>
  <c r="AU191" i="9"/>
  <c r="BD191" i="9"/>
  <c r="AZ191" i="9"/>
  <c r="AV191" i="9"/>
  <c r="AS175" i="9"/>
  <c r="AU175" i="9"/>
  <c r="BD175" i="9"/>
  <c r="AZ175" i="9"/>
  <c r="AV175" i="9"/>
  <c r="AS151" i="9"/>
  <c r="BD151" i="9"/>
  <c r="AU151" i="9"/>
  <c r="AZ151" i="9"/>
  <c r="AV151" i="9"/>
  <c r="AS127" i="9"/>
  <c r="AU127" i="9"/>
  <c r="BD127" i="9"/>
  <c r="AV127" i="9"/>
  <c r="AZ127" i="9"/>
  <c r="AU173" i="9"/>
  <c r="BD173" i="9"/>
  <c r="AS173" i="9"/>
  <c r="AZ173" i="9"/>
  <c r="AV173" i="9"/>
  <c r="AS296" i="9"/>
  <c r="AU296" i="9"/>
  <c r="BD296" i="9"/>
  <c r="AZ296" i="9"/>
  <c r="AV296" i="9"/>
  <c r="AS286" i="9"/>
  <c r="AU286" i="9"/>
  <c r="BD286" i="9"/>
  <c r="AV286" i="9"/>
  <c r="AZ286" i="9"/>
  <c r="BD250" i="9"/>
  <c r="AS250" i="9"/>
  <c r="AU250" i="9"/>
  <c r="AV250" i="9"/>
  <c r="AZ250" i="9"/>
  <c r="AS244" i="9"/>
  <c r="AU244" i="9"/>
  <c r="BD244" i="9"/>
  <c r="AV244" i="9"/>
  <c r="AZ244" i="9"/>
  <c r="AS196" i="9"/>
  <c r="AU196" i="9"/>
  <c r="BD196" i="9"/>
  <c r="AV196" i="9"/>
  <c r="AZ196" i="9"/>
  <c r="AS184" i="9"/>
  <c r="AU184" i="9"/>
  <c r="BD184" i="9"/>
  <c r="AV184" i="9"/>
  <c r="AZ184" i="9"/>
  <c r="AS178" i="9"/>
  <c r="AU178" i="9"/>
  <c r="BD178" i="9"/>
  <c r="AZ178" i="9"/>
  <c r="AV178" i="9"/>
  <c r="AS172" i="9"/>
  <c r="AU172" i="9"/>
  <c r="BD172" i="9"/>
  <c r="AV172" i="9"/>
  <c r="AZ172" i="9"/>
  <c r="AS144" i="9"/>
  <c r="BD144" i="9"/>
  <c r="AU144" i="9"/>
  <c r="AV144" i="9"/>
  <c r="AZ144" i="9"/>
  <c r="BD217" i="9"/>
  <c r="AU217" i="9"/>
  <c r="AS217" i="9"/>
  <c r="AV217" i="9"/>
  <c r="AZ217" i="9"/>
  <c r="AU122" i="9"/>
  <c r="BD122" i="9"/>
  <c r="AS122" i="9"/>
  <c r="AV122" i="9"/>
  <c r="AZ122" i="9"/>
  <c r="AS214" i="9"/>
  <c r="BD214" i="9"/>
  <c r="AU214" i="9"/>
  <c r="AV214" i="9"/>
  <c r="AZ214" i="9"/>
  <c r="BD153" i="9"/>
  <c r="AU153" i="9"/>
  <c r="AS153" i="9"/>
  <c r="AV153" i="9"/>
  <c r="AZ153" i="9"/>
  <c r="AS212" i="9"/>
  <c r="BD212" i="9"/>
  <c r="AU212" i="9"/>
  <c r="AV212" i="9"/>
  <c r="AZ212" i="9"/>
  <c r="AS183" i="9"/>
  <c r="AU183" i="9"/>
  <c r="BD183" i="9"/>
  <c r="AZ183" i="9"/>
  <c r="AV183" i="9"/>
  <c r="AS159" i="9"/>
  <c r="AU159" i="9"/>
  <c r="BD159" i="9"/>
  <c r="AZ159" i="9"/>
  <c r="AV159" i="9"/>
  <c r="AS135" i="9"/>
  <c r="BD135" i="9"/>
  <c r="AU135" i="9"/>
  <c r="AZ135" i="9"/>
  <c r="AV135" i="9"/>
  <c r="AU189" i="9"/>
  <c r="BD189" i="9"/>
  <c r="AS189" i="9"/>
  <c r="AZ189" i="9"/>
  <c r="AV189" i="9"/>
  <c r="AS170" i="9"/>
  <c r="AU170" i="9"/>
  <c r="BD170" i="9"/>
  <c r="AZ170" i="9"/>
  <c r="AV170" i="9"/>
  <c r="AS288" i="9"/>
  <c r="AU288" i="9"/>
  <c r="BD288" i="9"/>
  <c r="AZ288" i="9"/>
  <c r="AV288" i="9"/>
  <c r="BD278" i="9"/>
  <c r="AS278" i="9"/>
  <c r="AU278" i="9"/>
  <c r="AZ278" i="9"/>
  <c r="AV278" i="9"/>
  <c r="AU248" i="9"/>
  <c r="BD248" i="9"/>
  <c r="AS248" i="9"/>
  <c r="AZ248" i="9"/>
  <c r="AV248" i="9"/>
  <c r="AS238" i="9"/>
  <c r="AU238" i="9"/>
  <c r="BD238" i="9"/>
  <c r="AV238" i="9"/>
  <c r="AZ238" i="9"/>
  <c r="AS232" i="9"/>
  <c r="AU232" i="9"/>
  <c r="BD232" i="9"/>
  <c r="AV232" i="9"/>
  <c r="AZ232" i="9"/>
  <c r="AS202" i="9"/>
  <c r="AU202" i="9"/>
  <c r="BD202" i="9"/>
  <c r="AZ202" i="9"/>
  <c r="AV202" i="9"/>
  <c r="AS171" i="9"/>
  <c r="AU171" i="9"/>
  <c r="BD171" i="9"/>
  <c r="AZ171" i="9"/>
  <c r="AV171" i="9"/>
  <c r="AS139" i="9"/>
  <c r="BD139" i="9"/>
  <c r="AU139" i="9"/>
  <c r="AZ139" i="9"/>
  <c r="AV139" i="9"/>
  <c r="AS115" i="9"/>
  <c r="AU115" i="9"/>
  <c r="BD115" i="9"/>
  <c r="AV115" i="9"/>
  <c r="AZ115" i="9"/>
  <c r="AU22" i="9"/>
  <c r="AS22" i="9"/>
  <c r="AV22" i="9"/>
  <c r="AZ22" i="9"/>
  <c r="AS67" i="9"/>
  <c r="AU67" i="9"/>
  <c r="AV67" i="9"/>
  <c r="AZ67" i="9"/>
  <c r="AS83" i="9"/>
  <c r="AU83" i="9"/>
  <c r="BD83" i="9"/>
  <c r="AV83" i="9"/>
  <c r="AZ83" i="9"/>
  <c r="BD265" i="9"/>
  <c r="AS265" i="9"/>
  <c r="AU265" i="9"/>
  <c r="AV265" i="9"/>
  <c r="AZ265" i="9"/>
  <c r="AS312" i="9"/>
  <c r="AU312" i="9"/>
  <c r="BD312" i="9"/>
  <c r="AZ312" i="9"/>
  <c r="AV312" i="9"/>
  <c r="AU78" i="9"/>
  <c r="BD78" i="9"/>
  <c r="AS78" i="9"/>
  <c r="AV78" i="9"/>
  <c r="AZ78" i="9"/>
  <c r="AU18" i="9"/>
  <c r="AS18" i="9"/>
  <c r="AV18" i="9"/>
  <c r="AZ18" i="9"/>
  <c r="AU34" i="9"/>
  <c r="AS34" i="9"/>
  <c r="AV34" i="9"/>
  <c r="AZ34" i="9"/>
  <c r="AS49" i="9"/>
  <c r="BD49" i="9"/>
  <c r="AU49" i="9"/>
  <c r="AV49" i="9"/>
  <c r="AZ49" i="9"/>
  <c r="AS63" i="9"/>
  <c r="BD63" i="9"/>
  <c r="AU63" i="9"/>
  <c r="AV63" i="9"/>
  <c r="AZ63" i="9"/>
  <c r="AS79" i="9"/>
  <c r="AU79" i="9"/>
  <c r="BD79" i="9"/>
  <c r="AV79" i="9"/>
  <c r="AZ79" i="9"/>
  <c r="BD263" i="9"/>
  <c r="AS263" i="9"/>
  <c r="AU263" i="9"/>
  <c r="AV263" i="9"/>
  <c r="AZ263" i="9"/>
  <c r="AS318" i="9"/>
  <c r="BD318" i="9"/>
  <c r="AU318" i="9"/>
  <c r="AZ318" i="9"/>
  <c r="AV318" i="9"/>
  <c r="AS302" i="9"/>
  <c r="AU302" i="9"/>
  <c r="BD302" i="9"/>
  <c r="AV302" i="9"/>
  <c r="AZ302" i="9"/>
  <c r="AU36" i="9"/>
  <c r="AS36" i="9"/>
  <c r="AV36" i="9"/>
  <c r="AZ36" i="9"/>
  <c r="AU52" i="9"/>
  <c r="AS52" i="9"/>
  <c r="AV52" i="9"/>
  <c r="AZ52" i="9"/>
  <c r="AS9" i="9"/>
  <c r="BD9" i="9"/>
  <c r="BD332" i="9" s="1"/>
  <c r="AU9" i="9"/>
  <c r="AV9" i="9"/>
  <c r="AZ9" i="9"/>
  <c r="AS17" i="9"/>
  <c r="BD17" i="9"/>
  <c r="AU17" i="9"/>
  <c r="AV17" i="9"/>
  <c r="AZ17" i="9"/>
  <c r="AS25" i="9"/>
  <c r="AU25" i="9"/>
  <c r="AV25" i="9"/>
  <c r="AZ25" i="9"/>
  <c r="AS33" i="9"/>
  <c r="BD33" i="9"/>
  <c r="AU33" i="9"/>
  <c r="AV33" i="9"/>
  <c r="AZ33" i="9"/>
  <c r="AU106" i="9"/>
  <c r="BD106" i="9"/>
  <c r="AS106" i="9"/>
  <c r="AV106" i="9"/>
  <c r="AZ106" i="9"/>
  <c r="AX78" i="9"/>
  <c r="AX173" i="9"/>
  <c r="AX232" i="9"/>
  <c r="AX175" i="9"/>
  <c r="AX79" i="9"/>
  <c r="AX63" i="9"/>
  <c r="AX49" i="9"/>
  <c r="AX34" i="9"/>
  <c r="AX18" i="9"/>
  <c r="AX36" i="9"/>
  <c r="AX169" i="9"/>
  <c r="AX286" i="9"/>
  <c r="AX212" i="9"/>
  <c r="AX183" i="9"/>
  <c r="AX151" i="9"/>
  <c r="AX234" i="9"/>
  <c r="AX147" i="9"/>
  <c r="AU279" i="9"/>
  <c r="BD279" i="9"/>
  <c r="AS279" i="9"/>
  <c r="AV279" i="9"/>
  <c r="AZ279" i="9"/>
  <c r="AU118" i="9"/>
  <c r="BD118" i="9"/>
  <c r="AS118" i="9"/>
  <c r="AV118" i="9"/>
  <c r="AZ118" i="9"/>
  <c r="BD251" i="9"/>
  <c r="AS251" i="9"/>
  <c r="AU251" i="9"/>
  <c r="AV251" i="9"/>
  <c r="AZ251" i="9"/>
  <c r="AU229" i="9"/>
  <c r="BD229" i="9"/>
  <c r="AS229" i="9"/>
  <c r="AZ229" i="9"/>
  <c r="AV229" i="9"/>
  <c r="AU181" i="9"/>
  <c r="BD181" i="9"/>
  <c r="AS181" i="9"/>
  <c r="AZ181" i="9"/>
  <c r="AV181" i="9"/>
  <c r="AU193" i="9"/>
  <c r="BD193" i="9"/>
  <c r="AS193" i="9"/>
  <c r="AV193" i="9"/>
  <c r="AZ193" i="9"/>
  <c r="AS117" i="9"/>
  <c r="AU117" i="9"/>
  <c r="BD117" i="9"/>
  <c r="AV117" i="9"/>
  <c r="AZ117" i="9"/>
  <c r="AU74" i="9"/>
  <c r="BD74" i="9"/>
  <c r="AS74" i="9"/>
  <c r="AV74" i="9"/>
  <c r="AZ74" i="9"/>
  <c r="BD50" i="9"/>
  <c r="AU50" i="9"/>
  <c r="AS50" i="9"/>
  <c r="AV50" i="9"/>
  <c r="AZ50" i="9"/>
  <c r="AS55" i="9"/>
  <c r="BD55" i="9"/>
  <c r="AU55" i="9"/>
  <c r="AV55" i="9"/>
  <c r="AZ55" i="9"/>
  <c r="AS111" i="9"/>
  <c r="AU111" i="9"/>
  <c r="BD111" i="9"/>
  <c r="AV111" i="9"/>
  <c r="AZ111" i="9"/>
  <c r="AU86" i="9"/>
  <c r="BD86" i="9"/>
  <c r="AS86" i="9"/>
  <c r="AV86" i="9"/>
  <c r="AZ86" i="9"/>
  <c r="AU94" i="9"/>
  <c r="BD94" i="9"/>
  <c r="AS94" i="9"/>
  <c r="AV94" i="9"/>
  <c r="AZ94" i="9"/>
  <c r="AU102" i="9"/>
  <c r="BD102" i="9"/>
  <c r="AS102" i="9"/>
  <c r="AV102" i="9"/>
  <c r="AZ102" i="9"/>
  <c r="AU264" i="9"/>
  <c r="BD264" i="9"/>
  <c r="AS264" i="9"/>
  <c r="AZ264" i="9"/>
  <c r="AV264" i="9"/>
  <c r="AX203" i="9"/>
  <c r="AX159" i="9"/>
  <c r="AS138" i="9"/>
  <c r="BD138" i="9"/>
  <c r="AU138" i="9"/>
  <c r="AZ138" i="9"/>
  <c r="AV138" i="9"/>
  <c r="AS150" i="9"/>
  <c r="BD150" i="9"/>
  <c r="AU150" i="9"/>
  <c r="AV150" i="9"/>
  <c r="AZ150" i="9"/>
  <c r="AX29" i="9"/>
  <c r="AX21" i="9"/>
  <c r="AX128" i="9"/>
  <c r="AX152" i="9"/>
  <c r="AX279" i="9"/>
  <c r="AS47" i="9"/>
  <c r="BD47" i="9"/>
  <c r="AU47" i="9"/>
  <c r="AV47" i="9"/>
  <c r="AZ47" i="9"/>
  <c r="AS290" i="9"/>
  <c r="AU290" i="9"/>
  <c r="BD290" i="9"/>
  <c r="AV290" i="9"/>
  <c r="AZ290" i="9"/>
  <c r="AX290" i="9"/>
  <c r="AS160" i="9"/>
  <c r="AU160" i="9"/>
  <c r="BD160" i="9"/>
  <c r="AV160" i="9"/>
  <c r="AZ160" i="9"/>
  <c r="AT320" i="9"/>
  <c r="AS5" i="9"/>
  <c r="AT433" i="9"/>
  <c r="BD5" i="9"/>
  <c r="AU5" i="9"/>
  <c r="AV5" i="9"/>
  <c r="AZ5" i="9"/>
  <c r="AX5" i="9"/>
  <c r="AS53" i="9"/>
  <c r="AU53" i="9"/>
  <c r="BD53" i="9"/>
  <c r="AV53" i="9"/>
  <c r="AZ53" i="9"/>
  <c r="AS316" i="9"/>
  <c r="BD316" i="9"/>
  <c r="AU316" i="9"/>
  <c r="AZ316" i="9"/>
  <c r="AV316" i="9"/>
  <c r="AS314" i="9"/>
  <c r="BD314" i="9"/>
  <c r="AU314" i="9"/>
  <c r="AV314" i="9"/>
  <c r="AZ314" i="9"/>
  <c r="AS299" i="9"/>
  <c r="AU299" i="9"/>
  <c r="BD299" i="9"/>
  <c r="AV299" i="9"/>
  <c r="AZ299" i="9"/>
  <c r="AU46" i="9"/>
  <c r="AS46" i="9"/>
  <c r="AV46" i="9"/>
  <c r="AZ46" i="9"/>
  <c r="AS15" i="9"/>
  <c r="BD15" i="9"/>
  <c r="AU15" i="9"/>
  <c r="AV15" i="9"/>
  <c r="AZ15" i="9"/>
  <c r="AX259" i="9"/>
  <c r="AX145" i="9"/>
  <c r="AX172" i="9"/>
  <c r="BD255" i="9"/>
  <c r="AS255" i="9"/>
  <c r="AU255" i="9"/>
  <c r="AV255" i="9"/>
  <c r="AZ255" i="9"/>
  <c r="AU108" i="9"/>
  <c r="BD108" i="9"/>
  <c r="AS108" i="9"/>
  <c r="AV108" i="9"/>
  <c r="AZ108" i="9"/>
  <c r="AU100" i="9"/>
  <c r="BD100" i="9"/>
  <c r="AS100" i="9"/>
  <c r="AV100" i="9"/>
  <c r="AZ100" i="9"/>
  <c r="AU92" i="9"/>
  <c r="BD92" i="9"/>
  <c r="AS92" i="9"/>
  <c r="AV92" i="9"/>
  <c r="AZ92" i="9"/>
  <c r="AU84" i="9"/>
  <c r="BD84" i="9"/>
  <c r="AS84" i="9"/>
  <c r="AV84" i="9"/>
  <c r="AZ84" i="9"/>
  <c r="AU76" i="9"/>
  <c r="BD76" i="9"/>
  <c r="AS76" i="9"/>
  <c r="AV76" i="9"/>
  <c r="AZ76" i="9"/>
  <c r="AU68" i="9"/>
  <c r="AS68" i="9"/>
  <c r="AV68" i="9"/>
  <c r="AZ68" i="9"/>
  <c r="AS222" i="9"/>
  <c r="AU222" i="9"/>
  <c r="BD222" i="9"/>
  <c r="AV222" i="9"/>
  <c r="AZ222" i="9"/>
  <c r="AS123" i="9"/>
  <c r="AU123" i="9"/>
  <c r="BD123" i="9"/>
  <c r="AV123" i="9"/>
  <c r="AZ123" i="9"/>
  <c r="AS294" i="9"/>
  <c r="AU294" i="9"/>
  <c r="BD294" i="9"/>
  <c r="AV294" i="9"/>
  <c r="AZ294" i="9"/>
  <c r="AX294" i="9"/>
  <c r="AS140" i="9"/>
  <c r="BD140" i="9"/>
  <c r="AU140" i="9"/>
  <c r="AV140" i="9"/>
  <c r="AZ140" i="9"/>
  <c r="AS282" i="9"/>
  <c r="AU282" i="9"/>
  <c r="BD282" i="9"/>
  <c r="AV282" i="9"/>
  <c r="AZ282" i="9"/>
  <c r="AX282" i="9"/>
  <c r="BD247" i="9"/>
  <c r="AS247" i="9"/>
  <c r="AU247" i="9"/>
  <c r="AV247" i="9"/>
  <c r="AZ247" i="9"/>
  <c r="AS231" i="9"/>
  <c r="AU231" i="9"/>
  <c r="BD231" i="9"/>
  <c r="AZ231" i="9"/>
  <c r="AV231" i="9"/>
  <c r="AU185" i="9"/>
  <c r="BD185" i="9"/>
  <c r="AS185" i="9"/>
  <c r="AV185" i="9"/>
  <c r="AZ185" i="9"/>
  <c r="AU161" i="9"/>
  <c r="BD161" i="9"/>
  <c r="AS161" i="9"/>
  <c r="AV161" i="9"/>
  <c r="AZ161" i="9"/>
  <c r="AX161" i="9"/>
  <c r="AU165" i="9"/>
  <c r="BD165" i="9"/>
  <c r="AS165" i="9"/>
  <c r="AZ165" i="9"/>
  <c r="AV165" i="9"/>
  <c r="AX127" i="9"/>
  <c r="AX193" i="9"/>
  <c r="AX111" i="9"/>
  <c r="AX263" i="9"/>
  <c r="AS176" i="9"/>
  <c r="AU176" i="9"/>
  <c r="BD176" i="9"/>
  <c r="AV176" i="9"/>
  <c r="AZ176" i="9"/>
  <c r="BD141" i="9"/>
  <c r="AU141" i="9"/>
  <c r="AS141" i="9"/>
  <c r="AZ141" i="9"/>
  <c r="AV141" i="9"/>
  <c r="AS146" i="9"/>
  <c r="BD146" i="9"/>
  <c r="AU146" i="9"/>
  <c r="AZ146" i="9"/>
  <c r="AV146" i="9"/>
  <c r="AU252" i="9"/>
  <c r="BD252" i="9"/>
  <c r="AS252" i="9"/>
  <c r="AZ252" i="9"/>
  <c r="AV252" i="9"/>
  <c r="AU96" i="9"/>
  <c r="BD96" i="9"/>
  <c r="AS96" i="9"/>
  <c r="AV96" i="9"/>
  <c r="AZ96" i="9"/>
  <c r="AS164" i="9"/>
  <c r="AU164" i="9"/>
  <c r="BD164" i="9"/>
  <c r="AV164" i="9"/>
  <c r="AZ164" i="9"/>
  <c r="AS281" i="9"/>
  <c r="AU281" i="9"/>
  <c r="BD281" i="9"/>
  <c r="AV281" i="9"/>
  <c r="AZ281" i="9"/>
  <c r="AU116" i="9"/>
  <c r="BD116" i="9"/>
  <c r="AS116" i="9"/>
  <c r="AV116" i="9"/>
  <c r="AZ116" i="9"/>
  <c r="AU241" i="9"/>
  <c r="BD241" i="9"/>
  <c r="AS241" i="9"/>
  <c r="AV241" i="9"/>
  <c r="AZ241" i="9"/>
  <c r="AS81" i="9"/>
  <c r="AU81" i="9"/>
  <c r="BD81" i="9"/>
  <c r="AV81" i="9"/>
  <c r="AZ81" i="9"/>
  <c r="BD254" i="9"/>
  <c r="AS254" i="9"/>
  <c r="AU254" i="9"/>
  <c r="AZ254" i="9"/>
  <c r="AV254" i="9"/>
  <c r="AS105" i="9"/>
  <c r="AU105" i="9"/>
  <c r="BD105" i="9"/>
  <c r="AV105" i="9"/>
  <c r="AZ105" i="9"/>
  <c r="AS154" i="9"/>
  <c r="BD154" i="9"/>
  <c r="AU154" i="9"/>
  <c r="AZ154" i="9"/>
  <c r="AV154" i="9"/>
  <c r="AS162" i="9"/>
  <c r="AU162" i="9"/>
  <c r="BD162" i="9"/>
  <c r="AZ162" i="9"/>
  <c r="AV162" i="9"/>
  <c r="AN319" i="9"/>
  <c r="AN317" i="9"/>
  <c r="AN315" i="9"/>
  <c r="AN313" i="9"/>
  <c r="AN311" i="9"/>
  <c r="AN309" i="9"/>
  <c r="AN307" i="9"/>
  <c r="AN305" i="9"/>
  <c r="AN303" i="9"/>
  <c r="AN301" i="9"/>
  <c r="AN299" i="9"/>
  <c r="AN297" i="9"/>
  <c r="AN295" i="9"/>
  <c r="AN293" i="9"/>
  <c r="AN291" i="9"/>
  <c r="AN289" i="9"/>
  <c r="AN287" i="9"/>
  <c r="AN285" i="9"/>
  <c r="AN283" i="9"/>
  <c r="AN281" i="9"/>
  <c r="AN279" i="9"/>
  <c r="AN277" i="9"/>
  <c r="AN275" i="9"/>
  <c r="AN273" i="9"/>
  <c r="AN271" i="9"/>
  <c r="AN269" i="9"/>
  <c r="AN267" i="9"/>
  <c r="AN265" i="9"/>
  <c r="AN263" i="9"/>
  <c r="AN261" i="9"/>
  <c r="AN259" i="9"/>
  <c r="AN257" i="9"/>
  <c r="AN255" i="9"/>
  <c r="AN253" i="9"/>
  <c r="AN251" i="9"/>
  <c r="AN249" i="9"/>
  <c r="AN247" i="9"/>
  <c r="AN245" i="9"/>
  <c r="AN243" i="9"/>
  <c r="AN241" i="9"/>
  <c r="AN239" i="9"/>
  <c r="AN237" i="9"/>
  <c r="AN235" i="9"/>
  <c r="AN233" i="9"/>
  <c r="AN231" i="9"/>
  <c r="AN229" i="9"/>
  <c r="AN227" i="9"/>
  <c r="AN225" i="9"/>
  <c r="AN223" i="9"/>
  <c r="AN221" i="9"/>
  <c r="AN219" i="9"/>
  <c r="AN217" i="9"/>
  <c r="AN215" i="9"/>
  <c r="AN213" i="9"/>
  <c r="AN211" i="9"/>
  <c r="AN209" i="9"/>
  <c r="AN207" i="9"/>
  <c r="AN205" i="9"/>
  <c r="AN203" i="9"/>
  <c r="AN201" i="9"/>
  <c r="AN199" i="9"/>
  <c r="AN197" i="9"/>
  <c r="AN195" i="9"/>
  <c r="AN193" i="9"/>
  <c r="AN191" i="9"/>
  <c r="AN189" i="9"/>
  <c r="AN187" i="9"/>
  <c r="AN185" i="9"/>
  <c r="AN183" i="9"/>
  <c r="AN181" i="9"/>
  <c r="AN179" i="9"/>
  <c r="AN177" i="9"/>
  <c r="AN175" i="9"/>
  <c r="AN173" i="9"/>
  <c r="AN171" i="9"/>
  <c r="AN169" i="9"/>
  <c r="AN167" i="9"/>
  <c r="AN165" i="9"/>
  <c r="AN163" i="9"/>
  <c r="AN161" i="9"/>
  <c r="AN159" i="9"/>
  <c r="AN157" i="9"/>
  <c r="AN155" i="9"/>
  <c r="AN153" i="9"/>
  <c r="AN151" i="9"/>
  <c r="AN149" i="9"/>
  <c r="AN147" i="9"/>
  <c r="AN145" i="9"/>
  <c r="AN143" i="9"/>
  <c r="AN141" i="9"/>
  <c r="AN139" i="9"/>
  <c r="AN137" i="9"/>
  <c r="AN135" i="9"/>
  <c r="AN318" i="9"/>
  <c r="AN316" i="9"/>
  <c r="AN314" i="9"/>
  <c r="AN312" i="9"/>
  <c r="AN310" i="9"/>
  <c r="AN308" i="9"/>
  <c r="AN306" i="9"/>
  <c r="AN304" i="9"/>
  <c r="AN302" i="9"/>
  <c r="AN300" i="9"/>
  <c r="AN298" i="9"/>
  <c r="AN296" i="9"/>
  <c r="AN294" i="9"/>
  <c r="AN292" i="9"/>
  <c r="AN290" i="9"/>
  <c r="AN288" i="9"/>
  <c r="AN286" i="9"/>
  <c r="AN284" i="9"/>
  <c r="AN282" i="9"/>
  <c r="AN280" i="9"/>
  <c r="AN278" i="9"/>
  <c r="AN276" i="9"/>
  <c r="AN274" i="9"/>
  <c r="AN272" i="9"/>
  <c r="AN270" i="9"/>
  <c r="AN268" i="9"/>
  <c r="AN266" i="9"/>
  <c r="AN264" i="9"/>
  <c r="AN262" i="9"/>
  <c r="AN260" i="9"/>
  <c r="AN258" i="9"/>
  <c r="AN256" i="9"/>
  <c r="AN254" i="9"/>
  <c r="AN252" i="9"/>
  <c r="AN250" i="9"/>
  <c r="AN248" i="9"/>
  <c r="AN246" i="9"/>
  <c r="AN244" i="9"/>
  <c r="AN242" i="9"/>
  <c r="AN240" i="9"/>
  <c r="AN238" i="9"/>
  <c r="AN236" i="9"/>
  <c r="AN234" i="9"/>
  <c r="AN232" i="9"/>
  <c r="AN230" i="9"/>
  <c r="AN228" i="9"/>
  <c r="AN226" i="9"/>
  <c r="AN224" i="9"/>
  <c r="AN222" i="9"/>
  <c r="AN220" i="9"/>
  <c r="AN218" i="9"/>
  <c r="AN216" i="9"/>
  <c r="AN214" i="9"/>
  <c r="AN212" i="9"/>
  <c r="AN210" i="9"/>
  <c r="AN208" i="9"/>
  <c r="AN206" i="9"/>
  <c r="AN204" i="9"/>
  <c r="AN202" i="9"/>
  <c r="AN200" i="9"/>
  <c r="AN198" i="9"/>
  <c r="AN196" i="9"/>
  <c r="AN194" i="9"/>
  <c r="AN192" i="9"/>
  <c r="AN190" i="9"/>
  <c r="AN188" i="9"/>
  <c r="AN186" i="9"/>
  <c r="AN184" i="9"/>
  <c r="AN182" i="9"/>
  <c r="AN180" i="9"/>
  <c r="AN178" i="9"/>
  <c r="AN176" i="9"/>
  <c r="AN174" i="9"/>
  <c r="AN172" i="9"/>
  <c r="AN170" i="9"/>
  <c r="AN168" i="9"/>
  <c r="AN166" i="9"/>
  <c r="AN164" i="9"/>
  <c r="AN162" i="9"/>
  <c r="AN160" i="9"/>
  <c r="AN158" i="9"/>
  <c r="AN156" i="9"/>
  <c r="AN154" i="9"/>
  <c r="AN152" i="9"/>
  <c r="AN150" i="9"/>
  <c r="AN148" i="9"/>
  <c r="AN146" i="9"/>
  <c r="AN144" i="9"/>
  <c r="AN142" i="9"/>
  <c r="AN140" i="9"/>
  <c r="AN138" i="9"/>
  <c r="AN136" i="9"/>
  <c r="AN134" i="9"/>
  <c r="AN5" i="9"/>
  <c r="AN6" i="9"/>
  <c r="AN7" i="9"/>
  <c r="AN8" i="9"/>
  <c r="AN9" i="9"/>
  <c r="AN10" i="9"/>
  <c r="AN11" i="9"/>
  <c r="AN12" i="9"/>
  <c r="AN13" i="9"/>
  <c r="AN14" i="9"/>
  <c r="AN15" i="9"/>
  <c r="AN16" i="9"/>
  <c r="AN17" i="9"/>
  <c r="AN18" i="9"/>
  <c r="AN19" i="9"/>
  <c r="AN20" i="9"/>
  <c r="AN21" i="9"/>
  <c r="AN22" i="9"/>
  <c r="AN23" i="9"/>
  <c r="AN24" i="9"/>
  <c r="AN25" i="9"/>
  <c r="AN26" i="9"/>
  <c r="AN27" i="9"/>
  <c r="AN28" i="9"/>
  <c r="AN29" i="9"/>
  <c r="AN30" i="9"/>
  <c r="AN31" i="9"/>
  <c r="AN32" i="9"/>
  <c r="AN33" i="9"/>
  <c r="AN34" i="9"/>
  <c r="AN35" i="9"/>
  <c r="AN36" i="9"/>
  <c r="AN37" i="9"/>
  <c r="AN38" i="9"/>
  <c r="AN39" i="9"/>
  <c r="AN40" i="9"/>
  <c r="AN41" i="9"/>
  <c r="AN42" i="9"/>
  <c r="AN43" i="9"/>
  <c r="AN44" i="9"/>
  <c r="AN45" i="9"/>
  <c r="AN46" i="9"/>
  <c r="AN47" i="9"/>
  <c r="AN48" i="9"/>
  <c r="AN49" i="9"/>
  <c r="AN50" i="9"/>
  <c r="AN51" i="9"/>
  <c r="AN52" i="9"/>
  <c r="AN53" i="9"/>
  <c r="AN54" i="9"/>
  <c r="AN55" i="9"/>
  <c r="AN56" i="9"/>
  <c r="AN57" i="9"/>
  <c r="AN58" i="9"/>
  <c r="AN59" i="9"/>
  <c r="AN60" i="9"/>
  <c r="AN61" i="9"/>
  <c r="AN62" i="9"/>
  <c r="AN63" i="9"/>
  <c r="AN64" i="9"/>
  <c r="AN65" i="9"/>
  <c r="AN66" i="9"/>
  <c r="AN67" i="9"/>
  <c r="AN68" i="9"/>
  <c r="AN69" i="9"/>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99" i="9"/>
  <c r="AN100" i="9"/>
  <c r="AN101" i="9"/>
  <c r="AN102" i="9"/>
  <c r="AN103" i="9"/>
  <c r="AN104" i="9"/>
  <c r="AN105" i="9"/>
  <c r="AN106" i="9"/>
  <c r="AN107" i="9"/>
  <c r="AN108" i="9"/>
  <c r="AN109" i="9"/>
  <c r="AN110" i="9"/>
  <c r="AN111" i="9"/>
  <c r="AN112" i="9"/>
  <c r="AN113" i="9"/>
  <c r="AN114" i="9"/>
  <c r="AN115" i="9"/>
  <c r="AN116" i="9"/>
  <c r="AN117" i="9"/>
  <c r="AN118" i="9"/>
  <c r="AN119" i="9"/>
  <c r="AN120" i="9"/>
  <c r="AN121" i="9"/>
  <c r="AN122" i="9"/>
  <c r="AN123" i="9"/>
  <c r="AN124" i="9"/>
  <c r="AN125" i="9"/>
  <c r="AN126" i="9"/>
  <c r="AN127" i="9"/>
  <c r="AN128" i="9"/>
  <c r="AN129" i="9"/>
  <c r="AN130" i="9"/>
  <c r="AN131" i="9"/>
  <c r="AN132" i="9"/>
  <c r="AN133" i="9"/>
  <c r="AR348" i="9"/>
  <c r="AT440" i="9" s="1"/>
  <c r="AS440" i="9" s="1"/>
  <c r="AX15" i="9"/>
  <c r="AX105" i="9"/>
  <c r="AX116" i="9"/>
  <c r="AX13" i="9"/>
  <c r="AX278" i="9"/>
  <c r="AX153" i="9"/>
  <c r="AX115" i="9"/>
  <c r="BJ266" i="9"/>
  <c r="BL266" i="9"/>
  <c r="BU266" i="9"/>
  <c r="BL262" i="9"/>
  <c r="BU262" i="9"/>
  <c r="BJ262" i="9"/>
  <c r="BL155" i="9"/>
  <c r="BU155" i="9"/>
  <c r="BJ155" i="9"/>
  <c r="BU163" i="9"/>
  <c r="BJ163" i="9"/>
  <c r="BL163" i="9"/>
  <c r="BU179" i="9"/>
  <c r="BJ179" i="9"/>
  <c r="BL179" i="9"/>
  <c r="BL187" i="9"/>
  <c r="BU187" i="9"/>
  <c r="BJ187" i="9"/>
  <c r="BL211" i="9"/>
  <c r="BU211" i="9"/>
  <c r="BJ211" i="9"/>
  <c r="BL219" i="9"/>
  <c r="BU219" i="9"/>
  <c r="BJ219" i="9"/>
  <c r="BU235" i="9"/>
  <c r="BJ235" i="9"/>
  <c r="BL235" i="9"/>
  <c r="BU243" i="9"/>
  <c r="BJ243" i="9"/>
  <c r="BL243" i="9"/>
  <c r="BO260" i="9"/>
  <c r="BL260" i="9"/>
  <c r="BU260" i="9"/>
  <c r="BJ260" i="9"/>
  <c r="BO268" i="9"/>
  <c r="BJ268" i="9"/>
  <c r="BL268" i="9"/>
  <c r="BU268" i="9"/>
  <c r="BO298" i="9"/>
  <c r="BU298" i="9"/>
  <c r="BJ298" i="9"/>
  <c r="BL298" i="9"/>
  <c r="BO306" i="9"/>
  <c r="BU306" i="9"/>
  <c r="BJ306" i="9"/>
  <c r="BL306" i="9"/>
  <c r="BU315" i="9"/>
  <c r="BL315" i="9"/>
  <c r="BJ315" i="9"/>
  <c r="BJ149" i="9"/>
  <c r="BL149" i="9"/>
  <c r="BU149" i="9"/>
  <c r="BU197" i="9"/>
  <c r="BJ197" i="9"/>
  <c r="BL197" i="9"/>
  <c r="BL205" i="9"/>
  <c r="BU205" i="9"/>
  <c r="BJ205" i="9"/>
  <c r="BL237" i="9"/>
  <c r="BU237" i="9"/>
  <c r="BJ237" i="9"/>
  <c r="BL289" i="9"/>
  <c r="BU289" i="9"/>
  <c r="BJ289" i="9"/>
  <c r="BJ273" i="9"/>
  <c r="BL273" i="9"/>
  <c r="BU273" i="9"/>
  <c r="BJ249" i="9"/>
  <c r="BL249" i="9"/>
  <c r="BU249" i="9"/>
  <c r="BU186" i="9"/>
  <c r="BJ186" i="9"/>
  <c r="BL186" i="9"/>
  <c r="BL114" i="9"/>
  <c r="BU114" i="9"/>
  <c r="BJ114" i="9"/>
  <c r="BU311" i="9"/>
  <c r="BJ311" i="9"/>
  <c r="BL311" i="9"/>
  <c r="BU303" i="9"/>
  <c r="BJ303" i="9"/>
  <c r="BL303" i="9"/>
  <c r="BU295" i="9"/>
  <c r="BJ295" i="9"/>
  <c r="BL295" i="9"/>
  <c r="BU287" i="9"/>
  <c r="BJ287" i="9"/>
  <c r="BL287" i="9"/>
  <c r="BL271" i="9"/>
  <c r="BU271" i="9"/>
  <c r="BJ271" i="9"/>
  <c r="BU168" i="9"/>
  <c r="BJ168" i="9"/>
  <c r="BL168" i="9"/>
  <c r="BU112" i="9"/>
  <c r="BJ112" i="9"/>
  <c r="BL112" i="9"/>
  <c r="BU104" i="9"/>
  <c r="BJ104" i="9"/>
  <c r="BL104" i="9"/>
  <c r="BU88" i="9"/>
  <c r="BJ88" i="9"/>
  <c r="BL88" i="9"/>
  <c r="BL80" i="9"/>
  <c r="BJ80" i="9"/>
  <c r="BL72" i="9"/>
  <c r="BJ72" i="9"/>
  <c r="BL6" i="9"/>
  <c r="BU6" i="9"/>
  <c r="BJ6" i="9"/>
  <c r="BJ38" i="9"/>
  <c r="BL38" i="9"/>
  <c r="BL54" i="9"/>
  <c r="BJ54" i="9"/>
  <c r="BL62" i="9"/>
  <c r="BJ62" i="9"/>
  <c r="BL216" i="9"/>
  <c r="BU216" i="9"/>
  <c r="BJ216" i="9"/>
  <c r="BL136" i="9"/>
  <c r="BU136" i="9"/>
  <c r="BJ136" i="9"/>
  <c r="BU129" i="9"/>
  <c r="BJ129" i="9"/>
  <c r="BL129" i="9"/>
  <c r="BU113" i="9"/>
  <c r="BJ113" i="9"/>
  <c r="BL113" i="9"/>
  <c r="BU97" i="9"/>
  <c r="BJ97" i="9"/>
  <c r="BL97" i="9"/>
  <c r="BU89" i="9"/>
  <c r="BJ89" i="9"/>
  <c r="BL89" i="9"/>
  <c r="BU73" i="9"/>
  <c r="BJ73" i="9"/>
  <c r="BL73" i="9"/>
  <c r="BL65" i="9"/>
  <c r="BU65" i="9"/>
  <c r="BJ65" i="9"/>
  <c r="BL45" i="9"/>
  <c r="BJ45" i="9"/>
  <c r="BJ61" i="9"/>
  <c r="BL61" i="9"/>
  <c r="BU230" i="9"/>
  <c r="BJ230" i="9"/>
  <c r="BL230" i="9"/>
  <c r="BL142" i="9"/>
  <c r="BU142" i="9"/>
  <c r="BJ142" i="9"/>
  <c r="BU119" i="9"/>
  <c r="BJ119" i="9"/>
  <c r="BL119" i="9"/>
  <c r="BU103" i="9"/>
  <c r="BJ103" i="9"/>
  <c r="BL103" i="9"/>
  <c r="BU95" i="9"/>
  <c r="BJ95" i="9"/>
  <c r="BL95" i="9"/>
  <c r="BU87" i="9"/>
  <c r="BJ87" i="9"/>
  <c r="BL87" i="9"/>
  <c r="BJ11" i="9"/>
  <c r="BL11" i="9"/>
  <c r="BU11" i="9"/>
  <c r="BL19" i="9"/>
  <c r="BJ19" i="9"/>
  <c r="BL27" i="9"/>
  <c r="BJ27" i="9"/>
  <c r="BJ35" i="9"/>
  <c r="BL35" i="9"/>
  <c r="BL43" i="9"/>
  <c r="BJ43" i="9"/>
  <c r="BL51" i="9"/>
  <c r="BJ51" i="9"/>
  <c r="BL59" i="9"/>
  <c r="BJ59" i="9"/>
  <c r="BM439" i="9"/>
  <c r="BM435" i="9"/>
  <c r="BM433" i="9"/>
  <c r="BT4" i="9"/>
  <c r="BL4" i="9"/>
  <c r="BF4" i="9"/>
  <c r="BG4" i="9"/>
  <c r="BE4" i="9"/>
  <c r="BM437" i="9"/>
  <c r="BM434" i="9"/>
  <c r="BK322" i="9"/>
  <c r="BR4" i="9"/>
  <c r="BH4" i="9"/>
  <c r="BS4" i="9"/>
  <c r="BE1" i="9"/>
  <c r="BU4" i="9"/>
  <c r="BI447" i="9"/>
  <c r="BI324" i="9"/>
  <c r="CI319" i="9"/>
  <c r="CI317" i="9"/>
  <c r="CI315" i="9"/>
  <c r="CI313" i="9"/>
  <c r="BZ318" i="9"/>
  <c r="BZ316" i="9"/>
  <c r="BZ314" i="9"/>
  <c r="CI312" i="9"/>
  <c r="CI310" i="9"/>
  <c r="CI308" i="9"/>
  <c r="CI306" i="9"/>
  <c r="CI304" i="9"/>
  <c r="CI302" i="9"/>
  <c r="CI300" i="9"/>
  <c r="CI298" i="9"/>
  <c r="CI296" i="9"/>
  <c r="CI294" i="9"/>
  <c r="CI292" i="9"/>
  <c r="CI290" i="9"/>
  <c r="CI288" i="9"/>
  <c r="CI286" i="9"/>
  <c r="CI284" i="9"/>
  <c r="CI282" i="9"/>
  <c r="CI280" i="9"/>
  <c r="CJ318" i="9"/>
  <c r="CJ316" i="9"/>
  <c r="CJ314" i="9"/>
  <c r="CJ312" i="9"/>
  <c r="CJ310" i="9"/>
  <c r="CJ308" i="9"/>
  <c r="CJ306" i="9"/>
  <c r="CJ304" i="9"/>
  <c r="CJ302" i="9"/>
  <c r="CJ300" i="9"/>
  <c r="CJ298" i="9"/>
  <c r="CJ296" i="9"/>
  <c r="CJ294" i="9"/>
  <c r="CJ292" i="9"/>
  <c r="CJ290" i="9"/>
  <c r="CJ288" i="9"/>
  <c r="CJ286" i="9"/>
  <c r="CJ284" i="9"/>
  <c r="CJ282" i="9"/>
  <c r="CJ280" i="9"/>
  <c r="BZ312" i="9"/>
  <c r="BZ310" i="9"/>
  <c r="BZ308" i="9"/>
  <c r="BZ306" i="9"/>
  <c r="BZ304" i="9"/>
  <c r="BZ302" i="9"/>
  <c r="BZ300" i="9"/>
  <c r="BZ298" i="9"/>
  <c r="BZ296" i="9"/>
  <c r="BZ294" i="9"/>
  <c r="BZ292" i="9"/>
  <c r="BZ290" i="9"/>
  <c r="BZ288" i="9"/>
  <c r="BZ286" i="9"/>
  <c r="BZ284" i="9"/>
  <c r="BZ282" i="9"/>
  <c r="BZ280" i="9"/>
  <c r="BZ279" i="9"/>
  <c r="BZ278" i="9"/>
  <c r="BZ277" i="9"/>
  <c r="BZ276" i="9"/>
  <c r="BZ275" i="9"/>
  <c r="BZ274" i="9"/>
  <c r="BZ273" i="9"/>
  <c r="BZ272" i="9"/>
  <c r="BZ271" i="9"/>
  <c r="BZ270" i="9"/>
  <c r="BZ269" i="9"/>
  <c r="BZ268" i="9"/>
  <c r="BZ267" i="9"/>
  <c r="BZ266" i="9"/>
  <c r="BZ265" i="9"/>
  <c r="BZ264" i="9"/>
  <c r="BZ263" i="9"/>
  <c r="BZ262" i="9"/>
  <c r="BZ261" i="9"/>
  <c r="BZ260" i="9"/>
  <c r="BZ259" i="9"/>
  <c r="BZ258" i="9"/>
  <c r="BZ257" i="9"/>
  <c r="BZ256" i="9"/>
  <c r="BZ255" i="9"/>
  <c r="BZ254" i="9"/>
  <c r="BZ253" i="9"/>
  <c r="BZ252" i="9"/>
  <c r="BZ251" i="9"/>
  <c r="BZ250" i="9"/>
  <c r="BZ249" i="9"/>
  <c r="BZ248" i="9"/>
  <c r="BZ247" i="9"/>
  <c r="BZ246" i="9"/>
  <c r="BZ245" i="9"/>
  <c r="CI243" i="9"/>
  <c r="CI241" i="9"/>
  <c r="CI239" i="9"/>
  <c r="CI237" i="9"/>
  <c r="CI235" i="9"/>
  <c r="CI233" i="9"/>
  <c r="CI231" i="9"/>
  <c r="CI229" i="9"/>
  <c r="CI227" i="9"/>
  <c r="CI225" i="9"/>
  <c r="CI223" i="9"/>
  <c r="CI278" i="9"/>
  <c r="CI276" i="9"/>
  <c r="CI274" i="9"/>
  <c r="CI272" i="9"/>
  <c r="CI270" i="9"/>
  <c r="CI268" i="9"/>
  <c r="CI266" i="9"/>
  <c r="CI264" i="9"/>
  <c r="CI262" i="9"/>
  <c r="CI260" i="9"/>
  <c r="CI258" i="9"/>
  <c r="CI256" i="9"/>
  <c r="CI254" i="9"/>
  <c r="CI252" i="9"/>
  <c r="CI250" i="9"/>
  <c r="CI248" i="9"/>
  <c r="CI246" i="9"/>
  <c r="CJ244" i="9"/>
  <c r="CJ243" i="9"/>
  <c r="CJ242" i="9"/>
  <c r="CJ241" i="9"/>
  <c r="CJ240" i="9"/>
  <c r="CJ239" i="9"/>
  <c r="CJ238" i="9"/>
  <c r="CJ237" i="9"/>
  <c r="CJ236" i="9"/>
  <c r="CJ235" i="9"/>
  <c r="CJ234" i="9"/>
  <c r="CJ233" i="9"/>
  <c r="CJ232" i="9"/>
  <c r="CJ231" i="9"/>
  <c r="CJ230" i="9"/>
  <c r="CJ229" i="9"/>
  <c r="CJ228" i="9"/>
  <c r="CJ227" i="9"/>
  <c r="CJ226" i="9"/>
  <c r="CJ225" i="9"/>
  <c r="CJ224" i="9"/>
  <c r="CJ223" i="9"/>
  <c r="CJ222" i="9"/>
  <c r="CJ221" i="9"/>
  <c r="CJ220" i="9"/>
  <c r="CJ219" i="9"/>
  <c r="CJ218" i="9"/>
  <c r="CJ217" i="9"/>
  <c r="CJ216" i="9"/>
  <c r="CJ215" i="9"/>
  <c r="CJ214" i="9"/>
  <c r="CJ213" i="9"/>
  <c r="CJ212" i="9"/>
  <c r="CJ211" i="9"/>
  <c r="CJ210" i="9"/>
  <c r="CJ209" i="9"/>
  <c r="CJ208" i="9"/>
  <c r="CJ207" i="9"/>
  <c r="CJ206" i="9"/>
  <c r="CI221" i="9"/>
  <c r="CI219" i="9"/>
  <c r="CI217" i="9"/>
  <c r="CI215" i="9"/>
  <c r="CI213" i="9"/>
  <c r="CI211" i="9"/>
  <c r="CI209" i="9"/>
  <c r="CI207" i="9"/>
  <c r="CI205" i="9"/>
  <c r="CI203" i="9"/>
  <c r="CI201" i="9"/>
  <c r="CI199" i="9"/>
  <c r="CI197" i="9"/>
  <c r="CI195" i="9"/>
  <c r="CI193" i="9"/>
  <c r="CI191" i="9"/>
  <c r="CI189" i="9"/>
  <c r="CI187" i="9"/>
  <c r="CI185" i="9"/>
  <c r="CI183" i="9"/>
  <c r="CI181" i="9"/>
  <c r="CI179" i="9"/>
  <c r="CI177" i="9"/>
  <c r="CI175" i="9"/>
  <c r="CI173" i="9"/>
  <c r="CI171" i="9"/>
  <c r="CI169" i="9"/>
  <c r="CI167" i="9"/>
  <c r="CI165" i="9"/>
  <c r="CI163" i="9"/>
  <c r="CI161" i="9"/>
  <c r="CI159" i="9"/>
  <c r="CI157" i="9"/>
  <c r="BZ205" i="9"/>
  <c r="BZ204" i="9"/>
  <c r="BZ203" i="9"/>
  <c r="BZ202" i="9"/>
  <c r="BZ201" i="9"/>
  <c r="BZ200" i="9"/>
  <c r="BZ199" i="9"/>
  <c r="BZ198" i="9"/>
  <c r="BZ197" i="9"/>
  <c r="BZ196" i="9"/>
  <c r="BZ195" i="9"/>
  <c r="BZ194" i="9"/>
  <c r="BZ193" i="9"/>
  <c r="BZ192" i="9"/>
  <c r="BZ191" i="9"/>
  <c r="BZ190" i="9"/>
  <c r="BZ189" i="9"/>
  <c r="BZ188" i="9"/>
  <c r="BZ187" i="9"/>
  <c r="BZ186" i="9"/>
  <c r="BZ185" i="9"/>
  <c r="BZ184" i="9"/>
  <c r="BZ183" i="9"/>
  <c r="BZ182" i="9"/>
  <c r="BZ181" i="9"/>
  <c r="BZ180" i="9"/>
  <c r="BZ179" i="9"/>
  <c r="BZ178" i="9"/>
  <c r="BZ177" i="9"/>
  <c r="BZ176" i="9"/>
  <c r="BZ175" i="9"/>
  <c r="BZ174" i="9"/>
  <c r="BZ173" i="9"/>
  <c r="BZ172" i="9"/>
  <c r="BZ171" i="9"/>
  <c r="BZ170" i="9"/>
  <c r="BZ169" i="9"/>
  <c r="BZ168" i="9"/>
  <c r="BZ167" i="9"/>
  <c r="BZ166" i="9"/>
  <c r="BZ165" i="9"/>
  <c r="BZ164" i="9"/>
  <c r="BZ163" i="9"/>
  <c r="BZ162" i="9"/>
  <c r="BZ161" i="9"/>
  <c r="BZ160" i="9"/>
  <c r="BZ159" i="9"/>
  <c r="BZ158" i="9"/>
  <c r="BZ157" i="9"/>
  <c r="BZ156" i="9"/>
  <c r="BZ155" i="9"/>
  <c r="BZ154" i="9"/>
  <c r="BZ153" i="9"/>
  <c r="BZ152" i="9"/>
  <c r="BZ151" i="9"/>
  <c r="BZ150" i="9"/>
  <c r="BZ149" i="9"/>
  <c r="BZ148" i="9"/>
  <c r="BZ147" i="9"/>
  <c r="BZ146" i="9"/>
  <c r="BZ145" i="9"/>
  <c r="BZ144" i="9"/>
  <c r="BZ143" i="9"/>
  <c r="BZ142" i="9"/>
  <c r="BZ141" i="9"/>
  <c r="BZ140" i="9"/>
  <c r="BZ139" i="9"/>
  <c r="BZ138" i="9"/>
  <c r="BZ137" i="9"/>
  <c r="BZ136" i="9"/>
  <c r="BZ135" i="9"/>
  <c r="BZ134" i="9"/>
  <c r="CI155" i="9"/>
  <c r="CI153" i="9"/>
  <c r="CI151" i="9"/>
  <c r="CI149" i="9"/>
  <c r="CI147" i="9"/>
  <c r="CI145" i="9"/>
  <c r="CI143" i="9"/>
  <c r="CI141" i="9"/>
  <c r="CI139" i="9"/>
  <c r="CI137" i="9"/>
  <c r="CI135" i="9"/>
  <c r="CI133" i="9"/>
  <c r="CI131" i="9"/>
  <c r="CI129" i="9"/>
  <c r="CI127" i="9"/>
  <c r="CI125" i="9"/>
  <c r="CI123" i="9"/>
  <c r="CI121" i="9"/>
  <c r="CI119" i="9"/>
  <c r="CI117" i="9"/>
  <c r="CI115" i="9"/>
  <c r="CI113" i="9"/>
  <c r="CI111" i="9"/>
  <c r="CI109" i="9"/>
  <c r="CI107" i="9"/>
  <c r="CI105" i="9"/>
  <c r="CI103" i="9"/>
  <c r="CI101" i="9"/>
  <c r="CI99" i="9"/>
  <c r="CI97" i="9"/>
  <c r="CI95" i="9"/>
  <c r="CI93" i="9"/>
  <c r="CI91" i="9"/>
  <c r="CI89" i="9"/>
  <c r="CI87" i="9"/>
  <c r="CI85" i="9"/>
  <c r="CI83" i="9"/>
  <c r="CI74" i="9"/>
  <c r="CI65" i="9"/>
  <c r="BZ133" i="9"/>
  <c r="BZ132" i="9"/>
  <c r="BZ131" i="9"/>
  <c r="BZ130" i="9"/>
  <c r="BZ129" i="9"/>
  <c r="BZ128" i="9"/>
  <c r="BZ127" i="9"/>
  <c r="BZ126" i="9"/>
  <c r="BZ125" i="9"/>
  <c r="BZ124" i="9"/>
  <c r="BZ123" i="9"/>
  <c r="BZ122" i="9"/>
  <c r="BZ121" i="9"/>
  <c r="BZ120" i="9"/>
  <c r="BZ119" i="9"/>
  <c r="BZ118" i="9"/>
  <c r="BZ117" i="9"/>
  <c r="BZ116" i="9"/>
  <c r="BZ115" i="9"/>
  <c r="BZ114" i="9"/>
  <c r="BZ113" i="9"/>
  <c r="BZ112" i="9"/>
  <c r="BZ111" i="9"/>
  <c r="BZ110" i="9"/>
  <c r="BZ109" i="9"/>
  <c r="BZ108" i="9"/>
  <c r="BZ107" i="9"/>
  <c r="BZ106" i="9"/>
  <c r="BZ105" i="9"/>
  <c r="BZ104" i="9"/>
  <c r="BZ103" i="9"/>
  <c r="BZ102" i="9"/>
  <c r="BZ101" i="9"/>
  <c r="BZ100" i="9"/>
  <c r="BZ99" i="9"/>
  <c r="BZ98" i="9"/>
  <c r="BZ97" i="9"/>
  <c r="BZ96" i="9"/>
  <c r="BZ95" i="9"/>
  <c r="BZ94" i="9"/>
  <c r="BZ93" i="9"/>
  <c r="BZ92" i="9"/>
  <c r="BZ91" i="9"/>
  <c r="BZ90" i="9"/>
  <c r="BZ89" i="9"/>
  <c r="BZ88" i="9"/>
  <c r="BZ87" i="9"/>
  <c r="BZ86" i="9"/>
  <c r="BZ85" i="9"/>
  <c r="BZ84" i="9"/>
  <c r="BZ83" i="9"/>
  <c r="BZ82" i="9"/>
  <c r="BZ81" i="9"/>
  <c r="BZ80" i="9"/>
  <c r="BZ79" i="9"/>
  <c r="BZ78" i="9"/>
  <c r="BZ77" i="9"/>
  <c r="BZ76" i="9"/>
  <c r="BZ75" i="9"/>
  <c r="BZ74" i="9"/>
  <c r="BZ73" i="9"/>
  <c r="BZ72" i="9"/>
  <c r="BZ71" i="9"/>
  <c r="BZ70" i="9"/>
  <c r="BZ69" i="9"/>
  <c r="BZ68" i="9"/>
  <c r="BZ67" i="9"/>
  <c r="BZ66" i="9"/>
  <c r="BZ65" i="9"/>
  <c r="BZ64" i="9"/>
  <c r="BZ63" i="9"/>
  <c r="BZ62" i="9"/>
  <c r="BZ61" i="9"/>
  <c r="BZ60" i="9"/>
  <c r="BZ59" i="9"/>
  <c r="BZ58" i="9"/>
  <c r="BZ57" i="9"/>
  <c r="BZ56" i="9"/>
  <c r="BZ55" i="9"/>
  <c r="BZ54" i="9"/>
  <c r="BZ53" i="9"/>
  <c r="BZ52" i="9"/>
  <c r="BZ51" i="9"/>
  <c r="BZ50" i="9"/>
  <c r="BZ49" i="9"/>
  <c r="BZ48" i="9"/>
  <c r="BZ47" i="9"/>
  <c r="BZ46" i="9"/>
  <c r="BZ45" i="9"/>
  <c r="BZ44" i="9"/>
  <c r="BZ43" i="9"/>
  <c r="BZ42" i="9"/>
  <c r="BZ41" i="9"/>
  <c r="BZ40" i="9"/>
  <c r="BZ39" i="9"/>
  <c r="BZ38" i="9"/>
  <c r="BZ37" i="9"/>
  <c r="BZ36" i="9"/>
  <c r="BZ35" i="9"/>
  <c r="BZ34" i="9"/>
  <c r="BZ33" i="9"/>
  <c r="BZ32" i="9"/>
  <c r="BZ31" i="9"/>
  <c r="BZ30" i="9"/>
  <c r="BZ29" i="9"/>
  <c r="BZ28" i="9"/>
  <c r="BZ27" i="9"/>
  <c r="BZ26" i="9"/>
  <c r="BZ25" i="9"/>
  <c r="BZ24" i="9"/>
  <c r="BZ23" i="9"/>
  <c r="BZ22" i="9"/>
  <c r="BZ21" i="9"/>
  <c r="BZ20" i="9"/>
  <c r="BZ19" i="9"/>
  <c r="BZ18" i="9"/>
  <c r="BZ17" i="9"/>
  <c r="BZ16" i="9"/>
  <c r="BZ15" i="9"/>
  <c r="BZ14" i="9"/>
  <c r="BZ13" i="9"/>
  <c r="BZ12" i="9"/>
  <c r="BZ11" i="9"/>
  <c r="BZ10" i="9"/>
  <c r="BZ9" i="9"/>
  <c r="BZ8" i="9"/>
  <c r="BZ7" i="9"/>
  <c r="BZ6" i="9"/>
  <c r="BZ5" i="9"/>
  <c r="CF4" i="9"/>
  <c r="BZ4" i="9"/>
  <c r="CA4" i="9" s="1"/>
  <c r="CI49" i="9"/>
  <c r="CI40" i="9"/>
  <c r="CI31" i="9"/>
  <c r="CI14" i="9"/>
  <c r="CI12" i="9"/>
  <c r="CI10" i="9"/>
  <c r="CI8" i="9"/>
  <c r="CI6" i="9"/>
  <c r="CU4" i="9"/>
  <c r="CG4" i="9"/>
  <c r="CI318" i="9"/>
  <c r="CI316" i="9"/>
  <c r="CI314" i="9"/>
  <c r="BZ319" i="9"/>
  <c r="BZ317" i="9"/>
  <c r="BZ315" i="9"/>
  <c r="BZ313" i="9"/>
  <c r="CI311" i="9"/>
  <c r="CI309" i="9"/>
  <c r="CI307" i="9"/>
  <c r="CI305" i="9"/>
  <c r="CI303" i="9"/>
  <c r="CI301" i="9"/>
  <c r="CI299" i="9"/>
  <c r="CI297" i="9"/>
  <c r="CI295" i="9"/>
  <c r="CI293" i="9"/>
  <c r="CI291" i="9"/>
  <c r="CI289" i="9"/>
  <c r="CI287" i="9"/>
  <c r="CI285" i="9"/>
  <c r="CI283" i="9"/>
  <c r="CI281" i="9"/>
  <c r="CJ319" i="9"/>
  <c r="CJ317" i="9"/>
  <c r="CJ315" i="9"/>
  <c r="CJ313" i="9"/>
  <c r="CJ311" i="9"/>
  <c r="CJ309" i="9"/>
  <c r="CJ307" i="9"/>
  <c r="CJ305" i="9"/>
  <c r="CJ303" i="9"/>
  <c r="CJ301" i="9"/>
  <c r="CJ299" i="9"/>
  <c r="CJ297" i="9"/>
  <c r="CJ295" i="9"/>
  <c r="CJ293" i="9"/>
  <c r="CJ291" i="9"/>
  <c r="CJ289" i="9"/>
  <c r="CJ287" i="9"/>
  <c r="CJ285" i="9"/>
  <c r="CJ283" i="9"/>
  <c r="CJ281" i="9"/>
  <c r="CI279" i="9"/>
  <c r="BZ311" i="9"/>
  <c r="BZ309" i="9"/>
  <c r="BZ307" i="9"/>
  <c r="BZ305" i="9"/>
  <c r="BZ303" i="9"/>
  <c r="BZ301" i="9"/>
  <c r="BZ299" i="9"/>
  <c r="BZ297" i="9"/>
  <c r="BZ295" i="9"/>
  <c r="BZ293" i="9"/>
  <c r="BZ291" i="9"/>
  <c r="BZ289" i="9"/>
  <c r="BZ287" i="9"/>
  <c r="BZ285" i="9"/>
  <c r="BZ283" i="9"/>
  <c r="BZ281" i="9"/>
  <c r="CJ279" i="9"/>
  <c r="CJ278" i="9"/>
  <c r="CJ277" i="9"/>
  <c r="CJ276" i="9"/>
  <c r="CJ275" i="9"/>
  <c r="CJ274" i="9"/>
  <c r="CJ273" i="9"/>
  <c r="CJ272" i="9"/>
  <c r="CJ271" i="9"/>
  <c r="CJ270" i="9"/>
  <c r="CJ269" i="9"/>
  <c r="CJ268" i="9"/>
  <c r="CJ267" i="9"/>
  <c r="CJ266" i="9"/>
  <c r="CJ265" i="9"/>
  <c r="CJ264" i="9"/>
  <c r="CJ263" i="9"/>
  <c r="CJ262" i="9"/>
  <c r="CJ261" i="9"/>
  <c r="CJ260" i="9"/>
  <c r="CJ259" i="9"/>
  <c r="CJ258" i="9"/>
  <c r="CJ257" i="9"/>
  <c r="CJ256" i="9"/>
  <c r="CJ255" i="9"/>
  <c r="CJ254" i="9"/>
  <c r="CJ253" i="9"/>
  <c r="CJ252" i="9"/>
  <c r="CJ251" i="9"/>
  <c r="CJ250" i="9"/>
  <c r="CJ249" i="9"/>
  <c r="CJ248" i="9"/>
  <c r="CJ247" i="9"/>
  <c r="CJ246" i="9"/>
  <c r="CJ245" i="9"/>
  <c r="CI244" i="9"/>
  <c r="CI242" i="9"/>
  <c r="CI240" i="9"/>
  <c r="CI238" i="9"/>
  <c r="CI236" i="9"/>
  <c r="CI234" i="9"/>
  <c r="CI232" i="9"/>
  <c r="CI230" i="9"/>
  <c r="CI228" i="9"/>
  <c r="CI226" i="9"/>
  <c r="CI224" i="9"/>
  <c r="CI222" i="9"/>
  <c r="CI277" i="9"/>
  <c r="CI275" i="9"/>
  <c r="CI273" i="9"/>
  <c r="CI271" i="9"/>
  <c r="CI269" i="9"/>
  <c r="CI267" i="9"/>
  <c r="CI265" i="9"/>
  <c r="CI263" i="9"/>
  <c r="CI261" i="9"/>
  <c r="CI259" i="9"/>
  <c r="CI257" i="9"/>
  <c r="CI255" i="9"/>
  <c r="CI253" i="9"/>
  <c r="CI251" i="9"/>
  <c r="CI249" i="9"/>
  <c r="CI247" i="9"/>
  <c r="CI245" i="9"/>
  <c r="BZ244" i="9"/>
  <c r="BZ243" i="9"/>
  <c r="BZ242" i="9"/>
  <c r="BZ241" i="9"/>
  <c r="BZ240" i="9"/>
  <c r="BZ239" i="9"/>
  <c r="BZ238" i="9"/>
  <c r="BZ237" i="9"/>
  <c r="BZ236" i="9"/>
  <c r="BZ235" i="9"/>
  <c r="BZ234" i="9"/>
  <c r="BZ233" i="9"/>
  <c r="BZ232" i="9"/>
  <c r="BZ231" i="9"/>
  <c r="BZ230" i="9"/>
  <c r="BZ229" i="9"/>
  <c r="BZ228" i="9"/>
  <c r="BZ227" i="9"/>
  <c r="BZ226" i="9"/>
  <c r="BZ225" i="9"/>
  <c r="BZ224" i="9"/>
  <c r="BZ223" i="9"/>
  <c r="BZ222" i="9"/>
  <c r="BZ221" i="9"/>
  <c r="BZ220" i="9"/>
  <c r="BZ219" i="9"/>
  <c r="BZ218" i="9"/>
  <c r="BZ217" i="9"/>
  <c r="BZ216" i="9"/>
  <c r="BZ215" i="9"/>
  <c r="BZ214" i="9"/>
  <c r="BZ213" i="9"/>
  <c r="BZ212" i="9"/>
  <c r="BZ211" i="9"/>
  <c r="BZ210" i="9"/>
  <c r="BZ209" i="9"/>
  <c r="BZ208" i="9"/>
  <c r="BZ207" i="9"/>
  <c r="BZ206" i="9"/>
  <c r="CI220" i="9"/>
  <c r="CI218" i="9"/>
  <c r="CI216" i="9"/>
  <c r="CI214" i="9"/>
  <c r="CI212" i="9"/>
  <c r="CI210" i="9"/>
  <c r="CI208" i="9"/>
  <c r="CI206" i="9"/>
  <c r="CI204" i="9"/>
  <c r="CI202" i="9"/>
  <c r="CI200" i="9"/>
  <c r="CI198" i="9"/>
  <c r="CI196" i="9"/>
  <c r="CI194" i="9"/>
  <c r="CI192" i="9"/>
  <c r="CI190" i="9"/>
  <c r="CI188" i="9"/>
  <c r="CI186" i="9"/>
  <c r="CI184" i="9"/>
  <c r="CI182" i="9"/>
  <c r="CI180" i="9"/>
  <c r="CI178" i="9"/>
  <c r="CI176" i="9"/>
  <c r="CI174" i="9"/>
  <c r="CI172" i="9"/>
  <c r="CI170" i="9"/>
  <c r="CI168" i="9"/>
  <c r="CI166" i="9"/>
  <c r="CI164" i="9"/>
  <c r="CI162" i="9"/>
  <c r="CI160" i="9"/>
  <c r="CI158" i="9"/>
  <c r="CJ205" i="9"/>
  <c r="CJ204" i="9"/>
  <c r="CJ203" i="9"/>
  <c r="CJ202" i="9"/>
  <c r="CJ201" i="9"/>
  <c r="CJ200" i="9"/>
  <c r="CJ199" i="9"/>
  <c r="CJ198" i="9"/>
  <c r="CJ197" i="9"/>
  <c r="CJ196" i="9"/>
  <c r="CJ195" i="9"/>
  <c r="CJ194" i="9"/>
  <c r="CJ193" i="9"/>
  <c r="CJ192" i="9"/>
  <c r="CJ191" i="9"/>
  <c r="CJ190" i="9"/>
  <c r="CJ189" i="9"/>
  <c r="CJ188" i="9"/>
  <c r="CJ187" i="9"/>
  <c r="CJ186" i="9"/>
  <c r="CJ185" i="9"/>
  <c r="CJ184" i="9"/>
  <c r="CJ183" i="9"/>
  <c r="CJ182" i="9"/>
  <c r="CJ181" i="9"/>
  <c r="CJ180" i="9"/>
  <c r="CJ179" i="9"/>
  <c r="CJ178" i="9"/>
  <c r="CJ177" i="9"/>
  <c r="CJ176" i="9"/>
  <c r="CJ175" i="9"/>
  <c r="CJ174" i="9"/>
  <c r="CJ173" i="9"/>
  <c r="CJ172" i="9"/>
  <c r="CJ171" i="9"/>
  <c r="CJ170" i="9"/>
  <c r="CJ169" i="9"/>
  <c r="CJ168" i="9"/>
  <c r="CJ167" i="9"/>
  <c r="CJ166" i="9"/>
  <c r="CJ165" i="9"/>
  <c r="CJ164" i="9"/>
  <c r="CJ163" i="9"/>
  <c r="CJ162" i="9"/>
  <c r="CJ161" i="9"/>
  <c r="CJ160" i="9"/>
  <c r="CJ159" i="9"/>
  <c r="CJ158" i="9"/>
  <c r="CJ157" i="9"/>
  <c r="CJ156" i="9"/>
  <c r="CJ155" i="9"/>
  <c r="CJ154" i="9"/>
  <c r="CJ153" i="9"/>
  <c r="CJ152" i="9"/>
  <c r="CJ151" i="9"/>
  <c r="CJ150" i="9"/>
  <c r="CJ149" i="9"/>
  <c r="CJ148" i="9"/>
  <c r="CJ147" i="9"/>
  <c r="CJ146" i="9"/>
  <c r="CJ145" i="9"/>
  <c r="CJ144" i="9"/>
  <c r="CJ143" i="9"/>
  <c r="CJ142" i="9"/>
  <c r="CJ141" i="9"/>
  <c r="CJ140" i="9"/>
  <c r="CJ139" i="9"/>
  <c r="CJ138" i="9"/>
  <c r="CJ137" i="9"/>
  <c r="CJ136" i="9"/>
  <c r="CJ135" i="9"/>
  <c r="CJ134" i="9"/>
  <c r="CI156" i="9"/>
  <c r="CI154" i="9"/>
  <c r="CI152" i="9"/>
  <c r="CI150" i="9"/>
  <c r="CI148" i="9"/>
  <c r="CI146" i="9"/>
  <c r="CI144" i="9"/>
  <c r="CI142" i="9"/>
  <c r="CI140" i="9"/>
  <c r="CI138" i="9"/>
  <c r="CI136" i="9"/>
  <c r="CI134" i="9"/>
  <c r="CI132" i="9"/>
  <c r="CI130" i="9"/>
  <c r="CI128" i="9"/>
  <c r="CI126" i="9"/>
  <c r="CI124" i="9"/>
  <c r="CI122" i="9"/>
  <c r="CI120" i="9"/>
  <c r="CI118" i="9"/>
  <c r="CI116" i="9"/>
  <c r="CI114" i="9"/>
  <c r="CI112" i="9"/>
  <c r="CI110" i="9"/>
  <c r="CI108" i="9"/>
  <c r="CI106" i="9"/>
  <c r="CI104" i="9"/>
  <c r="CI102" i="9"/>
  <c r="CI100" i="9"/>
  <c r="CI98" i="9"/>
  <c r="CI96" i="9"/>
  <c r="CI94" i="9"/>
  <c r="CI92" i="9"/>
  <c r="CI90" i="9"/>
  <c r="CI88" i="9"/>
  <c r="CI86" i="9"/>
  <c r="CI84" i="9"/>
  <c r="CI82" i="9"/>
  <c r="CI73" i="9"/>
  <c r="CJ133" i="9"/>
  <c r="CJ132" i="9"/>
  <c r="CJ131" i="9"/>
  <c r="CJ130" i="9"/>
  <c r="CJ129" i="9"/>
  <c r="CJ128" i="9"/>
  <c r="CJ127" i="9"/>
  <c r="CJ126" i="9"/>
  <c r="CJ125" i="9"/>
  <c r="CJ124" i="9"/>
  <c r="CJ123" i="9"/>
  <c r="CJ122" i="9"/>
  <c r="CJ121" i="9"/>
  <c r="CJ120" i="9"/>
  <c r="CJ119" i="9"/>
  <c r="CJ118" i="9"/>
  <c r="CJ117" i="9"/>
  <c r="CJ116" i="9"/>
  <c r="CJ115" i="9"/>
  <c r="CJ114" i="9"/>
  <c r="CJ113" i="9"/>
  <c r="CJ112" i="9"/>
  <c r="CJ111" i="9"/>
  <c r="CJ110" i="9"/>
  <c r="CJ109" i="9"/>
  <c r="CJ108" i="9"/>
  <c r="CJ107" i="9"/>
  <c r="CJ106" i="9"/>
  <c r="CJ105" i="9"/>
  <c r="CJ104" i="9"/>
  <c r="CJ103" i="9"/>
  <c r="CJ102" i="9"/>
  <c r="CJ101" i="9"/>
  <c r="CJ100" i="9"/>
  <c r="CJ99" i="9"/>
  <c r="CJ98" i="9"/>
  <c r="CJ97" i="9"/>
  <c r="CJ96" i="9"/>
  <c r="CJ95" i="9"/>
  <c r="CJ94" i="9"/>
  <c r="CJ93" i="9"/>
  <c r="CJ92" i="9"/>
  <c r="CJ91" i="9"/>
  <c r="CJ90" i="9"/>
  <c r="CJ89" i="9"/>
  <c r="CJ88" i="9"/>
  <c r="CJ87" i="9"/>
  <c r="CJ86" i="9"/>
  <c r="CJ85" i="9"/>
  <c r="CJ84" i="9"/>
  <c r="CJ83" i="9"/>
  <c r="CJ82" i="9"/>
  <c r="CJ81" i="9"/>
  <c r="CJ80" i="9"/>
  <c r="CJ79" i="9"/>
  <c r="CJ78" i="9"/>
  <c r="CJ77" i="9"/>
  <c r="CJ76" i="9"/>
  <c r="CJ75" i="9"/>
  <c r="CJ74" i="9"/>
  <c r="CJ73" i="9"/>
  <c r="CJ72" i="9"/>
  <c r="CJ71" i="9"/>
  <c r="CJ70" i="9"/>
  <c r="CJ69" i="9"/>
  <c r="CJ68" i="9"/>
  <c r="CJ67" i="9"/>
  <c r="CJ66" i="9"/>
  <c r="CJ65" i="9"/>
  <c r="CJ64" i="9"/>
  <c r="CJ63" i="9"/>
  <c r="CJ62" i="9"/>
  <c r="CJ61" i="9"/>
  <c r="CJ60" i="9"/>
  <c r="CJ59" i="9"/>
  <c r="CJ58" i="9"/>
  <c r="CJ57" i="9"/>
  <c r="CJ56" i="9"/>
  <c r="CJ55" i="9"/>
  <c r="CJ54" i="9"/>
  <c r="CJ53" i="9"/>
  <c r="CJ52" i="9"/>
  <c r="CJ51" i="9"/>
  <c r="CJ50" i="9"/>
  <c r="CJ49" i="9"/>
  <c r="CJ48" i="9"/>
  <c r="CJ47" i="9"/>
  <c r="CJ46" i="9"/>
  <c r="CJ45" i="9"/>
  <c r="CJ44" i="9"/>
  <c r="CJ43" i="9"/>
  <c r="CJ42" i="9"/>
  <c r="CJ41" i="9"/>
  <c r="CJ40" i="9"/>
  <c r="CJ39" i="9"/>
  <c r="CJ38" i="9"/>
  <c r="CJ37" i="9"/>
  <c r="CJ36" i="9"/>
  <c r="CJ35" i="9"/>
  <c r="CJ34" i="9"/>
  <c r="CJ33" i="9"/>
  <c r="CJ32" i="9"/>
  <c r="CJ31" i="9"/>
  <c r="CJ30" i="9"/>
  <c r="CJ29" i="9"/>
  <c r="CJ28" i="9"/>
  <c r="CJ27" i="9"/>
  <c r="CJ26" i="9"/>
  <c r="CJ25" i="9"/>
  <c r="CJ24" i="9"/>
  <c r="CJ23" i="9"/>
  <c r="CJ22" i="9"/>
  <c r="CJ21" i="9"/>
  <c r="CJ20" i="9"/>
  <c r="CJ19" i="9"/>
  <c r="CJ18" i="9"/>
  <c r="CJ17" i="9"/>
  <c r="CJ16" i="9"/>
  <c r="CJ15" i="9"/>
  <c r="CJ14" i="9"/>
  <c r="CJ13" i="9"/>
  <c r="CJ12" i="9"/>
  <c r="CJ11" i="9"/>
  <c r="CJ10" i="9"/>
  <c r="CJ9" i="9"/>
  <c r="CJ8" i="9"/>
  <c r="CJ7" i="9"/>
  <c r="CJ6" i="9"/>
  <c r="CJ5" i="9"/>
  <c r="CH4" i="9"/>
  <c r="CB4" i="9"/>
  <c r="CI64" i="9"/>
  <c r="CI48" i="9"/>
  <c r="CI39" i="9"/>
  <c r="CI30" i="9"/>
  <c r="CI13" i="9"/>
  <c r="CI11" i="9"/>
  <c r="CI9" i="9"/>
  <c r="CI7" i="9"/>
  <c r="CI5" i="9"/>
  <c r="CE4" i="9"/>
  <c r="CB45" i="9"/>
  <c r="CB65" i="9"/>
  <c r="CB89" i="9"/>
  <c r="CF89" i="9" s="1"/>
  <c r="CB97" i="9"/>
  <c r="CB113" i="9"/>
  <c r="CB129" i="9"/>
  <c r="CB48" i="9"/>
  <c r="CB249" i="9"/>
  <c r="CB261" i="9"/>
  <c r="CB273" i="9"/>
  <c r="CF273" i="9" s="1"/>
  <c r="CB293" i="9"/>
  <c r="CF293" i="9" s="1"/>
  <c r="CB91" i="9"/>
  <c r="CB107" i="9"/>
  <c r="CB131" i="9"/>
  <c r="CB142" i="9"/>
  <c r="CB210" i="9"/>
  <c r="CB218" i="9"/>
  <c r="CF218" i="9" s="1"/>
  <c r="CB242" i="9"/>
  <c r="CB61" i="9"/>
  <c r="CB73" i="9"/>
  <c r="CB216" i="9"/>
  <c r="CB70" i="9"/>
  <c r="CB253" i="9"/>
  <c r="CB269" i="9"/>
  <c r="CB289" i="9"/>
  <c r="CB87" i="9"/>
  <c r="CF87" i="9" s="1"/>
  <c r="CB95" i="9"/>
  <c r="CB103" i="9"/>
  <c r="CF103" i="9" s="1"/>
  <c r="CB119" i="9"/>
  <c r="CB230" i="9"/>
  <c r="CF230" i="9" s="1"/>
  <c r="CB59" i="9"/>
  <c r="CB51" i="9"/>
  <c r="CB43" i="9"/>
  <c r="CB39" i="9"/>
  <c r="CF39" i="9" s="1"/>
  <c r="CB35" i="9"/>
  <c r="CB27" i="9"/>
  <c r="CB19" i="9"/>
  <c r="CB62" i="9"/>
  <c r="CB54" i="9"/>
  <c r="CB38" i="9"/>
  <c r="CB80" i="9"/>
  <c r="CB88" i="9"/>
  <c r="CB104" i="9"/>
  <c r="CB112" i="9"/>
  <c r="CB168" i="9"/>
  <c r="CF168" i="9" s="1"/>
  <c r="CB267" i="9"/>
  <c r="CB275" i="9"/>
  <c r="CB287" i="9"/>
  <c r="CF287" i="9" s="1"/>
  <c r="CB295" i="9"/>
  <c r="CB303" i="9"/>
  <c r="CF303" i="9" s="1"/>
  <c r="CB311" i="9"/>
  <c r="CB126" i="9"/>
  <c r="CB186" i="9"/>
  <c r="CB285" i="9"/>
  <c r="CB69" i="9"/>
  <c r="CB77" i="9"/>
  <c r="CB85" i="9"/>
  <c r="CB93" i="9"/>
  <c r="CF93" i="9" s="1"/>
  <c r="CB101" i="9"/>
  <c r="CB109" i="9"/>
  <c r="CB125" i="9"/>
  <c r="CB133" i="9"/>
  <c r="CB136" i="9"/>
  <c r="CF136" i="9" s="1"/>
  <c r="CB220" i="9"/>
  <c r="CB64" i="9"/>
  <c r="CB56" i="9"/>
  <c r="CH56" i="9" s="1"/>
  <c r="CB40" i="9"/>
  <c r="CF40" i="9" s="1"/>
  <c r="CB32" i="9"/>
  <c r="CD32" i="9" s="1"/>
  <c r="CE32" i="9" s="1"/>
  <c r="CB24" i="9"/>
  <c r="CF24" i="9" s="1"/>
  <c r="CB16" i="9"/>
  <c r="CH16" i="9" s="1"/>
  <c r="CB8" i="9"/>
  <c r="CF8" i="9" s="1"/>
  <c r="CB31" i="9"/>
  <c r="CB11" i="9"/>
  <c r="CB58" i="9"/>
  <c r="CB6" i="9"/>
  <c r="CF6" i="9" s="1"/>
  <c r="CB72" i="9"/>
  <c r="CB124" i="9"/>
  <c r="CB132" i="9"/>
  <c r="CB180" i="9"/>
  <c r="CB204" i="9"/>
  <c r="CF204" i="9" s="1"/>
  <c r="CB271" i="9"/>
  <c r="CB283" i="9"/>
  <c r="CB307" i="9"/>
  <c r="CB114" i="9"/>
  <c r="CB158" i="9"/>
  <c r="CB198" i="9"/>
  <c r="CD6" i="9"/>
  <c r="CE6" i="9" s="1"/>
  <c r="CD58" i="9"/>
  <c r="CE58" i="9" s="1"/>
  <c r="CH230" i="9"/>
  <c r="CH119" i="9"/>
  <c r="CD103" i="9"/>
  <c r="CE103" i="9" s="1"/>
  <c r="CD95" i="9"/>
  <c r="CE95" i="9" s="1"/>
  <c r="CD87" i="9"/>
  <c r="CE87" i="9" s="1"/>
  <c r="CH289" i="9"/>
  <c r="CH269" i="9"/>
  <c r="CD253" i="9"/>
  <c r="CE253" i="9" s="1"/>
  <c r="CD70" i="9"/>
  <c r="CE70" i="9" s="1"/>
  <c r="CH8" i="9"/>
  <c r="CH24" i="9"/>
  <c r="CD40" i="9"/>
  <c r="CE40" i="9" s="1"/>
  <c r="CD64" i="9"/>
  <c r="CE64" i="9" s="1"/>
  <c r="CB315" i="9"/>
  <c r="CB306" i="9"/>
  <c r="CB298" i="9"/>
  <c r="CB268" i="9"/>
  <c r="CB260" i="9"/>
  <c r="CB256" i="9"/>
  <c r="CH220" i="9"/>
  <c r="CD136" i="9"/>
  <c r="CE136" i="9" s="1"/>
  <c r="CH133" i="9"/>
  <c r="CD125" i="9"/>
  <c r="CE125" i="9" s="1"/>
  <c r="CH109" i="9"/>
  <c r="CH101" i="9"/>
  <c r="CD93" i="9"/>
  <c r="CE93" i="9" s="1"/>
  <c r="CH85" i="9"/>
  <c r="CH77" i="9"/>
  <c r="CH69" i="9"/>
  <c r="CD61" i="9"/>
  <c r="CE61" i="9" s="1"/>
  <c r="CD285" i="9"/>
  <c r="CE285" i="9" s="1"/>
  <c r="CD186" i="9"/>
  <c r="CE186" i="9" s="1"/>
  <c r="CH126" i="9"/>
  <c r="CD311" i="9"/>
  <c r="CE311" i="9" s="1"/>
  <c r="CH303" i="9"/>
  <c r="CH295" i="9"/>
  <c r="CH287" i="9"/>
  <c r="CH275" i="9"/>
  <c r="CD267" i="9"/>
  <c r="CE267" i="9" s="1"/>
  <c r="CH168" i="9"/>
  <c r="CH112" i="9"/>
  <c r="CD104" i="9"/>
  <c r="CE104" i="9" s="1"/>
  <c r="CD88" i="9"/>
  <c r="CE88" i="9" s="1"/>
  <c r="CH80" i="9"/>
  <c r="CH38" i="9"/>
  <c r="CH54" i="9"/>
  <c r="CH62" i="9"/>
  <c r="CB237" i="9"/>
  <c r="CF237" i="9" s="1"/>
  <c r="CB137" i="9"/>
  <c r="CD242" i="9"/>
  <c r="CE242" i="9" s="1"/>
  <c r="CH218" i="9"/>
  <c r="CD210" i="9"/>
  <c r="CE210" i="9" s="1"/>
  <c r="CH142" i="9"/>
  <c r="CH131" i="9"/>
  <c r="CH107" i="9"/>
  <c r="CD91" i="9"/>
  <c r="CE91" i="9" s="1"/>
  <c r="CH48" i="9"/>
  <c r="CH129" i="9"/>
  <c r="CH113" i="9"/>
  <c r="CH97" i="9"/>
  <c r="CD89" i="9"/>
  <c r="CE89" i="9" s="1"/>
  <c r="CH65" i="9"/>
  <c r="CH198" i="9"/>
  <c r="CH158" i="9"/>
  <c r="CD114" i="9"/>
  <c r="CE114" i="9" s="1"/>
  <c r="CH307" i="9"/>
  <c r="CD283" i="9"/>
  <c r="CE283" i="9" s="1"/>
  <c r="CH271" i="9"/>
  <c r="CH204" i="9"/>
  <c r="CH180" i="9"/>
  <c r="CH132" i="9"/>
  <c r="CD124" i="9"/>
  <c r="CE124" i="9" s="1"/>
  <c r="CH72" i="9"/>
  <c r="CB199" i="9"/>
  <c r="CB187" i="9"/>
  <c r="CF187" i="9" s="1"/>
  <c r="CB167" i="9"/>
  <c r="CD11" i="9"/>
  <c r="CE11" i="9" s="1"/>
  <c r="CD31" i="9"/>
  <c r="CE31" i="9" s="1"/>
  <c r="CD216" i="9"/>
  <c r="CE216" i="9" s="1"/>
  <c r="CD73" i="9"/>
  <c r="CE73" i="9" s="1"/>
  <c r="CB197" i="9"/>
  <c r="CF197" i="9" s="1"/>
  <c r="CB177" i="9"/>
  <c r="CF177" i="9" s="1"/>
  <c r="CD19" i="9"/>
  <c r="CE19" i="9" s="1"/>
  <c r="CD27" i="9"/>
  <c r="CE27" i="9" s="1"/>
  <c r="CH35" i="9"/>
  <c r="CD39" i="9"/>
  <c r="CE39" i="9" s="1"/>
  <c r="CH43" i="9"/>
  <c r="CH51" i="9"/>
  <c r="CH59" i="9"/>
  <c r="CD293" i="9"/>
  <c r="CE293" i="9" s="1"/>
  <c r="CD273" i="9"/>
  <c r="CE273" i="9" s="1"/>
  <c r="CH261" i="9"/>
  <c r="CH249" i="9"/>
  <c r="CB270" i="9"/>
  <c r="CF270" i="9" s="1"/>
  <c r="CB266" i="9"/>
  <c r="CB262" i="9"/>
  <c r="CB258" i="9"/>
  <c r="CH45" i="9"/>
  <c r="CH6" i="9"/>
  <c r="CH58" i="9"/>
  <c r="CB243" i="9"/>
  <c r="CB235" i="9"/>
  <c r="CB223" i="9"/>
  <c r="CF223" i="9" s="1"/>
  <c r="CB219" i="9"/>
  <c r="CB215" i="9"/>
  <c r="CB211" i="9"/>
  <c r="CD230" i="9"/>
  <c r="CE230" i="9" s="1"/>
  <c r="CD119" i="9"/>
  <c r="CE119" i="9" s="1"/>
  <c r="CH103" i="9"/>
  <c r="CH95" i="9"/>
  <c r="CH87" i="9"/>
  <c r="CD289" i="9"/>
  <c r="CE289" i="9" s="1"/>
  <c r="CD269" i="9"/>
  <c r="CE269" i="9" s="1"/>
  <c r="CH253" i="9"/>
  <c r="CH70" i="9"/>
  <c r="CD8" i="9"/>
  <c r="CE8" i="9" s="1"/>
  <c r="CD16" i="9"/>
  <c r="CE16" i="9" s="1"/>
  <c r="CD24" i="9"/>
  <c r="CE24" i="9" s="1"/>
  <c r="CH32" i="9"/>
  <c r="CH40" i="9"/>
  <c r="CD56" i="9"/>
  <c r="CE56" i="9" s="1"/>
  <c r="CH64" i="9"/>
  <c r="CD220" i="9"/>
  <c r="CE220" i="9" s="1"/>
  <c r="CH136" i="9"/>
  <c r="CD133" i="9"/>
  <c r="CE133" i="9" s="1"/>
  <c r="CH125" i="9"/>
  <c r="CD109" i="9"/>
  <c r="CE109" i="9" s="1"/>
  <c r="CD101" i="9"/>
  <c r="CE101" i="9" s="1"/>
  <c r="CH93" i="9"/>
  <c r="CD85" i="9"/>
  <c r="CE85" i="9" s="1"/>
  <c r="CD77" i="9"/>
  <c r="CE77" i="9" s="1"/>
  <c r="CD69" i="9"/>
  <c r="CE69" i="9" s="1"/>
  <c r="CH61" i="9"/>
  <c r="CH285" i="9"/>
  <c r="CH186" i="9"/>
  <c r="CD126" i="9"/>
  <c r="CE126" i="9" s="1"/>
  <c r="CH311" i="9"/>
  <c r="CD303" i="9"/>
  <c r="CE303" i="9" s="1"/>
  <c r="CD295" i="9"/>
  <c r="CE295" i="9" s="1"/>
  <c r="CD287" i="9"/>
  <c r="CE287" i="9" s="1"/>
  <c r="CD275" i="9"/>
  <c r="CE275" i="9" s="1"/>
  <c r="CH267" i="9"/>
  <c r="CD168" i="9"/>
  <c r="CE168" i="9" s="1"/>
  <c r="CD112" i="9"/>
  <c r="CE112" i="9" s="1"/>
  <c r="CH104" i="9"/>
  <c r="CH88" i="9"/>
  <c r="CD80" i="9"/>
  <c r="CE80" i="9" s="1"/>
  <c r="CD38" i="9"/>
  <c r="CE38" i="9" s="1"/>
  <c r="CD54" i="9"/>
  <c r="CE54" i="9" s="1"/>
  <c r="CD62" i="9"/>
  <c r="CE62" i="9" s="1"/>
  <c r="CH242" i="9"/>
  <c r="CD218" i="9"/>
  <c r="CE218" i="9" s="1"/>
  <c r="CH210" i="9"/>
  <c r="CD142" i="9"/>
  <c r="CE142" i="9" s="1"/>
  <c r="CD131" i="9"/>
  <c r="CE131" i="9" s="1"/>
  <c r="CD107" i="9"/>
  <c r="CE107" i="9" s="1"/>
  <c r="CH91" i="9"/>
  <c r="CD48" i="9"/>
  <c r="CE48" i="9" s="1"/>
  <c r="CD129" i="9"/>
  <c r="CE129" i="9" s="1"/>
  <c r="CD113" i="9"/>
  <c r="CE113" i="9" s="1"/>
  <c r="CD97" i="9"/>
  <c r="CE97" i="9" s="1"/>
  <c r="CH89" i="9"/>
  <c r="CD65" i="9"/>
  <c r="CE65" i="9" s="1"/>
  <c r="CD198" i="9"/>
  <c r="CE198" i="9" s="1"/>
  <c r="CD158" i="9"/>
  <c r="CE158" i="9" s="1"/>
  <c r="CH114" i="9"/>
  <c r="CD307" i="9"/>
  <c r="CE307" i="9" s="1"/>
  <c r="CH283" i="9"/>
  <c r="CD271" i="9"/>
  <c r="CE271" i="9" s="1"/>
  <c r="CD204" i="9"/>
  <c r="CE204" i="9" s="1"/>
  <c r="CD180" i="9"/>
  <c r="CE180" i="9" s="1"/>
  <c r="CD132" i="9"/>
  <c r="CE132" i="9" s="1"/>
  <c r="CH124" i="9"/>
  <c r="CD72" i="9"/>
  <c r="CE72" i="9" s="1"/>
  <c r="CB179" i="9"/>
  <c r="CH179" i="9" s="1"/>
  <c r="CB163" i="9"/>
  <c r="CD163" i="9" s="1"/>
  <c r="CE163" i="9" s="1"/>
  <c r="CB155" i="9"/>
  <c r="CB143" i="9"/>
  <c r="CH11" i="9"/>
  <c r="CH31" i="9"/>
  <c r="CB308" i="9"/>
  <c r="CH308" i="9" s="1"/>
  <c r="CB300" i="9"/>
  <c r="CB292" i="9"/>
  <c r="CH292" i="9" s="1"/>
  <c r="CB280" i="9"/>
  <c r="CH216" i="9"/>
  <c r="CH73" i="9"/>
  <c r="CB225" i="9"/>
  <c r="CH225" i="9" s="1"/>
  <c r="CB209" i="9"/>
  <c r="CB205" i="9"/>
  <c r="CH205" i="9" s="1"/>
  <c r="CB201" i="9"/>
  <c r="CB149" i="9"/>
  <c r="CH149" i="9" s="1"/>
  <c r="CH19" i="9"/>
  <c r="CH27" i="9"/>
  <c r="CD35" i="9"/>
  <c r="CE35" i="9" s="1"/>
  <c r="CH39" i="9"/>
  <c r="CD43" i="9"/>
  <c r="CE43" i="9" s="1"/>
  <c r="CD51" i="9"/>
  <c r="CE51" i="9" s="1"/>
  <c r="CD59" i="9"/>
  <c r="CE59" i="9" s="1"/>
  <c r="CH293" i="9"/>
  <c r="CH273" i="9"/>
  <c r="CD261" i="9"/>
  <c r="CE261" i="9" s="1"/>
  <c r="CD249" i="9"/>
  <c r="CE249" i="9" s="1"/>
  <c r="CD45" i="9"/>
  <c r="CE45" i="9" s="1"/>
  <c r="CD262" i="9"/>
  <c r="CE262" i="9" s="1"/>
  <c r="CD270" i="9"/>
  <c r="CE270" i="9" s="1"/>
  <c r="CH177" i="9"/>
  <c r="CH201" i="9"/>
  <c r="CH143" i="9"/>
  <c r="CH167" i="9"/>
  <c r="CD199" i="9"/>
  <c r="CE199" i="9" s="1"/>
  <c r="CH256" i="9"/>
  <c r="CH260" i="9"/>
  <c r="CH268" i="9"/>
  <c r="CD298" i="9"/>
  <c r="CE298" i="9" s="1"/>
  <c r="CD306" i="9"/>
  <c r="CE306" i="9" s="1"/>
  <c r="CD315" i="9"/>
  <c r="CE315" i="9" s="1"/>
  <c r="CH258" i="9"/>
  <c r="CH266" i="9"/>
  <c r="CH197" i="9"/>
  <c r="CH209" i="9"/>
  <c r="CH280" i="9"/>
  <c r="CH300" i="9"/>
  <c r="CD155" i="9"/>
  <c r="CE155" i="9" s="1"/>
  <c r="CH187" i="9"/>
  <c r="CH137" i="9"/>
  <c r="CH237" i="9"/>
  <c r="CH211" i="9"/>
  <c r="CD215" i="9"/>
  <c r="CE215" i="9" s="1"/>
  <c r="CD219" i="9"/>
  <c r="CE219" i="9" s="1"/>
  <c r="CD223" i="9"/>
  <c r="CE223" i="9" s="1"/>
  <c r="CD235" i="9"/>
  <c r="CE235" i="9" s="1"/>
  <c r="CH243" i="9"/>
  <c r="CH262" i="9"/>
  <c r="CH270" i="9"/>
  <c r="CD149" i="9"/>
  <c r="CE149" i="9" s="1"/>
  <c r="CD177" i="9"/>
  <c r="CE177" i="9" s="1"/>
  <c r="CD201" i="9"/>
  <c r="CE201" i="9" s="1"/>
  <c r="CD143" i="9"/>
  <c r="CE143" i="9" s="1"/>
  <c r="CD167" i="9"/>
  <c r="CE167" i="9" s="1"/>
  <c r="CH199" i="9"/>
  <c r="CD256" i="9"/>
  <c r="CE256" i="9" s="1"/>
  <c r="CD260" i="9"/>
  <c r="CE260" i="9" s="1"/>
  <c r="CD268" i="9"/>
  <c r="CE268" i="9" s="1"/>
  <c r="CH298" i="9"/>
  <c r="CH306" i="9"/>
  <c r="CH315" i="9"/>
  <c r="CD258" i="9"/>
  <c r="CE258" i="9" s="1"/>
  <c r="CD266" i="9"/>
  <c r="CE266" i="9" s="1"/>
  <c r="CD197" i="9"/>
  <c r="CE197" i="9" s="1"/>
  <c r="CD209" i="9"/>
  <c r="CE209" i="9" s="1"/>
  <c r="CD225" i="9"/>
  <c r="CE225" i="9" s="1"/>
  <c r="CD280" i="9"/>
  <c r="CE280" i="9" s="1"/>
  <c r="CD292" i="9"/>
  <c r="CE292" i="9" s="1"/>
  <c r="CD300" i="9"/>
  <c r="CE300" i="9" s="1"/>
  <c r="CD308" i="9"/>
  <c r="CE308" i="9" s="1"/>
  <c r="CH155" i="9"/>
  <c r="CH163" i="9"/>
  <c r="CD179" i="9"/>
  <c r="CE179" i="9" s="1"/>
  <c r="CD187" i="9"/>
  <c r="CE187" i="9" s="1"/>
  <c r="CD137" i="9"/>
  <c r="CE137" i="9" s="1"/>
  <c r="CD237" i="9"/>
  <c r="CE237" i="9" s="1"/>
  <c r="CD211" i="9"/>
  <c r="CE211" i="9" s="1"/>
  <c r="CH215" i="9"/>
  <c r="CH219" i="9"/>
  <c r="CH223" i="9"/>
  <c r="CH235" i="9"/>
  <c r="CD243" i="9"/>
  <c r="CE243" i="9" s="1"/>
  <c r="BI320" i="9"/>
  <c r="BK439" i="9" s="1"/>
  <c r="BI462" i="9"/>
  <c r="BI336" i="9"/>
  <c r="BO112" i="9"/>
  <c r="CF112" i="9" s="1"/>
  <c r="AX96" i="9"/>
  <c r="BO80" i="9"/>
  <c r="CF80" i="9" s="1"/>
  <c r="BO64" i="9"/>
  <c r="CF64" i="9" s="1"/>
  <c r="BO27" i="9"/>
  <c r="CF27" i="9" s="1"/>
  <c r="BO11" i="9"/>
  <c r="CF11" i="9" s="1"/>
  <c r="BO249" i="9"/>
  <c r="CF249" i="9" s="1"/>
  <c r="BO261" i="9"/>
  <c r="CF261" i="9" s="1"/>
  <c r="BO215" i="9"/>
  <c r="CF215" i="9" s="1"/>
  <c r="AX176" i="9"/>
  <c r="BO129" i="9"/>
  <c r="CF129" i="9" s="1"/>
  <c r="AX120" i="9"/>
  <c r="AX318" i="9"/>
  <c r="AX33" i="9"/>
  <c r="AX9" i="9"/>
  <c r="AX288" i="9"/>
  <c r="AX244" i="9"/>
  <c r="AZ407" i="9"/>
  <c r="AU378" i="9"/>
  <c r="AL14" i="9"/>
  <c r="AL256" i="9"/>
  <c r="AL344" i="9" s="1"/>
  <c r="AL290" i="9"/>
  <c r="AM290" i="9" s="1"/>
  <c r="AL226" i="9"/>
  <c r="AL288" i="9"/>
  <c r="AM288" i="9" s="1"/>
  <c r="AL291" i="9"/>
  <c r="AL298" i="9"/>
  <c r="AJ70" i="9"/>
  <c r="AJ69" i="9"/>
  <c r="AJ50" i="9"/>
  <c r="AJ15" i="9"/>
  <c r="AJ41" i="9"/>
  <c r="AJ32" i="9"/>
  <c r="AJ37" i="9"/>
  <c r="AL37" i="9" s="1"/>
  <c r="AM37" i="9" s="1"/>
  <c r="AJ62" i="9"/>
  <c r="AL62" i="9" s="1"/>
  <c r="AM62" i="9" s="1"/>
  <c r="AL301" i="9"/>
  <c r="AL275" i="9"/>
  <c r="AL262" i="9"/>
  <c r="AM262" i="9" s="1"/>
  <c r="AL283" i="9"/>
  <c r="AM283" i="9" s="1"/>
  <c r="AL188" i="9"/>
  <c r="AL250" i="9"/>
  <c r="AM250" i="9" s="1"/>
  <c r="AL234" i="9"/>
  <c r="AM234" i="9" s="1"/>
  <c r="AL166" i="9"/>
  <c r="AL49" i="9"/>
  <c r="AL243" i="9"/>
  <c r="AL286" i="9"/>
  <c r="AM286" i="9" s="1"/>
  <c r="AL249" i="9"/>
  <c r="AL172" i="9"/>
  <c r="AL13" i="9"/>
  <c r="AJ51" i="9"/>
  <c r="AL51" i="9" s="1"/>
  <c r="AM51" i="9" s="1"/>
  <c r="AJ59" i="9"/>
  <c r="AL59" i="9" s="1"/>
  <c r="AM59" i="9" s="1"/>
  <c r="AJ71" i="9"/>
  <c r="AL71" i="9" s="1"/>
  <c r="AM71" i="9" s="1"/>
  <c r="AJ75" i="9"/>
  <c r="AL75" i="9" s="1"/>
  <c r="AM75" i="9" s="1"/>
  <c r="AJ79" i="9"/>
  <c r="AL79" i="9" s="1"/>
  <c r="AM79" i="9" s="1"/>
  <c r="AL208" i="9"/>
  <c r="AM208" i="9" s="1"/>
  <c r="AL198" i="9"/>
  <c r="AM198" i="9" s="1"/>
  <c r="AL191" i="9"/>
  <c r="AM191" i="9" s="1"/>
  <c r="AL173" i="9"/>
  <c r="AM173" i="9" s="1"/>
  <c r="AL160" i="9"/>
  <c r="AL151" i="9"/>
  <c r="AL143" i="9"/>
  <c r="AL136" i="9"/>
  <c r="AL129" i="9"/>
  <c r="AL122" i="9"/>
  <c r="AL115" i="9"/>
  <c r="AM115" i="9" s="1"/>
  <c r="AL201" i="9"/>
  <c r="AM201" i="9" s="1"/>
  <c r="AL184" i="9"/>
  <c r="AM184" i="9" s="1"/>
  <c r="AL159" i="9"/>
  <c r="AL155" i="9"/>
  <c r="AM155" i="9" s="1"/>
  <c r="AL135" i="9"/>
  <c r="AL211" i="9"/>
  <c r="AM211" i="9" s="1"/>
  <c r="AL163" i="9"/>
  <c r="AM163" i="9" s="1"/>
  <c r="AL150" i="9"/>
  <c r="AL119" i="9"/>
  <c r="AM119" i="9" s="1"/>
  <c r="AL169" i="9"/>
  <c r="AL113" i="9"/>
  <c r="AL109" i="9"/>
  <c r="AM109" i="9" s="1"/>
  <c r="AL103" i="9"/>
  <c r="AM103" i="9" s="1"/>
  <c r="AL99" i="9"/>
  <c r="AM99" i="9" s="1"/>
  <c r="AL95" i="9"/>
  <c r="AM95" i="9" s="1"/>
  <c r="AL91" i="9"/>
  <c r="AM91" i="9" s="1"/>
  <c r="AL87" i="9"/>
  <c r="AM87" i="9" s="1"/>
  <c r="AL83" i="9"/>
  <c r="AM83" i="9" s="1"/>
  <c r="AL65" i="9"/>
  <c r="AL39" i="9"/>
  <c r="AM39" i="9" s="1"/>
  <c r="AL192" i="9"/>
  <c r="AM192" i="9" s="1"/>
  <c r="AL146" i="9"/>
  <c r="AL209" i="9"/>
  <c r="AM209" i="9" s="1"/>
  <c r="AL96" i="9"/>
  <c r="W5" i="9"/>
  <c r="W11" i="9"/>
  <c r="W7" i="9"/>
  <c r="W10" i="9"/>
  <c r="W14" i="9"/>
  <c r="W17" i="9"/>
  <c r="W21" i="9"/>
  <c r="W25" i="9"/>
  <c r="W29" i="9"/>
  <c r="W35" i="9"/>
  <c r="W38" i="9"/>
  <c r="W9" i="9"/>
  <c r="W18" i="9"/>
  <c r="W22" i="9"/>
  <c r="W26" i="9"/>
  <c r="W30" i="9"/>
  <c r="W32" i="9"/>
  <c r="W36" i="9"/>
  <c r="W43" i="9"/>
  <c r="W45" i="9"/>
  <c r="W47" i="9"/>
  <c r="W51" i="9"/>
  <c r="W53" i="9"/>
  <c r="W55" i="9"/>
  <c r="W57" i="9"/>
  <c r="W59" i="9"/>
  <c r="W61" i="9"/>
  <c r="W63" i="9"/>
  <c r="W65" i="9"/>
  <c r="W67" i="9"/>
  <c r="W71" i="9"/>
  <c r="W73" i="9"/>
  <c r="W75" i="9"/>
  <c r="W77" i="9"/>
  <c r="W79" i="9"/>
  <c r="W81" i="9"/>
  <c r="W83" i="9"/>
  <c r="W85" i="9"/>
  <c r="W87" i="9"/>
  <c r="W89" i="9"/>
  <c r="W91" i="9"/>
  <c r="W93" i="9"/>
  <c r="W95" i="9"/>
  <c r="W97" i="9"/>
  <c r="W99" i="9"/>
  <c r="W101" i="9"/>
  <c r="W103" i="9"/>
  <c r="W107" i="9"/>
  <c r="W109" i="9"/>
  <c r="W111" i="9"/>
  <c r="W114" i="9"/>
  <c r="W119" i="9"/>
  <c r="W124" i="9"/>
  <c r="W137" i="9"/>
  <c r="W159" i="9"/>
  <c r="W122" i="9"/>
  <c r="W155" i="9"/>
  <c r="W193" i="9"/>
  <c r="W212" i="9"/>
  <c r="W231" i="9"/>
  <c r="W247" i="9"/>
  <c r="W136" i="9"/>
  <c r="W160" i="9"/>
  <c r="W169" i="9"/>
  <c r="W191" i="9"/>
  <c r="W202" i="9"/>
  <c r="W229" i="9"/>
  <c r="W245" i="9"/>
  <c r="W40" i="9"/>
  <c r="W69" i="9"/>
  <c r="W115" i="9"/>
  <c r="W123" i="9"/>
  <c r="W129" i="9"/>
  <c r="W134" i="9"/>
  <c r="W144" i="9"/>
  <c r="W149" i="9"/>
  <c r="W154" i="9"/>
  <c r="W166" i="9"/>
  <c r="W176" i="9"/>
  <c r="W194" i="9"/>
  <c r="W203" i="9"/>
  <c r="W215" i="9"/>
  <c r="W228" i="9"/>
  <c r="W236" i="9"/>
  <c r="W244" i="9"/>
  <c r="W252" i="9"/>
  <c r="W257" i="9"/>
  <c r="W286" i="9"/>
  <c r="W180" i="9"/>
  <c r="W190" i="9"/>
  <c r="W222" i="9"/>
  <c r="W308" i="9"/>
  <c r="W267" i="9"/>
  <c r="W275" i="9"/>
  <c r="W311" i="9"/>
  <c r="X311" i="9" s="1"/>
  <c r="W319" i="9"/>
  <c r="W305" i="9"/>
  <c r="W301" i="9"/>
  <c r="W299" i="9"/>
  <c r="W297" i="9"/>
  <c r="W295" i="9"/>
  <c r="W293" i="9"/>
  <c r="W318" i="9"/>
  <c r="W316" i="9"/>
  <c r="W314" i="9"/>
  <c r="X314" i="9" s="1"/>
  <c r="W312" i="9"/>
  <c r="X312" i="9" s="1"/>
  <c r="W310" i="9"/>
  <c r="X310" i="9" s="1"/>
  <c r="W280" i="9"/>
  <c r="W278" i="9"/>
  <c r="W276" i="9"/>
  <c r="W274" i="9"/>
  <c r="W272" i="9"/>
  <c r="W270" i="9"/>
  <c r="W268" i="9"/>
  <c r="W266" i="9"/>
  <c r="W264" i="9"/>
  <c r="W262" i="9"/>
  <c r="W260" i="9"/>
  <c r="W304" i="9"/>
  <c r="W289" i="9"/>
  <c r="W285" i="9"/>
  <c r="W281" i="9"/>
  <c r="W218" i="9"/>
  <c r="W214" i="9"/>
  <c r="W205" i="9"/>
  <c r="W195" i="9"/>
  <c r="W189" i="9"/>
  <c r="W186" i="9"/>
  <c r="W184" i="9"/>
  <c r="W181" i="9"/>
  <c r="W178" i="9"/>
  <c r="W306" i="9"/>
  <c r="W303" i="9"/>
  <c r="W298" i="9"/>
  <c r="W294" i="9"/>
  <c r="W317" i="9"/>
  <c r="W313" i="9"/>
  <c r="X313" i="9" s="1"/>
  <c r="W309" i="9"/>
  <c r="X309" i="9" s="1"/>
  <c r="W277" i="9"/>
  <c r="W273" i="9"/>
  <c r="W269" i="9"/>
  <c r="W265" i="9"/>
  <c r="W261" i="9"/>
  <c r="W291" i="9"/>
  <c r="W283" i="9"/>
  <c r="W217" i="9"/>
  <c r="W204" i="9"/>
  <c r="W188" i="9"/>
  <c r="W183" i="9"/>
  <c r="W177" i="9"/>
  <c r="W290" i="9"/>
  <c r="W282" i="9"/>
  <c r="W258" i="9"/>
  <c r="W256" i="9"/>
  <c r="W254" i="9"/>
  <c r="W250" i="9"/>
  <c r="W246" i="9"/>
  <c r="W242" i="9"/>
  <c r="W238" i="9"/>
  <c r="W234" i="9"/>
  <c r="W230" i="9"/>
  <c r="W226" i="9"/>
  <c r="W220" i="9"/>
  <c r="W211" i="9"/>
  <c r="W207" i="9"/>
  <c r="W201" i="9"/>
  <c r="W197" i="9"/>
  <c r="W192" i="9"/>
  <c r="W179" i="9"/>
  <c r="W175" i="9"/>
  <c r="W167" i="9"/>
  <c r="W164" i="9"/>
  <c r="W156" i="9"/>
  <c r="W153" i="9"/>
  <c r="W151" i="9"/>
  <c r="W148" i="9"/>
  <c r="W145" i="9"/>
  <c r="W143" i="9"/>
  <c r="W139" i="9"/>
  <c r="W133" i="9"/>
  <c r="W130" i="9"/>
  <c r="W128" i="9"/>
  <c r="W125" i="9"/>
  <c r="W120" i="9"/>
  <c r="W117" i="9"/>
  <c r="W106" i="9"/>
  <c r="W70" i="9"/>
  <c r="W50" i="9"/>
  <c r="W41" i="9"/>
  <c r="X41" i="9" s="1"/>
  <c r="W288" i="9"/>
  <c r="W249" i="9"/>
  <c r="W241" i="9"/>
  <c r="W233" i="9"/>
  <c r="W225" i="9"/>
  <c r="W216" i="9"/>
  <c r="W200" i="9"/>
  <c r="W196" i="9"/>
  <c r="W187" i="9"/>
  <c r="W171" i="9"/>
  <c r="W165" i="9"/>
  <c r="W162" i="9"/>
  <c r="W150" i="9"/>
  <c r="W138" i="9"/>
  <c r="W292" i="9"/>
  <c r="W251" i="9"/>
  <c r="W243" i="9"/>
  <c r="W235" i="9"/>
  <c r="W227" i="9"/>
  <c r="W219" i="9"/>
  <c r="W210" i="9"/>
  <c r="W206" i="9"/>
  <c r="W172" i="9"/>
  <c r="W157" i="9"/>
  <c r="W140" i="9"/>
  <c r="W131" i="9"/>
  <c r="W113" i="9"/>
  <c r="W168" i="9"/>
  <c r="AJ18" i="9"/>
  <c r="AL18" i="9" s="1"/>
  <c r="AM18" i="9" s="1"/>
  <c r="AJ22" i="9"/>
  <c r="AL22" i="9" s="1"/>
  <c r="AM22" i="9" s="1"/>
  <c r="AJ25" i="9"/>
  <c r="AL25" i="9" s="1"/>
  <c r="AM25" i="9" s="1"/>
  <c r="AJ54" i="9"/>
  <c r="AL54" i="9" s="1"/>
  <c r="AM54" i="9" s="1"/>
  <c r="AJ72" i="9"/>
  <c r="AL72" i="9" s="1"/>
  <c r="AM72" i="9" s="1"/>
  <c r="AJ88" i="9"/>
  <c r="AL88" i="9" s="1"/>
  <c r="AM88" i="9" s="1"/>
  <c r="AJ104" i="9"/>
  <c r="AL104" i="9" s="1"/>
  <c r="AM104" i="9" s="1"/>
  <c r="AJ126" i="9"/>
  <c r="AL126" i="9" s="1"/>
  <c r="AM126" i="9" s="1"/>
  <c r="AJ186" i="9"/>
  <c r="AL186" i="9" s="1"/>
  <c r="AM186" i="9" s="1"/>
  <c r="AJ134" i="9"/>
  <c r="AL134" i="9" s="1"/>
  <c r="AJ164" i="9"/>
  <c r="AL164" i="9" s="1"/>
  <c r="AM164" i="9" s="1"/>
  <c r="AJ216" i="9"/>
  <c r="AL216" i="9" s="1"/>
  <c r="AM216" i="9" s="1"/>
  <c r="AL313" i="9"/>
  <c r="AM313" i="9" s="1"/>
  <c r="AL294" i="9"/>
  <c r="AL270" i="9"/>
  <c r="AM270" i="9" s="1"/>
  <c r="AF281" i="9"/>
  <c r="AJ19" i="9"/>
  <c r="AL19" i="9" s="1"/>
  <c r="AM19" i="9" s="1"/>
  <c r="AJ28" i="9"/>
  <c r="AL28" i="9" s="1"/>
  <c r="AM28" i="9" s="1"/>
  <c r="AL12" i="9"/>
  <c r="AL6" i="9"/>
  <c r="AL31" i="9"/>
  <c r="AL225" i="9"/>
  <c r="AL241" i="9"/>
  <c r="AM241" i="9" s="1"/>
  <c r="AL254" i="9"/>
  <c r="AM254" i="9" s="1"/>
  <c r="AL258" i="9"/>
  <c r="AM258" i="9" s="1"/>
  <c r="AL171" i="9"/>
  <c r="AL235" i="9"/>
  <c r="AM235" i="9" s="1"/>
  <c r="AL251" i="9"/>
  <c r="AM251" i="9" s="1"/>
  <c r="AL40" i="9"/>
  <c r="AL69" i="9"/>
  <c r="AM69" i="9" s="1"/>
  <c r="AL132" i="9"/>
  <c r="AL222" i="9"/>
  <c r="AL230" i="9"/>
  <c r="AM230" i="9" s="1"/>
  <c r="AL238" i="9"/>
  <c r="AM238" i="9" s="1"/>
  <c r="AL246" i="9"/>
  <c r="AM246" i="9" s="1"/>
  <c r="AL280" i="9"/>
  <c r="AL316" i="9"/>
  <c r="AL204" i="9"/>
  <c r="AL278" i="9"/>
  <c r="AM278" i="9" s="1"/>
  <c r="AL287" i="9"/>
  <c r="AM287" i="9" s="1"/>
  <c r="AL260" i="9"/>
  <c r="AM260" i="9" s="1"/>
  <c r="AL264" i="9"/>
  <c r="AM264" i="9" s="1"/>
  <c r="AL268" i="9"/>
  <c r="AM268" i="9" s="1"/>
  <c r="AL272" i="9"/>
  <c r="AM272" i="9" s="1"/>
  <c r="AL279" i="9"/>
  <c r="AL296" i="9"/>
  <c r="AL300" i="9"/>
  <c r="AL309" i="9"/>
  <c r="AM309" i="9" s="1"/>
  <c r="AJ181" i="9"/>
  <c r="AL181" i="9" s="1"/>
  <c r="AJ206" i="9"/>
  <c r="AL206" i="9" s="1"/>
  <c r="AM206" i="9" s="1"/>
  <c r="AJ175" i="9"/>
  <c r="AL175" i="9" s="1"/>
  <c r="AM175" i="9" s="1"/>
  <c r="AJ153" i="9"/>
  <c r="AL153" i="9" s="1"/>
  <c r="AJ141" i="9"/>
  <c r="AL141" i="9" s="1"/>
  <c r="AJ123" i="9"/>
  <c r="AL123" i="9" s="1"/>
  <c r="AM123" i="9" s="1"/>
  <c r="AJ203" i="9"/>
  <c r="AL203" i="9" s="1"/>
  <c r="AM203" i="9" s="1"/>
  <c r="AJ142" i="9"/>
  <c r="AL142" i="9" s="1"/>
  <c r="AJ152" i="9"/>
  <c r="AL152" i="9" s="1"/>
  <c r="AJ116" i="9"/>
  <c r="AL116" i="9" s="1"/>
  <c r="AM116" i="9" s="1"/>
  <c r="AJ110" i="9"/>
  <c r="AL110" i="9" s="1"/>
  <c r="AM110" i="9" s="1"/>
  <c r="AJ100" i="9"/>
  <c r="AL100" i="9" s="1"/>
  <c r="AM100" i="9" s="1"/>
  <c r="AJ92" i="9"/>
  <c r="AL92" i="9" s="1"/>
  <c r="AM92" i="9" s="1"/>
  <c r="AJ84" i="9"/>
  <c r="AL84" i="9" s="1"/>
  <c r="AM84" i="9" s="1"/>
  <c r="AJ76" i="9"/>
  <c r="AL76" i="9" s="1"/>
  <c r="AM76" i="9" s="1"/>
  <c r="AJ66" i="9"/>
  <c r="AL66" i="9" s="1"/>
  <c r="AM66" i="9" s="1"/>
  <c r="AJ58" i="9"/>
  <c r="AL58" i="9" s="1"/>
  <c r="AM58" i="9" s="1"/>
  <c r="AJ48" i="9"/>
  <c r="AL48" i="9" s="1"/>
  <c r="AM48" i="9" s="1"/>
  <c r="AJ35" i="9"/>
  <c r="AL35" i="9" s="1"/>
  <c r="AM35" i="9" s="1"/>
  <c r="AJ17" i="9"/>
  <c r="AL17" i="9" s="1"/>
  <c r="AM17" i="9" s="1"/>
  <c r="AJ30" i="9"/>
  <c r="AL30" i="9" s="1"/>
  <c r="AM30" i="9" s="1"/>
  <c r="AL10" i="9"/>
  <c r="AF164" i="9"/>
  <c r="E5" i="17"/>
  <c r="C8" i="17"/>
  <c r="C5" i="17"/>
  <c r="D5" i="17"/>
  <c r="D6" i="17"/>
  <c r="AF96" i="9"/>
  <c r="AJ61" i="9"/>
  <c r="AL61" i="9" s="1"/>
  <c r="AM61" i="9" s="1"/>
  <c r="AJ57" i="9"/>
  <c r="AL57" i="9" s="1"/>
  <c r="AM57" i="9" s="1"/>
  <c r="AJ53" i="9"/>
  <c r="AL53" i="9" s="1"/>
  <c r="AM53" i="9" s="1"/>
  <c r="AJ47" i="9"/>
  <c r="AL47" i="9" s="1"/>
  <c r="AM47" i="9" s="1"/>
  <c r="AJ43" i="9"/>
  <c r="AL43" i="9" s="1"/>
  <c r="AM43" i="9" s="1"/>
  <c r="AJ33" i="9"/>
  <c r="AL33" i="9" s="1"/>
  <c r="AM33" i="9" s="1"/>
  <c r="AJ23" i="9"/>
  <c r="AL23" i="9" s="1"/>
  <c r="AM23" i="9" s="1"/>
  <c r="AL9" i="9"/>
  <c r="AJ34" i="9"/>
  <c r="AL34" i="9" s="1"/>
  <c r="AM34" i="9" s="1"/>
  <c r="AJ24" i="9"/>
  <c r="AL24" i="9" s="1"/>
  <c r="AM24" i="9" s="1"/>
  <c r="AJ16" i="9"/>
  <c r="AL16" i="9" s="1"/>
  <c r="AM16" i="9" s="1"/>
  <c r="AL8" i="9"/>
  <c r="AL11" i="9"/>
  <c r="AL5" i="9"/>
  <c r="AL7" i="9"/>
  <c r="AL15" i="9"/>
  <c r="AM15" i="9" s="1"/>
  <c r="AL32" i="9"/>
  <c r="AM32" i="9" s="1"/>
  <c r="AL214" i="9"/>
  <c r="AL229" i="9"/>
  <c r="AL237" i="9"/>
  <c r="AM237" i="9" s="1"/>
  <c r="AL245" i="9"/>
  <c r="AM245" i="9" s="1"/>
  <c r="AL253" i="9"/>
  <c r="AM253" i="9" s="1"/>
  <c r="AL255" i="9"/>
  <c r="AL257" i="9"/>
  <c r="AM257" i="9" s="1"/>
  <c r="AL276" i="9"/>
  <c r="AM276" i="9" s="1"/>
  <c r="AL308" i="9"/>
  <c r="AL223" i="9"/>
  <c r="AL231" i="9"/>
  <c r="AM231" i="9" s="1"/>
  <c r="AL239" i="9"/>
  <c r="AM239" i="9" s="1"/>
  <c r="AL247" i="9"/>
  <c r="AM247" i="9" s="1"/>
  <c r="AL282" i="9"/>
  <c r="AL317" i="9"/>
  <c r="AL41" i="9"/>
  <c r="AM41" i="9" s="1"/>
  <c r="AL50" i="9"/>
  <c r="AL70" i="9"/>
  <c r="AM70" i="9" s="1"/>
  <c r="AL106" i="9"/>
  <c r="AL133" i="9"/>
  <c r="AL167" i="9"/>
  <c r="AL224" i="9"/>
  <c r="AL228" i="9"/>
  <c r="AL232" i="9"/>
  <c r="AM232" i="9" s="1"/>
  <c r="AL236" i="9"/>
  <c r="AM236" i="9" s="1"/>
  <c r="AL240" i="9"/>
  <c r="AL244" i="9"/>
  <c r="AM244" i="9" s="1"/>
  <c r="AL248" i="9"/>
  <c r="AM248" i="9" s="1"/>
  <c r="AL252" i="9"/>
  <c r="AM252" i="9" s="1"/>
  <c r="AL284" i="9"/>
  <c r="AM284" i="9" s="1"/>
  <c r="AL292" i="9"/>
  <c r="AL318" i="9"/>
  <c r="AL189" i="9"/>
  <c r="AL205" i="9"/>
  <c r="AL274" i="9"/>
  <c r="AM274" i="9" s="1"/>
  <c r="AL281" i="9"/>
  <c r="AM281" i="9" s="1"/>
  <c r="AL285" i="9"/>
  <c r="AM285" i="9" s="1"/>
  <c r="AL289" i="9"/>
  <c r="AM289" i="9" s="1"/>
  <c r="AL259" i="9"/>
  <c r="AM259" i="9" s="1"/>
  <c r="AL261" i="9"/>
  <c r="AL263" i="9"/>
  <c r="AM263" i="9" s="1"/>
  <c r="AL265" i="9"/>
  <c r="AM265" i="9" s="1"/>
  <c r="AL267" i="9"/>
  <c r="AL269" i="9"/>
  <c r="AM269" i="9" s="1"/>
  <c r="AL271" i="9"/>
  <c r="AM271" i="9" s="1"/>
  <c r="AL273" i="9"/>
  <c r="AM273" i="9" s="1"/>
  <c r="AL277" i="9"/>
  <c r="AL293" i="9"/>
  <c r="AL295" i="9"/>
  <c r="AL297" i="9"/>
  <c r="AL299" i="9"/>
  <c r="AL319" i="9"/>
  <c r="AL315" i="9"/>
  <c r="AM315" i="9" s="1"/>
  <c r="AL311" i="9"/>
  <c r="AM311" i="9" s="1"/>
  <c r="AL305" i="9"/>
  <c r="AM305" i="9" s="1"/>
  <c r="AJ217" i="9"/>
  <c r="AL217" i="9" s="1"/>
  <c r="AM217" i="9" s="1"/>
  <c r="AJ195" i="9"/>
  <c r="AL195" i="9" s="1"/>
  <c r="AM195" i="9" s="1"/>
  <c r="AJ185" i="9"/>
  <c r="AL185" i="9" s="1"/>
  <c r="AM185" i="9" s="1"/>
  <c r="AJ177" i="9"/>
  <c r="AL177" i="9" s="1"/>
  <c r="AM177" i="9" s="1"/>
  <c r="AJ210" i="9"/>
  <c r="AL210" i="9" s="1"/>
  <c r="AM210" i="9" s="1"/>
  <c r="AJ200" i="9"/>
  <c r="AL200" i="9" s="1"/>
  <c r="AM200" i="9" s="1"/>
  <c r="AJ178" i="9"/>
  <c r="AL178" i="9" s="1"/>
  <c r="AJ170" i="9"/>
  <c r="AL170" i="9" s="1"/>
  <c r="AM170" i="9" s="1"/>
  <c r="AJ158" i="9"/>
  <c r="AL158" i="9" s="1"/>
  <c r="AM158" i="9" s="1"/>
  <c r="AJ149" i="9"/>
  <c r="AL149" i="9" s="1"/>
  <c r="AJ145" i="9"/>
  <c r="AL145" i="9" s="1"/>
  <c r="AJ138" i="9"/>
  <c r="AL138" i="9" s="1"/>
  <c r="AJ127" i="9"/>
  <c r="AL127" i="9" s="1"/>
  <c r="AJ120" i="9"/>
  <c r="AL120" i="9" s="1"/>
  <c r="AJ112" i="9"/>
  <c r="AL112" i="9" s="1"/>
  <c r="AJ199" i="9"/>
  <c r="AL199" i="9" s="1"/>
  <c r="AM199" i="9" s="1"/>
  <c r="AJ182" i="9"/>
  <c r="AL182" i="9" s="1"/>
  <c r="AM182" i="9" s="1"/>
  <c r="AJ162" i="9"/>
  <c r="AL162" i="9" s="1"/>
  <c r="AM162" i="9" s="1"/>
  <c r="AJ144" i="9"/>
  <c r="AL144" i="9" s="1"/>
  <c r="AJ140" i="9"/>
  <c r="AL140" i="9" s="1"/>
  <c r="AJ165" i="9"/>
  <c r="AL165" i="9" s="1"/>
  <c r="AM165" i="9" s="1"/>
  <c r="AJ128" i="9"/>
  <c r="AL128" i="9" s="1"/>
  <c r="AM128" i="9" s="1"/>
  <c r="AJ124" i="9"/>
  <c r="AL124" i="9" s="1"/>
  <c r="AM124" i="9" s="1"/>
  <c r="AJ114" i="9"/>
  <c r="AL114" i="9" s="1"/>
  <c r="AM114" i="9" s="1"/>
  <c r="AJ176" i="9"/>
  <c r="AL176" i="9" s="1"/>
  <c r="AM176" i="9" s="1"/>
  <c r="AJ108" i="9"/>
  <c r="AL108" i="9" s="1"/>
  <c r="AM108" i="9" s="1"/>
  <c r="AJ102" i="9"/>
  <c r="AL102" i="9" s="1"/>
  <c r="AM102" i="9" s="1"/>
  <c r="AJ98" i="9"/>
  <c r="AL98" i="9" s="1"/>
  <c r="AM98" i="9" s="1"/>
  <c r="AJ94" i="9"/>
  <c r="AL94" i="9" s="1"/>
  <c r="AM94" i="9" s="1"/>
  <c r="AJ90" i="9"/>
  <c r="AL90" i="9" s="1"/>
  <c r="AM90" i="9" s="1"/>
  <c r="AJ86" i="9"/>
  <c r="AL86" i="9" s="1"/>
  <c r="AM86" i="9" s="1"/>
  <c r="AJ82" i="9"/>
  <c r="AL82" i="9" s="1"/>
  <c r="AM82" i="9" s="1"/>
  <c r="AJ78" i="9"/>
  <c r="AL78" i="9" s="1"/>
  <c r="AM78" i="9" s="1"/>
  <c r="AJ74" i="9"/>
  <c r="AL74" i="9" s="1"/>
  <c r="AJ68" i="9"/>
  <c r="AL68" i="9" s="1"/>
  <c r="AM68" i="9" s="1"/>
  <c r="AJ64" i="9"/>
  <c r="AL64" i="9" s="1"/>
  <c r="AJ60" i="9"/>
  <c r="AL60" i="9" s="1"/>
  <c r="AM60" i="9" s="1"/>
  <c r="AJ56" i="9"/>
  <c r="AL56" i="9" s="1"/>
  <c r="AM56" i="9" s="1"/>
  <c r="AJ52" i="9"/>
  <c r="AL52" i="9" s="1"/>
  <c r="AM52" i="9" s="1"/>
  <c r="AJ46" i="9"/>
  <c r="AL46" i="9" s="1"/>
  <c r="AM46" i="9" s="1"/>
  <c r="AJ42" i="9"/>
  <c r="AL42" i="9" s="1"/>
  <c r="AM42" i="9" s="1"/>
  <c r="AJ29" i="9"/>
  <c r="AL29" i="9" s="1"/>
  <c r="AM29" i="9" s="1"/>
  <c r="AJ21" i="9"/>
  <c r="AL21" i="9" s="1"/>
  <c r="AM21" i="9" s="1"/>
  <c r="AJ38" i="9"/>
  <c r="AL38" i="9" s="1"/>
  <c r="AM38" i="9" s="1"/>
  <c r="AJ36" i="9"/>
  <c r="AL36" i="9" s="1"/>
  <c r="AM36" i="9" s="1"/>
  <c r="AJ26" i="9"/>
  <c r="AL26" i="9" s="1"/>
  <c r="AM26" i="9" s="1"/>
  <c r="AM344" i="9"/>
  <c r="AF390" i="9"/>
  <c r="AL340" i="9"/>
  <c r="AF233" i="9"/>
  <c r="AF246" i="9"/>
  <c r="AI415" i="9"/>
  <c r="AD386" i="9"/>
  <c r="AM340" i="9"/>
  <c r="AF252" i="9"/>
  <c r="AI399" i="9"/>
  <c r="AF196" i="9"/>
  <c r="AF184" i="9"/>
  <c r="AF178" i="9"/>
  <c r="AF172" i="9"/>
  <c r="AF144" i="9"/>
  <c r="AF217" i="9"/>
  <c r="AF122" i="9"/>
  <c r="AF214" i="9"/>
  <c r="AF153" i="9"/>
  <c r="AF212" i="9"/>
  <c r="AF183" i="9"/>
  <c r="AF159" i="9"/>
  <c r="AF135" i="9"/>
  <c r="AF189" i="9"/>
  <c r="AF170" i="9"/>
  <c r="AF288" i="9"/>
  <c r="AF278" i="9"/>
  <c r="AF248" i="9"/>
  <c r="AF238" i="9"/>
  <c r="AF232" i="9"/>
  <c r="AF202" i="9"/>
  <c r="AF171" i="9"/>
  <c r="AF139" i="9"/>
  <c r="AF115" i="9"/>
  <c r="AF22" i="9"/>
  <c r="AF67" i="9"/>
  <c r="AF83" i="9"/>
  <c r="AF265" i="9"/>
  <c r="AF312" i="9"/>
  <c r="AF78" i="9"/>
  <c r="AF18" i="9"/>
  <c r="AF34" i="9"/>
  <c r="AF49" i="9"/>
  <c r="AF63" i="9"/>
  <c r="AF79" i="9"/>
  <c r="AF263" i="9"/>
  <c r="AF318" i="9"/>
  <c r="AF302" i="9"/>
  <c r="AF36" i="9"/>
  <c r="AF52" i="9"/>
  <c r="AF17" i="9"/>
  <c r="AF25" i="9"/>
  <c r="AF33" i="9"/>
  <c r="AF106" i="9"/>
  <c r="AF279" i="9"/>
  <c r="AF118" i="9"/>
  <c r="AF251" i="9"/>
  <c r="AF386" i="9" s="1"/>
  <c r="AF229" i="9"/>
  <c r="AF181" i="9"/>
  <c r="AF193" i="9"/>
  <c r="AF117" i="9"/>
  <c r="AF74" i="9"/>
  <c r="AF50" i="9"/>
  <c r="AF55" i="9"/>
  <c r="AF111" i="9"/>
  <c r="AF86" i="9"/>
  <c r="AF94" i="9"/>
  <c r="AF102" i="9"/>
  <c r="AF264" i="9"/>
  <c r="AF134" i="9"/>
  <c r="AF166" i="9"/>
  <c r="AF182" i="9"/>
  <c r="AF190" i="9"/>
  <c r="AF194" i="9"/>
  <c r="AF130" i="9"/>
  <c r="AF319" i="9"/>
  <c r="AF297" i="9"/>
  <c r="AF240" i="9"/>
  <c r="AF188" i="9"/>
  <c r="AF37" i="9"/>
  <c r="AF7" i="9"/>
  <c r="AF23" i="9"/>
  <c r="AF284" i="9"/>
  <c r="AF200" i="9"/>
  <c r="AF224" i="9"/>
  <c r="AF20" i="9"/>
  <c r="AF12" i="9"/>
  <c r="AF208" i="9"/>
  <c r="AF236" i="9"/>
  <c r="AF226" i="9"/>
  <c r="AF176" i="9"/>
  <c r="AF141" i="9"/>
  <c r="AF148" i="9"/>
  <c r="AF152" i="9"/>
  <c r="AF213" i="9"/>
  <c r="AF221" i="9"/>
  <c r="AF156" i="9"/>
  <c r="AF128" i="9"/>
  <c r="AF192" i="9"/>
  <c r="AF169" i="9"/>
  <c r="AF121" i="9"/>
  <c r="AF191" i="9"/>
  <c r="AF175" i="9"/>
  <c r="AF151" i="9"/>
  <c r="AF127" i="9"/>
  <c r="AF173" i="9"/>
  <c r="AF296" i="9"/>
  <c r="AF286" i="9"/>
  <c r="AF250" i="9"/>
  <c r="AF244" i="9"/>
  <c r="AF234" i="9"/>
  <c r="AF228" i="9"/>
  <c r="AF206" i="9"/>
  <c r="AF195" i="9"/>
  <c r="AF147" i="9"/>
  <c r="AF14" i="9"/>
  <c r="AF30" i="9"/>
  <c r="AF75" i="9"/>
  <c r="AF257" i="9"/>
  <c r="AF272" i="9"/>
  <c r="AF10" i="9"/>
  <c r="AF26" i="9"/>
  <c r="AF41" i="9"/>
  <c r="AF57" i="9"/>
  <c r="AF71" i="9"/>
  <c r="AF259" i="9"/>
  <c r="AF274" i="9"/>
  <c r="AF305" i="9"/>
  <c r="AF313" i="9"/>
  <c r="AF44" i="9"/>
  <c r="AF60" i="9"/>
  <c r="AF13" i="9"/>
  <c r="AF21" i="9"/>
  <c r="AF29" i="9"/>
  <c r="AF301" i="9"/>
  <c r="AF110" i="9"/>
  <c r="AF42" i="9"/>
  <c r="AF174" i="9"/>
  <c r="AF291" i="9"/>
  <c r="AF245" i="9"/>
  <c r="AF227" i="9"/>
  <c r="AF203" i="9"/>
  <c r="AF145" i="9"/>
  <c r="AF276" i="9"/>
  <c r="AF66" i="9"/>
  <c r="AF304" i="9"/>
  <c r="AF310" i="9"/>
  <c r="AF99" i="9"/>
  <c r="AF82" i="9"/>
  <c r="AF90" i="9"/>
  <c r="AF98" i="9"/>
  <c r="AF317" i="9"/>
  <c r="AF138" i="9"/>
  <c r="AF150" i="9"/>
  <c r="AF47" i="9"/>
  <c r="AF290" i="9"/>
  <c r="AF160" i="9"/>
  <c r="AF5" i="9"/>
  <c r="AF53" i="9"/>
  <c r="AF316" i="9"/>
  <c r="AF314" i="9"/>
  <c r="AF299" i="9"/>
  <c r="AF46" i="9"/>
  <c r="AF15" i="9"/>
  <c r="AF255" i="9"/>
  <c r="AF108" i="9"/>
  <c r="AF100" i="9"/>
  <c r="AF92" i="9"/>
  <c r="AF84" i="9"/>
  <c r="AF76" i="9"/>
  <c r="AF68" i="9"/>
  <c r="AF222" i="9"/>
  <c r="AF123" i="9"/>
  <c r="AF294" i="9"/>
  <c r="AF140" i="9"/>
  <c r="AF282" i="9"/>
  <c r="AF247" i="9"/>
  <c r="AF231" i="9"/>
  <c r="AF185" i="9"/>
  <c r="AF161" i="9"/>
  <c r="AF165" i="9"/>
  <c r="AF120" i="9"/>
  <c r="AF157" i="9"/>
  <c r="AF146" i="9"/>
  <c r="AC436" i="9"/>
  <c r="AJ220" i="9"/>
  <c r="AL220" i="9" s="1"/>
  <c r="AM220" i="9" s="1"/>
  <c r="AE436" i="9"/>
  <c r="AD320" i="9"/>
  <c r="AD378" i="9"/>
  <c r="AI411" i="9"/>
  <c r="AI320" i="9"/>
  <c r="AI403" i="9"/>
  <c r="AG320" i="9"/>
  <c r="AB320" i="9"/>
  <c r="AC435" i="9" s="1"/>
  <c r="AD370" i="9"/>
  <c r="AA348" i="9"/>
  <c r="AC440" i="9" s="1"/>
  <c r="C6" i="17" s="1"/>
  <c r="AI407" i="9"/>
  <c r="AM301" i="9"/>
  <c r="X6" i="9"/>
  <c r="AH6" i="9"/>
  <c r="Y6" i="9"/>
  <c r="Z6" i="9" s="1"/>
  <c r="Y13" i="9"/>
  <c r="Z13" i="9" s="1"/>
  <c r="AH13" i="9"/>
  <c r="X13" i="9"/>
  <c r="Y8" i="9"/>
  <c r="Z8" i="9" s="1"/>
  <c r="AH8" i="9"/>
  <c r="X8" i="9"/>
  <c r="Y12" i="9"/>
  <c r="Z12" i="9" s="1"/>
  <c r="AH12" i="9"/>
  <c r="X12" i="9"/>
  <c r="Y15" i="9"/>
  <c r="Z15" i="9" s="1"/>
  <c r="AH15" i="9"/>
  <c r="X15" i="9"/>
  <c r="Y19" i="9"/>
  <c r="Z19" i="9" s="1"/>
  <c r="X19" i="9"/>
  <c r="AH19" i="9"/>
  <c r="Y23" i="9"/>
  <c r="Z23" i="9" s="1"/>
  <c r="X23" i="9"/>
  <c r="AH23" i="9"/>
  <c r="Y27" i="9"/>
  <c r="Z27" i="9" s="1"/>
  <c r="X27" i="9"/>
  <c r="AH27" i="9"/>
  <c r="Y33" i="9"/>
  <c r="Z33" i="9" s="1"/>
  <c r="X33" i="9"/>
  <c r="AH33" i="9"/>
  <c r="Y37" i="9"/>
  <c r="Z37" i="9" s="1"/>
  <c r="AH37" i="9"/>
  <c r="X37" i="9"/>
  <c r="Y39" i="9"/>
  <c r="Z39" i="9" s="1"/>
  <c r="AH39" i="9"/>
  <c r="X39" i="9"/>
  <c r="Y16" i="9"/>
  <c r="Z16" i="9" s="1"/>
  <c r="X16" i="9"/>
  <c r="AH16" i="9"/>
  <c r="Y20" i="9"/>
  <c r="Z20" i="9" s="1"/>
  <c r="X20" i="9"/>
  <c r="AH20" i="9"/>
  <c r="Y24" i="9"/>
  <c r="Z24" i="9" s="1"/>
  <c r="X24" i="9"/>
  <c r="AH24" i="9"/>
  <c r="Y28" i="9"/>
  <c r="Z28" i="9" s="1"/>
  <c r="X28" i="9"/>
  <c r="AH28" i="9"/>
  <c r="Y31" i="9"/>
  <c r="Z31" i="9" s="1"/>
  <c r="AH31" i="9"/>
  <c r="X31" i="9"/>
  <c r="Y34" i="9"/>
  <c r="Z34" i="9" s="1"/>
  <c r="X34" i="9"/>
  <c r="AH34" i="9"/>
  <c r="Y42" i="9"/>
  <c r="Z42" i="9" s="1"/>
  <c r="AH42" i="9"/>
  <c r="X42" i="9"/>
  <c r="Y44" i="9"/>
  <c r="Z44" i="9" s="1"/>
  <c r="AH44" i="9"/>
  <c r="X44" i="9"/>
  <c r="Y46" i="9"/>
  <c r="Z46" i="9" s="1"/>
  <c r="AH46" i="9"/>
  <c r="X46" i="9"/>
  <c r="Y48" i="9"/>
  <c r="Z48" i="9" s="1"/>
  <c r="AH48" i="9"/>
  <c r="X48" i="9"/>
  <c r="Y52" i="9"/>
  <c r="Z52" i="9" s="1"/>
  <c r="AH52" i="9"/>
  <c r="X52" i="9"/>
  <c r="Y54" i="9"/>
  <c r="Z54" i="9" s="1"/>
  <c r="AH54" i="9"/>
  <c r="X54" i="9"/>
  <c r="Y56" i="9"/>
  <c r="Z56" i="9" s="1"/>
  <c r="AH56" i="9"/>
  <c r="X56" i="9"/>
  <c r="Y58" i="9"/>
  <c r="Z58" i="9" s="1"/>
  <c r="AH58" i="9"/>
  <c r="X58" i="9"/>
  <c r="Y60" i="9"/>
  <c r="Z60" i="9" s="1"/>
  <c r="AH60" i="9"/>
  <c r="X60" i="9"/>
  <c r="Y62" i="9"/>
  <c r="Z62" i="9" s="1"/>
  <c r="AH62" i="9"/>
  <c r="X62" i="9"/>
  <c r="Y64" i="9"/>
  <c r="Z64" i="9" s="1"/>
  <c r="AH64" i="9"/>
  <c r="X64" i="9"/>
  <c r="Y66" i="9"/>
  <c r="Z66" i="9" s="1"/>
  <c r="AH66" i="9"/>
  <c r="X66" i="9"/>
  <c r="Y68" i="9"/>
  <c r="Z68" i="9" s="1"/>
  <c r="AH68" i="9"/>
  <c r="X68" i="9"/>
  <c r="Y72" i="9"/>
  <c r="Z72" i="9" s="1"/>
  <c r="AH72" i="9"/>
  <c r="X72" i="9"/>
  <c r="Y74" i="9"/>
  <c r="Z74" i="9" s="1"/>
  <c r="AH74" i="9"/>
  <c r="X74" i="9"/>
  <c r="Y76" i="9"/>
  <c r="Z76" i="9" s="1"/>
  <c r="AH76" i="9"/>
  <c r="X76" i="9"/>
  <c r="Y78" i="9"/>
  <c r="Z78" i="9" s="1"/>
  <c r="AH78" i="9"/>
  <c r="X78" i="9"/>
  <c r="Y80" i="9"/>
  <c r="Z80" i="9" s="1"/>
  <c r="AH80" i="9"/>
  <c r="X80" i="9"/>
  <c r="Y82" i="9"/>
  <c r="Z82" i="9" s="1"/>
  <c r="AH82" i="9"/>
  <c r="X82" i="9"/>
  <c r="Y84" i="9"/>
  <c r="Z84" i="9" s="1"/>
  <c r="AH84" i="9"/>
  <c r="X84" i="9"/>
  <c r="Y86" i="9"/>
  <c r="Z86" i="9" s="1"/>
  <c r="AH86" i="9"/>
  <c r="X86" i="9"/>
  <c r="Y88" i="9"/>
  <c r="Z88" i="9" s="1"/>
  <c r="AH88" i="9"/>
  <c r="X88" i="9"/>
  <c r="Y90" i="9"/>
  <c r="Z90" i="9" s="1"/>
  <c r="AH90" i="9"/>
  <c r="X90" i="9"/>
  <c r="Y92" i="9"/>
  <c r="Z92" i="9" s="1"/>
  <c r="AH92" i="9"/>
  <c r="X92" i="9"/>
  <c r="Y94" i="9"/>
  <c r="Z94" i="9" s="1"/>
  <c r="AH94" i="9"/>
  <c r="X94" i="9"/>
  <c r="Y96" i="9"/>
  <c r="Z96" i="9" s="1"/>
  <c r="AH96" i="9"/>
  <c r="X96" i="9"/>
  <c r="Y98" i="9"/>
  <c r="Z98" i="9" s="1"/>
  <c r="AH98" i="9"/>
  <c r="X98" i="9"/>
  <c r="Y100" i="9"/>
  <c r="Z100" i="9" s="1"/>
  <c r="AH100" i="9"/>
  <c r="X100" i="9"/>
  <c r="Y102" i="9"/>
  <c r="Z102" i="9" s="1"/>
  <c r="AH102" i="9"/>
  <c r="X102" i="9"/>
  <c r="Y104" i="9"/>
  <c r="Z104" i="9" s="1"/>
  <c r="AH104" i="9"/>
  <c r="X104" i="9"/>
  <c r="Y108" i="9"/>
  <c r="Z108" i="9" s="1"/>
  <c r="AH108" i="9"/>
  <c r="X108" i="9"/>
  <c r="Y110" i="9"/>
  <c r="Z110" i="9" s="1"/>
  <c r="AH110" i="9"/>
  <c r="X110" i="9"/>
  <c r="X112" i="9"/>
  <c r="AH112" i="9"/>
  <c r="Y112" i="9"/>
  <c r="Z112" i="9" s="1"/>
  <c r="AH116" i="9"/>
  <c r="Y116" i="9"/>
  <c r="Z116" i="9" s="1"/>
  <c r="X116" i="9"/>
  <c r="AH121" i="9"/>
  <c r="Y121" i="9"/>
  <c r="Z121" i="9" s="1"/>
  <c r="X121" i="9"/>
  <c r="Y126" i="9"/>
  <c r="Z126" i="9" s="1"/>
  <c r="AH126" i="9"/>
  <c r="X126" i="9"/>
  <c r="Y142" i="9"/>
  <c r="Z142" i="9" s="1"/>
  <c r="AH142" i="9"/>
  <c r="X142" i="9"/>
  <c r="Y168" i="9"/>
  <c r="Z168" i="9" s="1"/>
  <c r="AH168" i="9"/>
  <c r="X168" i="9"/>
  <c r="Y113" i="9"/>
  <c r="Z113" i="9" s="1"/>
  <c r="AH113" i="9"/>
  <c r="X113" i="9"/>
  <c r="AH131" i="9"/>
  <c r="Y131" i="9"/>
  <c r="Z131" i="9" s="1"/>
  <c r="X131" i="9"/>
  <c r="Y140" i="9"/>
  <c r="Z140" i="9" s="1"/>
  <c r="AH140" i="9"/>
  <c r="X140" i="9"/>
  <c r="AH157" i="9"/>
  <c r="Y157" i="9"/>
  <c r="Z157" i="9" s="1"/>
  <c r="X157" i="9"/>
  <c r="Y172" i="9"/>
  <c r="Z172" i="9" s="1"/>
  <c r="AH172" i="9"/>
  <c r="X172" i="9"/>
  <c r="Y206" i="9"/>
  <c r="Z206" i="9" s="1"/>
  <c r="AH206" i="9"/>
  <c r="X206" i="9"/>
  <c r="Y210" i="9"/>
  <c r="Z210" i="9" s="1"/>
  <c r="AH210" i="9"/>
  <c r="X210" i="9"/>
  <c r="Y219" i="9"/>
  <c r="Z219" i="9" s="1"/>
  <c r="AH219" i="9"/>
  <c r="X219" i="9"/>
  <c r="Y227" i="9"/>
  <c r="Z227" i="9" s="1"/>
  <c r="X227" i="9"/>
  <c r="AH227" i="9"/>
  <c r="Y235" i="9"/>
  <c r="Z235" i="9" s="1"/>
  <c r="X235" i="9"/>
  <c r="AH235" i="9"/>
  <c r="Y243" i="9"/>
  <c r="Z243" i="9" s="1"/>
  <c r="X243" i="9"/>
  <c r="AH243" i="9"/>
  <c r="Y251" i="9"/>
  <c r="Z251" i="9" s="1"/>
  <c r="X251" i="9"/>
  <c r="AH251" i="9"/>
  <c r="Y292" i="9"/>
  <c r="Z292" i="9" s="1"/>
  <c r="X292" i="9"/>
  <c r="AH292" i="9"/>
  <c r="Y138" i="9"/>
  <c r="Z138" i="9" s="1"/>
  <c r="AH138" i="9"/>
  <c r="X138" i="9"/>
  <c r="Y150" i="9"/>
  <c r="Z150" i="9" s="1"/>
  <c r="AH150" i="9"/>
  <c r="X150" i="9"/>
  <c r="Y162" i="9"/>
  <c r="Z162" i="9" s="1"/>
  <c r="AH162" i="9"/>
  <c r="X162" i="9"/>
  <c r="AH165" i="9"/>
  <c r="Y165" i="9"/>
  <c r="Z165" i="9" s="1"/>
  <c r="X165" i="9"/>
  <c r="AH171" i="9"/>
  <c r="Y171" i="9"/>
  <c r="Z171" i="9" s="1"/>
  <c r="X171" i="9"/>
  <c r="X187" i="9"/>
  <c r="AH187" i="9"/>
  <c r="Y187" i="9"/>
  <c r="Z187" i="9" s="1"/>
  <c r="Y196" i="9"/>
  <c r="Z196" i="9" s="1"/>
  <c r="AH196" i="9"/>
  <c r="X196" i="9"/>
  <c r="Y200" i="9"/>
  <c r="Z200" i="9" s="1"/>
  <c r="AH200" i="9"/>
  <c r="X200" i="9"/>
  <c r="Y216" i="9"/>
  <c r="Z216" i="9" s="1"/>
  <c r="X216" i="9"/>
  <c r="AH216" i="9"/>
  <c r="Y225" i="9"/>
  <c r="Z225" i="9" s="1"/>
  <c r="X225" i="9"/>
  <c r="AH225" i="9"/>
  <c r="Y233" i="9"/>
  <c r="Z233" i="9" s="1"/>
  <c r="X233" i="9"/>
  <c r="AH233" i="9"/>
  <c r="Y241" i="9"/>
  <c r="Z241" i="9" s="1"/>
  <c r="X241" i="9"/>
  <c r="AH241" i="9"/>
  <c r="Y249" i="9"/>
  <c r="Z249" i="9" s="1"/>
  <c r="X249" i="9"/>
  <c r="AH249" i="9"/>
  <c r="Y288" i="9"/>
  <c r="Z288" i="9" s="1"/>
  <c r="X288" i="9"/>
  <c r="AH288" i="9"/>
  <c r="Y41" i="9"/>
  <c r="Z41" i="9" s="1"/>
  <c r="AH41" i="9"/>
  <c r="Y50" i="9"/>
  <c r="Z50" i="9" s="1"/>
  <c r="X50" i="9"/>
  <c r="AH50" i="9"/>
  <c r="Y70" i="9"/>
  <c r="Z70" i="9" s="1"/>
  <c r="X70" i="9"/>
  <c r="AH70" i="9"/>
  <c r="Y106" i="9"/>
  <c r="Z106" i="9" s="1"/>
  <c r="AH106" i="9"/>
  <c r="X106" i="9"/>
  <c r="Y117" i="9"/>
  <c r="Z117" i="9" s="1"/>
  <c r="AH117" i="9"/>
  <c r="X117" i="9"/>
  <c r="AH120" i="9"/>
  <c r="Y120" i="9"/>
  <c r="Z120" i="9" s="1"/>
  <c r="X120" i="9"/>
  <c r="AH125" i="9"/>
  <c r="Y125" i="9"/>
  <c r="Z125" i="9" s="1"/>
  <c r="X125" i="9"/>
  <c r="Y128" i="9"/>
  <c r="Z128" i="9" s="1"/>
  <c r="AH128" i="9"/>
  <c r="X128" i="9"/>
  <c r="Y130" i="9"/>
  <c r="Z130" i="9" s="1"/>
  <c r="AH130" i="9"/>
  <c r="X130" i="9"/>
  <c r="AH133" i="9"/>
  <c r="Y133" i="9"/>
  <c r="Z133" i="9" s="1"/>
  <c r="X133" i="9"/>
  <c r="AH139" i="9"/>
  <c r="Y139" i="9"/>
  <c r="Z139" i="9" s="1"/>
  <c r="X139" i="9"/>
  <c r="AH143" i="9"/>
  <c r="Y143" i="9"/>
  <c r="Z143" i="9" s="1"/>
  <c r="X143" i="9"/>
  <c r="AH145" i="9"/>
  <c r="Y145" i="9"/>
  <c r="Z145" i="9" s="1"/>
  <c r="X145" i="9"/>
  <c r="Y148" i="9"/>
  <c r="Z148" i="9" s="1"/>
  <c r="AH148" i="9"/>
  <c r="X148" i="9"/>
  <c r="AH151" i="9"/>
  <c r="Y151" i="9"/>
  <c r="Z151" i="9" s="1"/>
  <c r="X151" i="9"/>
  <c r="X153" i="9"/>
  <c r="AH153" i="9"/>
  <c r="Y153" i="9"/>
  <c r="Z153" i="9" s="1"/>
  <c r="Y156" i="9"/>
  <c r="Z156" i="9" s="1"/>
  <c r="AH156" i="9"/>
  <c r="X156" i="9"/>
  <c r="Y164" i="9"/>
  <c r="Z164" i="9" s="1"/>
  <c r="AH164" i="9"/>
  <c r="X164" i="9"/>
  <c r="AH167" i="9"/>
  <c r="Y167" i="9"/>
  <c r="Z167" i="9" s="1"/>
  <c r="X167" i="9"/>
  <c r="X175" i="9"/>
  <c r="Y175" i="9"/>
  <c r="Z175" i="9" s="1"/>
  <c r="AH175" i="9"/>
  <c r="AH179" i="9"/>
  <c r="Y179" i="9"/>
  <c r="Z179" i="9" s="1"/>
  <c r="X179" i="9"/>
  <c r="Y192" i="9"/>
  <c r="Z192" i="9" s="1"/>
  <c r="AH192" i="9"/>
  <c r="X192" i="9"/>
  <c r="Y197" i="9"/>
  <c r="Z197" i="9" s="1"/>
  <c r="AH197" i="9"/>
  <c r="X197" i="9"/>
  <c r="Y201" i="9"/>
  <c r="Z201" i="9" s="1"/>
  <c r="AH201" i="9"/>
  <c r="X201" i="9"/>
  <c r="Y207" i="9"/>
  <c r="Z207" i="9" s="1"/>
  <c r="AH207" i="9"/>
  <c r="X207" i="9"/>
  <c r="Y211" i="9"/>
  <c r="Z211" i="9" s="1"/>
  <c r="AH211" i="9"/>
  <c r="X211" i="9"/>
  <c r="Y220" i="9"/>
  <c r="Z220" i="9" s="1"/>
  <c r="X220" i="9"/>
  <c r="AH220" i="9"/>
  <c r="Y226" i="9"/>
  <c r="Z226" i="9" s="1"/>
  <c r="X226" i="9"/>
  <c r="AH226" i="9"/>
  <c r="Y230" i="9"/>
  <c r="Z230" i="9" s="1"/>
  <c r="X230" i="9"/>
  <c r="AH230" i="9"/>
  <c r="Y234" i="9"/>
  <c r="Z234" i="9" s="1"/>
  <c r="X234" i="9"/>
  <c r="AH234" i="9"/>
  <c r="Y238" i="9"/>
  <c r="Z238" i="9" s="1"/>
  <c r="X238" i="9"/>
  <c r="AH238" i="9"/>
  <c r="Y242" i="9"/>
  <c r="Z242" i="9" s="1"/>
  <c r="X242" i="9"/>
  <c r="AH242" i="9"/>
  <c r="Y246" i="9"/>
  <c r="Z246" i="9" s="1"/>
  <c r="X246" i="9"/>
  <c r="AH246" i="9"/>
  <c r="Y250" i="9"/>
  <c r="Z250" i="9" s="1"/>
  <c r="X250" i="9"/>
  <c r="AH250" i="9"/>
  <c r="Y254" i="9"/>
  <c r="Z254" i="9" s="1"/>
  <c r="AH254" i="9"/>
  <c r="X254" i="9"/>
  <c r="Y256" i="9"/>
  <c r="Z256" i="9" s="1"/>
  <c r="AH256" i="9"/>
  <c r="X256" i="9"/>
  <c r="Y258" i="9"/>
  <c r="Z258" i="9" s="1"/>
  <c r="AH258" i="9"/>
  <c r="X258" i="9"/>
  <c r="Y282" i="9"/>
  <c r="Z282" i="9" s="1"/>
  <c r="X282" i="9"/>
  <c r="AH282" i="9"/>
  <c r="Y290" i="9"/>
  <c r="Z290" i="9" s="1"/>
  <c r="X290" i="9"/>
  <c r="AH290" i="9"/>
  <c r="Y306" i="9"/>
  <c r="Z306" i="9" s="1"/>
  <c r="X306" i="9"/>
  <c r="AH306" i="9"/>
  <c r="Y178" i="9"/>
  <c r="Z178" i="9" s="1"/>
  <c r="AH178" i="9"/>
  <c r="X178" i="9"/>
  <c r="X181" i="9"/>
  <c r="AH181" i="9"/>
  <c r="Y181" i="9"/>
  <c r="Z181" i="9" s="1"/>
  <c r="Y184" i="9"/>
  <c r="Z184" i="9" s="1"/>
  <c r="AH184" i="9"/>
  <c r="X184" i="9"/>
  <c r="Y186" i="9"/>
  <c r="Z186" i="9" s="1"/>
  <c r="AH186" i="9"/>
  <c r="X186" i="9"/>
  <c r="X189" i="9"/>
  <c r="AH189" i="9"/>
  <c r="Y189" i="9"/>
  <c r="Z189" i="9" s="1"/>
  <c r="AH195" i="9"/>
  <c r="Y195" i="9"/>
  <c r="Z195" i="9" s="1"/>
  <c r="X195" i="9"/>
  <c r="Y205" i="9"/>
  <c r="Z205" i="9" s="1"/>
  <c r="AH205" i="9"/>
  <c r="X205" i="9"/>
  <c r="Y214" i="9"/>
  <c r="Z214" i="9" s="1"/>
  <c r="AH214" i="9"/>
  <c r="X214" i="9"/>
  <c r="Y218" i="9"/>
  <c r="Z218" i="9" s="1"/>
  <c r="AH218" i="9"/>
  <c r="X218" i="9"/>
  <c r="Y281" i="9"/>
  <c r="Z281" i="9" s="1"/>
  <c r="X281" i="9"/>
  <c r="AH281" i="9"/>
  <c r="Y285" i="9"/>
  <c r="Z285" i="9" s="1"/>
  <c r="X285" i="9"/>
  <c r="AH285" i="9"/>
  <c r="Y289" i="9"/>
  <c r="Z289" i="9" s="1"/>
  <c r="X289" i="9"/>
  <c r="AH289" i="9"/>
  <c r="Y304" i="9"/>
  <c r="Z304" i="9" s="1"/>
  <c r="X304" i="9"/>
  <c r="AH304" i="9"/>
  <c r="Y260" i="9"/>
  <c r="Z260" i="9" s="1"/>
  <c r="X260" i="9"/>
  <c r="AH260" i="9"/>
  <c r="Y262" i="9"/>
  <c r="Z262" i="9" s="1"/>
  <c r="X262" i="9"/>
  <c r="AH262" i="9"/>
  <c r="Y264" i="9"/>
  <c r="Z264" i="9" s="1"/>
  <c r="X264" i="9"/>
  <c r="AH264" i="9"/>
  <c r="Y266" i="9"/>
  <c r="Z266" i="9" s="1"/>
  <c r="X266" i="9"/>
  <c r="AH266" i="9"/>
  <c r="Y268" i="9"/>
  <c r="Z268" i="9" s="1"/>
  <c r="X268" i="9"/>
  <c r="AH268" i="9"/>
  <c r="Y270" i="9"/>
  <c r="Z270" i="9" s="1"/>
  <c r="X270" i="9"/>
  <c r="AH270" i="9"/>
  <c r="Y272" i="9"/>
  <c r="Z272" i="9" s="1"/>
  <c r="X272" i="9"/>
  <c r="AH272" i="9"/>
  <c r="X274" i="9"/>
  <c r="AH274" i="9"/>
  <c r="Y274" i="9"/>
  <c r="Z274" i="9" s="1"/>
  <c r="Y276" i="9"/>
  <c r="Z276" i="9" s="1"/>
  <c r="AH276" i="9"/>
  <c r="X276" i="9"/>
  <c r="Y278" i="9"/>
  <c r="Z278" i="9" s="1"/>
  <c r="AH278" i="9"/>
  <c r="X278" i="9"/>
  <c r="Y280" i="9"/>
  <c r="Z280" i="9" s="1"/>
  <c r="AH280" i="9"/>
  <c r="X280" i="9"/>
  <c r="Y310" i="9"/>
  <c r="Z310" i="9" s="1"/>
  <c r="AH310" i="9"/>
  <c r="Y312" i="9"/>
  <c r="Z312" i="9" s="1"/>
  <c r="AH312" i="9"/>
  <c r="Y314" i="9"/>
  <c r="Z314" i="9" s="1"/>
  <c r="AH314" i="9"/>
  <c r="Y316" i="9"/>
  <c r="Z316" i="9" s="1"/>
  <c r="AH316" i="9"/>
  <c r="X316" i="9"/>
  <c r="Y318" i="9"/>
  <c r="Z318" i="9" s="1"/>
  <c r="AH318" i="9"/>
  <c r="X318" i="9"/>
  <c r="Y293" i="9"/>
  <c r="Z293" i="9" s="1"/>
  <c r="X293" i="9"/>
  <c r="AH293" i="9"/>
  <c r="Y295" i="9"/>
  <c r="Z295" i="9" s="1"/>
  <c r="X295" i="9"/>
  <c r="AH295" i="9"/>
  <c r="Y297" i="9"/>
  <c r="Z297" i="9" s="1"/>
  <c r="AH297" i="9"/>
  <c r="X297" i="9"/>
  <c r="Y299" i="9"/>
  <c r="Z299" i="9" s="1"/>
  <c r="X299" i="9"/>
  <c r="AH299" i="9"/>
  <c r="Y301" i="9"/>
  <c r="Z301" i="9" s="1"/>
  <c r="X301" i="9"/>
  <c r="AH301" i="9"/>
  <c r="Y305" i="9"/>
  <c r="Z305" i="9" s="1"/>
  <c r="X305" i="9"/>
  <c r="AH305" i="9"/>
  <c r="AM168" i="9"/>
  <c r="AM332" i="9" s="1"/>
  <c r="AD382" i="9"/>
  <c r="AL328" i="9"/>
  <c r="AF9" i="9"/>
  <c r="AE320" i="9"/>
  <c r="AD374" i="9"/>
  <c r="AC348" i="9"/>
  <c r="AC442" i="9" s="1"/>
  <c r="C9" i="17" s="1"/>
  <c r="W320" i="9"/>
  <c r="Y5" i="9"/>
  <c r="AH5" i="9"/>
  <c r="X5" i="9"/>
  <c r="Y11" i="9"/>
  <c r="Z11" i="9" s="1"/>
  <c r="AH11" i="9"/>
  <c r="X11" i="9"/>
  <c r="Y7" i="9"/>
  <c r="Z7" i="9" s="1"/>
  <c r="AH7" i="9"/>
  <c r="X7" i="9"/>
  <c r="Y10" i="9"/>
  <c r="Z10" i="9" s="1"/>
  <c r="X10" i="9"/>
  <c r="AH10" i="9"/>
  <c r="Y14" i="9"/>
  <c r="Z14" i="9" s="1"/>
  <c r="X14" i="9"/>
  <c r="AH14" i="9"/>
  <c r="Y17" i="9"/>
  <c r="Z17" i="9" s="1"/>
  <c r="X17" i="9"/>
  <c r="AH17" i="9"/>
  <c r="Y21" i="9"/>
  <c r="Z21" i="9" s="1"/>
  <c r="X21" i="9"/>
  <c r="AH21" i="9"/>
  <c r="Y25" i="9"/>
  <c r="Z25" i="9" s="1"/>
  <c r="X25" i="9"/>
  <c r="AH25" i="9"/>
  <c r="Y29" i="9"/>
  <c r="Z29" i="9" s="1"/>
  <c r="X29" i="9"/>
  <c r="AH29" i="9"/>
  <c r="Y35" i="9"/>
  <c r="Z35" i="9" s="1"/>
  <c r="X35" i="9"/>
  <c r="AH35" i="9"/>
  <c r="Y38" i="9"/>
  <c r="Z38" i="9" s="1"/>
  <c r="AH38" i="9"/>
  <c r="X38" i="9"/>
  <c r="Y9" i="9"/>
  <c r="Z9" i="9" s="1"/>
  <c r="AH9" i="9"/>
  <c r="X9" i="9"/>
  <c r="Y18" i="9"/>
  <c r="Z18" i="9" s="1"/>
  <c r="X18" i="9"/>
  <c r="AH18" i="9"/>
  <c r="Y22" i="9"/>
  <c r="Z22" i="9" s="1"/>
  <c r="X22" i="9"/>
  <c r="AH22" i="9"/>
  <c r="Y26" i="9"/>
  <c r="Z26" i="9" s="1"/>
  <c r="X26" i="9"/>
  <c r="AH26" i="9"/>
  <c r="Y30" i="9"/>
  <c r="Z30" i="9" s="1"/>
  <c r="X30" i="9"/>
  <c r="AH30" i="9"/>
  <c r="Y32" i="9"/>
  <c r="Z32" i="9" s="1"/>
  <c r="AH32" i="9"/>
  <c r="X32" i="9"/>
  <c r="Y36" i="9"/>
  <c r="Z36" i="9" s="1"/>
  <c r="X36" i="9"/>
  <c r="AH36" i="9"/>
  <c r="Y43" i="9"/>
  <c r="Z43" i="9" s="1"/>
  <c r="AH43" i="9"/>
  <c r="X43" i="9"/>
  <c r="Y45" i="9"/>
  <c r="Z45" i="9" s="1"/>
  <c r="AH45" i="9"/>
  <c r="X45" i="9"/>
  <c r="Y47" i="9"/>
  <c r="Z47" i="9" s="1"/>
  <c r="AH47" i="9"/>
  <c r="X47" i="9"/>
  <c r="Y51" i="9"/>
  <c r="Z51" i="9" s="1"/>
  <c r="AH51" i="9"/>
  <c r="X51" i="9"/>
  <c r="Y53" i="9"/>
  <c r="Z53" i="9" s="1"/>
  <c r="AH53" i="9"/>
  <c r="X53" i="9"/>
  <c r="Y55" i="9"/>
  <c r="Z55" i="9" s="1"/>
  <c r="AH55" i="9"/>
  <c r="X55" i="9"/>
  <c r="Y57" i="9"/>
  <c r="Z57" i="9" s="1"/>
  <c r="AH57" i="9"/>
  <c r="X57" i="9"/>
  <c r="Y59" i="9"/>
  <c r="Z59" i="9" s="1"/>
  <c r="AH59" i="9"/>
  <c r="X59" i="9"/>
  <c r="Y61" i="9"/>
  <c r="Z61" i="9" s="1"/>
  <c r="AH61" i="9"/>
  <c r="X61" i="9"/>
  <c r="Y63" i="9"/>
  <c r="Z63" i="9" s="1"/>
  <c r="AH63" i="9"/>
  <c r="X63" i="9"/>
  <c r="Y65" i="9"/>
  <c r="Z65" i="9" s="1"/>
  <c r="AH65" i="9"/>
  <c r="X65" i="9"/>
  <c r="Y67" i="9"/>
  <c r="Z67" i="9" s="1"/>
  <c r="AH67" i="9"/>
  <c r="X67" i="9"/>
  <c r="Y71" i="9"/>
  <c r="Z71" i="9" s="1"/>
  <c r="AH71" i="9"/>
  <c r="X71" i="9"/>
  <c r="Y73" i="9"/>
  <c r="Z73" i="9" s="1"/>
  <c r="AH73" i="9"/>
  <c r="X73" i="9"/>
  <c r="Y75" i="9"/>
  <c r="Z75" i="9" s="1"/>
  <c r="AH75" i="9"/>
  <c r="X75" i="9"/>
  <c r="Y77" i="9"/>
  <c r="Z77" i="9" s="1"/>
  <c r="AH77" i="9"/>
  <c r="X77" i="9"/>
  <c r="Y79" i="9"/>
  <c r="Z79" i="9" s="1"/>
  <c r="AH79" i="9"/>
  <c r="X79" i="9"/>
  <c r="Y81" i="9"/>
  <c r="Z81" i="9" s="1"/>
  <c r="AH81" i="9"/>
  <c r="X81" i="9"/>
  <c r="Y83" i="9"/>
  <c r="Z83" i="9" s="1"/>
  <c r="AH83" i="9"/>
  <c r="X83" i="9"/>
  <c r="Y85" i="9"/>
  <c r="Z85" i="9" s="1"/>
  <c r="AH85" i="9"/>
  <c r="X85" i="9"/>
  <c r="Y87" i="9"/>
  <c r="Z87" i="9" s="1"/>
  <c r="AH87" i="9"/>
  <c r="X87" i="9"/>
  <c r="Y89" i="9"/>
  <c r="Z89" i="9" s="1"/>
  <c r="AH89" i="9"/>
  <c r="X89" i="9"/>
  <c r="Y91" i="9"/>
  <c r="Z91" i="9" s="1"/>
  <c r="AH91" i="9"/>
  <c r="X91" i="9"/>
  <c r="Y93" i="9"/>
  <c r="Z93" i="9" s="1"/>
  <c r="AH93" i="9"/>
  <c r="X93" i="9"/>
  <c r="Y95" i="9"/>
  <c r="Z95" i="9" s="1"/>
  <c r="AH95" i="9"/>
  <c r="X95" i="9"/>
  <c r="Y97" i="9"/>
  <c r="Z97" i="9" s="1"/>
  <c r="AH97" i="9"/>
  <c r="X97" i="9"/>
  <c r="Y99" i="9"/>
  <c r="Z99" i="9" s="1"/>
  <c r="AH99" i="9"/>
  <c r="X99" i="9"/>
  <c r="Y101" i="9"/>
  <c r="Z101" i="9" s="1"/>
  <c r="AH101" i="9"/>
  <c r="X101" i="9"/>
  <c r="Y103" i="9"/>
  <c r="Z103" i="9" s="1"/>
  <c r="AH103" i="9"/>
  <c r="X103" i="9"/>
  <c r="Y107" i="9"/>
  <c r="Z107" i="9" s="1"/>
  <c r="AH107" i="9"/>
  <c r="X107" i="9"/>
  <c r="Y109" i="9"/>
  <c r="Z109" i="9" s="1"/>
  <c r="AH109" i="9"/>
  <c r="X109" i="9"/>
  <c r="Y111" i="9"/>
  <c r="Z111" i="9" s="1"/>
  <c r="AH111" i="9"/>
  <c r="X111" i="9"/>
  <c r="AH114" i="9"/>
  <c r="Y114" i="9"/>
  <c r="Z114" i="9" s="1"/>
  <c r="X114" i="9"/>
  <c r="Y119" i="9"/>
  <c r="Z119" i="9" s="1"/>
  <c r="AH119" i="9"/>
  <c r="X119" i="9"/>
  <c r="Y124" i="9"/>
  <c r="Z124" i="9" s="1"/>
  <c r="AH124" i="9"/>
  <c r="X124" i="9"/>
  <c r="X137" i="9"/>
  <c r="AH137" i="9"/>
  <c r="Y137" i="9"/>
  <c r="Z137" i="9" s="1"/>
  <c r="X159" i="9"/>
  <c r="AH159" i="9"/>
  <c r="Y159" i="9"/>
  <c r="Z159" i="9" s="1"/>
  <c r="Y170" i="9"/>
  <c r="Z170" i="9" s="1"/>
  <c r="AH170" i="9"/>
  <c r="X170" i="9"/>
  <c r="Y122" i="9"/>
  <c r="Z122" i="9" s="1"/>
  <c r="AH122" i="9"/>
  <c r="X122" i="9"/>
  <c r="X135" i="9"/>
  <c r="AH135" i="9"/>
  <c r="Y135" i="9"/>
  <c r="Z135" i="9" s="1"/>
  <c r="X155" i="9"/>
  <c r="AH155" i="9"/>
  <c r="Y155" i="9"/>
  <c r="Z155" i="9" s="1"/>
  <c r="AH161" i="9"/>
  <c r="Y161" i="9"/>
  <c r="Z161" i="9" s="1"/>
  <c r="X161" i="9"/>
  <c r="X193" i="9"/>
  <c r="AH193" i="9"/>
  <c r="Y193" i="9"/>
  <c r="Z193" i="9" s="1"/>
  <c r="Y208" i="9"/>
  <c r="Z208" i="9" s="1"/>
  <c r="AH208" i="9"/>
  <c r="X208" i="9"/>
  <c r="X212" i="9"/>
  <c r="AH212" i="9"/>
  <c r="Y212" i="9"/>
  <c r="Z212" i="9" s="1"/>
  <c r="Y223" i="9"/>
  <c r="Z223" i="9" s="1"/>
  <c r="X223" i="9"/>
  <c r="AH223" i="9"/>
  <c r="Y231" i="9"/>
  <c r="Z231" i="9" s="1"/>
  <c r="X231" i="9"/>
  <c r="AH231" i="9"/>
  <c r="Y239" i="9"/>
  <c r="Z239" i="9" s="1"/>
  <c r="X239" i="9"/>
  <c r="AH239" i="9"/>
  <c r="Y247" i="9"/>
  <c r="Z247" i="9" s="1"/>
  <c r="X247" i="9"/>
  <c r="AH247" i="9"/>
  <c r="Y284" i="9"/>
  <c r="Z284" i="9" s="1"/>
  <c r="X284" i="9"/>
  <c r="AH284" i="9"/>
  <c r="Y136" i="9"/>
  <c r="Z136" i="9" s="1"/>
  <c r="AH136" i="9"/>
  <c r="X136" i="9"/>
  <c r="X147" i="9"/>
  <c r="AH147" i="9"/>
  <c r="Y147" i="9"/>
  <c r="Z147" i="9" s="1"/>
  <c r="Y160" i="9"/>
  <c r="Z160" i="9" s="1"/>
  <c r="AH160" i="9"/>
  <c r="X160" i="9"/>
  <c r="AH163" i="9"/>
  <c r="Y163" i="9"/>
  <c r="Z163" i="9" s="1"/>
  <c r="X163" i="9"/>
  <c r="X169" i="9"/>
  <c r="AH169" i="9"/>
  <c r="Y169" i="9"/>
  <c r="Z169" i="9" s="1"/>
  <c r="Y174" i="9"/>
  <c r="Z174" i="9" s="1"/>
  <c r="AH174" i="9"/>
  <c r="X174" i="9"/>
  <c r="AH191" i="9"/>
  <c r="Y191" i="9"/>
  <c r="Z191" i="9" s="1"/>
  <c r="X191" i="9"/>
  <c r="Y198" i="9"/>
  <c r="Z198" i="9" s="1"/>
  <c r="AH198" i="9"/>
  <c r="X198" i="9"/>
  <c r="Y202" i="9"/>
  <c r="Z202" i="9" s="1"/>
  <c r="AH202" i="9"/>
  <c r="X202" i="9"/>
  <c r="Y221" i="9"/>
  <c r="Z221" i="9" s="1"/>
  <c r="AH221" i="9"/>
  <c r="X221" i="9"/>
  <c r="Y229" i="9"/>
  <c r="Z229" i="9" s="1"/>
  <c r="X229" i="9"/>
  <c r="AH229" i="9"/>
  <c r="Y237" i="9"/>
  <c r="Z237" i="9" s="1"/>
  <c r="X237" i="9"/>
  <c r="AH237" i="9"/>
  <c r="Y245" i="9"/>
  <c r="Z245" i="9" s="1"/>
  <c r="X245" i="9"/>
  <c r="AH245" i="9"/>
  <c r="Y253" i="9"/>
  <c r="Z253" i="9" s="1"/>
  <c r="X253" i="9"/>
  <c r="AH253" i="9"/>
  <c r="Y40" i="9"/>
  <c r="Z40" i="9" s="1"/>
  <c r="X40" i="9"/>
  <c r="AH40" i="9"/>
  <c r="Y49" i="9"/>
  <c r="Z49" i="9" s="1"/>
  <c r="X49" i="9"/>
  <c r="AH49" i="9"/>
  <c r="Y69" i="9"/>
  <c r="Z69" i="9" s="1"/>
  <c r="X69" i="9"/>
  <c r="AH69" i="9"/>
  <c r="Y105" i="9"/>
  <c r="Z105" i="9" s="1"/>
  <c r="AH105" i="9"/>
  <c r="X105" i="9"/>
  <c r="Y115" i="9"/>
  <c r="Z115" i="9" s="1"/>
  <c r="AH115" i="9"/>
  <c r="X115" i="9"/>
  <c r="AH118" i="9"/>
  <c r="Y118" i="9"/>
  <c r="Z118" i="9" s="1"/>
  <c r="X118" i="9"/>
  <c r="AH123" i="9"/>
  <c r="Y123" i="9"/>
  <c r="Z123" i="9" s="1"/>
  <c r="X123" i="9"/>
  <c r="AH127" i="9"/>
  <c r="Y127" i="9"/>
  <c r="Z127" i="9" s="1"/>
  <c r="X127" i="9"/>
  <c r="AH129" i="9"/>
  <c r="Y129" i="9"/>
  <c r="Z129" i="9" s="1"/>
  <c r="X129" i="9"/>
  <c r="Y132" i="9"/>
  <c r="Z132" i="9" s="1"/>
  <c r="AH132" i="9"/>
  <c r="X132" i="9"/>
  <c r="Y134" i="9"/>
  <c r="Z134" i="9" s="1"/>
  <c r="AH134" i="9"/>
  <c r="X134" i="9"/>
  <c r="AH141" i="9"/>
  <c r="Y141" i="9"/>
  <c r="Z141" i="9" s="1"/>
  <c r="X141" i="9"/>
  <c r="Y144" i="9"/>
  <c r="Z144" i="9" s="1"/>
  <c r="AH144" i="9"/>
  <c r="X144" i="9"/>
  <c r="Y146" i="9"/>
  <c r="Z146" i="9" s="1"/>
  <c r="AH146" i="9"/>
  <c r="X146" i="9"/>
  <c r="AH149" i="9"/>
  <c r="Y149" i="9"/>
  <c r="Z149" i="9" s="1"/>
  <c r="X149" i="9"/>
  <c r="Y152" i="9"/>
  <c r="Z152" i="9" s="1"/>
  <c r="AH152" i="9"/>
  <c r="X152" i="9"/>
  <c r="Y154" i="9"/>
  <c r="Z154" i="9" s="1"/>
  <c r="AH154" i="9"/>
  <c r="X154" i="9"/>
  <c r="Y158" i="9"/>
  <c r="Z158" i="9" s="1"/>
  <c r="AH158" i="9"/>
  <c r="X158" i="9"/>
  <c r="Y166" i="9"/>
  <c r="Z166" i="9" s="1"/>
  <c r="AH166" i="9"/>
  <c r="X166" i="9"/>
  <c r="X173" i="9"/>
  <c r="AH173" i="9"/>
  <c r="Y173" i="9"/>
  <c r="Z173" i="9" s="1"/>
  <c r="Y176" i="9"/>
  <c r="Z176" i="9" s="1"/>
  <c r="AH176" i="9"/>
  <c r="X176" i="9"/>
  <c r="Y182" i="9"/>
  <c r="Z182" i="9" s="1"/>
  <c r="AH182" i="9"/>
  <c r="X182" i="9"/>
  <c r="Y194" i="9"/>
  <c r="Z194" i="9" s="1"/>
  <c r="AH194" i="9"/>
  <c r="X194" i="9"/>
  <c r="Y199" i="9"/>
  <c r="Z199" i="9" s="1"/>
  <c r="AH199" i="9"/>
  <c r="X199" i="9"/>
  <c r="Y203" i="9"/>
  <c r="Z203" i="9" s="1"/>
  <c r="AH203" i="9"/>
  <c r="X203" i="9"/>
  <c r="Y209" i="9"/>
  <c r="Z209" i="9" s="1"/>
  <c r="AH209" i="9"/>
  <c r="X209" i="9"/>
  <c r="Y215" i="9"/>
  <c r="Z215" i="9" s="1"/>
  <c r="AH215" i="9"/>
  <c r="X215" i="9"/>
  <c r="Y224" i="9"/>
  <c r="Z224" i="9" s="1"/>
  <c r="X224" i="9"/>
  <c r="AH224" i="9"/>
  <c r="Y228" i="9"/>
  <c r="Z228" i="9" s="1"/>
  <c r="X228" i="9"/>
  <c r="AH228" i="9"/>
  <c r="Y232" i="9"/>
  <c r="Z232" i="9" s="1"/>
  <c r="X232" i="9"/>
  <c r="AH232" i="9"/>
  <c r="Y236" i="9"/>
  <c r="Z236" i="9" s="1"/>
  <c r="X236" i="9"/>
  <c r="AH236" i="9"/>
  <c r="Y240" i="9"/>
  <c r="Z240" i="9" s="1"/>
  <c r="X240" i="9"/>
  <c r="AH240" i="9"/>
  <c r="Y244" i="9"/>
  <c r="Z244" i="9" s="1"/>
  <c r="X244" i="9"/>
  <c r="AH244" i="9"/>
  <c r="Y248" i="9"/>
  <c r="Z248" i="9" s="1"/>
  <c r="X248" i="9"/>
  <c r="AH248" i="9"/>
  <c r="Y252" i="9"/>
  <c r="Z252" i="9" s="1"/>
  <c r="X252" i="9"/>
  <c r="AH252" i="9"/>
  <c r="Y255" i="9"/>
  <c r="Z255" i="9" s="1"/>
  <c r="AH255" i="9"/>
  <c r="X255" i="9"/>
  <c r="Y257" i="9"/>
  <c r="Z257" i="9" s="1"/>
  <c r="AH257" i="9"/>
  <c r="X257" i="9"/>
  <c r="Y259" i="9"/>
  <c r="Z259" i="9" s="1"/>
  <c r="X259" i="9"/>
  <c r="AH259" i="9"/>
  <c r="Y286" i="9"/>
  <c r="Z286" i="9" s="1"/>
  <c r="X286" i="9"/>
  <c r="AH286" i="9"/>
  <c r="Y302" i="9"/>
  <c r="Z302" i="9" s="1"/>
  <c r="X302" i="9"/>
  <c r="AH302" i="9"/>
  <c r="X177" i="9"/>
  <c r="AH177" i="9"/>
  <c r="Y177" i="9"/>
  <c r="Z177" i="9" s="1"/>
  <c r="Y180" i="9"/>
  <c r="Z180" i="9" s="1"/>
  <c r="AH180" i="9"/>
  <c r="X180" i="9"/>
  <c r="X183" i="9"/>
  <c r="AH183" i="9"/>
  <c r="Y183" i="9"/>
  <c r="Z183" i="9" s="1"/>
  <c r="X185" i="9"/>
  <c r="AH185" i="9"/>
  <c r="Y185" i="9"/>
  <c r="Z185" i="9" s="1"/>
  <c r="Y188" i="9"/>
  <c r="Z188" i="9" s="1"/>
  <c r="AH188" i="9"/>
  <c r="X188" i="9"/>
  <c r="Y190" i="9"/>
  <c r="Z190" i="9" s="1"/>
  <c r="AH190" i="9"/>
  <c r="X190" i="9"/>
  <c r="Y204" i="9"/>
  <c r="Z204" i="9" s="1"/>
  <c r="AH204" i="9"/>
  <c r="X204" i="9"/>
  <c r="Y213" i="9"/>
  <c r="Z213" i="9" s="1"/>
  <c r="AH213" i="9"/>
  <c r="X213" i="9"/>
  <c r="Y217" i="9"/>
  <c r="Z217" i="9" s="1"/>
  <c r="AH217" i="9"/>
  <c r="X217" i="9"/>
  <c r="Y222" i="9"/>
  <c r="Z222" i="9" s="1"/>
  <c r="AH222" i="9"/>
  <c r="X222" i="9"/>
  <c r="Y283" i="9"/>
  <c r="Z283" i="9" s="1"/>
  <c r="X283" i="9"/>
  <c r="AH283" i="9"/>
  <c r="Y287" i="9"/>
  <c r="Z287" i="9" s="1"/>
  <c r="X287" i="9"/>
  <c r="AH287" i="9"/>
  <c r="Y291" i="9"/>
  <c r="Z291" i="9" s="1"/>
  <c r="X291" i="9"/>
  <c r="AH291" i="9"/>
  <c r="Y308" i="9"/>
  <c r="Z308" i="9" s="1"/>
  <c r="X308" i="9"/>
  <c r="AH308" i="9"/>
  <c r="Y261" i="9"/>
  <c r="Z261" i="9" s="1"/>
  <c r="X261" i="9"/>
  <c r="AH261" i="9"/>
  <c r="Y263" i="9"/>
  <c r="Z263" i="9" s="1"/>
  <c r="X263" i="9"/>
  <c r="AH263" i="9"/>
  <c r="Y265" i="9"/>
  <c r="Z265" i="9" s="1"/>
  <c r="X265" i="9"/>
  <c r="AH265" i="9"/>
  <c r="Y267" i="9"/>
  <c r="Z267" i="9" s="1"/>
  <c r="X267" i="9"/>
  <c r="AH267" i="9"/>
  <c r="Y269" i="9"/>
  <c r="Z269" i="9" s="1"/>
  <c r="X269" i="9"/>
  <c r="AH269" i="9"/>
  <c r="Y271" i="9"/>
  <c r="Z271" i="9" s="1"/>
  <c r="X271" i="9"/>
  <c r="AH271" i="9"/>
  <c r="Y273" i="9"/>
  <c r="Z273" i="9" s="1"/>
  <c r="X273" i="9"/>
  <c r="AH273" i="9"/>
  <c r="AH275" i="9"/>
  <c r="Y275" i="9"/>
  <c r="Z275" i="9" s="1"/>
  <c r="X275" i="9"/>
  <c r="AH277" i="9"/>
  <c r="Y277" i="9"/>
  <c r="Z277" i="9" s="1"/>
  <c r="X277" i="9"/>
  <c r="AH279" i="9"/>
  <c r="Y279" i="9"/>
  <c r="Z279" i="9" s="1"/>
  <c r="X279" i="9"/>
  <c r="Y309" i="9"/>
  <c r="Z309" i="9" s="1"/>
  <c r="AH309" i="9"/>
  <c r="Y311" i="9"/>
  <c r="Z311" i="9" s="1"/>
  <c r="AH311" i="9"/>
  <c r="Y313" i="9"/>
  <c r="Z313" i="9" s="1"/>
  <c r="AH313" i="9"/>
  <c r="Y315" i="9"/>
  <c r="Z315" i="9" s="1"/>
  <c r="AH315" i="9"/>
  <c r="Y317" i="9"/>
  <c r="Z317" i="9" s="1"/>
  <c r="AH317" i="9"/>
  <c r="X317" i="9"/>
  <c r="Y319" i="9"/>
  <c r="Z319" i="9" s="1"/>
  <c r="X319" i="9"/>
  <c r="AH319" i="9"/>
  <c r="Y294" i="9"/>
  <c r="Z294" i="9" s="1"/>
  <c r="X294" i="9"/>
  <c r="AH294" i="9"/>
  <c r="Y296" i="9"/>
  <c r="Z296" i="9" s="1"/>
  <c r="X296" i="9"/>
  <c r="AH296" i="9"/>
  <c r="Y298" i="9"/>
  <c r="Z298" i="9" s="1"/>
  <c r="X298" i="9"/>
  <c r="AH298" i="9"/>
  <c r="Y300" i="9"/>
  <c r="Z300" i="9" s="1"/>
  <c r="X300" i="9"/>
  <c r="AH300" i="9"/>
  <c r="Y303" i="9"/>
  <c r="Z303" i="9" s="1"/>
  <c r="X303" i="9"/>
  <c r="AH303" i="9"/>
  <c r="Y307" i="9"/>
  <c r="Z307" i="9" s="1"/>
  <c r="X307" i="9"/>
  <c r="AH307" i="9"/>
  <c r="M53" i="2"/>
  <c r="Q53" i="2" s="1"/>
  <c r="U53" i="2" s="1"/>
  <c r="Y53" i="2" s="1"/>
  <c r="AC53" i="2" s="1"/>
  <c r="AG53" i="2" s="1"/>
  <c r="AK53" i="2" s="1"/>
  <c r="AO53" i="2" s="1"/>
  <c r="L53" i="2"/>
  <c r="P53" i="2" s="1"/>
  <c r="T53" i="2" s="1"/>
  <c r="X53" i="2" s="1"/>
  <c r="AB53" i="2" s="1"/>
  <c r="AF53" i="2" s="1"/>
  <c r="AJ53" i="2" s="1"/>
  <c r="K53" i="2"/>
  <c r="O53" i="2" s="1"/>
  <c r="J53" i="2"/>
  <c r="M52" i="2"/>
  <c r="Q52" i="2" s="1"/>
  <c r="U52" i="2" s="1"/>
  <c r="Y52" i="2" s="1"/>
  <c r="AC52" i="2" s="1"/>
  <c r="AG52" i="2" s="1"/>
  <c r="AK52" i="2" s="1"/>
  <c r="AO52" i="2" s="1"/>
  <c r="L52" i="2"/>
  <c r="P52" i="2" s="1"/>
  <c r="T52" i="2" s="1"/>
  <c r="X52" i="2" s="1"/>
  <c r="AB52" i="2" s="1"/>
  <c r="K52" i="2"/>
  <c r="J52" i="2"/>
  <c r="M51" i="2"/>
  <c r="Q51" i="2" s="1"/>
  <c r="U51" i="2" s="1"/>
  <c r="Y51" i="2" s="1"/>
  <c r="AC51" i="2" s="1"/>
  <c r="AG51" i="2" s="1"/>
  <c r="AK51" i="2" s="1"/>
  <c r="AO51" i="2" s="1"/>
  <c r="L51" i="2"/>
  <c r="P51" i="2" s="1"/>
  <c r="K51" i="2"/>
  <c r="O51" i="2" s="1"/>
  <c r="S51" i="2" s="1"/>
  <c r="J51" i="2"/>
  <c r="M50" i="2"/>
  <c r="Q50" i="2" s="1"/>
  <c r="U50" i="2" s="1"/>
  <c r="Y50" i="2" s="1"/>
  <c r="AC50" i="2" s="1"/>
  <c r="AG50" i="2" s="1"/>
  <c r="AK50" i="2" s="1"/>
  <c r="AO50" i="2" s="1"/>
  <c r="L50" i="2"/>
  <c r="P50" i="2" s="1"/>
  <c r="K50" i="2"/>
  <c r="J50" i="2"/>
  <c r="L45" i="2"/>
  <c r="P45" i="2" s="1"/>
  <c r="T45" i="2" s="1"/>
  <c r="X45" i="2" s="1"/>
  <c r="AB45" i="2" s="1"/>
  <c r="AF45" i="2" s="1"/>
  <c r="AJ45" i="2" s="1"/>
  <c r="AN45" i="2" s="1"/>
  <c r="K45" i="2"/>
  <c r="O45" i="2" s="1"/>
  <c r="J45" i="2"/>
  <c r="L44" i="2"/>
  <c r="P44" i="2" s="1"/>
  <c r="T44" i="2" s="1"/>
  <c r="X44" i="2" s="1"/>
  <c r="AB44" i="2" s="1"/>
  <c r="AF44" i="2" s="1"/>
  <c r="AJ44" i="2" s="1"/>
  <c r="AN44" i="2" s="1"/>
  <c r="K44" i="2"/>
  <c r="O44" i="2" s="1"/>
  <c r="J44" i="2"/>
  <c r="L43" i="2"/>
  <c r="P43" i="2" s="1"/>
  <c r="T43" i="2" s="1"/>
  <c r="X43" i="2" s="1"/>
  <c r="AB43" i="2" s="1"/>
  <c r="AF43" i="2" s="1"/>
  <c r="AJ43" i="2" s="1"/>
  <c r="AN43" i="2" s="1"/>
  <c r="K43" i="2"/>
  <c r="O43" i="2" s="1"/>
  <c r="J43" i="2"/>
  <c r="L38" i="2"/>
  <c r="P38" i="2" s="1"/>
  <c r="T38" i="2" s="1"/>
  <c r="X38" i="2" s="1"/>
  <c r="AB38" i="2" s="1"/>
  <c r="AF38" i="2" s="1"/>
  <c r="AJ38" i="2" s="1"/>
  <c r="AN38" i="2" s="1"/>
  <c r="K38" i="2"/>
  <c r="J38" i="2"/>
  <c r="L37" i="2"/>
  <c r="P37" i="2" s="1"/>
  <c r="T37" i="2" s="1"/>
  <c r="X37" i="2" s="1"/>
  <c r="AB37" i="2" s="1"/>
  <c r="AF37" i="2" s="1"/>
  <c r="AJ37" i="2" s="1"/>
  <c r="AN37" i="2" s="1"/>
  <c r="K37" i="2"/>
  <c r="O37" i="2" s="1"/>
  <c r="J37" i="2"/>
  <c r="L36" i="2"/>
  <c r="P36" i="2" s="1"/>
  <c r="T36" i="2" s="1"/>
  <c r="X36" i="2" s="1"/>
  <c r="AB36" i="2" s="1"/>
  <c r="AF36" i="2" s="1"/>
  <c r="AJ36" i="2" s="1"/>
  <c r="AN36" i="2" s="1"/>
  <c r="K36" i="2"/>
  <c r="O36" i="2" s="1"/>
  <c r="J36" i="2"/>
  <c r="M33" i="2"/>
  <c r="Q33" i="2" s="1"/>
  <c r="U33" i="2" s="1"/>
  <c r="Y33" i="2" s="1"/>
  <c r="AC33" i="2" s="1"/>
  <c r="AG33" i="2" s="1"/>
  <c r="AK33" i="2" s="1"/>
  <c r="AO33" i="2" s="1"/>
  <c r="L33" i="2"/>
  <c r="P33" i="2" s="1"/>
  <c r="T33" i="2" s="1"/>
  <c r="X33" i="2" s="1"/>
  <c r="AB33" i="2" s="1"/>
  <c r="AF33" i="2" s="1"/>
  <c r="K33" i="2"/>
  <c r="J33" i="2"/>
  <c r="M32" i="2"/>
  <c r="Q32" i="2" s="1"/>
  <c r="U32" i="2" s="1"/>
  <c r="Y32" i="2" s="1"/>
  <c r="AC32" i="2" s="1"/>
  <c r="AG32" i="2" s="1"/>
  <c r="AK32" i="2" s="1"/>
  <c r="AO32" i="2" s="1"/>
  <c r="L32" i="2"/>
  <c r="P32" i="2" s="1"/>
  <c r="T32" i="2" s="1"/>
  <c r="X32" i="2" s="1"/>
  <c r="AB32" i="2" s="1"/>
  <c r="AF32" i="2" s="1"/>
  <c r="AJ32" i="2" s="1"/>
  <c r="AN32" i="2" s="1"/>
  <c r="K32" i="2"/>
  <c r="O32" i="2" s="1"/>
  <c r="J32" i="2"/>
  <c r="M31" i="2"/>
  <c r="Q31" i="2" s="1"/>
  <c r="U31" i="2" s="1"/>
  <c r="Y31" i="2" s="1"/>
  <c r="AC31" i="2" s="1"/>
  <c r="AG31" i="2" s="1"/>
  <c r="AK31" i="2" s="1"/>
  <c r="AO31" i="2" s="1"/>
  <c r="L31" i="2"/>
  <c r="P31" i="2" s="1"/>
  <c r="T31" i="2" s="1"/>
  <c r="X31" i="2" s="1"/>
  <c r="AB31" i="2" s="1"/>
  <c r="AF31" i="2" s="1"/>
  <c r="AJ31" i="2" s="1"/>
  <c r="AN31" i="2" s="1"/>
  <c r="K31" i="2"/>
  <c r="O31" i="2" s="1"/>
  <c r="J31" i="2"/>
  <c r="L28" i="2"/>
  <c r="P28" i="2" s="1"/>
  <c r="T28" i="2" s="1"/>
  <c r="X28" i="2" s="1"/>
  <c r="AB28" i="2" s="1"/>
  <c r="AF28" i="2" s="1"/>
  <c r="AJ28" i="2" s="1"/>
  <c r="AN28" i="2" s="1"/>
  <c r="K28" i="2"/>
  <c r="J28" i="2"/>
  <c r="L27" i="2"/>
  <c r="P27" i="2" s="1"/>
  <c r="T27" i="2" s="1"/>
  <c r="X27" i="2" s="1"/>
  <c r="AB27" i="2" s="1"/>
  <c r="AF27" i="2" s="1"/>
  <c r="AJ27" i="2" s="1"/>
  <c r="AN27" i="2" s="1"/>
  <c r="K27" i="2"/>
  <c r="O27" i="2" s="1"/>
  <c r="J27" i="2"/>
  <c r="L26" i="2"/>
  <c r="P26" i="2" s="1"/>
  <c r="T26" i="2" s="1"/>
  <c r="X26" i="2" s="1"/>
  <c r="AB26" i="2" s="1"/>
  <c r="AF26" i="2" s="1"/>
  <c r="AJ26" i="2" s="1"/>
  <c r="AN26" i="2" s="1"/>
  <c r="K26" i="2"/>
  <c r="J26" i="2"/>
  <c r="M23" i="2"/>
  <c r="Q23" i="2" s="1"/>
  <c r="U23" i="2" s="1"/>
  <c r="Y23" i="2" s="1"/>
  <c r="AC23" i="2" s="1"/>
  <c r="AG23" i="2" s="1"/>
  <c r="AK23" i="2" s="1"/>
  <c r="AO23" i="2" s="1"/>
  <c r="L23" i="2"/>
  <c r="P23" i="2" s="1"/>
  <c r="T23" i="2" s="1"/>
  <c r="X23" i="2" s="1"/>
  <c r="AB23" i="2" s="1"/>
  <c r="AF23" i="2" s="1"/>
  <c r="AJ23" i="2" s="1"/>
  <c r="K23" i="2"/>
  <c r="O23" i="2" s="1"/>
  <c r="J23" i="2"/>
  <c r="M22" i="2"/>
  <c r="Q22" i="2" s="1"/>
  <c r="U22" i="2" s="1"/>
  <c r="Y22" i="2" s="1"/>
  <c r="AC22" i="2" s="1"/>
  <c r="AG22" i="2" s="1"/>
  <c r="AK22" i="2" s="1"/>
  <c r="AO22" i="2" s="1"/>
  <c r="L22" i="2"/>
  <c r="P22" i="2" s="1"/>
  <c r="T22" i="2" s="1"/>
  <c r="K22" i="2"/>
  <c r="O22" i="2" s="1"/>
  <c r="J22" i="2"/>
  <c r="M21" i="2"/>
  <c r="Q21" i="2" s="1"/>
  <c r="U21" i="2" s="1"/>
  <c r="Y21" i="2" s="1"/>
  <c r="AC21" i="2" s="1"/>
  <c r="AG21" i="2" s="1"/>
  <c r="AK21" i="2" s="1"/>
  <c r="AO21" i="2" s="1"/>
  <c r="L21" i="2"/>
  <c r="K21" i="2"/>
  <c r="O21" i="2" s="1"/>
  <c r="J21" i="2"/>
  <c r="M18" i="2"/>
  <c r="Q18" i="2" s="1"/>
  <c r="U18" i="2" s="1"/>
  <c r="Y18" i="2" s="1"/>
  <c r="AC18" i="2" s="1"/>
  <c r="AG18" i="2" s="1"/>
  <c r="AK18" i="2" s="1"/>
  <c r="AO18" i="2" s="1"/>
  <c r="L18" i="2"/>
  <c r="P18" i="2" s="1"/>
  <c r="T18" i="2" s="1"/>
  <c r="K18" i="2"/>
  <c r="O18" i="2" s="1"/>
  <c r="J18" i="2"/>
  <c r="M17" i="2"/>
  <c r="Q17" i="2" s="1"/>
  <c r="U17" i="2" s="1"/>
  <c r="Y17" i="2" s="1"/>
  <c r="AC17" i="2" s="1"/>
  <c r="AG17" i="2" s="1"/>
  <c r="AK17" i="2" s="1"/>
  <c r="AO17" i="2" s="1"/>
  <c r="L17" i="2"/>
  <c r="K17" i="2"/>
  <c r="O17" i="2" s="1"/>
  <c r="J17" i="2"/>
  <c r="M16" i="2"/>
  <c r="Q16" i="2" s="1"/>
  <c r="U16" i="2" s="1"/>
  <c r="Y16" i="2" s="1"/>
  <c r="AC16" i="2" s="1"/>
  <c r="AG16" i="2" s="1"/>
  <c r="AK16" i="2" s="1"/>
  <c r="AO16" i="2" s="1"/>
  <c r="L16" i="2"/>
  <c r="P16" i="2" s="1"/>
  <c r="T16" i="2" s="1"/>
  <c r="K16" i="2"/>
  <c r="O16" i="2" s="1"/>
  <c r="J16" i="2"/>
  <c r="M15" i="2"/>
  <c r="Q15" i="2" s="1"/>
  <c r="U15" i="2" s="1"/>
  <c r="Y15" i="2" s="1"/>
  <c r="AC15" i="2" s="1"/>
  <c r="AG15" i="2" s="1"/>
  <c r="AK15" i="2" s="1"/>
  <c r="AO15" i="2" s="1"/>
  <c r="L15" i="2"/>
  <c r="K15" i="2"/>
  <c r="O15" i="2" s="1"/>
  <c r="S15" i="2" s="1"/>
  <c r="W15" i="2" s="1"/>
  <c r="AA15" i="2" s="1"/>
  <c r="AE15" i="2" s="1"/>
  <c r="AI15" i="2" s="1"/>
  <c r="AM15" i="2" s="1"/>
  <c r="J15" i="2"/>
  <c r="M12" i="2"/>
  <c r="Q12" i="2" s="1"/>
  <c r="U12" i="2" s="1"/>
  <c r="Y12" i="2" s="1"/>
  <c r="AC12" i="2" s="1"/>
  <c r="AG12" i="2" s="1"/>
  <c r="AK12" i="2" s="1"/>
  <c r="AO12" i="2" s="1"/>
  <c r="L12" i="2"/>
  <c r="P12" i="2" s="1"/>
  <c r="K12" i="2"/>
  <c r="O12" i="2" s="1"/>
  <c r="S12" i="2" s="1"/>
  <c r="W12" i="2" s="1"/>
  <c r="AA12" i="2" s="1"/>
  <c r="AE12" i="2" s="1"/>
  <c r="AI12" i="2" s="1"/>
  <c r="AM12" i="2" s="1"/>
  <c r="J12" i="2"/>
  <c r="M11" i="2"/>
  <c r="Q11" i="2" s="1"/>
  <c r="U11" i="2" s="1"/>
  <c r="Y11" i="2" s="1"/>
  <c r="AC11" i="2" s="1"/>
  <c r="AG11" i="2" s="1"/>
  <c r="AK11" i="2" s="1"/>
  <c r="AO11" i="2" s="1"/>
  <c r="L11" i="2"/>
  <c r="K11" i="2"/>
  <c r="O11" i="2" s="1"/>
  <c r="J11" i="2"/>
  <c r="M10" i="2"/>
  <c r="Q10" i="2" s="1"/>
  <c r="U10" i="2" s="1"/>
  <c r="Y10" i="2" s="1"/>
  <c r="AC10" i="2" s="1"/>
  <c r="AG10" i="2" s="1"/>
  <c r="AK10" i="2" s="1"/>
  <c r="AO10" i="2" s="1"/>
  <c r="L10" i="2"/>
  <c r="P10" i="2" s="1"/>
  <c r="K10" i="2"/>
  <c r="O10" i="2" s="1"/>
  <c r="S10" i="2" s="1"/>
  <c r="W10" i="2" s="1"/>
  <c r="AA10" i="2" s="1"/>
  <c r="AE10" i="2" s="1"/>
  <c r="AI10" i="2" s="1"/>
  <c r="AM10" i="2" s="1"/>
  <c r="J10" i="2"/>
  <c r="K8" i="2"/>
  <c r="O8" i="2" s="1"/>
  <c r="I7" i="2"/>
  <c r="H6" i="2"/>
  <c r="G5" i="2"/>
  <c r="C7" i="17" l="1"/>
  <c r="AU333" i="9"/>
  <c r="AU334" i="9"/>
  <c r="BB334" i="9"/>
  <c r="BB333" i="9"/>
  <c r="BB335" i="9"/>
  <c r="BV133" i="14"/>
  <c r="BW133" i="14" s="1"/>
  <c r="BI133" i="14"/>
  <c r="BJ133" i="14" s="1"/>
  <c r="DV133" i="14"/>
  <c r="DW133" i="14" s="1"/>
  <c r="AV133" i="14"/>
  <c r="AW133" i="14" s="1"/>
  <c r="CI133" i="14"/>
  <c r="CJ133" i="14" s="1"/>
  <c r="CV133" i="14"/>
  <c r="CW133" i="14" s="1"/>
  <c r="DI133" i="14"/>
  <c r="DJ133" i="14" s="1"/>
  <c r="AI133" i="14"/>
  <c r="AJ133" i="14" s="1"/>
  <c r="CD205" i="9"/>
  <c r="CE205" i="9" s="1"/>
  <c r="CL149" i="9"/>
  <c r="CC149" i="9"/>
  <c r="CA149" i="9"/>
  <c r="CC201" i="9"/>
  <c r="CL201" i="9"/>
  <c r="CA201" i="9"/>
  <c r="CL209" i="9"/>
  <c r="CC209" i="9"/>
  <c r="CA209" i="9"/>
  <c r="CC225" i="9"/>
  <c r="CL225" i="9"/>
  <c r="CA225" i="9"/>
  <c r="CA292" i="9"/>
  <c r="CC292" i="9"/>
  <c r="CL292" i="9"/>
  <c r="CA300" i="9"/>
  <c r="CC300" i="9"/>
  <c r="CL300" i="9"/>
  <c r="CA308" i="9"/>
  <c r="CC308" i="9"/>
  <c r="CL308" i="9"/>
  <c r="CA143" i="9"/>
  <c r="CL143" i="9"/>
  <c r="CC143" i="9"/>
  <c r="CL211" i="9"/>
  <c r="CC211" i="9"/>
  <c r="CA211" i="9"/>
  <c r="CL219" i="9"/>
  <c r="CC219" i="9"/>
  <c r="CA219" i="9"/>
  <c r="CC235" i="9"/>
  <c r="CL235" i="9"/>
  <c r="CA235" i="9"/>
  <c r="CC243" i="9"/>
  <c r="CL243" i="9"/>
  <c r="CA243" i="9"/>
  <c r="CC258" i="9"/>
  <c r="CL258" i="9"/>
  <c r="CA258" i="9"/>
  <c r="CC266" i="9"/>
  <c r="CL266" i="9"/>
  <c r="CA266" i="9"/>
  <c r="CA167" i="9"/>
  <c r="CC167" i="9"/>
  <c r="CL167" i="9"/>
  <c r="CA199" i="9"/>
  <c r="CC199" i="9"/>
  <c r="CL199" i="9"/>
  <c r="CC256" i="9"/>
  <c r="CL256" i="9"/>
  <c r="CA256" i="9"/>
  <c r="CC298" i="9"/>
  <c r="CL298" i="9"/>
  <c r="CA298" i="9"/>
  <c r="CC306" i="9"/>
  <c r="CL306" i="9"/>
  <c r="CA306" i="9"/>
  <c r="CC315" i="9"/>
  <c r="CL315" i="9"/>
  <c r="CA315" i="9"/>
  <c r="CA198" i="9"/>
  <c r="CC198" i="9"/>
  <c r="CL198" i="9"/>
  <c r="CA158" i="9"/>
  <c r="CC158" i="9"/>
  <c r="CL158" i="9"/>
  <c r="CA283" i="9"/>
  <c r="CC283" i="9"/>
  <c r="CL283" i="9"/>
  <c r="CA180" i="9"/>
  <c r="CC180" i="9"/>
  <c r="CL180" i="9"/>
  <c r="CA124" i="9"/>
  <c r="CC124" i="9"/>
  <c r="CL124" i="9"/>
  <c r="CL31" i="9"/>
  <c r="CC31" i="9"/>
  <c r="CA31" i="9"/>
  <c r="CA16" i="9"/>
  <c r="CC16" i="9"/>
  <c r="CA32" i="9"/>
  <c r="CC32" i="9"/>
  <c r="CA56" i="9"/>
  <c r="CC56" i="9"/>
  <c r="CA133" i="9"/>
  <c r="CC133" i="9"/>
  <c r="CL133" i="9"/>
  <c r="CA101" i="9"/>
  <c r="CC101" i="9"/>
  <c r="CL101" i="9"/>
  <c r="CA85" i="9"/>
  <c r="CC85" i="9"/>
  <c r="CL85" i="9"/>
  <c r="CA69" i="9"/>
  <c r="CC69" i="9"/>
  <c r="CA285" i="9"/>
  <c r="CC285" i="9"/>
  <c r="CL285" i="9"/>
  <c r="CA311" i="9"/>
  <c r="CC311" i="9"/>
  <c r="CL311" i="9"/>
  <c r="CA295" i="9"/>
  <c r="CC295" i="9"/>
  <c r="CL295" i="9"/>
  <c r="CC267" i="9"/>
  <c r="CL267" i="9"/>
  <c r="CA267" i="9"/>
  <c r="CA104" i="9"/>
  <c r="CC104" i="9"/>
  <c r="CL104" i="9"/>
  <c r="CA88" i="9"/>
  <c r="CC88" i="9"/>
  <c r="CL88" i="9"/>
  <c r="CA38" i="9"/>
  <c r="CC38" i="9"/>
  <c r="CA54" i="9"/>
  <c r="CC54" i="9"/>
  <c r="CA19" i="9"/>
  <c r="CC19" i="9"/>
  <c r="CA35" i="9"/>
  <c r="CC35" i="9"/>
  <c r="CA43" i="9"/>
  <c r="CC43" i="9"/>
  <c r="CA59" i="9"/>
  <c r="CC59" i="9"/>
  <c r="CC95" i="9"/>
  <c r="CL95" i="9"/>
  <c r="CA95" i="9"/>
  <c r="CA289" i="9"/>
  <c r="CC289" i="9"/>
  <c r="CL289" i="9"/>
  <c r="CC253" i="9"/>
  <c r="CL253" i="9"/>
  <c r="CA253" i="9"/>
  <c r="CA70" i="9"/>
  <c r="CC70" i="9"/>
  <c r="CA216" i="9"/>
  <c r="CL216" i="9"/>
  <c r="CC216" i="9"/>
  <c r="CC61" i="9"/>
  <c r="CA61" i="9"/>
  <c r="CC242" i="9"/>
  <c r="CL242" i="9"/>
  <c r="CA242" i="9"/>
  <c r="CL210" i="9"/>
  <c r="CC210" i="9"/>
  <c r="CA210" i="9"/>
  <c r="CL142" i="9"/>
  <c r="CC142" i="9"/>
  <c r="CA142" i="9"/>
  <c r="CC131" i="9"/>
  <c r="CL131" i="9"/>
  <c r="CA131" i="9"/>
  <c r="CL261" i="9"/>
  <c r="CA261" i="9"/>
  <c r="CC261" i="9"/>
  <c r="CA48" i="9"/>
  <c r="CL48" i="9"/>
  <c r="CC48" i="9"/>
  <c r="CC113" i="9"/>
  <c r="CL113" i="9"/>
  <c r="CA113" i="9"/>
  <c r="CC97" i="9"/>
  <c r="CL97" i="9"/>
  <c r="CA97" i="9"/>
  <c r="CC65" i="9"/>
  <c r="CL65" i="9"/>
  <c r="CA65" i="9"/>
  <c r="CA45" i="9"/>
  <c r="CC45" i="9"/>
  <c r="CD437" i="9"/>
  <c r="CD434" i="9"/>
  <c r="CB322" i="9"/>
  <c r="CJ4" i="9"/>
  <c r="BV4" i="9"/>
  <c r="CI4" i="9"/>
  <c r="BY4" i="9"/>
  <c r="CC4" i="9"/>
  <c r="CD439" i="9"/>
  <c r="CD435" i="9"/>
  <c r="CD433" i="9"/>
  <c r="CL4" i="9"/>
  <c r="BX4" i="9"/>
  <c r="BV1" i="9"/>
  <c r="BW4" i="9"/>
  <c r="CK4" i="9"/>
  <c r="DA319" i="9"/>
  <c r="DA318" i="9"/>
  <c r="DA317" i="9"/>
  <c r="DA316" i="9"/>
  <c r="DA315" i="9"/>
  <c r="DA314" i="9"/>
  <c r="DA313" i="9"/>
  <c r="DA312" i="9"/>
  <c r="DA311" i="9"/>
  <c r="DA310" i="9"/>
  <c r="DA309" i="9"/>
  <c r="DA308" i="9"/>
  <c r="DA307" i="9"/>
  <c r="DA306" i="9"/>
  <c r="DA305" i="9"/>
  <c r="DA304" i="9"/>
  <c r="DA303" i="9"/>
  <c r="DA302" i="9"/>
  <c r="DA301" i="9"/>
  <c r="DA300" i="9"/>
  <c r="DA299" i="9"/>
  <c r="DA298" i="9"/>
  <c r="DA297" i="9"/>
  <c r="DA296" i="9"/>
  <c r="DA295" i="9"/>
  <c r="DA294" i="9"/>
  <c r="DA293" i="9"/>
  <c r="DA292" i="9"/>
  <c r="DA291" i="9"/>
  <c r="DA290" i="9"/>
  <c r="DA289" i="9"/>
  <c r="DA288" i="9"/>
  <c r="DA287" i="9"/>
  <c r="DA286" i="9"/>
  <c r="DA285" i="9"/>
  <c r="DA284" i="9"/>
  <c r="DA283" i="9"/>
  <c r="DA282" i="9"/>
  <c r="DA281" i="9"/>
  <c r="DA280" i="9"/>
  <c r="CZ319" i="9"/>
  <c r="CZ317" i="9"/>
  <c r="CZ315" i="9"/>
  <c r="CZ313" i="9"/>
  <c r="CZ311" i="9"/>
  <c r="CZ309" i="9"/>
  <c r="CZ307" i="9"/>
  <c r="CZ305" i="9"/>
  <c r="CZ303" i="9"/>
  <c r="CZ301" i="9"/>
  <c r="CZ299" i="9"/>
  <c r="CZ297" i="9"/>
  <c r="CZ295" i="9"/>
  <c r="CZ293" i="9"/>
  <c r="CZ291" i="9"/>
  <c r="CZ289" i="9"/>
  <c r="CZ287" i="9"/>
  <c r="CZ285" i="9"/>
  <c r="CZ283" i="9"/>
  <c r="CZ281" i="9"/>
  <c r="DA279" i="9"/>
  <c r="CZ279" i="9"/>
  <c r="CZ277" i="9"/>
  <c r="CZ275" i="9"/>
  <c r="CZ273" i="9"/>
  <c r="CZ271" i="9"/>
  <c r="CZ269" i="9"/>
  <c r="CZ267" i="9"/>
  <c r="CZ265" i="9"/>
  <c r="CZ263" i="9"/>
  <c r="CZ261" i="9"/>
  <c r="CZ259" i="9"/>
  <c r="CZ257" i="9"/>
  <c r="CZ255" i="9"/>
  <c r="CZ253" i="9"/>
  <c r="CZ251" i="9"/>
  <c r="CZ249" i="9"/>
  <c r="CZ247" i="9"/>
  <c r="CZ245" i="9"/>
  <c r="DA277" i="9"/>
  <c r="DA275" i="9"/>
  <c r="DA273" i="9"/>
  <c r="DA271" i="9"/>
  <c r="DA269" i="9"/>
  <c r="DA267" i="9"/>
  <c r="DA265" i="9"/>
  <c r="DA263" i="9"/>
  <c r="DA261" i="9"/>
  <c r="DA259" i="9"/>
  <c r="DA257" i="9"/>
  <c r="DA255" i="9"/>
  <c r="DA253" i="9"/>
  <c r="DA251" i="9"/>
  <c r="DA249" i="9"/>
  <c r="DA247" i="9"/>
  <c r="DA245" i="9"/>
  <c r="CQ244" i="9"/>
  <c r="CQ243" i="9"/>
  <c r="CQ242" i="9"/>
  <c r="CQ241" i="9"/>
  <c r="CQ240" i="9"/>
  <c r="CQ239" i="9"/>
  <c r="CQ238" i="9"/>
  <c r="CQ237" i="9"/>
  <c r="CQ236" i="9"/>
  <c r="CQ235" i="9"/>
  <c r="CQ234" i="9"/>
  <c r="CQ233" i="9"/>
  <c r="CQ232" i="9"/>
  <c r="CQ231" i="9"/>
  <c r="CQ230" i="9"/>
  <c r="CQ229" i="9"/>
  <c r="CQ228" i="9"/>
  <c r="CQ227" i="9"/>
  <c r="CQ226" i="9"/>
  <c r="CQ225" i="9"/>
  <c r="CQ224" i="9"/>
  <c r="CQ223" i="9"/>
  <c r="CQ222" i="9"/>
  <c r="CQ277" i="9"/>
  <c r="CQ275" i="9"/>
  <c r="CQ273" i="9"/>
  <c r="CQ271" i="9"/>
  <c r="CQ269" i="9"/>
  <c r="CQ267" i="9"/>
  <c r="CQ265" i="9"/>
  <c r="CQ263" i="9"/>
  <c r="CQ261" i="9"/>
  <c r="CQ259" i="9"/>
  <c r="CQ257" i="9"/>
  <c r="CQ255" i="9"/>
  <c r="CQ253" i="9"/>
  <c r="CQ251" i="9"/>
  <c r="CQ249" i="9"/>
  <c r="CQ247" i="9"/>
  <c r="CQ245" i="9"/>
  <c r="CZ243" i="9"/>
  <c r="CZ241" i="9"/>
  <c r="CZ239" i="9"/>
  <c r="CZ237" i="9"/>
  <c r="CZ235" i="9"/>
  <c r="CZ233" i="9"/>
  <c r="CZ231" i="9"/>
  <c r="CZ229" i="9"/>
  <c r="CZ227" i="9"/>
  <c r="CZ225" i="9"/>
  <c r="CZ223" i="9"/>
  <c r="CZ221" i="9"/>
  <c r="CZ219" i="9"/>
  <c r="CZ217" i="9"/>
  <c r="CZ215" i="9"/>
  <c r="CZ213" i="9"/>
  <c r="CZ211" i="9"/>
  <c r="CZ209" i="9"/>
  <c r="CZ207" i="9"/>
  <c r="CQ221" i="9"/>
  <c r="CQ219" i="9"/>
  <c r="CQ217" i="9"/>
  <c r="CQ215" i="9"/>
  <c r="CQ213" i="9"/>
  <c r="CQ211" i="9"/>
  <c r="CQ209" i="9"/>
  <c r="CQ207" i="9"/>
  <c r="DA205" i="9"/>
  <c r="DA204" i="9"/>
  <c r="DA203" i="9"/>
  <c r="DA202" i="9"/>
  <c r="DA201" i="9"/>
  <c r="DA200" i="9"/>
  <c r="DA199" i="9"/>
  <c r="DA198" i="9"/>
  <c r="DA197" i="9"/>
  <c r="DA196" i="9"/>
  <c r="DA195" i="9"/>
  <c r="DA194" i="9"/>
  <c r="DA193" i="9"/>
  <c r="DA192" i="9"/>
  <c r="DA191" i="9"/>
  <c r="DA190" i="9"/>
  <c r="DA189" i="9"/>
  <c r="DA188" i="9"/>
  <c r="DA187" i="9"/>
  <c r="DA186" i="9"/>
  <c r="DA185" i="9"/>
  <c r="DA184" i="9"/>
  <c r="DA183" i="9"/>
  <c r="DA182" i="9"/>
  <c r="DA181" i="9"/>
  <c r="DA180" i="9"/>
  <c r="DA179" i="9"/>
  <c r="DA178" i="9"/>
  <c r="DA177" i="9"/>
  <c r="DA176" i="9"/>
  <c r="DA175" i="9"/>
  <c r="DA174" i="9"/>
  <c r="DA173" i="9"/>
  <c r="DA172" i="9"/>
  <c r="DA171" i="9"/>
  <c r="DA170" i="9"/>
  <c r="DA169" i="9"/>
  <c r="DA168" i="9"/>
  <c r="DA167" i="9"/>
  <c r="DA166" i="9"/>
  <c r="DA165" i="9"/>
  <c r="DA164" i="9"/>
  <c r="DA163" i="9"/>
  <c r="DA162" i="9"/>
  <c r="DA161" i="9"/>
  <c r="DA160" i="9"/>
  <c r="DA159" i="9"/>
  <c r="DA158" i="9"/>
  <c r="DA157" i="9"/>
  <c r="DA221" i="9"/>
  <c r="DA219" i="9"/>
  <c r="DA217" i="9"/>
  <c r="DA215" i="9"/>
  <c r="DA213" i="9"/>
  <c r="DA211" i="9"/>
  <c r="DA209" i="9"/>
  <c r="DA207" i="9"/>
  <c r="CZ205" i="9"/>
  <c r="CZ203" i="9"/>
  <c r="CZ201" i="9"/>
  <c r="CZ199" i="9"/>
  <c r="CZ197" i="9"/>
  <c r="CZ195" i="9"/>
  <c r="CZ193" i="9"/>
  <c r="CZ191" i="9"/>
  <c r="CZ189" i="9"/>
  <c r="CZ187" i="9"/>
  <c r="CZ185" i="9"/>
  <c r="CZ183" i="9"/>
  <c r="CZ181" i="9"/>
  <c r="CZ179" i="9"/>
  <c r="CZ177" i="9"/>
  <c r="CZ175" i="9"/>
  <c r="CZ173" i="9"/>
  <c r="CZ171" i="9"/>
  <c r="CZ169" i="9"/>
  <c r="CZ167" i="9"/>
  <c r="CZ165" i="9"/>
  <c r="CZ163" i="9"/>
  <c r="CZ161" i="9"/>
  <c r="CZ159" i="9"/>
  <c r="CZ157" i="9"/>
  <c r="CZ155" i="9"/>
  <c r="CZ153" i="9"/>
  <c r="CZ151" i="9"/>
  <c r="CZ149" i="9"/>
  <c r="CZ147" i="9"/>
  <c r="CZ145" i="9"/>
  <c r="CZ143" i="9"/>
  <c r="CZ141" i="9"/>
  <c r="CZ139" i="9"/>
  <c r="CZ137" i="9"/>
  <c r="CZ135" i="9"/>
  <c r="CZ133" i="9"/>
  <c r="CQ155" i="9"/>
  <c r="CQ153" i="9"/>
  <c r="CQ151" i="9"/>
  <c r="CQ149" i="9"/>
  <c r="CQ147" i="9"/>
  <c r="CQ145" i="9"/>
  <c r="CQ143" i="9"/>
  <c r="CQ141" i="9"/>
  <c r="CQ139" i="9"/>
  <c r="CQ137" i="9"/>
  <c r="CQ135" i="9"/>
  <c r="CQ133" i="9"/>
  <c r="CQ132" i="9"/>
  <c r="CQ131" i="9"/>
  <c r="CQ130" i="9"/>
  <c r="CQ129" i="9"/>
  <c r="CQ128" i="9"/>
  <c r="CQ127" i="9"/>
  <c r="CQ126" i="9"/>
  <c r="CQ125" i="9"/>
  <c r="CQ124" i="9"/>
  <c r="CQ123" i="9"/>
  <c r="CQ122" i="9"/>
  <c r="CQ121" i="9"/>
  <c r="CQ120" i="9"/>
  <c r="CQ119" i="9"/>
  <c r="CQ118" i="9"/>
  <c r="CQ117" i="9"/>
  <c r="CQ116" i="9"/>
  <c r="CQ115" i="9"/>
  <c r="CQ114" i="9"/>
  <c r="CQ113" i="9"/>
  <c r="CQ112" i="9"/>
  <c r="CQ111" i="9"/>
  <c r="CQ110" i="9"/>
  <c r="CQ109" i="9"/>
  <c r="CQ108" i="9"/>
  <c r="CQ107" i="9"/>
  <c r="CQ106" i="9"/>
  <c r="CQ105" i="9"/>
  <c r="CQ104" i="9"/>
  <c r="CQ103" i="9"/>
  <c r="CQ102" i="9"/>
  <c r="CQ101" i="9"/>
  <c r="CQ100" i="9"/>
  <c r="CQ99" i="9"/>
  <c r="CQ98" i="9"/>
  <c r="CQ97" i="9"/>
  <c r="CQ96" i="9"/>
  <c r="CQ95" i="9"/>
  <c r="CQ94" i="9"/>
  <c r="CQ93" i="9"/>
  <c r="CQ92" i="9"/>
  <c r="CQ91" i="9"/>
  <c r="CQ90" i="9"/>
  <c r="CQ89" i="9"/>
  <c r="CQ88" i="9"/>
  <c r="CQ87" i="9"/>
  <c r="CQ86" i="9"/>
  <c r="CQ85" i="9"/>
  <c r="CQ84" i="9"/>
  <c r="CQ83" i="9"/>
  <c r="CQ82" i="9"/>
  <c r="CQ81" i="9"/>
  <c r="CQ80" i="9"/>
  <c r="CQ79" i="9"/>
  <c r="CQ78" i="9"/>
  <c r="CQ77" i="9"/>
  <c r="CQ76" i="9"/>
  <c r="CQ75" i="9"/>
  <c r="CQ74" i="9"/>
  <c r="CQ73" i="9"/>
  <c r="CQ72" i="9"/>
  <c r="CQ71" i="9"/>
  <c r="CQ70" i="9"/>
  <c r="CQ69" i="9"/>
  <c r="CQ68" i="9"/>
  <c r="CQ67" i="9"/>
  <c r="CQ66" i="9"/>
  <c r="CQ65" i="9"/>
  <c r="DA155" i="9"/>
  <c r="DA153" i="9"/>
  <c r="DA151" i="9"/>
  <c r="DA149" i="9"/>
  <c r="DA147" i="9"/>
  <c r="DA145" i="9"/>
  <c r="DA143" i="9"/>
  <c r="DA141" i="9"/>
  <c r="DA139" i="9"/>
  <c r="DA137" i="9"/>
  <c r="DA135" i="9"/>
  <c r="DA133" i="9"/>
  <c r="CZ131" i="9"/>
  <c r="CZ129" i="9"/>
  <c r="CZ127" i="9"/>
  <c r="CZ125" i="9"/>
  <c r="CZ123" i="9"/>
  <c r="CZ121" i="9"/>
  <c r="CZ119" i="9"/>
  <c r="CZ117" i="9"/>
  <c r="CZ115" i="9"/>
  <c r="CZ113" i="9"/>
  <c r="CZ111" i="9"/>
  <c r="CZ109" i="9"/>
  <c r="CZ107" i="9"/>
  <c r="CZ105" i="9"/>
  <c r="CZ103" i="9"/>
  <c r="CZ101" i="9"/>
  <c r="CZ99" i="9"/>
  <c r="CZ97" i="9"/>
  <c r="CZ95" i="9"/>
  <c r="CZ93" i="9"/>
  <c r="CZ91" i="9"/>
  <c r="CZ89" i="9"/>
  <c r="CZ87" i="9"/>
  <c r="CZ85" i="9"/>
  <c r="CZ83" i="9"/>
  <c r="CZ74" i="9"/>
  <c r="CZ65" i="9"/>
  <c r="CZ49" i="9"/>
  <c r="CZ40" i="9"/>
  <c r="CZ31" i="9"/>
  <c r="CZ14" i="9"/>
  <c r="CZ12" i="9"/>
  <c r="CZ10" i="9"/>
  <c r="CZ8" i="9"/>
  <c r="CZ6" i="9"/>
  <c r="DL4" i="9"/>
  <c r="CV4" i="9"/>
  <c r="CQ63" i="9"/>
  <c r="CQ61" i="9"/>
  <c r="CQ59" i="9"/>
  <c r="CQ57" i="9"/>
  <c r="CQ55" i="9"/>
  <c r="CQ53" i="9"/>
  <c r="CQ51" i="9"/>
  <c r="CQ49" i="9"/>
  <c r="CQ47" i="9"/>
  <c r="CQ45" i="9"/>
  <c r="CQ43" i="9"/>
  <c r="CQ41" i="9"/>
  <c r="CQ39" i="9"/>
  <c r="CQ37" i="9"/>
  <c r="CQ35" i="9"/>
  <c r="CQ33" i="9"/>
  <c r="CQ31" i="9"/>
  <c r="CQ29" i="9"/>
  <c r="CQ27" i="9"/>
  <c r="CQ25" i="9"/>
  <c r="CQ23" i="9"/>
  <c r="CQ21" i="9"/>
  <c r="CQ19" i="9"/>
  <c r="CQ17" i="9"/>
  <c r="CQ15" i="9"/>
  <c r="CQ13" i="9"/>
  <c r="CQ11" i="9"/>
  <c r="CQ9" i="9"/>
  <c r="CQ7" i="9"/>
  <c r="CQ5" i="9"/>
  <c r="CQ4" i="9"/>
  <c r="CR4" i="9" s="1"/>
  <c r="CS4" i="9"/>
  <c r="DA63" i="9"/>
  <c r="DA61" i="9"/>
  <c r="DA59" i="9"/>
  <c r="DA57" i="9"/>
  <c r="DA55" i="9"/>
  <c r="DA53" i="9"/>
  <c r="DA51" i="9"/>
  <c r="DA49" i="9"/>
  <c r="DA47" i="9"/>
  <c r="DA45" i="9"/>
  <c r="DA43" i="9"/>
  <c r="DA41" i="9"/>
  <c r="DA39" i="9"/>
  <c r="DA37" i="9"/>
  <c r="DA35" i="9"/>
  <c r="DA33" i="9"/>
  <c r="DA31" i="9"/>
  <c r="DA29" i="9"/>
  <c r="DA27" i="9"/>
  <c r="DA25" i="9"/>
  <c r="DA23" i="9"/>
  <c r="DA21" i="9"/>
  <c r="DA19" i="9"/>
  <c r="DA17" i="9"/>
  <c r="DA15" i="9"/>
  <c r="DA13" i="9"/>
  <c r="DA11" i="9"/>
  <c r="DA9" i="9"/>
  <c r="DA7" i="9"/>
  <c r="DA5" i="9"/>
  <c r="CQ319" i="9"/>
  <c r="CQ318" i="9"/>
  <c r="CQ317" i="9"/>
  <c r="CQ316" i="9"/>
  <c r="CQ315" i="9"/>
  <c r="CQ314" i="9"/>
  <c r="CQ313" i="9"/>
  <c r="CQ312" i="9"/>
  <c r="CQ311" i="9"/>
  <c r="CQ310" i="9"/>
  <c r="CQ309" i="9"/>
  <c r="CQ308" i="9"/>
  <c r="CQ307" i="9"/>
  <c r="CQ306" i="9"/>
  <c r="CQ305" i="9"/>
  <c r="CQ304" i="9"/>
  <c r="CQ303" i="9"/>
  <c r="CQ302" i="9"/>
  <c r="CQ301" i="9"/>
  <c r="CQ300" i="9"/>
  <c r="CQ299" i="9"/>
  <c r="CQ298" i="9"/>
  <c r="CQ297" i="9"/>
  <c r="CQ296" i="9"/>
  <c r="CQ295" i="9"/>
  <c r="CQ294" i="9"/>
  <c r="CQ293" i="9"/>
  <c r="CQ292" i="9"/>
  <c r="CQ291" i="9"/>
  <c r="CQ290" i="9"/>
  <c r="CQ289" i="9"/>
  <c r="CQ288" i="9"/>
  <c r="CQ287" i="9"/>
  <c r="CQ286" i="9"/>
  <c r="CQ285" i="9"/>
  <c r="CQ284" i="9"/>
  <c r="CQ283" i="9"/>
  <c r="CQ282" i="9"/>
  <c r="CQ281" i="9"/>
  <c r="CQ280" i="9"/>
  <c r="CZ318" i="9"/>
  <c r="CZ316" i="9"/>
  <c r="CZ314" i="9"/>
  <c r="CZ312" i="9"/>
  <c r="CZ310" i="9"/>
  <c r="CZ308" i="9"/>
  <c r="CZ306" i="9"/>
  <c r="CZ304" i="9"/>
  <c r="CZ302" i="9"/>
  <c r="CZ300" i="9"/>
  <c r="CZ298" i="9"/>
  <c r="CZ296" i="9"/>
  <c r="CZ294" i="9"/>
  <c r="CZ292" i="9"/>
  <c r="CZ290" i="9"/>
  <c r="CZ288" i="9"/>
  <c r="CZ286" i="9"/>
  <c r="CZ284" i="9"/>
  <c r="CZ282" i="9"/>
  <c r="CZ280" i="9"/>
  <c r="CQ279" i="9"/>
  <c r="CZ278" i="9"/>
  <c r="CZ276" i="9"/>
  <c r="CZ274" i="9"/>
  <c r="CZ272" i="9"/>
  <c r="CZ270" i="9"/>
  <c r="CZ268" i="9"/>
  <c r="CZ266" i="9"/>
  <c r="CZ264" i="9"/>
  <c r="CZ262" i="9"/>
  <c r="CZ260" i="9"/>
  <c r="CZ258" i="9"/>
  <c r="CZ256" i="9"/>
  <c r="CZ254" i="9"/>
  <c r="CZ252" i="9"/>
  <c r="CZ250" i="9"/>
  <c r="CZ248" i="9"/>
  <c r="CZ246" i="9"/>
  <c r="DA278" i="9"/>
  <c r="DA276" i="9"/>
  <c r="DA274" i="9"/>
  <c r="DA272" i="9"/>
  <c r="DA270" i="9"/>
  <c r="DA268" i="9"/>
  <c r="DA266" i="9"/>
  <c r="DA264" i="9"/>
  <c r="DA262" i="9"/>
  <c r="DA260" i="9"/>
  <c r="DA258" i="9"/>
  <c r="DA256" i="9"/>
  <c r="DA254" i="9"/>
  <c r="DA252" i="9"/>
  <c r="DA250" i="9"/>
  <c r="DA248" i="9"/>
  <c r="DA246" i="9"/>
  <c r="DA244" i="9"/>
  <c r="DA243" i="9"/>
  <c r="DA242" i="9"/>
  <c r="DA241" i="9"/>
  <c r="DA240" i="9"/>
  <c r="DA239" i="9"/>
  <c r="DA238" i="9"/>
  <c r="DA237" i="9"/>
  <c r="DA236" i="9"/>
  <c r="DA235" i="9"/>
  <c r="DA234" i="9"/>
  <c r="DA233" i="9"/>
  <c r="DA232" i="9"/>
  <c r="DA231" i="9"/>
  <c r="DA230" i="9"/>
  <c r="DA229" i="9"/>
  <c r="DA228" i="9"/>
  <c r="DA227" i="9"/>
  <c r="DA226" i="9"/>
  <c r="DA225" i="9"/>
  <c r="DA224" i="9"/>
  <c r="DA223" i="9"/>
  <c r="DA222" i="9"/>
  <c r="CQ278" i="9"/>
  <c r="CQ276" i="9"/>
  <c r="CQ274" i="9"/>
  <c r="CQ272" i="9"/>
  <c r="CQ270" i="9"/>
  <c r="CQ268" i="9"/>
  <c r="CQ266" i="9"/>
  <c r="CQ264" i="9"/>
  <c r="CQ262" i="9"/>
  <c r="CQ260" i="9"/>
  <c r="CQ258" i="9"/>
  <c r="CQ256" i="9"/>
  <c r="CQ254" i="9"/>
  <c r="CQ252" i="9"/>
  <c r="CQ250" i="9"/>
  <c r="CQ248" i="9"/>
  <c r="CQ246" i="9"/>
  <c r="CZ244" i="9"/>
  <c r="CZ242" i="9"/>
  <c r="CZ240" i="9"/>
  <c r="CZ238" i="9"/>
  <c r="CZ236" i="9"/>
  <c r="CZ234" i="9"/>
  <c r="CZ232" i="9"/>
  <c r="CZ230" i="9"/>
  <c r="CZ228" i="9"/>
  <c r="CZ226" i="9"/>
  <c r="CZ224" i="9"/>
  <c r="CZ222" i="9"/>
  <c r="CZ220" i="9"/>
  <c r="CZ218" i="9"/>
  <c r="CZ216" i="9"/>
  <c r="CZ214" i="9"/>
  <c r="CZ212" i="9"/>
  <c r="CZ210" i="9"/>
  <c r="CZ208" i="9"/>
  <c r="CZ206" i="9"/>
  <c r="CQ220" i="9"/>
  <c r="CQ218" i="9"/>
  <c r="CQ216" i="9"/>
  <c r="CQ214" i="9"/>
  <c r="CQ212" i="9"/>
  <c r="CQ210" i="9"/>
  <c r="CQ208" i="9"/>
  <c r="CQ206" i="9"/>
  <c r="CQ205" i="9"/>
  <c r="CQ204" i="9"/>
  <c r="CQ203" i="9"/>
  <c r="CQ202" i="9"/>
  <c r="CQ201" i="9"/>
  <c r="CQ200" i="9"/>
  <c r="CQ199" i="9"/>
  <c r="CQ198" i="9"/>
  <c r="CQ197" i="9"/>
  <c r="CQ196" i="9"/>
  <c r="CQ195" i="9"/>
  <c r="CQ194" i="9"/>
  <c r="CQ193" i="9"/>
  <c r="CQ192" i="9"/>
  <c r="CQ191" i="9"/>
  <c r="CQ190" i="9"/>
  <c r="CQ189" i="9"/>
  <c r="CQ188" i="9"/>
  <c r="CQ187" i="9"/>
  <c r="CQ186" i="9"/>
  <c r="CQ185" i="9"/>
  <c r="CQ184" i="9"/>
  <c r="CQ183" i="9"/>
  <c r="CQ182" i="9"/>
  <c r="CQ181" i="9"/>
  <c r="CQ180" i="9"/>
  <c r="CQ179" i="9"/>
  <c r="CQ178" i="9"/>
  <c r="CQ177" i="9"/>
  <c r="CQ176" i="9"/>
  <c r="CQ175" i="9"/>
  <c r="CQ174" i="9"/>
  <c r="CQ173" i="9"/>
  <c r="CQ172" i="9"/>
  <c r="CQ171" i="9"/>
  <c r="CQ170" i="9"/>
  <c r="CQ169" i="9"/>
  <c r="CQ168" i="9"/>
  <c r="CQ167" i="9"/>
  <c r="CQ166" i="9"/>
  <c r="CQ165" i="9"/>
  <c r="CQ164" i="9"/>
  <c r="CQ163" i="9"/>
  <c r="CQ162" i="9"/>
  <c r="CQ161" i="9"/>
  <c r="CQ160" i="9"/>
  <c r="CQ159" i="9"/>
  <c r="CQ158" i="9"/>
  <c r="CQ157" i="9"/>
  <c r="DA220" i="9"/>
  <c r="DA218" i="9"/>
  <c r="DA216" i="9"/>
  <c r="DA214" i="9"/>
  <c r="DA212" i="9"/>
  <c r="DA210" i="9"/>
  <c r="DA208" i="9"/>
  <c r="DA206" i="9"/>
  <c r="CZ204" i="9"/>
  <c r="CZ202" i="9"/>
  <c r="CZ200" i="9"/>
  <c r="CZ198" i="9"/>
  <c r="CZ196" i="9"/>
  <c r="CZ194" i="9"/>
  <c r="CZ192" i="9"/>
  <c r="CZ190" i="9"/>
  <c r="CZ188" i="9"/>
  <c r="CZ186" i="9"/>
  <c r="CZ184" i="9"/>
  <c r="CZ182" i="9"/>
  <c r="CZ180" i="9"/>
  <c r="CZ178" i="9"/>
  <c r="CZ176" i="9"/>
  <c r="CZ174" i="9"/>
  <c r="CZ172" i="9"/>
  <c r="CZ170" i="9"/>
  <c r="CZ168" i="9"/>
  <c r="CZ166" i="9"/>
  <c r="CZ164" i="9"/>
  <c r="CZ162" i="9"/>
  <c r="CZ160" i="9"/>
  <c r="CZ158" i="9"/>
  <c r="CZ156" i="9"/>
  <c r="CZ154" i="9"/>
  <c r="CZ152" i="9"/>
  <c r="CZ150" i="9"/>
  <c r="CZ148" i="9"/>
  <c r="CZ146" i="9"/>
  <c r="CZ144" i="9"/>
  <c r="CZ142" i="9"/>
  <c r="CZ140" i="9"/>
  <c r="CZ138" i="9"/>
  <c r="CZ136" i="9"/>
  <c r="CZ134" i="9"/>
  <c r="CQ156" i="9"/>
  <c r="CQ154" i="9"/>
  <c r="CQ152" i="9"/>
  <c r="CQ150" i="9"/>
  <c r="CQ148" i="9"/>
  <c r="CQ146" i="9"/>
  <c r="CQ144" i="9"/>
  <c r="CQ142" i="9"/>
  <c r="CQ140" i="9"/>
  <c r="CQ138" i="9"/>
  <c r="CQ136" i="9"/>
  <c r="CQ134" i="9"/>
  <c r="DA132" i="9"/>
  <c r="DA131" i="9"/>
  <c r="DA130" i="9"/>
  <c r="DA129" i="9"/>
  <c r="DA128" i="9"/>
  <c r="DA127" i="9"/>
  <c r="DA126" i="9"/>
  <c r="DA125" i="9"/>
  <c r="DA124" i="9"/>
  <c r="DA123" i="9"/>
  <c r="DA122" i="9"/>
  <c r="DA121" i="9"/>
  <c r="DA120" i="9"/>
  <c r="DA119" i="9"/>
  <c r="DA118" i="9"/>
  <c r="DA117" i="9"/>
  <c r="DA116" i="9"/>
  <c r="DA115" i="9"/>
  <c r="DA114" i="9"/>
  <c r="DA113" i="9"/>
  <c r="DA112" i="9"/>
  <c r="DA111" i="9"/>
  <c r="DA110" i="9"/>
  <c r="DA109" i="9"/>
  <c r="DA108" i="9"/>
  <c r="DA107" i="9"/>
  <c r="DA106" i="9"/>
  <c r="DA105" i="9"/>
  <c r="DA104" i="9"/>
  <c r="DA103" i="9"/>
  <c r="DA102" i="9"/>
  <c r="DA101" i="9"/>
  <c r="DA100" i="9"/>
  <c r="DA99" i="9"/>
  <c r="DA98" i="9"/>
  <c r="DA97" i="9"/>
  <c r="DA96" i="9"/>
  <c r="DA95" i="9"/>
  <c r="DA94" i="9"/>
  <c r="DA93" i="9"/>
  <c r="DA92" i="9"/>
  <c r="DA91" i="9"/>
  <c r="DA90" i="9"/>
  <c r="DA89" i="9"/>
  <c r="DA88" i="9"/>
  <c r="DA87" i="9"/>
  <c r="DA86" i="9"/>
  <c r="DA85" i="9"/>
  <c r="DA84" i="9"/>
  <c r="DA83" i="9"/>
  <c r="DA82" i="9"/>
  <c r="DA81" i="9"/>
  <c r="DA80" i="9"/>
  <c r="DA79" i="9"/>
  <c r="DA78" i="9"/>
  <c r="DA77" i="9"/>
  <c r="DA76" i="9"/>
  <c r="DA75" i="9"/>
  <c r="DA74" i="9"/>
  <c r="DA73" i="9"/>
  <c r="DA72" i="9"/>
  <c r="DA71" i="9"/>
  <c r="DA70" i="9"/>
  <c r="DA69" i="9"/>
  <c r="DA68" i="9"/>
  <c r="DA67" i="9"/>
  <c r="DA66" i="9"/>
  <c r="DA65" i="9"/>
  <c r="DA156" i="9"/>
  <c r="DA154" i="9"/>
  <c r="DA152" i="9"/>
  <c r="DA150" i="9"/>
  <c r="DA148" i="9"/>
  <c r="DA146" i="9"/>
  <c r="DA144" i="9"/>
  <c r="DA142" i="9"/>
  <c r="DA140" i="9"/>
  <c r="DA138" i="9"/>
  <c r="DA136" i="9"/>
  <c r="DA134" i="9"/>
  <c r="CZ132" i="9"/>
  <c r="CZ130" i="9"/>
  <c r="CZ128" i="9"/>
  <c r="CZ126" i="9"/>
  <c r="CZ124" i="9"/>
  <c r="CZ122" i="9"/>
  <c r="CZ120" i="9"/>
  <c r="CZ118" i="9"/>
  <c r="CZ116" i="9"/>
  <c r="CZ114" i="9"/>
  <c r="CZ112" i="9"/>
  <c r="CZ110" i="9"/>
  <c r="CZ108" i="9"/>
  <c r="CZ106" i="9"/>
  <c r="CZ104" i="9"/>
  <c r="CZ102" i="9"/>
  <c r="CZ100" i="9"/>
  <c r="CZ98" i="9"/>
  <c r="CZ96" i="9"/>
  <c r="CZ94" i="9"/>
  <c r="CZ92" i="9"/>
  <c r="CZ90" i="9"/>
  <c r="CZ88" i="9"/>
  <c r="CZ86" i="9"/>
  <c r="CZ84" i="9"/>
  <c r="CZ82" i="9"/>
  <c r="CZ73" i="9"/>
  <c r="CZ64" i="9"/>
  <c r="CZ48" i="9"/>
  <c r="CZ39" i="9"/>
  <c r="CZ30" i="9"/>
  <c r="CZ13" i="9"/>
  <c r="CZ11" i="9"/>
  <c r="CZ9" i="9"/>
  <c r="CZ7" i="9"/>
  <c r="CZ5" i="9"/>
  <c r="CX4" i="9"/>
  <c r="CQ64" i="9"/>
  <c r="CQ62" i="9"/>
  <c r="CQ60" i="9"/>
  <c r="CQ58" i="9"/>
  <c r="CQ56" i="9"/>
  <c r="CQ54" i="9"/>
  <c r="CQ52" i="9"/>
  <c r="CQ50" i="9"/>
  <c r="CQ48" i="9"/>
  <c r="CQ46" i="9"/>
  <c r="CQ44" i="9"/>
  <c r="CQ42" i="9"/>
  <c r="CQ40" i="9"/>
  <c r="CQ38" i="9"/>
  <c r="CQ36" i="9"/>
  <c r="CQ34" i="9"/>
  <c r="CQ32" i="9"/>
  <c r="CQ30" i="9"/>
  <c r="CQ28" i="9"/>
  <c r="CQ26" i="9"/>
  <c r="CQ24" i="9"/>
  <c r="CQ22" i="9"/>
  <c r="CQ20" i="9"/>
  <c r="CQ18" i="9"/>
  <c r="CQ16" i="9"/>
  <c r="CQ14" i="9"/>
  <c r="CQ12" i="9"/>
  <c r="CQ10" i="9"/>
  <c r="CQ8" i="9"/>
  <c r="CQ6" i="9"/>
  <c r="CY4" i="9"/>
  <c r="CW4" i="9"/>
  <c r="DA64" i="9"/>
  <c r="DA62" i="9"/>
  <c r="DA60" i="9"/>
  <c r="DA58" i="9"/>
  <c r="DA56" i="9"/>
  <c r="DA54" i="9"/>
  <c r="DA52" i="9"/>
  <c r="DA50" i="9"/>
  <c r="DA48" i="9"/>
  <c r="DA46" i="9"/>
  <c r="DA44" i="9"/>
  <c r="DA42" i="9"/>
  <c r="DA40" i="9"/>
  <c r="DA38" i="9"/>
  <c r="DA36" i="9"/>
  <c r="DA34" i="9"/>
  <c r="DA32" i="9"/>
  <c r="DA30" i="9"/>
  <c r="DA28" i="9"/>
  <c r="DA26" i="9"/>
  <c r="DA24" i="9"/>
  <c r="DA22" i="9"/>
  <c r="DA20" i="9"/>
  <c r="DA18" i="9"/>
  <c r="DA16" i="9"/>
  <c r="DA14" i="9"/>
  <c r="DA12" i="9"/>
  <c r="DA10" i="9"/>
  <c r="DA8" i="9"/>
  <c r="DA6" i="9"/>
  <c r="CS273" i="9"/>
  <c r="CS45" i="9"/>
  <c r="CS249" i="9"/>
  <c r="CS261" i="9"/>
  <c r="CS39" i="9"/>
  <c r="CS27" i="9"/>
  <c r="CS19" i="9"/>
  <c r="CS124" i="9"/>
  <c r="CS283" i="9"/>
  <c r="CS114" i="9"/>
  <c r="CS89" i="9"/>
  <c r="CS62" i="9"/>
  <c r="CS54" i="9"/>
  <c r="CS38" i="9"/>
  <c r="CS80" i="9"/>
  <c r="CS112" i="9"/>
  <c r="CS168" i="9"/>
  <c r="CS275" i="9"/>
  <c r="CS287" i="9"/>
  <c r="CS295" i="9"/>
  <c r="CS303" i="9"/>
  <c r="CS126" i="9"/>
  <c r="CS61" i="9"/>
  <c r="CS70" i="9"/>
  <c r="CS253" i="9"/>
  <c r="CS87" i="9"/>
  <c r="CW87" i="9" s="1"/>
  <c r="CS95" i="9"/>
  <c r="CS103" i="9"/>
  <c r="CS6" i="9"/>
  <c r="CW6" i="9" s="1"/>
  <c r="CS73" i="9"/>
  <c r="CS216" i="9"/>
  <c r="CS31" i="9"/>
  <c r="CS11" i="9"/>
  <c r="CS97" i="9"/>
  <c r="CS91" i="9"/>
  <c r="CS210" i="9"/>
  <c r="CS242" i="9"/>
  <c r="CS88" i="9"/>
  <c r="CS104" i="9"/>
  <c r="CS267" i="9"/>
  <c r="CS311" i="9"/>
  <c r="CS186" i="9"/>
  <c r="CY186" i="9" s="1"/>
  <c r="CS285" i="9"/>
  <c r="CS269" i="9"/>
  <c r="CS289" i="9"/>
  <c r="CS119" i="9"/>
  <c r="CU119" i="9" s="1"/>
  <c r="CV119" i="9" s="1"/>
  <c r="CS230" i="9"/>
  <c r="CW230" i="9" s="1"/>
  <c r="CS51" i="9"/>
  <c r="CS43" i="9"/>
  <c r="CS35" i="9"/>
  <c r="CS48" i="9"/>
  <c r="CU48" i="9" s="1"/>
  <c r="CV48" i="9" s="1"/>
  <c r="CS107" i="9"/>
  <c r="CY107" i="9" s="1"/>
  <c r="CS131" i="9"/>
  <c r="CS142" i="9"/>
  <c r="CS218" i="9"/>
  <c r="CS93" i="9"/>
  <c r="CW93" i="9" s="1"/>
  <c r="CS125" i="9"/>
  <c r="CS136" i="9"/>
  <c r="CY136" i="9" s="1"/>
  <c r="CS64" i="9"/>
  <c r="CS40" i="9"/>
  <c r="CW40" i="9" s="1"/>
  <c r="CS32" i="9"/>
  <c r="CS58" i="9"/>
  <c r="CY58" i="9" s="1"/>
  <c r="CS293" i="9"/>
  <c r="CS59" i="9"/>
  <c r="CS72" i="9"/>
  <c r="CS132" i="9"/>
  <c r="CS180" i="9"/>
  <c r="CS204" i="9"/>
  <c r="CS271" i="9"/>
  <c r="CS307" i="9"/>
  <c r="CS158" i="9"/>
  <c r="CS198" i="9"/>
  <c r="CS65" i="9"/>
  <c r="CS113" i="9"/>
  <c r="CY113" i="9" s="1"/>
  <c r="CS129" i="9"/>
  <c r="CS69" i="9"/>
  <c r="CY69" i="9" s="1"/>
  <c r="CS77" i="9"/>
  <c r="CS85" i="9"/>
  <c r="CY85" i="9" s="1"/>
  <c r="CS101" i="9"/>
  <c r="CU101" i="9" s="1"/>
  <c r="CV101" i="9" s="1"/>
  <c r="CS109" i="9"/>
  <c r="CY109" i="9" s="1"/>
  <c r="CS133" i="9"/>
  <c r="CS220" i="9"/>
  <c r="CY220" i="9" s="1"/>
  <c r="CS56" i="9"/>
  <c r="CU56" i="9" s="1"/>
  <c r="CV56" i="9" s="1"/>
  <c r="CS24" i="9"/>
  <c r="CY24" i="9" s="1"/>
  <c r="CS16" i="9"/>
  <c r="CS8" i="9"/>
  <c r="CU8" i="9" s="1"/>
  <c r="CV8" i="9" s="1"/>
  <c r="CU289" i="9"/>
  <c r="CV289" i="9" s="1"/>
  <c r="CY269" i="9"/>
  <c r="CU129" i="9"/>
  <c r="CV129" i="9" s="1"/>
  <c r="CY198" i="9"/>
  <c r="CU158" i="9"/>
  <c r="CV158" i="9" s="1"/>
  <c r="CY307" i="9"/>
  <c r="CY271" i="9"/>
  <c r="CY204" i="9"/>
  <c r="CU180" i="9"/>
  <c r="CV180" i="9" s="1"/>
  <c r="CY132" i="9"/>
  <c r="CY72" i="9"/>
  <c r="CS179" i="9"/>
  <c r="CS163" i="9"/>
  <c r="CS155" i="9"/>
  <c r="CS225" i="9"/>
  <c r="CS209" i="9"/>
  <c r="CS205" i="9"/>
  <c r="CU59" i="9"/>
  <c r="CV59" i="9" s="1"/>
  <c r="CY253" i="9"/>
  <c r="CU70" i="9"/>
  <c r="CV70" i="9" s="1"/>
  <c r="CY32" i="9"/>
  <c r="CU40" i="9"/>
  <c r="CV40" i="9" s="1"/>
  <c r="CY64" i="9"/>
  <c r="CS268" i="9"/>
  <c r="CS260" i="9"/>
  <c r="CS256" i="9"/>
  <c r="CY61" i="9"/>
  <c r="CY126" i="9"/>
  <c r="CY303" i="9"/>
  <c r="CY295" i="9"/>
  <c r="CY287" i="9"/>
  <c r="CU275" i="9"/>
  <c r="CV275" i="9" s="1"/>
  <c r="CU168" i="9"/>
  <c r="CV168" i="9" s="1"/>
  <c r="CY112" i="9"/>
  <c r="CY80" i="9"/>
  <c r="CY38" i="9"/>
  <c r="CY54" i="9"/>
  <c r="CY62" i="9"/>
  <c r="CU218" i="9"/>
  <c r="CV218" i="9" s="1"/>
  <c r="CY89" i="9"/>
  <c r="CU114" i="9"/>
  <c r="CV114" i="9" s="1"/>
  <c r="CY283" i="9"/>
  <c r="CY124" i="9"/>
  <c r="CS199" i="9"/>
  <c r="CS201" i="9"/>
  <c r="CU19" i="9"/>
  <c r="CV19" i="9" s="1"/>
  <c r="CY261" i="9"/>
  <c r="CY249" i="9"/>
  <c r="CY45" i="9"/>
  <c r="CY230" i="9"/>
  <c r="CU16" i="9"/>
  <c r="CV16" i="9" s="1"/>
  <c r="CY133" i="9"/>
  <c r="CU77" i="9"/>
  <c r="CV77" i="9" s="1"/>
  <c r="CU285" i="9"/>
  <c r="CV285" i="9" s="1"/>
  <c r="CU311" i="9"/>
  <c r="CV311" i="9" s="1"/>
  <c r="CU267" i="9"/>
  <c r="CV267" i="9" s="1"/>
  <c r="CY104" i="9"/>
  <c r="CY88" i="9"/>
  <c r="CU242" i="9"/>
  <c r="CV242" i="9" s="1"/>
  <c r="CY210" i="9"/>
  <c r="CY91" i="9"/>
  <c r="CY97" i="9"/>
  <c r="CY65" i="9"/>
  <c r="CY11" i="9"/>
  <c r="CU31" i="9"/>
  <c r="CV31" i="9" s="1"/>
  <c r="CS308" i="9"/>
  <c r="CS300" i="9"/>
  <c r="CS292" i="9"/>
  <c r="CS280" i="9"/>
  <c r="CU216" i="9"/>
  <c r="CV216" i="9" s="1"/>
  <c r="CU73" i="9"/>
  <c r="CV73" i="9" s="1"/>
  <c r="CS197" i="9"/>
  <c r="CY197" i="9" s="1"/>
  <c r="CY293" i="9"/>
  <c r="CY6" i="9"/>
  <c r="CU103" i="9"/>
  <c r="CV103" i="9" s="1"/>
  <c r="CY95" i="9"/>
  <c r="CU87" i="9"/>
  <c r="CV87" i="9" s="1"/>
  <c r="CS315" i="9"/>
  <c r="CS306" i="9"/>
  <c r="CY306" i="9" s="1"/>
  <c r="CS298" i="9"/>
  <c r="CY125" i="9"/>
  <c r="CU93" i="9"/>
  <c r="CV93" i="9" s="1"/>
  <c r="CY142" i="9"/>
  <c r="CY131" i="9"/>
  <c r="CS167" i="9"/>
  <c r="CY167" i="9" s="1"/>
  <c r="CS143" i="9"/>
  <c r="CS177" i="9"/>
  <c r="CY27" i="9"/>
  <c r="CY39" i="9"/>
  <c r="CS149" i="9"/>
  <c r="CY35" i="9"/>
  <c r="CU43" i="9"/>
  <c r="CV43" i="9" s="1"/>
  <c r="CY51" i="9"/>
  <c r="CY273" i="9"/>
  <c r="CS270" i="9"/>
  <c r="CY270" i="9" s="1"/>
  <c r="CS262" i="9"/>
  <c r="CS243" i="9"/>
  <c r="CS211" i="9"/>
  <c r="CY289" i="9"/>
  <c r="CU269" i="9"/>
  <c r="CV269" i="9" s="1"/>
  <c r="CS237" i="9"/>
  <c r="CS137" i="9"/>
  <c r="CY129" i="9"/>
  <c r="CU198" i="9"/>
  <c r="CV198" i="9" s="1"/>
  <c r="CY158" i="9"/>
  <c r="CU307" i="9"/>
  <c r="CV307" i="9" s="1"/>
  <c r="CU271" i="9"/>
  <c r="CV271" i="9" s="1"/>
  <c r="CU204" i="9"/>
  <c r="CV204" i="9" s="1"/>
  <c r="CY180" i="9"/>
  <c r="CU132" i="9"/>
  <c r="CV132" i="9" s="1"/>
  <c r="CU72" i="9"/>
  <c r="CV72" i="9" s="1"/>
  <c r="CY59" i="9"/>
  <c r="CU253" i="9"/>
  <c r="CV253" i="9" s="1"/>
  <c r="CY70" i="9"/>
  <c r="CU32" i="9"/>
  <c r="CV32" i="9" s="1"/>
  <c r="CY40" i="9"/>
  <c r="CU64" i="9"/>
  <c r="CV64" i="9" s="1"/>
  <c r="CU136" i="9"/>
  <c r="CV136" i="9" s="1"/>
  <c r="CU61" i="9"/>
  <c r="CV61" i="9" s="1"/>
  <c r="CU126" i="9"/>
  <c r="CV126" i="9" s="1"/>
  <c r="CU303" i="9"/>
  <c r="CV303" i="9" s="1"/>
  <c r="CU295" i="9"/>
  <c r="CV295" i="9" s="1"/>
  <c r="CU287" i="9"/>
  <c r="CV287" i="9" s="1"/>
  <c r="CY275" i="9"/>
  <c r="CY168" i="9"/>
  <c r="CU112" i="9"/>
  <c r="CV112" i="9" s="1"/>
  <c r="CU80" i="9"/>
  <c r="CV80" i="9" s="1"/>
  <c r="CU38" i="9"/>
  <c r="CV38" i="9" s="1"/>
  <c r="CU54" i="9"/>
  <c r="CV54" i="9" s="1"/>
  <c r="CU62" i="9"/>
  <c r="CV62" i="9" s="1"/>
  <c r="CY218" i="9"/>
  <c r="CU107" i="9"/>
  <c r="CV107" i="9" s="1"/>
  <c r="CY48" i="9"/>
  <c r="CU89" i="9"/>
  <c r="CV89" i="9" s="1"/>
  <c r="CY114" i="9"/>
  <c r="CU283" i="9"/>
  <c r="CV283" i="9" s="1"/>
  <c r="CU124" i="9"/>
  <c r="CV124" i="9" s="1"/>
  <c r="CY19" i="9"/>
  <c r="CU261" i="9"/>
  <c r="CV261" i="9" s="1"/>
  <c r="CU249" i="9"/>
  <c r="CV249" i="9" s="1"/>
  <c r="CU45" i="9"/>
  <c r="CV45" i="9" s="1"/>
  <c r="CS235" i="9"/>
  <c r="CS223" i="9"/>
  <c r="CY223" i="9" s="1"/>
  <c r="CS219" i="9"/>
  <c r="CU219" i="9" s="1"/>
  <c r="CV219" i="9" s="1"/>
  <c r="CS215" i="9"/>
  <c r="CY215" i="9" s="1"/>
  <c r="CU230" i="9"/>
  <c r="CV230" i="9" s="1"/>
  <c r="CY119" i="9"/>
  <c r="CY8" i="9"/>
  <c r="CY16" i="9"/>
  <c r="CU24" i="9"/>
  <c r="CV24" i="9" s="1"/>
  <c r="CY56" i="9"/>
  <c r="CU220" i="9"/>
  <c r="CV220" i="9" s="1"/>
  <c r="CU133" i="9"/>
  <c r="CV133" i="9" s="1"/>
  <c r="CU109" i="9"/>
  <c r="CV109" i="9" s="1"/>
  <c r="CY101" i="9"/>
  <c r="CU85" i="9"/>
  <c r="CV85" i="9" s="1"/>
  <c r="CY77" i="9"/>
  <c r="CU69" i="9"/>
  <c r="CV69" i="9" s="1"/>
  <c r="CY285" i="9"/>
  <c r="CU186" i="9"/>
  <c r="CV186" i="9" s="1"/>
  <c r="CY311" i="9"/>
  <c r="CY267" i="9"/>
  <c r="CU104" i="9"/>
  <c r="CV104" i="9" s="1"/>
  <c r="CU88" i="9"/>
  <c r="CV88" i="9" s="1"/>
  <c r="CY242" i="9"/>
  <c r="CU210" i="9"/>
  <c r="CV210" i="9" s="1"/>
  <c r="CU91" i="9"/>
  <c r="CV91" i="9" s="1"/>
  <c r="CU113" i="9"/>
  <c r="CV113" i="9" s="1"/>
  <c r="CU97" i="9"/>
  <c r="CV97" i="9" s="1"/>
  <c r="CU65" i="9"/>
  <c r="CV65" i="9" s="1"/>
  <c r="CS187" i="9"/>
  <c r="CU187" i="9" s="1"/>
  <c r="CV187" i="9" s="1"/>
  <c r="CU11" i="9"/>
  <c r="CV11" i="9" s="1"/>
  <c r="CY31" i="9"/>
  <c r="CY216" i="9"/>
  <c r="CY73" i="9"/>
  <c r="CU293" i="9"/>
  <c r="CV293" i="9" s="1"/>
  <c r="CS266" i="9"/>
  <c r="CU266" i="9" s="1"/>
  <c r="CV266" i="9" s="1"/>
  <c r="CS258" i="9"/>
  <c r="CU6" i="9"/>
  <c r="CV6" i="9" s="1"/>
  <c r="CU58" i="9"/>
  <c r="CV58" i="9" s="1"/>
  <c r="CY103" i="9"/>
  <c r="CU95" i="9"/>
  <c r="CV95" i="9" s="1"/>
  <c r="CY87" i="9"/>
  <c r="CU125" i="9"/>
  <c r="CV125" i="9" s="1"/>
  <c r="CY93" i="9"/>
  <c r="CU142" i="9"/>
  <c r="CV142" i="9" s="1"/>
  <c r="CU131" i="9"/>
  <c r="CV131" i="9" s="1"/>
  <c r="CU27" i="9"/>
  <c r="CV27" i="9" s="1"/>
  <c r="CU39" i="9"/>
  <c r="CV39" i="9" s="1"/>
  <c r="CU35" i="9"/>
  <c r="CV35" i="9" s="1"/>
  <c r="CY43" i="9"/>
  <c r="CU51" i="9"/>
  <c r="CV51" i="9" s="1"/>
  <c r="CU273" i="9"/>
  <c r="CV273" i="9" s="1"/>
  <c r="CU262" i="9"/>
  <c r="CV262" i="9" s="1"/>
  <c r="CY177" i="9"/>
  <c r="CU298" i="9"/>
  <c r="CV298" i="9" s="1"/>
  <c r="CY149" i="9"/>
  <c r="CY280" i="9"/>
  <c r="CU292" i="9"/>
  <c r="CV292" i="9" s="1"/>
  <c r="CU300" i="9"/>
  <c r="CV300" i="9" s="1"/>
  <c r="CU308" i="9"/>
  <c r="CV308" i="9" s="1"/>
  <c r="CU201" i="9"/>
  <c r="CV201" i="9" s="1"/>
  <c r="CU199" i="9"/>
  <c r="CV199" i="9" s="1"/>
  <c r="CU256" i="9"/>
  <c r="CV256" i="9" s="1"/>
  <c r="CU260" i="9"/>
  <c r="CV260" i="9" s="1"/>
  <c r="CU209" i="9"/>
  <c r="CV209" i="9" s="1"/>
  <c r="CU225" i="9"/>
  <c r="CV225" i="9" s="1"/>
  <c r="CU163" i="9"/>
  <c r="CV163" i="9" s="1"/>
  <c r="CU179" i="9"/>
  <c r="CV179" i="9" s="1"/>
  <c r="CY143" i="9"/>
  <c r="CY315" i="9"/>
  <c r="CY258" i="9"/>
  <c r="CY235" i="9"/>
  <c r="CY268" i="9"/>
  <c r="CU205" i="9"/>
  <c r="CV205" i="9" s="1"/>
  <c r="CU155" i="9"/>
  <c r="CV155" i="9" s="1"/>
  <c r="CU137" i="9"/>
  <c r="CV137" i="9" s="1"/>
  <c r="CU237" i="9"/>
  <c r="CV237" i="9" s="1"/>
  <c r="CY211" i="9"/>
  <c r="CY243" i="9"/>
  <c r="CY262" i="9"/>
  <c r="CU177" i="9"/>
  <c r="CV177" i="9" s="1"/>
  <c r="CU167" i="9"/>
  <c r="CV167" i="9" s="1"/>
  <c r="CY298" i="9"/>
  <c r="CU306" i="9"/>
  <c r="CV306" i="9" s="1"/>
  <c r="CU149" i="9"/>
  <c r="CV149" i="9" s="1"/>
  <c r="CU197" i="9"/>
  <c r="CV197" i="9" s="1"/>
  <c r="CU280" i="9"/>
  <c r="CV280" i="9" s="1"/>
  <c r="CY292" i="9"/>
  <c r="CY300" i="9"/>
  <c r="CY308" i="9"/>
  <c r="CY201" i="9"/>
  <c r="CY199" i="9"/>
  <c r="CY256" i="9"/>
  <c r="CY260" i="9"/>
  <c r="CY209" i="9"/>
  <c r="CY225" i="9"/>
  <c r="CY163" i="9"/>
  <c r="CY179" i="9"/>
  <c r="CU270" i="9"/>
  <c r="CV270" i="9" s="1"/>
  <c r="CU143" i="9"/>
  <c r="CV143" i="9" s="1"/>
  <c r="CU315" i="9"/>
  <c r="CV315" i="9" s="1"/>
  <c r="CU258" i="9"/>
  <c r="CV258" i="9" s="1"/>
  <c r="CU215" i="9"/>
  <c r="CV215" i="9" s="1"/>
  <c r="CY219" i="9"/>
  <c r="CU223" i="9"/>
  <c r="CV223" i="9" s="1"/>
  <c r="CU235" i="9"/>
  <c r="CV235" i="9" s="1"/>
  <c r="CU268" i="9"/>
  <c r="CV268" i="9" s="1"/>
  <c r="CY205" i="9"/>
  <c r="CY155" i="9"/>
  <c r="CY137" i="9"/>
  <c r="CY237" i="9"/>
  <c r="CU211" i="9"/>
  <c r="CV211" i="9" s="1"/>
  <c r="CU243" i="9"/>
  <c r="CV243" i="9" s="1"/>
  <c r="BZ332" i="9"/>
  <c r="BZ457" i="9"/>
  <c r="BZ324" i="9"/>
  <c r="BZ447" i="9"/>
  <c r="BI348" i="9"/>
  <c r="BK440" i="9" s="1"/>
  <c r="BJ440" i="9" s="1"/>
  <c r="BM436" i="9"/>
  <c r="BT318" i="9"/>
  <c r="BT316" i="9"/>
  <c r="BT314" i="9"/>
  <c r="BT312" i="9"/>
  <c r="BT310" i="9"/>
  <c r="BT308" i="9"/>
  <c r="BT306" i="9"/>
  <c r="BT304" i="9"/>
  <c r="BT302" i="9"/>
  <c r="BT300" i="9"/>
  <c r="BT298" i="9"/>
  <c r="BT296" i="9"/>
  <c r="BT294" i="9"/>
  <c r="BT292" i="9"/>
  <c r="BT290" i="9"/>
  <c r="BT288" i="9"/>
  <c r="BT286" i="9"/>
  <c r="BT284" i="9"/>
  <c r="BT282" i="9"/>
  <c r="BT280" i="9"/>
  <c r="BT278" i="9"/>
  <c r="BT276" i="9"/>
  <c r="BT274" i="9"/>
  <c r="BT272" i="9"/>
  <c r="BT270" i="9"/>
  <c r="BT268" i="9"/>
  <c r="BT266" i="9"/>
  <c r="BT264" i="9"/>
  <c r="BT262" i="9"/>
  <c r="BT260" i="9"/>
  <c r="BT258" i="9"/>
  <c r="BT256" i="9"/>
  <c r="BT254" i="9"/>
  <c r="BT252" i="9"/>
  <c r="BT250" i="9"/>
  <c r="BT248" i="9"/>
  <c r="BT246" i="9"/>
  <c r="BT244" i="9"/>
  <c r="BT242" i="9"/>
  <c r="BT240" i="9"/>
  <c r="BT238" i="9"/>
  <c r="BT236" i="9"/>
  <c r="BT234" i="9"/>
  <c r="BT232" i="9"/>
  <c r="BT230" i="9"/>
  <c r="BT228" i="9"/>
  <c r="BT226" i="9"/>
  <c r="BT224" i="9"/>
  <c r="BT222" i="9"/>
  <c r="BT220" i="9"/>
  <c r="BT218" i="9"/>
  <c r="BT216" i="9"/>
  <c r="BT214" i="9"/>
  <c r="BT212" i="9"/>
  <c r="BT210" i="9"/>
  <c r="BT208" i="9"/>
  <c r="BT206" i="9"/>
  <c r="BT204" i="9"/>
  <c r="BT202" i="9"/>
  <c r="BT200" i="9"/>
  <c r="BT198" i="9"/>
  <c r="BT196" i="9"/>
  <c r="BT194" i="9"/>
  <c r="BT192" i="9"/>
  <c r="BT190" i="9"/>
  <c r="BT188" i="9"/>
  <c r="BT186" i="9"/>
  <c r="BT184" i="9"/>
  <c r="BT182" i="9"/>
  <c r="BT180" i="9"/>
  <c r="BT178" i="9"/>
  <c r="BT176" i="9"/>
  <c r="BT174" i="9"/>
  <c r="BT172" i="9"/>
  <c r="BT170" i="9"/>
  <c r="BT168" i="9"/>
  <c r="BT166" i="9"/>
  <c r="BT164" i="9"/>
  <c r="BT162" i="9"/>
  <c r="BT160" i="9"/>
  <c r="BT158" i="9"/>
  <c r="BT156" i="9"/>
  <c r="BT154" i="9"/>
  <c r="BT152" i="9"/>
  <c r="BT150" i="9"/>
  <c r="BT148" i="9"/>
  <c r="BT146" i="9"/>
  <c r="BT144" i="9"/>
  <c r="BT142" i="9"/>
  <c r="BT140" i="9"/>
  <c r="BT138" i="9"/>
  <c r="BT136" i="9"/>
  <c r="BT134" i="9"/>
  <c r="BT132" i="9"/>
  <c r="BT130" i="9"/>
  <c r="BT128" i="9"/>
  <c r="BT126" i="9"/>
  <c r="BT124" i="9"/>
  <c r="BT122" i="9"/>
  <c r="BT120" i="9"/>
  <c r="BT118" i="9"/>
  <c r="BT116" i="9"/>
  <c r="BT114" i="9"/>
  <c r="BT112" i="9"/>
  <c r="BT110" i="9"/>
  <c r="BT108" i="9"/>
  <c r="BT106" i="9"/>
  <c r="BT104" i="9"/>
  <c r="BT102" i="9"/>
  <c r="BT100" i="9"/>
  <c r="BT98" i="9"/>
  <c r="BT96" i="9"/>
  <c r="BT94" i="9"/>
  <c r="BT92" i="9"/>
  <c r="BT90" i="9"/>
  <c r="BT88" i="9"/>
  <c r="BT86" i="9"/>
  <c r="BT84" i="9"/>
  <c r="BT82" i="9"/>
  <c r="BT73" i="9"/>
  <c r="BT64" i="9"/>
  <c r="BT49" i="9"/>
  <c r="BT40" i="9"/>
  <c r="BT31" i="9"/>
  <c r="BT14" i="9"/>
  <c r="BT12" i="9"/>
  <c r="BT10" i="9"/>
  <c r="BT8" i="9"/>
  <c r="BT6" i="9"/>
  <c r="BT319" i="9"/>
  <c r="BT317" i="9"/>
  <c r="BT315" i="9"/>
  <c r="BT313" i="9"/>
  <c r="BT311" i="9"/>
  <c r="BT309" i="9"/>
  <c r="BT307" i="9"/>
  <c r="BT305" i="9"/>
  <c r="BT303" i="9"/>
  <c r="BT301" i="9"/>
  <c r="BT299" i="9"/>
  <c r="BT297" i="9"/>
  <c r="BT295" i="9"/>
  <c r="BT293" i="9"/>
  <c r="BT291" i="9"/>
  <c r="BT289" i="9"/>
  <c r="BT287" i="9"/>
  <c r="BT285" i="9"/>
  <c r="BT283" i="9"/>
  <c r="BT281" i="9"/>
  <c r="BT279" i="9"/>
  <c r="BT277" i="9"/>
  <c r="BT275" i="9"/>
  <c r="BT273" i="9"/>
  <c r="BT271" i="9"/>
  <c r="BT269" i="9"/>
  <c r="BT267" i="9"/>
  <c r="BT265" i="9"/>
  <c r="BT263" i="9"/>
  <c r="BT261" i="9"/>
  <c r="BT259" i="9"/>
  <c r="BT257" i="9"/>
  <c r="BT255" i="9"/>
  <c r="BT253" i="9"/>
  <c r="BT251" i="9"/>
  <c r="BT249" i="9"/>
  <c r="BT247" i="9"/>
  <c r="BT245" i="9"/>
  <c r="BT243" i="9"/>
  <c r="BT241" i="9"/>
  <c r="BT239" i="9"/>
  <c r="BT237" i="9"/>
  <c r="BT235" i="9"/>
  <c r="BT233" i="9"/>
  <c r="BT231" i="9"/>
  <c r="BT229" i="9"/>
  <c r="BT227" i="9"/>
  <c r="BT225" i="9"/>
  <c r="BT223" i="9"/>
  <c r="BT221" i="9"/>
  <c r="BT219" i="9"/>
  <c r="BT217" i="9"/>
  <c r="BT215" i="9"/>
  <c r="BT213" i="9"/>
  <c r="BT211" i="9"/>
  <c r="BT209" i="9"/>
  <c r="BT207" i="9"/>
  <c r="BT205" i="9"/>
  <c r="BT203" i="9"/>
  <c r="BT201" i="9"/>
  <c r="BT199" i="9"/>
  <c r="BT197" i="9"/>
  <c r="BT195" i="9"/>
  <c r="BT193" i="9"/>
  <c r="BT191" i="9"/>
  <c r="BT189" i="9"/>
  <c r="BT187" i="9"/>
  <c r="BT185" i="9"/>
  <c r="BT183" i="9"/>
  <c r="BT181" i="9"/>
  <c r="BT179" i="9"/>
  <c r="BT177" i="9"/>
  <c r="BT175" i="9"/>
  <c r="BT173" i="9"/>
  <c r="BT171" i="9"/>
  <c r="BT169" i="9"/>
  <c r="BT167" i="9"/>
  <c r="BT165" i="9"/>
  <c r="BT163" i="9"/>
  <c r="BT161" i="9"/>
  <c r="BT159" i="9"/>
  <c r="BT157" i="9"/>
  <c r="BT155" i="9"/>
  <c r="BT153" i="9"/>
  <c r="BT151" i="9"/>
  <c r="BT149" i="9"/>
  <c r="BT147" i="9"/>
  <c r="BT145" i="9"/>
  <c r="BT143" i="9"/>
  <c r="BT141" i="9"/>
  <c r="BT139" i="9"/>
  <c r="BT137" i="9"/>
  <c r="BT135" i="9"/>
  <c r="BT133" i="9"/>
  <c r="BT131" i="9"/>
  <c r="BT129" i="9"/>
  <c r="BT127" i="9"/>
  <c r="BT125" i="9"/>
  <c r="BT123" i="9"/>
  <c r="BT121" i="9"/>
  <c r="BT119" i="9"/>
  <c r="BT117" i="9"/>
  <c r="BT115" i="9"/>
  <c r="BT113" i="9"/>
  <c r="BT111" i="9"/>
  <c r="BT109" i="9"/>
  <c r="BT107" i="9"/>
  <c r="BT105" i="9"/>
  <c r="BT103" i="9"/>
  <c r="BT101" i="9"/>
  <c r="BT99" i="9"/>
  <c r="BT97" i="9"/>
  <c r="BT95" i="9"/>
  <c r="BT93" i="9"/>
  <c r="BT91" i="9"/>
  <c r="BT89" i="9"/>
  <c r="BT87" i="9"/>
  <c r="BT85" i="9"/>
  <c r="BT83" i="9"/>
  <c r="BT74" i="9"/>
  <c r="BT65" i="9"/>
  <c r="BT48" i="9"/>
  <c r="BT39" i="9"/>
  <c r="BT30" i="9"/>
  <c r="BT13" i="9"/>
  <c r="BT11" i="9"/>
  <c r="BT9" i="9"/>
  <c r="BT7" i="9"/>
  <c r="BT5" i="9"/>
  <c r="BR76" i="9"/>
  <c r="BT76" i="9" s="1"/>
  <c r="BR66" i="9"/>
  <c r="BT66" i="9" s="1"/>
  <c r="BR56" i="9"/>
  <c r="BT56" i="9" s="1"/>
  <c r="BU56" i="9" s="1"/>
  <c r="BR46" i="9"/>
  <c r="BT46" i="9" s="1"/>
  <c r="BR36" i="9"/>
  <c r="BT36" i="9" s="1"/>
  <c r="BR26" i="9"/>
  <c r="BT26" i="9" s="1"/>
  <c r="BR18" i="9"/>
  <c r="BT18" i="9" s="1"/>
  <c r="BR77" i="9"/>
  <c r="BT77" i="9" s="1"/>
  <c r="BU77" i="9" s="1"/>
  <c r="BR67" i="9"/>
  <c r="BT67" i="9" s="1"/>
  <c r="BR57" i="9"/>
  <c r="BT57" i="9" s="1"/>
  <c r="BR47" i="9"/>
  <c r="BT47" i="9" s="1"/>
  <c r="BR37" i="9"/>
  <c r="BT37" i="9" s="1"/>
  <c r="BR27" i="9"/>
  <c r="BT27" i="9" s="1"/>
  <c r="BU27" i="9" s="1"/>
  <c r="BR19" i="9"/>
  <c r="BT19" i="9" s="1"/>
  <c r="BU19" i="9" s="1"/>
  <c r="BR72" i="9"/>
  <c r="BT72" i="9" s="1"/>
  <c r="BU72" i="9" s="1"/>
  <c r="BR62" i="9"/>
  <c r="BT62" i="9" s="1"/>
  <c r="BU62" i="9" s="1"/>
  <c r="BR54" i="9"/>
  <c r="BT54" i="9" s="1"/>
  <c r="BU54" i="9" s="1"/>
  <c r="BR44" i="9"/>
  <c r="BT44" i="9" s="1"/>
  <c r="BR34" i="9"/>
  <c r="BT34" i="9" s="1"/>
  <c r="BR24" i="9"/>
  <c r="BT24" i="9" s="1"/>
  <c r="BU24" i="9" s="1"/>
  <c r="BR16" i="9"/>
  <c r="BT16" i="9" s="1"/>
  <c r="BU16" i="9" s="1"/>
  <c r="BR75" i="9"/>
  <c r="BT75" i="9" s="1"/>
  <c r="BR63" i="9"/>
  <c r="BT63" i="9" s="1"/>
  <c r="BR55" i="9"/>
  <c r="BT55" i="9" s="1"/>
  <c r="BR45" i="9"/>
  <c r="BT45" i="9" s="1"/>
  <c r="BU45" i="9" s="1"/>
  <c r="BR35" i="9"/>
  <c r="BT35" i="9" s="1"/>
  <c r="BU35" i="9" s="1"/>
  <c r="BR25" i="9"/>
  <c r="BT25" i="9" s="1"/>
  <c r="BR17" i="9"/>
  <c r="BT17" i="9" s="1"/>
  <c r="BR80" i="9"/>
  <c r="BT80" i="9" s="1"/>
  <c r="BU80" i="9" s="1"/>
  <c r="BR70" i="9"/>
  <c r="BT70" i="9" s="1"/>
  <c r="BU70" i="9" s="1"/>
  <c r="BR60" i="9"/>
  <c r="BT60" i="9" s="1"/>
  <c r="BR52" i="9"/>
  <c r="BT52" i="9" s="1"/>
  <c r="BR42" i="9"/>
  <c r="BT42" i="9" s="1"/>
  <c r="BR32" i="9"/>
  <c r="BT32" i="9" s="1"/>
  <c r="BU32" i="9" s="1"/>
  <c r="BR22" i="9"/>
  <c r="BT22" i="9" s="1"/>
  <c r="BR81" i="9"/>
  <c r="BT81" i="9" s="1"/>
  <c r="BR71" i="9"/>
  <c r="BT71" i="9" s="1"/>
  <c r="BR61" i="9"/>
  <c r="BT61" i="9" s="1"/>
  <c r="BU61" i="9" s="1"/>
  <c r="BR53" i="9"/>
  <c r="BT53" i="9" s="1"/>
  <c r="BR43" i="9"/>
  <c r="BT43" i="9" s="1"/>
  <c r="BU43" i="9" s="1"/>
  <c r="BR33" i="9"/>
  <c r="BT33" i="9" s="1"/>
  <c r="BR23" i="9"/>
  <c r="BT23" i="9" s="1"/>
  <c r="BR15" i="9"/>
  <c r="BT15" i="9" s="1"/>
  <c r="BR78" i="9"/>
  <c r="BT78" i="9" s="1"/>
  <c r="BR68" i="9"/>
  <c r="BT68" i="9" s="1"/>
  <c r="BR58" i="9"/>
  <c r="BT58" i="9" s="1"/>
  <c r="BU58" i="9" s="1"/>
  <c r="BR50" i="9"/>
  <c r="BT50" i="9" s="1"/>
  <c r="BR38" i="9"/>
  <c r="BT38" i="9" s="1"/>
  <c r="BU38" i="9" s="1"/>
  <c r="BR28" i="9"/>
  <c r="BT28" i="9" s="1"/>
  <c r="BR20" i="9"/>
  <c r="BT20" i="9" s="1"/>
  <c r="BR79" i="9"/>
  <c r="BT79" i="9" s="1"/>
  <c r="BR69" i="9"/>
  <c r="BT69" i="9" s="1"/>
  <c r="BU69" i="9" s="1"/>
  <c r="BR59" i="9"/>
  <c r="BT59" i="9" s="1"/>
  <c r="BU59" i="9" s="1"/>
  <c r="BR51" i="9"/>
  <c r="BT51" i="9" s="1"/>
  <c r="BU51" i="9" s="1"/>
  <c r="BR41" i="9"/>
  <c r="BT41" i="9" s="1"/>
  <c r="BR29" i="9"/>
  <c r="BT29" i="9" s="1"/>
  <c r="BR21" i="9"/>
  <c r="BT21" i="9" s="1"/>
  <c r="BE318" i="9"/>
  <c r="BE316" i="9"/>
  <c r="BE314" i="9"/>
  <c r="BE312" i="9"/>
  <c r="BE310" i="9"/>
  <c r="BE308" i="9"/>
  <c r="BE306" i="9"/>
  <c r="BE304" i="9"/>
  <c r="BE302" i="9"/>
  <c r="BE300" i="9"/>
  <c r="BE298" i="9"/>
  <c r="BE296" i="9"/>
  <c r="BE294" i="9"/>
  <c r="BE292" i="9"/>
  <c r="BE290" i="9"/>
  <c r="BE288" i="9"/>
  <c r="BE286" i="9"/>
  <c r="BE284" i="9"/>
  <c r="BE282" i="9"/>
  <c r="BE280" i="9"/>
  <c r="BE278" i="9"/>
  <c r="BE276" i="9"/>
  <c r="BE274" i="9"/>
  <c r="BE272" i="9"/>
  <c r="BE270" i="9"/>
  <c r="BE268" i="9"/>
  <c r="BE266" i="9"/>
  <c r="BE264" i="9"/>
  <c r="BE262" i="9"/>
  <c r="BE260" i="9"/>
  <c r="BE258" i="9"/>
  <c r="BE256" i="9"/>
  <c r="BE254" i="9"/>
  <c r="BE252" i="9"/>
  <c r="BE250" i="9"/>
  <c r="BE248" i="9"/>
  <c r="BE246" i="9"/>
  <c r="BE244" i="9"/>
  <c r="BE242" i="9"/>
  <c r="BE240" i="9"/>
  <c r="BE238" i="9"/>
  <c r="BE236" i="9"/>
  <c r="BE234" i="9"/>
  <c r="BE232" i="9"/>
  <c r="BE230" i="9"/>
  <c r="BE228" i="9"/>
  <c r="BE226" i="9"/>
  <c r="BE224" i="9"/>
  <c r="BE222" i="9"/>
  <c r="BE204" i="9"/>
  <c r="BE202" i="9"/>
  <c r="BE200" i="9"/>
  <c r="BE198" i="9"/>
  <c r="BE196" i="9"/>
  <c r="BE194" i="9"/>
  <c r="BE192" i="9"/>
  <c r="BE190" i="9"/>
  <c r="BE188" i="9"/>
  <c r="BE186" i="9"/>
  <c r="BE184" i="9"/>
  <c r="BE182" i="9"/>
  <c r="BE180" i="9"/>
  <c r="BE178" i="9"/>
  <c r="BE176" i="9"/>
  <c r="BE174" i="9"/>
  <c r="BE172" i="9"/>
  <c r="BE170" i="9"/>
  <c r="BE168" i="9"/>
  <c r="BE166" i="9"/>
  <c r="BE164" i="9"/>
  <c r="BE162" i="9"/>
  <c r="BE160" i="9"/>
  <c r="BE158" i="9"/>
  <c r="BE220" i="9"/>
  <c r="BE218" i="9"/>
  <c r="BE216" i="9"/>
  <c r="BE214" i="9"/>
  <c r="BE212" i="9"/>
  <c r="BE210" i="9"/>
  <c r="BE208" i="9"/>
  <c r="BE206" i="9"/>
  <c r="BE132" i="9"/>
  <c r="BE130" i="9"/>
  <c r="BE128" i="9"/>
  <c r="BE126" i="9"/>
  <c r="BE124" i="9"/>
  <c r="BE122" i="9"/>
  <c r="BE120" i="9"/>
  <c r="BE118" i="9"/>
  <c r="BE116" i="9"/>
  <c r="BE114" i="9"/>
  <c r="BE112" i="9"/>
  <c r="BE110" i="9"/>
  <c r="BE108" i="9"/>
  <c r="BE106" i="9"/>
  <c r="BE104" i="9"/>
  <c r="BE102" i="9"/>
  <c r="BE100" i="9"/>
  <c r="BE98" i="9"/>
  <c r="BE96" i="9"/>
  <c r="BE94" i="9"/>
  <c r="BE92" i="9"/>
  <c r="BE90" i="9"/>
  <c r="BE88" i="9"/>
  <c r="BE86" i="9"/>
  <c r="BE84" i="9"/>
  <c r="BE82" i="9"/>
  <c r="BE80" i="9"/>
  <c r="BE78" i="9"/>
  <c r="BE76" i="9"/>
  <c r="BE74" i="9"/>
  <c r="BE72" i="9"/>
  <c r="BE70" i="9"/>
  <c r="BE68" i="9"/>
  <c r="BE66" i="9"/>
  <c r="BE157" i="9"/>
  <c r="BE155" i="9"/>
  <c r="BE153" i="9"/>
  <c r="BE151" i="9"/>
  <c r="BE149" i="9"/>
  <c r="BE147" i="9"/>
  <c r="BE145" i="9"/>
  <c r="BE143" i="9"/>
  <c r="BE141" i="9"/>
  <c r="BE139" i="9"/>
  <c r="BE137" i="9"/>
  <c r="BE135" i="9"/>
  <c r="BE5" i="9"/>
  <c r="BE63" i="9"/>
  <c r="BE61" i="9"/>
  <c r="BE59" i="9"/>
  <c r="BE57" i="9"/>
  <c r="BE55" i="9"/>
  <c r="BE53" i="9"/>
  <c r="BE51" i="9"/>
  <c r="BE49" i="9"/>
  <c r="BE47" i="9"/>
  <c r="BE45" i="9"/>
  <c r="BE43" i="9"/>
  <c r="BE41" i="9"/>
  <c r="BE39" i="9"/>
  <c r="BE37" i="9"/>
  <c r="BE35" i="9"/>
  <c r="BE33" i="9"/>
  <c r="BE31" i="9"/>
  <c r="BE29" i="9"/>
  <c r="BE27" i="9"/>
  <c r="BE25" i="9"/>
  <c r="BE23" i="9"/>
  <c r="BE21" i="9"/>
  <c r="BE19" i="9"/>
  <c r="BE17" i="9"/>
  <c r="BE15" i="9"/>
  <c r="BE13" i="9"/>
  <c r="BE11" i="9"/>
  <c r="BE9" i="9"/>
  <c r="BE7" i="9"/>
  <c r="BE319" i="9"/>
  <c r="BE317" i="9"/>
  <c r="BE315" i="9"/>
  <c r="BE313" i="9"/>
  <c r="BE311" i="9"/>
  <c r="BE309" i="9"/>
  <c r="BE307" i="9"/>
  <c r="BE305" i="9"/>
  <c r="BE303" i="9"/>
  <c r="BE301" i="9"/>
  <c r="BE299" i="9"/>
  <c r="BE297" i="9"/>
  <c r="BE295" i="9"/>
  <c r="BE293" i="9"/>
  <c r="BE291" i="9"/>
  <c r="BE289" i="9"/>
  <c r="BE287" i="9"/>
  <c r="BE285" i="9"/>
  <c r="BE283" i="9"/>
  <c r="BE281" i="9"/>
  <c r="BE279" i="9"/>
  <c r="BE277" i="9"/>
  <c r="BE275" i="9"/>
  <c r="BE273" i="9"/>
  <c r="BE271" i="9"/>
  <c r="BE269" i="9"/>
  <c r="BE267" i="9"/>
  <c r="BE265" i="9"/>
  <c r="BE263" i="9"/>
  <c r="BE261" i="9"/>
  <c r="BE259" i="9"/>
  <c r="BE257" i="9"/>
  <c r="BE255" i="9"/>
  <c r="BE253" i="9"/>
  <c r="BE251" i="9"/>
  <c r="BE249" i="9"/>
  <c r="BE247" i="9"/>
  <c r="BE245" i="9"/>
  <c r="BE243" i="9"/>
  <c r="BE241" i="9"/>
  <c r="BE239" i="9"/>
  <c r="BE237" i="9"/>
  <c r="BE235" i="9"/>
  <c r="BE233" i="9"/>
  <c r="BE231" i="9"/>
  <c r="BE229" i="9"/>
  <c r="BE227" i="9"/>
  <c r="BE225" i="9"/>
  <c r="BE223" i="9"/>
  <c r="BE205" i="9"/>
  <c r="BE203" i="9"/>
  <c r="BE201" i="9"/>
  <c r="BE199" i="9"/>
  <c r="BE197" i="9"/>
  <c r="BE195" i="9"/>
  <c r="BE193" i="9"/>
  <c r="BE191" i="9"/>
  <c r="BE189" i="9"/>
  <c r="BE187" i="9"/>
  <c r="BE185" i="9"/>
  <c r="BE183" i="9"/>
  <c r="BE181" i="9"/>
  <c r="BE179" i="9"/>
  <c r="BE177" i="9"/>
  <c r="BE175" i="9"/>
  <c r="BE173" i="9"/>
  <c r="BE171" i="9"/>
  <c r="BE169" i="9"/>
  <c r="BE167" i="9"/>
  <c r="BE165" i="9"/>
  <c r="BE163" i="9"/>
  <c r="BE161" i="9"/>
  <c r="BE159" i="9"/>
  <c r="BE221" i="9"/>
  <c r="BE219" i="9"/>
  <c r="BE217" i="9"/>
  <c r="BE215" i="9"/>
  <c r="BE213" i="9"/>
  <c r="BE211" i="9"/>
  <c r="BE209" i="9"/>
  <c r="BE207" i="9"/>
  <c r="BE133" i="9"/>
  <c r="BE131" i="9"/>
  <c r="BE129" i="9"/>
  <c r="BE127" i="9"/>
  <c r="BE125" i="9"/>
  <c r="BE123" i="9"/>
  <c r="BE121" i="9"/>
  <c r="BE119" i="9"/>
  <c r="BE117" i="9"/>
  <c r="BE115" i="9"/>
  <c r="BE113" i="9"/>
  <c r="BE111" i="9"/>
  <c r="BE109" i="9"/>
  <c r="BE107" i="9"/>
  <c r="BE105" i="9"/>
  <c r="BE103" i="9"/>
  <c r="BE101" i="9"/>
  <c r="BE99" i="9"/>
  <c r="BE97" i="9"/>
  <c r="BE95" i="9"/>
  <c r="BE93" i="9"/>
  <c r="BE91" i="9"/>
  <c r="BE89" i="9"/>
  <c r="BE87" i="9"/>
  <c r="BE85" i="9"/>
  <c r="BE83" i="9"/>
  <c r="BE81" i="9"/>
  <c r="BE79" i="9"/>
  <c r="BE77" i="9"/>
  <c r="BE75" i="9"/>
  <c r="BE73" i="9"/>
  <c r="BE71" i="9"/>
  <c r="BE69" i="9"/>
  <c r="BE67" i="9"/>
  <c r="BE65" i="9"/>
  <c r="BE156" i="9"/>
  <c r="BE154" i="9"/>
  <c r="BE152" i="9"/>
  <c r="BE150" i="9"/>
  <c r="BE148" i="9"/>
  <c r="BE146" i="9"/>
  <c r="BE144" i="9"/>
  <c r="BE142" i="9"/>
  <c r="BE140" i="9"/>
  <c r="BE138" i="9"/>
  <c r="BE136" i="9"/>
  <c r="BE134" i="9"/>
  <c r="BE64" i="9"/>
  <c r="BE62" i="9"/>
  <c r="BE60" i="9"/>
  <c r="BE58" i="9"/>
  <c r="BE56" i="9"/>
  <c r="BE54" i="9"/>
  <c r="BE52" i="9"/>
  <c r="BE50" i="9"/>
  <c r="BE48" i="9"/>
  <c r="BE46" i="9"/>
  <c r="BE44" i="9"/>
  <c r="BE42" i="9"/>
  <c r="BE40" i="9"/>
  <c r="BE38" i="9"/>
  <c r="BE36" i="9"/>
  <c r="BE34" i="9"/>
  <c r="BE32" i="9"/>
  <c r="BE30" i="9"/>
  <c r="BE28" i="9"/>
  <c r="BE26" i="9"/>
  <c r="BE24" i="9"/>
  <c r="BE22" i="9"/>
  <c r="BE20" i="9"/>
  <c r="BE18" i="9"/>
  <c r="BE16" i="9"/>
  <c r="BE14" i="9"/>
  <c r="BE12" i="9"/>
  <c r="BE10" i="9"/>
  <c r="BE8" i="9"/>
  <c r="BE6" i="9"/>
  <c r="CF306" i="9"/>
  <c r="CW306" i="9" s="1"/>
  <c r="CF298" i="9"/>
  <c r="CW298" i="9" s="1"/>
  <c r="CF268" i="9"/>
  <c r="CW268" i="9" s="1"/>
  <c r="CF260" i="9"/>
  <c r="CW260" i="9" s="1"/>
  <c r="CF225" i="9"/>
  <c r="CW225" i="9" s="1"/>
  <c r="CF31" i="9"/>
  <c r="AY132" i="9"/>
  <c r="AP132" i="9"/>
  <c r="AQ132" i="9" s="1"/>
  <c r="AO132" i="9"/>
  <c r="AY130" i="9"/>
  <c r="AP130" i="9"/>
  <c r="AQ130" i="9" s="1"/>
  <c r="AO130" i="9"/>
  <c r="AY128" i="9"/>
  <c r="AP128" i="9"/>
  <c r="AQ128" i="9" s="1"/>
  <c r="AO128" i="9"/>
  <c r="AY126" i="9"/>
  <c r="AP126" i="9"/>
  <c r="AQ126" i="9" s="1"/>
  <c r="AO126" i="9"/>
  <c r="AY124" i="9"/>
  <c r="AP124" i="9"/>
  <c r="AQ124" i="9" s="1"/>
  <c r="AO124" i="9"/>
  <c r="AY122" i="9"/>
  <c r="AP122" i="9"/>
  <c r="AQ122" i="9" s="1"/>
  <c r="AO122" i="9"/>
  <c r="AY120" i="9"/>
  <c r="AP120" i="9"/>
  <c r="AQ120" i="9" s="1"/>
  <c r="AO120" i="9"/>
  <c r="AY118" i="9"/>
  <c r="AP118" i="9"/>
  <c r="AQ118" i="9" s="1"/>
  <c r="AO118" i="9"/>
  <c r="AY116" i="9"/>
  <c r="AP116" i="9"/>
  <c r="AQ116" i="9" s="1"/>
  <c r="AO116" i="9"/>
  <c r="AY114" i="9"/>
  <c r="AP114" i="9"/>
  <c r="AQ114" i="9" s="1"/>
  <c r="AO114" i="9"/>
  <c r="AY112" i="9"/>
  <c r="AP112" i="9"/>
  <c r="AQ112" i="9" s="1"/>
  <c r="AO112" i="9"/>
  <c r="AY110" i="9"/>
  <c r="AP110" i="9"/>
  <c r="AQ110" i="9" s="1"/>
  <c r="AO110" i="9"/>
  <c r="AY108" i="9"/>
  <c r="AP108" i="9"/>
  <c r="AQ108" i="9" s="1"/>
  <c r="AO108" i="9"/>
  <c r="AY106" i="9"/>
  <c r="AP106" i="9"/>
  <c r="AQ106" i="9" s="1"/>
  <c r="AO106" i="9"/>
  <c r="AY104" i="9"/>
  <c r="AP104" i="9"/>
  <c r="AQ104" i="9" s="1"/>
  <c r="AO104" i="9"/>
  <c r="AY102" i="9"/>
  <c r="AP102" i="9"/>
  <c r="AQ102" i="9" s="1"/>
  <c r="AO102" i="9"/>
  <c r="AY100" i="9"/>
  <c r="AP100" i="9"/>
  <c r="AQ100" i="9" s="1"/>
  <c r="AO100" i="9"/>
  <c r="AY98" i="9"/>
  <c r="AP98" i="9"/>
  <c r="AQ98" i="9" s="1"/>
  <c r="AO98" i="9"/>
  <c r="AY96" i="9"/>
  <c r="AP96" i="9"/>
  <c r="AQ96" i="9" s="1"/>
  <c r="AO96" i="9"/>
  <c r="AY94" i="9"/>
  <c r="AP94" i="9"/>
  <c r="AQ94" i="9" s="1"/>
  <c r="AO94" i="9"/>
  <c r="AY92" i="9"/>
  <c r="AP92" i="9"/>
  <c r="AQ92" i="9" s="1"/>
  <c r="AO92" i="9"/>
  <c r="AY90" i="9"/>
  <c r="AP90" i="9"/>
  <c r="AQ90" i="9" s="1"/>
  <c r="AO90" i="9"/>
  <c r="AY88" i="9"/>
  <c r="AP88" i="9"/>
  <c r="AQ88" i="9" s="1"/>
  <c r="AO88" i="9"/>
  <c r="AY86" i="9"/>
  <c r="AP86" i="9"/>
  <c r="AQ86" i="9" s="1"/>
  <c r="AO86" i="9"/>
  <c r="AY84" i="9"/>
  <c r="AP84" i="9"/>
  <c r="AQ84" i="9" s="1"/>
  <c r="AO84" i="9"/>
  <c r="AY82" i="9"/>
  <c r="AP82" i="9"/>
  <c r="AQ82" i="9" s="1"/>
  <c r="AO82" i="9"/>
  <c r="AY80" i="9"/>
  <c r="AP80" i="9"/>
  <c r="AQ80" i="9" s="1"/>
  <c r="AO80" i="9"/>
  <c r="AY78" i="9"/>
  <c r="AP78" i="9"/>
  <c r="AQ78" i="9" s="1"/>
  <c r="AO78" i="9"/>
  <c r="AY76" i="9"/>
  <c r="AP76" i="9"/>
  <c r="AQ76" i="9" s="1"/>
  <c r="AO76" i="9"/>
  <c r="AY74" i="9"/>
  <c r="AP74" i="9"/>
  <c r="AQ74" i="9" s="1"/>
  <c r="AO74" i="9"/>
  <c r="AY72" i="9"/>
  <c r="AP72" i="9"/>
  <c r="AQ72" i="9" s="1"/>
  <c r="AO72" i="9"/>
  <c r="AY70" i="9"/>
  <c r="AP70" i="9"/>
  <c r="AQ70" i="9" s="1"/>
  <c r="AO70" i="9"/>
  <c r="AY68" i="9"/>
  <c r="AP68" i="9"/>
  <c r="AQ68" i="9" s="1"/>
  <c r="AO68" i="9"/>
  <c r="AY66" i="9"/>
  <c r="AP66" i="9"/>
  <c r="AQ66" i="9" s="1"/>
  <c r="AO66" i="9"/>
  <c r="AP64" i="9"/>
  <c r="AQ64" i="9" s="1"/>
  <c r="AO64" i="9"/>
  <c r="AY64" i="9"/>
  <c r="AP62" i="9"/>
  <c r="AQ62" i="9" s="1"/>
  <c r="AO62" i="9"/>
  <c r="AY62" i="9"/>
  <c r="AP60" i="9"/>
  <c r="AQ60" i="9" s="1"/>
  <c r="AO60" i="9"/>
  <c r="AY60" i="9"/>
  <c r="AP58" i="9"/>
  <c r="AQ58" i="9" s="1"/>
  <c r="AO58" i="9"/>
  <c r="AY58" i="9"/>
  <c r="AP56" i="9"/>
  <c r="AQ56" i="9" s="1"/>
  <c r="AO56" i="9"/>
  <c r="AY56" i="9"/>
  <c r="AP54" i="9"/>
  <c r="AQ54" i="9" s="1"/>
  <c r="AO54" i="9"/>
  <c r="AY54" i="9"/>
  <c r="AP52" i="9"/>
  <c r="AQ52" i="9" s="1"/>
  <c r="AO52" i="9"/>
  <c r="AY52" i="9"/>
  <c r="AP50" i="9"/>
  <c r="AQ50" i="9" s="1"/>
  <c r="AO50" i="9"/>
  <c r="AY50" i="9"/>
  <c r="AP48" i="9"/>
  <c r="AQ48" i="9" s="1"/>
  <c r="AO48" i="9"/>
  <c r="AY48" i="9"/>
  <c r="AP46" i="9"/>
  <c r="AQ46" i="9" s="1"/>
  <c r="AO46" i="9"/>
  <c r="AY46" i="9"/>
  <c r="AP44" i="9"/>
  <c r="AQ44" i="9" s="1"/>
  <c r="AO44" i="9"/>
  <c r="AY44" i="9"/>
  <c r="AP42" i="9"/>
  <c r="AQ42" i="9" s="1"/>
  <c r="AO42" i="9"/>
  <c r="AY42" i="9"/>
  <c r="AP40" i="9"/>
  <c r="AQ40" i="9" s="1"/>
  <c r="AO40" i="9"/>
  <c r="AY40" i="9"/>
  <c r="AP38" i="9"/>
  <c r="AQ38" i="9" s="1"/>
  <c r="AO38" i="9"/>
  <c r="AY38" i="9"/>
  <c r="AP36" i="9"/>
  <c r="AQ36" i="9" s="1"/>
  <c r="AO36" i="9"/>
  <c r="AY36" i="9"/>
  <c r="AP34" i="9"/>
  <c r="AQ34" i="9" s="1"/>
  <c r="AO34" i="9"/>
  <c r="AY34" i="9"/>
  <c r="AP32" i="9"/>
  <c r="AQ32" i="9" s="1"/>
  <c r="AO32" i="9"/>
  <c r="AY32" i="9"/>
  <c r="AP30" i="9"/>
  <c r="AQ30" i="9" s="1"/>
  <c r="AO30" i="9"/>
  <c r="AY30" i="9"/>
  <c r="AP28" i="9"/>
  <c r="AQ28" i="9" s="1"/>
  <c r="AO28" i="9"/>
  <c r="AY28" i="9"/>
  <c r="AP26" i="9"/>
  <c r="AQ26" i="9" s="1"/>
  <c r="AO26" i="9"/>
  <c r="AY26" i="9"/>
  <c r="AP24" i="9"/>
  <c r="AQ24" i="9" s="1"/>
  <c r="AO24" i="9"/>
  <c r="AY24" i="9"/>
  <c r="AP22" i="9"/>
  <c r="AQ22" i="9" s="1"/>
  <c r="AO22" i="9"/>
  <c r="AY22" i="9"/>
  <c r="AP20" i="9"/>
  <c r="AQ20" i="9" s="1"/>
  <c r="AO20" i="9"/>
  <c r="AY20" i="9"/>
  <c r="AP18" i="9"/>
  <c r="AQ18" i="9" s="1"/>
  <c r="AO18" i="9"/>
  <c r="AY18" i="9"/>
  <c r="AP16" i="9"/>
  <c r="AQ16" i="9" s="1"/>
  <c r="AO16" i="9"/>
  <c r="AY16" i="9"/>
  <c r="AP14" i="9"/>
  <c r="AQ14" i="9" s="1"/>
  <c r="AO14" i="9"/>
  <c r="AY14" i="9"/>
  <c r="AP12" i="9"/>
  <c r="AQ12" i="9" s="1"/>
  <c r="AO12" i="9"/>
  <c r="AY12" i="9"/>
  <c r="AP10" i="9"/>
  <c r="AQ10" i="9" s="1"/>
  <c r="AO10" i="9"/>
  <c r="AY10" i="9"/>
  <c r="AP8" i="9"/>
  <c r="AQ8" i="9" s="1"/>
  <c r="AO8" i="9"/>
  <c r="AY8" i="9"/>
  <c r="AP6" i="9"/>
  <c r="AQ6" i="9" s="1"/>
  <c r="AO6" i="9"/>
  <c r="AY6" i="9"/>
  <c r="AY134" i="9"/>
  <c r="AP134" i="9"/>
  <c r="AQ134" i="9" s="1"/>
  <c r="AO134" i="9"/>
  <c r="AY138" i="9"/>
  <c r="AP138" i="9"/>
  <c r="AQ138" i="9" s="1"/>
  <c r="AO138" i="9"/>
  <c r="AY142" i="9"/>
  <c r="AP142" i="9"/>
  <c r="AQ142" i="9" s="1"/>
  <c r="AO142" i="9"/>
  <c r="AY146" i="9"/>
  <c r="AP146" i="9"/>
  <c r="AQ146" i="9" s="1"/>
  <c r="AO146" i="9"/>
  <c r="AY150" i="9"/>
  <c r="AP150" i="9"/>
  <c r="AQ150" i="9" s="1"/>
  <c r="AO150" i="9"/>
  <c r="AY154" i="9"/>
  <c r="AP154" i="9"/>
  <c r="AQ154" i="9" s="1"/>
  <c r="AO154" i="9"/>
  <c r="AO158" i="9"/>
  <c r="AY158" i="9"/>
  <c r="AP158" i="9"/>
  <c r="AQ158" i="9" s="1"/>
  <c r="AO162" i="9"/>
  <c r="AY162" i="9"/>
  <c r="AP162" i="9"/>
  <c r="AQ162" i="9" s="1"/>
  <c r="AO166" i="9"/>
  <c r="AY166" i="9"/>
  <c r="AP166" i="9"/>
  <c r="AQ166" i="9" s="1"/>
  <c r="AO170" i="9"/>
  <c r="AY170" i="9"/>
  <c r="AP170" i="9"/>
  <c r="AQ170" i="9" s="1"/>
  <c r="AO174" i="9"/>
  <c r="AY174" i="9"/>
  <c r="AP174" i="9"/>
  <c r="AQ174" i="9" s="1"/>
  <c r="AO178" i="9"/>
  <c r="AY178" i="9"/>
  <c r="AP178" i="9"/>
  <c r="AQ178" i="9" s="1"/>
  <c r="AO182" i="9"/>
  <c r="AY182" i="9"/>
  <c r="AP182" i="9"/>
  <c r="AQ182" i="9" s="1"/>
  <c r="AO186" i="9"/>
  <c r="AY186" i="9"/>
  <c r="AP186" i="9"/>
  <c r="AQ186" i="9" s="1"/>
  <c r="AO190" i="9"/>
  <c r="AY190" i="9"/>
  <c r="AP190" i="9"/>
  <c r="AQ190" i="9" s="1"/>
  <c r="AO194" i="9"/>
  <c r="AY194" i="9"/>
  <c r="AP194" i="9"/>
  <c r="AQ194" i="9" s="1"/>
  <c r="AO198" i="9"/>
  <c r="AY198" i="9"/>
  <c r="AP198" i="9"/>
  <c r="AQ198" i="9" s="1"/>
  <c r="AO202" i="9"/>
  <c r="AY202" i="9"/>
  <c r="AP202" i="9"/>
  <c r="AQ202" i="9" s="1"/>
  <c r="AY206" i="9"/>
  <c r="AP206" i="9"/>
  <c r="AQ206" i="9" s="1"/>
  <c r="AO206" i="9"/>
  <c r="AY210" i="9"/>
  <c r="AP210" i="9"/>
  <c r="AQ210" i="9" s="1"/>
  <c r="AO210" i="9"/>
  <c r="AY214" i="9"/>
  <c r="AP214" i="9"/>
  <c r="AQ214" i="9" s="1"/>
  <c r="AO214" i="9"/>
  <c r="AY218" i="9"/>
  <c r="AP218" i="9"/>
  <c r="AQ218" i="9" s="1"/>
  <c r="AO218" i="9"/>
  <c r="AO222" i="9"/>
  <c r="AY222" i="9"/>
  <c r="AP222" i="9"/>
  <c r="AQ222" i="9" s="1"/>
  <c r="AO226" i="9"/>
  <c r="AY226" i="9"/>
  <c r="AP226" i="9"/>
  <c r="AQ226" i="9" s="1"/>
  <c r="AO230" i="9"/>
  <c r="AY230" i="9"/>
  <c r="AP230" i="9"/>
  <c r="AQ230" i="9" s="1"/>
  <c r="AO234" i="9"/>
  <c r="AY234" i="9"/>
  <c r="AP234" i="9"/>
  <c r="AQ234" i="9" s="1"/>
  <c r="AO238" i="9"/>
  <c r="AY238" i="9"/>
  <c r="AP238" i="9"/>
  <c r="AQ238" i="9" s="1"/>
  <c r="AO242" i="9"/>
  <c r="AY242" i="9"/>
  <c r="AP242" i="9"/>
  <c r="AQ242" i="9" s="1"/>
  <c r="AO246" i="9"/>
  <c r="AP246" i="9"/>
  <c r="AQ246" i="9" s="1"/>
  <c r="AY246" i="9"/>
  <c r="AO250" i="9"/>
  <c r="AP250" i="9"/>
  <c r="AQ250" i="9" s="1"/>
  <c r="AY250" i="9"/>
  <c r="AO254" i="9"/>
  <c r="AP254" i="9"/>
  <c r="AQ254" i="9" s="1"/>
  <c r="AY254" i="9"/>
  <c r="AO258" i="9"/>
  <c r="AP258" i="9"/>
  <c r="AQ258" i="9" s="1"/>
  <c r="AY258" i="9"/>
  <c r="AO262" i="9"/>
  <c r="AP262" i="9"/>
  <c r="AQ262" i="9" s="1"/>
  <c r="AY262" i="9"/>
  <c r="AO266" i="9"/>
  <c r="AP266" i="9"/>
  <c r="AQ266" i="9" s="1"/>
  <c r="AY266" i="9"/>
  <c r="AO270" i="9"/>
  <c r="AP270" i="9"/>
  <c r="AQ270" i="9" s="1"/>
  <c r="AY270" i="9"/>
  <c r="AO274" i="9"/>
  <c r="AP274" i="9"/>
  <c r="AQ274" i="9" s="1"/>
  <c r="AY274" i="9"/>
  <c r="AO278" i="9"/>
  <c r="AP278" i="9"/>
  <c r="AQ278" i="9" s="1"/>
  <c r="AY278" i="9"/>
  <c r="AO282" i="9"/>
  <c r="AY282" i="9"/>
  <c r="AP282" i="9"/>
  <c r="AQ282" i="9" s="1"/>
  <c r="AO286" i="9"/>
  <c r="AY286" i="9"/>
  <c r="AP286" i="9"/>
  <c r="AQ286" i="9" s="1"/>
  <c r="AO290" i="9"/>
  <c r="AY290" i="9"/>
  <c r="AP290" i="9"/>
  <c r="AQ290" i="9" s="1"/>
  <c r="AO294" i="9"/>
  <c r="AY294" i="9"/>
  <c r="AP294" i="9"/>
  <c r="AQ294" i="9" s="1"/>
  <c r="AO298" i="9"/>
  <c r="AY298" i="9"/>
  <c r="AP298" i="9"/>
  <c r="AQ298" i="9" s="1"/>
  <c r="AO302" i="9"/>
  <c r="AY302" i="9"/>
  <c r="AP302" i="9"/>
  <c r="AQ302" i="9" s="1"/>
  <c r="AO306" i="9"/>
  <c r="AY306" i="9"/>
  <c r="AP306" i="9"/>
  <c r="AQ306" i="9" s="1"/>
  <c r="AO310" i="9"/>
  <c r="AY310" i="9"/>
  <c r="AP310" i="9"/>
  <c r="AQ310" i="9" s="1"/>
  <c r="AO314" i="9"/>
  <c r="AY314" i="9"/>
  <c r="AP314" i="9"/>
  <c r="AQ314" i="9" s="1"/>
  <c r="AO318" i="9"/>
  <c r="AY318" i="9"/>
  <c r="AP318" i="9"/>
  <c r="AQ318" i="9" s="1"/>
  <c r="AY137" i="9"/>
  <c r="AP137" i="9"/>
  <c r="AQ137" i="9" s="1"/>
  <c r="AO137" i="9"/>
  <c r="AY141" i="9"/>
  <c r="AP141" i="9"/>
  <c r="AQ141" i="9" s="1"/>
  <c r="AO141" i="9"/>
  <c r="AY145" i="9"/>
  <c r="AP145" i="9"/>
  <c r="AQ145" i="9" s="1"/>
  <c r="AO145" i="9"/>
  <c r="AY149" i="9"/>
  <c r="AP149" i="9"/>
  <c r="AQ149" i="9" s="1"/>
  <c r="AO149" i="9"/>
  <c r="AY153" i="9"/>
  <c r="AP153" i="9"/>
  <c r="AQ153" i="9" s="1"/>
  <c r="AO153" i="9"/>
  <c r="AY157" i="9"/>
  <c r="AP157" i="9"/>
  <c r="AQ157" i="9" s="1"/>
  <c r="AO157" i="9"/>
  <c r="AO161" i="9"/>
  <c r="AY161" i="9"/>
  <c r="AP161" i="9"/>
  <c r="AQ161" i="9" s="1"/>
  <c r="AO165" i="9"/>
  <c r="AY165" i="9"/>
  <c r="AP165" i="9"/>
  <c r="AQ165" i="9" s="1"/>
  <c r="AO169" i="9"/>
  <c r="AY169" i="9"/>
  <c r="AP169" i="9"/>
  <c r="AQ169" i="9" s="1"/>
  <c r="AO173" i="9"/>
  <c r="AY173" i="9"/>
  <c r="AP173" i="9"/>
  <c r="AQ173" i="9" s="1"/>
  <c r="AO177" i="9"/>
  <c r="AY177" i="9"/>
  <c r="AP177" i="9"/>
  <c r="AQ177" i="9" s="1"/>
  <c r="AO181" i="9"/>
  <c r="AY181" i="9"/>
  <c r="AP181" i="9"/>
  <c r="AQ181" i="9" s="1"/>
  <c r="AO185" i="9"/>
  <c r="AY185" i="9"/>
  <c r="AP185" i="9"/>
  <c r="AQ185" i="9" s="1"/>
  <c r="AO189" i="9"/>
  <c r="AY189" i="9"/>
  <c r="AP189" i="9"/>
  <c r="AQ189" i="9" s="1"/>
  <c r="AO193" i="9"/>
  <c r="AY193" i="9"/>
  <c r="AP193" i="9"/>
  <c r="AQ193" i="9" s="1"/>
  <c r="AO197" i="9"/>
  <c r="AY197" i="9"/>
  <c r="AP197" i="9"/>
  <c r="AQ197" i="9" s="1"/>
  <c r="AO201" i="9"/>
  <c r="AY201" i="9"/>
  <c r="AP201" i="9"/>
  <c r="AQ201" i="9" s="1"/>
  <c r="AO205" i="9"/>
  <c r="AY205" i="9"/>
  <c r="AP205" i="9"/>
  <c r="AQ205" i="9" s="1"/>
  <c r="AY209" i="9"/>
  <c r="AP209" i="9"/>
  <c r="AQ209" i="9" s="1"/>
  <c r="AO209" i="9"/>
  <c r="AY213" i="9"/>
  <c r="AP213" i="9"/>
  <c r="AQ213" i="9" s="1"/>
  <c r="AO213" i="9"/>
  <c r="AY217" i="9"/>
  <c r="AP217" i="9"/>
  <c r="AQ217" i="9" s="1"/>
  <c r="AO217" i="9"/>
  <c r="AY221" i="9"/>
  <c r="AP221" i="9"/>
  <c r="AQ221" i="9" s="1"/>
  <c r="AO221" i="9"/>
  <c r="AO225" i="9"/>
  <c r="AY225" i="9"/>
  <c r="AP225" i="9"/>
  <c r="AQ225" i="9" s="1"/>
  <c r="AO229" i="9"/>
  <c r="AY229" i="9"/>
  <c r="AP229" i="9"/>
  <c r="AQ229" i="9" s="1"/>
  <c r="AO233" i="9"/>
  <c r="AY233" i="9"/>
  <c r="AP233" i="9"/>
  <c r="AQ233" i="9" s="1"/>
  <c r="AO237" i="9"/>
  <c r="AY237" i="9"/>
  <c r="AP237" i="9"/>
  <c r="AQ237" i="9" s="1"/>
  <c r="AO241" i="9"/>
  <c r="AY241" i="9"/>
  <c r="AP241" i="9"/>
  <c r="AQ241" i="9" s="1"/>
  <c r="AO245" i="9"/>
  <c r="AP245" i="9"/>
  <c r="AQ245" i="9" s="1"/>
  <c r="AY245" i="9"/>
  <c r="AO249" i="9"/>
  <c r="AP249" i="9"/>
  <c r="AQ249" i="9" s="1"/>
  <c r="AY249" i="9"/>
  <c r="AO253" i="9"/>
  <c r="AP253" i="9"/>
  <c r="AQ253" i="9" s="1"/>
  <c r="AY253" i="9"/>
  <c r="AO257" i="9"/>
  <c r="AP257" i="9"/>
  <c r="AQ257" i="9" s="1"/>
  <c r="AY257" i="9"/>
  <c r="AO261" i="9"/>
  <c r="AP261" i="9"/>
  <c r="AQ261" i="9" s="1"/>
  <c r="AY261" i="9"/>
  <c r="AO265" i="9"/>
  <c r="AP265" i="9"/>
  <c r="AQ265" i="9" s="1"/>
  <c r="AY265" i="9"/>
  <c r="AO269" i="9"/>
  <c r="AP269" i="9"/>
  <c r="AQ269" i="9" s="1"/>
  <c r="AY269" i="9"/>
  <c r="AO273" i="9"/>
  <c r="AP273" i="9"/>
  <c r="AQ273" i="9" s="1"/>
  <c r="AY273" i="9"/>
  <c r="AO277" i="9"/>
  <c r="AP277" i="9"/>
  <c r="AQ277" i="9" s="1"/>
  <c r="AY277" i="9"/>
  <c r="AO281" i="9"/>
  <c r="AY281" i="9"/>
  <c r="AP281" i="9"/>
  <c r="AQ281" i="9" s="1"/>
  <c r="AO285" i="9"/>
  <c r="AY285" i="9"/>
  <c r="AP285" i="9"/>
  <c r="AQ285" i="9" s="1"/>
  <c r="AO289" i="9"/>
  <c r="AY289" i="9"/>
  <c r="AP289" i="9"/>
  <c r="AQ289" i="9" s="1"/>
  <c r="AO293" i="9"/>
  <c r="AY293" i="9"/>
  <c r="AP293" i="9"/>
  <c r="AQ293" i="9" s="1"/>
  <c r="AO297" i="9"/>
  <c r="AY297" i="9"/>
  <c r="AP297" i="9"/>
  <c r="AQ297" i="9" s="1"/>
  <c r="AO301" i="9"/>
  <c r="AY301" i="9"/>
  <c r="AP301" i="9"/>
  <c r="AQ301" i="9" s="1"/>
  <c r="AO305" i="9"/>
  <c r="AY305" i="9"/>
  <c r="AP305" i="9"/>
  <c r="AQ305" i="9" s="1"/>
  <c r="AO309" i="9"/>
  <c r="AY309" i="9"/>
  <c r="AP309" i="9"/>
  <c r="AQ309" i="9" s="1"/>
  <c r="AO313" i="9"/>
  <c r="AY313" i="9"/>
  <c r="AP313" i="9"/>
  <c r="AQ313" i="9" s="1"/>
  <c r="AO317" i="9"/>
  <c r="AY317" i="9"/>
  <c r="AP317" i="9"/>
  <c r="AQ317" i="9" s="1"/>
  <c r="AW162" i="9"/>
  <c r="BK162" i="9"/>
  <c r="AW241" i="9"/>
  <c r="BK241" i="9"/>
  <c r="AW281" i="9"/>
  <c r="BK281" i="9"/>
  <c r="AW96" i="9"/>
  <c r="BK96" i="9"/>
  <c r="AW252" i="9"/>
  <c r="BK252" i="9"/>
  <c r="AW141" i="9"/>
  <c r="BK141" i="9"/>
  <c r="AW176" i="9"/>
  <c r="BK176" i="9"/>
  <c r="AW161" i="9"/>
  <c r="BK161" i="9"/>
  <c r="AW140" i="9"/>
  <c r="BK140" i="9"/>
  <c r="AW294" i="9"/>
  <c r="BK294" i="9"/>
  <c r="AW222" i="9"/>
  <c r="BK222" i="9"/>
  <c r="AW76" i="9"/>
  <c r="BK76" i="9"/>
  <c r="BO76" i="9" s="1"/>
  <c r="AW92" i="9"/>
  <c r="BK92" i="9"/>
  <c r="AW108" i="9"/>
  <c r="BK108" i="9"/>
  <c r="BO108" i="9" s="1"/>
  <c r="AW46" i="9"/>
  <c r="BK46" i="9"/>
  <c r="AW314" i="9"/>
  <c r="BK314" i="9"/>
  <c r="AW316" i="9"/>
  <c r="BK316" i="9"/>
  <c r="AW53" i="9"/>
  <c r="BK53" i="9"/>
  <c r="AX320" i="9"/>
  <c r="AW5" i="9"/>
  <c r="AV320" i="9"/>
  <c r="BK5" i="9"/>
  <c r="AS320" i="9"/>
  <c r="AT435" i="9" s="1"/>
  <c r="AW264" i="9"/>
  <c r="BK264" i="9"/>
  <c r="AW102" i="9"/>
  <c r="BK102" i="9"/>
  <c r="AW86" i="9"/>
  <c r="BK86" i="9"/>
  <c r="AW55" i="9"/>
  <c r="BK55" i="9"/>
  <c r="AW74" i="9"/>
  <c r="BK74" i="9"/>
  <c r="AW193" i="9"/>
  <c r="BK193" i="9"/>
  <c r="AW181" i="9"/>
  <c r="BK181" i="9"/>
  <c r="AW118" i="9"/>
  <c r="BK118" i="9"/>
  <c r="CF142" i="9"/>
  <c r="CW142" i="9" s="1"/>
  <c r="CF143" i="9"/>
  <c r="CW143" i="9" s="1"/>
  <c r="CF32" i="9"/>
  <c r="CW32" i="9" s="1"/>
  <c r="CF209" i="9"/>
  <c r="CW209" i="9" s="1"/>
  <c r="CF211" i="9"/>
  <c r="CW211" i="9" s="1"/>
  <c r="CF235" i="9"/>
  <c r="CW235" i="9" s="1"/>
  <c r="CF70" i="9"/>
  <c r="CW70" i="9" s="1"/>
  <c r="AW106" i="9"/>
  <c r="BK106" i="9"/>
  <c r="BO106" i="9" s="1"/>
  <c r="AW25" i="9"/>
  <c r="BK25" i="9"/>
  <c r="BO25" i="9" s="1"/>
  <c r="AW9" i="9"/>
  <c r="BK9" i="9"/>
  <c r="BO9" i="9" s="1"/>
  <c r="AW36" i="9"/>
  <c r="BK36" i="9"/>
  <c r="AW79" i="9"/>
  <c r="BK79" i="9"/>
  <c r="AW49" i="9"/>
  <c r="BK49" i="9"/>
  <c r="AW18" i="9"/>
  <c r="BK18" i="9"/>
  <c r="AW83" i="9"/>
  <c r="BK83" i="9"/>
  <c r="AW22" i="9"/>
  <c r="BK22" i="9"/>
  <c r="BO22" i="9" s="1"/>
  <c r="AW171" i="9"/>
  <c r="BK171" i="9"/>
  <c r="BO171" i="9" s="1"/>
  <c r="AW238" i="9"/>
  <c r="BK238" i="9"/>
  <c r="AW248" i="9"/>
  <c r="BK248" i="9"/>
  <c r="AW288" i="9"/>
  <c r="BK288" i="9"/>
  <c r="AW189" i="9"/>
  <c r="BK189" i="9"/>
  <c r="AW159" i="9"/>
  <c r="BK159" i="9"/>
  <c r="AW153" i="9"/>
  <c r="BK153" i="9"/>
  <c r="AW122" i="9"/>
  <c r="BK122" i="9"/>
  <c r="AW144" i="9"/>
  <c r="BK144" i="9"/>
  <c r="AW196" i="9"/>
  <c r="BK196" i="9"/>
  <c r="BO196" i="9" s="1"/>
  <c r="CF158" i="9"/>
  <c r="CW158" i="9" s="1"/>
  <c r="CF61" i="9"/>
  <c r="CW61" i="9" s="1"/>
  <c r="CF199" i="9"/>
  <c r="CW199" i="9" s="1"/>
  <c r="CF283" i="9"/>
  <c r="CW283" i="9" s="1"/>
  <c r="CF35" i="9"/>
  <c r="CF256" i="9"/>
  <c r="CW256" i="9" s="1"/>
  <c r="AW244" i="9"/>
  <c r="BK244" i="9"/>
  <c r="AW286" i="9"/>
  <c r="BK286" i="9"/>
  <c r="AW296" i="9"/>
  <c r="BK296" i="9"/>
  <c r="AW175" i="9"/>
  <c r="BK175" i="9"/>
  <c r="AW169" i="9"/>
  <c r="BK169" i="9"/>
  <c r="BO169" i="9" s="1"/>
  <c r="AW128" i="9"/>
  <c r="BK128" i="9"/>
  <c r="AW213" i="9"/>
  <c r="BK213" i="9"/>
  <c r="AW152" i="9"/>
  <c r="BK152" i="9"/>
  <c r="BO152" i="9" s="1"/>
  <c r="CF124" i="9"/>
  <c r="CW124" i="9" s="1"/>
  <c r="CF242" i="9"/>
  <c r="CW242" i="9" s="1"/>
  <c r="CF131" i="9"/>
  <c r="CW131" i="9" s="1"/>
  <c r="CF19" i="9"/>
  <c r="CW19" i="9" s="1"/>
  <c r="CF72" i="9"/>
  <c r="CW72" i="9" s="1"/>
  <c r="CF104" i="9"/>
  <c r="CW104" i="9" s="1"/>
  <c r="CF308" i="9"/>
  <c r="CW308" i="9" s="1"/>
  <c r="CF300" i="9"/>
  <c r="CW300" i="9" s="1"/>
  <c r="CF292" i="9"/>
  <c r="CW292" i="9" s="1"/>
  <c r="CF280" i="9"/>
  <c r="CW280" i="9" s="1"/>
  <c r="BC324" i="9"/>
  <c r="BC332" i="9"/>
  <c r="AW28" i="9"/>
  <c r="BK28" i="9"/>
  <c r="AW207" i="9"/>
  <c r="BK207" i="9"/>
  <c r="AW239" i="9"/>
  <c r="BK239" i="9"/>
  <c r="AW309" i="9"/>
  <c r="BK309" i="9"/>
  <c r="AW246" i="9"/>
  <c r="BK246" i="9"/>
  <c r="AW233" i="9"/>
  <c r="BK233" i="9"/>
  <c r="BO233" i="9" s="1"/>
  <c r="AW157" i="9"/>
  <c r="BK157" i="9"/>
  <c r="AW120" i="9"/>
  <c r="BK120" i="9"/>
  <c r="AW12" i="9"/>
  <c r="BK12" i="9"/>
  <c r="AW224" i="9"/>
  <c r="BK224" i="9"/>
  <c r="BO92" i="9"/>
  <c r="BO316" i="9"/>
  <c r="AW7" i="9"/>
  <c r="BK7" i="9"/>
  <c r="AW188" i="9"/>
  <c r="BK188" i="9"/>
  <c r="AW297" i="9"/>
  <c r="BK297" i="9"/>
  <c r="AW319" i="9"/>
  <c r="BK319" i="9"/>
  <c r="AW130" i="9"/>
  <c r="BK130" i="9"/>
  <c r="AW194" i="9"/>
  <c r="BK194" i="9"/>
  <c r="AW166" i="9"/>
  <c r="BK166" i="9"/>
  <c r="AZ320" i="9"/>
  <c r="BO181" i="9"/>
  <c r="BO55" i="9"/>
  <c r="AW317" i="9"/>
  <c r="BK317" i="9"/>
  <c r="AW98" i="9"/>
  <c r="BK98" i="9"/>
  <c r="AW82" i="9"/>
  <c r="BK82" i="9"/>
  <c r="AW310" i="9"/>
  <c r="BK310" i="9"/>
  <c r="AW304" i="9"/>
  <c r="BK304" i="9"/>
  <c r="AW66" i="9"/>
  <c r="BK66" i="9"/>
  <c r="AW276" i="9"/>
  <c r="BK276" i="9"/>
  <c r="AW145" i="9"/>
  <c r="BK145" i="9"/>
  <c r="BO145" i="9" s="1"/>
  <c r="AW203" i="9"/>
  <c r="BK203" i="9"/>
  <c r="BO203" i="9" s="1"/>
  <c r="AW245" i="9"/>
  <c r="BK245" i="9"/>
  <c r="AW291" i="9"/>
  <c r="BK291" i="9"/>
  <c r="CF198" i="9"/>
  <c r="CW198" i="9" s="1"/>
  <c r="CF85" i="9"/>
  <c r="CF210" i="9"/>
  <c r="CW210" i="9" s="1"/>
  <c r="CF43" i="9"/>
  <c r="CF219" i="9"/>
  <c r="CW219" i="9" s="1"/>
  <c r="BO83" i="9"/>
  <c r="CF258" i="9"/>
  <c r="CW258" i="9" s="1"/>
  <c r="BO248" i="9"/>
  <c r="AW42" i="9"/>
  <c r="BK42" i="9"/>
  <c r="AW301" i="9"/>
  <c r="BK301" i="9"/>
  <c r="AW21" i="9"/>
  <c r="BK21" i="9"/>
  <c r="AW60" i="9"/>
  <c r="BK60" i="9"/>
  <c r="BO60" i="9" s="1"/>
  <c r="AW313" i="9"/>
  <c r="BK313" i="9"/>
  <c r="AW274" i="9"/>
  <c r="BK274" i="9"/>
  <c r="AW71" i="9"/>
  <c r="BK71" i="9"/>
  <c r="AW41" i="9"/>
  <c r="BK41" i="9"/>
  <c r="AW10" i="9"/>
  <c r="BK10" i="9"/>
  <c r="AT348" i="9"/>
  <c r="BD324" i="9"/>
  <c r="AW75" i="9"/>
  <c r="BK75" i="9"/>
  <c r="AU382" i="9"/>
  <c r="AW30" i="9"/>
  <c r="BK30" i="9"/>
  <c r="AW195" i="9"/>
  <c r="BK195" i="9"/>
  <c r="AW206" i="9"/>
  <c r="BK206" i="9"/>
  <c r="CF65" i="9"/>
  <c r="CW65" i="9" s="1"/>
  <c r="CF97" i="9"/>
  <c r="CW97" i="9" s="1"/>
  <c r="CF311" i="9"/>
  <c r="CW311" i="9" s="1"/>
  <c r="CF180" i="9"/>
  <c r="CW180" i="9" s="1"/>
  <c r="CF59" i="9"/>
  <c r="CW59" i="9" s="1"/>
  <c r="BO244" i="9"/>
  <c r="CW129" i="9"/>
  <c r="CW249" i="9"/>
  <c r="CW27" i="9"/>
  <c r="CW80" i="9"/>
  <c r="CW112" i="9"/>
  <c r="CC205" i="9"/>
  <c r="CL205" i="9"/>
  <c r="CA205" i="9"/>
  <c r="CA280" i="9"/>
  <c r="CC280" i="9"/>
  <c r="CL280" i="9"/>
  <c r="CA155" i="9"/>
  <c r="CL155" i="9"/>
  <c r="CC155" i="9"/>
  <c r="CA163" i="9"/>
  <c r="CC163" i="9"/>
  <c r="CL163" i="9"/>
  <c r="CC179" i="9"/>
  <c r="CL179" i="9"/>
  <c r="CA179" i="9"/>
  <c r="CL215" i="9"/>
  <c r="CC215" i="9"/>
  <c r="CA215" i="9"/>
  <c r="CC223" i="9"/>
  <c r="CL223" i="9"/>
  <c r="CA223" i="9"/>
  <c r="CC262" i="9"/>
  <c r="CL262" i="9"/>
  <c r="CA262" i="9"/>
  <c r="CL270" i="9"/>
  <c r="CA270" i="9"/>
  <c r="CC270" i="9"/>
  <c r="CC177" i="9"/>
  <c r="CL177" i="9"/>
  <c r="CA177" i="9"/>
  <c r="CC197" i="9"/>
  <c r="CL197" i="9"/>
  <c r="CA197" i="9"/>
  <c r="CC187" i="9"/>
  <c r="CL187" i="9"/>
  <c r="CA187" i="9"/>
  <c r="CL137" i="9"/>
  <c r="CC137" i="9"/>
  <c r="CA137" i="9"/>
  <c r="CC237" i="9"/>
  <c r="CL237" i="9"/>
  <c r="CA237" i="9"/>
  <c r="CL260" i="9"/>
  <c r="CA260" i="9"/>
  <c r="CC260" i="9"/>
  <c r="CC268" i="9"/>
  <c r="CL268" i="9"/>
  <c r="CA268" i="9"/>
  <c r="CF114" i="9"/>
  <c r="CW114" i="9" s="1"/>
  <c r="CC114" i="9"/>
  <c r="CL114" i="9"/>
  <c r="CA114" i="9"/>
  <c r="CC307" i="9"/>
  <c r="CL307" i="9"/>
  <c r="CA307" i="9"/>
  <c r="CF271" i="9"/>
  <c r="CW271" i="9" s="1"/>
  <c r="CL271" i="9"/>
  <c r="CA271" i="9"/>
  <c r="CC271" i="9"/>
  <c r="CC204" i="9"/>
  <c r="CL204" i="9"/>
  <c r="CA204" i="9"/>
  <c r="CC132" i="9"/>
  <c r="CL132" i="9"/>
  <c r="CA132" i="9"/>
  <c r="CC72" i="9"/>
  <c r="CA72" i="9"/>
  <c r="CL6" i="9"/>
  <c r="CC6" i="9"/>
  <c r="CA6" i="9"/>
  <c r="CA58" i="9"/>
  <c r="CC58" i="9"/>
  <c r="CL11" i="9"/>
  <c r="CC11" i="9"/>
  <c r="CA11" i="9"/>
  <c r="CL8" i="9"/>
  <c r="CC8" i="9"/>
  <c r="CA8" i="9"/>
  <c r="CC24" i="9"/>
  <c r="CA24" i="9"/>
  <c r="CL40" i="9"/>
  <c r="CC40" i="9"/>
  <c r="CA40" i="9"/>
  <c r="CL64" i="9"/>
  <c r="CC64" i="9"/>
  <c r="CA64" i="9"/>
  <c r="CL220" i="9"/>
  <c r="CC220" i="9"/>
  <c r="CA220" i="9"/>
  <c r="CL136" i="9"/>
  <c r="CC136" i="9"/>
  <c r="CA136" i="9"/>
  <c r="CA125" i="9"/>
  <c r="CC125" i="9"/>
  <c r="CL125" i="9"/>
  <c r="CA109" i="9"/>
  <c r="CC109" i="9"/>
  <c r="CL109" i="9"/>
  <c r="CA93" i="9"/>
  <c r="CC93" i="9"/>
  <c r="CL93" i="9"/>
  <c r="CA77" i="9"/>
  <c r="CC77" i="9"/>
  <c r="CC186" i="9"/>
  <c r="CL186" i="9"/>
  <c r="CA186" i="9"/>
  <c r="CC126" i="9"/>
  <c r="CL126" i="9"/>
  <c r="CA126" i="9"/>
  <c r="CC303" i="9"/>
  <c r="CL303" i="9"/>
  <c r="CA303" i="9"/>
  <c r="CC287" i="9"/>
  <c r="CL287" i="9"/>
  <c r="CA287" i="9"/>
  <c r="CL275" i="9"/>
  <c r="CA275" i="9"/>
  <c r="CC275" i="9"/>
  <c r="CC168" i="9"/>
  <c r="CL168" i="9"/>
  <c r="CA168" i="9"/>
  <c r="CC112" i="9"/>
  <c r="CL112" i="9"/>
  <c r="CA112" i="9"/>
  <c r="CC80" i="9"/>
  <c r="CA80" i="9"/>
  <c r="CC62" i="9"/>
  <c r="CA62" i="9"/>
  <c r="CA27" i="9"/>
  <c r="CC27" i="9"/>
  <c r="CA39" i="9"/>
  <c r="CL39" i="9"/>
  <c r="CC39" i="9"/>
  <c r="CA51" i="9"/>
  <c r="CC51" i="9"/>
  <c r="CC230" i="9"/>
  <c r="CL230" i="9"/>
  <c r="CA230" i="9"/>
  <c r="CC119" i="9"/>
  <c r="CL119" i="9"/>
  <c r="CA119" i="9"/>
  <c r="CC103" i="9"/>
  <c r="CL103" i="9"/>
  <c r="CA103" i="9"/>
  <c r="CC87" i="9"/>
  <c r="CL87" i="9"/>
  <c r="CA87" i="9"/>
  <c r="CL269" i="9"/>
  <c r="CA269" i="9"/>
  <c r="CC269" i="9"/>
  <c r="CC73" i="9"/>
  <c r="CL73" i="9"/>
  <c r="CA73" i="9"/>
  <c r="CL218" i="9"/>
  <c r="CC218" i="9"/>
  <c r="CA218" i="9"/>
  <c r="CC107" i="9"/>
  <c r="CL107" i="9"/>
  <c r="CA107" i="9"/>
  <c r="CC91" i="9"/>
  <c r="CL91" i="9"/>
  <c r="CA91" i="9"/>
  <c r="CA293" i="9"/>
  <c r="CC293" i="9"/>
  <c r="CL293" i="9"/>
  <c r="CC273" i="9"/>
  <c r="CL273" i="9"/>
  <c r="CA273" i="9"/>
  <c r="CC249" i="9"/>
  <c r="CL249" i="9"/>
  <c r="CA249" i="9"/>
  <c r="CC129" i="9"/>
  <c r="CL129" i="9"/>
  <c r="CA129" i="9"/>
  <c r="CC89" i="9"/>
  <c r="CL89" i="9"/>
  <c r="CA89" i="9"/>
  <c r="BZ320" i="9"/>
  <c r="CB439" i="9" s="1"/>
  <c r="BZ336" i="9"/>
  <c r="BZ462" i="9"/>
  <c r="CF125" i="9"/>
  <c r="CW125" i="9" s="1"/>
  <c r="AO133" i="9"/>
  <c r="AY133" i="9"/>
  <c r="AP133" i="9"/>
  <c r="AQ133" i="9" s="1"/>
  <c r="AO131" i="9"/>
  <c r="AY131" i="9"/>
  <c r="AP131" i="9"/>
  <c r="AQ131" i="9" s="1"/>
  <c r="AO129" i="9"/>
  <c r="AY129" i="9"/>
  <c r="AP129" i="9"/>
  <c r="AQ129" i="9" s="1"/>
  <c r="AO127" i="9"/>
  <c r="AY127" i="9"/>
  <c r="AP127" i="9"/>
  <c r="AQ127" i="9" s="1"/>
  <c r="AO125" i="9"/>
  <c r="AY125" i="9"/>
  <c r="AP125" i="9"/>
  <c r="AQ125" i="9" s="1"/>
  <c r="AO123" i="9"/>
  <c r="AY123" i="9"/>
  <c r="AP123" i="9"/>
  <c r="AQ123" i="9" s="1"/>
  <c r="AO121" i="9"/>
  <c r="AY121" i="9"/>
  <c r="AP121" i="9"/>
  <c r="AQ121" i="9" s="1"/>
  <c r="AO119" i="9"/>
  <c r="AY119" i="9"/>
  <c r="AP119" i="9"/>
  <c r="AQ119" i="9" s="1"/>
  <c r="AO117" i="9"/>
  <c r="AY117" i="9"/>
  <c r="AP117" i="9"/>
  <c r="AQ117" i="9" s="1"/>
  <c r="AO115" i="9"/>
  <c r="AY115" i="9"/>
  <c r="AP115" i="9"/>
  <c r="AQ115" i="9" s="1"/>
  <c r="AO113" i="9"/>
  <c r="AY113" i="9"/>
  <c r="AP113" i="9"/>
  <c r="AQ113" i="9" s="1"/>
  <c r="AO111" i="9"/>
  <c r="AY111" i="9"/>
  <c r="AP111" i="9"/>
  <c r="AQ111" i="9" s="1"/>
  <c r="AO109" i="9"/>
  <c r="AY109" i="9"/>
  <c r="AP109" i="9"/>
  <c r="AQ109" i="9" s="1"/>
  <c r="AO107" i="9"/>
  <c r="AY107" i="9"/>
  <c r="AP107" i="9"/>
  <c r="AQ107" i="9" s="1"/>
  <c r="AO105" i="9"/>
  <c r="AY105" i="9"/>
  <c r="AP105" i="9"/>
  <c r="AQ105" i="9" s="1"/>
  <c r="AO103" i="9"/>
  <c r="AY103" i="9"/>
  <c r="AP103" i="9"/>
  <c r="AQ103" i="9" s="1"/>
  <c r="AO101" i="9"/>
  <c r="AY101" i="9"/>
  <c r="AP101" i="9"/>
  <c r="AQ101" i="9" s="1"/>
  <c r="AO99" i="9"/>
  <c r="AY99" i="9"/>
  <c r="AP99" i="9"/>
  <c r="AQ99" i="9" s="1"/>
  <c r="AO97" i="9"/>
  <c r="AY97" i="9"/>
  <c r="AP97" i="9"/>
  <c r="AQ97" i="9" s="1"/>
  <c r="AO95" i="9"/>
  <c r="AY95" i="9"/>
  <c r="AP95" i="9"/>
  <c r="AQ95" i="9" s="1"/>
  <c r="AO93" i="9"/>
  <c r="AY93" i="9"/>
  <c r="AP93" i="9"/>
  <c r="AQ93" i="9" s="1"/>
  <c r="AO91" i="9"/>
  <c r="AY91" i="9"/>
  <c r="AP91" i="9"/>
  <c r="AQ91" i="9" s="1"/>
  <c r="AO89" i="9"/>
  <c r="AY89" i="9"/>
  <c r="AP89" i="9"/>
  <c r="AQ89" i="9" s="1"/>
  <c r="AO87" i="9"/>
  <c r="AY87" i="9"/>
  <c r="AP87" i="9"/>
  <c r="AQ87" i="9" s="1"/>
  <c r="AO85" i="9"/>
  <c r="AY85" i="9"/>
  <c r="AP85" i="9"/>
  <c r="AQ85" i="9" s="1"/>
  <c r="AO83" i="9"/>
  <c r="AY83" i="9"/>
  <c r="AP83" i="9"/>
  <c r="AQ83" i="9" s="1"/>
  <c r="AO81" i="9"/>
  <c r="AY81" i="9"/>
  <c r="AP81" i="9"/>
  <c r="AQ81" i="9" s="1"/>
  <c r="AO79" i="9"/>
  <c r="AY79" i="9"/>
  <c r="AP79" i="9"/>
  <c r="AQ79" i="9" s="1"/>
  <c r="AO77" i="9"/>
  <c r="AY77" i="9"/>
  <c r="AP77" i="9"/>
  <c r="AQ77" i="9" s="1"/>
  <c r="AO75" i="9"/>
  <c r="AY75" i="9"/>
  <c r="AP75" i="9"/>
  <c r="AQ75" i="9" s="1"/>
  <c r="AO73" i="9"/>
  <c r="AY73" i="9"/>
  <c r="AP73" i="9"/>
  <c r="AQ73" i="9" s="1"/>
  <c r="AO71" i="9"/>
  <c r="AY71" i="9"/>
  <c r="AP71" i="9"/>
  <c r="AQ71" i="9" s="1"/>
  <c r="AO69" i="9"/>
  <c r="AY69" i="9"/>
  <c r="AP69" i="9"/>
  <c r="AQ69" i="9" s="1"/>
  <c r="AO67" i="9"/>
  <c r="AY67" i="9"/>
  <c r="AP67" i="9"/>
  <c r="AQ67" i="9" s="1"/>
  <c r="AP65" i="9"/>
  <c r="AQ65" i="9" s="1"/>
  <c r="AY65" i="9"/>
  <c r="AO65" i="9"/>
  <c r="AY63" i="9"/>
  <c r="AP63" i="9"/>
  <c r="AQ63" i="9" s="1"/>
  <c r="AO63" i="9"/>
  <c r="AY61" i="9"/>
  <c r="AP61" i="9"/>
  <c r="AQ61" i="9" s="1"/>
  <c r="AO61" i="9"/>
  <c r="AY59" i="9"/>
  <c r="AP59" i="9"/>
  <c r="AQ59" i="9" s="1"/>
  <c r="AO59" i="9"/>
  <c r="AY57" i="9"/>
  <c r="AP57" i="9"/>
  <c r="AQ57" i="9" s="1"/>
  <c r="AO57" i="9"/>
  <c r="AY55" i="9"/>
  <c r="AP55" i="9"/>
  <c r="AQ55" i="9" s="1"/>
  <c r="AO55" i="9"/>
  <c r="AY53" i="9"/>
  <c r="AO53" i="9"/>
  <c r="AP53" i="9"/>
  <c r="AQ53" i="9" s="1"/>
  <c r="AY51" i="9"/>
  <c r="AP51" i="9"/>
  <c r="AQ51" i="9" s="1"/>
  <c r="AO51" i="9"/>
  <c r="AY49" i="9"/>
  <c r="AP49" i="9"/>
  <c r="AQ49" i="9" s="1"/>
  <c r="AO49" i="9"/>
  <c r="AY47" i="9"/>
  <c r="AP47" i="9"/>
  <c r="AQ47" i="9" s="1"/>
  <c r="AO47" i="9"/>
  <c r="AY45" i="9"/>
  <c r="AP45" i="9"/>
  <c r="AQ45" i="9" s="1"/>
  <c r="AO45" i="9"/>
  <c r="AY43" i="9"/>
  <c r="AP43" i="9"/>
  <c r="AQ43" i="9" s="1"/>
  <c r="AO43" i="9"/>
  <c r="AY41" i="9"/>
  <c r="AP41" i="9"/>
  <c r="AQ41" i="9" s="1"/>
  <c r="AO41" i="9"/>
  <c r="AY39" i="9"/>
  <c r="AP39" i="9"/>
  <c r="AQ39" i="9" s="1"/>
  <c r="AO39" i="9"/>
  <c r="AY37" i="9"/>
  <c r="AP37" i="9"/>
  <c r="AQ37" i="9" s="1"/>
  <c r="AO37" i="9"/>
  <c r="AY35" i="9"/>
  <c r="AP35" i="9"/>
  <c r="AQ35" i="9" s="1"/>
  <c r="AO35" i="9"/>
  <c r="AY33" i="9"/>
  <c r="AP33" i="9"/>
  <c r="AQ33" i="9" s="1"/>
  <c r="AO33" i="9"/>
  <c r="AY31" i="9"/>
  <c r="AP31" i="9"/>
  <c r="AQ31" i="9" s="1"/>
  <c r="AO31" i="9"/>
  <c r="AY29" i="9"/>
  <c r="AP29" i="9"/>
  <c r="AQ29" i="9" s="1"/>
  <c r="AO29" i="9"/>
  <c r="AY27" i="9"/>
  <c r="AP27" i="9"/>
  <c r="AQ27" i="9" s="1"/>
  <c r="AO27" i="9"/>
  <c r="AY25" i="9"/>
  <c r="AP25" i="9"/>
  <c r="AQ25" i="9" s="1"/>
  <c r="AO25" i="9"/>
  <c r="AY23" i="9"/>
  <c r="AP23" i="9"/>
  <c r="AQ23" i="9" s="1"/>
  <c r="AO23" i="9"/>
  <c r="AY21" i="9"/>
  <c r="AP21" i="9"/>
  <c r="AQ21" i="9" s="1"/>
  <c r="AO21" i="9"/>
  <c r="AY19" i="9"/>
  <c r="AP19" i="9"/>
  <c r="AQ19" i="9" s="1"/>
  <c r="AO19" i="9"/>
  <c r="AY17" i="9"/>
  <c r="AP17" i="9"/>
  <c r="AQ17" i="9" s="1"/>
  <c r="AO17" i="9"/>
  <c r="AY15" i="9"/>
  <c r="AP15" i="9"/>
  <c r="AQ15" i="9" s="1"/>
  <c r="AO15" i="9"/>
  <c r="AY13" i="9"/>
  <c r="AP13" i="9"/>
  <c r="AQ13" i="9" s="1"/>
  <c r="AO13" i="9"/>
  <c r="AY11" i="9"/>
  <c r="AP11" i="9"/>
  <c r="AQ11" i="9" s="1"/>
  <c r="AO11" i="9"/>
  <c r="AY9" i="9"/>
  <c r="AP9" i="9"/>
  <c r="AQ9" i="9" s="1"/>
  <c r="AO9" i="9"/>
  <c r="AY7" i="9"/>
  <c r="AP7" i="9"/>
  <c r="AQ7" i="9" s="1"/>
  <c r="AO7" i="9"/>
  <c r="AP5" i="9"/>
  <c r="AO5" i="9"/>
  <c r="AN320" i="9"/>
  <c r="AY5" i="9"/>
  <c r="AP136" i="9"/>
  <c r="AQ136" i="9" s="1"/>
  <c r="AO136" i="9"/>
  <c r="AY136" i="9"/>
  <c r="AP140" i="9"/>
  <c r="AQ140" i="9" s="1"/>
  <c r="AO140" i="9"/>
  <c r="AY140" i="9"/>
  <c r="AP144" i="9"/>
  <c r="AQ144" i="9" s="1"/>
  <c r="AO144" i="9"/>
  <c r="AY144" i="9"/>
  <c r="AP148" i="9"/>
  <c r="AQ148" i="9" s="1"/>
  <c r="AO148" i="9"/>
  <c r="AY148" i="9"/>
  <c r="AP152" i="9"/>
  <c r="AQ152" i="9" s="1"/>
  <c r="AO152" i="9"/>
  <c r="AY152" i="9"/>
  <c r="AP156" i="9"/>
  <c r="AQ156" i="9" s="1"/>
  <c r="AO156" i="9"/>
  <c r="AY156" i="9"/>
  <c r="AY160" i="9"/>
  <c r="AP160" i="9"/>
  <c r="AQ160" i="9" s="1"/>
  <c r="AO160" i="9"/>
  <c r="AY164" i="9"/>
  <c r="AP164" i="9"/>
  <c r="AQ164" i="9" s="1"/>
  <c r="AO164" i="9"/>
  <c r="AY168" i="9"/>
  <c r="AP168" i="9"/>
  <c r="AQ168" i="9" s="1"/>
  <c r="AO168" i="9"/>
  <c r="AY172" i="9"/>
  <c r="AP172" i="9"/>
  <c r="AQ172" i="9" s="1"/>
  <c r="AO172" i="9"/>
  <c r="AY176" i="9"/>
  <c r="AP176" i="9"/>
  <c r="AQ176" i="9" s="1"/>
  <c r="AO176" i="9"/>
  <c r="AY180" i="9"/>
  <c r="AP180" i="9"/>
  <c r="AQ180" i="9" s="1"/>
  <c r="AO180" i="9"/>
  <c r="AY184" i="9"/>
  <c r="AP184" i="9"/>
  <c r="AQ184" i="9" s="1"/>
  <c r="AO184" i="9"/>
  <c r="AY188" i="9"/>
  <c r="AP188" i="9"/>
  <c r="AQ188" i="9" s="1"/>
  <c r="AO188" i="9"/>
  <c r="AY192" i="9"/>
  <c r="AP192" i="9"/>
  <c r="AQ192" i="9" s="1"/>
  <c r="AO192" i="9"/>
  <c r="AY196" i="9"/>
  <c r="AP196" i="9"/>
  <c r="AQ196" i="9" s="1"/>
  <c r="AO196" i="9"/>
  <c r="AY200" i="9"/>
  <c r="AP200" i="9"/>
  <c r="AQ200" i="9" s="1"/>
  <c r="AO200" i="9"/>
  <c r="AY204" i="9"/>
  <c r="AP204" i="9"/>
  <c r="AQ204" i="9" s="1"/>
  <c r="AO204" i="9"/>
  <c r="AP208" i="9"/>
  <c r="AQ208" i="9" s="1"/>
  <c r="AO208" i="9"/>
  <c r="AY208" i="9"/>
  <c r="AP212" i="9"/>
  <c r="AQ212" i="9" s="1"/>
  <c r="AO212" i="9"/>
  <c r="AY212" i="9"/>
  <c r="AP216" i="9"/>
  <c r="AQ216" i="9" s="1"/>
  <c r="AO216" i="9"/>
  <c r="AY216" i="9"/>
  <c r="AP220" i="9"/>
  <c r="AQ220" i="9" s="1"/>
  <c r="AO220" i="9"/>
  <c r="AY220" i="9"/>
  <c r="AY224" i="9"/>
  <c r="AP224" i="9"/>
  <c r="AQ224" i="9" s="1"/>
  <c r="AO224" i="9"/>
  <c r="AY228" i="9"/>
  <c r="AP228" i="9"/>
  <c r="AQ228" i="9" s="1"/>
  <c r="AO228" i="9"/>
  <c r="AY232" i="9"/>
  <c r="AP232" i="9"/>
  <c r="AQ232" i="9" s="1"/>
  <c r="AO232" i="9"/>
  <c r="AY236" i="9"/>
  <c r="AP236" i="9"/>
  <c r="AQ236" i="9" s="1"/>
  <c r="AO236" i="9"/>
  <c r="AY240" i="9"/>
  <c r="AP240" i="9"/>
  <c r="AQ240" i="9" s="1"/>
  <c r="AO240" i="9"/>
  <c r="AY244" i="9"/>
  <c r="AP244" i="9"/>
  <c r="AQ244" i="9" s="1"/>
  <c r="AO244" i="9"/>
  <c r="AP248" i="9"/>
  <c r="AQ248" i="9" s="1"/>
  <c r="AY248" i="9"/>
  <c r="AO248" i="9"/>
  <c r="AP252" i="9"/>
  <c r="AQ252" i="9" s="1"/>
  <c r="AY252" i="9"/>
  <c r="AO252" i="9"/>
  <c r="AP256" i="9"/>
  <c r="AQ256" i="9" s="1"/>
  <c r="AY256" i="9"/>
  <c r="AO256" i="9"/>
  <c r="AP260" i="9"/>
  <c r="AQ260" i="9" s="1"/>
  <c r="AY260" i="9"/>
  <c r="AO260" i="9"/>
  <c r="AP264" i="9"/>
  <c r="AQ264" i="9" s="1"/>
  <c r="AY264" i="9"/>
  <c r="AO264" i="9"/>
  <c r="AP268" i="9"/>
  <c r="AQ268" i="9" s="1"/>
  <c r="AY268" i="9"/>
  <c r="AO268" i="9"/>
  <c r="AP272" i="9"/>
  <c r="AQ272" i="9" s="1"/>
  <c r="AY272" i="9"/>
  <c r="AO272" i="9"/>
  <c r="AP276" i="9"/>
  <c r="AQ276" i="9" s="1"/>
  <c r="AY276" i="9"/>
  <c r="AO276" i="9"/>
  <c r="AY280" i="9"/>
  <c r="AP280" i="9"/>
  <c r="AQ280" i="9" s="1"/>
  <c r="AO280" i="9"/>
  <c r="AY284" i="9"/>
  <c r="AP284" i="9"/>
  <c r="AQ284" i="9" s="1"/>
  <c r="AO284" i="9"/>
  <c r="AY288" i="9"/>
  <c r="AP288" i="9"/>
  <c r="AQ288" i="9" s="1"/>
  <c r="AO288" i="9"/>
  <c r="AY292" i="9"/>
  <c r="AP292" i="9"/>
  <c r="AQ292" i="9" s="1"/>
  <c r="AO292" i="9"/>
  <c r="AY296" i="9"/>
  <c r="AP296" i="9"/>
  <c r="AQ296" i="9" s="1"/>
  <c r="AO296" i="9"/>
  <c r="AY300" i="9"/>
  <c r="AP300" i="9"/>
  <c r="AQ300" i="9" s="1"/>
  <c r="AO300" i="9"/>
  <c r="AY304" i="9"/>
  <c r="AP304" i="9"/>
  <c r="AQ304" i="9" s="1"/>
  <c r="AO304" i="9"/>
  <c r="AY308" i="9"/>
  <c r="AP308" i="9"/>
  <c r="AQ308" i="9" s="1"/>
  <c r="AO308" i="9"/>
  <c r="AY312" i="9"/>
  <c r="AP312" i="9"/>
  <c r="AQ312" i="9" s="1"/>
  <c r="AO312" i="9"/>
  <c r="AY316" i="9"/>
  <c r="AP316" i="9"/>
  <c r="AQ316" i="9" s="1"/>
  <c r="AO316" i="9"/>
  <c r="AP135" i="9"/>
  <c r="AQ135" i="9" s="1"/>
  <c r="AO135" i="9"/>
  <c r="AY135" i="9"/>
  <c r="AP139" i="9"/>
  <c r="AQ139" i="9" s="1"/>
  <c r="AO139" i="9"/>
  <c r="AY139" i="9"/>
  <c r="AP143" i="9"/>
  <c r="AQ143" i="9" s="1"/>
  <c r="AO143" i="9"/>
  <c r="AY143" i="9"/>
  <c r="AP147" i="9"/>
  <c r="AQ147" i="9" s="1"/>
  <c r="AO147" i="9"/>
  <c r="AY147" i="9"/>
  <c r="AP151" i="9"/>
  <c r="AQ151" i="9" s="1"/>
  <c r="AO151" i="9"/>
  <c r="AY151" i="9"/>
  <c r="AP155" i="9"/>
  <c r="AQ155" i="9" s="1"/>
  <c r="AO155" i="9"/>
  <c r="AY155" i="9"/>
  <c r="AY159" i="9"/>
  <c r="AP159" i="9"/>
  <c r="AQ159" i="9" s="1"/>
  <c r="AO159" i="9"/>
  <c r="AY163" i="9"/>
  <c r="AP163" i="9"/>
  <c r="AQ163" i="9" s="1"/>
  <c r="AO163" i="9"/>
  <c r="AY167" i="9"/>
  <c r="AP167" i="9"/>
  <c r="AQ167" i="9" s="1"/>
  <c r="AO167" i="9"/>
  <c r="AY171" i="9"/>
  <c r="AP171" i="9"/>
  <c r="AQ171" i="9" s="1"/>
  <c r="AO171" i="9"/>
  <c r="AY175" i="9"/>
  <c r="AP175" i="9"/>
  <c r="AQ175" i="9" s="1"/>
  <c r="AO175" i="9"/>
  <c r="AY179" i="9"/>
  <c r="AP179" i="9"/>
  <c r="AQ179" i="9" s="1"/>
  <c r="AO179" i="9"/>
  <c r="AY183" i="9"/>
  <c r="AP183" i="9"/>
  <c r="AQ183" i="9" s="1"/>
  <c r="AO183" i="9"/>
  <c r="AY187" i="9"/>
  <c r="AP187" i="9"/>
  <c r="AQ187" i="9" s="1"/>
  <c r="AO187" i="9"/>
  <c r="AY191" i="9"/>
  <c r="AP191" i="9"/>
  <c r="AQ191" i="9" s="1"/>
  <c r="AO191" i="9"/>
  <c r="AY195" i="9"/>
  <c r="AP195" i="9"/>
  <c r="AQ195" i="9" s="1"/>
  <c r="AO195" i="9"/>
  <c r="AY199" i="9"/>
  <c r="AP199" i="9"/>
  <c r="AQ199" i="9" s="1"/>
  <c r="AO199" i="9"/>
  <c r="AY203" i="9"/>
  <c r="AP203" i="9"/>
  <c r="AQ203" i="9" s="1"/>
  <c r="AO203" i="9"/>
  <c r="AP207" i="9"/>
  <c r="AQ207" i="9" s="1"/>
  <c r="AO207" i="9"/>
  <c r="AY207" i="9"/>
  <c r="AP211" i="9"/>
  <c r="AQ211" i="9" s="1"/>
  <c r="AO211" i="9"/>
  <c r="AY211" i="9"/>
  <c r="AP215" i="9"/>
  <c r="AQ215" i="9" s="1"/>
  <c r="AO215" i="9"/>
  <c r="AY215" i="9"/>
  <c r="AP219" i="9"/>
  <c r="AQ219" i="9" s="1"/>
  <c r="AO219" i="9"/>
  <c r="AY219" i="9"/>
  <c r="AY223" i="9"/>
  <c r="AP223" i="9"/>
  <c r="AQ223" i="9" s="1"/>
  <c r="AO223" i="9"/>
  <c r="AY227" i="9"/>
  <c r="AP227" i="9"/>
  <c r="AQ227" i="9" s="1"/>
  <c r="AO227" i="9"/>
  <c r="AY231" i="9"/>
  <c r="AP231" i="9"/>
  <c r="AQ231" i="9" s="1"/>
  <c r="AO231" i="9"/>
  <c r="AY235" i="9"/>
  <c r="AP235" i="9"/>
  <c r="AQ235" i="9" s="1"/>
  <c r="AO235" i="9"/>
  <c r="AY239" i="9"/>
  <c r="AP239" i="9"/>
  <c r="AQ239" i="9" s="1"/>
  <c r="AO239" i="9"/>
  <c r="AY243" i="9"/>
  <c r="AP243" i="9"/>
  <c r="AQ243" i="9" s="1"/>
  <c r="AO243" i="9"/>
  <c r="AP247" i="9"/>
  <c r="AQ247" i="9" s="1"/>
  <c r="AY247" i="9"/>
  <c r="AO247" i="9"/>
  <c r="AP251" i="9"/>
  <c r="AQ251" i="9" s="1"/>
  <c r="AY251" i="9"/>
  <c r="AO251" i="9"/>
  <c r="AP255" i="9"/>
  <c r="AQ255" i="9" s="1"/>
  <c r="AY255" i="9"/>
  <c r="AO255" i="9"/>
  <c r="AP259" i="9"/>
  <c r="AQ259" i="9" s="1"/>
  <c r="AY259" i="9"/>
  <c r="AO259" i="9"/>
  <c r="AP263" i="9"/>
  <c r="AQ263" i="9" s="1"/>
  <c r="AY263" i="9"/>
  <c r="AO263" i="9"/>
  <c r="AP267" i="9"/>
  <c r="AQ267" i="9" s="1"/>
  <c r="AY267" i="9"/>
  <c r="AO267" i="9"/>
  <c r="AP271" i="9"/>
  <c r="AQ271" i="9" s="1"/>
  <c r="AY271" i="9"/>
  <c r="AO271" i="9"/>
  <c r="AP275" i="9"/>
  <c r="AQ275" i="9" s="1"/>
  <c r="AY275" i="9"/>
  <c r="AO275" i="9"/>
  <c r="AY279" i="9"/>
  <c r="AP279" i="9"/>
  <c r="AQ279" i="9" s="1"/>
  <c r="AO279" i="9"/>
  <c r="AY283" i="9"/>
  <c r="AP283" i="9"/>
  <c r="AQ283" i="9" s="1"/>
  <c r="AO283" i="9"/>
  <c r="AY287" i="9"/>
  <c r="AP287" i="9"/>
  <c r="AQ287" i="9" s="1"/>
  <c r="AO287" i="9"/>
  <c r="AY291" i="9"/>
  <c r="AP291" i="9"/>
  <c r="AQ291" i="9" s="1"/>
  <c r="AO291" i="9"/>
  <c r="AY295" i="9"/>
  <c r="AP295" i="9"/>
  <c r="AQ295" i="9" s="1"/>
  <c r="AO295" i="9"/>
  <c r="AY299" i="9"/>
  <c r="AP299" i="9"/>
  <c r="AQ299" i="9" s="1"/>
  <c r="AO299" i="9"/>
  <c r="AY303" i="9"/>
  <c r="AP303" i="9"/>
  <c r="AQ303" i="9" s="1"/>
  <c r="AO303" i="9"/>
  <c r="AY307" i="9"/>
  <c r="AP307" i="9"/>
  <c r="AQ307" i="9" s="1"/>
  <c r="AO307" i="9"/>
  <c r="AY311" i="9"/>
  <c r="AP311" i="9"/>
  <c r="AQ311" i="9" s="1"/>
  <c r="AO311" i="9"/>
  <c r="AY315" i="9"/>
  <c r="AP315" i="9"/>
  <c r="AQ315" i="9" s="1"/>
  <c r="AO315" i="9"/>
  <c r="AY319" i="9"/>
  <c r="AP319" i="9"/>
  <c r="AQ319" i="9" s="1"/>
  <c r="AO319" i="9"/>
  <c r="AW154" i="9"/>
  <c r="BK154" i="9"/>
  <c r="AW105" i="9"/>
  <c r="BK105" i="9"/>
  <c r="AW254" i="9"/>
  <c r="BK254" i="9"/>
  <c r="AW81" i="9"/>
  <c r="BK81" i="9"/>
  <c r="AW116" i="9"/>
  <c r="BK116" i="9"/>
  <c r="AW164" i="9"/>
  <c r="BK164" i="9"/>
  <c r="AW146" i="9"/>
  <c r="BK146" i="9"/>
  <c r="CF289" i="9"/>
  <c r="CW289" i="9" s="1"/>
  <c r="BO193" i="9"/>
  <c r="AW165" i="9"/>
  <c r="BK165" i="9"/>
  <c r="AW185" i="9"/>
  <c r="BK185" i="9"/>
  <c r="BO185" i="9" s="1"/>
  <c r="AW231" i="9"/>
  <c r="BK231" i="9"/>
  <c r="AW247" i="9"/>
  <c r="BK247" i="9"/>
  <c r="AW282" i="9"/>
  <c r="BK282" i="9"/>
  <c r="AW123" i="9"/>
  <c r="BK123" i="9"/>
  <c r="BO123" i="9" s="1"/>
  <c r="AW68" i="9"/>
  <c r="BK68" i="9"/>
  <c r="BO68" i="9" s="1"/>
  <c r="AW84" i="9"/>
  <c r="BK84" i="9"/>
  <c r="AW100" i="9"/>
  <c r="BK100" i="9"/>
  <c r="BO100" i="9" s="1"/>
  <c r="AW255" i="9"/>
  <c r="BK255" i="9"/>
  <c r="BO255" i="9" s="1"/>
  <c r="AW15" i="9"/>
  <c r="BK15" i="9"/>
  <c r="BO15" i="9" s="1"/>
  <c r="AW299" i="9"/>
  <c r="BK299" i="9"/>
  <c r="BO299" i="9" s="1"/>
  <c r="AU320" i="9"/>
  <c r="AT434" i="9"/>
  <c r="AT436" i="9"/>
  <c r="AT441" i="9"/>
  <c r="AW160" i="9"/>
  <c r="BK160" i="9"/>
  <c r="AW290" i="9"/>
  <c r="BK290" i="9"/>
  <c r="AW47" i="9"/>
  <c r="BK47" i="9"/>
  <c r="BO128" i="9"/>
  <c r="AW150" i="9"/>
  <c r="BK150" i="9"/>
  <c r="AW138" i="9"/>
  <c r="BK138" i="9"/>
  <c r="BO159" i="9"/>
  <c r="AW94" i="9"/>
  <c r="BK94" i="9"/>
  <c r="AW111" i="9"/>
  <c r="BK111" i="9"/>
  <c r="AW50" i="9"/>
  <c r="BK50" i="9"/>
  <c r="AW117" i="9"/>
  <c r="BK117" i="9"/>
  <c r="AW229" i="9"/>
  <c r="BK229" i="9"/>
  <c r="AW251" i="9"/>
  <c r="BK251" i="9"/>
  <c r="AW279" i="9"/>
  <c r="BK279" i="9"/>
  <c r="CF163" i="9"/>
  <c r="CW163" i="9" s="1"/>
  <c r="CF16" i="9"/>
  <c r="CF77" i="9"/>
  <c r="CW77" i="9" s="1"/>
  <c r="CF307" i="9"/>
  <c r="CW307" i="9" s="1"/>
  <c r="CF133" i="9"/>
  <c r="CF205" i="9"/>
  <c r="CW205" i="9" s="1"/>
  <c r="BO36" i="9"/>
  <c r="BO18" i="9"/>
  <c r="BO79" i="9"/>
  <c r="CF266" i="9"/>
  <c r="CF119" i="9"/>
  <c r="CW119" i="9" s="1"/>
  <c r="BO175" i="9"/>
  <c r="CF62" i="9"/>
  <c r="CW62" i="9" s="1"/>
  <c r="AW33" i="9"/>
  <c r="BK33" i="9"/>
  <c r="BO33" i="9" s="1"/>
  <c r="AW17" i="9"/>
  <c r="BK17" i="9"/>
  <c r="AW52" i="9"/>
  <c r="BK52" i="9"/>
  <c r="BO52" i="9" s="1"/>
  <c r="AW302" i="9"/>
  <c r="BK302" i="9"/>
  <c r="AW318" i="9"/>
  <c r="BK318" i="9"/>
  <c r="BO318" i="9" s="1"/>
  <c r="AW263" i="9"/>
  <c r="BK263" i="9"/>
  <c r="AW63" i="9"/>
  <c r="BK63" i="9"/>
  <c r="BO63" i="9" s="1"/>
  <c r="AW34" i="9"/>
  <c r="BK34" i="9"/>
  <c r="AW78" i="9"/>
  <c r="BK78" i="9"/>
  <c r="AW312" i="9"/>
  <c r="BK312" i="9"/>
  <c r="AW265" i="9"/>
  <c r="BK265" i="9"/>
  <c r="BO265" i="9" s="1"/>
  <c r="AW67" i="9"/>
  <c r="BK67" i="9"/>
  <c r="AW115" i="9"/>
  <c r="BK115" i="9"/>
  <c r="BO115" i="9" s="1"/>
  <c r="AW139" i="9"/>
  <c r="BK139" i="9"/>
  <c r="AW202" i="9"/>
  <c r="BK202" i="9"/>
  <c r="BO202" i="9" s="1"/>
  <c r="AW232" i="9"/>
  <c r="BK232" i="9"/>
  <c r="BO232" i="9" s="1"/>
  <c r="AW278" i="9"/>
  <c r="BK278" i="9"/>
  <c r="AW170" i="9"/>
  <c r="BK170" i="9"/>
  <c r="BO170" i="9" s="1"/>
  <c r="AW135" i="9"/>
  <c r="BK135" i="9"/>
  <c r="BO135" i="9" s="1"/>
  <c r="AW183" i="9"/>
  <c r="BK183" i="9"/>
  <c r="BO183" i="9" s="1"/>
  <c r="AW212" i="9"/>
  <c r="BK212" i="9"/>
  <c r="BO212" i="9" s="1"/>
  <c r="AW214" i="9"/>
  <c r="BK214" i="9"/>
  <c r="BO214" i="9" s="1"/>
  <c r="AW217" i="9"/>
  <c r="BK217" i="9"/>
  <c r="AW172" i="9"/>
  <c r="BK172" i="9"/>
  <c r="BO172" i="9" s="1"/>
  <c r="AW178" i="9"/>
  <c r="BK178" i="9"/>
  <c r="AW184" i="9"/>
  <c r="BK184" i="9"/>
  <c r="CF179" i="9"/>
  <c r="CW179" i="9" s="1"/>
  <c r="CF56" i="9"/>
  <c r="CF45" i="9"/>
  <c r="CW45" i="9" s="1"/>
  <c r="CF262" i="9"/>
  <c r="CW262" i="9" s="1"/>
  <c r="CF315" i="9"/>
  <c r="CF126" i="9"/>
  <c r="CW126" i="9" s="1"/>
  <c r="CF38" i="9"/>
  <c r="CW38" i="9" s="1"/>
  <c r="CF267" i="9"/>
  <c r="AW250" i="9"/>
  <c r="BK250" i="9"/>
  <c r="BO250" i="9" s="1"/>
  <c r="AW173" i="9"/>
  <c r="BK173" i="9"/>
  <c r="AW127" i="9"/>
  <c r="BK127" i="9"/>
  <c r="BO127" i="9" s="1"/>
  <c r="AW151" i="9"/>
  <c r="BK151" i="9"/>
  <c r="AW191" i="9"/>
  <c r="BK191" i="9"/>
  <c r="BO191" i="9" s="1"/>
  <c r="AW121" i="9"/>
  <c r="BK121" i="9"/>
  <c r="AW192" i="9"/>
  <c r="BK192" i="9"/>
  <c r="BO192" i="9" s="1"/>
  <c r="AW156" i="9"/>
  <c r="BK156" i="9"/>
  <c r="BO156" i="9" s="1"/>
  <c r="AW221" i="9"/>
  <c r="BK221" i="9"/>
  <c r="BO221" i="9" s="1"/>
  <c r="AW148" i="9"/>
  <c r="BK148" i="9"/>
  <c r="BO148" i="9" s="1"/>
  <c r="CF201" i="9"/>
  <c r="CW201" i="9" s="1"/>
  <c r="CF220" i="9"/>
  <c r="CW220" i="9" s="1"/>
  <c r="BO319" i="9"/>
  <c r="CF109" i="9"/>
  <c r="CW109" i="9" s="1"/>
  <c r="CF51" i="9"/>
  <c r="CW51" i="9" s="1"/>
  <c r="CF88" i="9"/>
  <c r="CW88" i="9" s="1"/>
  <c r="BO157" i="9"/>
  <c r="CF137" i="9"/>
  <c r="CW137" i="9" s="1"/>
  <c r="BC336" i="9"/>
  <c r="BC320" i="9"/>
  <c r="AW277" i="9"/>
  <c r="BK277" i="9"/>
  <c r="BO277" i="9" s="1"/>
  <c r="CF107" i="9"/>
  <c r="CW107" i="9" s="1"/>
  <c r="BO184" i="9"/>
  <c r="AW226" i="9"/>
  <c r="BK226" i="9"/>
  <c r="AW236" i="9"/>
  <c r="BK236" i="9"/>
  <c r="AW208" i="9"/>
  <c r="BK208" i="9"/>
  <c r="AW20" i="9"/>
  <c r="BK20" i="9"/>
  <c r="BO140" i="9"/>
  <c r="AW200" i="9"/>
  <c r="BK200" i="9"/>
  <c r="AW284" i="9"/>
  <c r="BK284" i="9"/>
  <c r="BO84" i="9"/>
  <c r="AW23" i="9"/>
  <c r="BK23" i="9"/>
  <c r="AW37" i="9"/>
  <c r="BK37" i="9"/>
  <c r="AW240" i="9"/>
  <c r="BK240" i="9"/>
  <c r="CF275" i="9"/>
  <c r="CW275" i="9" s="1"/>
  <c r="BO144" i="9"/>
  <c r="BO138" i="9"/>
  <c r="AW190" i="9"/>
  <c r="BK190" i="9"/>
  <c r="AW182" i="9"/>
  <c r="BK182" i="9"/>
  <c r="AW134" i="9"/>
  <c r="BK134" i="9"/>
  <c r="BO301" i="9"/>
  <c r="BO50" i="9"/>
  <c r="AW90" i="9"/>
  <c r="BK90" i="9"/>
  <c r="AW99" i="9"/>
  <c r="BK99" i="9"/>
  <c r="AW227" i="9"/>
  <c r="BK227" i="9"/>
  <c r="AW174" i="9"/>
  <c r="BK174" i="9"/>
  <c r="CF186" i="9"/>
  <c r="CW186" i="9" s="1"/>
  <c r="CF48" i="9"/>
  <c r="CW48" i="9" s="1"/>
  <c r="CF69" i="9"/>
  <c r="CF101" i="9"/>
  <c r="CF167" i="9"/>
  <c r="CW167" i="9" s="1"/>
  <c r="CF91" i="9"/>
  <c r="BO206" i="9"/>
  <c r="BO189" i="9"/>
  <c r="CF243" i="9"/>
  <c r="CW243" i="9" s="1"/>
  <c r="CF295" i="9"/>
  <c r="CW295" i="9" s="1"/>
  <c r="BO30" i="9"/>
  <c r="BO75" i="9"/>
  <c r="CF95" i="9"/>
  <c r="CW95" i="9" s="1"/>
  <c r="CF216" i="9"/>
  <c r="CW216" i="9" s="1"/>
  <c r="CF253" i="9"/>
  <c r="CW253" i="9" s="1"/>
  <c r="CF58" i="9"/>
  <c r="CW58" i="9" s="1"/>
  <c r="AW110" i="9"/>
  <c r="BK110" i="9"/>
  <c r="AW29" i="9"/>
  <c r="BK29" i="9"/>
  <c r="AW13" i="9"/>
  <c r="BK13" i="9"/>
  <c r="AW44" i="9"/>
  <c r="BK44" i="9"/>
  <c r="AW305" i="9"/>
  <c r="BK305" i="9"/>
  <c r="AW259" i="9"/>
  <c r="BK259" i="9"/>
  <c r="AW57" i="9"/>
  <c r="BK57" i="9"/>
  <c r="BO57" i="9" s="1"/>
  <c r="AW26" i="9"/>
  <c r="BK26" i="9"/>
  <c r="AZ399" i="9"/>
  <c r="AU370" i="9"/>
  <c r="AU394" i="9" s="1"/>
  <c r="AW272" i="9"/>
  <c r="BK272" i="9"/>
  <c r="AW257" i="9"/>
  <c r="BK257" i="9"/>
  <c r="AZ411" i="9"/>
  <c r="BD75" i="9"/>
  <c r="BD336" i="9" s="1"/>
  <c r="AW14" i="9"/>
  <c r="BK14" i="9"/>
  <c r="BO14" i="9" s="1"/>
  <c r="AW147" i="9"/>
  <c r="BK147" i="9"/>
  <c r="AW228" i="9"/>
  <c r="BK228" i="9"/>
  <c r="AW234" i="9"/>
  <c r="BK234" i="9"/>
  <c r="CF155" i="9"/>
  <c r="CW155" i="9" s="1"/>
  <c r="CF73" i="9"/>
  <c r="CW73" i="9" s="1"/>
  <c r="CF269" i="9"/>
  <c r="CW269" i="9" s="1"/>
  <c r="CF113" i="9"/>
  <c r="CW113" i="9" s="1"/>
  <c r="CF132" i="9"/>
  <c r="CW132" i="9" s="1"/>
  <c r="CF285" i="9"/>
  <c r="CW285" i="9" s="1"/>
  <c r="CF149" i="9"/>
  <c r="CW149" i="9" s="1"/>
  <c r="CF54" i="9"/>
  <c r="CW54" i="9" s="1"/>
  <c r="D7" i="17"/>
  <c r="M31" i="13"/>
  <c r="M35" i="13"/>
  <c r="M39" i="13"/>
  <c r="M34" i="13"/>
  <c r="M38" i="13"/>
  <c r="M42" i="13"/>
  <c r="M33" i="13"/>
  <c r="M37" i="13"/>
  <c r="M41" i="13"/>
  <c r="M45" i="13"/>
  <c r="M32" i="13"/>
  <c r="M36" i="13"/>
  <c r="M40" i="13"/>
  <c r="M44" i="13"/>
  <c r="M10" i="13"/>
  <c r="L34" i="13"/>
  <c r="L38" i="13"/>
  <c r="L42" i="13"/>
  <c r="L33" i="13"/>
  <c r="L37" i="13"/>
  <c r="L41" i="13"/>
  <c r="L45" i="13"/>
  <c r="L10" i="13"/>
  <c r="L32" i="13"/>
  <c r="L36" i="13"/>
  <c r="L40" i="13"/>
  <c r="L44" i="13"/>
  <c r="L31" i="13"/>
  <c r="L35" i="13"/>
  <c r="L39" i="13"/>
  <c r="N32" i="13"/>
  <c r="N36" i="13"/>
  <c r="N40" i="13"/>
  <c r="N44" i="13"/>
  <c r="N31" i="13"/>
  <c r="N35" i="13"/>
  <c r="N39" i="13"/>
  <c r="N10" i="13"/>
  <c r="N34" i="13"/>
  <c r="N38" i="13"/>
  <c r="N42" i="13"/>
  <c r="N33" i="13"/>
  <c r="N37" i="13"/>
  <c r="N41" i="13"/>
  <c r="N45" i="13"/>
  <c r="C10" i="17"/>
  <c r="D27" i="18"/>
  <c r="C12" i="10" s="1"/>
  <c r="D31" i="18"/>
  <c r="C17" i="10" s="1"/>
  <c r="AM328" i="9"/>
  <c r="AL320" i="9"/>
  <c r="AM324" i="9"/>
  <c r="AL324" i="9"/>
  <c r="AM336" i="9"/>
  <c r="AL336" i="9"/>
  <c r="AL332" i="9"/>
  <c r="E6" i="17"/>
  <c r="E7" i="17" s="1"/>
  <c r="D8" i="17"/>
  <c r="AF370" i="9"/>
  <c r="AF382" i="9"/>
  <c r="X390" i="9"/>
  <c r="Z390" i="9"/>
  <c r="AH419" i="9"/>
  <c r="AC419" i="9" s="1"/>
  <c r="X386" i="9"/>
  <c r="AH415" i="9"/>
  <c r="AC415" i="9" s="1"/>
  <c r="Z386" i="9"/>
  <c r="N11" i="2"/>
  <c r="P11" i="2"/>
  <c r="T11" i="2" s="1"/>
  <c r="R12" i="2"/>
  <c r="T12" i="2"/>
  <c r="AN23" i="2"/>
  <c r="R27" i="2"/>
  <c r="S27" i="2"/>
  <c r="R31" i="2"/>
  <c r="S31" i="2"/>
  <c r="R32" i="2"/>
  <c r="S32" i="2"/>
  <c r="R36" i="2"/>
  <c r="S36" i="2"/>
  <c r="N38" i="2"/>
  <c r="O38" i="2"/>
  <c r="W51" i="2"/>
  <c r="AA51" i="2" s="1"/>
  <c r="R53" i="2"/>
  <c r="S53" i="2"/>
  <c r="AA468" i="9"/>
  <c r="AA448" i="9"/>
  <c r="AA458" i="9"/>
  <c r="AA453" i="9"/>
  <c r="AC453" i="9" s="1"/>
  <c r="G19" i="2" s="1"/>
  <c r="Z375" i="9" s="1"/>
  <c r="AA463" i="9"/>
  <c r="V159" i="14"/>
  <c r="V167" i="14" s="1"/>
  <c r="AD159" i="14"/>
  <c r="AD167" i="14" s="1"/>
  <c r="V133" i="14"/>
  <c r="W133" i="14" s="1"/>
  <c r="Y146" i="14"/>
  <c r="Y154" i="14" s="1"/>
  <c r="X133" i="14"/>
  <c r="AA146" i="14"/>
  <c r="U146" i="14"/>
  <c r="S146" i="14"/>
  <c r="AC159" i="14"/>
  <c r="AA470" i="9"/>
  <c r="AA450" i="9"/>
  <c r="AA460" i="9"/>
  <c r="AA455" i="9"/>
  <c r="AA473" i="9" s="1"/>
  <c r="AA474" i="9" s="1"/>
  <c r="R10" i="2"/>
  <c r="T10" i="2"/>
  <c r="N15" i="2"/>
  <c r="P15" i="2"/>
  <c r="X16" i="2"/>
  <c r="N17" i="2"/>
  <c r="P17" i="2"/>
  <c r="T17" i="2" s="1"/>
  <c r="X18" i="2"/>
  <c r="AB18" i="2" s="1"/>
  <c r="AF18" i="2" s="1"/>
  <c r="AJ18" i="2" s="1"/>
  <c r="N21" i="2"/>
  <c r="P21" i="2"/>
  <c r="T21" i="2" s="1"/>
  <c r="X22" i="2"/>
  <c r="AB22" i="2" s="1"/>
  <c r="AF22" i="2" s="1"/>
  <c r="AJ22" i="2" s="1"/>
  <c r="N33" i="2"/>
  <c r="O33" i="2"/>
  <c r="R44" i="2"/>
  <c r="S44" i="2"/>
  <c r="N50" i="2"/>
  <c r="O50" i="2"/>
  <c r="S50" i="2" s="1"/>
  <c r="W50" i="2" s="1"/>
  <c r="AA50" i="2" s="1"/>
  <c r="AE50" i="2" s="1"/>
  <c r="AI50" i="2" s="1"/>
  <c r="AM50" i="2" s="1"/>
  <c r="N52" i="2"/>
  <c r="O52" i="2"/>
  <c r="AA464" i="9"/>
  <c r="AA449" i="9"/>
  <c r="AA459" i="9"/>
  <c r="AA454" i="9"/>
  <c r="AA469" i="9"/>
  <c r="Q7" i="2"/>
  <c r="S8" i="2"/>
  <c r="P6" i="2"/>
  <c r="O5" i="2"/>
  <c r="O34" i="2" s="1"/>
  <c r="S11" i="2"/>
  <c r="W11" i="2" s="1"/>
  <c r="AA11" i="2" s="1"/>
  <c r="AE11" i="2" s="1"/>
  <c r="AI11" i="2" s="1"/>
  <c r="AM11" i="2" s="1"/>
  <c r="R16" i="2"/>
  <c r="S16" i="2"/>
  <c r="W16" i="2" s="1"/>
  <c r="AA16" i="2" s="1"/>
  <c r="AE16" i="2" s="1"/>
  <c r="AI16" i="2" s="1"/>
  <c r="AM16" i="2" s="1"/>
  <c r="R17" i="2"/>
  <c r="S17" i="2"/>
  <c r="W17" i="2" s="1"/>
  <c r="AA17" i="2" s="1"/>
  <c r="AE17" i="2" s="1"/>
  <c r="R18" i="2"/>
  <c r="S18" i="2"/>
  <c r="W18" i="2" s="1"/>
  <c r="S21" i="2"/>
  <c r="W21" i="2" s="1"/>
  <c r="R22" i="2"/>
  <c r="S22" i="2"/>
  <c r="W22" i="2" s="1"/>
  <c r="R23" i="2"/>
  <c r="S23" i="2"/>
  <c r="N26" i="2"/>
  <c r="O26" i="2"/>
  <c r="N28" i="2"/>
  <c r="O28" i="2"/>
  <c r="AJ33" i="2"/>
  <c r="AN33" i="2" s="1"/>
  <c r="R37" i="2"/>
  <c r="S37" i="2"/>
  <c r="R43" i="2"/>
  <c r="S43" i="2"/>
  <c r="R45" i="2"/>
  <c r="S45" i="2"/>
  <c r="R50" i="2"/>
  <c r="T50" i="2"/>
  <c r="R51" i="2"/>
  <c r="T51" i="2"/>
  <c r="AF52" i="2"/>
  <c r="AN53" i="2"/>
  <c r="AF374" i="9"/>
  <c r="N43" i="2"/>
  <c r="AI423" i="9"/>
  <c r="AM320" i="9"/>
  <c r="AA478" i="9"/>
  <c r="AC434" i="9"/>
  <c r="AC437" i="9"/>
  <c r="C71" i="10" s="1"/>
  <c r="X382" i="9"/>
  <c r="Z382" i="9"/>
  <c r="AH403" i="9"/>
  <c r="AC403" i="9" s="1"/>
  <c r="AH399" i="9"/>
  <c r="AC399" i="9" s="1"/>
  <c r="Z5" i="9"/>
  <c r="Z320" i="9" s="1"/>
  <c r="Y320" i="9"/>
  <c r="AF320" i="9"/>
  <c r="AF378" i="9"/>
  <c r="X378" i="9"/>
  <c r="Z378" i="9"/>
  <c r="X320" i="9"/>
  <c r="AD394" i="9"/>
  <c r="AH411" i="9"/>
  <c r="AC411" i="9" s="1"/>
  <c r="X374" i="9"/>
  <c r="Z374" i="9"/>
  <c r="X370" i="9"/>
  <c r="Z370" i="9"/>
  <c r="AH320" i="9"/>
  <c r="AH407" i="9"/>
  <c r="AC407" i="9" s="1"/>
  <c r="AL348" i="9"/>
  <c r="M7" i="2"/>
  <c r="AV159" i="14" s="1"/>
  <c r="AV167" i="14" s="1"/>
  <c r="L6" i="2"/>
  <c r="AR459" i="9" s="1"/>
  <c r="K5" i="2"/>
  <c r="AR458" i="9" s="1"/>
  <c r="N23" i="2"/>
  <c r="N27" i="2"/>
  <c r="N53" i="2"/>
  <c r="N37" i="2"/>
  <c r="N31" i="2"/>
  <c r="N36" i="2"/>
  <c r="N44" i="2"/>
  <c r="N51" i="2"/>
  <c r="N10" i="2"/>
  <c r="N12" i="2"/>
  <c r="N16" i="2"/>
  <c r="N18" i="2"/>
  <c r="N22" i="2"/>
  <c r="N32" i="2"/>
  <c r="N45" i="2"/>
  <c r="M29" i="2"/>
  <c r="AU332" i="9" l="1"/>
  <c r="AM348" i="9"/>
  <c r="AM353" i="9" s="1"/>
  <c r="AC353" i="9" s="1"/>
  <c r="AC357" i="9" s="1"/>
  <c r="AC361" i="9" s="1"/>
  <c r="AC365" i="9" s="1"/>
  <c r="R21" i="2"/>
  <c r="R11" i="2"/>
  <c r="CY187" i="9"/>
  <c r="BB332" i="9"/>
  <c r="BU15" i="9"/>
  <c r="BU71" i="9"/>
  <c r="BU47" i="9"/>
  <c r="BU67" i="9"/>
  <c r="CY266" i="9"/>
  <c r="BU23" i="9"/>
  <c r="AT459" i="9"/>
  <c r="AT458" i="9"/>
  <c r="BL234" i="9"/>
  <c r="BU234" i="9"/>
  <c r="BJ234" i="9"/>
  <c r="BM234" i="9"/>
  <c r="BQ234" i="9"/>
  <c r="BL228" i="9"/>
  <c r="BU228" i="9"/>
  <c r="BJ228" i="9"/>
  <c r="BM228" i="9"/>
  <c r="BQ228" i="9"/>
  <c r="BO147" i="9"/>
  <c r="BL147" i="9"/>
  <c r="BU147" i="9"/>
  <c r="BJ147" i="9"/>
  <c r="BQ147" i="9"/>
  <c r="BM147" i="9"/>
  <c r="BJ14" i="9"/>
  <c r="BL14" i="9"/>
  <c r="BU14" i="9"/>
  <c r="BQ14" i="9"/>
  <c r="BM14" i="9"/>
  <c r="BJ257" i="9"/>
  <c r="BL257" i="9"/>
  <c r="BU257" i="9"/>
  <c r="BM257" i="9"/>
  <c r="BQ257" i="9"/>
  <c r="BJ272" i="9"/>
  <c r="BL272" i="9"/>
  <c r="BU272" i="9"/>
  <c r="BQ272" i="9"/>
  <c r="BM272" i="9"/>
  <c r="BL26" i="9"/>
  <c r="BJ26" i="9"/>
  <c r="BQ26" i="9"/>
  <c r="BM26" i="9"/>
  <c r="BO26" i="9"/>
  <c r="BL57" i="9"/>
  <c r="BU57" i="9"/>
  <c r="BJ57" i="9"/>
  <c r="BM57" i="9"/>
  <c r="BQ57" i="9"/>
  <c r="BJ259" i="9"/>
  <c r="BL259" i="9"/>
  <c r="BU259" i="9"/>
  <c r="BM259" i="9"/>
  <c r="BQ259" i="9"/>
  <c r="BU305" i="9"/>
  <c r="BJ305" i="9"/>
  <c r="BL305" i="9"/>
  <c r="BM305" i="9"/>
  <c r="BQ305" i="9"/>
  <c r="BO305" i="9"/>
  <c r="BJ44" i="9"/>
  <c r="BL44" i="9"/>
  <c r="BQ44" i="9"/>
  <c r="BM44" i="9"/>
  <c r="BJ13" i="9"/>
  <c r="BL13" i="9"/>
  <c r="BU13" i="9"/>
  <c r="BM13" i="9"/>
  <c r="BQ13" i="9"/>
  <c r="BL29" i="9"/>
  <c r="BJ29" i="9"/>
  <c r="BQ29" i="9"/>
  <c r="BM29" i="9"/>
  <c r="BU110" i="9"/>
  <c r="BJ110" i="9"/>
  <c r="BL110" i="9"/>
  <c r="BM110" i="9"/>
  <c r="BQ110" i="9"/>
  <c r="BO110" i="9"/>
  <c r="BU174" i="9"/>
  <c r="BJ174" i="9"/>
  <c r="BL174" i="9"/>
  <c r="BM174" i="9"/>
  <c r="BQ174" i="9"/>
  <c r="BO174" i="9"/>
  <c r="BU227" i="9"/>
  <c r="BJ227" i="9"/>
  <c r="BL227" i="9"/>
  <c r="BM227" i="9"/>
  <c r="BQ227" i="9"/>
  <c r="BO227" i="9"/>
  <c r="BL99" i="9"/>
  <c r="BU99" i="9"/>
  <c r="BJ99" i="9"/>
  <c r="BM99" i="9"/>
  <c r="BQ99" i="9"/>
  <c r="BO99" i="9"/>
  <c r="BU90" i="9"/>
  <c r="BJ90" i="9"/>
  <c r="BL90" i="9"/>
  <c r="BM90" i="9"/>
  <c r="BQ90" i="9"/>
  <c r="BO90" i="9"/>
  <c r="BU240" i="9"/>
  <c r="BJ240" i="9"/>
  <c r="BL240" i="9"/>
  <c r="BQ240" i="9"/>
  <c r="BM240" i="9"/>
  <c r="BO240" i="9"/>
  <c r="BL20" i="9"/>
  <c r="BJ20" i="9"/>
  <c r="BM20" i="9"/>
  <c r="BQ20" i="9"/>
  <c r="BO20" i="9"/>
  <c r="BL208" i="9"/>
  <c r="BU208" i="9"/>
  <c r="BJ208" i="9"/>
  <c r="BQ208" i="9"/>
  <c r="BM208" i="9"/>
  <c r="BO208" i="9"/>
  <c r="AR460" i="9"/>
  <c r="AT460" i="9" s="1"/>
  <c r="AR448" i="9"/>
  <c r="BO228" i="9"/>
  <c r="AR463" i="9"/>
  <c r="BU279" i="9"/>
  <c r="BJ279" i="9"/>
  <c r="BL279" i="9"/>
  <c r="BM279" i="9"/>
  <c r="BQ279" i="9"/>
  <c r="BJ251" i="9"/>
  <c r="BL251" i="9"/>
  <c r="BU251" i="9"/>
  <c r="BM251" i="9"/>
  <c r="BQ251" i="9"/>
  <c r="BO251" i="9"/>
  <c r="BL229" i="9"/>
  <c r="BU229" i="9"/>
  <c r="BJ229" i="9"/>
  <c r="BQ229" i="9"/>
  <c r="BM229" i="9"/>
  <c r="BO229" i="9"/>
  <c r="BL117" i="9"/>
  <c r="BU117" i="9"/>
  <c r="BJ117" i="9"/>
  <c r="BM117" i="9"/>
  <c r="BQ117" i="9"/>
  <c r="BO117" i="9"/>
  <c r="BJ50" i="9"/>
  <c r="BL50" i="9"/>
  <c r="BU50" i="9"/>
  <c r="BQ50" i="9"/>
  <c r="BM50" i="9"/>
  <c r="BU111" i="9"/>
  <c r="BJ111" i="9"/>
  <c r="BL111" i="9"/>
  <c r="BQ111" i="9"/>
  <c r="BM111" i="9"/>
  <c r="BL94" i="9"/>
  <c r="BU94" i="9"/>
  <c r="BJ94" i="9"/>
  <c r="BQ94" i="9"/>
  <c r="BM94" i="9"/>
  <c r="BO94" i="9"/>
  <c r="BJ138" i="9"/>
  <c r="BL138" i="9"/>
  <c r="BU138" i="9"/>
  <c r="BQ138" i="9"/>
  <c r="BM138" i="9"/>
  <c r="BL150" i="9"/>
  <c r="BU150" i="9"/>
  <c r="BJ150" i="9"/>
  <c r="BM150" i="9"/>
  <c r="BQ150" i="9"/>
  <c r="BO29" i="9"/>
  <c r="BO279" i="9"/>
  <c r="BO111" i="9"/>
  <c r="BJ146" i="9"/>
  <c r="BL146" i="9"/>
  <c r="BU146" i="9"/>
  <c r="BQ146" i="9"/>
  <c r="BM146" i="9"/>
  <c r="BO146" i="9"/>
  <c r="BL164" i="9"/>
  <c r="BU164" i="9"/>
  <c r="BJ164" i="9"/>
  <c r="BQ164" i="9"/>
  <c r="BM164" i="9"/>
  <c r="BO164" i="9"/>
  <c r="BL116" i="9"/>
  <c r="BU116" i="9"/>
  <c r="BJ116" i="9"/>
  <c r="BQ116" i="9"/>
  <c r="BM116" i="9"/>
  <c r="BU81" i="9"/>
  <c r="BJ81" i="9"/>
  <c r="BL81" i="9"/>
  <c r="BQ81" i="9"/>
  <c r="BM81" i="9"/>
  <c r="BO81" i="9"/>
  <c r="BL254" i="9"/>
  <c r="BU254" i="9"/>
  <c r="BJ254" i="9"/>
  <c r="BM254" i="9"/>
  <c r="BQ254" i="9"/>
  <c r="BO254" i="9"/>
  <c r="BU105" i="9"/>
  <c r="BJ105" i="9"/>
  <c r="BL105" i="9"/>
  <c r="BQ105" i="9"/>
  <c r="BM105" i="9"/>
  <c r="BJ154" i="9"/>
  <c r="BL154" i="9"/>
  <c r="BU154" i="9"/>
  <c r="BQ154" i="9"/>
  <c r="BM154" i="9"/>
  <c r="BO154" i="9"/>
  <c r="AP320" i="9"/>
  <c r="AQ5" i="9"/>
  <c r="AQ320" i="9" s="1"/>
  <c r="AY411" i="9"/>
  <c r="BI455" i="9"/>
  <c r="BI473" i="9" s="1"/>
  <c r="BI474" i="9" s="1"/>
  <c r="BK475" i="9" s="1"/>
  <c r="BI468" i="9"/>
  <c r="BK469" i="9" s="1"/>
  <c r="BI454" i="9"/>
  <c r="BI460" i="9"/>
  <c r="BI450" i="9"/>
  <c r="BI463" i="9"/>
  <c r="BL206" i="9"/>
  <c r="BU206" i="9"/>
  <c r="BJ206" i="9"/>
  <c r="BQ206" i="9"/>
  <c r="BM206" i="9"/>
  <c r="BU195" i="9"/>
  <c r="BJ195" i="9"/>
  <c r="BL195" i="9"/>
  <c r="BQ195" i="9"/>
  <c r="BM195" i="9"/>
  <c r="BL30" i="9"/>
  <c r="BU30" i="9"/>
  <c r="BJ30" i="9"/>
  <c r="BQ30" i="9"/>
  <c r="BM30" i="9"/>
  <c r="AW382" i="9"/>
  <c r="BL10" i="9"/>
  <c r="BU10" i="9"/>
  <c r="BK324" i="9"/>
  <c r="BJ10" i="9"/>
  <c r="BM10" i="9"/>
  <c r="BQ10" i="9"/>
  <c r="BO10" i="9"/>
  <c r="BL41" i="9"/>
  <c r="BJ41" i="9"/>
  <c r="BU41" i="9"/>
  <c r="BQ41" i="9"/>
  <c r="BM41" i="9"/>
  <c r="BJ71" i="9"/>
  <c r="BL71" i="9"/>
  <c r="BQ71" i="9"/>
  <c r="BM71" i="9"/>
  <c r="BO71" i="9"/>
  <c r="BJ274" i="9"/>
  <c r="BL274" i="9"/>
  <c r="BU274" i="9"/>
  <c r="BQ274" i="9"/>
  <c r="BM274" i="9"/>
  <c r="BO274" i="9"/>
  <c r="BL313" i="9"/>
  <c r="BU313" i="9"/>
  <c r="BJ313" i="9"/>
  <c r="BM313" i="9"/>
  <c r="BQ313" i="9"/>
  <c r="BO313" i="9"/>
  <c r="BL60" i="9"/>
  <c r="BJ60" i="9"/>
  <c r="BM60" i="9"/>
  <c r="BQ60" i="9"/>
  <c r="BL21" i="9"/>
  <c r="BJ21" i="9"/>
  <c r="BQ21" i="9"/>
  <c r="BM21" i="9"/>
  <c r="BL301" i="9"/>
  <c r="BU301" i="9"/>
  <c r="BJ301" i="9"/>
  <c r="BQ301" i="9"/>
  <c r="BM301" i="9"/>
  <c r="BJ42" i="9"/>
  <c r="BL42" i="9"/>
  <c r="BM42" i="9"/>
  <c r="BQ42" i="9"/>
  <c r="BO42" i="9"/>
  <c r="BO272" i="9"/>
  <c r="BO195" i="9"/>
  <c r="BO41" i="9"/>
  <c r="BL130" i="9"/>
  <c r="BU130" i="9"/>
  <c r="BJ130" i="9"/>
  <c r="BQ130" i="9"/>
  <c r="BM130" i="9"/>
  <c r="BJ319" i="9"/>
  <c r="BU319" i="9"/>
  <c r="BL319" i="9"/>
  <c r="BM319" i="9"/>
  <c r="BQ319" i="9"/>
  <c r="BL297" i="9"/>
  <c r="BU297" i="9"/>
  <c r="BJ297" i="9"/>
  <c r="BQ297" i="9"/>
  <c r="BM297" i="9"/>
  <c r="BO297" i="9"/>
  <c r="BL188" i="9"/>
  <c r="BU188" i="9"/>
  <c r="BJ188" i="9"/>
  <c r="BQ188" i="9"/>
  <c r="BM188" i="9"/>
  <c r="BO188" i="9"/>
  <c r="BJ7" i="9"/>
  <c r="BL7" i="9"/>
  <c r="BU7" i="9"/>
  <c r="BM7" i="9"/>
  <c r="BQ7" i="9"/>
  <c r="BO7" i="9"/>
  <c r="BJ12" i="9"/>
  <c r="BL12" i="9"/>
  <c r="BU12" i="9"/>
  <c r="BM12" i="9"/>
  <c r="BQ12" i="9"/>
  <c r="BO12" i="9"/>
  <c r="BU120" i="9"/>
  <c r="BJ120" i="9"/>
  <c r="BL120" i="9"/>
  <c r="BM120" i="9"/>
  <c r="BQ120" i="9"/>
  <c r="BJ157" i="9"/>
  <c r="BL157" i="9"/>
  <c r="BU157" i="9"/>
  <c r="BM157" i="9"/>
  <c r="BQ157" i="9"/>
  <c r="BU233" i="9"/>
  <c r="BJ233" i="9"/>
  <c r="BL233" i="9"/>
  <c r="BM233" i="9"/>
  <c r="BQ233" i="9"/>
  <c r="BL246" i="9"/>
  <c r="BU246" i="9"/>
  <c r="BJ246" i="9"/>
  <c r="BM246" i="9"/>
  <c r="BQ246" i="9"/>
  <c r="BO246" i="9"/>
  <c r="BU309" i="9"/>
  <c r="BJ309" i="9"/>
  <c r="BL309" i="9"/>
  <c r="BM309" i="9"/>
  <c r="BQ309" i="9"/>
  <c r="BO309" i="9"/>
  <c r="BU239" i="9"/>
  <c r="BJ239" i="9"/>
  <c r="BL239" i="9"/>
  <c r="BM239" i="9"/>
  <c r="BQ239" i="9"/>
  <c r="BO239" i="9"/>
  <c r="BL207" i="9"/>
  <c r="BU207" i="9"/>
  <c r="BJ207" i="9"/>
  <c r="BM207" i="9"/>
  <c r="BQ207" i="9"/>
  <c r="BO207" i="9"/>
  <c r="BL28" i="9"/>
  <c r="BJ28" i="9"/>
  <c r="BM28" i="9"/>
  <c r="BQ28" i="9"/>
  <c r="BO28" i="9"/>
  <c r="AR469" i="9"/>
  <c r="AT470" i="9" s="1"/>
  <c r="AR468" i="9"/>
  <c r="AT469" i="9" s="1"/>
  <c r="AR449" i="9"/>
  <c r="AW320" i="9"/>
  <c r="AW378" i="9"/>
  <c r="BD320" i="9"/>
  <c r="BJ53" i="9"/>
  <c r="BL53" i="9"/>
  <c r="BU53" i="9"/>
  <c r="BQ53" i="9"/>
  <c r="BM53" i="9"/>
  <c r="BO53" i="9"/>
  <c r="BJ316" i="9"/>
  <c r="BU316" i="9"/>
  <c r="BL316" i="9"/>
  <c r="BQ316" i="9"/>
  <c r="BM316" i="9"/>
  <c r="BJ314" i="9"/>
  <c r="BU314" i="9"/>
  <c r="BL314" i="9"/>
  <c r="BQ314" i="9"/>
  <c r="BM314" i="9"/>
  <c r="BO314" i="9"/>
  <c r="BJ46" i="9"/>
  <c r="BL46" i="9"/>
  <c r="BM46" i="9"/>
  <c r="BQ46" i="9"/>
  <c r="BO46" i="9"/>
  <c r="BU176" i="9"/>
  <c r="BJ176" i="9"/>
  <c r="BL176" i="9"/>
  <c r="BM176" i="9"/>
  <c r="BQ176" i="9"/>
  <c r="BJ141" i="9"/>
  <c r="BL141" i="9"/>
  <c r="BU141" i="9"/>
  <c r="BM141" i="9"/>
  <c r="BQ141" i="9"/>
  <c r="BO141" i="9"/>
  <c r="BO252" i="9"/>
  <c r="BL252" i="9"/>
  <c r="BU252" i="9"/>
  <c r="BJ252" i="9"/>
  <c r="BM252" i="9"/>
  <c r="BQ252" i="9"/>
  <c r="BU96" i="9"/>
  <c r="BJ96" i="9"/>
  <c r="BL96" i="9"/>
  <c r="BM96" i="9"/>
  <c r="BQ96" i="9"/>
  <c r="BU281" i="9"/>
  <c r="BJ281" i="9"/>
  <c r="BL281" i="9"/>
  <c r="BM281" i="9"/>
  <c r="BQ281" i="9"/>
  <c r="BO281" i="9"/>
  <c r="BU241" i="9"/>
  <c r="BJ241" i="9"/>
  <c r="BL241" i="9"/>
  <c r="BM241" i="9"/>
  <c r="BQ241" i="9"/>
  <c r="BO241" i="9"/>
  <c r="BU162" i="9"/>
  <c r="BJ162" i="9"/>
  <c r="BL162" i="9"/>
  <c r="BM162" i="9"/>
  <c r="BQ162" i="9"/>
  <c r="BO162" i="9"/>
  <c r="AY407" i="9"/>
  <c r="AQ378" i="9"/>
  <c r="AO370" i="9"/>
  <c r="BO13" i="9"/>
  <c r="BP6" i="9"/>
  <c r="BG6" i="9"/>
  <c r="BH6" i="9" s="1"/>
  <c r="BF6" i="9"/>
  <c r="BP10" i="9"/>
  <c r="BG10" i="9"/>
  <c r="BH10" i="9" s="1"/>
  <c r="BF10" i="9"/>
  <c r="BP14" i="9"/>
  <c r="BG14" i="9"/>
  <c r="BH14" i="9" s="1"/>
  <c r="BF14" i="9"/>
  <c r="BP18" i="9"/>
  <c r="BG18" i="9"/>
  <c r="BH18" i="9" s="1"/>
  <c r="BF18" i="9"/>
  <c r="BP22" i="9"/>
  <c r="BG22" i="9"/>
  <c r="BH22" i="9" s="1"/>
  <c r="BF22" i="9"/>
  <c r="BP26" i="9"/>
  <c r="BG26" i="9"/>
  <c r="BH26" i="9" s="1"/>
  <c r="BF26" i="9"/>
  <c r="BP30" i="9"/>
  <c r="BG30" i="9"/>
  <c r="BH30" i="9" s="1"/>
  <c r="BF30" i="9"/>
  <c r="BP34" i="9"/>
  <c r="BG34" i="9"/>
  <c r="BH34" i="9" s="1"/>
  <c r="BF34" i="9"/>
  <c r="BP38" i="9"/>
  <c r="BG38" i="9"/>
  <c r="BH38" i="9" s="1"/>
  <c r="BF38" i="9"/>
  <c r="BP42" i="9"/>
  <c r="BG42" i="9"/>
  <c r="BH42" i="9" s="1"/>
  <c r="BF42" i="9"/>
  <c r="BP46" i="9"/>
  <c r="BG46" i="9"/>
  <c r="BH46" i="9" s="1"/>
  <c r="BF46" i="9"/>
  <c r="BP50" i="9"/>
  <c r="BG50" i="9"/>
  <c r="BH50" i="9" s="1"/>
  <c r="BF50" i="9"/>
  <c r="BP54" i="9"/>
  <c r="BG54" i="9"/>
  <c r="BH54" i="9" s="1"/>
  <c r="BF54" i="9"/>
  <c r="BP58" i="9"/>
  <c r="BG58" i="9"/>
  <c r="BH58" i="9" s="1"/>
  <c r="BF58" i="9"/>
  <c r="BP62" i="9"/>
  <c r="BG62" i="9"/>
  <c r="BH62" i="9" s="1"/>
  <c r="BF62" i="9"/>
  <c r="BP134" i="9"/>
  <c r="BG134" i="9"/>
  <c r="BH134" i="9" s="1"/>
  <c r="BF134" i="9"/>
  <c r="BP138" i="9"/>
  <c r="BG138" i="9"/>
  <c r="BH138" i="9" s="1"/>
  <c r="BF138" i="9"/>
  <c r="BP142" i="9"/>
  <c r="BG142" i="9"/>
  <c r="BH142" i="9" s="1"/>
  <c r="BF142" i="9"/>
  <c r="BP146" i="9"/>
  <c r="BG146" i="9"/>
  <c r="BH146" i="9" s="1"/>
  <c r="BF146" i="9"/>
  <c r="BP150" i="9"/>
  <c r="BG150" i="9"/>
  <c r="BH150" i="9" s="1"/>
  <c r="BF150" i="9"/>
  <c r="BP154" i="9"/>
  <c r="BG154" i="9"/>
  <c r="BH154" i="9" s="1"/>
  <c r="BF154" i="9"/>
  <c r="BG65" i="9"/>
  <c r="BH65" i="9" s="1"/>
  <c r="BF65" i="9"/>
  <c r="BP65" i="9"/>
  <c r="BG69" i="9"/>
  <c r="BH69" i="9" s="1"/>
  <c r="BF69" i="9"/>
  <c r="BP69" i="9"/>
  <c r="BG73" i="9"/>
  <c r="BH73" i="9" s="1"/>
  <c r="BF73" i="9"/>
  <c r="BP73" i="9"/>
  <c r="BG77" i="9"/>
  <c r="BH77" i="9" s="1"/>
  <c r="BF77" i="9"/>
  <c r="BP77" i="9"/>
  <c r="BG81" i="9"/>
  <c r="BH81" i="9" s="1"/>
  <c r="BF81" i="9"/>
  <c r="BP81" i="9"/>
  <c r="BG85" i="9"/>
  <c r="BH85" i="9" s="1"/>
  <c r="BF85" i="9"/>
  <c r="BP85" i="9"/>
  <c r="BG89" i="9"/>
  <c r="BH89" i="9" s="1"/>
  <c r="BF89" i="9"/>
  <c r="BP89" i="9"/>
  <c r="BG93" i="9"/>
  <c r="BH93" i="9" s="1"/>
  <c r="BF93" i="9"/>
  <c r="BP93" i="9"/>
  <c r="BG97" i="9"/>
  <c r="BH97" i="9" s="1"/>
  <c r="BF97" i="9"/>
  <c r="BP97" i="9"/>
  <c r="BG101" i="9"/>
  <c r="BH101" i="9" s="1"/>
  <c r="BF101" i="9"/>
  <c r="BP101" i="9"/>
  <c r="BG105" i="9"/>
  <c r="BH105" i="9" s="1"/>
  <c r="BF105" i="9"/>
  <c r="BP105" i="9"/>
  <c r="BG109" i="9"/>
  <c r="BH109" i="9" s="1"/>
  <c r="BF109" i="9"/>
  <c r="BP109" i="9"/>
  <c r="BG113" i="9"/>
  <c r="BH113" i="9" s="1"/>
  <c r="BF113" i="9"/>
  <c r="BP113" i="9"/>
  <c r="BG117" i="9"/>
  <c r="BH117" i="9" s="1"/>
  <c r="BF117" i="9"/>
  <c r="BP117" i="9"/>
  <c r="BG121" i="9"/>
  <c r="BH121" i="9" s="1"/>
  <c r="BF121" i="9"/>
  <c r="BP121" i="9"/>
  <c r="BG125" i="9"/>
  <c r="BH125" i="9" s="1"/>
  <c r="BF125" i="9"/>
  <c r="BP125" i="9"/>
  <c r="BG129" i="9"/>
  <c r="BH129" i="9" s="1"/>
  <c r="BF129" i="9"/>
  <c r="BP129" i="9"/>
  <c r="BG133" i="9"/>
  <c r="BH133" i="9" s="1"/>
  <c r="BF133" i="9"/>
  <c r="BP133" i="9"/>
  <c r="BP209" i="9"/>
  <c r="BG209" i="9"/>
  <c r="BH209" i="9" s="1"/>
  <c r="BF209" i="9"/>
  <c r="BP213" i="9"/>
  <c r="BG213" i="9"/>
  <c r="BH213" i="9" s="1"/>
  <c r="BF213" i="9"/>
  <c r="BP217" i="9"/>
  <c r="BG217" i="9"/>
  <c r="BH217" i="9" s="1"/>
  <c r="BF217" i="9"/>
  <c r="BP221" i="9"/>
  <c r="BG221" i="9"/>
  <c r="BH221" i="9" s="1"/>
  <c r="BF221" i="9"/>
  <c r="BG161" i="9"/>
  <c r="BH161" i="9" s="1"/>
  <c r="BF161" i="9"/>
  <c r="BP161" i="9"/>
  <c r="BG165" i="9"/>
  <c r="BH165" i="9" s="1"/>
  <c r="BF165" i="9"/>
  <c r="BP165" i="9"/>
  <c r="BG169" i="9"/>
  <c r="BH169" i="9" s="1"/>
  <c r="BF169" i="9"/>
  <c r="BP169" i="9"/>
  <c r="BG173" i="9"/>
  <c r="BH173" i="9" s="1"/>
  <c r="BF173" i="9"/>
  <c r="BP173" i="9"/>
  <c r="BG177" i="9"/>
  <c r="BH177" i="9" s="1"/>
  <c r="BF177" i="9"/>
  <c r="BP177" i="9"/>
  <c r="BG181" i="9"/>
  <c r="BH181" i="9" s="1"/>
  <c r="BF181" i="9"/>
  <c r="BP181" i="9"/>
  <c r="BG185" i="9"/>
  <c r="BH185" i="9" s="1"/>
  <c r="BF185" i="9"/>
  <c r="BP185" i="9"/>
  <c r="BG189" i="9"/>
  <c r="BH189" i="9" s="1"/>
  <c r="BF189" i="9"/>
  <c r="BP189" i="9"/>
  <c r="BG193" i="9"/>
  <c r="BH193" i="9" s="1"/>
  <c r="BF193" i="9"/>
  <c r="BP193" i="9"/>
  <c r="BG197" i="9"/>
  <c r="BH197" i="9" s="1"/>
  <c r="BF197" i="9"/>
  <c r="BP197" i="9"/>
  <c r="BG201" i="9"/>
  <c r="BH201" i="9" s="1"/>
  <c r="BF201" i="9"/>
  <c r="BP201" i="9"/>
  <c r="BG205" i="9"/>
  <c r="BH205" i="9" s="1"/>
  <c r="BF205" i="9"/>
  <c r="BP205" i="9"/>
  <c r="BG225" i="9"/>
  <c r="BH225" i="9" s="1"/>
  <c r="BF225" i="9"/>
  <c r="BP225" i="9"/>
  <c r="BG229" i="9"/>
  <c r="BH229" i="9" s="1"/>
  <c r="BF229" i="9"/>
  <c r="BP229" i="9"/>
  <c r="BG233" i="9"/>
  <c r="BH233" i="9" s="1"/>
  <c r="BF233" i="9"/>
  <c r="BP233" i="9"/>
  <c r="BG237" i="9"/>
  <c r="BH237" i="9" s="1"/>
  <c r="BF237" i="9"/>
  <c r="BP237" i="9"/>
  <c r="BG241" i="9"/>
  <c r="BH241" i="9" s="1"/>
  <c r="BF241" i="9"/>
  <c r="BP241" i="9"/>
  <c r="BP245" i="9"/>
  <c r="BG245" i="9"/>
  <c r="BH245" i="9" s="1"/>
  <c r="BF245" i="9"/>
  <c r="BP249" i="9"/>
  <c r="BG249" i="9"/>
  <c r="BH249" i="9" s="1"/>
  <c r="BF249" i="9"/>
  <c r="BP253" i="9"/>
  <c r="BG253" i="9"/>
  <c r="BH253" i="9" s="1"/>
  <c r="BF253" i="9"/>
  <c r="BP257" i="9"/>
  <c r="BG257" i="9"/>
  <c r="BH257" i="9" s="1"/>
  <c r="BF257" i="9"/>
  <c r="BP261" i="9"/>
  <c r="BG261" i="9"/>
  <c r="BH261" i="9" s="1"/>
  <c r="BF261" i="9"/>
  <c r="BP265" i="9"/>
  <c r="BG265" i="9"/>
  <c r="BH265" i="9" s="1"/>
  <c r="BF265" i="9"/>
  <c r="BP269" i="9"/>
  <c r="BG269" i="9"/>
  <c r="BH269" i="9" s="1"/>
  <c r="BF269" i="9"/>
  <c r="BP273" i="9"/>
  <c r="BG273" i="9"/>
  <c r="BH273" i="9" s="1"/>
  <c r="BF273" i="9"/>
  <c r="BP277" i="9"/>
  <c r="BG277" i="9"/>
  <c r="BH277" i="9" s="1"/>
  <c r="BF277" i="9"/>
  <c r="BG281" i="9"/>
  <c r="BH281" i="9" s="1"/>
  <c r="BF281" i="9"/>
  <c r="BP281" i="9"/>
  <c r="BG285" i="9"/>
  <c r="BH285" i="9" s="1"/>
  <c r="BF285" i="9"/>
  <c r="BP285" i="9"/>
  <c r="BG289" i="9"/>
  <c r="BH289" i="9" s="1"/>
  <c r="BF289" i="9"/>
  <c r="BP289" i="9"/>
  <c r="BG293" i="9"/>
  <c r="BH293" i="9" s="1"/>
  <c r="BF293" i="9"/>
  <c r="BP293" i="9"/>
  <c r="BG297" i="9"/>
  <c r="BH297" i="9" s="1"/>
  <c r="BF297" i="9"/>
  <c r="BP297" i="9"/>
  <c r="BG301" i="9"/>
  <c r="BH301" i="9" s="1"/>
  <c r="BF301" i="9"/>
  <c r="BP301" i="9"/>
  <c r="BG305" i="9"/>
  <c r="BH305" i="9" s="1"/>
  <c r="BF305" i="9"/>
  <c r="BP305" i="9"/>
  <c r="BG309" i="9"/>
  <c r="BH309" i="9" s="1"/>
  <c r="BF309" i="9"/>
  <c r="BP309" i="9"/>
  <c r="BG313" i="9"/>
  <c r="BH313" i="9" s="1"/>
  <c r="BF313" i="9"/>
  <c r="BP313" i="9"/>
  <c r="BG317" i="9"/>
  <c r="BH317" i="9" s="1"/>
  <c r="BP317" i="9"/>
  <c r="BF317" i="9"/>
  <c r="BP7" i="9"/>
  <c r="BG7" i="9"/>
  <c r="BH7" i="9" s="1"/>
  <c r="BF7" i="9"/>
  <c r="BP11" i="9"/>
  <c r="BG11" i="9"/>
  <c r="BH11" i="9" s="1"/>
  <c r="BF11" i="9"/>
  <c r="BP15" i="9"/>
  <c r="BG15" i="9"/>
  <c r="BH15" i="9" s="1"/>
  <c r="BF15" i="9"/>
  <c r="BP19" i="9"/>
  <c r="BG19" i="9"/>
  <c r="BH19" i="9" s="1"/>
  <c r="BF19" i="9"/>
  <c r="BP23" i="9"/>
  <c r="BG23" i="9"/>
  <c r="BH23" i="9" s="1"/>
  <c r="BF23" i="9"/>
  <c r="BP27" i="9"/>
  <c r="BG27" i="9"/>
  <c r="BH27" i="9" s="1"/>
  <c r="BF27" i="9"/>
  <c r="BP31" i="9"/>
  <c r="BG31" i="9"/>
  <c r="BH31" i="9" s="1"/>
  <c r="BF31" i="9"/>
  <c r="BP35" i="9"/>
  <c r="BG35" i="9"/>
  <c r="BH35" i="9" s="1"/>
  <c r="BF35" i="9"/>
  <c r="BP39" i="9"/>
  <c r="BG39" i="9"/>
  <c r="BH39" i="9" s="1"/>
  <c r="BF39" i="9"/>
  <c r="BP43" i="9"/>
  <c r="BG43" i="9"/>
  <c r="BH43" i="9" s="1"/>
  <c r="BF43" i="9"/>
  <c r="BP47" i="9"/>
  <c r="BG47" i="9"/>
  <c r="BH47" i="9" s="1"/>
  <c r="BF47" i="9"/>
  <c r="BP51" i="9"/>
  <c r="BG51" i="9"/>
  <c r="BH51" i="9" s="1"/>
  <c r="BF51" i="9"/>
  <c r="BP55" i="9"/>
  <c r="BG55" i="9"/>
  <c r="BH55" i="9" s="1"/>
  <c r="BF55" i="9"/>
  <c r="BP59" i="9"/>
  <c r="BG59" i="9"/>
  <c r="BH59" i="9" s="1"/>
  <c r="BF59" i="9"/>
  <c r="BP63" i="9"/>
  <c r="BG63" i="9"/>
  <c r="BH63" i="9" s="1"/>
  <c r="BF63" i="9"/>
  <c r="BF135" i="9"/>
  <c r="BP135" i="9"/>
  <c r="BG135" i="9"/>
  <c r="BH135" i="9" s="1"/>
  <c r="BF139" i="9"/>
  <c r="BP139" i="9"/>
  <c r="BG139" i="9"/>
  <c r="BH139" i="9" s="1"/>
  <c r="BF143" i="9"/>
  <c r="BP143" i="9"/>
  <c r="BG143" i="9"/>
  <c r="BH143" i="9" s="1"/>
  <c r="BF147" i="9"/>
  <c r="BP147" i="9"/>
  <c r="BG147" i="9"/>
  <c r="BH147" i="9" s="1"/>
  <c r="BF151" i="9"/>
  <c r="BP151" i="9"/>
  <c r="BG151" i="9"/>
  <c r="BH151" i="9" s="1"/>
  <c r="BF155" i="9"/>
  <c r="BP155" i="9"/>
  <c r="BG155" i="9"/>
  <c r="BH155" i="9" s="1"/>
  <c r="BP66" i="9"/>
  <c r="BG66" i="9"/>
  <c r="BH66" i="9" s="1"/>
  <c r="BF66" i="9"/>
  <c r="BP70" i="9"/>
  <c r="BG70" i="9"/>
  <c r="BH70" i="9" s="1"/>
  <c r="BF70" i="9"/>
  <c r="BP74" i="9"/>
  <c r="BG74" i="9"/>
  <c r="BH74" i="9" s="1"/>
  <c r="BF74" i="9"/>
  <c r="BP78" i="9"/>
  <c r="BG78" i="9"/>
  <c r="BH78" i="9" s="1"/>
  <c r="BF78" i="9"/>
  <c r="BP82" i="9"/>
  <c r="BG82" i="9"/>
  <c r="BH82" i="9" s="1"/>
  <c r="BF82" i="9"/>
  <c r="BP86" i="9"/>
  <c r="BG86" i="9"/>
  <c r="BH86" i="9" s="1"/>
  <c r="BF86" i="9"/>
  <c r="BP90" i="9"/>
  <c r="BG90" i="9"/>
  <c r="BH90" i="9" s="1"/>
  <c r="BF90" i="9"/>
  <c r="BP94" i="9"/>
  <c r="BG94" i="9"/>
  <c r="BH94" i="9" s="1"/>
  <c r="BF94" i="9"/>
  <c r="BP98" i="9"/>
  <c r="BG98" i="9"/>
  <c r="BH98" i="9" s="1"/>
  <c r="BF98" i="9"/>
  <c r="BP102" i="9"/>
  <c r="BG102" i="9"/>
  <c r="BH102" i="9" s="1"/>
  <c r="BF102" i="9"/>
  <c r="BP106" i="9"/>
  <c r="BG106" i="9"/>
  <c r="BH106" i="9" s="1"/>
  <c r="BF106" i="9"/>
  <c r="BP110" i="9"/>
  <c r="BG110" i="9"/>
  <c r="BH110" i="9" s="1"/>
  <c r="BF110" i="9"/>
  <c r="BP114" i="9"/>
  <c r="BG114" i="9"/>
  <c r="BH114" i="9" s="1"/>
  <c r="BF114" i="9"/>
  <c r="BP118" i="9"/>
  <c r="BG118" i="9"/>
  <c r="BH118" i="9" s="1"/>
  <c r="BF118" i="9"/>
  <c r="BP122" i="9"/>
  <c r="BG122" i="9"/>
  <c r="BH122" i="9" s="1"/>
  <c r="BF122" i="9"/>
  <c r="BP126" i="9"/>
  <c r="BG126" i="9"/>
  <c r="BH126" i="9" s="1"/>
  <c r="BF126" i="9"/>
  <c r="BP130" i="9"/>
  <c r="BG130" i="9"/>
  <c r="BH130" i="9" s="1"/>
  <c r="BF130" i="9"/>
  <c r="BF206" i="9"/>
  <c r="BP206" i="9"/>
  <c r="BG206" i="9"/>
  <c r="BH206" i="9" s="1"/>
  <c r="BF210" i="9"/>
  <c r="BP210" i="9"/>
  <c r="BG210" i="9"/>
  <c r="BH210" i="9" s="1"/>
  <c r="BF214" i="9"/>
  <c r="BP214" i="9"/>
  <c r="BG214" i="9"/>
  <c r="BH214" i="9" s="1"/>
  <c r="BF218" i="9"/>
  <c r="BP218" i="9"/>
  <c r="BG218" i="9"/>
  <c r="BH218" i="9" s="1"/>
  <c r="BP158" i="9"/>
  <c r="BG158" i="9"/>
  <c r="BH158" i="9" s="1"/>
  <c r="BF158" i="9"/>
  <c r="BP162" i="9"/>
  <c r="BG162" i="9"/>
  <c r="BH162" i="9" s="1"/>
  <c r="BF162" i="9"/>
  <c r="BP166" i="9"/>
  <c r="BG166" i="9"/>
  <c r="BH166" i="9" s="1"/>
  <c r="BF166" i="9"/>
  <c r="BP170" i="9"/>
  <c r="BG170" i="9"/>
  <c r="BH170" i="9" s="1"/>
  <c r="BF170" i="9"/>
  <c r="BP174" i="9"/>
  <c r="BG174" i="9"/>
  <c r="BH174" i="9" s="1"/>
  <c r="BF174" i="9"/>
  <c r="BP178" i="9"/>
  <c r="BG178" i="9"/>
  <c r="BH178" i="9" s="1"/>
  <c r="BF178" i="9"/>
  <c r="BP182" i="9"/>
  <c r="BG182" i="9"/>
  <c r="BH182" i="9" s="1"/>
  <c r="BF182" i="9"/>
  <c r="BP186" i="9"/>
  <c r="BG186" i="9"/>
  <c r="BH186" i="9" s="1"/>
  <c r="BF186" i="9"/>
  <c r="BP190" i="9"/>
  <c r="BG190" i="9"/>
  <c r="BH190" i="9" s="1"/>
  <c r="BF190" i="9"/>
  <c r="BP194" i="9"/>
  <c r="BG194" i="9"/>
  <c r="BH194" i="9" s="1"/>
  <c r="BF194" i="9"/>
  <c r="BP198" i="9"/>
  <c r="BG198" i="9"/>
  <c r="BH198" i="9" s="1"/>
  <c r="BF198" i="9"/>
  <c r="BP202" i="9"/>
  <c r="BG202" i="9"/>
  <c r="BH202" i="9" s="1"/>
  <c r="BF202" i="9"/>
  <c r="BP222" i="9"/>
  <c r="BG222" i="9"/>
  <c r="BH222" i="9" s="1"/>
  <c r="BF222" i="9"/>
  <c r="BP226" i="9"/>
  <c r="BG226" i="9"/>
  <c r="BH226" i="9" s="1"/>
  <c r="BF226" i="9"/>
  <c r="BP230" i="9"/>
  <c r="BG230" i="9"/>
  <c r="BH230" i="9" s="1"/>
  <c r="BF230" i="9"/>
  <c r="BP234" i="9"/>
  <c r="BG234" i="9"/>
  <c r="BH234" i="9" s="1"/>
  <c r="BF234" i="9"/>
  <c r="BP238" i="9"/>
  <c r="BG238" i="9"/>
  <c r="BH238" i="9" s="1"/>
  <c r="BF238" i="9"/>
  <c r="BP242" i="9"/>
  <c r="BG242" i="9"/>
  <c r="BH242" i="9" s="1"/>
  <c r="BF242" i="9"/>
  <c r="BF246" i="9"/>
  <c r="BP246" i="9"/>
  <c r="BG246" i="9"/>
  <c r="BH246" i="9" s="1"/>
  <c r="BF250" i="9"/>
  <c r="BP250" i="9"/>
  <c r="BG250" i="9"/>
  <c r="BH250" i="9" s="1"/>
  <c r="BF254" i="9"/>
  <c r="BP254" i="9"/>
  <c r="BG254" i="9"/>
  <c r="BH254" i="9" s="1"/>
  <c r="BF258" i="9"/>
  <c r="BP258" i="9"/>
  <c r="BG258" i="9"/>
  <c r="BH258" i="9" s="1"/>
  <c r="BF262" i="9"/>
  <c r="BP262" i="9"/>
  <c r="BG262" i="9"/>
  <c r="BH262" i="9" s="1"/>
  <c r="BF266" i="9"/>
  <c r="BP266" i="9"/>
  <c r="BG266" i="9"/>
  <c r="BH266" i="9" s="1"/>
  <c r="BF270" i="9"/>
  <c r="BP270" i="9"/>
  <c r="BG270" i="9"/>
  <c r="BH270" i="9" s="1"/>
  <c r="BF274" i="9"/>
  <c r="BP274" i="9"/>
  <c r="BG274" i="9"/>
  <c r="BH274" i="9" s="1"/>
  <c r="BF278" i="9"/>
  <c r="BP278" i="9"/>
  <c r="BG278" i="9"/>
  <c r="BH278" i="9" s="1"/>
  <c r="BP282" i="9"/>
  <c r="BG282" i="9"/>
  <c r="BH282" i="9" s="1"/>
  <c r="BF282" i="9"/>
  <c r="BP286" i="9"/>
  <c r="BG286" i="9"/>
  <c r="BH286" i="9" s="1"/>
  <c r="BF286" i="9"/>
  <c r="BP290" i="9"/>
  <c r="BG290" i="9"/>
  <c r="BH290" i="9" s="1"/>
  <c r="BF290" i="9"/>
  <c r="BP294" i="9"/>
  <c r="BG294" i="9"/>
  <c r="BH294" i="9" s="1"/>
  <c r="BF294" i="9"/>
  <c r="BP298" i="9"/>
  <c r="BG298" i="9"/>
  <c r="BH298" i="9" s="1"/>
  <c r="BF298" i="9"/>
  <c r="BP302" i="9"/>
  <c r="BG302" i="9"/>
  <c r="BH302" i="9" s="1"/>
  <c r="BF302" i="9"/>
  <c r="BP306" i="9"/>
  <c r="BG306" i="9"/>
  <c r="BH306" i="9" s="1"/>
  <c r="BF306" i="9"/>
  <c r="BP310" i="9"/>
  <c r="BG310" i="9"/>
  <c r="BH310" i="9" s="1"/>
  <c r="BF310" i="9"/>
  <c r="BF314" i="9"/>
  <c r="BG314" i="9"/>
  <c r="BH314" i="9" s="1"/>
  <c r="BP314" i="9"/>
  <c r="BF318" i="9"/>
  <c r="BG318" i="9"/>
  <c r="BH318" i="9" s="1"/>
  <c r="BP318" i="9"/>
  <c r="BU29" i="9"/>
  <c r="BU20" i="9"/>
  <c r="BU78" i="9"/>
  <c r="BU52" i="9"/>
  <c r="BU17" i="9"/>
  <c r="BU55" i="9"/>
  <c r="BT336" i="9"/>
  <c r="BU44" i="9"/>
  <c r="BU26" i="9"/>
  <c r="BU46" i="9"/>
  <c r="BU66" i="9"/>
  <c r="BT320" i="9"/>
  <c r="BT332" i="9"/>
  <c r="CT258" i="9"/>
  <c r="DC258" i="9"/>
  <c r="CR258" i="9"/>
  <c r="CT187" i="9"/>
  <c r="DC187" i="9"/>
  <c r="CR187" i="9"/>
  <c r="CW215" i="9"/>
  <c r="CR215" i="9"/>
  <c r="CT215" i="9"/>
  <c r="DC215" i="9"/>
  <c r="CW223" i="9"/>
  <c r="CT223" i="9"/>
  <c r="DC223" i="9"/>
  <c r="CR223" i="9"/>
  <c r="CT235" i="9"/>
  <c r="DC235" i="9"/>
  <c r="CR235" i="9"/>
  <c r="DC237" i="9"/>
  <c r="CR237" i="9"/>
  <c r="CT237" i="9"/>
  <c r="CR211" i="9"/>
  <c r="CT211" i="9"/>
  <c r="DC211" i="9"/>
  <c r="CW270" i="9"/>
  <c r="CT270" i="9"/>
  <c r="DC270" i="9"/>
  <c r="CR270" i="9"/>
  <c r="CT149" i="9"/>
  <c r="DC149" i="9"/>
  <c r="CR149" i="9"/>
  <c r="DC177" i="9"/>
  <c r="CR177" i="9"/>
  <c r="CT177" i="9"/>
  <c r="DC167" i="9"/>
  <c r="CR167" i="9"/>
  <c r="CT167" i="9"/>
  <c r="DC298" i="9"/>
  <c r="CT298" i="9"/>
  <c r="CR298" i="9"/>
  <c r="CR306" i="9"/>
  <c r="DC306" i="9"/>
  <c r="CT306" i="9"/>
  <c r="CW315" i="9"/>
  <c r="DC315" i="9"/>
  <c r="CR315" i="9"/>
  <c r="CT315" i="9"/>
  <c r="CR280" i="9"/>
  <c r="DC280" i="9"/>
  <c r="CT280" i="9"/>
  <c r="CT199" i="9"/>
  <c r="DC199" i="9"/>
  <c r="CR199" i="9"/>
  <c r="CR256" i="9"/>
  <c r="CT256" i="9"/>
  <c r="DC256" i="9"/>
  <c r="CT268" i="9"/>
  <c r="DC268" i="9"/>
  <c r="CR268" i="9"/>
  <c r="CT209" i="9"/>
  <c r="DC209" i="9"/>
  <c r="CR209" i="9"/>
  <c r="CT163" i="9"/>
  <c r="DC163" i="9"/>
  <c r="CR163" i="9"/>
  <c r="CT179" i="9"/>
  <c r="DC179" i="9"/>
  <c r="CR179" i="9"/>
  <c r="CW16" i="9"/>
  <c r="CR16" i="9"/>
  <c r="CT16" i="9"/>
  <c r="CW56" i="9"/>
  <c r="CR56" i="9"/>
  <c r="CT56" i="9"/>
  <c r="CT220" i="9"/>
  <c r="DC220" i="9"/>
  <c r="CR220" i="9"/>
  <c r="CT109" i="9"/>
  <c r="DC109" i="9"/>
  <c r="CR109" i="9"/>
  <c r="CW85" i="9"/>
  <c r="CT85" i="9"/>
  <c r="DC85" i="9"/>
  <c r="CR85" i="9"/>
  <c r="CW69" i="9"/>
  <c r="CT69" i="9"/>
  <c r="CR69" i="9"/>
  <c r="CT113" i="9"/>
  <c r="DC113" i="9"/>
  <c r="CR113" i="9"/>
  <c r="CT198" i="9"/>
  <c r="DC198" i="9"/>
  <c r="CR198" i="9"/>
  <c r="CR271" i="9"/>
  <c r="CT271" i="9"/>
  <c r="DC271" i="9"/>
  <c r="DC180" i="9"/>
  <c r="CR180" i="9"/>
  <c r="CT180" i="9"/>
  <c r="DC132" i="9"/>
  <c r="CR132" i="9"/>
  <c r="CT132" i="9"/>
  <c r="CR72" i="9"/>
  <c r="CT72" i="9"/>
  <c r="DC293" i="9"/>
  <c r="CT293" i="9"/>
  <c r="CR293" i="9"/>
  <c r="CT32" i="9"/>
  <c r="CR32" i="9"/>
  <c r="CT64" i="9"/>
  <c r="DC64" i="9"/>
  <c r="CR64" i="9"/>
  <c r="CR136" i="9"/>
  <c r="CT136" i="9"/>
  <c r="DC136" i="9"/>
  <c r="CR218" i="9"/>
  <c r="CT218" i="9"/>
  <c r="DC218" i="9"/>
  <c r="CT131" i="9"/>
  <c r="DC131" i="9"/>
  <c r="CR131" i="9"/>
  <c r="CT107" i="9"/>
  <c r="DC107" i="9"/>
  <c r="CR107" i="9"/>
  <c r="CR48" i="9"/>
  <c r="CT48" i="9"/>
  <c r="DC48" i="9"/>
  <c r="CW35" i="9"/>
  <c r="CR35" i="9"/>
  <c r="CT35" i="9"/>
  <c r="CR51" i="9"/>
  <c r="CT51" i="9"/>
  <c r="DC119" i="9"/>
  <c r="CR119" i="9"/>
  <c r="CT119" i="9"/>
  <c r="CR269" i="9"/>
  <c r="CT269" i="9"/>
  <c r="DC269" i="9"/>
  <c r="CT186" i="9"/>
  <c r="DC186" i="9"/>
  <c r="CR186" i="9"/>
  <c r="CR311" i="9"/>
  <c r="DC311" i="9"/>
  <c r="CT311" i="9"/>
  <c r="CW267" i="9"/>
  <c r="CT267" i="9"/>
  <c r="DC267" i="9"/>
  <c r="CR267" i="9"/>
  <c r="DC104" i="9"/>
  <c r="CR104" i="9"/>
  <c r="CT104" i="9"/>
  <c r="DC88" i="9"/>
  <c r="CR88" i="9"/>
  <c r="CT88" i="9"/>
  <c r="CT210" i="9"/>
  <c r="DC210" i="9"/>
  <c r="CR210" i="9"/>
  <c r="CT97" i="9"/>
  <c r="DC97" i="9"/>
  <c r="CR97" i="9"/>
  <c r="CR11" i="9"/>
  <c r="CT11" i="9"/>
  <c r="DC11" i="9"/>
  <c r="DC73" i="9"/>
  <c r="CR73" i="9"/>
  <c r="CT73" i="9"/>
  <c r="CT95" i="9"/>
  <c r="DC95" i="9"/>
  <c r="CR95" i="9"/>
  <c r="CT70" i="9"/>
  <c r="CR70" i="9"/>
  <c r="DC303" i="9"/>
  <c r="CT303" i="9"/>
  <c r="CR303" i="9"/>
  <c r="DC287" i="9"/>
  <c r="CT287" i="9"/>
  <c r="CR287" i="9"/>
  <c r="DC168" i="9"/>
  <c r="CR168" i="9"/>
  <c r="CT168" i="9"/>
  <c r="CR80" i="9"/>
  <c r="CT80" i="9"/>
  <c r="CT38" i="9"/>
  <c r="CR38" i="9"/>
  <c r="CT54" i="9"/>
  <c r="CR54" i="9"/>
  <c r="CT89" i="9"/>
  <c r="DC89" i="9"/>
  <c r="CR89" i="9"/>
  <c r="CT114" i="9"/>
  <c r="DC114" i="9"/>
  <c r="CR114" i="9"/>
  <c r="DC124" i="9"/>
  <c r="CR124" i="9"/>
  <c r="CT124" i="9"/>
  <c r="CT19" i="9"/>
  <c r="CR19" i="9"/>
  <c r="CR39" i="9"/>
  <c r="CT39" i="9"/>
  <c r="DC39" i="9"/>
  <c r="CR261" i="9"/>
  <c r="CT261" i="9"/>
  <c r="DC261" i="9"/>
  <c r="CQ324" i="9"/>
  <c r="CQ447" i="9"/>
  <c r="DQ318" i="9"/>
  <c r="DQ316" i="9"/>
  <c r="DQ314" i="9"/>
  <c r="DR319" i="9"/>
  <c r="DR317" i="9"/>
  <c r="DR315" i="9"/>
  <c r="DR313" i="9"/>
  <c r="DQ311" i="9"/>
  <c r="DQ309" i="9"/>
  <c r="DQ307" i="9"/>
  <c r="DQ305" i="9"/>
  <c r="DQ303" i="9"/>
  <c r="DQ301" i="9"/>
  <c r="DQ299" i="9"/>
  <c r="DQ297" i="9"/>
  <c r="DQ295" i="9"/>
  <c r="DQ293" i="9"/>
  <c r="DQ291" i="9"/>
  <c r="DQ289" i="9"/>
  <c r="DQ287" i="9"/>
  <c r="DQ285" i="9"/>
  <c r="DQ283" i="9"/>
  <c r="DQ281" i="9"/>
  <c r="DH319" i="9"/>
  <c r="DH317" i="9"/>
  <c r="DH315" i="9"/>
  <c r="DH313" i="9"/>
  <c r="DH311" i="9"/>
  <c r="DH309" i="9"/>
  <c r="DH307" i="9"/>
  <c r="DH305" i="9"/>
  <c r="DH303" i="9"/>
  <c r="DH301" i="9"/>
  <c r="DH299" i="9"/>
  <c r="DH297" i="9"/>
  <c r="DH295" i="9"/>
  <c r="DH293" i="9"/>
  <c r="DH291" i="9"/>
  <c r="DH289" i="9"/>
  <c r="DH287" i="9"/>
  <c r="DH285" i="9"/>
  <c r="DH283" i="9"/>
  <c r="DH281" i="9"/>
  <c r="DQ279" i="9"/>
  <c r="DR311" i="9"/>
  <c r="DR309" i="9"/>
  <c r="DR307" i="9"/>
  <c r="DR305" i="9"/>
  <c r="DR303" i="9"/>
  <c r="DR301" i="9"/>
  <c r="DR299" i="9"/>
  <c r="DR297" i="9"/>
  <c r="DR295" i="9"/>
  <c r="DR293" i="9"/>
  <c r="DR291" i="9"/>
  <c r="DR289" i="9"/>
  <c r="DR287" i="9"/>
  <c r="DR285" i="9"/>
  <c r="DR283" i="9"/>
  <c r="DR281" i="9"/>
  <c r="DR279" i="9"/>
  <c r="DR278" i="9"/>
  <c r="DR277" i="9"/>
  <c r="DR276" i="9"/>
  <c r="DR275" i="9"/>
  <c r="DR274" i="9"/>
  <c r="DR273" i="9"/>
  <c r="DR272" i="9"/>
  <c r="DR271" i="9"/>
  <c r="DR270" i="9"/>
  <c r="DR269" i="9"/>
  <c r="DR268" i="9"/>
  <c r="DR267" i="9"/>
  <c r="DR266" i="9"/>
  <c r="DR265" i="9"/>
  <c r="DR264" i="9"/>
  <c r="DR263" i="9"/>
  <c r="DR262" i="9"/>
  <c r="DR261" i="9"/>
  <c r="DR260" i="9"/>
  <c r="DR259" i="9"/>
  <c r="DR258" i="9"/>
  <c r="DR257" i="9"/>
  <c r="DR256" i="9"/>
  <c r="DR255" i="9"/>
  <c r="DR254" i="9"/>
  <c r="DR253" i="9"/>
  <c r="DR252" i="9"/>
  <c r="DR251" i="9"/>
  <c r="DR250" i="9"/>
  <c r="DR249" i="9"/>
  <c r="DR248" i="9"/>
  <c r="DR247" i="9"/>
  <c r="DR246" i="9"/>
  <c r="DR245" i="9"/>
  <c r="DQ278" i="9"/>
  <c r="DQ276" i="9"/>
  <c r="DQ274" i="9"/>
  <c r="DQ272" i="9"/>
  <c r="DQ270" i="9"/>
  <c r="DQ268" i="9"/>
  <c r="DQ266" i="9"/>
  <c r="DQ264" i="9"/>
  <c r="DQ262" i="9"/>
  <c r="DQ260" i="9"/>
  <c r="DQ258" i="9"/>
  <c r="DQ256" i="9"/>
  <c r="DQ254" i="9"/>
  <c r="DQ252" i="9"/>
  <c r="DQ250" i="9"/>
  <c r="DQ248" i="9"/>
  <c r="DQ246" i="9"/>
  <c r="DQ244" i="9"/>
  <c r="DQ242" i="9"/>
  <c r="DQ240" i="9"/>
  <c r="DQ238" i="9"/>
  <c r="DQ236" i="9"/>
  <c r="DQ234" i="9"/>
  <c r="DQ232" i="9"/>
  <c r="DQ230" i="9"/>
  <c r="DQ228" i="9"/>
  <c r="DQ226" i="9"/>
  <c r="DQ224" i="9"/>
  <c r="DQ222" i="9"/>
  <c r="DR244" i="9"/>
  <c r="DR243" i="9"/>
  <c r="DR242" i="9"/>
  <c r="DR241" i="9"/>
  <c r="DR240" i="9"/>
  <c r="DR239" i="9"/>
  <c r="DR238" i="9"/>
  <c r="DR237" i="9"/>
  <c r="DR236" i="9"/>
  <c r="DR235" i="9"/>
  <c r="DR234" i="9"/>
  <c r="DR233" i="9"/>
  <c r="DR232" i="9"/>
  <c r="DR231" i="9"/>
  <c r="DR230" i="9"/>
  <c r="DR229" i="9"/>
  <c r="DR228" i="9"/>
  <c r="DR227" i="9"/>
  <c r="DR226" i="9"/>
  <c r="DR225" i="9"/>
  <c r="DR224" i="9"/>
  <c r="DR223" i="9"/>
  <c r="DR222" i="9"/>
  <c r="DR221" i="9"/>
  <c r="DR220" i="9"/>
  <c r="DR219" i="9"/>
  <c r="DR218" i="9"/>
  <c r="DR217" i="9"/>
  <c r="DR216" i="9"/>
  <c r="DR215" i="9"/>
  <c r="DR214" i="9"/>
  <c r="DR213" i="9"/>
  <c r="DR212" i="9"/>
  <c r="DR211" i="9"/>
  <c r="DR210" i="9"/>
  <c r="DR209" i="9"/>
  <c r="DR208" i="9"/>
  <c r="DR207" i="9"/>
  <c r="DR206" i="9"/>
  <c r="DQ205" i="9"/>
  <c r="DQ203" i="9"/>
  <c r="DQ201" i="9"/>
  <c r="DQ199" i="9"/>
  <c r="DQ197" i="9"/>
  <c r="DQ195" i="9"/>
  <c r="DQ193" i="9"/>
  <c r="DQ191" i="9"/>
  <c r="DQ189" i="9"/>
  <c r="DQ187" i="9"/>
  <c r="DQ185" i="9"/>
  <c r="DQ183" i="9"/>
  <c r="DQ181" i="9"/>
  <c r="DQ179" i="9"/>
  <c r="DQ177" i="9"/>
  <c r="DQ175" i="9"/>
  <c r="DQ173" i="9"/>
  <c r="DQ171" i="9"/>
  <c r="DQ169" i="9"/>
  <c r="DQ167" i="9"/>
  <c r="DQ165" i="9"/>
  <c r="DQ163" i="9"/>
  <c r="DQ161" i="9"/>
  <c r="DQ159" i="9"/>
  <c r="DQ157" i="9"/>
  <c r="DQ219" i="9"/>
  <c r="DQ217" i="9"/>
  <c r="DQ215" i="9"/>
  <c r="DQ213" i="9"/>
  <c r="DQ211" i="9"/>
  <c r="DQ209" i="9"/>
  <c r="DQ207" i="9"/>
  <c r="DR205" i="9"/>
  <c r="DR204" i="9"/>
  <c r="DR203" i="9"/>
  <c r="DR202" i="9"/>
  <c r="DR201" i="9"/>
  <c r="DR200" i="9"/>
  <c r="DR199" i="9"/>
  <c r="DR198" i="9"/>
  <c r="DR197" i="9"/>
  <c r="DR196" i="9"/>
  <c r="DR195" i="9"/>
  <c r="DR194" i="9"/>
  <c r="DR193" i="9"/>
  <c r="DR192" i="9"/>
  <c r="DR191" i="9"/>
  <c r="DR190" i="9"/>
  <c r="DR189" i="9"/>
  <c r="DR188" i="9"/>
  <c r="DR187" i="9"/>
  <c r="DR186" i="9"/>
  <c r="DR185" i="9"/>
  <c r="DR184" i="9"/>
  <c r="DR183" i="9"/>
  <c r="DR182" i="9"/>
  <c r="DR181" i="9"/>
  <c r="DR180" i="9"/>
  <c r="DR179" i="9"/>
  <c r="DR178" i="9"/>
  <c r="DR177" i="9"/>
  <c r="DR176" i="9"/>
  <c r="DR175" i="9"/>
  <c r="DR174" i="9"/>
  <c r="DR173" i="9"/>
  <c r="DR172" i="9"/>
  <c r="DR171" i="9"/>
  <c r="DR170" i="9"/>
  <c r="DR169" i="9"/>
  <c r="DR168" i="9"/>
  <c r="DR167" i="9"/>
  <c r="DR166" i="9"/>
  <c r="DR165" i="9"/>
  <c r="DR164" i="9"/>
  <c r="DR163" i="9"/>
  <c r="DR162" i="9"/>
  <c r="DR161" i="9"/>
  <c r="DR160" i="9"/>
  <c r="DR159" i="9"/>
  <c r="DR158" i="9"/>
  <c r="DR157" i="9"/>
  <c r="DR156" i="9"/>
  <c r="DR155" i="9"/>
  <c r="DR154" i="9"/>
  <c r="DR153" i="9"/>
  <c r="DR152" i="9"/>
  <c r="DR151" i="9"/>
  <c r="DR150" i="9"/>
  <c r="DR149" i="9"/>
  <c r="DR148" i="9"/>
  <c r="DR147" i="9"/>
  <c r="DR146" i="9"/>
  <c r="DR145" i="9"/>
  <c r="DR144" i="9"/>
  <c r="DR143" i="9"/>
  <c r="DR142" i="9"/>
  <c r="DR141" i="9"/>
  <c r="DR140" i="9"/>
  <c r="DR139" i="9"/>
  <c r="DR138" i="9"/>
  <c r="DR137" i="9"/>
  <c r="DR136" i="9"/>
  <c r="DR135" i="9"/>
  <c r="DR134" i="9"/>
  <c r="DR133" i="9"/>
  <c r="DQ132" i="9"/>
  <c r="DQ130" i="9"/>
  <c r="DQ128" i="9"/>
  <c r="DQ126" i="9"/>
  <c r="DQ124" i="9"/>
  <c r="DQ122" i="9"/>
  <c r="DQ120" i="9"/>
  <c r="DQ118" i="9"/>
  <c r="DQ116" i="9"/>
  <c r="DQ114" i="9"/>
  <c r="DQ112" i="9"/>
  <c r="DQ110" i="9"/>
  <c r="DQ108" i="9"/>
  <c r="DQ106" i="9"/>
  <c r="DQ104" i="9"/>
  <c r="DQ102" i="9"/>
  <c r="DQ100" i="9"/>
  <c r="DQ98" i="9"/>
  <c r="DQ96" i="9"/>
  <c r="DQ94" i="9"/>
  <c r="DQ92" i="9"/>
  <c r="DQ90" i="9"/>
  <c r="DQ88" i="9"/>
  <c r="DQ86" i="9"/>
  <c r="DQ84" i="9"/>
  <c r="DQ82" i="9"/>
  <c r="DQ73" i="9"/>
  <c r="DQ156" i="9"/>
  <c r="DQ154" i="9"/>
  <c r="DQ152" i="9"/>
  <c r="DQ150" i="9"/>
  <c r="DQ148" i="9"/>
  <c r="DQ146" i="9"/>
  <c r="DQ144" i="9"/>
  <c r="DQ142" i="9"/>
  <c r="DQ140" i="9"/>
  <c r="DQ138" i="9"/>
  <c r="DQ136" i="9"/>
  <c r="DQ134" i="9"/>
  <c r="DR132" i="9"/>
  <c r="DR131" i="9"/>
  <c r="DR130" i="9"/>
  <c r="DR129" i="9"/>
  <c r="DR128" i="9"/>
  <c r="DR127" i="9"/>
  <c r="DR126" i="9"/>
  <c r="DR125" i="9"/>
  <c r="DR124" i="9"/>
  <c r="DR123" i="9"/>
  <c r="DR122" i="9"/>
  <c r="DR121" i="9"/>
  <c r="DR120" i="9"/>
  <c r="DR119" i="9"/>
  <c r="DR118" i="9"/>
  <c r="DR117" i="9"/>
  <c r="DR116" i="9"/>
  <c r="DR115" i="9"/>
  <c r="DR114" i="9"/>
  <c r="DR113" i="9"/>
  <c r="DR112" i="9"/>
  <c r="DR111" i="9"/>
  <c r="DR110" i="9"/>
  <c r="DR109" i="9"/>
  <c r="DR108" i="9"/>
  <c r="DR107" i="9"/>
  <c r="DR106" i="9"/>
  <c r="DR105" i="9"/>
  <c r="DR104" i="9"/>
  <c r="DR103" i="9"/>
  <c r="DR102" i="9"/>
  <c r="DR101" i="9"/>
  <c r="DR100" i="9"/>
  <c r="DR99" i="9"/>
  <c r="DR98" i="9"/>
  <c r="DR97" i="9"/>
  <c r="DR96" i="9"/>
  <c r="DR95" i="9"/>
  <c r="DR94" i="9"/>
  <c r="DR93" i="9"/>
  <c r="DR92" i="9"/>
  <c r="DR91" i="9"/>
  <c r="DR90" i="9"/>
  <c r="DR89" i="9"/>
  <c r="DR88" i="9"/>
  <c r="DR87" i="9"/>
  <c r="DR86" i="9"/>
  <c r="DR85" i="9"/>
  <c r="DR84" i="9"/>
  <c r="DR83" i="9"/>
  <c r="DR82" i="9"/>
  <c r="DR81" i="9"/>
  <c r="DR80" i="9"/>
  <c r="DR79" i="9"/>
  <c r="DR78" i="9"/>
  <c r="DR77" i="9"/>
  <c r="DR76" i="9"/>
  <c r="DR75" i="9"/>
  <c r="DR74" i="9"/>
  <c r="DR73" i="9"/>
  <c r="DR72" i="9"/>
  <c r="DR71" i="9"/>
  <c r="DR70" i="9"/>
  <c r="DR69" i="9"/>
  <c r="DR68" i="9"/>
  <c r="DR67" i="9"/>
  <c r="DR66" i="9"/>
  <c r="DR65" i="9"/>
  <c r="DR64" i="9"/>
  <c r="DR63" i="9"/>
  <c r="DR62" i="9"/>
  <c r="DR61" i="9"/>
  <c r="DR60" i="9"/>
  <c r="DR59" i="9"/>
  <c r="DR58" i="9"/>
  <c r="DR57" i="9"/>
  <c r="DR56" i="9"/>
  <c r="DR55" i="9"/>
  <c r="DR54" i="9"/>
  <c r="DR53" i="9"/>
  <c r="DR52" i="9"/>
  <c r="DR51" i="9"/>
  <c r="DR50" i="9"/>
  <c r="DR49" i="9"/>
  <c r="DR48" i="9"/>
  <c r="DR47" i="9"/>
  <c r="DR46" i="9"/>
  <c r="DR45" i="9"/>
  <c r="DR44" i="9"/>
  <c r="DR43" i="9"/>
  <c r="DR42" i="9"/>
  <c r="DR41" i="9"/>
  <c r="DR40" i="9"/>
  <c r="DR39" i="9"/>
  <c r="DR38" i="9"/>
  <c r="DR37" i="9"/>
  <c r="DR36" i="9"/>
  <c r="DR35" i="9"/>
  <c r="DR34" i="9"/>
  <c r="DR33" i="9"/>
  <c r="DR32" i="9"/>
  <c r="DR31" i="9"/>
  <c r="DR30" i="9"/>
  <c r="DR29" i="9"/>
  <c r="DR28" i="9"/>
  <c r="DR27" i="9"/>
  <c r="DR26" i="9"/>
  <c r="DR25" i="9"/>
  <c r="DR24" i="9"/>
  <c r="DR23" i="9"/>
  <c r="DR22" i="9"/>
  <c r="DR21" i="9"/>
  <c r="DR20" i="9"/>
  <c r="DR19" i="9"/>
  <c r="DR18" i="9"/>
  <c r="DR17" i="9"/>
  <c r="DR16" i="9"/>
  <c r="DR15" i="9"/>
  <c r="DR14" i="9"/>
  <c r="DR13" i="9"/>
  <c r="DR12" i="9"/>
  <c r="DR11" i="9"/>
  <c r="DR10" i="9"/>
  <c r="DR9" i="9"/>
  <c r="DR8" i="9"/>
  <c r="DR7" i="9"/>
  <c r="DR6" i="9"/>
  <c r="DR5" i="9"/>
  <c r="DP4" i="9"/>
  <c r="DJ4" i="9"/>
  <c r="DO4" i="9"/>
  <c r="DM4" i="9"/>
  <c r="DQ49" i="9"/>
  <c r="DQ40" i="9"/>
  <c r="DQ31" i="9"/>
  <c r="DQ14" i="9"/>
  <c r="DQ12" i="9"/>
  <c r="DQ10" i="9"/>
  <c r="DQ8" i="9"/>
  <c r="DQ6" i="9"/>
  <c r="DQ319" i="9"/>
  <c r="DQ317" i="9"/>
  <c r="DQ315" i="9"/>
  <c r="DQ313" i="9"/>
  <c r="DR318" i="9"/>
  <c r="DR316" i="9"/>
  <c r="DR314" i="9"/>
  <c r="DQ312" i="9"/>
  <c r="DQ310" i="9"/>
  <c r="DQ308" i="9"/>
  <c r="DQ306" i="9"/>
  <c r="DQ304" i="9"/>
  <c r="DQ302" i="9"/>
  <c r="DQ300" i="9"/>
  <c r="DQ298" i="9"/>
  <c r="DQ296" i="9"/>
  <c r="DQ294" i="9"/>
  <c r="DQ292" i="9"/>
  <c r="DQ290" i="9"/>
  <c r="DQ288" i="9"/>
  <c r="DQ286" i="9"/>
  <c r="DQ284" i="9"/>
  <c r="DQ282" i="9"/>
  <c r="DQ280" i="9"/>
  <c r="DH318" i="9"/>
  <c r="DH316" i="9"/>
  <c r="DH314" i="9"/>
  <c r="DH312" i="9"/>
  <c r="DH310" i="9"/>
  <c r="DH308" i="9"/>
  <c r="DH306" i="9"/>
  <c r="DH304" i="9"/>
  <c r="DH302" i="9"/>
  <c r="DH300" i="9"/>
  <c r="DH298" i="9"/>
  <c r="DH296" i="9"/>
  <c r="DH294" i="9"/>
  <c r="DH292" i="9"/>
  <c r="DH290" i="9"/>
  <c r="DH288" i="9"/>
  <c r="DH286" i="9"/>
  <c r="DH284" i="9"/>
  <c r="DH282" i="9"/>
  <c r="DH280" i="9"/>
  <c r="DR312" i="9"/>
  <c r="DR310" i="9"/>
  <c r="DR308" i="9"/>
  <c r="DR306" i="9"/>
  <c r="DR304" i="9"/>
  <c r="DR302" i="9"/>
  <c r="DR300" i="9"/>
  <c r="DR298" i="9"/>
  <c r="DR296" i="9"/>
  <c r="DR294" i="9"/>
  <c r="DR292" i="9"/>
  <c r="DR290" i="9"/>
  <c r="DR288" i="9"/>
  <c r="DR286" i="9"/>
  <c r="DR284" i="9"/>
  <c r="DR282" i="9"/>
  <c r="DR280" i="9"/>
  <c r="DH279" i="9"/>
  <c r="DH278" i="9"/>
  <c r="DH277" i="9"/>
  <c r="DH276" i="9"/>
  <c r="DH275" i="9"/>
  <c r="DH274" i="9"/>
  <c r="DH273" i="9"/>
  <c r="DH272" i="9"/>
  <c r="DH271" i="9"/>
  <c r="DH270" i="9"/>
  <c r="DH269" i="9"/>
  <c r="DH268" i="9"/>
  <c r="DH267" i="9"/>
  <c r="DH266" i="9"/>
  <c r="DH265" i="9"/>
  <c r="DH264" i="9"/>
  <c r="DH263" i="9"/>
  <c r="DH262" i="9"/>
  <c r="DH261" i="9"/>
  <c r="DH260" i="9"/>
  <c r="DH259" i="9"/>
  <c r="DH258" i="9"/>
  <c r="DH257" i="9"/>
  <c r="DH256" i="9"/>
  <c r="DH255" i="9"/>
  <c r="DH254" i="9"/>
  <c r="DH253" i="9"/>
  <c r="DH252" i="9"/>
  <c r="DH251" i="9"/>
  <c r="DH250" i="9"/>
  <c r="DH249" i="9"/>
  <c r="DH248" i="9"/>
  <c r="DH247" i="9"/>
  <c r="DH246" i="9"/>
  <c r="DH245" i="9"/>
  <c r="DQ277" i="9"/>
  <c r="DQ275" i="9"/>
  <c r="DQ273" i="9"/>
  <c r="DQ271" i="9"/>
  <c r="DQ269" i="9"/>
  <c r="DQ267" i="9"/>
  <c r="DQ265" i="9"/>
  <c r="DQ263" i="9"/>
  <c r="DQ261" i="9"/>
  <c r="DQ259" i="9"/>
  <c r="DQ257" i="9"/>
  <c r="DQ255" i="9"/>
  <c r="DQ253" i="9"/>
  <c r="DQ251" i="9"/>
  <c r="DQ249" i="9"/>
  <c r="DQ247" i="9"/>
  <c r="DQ245" i="9"/>
  <c r="DQ243" i="9"/>
  <c r="DQ241" i="9"/>
  <c r="DQ239" i="9"/>
  <c r="DQ237" i="9"/>
  <c r="DQ235" i="9"/>
  <c r="DQ233" i="9"/>
  <c r="DQ231" i="9"/>
  <c r="DQ229" i="9"/>
  <c r="DQ227" i="9"/>
  <c r="DQ225" i="9"/>
  <c r="DQ223" i="9"/>
  <c r="DQ221" i="9"/>
  <c r="DH244" i="9"/>
  <c r="DH243" i="9"/>
  <c r="DH242" i="9"/>
  <c r="DH241" i="9"/>
  <c r="DH240" i="9"/>
  <c r="DH239" i="9"/>
  <c r="DH238" i="9"/>
  <c r="DH237" i="9"/>
  <c r="DH236" i="9"/>
  <c r="DH235" i="9"/>
  <c r="DH234" i="9"/>
  <c r="DH233" i="9"/>
  <c r="DH232" i="9"/>
  <c r="DH231" i="9"/>
  <c r="DH230" i="9"/>
  <c r="DH229" i="9"/>
  <c r="DH228" i="9"/>
  <c r="DH227" i="9"/>
  <c r="DH226" i="9"/>
  <c r="DH225" i="9"/>
  <c r="DH224" i="9"/>
  <c r="DH223" i="9"/>
  <c r="DH222" i="9"/>
  <c r="DH221" i="9"/>
  <c r="DH220" i="9"/>
  <c r="DH219" i="9"/>
  <c r="DH218" i="9"/>
  <c r="DH217" i="9"/>
  <c r="DH216" i="9"/>
  <c r="DH215" i="9"/>
  <c r="DH214" i="9"/>
  <c r="DH213" i="9"/>
  <c r="DH212" i="9"/>
  <c r="DH211" i="9"/>
  <c r="DH210" i="9"/>
  <c r="DH209" i="9"/>
  <c r="DH208" i="9"/>
  <c r="DH207" i="9"/>
  <c r="DH206" i="9"/>
  <c r="DQ204" i="9"/>
  <c r="DQ202" i="9"/>
  <c r="DQ200" i="9"/>
  <c r="DQ198" i="9"/>
  <c r="DQ196" i="9"/>
  <c r="DQ194" i="9"/>
  <c r="DQ192" i="9"/>
  <c r="DQ190" i="9"/>
  <c r="DQ188" i="9"/>
  <c r="DQ186" i="9"/>
  <c r="DQ184" i="9"/>
  <c r="DQ182" i="9"/>
  <c r="DQ180" i="9"/>
  <c r="DQ178" i="9"/>
  <c r="DQ176" i="9"/>
  <c r="DQ174" i="9"/>
  <c r="DQ172" i="9"/>
  <c r="DQ170" i="9"/>
  <c r="DQ168" i="9"/>
  <c r="DQ166" i="9"/>
  <c r="DQ164" i="9"/>
  <c r="DQ162" i="9"/>
  <c r="DQ160" i="9"/>
  <c r="DQ158" i="9"/>
  <c r="DQ220" i="9"/>
  <c r="DQ218" i="9"/>
  <c r="DQ216" i="9"/>
  <c r="DQ214" i="9"/>
  <c r="DQ212" i="9"/>
  <c r="DQ210" i="9"/>
  <c r="DQ208" i="9"/>
  <c r="DQ206" i="9"/>
  <c r="DH205" i="9"/>
  <c r="DH204" i="9"/>
  <c r="DH203" i="9"/>
  <c r="DH202" i="9"/>
  <c r="DH201" i="9"/>
  <c r="DH200" i="9"/>
  <c r="DH199" i="9"/>
  <c r="DH198" i="9"/>
  <c r="DH197" i="9"/>
  <c r="DH196" i="9"/>
  <c r="DH195" i="9"/>
  <c r="DH194" i="9"/>
  <c r="DH193" i="9"/>
  <c r="DH192" i="9"/>
  <c r="DH191" i="9"/>
  <c r="DH190" i="9"/>
  <c r="DH189" i="9"/>
  <c r="DH188" i="9"/>
  <c r="DH187" i="9"/>
  <c r="DH186" i="9"/>
  <c r="DH185" i="9"/>
  <c r="DH184" i="9"/>
  <c r="DH183" i="9"/>
  <c r="DH182" i="9"/>
  <c r="DH181" i="9"/>
  <c r="DH180" i="9"/>
  <c r="DH179" i="9"/>
  <c r="DH178" i="9"/>
  <c r="DH177" i="9"/>
  <c r="DH176" i="9"/>
  <c r="DH175" i="9"/>
  <c r="DH174" i="9"/>
  <c r="DH173" i="9"/>
  <c r="DH172" i="9"/>
  <c r="DH171" i="9"/>
  <c r="DH170" i="9"/>
  <c r="DH169" i="9"/>
  <c r="DH168" i="9"/>
  <c r="DH167" i="9"/>
  <c r="DH166" i="9"/>
  <c r="DH165" i="9"/>
  <c r="DH164" i="9"/>
  <c r="DH163" i="9"/>
  <c r="DH162" i="9"/>
  <c r="DH161" i="9"/>
  <c r="DH160" i="9"/>
  <c r="DH159" i="9"/>
  <c r="DH158" i="9"/>
  <c r="DH157" i="9"/>
  <c r="DH156" i="9"/>
  <c r="DH155" i="9"/>
  <c r="DH154" i="9"/>
  <c r="DH153" i="9"/>
  <c r="DH152" i="9"/>
  <c r="DH151" i="9"/>
  <c r="DH150" i="9"/>
  <c r="DH149" i="9"/>
  <c r="DH148" i="9"/>
  <c r="DH147" i="9"/>
  <c r="DH146" i="9"/>
  <c r="DH145" i="9"/>
  <c r="DH144" i="9"/>
  <c r="DH143" i="9"/>
  <c r="DH142" i="9"/>
  <c r="DH141" i="9"/>
  <c r="DH140" i="9"/>
  <c r="DH139" i="9"/>
  <c r="DH138" i="9"/>
  <c r="DH137" i="9"/>
  <c r="DH136" i="9"/>
  <c r="DH135" i="9"/>
  <c r="DH134" i="9"/>
  <c r="DH133" i="9"/>
  <c r="DQ131" i="9"/>
  <c r="DQ129" i="9"/>
  <c r="DQ127" i="9"/>
  <c r="DQ125" i="9"/>
  <c r="DQ123" i="9"/>
  <c r="DQ121" i="9"/>
  <c r="DQ119" i="9"/>
  <c r="DQ117" i="9"/>
  <c r="DQ115" i="9"/>
  <c r="DQ113" i="9"/>
  <c r="DQ111" i="9"/>
  <c r="DQ109" i="9"/>
  <c r="DQ107" i="9"/>
  <c r="DQ105" i="9"/>
  <c r="DQ103" i="9"/>
  <c r="DQ101" i="9"/>
  <c r="DQ99" i="9"/>
  <c r="DQ97" i="9"/>
  <c r="DQ95" i="9"/>
  <c r="DQ93" i="9"/>
  <c r="DQ91" i="9"/>
  <c r="DQ89" i="9"/>
  <c r="DQ87" i="9"/>
  <c r="DQ85" i="9"/>
  <c r="DQ83" i="9"/>
  <c r="DQ74" i="9"/>
  <c r="DQ65" i="9"/>
  <c r="DQ155" i="9"/>
  <c r="DQ153" i="9"/>
  <c r="DQ151" i="9"/>
  <c r="DQ149" i="9"/>
  <c r="DQ147" i="9"/>
  <c r="DQ145" i="9"/>
  <c r="DQ143" i="9"/>
  <c r="DQ141" i="9"/>
  <c r="DQ139" i="9"/>
  <c r="DQ137" i="9"/>
  <c r="DQ135" i="9"/>
  <c r="DQ133" i="9"/>
  <c r="DH132" i="9"/>
  <c r="DH131" i="9"/>
  <c r="DH130" i="9"/>
  <c r="DH129" i="9"/>
  <c r="DH128" i="9"/>
  <c r="DH127" i="9"/>
  <c r="DH126" i="9"/>
  <c r="DH125" i="9"/>
  <c r="DH124" i="9"/>
  <c r="DH123" i="9"/>
  <c r="DH122" i="9"/>
  <c r="DH121" i="9"/>
  <c r="DH120" i="9"/>
  <c r="DH119" i="9"/>
  <c r="DH118" i="9"/>
  <c r="DH117" i="9"/>
  <c r="DH116" i="9"/>
  <c r="DH115" i="9"/>
  <c r="DH114" i="9"/>
  <c r="DH113" i="9"/>
  <c r="DH112" i="9"/>
  <c r="DH111" i="9"/>
  <c r="DH110" i="9"/>
  <c r="DH109" i="9"/>
  <c r="DH108" i="9"/>
  <c r="DH107" i="9"/>
  <c r="DH106" i="9"/>
  <c r="DH105" i="9"/>
  <c r="DH104" i="9"/>
  <c r="DH103" i="9"/>
  <c r="DH102" i="9"/>
  <c r="DH101" i="9"/>
  <c r="DH100" i="9"/>
  <c r="DH99" i="9"/>
  <c r="DH98" i="9"/>
  <c r="DH97" i="9"/>
  <c r="DH96" i="9"/>
  <c r="DH95" i="9"/>
  <c r="DH94" i="9"/>
  <c r="DH93" i="9"/>
  <c r="DH92" i="9"/>
  <c r="DH91" i="9"/>
  <c r="DH90" i="9"/>
  <c r="DH89" i="9"/>
  <c r="DH88" i="9"/>
  <c r="DH87" i="9"/>
  <c r="DH86" i="9"/>
  <c r="DH85" i="9"/>
  <c r="DH84" i="9"/>
  <c r="DH83" i="9"/>
  <c r="DH82" i="9"/>
  <c r="DH81" i="9"/>
  <c r="DH80" i="9"/>
  <c r="DH79" i="9"/>
  <c r="DH78" i="9"/>
  <c r="DH77" i="9"/>
  <c r="DH76" i="9"/>
  <c r="DH75" i="9"/>
  <c r="DH74" i="9"/>
  <c r="DH73" i="9"/>
  <c r="DH72" i="9"/>
  <c r="DH71" i="9"/>
  <c r="DH70" i="9"/>
  <c r="DH69" i="9"/>
  <c r="DH68" i="9"/>
  <c r="DH67" i="9"/>
  <c r="DH66" i="9"/>
  <c r="DH65" i="9"/>
  <c r="DH64" i="9"/>
  <c r="DH63" i="9"/>
  <c r="DH62" i="9"/>
  <c r="DH61" i="9"/>
  <c r="DH60" i="9"/>
  <c r="DH59" i="9"/>
  <c r="DH58" i="9"/>
  <c r="DH57" i="9"/>
  <c r="DH56" i="9"/>
  <c r="DH55" i="9"/>
  <c r="DH54" i="9"/>
  <c r="DH53" i="9"/>
  <c r="DH52" i="9"/>
  <c r="DH51" i="9"/>
  <c r="DH50" i="9"/>
  <c r="DH49" i="9"/>
  <c r="DH48" i="9"/>
  <c r="DH47" i="9"/>
  <c r="DH46" i="9"/>
  <c r="DH45" i="9"/>
  <c r="DH44" i="9"/>
  <c r="DH43" i="9"/>
  <c r="DH42" i="9"/>
  <c r="DH41" i="9"/>
  <c r="DH40" i="9"/>
  <c r="DH39" i="9"/>
  <c r="DH38" i="9"/>
  <c r="DH37" i="9"/>
  <c r="DH36" i="9"/>
  <c r="DH35" i="9"/>
  <c r="DH34" i="9"/>
  <c r="DH33" i="9"/>
  <c r="DH32" i="9"/>
  <c r="DH31" i="9"/>
  <c r="DH30" i="9"/>
  <c r="DH29" i="9"/>
  <c r="DH28" i="9"/>
  <c r="DH27" i="9"/>
  <c r="DH26" i="9"/>
  <c r="DH25" i="9"/>
  <c r="DH24" i="9"/>
  <c r="DH23" i="9"/>
  <c r="DH22" i="9"/>
  <c r="DH21" i="9"/>
  <c r="DH20" i="9"/>
  <c r="DH19" i="9"/>
  <c r="DH18" i="9"/>
  <c r="DH17" i="9"/>
  <c r="DH16" i="9"/>
  <c r="DH15" i="9"/>
  <c r="DH14" i="9"/>
  <c r="DH13" i="9"/>
  <c r="DH12" i="9"/>
  <c r="DH11" i="9"/>
  <c r="DH10" i="9"/>
  <c r="DH9" i="9"/>
  <c r="DH8" i="9"/>
  <c r="DH7" i="9"/>
  <c r="DH6" i="9"/>
  <c r="DH5" i="9"/>
  <c r="DN4" i="9"/>
  <c r="DH4" i="9"/>
  <c r="DI4" i="9" s="1"/>
  <c r="EC4" i="9"/>
  <c r="DQ64" i="9"/>
  <c r="DQ48" i="9"/>
  <c r="DQ39" i="9"/>
  <c r="DQ30" i="9"/>
  <c r="DQ13" i="9"/>
  <c r="DQ11" i="9"/>
  <c r="DQ9" i="9"/>
  <c r="DQ7" i="9"/>
  <c r="DQ5" i="9"/>
  <c r="DJ93" i="9"/>
  <c r="DN93" i="9" s="1"/>
  <c r="DJ87" i="9"/>
  <c r="DL87" i="9" s="1"/>
  <c r="DM87" i="9" s="1"/>
  <c r="DJ103" i="9"/>
  <c r="DL103" i="9" s="1"/>
  <c r="DM103" i="9" s="1"/>
  <c r="DJ125" i="9"/>
  <c r="DN125" i="9" s="1"/>
  <c r="DJ95" i="9"/>
  <c r="DJ58" i="9"/>
  <c r="DP58" i="9" s="1"/>
  <c r="DJ6" i="9"/>
  <c r="DJ73" i="9"/>
  <c r="DJ216" i="9"/>
  <c r="DN216" i="9" s="1"/>
  <c r="DJ31" i="9"/>
  <c r="DL31" i="9" s="1"/>
  <c r="DM31" i="9" s="1"/>
  <c r="DJ65" i="9"/>
  <c r="DJ97" i="9"/>
  <c r="DJ113" i="9"/>
  <c r="DN113" i="9" s="1"/>
  <c r="DJ88" i="9"/>
  <c r="DN88" i="9" s="1"/>
  <c r="DJ104" i="9"/>
  <c r="DJ186" i="9"/>
  <c r="DJ69" i="9"/>
  <c r="DJ85" i="9"/>
  <c r="DJ109" i="9"/>
  <c r="DJ133" i="9"/>
  <c r="DJ220" i="9"/>
  <c r="DJ24" i="9"/>
  <c r="DL24" i="9" s="1"/>
  <c r="DM24" i="9" s="1"/>
  <c r="DJ8" i="9"/>
  <c r="DP8" i="9" s="1"/>
  <c r="DJ45" i="9"/>
  <c r="DL45" i="9" s="1"/>
  <c r="DM45" i="9" s="1"/>
  <c r="DJ249" i="9"/>
  <c r="DP249" i="9" s="1"/>
  <c r="DJ261" i="9"/>
  <c r="DL261" i="9" s="1"/>
  <c r="DM261" i="9" s="1"/>
  <c r="DJ64" i="9"/>
  <c r="DL64" i="9" s="1"/>
  <c r="DM64" i="9" s="1"/>
  <c r="DJ32" i="9"/>
  <c r="DN32" i="9" s="1"/>
  <c r="DJ253" i="9"/>
  <c r="DL253" i="9" s="1"/>
  <c r="DM253" i="9" s="1"/>
  <c r="DJ39" i="9"/>
  <c r="DP39" i="9" s="1"/>
  <c r="DJ27" i="9"/>
  <c r="DL27" i="9" s="1"/>
  <c r="DM27" i="9" s="1"/>
  <c r="DJ293" i="9"/>
  <c r="DL293" i="9" s="1"/>
  <c r="DM293" i="9" s="1"/>
  <c r="DJ77" i="9"/>
  <c r="DJ101" i="9"/>
  <c r="DJ56" i="9"/>
  <c r="DJ16" i="9"/>
  <c r="DJ89" i="9"/>
  <c r="DJ287" i="9"/>
  <c r="DL287" i="9" s="1"/>
  <c r="DM287" i="9" s="1"/>
  <c r="DJ295" i="9"/>
  <c r="DL295" i="9" s="1"/>
  <c r="DM295" i="9" s="1"/>
  <c r="DJ303" i="9"/>
  <c r="DP303" i="9" s="1"/>
  <c r="DJ40" i="9"/>
  <c r="DP40" i="9" s="1"/>
  <c r="DJ70" i="9"/>
  <c r="DP70" i="9" s="1"/>
  <c r="DJ72" i="9"/>
  <c r="DL72" i="9" s="1"/>
  <c r="DM72" i="9" s="1"/>
  <c r="DJ132" i="9"/>
  <c r="DL132" i="9" s="1"/>
  <c r="DM132" i="9" s="1"/>
  <c r="DJ204" i="9"/>
  <c r="DP204" i="9" s="1"/>
  <c r="DJ271" i="9"/>
  <c r="DJ307" i="9"/>
  <c r="DP307" i="9" s="1"/>
  <c r="DJ198" i="9"/>
  <c r="DL198" i="9" s="1"/>
  <c r="DM198" i="9" s="1"/>
  <c r="DJ273" i="9"/>
  <c r="DL273" i="9" s="1"/>
  <c r="DM273" i="9" s="1"/>
  <c r="DJ51" i="9"/>
  <c r="DL51" i="9" s="1"/>
  <c r="DM51" i="9" s="1"/>
  <c r="DJ35" i="9"/>
  <c r="DL35" i="9" s="1"/>
  <c r="DM35" i="9" s="1"/>
  <c r="DJ43" i="9"/>
  <c r="DJ131" i="9"/>
  <c r="DP131" i="9" s="1"/>
  <c r="DJ142" i="9"/>
  <c r="DP142" i="9" s="1"/>
  <c r="DJ242" i="9"/>
  <c r="DL242" i="9" s="1"/>
  <c r="DM242" i="9" s="1"/>
  <c r="DJ119" i="9"/>
  <c r="DJ230" i="9"/>
  <c r="DP230" i="9" s="1"/>
  <c r="DJ114" i="9"/>
  <c r="DP114" i="9" s="1"/>
  <c r="DJ48" i="9"/>
  <c r="DL48" i="9" s="1"/>
  <c r="DM48" i="9" s="1"/>
  <c r="DJ218" i="9"/>
  <c r="DP218" i="9" s="1"/>
  <c r="DJ168" i="9"/>
  <c r="DP168" i="9" s="1"/>
  <c r="DJ275" i="9"/>
  <c r="DL275" i="9" s="1"/>
  <c r="DM275" i="9" s="1"/>
  <c r="DJ180" i="9"/>
  <c r="DP180" i="9" s="1"/>
  <c r="DJ158" i="9"/>
  <c r="DN158" i="9" s="1"/>
  <c r="DJ129" i="9"/>
  <c r="DP129" i="9" s="1"/>
  <c r="DJ269" i="9"/>
  <c r="DP269" i="9" s="1"/>
  <c r="DJ11" i="9"/>
  <c r="DL11" i="9" s="1"/>
  <c r="DM11" i="9" s="1"/>
  <c r="DJ91" i="9"/>
  <c r="DP91" i="9" s="1"/>
  <c r="DJ210" i="9"/>
  <c r="DN210" i="9" s="1"/>
  <c r="DJ267" i="9"/>
  <c r="DJ311" i="9"/>
  <c r="DP311" i="9" s="1"/>
  <c r="DJ285" i="9"/>
  <c r="DP285" i="9" s="1"/>
  <c r="DJ19" i="9"/>
  <c r="DN19" i="9" s="1"/>
  <c r="DJ124" i="9"/>
  <c r="DN124" i="9" s="1"/>
  <c r="DJ283" i="9"/>
  <c r="DP283" i="9" s="1"/>
  <c r="DJ107" i="9"/>
  <c r="DL107" i="9" s="1"/>
  <c r="DM107" i="9" s="1"/>
  <c r="DJ62" i="9"/>
  <c r="DJ54" i="9"/>
  <c r="DL54" i="9" s="1"/>
  <c r="DM54" i="9" s="1"/>
  <c r="DJ38" i="9"/>
  <c r="DL38" i="9" s="1"/>
  <c r="DM38" i="9" s="1"/>
  <c r="DJ80" i="9"/>
  <c r="DP80" i="9" s="1"/>
  <c r="DJ112" i="9"/>
  <c r="DL112" i="9" s="1"/>
  <c r="DM112" i="9" s="1"/>
  <c r="DJ126" i="9"/>
  <c r="DL126" i="9" s="1"/>
  <c r="DM126" i="9" s="1"/>
  <c r="DJ61" i="9"/>
  <c r="DP61" i="9" s="1"/>
  <c r="DJ136" i="9"/>
  <c r="DL136" i="9" s="1"/>
  <c r="DM136" i="9" s="1"/>
  <c r="DJ59" i="9"/>
  <c r="DL59" i="9" s="1"/>
  <c r="DM59" i="9" s="1"/>
  <c r="DJ289" i="9"/>
  <c r="DJ243" i="9"/>
  <c r="DP243" i="9" s="1"/>
  <c r="DJ211" i="9"/>
  <c r="DL211" i="9" s="1"/>
  <c r="DM211" i="9" s="1"/>
  <c r="DP271" i="9"/>
  <c r="DJ205" i="9"/>
  <c r="DN205" i="9" s="1"/>
  <c r="DP126" i="9"/>
  <c r="DL62" i="9"/>
  <c r="DM62" i="9" s="1"/>
  <c r="DP124" i="9"/>
  <c r="DP267" i="9"/>
  <c r="DJ143" i="9"/>
  <c r="DP143" i="9" s="1"/>
  <c r="DJ225" i="9"/>
  <c r="DL225" i="9" s="1"/>
  <c r="DM225" i="9" s="1"/>
  <c r="DJ209" i="9"/>
  <c r="DJ201" i="9"/>
  <c r="DL201" i="9" s="1"/>
  <c r="DM201" i="9" s="1"/>
  <c r="DP45" i="9"/>
  <c r="DP220" i="9"/>
  <c r="DJ280" i="9"/>
  <c r="DP280" i="9" s="1"/>
  <c r="DL216" i="9"/>
  <c r="DM216" i="9" s="1"/>
  <c r="DP73" i="9"/>
  <c r="DL125" i="9"/>
  <c r="DM125" i="9" s="1"/>
  <c r="DL43" i="9"/>
  <c r="DM43" i="9" s="1"/>
  <c r="DJ167" i="9"/>
  <c r="DP167" i="9" s="1"/>
  <c r="DP289" i="9"/>
  <c r="DL303" i="9"/>
  <c r="DM303" i="9" s="1"/>
  <c r="DL80" i="9"/>
  <c r="DM80" i="9" s="1"/>
  <c r="DP107" i="9"/>
  <c r="DL89" i="9"/>
  <c r="DM89" i="9" s="1"/>
  <c r="DP16" i="9"/>
  <c r="DP56" i="9"/>
  <c r="DP101" i="9"/>
  <c r="DP77" i="9"/>
  <c r="DP293" i="9"/>
  <c r="DJ270" i="9"/>
  <c r="DL270" i="9" s="1"/>
  <c r="DM270" i="9" s="1"/>
  <c r="DJ179" i="9"/>
  <c r="DN179" i="9" s="1"/>
  <c r="DJ163" i="9"/>
  <c r="DL32" i="9"/>
  <c r="DM32" i="9" s="1"/>
  <c r="DJ260" i="9"/>
  <c r="DN260" i="9" s="1"/>
  <c r="DJ256" i="9"/>
  <c r="DL256" i="9" s="1"/>
  <c r="DM256" i="9" s="1"/>
  <c r="DL218" i="9"/>
  <c r="DM218" i="9" s="1"/>
  <c r="DP119" i="9"/>
  <c r="DP133" i="9"/>
  <c r="DP109" i="9"/>
  <c r="DL85" i="9"/>
  <c r="DM85" i="9" s="1"/>
  <c r="DL69" i="9"/>
  <c r="DM69" i="9" s="1"/>
  <c r="DP186" i="9"/>
  <c r="DP104" i="9"/>
  <c r="DP88" i="9"/>
  <c r="DP113" i="9"/>
  <c r="DL97" i="9"/>
  <c r="DM97" i="9" s="1"/>
  <c r="DP65" i="9"/>
  <c r="DP31" i="9"/>
  <c r="DJ308" i="9"/>
  <c r="DP308" i="9" s="1"/>
  <c r="DJ300" i="9"/>
  <c r="DL300" i="9" s="1"/>
  <c r="DM300" i="9" s="1"/>
  <c r="DJ292" i="9"/>
  <c r="DP292" i="9" s="1"/>
  <c r="DJ197" i="9"/>
  <c r="DP197" i="9" s="1"/>
  <c r="DL6" i="9"/>
  <c r="DM6" i="9" s="1"/>
  <c r="DL95" i="9"/>
  <c r="DM95" i="9" s="1"/>
  <c r="DL93" i="9"/>
  <c r="DM93" i="9" s="1"/>
  <c r="DJ262" i="9"/>
  <c r="DL262" i="9" s="1"/>
  <c r="DM262" i="9" s="1"/>
  <c r="DL271" i="9"/>
  <c r="DM271" i="9" s="1"/>
  <c r="DL70" i="9"/>
  <c r="DM70" i="9" s="1"/>
  <c r="DP62" i="9"/>
  <c r="DJ219" i="9"/>
  <c r="DP219" i="9" s="1"/>
  <c r="DL267" i="9"/>
  <c r="DM267" i="9" s="1"/>
  <c r="DJ266" i="9"/>
  <c r="DP266" i="9" s="1"/>
  <c r="DJ199" i="9"/>
  <c r="DL199" i="9" s="1"/>
  <c r="DM199" i="9" s="1"/>
  <c r="DL249" i="9"/>
  <c r="DM249" i="9" s="1"/>
  <c r="DL230" i="9"/>
  <c r="DM230" i="9" s="1"/>
  <c r="DL8" i="9"/>
  <c r="DM8" i="9" s="1"/>
  <c r="DL220" i="9"/>
  <c r="DM220" i="9" s="1"/>
  <c r="DP216" i="9"/>
  <c r="DL73" i="9"/>
  <c r="DM73" i="9" s="1"/>
  <c r="DP125" i="9"/>
  <c r="DP43" i="9"/>
  <c r="DP103" i="9"/>
  <c r="DP87" i="9"/>
  <c r="DJ298" i="9"/>
  <c r="DJ177" i="9"/>
  <c r="DL177" i="9" s="1"/>
  <c r="DM177" i="9" s="1"/>
  <c r="DL289" i="9"/>
  <c r="DM289" i="9" s="1"/>
  <c r="DJ237" i="9"/>
  <c r="DL237" i="9" s="1"/>
  <c r="DM237" i="9" s="1"/>
  <c r="DJ137" i="9"/>
  <c r="DP137" i="9" s="1"/>
  <c r="DJ155" i="9"/>
  <c r="DL155" i="9" s="1"/>
  <c r="DM155" i="9" s="1"/>
  <c r="DP59" i="9"/>
  <c r="DJ268" i="9"/>
  <c r="DP268" i="9" s="1"/>
  <c r="DP136" i="9"/>
  <c r="DP287" i="9"/>
  <c r="DP54" i="9"/>
  <c r="DP89" i="9"/>
  <c r="DJ235" i="9"/>
  <c r="DJ223" i="9"/>
  <c r="DL223" i="9" s="1"/>
  <c r="DM223" i="9" s="1"/>
  <c r="DJ215" i="9"/>
  <c r="DL215" i="9" s="1"/>
  <c r="DM215" i="9" s="1"/>
  <c r="DL16" i="9"/>
  <c r="DM16" i="9" s="1"/>
  <c r="DL56" i="9"/>
  <c r="DM56" i="9" s="1"/>
  <c r="DL101" i="9"/>
  <c r="DM101" i="9" s="1"/>
  <c r="DL77" i="9"/>
  <c r="DM77" i="9" s="1"/>
  <c r="DP11" i="9"/>
  <c r="DJ258" i="9"/>
  <c r="DP258" i="9" s="1"/>
  <c r="DJ315" i="9"/>
  <c r="DP315" i="9" s="1"/>
  <c r="DP27" i="9"/>
  <c r="DL129" i="9"/>
  <c r="DM129" i="9" s="1"/>
  <c r="DP253" i="9"/>
  <c r="DP64" i="9"/>
  <c r="DL168" i="9"/>
  <c r="DM168" i="9" s="1"/>
  <c r="DP48" i="9"/>
  <c r="DL119" i="9"/>
  <c r="DM119" i="9" s="1"/>
  <c r="DL133" i="9"/>
  <c r="DM133" i="9" s="1"/>
  <c r="DL109" i="9"/>
  <c r="DM109" i="9" s="1"/>
  <c r="DP85" i="9"/>
  <c r="DP69" i="9"/>
  <c r="DL186" i="9"/>
  <c r="DM186" i="9" s="1"/>
  <c r="DL104" i="9"/>
  <c r="DM104" i="9" s="1"/>
  <c r="DL88" i="9"/>
  <c r="DM88" i="9" s="1"/>
  <c r="DL113" i="9"/>
  <c r="DM113" i="9" s="1"/>
  <c r="DP97" i="9"/>
  <c r="DL65" i="9"/>
  <c r="DM65" i="9" s="1"/>
  <c r="DJ187" i="9"/>
  <c r="DP187" i="9" s="1"/>
  <c r="DP6" i="9"/>
  <c r="DP95" i="9"/>
  <c r="DJ149" i="9"/>
  <c r="DP149" i="9" s="1"/>
  <c r="DJ306" i="9"/>
  <c r="DP306" i="9" s="1"/>
  <c r="DP93" i="9"/>
  <c r="DL163" i="9"/>
  <c r="DM163" i="9" s="1"/>
  <c r="DP262" i="9"/>
  <c r="DP256" i="9"/>
  <c r="DL258" i="9"/>
  <c r="DM258" i="9" s="1"/>
  <c r="DL235" i="9"/>
  <c r="DM235" i="9" s="1"/>
  <c r="DL167" i="9"/>
  <c r="DM167" i="9" s="1"/>
  <c r="DP201" i="9"/>
  <c r="DL137" i="9"/>
  <c r="DP298" i="9"/>
  <c r="DP209" i="9"/>
  <c r="DL143" i="9"/>
  <c r="DM143" i="9" s="1"/>
  <c r="DL219" i="9"/>
  <c r="DM219" i="9" s="1"/>
  <c r="DL149" i="9"/>
  <c r="DM149" i="9" s="1"/>
  <c r="DL187" i="9"/>
  <c r="DM187" i="9" s="1"/>
  <c r="DP163" i="9"/>
  <c r="DP270" i="9"/>
  <c r="DP300" i="9"/>
  <c r="DL179" i="9"/>
  <c r="DM179" i="9" s="1"/>
  <c r="DP235" i="9"/>
  <c r="DL280" i="9"/>
  <c r="DM280" i="9" s="1"/>
  <c r="DP211" i="9"/>
  <c r="DL298" i="9"/>
  <c r="DM298" i="9" s="1"/>
  <c r="DL209" i="9"/>
  <c r="DM209" i="9" s="1"/>
  <c r="DP225" i="9"/>
  <c r="DL266" i="9"/>
  <c r="DM266" i="9" s="1"/>
  <c r="DL205" i="9"/>
  <c r="DM205" i="9" s="1"/>
  <c r="CQ336" i="9"/>
  <c r="CQ462" i="9"/>
  <c r="BV319" i="9"/>
  <c r="BV317" i="9"/>
  <c r="BV315" i="9"/>
  <c r="BV313" i="9"/>
  <c r="BV311" i="9"/>
  <c r="BV309" i="9"/>
  <c r="BV307" i="9"/>
  <c r="BV305" i="9"/>
  <c r="BV303" i="9"/>
  <c r="BV301" i="9"/>
  <c r="BV299" i="9"/>
  <c r="BV297" i="9"/>
  <c r="BV295" i="9"/>
  <c r="BV293" i="9"/>
  <c r="BV291" i="9"/>
  <c r="BV289" i="9"/>
  <c r="BV287" i="9"/>
  <c r="BV285" i="9"/>
  <c r="BV283" i="9"/>
  <c r="BV281" i="9"/>
  <c r="BV279" i="9"/>
  <c r="BV277" i="9"/>
  <c r="BV275" i="9"/>
  <c r="BV273" i="9"/>
  <c r="BV271" i="9"/>
  <c r="BV269" i="9"/>
  <c r="BV267" i="9"/>
  <c r="BV265" i="9"/>
  <c r="BV263" i="9"/>
  <c r="BV261" i="9"/>
  <c r="BV259" i="9"/>
  <c r="BV257" i="9"/>
  <c r="BV255" i="9"/>
  <c r="BV253" i="9"/>
  <c r="BV251" i="9"/>
  <c r="BV249" i="9"/>
  <c r="BV247" i="9"/>
  <c r="BV245" i="9"/>
  <c r="BV243" i="9"/>
  <c r="BV241" i="9"/>
  <c r="BV239" i="9"/>
  <c r="BV237" i="9"/>
  <c r="BV235" i="9"/>
  <c r="BV233" i="9"/>
  <c r="BV231" i="9"/>
  <c r="BV229" i="9"/>
  <c r="BV227" i="9"/>
  <c r="BV225" i="9"/>
  <c r="BV223" i="9"/>
  <c r="BV221" i="9"/>
  <c r="BV219" i="9"/>
  <c r="BV217" i="9"/>
  <c r="BV215" i="9"/>
  <c r="BV213" i="9"/>
  <c r="BV211" i="9"/>
  <c r="BV209" i="9"/>
  <c r="BV207" i="9"/>
  <c r="BV205" i="9"/>
  <c r="BV203" i="9"/>
  <c r="BV201" i="9"/>
  <c r="BV199" i="9"/>
  <c r="BV197" i="9"/>
  <c r="BV195" i="9"/>
  <c r="BV193" i="9"/>
  <c r="BV191" i="9"/>
  <c r="BV189" i="9"/>
  <c r="BV187" i="9"/>
  <c r="BV185" i="9"/>
  <c r="BV183" i="9"/>
  <c r="BV181" i="9"/>
  <c r="BV179" i="9"/>
  <c r="BV177" i="9"/>
  <c r="BV175" i="9"/>
  <c r="BV173" i="9"/>
  <c r="BV171" i="9"/>
  <c r="BV169" i="9"/>
  <c r="BV167" i="9"/>
  <c r="BV165" i="9"/>
  <c r="BV163" i="9"/>
  <c r="BV161" i="9"/>
  <c r="BV159" i="9"/>
  <c r="BV157" i="9"/>
  <c r="BV155" i="9"/>
  <c r="BV153" i="9"/>
  <c r="BV151" i="9"/>
  <c r="BV149" i="9"/>
  <c r="BV147" i="9"/>
  <c r="BV145" i="9"/>
  <c r="BV143" i="9"/>
  <c r="BV141" i="9"/>
  <c r="BV139" i="9"/>
  <c r="BV137" i="9"/>
  <c r="BV135" i="9"/>
  <c r="BV133" i="9"/>
  <c r="BV131" i="9"/>
  <c r="BV129" i="9"/>
  <c r="BV127" i="9"/>
  <c r="BV125" i="9"/>
  <c r="BV123" i="9"/>
  <c r="BV121" i="9"/>
  <c r="BV119" i="9"/>
  <c r="BV117" i="9"/>
  <c r="BV115" i="9"/>
  <c r="BV113" i="9"/>
  <c r="BV111" i="9"/>
  <c r="BV109" i="9"/>
  <c r="BV107" i="9"/>
  <c r="BV105" i="9"/>
  <c r="BV103" i="9"/>
  <c r="BV101" i="9"/>
  <c r="BV99" i="9"/>
  <c r="BV97" i="9"/>
  <c r="BV95" i="9"/>
  <c r="BV93" i="9"/>
  <c r="BV91" i="9"/>
  <c r="BV89" i="9"/>
  <c r="BV87" i="9"/>
  <c r="BV85" i="9"/>
  <c r="BV83" i="9"/>
  <c r="BV81" i="9"/>
  <c r="BV79" i="9"/>
  <c r="BV77" i="9"/>
  <c r="BV75" i="9"/>
  <c r="BV73" i="9"/>
  <c r="BV71" i="9"/>
  <c r="BV69" i="9"/>
  <c r="BV67" i="9"/>
  <c r="BV65" i="9"/>
  <c r="BV63" i="9"/>
  <c r="BV61" i="9"/>
  <c r="BV59" i="9"/>
  <c r="BV57" i="9"/>
  <c r="BV55" i="9"/>
  <c r="BV53" i="9"/>
  <c r="BV51" i="9"/>
  <c r="BV49" i="9"/>
  <c r="BV47" i="9"/>
  <c r="BV45" i="9"/>
  <c r="BV43" i="9"/>
  <c r="BV41" i="9"/>
  <c r="BV39" i="9"/>
  <c r="BV37" i="9"/>
  <c r="BV35" i="9"/>
  <c r="BV33" i="9"/>
  <c r="BV31" i="9"/>
  <c r="BV29" i="9"/>
  <c r="BV27" i="9"/>
  <c r="BV25" i="9"/>
  <c r="BV23" i="9"/>
  <c r="BV21" i="9"/>
  <c r="BV19" i="9"/>
  <c r="BV17" i="9"/>
  <c r="BV15" i="9"/>
  <c r="BV13" i="9"/>
  <c r="BV11" i="9"/>
  <c r="BV9" i="9"/>
  <c r="BV7" i="9"/>
  <c r="BV5" i="9"/>
  <c r="BV318" i="9"/>
  <c r="BV316" i="9"/>
  <c r="BV314" i="9"/>
  <c r="BV312" i="9"/>
  <c r="BV310" i="9"/>
  <c r="BV308" i="9"/>
  <c r="BV306" i="9"/>
  <c r="BV304" i="9"/>
  <c r="BV302" i="9"/>
  <c r="BV300" i="9"/>
  <c r="BV298" i="9"/>
  <c r="BV296" i="9"/>
  <c r="BV294" i="9"/>
  <c r="BV292" i="9"/>
  <c r="BV290" i="9"/>
  <c r="BV288" i="9"/>
  <c r="BV286" i="9"/>
  <c r="BV284" i="9"/>
  <c r="BV282" i="9"/>
  <c r="BV280" i="9"/>
  <c r="BV278" i="9"/>
  <c r="BV276" i="9"/>
  <c r="BV274" i="9"/>
  <c r="BV272" i="9"/>
  <c r="BV270" i="9"/>
  <c r="BV268" i="9"/>
  <c r="BV266" i="9"/>
  <c r="BV264" i="9"/>
  <c r="BV262" i="9"/>
  <c r="BV260" i="9"/>
  <c r="BV258" i="9"/>
  <c r="BV256" i="9"/>
  <c r="BV254" i="9"/>
  <c r="BV252" i="9"/>
  <c r="BV250" i="9"/>
  <c r="BV248" i="9"/>
  <c r="BV246" i="9"/>
  <c r="BV244" i="9"/>
  <c r="BV242" i="9"/>
  <c r="BV240" i="9"/>
  <c r="BV238" i="9"/>
  <c r="BV236" i="9"/>
  <c r="BV234" i="9"/>
  <c r="BV232" i="9"/>
  <c r="BV230" i="9"/>
  <c r="BV228" i="9"/>
  <c r="BV226" i="9"/>
  <c r="BV224" i="9"/>
  <c r="BV222" i="9"/>
  <c r="BV220" i="9"/>
  <c r="BV218" i="9"/>
  <c r="BV216" i="9"/>
  <c r="BV214" i="9"/>
  <c r="BV212" i="9"/>
  <c r="BV210" i="9"/>
  <c r="BV208" i="9"/>
  <c r="BV206" i="9"/>
  <c r="BV204" i="9"/>
  <c r="BV202" i="9"/>
  <c r="BV200" i="9"/>
  <c r="BV198" i="9"/>
  <c r="BV196" i="9"/>
  <c r="BV194" i="9"/>
  <c r="BV192" i="9"/>
  <c r="BV190" i="9"/>
  <c r="BV188" i="9"/>
  <c r="BV186" i="9"/>
  <c r="BV184" i="9"/>
  <c r="BV182" i="9"/>
  <c r="BV180" i="9"/>
  <c r="BV178" i="9"/>
  <c r="BV176" i="9"/>
  <c r="BV174" i="9"/>
  <c r="BV172" i="9"/>
  <c r="BV170" i="9"/>
  <c r="BV168" i="9"/>
  <c r="BV166" i="9"/>
  <c r="BV164" i="9"/>
  <c r="BV162" i="9"/>
  <c r="BV160" i="9"/>
  <c r="BV158" i="9"/>
  <c r="BV156" i="9"/>
  <c r="BV154" i="9"/>
  <c r="BV152" i="9"/>
  <c r="BV150" i="9"/>
  <c r="BV148" i="9"/>
  <c r="BV146" i="9"/>
  <c r="BV144" i="9"/>
  <c r="BV142" i="9"/>
  <c r="BV140" i="9"/>
  <c r="BV138" i="9"/>
  <c r="BV136" i="9"/>
  <c r="BV134" i="9"/>
  <c r="BV132" i="9"/>
  <c r="BV130" i="9"/>
  <c r="BV128" i="9"/>
  <c r="BV126" i="9"/>
  <c r="BV124" i="9"/>
  <c r="BV122" i="9"/>
  <c r="BV120" i="9"/>
  <c r="BV118" i="9"/>
  <c r="BV116" i="9"/>
  <c r="BV114" i="9"/>
  <c r="BV112" i="9"/>
  <c r="BV110" i="9"/>
  <c r="BV108" i="9"/>
  <c r="BV106" i="9"/>
  <c r="BV104" i="9"/>
  <c r="BV102" i="9"/>
  <c r="BV100" i="9"/>
  <c r="BV98" i="9"/>
  <c r="BV96" i="9"/>
  <c r="BV94" i="9"/>
  <c r="BV92" i="9"/>
  <c r="BV90" i="9"/>
  <c r="BV88" i="9"/>
  <c r="BV86" i="9"/>
  <c r="BV84" i="9"/>
  <c r="BV82" i="9"/>
  <c r="BV80" i="9"/>
  <c r="BV78" i="9"/>
  <c r="BV76" i="9"/>
  <c r="BV74" i="9"/>
  <c r="BV72" i="9"/>
  <c r="BV70" i="9"/>
  <c r="BV68" i="9"/>
  <c r="BV66" i="9"/>
  <c r="BV64" i="9"/>
  <c r="BV62" i="9"/>
  <c r="BV60" i="9"/>
  <c r="BV58" i="9"/>
  <c r="BV56" i="9"/>
  <c r="BV54" i="9"/>
  <c r="BV52" i="9"/>
  <c r="BV50" i="9"/>
  <c r="BV48" i="9"/>
  <c r="BV46" i="9"/>
  <c r="BV44" i="9"/>
  <c r="BV42" i="9"/>
  <c r="BV40" i="9"/>
  <c r="BV38" i="9"/>
  <c r="BV36" i="9"/>
  <c r="BV34" i="9"/>
  <c r="BV32" i="9"/>
  <c r="BV30" i="9"/>
  <c r="BV28" i="9"/>
  <c r="BV26" i="9"/>
  <c r="BV24" i="9"/>
  <c r="BV22" i="9"/>
  <c r="BV20" i="9"/>
  <c r="BV18" i="9"/>
  <c r="BV16" i="9"/>
  <c r="BV14" i="9"/>
  <c r="BV12" i="9"/>
  <c r="BV10" i="9"/>
  <c r="BV8" i="9"/>
  <c r="BV6" i="9"/>
  <c r="BO96" i="9"/>
  <c r="CW11" i="9"/>
  <c r="DN11" i="9" s="1"/>
  <c r="BO176" i="9"/>
  <c r="AU146" i="14"/>
  <c r="BC159" i="14"/>
  <c r="BD159" i="14"/>
  <c r="BD167" i="14" s="1"/>
  <c r="AH146" i="14"/>
  <c r="AP159" i="14"/>
  <c r="AQ159" i="14"/>
  <c r="AQ167" i="14" s="1"/>
  <c r="AL146" i="14"/>
  <c r="AL154" i="14" s="1"/>
  <c r="AK133" i="14"/>
  <c r="AI159" i="14"/>
  <c r="AI167" i="14" s="1"/>
  <c r="BI448" i="9"/>
  <c r="CW287" i="9"/>
  <c r="CW187" i="9"/>
  <c r="AR453" i="9"/>
  <c r="CW293" i="9"/>
  <c r="DN293" i="9" s="1"/>
  <c r="CW168" i="9"/>
  <c r="DN168" i="9" s="1"/>
  <c r="CW177" i="9"/>
  <c r="DN177" i="9" s="1"/>
  <c r="DN132" i="9"/>
  <c r="DN155" i="9"/>
  <c r="AZ423" i="9"/>
  <c r="DN253" i="9"/>
  <c r="DN95" i="9"/>
  <c r="DN295" i="9"/>
  <c r="BL134" i="9"/>
  <c r="BU134" i="9"/>
  <c r="BJ134" i="9"/>
  <c r="BM134" i="9"/>
  <c r="BQ134" i="9"/>
  <c r="BO134" i="9"/>
  <c r="BL182" i="9"/>
  <c r="BU182" i="9"/>
  <c r="BJ182" i="9"/>
  <c r="BQ182" i="9"/>
  <c r="BM182" i="9"/>
  <c r="BO182" i="9"/>
  <c r="BU190" i="9"/>
  <c r="BJ190" i="9"/>
  <c r="BL190" i="9"/>
  <c r="BM190" i="9"/>
  <c r="BQ190" i="9"/>
  <c r="BO190" i="9"/>
  <c r="DN275" i="9"/>
  <c r="BJ37" i="9"/>
  <c r="BL37" i="9"/>
  <c r="BU37" i="9"/>
  <c r="BQ37" i="9"/>
  <c r="BM37" i="9"/>
  <c r="BO37" i="9"/>
  <c r="BL23" i="9"/>
  <c r="BJ23" i="9"/>
  <c r="BQ23" i="9"/>
  <c r="BM23" i="9"/>
  <c r="BO284" i="9"/>
  <c r="BL284" i="9"/>
  <c r="BU284" i="9"/>
  <c r="BJ284" i="9"/>
  <c r="BM284" i="9"/>
  <c r="BQ284" i="9"/>
  <c r="BU200" i="9"/>
  <c r="BJ200" i="9"/>
  <c r="BL200" i="9"/>
  <c r="BM200" i="9"/>
  <c r="BQ200" i="9"/>
  <c r="BO200" i="9"/>
  <c r="BL236" i="9"/>
  <c r="BU236" i="9"/>
  <c r="BJ236" i="9"/>
  <c r="BM236" i="9"/>
  <c r="BQ236" i="9"/>
  <c r="BO236" i="9"/>
  <c r="BL226" i="9"/>
  <c r="BU226" i="9"/>
  <c r="BJ226" i="9"/>
  <c r="BM226" i="9"/>
  <c r="BQ226" i="9"/>
  <c r="BO226" i="9"/>
  <c r="BJ277" i="9"/>
  <c r="BL277" i="9"/>
  <c r="BU277" i="9"/>
  <c r="BM277" i="9"/>
  <c r="BQ277" i="9"/>
  <c r="AR470" i="9"/>
  <c r="AR454" i="9"/>
  <c r="BO23" i="9"/>
  <c r="DN220" i="9"/>
  <c r="BJ148" i="9"/>
  <c r="BL148" i="9"/>
  <c r="BU148" i="9"/>
  <c r="BQ148" i="9"/>
  <c r="BM148" i="9"/>
  <c r="BJ221" i="9"/>
  <c r="BL221" i="9"/>
  <c r="BU221" i="9"/>
  <c r="BQ221" i="9"/>
  <c r="BM221" i="9"/>
  <c r="BJ156" i="9"/>
  <c r="BL156" i="9"/>
  <c r="BU156" i="9"/>
  <c r="BQ156" i="9"/>
  <c r="BM156" i="9"/>
  <c r="BU192" i="9"/>
  <c r="BJ192" i="9"/>
  <c r="BL192" i="9"/>
  <c r="BM192" i="9"/>
  <c r="BQ192" i="9"/>
  <c r="BU121" i="9"/>
  <c r="BJ121" i="9"/>
  <c r="BL121" i="9"/>
  <c r="BQ121" i="9"/>
  <c r="BM121" i="9"/>
  <c r="BO121" i="9"/>
  <c r="BU191" i="9"/>
  <c r="BJ191" i="9"/>
  <c r="BL191" i="9"/>
  <c r="BQ191" i="9"/>
  <c r="BM191" i="9"/>
  <c r="BL151" i="9"/>
  <c r="BU151" i="9"/>
  <c r="BJ151" i="9"/>
  <c r="BQ151" i="9"/>
  <c r="BM151" i="9"/>
  <c r="BU127" i="9"/>
  <c r="BJ127" i="9"/>
  <c r="BL127" i="9"/>
  <c r="BQ127" i="9"/>
  <c r="BM127" i="9"/>
  <c r="BU173" i="9"/>
  <c r="BJ173" i="9"/>
  <c r="BL173" i="9"/>
  <c r="BQ173" i="9"/>
  <c r="BM173" i="9"/>
  <c r="BJ250" i="9"/>
  <c r="BL250" i="9"/>
  <c r="BU250" i="9"/>
  <c r="BQ250" i="9"/>
  <c r="BM250" i="9"/>
  <c r="DN126" i="9"/>
  <c r="BU184" i="9"/>
  <c r="BJ184" i="9"/>
  <c r="BL184" i="9"/>
  <c r="BM184" i="9"/>
  <c r="BQ184" i="9"/>
  <c r="BL178" i="9"/>
  <c r="BU178" i="9"/>
  <c r="BJ178" i="9"/>
  <c r="BQ178" i="9"/>
  <c r="BM178" i="9"/>
  <c r="BO178" i="9"/>
  <c r="BL172" i="9"/>
  <c r="BU172" i="9"/>
  <c r="BJ172" i="9"/>
  <c r="BQ172" i="9"/>
  <c r="BM172" i="9"/>
  <c r="BL217" i="9"/>
  <c r="BU217" i="9"/>
  <c r="BJ217" i="9"/>
  <c r="BM217" i="9"/>
  <c r="BQ217" i="9"/>
  <c r="BO217" i="9"/>
  <c r="BL214" i="9"/>
  <c r="BU214" i="9"/>
  <c r="BJ214" i="9"/>
  <c r="BQ214" i="9"/>
  <c r="BM214" i="9"/>
  <c r="BJ212" i="9"/>
  <c r="BL212" i="9"/>
  <c r="BU212" i="9"/>
  <c r="BM212" i="9"/>
  <c r="BQ212" i="9"/>
  <c r="BL183" i="9"/>
  <c r="BU183" i="9"/>
  <c r="BJ183" i="9"/>
  <c r="BM183" i="9"/>
  <c r="BQ183" i="9"/>
  <c r="BL135" i="9"/>
  <c r="BU135" i="9"/>
  <c r="BJ135" i="9"/>
  <c r="BQ135" i="9"/>
  <c r="BM135" i="9"/>
  <c r="BL170" i="9"/>
  <c r="BU170" i="9"/>
  <c r="BJ170" i="9"/>
  <c r="BQ170" i="9"/>
  <c r="BM170" i="9"/>
  <c r="BL278" i="9"/>
  <c r="BU278" i="9"/>
  <c r="BJ278" i="9"/>
  <c r="BM278" i="9"/>
  <c r="BQ278" i="9"/>
  <c r="BU232" i="9"/>
  <c r="BJ232" i="9"/>
  <c r="BL232" i="9"/>
  <c r="BQ232" i="9"/>
  <c r="BM232" i="9"/>
  <c r="BU202" i="9"/>
  <c r="BJ202" i="9"/>
  <c r="BL202" i="9"/>
  <c r="BM202" i="9"/>
  <c r="BQ202" i="9"/>
  <c r="BO139" i="9"/>
  <c r="BL139" i="9"/>
  <c r="BU139" i="9"/>
  <c r="BJ139" i="9"/>
  <c r="BQ139" i="9"/>
  <c r="BM139" i="9"/>
  <c r="BL115" i="9"/>
  <c r="BU115" i="9"/>
  <c r="BJ115" i="9"/>
  <c r="BM115" i="9"/>
  <c r="BQ115" i="9"/>
  <c r="BJ67" i="9"/>
  <c r="BL67" i="9"/>
  <c r="BQ67" i="9"/>
  <c r="BM67" i="9"/>
  <c r="BL265" i="9"/>
  <c r="BU265" i="9"/>
  <c r="BJ265" i="9"/>
  <c r="BQ265" i="9"/>
  <c r="BM265" i="9"/>
  <c r="BO312" i="9"/>
  <c r="BL312" i="9"/>
  <c r="BU312" i="9"/>
  <c r="BJ312" i="9"/>
  <c r="BM312" i="9"/>
  <c r="BQ312" i="9"/>
  <c r="BJ78" i="9"/>
  <c r="BL78" i="9"/>
  <c r="BM78" i="9"/>
  <c r="BQ78" i="9"/>
  <c r="BJ34" i="9"/>
  <c r="BL34" i="9"/>
  <c r="BM34" i="9"/>
  <c r="BQ34" i="9"/>
  <c r="BL63" i="9"/>
  <c r="BJ63" i="9"/>
  <c r="BM63" i="9"/>
  <c r="BQ63" i="9"/>
  <c r="BL263" i="9"/>
  <c r="BU263" i="9"/>
  <c r="BJ263" i="9"/>
  <c r="BQ263" i="9"/>
  <c r="BM263" i="9"/>
  <c r="BU318" i="9"/>
  <c r="BL318" i="9"/>
  <c r="BJ318" i="9"/>
  <c r="BM318" i="9"/>
  <c r="BQ318" i="9"/>
  <c r="BO302" i="9"/>
  <c r="BU302" i="9"/>
  <c r="BJ302" i="9"/>
  <c r="BL302" i="9"/>
  <c r="BQ302" i="9"/>
  <c r="BM302" i="9"/>
  <c r="BL52" i="9"/>
  <c r="BJ52" i="9"/>
  <c r="BM52" i="9"/>
  <c r="BQ52" i="9"/>
  <c r="BL17" i="9"/>
  <c r="BJ17" i="9"/>
  <c r="BQ17" i="9"/>
  <c r="BM17" i="9"/>
  <c r="BO17" i="9"/>
  <c r="BL33" i="9"/>
  <c r="BU33" i="9"/>
  <c r="BJ33" i="9"/>
  <c r="BM33" i="9"/>
  <c r="BQ33" i="9"/>
  <c r="BO78" i="9"/>
  <c r="BO173" i="9"/>
  <c r="DN119" i="9"/>
  <c r="BO34" i="9"/>
  <c r="BO234" i="9"/>
  <c r="DN163" i="9"/>
  <c r="BL47" i="9"/>
  <c r="BJ47" i="9"/>
  <c r="BQ47" i="9"/>
  <c r="BM47" i="9"/>
  <c r="BO47" i="9"/>
  <c r="BO290" i="9"/>
  <c r="BU290" i="9"/>
  <c r="BJ290" i="9"/>
  <c r="BL290" i="9"/>
  <c r="BQ290" i="9"/>
  <c r="BM290" i="9"/>
  <c r="BU160" i="9"/>
  <c r="BJ160" i="9"/>
  <c r="BL160" i="9"/>
  <c r="BM160" i="9"/>
  <c r="BQ160" i="9"/>
  <c r="BO160" i="9"/>
  <c r="BL299" i="9"/>
  <c r="BU299" i="9"/>
  <c r="BJ299" i="9"/>
  <c r="BQ299" i="9"/>
  <c r="BM299" i="9"/>
  <c r="BL15" i="9"/>
  <c r="BJ15" i="9"/>
  <c r="BQ15" i="9"/>
  <c r="BM15" i="9"/>
  <c r="BO259" i="9"/>
  <c r="BL255" i="9"/>
  <c r="BU255" i="9"/>
  <c r="BJ255" i="9"/>
  <c r="BQ255" i="9"/>
  <c r="BM255" i="9"/>
  <c r="BL100" i="9"/>
  <c r="BU100" i="9"/>
  <c r="BJ100" i="9"/>
  <c r="BQ100" i="9"/>
  <c r="BM100" i="9"/>
  <c r="BL84" i="9"/>
  <c r="BU84" i="9"/>
  <c r="BJ84" i="9"/>
  <c r="BQ84" i="9"/>
  <c r="BM84" i="9"/>
  <c r="BL68" i="9"/>
  <c r="BJ68" i="9"/>
  <c r="BQ68" i="9"/>
  <c r="BM68" i="9"/>
  <c r="BL123" i="9"/>
  <c r="BU123" i="9"/>
  <c r="BJ123" i="9"/>
  <c r="BM123" i="9"/>
  <c r="BQ123" i="9"/>
  <c r="BO282" i="9"/>
  <c r="BU282" i="9"/>
  <c r="BJ282" i="9"/>
  <c r="BL282" i="9"/>
  <c r="BQ282" i="9"/>
  <c r="BM282" i="9"/>
  <c r="BL247" i="9"/>
  <c r="BU247" i="9"/>
  <c r="BJ247" i="9"/>
  <c r="BQ247" i="9"/>
  <c r="BM247" i="9"/>
  <c r="BO247" i="9"/>
  <c r="BU231" i="9"/>
  <c r="BJ231" i="9"/>
  <c r="BL231" i="9"/>
  <c r="BM231" i="9"/>
  <c r="BQ231" i="9"/>
  <c r="BO231" i="9"/>
  <c r="BU185" i="9"/>
  <c r="BJ185" i="9"/>
  <c r="BL185" i="9"/>
  <c r="BQ185" i="9"/>
  <c r="BM185" i="9"/>
  <c r="BU165" i="9"/>
  <c r="BJ165" i="9"/>
  <c r="BL165" i="9"/>
  <c r="BQ165" i="9"/>
  <c r="BM165" i="9"/>
  <c r="BO165" i="9"/>
  <c r="DN289" i="9"/>
  <c r="AY320" i="9"/>
  <c r="AO320" i="9"/>
  <c r="AQ382" i="9"/>
  <c r="AO382" i="9"/>
  <c r="AR450" i="9"/>
  <c r="BO105" i="9"/>
  <c r="BO278" i="9"/>
  <c r="BI453" i="9"/>
  <c r="BI459" i="9"/>
  <c r="BK460" i="9" s="1"/>
  <c r="BI470" i="9"/>
  <c r="BI458" i="9"/>
  <c r="BI469" i="9"/>
  <c r="BK470" i="9" s="1"/>
  <c r="BI449" i="9"/>
  <c r="BK450" i="9" s="1"/>
  <c r="DN271" i="9"/>
  <c r="DN112" i="9"/>
  <c r="DN27" i="9"/>
  <c r="DN129" i="9"/>
  <c r="DN59" i="9"/>
  <c r="DN311" i="9"/>
  <c r="DN65" i="9"/>
  <c r="BK336" i="9"/>
  <c r="BJ75" i="9"/>
  <c r="BL75" i="9"/>
  <c r="BU75" i="9"/>
  <c r="BQ75" i="9"/>
  <c r="BM75" i="9"/>
  <c r="BD348" i="9"/>
  <c r="BD353" i="9" s="1"/>
  <c r="AT353" i="9" s="1"/>
  <c r="AT357" i="9" s="1"/>
  <c r="AT442" i="9"/>
  <c r="AS442" i="9" s="1"/>
  <c r="AR478" i="9"/>
  <c r="AW370" i="9"/>
  <c r="BO67" i="9"/>
  <c r="BL291" i="9"/>
  <c r="BU291" i="9"/>
  <c r="BJ291" i="9"/>
  <c r="BQ291" i="9"/>
  <c r="BM291" i="9"/>
  <c r="BO291" i="9"/>
  <c r="BL245" i="9"/>
  <c r="BU245" i="9"/>
  <c r="BJ245" i="9"/>
  <c r="BQ245" i="9"/>
  <c r="BM245" i="9"/>
  <c r="BO245" i="9"/>
  <c r="BL203" i="9"/>
  <c r="BU203" i="9"/>
  <c r="BJ203" i="9"/>
  <c r="BM203" i="9"/>
  <c r="BQ203" i="9"/>
  <c r="BL145" i="9"/>
  <c r="BU145" i="9"/>
  <c r="BJ145" i="9"/>
  <c r="BQ145" i="9"/>
  <c r="BM145" i="9"/>
  <c r="BO276" i="9"/>
  <c r="BJ276" i="9"/>
  <c r="BL276" i="9"/>
  <c r="BU276" i="9"/>
  <c r="BQ276" i="9"/>
  <c r="BM276" i="9"/>
  <c r="BJ66" i="9"/>
  <c r="BL66" i="9"/>
  <c r="BM66" i="9"/>
  <c r="BQ66" i="9"/>
  <c r="BO66" i="9"/>
  <c r="BO304" i="9"/>
  <c r="BL304" i="9"/>
  <c r="BU304" i="9"/>
  <c r="BJ304" i="9"/>
  <c r="BM304" i="9"/>
  <c r="BQ304" i="9"/>
  <c r="BO310" i="9"/>
  <c r="BU310" i="9"/>
  <c r="BJ310" i="9"/>
  <c r="BL310" i="9"/>
  <c r="BQ310" i="9"/>
  <c r="BM310" i="9"/>
  <c r="BU82" i="9"/>
  <c r="BJ82" i="9"/>
  <c r="BL82" i="9"/>
  <c r="BM82" i="9"/>
  <c r="BQ82" i="9"/>
  <c r="BO82" i="9"/>
  <c r="BU98" i="9"/>
  <c r="BJ98" i="9"/>
  <c r="BL98" i="9"/>
  <c r="BM98" i="9"/>
  <c r="BQ98" i="9"/>
  <c r="BO98" i="9"/>
  <c r="BJ317" i="9"/>
  <c r="BU317" i="9"/>
  <c r="BL317" i="9"/>
  <c r="BM317" i="9"/>
  <c r="BQ317" i="9"/>
  <c r="BO317" i="9"/>
  <c r="BO44" i="9"/>
  <c r="BU166" i="9"/>
  <c r="BJ166" i="9"/>
  <c r="BL166" i="9"/>
  <c r="BM166" i="9"/>
  <c r="BQ166" i="9"/>
  <c r="BO166" i="9"/>
  <c r="BL194" i="9"/>
  <c r="BU194" i="9"/>
  <c r="BJ194" i="9"/>
  <c r="BQ194" i="9"/>
  <c r="BM194" i="9"/>
  <c r="BO194" i="9"/>
  <c r="BO150" i="9"/>
  <c r="BO257" i="9"/>
  <c r="BU224" i="9"/>
  <c r="BJ224" i="9"/>
  <c r="BL224" i="9"/>
  <c r="BQ224" i="9"/>
  <c r="BM224" i="9"/>
  <c r="BO224" i="9"/>
  <c r="AR455" i="9"/>
  <c r="AR473" i="9" s="1"/>
  <c r="AR474" i="9" s="1"/>
  <c r="AT475" i="9" s="1"/>
  <c r="BC348" i="9"/>
  <c r="BO130" i="9"/>
  <c r="DN280" i="9"/>
  <c r="AR464" i="9"/>
  <c r="DN72" i="9"/>
  <c r="DN242" i="9"/>
  <c r="BL152" i="9"/>
  <c r="BU152" i="9"/>
  <c r="BJ152" i="9"/>
  <c r="BM152" i="9"/>
  <c r="BQ152" i="9"/>
  <c r="BJ213" i="9"/>
  <c r="BL213" i="9"/>
  <c r="BU213" i="9"/>
  <c r="BQ213" i="9"/>
  <c r="BM213" i="9"/>
  <c r="BO213" i="9"/>
  <c r="BU128" i="9"/>
  <c r="BJ128" i="9"/>
  <c r="BL128" i="9"/>
  <c r="BM128" i="9"/>
  <c r="BQ128" i="9"/>
  <c r="BL169" i="9"/>
  <c r="BU169" i="9"/>
  <c r="BJ169" i="9"/>
  <c r="BM169" i="9"/>
  <c r="BQ169" i="9"/>
  <c r="BU175" i="9"/>
  <c r="BJ175" i="9"/>
  <c r="BL175" i="9"/>
  <c r="BQ175" i="9"/>
  <c r="BM175" i="9"/>
  <c r="BO296" i="9"/>
  <c r="BL296" i="9"/>
  <c r="BU296" i="9"/>
  <c r="BJ296" i="9"/>
  <c r="BM296" i="9"/>
  <c r="BQ296" i="9"/>
  <c r="BO286" i="9"/>
  <c r="BU286" i="9"/>
  <c r="BJ286" i="9"/>
  <c r="BL286" i="9"/>
  <c r="BQ286" i="9"/>
  <c r="BM286" i="9"/>
  <c r="BL244" i="9"/>
  <c r="BU244" i="9"/>
  <c r="BJ244" i="9"/>
  <c r="BM244" i="9"/>
  <c r="BQ244" i="9"/>
  <c r="DN256" i="9"/>
  <c r="DN283" i="9"/>
  <c r="DN61" i="9"/>
  <c r="BL196" i="9"/>
  <c r="BU196" i="9"/>
  <c r="BJ196" i="9"/>
  <c r="BQ196" i="9"/>
  <c r="BM196" i="9"/>
  <c r="BL144" i="9"/>
  <c r="BU144" i="9"/>
  <c r="BJ144" i="9"/>
  <c r="BM144" i="9"/>
  <c r="BQ144" i="9"/>
  <c r="BU122" i="9"/>
  <c r="BJ122" i="9"/>
  <c r="BL122" i="9"/>
  <c r="BM122" i="9"/>
  <c r="BQ122" i="9"/>
  <c r="BO122" i="9"/>
  <c r="BL153" i="9"/>
  <c r="BU153" i="9"/>
  <c r="BJ153" i="9"/>
  <c r="BQ153" i="9"/>
  <c r="BM153" i="9"/>
  <c r="BU159" i="9"/>
  <c r="BJ159" i="9"/>
  <c r="BL159" i="9"/>
  <c r="BQ159" i="9"/>
  <c r="BM159" i="9"/>
  <c r="BL189" i="9"/>
  <c r="BU189" i="9"/>
  <c r="BJ189" i="9"/>
  <c r="BM189" i="9"/>
  <c r="BQ189" i="9"/>
  <c r="BO288" i="9"/>
  <c r="BL288" i="9"/>
  <c r="BU288" i="9"/>
  <c r="BJ288" i="9"/>
  <c r="BM288" i="9"/>
  <c r="BQ288" i="9"/>
  <c r="BL248" i="9"/>
  <c r="BU248" i="9"/>
  <c r="BJ248" i="9"/>
  <c r="BM248" i="9"/>
  <c r="BQ248" i="9"/>
  <c r="BU238" i="9"/>
  <c r="BJ238" i="9"/>
  <c r="BL238" i="9"/>
  <c r="BQ238" i="9"/>
  <c r="BM238" i="9"/>
  <c r="BO238" i="9"/>
  <c r="BL171" i="9"/>
  <c r="BU171" i="9"/>
  <c r="BJ171" i="9"/>
  <c r="BM171" i="9"/>
  <c r="BQ171" i="9"/>
  <c r="BL22" i="9"/>
  <c r="BJ22" i="9"/>
  <c r="BQ22" i="9"/>
  <c r="BM22" i="9"/>
  <c r="BL83" i="9"/>
  <c r="BU83" i="9"/>
  <c r="BJ83" i="9"/>
  <c r="BM83" i="9"/>
  <c r="BQ83" i="9"/>
  <c r="BL18" i="9"/>
  <c r="BJ18" i="9"/>
  <c r="BQ18" i="9"/>
  <c r="BM18" i="9"/>
  <c r="BL49" i="9"/>
  <c r="BU49" i="9"/>
  <c r="BJ49" i="9"/>
  <c r="BM49" i="9"/>
  <c r="BQ49" i="9"/>
  <c r="BL79" i="9"/>
  <c r="BJ79" i="9"/>
  <c r="BM79" i="9"/>
  <c r="BQ79" i="9"/>
  <c r="BL36" i="9"/>
  <c r="BJ36" i="9"/>
  <c r="BM36" i="9"/>
  <c r="BQ36" i="9"/>
  <c r="BL9" i="9"/>
  <c r="BL378" i="9" s="1"/>
  <c r="BU9" i="9"/>
  <c r="BU332" i="9" s="1"/>
  <c r="BJ9" i="9"/>
  <c r="BQ9" i="9"/>
  <c r="BQ407" i="9" s="1"/>
  <c r="BM9" i="9"/>
  <c r="BK332" i="9"/>
  <c r="BL25" i="9"/>
  <c r="BJ25" i="9"/>
  <c r="BQ25" i="9"/>
  <c r="BM25" i="9"/>
  <c r="BU106" i="9"/>
  <c r="BJ106" i="9"/>
  <c r="BL106" i="9"/>
  <c r="BM106" i="9"/>
  <c r="BQ106" i="9"/>
  <c r="BO49" i="9"/>
  <c r="DN235" i="9"/>
  <c r="BO151" i="9"/>
  <c r="DN209" i="9"/>
  <c r="BL118" i="9"/>
  <c r="BU118" i="9"/>
  <c r="BJ118" i="9"/>
  <c r="BQ118" i="9"/>
  <c r="BM118" i="9"/>
  <c r="BO118" i="9"/>
  <c r="BL181" i="9"/>
  <c r="BU181" i="9"/>
  <c r="BJ181" i="9"/>
  <c r="BM181" i="9"/>
  <c r="BQ181" i="9"/>
  <c r="BL193" i="9"/>
  <c r="BU193" i="9"/>
  <c r="BJ193" i="9"/>
  <c r="BM193" i="9"/>
  <c r="BQ193" i="9"/>
  <c r="BL74" i="9"/>
  <c r="BU74" i="9"/>
  <c r="BJ74" i="9"/>
  <c r="BQ74" i="9"/>
  <c r="BM74" i="9"/>
  <c r="BO74" i="9"/>
  <c r="BL55" i="9"/>
  <c r="BJ55" i="9"/>
  <c r="BQ55" i="9"/>
  <c r="BM55" i="9"/>
  <c r="BL86" i="9"/>
  <c r="BU86" i="9"/>
  <c r="BJ86" i="9"/>
  <c r="BQ86" i="9"/>
  <c r="BM86" i="9"/>
  <c r="BO86" i="9"/>
  <c r="BL102" i="9"/>
  <c r="BU102" i="9"/>
  <c r="BJ102" i="9"/>
  <c r="BQ102" i="9"/>
  <c r="BM102" i="9"/>
  <c r="BO102" i="9"/>
  <c r="BL264" i="9"/>
  <c r="BU264" i="9"/>
  <c r="BJ264" i="9"/>
  <c r="BM264" i="9"/>
  <c r="BQ264" i="9"/>
  <c r="BO264" i="9"/>
  <c r="BO21" i="9"/>
  <c r="AT437" i="9"/>
  <c r="BK433" i="9"/>
  <c r="BJ5" i="9"/>
  <c r="BL5" i="9"/>
  <c r="BU5" i="9"/>
  <c r="BK320" i="9"/>
  <c r="BM5" i="9"/>
  <c r="BQ5" i="9"/>
  <c r="BO5" i="9"/>
  <c r="BL108" i="9"/>
  <c r="BU108" i="9"/>
  <c r="BJ108" i="9"/>
  <c r="BQ108" i="9"/>
  <c r="BM108" i="9"/>
  <c r="BL92" i="9"/>
  <c r="BU92" i="9"/>
  <c r="BJ92" i="9"/>
  <c r="BQ92" i="9"/>
  <c r="BM92" i="9"/>
  <c r="BL76" i="9"/>
  <c r="BJ76" i="9"/>
  <c r="BQ76" i="9"/>
  <c r="BM76" i="9"/>
  <c r="BU222" i="9"/>
  <c r="BJ222" i="9"/>
  <c r="BL222" i="9"/>
  <c r="BQ222" i="9"/>
  <c r="BM222" i="9"/>
  <c r="BO222" i="9"/>
  <c r="BO294" i="9"/>
  <c r="BU294" i="9"/>
  <c r="BJ294" i="9"/>
  <c r="BL294" i="9"/>
  <c r="BQ294" i="9"/>
  <c r="BM294" i="9"/>
  <c r="BJ140" i="9"/>
  <c r="BL140" i="9"/>
  <c r="BU140" i="9"/>
  <c r="BQ140" i="9"/>
  <c r="BM140" i="9"/>
  <c r="BU161" i="9"/>
  <c r="BJ161" i="9"/>
  <c r="BL161" i="9"/>
  <c r="BQ161" i="9"/>
  <c r="BM161" i="9"/>
  <c r="BO161" i="9"/>
  <c r="BO263" i="9"/>
  <c r="AO378" i="9"/>
  <c r="AY399" i="9"/>
  <c r="AQ370" i="9"/>
  <c r="AQ394" i="9" s="1"/>
  <c r="BO116" i="9"/>
  <c r="BO153" i="9"/>
  <c r="DN268" i="9"/>
  <c r="DN306" i="9"/>
  <c r="BF8" i="9"/>
  <c r="BP8" i="9"/>
  <c r="BG8" i="9"/>
  <c r="BH8" i="9" s="1"/>
  <c r="BF12" i="9"/>
  <c r="BP12" i="9"/>
  <c r="BG12" i="9"/>
  <c r="BH12" i="9" s="1"/>
  <c r="BF16" i="9"/>
  <c r="BP16" i="9"/>
  <c r="BG16" i="9"/>
  <c r="BH16" i="9" s="1"/>
  <c r="BF20" i="9"/>
  <c r="BP20" i="9"/>
  <c r="BG20" i="9"/>
  <c r="BH20" i="9" s="1"/>
  <c r="BF24" i="9"/>
  <c r="BP24" i="9"/>
  <c r="BG24" i="9"/>
  <c r="BH24" i="9" s="1"/>
  <c r="BF28" i="9"/>
  <c r="BP28" i="9"/>
  <c r="BG28" i="9"/>
  <c r="BH28" i="9" s="1"/>
  <c r="BF32" i="9"/>
  <c r="BP32" i="9"/>
  <c r="BG32" i="9"/>
  <c r="BH32" i="9" s="1"/>
  <c r="BF36" i="9"/>
  <c r="BP36" i="9"/>
  <c r="BG36" i="9"/>
  <c r="BH36" i="9" s="1"/>
  <c r="BF40" i="9"/>
  <c r="BP40" i="9"/>
  <c r="BG40" i="9"/>
  <c r="BH40" i="9" s="1"/>
  <c r="BF44" i="9"/>
  <c r="BP44" i="9"/>
  <c r="BG44" i="9"/>
  <c r="BH44" i="9" s="1"/>
  <c r="BF48" i="9"/>
  <c r="BP48" i="9"/>
  <c r="BG48" i="9"/>
  <c r="BH48" i="9" s="1"/>
  <c r="BF52" i="9"/>
  <c r="BP52" i="9"/>
  <c r="BG52" i="9"/>
  <c r="BH52" i="9" s="1"/>
  <c r="BF56" i="9"/>
  <c r="BP56" i="9"/>
  <c r="BG56" i="9"/>
  <c r="BH56" i="9" s="1"/>
  <c r="BF60" i="9"/>
  <c r="BP60" i="9"/>
  <c r="BG60" i="9"/>
  <c r="BH60" i="9" s="1"/>
  <c r="BF64" i="9"/>
  <c r="BP64" i="9"/>
  <c r="BG64" i="9"/>
  <c r="BH64" i="9" s="1"/>
  <c r="BF136" i="9"/>
  <c r="BP136" i="9"/>
  <c r="BG136" i="9"/>
  <c r="BH136" i="9" s="1"/>
  <c r="BF140" i="9"/>
  <c r="BP140" i="9"/>
  <c r="BG140" i="9"/>
  <c r="BH140" i="9" s="1"/>
  <c r="BF144" i="9"/>
  <c r="BP144" i="9"/>
  <c r="BG144" i="9"/>
  <c r="BH144" i="9" s="1"/>
  <c r="BF148" i="9"/>
  <c r="BP148" i="9"/>
  <c r="BG148" i="9"/>
  <c r="BH148" i="9" s="1"/>
  <c r="BF152" i="9"/>
  <c r="BP152" i="9"/>
  <c r="BG152" i="9"/>
  <c r="BH152" i="9" s="1"/>
  <c r="BF156" i="9"/>
  <c r="BP156" i="9"/>
  <c r="BG156" i="9"/>
  <c r="BH156" i="9" s="1"/>
  <c r="BP67" i="9"/>
  <c r="BG67" i="9"/>
  <c r="BH67" i="9" s="1"/>
  <c r="BF67" i="9"/>
  <c r="BP71" i="9"/>
  <c r="BG71" i="9"/>
  <c r="BH71" i="9" s="1"/>
  <c r="BF71" i="9"/>
  <c r="BP75" i="9"/>
  <c r="BG75" i="9"/>
  <c r="BH75" i="9" s="1"/>
  <c r="BF75" i="9"/>
  <c r="BP79" i="9"/>
  <c r="BG79" i="9"/>
  <c r="BH79" i="9" s="1"/>
  <c r="BF79" i="9"/>
  <c r="BP83" i="9"/>
  <c r="BG83" i="9"/>
  <c r="BH83" i="9" s="1"/>
  <c r="BF83" i="9"/>
  <c r="BP87" i="9"/>
  <c r="BG87" i="9"/>
  <c r="BH87" i="9" s="1"/>
  <c r="BF87" i="9"/>
  <c r="BP91" i="9"/>
  <c r="BG91" i="9"/>
  <c r="BH91" i="9" s="1"/>
  <c r="BF91" i="9"/>
  <c r="BP95" i="9"/>
  <c r="BG95" i="9"/>
  <c r="BH95" i="9" s="1"/>
  <c r="BF95" i="9"/>
  <c r="BP99" i="9"/>
  <c r="BG99" i="9"/>
  <c r="BH99" i="9" s="1"/>
  <c r="BF99" i="9"/>
  <c r="BP103" i="9"/>
  <c r="BG103" i="9"/>
  <c r="BH103" i="9" s="1"/>
  <c r="BF103" i="9"/>
  <c r="BP107" i="9"/>
  <c r="BG107" i="9"/>
  <c r="BH107" i="9" s="1"/>
  <c r="BF107" i="9"/>
  <c r="BP111" i="9"/>
  <c r="BG111" i="9"/>
  <c r="BH111" i="9" s="1"/>
  <c r="BF111" i="9"/>
  <c r="BP115" i="9"/>
  <c r="BG115" i="9"/>
  <c r="BH115" i="9" s="1"/>
  <c r="BF115" i="9"/>
  <c r="BP119" i="9"/>
  <c r="BG119" i="9"/>
  <c r="BH119" i="9" s="1"/>
  <c r="BF119" i="9"/>
  <c r="BP123" i="9"/>
  <c r="BG123" i="9"/>
  <c r="BH123" i="9" s="1"/>
  <c r="BF123" i="9"/>
  <c r="BP127" i="9"/>
  <c r="BG127" i="9"/>
  <c r="BH127" i="9" s="1"/>
  <c r="BF127" i="9"/>
  <c r="BP131" i="9"/>
  <c r="BG131" i="9"/>
  <c r="BH131" i="9" s="1"/>
  <c r="BF131" i="9"/>
  <c r="BF207" i="9"/>
  <c r="BP207" i="9"/>
  <c r="BG207" i="9"/>
  <c r="BH207" i="9" s="1"/>
  <c r="BF211" i="9"/>
  <c r="BP211" i="9"/>
  <c r="BG211" i="9"/>
  <c r="BH211" i="9" s="1"/>
  <c r="BF215" i="9"/>
  <c r="BP215" i="9"/>
  <c r="BG215" i="9"/>
  <c r="BH215" i="9" s="1"/>
  <c r="BF219" i="9"/>
  <c r="BP219" i="9"/>
  <c r="BG219" i="9"/>
  <c r="BH219" i="9" s="1"/>
  <c r="BP159" i="9"/>
  <c r="BG159" i="9"/>
  <c r="BH159" i="9" s="1"/>
  <c r="BF159" i="9"/>
  <c r="BP163" i="9"/>
  <c r="BG163" i="9"/>
  <c r="BH163" i="9" s="1"/>
  <c r="BF163" i="9"/>
  <c r="BP167" i="9"/>
  <c r="BG167" i="9"/>
  <c r="BH167" i="9" s="1"/>
  <c r="BF167" i="9"/>
  <c r="BP171" i="9"/>
  <c r="BG171" i="9"/>
  <c r="BH171" i="9" s="1"/>
  <c r="BF171" i="9"/>
  <c r="BP175" i="9"/>
  <c r="BG175" i="9"/>
  <c r="BH175" i="9" s="1"/>
  <c r="BF175" i="9"/>
  <c r="BP179" i="9"/>
  <c r="BG179" i="9"/>
  <c r="BH179" i="9" s="1"/>
  <c r="BF179" i="9"/>
  <c r="BP183" i="9"/>
  <c r="BG183" i="9"/>
  <c r="BH183" i="9" s="1"/>
  <c r="BF183" i="9"/>
  <c r="BP187" i="9"/>
  <c r="BG187" i="9"/>
  <c r="BH187" i="9" s="1"/>
  <c r="BF187" i="9"/>
  <c r="BP191" i="9"/>
  <c r="BG191" i="9"/>
  <c r="BH191" i="9" s="1"/>
  <c r="BF191" i="9"/>
  <c r="BP195" i="9"/>
  <c r="BG195" i="9"/>
  <c r="BH195" i="9" s="1"/>
  <c r="BF195" i="9"/>
  <c r="BP199" i="9"/>
  <c r="BG199" i="9"/>
  <c r="BH199" i="9" s="1"/>
  <c r="BF199" i="9"/>
  <c r="BP203" i="9"/>
  <c r="BG203" i="9"/>
  <c r="BH203" i="9" s="1"/>
  <c r="BF203" i="9"/>
  <c r="BP223" i="9"/>
  <c r="BG223" i="9"/>
  <c r="BH223" i="9" s="1"/>
  <c r="BF223" i="9"/>
  <c r="BP227" i="9"/>
  <c r="BG227" i="9"/>
  <c r="BH227" i="9" s="1"/>
  <c r="BF227" i="9"/>
  <c r="BP231" i="9"/>
  <c r="BG231" i="9"/>
  <c r="BH231" i="9" s="1"/>
  <c r="BF231" i="9"/>
  <c r="BP235" i="9"/>
  <c r="BG235" i="9"/>
  <c r="BH235" i="9" s="1"/>
  <c r="BF235" i="9"/>
  <c r="BP239" i="9"/>
  <c r="BG239" i="9"/>
  <c r="BH239" i="9" s="1"/>
  <c r="BF239" i="9"/>
  <c r="BP243" i="9"/>
  <c r="BG243" i="9"/>
  <c r="BH243" i="9" s="1"/>
  <c r="BF243" i="9"/>
  <c r="BF247" i="9"/>
  <c r="BP247" i="9"/>
  <c r="BG247" i="9"/>
  <c r="BH247" i="9" s="1"/>
  <c r="BF251" i="9"/>
  <c r="BP251" i="9"/>
  <c r="BG251" i="9"/>
  <c r="BH251" i="9" s="1"/>
  <c r="BF255" i="9"/>
  <c r="BP255" i="9"/>
  <c r="BG255" i="9"/>
  <c r="BH255" i="9" s="1"/>
  <c r="BF259" i="9"/>
  <c r="BP259" i="9"/>
  <c r="BG259" i="9"/>
  <c r="BH259" i="9" s="1"/>
  <c r="BF263" i="9"/>
  <c r="BP263" i="9"/>
  <c r="BG263" i="9"/>
  <c r="BH263" i="9" s="1"/>
  <c r="BF267" i="9"/>
  <c r="BP267" i="9"/>
  <c r="BG267" i="9"/>
  <c r="BH267" i="9" s="1"/>
  <c r="BF271" i="9"/>
  <c r="BP271" i="9"/>
  <c r="BG271" i="9"/>
  <c r="BH271" i="9" s="1"/>
  <c r="BF275" i="9"/>
  <c r="BP275" i="9"/>
  <c r="BG275" i="9"/>
  <c r="BH275" i="9" s="1"/>
  <c r="BP279" i="9"/>
  <c r="BG279" i="9"/>
  <c r="BH279" i="9" s="1"/>
  <c r="BF279" i="9"/>
  <c r="BP283" i="9"/>
  <c r="BG283" i="9"/>
  <c r="BH283" i="9" s="1"/>
  <c r="BF283" i="9"/>
  <c r="BP287" i="9"/>
  <c r="BG287" i="9"/>
  <c r="BH287" i="9" s="1"/>
  <c r="BF287" i="9"/>
  <c r="BP291" i="9"/>
  <c r="BG291" i="9"/>
  <c r="BH291" i="9" s="1"/>
  <c r="BF291" i="9"/>
  <c r="BP295" i="9"/>
  <c r="BG295" i="9"/>
  <c r="BH295" i="9" s="1"/>
  <c r="BF295" i="9"/>
  <c r="BP299" i="9"/>
  <c r="BG299" i="9"/>
  <c r="BH299" i="9" s="1"/>
  <c r="BF299" i="9"/>
  <c r="BP303" i="9"/>
  <c r="BG303" i="9"/>
  <c r="BH303" i="9" s="1"/>
  <c r="BF303" i="9"/>
  <c r="BP307" i="9"/>
  <c r="BG307" i="9"/>
  <c r="BH307" i="9" s="1"/>
  <c r="BF307" i="9"/>
  <c r="BP311" i="9"/>
  <c r="BG311" i="9"/>
  <c r="BH311" i="9" s="1"/>
  <c r="BF311" i="9"/>
  <c r="BF315" i="9"/>
  <c r="BG315" i="9"/>
  <c r="BH315" i="9" s="1"/>
  <c r="BP315" i="9"/>
  <c r="BF319" i="9"/>
  <c r="BG319" i="9"/>
  <c r="BH319" i="9" s="1"/>
  <c r="BP319" i="9"/>
  <c r="BF9" i="9"/>
  <c r="BP9" i="9"/>
  <c r="BG9" i="9"/>
  <c r="BH9" i="9" s="1"/>
  <c r="BF13" i="9"/>
  <c r="BP13" i="9"/>
  <c r="BG13" i="9"/>
  <c r="BH13" i="9" s="1"/>
  <c r="BF17" i="9"/>
  <c r="BP17" i="9"/>
  <c r="BG17" i="9"/>
  <c r="BH17" i="9" s="1"/>
  <c r="BF21" i="9"/>
  <c r="BP21" i="9"/>
  <c r="BG21" i="9"/>
  <c r="BH21" i="9" s="1"/>
  <c r="BF25" i="9"/>
  <c r="BP25" i="9"/>
  <c r="BG25" i="9"/>
  <c r="BH25" i="9" s="1"/>
  <c r="BF29" i="9"/>
  <c r="BP29" i="9"/>
  <c r="BG29" i="9"/>
  <c r="BH29" i="9" s="1"/>
  <c r="BF33" i="9"/>
  <c r="BP33" i="9"/>
  <c r="BG33" i="9"/>
  <c r="BH33" i="9" s="1"/>
  <c r="BF37" i="9"/>
  <c r="BP37" i="9"/>
  <c r="BG37" i="9"/>
  <c r="BH37" i="9" s="1"/>
  <c r="BF41" i="9"/>
  <c r="BP41" i="9"/>
  <c r="BG41" i="9"/>
  <c r="BH41" i="9" s="1"/>
  <c r="BF45" i="9"/>
  <c r="BP45" i="9"/>
  <c r="BG45" i="9"/>
  <c r="BH45" i="9" s="1"/>
  <c r="BF49" i="9"/>
  <c r="BP49" i="9"/>
  <c r="BG49" i="9"/>
  <c r="BH49" i="9" s="1"/>
  <c r="BF53" i="9"/>
  <c r="BP53" i="9"/>
  <c r="BG53" i="9"/>
  <c r="BH53" i="9" s="1"/>
  <c r="BF57" i="9"/>
  <c r="BP57" i="9"/>
  <c r="BG57" i="9"/>
  <c r="BH57" i="9" s="1"/>
  <c r="BF61" i="9"/>
  <c r="BP61" i="9"/>
  <c r="BG61" i="9"/>
  <c r="BH61" i="9" s="1"/>
  <c r="BP5" i="9"/>
  <c r="BG5" i="9"/>
  <c r="BE320" i="9"/>
  <c r="BF5" i="9"/>
  <c r="BP137" i="9"/>
  <c r="BG137" i="9"/>
  <c r="BH137" i="9" s="1"/>
  <c r="BF137" i="9"/>
  <c r="BP141" i="9"/>
  <c r="BG141" i="9"/>
  <c r="BH141" i="9" s="1"/>
  <c r="BF141" i="9"/>
  <c r="BP145" i="9"/>
  <c r="BG145" i="9"/>
  <c r="BH145" i="9" s="1"/>
  <c r="BF145" i="9"/>
  <c r="BP149" i="9"/>
  <c r="BG149" i="9"/>
  <c r="BH149" i="9" s="1"/>
  <c r="BF149" i="9"/>
  <c r="BP153" i="9"/>
  <c r="BG153" i="9"/>
  <c r="BH153" i="9" s="1"/>
  <c r="BF153" i="9"/>
  <c r="BP157" i="9"/>
  <c r="BG157" i="9"/>
  <c r="BH157" i="9" s="1"/>
  <c r="BF157" i="9"/>
  <c r="BG68" i="9"/>
  <c r="BH68" i="9" s="1"/>
  <c r="BF68" i="9"/>
  <c r="BP68" i="9"/>
  <c r="BG72" i="9"/>
  <c r="BH72" i="9" s="1"/>
  <c r="BF72" i="9"/>
  <c r="BP72" i="9"/>
  <c r="BG76" i="9"/>
  <c r="BH76" i="9" s="1"/>
  <c r="BF76" i="9"/>
  <c r="BP76" i="9"/>
  <c r="BG80" i="9"/>
  <c r="BH80" i="9" s="1"/>
  <c r="BF80" i="9"/>
  <c r="BP80" i="9"/>
  <c r="BG84" i="9"/>
  <c r="BH84" i="9" s="1"/>
  <c r="BF84" i="9"/>
  <c r="BP84" i="9"/>
  <c r="BG88" i="9"/>
  <c r="BH88" i="9" s="1"/>
  <c r="BF88" i="9"/>
  <c r="BP88" i="9"/>
  <c r="BG92" i="9"/>
  <c r="BH92" i="9" s="1"/>
  <c r="BF92" i="9"/>
  <c r="BP92" i="9"/>
  <c r="BG96" i="9"/>
  <c r="BH96" i="9" s="1"/>
  <c r="BF96" i="9"/>
  <c r="BP96" i="9"/>
  <c r="BG100" i="9"/>
  <c r="BH100" i="9" s="1"/>
  <c r="BF100" i="9"/>
  <c r="BP100" i="9"/>
  <c r="BG104" i="9"/>
  <c r="BH104" i="9" s="1"/>
  <c r="BF104" i="9"/>
  <c r="BP104" i="9"/>
  <c r="BG108" i="9"/>
  <c r="BH108" i="9" s="1"/>
  <c r="BF108" i="9"/>
  <c r="BP108" i="9"/>
  <c r="BG112" i="9"/>
  <c r="BH112" i="9" s="1"/>
  <c r="BF112" i="9"/>
  <c r="BP112" i="9"/>
  <c r="BG116" i="9"/>
  <c r="BH116" i="9" s="1"/>
  <c r="BF116" i="9"/>
  <c r="BP116" i="9"/>
  <c r="BG120" i="9"/>
  <c r="BH120" i="9" s="1"/>
  <c r="BF120" i="9"/>
  <c r="BP120" i="9"/>
  <c r="BG124" i="9"/>
  <c r="BH124" i="9" s="1"/>
  <c r="BF124" i="9"/>
  <c r="BP124" i="9"/>
  <c r="BG128" i="9"/>
  <c r="BH128" i="9" s="1"/>
  <c r="BF128" i="9"/>
  <c r="BP128" i="9"/>
  <c r="BG132" i="9"/>
  <c r="BH132" i="9" s="1"/>
  <c r="BF132" i="9"/>
  <c r="BP132" i="9"/>
  <c r="BP208" i="9"/>
  <c r="BG208" i="9"/>
  <c r="BH208" i="9" s="1"/>
  <c r="BF208" i="9"/>
  <c r="BP212" i="9"/>
  <c r="BG212" i="9"/>
  <c r="BH212" i="9" s="1"/>
  <c r="BF212" i="9"/>
  <c r="BP216" i="9"/>
  <c r="BG216" i="9"/>
  <c r="BH216" i="9" s="1"/>
  <c r="BF216" i="9"/>
  <c r="BP220" i="9"/>
  <c r="BG220" i="9"/>
  <c r="BH220" i="9" s="1"/>
  <c r="BF220" i="9"/>
  <c r="BG160" i="9"/>
  <c r="BH160" i="9" s="1"/>
  <c r="BF160" i="9"/>
  <c r="BP160" i="9"/>
  <c r="BG164" i="9"/>
  <c r="BH164" i="9" s="1"/>
  <c r="BF164" i="9"/>
  <c r="BP164" i="9"/>
  <c r="BG168" i="9"/>
  <c r="BH168" i="9" s="1"/>
  <c r="BF168" i="9"/>
  <c r="BP168" i="9"/>
  <c r="BG172" i="9"/>
  <c r="BH172" i="9" s="1"/>
  <c r="BF172" i="9"/>
  <c r="BP172" i="9"/>
  <c r="BG176" i="9"/>
  <c r="BH176" i="9" s="1"/>
  <c r="BF176" i="9"/>
  <c r="BP176" i="9"/>
  <c r="BG180" i="9"/>
  <c r="BH180" i="9" s="1"/>
  <c r="BF180" i="9"/>
  <c r="BP180" i="9"/>
  <c r="BG184" i="9"/>
  <c r="BH184" i="9" s="1"/>
  <c r="BF184" i="9"/>
  <c r="BP184" i="9"/>
  <c r="BG188" i="9"/>
  <c r="BH188" i="9" s="1"/>
  <c r="BF188" i="9"/>
  <c r="BP188" i="9"/>
  <c r="BG192" i="9"/>
  <c r="BH192" i="9" s="1"/>
  <c r="BF192" i="9"/>
  <c r="BP192" i="9"/>
  <c r="BG196" i="9"/>
  <c r="BH196" i="9" s="1"/>
  <c r="BF196" i="9"/>
  <c r="BP196" i="9"/>
  <c r="BG200" i="9"/>
  <c r="BH200" i="9" s="1"/>
  <c r="BF200" i="9"/>
  <c r="BP200" i="9"/>
  <c r="BG204" i="9"/>
  <c r="BH204" i="9" s="1"/>
  <c r="BF204" i="9"/>
  <c r="BP204" i="9"/>
  <c r="BG224" i="9"/>
  <c r="BH224" i="9" s="1"/>
  <c r="BF224" i="9"/>
  <c r="BP224" i="9"/>
  <c r="BG228" i="9"/>
  <c r="BH228" i="9" s="1"/>
  <c r="BF228" i="9"/>
  <c r="BP228" i="9"/>
  <c r="BG232" i="9"/>
  <c r="BH232" i="9" s="1"/>
  <c r="BF232" i="9"/>
  <c r="BP232" i="9"/>
  <c r="BG236" i="9"/>
  <c r="BH236" i="9" s="1"/>
  <c r="BF236" i="9"/>
  <c r="BP236" i="9"/>
  <c r="BG240" i="9"/>
  <c r="BH240" i="9" s="1"/>
  <c r="BF240" i="9"/>
  <c r="BP240" i="9"/>
  <c r="BG244" i="9"/>
  <c r="BH244" i="9" s="1"/>
  <c r="BF244" i="9"/>
  <c r="BP244" i="9"/>
  <c r="BP248" i="9"/>
  <c r="BG248" i="9"/>
  <c r="BH248" i="9" s="1"/>
  <c r="BF248" i="9"/>
  <c r="BP252" i="9"/>
  <c r="BG252" i="9"/>
  <c r="BH252" i="9" s="1"/>
  <c r="BF252" i="9"/>
  <c r="BP256" i="9"/>
  <c r="BG256" i="9"/>
  <c r="BH256" i="9" s="1"/>
  <c r="BF256" i="9"/>
  <c r="BP260" i="9"/>
  <c r="BG260" i="9"/>
  <c r="BH260" i="9" s="1"/>
  <c r="BF260" i="9"/>
  <c r="BP264" i="9"/>
  <c r="BG264" i="9"/>
  <c r="BH264" i="9" s="1"/>
  <c r="BF264" i="9"/>
  <c r="BP268" i="9"/>
  <c r="BG268" i="9"/>
  <c r="BH268" i="9" s="1"/>
  <c r="BF268" i="9"/>
  <c r="BP272" i="9"/>
  <c r="BG272" i="9"/>
  <c r="BH272" i="9" s="1"/>
  <c r="BF272" i="9"/>
  <c r="BP276" i="9"/>
  <c r="BG276" i="9"/>
  <c r="BH276" i="9" s="1"/>
  <c r="BF276" i="9"/>
  <c r="BG280" i="9"/>
  <c r="BH280" i="9" s="1"/>
  <c r="BF280" i="9"/>
  <c r="BP280" i="9"/>
  <c r="BG284" i="9"/>
  <c r="BH284" i="9" s="1"/>
  <c r="BF284" i="9"/>
  <c r="BP284" i="9"/>
  <c r="BG288" i="9"/>
  <c r="BH288" i="9" s="1"/>
  <c r="BF288" i="9"/>
  <c r="BP288" i="9"/>
  <c r="BG292" i="9"/>
  <c r="BH292" i="9" s="1"/>
  <c r="BF292" i="9"/>
  <c r="BP292" i="9"/>
  <c r="BG296" i="9"/>
  <c r="BH296" i="9" s="1"/>
  <c r="BF296" i="9"/>
  <c r="BP296" i="9"/>
  <c r="BG300" i="9"/>
  <c r="BH300" i="9" s="1"/>
  <c r="BF300" i="9"/>
  <c r="BP300" i="9"/>
  <c r="BG304" i="9"/>
  <c r="BH304" i="9" s="1"/>
  <c r="BF304" i="9"/>
  <c r="BP304" i="9"/>
  <c r="BG308" i="9"/>
  <c r="BH308" i="9" s="1"/>
  <c r="BF308" i="9"/>
  <c r="BP308" i="9"/>
  <c r="BG312" i="9"/>
  <c r="BH312" i="9" s="1"/>
  <c r="BF312" i="9"/>
  <c r="BP312" i="9"/>
  <c r="BG316" i="9"/>
  <c r="BH316" i="9" s="1"/>
  <c r="BP316" i="9"/>
  <c r="BF316" i="9"/>
  <c r="BU21" i="9"/>
  <c r="BU79" i="9"/>
  <c r="BU28" i="9"/>
  <c r="BU68" i="9"/>
  <c r="BU22" i="9"/>
  <c r="BU42" i="9"/>
  <c r="BU60" i="9"/>
  <c r="BU25" i="9"/>
  <c r="BU63" i="9"/>
  <c r="BU34" i="9"/>
  <c r="BU18" i="9"/>
  <c r="BU36" i="9"/>
  <c r="BU76" i="9"/>
  <c r="BT324" i="9"/>
  <c r="BT348" i="9" s="1"/>
  <c r="BZ348" i="9"/>
  <c r="CB440" i="9" s="1"/>
  <c r="CA440" i="9" s="1"/>
  <c r="CW266" i="9"/>
  <c r="DN266" i="9" s="1"/>
  <c r="CR266" i="9"/>
  <c r="CT266" i="9"/>
  <c r="DC266" i="9"/>
  <c r="CT219" i="9"/>
  <c r="DC219" i="9"/>
  <c r="CR219" i="9"/>
  <c r="CR137" i="9"/>
  <c r="CT137" i="9"/>
  <c r="DC137" i="9"/>
  <c r="CT243" i="9"/>
  <c r="DC243" i="9"/>
  <c r="CR243" i="9"/>
  <c r="CR262" i="9"/>
  <c r="CT262" i="9"/>
  <c r="DC262" i="9"/>
  <c r="CT143" i="9"/>
  <c r="DC143" i="9"/>
  <c r="CR143" i="9"/>
  <c r="DC197" i="9"/>
  <c r="CR197" i="9"/>
  <c r="CT197" i="9"/>
  <c r="DC292" i="9"/>
  <c r="CT292" i="9"/>
  <c r="CR292" i="9"/>
  <c r="DC300" i="9"/>
  <c r="CT300" i="9"/>
  <c r="CR300" i="9"/>
  <c r="DC308" i="9"/>
  <c r="CT308" i="9"/>
  <c r="CR308" i="9"/>
  <c r="CT201" i="9"/>
  <c r="DC201" i="9"/>
  <c r="CR201" i="9"/>
  <c r="CR260" i="9"/>
  <c r="CT260" i="9"/>
  <c r="DC260" i="9"/>
  <c r="CT205" i="9"/>
  <c r="DC205" i="9"/>
  <c r="CR205" i="9"/>
  <c r="DC225" i="9"/>
  <c r="CR225" i="9"/>
  <c r="CT225" i="9"/>
  <c r="CR155" i="9"/>
  <c r="CT155" i="9"/>
  <c r="DC155" i="9"/>
  <c r="CR8" i="9"/>
  <c r="CT8" i="9"/>
  <c r="DC8" i="9"/>
  <c r="CW24" i="9"/>
  <c r="CT24" i="9"/>
  <c r="CR24" i="9"/>
  <c r="CW133" i="9"/>
  <c r="DN133" i="9" s="1"/>
  <c r="CT133" i="9"/>
  <c r="DC133" i="9"/>
  <c r="CR133" i="9"/>
  <c r="CW101" i="9"/>
  <c r="DN101" i="9" s="1"/>
  <c r="DC101" i="9"/>
  <c r="CR101" i="9"/>
  <c r="CT101" i="9"/>
  <c r="CR77" i="9"/>
  <c r="CT77" i="9"/>
  <c r="DC129" i="9"/>
  <c r="CR129" i="9"/>
  <c r="CT129" i="9"/>
  <c r="CT65" i="9"/>
  <c r="DC65" i="9"/>
  <c r="CR65" i="9"/>
  <c r="DC158" i="9"/>
  <c r="CR158" i="9"/>
  <c r="CT158" i="9"/>
  <c r="DC307" i="9"/>
  <c r="CT307" i="9"/>
  <c r="CR307" i="9"/>
  <c r="CT204" i="9"/>
  <c r="DC204" i="9"/>
  <c r="CR204" i="9"/>
  <c r="CT59" i="9"/>
  <c r="CR59" i="9"/>
  <c r="CT58" i="9"/>
  <c r="CR58" i="9"/>
  <c r="CR40" i="9"/>
  <c r="CT40" i="9"/>
  <c r="DC40" i="9"/>
  <c r="CT125" i="9"/>
  <c r="DC125" i="9"/>
  <c r="CR125" i="9"/>
  <c r="DC93" i="9"/>
  <c r="CR93" i="9"/>
  <c r="CT93" i="9"/>
  <c r="CR142" i="9"/>
  <c r="CT142" i="9"/>
  <c r="DC142" i="9"/>
  <c r="CW43" i="9"/>
  <c r="CT43" i="9"/>
  <c r="CR43" i="9"/>
  <c r="DC230" i="9"/>
  <c r="CR230" i="9"/>
  <c r="CT230" i="9"/>
  <c r="CR289" i="9"/>
  <c r="DC289" i="9"/>
  <c r="CT289" i="9"/>
  <c r="CR285" i="9"/>
  <c r="DC285" i="9"/>
  <c r="CT285" i="9"/>
  <c r="CT242" i="9"/>
  <c r="DC242" i="9"/>
  <c r="CR242" i="9"/>
  <c r="CW91" i="9"/>
  <c r="DN91" i="9" s="1"/>
  <c r="CT91" i="9"/>
  <c r="DC91" i="9"/>
  <c r="CR91" i="9"/>
  <c r="CW31" i="9"/>
  <c r="DN31" i="9" s="1"/>
  <c r="CT31" i="9"/>
  <c r="DC31" i="9"/>
  <c r="CR31" i="9"/>
  <c r="CR216" i="9"/>
  <c r="CT216" i="9"/>
  <c r="DC216" i="9"/>
  <c r="CT6" i="9"/>
  <c r="DC6" i="9"/>
  <c r="CR6" i="9"/>
  <c r="DC103" i="9"/>
  <c r="CR103" i="9"/>
  <c r="CT103" i="9"/>
  <c r="DC87" i="9"/>
  <c r="CR87" i="9"/>
  <c r="CT87" i="9"/>
  <c r="CR253" i="9"/>
  <c r="CT253" i="9"/>
  <c r="DC253" i="9"/>
  <c r="CR61" i="9"/>
  <c r="CT61" i="9"/>
  <c r="DC126" i="9"/>
  <c r="CR126" i="9"/>
  <c r="CT126" i="9"/>
  <c r="DC295" i="9"/>
  <c r="CT295" i="9"/>
  <c r="CR295" i="9"/>
  <c r="CT275" i="9"/>
  <c r="DC275" i="9"/>
  <c r="CR275" i="9"/>
  <c r="DC112" i="9"/>
  <c r="CR112" i="9"/>
  <c r="CT112" i="9"/>
  <c r="CT62" i="9"/>
  <c r="CR62" i="9"/>
  <c r="DC283" i="9"/>
  <c r="CT283" i="9"/>
  <c r="CR283" i="9"/>
  <c r="CR27" i="9"/>
  <c r="CT27" i="9"/>
  <c r="CR249" i="9"/>
  <c r="CT249" i="9"/>
  <c r="DC249" i="9"/>
  <c r="CR45" i="9"/>
  <c r="CT45" i="9"/>
  <c r="CR273" i="9"/>
  <c r="CT273" i="9"/>
  <c r="DC273" i="9"/>
  <c r="CQ332" i="9"/>
  <c r="CQ457" i="9"/>
  <c r="CU437" i="9"/>
  <c r="CU434" i="9"/>
  <c r="CS322" i="9"/>
  <c r="CZ4" i="9"/>
  <c r="CP4" i="9"/>
  <c r="DC4" i="9"/>
  <c r="CM1" i="9"/>
  <c r="CO4" i="9"/>
  <c r="CU439" i="9"/>
  <c r="CU435" i="9"/>
  <c r="CU433" i="9"/>
  <c r="DB4" i="9"/>
  <c r="CT4" i="9"/>
  <c r="CN4" i="9"/>
  <c r="CM4" i="9"/>
  <c r="DA4" i="9"/>
  <c r="CQ320" i="9"/>
  <c r="CS439" i="9" s="1"/>
  <c r="CD436" i="9"/>
  <c r="CK318" i="9"/>
  <c r="CK316" i="9"/>
  <c r="CK314" i="9"/>
  <c r="CK312" i="9"/>
  <c r="CK310" i="9"/>
  <c r="CK308" i="9"/>
  <c r="CK306" i="9"/>
  <c r="CK304" i="9"/>
  <c r="CK302" i="9"/>
  <c r="CK300" i="9"/>
  <c r="CK298" i="9"/>
  <c r="CK296" i="9"/>
  <c r="CK294" i="9"/>
  <c r="CK292" i="9"/>
  <c r="CK290" i="9"/>
  <c r="CK288" i="9"/>
  <c r="CK286" i="9"/>
  <c r="CK284" i="9"/>
  <c r="CK282" i="9"/>
  <c r="CK280" i="9"/>
  <c r="CK278" i="9"/>
  <c r="CK276" i="9"/>
  <c r="CK274" i="9"/>
  <c r="CK272" i="9"/>
  <c r="CK270" i="9"/>
  <c r="CK268" i="9"/>
  <c r="CK266" i="9"/>
  <c r="CK264" i="9"/>
  <c r="CK262" i="9"/>
  <c r="CK260" i="9"/>
  <c r="CK258" i="9"/>
  <c r="CK256" i="9"/>
  <c r="CK254" i="9"/>
  <c r="CK252" i="9"/>
  <c r="CK250" i="9"/>
  <c r="CK248" i="9"/>
  <c r="CK246" i="9"/>
  <c r="CK244" i="9"/>
  <c r="CK242" i="9"/>
  <c r="CK240" i="9"/>
  <c r="CK238" i="9"/>
  <c r="CK236" i="9"/>
  <c r="CK234" i="9"/>
  <c r="CK232" i="9"/>
  <c r="CK230" i="9"/>
  <c r="CK228" i="9"/>
  <c r="CK226" i="9"/>
  <c r="CK224" i="9"/>
  <c r="CK222" i="9"/>
  <c r="CK204" i="9"/>
  <c r="CK202" i="9"/>
  <c r="CK200" i="9"/>
  <c r="CK198" i="9"/>
  <c r="CK196" i="9"/>
  <c r="CK194" i="9"/>
  <c r="CK192" i="9"/>
  <c r="CK190" i="9"/>
  <c r="CK188" i="9"/>
  <c r="CK186" i="9"/>
  <c r="CK184" i="9"/>
  <c r="CK182" i="9"/>
  <c r="CK180" i="9"/>
  <c r="CK178" i="9"/>
  <c r="CK176" i="9"/>
  <c r="CK174" i="9"/>
  <c r="CK172" i="9"/>
  <c r="CK170" i="9"/>
  <c r="CK168" i="9"/>
  <c r="CK166" i="9"/>
  <c r="CK164" i="9"/>
  <c r="CK162" i="9"/>
  <c r="CK160" i="9"/>
  <c r="CK158" i="9"/>
  <c r="CK221" i="9"/>
  <c r="CK219" i="9"/>
  <c r="CK217" i="9"/>
  <c r="CK215" i="9"/>
  <c r="CK213" i="9"/>
  <c r="CK211" i="9"/>
  <c r="CK209" i="9"/>
  <c r="CK207" i="9"/>
  <c r="CK133" i="9"/>
  <c r="CK131" i="9"/>
  <c r="CK129" i="9"/>
  <c r="CK127" i="9"/>
  <c r="CK125" i="9"/>
  <c r="CK123" i="9"/>
  <c r="CK121" i="9"/>
  <c r="CK119" i="9"/>
  <c r="CK117" i="9"/>
  <c r="CK115" i="9"/>
  <c r="CK113" i="9"/>
  <c r="CK111" i="9"/>
  <c r="CK109" i="9"/>
  <c r="CK107" i="9"/>
  <c r="CK105" i="9"/>
  <c r="CK103" i="9"/>
  <c r="CK101" i="9"/>
  <c r="CK99" i="9"/>
  <c r="CK97" i="9"/>
  <c r="CK95" i="9"/>
  <c r="CK93" i="9"/>
  <c r="CK91" i="9"/>
  <c r="CK89" i="9"/>
  <c r="CK87" i="9"/>
  <c r="CK85" i="9"/>
  <c r="CK83" i="9"/>
  <c r="CK74" i="9"/>
  <c r="CK65" i="9"/>
  <c r="CK155" i="9"/>
  <c r="CK153" i="9"/>
  <c r="CK151" i="9"/>
  <c r="CK149" i="9"/>
  <c r="CK147" i="9"/>
  <c r="CK145" i="9"/>
  <c r="CK143" i="9"/>
  <c r="CK141" i="9"/>
  <c r="CK139" i="9"/>
  <c r="CK137" i="9"/>
  <c r="CK135" i="9"/>
  <c r="CK64" i="9"/>
  <c r="CK49" i="9"/>
  <c r="CK40" i="9"/>
  <c r="CK31" i="9"/>
  <c r="CK13" i="9"/>
  <c r="CK11" i="9"/>
  <c r="CK9" i="9"/>
  <c r="CK7" i="9"/>
  <c r="CK5" i="9"/>
  <c r="CK319" i="9"/>
  <c r="CK317" i="9"/>
  <c r="CK315" i="9"/>
  <c r="CK313" i="9"/>
  <c r="CK311" i="9"/>
  <c r="CK309" i="9"/>
  <c r="CK307" i="9"/>
  <c r="CK305" i="9"/>
  <c r="CK303" i="9"/>
  <c r="CK301" i="9"/>
  <c r="CK299" i="9"/>
  <c r="CK297" i="9"/>
  <c r="CK295" i="9"/>
  <c r="CK293" i="9"/>
  <c r="CK291" i="9"/>
  <c r="CK289" i="9"/>
  <c r="CK287" i="9"/>
  <c r="CK285" i="9"/>
  <c r="CK283" i="9"/>
  <c r="CK281" i="9"/>
  <c r="CK279" i="9"/>
  <c r="CK277" i="9"/>
  <c r="CK275" i="9"/>
  <c r="CK273" i="9"/>
  <c r="CK271" i="9"/>
  <c r="CK269" i="9"/>
  <c r="CK267" i="9"/>
  <c r="CK265" i="9"/>
  <c r="CK263" i="9"/>
  <c r="CK261" i="9"/>
  <c r="CK259" i="9"/>
  <c r="CK257" i="9"/>
  <c r="CK255" i="9"/>
  <c r="CK253" i="9"/>
  <c r="CK251" i="9"/>
  <c r="CK249" i="9"/>
  <c r="CK247" i="9"/>
  <c r="CK245" i="9"/>
  <c r="CK243" i="9"/>
  <c r="CK241" i="9"/>
  <c r="CK239" i="9"/>
  <c r="CK237" i="9"/>
  <c r="CK235" i="9"/>
  <c r="CK233" i="9"/>
  <c r="CK231" i="9"/>
  <c r="CK229" i="9"/>
  <c r="CK227" i="9"/>
  <c r="CK225" i="9"/>
  <c r="CK223" i="9"/>
  <c r="CK205" i="9"/>
  <c r="CK203" i="9"/>
  <c r="CK201" i="9"/>
  <c r="CK199" i="9"/>
  <c r="CK197" i="9"/>
  <c r="CK195" i="9"/>
  <c r="CK193" i="9"/>
  <c r="CK191" i="9"/>
  <c r="CK189" i="9"/>
  <c r="CK187" i="9"/>
  <c r="CK185" i="9"/>
  <c r="CK183" i="9"/>
  <c r="CK181" i="9"/>
  <c r="CK179" i="9"/>
  <c r="CK177" i="9"/>
  <c r="CK175" i="9"/>
  <c r="CK173" i="9"/>
  <c r="CK171" i="9"/>
  <c r="CK169" i="9"/>
  <c r="CK167" i="9"/>
  <c r="CK165" i="9"/>
  <c r="CK163" i="9"/>
  <c r="CK161" i="9"/>
  <c r="CK159" i="9"/>
  <c r="CK157" i="9"/>
  <c r="CK220" i="9"/>
  <c r="CK218" i="9"/>
  <c r="CK216" i="9"/>
  <c r="CK214" i="9"/>
  <c r="CK212" i="9"/>
  <c r="CK210" i="9"/>
  <c r="CK208" i="9"/>
  <c r="CK206" i="9"/>
  <c r="CK132" i="9"/>
  <c r="CK130" i="9"/>
  <c r="CK128" i="9"/>
  <c r="CK126" i="9"/>
  <c r="CK124" i="9"/>
  <c r="CK122" i="9"/>
  <c r="CK120" i="9"/>
  <c r="CK118" i="9"/>
  <c r="CK116" i="9"/>
  <c r="CK114" i="9"/>
  <c r="CK112" i="9"/>
  <c r="CK110" i="9"/>
  <c r="CK108" i="9"/>
  <c r="CK106" i="9"/>
  <c r="CK104" i="9"/>
  <c r="CK102" i="9"/>
  <c r="CK100" i="9"/>
  <c r="CK98" i="9"/>
  <c r="CK96" i="9"/>
  <c r="CK94" i="9"/>
  <c r="CK92" i="9"/>
  <c r="CK90" i="9"/>
  <c r="CK88" i="9"/>
  <c r="CK86" i="9"/>
  <c r="CK84" i="9"/>
  <c r="CK82" i="9"/>
  <c r="CK73" i="9"/>
  <c r="CK156" i="9"/>
  <c r="CK154" i="9"/>
  <c r="CK152" i="9"/>
  <c r="CK150" i="9"/>
  <c r="CK148" i="9"/>
  <c r="CK146" i="9"/>
  <c r="CK144" i="9"/>
  <c r="CK142" i="9"/>
  <c r="CK140" i="9"/>
  <c r="CK138" i="9"/>
  <c r="CK136" i="9"/>
  <c r="CK134" i="9"/>
  <c r="CK48" i="9"/>
  <c r="CK39" i="9"/>
  <c r="CK30" i="9"/>
  <c r="CK14" i="9"/>
  <c r="CK12" i="9"/>
  <c r="CK10" i="9"/>
  <c r="CK8" i="9"/>
  <c r="CK6" i="9"/>
  <c r="CI70" i="9"/>
  <c r="CK70" i="9" s="1"/>
  <c r="CL70" i="9" s="1"/>
  <c r="CI57" i="9"/>
  <c r="CK57" i="9" s="1"/>
  <c r="CI43" i="9"/>
  <c r="CK43" i="9" s="1"/>
  <c r="CL43" i="9" s="1"/>
  <c r="CI27" i="9"/>
  <c r="CK27" i="9" s="1"/>
  <c r="CL27" i="9" s="1"/>
  <c r="CI81" i="9"/>
  <c r="CK81" i="9" s="1"/>
  <c r="CI71" i="9"/>
  <c r="CK71" i="9" s="1"/>
  <c r="CI60" i="9"/>
  <c r="CK60" i="9" s="1"/>
  <c r="CI52" i="9"/>
  <c r="CK52" i="9" s="1"/>
  <c r="CI42" i="9"/>
  <c r="CK42" i="9" s="1"/>
  <c r="CI32" i="9"/>
  <c r="CK32" i="9" s="1"/>
  <c r="CL32" i="9" s="1"/>
  <c r="CI22" i="9"/>
  <c r="CK22" i="9" s="1"/>
  <c r="CI78" i="9"/>
  <c r="CK78" i="9" s="1"/>
  <c r="CI59" i="9"/>
  <c r="CK59" i="9" s="1"/>
  <c r="CL59" i="9" s="1"/>
  <c r="CI29" i="9"/>
  <c r="CK29" i="9" s="1"/>
  <c r="CI66" i="9"/>
  <c r="CK66" i="9" s="1"/>
  <c r="CI55" i="9"/>
  <c r="CK55" i="9" s="1"/>
  <c r="CI41" i="9"/>
  <c r="CK41" i="9" s="1"/>
  <c r="CI23" i="9"/>
  <c r="CK23" i="9" s="1"/>
  <c r="CI79" i="9"/>
  <c r="CK79" i="9" s="1"/>
  <c r="CI69" i="9"/>
  <c r="CK69" i="9" s="1"/>
  <c r="CL69" i="9" s="1"/>
  <c r="CI58" i="9"/>
  <c r="CK58" i="9" s="1"/>
  <c r="CL58" i="9" s="1"/>
  <c r="CI50" i="9"/>
  <c r="CK50" i="9" s="1"/>
  <c r="CI38" i="9"/>
  <c r="CK38" i="9" s="1"/>
  <c r="CL38" i="9" s="1"/>
  <c r="CI28" i="9"/>
  <c r="CK28" i="9" s="1"/>
  <c r="CI20" i="9"/>
  <c r="CK20" i="9" s="1"/>
  <c r="CI76" i="9"/>
  <c r="CK76" i="9" s="1"/>
  <c r="CI53" i="9"/>
  <c r="CK53" i="9" s="1"/>
  <c r="CI25" i="9"/>
  <c r="CK25" i="9" s="1"/>
  <c r="CI63" i="9"/>
  <c r="CK63" i="9" s="1"/>
  <c r="CI51" i="9"/>
  <c r="CK51" i="9" s="1"/>
  <c r="CL51" i="9" s="1"/>
  <c r="CI37" i="9"/>
  <c r="CK37" i="9" s="1"/>
  <c r="CI21" i="9"/>
  <c r="CK21" i="9" s="1"/>
  <c r="CI77" i="9"/>
  <c r="CK77" i="9" s="1"/>
  <c r="CL77" i="9" s="1"/>
  <c r="CI67" i="9"/>
  <c r="CK67" i="9" s="1"/>
  <c r="CI56" i="9"/>
  <c r="CK56" i="9" s="1"/>
  <c r="CL56" i="9" s="1"/>
  <c r="CI46" i="9"/>
  <c r="CK46" i="9" s="1"/>
  <c r="CI36" i="9"/>
  <c r="CK36" i="9" s="1"/>
  <c r="CI26" i="9"/>
  <c r="CK26" i="9" s="1"/>
  <c r="CI18" i="9"/>
  <c r="CK18" i="9" s="1"/>
  <c r="CI72" i="9"/>
  <c r="CK72" i="9" s="1"/>
  <c r="CL72" i="9" s="1"/>
  <c r="CI45" i="9"/>
  <c r="CK45" i="9" s="1"/>
  <c r="CL45" i="9" s="1"/>
  <c r="CI19" i="9"/>
  <c r="CK19" i="9" s="1"/>
  <c r="CL19" i="9" s="1"/>
  <c r="CI80" i="9"/>
  <c r="CK80" i="9" s="1"/>
  <c r="CL80" i="9" s="1"/>
  <c r="CI61" i="9"/>
  <c r="CK61" i="9" s="1"/>
  <c r="CL61" i="9" s="1"/>
  <c r="CI47" i="9"/>
  <c r="CK47" i="9" s="1"/>
  <c r="CI33" i="9"/>
  <c r="CK33" i="9" s="1"/>
  <c r="CI17" i="9"/>
  <c r="CK17" i="9" s="1"/>
  <c r="CI75" i="9"/>
  <c r="CK75" i="9" s="1"/>
  <c r="CI62" i="9"/>
  <c r="CK62" i="9" s="1"/>
  <c r="CL62" i="9" s="1"/>
  <c r="CI54" i="9"/>
  <c r="CK54" i="9" s="1"/>
  <c r="CL54" i="9" s="1"/>
  <c r="CI44" i="9"/>
  <c r="CK44" i="9" s="1"/>
  <c r="CI34" i="9"/>
  <c r="CK34" i="9" s="1"/>
  <c r="CI24" i="9"/>
  <c r="CK24" i="9" s="1"/>
  <c r="CL24" i="9" s="1"/>
  <c r="CI16" i="9"/>
  <c r="CK16" i="9" s="1"/>
  <c r="CL16" i="9" s="1"/>
  <c r="CI68" i="9"/>
  <c r="CK68" i="9" s="1"/>
  <c r="CI35" i="9"/>
  <c r="CK35" i="9" s="1"/>
  <c r="CL35" i="9" s="1"/>
  <c r="CI15" i="9"/>
  <c r="CK15" i="9" s="1"/>
  <c r="BI464" i="9"/>
  <c r="CW64" i="9"/>
  <c r="DN64" i="9" s="1"/>
  <c r="CW261" i="9"/>
  <c r="DN261" i="9" s="1"/>
  <c r="BO120" i="9"/>
  <c r="BA146" i="14"/>
  <c r="AY146" i="14"/>
  <c r="AY154" i="14" s="1"/>
  <c r="AS146" i="14"/>
  <c r="AN146" i="14"/>
  <c r="AX133" i="14"/>
  <c r="AF146" i="14"/>
  <c r="CW273" i="9"/>
  <c r="DN273" i="9" s="1"/>
  <c r="CW103" i="9"/>
  <c r="DN103" i="9" s="1"/>
  <c r="CW39" i="9"/>
  <c r="CW303" i="9"/>
  <c r="DN303" i="9" s="1"/>
  <c r="CW204" i="9"/>
  <c r="DN204" i="9" s="1"/>
  <c r="CW197" i="9"/>
  <c r="DN197" i="9" s="1"/>
  <c r="CW89" i="9"/>
  <c r="DN89" i="9" s="1"/>
  <c r="CW218" i="9"/>
  <c r="DN218" i="9" s="1"/>
  <c r="CW136" i="9"/>
  <c r="DN136" i="9" s="1"/>
  <c r="CW8" i="9"/>
  <c r="DN8" i="9" s="1"/>
  <c r="CW237" i="9"/>
  <c r="BC339" i="9"/>
  <c r="AZ414" i="9"/>
  <c r="AW385" i="9"/>
  <c r="AU385" i="9"/>
  <c r="AQ385" i="9"/>
  <c r="AY414" i="9"/>
  <c r="BD339" i="9"/>
  <c r="BB339" i="9" s="1"/>
  <c r="AO385" i="9"/>
  <c r="BQ416" i="9"/>
  <c r="BP416" i="9"/>
  <c r="BH387" i="9"/>
  <c r="BN387" i="9"/>
  <c r="BF387" i="9"/>
  <c r="BT341" i="9"/>
  <c r="BU341" i="9"/>
  <c r="BI341" i="9"/>
  <c r="BL387" i="9"/>
  <c r="BK341" i="9"/>
  <c r="F6" i="17"/>
  <c r="F5" i="17"/>
  <c r="G5" i="17"/>
  <c r="L34" i="2"/>
  <c r="P34" i="2"/>
  <c r="M34" i="2"/>
  <c r="Q34" i="2"/>
  <c r="AC443" i="9"/>
  <c r="C11" i="17" s="1"/>
  <c r="AC423" i="9"/>
  <c r="AE386" i="9"/>
  <c r="AC386" i="9" s="1"/>
  <c r="AE390" i="9"/>
  <c r="AC390" i="9" s="1"/>
  <c r="AM329" i="9"/>
  <c r="AK329" i="9" s="1"/>
  <c r="AJ52" i="2"/>
  <c r="X51" i="2"/>
  <c r="V51" i="2"/>
  <c r="V50" i="2"/>
  <c r="X50" i="2"/>
  <c r="V45" i="2"/>
  <c r="W45" i="2"/>
  <c r="V43" i="2"/>
  <c r="W43" i="2"/>
  <c r="V37" i="2"/>
  <c r="W37" i="2"/>
  <c r="R28" i="2"/>
  <c r="S28" i="2"/>
  <c r="R26" i="2"/>
  <c r="S26" i="2"/>
  <c r="V23" i="2"/>
  <c r="W23" i="2"/>
  <c r="Z22" i="2"/>
  <c r="AA22" i="2"/>
  <c r="AA21" i="2"/>
  <c r="Z18" i="2"/>
  <c r="AA18" i="2"/>
  <c r="AI17" i="2"/>
  <c r="AM17" i="2" s="1"/>
  <c r="U7" i="2"/>
  <c r="BZ455" i="9" s="1"/>
  <c r="BZ473" i="9" s="1"/>
  <c r="BZ474" i="9" s="1"/>
  <c r="CB475" i="9" s="1"/>
  <c r="W8" i="2"/>
  <c r="T6" i="2"/>
  <c r="BZ469" i="9" s="1"/>
  <c r="CB470" i="9" s="1"/>
  <c r="S5" i="2"/>
  <c r="S34" i="2" s="1"/>
  <c r="M101" i="13"/>
  <c r="H112" i="13" s="1"/>
  <c r="V22" i="2"/>
  <c r="V18" i="2"/>
  <c r="V16" i="2"/>
  <c r="AA154" i="14"/>
  <c r="Z146" i="14"/>
  <c r="Q29" i="2"/>
  <c r="AA476" i="9"/>
  <c r="AC455" i="9"/>
  <c r="I19" i="2" s="1"/>
  <c r="AC331" i="9" s="1"/>
  <c r="AD331" i="9" s="1"/>
  <c r="AC167" i="14"/>
  <c r="X159" i="14"/>
  <c r="X167" i="14" s="1"/>
  <c r="W167" i="14" s="1"/>
  <c r="AA475" i="9"/>
  <c r="AC475" i="9" s="1"/>
  <c r="G39" i="2" s="1"/>
  <c r="AC454" i="9"/>
  <c r="H19" i="2" s="1"/>
  <c r="AC330" i="9" s="1"/>
  <c r="AD330" i="9" s="1"/>
  <c r="M27" i="13"/>
  <c r="H107" i="13" s="1"/>
  <c r="R52" i="2"/>
  <c r="S52" i="2"/>
  <c r="V44" i="2"/>
  <c r="W44" i="2"/>
  <c r="R33" i="2"/>
  <c r="S33" i="2"/>
  <c r="AN22" i="2"/>
  <c r="V21" i="2"/>
  <c r="X21" i="2"/>
  <c r="AN18" i="2"/>
  <c r="V17" i="2"/>
  <c r="X17" i="2"/>
  <c r="Z16" i="2"/>
  <c r="AB16" i="2"/>
  <c r="R15" i="2"/>
  <c r="T15" i="2"/>
  <c r="V10" i="2"/>
  <c r="X10" i="2"/>
  <c r="X141" i="14"/>
  <c r="Y133" i="14"/>
  <c r="N101" i="13"/>
  <c r="H113" i="13" s="1"/>
  <c r="N27" i="13"/>
  <c r="H108" i="13" s="1"/>
  <c r="I108" i="13" s="1"/>
  <c r="L101" i="13"/>
  <c r="H111" i="13" s="1"/>
  <c r="L27" i="13"/>
  <c r="H106" i="13" s="1"/>
  <c r="V53" i="2"/>
  <c r="W53" i="2"/>
  <c r="AE51" i="2"/>
  <c r="AI51" i="2" s="1"/>
  <c r="AM51" i="2" s="1"/>
  <c r="R38" i="2"/>
  <c r="S38" i="2"/>
  <c r="V36" i="2"/>
  <c r="W36" i="2"/>
  <c r="V32" i="2"/>
  <c r="W32" i="2"/>
  <c r="V31" i="2"/>
  <c r="W31" i="2"/>
  <c r="V27" i="2"/>
  <c r="W27" i="2"/>
  <c r="V12" i="2"/>
  <c r="X12" i="2"/>
  <c r="V11" i="2"/>
  <c r="X11" i="2"/>
  <c r="Z394" i="9"/>
  <c r="AH404" i="9"/>
  <c r="AA329" i="9"/>
  <c r="AB329" i="9" s="1"/>
  <c r="AL329" i="9"/>
  <c r="AF375" i="9"/>
  <c r="AG375" i="9" s="1"/>
  <c r="AI404" i="9"/>
  <c r="AD375" i="9"/>
  <c r="X375" i="9"/>
  <c r="AE382" i="9"/>
  <c r="AC382" i="9" s="1"/>
  <c r="AC468" i="9"/>
  <c r="G34" i="2" s="1"/>
  <c r="AH416" i="9" s="1"/>
  <c r="X394" i="9"/>
  <c r="AE370" i="9"/>
  <c r="AC370" i="9" s="1"/>
  <c r="AE374" i="9"/>
  <c r="AC374" i="9" s="1"/>
  <c r="AH423" i="9"/>
  <c r="AE378" i="9"/>
  <c r="AC378" i="9" s="1"/>
  <c r="AF394" i="9"/>
  <c r="AC329" i="9"/>
  <c r="AD329" i="9" s="1"/>
  <c r="K34" i="2"/>
  <c r="DN43" i="9" l="1"/>
  <c r="DN24" i="9"/>
  <c r="DN70" i="9"/>
  <c r="DN300" i="9"/>
  <c r="DN258" i="9"/>
  <c r="DN262" i="9"/>
  <c r="DN167" i="9"/>
  <c r="DN269" i="9"/>
  <c r="DN149" i="9"/>
  <c r="DN287" i="9"/>
  <c r="DL197" i="9"/>
  <c r="DM197" i="9" s="1"/>
  <c r="DP205" i="9"/>
  <c r="DP179" i="9"/>
  <c r="DP24" i="9"/>
  <c r="DL114" i="9"/>
  <c r="DM114" i="9" s="1"/>
  <c r="DP275" i="9"/>
  <c r="DP32" i="9"/>
  <c r="DP158" i="9"/>
  <c r="DL39" i="9"/>
  <c r="DM39" i="9" s="1"/>
  <c r="DP51" i="9"/>
  <c r="DL142" i="9"/>
  <c r="DM142" i="9" s="1"/>
  <c r="DL58" i="9"/>
  <c r="DM58" i="9" s="1"/>
  <c r="DP261" i="9"/>
  <c r="DL269" i="9"/>
  <c r="DM269" i="9" s="1"/>
  <c r="DL91" i="9"/>
  <c r="DM91" i="9" s="1"/>
  <c r="DL285" i="9"/>
  <c r="DM285" i="9" s="1"/>
  <c r="DL124" i="9"/>
  <c r="DM124" i="9" s="1"/>
  <c r="DP132" i="9"/>
  <c r="DP198" i="9"/>
  <c r="DL158" i="9"/>
  <c r="DM158" i="9" s="1"/>
  <c r="CK332" i="9"/>
  <c r="DN187" i="9"/>
  <c r="DL243" i="9"/>
  <c r="DM243" i="9" s="1"/>
  <c r="DP199" i="9"/>
  <c r="DP177" i="9"/>
  <c r="DP215" i="9"/>
  <c r="DL308" i="9"/>
  <c r="DM308" i="9" s="1"/>
  <c r="DL292" i="9"/>
  <c r="DM292" i="9" s="1"/>
  <c r="DL260" i="9"/>
  <c r="DM260" i="9" s="1"/>
  <c r="DP260" i="9"/>
  <c r="DL311" i="9"/>
  <c r="DM311" i="9" s="1"/>
  <c r="DL19" i="9"/>
  <c r="DM19" i="9" s="1"/>
  <c r="DP38" i="9"/>
  <c r="DL61" i="9"/>
  <c r="DM61" i="9" s="1"/>
  <c r="DP273" i="9"/>
  <c r="DP35" i="9"/>
  <c r="DL131" i="9"/>
  <c r="DM131" i="9" s="1"/>
  <c r="DP242" i="9"/>
  <c r="DL180" i="9"/>
  <c r="DM180" i="9" s="1"/>
  <c r="DL210" i="9"/>
  <c r="DM210" i="9" s="1"/>
  <c r="DP295" i="9"/>
  <c r="DL40" i="9"/>
  <c r="DM40" i="9" s="1"/>
  <c r="DP72" i="9"/>
  <c r="DL204" i="9"/>
  <c r="DM204" i="9" s="1"/>
  <c r="DL307" i="9"/>
  <c r="DM307" i="9" s="1"/>
  <c r="DP155" i="9"/>
  <c r="DL315" i="9"/>
  <c r="DM315" i="9" s="1"/>
  <c r="DL283" i="9"/>
  <c r="DM283" i="9" s="1"/>
  <c r="BL146" i="14"/>
  <c r="BL154" i="14" s="1"/>
  <c r="BP407" i="9"/>
  <c r="BI159" i="14"/>
  <c r="BI167" i="14" s="1"/>
  <c r="DP237" i="9"/>
  <c r="DL268" i="9"/>
  <c r="DM268" i="9" s="1"/>
  <c r="DP223" i="9"/>
  <c r="DP112" i="9"/>
  <c r="DP19" i="9"/>
  <c r="DP210" i="9"/>
  <c r="AT467" i="9"/>
  <c r="BA154" i="14"/>
  <c r="AZ146" i="14"/>
  <c r="AM146" i="14"/>
  <c r="AN154" i="14"/>
  <c r="BP159" i="14"/>
  <c r="BQ159" i="14"/>
  <c r="BQ167" i="14" s="1"/>
  <c r="CK336" i="9"/>
  <c r="CK324" i="9"/>
  <c r="CK320" i="9"/>
  <c r="DB319" i="9"/>
  <c r="DB317" i="9"/>
  <c r="DB315" i="9"/>
  <c r="DB313" i="9"/>
  <c r="DB311" i="9"/>
  <c r="DB309" i="9"/>
  <c r="DB307" i="9"/>
  <c r="DB305" i="9"/>
  <c r="DB303" i="9"/>
  <c r="DB301" i="9"/>
  <c r="DB299" i="9"/>
  <c r="DB297" i="9"/>
  <c r="DB295" i="9"/>
  <c r="DB293" i="9"/>
  <c r="DB291" i="9"/>
  <c r="DB289" i="9"/>
  <c r="DB287" i="9"/>
  <c r="DB285" i="9"/>
  <c r="DB283" i="9"/>
  <c r="DB281" i="9"/>
  <c r="DB279" i="9"/>
  <c r="DB277" i="9"/>
  <c r="DB275" i="9"/>
  <c r="DB273" i="9"/>
  <c r="DB271" i="9"/>
  <c r="DB269" i="9"/>
  <c r="DB267" i="9"/>
  <c r="DB265" i="9"/>
  <c r="DB263" i="9"/>
  <c r="DB261" i="9"/>
  <c r="DB259" i="9"/>
  <c r="DB257" i="9"/>
  <c r="DB255" i="9"/>
  <c r="DB253" i="9"/>
  <c r="DB251" i="9"/>
  <c r="DB249" i="9"/>
  <c r="DB247" i="9"/>
  <c r="DB245" i="9"/>
  <c r="DB243" i="9"/>
  <c r="DB241" i="9"/>
  <c r="DB239" i="9"/>
  <c r="DB237" i="9"/>
  <c r="DB235" i="9"/>
  <c r="DB233" i="9"/>
  <c r="DB231" i="9"/>
  <c r="DB229" i="9"/>
  <c r="DB227" i="9"/>
  <c r="DB225" i="9"/>
  <c r="DB223" i="9"/>
  <c r="DB221" i="9"/>
  <c r="DB219" i="9"/>
  <c r="DB217" i="9"/>
  <c r="DB215" i="9"/>
  <c r="DB213" i="9"/>
  <c r="DB211" i="9"/>
  <c r="DB209" i="9"/>
  <c r="DB207" i="9"/>
  <c r="DB205" i="9"/>
  <c r="DB203" i="9"/>
  <c r="DB201" i="9"/>
  <c r="DB199" i="9"/>
  <c r="DB197" i="9"/>
  <c r="DB195" i="9"/>
  <c r="DB193" i="9"/>
  <c r="DB191" i="9"/>
  <c r="DB189" i="9"/>
  <c r="DB187" i="9"/>
  <c r="DB185" i="9"/>
  <c r="DB183" i="9"/>
  <c r="DB181" i="9"/>
  <c r="DB179" i="9"/>
  <c r="DB177" i="9"/>
  <c r="DB175" i="9"/>
  <c r="DB173" i="9"/>
  <c r="DB171" i="9"/>
  <c r="DB169" i="9"/>
  <c r="DB167" i="9"/>
  <c r="DB165" i="9"/>
  <c r="DB163" i="9"/>
  <c r="DB161" i="9"/>
  <c r="DB159" i="9"/>
  <c r="DB157" i="9"/>
  <c r="DB155" i="9"/>
  <c r="DB153" i="9"/>
  <c r="DB151" i="9"/>
  <c r="DB149" i="9"/>
  <c r="DB147" i="9"/>
  <c r="DB145" i="9"/>
  <c r="DB143" i="9"/>
  <c r="DB141" i="9"/>
  <c r="DB139" i="9"/>
  <c r="DB137" i="9"/>
  <c r="DB135" i="9"/>
  <c r="DB133" i="9"/>
  <c r="DB131" i="9"/>
  <c r="DB129" i="9"/>
  <c r="DB127" i="9"/>
  <c r="DB125" i="9"/>
  <c r="DB123" i="9"/>
  <c r="DB121" i="9"/>
  <c r="DB119" i="9"/>
  <c r="DB117" i="9"/>
  <c r="DB115" i="9"/>
  <c r="DB113" i="9"/>
  <c r="DB111" i="9"/>
  <c r="DB109" i="9"/>
  <c r="DB107" i="9"/>
  <c r="DB105" i="9"/>
  <c r="DB103" i="9"/>
  <c r="DB101" i="9"/>
  <c r="DB99" i="9"/>
  <c r="DB97" i="9"/>
  <c r="DB95" i="9"/>
  <c r="DB93" i="9"/>
  <c r="DB91" i="9"/>
  <c r="DB89" i="9"/>
  <c r="DB87" i="9"/>
  <c r="DB85" i="9"/>
  <c r="DB83" i="9"/>
  <c r="DB73" i="9"/>
  <c r="DB64" i="9"/>
  <c r="DB48" i="9"/>
  <c r="DB40" i="9"/>
  <c r="DB31" i="9"/>
  <c r="DB14" i="9"/>
  <c r="DB12" i="9"/>
  <c r="DB10" i="9"/>
  <c r="DB8" i="9"/>
  <c r="DB6" i="9"/>
  <c r="CU436" i="9"/>
  <c r="DB318" i="9"/>
  <c r="DB316" i="9"/>
  <c r="DB314" i="9"/>
  <c r="DB312" i="9"/>
  <c r="DB310" i="9"/>
  <c r="DB308" i="9"/>
  <c r="DB306" i="9"/>
  <c r="DB304" i="9"/>
  <c r="DB302" i="9"/>
  <c r="DB300" i="9"/>
  <c r="DB298" i="9"/>
  <c r="DB296" i="9"/>
  <c r="DB294" i="9"/>
  <c r="DB292" i="9"/>
  <c r="DB290" i="9"/>
  <c r="DB288" i="9"/>
  <c r="DB286" i="9"/>
  <c r="DB284" i="9"/>
  <c r="DB282" i="9"/>
  <c r="DB280" i="9"/>
  <c r="DB278" i="9"/>
  <c r="DB276" i="9"/>
  <c r="DB274" i="9"/>
  <c r="DB272" i="9"/>
  <c r="DB270" i="9"/>
  <c r="DB268" i="9"/>
  <c r="DB266" i="9"/>
  <c r="DB264" i="9"/>
  <c r="DB262" i="9"/>
  <c r="DB260" i="9"/>
  <c r="DB258" i="9"/>
  <c r="DB256" i="9"/>
  <c r="DB254" i="9"/>
  <c r="DB252" i="9"/>
  <c r="DB250" i="9"/>
  <c r="DB248" i="9"/>
  <c r="DB246" i="9"/>
  <c r="DB244" i="9"/>
  <c r="DB242" i="9"/>
  <c r="DB240" i="9"/>
  <c r="DB238" i="9"/>
  <c r="DB236" i="9"/>
  <c r="DB234" i="9"/>
  <c r="DB232" i="9"/>
  <c r="DB230" i="9"/>
  <c r="DB228" i="9"/>
  <c r="DB226" i="9"/>
  <c r="DB224" i="9"/>
  <c r="DB222" i="9"/>
  <c r="DB220" i="9"/>
  <c r="DB218" i="9"/>
  <c r="DB216" i="9"/>
  <c r="DB214" i="9"/>
  <c r="DB212" i="9"/>
  <c r="DB210" i="9"/>
  <c r="DB208" i="9"/>
  <c r="DB206" i="9"/>
  <c r="DB204" i="9"/>
  <c r="DB202" i="9"/>
  <c r="DB200" i="9"/>
  <c r="DB198" i="9"/>
  <c r="DB196" i="9"/>
  <c r="DB194" i="9"/>
  <c r="DB192" i="9"/>
  <c r="DB190" i="9"/>
  <c r="DB188" i="9"/>
  <c r="DB186" i="9"/>
  <c r="DB184" i="9"/>
  <c r="DB182" i="9"/>
  <c r="DB180" i="9"/>
  <c r="DB178" i="9"/>
  <c r="DB176" i="9"/>
  <c r="DB174" i="9"/>
  <c r="DB172" i="9"/>
  <c r="DB170" i="9"/>
  <c r="DB168" i="9"/>
  <c r="DB166" i="9"/>
  <c r="DB164" i="9"/>
  <c r="DB162" i="9"/>
  <c r="DB160" i="9"/>
  <c r="DB158" i="9"/>
  <c r="DB156" i="9"/>
  <c r="DB154" i="9"/>
  <c r="DB152" i="9"/>
  <c r="DB150" i="9"/>
  <c r="DB148" i="9"/>
  <c r="DB146" i="9"/>
  <c r="DB144" i="9"/>
  <c r="DB142" i="9"/>
  <c r="DB140" i="9"/>
  <c r="DB138" i="9"/>
  <c r="DB136" i="9"/>
  <c r="DB134" i="9"/>
  <c r="DB132" i="9"/>
  <c r="DB130" i="9"/>
  <c r="DB128" i="9"/>
  <c r="DB126" i="9"/>
  <c r="DB124" i="9"/>
  <c r="DB122" i="9"/>
  <c r="DB120" i="9"/>
  <c r="DB118" i="9"/>
  <c r="DB116" i="9"/>
  <c r="DB114" i="9"/>
  <c r="DB112" i="9"/>
  <c r="DB110" i="9"/>
  <c r="DB108" i="9"/>
  <c r="DB106" i="9"/>
  <c r="DB104" i="9"/>
  <c r="DB102" i="9"/>
  <c r="DB100" i="9"/>
  <c r="DB98" i="9"/>
  <c r="DB96" i="9"/>
  <c r="DB94" i="9"/>
  <c r="DB92" i="9"/>
  <c r="DB90" i="9"/>
  <c r="DB88" i="9"/>
  <c r="DB86" i="9"/>
  <c r="DB84" i="9"/>
  <c r="DB82" i="9"/>
  <c r="DB74" i="9"/>
  <c r="DB65" i="9"/>
  <c r="DB49" i="9"/>
  <c r="DB39" i="9"/>
  <c r="DB30" i="9"/>
  <c r="DB13" i="9"/>
  <c r="DB11" i="9"/>
  <c r="DB9" i="9"/>
  <c r="DB7" i="9"/>
  <c r="DB5" i="9"/>
  <c r="CZ80" i="9"/>
  <c r="DB80" i="9" s="1"/>
  <c r="DC80" i="9" s="1"/>
  <c r="CZ70" i="9"/>
  <c r="DB70" i="9" s="1"/>
  <c r="DC70" i="9" s="1"/>
  <c r="CZ60" i="9"/>
  <c r="DB60" i="9" s="1"/>
  <c r="CZ52" i="9"/>
  <c r="DB52" i="9" s="1"/>
  <c r="CZ42" i="9"/>
  <c r="DB42" i="9" s="1"/>
  <c r="CZ32" i="9"/>
  <c r="DB32" i="9" s="1"/>
  <c r="DC32" i="9" s="1"/>
  <c r="CZ22" i="9"/>
  <c r="DB22" i="9" s="1"/>
  <c r="CZ81" i="9"/>
  <c r="DB81" i="9" s="1"/>
  <c r="CZ71" i="9"/>
  <c r="DB71" i="9" s="1"/>
  <c r="CZ61" i="9"/>
  <c r="DB61" i="9" s="1"/>
  <c r="DC61" i="9" s="1"/>
  <c r="CZ53" i="9"/>
  <c r="DB53" i="9" s="1"/>
  <c r="CZ43" i="9"/>
  <c r="DB43" i="9" s="1"/>
  <c r="DC43" i="9" s="1"/>
  <c r="CZ33" i="9"/>
  <c r="DB33" i="9" s="1"/>
  <c r="CZ23" i="9"/>
  <c r="DB23" i="9" s="1"/>
  <c r="CZ15" i="9"/>
  <c r="DB15" i="9" s="1"/>
  <c r="CZ72" i="9"/>
  <c r="DB72" i="9" s="1"/>
  <c r="DC72" i="9" s="1"/>
  <c r="CZ62" i="9"/>
  <c r="DB62" i="9" s="1"/>
  <c r="DC62" i="9" s="1"/>
  <c r="CZ54" i="9"/>
  <c r="DB54" i="9" s="1"/>
  <c r="DC54" i="9" s="1"/>
  <c r="CZ44" i="9"/>
  <c r="DB44" i="9" s="1"/>
  <c r="CZ34" i="9"/>
  <c r="DB34" i="9" s="1"/>
  <c r="CZ24" i="9"/>
  <c r="DB24" i="9" s="1"/>
  <c r="DC24" i="9" s="1"/>
  <c r="CZ16" i="9"/>
  <c r="DB16" i="9" s="1"/>
  <c r="DC16" i="9" s="1"/>
  <c r="CZ75" i="9"/>
  <c r="DB75" i="9" s="1"/>
  <c r="CZ63" i="9"/>
  <c r="DB63" i="9" s="1"/>
  <c r="CZ55" i="9"/>
  <c r="DB55" i="9" s="1"/>
  <c r="CZ45" i="9"/>
  <c r="DB45" i="9" s="1"/>
  <c r="DC45" i="9" s="1"/>
  <c r="CZ35" i="9"/>
  <c r="DB35" i="9" s="1"/>
  <c r="DC35" i="9" s="1"/>
  <c r="CZ25" i="9"/>
  <c r="DB25" i="9" s="1"/>
  <c r="CZ17" i="9"/>
  <c r="DB17" i="9" s="1"/>
  <c r="CZ76" i="9"/>
  <c r="DB76" i="9" s="1"/>
  <c r="CZ66" i="9"/>
  <c r="DB66" i="9" s="1"/>
  <c r="CZ56" i="9"/>
  <c r="DB56" i="9" s="1"/>
  <c r="DC56" i="9" s="1"/>
  <c r="CZ46" i="9"/>
  <c r="DB46" i="9" s="1"/>
  <c r="CZ36" i="9"/>
  <c r="DB36" i="9" s="1"/>
  <c r="CZ26" i="9"/>
  <c r="DB26" i="9" s="1"/>
  <c r="CZ18" i="9"/>
  <c r="DB18" i="9" s="1"/>
  <c r="CZ77" i="9"/>
  <c r="DB77" i="9" s="1"/>
  <c r="DC77" i="9" s="1"/>
  <c r="CZ67" i="9"/>
  <c r="DB67" i="9" s="1"/>
  <c r="CZ57" i="9"/>
  <c r="DB57" i="9" s="1"/>
  <c r="CZ47" i="9"/>
  <c r="DB47" i="9" s="1"/>
  <c r="CZ37" i="9"/>
  <c r="DB37" i="9" s="1"/>
  <c r="CZ27" i="9"/>
  <c r="DB27" i="9" s="1"/>
  <c r="DC27" i="9" s="1"/>
  <c r="CZ19" i="9"/>
  <c r="DB19" i="9" s="1"/>
  <c r="DC19" i="9" s="1"/>
  <c r="CZ78" i="9"/>
  <c r="DB78" i="9" s="1"/>
  <c r="CZ68" i="9"/>
  <c r="DB68" i="9" s="1"/>
  <c r="CZ58" i="9"/>
  <c r="DB58" i="9" s="1"/>
  <c r="DC58" i="9" s="1"/>
  <c r="CZ50" i="9"/>
  <c r="DB50" i="9" s="1"/>
  <c r="CZ38" i="9"/>
  <c r="DB38" i="9" s="1"/>
  <c r="DC38" i="9" s="1"/>
  <c r="CZ28" i="9"/>
  <c r="DB28" i="9" s="1"/>
  <c r="CZ20" i="9"/>
  <c r="DB20" i="9" s="1"/>
  <c r="CZ79" i="9"/>
  <c r="DB79" i="9" s="1"/>
  <c r="CZ69" i="9"/>
  <c r="DB69" i="9" s="1"/>
  <c r="DC69" i="9" s="1"/>
  <c r="CZ59" i="9"/>
  <c r="DB59" i="9" s="1"/>
  <c r="DC59" i="9" s="1"/>
  <c r="CZ51" i="9"/>
  <c r="DB51" i="9" s="1"/>
  <c r="DC51" i="9" s="1"/>
  <c r="CZ41" i="9"/>
  <c r="DB41" i="9" s="1"/>
  <c r="CZ29" i="9"/>
  <c r="DB29" i="9" s="1"/>
  <c r="CZ21" i="9"/>
  <c r="DB21" i="9" s="1"/>
  <c r="BZ449" i="9"/>
  <c r="BF320" i="9"/>
  <c r="BH5" i="9"/>
  <c r="BH320" i="9" s="1"/>
  <c r="BG320" i="9"/>
  <c r="BH382" i="9"/>
  <c r="BH378" i="9"/>
  <c r="BF378" i="9"/>
  <c r="AY423" i="9"/>
  <c r="BN161" i="9"/>
  <c r="CB161" i="9"/>
  <c r="BN294" i="9"/>
  <c r="CB294" i="9"/>
  <c r="BN76" i="9"/>
  <c r="CB76" i="9"/>
  <c r="BN92" i="9"/>
  <c r="CB92" i="9"/>
  <c r="BN5" i="9"/>
  <c r="CB5" i="9"/>
  <c r="BN264" i="9"/>
  <c r="CB264" i="9"/>
  <c r="BN55" i="9"/>
  <c r="CB55" i="9"/>
  <c r="BN181" i="9"/>
  <c r="CB181" i="9"/>
  <c r="BN106" i="9"/>
  <c r="CB106" i="9"/>
  <c r="BN25" i="9"/>
  <c r="CB25" i="9"/>
  <c r="BL334" i="9"/>
  <c r="BL335" i="9"/>
  <c r="BL333" i="9"/>
  <c r="BS335" i="9"/>
  <c r="BS333" i="9"/>
  <c r="BS334" i="9"/>
  <c r="BN83" i="9"/>
  <c r="CB83" i="9"/>
  <c r="BN22" i="9"/>
  <c r="CB22" i="9"/>
  <c r="BN238" i="9"/>
  <c r="CB238" i="9"/>
  <c r="BN248" i="9"/>
  <c r="CB248" i="9"/>
  <c r="BN153" i="9"/>
  <c r="CB153" i="9"/>
  <c r="BN144" i="9"/>
  <c r="CB144" i="9"/>
  <c r="BN196" i="9"/>
  <c r="CB196" i="9"/>
  <c r="BN296" i="9"/>
  <c r="CB296" i="9"/>
  <c r="CF296" i="9" s="1"/>
  <c r="BN128" i="9"/>
  <c r="CB128" i="9"/>
  <c r="BN224" i="9"/>
  <c r="CB224" i="9"/>
  <c r="BN194" i="9"/>
  <c r="CB194" i="9"/>
  <c r="BN304" i="9"/>
  <c r="CB304" i="9"/>
  <c r="BN276" i="9"/>
  <c r="CB276" i="9"/>
  <c r="BN145" i="9"/>
  <c r="CB145" i="9"/>
  <c r="BN203" i="9"/>
  <c r="CB203" i="9"/>
  <c r="AW394" i="9"/>
  <c r="AV370" i="9"/>
  <c r="BN75" i="9"/>
  <c r="CB75" i="9"/>
  <c r="BU336" i="9"/>
  <c r="BK459" i="9"/>
  <c r="BK458" i="9"/>
  <c r="BN165" i="9"/>
  <c r="CB165" i="9"/>
  <c r="BN231" i="9"/>
  <c r="CB231" i="9"/>
  <c r="BN282" i="9"/>
  <c r="CB282" i="9"/>
  <c r="BN100" i="9"/>
  <c r="CB100" i="9"/>
  <c r="BN47" i="9"/>
  <c r="CB47" i="9"/>
  <c r="BN17" i="9"/>
  <c r="CB17" i="9"/>
  <c r="BN302" i="9"/>
  <c r="CB302" i="9"/>
  <c r="BN265" i="9"/>
  <c r="CB265" i="9"/>
  <c r="BN115" i="9"/>
  <c r="CB115" i="9"/>
  <c r="BN139" i="9"/>
  <c r="CB139" i="9"/>
  <c r="BM320" i="9"/>
  <c r="BN135" i="9"/>
  <c r="CB135" i="9"/>
  <c r="BJ320" i="9"/>
  <c r="BK435" i="9" s="1"/>
  <c r="BL320" i="9"/>
  <c r="BN183" i="9"/>
  <c r="CB183" i="9"/>
  <c r="BN217" i="9"/>
  <c r="CB217" i="9"/>
  <c r="BN172" i="9"/>
  <c r="CB172" i="9"/>
  <c r="BN178" i="9"/>
  <c r="CB178" i="9"/>
  <c r="BN184" i="9"/>
  <c r="CB184" i="9"/>
  <c r="BN250" i="9"/>
  <c r="CB250" i="9"/>
  <c r="BN127" i="9"/>
  <c r="CB127" i="9"/>
  <c r="BN191" i="9"/>
  <c r="CB191" i="9"/>
  <c r="BN121" i="9"/>
  <c r="CB121" i="9"/>
  <c r="BN192" i="9"/>
  <c r="CB192" i="9"/>
  <c r="BN156" i="9"/>
  <c r="CB156" i="9"/>
  <c r="BN148" i="9"/>
  <c r="CB148" i="9"/>
  <c r="BN277" i="9"/>
  <c r="CB277" i="9"/>
  <c r="BN200" i="9"/>
  <c r="CB200" i="9"/>
  <c r="BN37" i="9"/>
  <c r="CB37" i="9"/>
  <c r="BN182" i="9"/>
  <c r="CB182" i="9"/>
  <c r="AT454" i="9"/>
  <c r="AR475" i="9"/>
  <c r="AT476" i="9" s="1"/>
  <c r="AT474" i="9" s="1"/>
  <c r="AP167" i="14"/>
  <c r="BC167" i="14"/>
  <c r="BF146" i="14"/>
  <c r="BH146" i="14"/>
  <c r="BZ454" i="9"/>
  <c r="BZ460" i="9"/>
  <c r="BZ470" i="9"/>
  <c r="BZ453" i="9"/>
  <c r="BZ459" i="9"/>
  <c r="BW6" i="9"/>
  <c r="BX6" i="9"/>
  <c r="BY6" i="9" s="1"/>
  <c r="CG6" i="9"/>
  <c r="BW10" i="9"/>
  <c r="BX10" i="9"/>
  <c r="BY10" i="9" s="1"/>
  <c r="CG10" i="9"/>
  <c r="BW14" i="9"/>
  <c r="BX14" i="9"/>
  <c r="BY14" i="9" s="1"/>
  <c r="CG14" i="9"/>
  <c r="BW18" i="9"/>
  <c r="BX18" i="9"/>
  <c r="BY18" i="9" s="1"/>
  <c r="CG18" i="9"/>
  <c r="BW22" i="9"/>
  <c r="BX22" i="9"/>
  <c r="BY22" i="9" s="1"/>
  <c r="CG22" i="9"/>
  <c r="BW26" i="9"/>
  <c r="BX26" i="9"/>
  <c r="BY26" i="9" s="1"/>
  <c r="CG26" i="9"/>
  <c r="BW30" i="9"/>
  <c r="BX30" i="9"/>
  <c r="BY30" i="9" s="1"/>
  <c r="CG30" i="9"/>
  <c r="BW34" i="9"/>
  <c r="BX34" i="9"/>
  <c r="BY34" i="9" s="1"/>
  <c r="CG34" i="9"/>
  <c r="BW38" i="9"/>
  <c r="BX38" i="9"/>
  <c r="BY38" i="9" s="1"/>
  <c r="CG38" i="9"/>
  <c r="BW42" i="9"/>
  <c r="BX42" i="9"/>
  <c r="BY42" i="9" s="1"/>
  <c r="CG42" i="9"/>
  <c r="BW46" i="9"/>
  <c r="BX46" i="9"/>
  <c r="BY46" i="9" s="1"/>
  <c r="CG46" i="9"/>
  <c r="BW50" i="9"/>
  <c r="BX50" i="9"/>
  <c r="BY50" i="9" s="1"/>
  <c r="CG50" i="9"/>
  <c r="BW54" i="9"/>
  <c r="BX54" i="9"/>
  <c r="BY54" i="9" s="1"/>
  <c r="CG54" i="9"/>
  <c r="BW58" i="9"/>
  <c r="BX58" i="9"/>
  <c r="BY58" i="9" s="1"/>
  <c r="CG58" i="9"/>
  <c r="BW62" i="9"/>
  <c r="BX62" i="9"/>
  <c r="BY62" i="9" s="1"/>
  <c r="CG62" i="9"/>
  <c r="BW66" i="9"/>
  <c r="CG66" i="9"/>
  <c r="BX66" i="9"/>
  <c r="BY66" i="9" s="1"/>
  <c r="BW70" i="9"/>
  <c r="CG70" i="9"/>
  <c r="BX70" i="9"/>
  <c r="BY70" i="9" s="1"/>
  <c r="BW74" i="9"/>
  <c r="CG74" i="9"/>
  <c r="BX74" i="9"/>
  <c r="BY74" i="9" s="1"/>
  <c r="BW78" i="9"/>
  <c r="CG78" i="9"/>
  <c r="BX78" i="9"/>
  <c r="BY78" i="9" s="1"/>
  <c r="BW82" i="9"/>
  <c r="CG82" i="9"/>
  <c r="BX82" i="9"/>
  <c r="BY82" i="9" s="1"/>
  <c r="BW86" i="9"/>
  <c r="CG86" i="9"/>
  <c r="BX86" i="9"/>
  <c r="BY86" i="9" s="1"/>
  <c r="BW90" i="9"/>
  <c r="CG90" i="9"/>
  <c r="BX90" i="9"/>
  <c r="BY90" i="9" s="1"/>
  <c r="BW94" i="9"/>
  <c r="CG94" i="9"/>
  <c r="BX94" i="9"/>
  <c r="BY94" i="9" s="1"/>
  <c r="BW98" i="9"/>
  <c r="CG98" i="9"/>
  <c r="BX98" i="9"/>
  <c r="BY98" i="9" s="1"/>
  <c r="BW102" i="9"/>
  <c r="CG102" i="9"/>
  <c r="BX102" i="9"/>
  <c r="BY102" i="9" s="1"/>
  <c r="BW106" i="9"/>
  <c r="CG106" i="9"/>
  <c r="BX106" i="9"/>
  <c r="BY106" i="9" s="1"/>
  <c r="BW110" i="9"/>
  <c r="CG110" i="9"/>
  <c r="BX110" i="9"/>
  <c r="BY110" i="9" s="1"/>
  <c r="BW114" i="9"/>
  <c r="CG114" i="9"/>
  <c r="BX114" i="9"/>
  <c r="BY114" i="9" s="1"/>
  <c r="BW118" i="9"/>
  <c r="CG118" i="9"/>
  <c r="BX118" i="9"/>
  <c r="BY118" i="9" s="1"/>
  <c r="BW122" i="9"/>
  <c r="CG122" i="9"/>
  <c r="BX122" i="9"/>
  <c r="BY122" i="9" s="1"/>
  <c r="BW126" i="9"/>
  <c r="CG126" i="9"/>
  <c r="BX126" i="9"/>
  <c r="BY126" i="9" s="1"/>
  <c r="BW130" i="9"/>
  <c r="CG130" i="9"/>
  <c r="BX130" i="9"/>
  <c r="BY130" i="9" s="1"/>
  <c r="BW134" i="9"/>
  <c r="BX134" i="9"/>
  <c r="BY134" i="9" s="1"/>
  <c r="CG134" i="9"/>
  <c r="BW138" i="9"/>
  <c r="BX138" i="9"/>
  <c r="BY138" i="9" s="1"/>
  <c r="CG138" i="9"/>
  <c r="BW142" i="9"/>
  <c r="BX142" i="9"/>
  <c r="BY142" i="9" s="1"/>
  <c r="CG142" i="9"/>
  <c r="BW146" i="9"/>
  <c r="BX146" i="9"/>
  <c r="BY146" i="9" s="1"/>
  <c r="CG146" i="9"/>
  <c r="BW150" i="9"/>
  <c r="BX150" i="9"/>
  <c r="BY150" i="9" s="1"/>
  <c r="CG150" i="9"/>
  <c r="BW154" i="9"/>
  <c r="BX154" i="9"/>
  <c r="BY154" i="9" s="1"/>
  <c r="CG154" i="9"/>
  <c r="BW158" i="9"/>
  <c r="CG158" i="9"/>
  <c r="BX158" i="9"/>
  <c r="BY158" i="9" s="1"/>
  <c r="BW162" i="9"/>
  <c r="CG162" i="9"/>
  <c r="BX162" i="9"/>
  <c r="BY162" i="9" s="1"/>
  <c r="BW166" i="9"/>
  <c r="CG166" i="9"/>
  <c r="BX166" i="9"/>
  <c r="BY166" i="9" s="1"/>
  <c r="BW170" i="9"/>
  <c r="CG170" i="9"/>
  <c r="BX170" i="9"/>
  <c r="BY170" i="9" s="1"/>
  <c r="BW174" i="9"/>
  <c r="CG174" i="9"/>
  <c r="BX174" i="9"/>
  <c r="BY174" i="9" s="1"/>
  <c r="BW178" i="9"/>
  <c r="CG178" i="9"/>
  <c r="BX178" i="9"/>
  <c r="BY178" i="9" s="1"/>
  <c r="BW182" i="9"/>
  <c r="CG182" i="9"/>
  <c r="BX182" i="9"/>
  <c r="BY182" i="9" s="1"/>
  <c r="BW186" i="9"/>
  <c r="CG186" i="9"/>
  <c r="BX186" i="9"/>
  <c r="BY186" i="9" s="1"/>
  <c r="BW190" i="9"/>
  <c r="CG190" i="9"/>
  <c r="BX190" i="9"/>
  <c r="BY190" i="9" s="1"/>
  <c r="BW194" i="9"/>
  <c r="CG194" i="9"/>
  <c r="BX194" i="9"/>
  <c r="BY194" i="9" s="1"/>
  <c r="BW198" i="9"/>
  <c r="CG198" i="9"/>
  <c r="BX198" i="9"/>
  <c r="BY198" i="9" s="1"/>
  <c r="BW202" i="9"/>
  <c r="CG202" i="9"/>
  <c r="BX202" i="9"/>
  <c r="BY202" i="9" s="1"/>
  <c r="BW206" i="9"/>
  <c r="BX206" i="9"/>
  <c r="BY206" i="9" s="1"/>
  <c r="CG206" i="9"/>
  <c r="BW210" i="9"/>
  <c r="BX210" i="9"/>
  <c r="BY210" i="9" s="1"/>
  <c r="CG210" i="9"/>
  <c r="BW214" i="9"/>
  <c r="BX214" i="9"/>
  <c r="BY214" i="9" s="1"/>
  <c r="CG214" i="9"/>
  <c r="BW218" i="9"/>
  <c r="BX218" i="9"/>
  <c r="BY218" i="9" s="1"/>
  <c r="CG218" i="9"/>
  <c r="BW222" i="9"/>
  <c r="CG222" i="9"/>
  <c r="BX222" i="9"/>
  <c r="BY222" i="9" s="1"/>
  <c r="BW226" i="9"/>
  <c r="CG226" i="9"/>
  <c r="BX226" i="9"/>
  <c r="BY226" i="9" s="1"/>
  <c r="BW230" i="9"/>
  <c r="CG230" i="9"/>
  <c r="BX230" i="9"/>
  <c r="BY230" i="9" s="1"/>
  <c r="BW234" i="9"/>
  <c r="CG234" i="9"/>
  <c r="BX234" i="9"/>
  <c r="BY234" i="9" s="1"/>
  <c r="BW238" i="9"/>
  <c r="CG238" i="9"/>
  <c r="BX238" i="9"/>
  <c r="BY238" i="9" s="1"/>
  <c r="BW242" i="9"/>
  <c r="CG242" i="9"/>
  <c r="BX242" i="9"/>
  <c r="BY242" i="9" s="1"/>
  <c r="CG246" i="9"/>
  <c r="BX246" i="9"/>
  <c r="BY246" i="9" s="1"/>
  <c r="BW246" i="9"/>
  <c r="CG250" i="9"/>
  <c r="BX250" i="9"/>
  <c r="BY250" i="9" s="1"/>
  <c r="BW250" i="9"/>
  <c r="CG254" i="9"/>
  <c r="BX254" i="9"/>
  <c r="BY254" i="9" s="1"/>
  <c r="BW254" i="9"/>
  <c r="CG258" i="9"/>
  <c r="BX258" i="9"/>
  <c r="BY258" i="9" s="1"/>
  <c r="BW258" i="9"/>
  <c r="CG262" i="9"/>
  <c r="BX262" i="9"/>
  <c r="BY262" i="9" s="1"/>
  <c r="BW262" i="9"/>
  <c r="CG266" i="9"/>
  <c r="BX266" i="9"/>
  <c r="BY266" i="9" s="1"/>
  <c r="BW266" i="9"/>
  <c r="CG270" i="9"/>
  <c r="BX270" i="9"/>
  <c r="BY270" i="9" s="1"/>
  <c r="BW270" i="9"/>
  <c r="CG274" i="9"/>
  <c r="BX274" i="9"/>
  <c r="BY274" i="9" s="1"/>
  <c r="BW274" i="9"/>
  <c r="CG278" i="9"/>
  <c r="BX278" i="9"/>
  <c r="BY278" i="9" s="1"/>
  <c r="BW278" i="9"/>
  <c r="BW282" i="9"/>
  <c r="CG282" i="9"/>
  <c r="BX282" i="9"/>
  <c r="BY282" i="9" s="1"/>
  <c r="BW286" i="9"/>
  <c r="CG286" i="9"/>
  <c r="BX286" i="9"/>
  <c r="BY286" i="9" s="1"/>
  <c r="BW290" i="9"/>
  <c r="CG290" i="9"/>
  <c r="BX290" i="9"/>
  <c r="BY290" i="9" s="1"/>
  <c r="BW294" i="9"/>
  <c r="CG294" i="9"/>
  <c r="BX294" i="9"/>
  <c r="BY294" i="9" s="1"/>
  <c r="BW298" i="9"/>
  <c r="CG298" i="9"/>
  <c r="BX298" i="9"/>
  <c r="BY298" i="9" s="1"/>
  <c r="BW302" i="9"/>
  <c r="CG302" i="9"/>
  <c r="BX302" i="9"/>
  <c r="BY302" i="9" s="1"/>
  <c r="BW306" i="9"/>
  <c r="CG306" i="9"/>
  <c r="BX306" i="9"/>
  <c r="BY306" i="9" s="1"/>
  <c r="BW310" i="9"/>
  <c r="CG310" i="9"/>
  <c r="BX310" i="9"/>
  <c r="BY310" i="9" s="1"/>
  <c r="BW314" i="9"/>
  <c r="CG314" i="9"/>
  <c r="BX314" i="9"/>
  <c r="BY314" i="9" s="1"/>
  <c r="BW318" i="9"/>
  <c r="CG318" i="9"/>
  <c r="BX318" i="9"/>
  <c r="BY318" i="9" s="1"/>
  <c r="BX7" i="9"/>
  <c r="BY7" i="9" s="1"/>
  <c r="CG7" i="9"/>
  <c r="BW7" i="9"/>
  <c r="BX11" i="9"/>
  <c r="BY11" i="9" s="1"/>
  <c r="CG11" i="9"/>
  <c r="BW11" i="9"/>
  <c r="BX15" i="9"/>
  <c r="BY15" i="9" s="1"/>
  <c r="CG15" i="9"/>
  <c r="BW15" i="9"/>
  <c r="BX19" i="9"/>
  <c r="BY19" i="9" s="1"/>
  <c r="CG19" i="9"/>
  <c r="BW19" i="9"/>
  <c r="BX23" i="9"/>
  <c r="BY23" i="9" s="1"/>
  <c r="CG23" i="9"/>
  <c r="BW23" i="9"/>
  <c r="BX27" i="9"/>
  <c r="BY27" i="9" s="1"/>
  <c r="CG27" i="9"/>
  <c r="BW27" i="9"/>
  <c r="BX31" i="9"/>
  <c r="BY31" i="9" s="1"/>
  <c r="CG31" i="9"/>
  <c r="BW31" i="9"/>
  <c r="BX35" i="9"/>
  <c r="BY35" i="9" s="1"/>
  <c r="CG35" i="9"/>
  <c r="BW35" i="9"/>
  <c r="BX39" i="9"/>
  <c r="BY39" i="9" s="1"/>
  <c r="CG39" i="9"/>
  <c r="BW39" i="9"/>
  <c r="BX43" i="9"/>
  <c r="BY43" i="9" s="1"/>
  <c r="CG43" i="9"/>
  <c r="BW43" i="9"/>
  <c r="BX47" i="9"/>
  <c r="BY47" i="9" s="1"/>
  <c r="CG47" i="9"/>
  <c r="BW47" i="9"/>
  <c r="BX51" i="9"/>
  <c r="BY51" i="9" s="1"/>
  <c r="CG51" i="9"/>
  <c r="BW51" i="9"/>
  <c r="BX55" i="9"/>
  <c r="BY55" i="9" s="1"/>
  <c r="CG55" i="9"/>
  <c r="BW55" i="9"/>
  <c r="BX59" i="9"/>
  <c r="BY59" i="9" s="1"/>
  <c r="CG59" i="9"/>
  <c r="BW59" i="9"/>
  <c r="BX63" i="9"/>
  <c r="BY63" i="9" s="1"/>
  <c r="CG63" i="9"/>
  <c r="BW63" i="9"/>
  <c r="CG67" i="9"/>
  <c r="BX67" i="9"/>
  <c r="BY67" i="9" s="1"/>
  <c r="BW67" i="9"/>
  <c r="CG71" i="9"/>
  <c r="BX71" i="9"/>
  <c r="BY71" i="9" s="1"/>
  <c r="BW71" i="9"/>
  <c r="CG75" i="9"/>
  <c r="BX75" i="9"/>
  <c r="BY75" i="9" s="1"/>
  <c r="BW75" i="9"/>
  <c r="CG79" i="9"/>
  <c r="BX79" i="9"/>
  <c r="BY79" i="9" s="1"/>
  <c r="BW79" i="9"/>
  <c r="CG83" i="9"/>
  <c r="BX83" i="9"/>
  <c r="BY83" i="9" s="1"/>
  <c r="BW83" i="9"/>
  <c r="CG87" i="9"/>
  <c r="BX87" i="9"/>
  <c r="BY87" i="9" s="1"/>
  <c r="BW87" i="9"/>
  <c r="CG91" i="9"/>
  <c r="BX91" i="9"/>
  <c r="BY91" i="9" s="1"/>
  <c r="BW91" i="9"/>
  <c r="CG95" i="9"/>
  <c r="BX95" i="9"/>
  <c r="BY95" i="9" s="1"/>
  <c r="BW95" i="9"/>
  <c r="CG99" i="9"/>
  <c r="BX99" i="9"/>
  <c r="BY99" i="9" s="1"/>
  <c r="BW99" i="9"/>
  <c r="CG103" i="9"/>
  <c r="BX103" i="9"/>
  <c r="BY103" i="9" s="1"/>
  <c r="BW103" i="9"/>
  <c r="CG107" i="9"/>
  <c r="BX107" i="9"/>
  <c r="BY107" i="9" s="1"/>
  <c r="BW107" i="9"/>
  <c r="CG111" i="9"/>
  <c r="BX111" i="9"/>
  <c r="BY111" i="9" s="1"/>
  <c r="BW111" i="9"/>
  <c r="CG115" i="9"/>
  <c r="BX115" i="9"/>
  <c r="BY115" i="9" s="1"/>
  <c r="BW115" i="9"/>
  <c r="CG119" i="9"/>
  <c r="BX119" i="9"/>
  <c r="BY119" i="9" s="1"/>
  <c r="BW119" i="9"/>
  <c r="CG123" i="9"/>
  <c r="BX123" i="9"/>
  <c r="BY123" i="9" s="1"/>
  <c r="BW123" i="9"/>
  <c r="CG127" i="9"/>
  <c r="BX127" i="9"/>
  <c r="BY127" i="9" s="1"/>
  <c r="BW127" i="9"/>
  <c r="CG131" i="9"/>
  <c r="BX131" i="9"/>
  <c r="BY131" i="9" s="1"/>
  <c r="BW131" i="9"/>
  <c r="BX135" i="9"/>
  <c r="BY135" i="9" s="1"/>
  <c r="CG135" i="9"/>
  <c r="BW135" i="9"/>
  <c r="BX139" i="9"/>
  <c r="BY139" i="9" s="1"/>
  <c r="CG139" i="9"/>
  <c r="BW139" i="9"/>
  <c r="BX143" i="9"/>
  <c r="BY143" i="9" s="1"/>
  <c r="CG143" i="9"/>
  <c r="BW143" i="9"/>
  <c r="BX147" i="9"/>
  <c r="BY147" i="9" s="1"/>
  <c r="CG147" i="9"/>
  <c r="BW147" i="9"/>
  <c r="BX151" i="9"/>
  <c r="BY151" i="9" s="1"/>
  <c r="CG151" i="9"/>
  <c r="BW151" i="9"/>
  <c r="BX155" i="9"/>
  <c r="BY155" i="9" s="1"/>
  <c r="CG155" i="9"/>
  <c r="BW155" i="9"/>
  <c r="CG159" i="9"/>
  <c r="BX159" i="9"/>
  <c r="BY159" i="9" s="1"/>
  <c r="BW159" i="9"/>
  <c r="CG163" i="9"/>
  <c r="BX163" i="9"/>
  <c r="BY163" i="9" s="1"/>
  <c r="BW163" i="9"/>
  <c r="CG167" i="9"/>
  <c r="BX167" i="9"/>
  <c r="BY167" i="9" s="1"/>
  <c r="BW167" i="9"/>
  <c r="CG171" i="9"/>
  <c r="BX171" i="9"/>
  <c r="BY171" i="9" s="1"/>
  <c r="BW171" i="9"/>
  <c r="CG175" i="9"/>
  <c r="BX175" i="9"/>
  <c r="BY175" i="9" s="1"/>
  <c r="BW175" i="9"/>
  <c r="CG179" i="9"/>
  <c r="BX179" i="9"/>
  <c r="BY179" i="9" s="1"/>
  <c r="BW179" i="9"/>
  <c r="CG183" i="9"/>
  <c r="BX183" i="9"/>
  <c r="BY183" i="9" s="1"/>
  <c r="BW183" i="9"/>
  <c r="CG187" i="9"/>
  <c r="BX187" i="9"/>
  <c r="BY187" i="9" s="1"/>
  <c r="BW187" i="9"/>
  <c r="CG191" i="9"/>
  <c r="BX191" i="9"/>
  <c r="BY191" i="9" s="1"/>
  <c r="BW191" i="9"/>
  <c r="CG195" i="9"/>
  <c r="BX195" i="9"/>
  <c r="BY195" i="9" s="1"/>
  <c r="BW195" i="9"/>
  <c r="CG199" i="9"/>
  <c r="BX199" i="9"/>
  <c r="BY199" i="9" s="1"/>
  <c r="BW199" i="9"/>
  <c r="CG203" i="9"/>
  <c r="BX203" i="9"/>
  <c r="BY203" i="9" s="1"/>
  <c r="BW203" i="9"/>
  <c r="BX207" i="9"/>
  <c r="BY207" i="9" s="1"/>
  <c r="CG207" i="9"/>
  <c r="BW207" i="9"/>
  <c r="BX211" i="9"/>
  <c r="BY211" i="9" s="1"/>
  <c r="CG211" i="9"/>
  <c r="BW211" i="9"/>
  <c r="BX215" i="9"/>
  <c r="BY215" i="9" s="1"/>
  <c r="CG215" i="9"/>
  <c r="BW215" i="9"/>
  <c r="BX219" i="9"/>
  <c r="BY219" i="9" s="1"/>
  <c r="CG219" i="9"/>
  <c r="BW219" i="9"/>
  <c r="CG223" i="9"/>
  <c r="BX223" i="9"/>
  <c r="BY223" i="9" s="1"/>
  <c r="BW223" i="9"/>
  <c r="CG227" i="9"/>
  <c r="BX227" i="9"/>
  <c r="BY227" i="9" s="1"/>
  <c r="BW227" i="9"/>
  <c r="CG231" i="9"/>
  <c r="BX231" i="9"/>
  <c r="BY231" i="9" s="1"/>
  <c r="BW231" i="9"/>
  <c r="CG235" i="9"/>
  <c r="BX235" i="9"/>
  <c r="BY235" i="9" s="1"/>
  <c r="BW235" i="9"/>
  <c r="CG239" i="9"/>
  <c r="BX239" i="9"/>
  <c r="BY239" i="9" s="1"/>
  <c r="BW239" i="9"/>
  <c r="CG243" i="9"/>
  <c r="BX243" i="9"/>
  <c r="BY243" i="9" s="1"/>
  <c r="BW243" i="9"/>
  <c r="BX247" i="9"/>
  <c r="BY247" i="9" s="1"/>
  <c r="BW247" i="9"/>
  <c r="CG247" i="9"/>
  <c r="BX251" i="9"/>
  <c r="BY251" i="9" s="1"/>
  <c r="BW251" i="9"/>
  <c r="CG251" i="9"/>
  <c r="BX255" i="9"/>
  <c r="BY255" i="9" s="1"/>
  <c r="BW255" i="9"/>
  <c r="CG255" i="9"/>
  <c r="BX259" i="9"/>
  <c r="BY259" i="9" s="1"/>
  <c r="BW259" i="9"/>
  <c r="CG259" i="9"/>
  <c r="BX263" i="9"/>
  <c r="BY263" i="9" s="1"/>
  <c r="BW263" i="9"/>
  <c r="CG263" i="9"/>
  <c r="BX267" i="9"/>
  <c r="BY267" i="9" s="1"/>
  <c r="BW267" i="9"/>
  <c r="CG267" i="9"/>
  <c r="BX271" i="9"/>
  <c r="BY271" i="9" s="1"/>
  <c r="BW271" i="9"/>
  <c r="CG271" i="9"/>
  <c r="BX275" i="9"/>
  <c r="BY275" i="9" s="1"/>
  <c r="BW275" i="9"/>
  <c r="CG275" i="9"/>
  <c r="CG279" i="9"/>
  <c r="BX279" i="9"/>
  <c r="BY279" i="9" s="1"/>
  <c r="BW279" i="9"/>
  <c r="CG283" i="9"/>
  <c r="BX283" i="9"/>
  <c r="BY283" i="9" s="1"/>
  <c r="BW283" i="9"/>
  <c r="CG287" i="9"/>
  <c r="BX287" i="9"/>
  <c r="BY287" i="9" s="1"/>
  <c r="BW287" i="9"/>
  <c r="CG291" i="9"/>
  <c r="BX291" i="9"/>
  <c r="BY291" i="9" s="1"/>
  <c r="BW291" i="9"/>
  <c r="CG295" i="9"/>
  <c r="BX295" i="9"/>
  <c r="BY295" i="9" s="1"/>
  <c r="BW295" i="9"/>
  <c r="CG299" i="9"/>
  <c r="BX299" i="9"/>
  <c r="BY299" i="9" s="1"/>
  <c r="BW299" i="9"/>
  <c r="CG303" i="9"/>
  <c r="BX303" i="9"/>
  <c r="BY303" i="9" s="1"/>
  <c r="BW303" i="9"/>
  <c r="CG307" i="9"/>
  <c r="BX307" i="9"/>
  <c r="BY307" i="9" s="1"/>
  <c r="BW307" i="9"/>
  <c r="CG311" i="9"/>
  <c r="BX311" i="9"/>
  <c r="BY311" i="9" s="1"/>
  <c r="BW311" i="9"/>
  <c r="CG315" i="9"/>
  <c r="BX315" i="9"/>
  <c r="BY315" i="9" s="1"/>
  <c r="BW315" i="9"/>
  <c r="CG319" i="9"/>
  <c r="BX319" i="9"/>
  <c r="BY319" i="9" s="1"/>
  <c r="BW319" i="9"/>
  <c r="DM137" i="9"/>
  <c r="DK306" i="9"/>
  <c r="DT306" i="9"/>
  <c r="DI306" i="9"/>
  <c r="DI258" i="9"/>
  <c r="DT258" i="9"/>
  <c r="DK258" i="9"/>
  <c r="DK223" i="9"/>
  <c r="DT223" i="9"/>
  <c r="DI223" i="9"/>
  <c r="DT137" i="9"/>
  <c r="DI137" i="9"/>
  <c r="DK137" i="9"/>
  <c r="DN237" i="9"/>
  <c r="DK237" i="9"/>
  <c r="DT237" i="9"/>
  <c r="DI237" i="9"/>
  <c r="DK199" i="9"/>
  <c r="DT199" i="9"/>
  <c r="DI199" i="9"/>
  <c r="DT266" i="9"/>
  <c r="DK266" i="9"/>
  <c r="DI266" i="9"/>
  <c r="DT262" i="9"/>
  <c r="DK262" i="9"/>
  <c r="DI262" i="9"/>
  <c r="DI292" i="9"/>
  <c r="DK292" i="9"/>
  <c r="DT292" i="9"/>
  <c r="DI308" i="9"/>
  <c r="DK308" i="9"/>
  <c r="DT308" i="9"/>
  <c r="DT256" i="9"/>
  <c r="DK256" i="9"/>
  <c r="DI256" i="9"/>
  <c r="DK163" i="9"/>
  <c r="DT163" i="9"/>
  <c r="DI163" i="9"/>
  <c r="DK167" i="9"/>
  <c r="DT167" i="9"/>
  <c r="DI167" i="9"/>
  <c r="DI201" i="9"/>
  <c r="DK201" i="9"/>
  <c r="DT201" i="9"/>
  <c r="DK225" i="9"/>
  <c r="DT225" i="9"/>
  <c r="DI225" i="9"/>
  <c r="DN143" i="9"/>
  <c r="DT143" i="9"/>
  <c r="DI143" i="9"/>
  <c r="DK143" i="9"/>
  <c r="DI243" i="9"/>
  <c r="DK243" i="9"/>
  <c r="DT243" i="9"/>
  <c r="DK289" i="9"/>
  <c r="DT289" i="9"/>
  <c r="DI289" i="9"/>
  <c r="DI59" i="9"/>
  <c r="DK59" i="9"/>
  <c r="DK136" i="9"/>
  <c r="DT136" i="9"/>
  <c r="DI136" i="9"/>
  <c r="DK61" i="9"/>
  <c r="DI61" i="9"/>
  <c r="DK126" i="9"/>
  <c r="DT126" i="9"/>
  <c r="DI126" i="9"/>
  <c r="DI80" i="9"/>
  <c r="DK80" i="9"/>
  <c r="DK38" i="9"/>
  <c r="DI38" i="9"/>
  <c r="DK54" i="9"/>
  <c r="DI54" i="9"/>
  <c r="DN107" i="9"/>
  <c r="DI107" i="9"/>
  <c r="DK107" i="9"/>
  <c r="DT107" i="9"/>
  <c r="DK283" i="9"/>
  <c r="DT283" i="9"/>
  <c r="DI283" i="9"/>
  <c r="DK285" i="9"/>
  <c r="DT285" i="9"/>
  <c r="DI285" i="9"/>
  <c r="DI91" i="9"/>
  <c r="DK91" i="9"/>
  <c r="DT91" i="9"/>
  <c r="DI269" i="9"/>
  <c r="DT269" i="9"/>
  <c r="DK269" i="9"/>
  <c r="DK180" i="9"/>
  <c r="DT180" i="9"/>
  <c r="DI180" i="9"/>
  <c r="DT275" i="9"/>
  <c r="DK275" i="9"/>
  <c r="DI275" i="9"/>
  <c r="DK168" i="9"/>
  <c r="DT168" i="9"/>
  <c r="DI168" i="9"/>
  <c r="DK48" i="9"/>
  <c r="DT48" i="9"/>
  <c r="DI48" i="9"/>
  <c r="DK230" i="9"/>
  <c r="DT230" i="9"/>
  <c r="DI230" i="9"/>
  <c r="DI119" i="9"/>
  <c r="DK119" i="9"/>
  <c r="DT119" i="9"/>
  <c r="DT142" i="9"/>
  <c r="DI142" i="9"/>
  <c r="DK142" i="9"/>
  <c r="DI43" i="9"/>
  <c r="DK43" i="9"/>
  <c r="DI51" i="9"/>
  <c r="DK51" i="9"/>
  <c r="DK307" i="9"/>
  <c r="DT307" i="9"/>
  <c r="DI307" i="9"/>
  <c r="DK204" i="9"/>
  <c r="DT204" i="9"/>
  <c r="DI204" i="9"/>
  <c r="DT40" i="9"/>
  <c r="DI40" i="9"/>
  <c r="DK40" i="9"/>
  <c r="DI295" i="9"/>
  <c r="DK295" i="9"/>
  <c r="DT295" i="9"/>
  <c r="DK89" i="9"/>
  <c r="DT89" i="9"/>
  <c r="DI89" i="9"/>
  <c r="DI16" i="9"/>
  <c r="DK16" i="9"/>
  <c r="DN77" i="9"/>
  <c r="DI77" i="9"/>
  <c r="DK77" i="9"/>
  <c r="DN39" i="9"/>
  <c r="DK39" i="9"/>
  <c r="DT39" i="9"/>
  <c r="DI39" i="9"/>
  <c r="DT253" i="9"/>
  <c r="DK253" i="9"/>
  <c r="DI253" i="9"/>
  <c r="DK64" i="9"/>
  <c r="DT64" i="9"/>
  <c r="DI64" i="9"/>
  <c r="DI249" i="9"/>
  <c r="DT249" i="9"/>
  <c r="DK249" i="9"/>
  <c r="DK45" i="9"/>
  <c r="DI45" i="9"/>
  <c r="DK24" i="9"/>
  <c r="DI24" i="9"/>
  <c r="DT220" i="9"/>
  <c r="DI220" i="9"/>
  <c r="DK220" i="9"/>
  <c r="DK133" i="9"/>
  <c r="DT133" i="9"/>
  <c r="DI133" i="9"/>
  <c r="DK85" i="9"/>
  <c r="DT85" i="9"/>
  <c r="DI85" i="9"/>
  <c r="DN186" i="9"/>
  <c r="DK186" i="9"/>
  <c r="DT186" i="9"/>
  <c r="DI186" i="9"/>
  <c r="DK104" i="9"/>
  <c r="DT104" i="9"/>
  <c r="DI104" i="9"/>
  <c r="DK88" i="9"/>
  <c r="DT88" i="9"/>
  <c r="DI88" i="9"/>
  <c r="DK97" i="9"/>
  <c r="DT97" i="9"/>
  <c r="DI97" i="9"/>
  <c r="DK31" i="9"/>
  <c r="DT31" i="9"/>
  <c r="DI31" i="9"/>
  <c r="DI73" i="9"/>
  <c r="DK73" i="9"/>
  <c r="DT73" i="9"/>
  <c r="DK87" i="9"/>
  <c r="DT87" i="9"/>
  <c r="DI87" i="9"/>
  <c r="EI319" i="9"/>
  <c r="EI318" i="9"/>
  <c r="EI317" i="9"/>
  <c r="EI316" i="9"/>
  <c r="EI315" i="9"/>
  <c r="EI314" i="9"/>
  <c r="EI313" i="9"/>
  <c r="EH319" i="9"/>
  <c r="EH317" i="9"/>
  <c r="EH315" i="9"/>
  <c r="EH313" i="9"/>
  <c r="DY312" i="9"/>
  <c r="DY311" i="9"/>
  <c r="DY310" i="9"/>
  <c r="DY309" i="9"/>
  <c r="DY308" i="9"/>
  <c r="DY307" i="9"/>
  <c r="DY306" i="9"/>
  <c r="DY305" i="9"/>
  <c r="DY304" i="9"/>
  <c r="DY303" i="9"/>
  <c r="DY302" i="9"/>
  <c r="DY301" i="9"/>
  <c r="DY300" i="9"/>
  <c r="DY299" i="9"/>
  <c r="DY298" i="9"/>
  <c r="DY297" i="9"/>
  <c r="DY296" i="9"/>
  <c r="DY295" i="9"/>
  <c r="DY294" i="9"/>
  <c r="DY293" i="9"/>
  <c r="DY292" i="9"/>
  <c r="DY291" i="9"/>
  <c r="DY290" i="9"/>
  <c r="DY289" i="9"/>
  <c r="DY288" i="9"/>
  <c r="DY287" i="9"/>
  <c r="DY286" i="9"/>
  <c r="DY285" i="9"/>
  <c r="DY284" i="9"/>
  <c r="DY283" i="9"/>
  <c r="DY282" i="9"/>
  <c r="DY281" i="9"/>
  <c r="DY280" i="9"/>
  <c r="DY279" i="9"/>
  <c r="EH311" i="9"/>
  <c r="EH309" i="9"/>
  <c r="EH307" i="9"/>
  <c r="EH305" i="9"/>
  <c r="EH303" i="9"/>
  <c r="EH301" i="9"/>
  <c r="EH299" i="9"/>
  <c r="EH297" i="9"/>
  <c r="EH295" i="9"/>
  <c r="EH293" i="9"/>
  <c r="EH291" i="9"/>
  <c r="EH289" i="9"/>
  <c r="EH287" i="9"/>
  <c r="EH285" i="9"/>
  <c r="EH283" i="9"/>
  <c r="EH281" i="9"/>
  <c r="EH279" i="9"/>
  <c r="EH277" i="9"/>
  <c r="EH275" i="9"/>
  <c r="EH273" i="9"/>
  <c r="EH271" i="9"/>
  <c r="EH269" i="9"/>
  <c r="EH267" i="9"/>
  <c r="EH265" i="9"/>
  <c r="EH263" i="9"/>
  <c r="EH261" i="9"/>
  <c r="EH259" i="9"/>
  <c r="EH257" i="9"/>
  <c r="EH255" i="9"/>
  <c r="EH253" i="9"/>
  <c r="EH251" i="9"/>
  <c r="EH249" i="9"/>
  <c r="EH247" i="9"/>
  <c r="EH245" i="9"/>
  <c r="DY278" i="9"/>
  <c r="DY276" i="9"/>
  <c r="DY274" i="9"/>
  <c r="DY272" i="9"/>
  <c r="DY270" i="9"/>
  <c r="DY268" i="9"/>
  <c r="DY266" i="9"/>
  <c r="DY264" i="9"/>
  <c r="DY262" i="9"/>
  <c r="DY260" i="9"/>
  <c r="DY258" i="9"/>
  <c r="DY256" i="9"/>
  <c r="DY254" i="9"/>
  <c r="DY252" i="9"/>
  <c r="DY250" i="9"/>
  <c r="DY248" i="9"/>
  <c r="DY246" i="9"/>
  <c r="DY244" i="9"/>
  <c r="DY243" i="9"/>
  <c r="DY242" i="9"/>
  <c r="DY241" i="9"/>
  <c r="DY240" i="9"/>
  <c r="DY239" i="9"/>
  <c r="DY238" i="9"/>
  <c r="DY237" i="9"/>
  <c r="DY236" i="9"/>
  <c r="DY235" i="9"/>
  <c r="DY234" i="9"/>
  <c r="DY233" i="9"/>
  <c r="DY232" i="9"/>
  <c r="DY231" i="9"/>
  <c r="DY230" i="9"/>
  <c r="DY229" i="9"/>
  <c r="DY228" i="9"/>
  <c r="DY227" i="9"/>
  <c r="DY226" i="9"/>
  <c r="DY225" i="9"/>
  <c r="DY224" i="9"/>
  <c r="DY223" i="9"/>
  <c r="DY222" i="9"/>
  <c r="DY221" i="9"/>
  <c r="EI277" i="9"/>
  <c r="EI275" i="9"/>
  <c r="EI273" i="9"/>
  <c r="EI271" i="9"/>
  <c r="EI269" i="9"/>
  <c r="EI267" i="9"/>
  <c r="EI265" i="9"/>
  <c r="EI263" i="9"/>
  <c r="EI261" i="9"/>
  <c r="EI259" i="9"/>
  <c r="EI257" i="9"/>
  <c r="EI255" i="9"/>
  <c r="EI253" i="9"/>
  <c r="EI251" i="9"/>
  <c r="EI249" i="9"/>
  <c r="EI247" i="9"/>
  <c r="EI245" i="9"/>
  <c r="EH243" i="9"/>
  <c r="EH241" i="9"/>
  <c r="EH239" i="9"/>
  <c r="EH237" i="9"/>
  <c r="EH235" i="9"/>
  <c r="EH233" i="9"/>
  <c r="EH231" i="9"/>
  <c r="EH229" i="9"/>
  <c r="EH227" i="9"/>
  <c r="EH225" i="9"/>
  <c r="EH223" i="9"/>
  <c r="EH221" i="9"/>
  <c r="EH219" i="9"/>
  <c r="EH217" i="9"/>
  <c r="EH215" i="9"/>
  <c r="EH213" i="9"/>
  <c r="EH211" i="9"/>
  <c r="EH209" i="9"/>
  <c r="EH207" i="9"/>
  <c r="EI220" i="9"/>
  <c r="EI218" i="9"/>
  <c r="EI216" i="9"/>
  <c r="EI214" i="9"/>
  <c r="EI212" i="9"/>
  <c r="EI210" i="9"/>
  <c r="EI208" i="9"/>
  <c r="EI206" i="9"/>
  <c r="DY205" i="9"/>
  <c r="DY204" i="9"/>
  <c r="DY203" i="9"/>
  <c r="DY202" i="9"/>
  <c r="DY201" i="9"/>
  <c r="DY200" i="9"/>
  <c r="DY199" i="9"/>
  <c r="DY198" i="9"/>
  <c r="DY197" i="9"/>
  <c r="DY196" i="9"/>
  <c r="DY195" i="9"/>
  <c r="DY194" i="9"/>
  <c r="DY193" i="9"/>
  <c r="DY192" i="9"/>
  <c r="DY191" i="9"/>
  <c r="DY190" i="9"/>
  <c r="DY189" i="9"/>
  <c r="DY188" i="9"/>
  <c r="DY187" i="9"/>
  <c r="DY186" i="9"/>
  <c r="DY185" i="9"/>
  <c r="DY184" i="9"/>
  <c r="DY183" i="9"/>
  <c r="DY182" i="9"/>
  <c r="DY181" i="9"/>
  <c r="DY180" i="9"/>
  <c r="DY179" i="9"/>
  <c r="DY178" i="9"/>
  <c r="DY177" i="9"/>
  <c r="DY176" i="9"/>
  <c r="DY175" i="9"/>
  <c r="DY174" i="9"/>
  <c r="DY173" i="9"/>
  <c r="DY172" i="9"/>
  <c r="DY171" i="9"/>
  <c r="DY170" i="9"/>
  <c r="DY169" i="9"/>
  <c r="DY168" i="9"/>
  <c r="DY167" i="9"/>
  <c r="DY166" i="9"/>
  <c r="DY165" i="9"/>
  <c r="DY164" i="9"/>
  <c r="DY163" i="9"/>
  <c r="DY162" i="9"/>
  <c r="DY161" i="9"/>
  <c r="DY160" i="9"/>
  <c r="DY159" i="9"/>
  <c r="DY158" i="9"/>
  <c r="DY157" i="9"/>
  <c r="DY219" i="9"/>
  <c r="DY217" i="9"/>
  <c r="DY215" i="9"/>
  <c r="DY213" i="9"/>
  <c r="DY211" i="9"/>
  <c r="DY209" i="9"/>
  <c r="DY207" i="9"/>
  <c r="EH205" i="9"/>
  <c r="EH203" i="9"/>
  <c r="EH201" i="9"/>
  <c r="EH199" i="9"/>
  <c r="EH197" i="9"/>
  <c r="EH195" i="9"/>
  <c r="EH193" i="9"/>
  <c r="EH191" i="9"/>
  <c r="EH189" i="9"/>
  <c r="EH187" i="9"/>
  <c r="EH185" i="9"/>
  <c r="EH183" i="9"/>
  <c r="EH181" i="9"/>
  <c r="EH179" i="9"/>
  <c r="EH177" i="9"/>
  <c r="EH175" i="9"/>
  <c r="EH173" i="9"/>
  <c r="EH171" i="9"/>
  <c r="EH169" i="9"/>
  <c r="EH167" i="9"/>
  <c r="EH165" i="9"/>
  <c r="EH163" i="9"/>
  <c r="EH161" i="9"/>
  <c r="EH159" i="9"/>
  <c r="EH157" i="9"/>
  <c r="EH155" i="9"/>
  <c r="EH153" i="9"/>
  <c r="EH151" i="9"/>
  <c r="EH149" i="9"/>
  <c r="EH147" i="9"/>
  <c r="EH145" i="9"/>
  <c r="EH143" i="9"/>
  <c r="EH141" i="9"/>
  <c r="EH139" i="9"/>
  <c r="EH137" i="9"/>
  <c r="EH135" i="9"/>
  <c r="EH133" i="9"/>
  <c r="EI155" i="9"/>
  <c r="EI153" i="9"/>
  <c r="EI151" i="9"/>
  <c r="EI149" i="9"/>
  <c r="EI147" i="9"/>
  <c r="EI145" i="9"/>
  <c r="EI143" i="9"/>
  <c r="EI141" i="9"/>
  <c r="EI139" i="9"/>
  <c r="EI137" i="9"/>
  <c r="EI135" i="9"/>
  <c r="EI133" i="9"/>
  <c r="DY132" i="9"/>
  <c r="DY131" i="9"/>
  <c r="DY130" i="9"/>
  <c r="DY129" i="9"/>
  <c r="DY128" i="9"/>
  <c r="DY127" i="9"/>
  <c r="DY126" i="9"/>
  <c r="DY125" i="9"/>
  <c r="DY124" i="9"/>
  <c r="DY123" i="9"/>
  <c r="DY122" i="9"/>
  <c r="DY121" i="9"/>
  <c r="DY120" i="9"/>
  <c r="DY119" i="9"/>
  <c r="DY118" i="9"/>
  <c r="DY117" i="9"/>
  <c r="DY116" i="9"/>
  <c r="DY115" i="9"/>
  <c r="DY114" i="9"/>
  <c r="DY113" i="9"/>
  <c r="DY112" i="9"/>
  <c r="DY111" i="9"/>
  <c r="DY110" i="9"/>
  <c r="DY109" i="9"/>
  <c r="DY108" i="9"/>
  <c r="DY107" i="9"/>
  <c r="DY106" i="9"/>
  <c r="DY105" i="9"/>
  <c r="DY104" i="9"/>
  <c r="DY103" i="9"/>
  <c r="DY102" i="9"/>
  <c r="DY101" i="9"/>
  <c r="DY100" i="9"/>
  <c r="DY99" i="9"/>
  <c r="DY98" i="9"/>
  <c r="DY97" i="9"/>
  <c r="DY96" i="9"/>
  <c r="DY95" i="9"/>
  <c r="DY94" i="9"/>
  <c r="DY93" i="9"/>
  <c r="DY92" i="9"/>
  <c r="DY91" i="9"/>
  <c r="DY90" i="9"/>
  <c r="DY89" i="9"/>
  <c r="DY88" i="9"/>
  <c r="DY87" i="9"/>
  <c r="DY86" i="9"/>
  <c r="DY85" i="9"/>
  <c r="DY84" i="9"/>
  <c r="DY83" i="9"/>
  <c r="DY82" i="9"/>
  <c r="DY81" i="9"/>
  <c r="DY80" i="9"/>
  <c r="DY79" i="9"/>
  <c r="DY78" i="9"/>
  <c r="DY77" i="9"/>
  <c r="DY76" i="9"/>
  <c r="DY75" i="9"/>
  <c r="DY74" i="9"/>
  <c r="DY73" i="9"/>
  <c r="DY72" i="9"/>
  <c r="DY71" i="9"/>
  <c r="DY70" i="9"/>
  <c r="DY69" i="9"/>
  <c r="DY68" i="9"/>
  <c r="DY67" i="9"/>
  <c r="DY66" i="9"/>
  <c r="DY65" i="9"/>
  <c r="DY155" i="9"/>
  <c r="DY153" i="9"/>
  <c r="DY151" i="9"/>
  <c r="DY149" i="9"/>
  <c r="DY147" i="9"/>
  <c r="DY145" i="9"/>
  <c r="DY143" i="9"/>
  <c r="DY141" i="9"/>
  <c r="DY139" i="9"/>
  <c r="DY137" i="9"/>
  <c r="DY135" i="9"/>
  <c r="DY133" i="9"/>
  <c r="EH131" i="9"/>
  <c r="EH129" i="9"/>
  <c r="EH127" i="9"/>
  <c r="EH125" i="9"/>
  <c r="EH123" i="9"/>
  <c r="EH121" i="9"/>
  <c r="EH119" i="9"/>
  <c r="EH117" i="9"/>
  <c r="EH115" i="9"/>
  <c r="EH113" i="9"/>
  <c r="EH111" i="9"/>
  <c r="EH109" i="9"/>
  <c r="EH107" i="9"/>
  <c r="EH105" i="9"/>
  <c r="EH103" i="9"/>
  <c r="EH101" i="9"/>
  <c r="EH99" i="9"/>
  <c r="EH97" i="9"/>
  <c r="EH95" i="9"/>
  <c r="EH93" i="9"/>
  <c r="EH91" i="9"/>
  <c r="EH89" i="9"/>
  <c r="EH87" i="9"/>
  <c r="EH85" i="9"/>
  <c r="EH83" i="9"/>
  <c r="EH74" i="9"/>
  <c r="EH65" i="9"/>
  <c r="EH49" i="9"/>
  <c r="EH40" i="9"/>
  <c r="EH31" i="9"/>
  <c r="EH14" i="9"/>
  <c r="EH12" i="9"/>
  <c r="EH10" i="9"/>
  <c r="EH8" i="9"/>
  <c r="EH6" i="9"/>
  <c r="ET4" i="9"/>
  <c r="ED4" i="9"/>
  <c r="EI63" i="9"/>
  <c r="EI61" i="9"/>
  <c r="EI59" i="9"/>
  <c r="EI57" i="9"/>
  <c r="EI55" i="9"/>
  <c r="EI53" i="9"/>
  <c r="EI51" i="9"/>
  <c r="EI49" i="9"/>
  <c r="EI47" i="9"/>
  <c r="EI45" i="9"/>
  <c r="EI43" i="9"/>
  <c r="EI41" i="9"/>
  <c r="EI39" i="9"/>
  <c r="EI37" i="9"/>
  <c r="EI35" i="9"/>
  <c r="EI33" i="9"/>
  <c r="EI31" i="9"/>
  <c r="EI29" i="9"/>
  <c r="EI27" i="9"/>
  <c r="EI25" i="9"/>
  <c r="EI23" i="9"/>
  <c r="EI21" i="9"/>
  <c r="EI19" i="9"/>
  <c r="EI17" i="9"/>
  <c r="EI15" i="9"/>
  <c r="EI13" i="9"/>
  <c r="EI11" i="9"/>
  <c r="EI9" i="9"/>
  <c r="EI7" i="9"/>
  <c r="EI5" i="9"/>
  <c r="EA4" i="9"/>
  <c r="DY64" i="9"/>
  <c r="DY62" i="9"/>
  <c r="DY60" i="9"/>
  <c r="DY58" i="9"/>
  <c r="DY56" i="9"/>
  <c r="DY54" i="9"/>
  <c r="DY52" i="9"/>
  <c r="DY50" i="9"/>
  <c r="DY48" i="9"/>
  <c r="DY46" i="9"/>
  <c r="DY44" i="9"/>
  <c r="DY42" i="9"/>
  <c r="DY40" i="9"/>
  <c r="DY38" i="9"/>
  <c r="DY36" i="9"/>
  <c r="DY34" i="9"/>
  <c r="DY32" i="9"/>
  <c r="DY30" i="9"/>
  <c r="DY28" i="9"/>
  <c r="DY26" i="9"/>
  <c r="DY24" i="9"/>
  <c r="DY22" i="9"/>
  <c r="DY20" i="9"/>
  <c r="DY18" i="9"/>
  <c r="DY16" i="9"/>
  <c r="DY14" i="9"/>
  <c r="DY12" i="9"/>
  <c r="DY10" i="9"/>
  <c r="DY8" i="9"/>
  <c r="DY6" i="9"/>
  <c r="DY4" i="9"/>
  <c r="DZ4" i="9" s="1"/>
  <c r="DY319" i="9"/>
  <c r="DY318" i="9"/>
  <c r="DY317" i="9"/>
  <c r="DY316" i="9"/>
  <c r="DY315" i="9"/>
  <c r="DY314" i="9"/>
  <c r="DY313" i="9"/>
  <c r="EH318" i="9"/>
  <c r="EH316" i="9"/>
  <c r="EH314" i="9"/>
  <c r="EI312" i="9"/>
  <c r="EI311" i="9"/>
  <c r="EI310" i="9"/>
  <c r="EI309" i="9"/>
  <c r="EI308" i="9"/>
  <c r="EI307" i="9"/>
  <c r="EI306" i="9"/>
  <c r="EI305" i="9"/>
  <c r="EI304" i="9"/>
  <c r="EI303" i="9"/>
  <c r="EI302" i="9"/>
  <c r="EI301" i="9"/>
  <c r="EI300" i="9"/>
  <c r="EI299" i="9"/>
  <c r="EI298" i="9"/>
  <c r="EI297" i="9"/>
  <c r="EI296" i="9"/>
  <c r="EI295" i="9"/>
  <c r="EI294" i="9"/>
  <c r="EI293" i="9"/>
  <c r="EI292" i="9"/>
  <c r="EI291" i="9"/>
  <c r="EI290" i="9"/>
  <c r="EI289" i="9"/>
  <c r="EI288" i="9"/>
  <c r="EI287" i="9"/>
  <c r="EI286" i="9"/>
  <c r="EI285" i="9"/>
  <c r="EI284" i="9"/>
  <c r="EI283" i="9"/>
  <c r="EI282" i="9"/>
  <c r="EI281" i="9"/>
  <c r="EI280" i="9"/>
  <c r="EI279" i="9"/>
  <c r="EH312" i="9"/>
  <c r="EH310" i="9"/>
  <c r="EH308" i="9"/>
  <c r="EH306" i="9"/>
  <c r="EH304" i="9"/>
  <c r="EH302" i="9"/>
  <c r="EH300" i="9"/>
  <c r="EH298" i="9"/>
  <c r="EH296" i="9"/>
  <c r="EH294" i="9"/>
  <c r="EH292" i="9"/>
  <c r="EH290" i="9"/>
  <c r="EH288" i="9"/>
  <c r="EH286" i="9"/>
  <c r="EH284" i="9"/>
  <c r="EH282" i="9"/>
  <c r="EH280" i="9"/>
  <c r="EH278" i="9"/>
  <c r="EH276" i="9"/>
  <c r="EH274" i="9"/>
  <c r="EH272" i="9"/>
  <c r="EH270" i="9"/>
  <c r="EH268" i="9"/>
  <c r="EH266" i="9"/>
  <c r="EH264" i="9"/>
  <c r="EH262" i="9"/>
  <c r="EH260" i="9"/>
  <c r="EH258" i="9"/>
  <c r="EH256" i="9"/>
  <c r="EH254" i="9"/>
  <c r="EH252" i="9"/>
  <c r="EH250" i="9"/>
  <c r="EH248" i="9"/>
  <c r="EH246" i="9"/>
  <c r="EH244" i="9"/>
  <c r="DY277" i="9"/>
  <c r="DY275" i="9"/>
  <c r="DY273" i="9"/>
  <c r="DY271" i="9"/>
  <c r="DY269" i="9"/>
  <c r="DY267" i="9"/>
  <c r="DY265" i="9"/>
  <c r="DY263" i="9"/>
  <c r="DY261" i="9"/>
  <c r="DY259" i="9"/>
  <c r="DY257" i="9"/>
  <c r="DY255" i="9"/>
  <c r="DY253" i="9"/>
  <c r="DY251" i="9"/>
  <c r="DY249" i="9"/>
  <c r="DY247" i="9"/>
  <c r="DY245" i="9"/>
  <c r="EI243" i="9"/>
  <c r="EI242" i="9"/>
  <c r="EI241" i="9"/>
  <c r="EI240" i="9"/>
  <c r="EI239" i="9"/>
  <c r="EI238" i="9"/>
  <c r="EI237" i="9"/>
  <c r="EI236" i="9"/>
  <c r="EI235" i="9"/>
  <c r="EI234" i="9"/>
  <c r="EI233" i="9"/>
  <c r="EI232" i="9"/>
  <c r="EI231" i="9"/>
  <c r="EI230" i="9"/>
  <c r="EI229" i="9"/>
  <c r="EI228" i="9"/>
  <c r="EI227" i="9"/>
  <c r="EI226" i="9"/>
  <c r="EI225" i="9"/>
  <c r="EI224" i="9"/>
  <c r="EI223" i="9"/>
  <c r="EI222" i="9"/>
  <c r="EI221" i="9"/>
  <c r="EI278" i="9"/>
  <c r="EI276" i="9"/>
  <c r="EI274" i="9"/>
  <c r="EI272" i="9"/>
  <c r="EI270" i="9"/>
  <c r="EI268" i="9"/>
  <c r="EI266" i="9"/>
  <c r="EI264" i="9"/>
  <c r="EI262" i="9"/>
  <c r="EI260" i="9"/>
  <c r="EI258" i="9"/>
  <c r="EI256" i="9"/>
  <c r="EI254" i="9"/>
  <c r="EI252" i="9"/>
  <c r="EI250" i="9"/>
  <c r="EI248" i="9"/>
  <c r="EI246" i="9"/>
  <c r="EI244" i="9"/>
  <c r="EH242" i="9"/>
  <c r="EH240" i="9"/>
  <c r="EH238" i="9"/>
  <c r="EH236" i="9"/>
  <c r="EH234" i="9"/>
  <c r="EH232" i="9"/>
  <c r="EH230" i="9"/>
  <c r="EH228" i="9"/>
  <c r="EH226" i="9"/>
  <c r="EH224" i="9"/>
  <c r="EH222" i="9"/>
  <c r="EH220" i="9"/>
  <c r="EH218" i="9"/>
  <c r="EH216" i="9"/>
  <c r="EH214" i="9"/>
  <c r="EH212" i="9"/>
  <c r="EH210" i="9"/>
  <c r="EH208" i="9"/>
  <c r="EH206" i="9"/>
  <c r="EI219" i="9"/>
  <c r="EI217" i="9"/>
  <c r="EI215" i="9"/>
  <c r="EI213" i="9"/>
  <c r="EI211" i="9"/>
  <c r="EI209" i="9"/>
  <c r="EI207" i="9"/>
  <c r="EI205" i="9"/>
  <c r="EI204" i="9"/>
  <c r="EI203" i="9"/>
  <c r="EI202" i="9"/>
  <c r="EI201" i="9"/>
  <c r="EI200" i="9"/>
  <c r="EI199" i="9"/>
  <c r="EI198" i="9"/>
  <c r="EI197" i="9"/>
  <c r="EI196" i="9"/>
  <c r="EI195" i="9"/>
  <c r="EI194" i="9"/>
  <c r="EI193" i="9"/>
  <c r="EI192" i="9"/>
  <c r="EI191" i="9"/>
  <c r="EI190" i="9"/>
  <c r="EI189" i="9"/>
  <c r="EI188" i="9"/>
  <c r="EI187" i="9"/>
  <c r="EI186" i="9"/>
  <c r="EI185" i="9"/>
  <c r="EI184" i="9"/>
  <c r="EI183" i="9"/>
  <c r="EI182" i="9"/>
  <c r="EI181" i="9"/>
  <c r="EI180" i="9"/>
  <c r="EI179" i="9"/>
  <c r="EI178" i="9"/>
  <c r="EI177" i="9"/>
  <c r="EI176" i="9"/>
  <c r="EI175" i="9"/>
  <c r="EI174" i="9"/>
  <c r="EI173" i="9"/>
  <c r="EI172" i="9"/>
  <c r="EI171" i="9"/>
  <c r="EI170" i="9"/>
  <c r="EI169" i="9"/>
  <c r="EI168" i="9"/>
  <c r="EI167" i="9"/>
  <c r="EI166" i="9"/>
  <c r="EI165" i="9"/>
  <c r="EI164" i="9"/>
  <c r="EI163" i="9"/>
  <c r="EI162" i="9"/>
  <c r="EI161" i="9"/>
  <c r="EI160" i="9"/>
  <c r="EI159" i="9"/>
  <c r="EI158" i="9"/>
  <c r="EI157" i="9"/>
  <c r="DY220" i="9"/>
  <c r="DY218" i="9"/>
  <c r="DY216" i="9"/>
  <c r="DY214" i="9"/>
  <c r="DY212" i="9"/>
  <c r="DY210" i="9"/>
  <c r="DY208" i="9"/>
  <c r="DY206" i="9"/>
  <c r="EH204" i="9"/>
  <c r="EH202" i="9"/>
  <c r="EH200" i="9"/>
  <c r="EH198" i="9"/>
  <c r="EH196" i="9"/>
  <c r="EH194" i="9"/>
  <c r="EH192" i="9"/>
  <c r="EH190" i="9"/>
  <c r="EH188" i="9"/>
  <c r="EH186" i="9"/>
  <c r="EH184" i="9"/>
  <c r="EH182" i="9"/>
  <c r="EH180" i="9"/>
  <c r="EH178" i="9"/>
  <c r="EH176" i="9"/>
  <c r="EH174" i="9"/>
  <c r="EH172" i="9"/>
  <c r="EH170" i="9"/>
  <c r="EH168" i="9"/>
  <c r="EH166" i="9"/>
  <c r="EH164" i="9"/>
  <c r="EH162" i="9"/>
  <c r="EH160" i="9"/>
  <c r="EH158" i="9"/>
  <c r="EH156" i="9"/>
  <c r="EH154" i="9"/>
  <c r="EH152" i="9"/>
  <c r="EH150" i="9"/>
  <c r="EH148" i="9"/>
  <c r="EH146" i="9"/>
  <c r="EH144" i="9"/>
  <c r="EH142" i="9"/>
  <c r="EH140" i="9"/>
  <c r="EH138" i="9"/>
  <c r="EH136" i="9"/>
  <c r="EH134" i="9"/>
  <c r="EI156" i="9"/>
  <c r="EI154" i="9"/>
  <c r="EI152" i="9"/>
  <c r="EI150" i="9"/>
  <c r="EI148" i="9"/>
  <c r="EI146" i="9"/>
  <c r="EI144" i="9"/>
  <c r="EI142" i="9"/>
  <c r="EI140" i="9"/>
  <c r="EI138" i="9"/>
  <c r="EI136" i="9"/>
  <c r="EI134" i="9"/>
  <c r="EI132" i="9"/>
  <c r="EI131" i="9"/>
  <c r="EI130" i="9"/>
  <c r="EI129" i="9"/>
  <c r="EI128" i="9"/>
  <c r="EI127" i="9"/>
  <c r="EI126" i="9"/>
  <c r="EI125" i="9"/>
  <c r="EI124" i="9"/>
  <c r="EI123" i="9"/>
  <c r="EI122" i="9"/>
  <c r="EI121" i="9"/>
  <c r="EI120" i="9"/>
  <c r="EI119" i="9"/>
  <c r="EI118" i="9"/>
  <c r="EI117" i="9"/>
  <c r="EI116" i="9"/>
  <c r="EI115" i="9"/>
  <c r="EI114" i="9"/>
  <c r="EI113" i="9"/>
  <c r="EI112" i="9"/>
  <c r="EI111" i="9"/>
  <c r="EI110" i="9"/>
  <c r="EI109" i="9"/>
  <c r="EI108" i="9"/>
  <c r="EI107" i="9"/>
  <c r="EI106" i="9"/>
  <c r="EI105" i="9"/>
  <c r="EI104" i="9"/>
  <c r="EI103" i="9"/>
  <c r="EI102" i="9"/>
  <c r="EI101" i="9"/>
  <c r="EI100" i="9"/>
  <c r="EI99" i="9"/>
  <c r="EI98" i="9"/>
  <c r="EI97" i="9"/>
  <c r="EI96" i="9"/>
  <c r="EI95" i="9"/>
  <c r="EI94" i="9"/>
  <c r="EI93" i="9"/>
  <c r="EI92" i="9"/>
  <c r="EI91" i="9"/>
  <c r="EI90" i="9"/>
  <c r="EI89" i="9"/>
  <c r="EI88" i="9"/>
  <c r="EI87" i="9"/>
  <c r="EI86" i="9"/>
  <c r="EI85" i="9"/>
  <c r="EI84" i="9"/>
  <c r="EI83" i="9"/>
  <c r="EI82" i="9"/>
  <c r="EI81" i="9"/>
  <c r="EI80" i="9"/>
  <c r="EI79" i="9"/>
  <c r="EI78" i="9"/>
  <c r="EI77" i="9"/>
  <c r="EI76" i="9"/>
  <c r="EI75" i="9"/>
  <c r="EI74" i="9"/>
  <c r="EI73" i="9"/>
  <c r="EI72" i="9"/>
  <c r="EI71" i="9"/>
  <c r="EI70" i="9"/>
  <c r="EI69" i="9"/>
  <c r="EI68" i="9"/>
  <c r="EI67" i="9"/>
  <c r="EI66" i="9"/>
  <c r="EI65" i="9"/>
  <c r="DY156" i="9"/>
  <c r="DY154" i="9"/>
  <c r="DY152" i="9"/>
  <c r="DY150" i="9"/>
  <c r="DY148" i="9"/>
  <c r="DY146" i="9"/>
  <c r="DY144" i="9"/>
  <c r="DY142" i="9"/>
  <c r="DY140" i="9"/>
  <c r="DY138" i="9"/>
  <c r="DY136" i="9"/>
  <c r="DY134" i="9"/>
  <c r="EH132" i="9"/>
  <c r="EH130" i="9"/>
  <c r="EH128" i="9"/>
  <c r="EH126" i="9"/>
  <c r="EH124" i="9"/>
  <c r="EH122" i="9"/>
  <c r="EH120" i="9"/>
  <c r="EH118" i="9"/>
  <c r="EH116" i="9"/>
  <c r="EH114" i="9"/>
  <c r="EH112" i="9"/>
  <c r="EH110" i="9"/>
  <c r="EH108" i="9"/>
  <c r="EH106" i="9"/>
  <c r="EH104" i="9"/>
  <c r="EH102" i="9"/>
  <c r="EH100" i="9"/>
  <c r="EH98" i="9"/>
  <c r="EH96" i="9"/>
  <c r="EH94" i="9"/>
  <c r="EH92" i="9"/>
  <c r="EH90" i="9"/>
  <c r="EH88" i="9"/>
  <c r="EH86" i="9"/>
  <c r="EH84" i="9"/>
  <c r="EH82" i="9"/>
  <c r="EH73" i="9"/>
  <c r="EH64" i="9"/>
  <c r="EH48" i="9"/>
  <c r="EH39" i="9"/>
  <c r="EH30" i="9"/>
  <c r="EH13" i="9"/>
  <c r="EH11" i="9"/>
  <c r="EH9" i="9"/>
  <c r="EH7" i="9"/>
  <c r="EH5" i="9"/>
  <c r="EF4" i="9"/>
  <c r="EI64" i="9"/>
  <c r="EI62" i="9"/>
  <c r="EI60" i="9"/>
  <c r="EI58" i="9"/>
  <c r="EI56" i="9"/>
  <c r="EI54" i="9"/>
  <c r="EI52" i="9"/>
  <c r="EI50" i="9"/>
  <c r="EI48" i="9"/>
  <c r="EI46" i="9"/>
  <c r="EI44" i="9"/>
  <c r="EI42" i="9"/>
  <c r="EI40" i="9"/>
  <c r="EI38" i="9"/>
  <c r="EI36" i="9"/>
  <c r="EI34" i="9"/>
  <c r="EI32" i="9"/>
  <c r="EI30" i="9"/>
  <c r="EI28" i="9"/>
  <c r="EI26" i="9"/>
  <c r="EI24" i="9"/>
  <c r="EI22" i="9"/>
  <c r="EI20" i="9"/>
  <c r="EI18" i="9"/>
  <c r="EI16" i="9"/>
  <c r="EI14" i="9"/>
  <c r="EI12" i="9"/>
  <c r="EI10" i="9"/>
  <c r="EI8" i="9"/>
  <c r="EI6" i="9"/>
  <c r="EE4" i="9"/>
  <c r="EG4" i="9"/>
  <c r="DY63" i="9"/>
  <c r="DY61" i="9"/>
  <c r="DY59" i="9"/>
  <c r="DY57" i="9"/>
  <c r="DY55" i="9"/>
  <c r="DY53" i="9"/>
  <c r="DY51" i="9"/>
  <c r="DY49" i="9"/>
  <c r="DY47" i="9"/>
  <c r="DY45" i="9"/>
  <c r="DY43" i="9"/>
  <c r="DY41" i="9"/>
  <c r="DY39" i="9"/>
  <c r="DY37" i="9"/>
  <c r="DY35" i="9"/>
  <c r="DY33" i="9"/>
  <c r="DY31" i="9"/>
  <c r="DY29" i="9"/>
  <c r="DY27" i="9"/>
  <c r="DY25" i="9"/>
  <c r="DY23" i="9"/>
  <c r="DY21" i="9"/>
  <c r="DY19" i="9"/>
  <c r="DY17" i="9"/>
  <c r="DY15" i="9"/>
  <c r="DY13" i="9"/>
  <c r="DY11" i="9"/>
  <c r="DY9" i="9"/>
  <c r="DY7" i="9"/>
  <c r="DY5" i="9"/>
  <c r="EA31" i="9"/>
  <c r="EA65" i="9"/>
  <c r="EE65" i="9" s="1"/>
  <c r="EA113" i="9"/>
  <c r="EC113" i="9" s="1"/>
  <c r="ED113" i="9" s="1"/>
  <c r="EA97" i="9"/>
  <c r="EA69" i="9"/>
  <c r="EA85" i="9"/>
  <c r="EG85" i="9" s="1"/>
  <c r="EA24" i="9"/>
  <c r="EE24" i="9" s="1"/>
  <c r="EA119" i="9"/>
  <c r="EA158" i="9"/>
  <c r="EA87" i="9"/>
  <c r="EG87" i="9" s="1"/>
  <c r="EA103" i="9"/>
  <c r="EC103" i="9" s="1"/>
  <c r="ED103" i="9" s="1"/>
  <c r="EA131" i="9"/>
  <c r="EC131" i="9" s="1"/>
  <c r="ED131" i="9" s="1"/>
  <c r="EA142" i="9"/>
  <c r="EG142" i="9" s="1"/>
  <c r="EA58" i="9"/>
  <c r="EA216" i="9"/>
  <c r="EC216" i="9" s="1"/>
  <c r="ED216" i="9" s="1"/>
  <c r="EA220" i="9"/>
  <c r="EC220" i="9" s="1"/>
  <c r="ED220" i="9" s="1"/>
  <c r="EA261" i="9"/>
  <c r="EC261" i="9" s="1"/>
  <c r="ED261" i="9" s="1"/>
  <c r="EA180" i="9"/>
  <c r="EG180" i="9" s="1"/>
  <c r="EA124" i="9"/>
  <c r="EE124" i="9" s="1"/>
  <c r="EA283" i="9"/>
  <c r="EC283" i="9" s="1"/>
  <c r="ED283" i="9" s="1"/>
  <c r="EA27" i="9"/>
  <c r="EC27" i="9" s="1"/>
  <c r="ED27" i="9" s="1"/>
  <c r="EA293" i="9"/>
  <c r="EC293" i="9" s="1"/>
  <c r="ED293" i="9" s="1"/>
  <c r="EA89" i="9"/>
  <c r="EC89" i="9" s="1"/>
  <c r="ED89" i="9" s="1"/>
  <c r="EA107" i="9"/>
  <c r="EA287" i="9"/>
  <c r="EG287" i="9" s="1"/>
  <c r="EA303" i="9"/>
  <c r="EG303" i="9" s="1"/>
  <c r="EA289" i="9"/>
  <c r="EC289" i="9" s="1"/>
  <c r="ED289" i="9" s="1"/>
  <c r="EA43" i="9"/>
  <c r="EA125" i="9"/>
  <c r="EC125" i="9" s="1"/>
  <c r="ED125" i="9" s="1"/>
  <c r="EA73" i="9"/>
  <c r="EG73" i="9" s="1"/>
  <c r="EA242" i="9"/>
  <c r="EG242" i="9" s="1"/>
  <c r="EA8" i="9"/>
  <c r="EG8" i="9" s="1"/>
  <c r="EA230" i="9"/>
  <c r="EG230" i="9" s="1"/>
  <c r="EA269" i="9"/>
  <c r="EC269" i="9" s="1"/>
  <c r="ED269" i="9" s="1"/>
  <c r="EA295" i="9"/>
  <c r="EC295" i="9" s="1"/>
  <c r="ED295" i="9" s="1"/>
  <c r="EA126" i="9"/>
  <c r="EC126" i="9" s="1"/>
  <c r="ED126" i="9" s="1"/>
  <c r="EA271" i="9"/>
  <c r="EG271" i="9" s="1"/>
  <c r="EA307" i="9"/>
  <c r="EC307" i="9" s="1"/>
  <c r="ED307" i="9" s="1"/>
  <c r="EA88" i="9"/>
  <c r="EA104" i="9"/>
  <c r="EC104" i="9" s="1"/>
  <c r="ED104" i="9" s="1"/>
  <c r="EA186" i="9"/>
  <c r="EG186" i="9" s="1"/>
  <c r="EA109" i="9"/>
  <c r="EG109" i="9" s="1"/>
  <c r="EA133" i="9"/>
  <c r="EA114" i="9"/>
  <c r="EG114" i="9" s="1"/>
  <c r="EA168" i="9"/>
  <c r="EE168" i="9" s="1"/>
  <c r="EA64" i="9"/>
  <c r="EC64" i="9" s="1"/>
  <c r="ED64" i="9" s="1"/>
  <c r="EA32" i="9"/>
  <c r="EC32" i="9" s="1"/>
  <c r="ED32" i="9" s="1"/>
  <c r="EA253" i="9"/>
  <c r="EC253" i="9" s="1"/>
  <c r="ED253" i="9" s="1"/>
  <c r="EA129" i="9"/>
  <c r="EA93" i="9"/>
  <c r="EG93" i="9" s="1"/>
  <c r="EA95" i="9"/>
  <c r="EG95" i="9" s="1"/>
  <c r="EA6" i="9"/>
  <c r="EC6" i="9" s="1"/>
  <c r="ED6" i="9" s="1"/>
  <c r="EA48" i="9"/>
  <c r="EA218" i="9"/>
  <c r="EC218" i="9" s="1"/>
  <c r="ED218" i="9" s="1"/>
  <c r="EA275" i="9"/>
  <c r="EG275" i="9" s="1"/>
  <c r="EA39" i="9"/>
  <c r="EA77" i="9"/>
  <c r="EC77" i="9" s="1"/>
  <c r="ED77" i="9" s="1"/>
  <c r="EA101" i="9"/>
  <c r="EG101" i="9" s="1"/>
  <c r="EA56" i="9"/>
  <c r="EG56" i="9" s="1"/>
  <c r="EA16" i="9"/>
  <c r="EC16" i="9" s="1"/>
  <c r="ED16" i="9" s="1"/>
  <c r="EA54" i="9"/>
  <c r="EA38" i="9"/>
  <c r="EC38" i="9" s="1"/>
  <c r="ED38" i="9" s="1"/>
  <c r="EA80" i="9"/>
  <c r="EC80" i="9" s="1"/>
  <c r="ED80" i="9" s="1"/>
  <c r="EA61" i="9"/>
  <c r="EG61" i="9" s="1"/>
  <c r="EA273" i="9"/>
  <c r="EE273" i="9" s="1"/>
  <c r="EA51" i="9"/>
  <c r="EG51" i="9" s="1"/>
  <c r="EA35" i="9"/>
  <c r="EG35" i="9" s="1"/>
  <c r="EA285" i="9"/>
  <c r="EC285" i="9" s="1"/>
  <c r="ED285" i="9" s="1"/>
  <c r="EA72" i="9"/>
  <c r="EG72" i="9" s="1"/>
  <c r="EA132" i="9"/>
  <c r="EG132" i="9" s="1"/>
  <c r="EA198" i="9"/>
  <c r="EC198" i="9" s="1"/>
  <c r="ED198" i="9" s="1"/>
  <c r="EA11" i="9"/>
  <c r="EC11" i="9" s="1"/>
  <c r="ED11" i="9" s="1"/>
  <c r="EA311" i="9"/>
  <c r="EC311" i="9" s="1"/>
  <c r="ED311" i="9" s="1"/>
  <c r="EA136" i="9"/>
  <c r="EC136" i="9" s="1"/>
  <c r="ED136" i="9" s="1"/>
  <c r="EA59" i="9"/>
  <c r="EA45" i="9"/>
  <c r="EC45" i="9" s="1"/>
  <c r="ED45" i="9" s="1"/>
  <c r="EA249" i="9"/>
  <c r="EG249" i="9" s="1"/>
  <c r="EA91" i="9"/>
  <c r="EC91" i="9" s="1"/>
  <c r="ED91" i="9" s="1"/>
  <c r="EA210" i="9"/>
  <c r="EC210" i="9" s="1"/>
  <c r="ED210" i="9" s="1"/>
  <c r="EA267" i="9"/>
  <c r="EC267" i="9" s="1"/>
  <c r="ED267" i="9" s="1"/>
  <c r="EA62" i="9"/>
  <c r="EG62" i="9" s="1"/>
  <c r="EA112" i="9"/>
  <c r="EG112" i="9" s="1"/>
  <c r="EA40" i="9"/>
  <c r="EC40" i="9" s="1"/>
  <c r="ED40" i="9" s="1"/>
  <c r="EA70" i="9"/>
  <c r="EG70" i="9" s="1"/>
  <c r="EC8" i="9"/>
  <c r="ED8" i="9" s="1"/>
  <c r="EA199" i="9"/>
  <c r="EG261" i="9"/>
  <c r="EG220" i="9"/>
  <c r="EG216" i="9"/>
  <c r="EG58" i="9"/>
  <c r="EG103" i="9"/>
  <c r="EC87" i="9"/>
  <c r="ED87" i="9" s="1"/>
  <c r="EC273" i="9"/>
  <c r="ED273" i="9" s="1"/>
  <c r="EG54" i="9"/>
  <c r="EC69" i="9"/>
  <c r="ED69" i="9" s="1"/>
  <c r="EA308" i="9"/>
  <c r="EA292" i="9"/>
  <c r="EG129" i="9"/>
  <c r="EG133" i="9"/>
  <c r="EG88" i="9"/>
  <c r="EC31" i="9"/>
  <c r="ED31" i="9" s="1"/>
  <c r="EC62" i="9"/>
  <c r="ED62" i="9" s="1"/>
  <c r="EG269" i="9"/>
  <c r="EC43" i="9"/>
  <c r="ED43" i="9" s="1"/>
  <c r="EA237" i="9"/>
  <c r="EA137" i="9"/>
  <c r="EC137" i="9" s="1"/>
  <c r="ED137" i="9" s="1"/>
  <c r="EC72" i="9"/>
  <c r="ED72" i="9" s="1"/>
  <c r="EG40" i="9"/>
  <c r="EA209" i="9"/>
  <c r="EE209" i="9" s="1"/>
  <c r="EC59" i="9"/>
  <c r="ED59" i="9" s="1"/>
  <c r="EG107" i="9"/>
  <c r="EA243" i="9"/>
  <c r="EG243" i="9" s="1"/>
  <c r="EG131" i="9"/>
  <c r="EA167" i="9"/>
  <c r="EE167" i="9" s="1"/>
  <c r="EA177" i="9"/>
  <c r="EG177" i="9" s="1"/>
  <c r="EA268" i="9"/>
  <c r="EC268" i="9" s="1"/>
  <c r="ED268" i="9" s="1"/>
  <c r="EG38" i="9"/>
  <c r="EA258" i="9"/>
  <c r="EC258" i="9" s="1"/>
  <c r="ED258" i="9" s="1"/>
  <c r="EC39" i="9"/>
  <c r="ED39" i="9" s="1"/>
  <c r="EG158" i="9"/>
  <c r="EC48" i="9"/>
  <c r="ED48" i="9" s="1"/>
  <c r="EG119" i="9"/>
  <c r="EG24" i="9"/>
  <c r="EG97" i="9"/>
  <c r="EA260" i="9"/>
  <c r="EG260" i="9" s="1"/>
  <c r="EA205" i="9"/>
  <c r="EE205" i="9" s="1"/>
  <c r="EG198" i="9"/>
  <c r="EC58" i="9"/>
  <c r="ED58" i="9" s="1"/>
  <c r="EC35" i="9"/>
  <c r="ED35" i="9" s="1"/>
  <c r="EA155" i="9"/>
  <c r="EG155" i="9" s="1"/>
  <c r="EC54" i="9"/>
  <c r="ED54" i="9" s="1"/>
  <c r="EA235" i="9"/>
  <c r="EA223" i="9"/>
  <c r="EG223" i="9" s="1"/>
  <c r="EA215" i="9"/>
  <c r="EC56" i="9"/>
  <c r="ED56" i="9" s="1"/>
  <c r="EA315" i="9"/>
  <c r="EC315" i="9" s="1"/>
  <c r="ED315" i="9" s="1"/>
  <c r="EG69" i="9"/>
  <c r="EA262" i="9"/>
  <c r="EC262" i="9" s="1"/>
  <c r="ED262" i="9" s="1"/>
  <c r="EA270" i="9"/>
  <c r="EC129" i="9"/>
  <c r="ED129" i="9" s="1"/>
  <c r="EC133" i="9"/>
  <c r="ED133" i="9" s="1"/>
  <c r="EC88" i="9"/>
  <c r="ED88" i="9" s="1"/>
  <c r="EG31" i="9"/>
  <c r="EA149" i="9"/>
  <c r="EC271" i="9"/>
  <c r="ED271" i="9" s="1"/>
  <c r="EG210" i="9"/>
  <c r="EG91" i="9"/>
  <c r="EA266" i="9"/>
  <c r="EC266" i="9" s="1"/>
  <c r="ED266" i="9" s="1"/>
  <c r="EA225" i="9"/>
  <c r="EG43" i="9"/>
  <c r="EA298" i="9"/>
  <c r="EC298" i="9" s="1"/>
  <c r="ED298" i="9" s="1"/>
  <c r="EG293" i="9"/>
  <c r="EA211" i="9"/>
  <c r="EC132" i="9"/>
  <c r="ED132" i="9" s="1"/>
  <c r="EG283" i="9"/>
  <c r="EG126" i="9"/>
  <c r="EA219" i="9"/>
  <c r="EC219" i="9" s="1"/>
  <c r="ED219" i="9" s="1"/>
  <c r="EA143" i="9"/>
  <c r="EC143" i="9" s="1"/>
  <c r="ED143" i="9" s="1"/>
  <c r="EG59" i="9"/>
  <c r="EC107" i="9"/>
  <c r="ED107" i="9" s="1"/>
  <c r="EG285" i="9"/>
  <c r="EA201" i="9"/>
  <c r="EC201" i="9" s="1"/>
  <c r="ED201" i="9" s="1"/>
  <c r="EA280" i="9"/>
  <c r="EE280" i="9" s="1"/>
  <c r="EC142" i="9"/>
  <c r="ED142" i="9" s="1"/>
  <c r="EC61" i="9"/>
  <c r="ED61" i="9" s="1"/>
  <c r="EC101" i="9"/>
  <c r="ED101" i="9" s="1"/>
  <c r="EG77" i="9"/>
  <c r="EG39" i="9"/>
  <c r="EC158" i="9"/>
  <c r="ED158" i="9" s="1"/>
  <c r="EA179" i="9"/>
  <c r="EA256" i="9"/>
  <c r="EC256" i="9" s="1"/>
  <c r="ED256" i="9" s="1"/>
  <c r="EG48" i="9"/>
  <c r="EC119" i="9"/>
  <c r="ED119" i="9" s="1"/>
  <c r="EC24" i="9"/>
  <c r="ED24" i="9" s="1"/>
  <c r="EC97" i="9"/>
  <c r="ED97" i="9" s="1"/>
  <c r="EA300" i="9"/>
  <c r="EE300" i="9" s="1"/>
  <c r="EA163" i="9"/>
  <c r="EC163" i="9" s="1"/>
  <c r="ED163" i="9" s="1"/>
  <c r="EG168" i="9"/>
  <c r="EG104" i="9"/>
  <c r="EA187" i="9"/>
  <c r="EA197" i="9"/>
  <c r="EE197" i="9" s="1"/>
  <c r="EG187" i="9"/>
  <c r="EG258" i="9"/>
  <c r="EC280" i="9"/>
  <c r="ED280" i="9" s="1"/>
  <c r="EC209" i="9"/>
  <c r="ED209" i="9" s="1"/>
  <c r="EC237" i="9"/>
  <c r="ED237" i="9" s="1"/>
  <c r="EC270" i="9"/>
  <c r="ED270" i="9" s="1"/>
  <c r="EC211" i="9"/>
  <c r="ED211" i="9" s="1"/>
  <c r="EC225" i="9"/>
  <c r="ED225" i="9" s="1"/>
  <c r="EG149" i="9"/>
  <c r="EG292" i="9"/>
  <c r="EC308" i="9"/>
  <c r="ED308" i="9" s="1"/>
  <c r="EG215" i="9"/>
  <c r="EC235" i="9"/>
  <c r="ED235" i="9" s="1"/>
  <c r="EG199" i="9"/>
  <c r="EC177" i="9"/>
  <c r="ED177" i="9" s="1"/>
  <c r="EG256" i="9"/>
  <c r="EG268" i="9"/>
  <c r="EG280" i="9"/>
  <c r="EG209" i="9"/>
  <c r="EG237" i="9"/>
  <c r="EG270" i="9"/>
  <c r="EG211" i="9"/>
  <c r="EG225" i="9"/>
  <c r="EC149" i="9"/>
  <c r="ED149" i="9" s="1"/>
  <c r="EC292" i="9"/>
  <c r="ED292" i="9" s="1"/>
  <c r="EG308" i="9"/>
  <c r="EC215" i="9"/>
  <c r="ED215" i="9" s="1"/>
  <c r="EG235" i="9"/>
  <c r="EC199" i="9"/>
  <c r="ED199" i="9" s="1"/>
  <c r="DH332" i="9"/>
  <c r="DH457" i="9"/>
  <c r="DH324" i="9"/>
  <c r="DH447" i="9"/>
  <c r="CQ348" i="9"/>
  <c r="CS440" i="9" s="1"/>
  <c r="CR440" i="9" s="1"/>
  <c r="DN267" i="9"/>
  <c r="DN315" i="9"/>
  <c r="DN223" i="9"/>
  <c r="EE223" i="9" s="1"/>
  <c r="DN215" i="9"/>
  <c r="BZ448" i="9"/>
  <c r="BF370" i="9"/>
  <c r="BP399" i="9"/>
  <c r="DN225" i="9"/>
  <c r="BN162" i="9"/>
  <c r="CB162" i="9"/>
  <c r="BN241" i="9"/>
  <c r="CB241" i="9"/>
  <c r="BN281" i="9"/>
  <c r="CB281" i="9"/>
  <c r="BN252" i="9"/>
  <c r="CB252" i="9"/>
  <c r="BN176" i="9"/>
  <c r="CB176" i="9"/>
  <c r="BN46" i="9"/>
  <c r="CB46" i="9"/>
  <c r="BN314" i="9"/>
  <c r="CB314" i="9"/>
  <c r="AV378" i="9"/>
  <c r="DN308" i="9"/>
  <c r="EE308" i="9" s="1"/>
  <c r="AT450" i="9"/>
  <c r="BN207" i="9"/>
  <c r="CB207" i="9"/>
  <c r="BN239" i="9"/>
  <c r="CB239" i="9"/>
  <c r="BN309" i="9"/>
  <c r="CB309" i="9"/>
  <c r="BO320" i="9"/>
  <c r="BN246" i="9"/>
  <c r="CB246" i="9"/>
  <c r="BN157" i="9"/>
  <c r="CB157" i="9"/>
  <c r="BN188" i="9"/>
  <c r="CB188" i="9"/>
  <c r="BN297" i="9"/>
  <c r="CB297" i="9"/>
  <c r="BN319" i="9"/>
  <c r="CB319" i="9"/>
  <c r="BN42" i="9"/>
  <c r="CB42" i="9"/>
  <c r="BN21" i="9"/>
  <c r="CB21" i="9"/>
  <c r="BN313" i="9"/>
  <c r="CB313" i="9"/>
  <c r="BN10" i="9"/>
  <c r="CB10" i="9"/>
  <c r="BK348" i="9"/>
  <c r="BL370" i="9"/>
  <c r="BN30" i="9"/>
  <c r="CB30" i="9"/>
  <c r="BN206" i="9"/>
  <c r="CB206" i="9"/>
  <c r="DN180" i="9"/>
  <c r="EE180" i="9" s="1"/>
  <c r="DN249" i="9"/>
  <c r="BK464" i="9"/>
  <c r="BK463" i="9"/>
  <c r="BZ464" i="9"/>
  <c r="BK467" i="9"/>
  <c r="BN105" i="9"/>
  <c r="CB105" i="9"/>
  <c r="BN81" i="9"/>
  <c r="CB81" i="9"/>
  <c r="BN150" i="9"/>
  <c r="CB150" i="9"/>
  <c r="BN138" i="9"/>
  <c r="CB138" i="9"/>
  <c r="BN111" i="9"/>
  <c r="CB111" i="9"/>
  <c r="BN117" i="9"/>
  <c r="CB117" i="9"/>
  <c r="BN251" i="9"/>
  <c r="CB251" i="9"/>
  <c r="DN38" i="9"/>
  <c r="EE38" i="9" s="1"/>
  <c r="AT464" i="9"/>
  <c r="AT463" i="9"/>
  <c r="K29" i="2" s="1"/>
  <c r="DN137" i="9"/>
  <c r="BN208" i="9"/>
  <c r="CB208" i="9"/>
  <c r="BN90" i="9"/>
  <c r="CB90" i="9"/>
  <c r="BN99" i="9"/>
  <c r="CB99" i="9"/>
  <c r="BN227" i="9"/>
  <c r="CB227" i="9"/>
  <c r="BN174" i="9"/>
  <c r="CB174" i="9"/>
  <c r="DN48" i="9"/>
  <c r="EE48" i="9" s="1"/>
  <c r="BN110" i="9"/>
  <c r="CB110" i="9"/>
  <c r="BN29" i="9"/>
  <c r="CB29" i="9"/>
  <c r="BN259" i="9"/>
  <c r="CB259" i="9"/>
  <c r="BN26" i="9"/>
  <c r="CB26" i="9"/>
  <c r="CF26" i="9" s="1"/>
  <c r="BN272" i="9"/>
  <c r="CB272" i="9"/>
  <c r="CF272" i="9" s="1"/>
  <c r="BN257" i="9"/>
  <c r="CB257" i="9"/>
  <c r="BN14" i="9"/>
  <c r="CB14" i="9"/>
  <c r="BN228" i="9"/>
  <c r="CB228" i="9"/>
  <c r="CF228" i="9" s="1"/>
  <c r="DN54" i="9"/>
  <c r="DN230" i="9"/>
  <c r="EE230" i="9" s="1"/>
  <c r="AT457" i="9"/>
  <c r="EE8" i="9"/>
  <c r="AX141" i="14"/>
  <c r="AY133" i="14"/>
  <c r="EE64" i="9"/>
  <c r="CM318" i="9"/>
  <c r="CM316" i="9"/>
  <c r="CM314" i="9"/>
  <c r="CM312" i="9"/>
  <c r="CM310" i="9"/>
  <c r="CM308" i="9"/>
  <c r="CM306" i="9"/>
  <c r="CM304" i="9"/>
  <c r="CM302" i="9"/>
  <c r="CM300" i="9"/>
  <c r="CM298" i="9"/>
  <c r="CM296" i="9"/>
  <c r="CM294" i="9"/>
  <c r="CM292" i="9"/>
  <c r="CM290" i="9"/>
  <c r="CM288" i="9"/>
  <c r="CM286" i="9"/>
  <c r="CM284" i="9"/>
  <c r="CM282" i="9"/>
  <c r="CM280" i="9"/>
  <c r="CM244" i="9"/>
  <c r="CM242" i="9"/>
  <c r="CM240" i="9"/>
  <c r="CM238" i="9"/>
  <c r="CM236" i="9"/>
  <c r="CM234" i="9"/>
  <c r="CM232" i="9"/>
  <c r="CM230" i="9"/>
  <c r="CM228" i="9"/>
  <c r="CM226" i="9"/>
  <c r="CM224" i="9"/>
  <c r="CM222" i="9"/>
  <c r="CM277" i="9"/>
  <c r="CM275" i="9"/>
  <c r="CM273" i="9"/>
  <c r="CM271" i="9"/>
  <c r="CM269" i="9"/>
  <c r="CM267" i="9"/>
  <c r="CM265" i="9"/>
  <c r="CM263" i="9"/>
  <c r="CM261" i="9"/>
  <c r="CM259" i="9"/>
  <c r="CM257" i="9"/>
  <c r="CM255" i="9"/>
  <c r="CM253" i="9"/>
  <c r="CM251" i="9"/>
  <c r="CM249" i="9"/>
  <c r="CM247" i="9"/>
  <c r="CM245" i="9"/>
  <c r="CM220" i="9"/>
  <c r="CM218" i="9"/>
  <c r="CM216" i="9"/>
  <c r="CM214" i="9"/>
  <c r="CM212" i="9"/>
  <c r="CM210" i="9"/>
  <c r="CM208" i="9"/>
  <c r="CM206" i="9"/>
  <c r="CM204" i="9"/>
  <c r="CM202" i="9"/>
  <c r="CM200" i="9"/>
  <c r="CM198" i="9"/>
  <c r="CM196" i="9"/>
  <c r="CM194" i="9"/>
  <c r="CM192" i="9"/>
  <c r="CM190" i="9"/>
  <c r="CM188" i="9"/>
  <c r="CM186" i="9"/>
  <c r="CM184" i="9"/>
  <c r="CM182" i="9"/>
  <c r="CM180" i="9"/>
  <c r="CM178" i="9"/>
  <c r="CM176" i="9"/>
  <c r="CM174" i="9"/>
  <c r="CM172" i="9"/>
  <c r="CM170" i="9"/>
  <c r="CM168" i="9"/>
  <c r="CM166" i="9"/>
  <c r="CM164" i="9"/>
  <c r="CM162" i="9"/>
  <c r="CM160" i="9"/>
  <c r="CM158" i="9"/>
  <c r="CM156" i="9"/>
  <c r="CM154" i="9"/>
  <c r="CM152" i="9"/>
  <c r="CM150" i="9"/>
  <c r="CM148" i="9"/>
  <c r="CM146" i="9"/>
  <c r="CM144" i="9"/>
  <c r="CM142" i="9"/>
  <c r="CM140" i="9"/>
  <c r="CM138" i="9"/>
  <c r="CM136" i="9"/>
  <c r="CM134" i="9"/>
  <c r="CM132" i="9"/>
  <c r="CM130" i="9"/>
  <c r="CM128" i="9"/>
  <c r="CM126" i="9"/>
  <c r="CM124" i="9"/>
  <c r="CM122" i="9"/>
  <c r="CM120" i="9"/>
  <c r="CM118" i="9"/>
  <c r="CM116" i="9"/>
  <c r="CM114" i="9"/>
  <c r="CM112" i="9"/>
  <c r="CM110" i="9"/>
  <c r="CM108" i="9"/>
  <c r="CM106" i="9"/>
  <c r="CM104" i="9"/>
  <c r="CM102" i="9"/>
  <c r="CM100" i="9"/>
  <c r="CM98" i="9"/>
  <c r="CM96" i="9"/>
  <c r="CM94" i="9"/>
  <c r="CM92" i="9"/>
  <c r="CM90" i="9"/>
  <c r="CM88" i="9"/>
  <c r="CM86" i="9"/>
  <c r="CM84" i="9"/>
  <c r="CM82" i="9"/>
  <c r="CM80" i="9"/>
  <c r="CM78" i="9"/>
  <c r="CM76" i="9"/>
  <c r="CM74" i="9"/>
  <c r="CM72" i="9"/>
  <c r="CM70" i="9"/>
  <c r="CM68" i="9"/>
  <c r="CM66" i="9"/>
  <c r="CM64" i="9"/>
  <c r="CM62" i="9"/>
  <c r="CM60" i="9"/>
  <c r="CM58" i="9"/>
  <c r="CM56" i="9"/>
  <c r="CM54" i="9"/>
  <c r="CM52" i="9"/>
  <c r="CM50" i="9"/>
  <c r="CM48" i="9"/>
  <c r="CM46" i="9"/>
  <c r="CM44" i="9"/>
  <c r="CM42" i="9"/>
  <c r="CM40" i="9"/>
  <c r="CM38" i="9"/>
  <c r="CM36" i="9"/>
  <c r="CM34" i="9"/>
  <c r="CM32" i="9"/>
  <c r="CM30" i="9"/>
  <c r="CM28" i="9"/>
  <c r="CM26" i="9"/>
  <c r="CM24" i="9"/>
  <c r="CM22" i="9"/>
  <c r="CM20" i="9"/>
  <c r="CM18" i="9"/>
  <c r="CM16" i="9"/>
  <c r="CM14" i="9"/>
  <c r="CM12" i="9"/>
  <c r="CM10" i="9"/>
  <c r="CM8" i="9"/>
  <c r="CM6" i="9"/>
  <c r="CM319" i="9"/>
  <c r="CM317" i="9"/>
  <c r="CM315" i="9"/>
  <c r="CM313" i="9"/>
  <c r="CM311" i="9"/>
  <c r="CM309" i="9"/>
  <c r="CM307" i="9"/>
  <c r="CM305" i="9"/>
  <c r="CM303" i="9"/>
  <c r="CM301" i="9"/>
  <c r="CM299" i="9"/>
  <c r="CM297" i="9"/>
  <c r="CM295" i="9"/>
  <c r="CM293" i="9"/>
  <c r="CM291" i="9"/>
  <c r="CM289" i="9"/>
  <c r="CM287" i="9"/>
  <c r="CM285" i="9"/>
  <c r="CM283" i="9"/>
  <c r="CM281" i="9"/>
  <c r="CM279" i="9"/>
  <c r="CM243" i="9"/>
  <c r="CM241" i="9"/>
  <c r="CM239" i="9"/>
  <c r="CM237" i="9"/>
  <c r="CM235" i="9"/>
  <c r="CM233" i="9"/>
  <c r="CM231" i="9"/>
  <c r="CM229" i="9"/>
  <c r="CM227" i="9"/>
  <c r="CM225" i="9"/>
  <c r="CM223" i="9"/>
  <c r="CM278" i="9"/>
  <c r="CM276" i="9"/>
  <c r="CM274" i="9"/>
  <c r="CM272" i="9"/>
  <c r="CM270" i="9"/>
  <c r="CM268" i="9"/>
  <c r="CM266" i="9"/>
  <c r="CM264" i="9"/>
  <c r="CM262" i="9"/>
  <c r="CM260" i="9"/>
  <c r="CM258" i="9"/>
  <c r="CM256" i="9"/>
  <c r="CM254" i="9"/>
  <c r="CM252" i="9"/>
  <c r="CM250" i="9"/>
  <c r="CM248" i="9"/>
  <c r="CM246" i="9"/>
  <c r="CM221" i="9"/>
  <c r="CM219" i="9"/>
  <c r="CM217" i="9"/>
  <c r="CM215" i="9"/>
  <c r="CM213" i="9"/>
  <c r="CM211" i="9"/>
  <c r="CM209" i="9"/>
  <c r="CM207" i="9"/>
  <c r="CM205" i="9"/>
  <c r="CM203" i="9"/>
  <c r="CM201" i="9"/>
  <c r="CM199" i="9"/>
  <c r="CM197" i="9"/>
  <c r="CM195" i="9"/>
  <c r="CM193" i="9"/>
  <c r="CM191" i="9"/>
  <c r="CM189" i="9"/>
  <c r="CM187" i="9"/>
  <c r="CM185" i="9"/>
  <c r="CM183" i="9"/>
  <c r="CM181" i="9"/>
  <c r="CM179" i="9"/>
  <c r="CM177" i="9"/>
  <c r="CM175" i="9"/>
  <c r="CM173" i="9"/>
  <c r="CM171" i="9"/>
  <c r="CM169" i="9"/>
  <c r="CM167" i="9"/>
  <c r="CM165" i="9"/>
  <c r="CM163" i="9"/>
  <c r="CM161" i="9"/>
  <c r="CM159" i="9"/>
  <c r="CM157" i="9"/>
  <c r="CM155" i="9"/>
  <c r="CM153" i="9"/>
  <c r="CM151" i="9"/>
  <c r="CM149" i="9"/>
  <c r="CM147" i="9"/>
  <c r="CM145" i="9"/>
  <c r="CM143" i="9"/>
  <c r="CM141" i="9"/>
  <c r="CM139" i="9"/>
  <c r="CM137" i="9"/>
  <c r="CM135" i="9"/>
  <c r="CM133" i="9"/>
  <c r="CM131" i="9"/>
  <c r="CM129" i="9"/>
  <c r="CM127" i="9"/>
  <c r="CM125" i="9"/>
  <c r="CM123" i="9"/>
  <c r="CM121" i="9"/>
  <c r="CM119" i="9"/>
  <c r="CM117" i="9"/>
  <c r="CM115" i="9"/>
  <c r="CM113" i="9"/>
  <c r="CM111" i="9"/>
  <c r="CM109" i="9"/>
  <c r="CM107" i="9"/>
  <c r="CM105" i="9"/>
  <c r="CM103" i="9"/>
  <c r="CM101" i="9"/>
  <c r="CM99" i="9"/>
  <c r="CM97" i="9"/>
  <c r="CM95" i="9"/>
  <c r="CM93" i="9"/>
  <c r="CM91" i="9"/>
  <c r="CM89" i="9"/>
  <c r="CM87" i="9"/>
  <c r="CM85" i="9"/>
  <c r="CM83" i="9"/>
  <c r="CM81" i="9"/>
  <c r="CM79" i="9"/>
  <c r="CM77" i="9"/>
  <c r="CM75" i="9"/>
  <c r="CM73" i="9"/>
  <c r="CM71" i="9"/>
  <c r="CM69" i="9"/>
  <c r="CM67" i="9"/>
  <c r="CM65" i="9"/>
  <c r="CM63" i="9"/>
  <c r="CM61" i="9"/>
  <c r="CM59" i="9"/>
  <c r="CM57" i="9"/>
  <c r="CM55" i="9"/>
  <c r="CM53" i="9"/>
  <c r="CM51" i="9"/>
  <c r="CM49" i="9"/>
  <c r="CM47" i="9"/>
  <c r="CM45" i="9"/>
  <c r="CM43" i="9"/>
  <c r="CM41" i="9"/>
  <c r="CM39" i="9"/>
  <c r="CM37" i="9"/>
  <c r="CM35" i="9"/>
  <c r="CM33" i="9"/>
  <c r="CM31" i="9"/>
  <c r="CM29" i="9"/>
  <c r="CM27" i="9"/>
  <c r="CM25" i="9"/>
  <c r="CM23" i="9"/>
  <c r="CM21" i="9"/>
  <c r="CM19" i="9"/>
  <c r="CM17" i="9"/>
  <c r="CM15" i="9"/>
  <c r="CM13" i="9"/>
  <c r="CM11" i="9"/>
  <c r="CM9" i="9"/>
  <c r="CM7" i="9"/>
  <c r="CM5" i="9"/>
  <c r="EE31" i="9"/>
  <c r="EE101" i="9"/>
  <c r="EE133" i="9"/>
  <c r="EE266" i="9"/>
  <c r="BZ450" i="9"/>
  <c r="BP320" i="9"/>
  <c r="BF382" i="9"/>
  <c r="BP411" i="9"/>
  <c r="CF153" i="9"/>
  <c r="CF161" i="9"/>
  <c r="BN140" i="9"/>
  <c r="CB140" i="9"/>
  <c r="CF294" i="9"/>
  <c r="BN222" i="9"/>
  <c r="CB222" i="9"/>
  <c r="BN108" i="9"/>
  <c r="CB108" i="9"/>
  <c r="BK441" i="9"/>
  <c r="E8" i="17" s="1"/>
  <c r="BK436" i="9"/>
  <c r="BK434" i="9"/>
  <c r="CF21" i="9"/>
  <c r="BN102" i="9"/>
  <c r="CB102" i="9"/>
  <c r="BN86" i="9"/>
  <c r="CB86" i="9"/>
  <c r="BN74" i="9"/>
  <c r="CB74" i="9"/>
  <c r="BN193" i="9"/>
  <c r="CB193" i="9"/>
  <c r="BN118" i="9"/>
  <c r="CB118" i="9"/>
  <c r="BN9" i="9"/>
  <c r="CB9" i="9"/>
  <c r="BN36" i="9"/>
  <c r="CB36" i="9"/>
  <c r="BN79" i="9"/>
  <c r="CB79" i="9"/>
  <c r="BN49" i="9"/>
  <c r="CB49" i="9"/>
  <c r="BN18" i="9"/>
  <c r="CB18" i="9"/>
  <c r="BN171" i="9"/>
  <c r="CB171" i="9"/>
  <c r="CF238" i="9"/>
  <c r="BN288" i="9"/>
  <c r="CB288" i="9"/>
  <c r="CF288" i="9" s="1"/>
  <c r="BN189" i="9"/>
  <c r="CB189" i="9"/>
  <c r="BN159" i="9"/>
  <c r="CB159" i="9"/>
  <c r="BN122" i="9"/>
  <c r="CB122" i="9"/>
  <c r="EE256" i="9"/>
  <c r="BN244" i="9"/>
  <c r="CB244" i="9"/>
  <c r="BN286" i="9"/>
  <c r="CB286" i="9"/>
  <c r="BN175" i="9"/>
  <c r="CB175" i="9"/>
  <c r="BN169" i="9"/>
  <c r="CB169" i="9"/>
  <c r="BN213" i="9"/>
  <c r="CB213" i="9"/>
  <c r="BN152" i="9"/>
  <c r="CB152" i="9"/>
  <c r="CF224" i="9"/>
  <c r="CF194" i="9"/>
  <c r="BN166" i="9"/>
  <c r="CB166" i="9"/>
  <c r="BN317" i="9"/>
  <c r="CB317" i="9"/>
  <c r="BN98" i="9"/>
  <c r="CB98" i="9"/>
  <c r="BN82" i="9"/>
  <c r="CB82" i="9"/>
  <c r="BN310" i="9"/>
  <c r="CB310" i="9"/>
  <c r="CF310" i="9" s="1"/>
  <c r="BN66" i="9"/>
  <c r="CB66" i="9"/>
  <c r="CF276" i="9"/>
  <c r="BN245" i="9"/>
  <c r="CB245" i="9"/>
  <c r="CF245" i="9" s="1"/>
  <c r="BN291" i="9"/>
  <c r="CB291" i="9"/>
  <c r="BQ411" i="9"/>
  <c r="BL382" i="9"/>
  <c r="EE311" i="9"/>
  <c r="BZ463" i="9"/>
  <c r="BK454" i="9"/>
  <c r="BI475" i="9"/>
  <c r="BK476" i="9" s="1"/>
  <c r="BK474" i="9" s="1"/>
  <c r="CF105" i="9"/>
  <c r="AO394" i="9"/>
  <c r="EE289" i="9"/>
  <c r="CF165" i="9"/>
  <c r="BN185" i="9"/>
  <c r="CB185" i="9"/>
  <c r="BN247" i="9"/>
  <c r="CB247" i="9"/>
  <c r="CF282" i="9"/>
  <c r="BN123" i="9"/>
  <c r="CB123" i="9"/>
  <c r="BN68" i="9"/>
  <c r="CB68" i="9"/>
  <c r="BN84" i="9"/>
  <c r="CB84" i="9"/>
  <c r="BN255" i="9"/>
  <c r="CB255" i="9"/>
  <c r="BN15" i="9"/>
  <c r="CB15" i="9"/>
  <c r="BN299" i="9"/>
  <c r="CB299" i="9"/>
  <c r="BN160" i="9"/>
  <c r="CB160" i="9"/>
  <c r="BN290" i="9"/>
  <c r="CB290" i="9"/>
  <c r="CF47" i="9"/>
  <c r="EE119" i="9"/>
  <c r="BN33" i="9"/>
  <c r="CB33" i="9"/>
  <c r="CF17" i="9"/>
  <c r="BN52" i="9"/>
  <c r="CB52" i="9"/>
  <c r="CF302" i="9"/>
  <c r="BN318" i="9"/>
  <c r="CB318" i="9"/>
  <c r="BN263" i="9"/>
  <c r="CB263" i="9"/>
  <c r="BN63" i="9"/>
  <c r="CB63" i="9"/>
  <c r="BN34" i="9"/>
  <c r="CB34" i="9"/>
  <c r="BN78" i="9"/>
  <c r="CB78" i="9"/>
  <c r="BN312" i="9"/>
  <c r="CB312" i="9"/>
  <c r="CF312" i="9" s="1"/>
  <c r="BN67" i="9"/>
  <c r="CB67" i="9"/>
  <c r="CF139" i="9"/>
  <c r="BN202" i="9"/>
  <c r="CB202" i="9"/>
  <c r="BN232" i="9"/>
  <c r="CB232" i="9"/>
  <c r="BN278" i="9"/>
  <c r="CB278" i="9"/>
  <c r="BN170" i="9"/>
  <c r="CB170" i="9"/>
  <c r="BQ320" i="9"/>
  <c r="BU320" i="9"/>
  <c r="BN212" i="9"/>
  <c r="CB212" i="9"/>
  <c r="BN214" i="9"/>
  <c r="CB214" i="9"/>
  <c r="CF178" i="9"/>
  <c r="EE126" i="9"/>
  <c r="BN173" i="9"/>
  <c r="CB173" i="9"/>
  <c r="CF173" i="9" s="1"/>
  <c r="BN151" i="9"/>
  <c r="CB151" i="9"/>
  <c r="CF121" i="9"/>
  <c r="BN221" i="9"/>
  <c r="CB221" i="9"/>
  <c r="EE220" i="9"/>
  <c r="AR476" i="9"/>
  <c r="AT455" i="9"/>
  <c r="M19" i="2" s="1"/>
  <c r="BN226" i="9"/>
  <c r="CB226" i="9"/>
  <c r="BN236" i="9"/>
  <c r="CB236" i="9"/>
  <c r="BN284" i="9"/>
  <c r="CB284" i="9"/>
  <c r="CF284" i="9" s="1"/>
  <c r="BN23" i="9"/>
  <c r="CB23" i="9"/>
  <c r="CF37" i="9"/>
  <c r="EE275" i="9"/>
  <c r="BN190" i="9"/>
  <c r="CB190" i="9"/>
  <c r="CF182" i="9"/>
  <c r="BN134" i="9"/>
  <c r="CB134" i="9"/>
  <c r="EE95" i="9"/>
  <c r="EE253" i="9"/>
  <c r="EE155" i="9"/>
  <c r="EE132" i="9"/>
  <c r="EE293" i="9"/>
  <c r="BK449" i="9"/>
  <c r="P13" i="2" s="1"/>
  <c r="BK448" i="9"/>
  <c r="AK141" i="14"/>
  <c r="AL133" i="14"/>
  <c r="BK133" i="14"/>
  <c r="BN146" i="14"/>
  <c r="CF176" i="9"/>
  <c r="BZ458" i="9"/>
  <c r="BZ468" i="9"/>
  <c r="CB469" i="9" s="1"/>
  <c r="CB467" i="9" s="1"/>
  <c r="BX8" i="9"/>
  <c r="BY8" i="9" s="1"/>
  <c r="CG8" i="9"/>
  <c r="BW8" i="9"/>
  <c r="BX12" i="9"/>
  <c r="BY12" i="9" s="1"/>
  <c r="CG12" i="9"/>
  <c r="BW12" i="9"/>
  <c r="BX16" i="9"/>
  <c r="BY16" i="9" s="1"/>
  <c r="CG16" i="9"/>
  <c r="BW16" i="9"/>
  <c r="BX20" i="9"/>
  <c r="BY20" i="9" s="1"/>
  <c r="CG20" i="9"/>
  <c r="BW20" i="9"/>
  <c r="BX24" i="9"/>
  <c r="BY24" i="9" s="1"/>
  <c r="CG24" i="9"/>
  <c r="BW24" i="9"/>
  <c r="BX28" i="9"/>
  <c r="BY28" i="9" s="1"/>
  <c r="CG28" i="9"/>
  <c r="BW28" i="9"/>
  <c r="BX32" i="9"/>
  <c r="BY32" i="9" s="1"/>
  <c r="CG32" i="9"/>
  <c r="BW32" i="9"/>
  <c r="BX36" i="9"/>
  <c r="BY36" i="9" s="1"/>
  <c r="CG36" i="9"/>
  <c r="BW36" i="9"/>
  <c r="BX40" i="9"/>
  <c r="BY40" i="9" s="1"/>
  <c r="CG40" i="9"/>
  <c r="BW40" i="9"/>
  <c r="BX44" i="9"/>
  <c r="BY44" i="9" s="1"/>
  <c r="CG44" i="9"/>
  <c r="BW44" i="9"/>
  <c r="BX48" i="9"/>
  <c r="BY48" i="9" s="1"/>
  <c r="CG48" i="9"/>
  <c r="BW48" i="9"/>
  <c r="BX52" i="9"/>
  <c r="BY52" i="9" s="1"/>
  <c r="CG52" i="9"/>
  <c r="BW52" i="9"/>
  <c r="BX56" i="9"/>
  <c r="BY56" i="9" s="1"/>
  <c r="CG56" i="9"/>
  <c r="BW56" i="9"/>
  <c r="BX60" i="9"/>
  <c r="BY60" i="9" s="1"/>
  <c r="CG60" i="9"/>
  <c r="BW60" i="9"/>
  <c r="BX64" i="9"/>
  <c r="BY64" i="9" s="1"/>
  <c r="CG64" i="9"/>
  <c r="BW64" i="9"/>
  <c r="CG68" i="9"/>
  <c r="BX68" i="9"/>
  <c r="BY68" i="9" s="1"/>
  <c r="BW68" i="9"/>
  <c r="CG72" i="9"/>
  <c r="BX72" i="9"/>
  <c r="BY72" i="9" s="1"/>
  <c r="BW72" i="9"/>
  <c r="CG76" i="9"/>
  <c r="BX76" i="9"/>
  <c r="BY76" i="9" s="1"/>
  <c r="BW76" i="9"/>
  <c r="CG80" i="9"/>
  <c r="BX80" i="9"/>
  <c r="BY80" i="9" s="1"/>
  <c r="BW80" i="9"/>
  <c r="CG84" i="9"/>
  <c r="BX84" i="9"/>
  <c r="BY84" i="9" s="1"/>
  <c r="BW84" i="9"/>
  <c r="CG88" i="9"/>
  <c r="BX88" i="9"/>
  <c r="BY88" i="9" s="1"/>
  <c r="BW88" i="9"/>
  <c r="CG92" i="9"/>
  <c r="BX92" i="9"/>
  <c r="BY92" i="9" s="1"/>
  <c r="BW92" i="9"/>
  <c r="CG96" i="9"/>
  <c r="BX96" i="9"/>
  <c r="BY96" i="9" s="1"/>
  <c r="BW96" i="9"/>
  <c r="CG100" i="9"/>
  <c r="BX100" i="9"/>
  <c r="BY100" i="9" s="1"/>
  <c r="BW100" i="9"/>
  <c r="CG104" i="9"/>
  <c r="BX104" i="9"/>
  <c r="BY104" i="9" s="1"/>
  <c r="BW104" i="9"/>
  <c r="CG108" i="9"/>
  <c r="BX108" i="9"/>
  <c r="BY108" i="9" s="1"/>
  <c r="BW108" i="9"/>
  <c r="CG112" i="9"/>
  <c r="BX112" i="9"/>
  <c r="BY112" i="9" s="1"/>
  <c r="BW112" i="9"/>
  <c r="CG116" i="9"/>
  <c r="BX116" i="9"/>
  <c r="BY116" i="9" s="1"/>
  <c r="BW116" i="9"/>
  <c r="CG120" i="9"/>
  <c r="BX120" i="9"/>
  <c r="BY120" i="9" s="1"/>
  <c r="BW120" i="9"/>
  <c r="CG124" i="9"/>
  <c r="BX124" i="9"/>
  <c r="BY124" i="9" s="1"/>
  <c r="BW124" i="9"/>
  <c r="CG128" i="9"/>
  <c r="BX128" i="9"/>
  <c r="BY128" i="9" s="1"/>
  <c r="BW128" i="9"/>
  <c r="CG132" i="9"/>
  <c r="BX132" i="9"/>
  <c r="BY132" i="9" s="1"/>
  <c r="BW132" i="9"/>
  <c r="BX136" i="9"/>
  <c r="BY136" i="9" s="1"/>
  <c r="CG136" i="9"/>
  <c r="BW136" i="9"/>
  <c r="BX140" i="9"/>
  <c r="BY140" i="9" s="1"/>
  <c r="CG140" i="9"/>
  <c r="BW140" i="9"/>
  <c r="BX144" i="9"/>
  <c r="BY144" i="9" s="1"/>
  <c r="CG144" i="9"/>
  <c r="BW144" i="9"/>
  <c r="BX148" i="9"/>
  <c r="BY148" i="9" s="1"/>
  <c r="CG148" i="9"/>
  <c r="BW148" i="9"/>
  <c r="BX152" i="9"/>
  <c r="BY152" i="9" s="1"/>
  <c r="CG152" i="9"/>
  <c r="BW152" i="9"/>
  <c r="BX156" i="9"/>
  <c r="BY156" i="9" s="1"/>
  <c r="CG156" i="9"/>
  <c r="BW156" i="9"/>
  <c r="CG160" i="9"/>
  <c r="BX160" i="9"/>
  <c r="BY160" i="9" s="1"/>
  <c r="BW160" i="9"/>
  <c r="CG164" i="9"/>
  <c r="BX164" i="9"/>
  <c r="BY164" i="9" s="1"/>
  <c r="BW164" i="9"/>
  <c r="CG168" i="9"/>
  <c r="BX168" i="9"/>
  <c r="BY168" i="9" s="1"/>
  <c r="BW168" i="9"/>
  <c r="CG172" i="9"/>
  <c r="BX172" i="9"/>
  <c r="BY172" i="9" s="1"/>
  <c r="BW172" i="9"/>
  <c r="CG176" i="9"/>
  <c r="BX176" i="9"/>
  <c r="BY176" i="9" s="1"/>
  <c r="BW176" i="9"/>
  <c r="CG180" i="9"/>
  <c r="BX180" i="9"/>
  <c r="BY180" i="9" s="1"/>
  <c r="BW180" i="9"/>
  <c r="CG184" i="9"/>
  <c r="BX184" i="9"/>
  <c r="BY184" i="9" s="1"/>
  <c r="BW184" i="9"/>
  <c r="CG188" i="9"/>
  <c r="BX188" i="9"/>
  <c r="BY188" i="9" s="1"/>
  <c r="BW188" i="9"/>
  <c r="CG192" i="9"/>
  <c r="BX192" i="9"/>
  <c r="BY192" i="9" s="1"/>
  <c r="BW192" i="9"/>
  <c r="CG196" i="9"/>
  <c r="BX196" i="9"/>
  <c r="BY196" i="9" s="1"/>
  <c r="BW196" i="9"/>
  <c r="CG200" i="9"/>
  <c r="BX200" i="9"/>
  <c r="BY200" i="9" s="1"/>
  <c r="BW200" i="9"/>
  <c r="CG204" i="9"/>
  <c r="BX204" i="9"/>
  <c r="BY204" i="9" s="1"/>
  <c r="BW204" i="9"/>
  <c r="BX208" i="9"/>
  <c r="BY208" i="9" s="1"/>
  <c r="CG208" i="9"/>
  <c r="BW208" i="9"/>
  <c r="BX212" i="9"/>
  <c r="BY212" i="9" s="1"/>
  <c r="CG212" i="9"/>
  <c r="BW212" i="9"/>
  <c r="BX216" i="9"/>
  <c r="BY216" i="9" s="1"/>
  <c r="CG216" i="9"/>
  <c r="BW216" i="9"/>
  <c r="BX220" i="9"/>
  <c r="BY220" i="9" s="1"/>
  <c r="CG220" i="9"/>
  <c r="BW220" i="9"/>
  <c r="CG224" i="9"/>
  <c r="BX224" i="9"/>
  <c r="BY224" i="9" s="1"/>
  <c r="BW224" i="9"/>
  <c r="CG228" i="9"/>
  <c r="BX228" i="9"/>
  <c r="BY228" i="9" s="1"/>
  <c r="BW228" i="9"/>
  <c r="CG232" i="9"/>
  <c r="BX232" i="9"/>
  <c r="BY232" i="9" s="1"/>
  <c r="BW232" i="9"/>
  <c r="CG236" i="9"/>
  <c r="BX236" i="9"/>
  <c r="BY236" i="9" s="1"/>
  <c r="BW236" i="9"/>
  <c r="CG240" i="9"/>
  <c r="BX240" i="9"/>
  <c r="BY240" i="9" s="1"/>
  <c r="BW240" i="9"/>
  <c r="CG244" i="9"/>
  <c r="BX244" i="9"/>
  <c r="BY244" i="9" s="1"/>
  <c r="BW244" i="9"/>
  <c r="BX248" i="9"/>
  <c r="BY248" i="9" s="1"/>
  <c r="BW248" i="9"/>
  <c r="CG248" i="9"/>
  <c r="BX252" i="9"/>
  <c r="BY252" i="9" s="1"/>
  <c r="BW252" i="9"/>
  <c r="CG252" i="9"/>
  <c r="BX256" i="9"/>
  <c r="BY256" i="9" s="1"/>
  <c r="BW256" i="9"/>
  <c r="CG256" i="9"/>
  <c r="BX260" i="9"/>
  <c r="BY260" i="9" s="1"/>
  <c r="BW260" i="9"/>
  <c r="CG260" i="9"/>
  <c r="BX264" i="9"/>
  <c r="BY264" i="9" s="1"/>
  <c r="BW264" i="9"/>
  <c r="CG264" i="9"/>
  <c r="BX268" i="9"/>
  <c r="BY268" i="9" s="1"/>
  <c r="BW268" i="9"/>
  <c r="CG268" i="9"/>
  <c r="BX272" i="9"/>
  <c r="BY272" i="9" s="1"/>
  <c r="BW272" i="9"/>
  <c r="CG272" i="9"/>
  <c r="BX276" i="9"/>
  <c r="BY276" i="9" s="1"/>
  <c r="BW276" i="9"/>
  <c r="CG276" i="9"/>
  <c r="CG280" i="9"/>
  <c r="BX280" i="9"/>
  <c r="BY280" i="9" s="1"/>
  <c r="BW280" i="9"/>
  <c r="CG284" i="9"/>
  <c r="BX284" i="9"/>
  <c r="BY284" i="9" s="1"/>
  <c r="BW284" i="9"/>
  <c r="CG288" i="9"/>
  <c r="BX288" i="9"/>
  <c r="BY288" i="9" s="1"/>
  <c r="BW288" i="9"/>
  <c r="CG292" i="9"/>
  <c r="BX292" i="9"/>
  <c r="BY292" i="9" s="1"/>
  <c r="BW292" i="9"/>
  <c r="CG296" i="9"/>
  <c r="BX296" i="9"/>
  <c r="BY296" i="9" s="1"/>
  <c r="BW296" i="9"/>
  <c r="CG300" i="9"/>
  <c r="BX300" i="9"/>
  <c r="BY300" i="9" s="1"/>
  <c r="BW300" i="9"/>
  <c r="CG304" i="9"/>
  <c r="BX304" i="9"/>
  <c r="BY304" i="9" s="1"/>
  <c r="BW304" i="9"/>
  <c r="CG308" i="9"/>
  <c r="BX308" i="9"/>
  <c r="BY308" i="9" s="1"/>
  <c r="BW308" i="9"/>
  <c r="CG312" i="9"/>
  <c r="BX312" i="9"/>
  <c r="BY312" i="9" s="1"/>
  <c r="BW312" i="9"/>
  <c r="CG316" i="9"/>
  <c r="BX316" i="9"/>
  <c r="BY316" i="9" s="1"/>
  <c r="BW316" i="9"/>
  <c r="BV320" i="9"/>
  <c r="BW5" i="9"/>
  <c r="BX5" i="9"/>
  <c r="CG5" i="9"/>
  <c r="BW9" i="9"/>
  <c r="BX9" i="9"/>
  <c r="BY9" i="9" s="1"/>
  <c r="CG9" i="9"/>
  <c r="BW13" i="9"/>
  <c r="BX13" i="9"/>
  <c r="BY13" i="9" s="1"/>
  <c r="CG13" i="9"/>
  <c r="BW17" i="9"/>
  <c r="BX17" i="9"/>
  <c r="BY17" i="9" s="1"/>
  <c r="CG17" i="9"/>
  <c r="BW21" i="9"/>
  <c r="BX21" i="9"/>
  <c r="BY21" i="9" s="1"/>
  <c r="CG21" i="9"/>
  <c r="BW25" i="9"/>
  <c r="BX25" i="9"/>
  <c r="BY25" i="9" s="1"/>
  <c r="CG25" i="9"/>
  <c r="BW29" i="9"/>
  <c r="BX29" i="9"/>
  <c r="BY29" i="9" s="1"/>
  <c r="CG29" i="9"/>
  <c r="BW33" i="9"/>
  <c r="BX33" i="9"/>
  <c r="BY33" i="9" s="1"/>
  <c r="CG33" i="9"/>
  <c r="BW37" i="9"/>
  <c r="BX37" i="9"/>
  <c r="BY37" i="9" s="1"/>
  <c r="CG37" i="9"/>
  <c r="BW41" i="9"/>
  <c r="BX41" i="9"/>
  <c r="BY41" i="9" s="1"/>
  <c r="CG41" i="9"/>
  <c r="BW45" i="9"/>
  <c r="BX45" i="9"/>
  <c r="BY45" i="9" s="1"/>
  <c r="CG45" i="9"/>
  <c r="BW49" i="9"/>
  <c r="BX49" i="9"/>
  <c r="BY49" i="9" s="1"/>
  <c r="CG49" i="9"/>
  <c r="BW53" i="9"/>
  <c r="BX53" i="9"/>
  <c r="BY53" i="9" s="1"/>
  <c r="CG53" i="9"/>
  <c r="BW57" i="9"/>
  <c r="BX57" i="9"/>
  <c r="BY57" i="9" s="1"/>
  <c r="CG57" i="9"/>
  <c r="BW61" i="9"/>
  <c r="BX61" i="9"/>
  <c r="BY61" i="9" s="1"/>
  <c r="CG61" i="9"/>
  <c r="BW65" i="9"/>
  <c r="CG65" i="9"/>
  <c r="BX65" i="9"/>
  <c r="BY65" i="9" s="1"/>
  <c r="BW69" i="9"/>
  <c r="CG69" i="9"/>
  <c r="BX69" i="9"/>
  <c r="BY69" i="9" s="1"/>
  <c r="BW73" i="9"/>
  <c r="CG73" i="9"/>
  <c r="BX73" i="9"/>
  <c r="BY73" i="9" s="1"/>
  <c r="BW77" i="9"/>
  <c r="CG77" i="9"/>
  <c r="BX77" i="9"/>
  <c r="BY77" i="9" s="1"/>
  <c r="BW81" i="9"/>
  <c r="CG81" i="9"/>
  <c r="BX81" i="9"/>
  <c r="BY81" i="9" s="1"/>
  <c r="BW85" i="9"/>
  <c r="CG85" i="9"/>
  <c r="BX85" i="9"/>
  <c r="BY85" i="9" s="1"/>
  <c r="BW89" i="9"/>
  <c r="CG89" i="9"/>
  <c r="BX89" i="9"/>
  <c r="BY89" i="9" s="1"/>
  <c r="BW93" i="9"/>
  <c r="CG93" i="9"/>
  <c r="BX93" i="9"/>
  <c r="BY93" i="9" s="1"/>
  <c r="BW97" i="9"/>
  <c r="CG97" i="9"/>
  <c r="BX97" i="9"/>
  <c r="BY97" i="9" s="1"/>
  <c r="BW101" i="9"/>
  <c r="CG101" i="9"/>
  <c r="BX101" i="9"/>
  <c r="BY101" i="9" s="1"/>
  <c r="BW105" i="9"/>
  <c r="CG105" i="9"/>
  <c r="BX105" i="9"/>
  <c r="BY105" i="9" s="1"/>
  <c r="BW109" i="9"/>
  <c r="CG109" i="9"/>
  <c r="BX109" i="9"/>
  <c r="BY109" i="9" s="1"/>
  <c r="BW113" i="9"/>
  <c r="CG113" i="9"/>
  <c r="BX113" i="9"/>
  <c r="BY113" i="9" s="1"/>
  <c r="BW117" i="9"/>
  <c r="CG117" i="9"/>
  <c r="BX117" i="9"/>
  <c r="BY117" i="9" s="1"/>
  <c r="BW121" i="9"/>
  <c r="CG121" i="9"/>
  <c r="BX121" i="9"/>
  <c r="BY121" i="9" s="1"/>
  <c r="BW125" i="9"/>
  <c r="CG125" i="9"/>
  <c r="BX125" i="9"/>
  <c r="BY125" i="9" s="1"/>
  <c r="BW129" i="9"/>
  <c r="CG129" i="9"/>
  <c r="BX129" i="9"/>
  <c r="BY129" i="9" s="1"/>
  <c r="BW133" i="9"/>
  <c r="CG133" i="9"/>
  <c r="BX133" i="9"/>
  <c r="BY133" i="9" s="1"/>
  <c r="BW137" i="9"/>
  <c r="BX137" i="9"/>
  <c r="BY137" i="9" s="1"/>
  <c r="CG137" i="9"/>
  <c r="BW141" i="9"/>
  <c r="BX141" i="9"/>
  <c r="BY141" i="9" s="1"/>
  <c r="CG141" i="9"/>
  <c r="BW145" i="9"/>
  <c r="BX145" i="9"/>
  <c r="BY145" i="9" s="1"/>
  <c r="CG145" i="9"/>
  <c r="BW149" i="9"/>
  <c r="BX149" i="9"/>
  <c r="BY149" i="9" s="1"/>
  <c r="CG149" i="9"/>
  <c r="BW153" i="9"/>
  <c r="BX153" i="9"/>
  <c r="BY153" i="9" s="1"/>
  <c r="CG153" i="9"/>
  <c r="BX157" i="9"/>
  <c r="BY157" i="9" s="1"/>
  <c r="CG157" i="9"/>
  <c r="BW157" i="9"/>
  <c r="BW161" i="9"/>
  <c r="CG161" i="9"/>
  <c r="BX161" i="9"/>
  <c r="BY161" i="9" s="1"/>
  <c r="BW165" i="9"/>
  <c r="CG165" i="9"/>
  <c r="BX165" i="9"/>
  <c r="BY165" i="9" s="1"/>
  <c r="BW169" i="9"/>
  <c r="CG169" i="9"/>
  <c r="BX169" i="9"/>
  <c r="BY169" i="9" s="1"/>
  <c r="BW173" i="9"/>
  <c r="CG173" i="9"/>
  <c r="BX173" i="9"/>
  <c r="BY173" i="9" s="1"/>
  <c r="BW177" i="9"/>
  <c r="CG177" i="9"/>
  <c r="BX177" i="9"/>
  <c r="BY177" i="9" s="1"/>
  <c r="BW181" i="9"/>
  <c r="CG181" i="9"/>
  <c r="BX181" i="9"/>
  <c r="BY181" i="9" s="1"/>
  <c r="BW185" i="9"/>
  <c r="CG185" i="9"/>
  <c r="BX185" i="9"/>
  <c r="BY185" i="9" s="1"/>
  <c r="BW189" i="9"/>
  <c r="CG189" i="9"/>
  <c r="BX189" i="9"/>
  <c r="BY189" i="9" s="1"/>
  <c r="BW193" i="9"/>
  <c r="CG193" i="9"/>
  <c r="BX193" i="9"/>
  <c r="BY193" i="9" s="1"/>
  <c r="BW197" i="9"/>
  <c r="CG197" i="9"/>
  <c r="BX197" i="9"/>
  <c r="BY197" i="9" s="1"/>
  <c r="BW201" i="9"/>
  <c r="CG201" i="9"/>
  <c r="BX201" i="9"/>
  <c r="BY201" i="9" s="1"/>
  <c r="BW205" i="9"/>
  <c r="CG205" i="9"/>
  <c r="BX205" i="9"/>
  <c r="BY205" i="9" s="1"/>
  <c r="BW209" i="9"/>
  <c r="BX209" i="9"/>
  <c r="BY209" i="9" s="1"/>
  <c r="CG209" i="9"/>
  <c r="BW213" i="9"/>
  <c r="BX213" i="9"/>
  <c r="BY213" i="9" s="1"/>
  <c r="CG213" i="9"/>
  <c r="BW217" i="9"/>
  <c r="BX217" i="9"/>
  <c r="BY217" i="9" s="1"/>
  <c r="CG217" i="9"/>
  <c r="BW221" i="9"/>
  <c r="BX221" i="9"/>
  <c r="BY221" i="9" s="1"/>
  <c r="CG221" i="9"/>
  <c r="BW225" i="9"/>
  <c r="CG225" i="9"/>
  <c r="BX225" i="9"/>
  <c r="BY225" i="9" s="1"/>
  <c r="BW229" i="9"/>
  <c r="CG229" i="9"/>
  <c r="BX229" i="9"/>
  <c r="BY229" i="9" s="1"/>
  <c r="BW233" i="9"/>
  <c r="CG233" i="9"/>
  <c r="BX233" i="9"/>
  <c r="BY233" i="9" s="1"/>
  <c r="BW237" i="9"/>
  <c r="CG237" i="9"/>
  <c r="BX237" i="9"/>
  <c r="BY237" i="9" s="1"/>
  <c r="BW241" i="9"/>
  <c r="CG241" i="9"/>
  <c r="BX241" i="9"/>
  <c r="BY241" i="9" s="1"/>
  <c r="CG245" i="9"/>
  <c r="BX245" i="9"/>
  <c r="BY245" i="9" s="1"/>
  <c r="BW245" i="9"/>
  <c r="CG249" i="9"/>
  <c r="BX249" i="9"/>
  <c r="BY249" i="9" s="1"/>
  <c r="BW249" i="9"/>
  <c r="CG253" i="9"/>
  <c r="BX253" i="9"/>
  <c r="BY253" i="9" s="1"/>
  <c r="BW253" i="9"/>
  <c r="CG257" i="9"/>
  <c r="BX257" i="9"/>
  <c r="BY257" i="9" s="1"/>
  <c r="BW257" i="9"/>
  <c r="CG261" i="9"/>
  <c r="BX261" i="9"/>
  <c r="BY261" i="9" s="1"/>
  <c r="BW261" i="9"/>
  <c r="CG265" i="9"/>
  <c r="BX265" i="9"/>
  <c r="BY265" i="9" s="1"/>
  <c r="BW265" i="9"/>
  <c r="CG269" i="9"/>
  <c r="BX269" i="9"/>
  <c r="BY269" i="9" s="1"/>
  <c r="BW269" i="9"/>
  <c r="CG273" i="9"/>
  <c r="BX273" i="9"/>
  <c r="BY273" i="9" s="1"/>
  <c r="BW273" i="9"/>
  <c r="CG277" i="9"/>
  <c r="BX277" i="9"/>
  <c r="BY277" i="9" s="1"/>
  <c r="BW277" i="9"/>
  <c r="BW281" i="9"/>
  <c r="CG281" i="9"/>
  <c r="BX281" i="9"/>
  <c r="BY281" i="9" s="1"/>
  <c r="BW285" i="9"/>
  <c r="CG285" i="9"/>
  <c r="BX285" i="9"/>
  <c r="BY285" i="9" s="1"/>
  <c r="BW289" i="9"/>
  <c r="CG289" i="9"/>
  <c r="BX289" i="9"/>
  <c r="BY289" i="9" s="1"/>
  <c r="BW293" i="9"/>
  <c r="CG293" i="9"/>
  <c r="BX293" i="9"/>
  <c r="BY293" i="9" s="1"/>
  <c r="BW297" i="9"/>
  <c r="CG297" i="9"/>
  <c r="BX297" i="9"/>
  <c r="BY297" i="9" s="1"/>
  <c r="BW301" i="9"/>
  <c r="CG301" i="9"/>
  <c r="BX301" i="9"/>
  <c r="BY301" i="9" s="1"/>
  <c r="BW305" i="9"/>
  <c r="CG305" i="9"/>
  <c r="BX305" i="9"/>
  <c r="BY305" i="9" s="1"/>
  <c r="BW309" i="9"/>
  <c r="CG309" i="9"/>
  <c r="BX309" i="9"/>
  <c r="BY309" i="9" s="1"/>
  <c r="BW313" i="9"/>
  <c r="CG313" i="9"/>
  <c r="BX313" i="9"/>
  <c r="BY313" i="9" s="1"/>
  <c r="BW317" i="9"/>
  <c r="CG317" i="9"/>
  <c r="BX317" i="9"/>
  <c r="BY317" i="9" s="1"/>
  <c r="DL306" i="9"/>
  <c r="DM306" i="9" s="1"/>
  <c r="DK149" i="9"/>
  <c r="DT149" i="9"/>
  <c r="DI149" i="9"/>
  <c r="DI187" i="9"/>
  <c r="DK187" i="9"/>
  <c r="DT187" i="9"/>
  <c r="DI315" i="9"/>
  <c r="DK315" i="9"/>
  <c r="DT315" i="9"/>
  <c r="DT215" i="9"/>
  <c r="DI215" i="9"/>
  <c r="DK215" i="9"/>
  <c r="DK235" i="9"/>
  <c r="DT235" i="9"/>
  <c r="DI235" i="9"/>
  <c r="DT268" i="9"/>
  <c r="DK268" i="9"/>
  <c r="DI268" i="9"/>
  <c r="DT155" i="9"/>
  <c r="DI155" i="9"/>
  <c r="DK155" i="9"/>
  <c r="DK177" i="9"/>
  <c r="DT177" i="9"/>
  <c r="DI177" i="9"/>
  <c r="DN298" i="9"/>
  <c r="EE298" i="9" s="1"/>
  <c r="DI298" i="9"/>
  <c r="DK298" i="9"/>
  <c r="DT298" i="9"/>
  <c r="DN219" i="9"/>
  <c r="EE219" i="9" s="1"/>
  <c r="DT219" i="9"/>
  <c r="DI219" i="9"/>
  <c r="DK219" i="9"/>
  <c r="DI197" i="9"/>
  <c r="DK197" i="9"/>
  <c r="DT197" i="9"/>
  <c r="DK300" i="9"/>
  <c r="DT300" i="9"/>
  <c r="DI300" i="9"/>
  <c r="DT260" i="9"/>
  <c r="DK260" i="9"/>
  <c r="DI260" i="9"/>
  <c r="DI179" i="9"/>
  <c r="DK179" i="9"/>
  <c r="DT179" i="9"/>
  <c r="DI270" i="9"/>
  <c r="DT270" i="9"/>
  <c r="DK270" i="9"/>
  <c r="DI280" i="9"/>
  <c r="DK280" i="9"/>
  <c r="DT280" i="9"/>
  <c r="DK209" i="9"/>
  <c r="DT209" i="9"/>
  <c r="DI209" i="9"/>
  <c r="DI205" i="9"/>
  <c r="DK205" i="9"/>
  <c r="DT205" i="9"/>
  <c r="DT211" i="9"/>
  <c r="DI211" i="9"/>
  <c r="DK211" i="9"/>
  <c r="DI112" i="9"/>
  <c r="DK112" i="9"/>
  <c r="DT112" i="9"/>
  <c r="DK62" i="9"/>
  <c r="DI62" i="9"/>
  <c r="DK124" i="9"/>
  <c r="DT124" i="9"/>
  <c r="DI124" i="9"/>
  <c r="DK19" i="9"/>
  <c r="DI19" i="9"/>
  <c r="DK311" i="9"/>
  <c r="DT311" i="9"/>
  <c r="DI311" i="9"/>
  <c r="DI267" i="9"/>
  <c r="DT267" i="9"/>
  <c r="DK267" i="9"/>
  <c r="DT210" i="9"/>
  <c r="DI210" i="9"/>
  <c r="DK210" i="9"/>
  <c r="DT11" i="9"/>
  <c r="DI11" i="9"/>
  <c r="DK11" i="9"/>
  <c r="DI129" i="9"/>
  <c r="DK129" i="9"/>
  <c r="DT129" i="9"/>
  <c r="DI158" i="9"/>
  <c r="DK158" i="9"/>
  <c r="DT158" i="9"/>
  <c r="DK218" i="9"/>
  <c r="DT218" i="9"/>
  <c r="DI218" i="9"/>
  <c r="DK114" i="9"/>
  <c r="DT114" i="9"/>
  <c r="DI114" i="9"/>
  <c r="DI242" i="9"/>
  <c r="DK242" i="9"/>
  <c r="DT242" i="9"/>
  <c r="DI131" i="9"/>
  <c r="DK131" i="9"/>
  <c r="DT131" i="9"/>
  <c r="DI35" i="9"/>
  <c r="DK35" i="9"/>
  <c r="DT273" i="9"/>
  <c r="DK273" i="9"/>
  <c r="DI273" i="9"/>
  <c r="DI198" i="9"/>
  <c r="DK198" i="9"/>
  <c r="DT198" i="9"/>
  <c r="DI271" i="9"/>
  <c r="DT271" i="9"/>
  <c r="DK271" i="9"/>
  <c r="DI132" i="9"/>
  <c r="DK132" i="9"/>
  <c r="DT132" i="9"/>
  <c r="DI72" i="9"/>
  <c r="DK72" i="9"/>
  <c r="DK70" i="9"/>
  <c r="DI70" i="9"/>
  <c r="DI303" i="9"/>
  <c r="DK303" i="9"/>
  <c r="DT303" i="9"/>
  <c r="DI287" i="9"/>
  <c r="DK287" i="9"/>
  <c r="DT287" i="9"/>
  <c r="DI56" i="9"/>
  <c r="DK56" i="9"/>
  <c r="DI101" i="9"/>
  <c r="DK101" i="9"/>
  <c r="DT101" i="9"/>
  <c r="DK293" i="9"/>
  <c r="DT293" i="9"/>
  <c r="DI293" i="9"/>
  <c r="DI27" i="9"/>
  <c r="DK27" i="9"/>
  <c r="DK32" i="9"/>
  <c r="DI32" i="9"/>
  <c r="DT261" i="9"/>
  <c r="DK261" i="9"/>
  <c r="DI261" i="9"/>
  <c r="DT8" i="9"/>
  <c r="DI8" i="9"/>
  <c r="DK8" i="9"/>
  <c r="DN109" i="9"/>
  <c r="EE109" i="9" s="1"/>
  <c r="DI109" i="9"/>
  <c r="DK109" i="9"/>
  <c r="DT109" i="9"/>
  <c r="DK69" i="9"/>
  <c r="DI69" i="9"/>
  <c r="DI113" i="9"/>
  <c r="DK113" i="9"/>
  <c r="DT113" i="9"/>
  <c r="DI65" i="9"/>
  <c r="DK65" i="9"/>
  <c r="DT65" i="9"/>
  <c r="DK216" i="9"/>
  <c r="DT216" i="9"/>
  <c r="DI216" i="9"/>
  <c r="DK6" i="9"/>
  <c r="DT6" i="9"/>
  <c r="DI6" i="9"/>
  <c r="DI58" i="9"/>
  <c r="DK58" i="9"/>
  <c r="DK95" i="9"/>
  <c r="DT95" i="9"/>
  <c r="DI95" i="9"/>
  <c r="DK125" i="9"/>
  <c r="DT125" i="9"/>
  <c r="DI125" i="9"/>
  <c r="DK103" i="9"/>
  <c r="DT103" i="9"/>
  <c r="DI103" i="9"/>
  <c r="DK93" i="9"/>
  <c r="DT93" i="9"/>
  <c r="DI93" i="9"/>
  <c r="DH320" i="9"/>
  <c r="DJ439" i="9" s="1"/>
  <c r="DH336" i="9"/>
  <c r="DH462" i="9"/>
  <c r="DL437" i="9"/>
  <c r="DL434" i="9"/>
  <c r="DJ322" i="9"/>
  <c r="DR4" i="9"/>
  <c r="DD4" i="9"/>
  <c r="DS4" i="9"/>
  <c r="DG4" i="9"/>
  <c r="DE4" i="9"/>
  <c r="DL439" i="9"/>
  <c r="DL435" i="9"/>
  <c r="DL433" i="9"/>
  <c r="DT4" i="9"/>
  <c r="DF4" i="9"/>
  <c r="DD1" i="9"/>
  <c r="DK4" i="9"/>
  <c r="DQ4" i="9"/>
  <c r="DN35" i="9"/>
  <c r="EE35" i="9" s="1"/>
  <c r="DN69" i="9"/>
  <c r="DN85" i="9"/>
  <c r="EE85" i="9" s="1"/>
  <c r="DN56" i="9"/>
  <c r="DN16" i="9"/>
  <c r="EE16" i="9" s="1"/>
  <c r="DN270" i="9"/>
  <c r="EE270" i="9" s="1"/>
  <c r="BH370" i="9"/>
  <c r="BH394" i="9" s="1"/>
  <c r="BN96" i="9"/>
  <c r="CB96" i="9"/>
  <c r="BN141" i="9"/>
  <c r="CB141" i="9"/>
  <c r="BN316" i="9"/>
  <c r="CB316" i="9"/>
  <c r="BN53" i="9"/>
  <c r="CB53" i="9"/>
  <c r="DN142" i="9"/>
  <c r="EE142" i="9" s="1"/>
  <c r="DN211" i="9"/>
  <c r="EE211" i="9" s="1"/>
  <c r="DN199" i="9"/>
  <c r="DN131" i="9"/>
  <c r="EE131" i="9" s="1"/>
  <c r="DN104" i="9"/>
  <c r="EE104" i="9" s="1"/>
  <c r="DN292" i="9"/>
  <c r="EE292" i="9" s="1"/>
  <c r="BN28" i="9"/>
  <c r="CB28" i="9"/>
  <c r="BN233" i="9"/>
  <c r="CB233" i="9"/>
  <c r="BN120" i="9"/>
  <c r="CB120" i="9"/>
  <c r="BN12" i="9"/>
  <c r="CB12" i="9"/>
  <c r="BN7" i="9"/>
  <c r="CB7" i="9"/>
  <c r="CF188" i="9"/>
  <c r="BN130" i="9"/>
  <c r="CB130" i="9"/>
  <c r="DN198" i="9"/>
  <c r="EE198" i="9" s="1"/>
  <c r="BN301" i="9"/>
  <c r="CB301" i="9"/>
  <c r="BN60" i="9"/>
  <c r="CB60" i="9"/>
  <c r="BN274" i="9"/>
  <c r="CB274" i="9"/>
  <c r="BN71" i="9"/>
  <c r="CB71" i="9"/>
  <c r="CF71" i="9" s="1"/>
  <c r="BN41" i="9"/>
  <c r="CB41" i="9"/>
  <c r="BQ399" i="9"/>
  <c r="BU324" i="9"/>
  <c r="BU348" i="9" s="1"/>
  <c r="BU353" i="9" s="1"/>
  <c r="BK353" i="9" s="1"/>
  <c r="AV382" i="9"/>
  <c r="BN195" i="9"/>
  <c r="CB195" i="9"/>
  <c r="DN97" i="9"/>
  <c r="EE97" i="9" s="1"/>
  <c r="DN80" i="9"/>
  <c r="DN114" i="9"/>
  <c r="EE114" i="9" s="1"/>
  <c r="BI476" i="9"/>
  <c r="BK455" i="9"/>
  <c r="Q19" i="2" s="1"/>
  <c r="BN154" i="9"/>
  <c r="CB154" i="9"/>
  <c r="BN254" i="9"/>
  <c r="CB254" i="9"/>
  <c r="CF81" i="9"/>
  <c r="BN116" i="9"/>
  <c r="CB116" i="9"/>
  <c r="BN164" i="9"/>
  <c r="CB164" i="9"/>
  <c r="BN146" i="9"/>
  <c r="CB146" i="9"/>
  <c r="BN94" i="9"/>
  <c r="CB94" i="9"/>
  <c r="CF94" i="9" s="1"/>
  <c r="BN50" i="9"/>
  <c r="CB50" i="9"/>
  <c r="BN229" i="9"/>
  <c r="CB229" i="9"/>
  <c r="CF229" i="9" s="1"/>
  <c r="BN279" i="9"/>
  <c r="CB279" i="9"/>
  <c r="DN307" i="9"/>
  <c r="EE307" i="9" s="1"/>
  <c r="DN62" i="9"/>
  <c r="DN45" i="9"/>
  <c r="DN201" i="9"/>
  <c r="DN51" i="9"/>
  <c r="EE51" i="9" s="1"/>
  <c r="AT449" i="9"/>
  <c r="L13" i="2" s="1"/>
  <c r="AT448" i="9"/>
  <c r="CF208" i="9"/>
  <c r="BN20" i="9"/>
  <c r="CB20" i="9"/>
  <c r="BN240" i="9"/>
  <c r="CB240" i="9"/>
  <c r="CF240" i="9" s="1"/>
  <c r="DN243" i="9"/>
  <c r="DN58" i="9"/>
  <c r="EE58" i="9" s="1"/>
  <c r="BN13" i="9"/>
  <c r="CB13" i="9"/>
  <c r="CF13" i="9" s="1"/>
  <c r="BN44" i="9"/>
  <c r="CB44" i="9"/>
  <c r="CF44" i="9" s="1"/>
  <c r="BN305" i="9"/>
  <c r="CB305" i="9"/>
  <c r="BN57" i="9"/>
  <c r="CB57" i="9"/>
  <c r="BN147" i="9"/>
  <c r="CB147" i="9"/>
  <c r="BN234" i="9"/>
  <c r="CB234" i="9"/>
  <c r="CF234" i="9" s="1"/>
  <c r="DN73" i="9"/>
  <c r="EE73" i="9" s="1"/>
  <c r="DN285" i="9"/>
  <c r="EE285" i="9" s="1"/>
  <c r="DN87" i="9"/>
  <c r="EE87" i="9" s="1"/>
  <c r="DN40" i="9"/>
  <c r="DN6" i="9"/>
  <c r="EE6" i="9" s="1"/>
  <c r="AY416" i="9"/>
  <c r="AQ387" i="9"/>
  <c r="AW387" i="9"/>
  <c r="AO387" i="9"/>
  <c r="BD341" i="9"/>
  <c r="AR341" i="9"/>
  <c r="AZ416" i="9"/>
  <c r="AU387" i="9"/>
  <c r="AT341" i="9"/>
  <c r="BC341" i="9"/>
  <c r="BT339" i="9"/>
  <c r="BL385" i="9"/>
  <c r="BQ414" i="9"/>
  <c r="BF385" i="9"/>
  <c r="BU339" i="9"/>
  <c r="BS339" i="9" s="1"/>
  <c r="BP414" i="9"/>
  <c r="BH385" i="9"/>
  <c r="AZ418" i="9"/>
  <c r="AQ389" i="9"/>
  <c r="AW389" i="9"/>
  <c r="AO389" i="9"/>
  <c r="BD343" i="9"/>
  <c r="AR343" i="9"/>
  <c r="AY418" i="9"/>
  <c r="AU389" i="9"/>
  <c r="AT343" i="9"/>
  <c r="BC343" i="9"/>
  <c r="AY417" i="9"/>
  <c r="AU388" i="9"/>
  <c r="AT342" i="9"/>
  <c r="BC342" i="9"/>
  <c r="AZ417" i="9"/>
  <c r="AQ388" i="9"/>
  <c r="AW388" i="9"/>
  <c r="AO388" i="9"/>
  <c r="BD342" i="9"/>
  <c r="AR342" i="9"/>
  <c r="BM387" i="9"/>
  <c r="CG416" i="9"/>
  <c r="BY387" i="9"/>
  <c r="CE387" i="9"/>
  <c r="BW387" i="9"/>
  <c r="CB341" i="9"/>
  <c r="CH416" i="9"/>
  <c r="CC387" i="9"/>
  <c r="CL341" i="9"/>
  <c r="BZ341" i="9"/>
  <c r="CK341" i="9"/>
  <c r="BQ418" i="9"/>
  <c r="BH389" i="9"/>
  <c r="BN389" i="9"/>
  <c r="BF389" i="9"/>
  <c r="BT343" i="9"/>
  <c r="BU343" i="9"/>
  <c r="BI343" i="9"/>
  <c r="BP418" i="9"/>
  <c r="BL389" i="9"/>
  <c r="BK343" i="9"/>
  <c r="BP417" i="9"/>
  <c r="BL388" i="9"/>
  <c r="BK342" i="9"/>
  <c r="BQ417" i="9"/>
  <c r="BH388" i="9"/>
  <c r="BN388" i="9"/>
  <c r="BF388" i="9"/>
  <c r="BT342" i="9"/>
  <c r="BU342" i="9"/>
  <c r="BI342" i="9"/>
  <c r="AV385" i="9"/>
  <c r="AX385" i="9"/>
  <c r="M24" i="2"/>
  <c r="F7" i="17"/>
  <c r="G6" i="17"/>
  <c r="G7" i="17" s="1"/>
  <c r="U29" i="2"/>
  <c r="U34" i="2"/>
  <c r="P19" i="2"/>
  <c r="Q13" i="2"/>
  <c r="Q24" i="2"/>
  <c r="P24" i="2"/>
  <c r="D9" i="17"/>
  <c r="D10" i="17" s="1"/>
  <c r="J19" i="2"/>
  <c r="AC452" i="9"/>
  <c r="G46" i="2"/>
  <c r="V157" i="14" s="1"/>
  <c r="U144" i="12"/>
  <c r="AC157" i="12"/>
  <c r="AC476" i="9"/>
  <c r="H46" i="2" s="1"/>
  <c r="R34" i="2"/>
  <c r="AA490" i="9"/>
  <c r="M13" i="2"/>
  <c r="I111" i="13"/>
  <c r="C25" i="10"/>
  <c r="I113" i="13"/>
  <c r="C67" i="10"/>
  <c r="X191" i="14"/>
  <c r="Y141" i="14"/>
  <c r="W141" i="14"/>
  <c r="Z10" i="2"/>
  <c r="AB10" i="2"/>
  <c r="V15" i="2"/>
  <c r="X15" i="2"/>
  <c r="AD16" i="2"/>
  <c r="AF16" i="2"/>
  <c r="Z17" i="2"/>
  <c r="AB17" i="2"/>
  <c r="AB21" i="2"/>
  <c r="AF21" i="2" s="1"/>
  <c r="AJ21" i="2" s="1"/>
  <c r="Z21" i="2"/>
  <c r="V33" i="2"/>
  <c r="W33" i="2"/>
  <c r="Z44" i="2"/>
  <c r="AA44" i="2"/>
  <c r="V52" i="2"/>
  <c r="W52" i="2"/>
  <c r="I107" i="13"/>
  <c r="D26" i="10"/>
  <c r="L24" i="2"/>
  <c r="Z11" i="2"/>
  <c r="AB11" i="2"/>
  <c r="Z12" i="2"/>
  <c r="AB12" i="2"/>
  <c r="Z27" i="2"/>
  <c r="AA27" i="2"/>
  <c r="Z31" i="2"/>
  <c r="AA31" i="2"/>
  <c r="Z32" i="2"/>
  <c r="AA32" i="2"/>
  <c r="Z36" i="2"/>
  <c r="AA36" i="2"/>
  <c r="V38" i="2"/>
  <c r="W38" i="2"/>
  <c r="Z53" i="2"/>
  <c r="AA53" i="2"/>
  <c r="I106" i="13"/>
  <c r="C26" i="10"/>
  <c r="L19" i="2"/>
  <c r="AA330" i="9"/>
  <c r="AB330" i="9" s="1"/>
  <c r="AD376" i="9"/>
  <c r="AI405" i="9"/>
  <c r="AL330" i="9"/>
  <c r="AF376" i="9"/>
  <c r="X376" i="9"/>
  <c r="Z376" i="9"/>
  <c r="AM330" i="9"/>
  <c r="AK330" i="9" s="1"/>
  <c r="AH405" i="9"/>
  <c r="AC405" i="9" s="1"/>
  <c r="AA331" i="9"/>
  <c r="AB331" i="9" s="1"/>
  <c r="AD377" i="9"/>
  <c r="AF377" i="9"/>
  <c r="Z377" i="9"/>
  <c r="AM331" i="9"/>
  <c r="AK331" i="9" s="1"/>
  <c r="AI406" i="9"/>
  <c r="AL331" i="9"/>
  <c r="AH406" i="9"/>
  <c r="X377" i="9"/>
  <c r="O19" i="2"/>
  <c r="I112" i="13"/>
  <c r="D25" i="10"/>
  <c r="Z51" i="2"/>
  <c r="AB51" i="2"/>
  <c r="Z154" i="14"/>
  <c r="X146" i="14"/>
  <c r="Y7" i="2"/>
  <c r="AA8" i="2"/>
  <c r="X6" i="2"/>
  <c r="CQ469" i="9" s="1"/>
  <c r="CS470" i="9" s="1"/>
  <c r="W5" i="2"/>
  <c r="CQ458" i="9" s="1"/>
  <c r="AD18" i="2"/>
  <c r="AE18" i="2"/>
  <c r="AE21" i="2"/>
  <c r="AD22" i="2"/>
  <c r="AE22" i="2"/>
  <c r="Z23" i="2"/>
  <c r="AA23" i="2"/>
  <c r="V26" i="2"/>
  <c r="W26" i="2"/>
  <c r="V28" i="2"/>
  <c r="W28" i="2"/>
  <c r="Z37" i="2"/>
  <c r="AA37" i="2"/>
  <c r="Z43" i="2"/>
  <c r="AA43" i="2"/>
  <c r="Z45" i="2"/>
  <c r="AA45" i="2"/>
  <c r="Z50" i="2"/>
  <c r="AB50" i="2"/>
  <c r="AN52" i="2"/>
  <c r="AD157" i="12"/>
  <c r="X157" i="12" s="1"/>
  <c r="X131" i="12"/>
  <c r="Y131" i="12" s="1"/>
  <c r="AA144" i="12"/>
  <c r="V131" i="12"/>
  <c r="W131" i="12" s="1"/>
  <c r="AE375" i="9"/>
  <c r="AC375" i="9" s="1"/>
  <c r="AB375" i="9" s="1"/>
  <c r="Y144" i="12"/>
  <c r="S144" i="12"/>
  <c r="AC404" i="9"/>
  <c r="U144" i="14"/>
  <c r="X387" i="9"/>
  <c r="AA341" i="9"/>
  <c r="AF387" i="9"/>
  <c r="AG387" i="9" s="1"/>
  <c r="AI416" i="9"/>
  <c r="AC416" i="9" s="1"/>
  <c r="AC341" i="9"/>
  <c r="AD341" i="9" s="1"/>
  <c r="AM341" i="9"/>
  <c r="AK341" i="9" s="1"/>
  <c r="AL341" i="9"/>
  <c r="AD387" i="9"/>
  <c r="Z387" i="9"/>
  <c r="AD328" i="9"/>
  <c r="AC394" i="9"/>
  <c r="AC428" i="9" s="1"/>
  <c r="AC444" i="9" s="1"/>
  <c r="AE394" i="9"/>
  <c r="N34" i="2"/>
  <c r="AD21" i="2" l="1"/>
  <c r="I105" i="13"/>
  <c r="BN385" i="9"/>
  <c r="EC187" i="9"/>
  <c r="ED187" i="9" s="1"/>
  <c r="EE187" i="9"/>
  <c r="EE40" i="9"/>
  <c r="EE243" i="9"/>
  <c r="EE201" i="9"/>
  <c r="EE62" i="9"/>
  <c r="EE80" i="9"/>
  <c r="BQ423" i="9"/>
  <c r="EE199" i="9"/>
  <c r="EE56" i="9"/>
  <c r="EE69" i="9"/>
  <c r="EE271" i="9"/>
  <c r="EE258" i="9"/>
  <c r="BK437" i="9"/>
  <c r="EE303" i="9"/>
  <c r="EE54" i="9"/>
  <c r="EE249" i="9"/>
  <c r="EE225" i="9"/>
  <c r="EC155" i="9"/>
  <c r="ED155" i="9" s="1"/>
  <c r="EC223" i="9"/>
  <c r="ED223" i="9" s="1"/>
  <c r="EG266" i="9"/>
  <c r="EG137" i="9"/>
  <c r="EC260" i="9"/>
  <c r="ED260" i="9" s="1"/>
  <c r="EC275" i="9"/>
  <c r="ED275" i="9" s="1"/>
  <c r="EC180" i="9"/>
  <c r="ED180" i="9" s="1"/>
  <c r="EG311" i="9"/>
  <c r="EC303" i="9"/>
  <c r="ED303" i="9" s="1"/>
  <c r="EC73" i="9"/>
  <c r="ED73" i="9" s="1"/>
  <c r="EC249" i="9"/>
  <c r="ED249" i="9" s="1"/>
  <c r="EG113" i="9"/>
  <c r="EC186" i="9"/>
  <c r="ED186" i="9" s="1"/>
  <c r="EG32" i="9"/>
  <c r="EC95" i="9"/>
  <c r="ED95" i="9" s="1"/>
  <c r="EG80" i="9"/>
  <c r="EG273" i="9"/>
  <c r="EC168" i="9"/>
  <c r="ED168" i="9" s="1"/>
  <c r="EA204" i="9"/>
  <c r="EG204" i="9" s="1"/>
  <c r="EA19" i="9"/>
  <c r="EG19" i="9" s="1"/>
  <c r="DY320" i="9"/>
  <c r="EA439" i="9" s="1"/>
  <c r="BK357" i="9"/>
  <c r="EE177" i="9"/>
  <c r="EE242" i="9"/>
  <c r="EE61" i="9"/>
  <c r="EE91" i="9"/>
  <c r="EE103" i="9"/>
  <c r="EE218" i="9"/>
  <c r="EE137" i="9"/>
  <c r="EE215" i="9"/>
  <c r="EE315" i="9"/>
  <c r="EG262" i="9"/>
  <c r="EG219" i="9"/>
  <c r="EC19" i="9"/>
  <c r="ED19" i="9" s="1"/>
  <c r="EG27" i="9"/>
  <c r="EG136" i="9"/>
  <c r="EG289" i="9"/>
  <c r="EC112" i="9"/>
  <c r="ED112" i="9" s="1"/>
  <c r="EC230" i="9"/>
  <c r="ED230" i="9" s="1"/>
  <c r="EC204" i="9"/>
  <c r="ED204" i="9" s="1"/>
  <c r="EG307" i="9"/>
  <c r="EG253" i="9"/>
  <c r="EC93" i="9"/>
  <c r="ED93" i="9" s="1"/>
  <c r="EG6" i="9"/>
  <c r="EC85" i="9"/>
  <c r="ED85" i="9" s="1"/>
  <c r="EC114" i="9"/>
  <c r="ED114" i="9" s="1"/>
  <c r="EG16" i="9"/>
  <c r="EG11" i="9"/>
  <c r="EG89" i="9"/>
  <c r="EG125" i="9"/>
  <c r="EC242" i="9"/>
  <c r="ED242" i="9" s="1"/>
  <c r="EC287" i="9"/>
  <c r="ED287" i="9" s="1"/>
  <c r="EG201" i="9"/>
  <c r="EG163" i="9"/>
  <c r="EE267" i="9"/>
  <c r="EC205" i="9"/>
  <c r="ED205" i="9" s="1"/>
  <c r="EG315" i="9"/>
  <c r="EG298" i="9"/>
  <c r="EC167" i="9"/>
  <c r="ED167" i="9" s="1"/>
  <c r="EG143" i="9"/>
  <c r="EC243" i="9"/>
  <c r="ED243" i="9" s="1"/>
  <c r="EG205" i="9"/>
  <c r="EG167" i="9"/>
  <c r="EG64" i="9"/>
  <c r="EC124" i="9"/>
  <c r="ED124" i="9" s="1"/>
  <c r="EG295" i="9"/>
  <c r="EG45" i="9"/>
  <c r="EC70" i="9"/>
  <c r="ED70" i="9" s="1"/>
  <c r="EG65" i="9"/>
  <c r="EC109" i="9"/>
  <c r="ED109" i="9" s="1"/>
  <c r="EG218" i="9"/>
  <c r="EG267" i="9"/>
  <c r="EG124" i="9"/>
  <c r="EC65" i="9"/>
  <c r="ED65" i="9" s="1"/>
  <c r="BY378" i="9"/>
  <c r="BK447" i="9"/>
  <c r="BK462" i="9"/>
  <c r="CS458" i="9"/>
  <c r="CL57" i="9"/>
  <c r="CC57" i="9"/>
  <c r="CA57" i="9"/>
  <c r="CH57" i="9"/>
  <c r="CD57" i="9"/>
  <c r="CF57" i="9"/>
  <c r="CC305" i="9"/>
  <c r="CL305" i="9"/>
  <c r="CA305" i="9"/>
  <c r="CD305" i="9"/>
  <c r="CH305" i="9"/>
  <c r="CF305" i="9"/>
  <c r="CL146" i="9"/>
  <c r="CC146" i="9"/>
  <c r="CA146" i="9"/>
  <c r="CD146" i="9"/>
  <c r="CH146" i="9"/>
  <c r="CA164" i="9"/>
  <c r="CC164" i="9"/>
  <c r="CL164" i="9"/>
  <c r="CH164" i="9"/>
  <c r="CD164" i="9"/>
  <c r="CC116" i="9"/>
  <c r="CL116" i="9"/>
  <c r="CA116" i="9"/>
  <c r="CD116" i="9"/>
  <c r="CH116" i="9"/>
  <c r="CL154" i="9"/>
  <c r="CC154" i="9"/>
  <c r="CA154" i="9"/>
  <c r="CH154" i="9"/>
  <c r="CD154" i="9"/>
  <c r="CC195" i="9"/>
  <c r="CL195" i="9"/>
  <c r="CA195" i="9"/>
  <c r="CH195" i="9"/>
  <c r="CD195" i="9"/>
  <c r="CL7" i="9"/>
  <c r="CC7" i="9"/>
  <c r="CA7" i="9"/>
  <c r="CH7" i="9"/>
  <c r="CD7" i="9"/>
  <c r="CF7" i="9"/>
  <c r="CA120" i="9"/>
  <c r="CC120" i="9"/>
  <c r="CL120" i="9"/>
  <c r="CH120" i="9"/>
  <c r="CD120" i="9"/>
  <c r="CC233" i="9"/>
  <c r="CL233" i="9"/>
  <c r="CA233" i="9"/>
  <c r="CD233" i="9"/>
  <c r="CH233" i="9"/>
  <c r="CF233" i="9"/>
  <c r="CL28" i="9"/>
  <c r="CC28" i="9"/>
  <c r="CA28" i="9"/>
  <c r="CH28" i="9"/>
  <c r="CD28" i="9"/>
  <c r="CF28" i="9"/>
  <c r="CA53" i="9"/>
  <c r="CL53" i="9"/>
  <c r="CC53" i="9"/>
  <c r="CH53" i="9"/>
  <c r="CD53" i="9"/>
  <c r="CA316" i="9"/>
  <c r="CC316" i="9"/>
  <c r="CL316" i="9"/>
  <c r="CD316" i="9"/>
  <c r="CH316" i="9"/>
  <c r="CF316" i="9"/>
  <c r="CL141" i="9"/>
  <c r="CC141" i="9"/>
  <c r="CA141" i="9"/>
  <c r="CH141" i="9"/>
  <c r="CD141" i="9"/>
  <c r="CF141" i="9"/>
  <c r="DL436" i="9"/>
  <c r="DS318" i="9"/>
  <c r="DS316" i="9"/>
  <c r="DS314" i="9"/>
  <c r="DS312" i="9"/>
  <c r="DS310" i="9"/>
  <c r="DS308" i="9"/>
  <c r="DS306" i="9"/>
  <c r="DS304" i="9"/>
  <c r="DS302" i="9"/>
  <c r="DS300" i="9"/>
  <c r="DS298" i="9"/>
  <c r="DS296" i="9"/>
  <c r="DS294" i="9"/>
  <c r="DS292" i="9"/>
  <c r="DS290" i="9"/>
  <c r="DS288" i="9"/>
  <c r="DS286" i="9"/>
  <c r="DS284" i="9"/>
  <c r="DS282" i="9"/>
  <c r="DS280" i="9"/>
  <c r="DS244" i="9"/>
  <c r="DS242" i="9"/>
  <c r="DS240" i="9"/>
  <c r="DS238" i="9"/>
  <c r="DS236" i="9"/>
  <c r="DS234" i="9"/>
  <c r="DS232" i="9"/>
  <c r="DS230" i="9"/>
  <c r="DS228" i="9"/>
  <c r="DS226" i="9"/>
  <c r="DS224" i="9"/>
  <c r="DS222" i="9"/>
  <c r="DS278" i="9"/>
  <c r="DS276" i="9"/>
  <c r="DS274" i="9"/>
  <c r="DS272" i="9"/>
  <c r="DS270" i="9"/>
  <c r="DS268" i="9"/>
  <c r="DS266" i="9"/>
  <c r="DS264" i="9"/>
  <c r="DS262" i="9"/>
  <c r="DS260" i="9"/>
  <c r="DS258" i="9"/>
  <c r="DS256" i="9"/>
  <c r="DS254" i="9"/>
  <c r="DS252" i="9"/>
  <c r="DS250" i="9"/>
  <c r="DS248" i="9"/>
  <c r="DS246" i="9"/>
  <c r="DS220" i="9"/>
  <c r="DS218" i="9"/>
  <c r="DS216" i="9"/>
  <c r="DS214" i="9"/>
  <c r="DS212" i="9"/>
  <c r="DS210" i="9"/>
  <c r="DS208" i="9"/>
  <c r="DS206" i="9"/>
  <c r="DS204" i="9"/>
  <c r="DS202" i="9"/>
  <c r="DS200" i="9"/>
  <c r="DS198" i="9"/>
  <c r="DS196" i="9"/>
  <c r="DS194" i="9"/>
  <c r="DS192" i="9"/>
  <c r="DS190" i="9"/>
  <c r="DS188" i="9"/>
  <c r="DS186" i="9"/>
  <c r="DS184" i="9"/>
  <c r="DS182" i="9"/>
  <c r="DS180" i="9"/>
  <c r="DS178" i="9"/>
  <c r="DS176" i="9"/>
  <c r="DS174" i="9"/>
  <c r="DS172" i="9"/>
  <c r="DS170" i="9"/>
  <c r="DS168" i="9"/>
  <c r="DS166" i="9"/>
  <c r="DS164" i="9"/>
  <c r="DS162" i="9"/>
  <c r="DS160" i="9"/>
  <c r="DS158" i="9"/>
  <c r="DS156" i="9"/>
  <c r="DS154" i="9"/>
  <c r="DS152" i="9"/>
  <c r="DS150" i="9"/>
  <c r="DS148" i="9"/>
  <c r="DS146" i="9"/>
  <c r="DS144" i="9"/>
  <c r="DS142" i="9"/>
  <c r="DS140" i="9"/>
  <c r="DS138" i="9"/>
  <c r="DS136" i="9"/>
  <c r="DS134" i="9"/>
  <c r="DS132" i="9"/>
  <c r="DS130" i="9"/>
  <c r="DS128" i="9"/>
  <c r="DS126" i="9"/>
  <c r="DS124" i="9"/>
  <c r="DS122" i="9"/>
  <c r="DS120" i="9"/>
  <c r="DS118" i="9"/>
  <c r="DS116" i="9"/>
  <c r="DS114" i="9"/>
  <c r="DS112" i="9"/>
  <c r="DS110" i="9"/>
  <c r="DS108" i="9"/>
  <c r="DS106" i="9"/>
  <c r="DS104" i="9"/>
  <c r="DS102" i="9"/>
  <c r="DS100" i="9"/>
  <c r="DS98" i="9"/>
  <c r="DS96" i="9"/>
  <c r="DS94" i="9"/>
  <c r="DS92" i="9"/>
  <c r="DS90" i="9"/>
  <c r="DS88" i="9"/>
  <c r="DS86" i="9"/>
  <c r="DS84" i="9"/>
  <c r="DS82" i="9"/>
  <c r="DS73" i="9"/>
  <c r="DS65" i="9"/>
  <c r="DS48" i="9"/>
  <c r="DS39" i="9"/>
  <c r="DS30" i="9"/>
  <c r="DS13" i="9"/>
  <c r="DS11" i="9"/>
  <c r="DS9" i="9"/>
  <c r="DS7" i="9"/>
  <c r="DS5" i="9"/>
  <c r="DS319" i="9"/>
  <c r="DS317" i="9"/>
  <c r="DS315" i="9"/>
  <c r="DS313" i="9"/>
  <c r="DS311" i="9"/>
  <c r="DS309" i="9"/>
  <c r="DS307" i="9"/>
  <c r="DS305" i="9"/>
  <c r="DS303" i="9"/>
  <c r="DS301" i="9"/>
  <c r="DS299" i="9"/>
  <c r="DS297" i="9"/>
  <c r="DS295" i="9"/>
  <c r="DS293" i="9"/>
  <c r="DS291" i="9"/>
  <c r="DS289" i="9"/>
  <c r="DS287" i="9"/>
  <c r="DS285" i="9"/>
  <c r="DS283" i="9"/>
  <c r="DS281" i="9"/>
  <c r="DS279" i="9"/>
  <c r="DS243" i="9"/>
  <c r="DS241" i="9"/>
  <c r="DS239" i="9"/>
  <c r="DS237" i="9"/>
  <c r="DS235" i="9"/>
  <c r="DS233" i="9"/>
  <c r="DS231" i="9"/>
  <c r="DS229" i="9"/>
  <c r="DS227" i="9"/>
  <c r="DS225" i="9"/>
  <c r="DS223" i="9"/>
  <c r="DS221" i="9"/>
  <c r="DS277" i="9"/>
  <c r="DS275" i="9"/>
  <c r="DS273" i="9"/>
  <c r="DS271" i="9"/>
  <c r="DS269" i="9"/>
  <c r="DS267" i="9"/>
  <c r="DS265" i="9"/>
  <c r="DS263" i="9"/>
  <c r="DS261" i="9"/>
  <c r="DS259" i="9"/>
  <c r="DS257" i="9"/>
  <c r="DS255" i="9"/>
  <c r="DS253" i="9"/>
  <c r="DS251" i="9"/>
  <c r="DS249" i="9"/>
  <c r="DS247" i="9"/>
  <c r="DS245" i="9"/>
  <c r="DS219" i="9"/>
  <c r="DS217" i="9"/>
  <c r="DS215" i="9"/>
  <c r="DS213" i="9"/>
  <c r="DS211" i="9"/>
  <c r="DS209" i="9"/>
  <c r="DS207" i="9"/>
  <c r="DS205" i="9"/>
  <c r="DS203" i="9"/>
  <c r="DS201" i="9"/>
  <c r="DS199" i="9"/>
  <c r="DS197" i="9"/>
  <c r="DS195" i="9"/>
  <c r="DS193" i="9"/>
  <c r="DS191" i="9"/>
  <c r="DS189" i="9"/>
  <c r="DS187" i="9"/>
  <c r="DS185" i="9"/>
  <c r="DS183" i="9"/>
  <c r="DS181" i="9"/>
  <c r="DS179" i="9"/>
  <c r="DS177" i="9"/>
  <c r="DS175" i="9"/>
  <c r="DS173" i="9"/>
  <c r="DS171" i="9"/>
  <c r="DS169" i="9"/>
  <c r="DS167" i="9"/>
  <c r="DS165" i="9"/>
  <c r="DS163" i="9"/>
  <c r="DS161" i="9"/>
  <c r="DS159" i="9"/>
  <c r="DS157" i="9"/>
  <c r="DS155" i="9"/>
  <c r="DS153" i="9"/>
  <c r="DS151" i="9"/>
  <c r="DS149" i="9"/>
  <c r="DS147" i="9"/>
  <c r="DS145" i="9"/>
  <c r="DS143" i="9"/>
  <c r="DS141" i="9"/>
  <c r="DS139" i="9"/>
  <c r="DS137" i="9"/>
  <c r="DS135" i="9"/>
  <c r="DS133" i="9"/>
  <c r="DS131" i="9"/>
  <c r="DS129" i="9"/>
  <c r="DS127" i="9"/>
  <c r="DS125" i="9"/>
  <c r="DS123" i="9"/>
  <c r="DS121" i="9"/>
  <c r="DS119" i="9"/>
  <c r="DS117" i="9"/>
  <c r="DS115" i="9"/>
  <c r="DS113" i="9"/>
  <c r="DS111" i="9"/>
  <c r="DS109" i="9"/>
  <c r="DS107" i="9"/>
  <c r="DS105" i="9"/>
  <c r="DS103" i="9"/>
  <c r="DS101" i="9"/>
  <c r="DS99" i="9"/>
  <c r="DS97" i="9"/>
  <c r="DS95" i="9"/>
  <c r="DS93" i="9"/>
  <c r="DS91" i="9"/>
  <c r="DS89" i="9"/>
  <c r="DS87" i="9"/>
  <c r="DS85" i="9"/>
  <c r="DS83" i="9"/>
  <c r="DS74" i="9"/>
  <c r="DS64" i="9"/>
  <c r="DS49" i="9"/>
  <c r="DS40" i="9"/>
  <c r="DS31" i="9"/>
  <c r="DS14" i="9"/>
  <c r="DS12" i="9"/>
  <c r="DS10" i="9"/>
  <c r="DS8" i="9"/>
  <c r="DS6" i="9"/>
  <c r="DQ72" i="9"/>
  <c r="DS72" i="9" s="1"/>
  <c r="DT72" i="9" s="1"/>
  <c r="DQ63" i="9"/>
  <c r="DS63" i="9" s="1"/>
  <c r="DQ55" i="9"/>
  <c r="DS55" i="9" s="1"/>
  <c r="DQ45" i="9"/>
  <c r="DS45" i="9" s="1"/>
  <c r="DT45" i="9" s="1"/>
  <c r="DQ35" i="9"/>
  <c r="DS35" i="9" s="1"/>
  <c r="DT35" i="9" s="1"/>
  <c r="DQ25" i="9"/>
  <c r="DS25" i="9" s="1"/>
  <c r="DQ17" i="9"/>
  <c r="DS17" i="9" s="1"/>
  <c r="DQ77" i="9"/>
  <c r="DS77" i="9" s="1"/>
  <c r="DT77" i="9" s="1"/>
  <c r="DQ67" i="9"/>
  <c r="DS67" i="9" s="1"/>
  <c r="DQ56" i="9"/>
  <c r="DS56" i="9" s="1"/>
  <c r="DT56" i="9" s="1"/>
  <c r="DQ46" i="9"/>
  <c r="DS46" i="9" s="1"/>
  <c r="DQ36" i="9"/>
  <c r="DS36" i="9" s="1"/>
  <c r="DQ26" i="9"/>
  <c r="DS26" i="9" s="1"/>
  <c r="DQ18" i="9"/>
  <c r="DS18" i="9" s="1"/>
  <c r="DQ76" i="9"/>
  <c r="DS76" i="9" s="1"/>
  <c r="DQ66" i="9"/>
  <c r="DS66" i="9" s="1"/>
  <c r="DQ57" i="9"/>
  <c r="DS57" i="9" s="1"/>
  <c r="DQ47" i="9"/>
  <c r="DS47" i="9" s="1"/>
  <c r="DQ37" i="9"/>
  <c r="DS37" i="9" s="1"/>
  <c r="DQ27" i="9"/>
  <c r="DS27" i="9" s="1"/>
  <c r="DT27" i="9" s="1"/>
  <c r="DQ19" i="9"/>
  <c r="DS19" i="9" s="1"/>
  <c r="DT19" i="9" s="1"/>
  <c r="DQ79" i="9"/>
  <c r="DS79" i="9" s="1"/>
  <c r="DQ69" i="9"/>
  <c r="DS69" i="9" s="1"/>
  <c r="DT69" i="9" s="1"/>
  <c r="DQ58" i="9"/>
  <c r="DS58" i="9" s="1"/>
  <c r="DT58" i="9" s="1"/>
  <c r="DQ50" i="9"/>
  <c r="DS50" i="9" s="1"/>
  <c r="DQ38" i="9"/>
  <c r="DS38" i="9" s="1"/>
  <c r="DT38" i="9" s="1"/>
  <c r="DQ28" i="9"/>
  <c r="DS28" i="9" s="1"/>
  <c r="DQ20" i="9"/>
  <c r="DS20" i="9" s="1"/>
  <c r="DQ78" i="9"/>
  <c r="DS78" i="9" s="1"/>
  <c r="DQ68" i="9"/>
  <c r="DS68" i="9" s="1"/>
  <c r="DQ59" i="9"/>
  <c r="DS59" i="9" s="1"/>
  <c r="DT59" i="9" s="1"/>
  <c r="DQ51" i="9"/>
  <c r="DS51" i="9" s="1"/>
  <c r="DT51" i="9" s="1"/>
  <c r="DQ41" i="9"/>
  <c r="DS41" i="9" s="1"/>
  <c r="DQ29" i="9"/>
  <c r="DS29" i="9" s="1"/>
  <c r="DQ21" i="9"/>
  <c r="DS21" i="9" s="1"/>
  <c r="DQ81" i="9"/>
  <c r="DS81" i="9" s="1"/>
  <c r="DQ71" i="9"/>
  <c r="DS71" i="9" s="1"/>
  <c r="DQ60" i="9"/>
  <c r="DS60" i="9" s="1"/>
  <c r="DQ52" i="9"/>
  <c r="DS52" i="9" s="1"/>
  <c r="DQ42" i="9"/>
  <c r="DS42" i="9" s="1"/>
  <c r="DQ32" i="9"/>
  <c r="DS32" i="9" s="1"/>
  <c r="DT32" i="9" s="1"/>
  <c r="DQ22" i="9"/>
  <c r="DS22" i="9" s="1"/>
  <c r="DQ80" i="9"/>
  <c r="DS80" i="9" s="1"/>
  <c r="DT80" i="9" s="1"/>
  <c r="DQ70" i="9"/>
  <c r="DS70" i="9" s="1"/>
  <c r="DT70" i="9" s="1"/>
  <c r="DQ61" i="9"/>
  <c r="DS61" i="9" s="1"/>
  <c r="DT61" i="9" s="1"/>
  <c r="DQ53" i="9"/>
  <c r="DS53" i="9" s="1"/>
  <c r="DQ43" i="9"/>
  <c r="DS43" i="9" s="1"/>
  <c r="DT43" i="9" s="1"/>
  <c r="DQ33" i="9"/>
  <c r="DS33" i="9" s="1"/>
  <c r="DQ23" i="9"/>
  <c r="DS23" i="9" s="1"/>
  <c r="DQ15" i="9"/>
  <c r="DS15" i="9" s="1"/>
  <c r="DQ75" i="9"/>
  <c r="DS75" i="9" s="1"/>
  <c r="DQ62" i="9"/>
  <c r="DS62" i="9" s="1"/>
  <c r="DT62" i="9" s="1"/>
  <c r="DQ54" i="9"/>
  <c r="DS54" i="9" s="1"/>
  <c r="DT54" i="9" s="1"/>
  <c r="DQ44" i="9"/>
  <c r="DS44" i="9" s="1"/>
  <c r="DQ34" i="9"/>
  <c r="DS34" i="9" s="1"/>
  <c r="DQ24" i="9"/>
  <c r="DS24" i="9" s="1"/>
  <c r="DT24" i="9" s="1"/>
  <c r="DQ16" i="9"/>
  <c r="DS16" i="9" s="1"/>
  <c r="DT16" i="9" s="1"/>
  <c r="CQ463" i="9"/>
  <c r="BY5" i="9"/>
  <c r="BY320" i="9" s="1"/>
  <c r="BX320" i="9"/>
  <c r="BW378" i="9"/>
  <c r="CB459" i="9"/>
  <c r="CB458" i="9"/>
  <c r="BM146" i="14"/>
  <c r="BN154" i="14"/>
  <c r="CL23" i="9"/>
  <c r="CC23" i="9"/>
  <c r="CA23" i="9"/>
  <c r="CD23" i="9"/>
  <c r="CH23" i="9"/>
  <c r="CC226" i="9"/>
  <c r="CL226" i="9"/>
  <c r="CA226" i="9"/>
  <c r="CH226" i="9"/>
  <c r="CD226" i="9"/>
  <c r="CF226" i="9"/>
  <c r="CL221" i="9"/>
  <c r="CC221" i="9"/>
  <c r="CA221" i="9"/>
  <c r="CD221" i="9"/>
  <c r="CH221" i="9"/>
  <c r="CF221" i="9"/>
  <c r="CC67" i="9"/>
  <c r="CL67" i="9"/>
  <c r="CA67" i="9"/>
  <c r="CD67" i="9"/>
  <c r="CH67" i="9"/>
  <c r="CL52" i="9"/>
  <c r="CC52" i="9"/>
  <c r="CA52" i="9"/>
  <c r="CH52" i="9"/>
  <c r="CD52" i="9"/>
  <c r="CF52" i="9"/>
  <c r="CC290" i="9"/>
  <c r="CL290" i="9"/>
  <c r="CA290" i="9"/>
  <c r="CH290" i="9"/>
  <c r="CD290" i="9"/>
  <c r="CA160" i="9"/>
  <c r="CC160" i="9"/>
  <c r="CL160" i="9"/>
  <c r="CH160" i="9"/>
  <c r="CD160" i="9"/>
  <c r="CF160" i="9"/>
  <c r="CF247" i="9"/>
  <c r="CC247" i="9"/>
  <c r="CL247" i="9"/>
  <c r="CA247" i="9"/>
  <c r="CD247" i="9"/>
  <c r="CH247" i="9"/>
  <c r="CC185" i="9"/>
  <c r="CL185" i="9"/>
  <c r="CA185" i="9"/>
  <c r="CH185" i="9"/>
  <c r="CD185" i="9"/>
  <c r="CF185" i="9"/>
  <c r="CB464" i="9"/>
  <c r="CB463" i="9"/>
  <c r="CC66" i="9"/>
  <c r="CL66" i="9"/>
  <c r="CA66" i="9"/>
  <c r="CD66" i="9"/>
  <c r="CH66" i="9"/>
  <c r="CF66" i="9"/>
  <c r="CC98" i="9"/>
  <c r="CL98" i="9"/>
  <c r="CA98" i="9"/>
  <c r="CD98" i="9"/>
  <c r="CH98" i="9"/>
  <c r="CF98" i="9"/>
  <c r="CL152" i="9"/>
  <c r="CC152" i="9"/>
  <c r="CA152" i="9"/>
  <c r="CH152" i="9"/>
  <c r="CD152" i="9"/>
  <c r="CF152" i="9"/>
  <c r="CL213" i="9"/>
  <c r="CC213" i="9"/>
  <c r="CA213" i="9"/>
  <c r="CD213" i="9"/>
  <c r="CH213" i="9"/>
  <c r="CC169" i="9"/>
  <c r="CL169" i="9"/>
  <c r="CA169" i="9"/>
  <c r="CH169" i="9"/>
  <c r="CD169" i="9"/>
  <c r="CF169" i="9"/>
  <c r="CA175" i="9"/>
  <c r="CC175" i="9"/>
  <c r="CL175" i="9"/>
  <c r="CD175" i="9"/>
  <c r="CH175" i="9"/>
  <c r="CF175" i="9"/>
  <c r="CC286" i="9"/>
  <c r="CL286" i="9"/>
  <c r="CA286" i="9"/>
  <c r="CD286" i="9"/>
  <c r="CH286" i="9"/>
  <c r="CA244" i="9"/>
  <c r="CC244" i="9"/>
  <c r="CL244" i="9"/>
  <c r="CH244" i="9"/>
  <c r="CD244" i="9"/>
  <c r="CF244" i="9"/>
  <c r="CF122" i="9"/>
  <c r="CC122" i="9"/>
  <c r="CL122" i="9"/>
  <c r="CA122" i="9"/>
  <c r="CD122" i="9"/>
  <c r="CH122" i="9"/>
  <c r="CA159" i="9"/>
  <c r="CC159" i="9"/>
  <c r="CL159" i="9"/>
  <c r="CD159" i="9"/>
  <c r="CH159" i="9"/>
  <c r="CF159" i="9"/>
  <c r="CC189" i="9"/>
  <c r="CL189" i="9"/>
  <c r="CA189" i="9"/>
  <c r="CD189" i="9"/>
  <c r="CH189" i="9"/>
  <c r="CF189" i="9"/>
  <c r="CA171" i="9"/>
  <c r="CC171" i="9"/>
  <c r="CL171" i="9"/>
  <c r="CH171" i="9"/>
  <c r="CD171" i="9"/>
  <c r="CF171" i="9"/>
  <c r="CA18" i="9"/>
  <c r="CL18" i="9"/>
  <c r="CC18" i="9"/>
  <c r="CH18" i="9"/>
  <c r="CD18" i="9"/>
  <c r="CF18" i="9"/>
  <c r="CL49" i="9"/>
  <c r="CC49" i="9"/>
  <c r="CA49" i="9"/>
  <c r="CH49" i="9"/>
  <c r="CD49" i="9"/>
  <c r="CC79" i="9"/>
  <c r="CL79" i="9"/>
  <c r="CA79" i="9"/>
  <c r="CD79" i="9"/>
  <c r="CH79" i="9"/>
  <c r="CF79" i="9"/>
  <c r="CA36" i="9"/>
  <c r="CL36" i="9"/>
  <c r="CC36" i="9"/>
  <c r="CH36" i="9"/>
  <c r="CD36" i="9"/>
  <c r="CF36" i="9"/>
  <c r="CA9" i="9"/>
  <c r="CL9" i="9"/>
  <c r="CC9" i="9"/>
  <c r="CD9" i="9"/>
  <c r="CH9" i="9"/>
  <c r="CB332" i="9"/>
  <c r="CF9" i="9"/>
  <c r="CF49" i="9"/>
  <c r="CC118" i="9"/>
  <c r="CL118" i="9"/>
  <c r="CA118" i="9"/>
  <c r="CD118" i="9"/>
  <c r="CH118" i="9"/>
  <c r="CC193" i="9"/>
  <c r="CL193" i="9"/>
  <c r="CA193" i="9"/>
  <c r="CD193" i="9"/>
  <c r="CH193" i="9"/>
  <c r="CF193" i="9"/>
  <c r="CA74" i="9"/>
  <c r="CC74" i="9"/>
  <c r="CL74" i="9"/>
  <c r="CH74" i="9"/>
  <c r="CD74" i="9"/>
  <c r="CA86" i="9"/>
  <c r="CC86" i="9"/>
  <c r="CL86" i="9"/>
  <c r="CD86" i="9"/>
  <c r="CH86" i="9"/>
  <c r="CA102" i="9"/>
  <c r="CC102" i="9"/>
  <c r="CL102" i="9"/>
  <c r="CD102" i="9"/>
  <c r="CH102" i="9"/>
  <c r="CA108" i="9"/>
  <c r="CC108" i="9"/>
  <c r="CL108" i="9"/>
  <c r="CD108" i="9"/>
  <c r="CH108" i="9"/>
  <c r="CF108" i="9"/>
  <c r="CC222" i="9"/>
  <c r="CL222" i="9"/>
  <c r="CA222" i="9"/>
  <c r="CH222" i="9"/>
  <c r="CD222" i="9"/>
  <c r="CQ453" i="9"/>
  <c r="CQ459" i="9"/>
  <c r="CQ470" i="9"/>
  <c r="CQ454" i="9"/>
  <c r="CQ460" i="9"/>
  <c r="CM320" i="9"/>
  <c r="CN5" i="9"/>
  <c r="CX5" i="9"/>
  <c r="CO5" i="9"/>
  <c r="CN9" i="9"/>
  <c r="CX9" i="9"/>
  <c r="CO9" i="9"/>
  <c r="CP9" i="9" s="1"/>
  <c r="CN13" i="9"/>
  <c r="CX13" i="9"/>
  <c r="CO13" i="9"/>
  <c r="CP13" i="9" s="1"/>
  <c r="CN17" i="9"/>
  <c r="CX17" i="9"/>
  <c r="CO17" i="9"/>
  <c r="CP17" i="9" s="1"/>
  <c r="CN21" i="9"/>
  <c r="CX21" i="9"/>
  <c r="CO21" i="9"/>
  <c r="CP21" i="9" s="1"/>
  <c r="CN25" i="9"/>
  <c r="CX25" i="9"/>
  <c r="CO25" i="9"/>
  <c r="CP25" i="9" s="1"/>
  <c r="CN29" i="9"/>
  <c r="CX29" i="9"/>
  <c r="CO29" i="9"/>
  <c r="CP29" i="9" s="1"/>
  <c r="CN33" i="9"/>
  <c r="CX33" i="9"/>
  <c r="CO33" i="9"/>
  <c r="CP33" i="9" s="1"/>
  <c r="CN37" i="9"/>
  <c r="CX37" i="9"/>
  <c r="CO37" i="9"/>
  <c r="CP37" i="9" s="1"/>
  <c r="CN41" i="9"/>
  <c r="CX41" i="9"/>
  <c r="CO41" i="9"/>
  <c r="CP41" i="9" s="1"/>
  <c r="CN45" i="9"/>
  <c r="CX45" i="9"/>
  <c r="CO45" i="9"/>
  <c r="CP45" i="9" s="1"/>
  <c r="CN49" i="9"/>
  <c r="CX49" i="9"/>
  <c r="CO49" i="9"/>
  <c r="CP49" i="9" s="1"/>
  <c r="CN53" i="9"/>
  <c r="CX53" i="9"/>
  <c r="CO53" i="9"/>
  <c r="CP53" i="9" s="1"/>
  <c r="CN57" i="9"/>
  <c r="CX57" i="9"/>
  <c r="CO57" i="9"/>
  <c r="CP57" i="9" s="1"/>
  <c r="CN61" i="9"/>
  <c r="CX61" i="9"/>
  <c r="CO61" i="9"/>
  <c r="CP61" i="9" s="1"/>
  <c r="CX65" i="9"/>
  <c r="CO65" i="9"/>
  <c r="CP65" i="9" s="1"/>
  <c r="CN65" i="9"/>
  <c r="CX69" i="9"/>
  <c r="CO69" i="9"/>
  <c r="CP69" i="9" s="1"/>
  <c r="CN69" i="9"/>
  <c r="CX73" i="9"/>
  <c r="CO73" i="9"/>
  <c r="CP73" i="9" s="1"/>
  <c r="CN73" i="9"/>
  <c r="CX77" i="9"/>
  <c r="CO77" i="9"/>
  <c r="CP77" i="9" s="1"/>
  <c r="CN77" i="9"/>
  <c r="CX81" i="9"/>
  <c r="CO81" i="9"/>
  <c r="CP81" i="9" s="1"/>
  <c r="CN81" i="9"/>
  <c r="CX85" i="9"/>
  <c r="CO85" i="9"/>
  <c r="CP85" i="9" s="1"/>
  <c r="CN85" i="9"/>
  <c r="CX89" i="9"/>
  <c r="CO89" i="9"/>
  <c r="CP89" i="9" s="1"/>
  <c r="CN89" i="9"/>
  <c r="CX93" i="9"/>
  <c r="CO93" i="9"/>
  <c r="CP93" i="9" s="1"/>
  <c r="CN93" i="9"/>
  <c r="CX97" i="9"/>
  <c r="CO97" i="9"/>
  <c r="CP97" i="9" s="1"/>
  <c r="CN97" i="9"/>
  <c r="CX101" i="9"/>
  <c r="CO101" i="9"/>
  <c r="CP101" i="9" s="1"/>
  <c r="CN101" i="9"/>
  <c r="CX105" i="9"/>
  <c r="CO105" i="9"/>
  <c r="CP105" i="9" s="1"/>
  <c r="CN105" i="9"/>
  <c r="CX109" i="9"/>
  <c r="CO109" i="9"/>
  <c r="CP109" i="9" s="1"/>
  <c r="CN109" i="9"/>
  <c r="CX113" i="9"/>
  <c r="CO113" i="9"/>
  <c r="CP113" i="9" s="1"/>
  <c r="CN113" i="9"/>
  <c r="CX117" i="9"/>
  <c r="CO117" i="9"/>
  <c r="CP117" i="9" s="1"/>
  <c r="CN117" i="9"/>
  <c r="CX121" i="9"/>
  <c r="CO121" i="9"/>
  <c r="CP121" i="9" s="1"/>
  <c r="CN121" i="9"/>
  <c r="CX125" i="9"/>
  <c r="CO125" i="9"/>
  <c r="CP125" i="9" s="1"/>
  <c r="CN125" i="9"/>
  <c r="CX129" i="9"/>
  <c r="CO129" i="9"/>
  <c r="CP129" i="9" s="1"/>
  <c r="CN129" i="9"/>
  <c r="CO133" i="9"/>
  <c r="CP133" i="9" s="1"/>
  <c r="CX133" i="9"/>
  <c r="CN133" i="9"/>
  <c r="CN137" i="9"/>
  <c r="CX137" i="9"/>
  <c r="CO137" i="9"/>
  <c r="CP137" i="9" s="1"/>
  <c r="CN141" i="9"/>
  <c r="CX141" i="9"/>
  <c r="CO141" i="9"/>
  <c r="CP141" i="9" s="1"/>
  <c r="CN145" i="9"/>
  <c r="CX145" i="9"/>
  <c r="CO145" i="9"/>
  <c r="CP145" i="9" s="1"/>
  <c r="CN149" i="9"/>
  <c r="CX149" i="9"/>
  <c r="CO149" i="9"/>
  <c r="CP149" i="9" s="1"/>
  <c r="CN153" i="9"/>
  <c r="CX153" i="9"/>
  <c r="CO153" i="9"/>
  <c r="CP153" i="9" s="1"/>
  <c r="CX157" i="9"/>
  <c r="CO157" i="9"/>
  <c r="CP157" i="9" s="1"/>
  <c r="CN157" i="9"/>
  <c r="CX161" i="9"/>
  <c r="CO161" i="9"/>
  <c r="CP161" i="9" s="1"/>
  <c r="CN161" i="9"/>
  <c r="CX165" i="9"/>
  <c r="CO165" i="9"/>
  <c r="CP165" i="9" s="1"/>
  <c r="CN165" i="9"/>
  <c r="CX169" i="9"/>
  <c r="CO169" i="9"/>
  <c r="CP169" i="9" s="1"/>
  <c r="CN169" i="9"/>
  <c r="CX173" i="9"/>
  <c r="CO173" i="9"/>
  <c r="CP173" i="9" s="1"/>
  <c r="CN173" i="9"/>
  <c r="CX177" i="9"/>
  <c r="CO177" i="9"/>
  <c r="CP177" i="9" s="1"/>
  <c r="CN177" i="9"/>
  <c r="CX181" i="9"/>
  <c r="CO181" i="9"/>
  <c r="CP181" i="9" s="1"/>
  <c r="CN181" i="9"/>
  <c r="CX185" i="9"/>
  <c r="CO185" i="9"/>
  <c r="CP185" i="9" s="1"/>
  <c r="CN185" i="9"/>
  <c r="CX189" i="9"/>
  <c r="CO189" i="9"/>
  <c r="CP189" i="9" s="1"/>
  <c r="CN189" i="9"/>
  <c r="CX193" i="9"/>
  <c r="CO193" i="9"/>
  <c r="CP193" i="9" s="1"/>
  <c r="CN193" i="9"/>
  <c r="CX197" i="9"/>
  <c r="CO197" i="9"/>
  <c r="CP197" i="9" s="1"/>
  <c r="CN197" i="9"/>
  <c r="CX201" i="9"/>
  <c r="CO201" i="9"/>
  <c r="CP201" i="9" s="1"/>
  <c r="CN201" i="9"/>
  <c r="CX205" i="9"/>
  <c r="CO205" i="9"/>
  <c r="CP205" i="9" s="1"/>
  <c r="CN205" i="9"/>
  <c r="CN209" i="9"/>
  <c r="CX209" i="9"/>
  <c r="CO209" i="9"/>
  <c r="CP209" i="9" s="1"/>
  <c r="CN213" i="9"/>
  <c r="CX213" i="9"/>
  <c r="CO213" i="9"/>
  <c r="CP213" i="9" s="1"/>
  <c r="CN217" i="9"/>
  <c r="CX217" i="9"/>
  <c r="CO217" i="9"/>
  <c r="CP217" i="9" s="1"/>
  <c r="CN221" i="9"/>
  <c r="CX221" i="9"/>
  <c r="CO221" i="9"/>
  <c r="CP221" i="9" s="1"/>
  <c r="CN248" i="9"/>
  <c r="CX248" i="9"/>
  <c r="CO248" i="9"/>
  <c r="CP248" i="9" s="1"/>
  <c r="CN252" i="9"/>
  <c r="CX252" i="9"/>
  <c r="CO252" i="9"/>
  <c r="CP252" i="9" s="1"/>
  <c r="CN256" i="9"/>
  <c r="CX256" i="9"/>
  <c r="CO256" i="9"/>
  <c r="CP256" i="9" s="1"/>
  <c r="CN260" i="9"/>
  <c r="CX260" i="9"/>
  <c r="CO260" i="9"/>
  <c r="CP260" i="9" s="1"/>
  <c r="CN264" i="9"/>
  <c r="CX264" i="9"/>
  <c r="CO264" i="9"/>
  <c r="CP264" i="9" s="1"/>
  <c r="CN268" i="9"/>
  <c r="CX268" i="9"/>
  <c r="CO268" i="9"/>
  <c r="CP268" i="9" s="1"/>
  <c r="CN272" i="9"/>
  <c r="CX272" i="9"/>
  <c r="CO272" i="9"/>
  <c r="CP272" i="9" s="1"/>
  <c r="CN276" i="9"/>
  <c r="CX276" i="9"/>
  <c r="CO276" i="9"/>
  <c r="CP276" i="9" s="1"/>
  <c r="CX223" i="9"/>
  <c r="CO223" i="9"/>
  <c r="CP223" i="9" s="1"/>
  <c r="CN223" i="9"/>
  <c r="CX227" i="9"/>
  <c r="CO227" i="9"/>
  <c r="CP227" i="9" s="1"/>
  <c r="CN227" i="9"/>
  <c r="CX231" i="9"/>
  <c r="CO231" i="9"/>
  <c r="CP231" i="9" s="1"/>
  <c r="CN231" i="9"/>
  <c r="CX235" i="9"/>
  <c r="CO235" i="9"/>
  <c r="CP235" i="9" s="1"/>
  <c r="CN235" i="9"/>
  <c r="CX239" i="9"/>
  <c r="CO239" i="9"/>
  <c r="CP239" i="9" s="1"/>
  <c r="CN239" i="9"/>
  <c r="CX243" i="9"/>
  <c r="CO243" i="9"/>
  <c r="CP243" i="9" s="1"/>
  <c r="CN243" i="9"/>
  <c r="CN281" i="9"/>
  <c r="CO281" i="9"/>
  <c r="CP281" i="9" s="1"/>
  <c r="CX281" i="9"/>
  <c r="CN285" i="9"/>
  <c r="CO285" i="9"/>
  <c r="CP285" i="9" s="1"/>
  <c r="CX285" i="9"/>
  <c r="CN289" i="9"/>
  <c r="CO289" i="9"/>
  <c r="CP289" i="9" s="1"/>
  <c r="CX289" i="9"/>
  <c r="CN293" i="9"/>
  <c r="CO293" i="9"/>
  <c r="CP293" i="9" s="1"/>
  <c r="CX293" i="9"/>
  <c r="CN297" i="9"/>
  <c r="CO297" i="9"/>
  <c r="CP297" i="9" s="1"/>
  <c r="CX297" i="9"/>
  <c r="CN301" i="9"/>
  <c r="CO301" i="9"/>
  <c r="CP301" i="9" s="1"/>
  <c r="CX301" i="9"/>
  <c r="CN305" i="9"/>
  <c r="CO305" i="9"/>
  <c r="CP305" i="9" s="1"/>
  <c r="CX305" i="9"/>
  <c r="CN309" i="9"/>
  <c r="CO309" i="9"/>
  <c r="CP309" i="9" s="1"/>
  <c r="CX309" i="9"/>
  <c r="CX313" i="9"/>
  <c r="CO313" i="9"/>
  <c r="CP313" i="9" s="1"/>
  <c r="CN313" i="9"/>
  <c r="CX317" i="9"/>
  <c r="CO317" i="9"/>
  <c r="CP317" i="9" s="1"/>
  <c r="CN317" i="9"/>
  <c r="CX6" i="9"/>
  <c r="CO6" i="9"/>
  <c r="CP6" i="9" s="1"/>
  <c r="CN6" i="9"/>
  <c r="CX10" i="9"/>
  <c r="CO10" i="9"/>
  <c r="CP10" i="9" s="1"/>
  <c r="CN10" i="9"/>
  <c r="CX14" i="9"/>
  <c r="CO14" i="9"/>
  <c r="CP14" i="9" s="1"/>
  <c r="CN14" i="9"/>
  <c r="CX18" i="9"/>
  <c r="CO18" i="9"/>
  <c r="CP18" i="9" s="1"/>
  <c r="CN18" i="9"/>
  <c r="CX22" i="9"/>
  <c r="CO22" i="9"/>
  <c r="CP22" i="9" s="1"/>
  <c r="CN22" i="9"/>
  <c r="CX26" i="9"/>
  <c r="CO26" i="9"/>
  <c r="CP26" i="9" s="1"/>
  <c r="CN26" i="9"/>
  <c r="CX30" i="9"/>
  <c r="CO30" i="9"/>
  <c r="CP30" i="9" s="1"/>
  <c r="CN30" i="9"/>
  <c r="CX34" i="9"/>
  <c r="CO34" i="9"/>
  <c r="CP34" i="9" s="1"/>
  <c r="CN34" i="9"/>
  <c r="CX38" i="9"/>
  <c r="CO38" i="9"/>
  <c r="CP38" i="9" s="1"/>
  <c r="CN38" i="9"/>
  <c r="CX42" i="9"/>
  <c r="CO42" i="9"/>
  <c r="CP42" i="9" s="1"/>
  <c r="CN42" i="9"/>
  <c r="CX46" i="9"/>
  <c r="CO46" i="9"/>
  <c r="CP46" i="9" s="1"/>
  <c r="CN46" i="9"/>
  <c r="CX50" i="9"/>
  <c r="CO50" i="9"/>
  <c r="CP50" i="9" s="1"/>
  <c r="CN50" i="9"/>
  <c r="CX54" i="9"/>
  <c r="CO54" i="9"/>
  <c r="CP54" i="9" s="1"/>
  <c r="CN54" i="9"/>
  <c r="CX58" i="9"/>
  <c r="CO58" i="9"/>
  <c r="CP58" i="9" s="1"/>
  <c r="CN58" i="9"/>
  <c r="CX62" i="9"/>
  <c r="CO62" i="9"/>
  <c r="CP62" i="9" s="1"/>
  <c r="CN62" i="9"/>
  <c r="CO66" i="9"/>
  <c r="CP66" i="9" s="1"/>
  <c r="CN66" i="9"/>
  <c r="CX66" i="9"/>
  <c r="CO70" i="9"/>
  <c r="CP70" i="9" s="1"/>
  <c r="CN70" i="9"/>
  <c r="CX70" i="9"/>
  <c r="CO74" i="9"/>
  <c r="CP74" i="9" s="1"/>
  <c r="CN74" i="9"/>
  <c r="CX74" i="9"/>
  <c r="CO78" i="9"/>
  <c r="CP78" i="9" s="1"/>
  <c r="CN78" i="9"/>
  <c r="CX78" i="9"/>
  <c r="CO82" i="9"/>
  <c r="CP82" i="9" s="1"/>
  <c r="CN82" i="9"/>
  <c r="CX82" i="9"/>
  <c r="CO86" i="9"/>
  <c r="CP86" i="9" s="1"/>
  <c r="CN86" i="9"/>
  <c r="CX86" i="9"/>
  <c r="CO90" i="9"/>
  <c r="CP90" i="9" s="1"/>
  <c r="CN90" i="9"/>
  <c r="CX90" i="9"/>
  <c r="CO94" i="9"/>
  <c r="CP94" i="9" s="1"/>
  <c r="CN94" i="9"/>
  <c r="CX94" i="9"/>
  <c r="CO98" i="9"/>
  <c r="CP98" i="9" s="1"/>
  <c r="CN98" i="9"/>
  <c r="CX98" i="9"/>
  <c r="CO102" i="9"/>
  <c r="CP102" i="9" s="1"/>
  <c r="CN102" i="9"/>
  <c r="CX102" i="9"/>
  <c r="CO106" i="9"/>
  <c r="CP106" i="9" s="1"/>
  <c r="CN106" i="9"/>
  <c r="CX106" i="9"/>
  <c r="CO110" i="9"/>
  <c r="CP110" i="9" s="1"/>
  <c r="CN110" i="9"/>
  <c r="CX110" i="9"/>
  <c r="CO114" i="9"/>
  <c r="CP114" i="9" s="1"/>
  <c r="CN114" i="9"/>
  <c r="CX114" i="9"/>
  <c r="CO118" i="9"/>
  <c r="CP118" i="9" s="1"/>
  <c r="CN118" i="9"/>
  <c r="CX118" i="9"/>
  <c r="CO122" i="9"/>
  <c r="CP122" i="9" s="1"/>
  <c r="CN122" i="9"/>
  <c r="CX122" i="9"/>
  <c r="CO126" i="9"/>
  <c r="CP126" i="9" s="1"/>
  <c r="CN126" i="9"/>
  <c r="CX126" i="9"/>
  <c r="CO130" i="9"/>
  <c r="CP130" i="9" s="1"/>
  <c r="CN130" i="9"/>
  <c r="CX130" i="9"/>
  <c r="CX134" i="9"/>
  <c r="CO134" i="9"/>
  <c r="CP134" i="9" s="1"/>
  <c r="CN134" i="9"/>
  <c r="CX138" i="9"/>
  <c r="CO138" i="9"/>
  <c r="CP138" i="9" s="1"/>
  <c r="CN138" i="9"/>
  <c r="CX142" i="9"/>
  <c r="CO142" i="9"/>
  <c r="CP142" i="9" s="1"/>
  <c r="CN142" i="9"/>
  <c r="CX146" i="9"/>
  <c r="CO146" i="9"/>
  <c r="CP146" i="9" s="1"/>
  <c r="CN146" i="9"/>
  <c r="CX150" i="9"/>
  <c r="CO150" i="9"/>
  <c r="CP150" i="9" s="1"/>
  <c r="CN150" i="9"/>
  <c r="CX154" i="9"/>
  <c r="CO154" i="9"/>
  <c r="CP154" i="9" s="1"/>
  <c r="CN154" i="9"/>
  <c r="CO158" i="9"/>
  <c r="CP158" i="9" s="1"/>
  <c r="CN158" i="9"/>
  <c r="CX158" i="9"/>
  <c r="CO162" i="9"/>
  <c r="CP162" i="9" s="1"/>
  <c r="CN162" i="9"/>
  <c r="CX162" i="9"/>
  <c r="CO166" i="9"/>
  <c r="CP166" i="9" s="1"/>
  <c r="CN166" i="9"/>
  <c r="CX166" i="9"/>
  <c r="CO170" i="9"/>
  <c r="CP170" i="9" s="1"/>
  <c r="CN170" i="9"/>
  <c r="CX170" i="9"/>
  <c r="CO174" i="9"/>
  <c r="CP174" i="9" s="1"/>
  <c r="CN174" i="9"/>
  <c r="CX174" i="9"/>
  <c r="CO178" i="9"/>
  <c r="CP178" i="9" s="1"/>
  <c r="CN178" i="9"/>
  <c r="CX178" i="9"/>
  <c r="CO182" i="9"/>
  <c r="CP182" i="9" s="1"/>
  <c r="CN182" i="9"/>
  <c r="CX182" i="9"/>
  <c r="CO186" i="9"/>
  <c r="CP186" i="9" s="1"/>
  <c r="CN186" i="9"/>
  <c r="CX186" i="9"/>
  <c r="CO190" i="9"/>
  <c r="CP190" i="9" s="1"/>
  <c r="CN190" i="9"/>
  <c r="CX190" i="9"/>
  <c r="CO194" i="9"/>
  <c r="CP194" i="9" s="1"/>
  <c r="CN194" i="9"/>
  <c r="CX194" i="9"/>
  <c r="CO198" i="9"/>
  <c r="CP198" i="9" s="1"/>
  <c r="CN198" i="9"/>
  <c r="CX198" i="9"/>
  <c r="CO202" i="9"/>
  <c r="CP202" i="9" s="1"/>
  <c r="CN202" i="9"/>
  <c r="CX202" i="9"/>
  <c r="CX206" i="9"/>
  <c r="CO206" i="9"/>
  <c r="CP206" i="9" s="1"/>
  <c r="CN206" i="9"/>
  <c r="CX210" i="9"/>
  <c r="CO210" i="9"/>
  <c r="CP210" i="9" s="1"/>
  <c r="CN210" i="9"/>
  <c r="CX214" i="9"/>
  <c r="CO214" i="9"/>
  <c r="CP214" i="9" s="1"/>
  <c r="CN214" i="9"/>
  <c r="CX218" i="9"/>
  <c r="CO218" i="9"/>
  <c r="CP218" i="9" s="1"/>
  <c r="CN218" i="9"/>
  <c r="CX245" i="9"/>
  <c r="CO245" i="9"/>
  <c r="CP245" i="9" s="1"/>
  <c r="CN245" i="9"/>
  <c r="CX249" i="9"/>
  <c r="CO249" i="9"/>
  <c r="CP249" i="9" s="1"/>
  <c r="CN249" i="9"/>
  <c r="CX253" i="9"/>
  <c r="CO253" i="9"/>
  <c r="CP253" i="9" s="1"/>
  <c r="CN253" i="9"/>
  <c r="CX257" i="9"/>
  <c r="CO257" i="9"/>
  <c r="CP257" i="9" s="1"/>
  <c r="CN257" i="9"/>
  <c r="CX261" i="9"/>
  <c r="CO261" i="9"/>
  <c r="CP261" i="9" s="1"/>
  <c r="CN261" i="9"/>
  <c r="CX265" i="9"/>
  <c r="CO265" i="9"/>
  <c r="CP265" i="9" s="1"/>
  <c r="CN265" i="9"/>
  <c r="CX269" i="9"/>
  <c r="CO269" i="9"/>
  <c r="CP269" i="9" s="1"/>
  <c r="CN269" i="9"/>
  <c r="CX273" i="9"/>
  <c r="CO273" i="9"/>
  <c r="CP273" i="9" s="1"/>
  <c r="CN273" i="9"/>
  <c r="CX277" i="9"/>
  <c r="CO277" i="9"/>
  <c r="CP277" i="9" s="1"/>
  <c r="CN277" i="9"/>
  <c r="CO224" i="9"/>
  <c r="CP224" i="9" s="1"/>
  <c r="CN224" i="9"/>
  <c r="CX224" i="9"/>
  <c r="CO228" i="9"/>
  <c r="CP228" i="9" s="1"/>
  <c r="CN228" i="9"/>
  <c r="CX228" i="9"/>
  <c r="CO232" i="9"/>
  <c r="CP232" i="9" s="1"/>
  <c r="CN232" i="9"/>
  <c r="CX232" i="9"/>
  <c r="CO236" i="9"/>
  <c r="CP236" i="9" s="1"/>
  <c r="CN236" i="9"/>
  <c r="CX236" i="9"/>
  <c r="CO240" i="9"/>
  <c r="CP240" i="9" s="1"/>
  <c r="CN240" i="9"/>
  <c r="CX240" i="9"/>
  <c r="CO244" i="9"/>
  <c r="CP244" i="9" s="1"/>
  <c r="CN244" i="9"/>
  <c r="CX244" i="9"/>
  <c r="CO282" i="9"/>
  <c r="CP282" i="9" s="1"/>
  <c r="CX282" i="9"/>
  <c r="CN282" i="9"/>
  <c r="CO286" i="9"/>
  <c r="CP286" i="9" s="1"/>
  <c r="CX286" i="9"/>
  <c r="CN286" i="9"/>
  <c r="CO290" i="9"/>
  <c r="CP290" i="9" s="1"/>
  <c r="CX290" i="9"/>
  <c r="CN290" i="9"/>
  <c r="CO294" i="9"/>
  <c r="CP294" i="9" s="1"/>
  <c r="CX294" i="9"/>
  <c r="CN294" i="9"/>
  <c r="CO298" i="9"/>
  <c r="CP298" i="9" s="1"/>
  <c r="CX298" i="9"/>
  <c r="CN298" i="9"/>
  <c r="CO302" i="9"/>
  <c r="CP302" i="9" s="1"/>
  <c r="CX302" i="9"/>
  <c r="CN302" i="9"/>
  <c r="CO306" i="9"/>
  <c r="CP306" i="9" s="1"/>
  <c r="CX306" i="9"/>
  <c r="CN306" i="9"/>
  <c r="CO310" i="9"/>
  <c r="CP310" i="9" s="1"/>
  <c r="CX310" i="9"/>
  <c r="CN310" i="9"/>
  <c r="CO314" i="9"/>
  <c r="CP314" i="9" s="1"/>
  <c r="CN314" i="9"/>
  <c r="CX314" i="9"/>
  <c r="CO318" i="9"/>
  <c r="CP318" i="9" s="1"/>
  <c r="CN318" i="9"/>
  <c r="CX318" i="9"/>
  <c r="CF120" i="9"/>
  <c r="AX191" i="14"/>
  <c r="AW141" i="14"/>
  <c r="AY141" i="14"/>
  <c r="CA14" i="9"/>
  <c r="CL14" i="9"/>
  <c r="CC14" i="9"/>
  <c r="CD14" i="9"/>
  <c r="CH14" i="9"/>
  <c r="CF14" i="9"/>
  <c r="CC257" i="9"/>
  <c r="CL257" i="9"/>
  <c r="CA257" i="9"/>
  <c r="CD257" i="9"/>
  <c r="CH257" i="9"/>
  <c r="CC272" i="9"/>
  <c r="CL272" i="9"/>
  <c r="CA272" i="9"/>
  <c r="CH272" i="9"/>
  <c r="CD272" i="9"/>
  <c r="CL26" i="9"/>
  <c r="CC26" i="9"/>
  <c r="CA26" i="9"/>
  <c r="CD26" i="9"/>
  <c r="CH26" i="9"/>
  <c r="CL259" i="9"/>
  <c r="CA259" i="9"/>
  <c r="CC259" i="9"/>
  <c r="CD259" i="9"/>
  <c r="CH259" i="9"/>
  <c r="CA29" i="9"/>
  <c r="CL29" i="9"/>
  <c r="CC29" i="9"/>
  <c r="CH29" i="9"/>
  <c r="CD29" i="9"/>
  <c r="CA110" i="9"/>
  <c r="CC110" i="9"/>
  <c r="CL110" i="9"/>
  <c r="CH110" i="9"/>
  <c r="CD110" i="9"/>
  <c r="CF110" i="9"/>
  <c r="CC174" i="9"/>
  <c r="CL174" i="9"/>
  <c r="CA174" i="9"/>
  <c r="CH174" i="9"/>
  <c r="CD174" i="9"/>
  <c r="CF174" i="9"/>
  <c r="CC99" i="9"/>
  <c r="CL99" i="9"/>
  <c r="CA99" i="9"/>
  <c r="CD99" i="9"/>
  <c r="CH99" i="9"/>
  <c r="CF99" i="9"/>
  <c r="CC111" i="9"/>
  <c r="CL111" i="9"/>
  <c r="CA111" i="9"/>
  <c r="CH111" i="9"/>
  <c r="CD111" i="9"/>
  <c r="CF111" i="9"/>
  <c r="CF164" i="9"/>
  <c r="CL206" i="9"/>
  <c r="CC206" i="9"/>
  <c r="CA206" i="9"/>
  <c r="CD206" i="9"/>
  <c r="CH206" i="9"/>
  <c r="CF206" i="9"/>
  <c r="CA30" i="9"/>
  <c r="CL30" i="9"/>
  <c r="CC30" i="9"/>
  <c r="CD30" i="9"/>
  <c r="CH30" i="9"/>
  <c r="CF30" i="9"/>
  <c r="BL394" i="9"/>
  <c r="BI478" i="9"/>
  <c r="BK442" i="9"/>
  <c r="BN370" i="9"/>
  <c r="CA313" i="9"/>
  <c r="CC313" i="9"/>
  <c r="CL313" i="9"/>
  <c r="CH313" i="9"/>
  <c r="CD313" i="9"/>
  <c r="CF313" i="9"/>
  <c r="CF195" i="9"/>
  <c r="CA319" i="9"/>
  <c r="CC319" i="9"/>
  <c r="CL319" i="9"/>
  <c r="CH319" i="9"/>
  <c r="CD319" i="9"/>
  <c r="CF319" i="9"/>
  <c r="CF297" i="9"/>
  <c r="CC297" i="9"/>
  <c r="CL297" i="9"/>
  <c r="CA297" i="9"/>
  <c r="CH297" i="9"/>
  <c r="CD297" i="9"/>
  <c r="CC188" i="9"/>
  <c r="CL188" i="9"/>
  <c r="CA188" i="9"/>
  <c r="CH188" i="9"/>
  <c r="CD188" i="9"/>
  <c r="CL157" i="9"/>
  <c r="CC157" i="9"/>
  <c r="CA157" i="9"/>
  <c r="CD157" i="9"/>
  <c r="CH157" i="9"/>
  <c r="CF157" i="9"/>
  <c r="CF246" i="9"/>
  <c r="CL246" i="9"/>
  <c r="CA246" i="9"/>
  <c r="CC246" i="9"/>
  <c r="CH246" i="9"/>
  <c r="CD246" i="9"/>
  <c r="CC239" i="9"/>
  <c r="CL239" i="9"/>
  <c r="CA239" i="9"/>
  <c r="CH239" i="9"/>
  <c r="CD239" i="9"/>
  <c r="CF239" i="9"/>
  <c r="CF314" i="9"/>
  <c r="CA314" i="9"/>
  <c r="CC314" i="9"/>
  <c r="CL314" i="9"/>
  <c r="CD314" i="9"/>
  <c r="CH314" i="9"/>
  <c r="CL46" i="9"/>
  <c r="CC46" i="9"/>
  <c r="CA46" i="9"/>
  <c r="CD46" i="9"/>
  <c r="CH46" i="9"/>
  <c r="CF46" i="9"/>
  <c r="CC252" i="9"/>
  <c r="CL252" i="9"/>
  <c r="CA252" i="9"/>
  <c r="CH252" i="9"/>
  <c r="CD252" i="9"/>
  <c r="CC281" i="9"/>
  <c r="CL281" i="9"/>
  <c r="CA281" i="9"/>
  <c r="CD281" i="9"/>
  <c r="CH281" i="9"/>
  <c r="CF281" i="9"/>
  <c r="CA162" i="9"/>
  <c r="CC162" i="9"/>
  <c r="CL162" i="9"/>
  <c r="CH162" i="9"/>
  <c r="CD162" i="9"/>
  <c r="CF162" i="9"/>
  <c r="BP423" i="9"/>
  <c r="CB449" i="9"/>
  <c r="CB448" i="9"/>
  <c r="CQ449" i="9"/>
  <c r="EK197" i="9"/>
  <c r="DZ197" i="9"/>
  <c r="EB197" i="9"/>
  <c r="EK187" i="9"/>
  <c r="DZ187" i="9"/>
  <c r="EB187" i="9"/>
  <c r="EK163" i="9"/>
  <c r="DZ163" i="9"/>
  <c r="EB163" i="9"/>
  <c r="EK300" i="9"/>
  <c r="DZ300" i="9"/>
  <c r="EB300" i="9"/>
  <c r="EE179" i="9"/>
  <c r="EK179" i="9"/>
  <c r="DZ179" i="9"/>
  <c r="EB179" i="9"/>
  <c r="EB143" i="9"/>
  <c r="EK143" i="9"/>
  <c r="DZ143" i="9"/>
  <c r="EB266" i="9"/>
  <c r="EK266" i="9"/>
  <c r="DZ266" i="9"/>
  <c r="DZ149" i="9"/>
  <c r="EB149" i="9"/>
  <c r="EK149" i="9"/>
  <c r="EB270" i="9"/>
  <c r="EK270" i="9"/>
  <c r="DZ270" i="9"/>
  <c r="EK223" i="9"/>
  <c r="DZ223" i="9"/>
  <c r="EB223" i="9"/>
  <c r="DZ260" i="9"/>
  <c r="EB260" i="9"/>
  <c r="EK260" i="9"/>
  <c r="EB268" i="9"/>
  <c r="EK268" i="9"/>
  <c r="DZ268" i="9"/>
  <c r="EK177" i="9"/>
  <c r="DZ177" i="9"/>
  <c r="EB177" i="9"/>
  <c r="EK243" i="9"/>
  <c r="DZ243" i="9"/>
  <c r="EB243" i="9"/>
  <c r="EB137" i="9"/>
  <c r="EK137" i="9"/>
  <c r="DZ137" i="9"/>
  <c r="EK308" i="9"/>
  <c r="DZ308" i="9"/>
  <c r="EB308" i="9"/>
  <c r="EK199" i="9"/>
  <c r="DZ199" i="9"/>
  <c r="EB199" i="9"/>
  <c r="EB70" i="9"/>
  <c r="DZ70" i="9"/>
  <c r="EB112" i="9"/>
  <c r="EK112" i="9"/>
  <c r="DZ112" i="9"/>
  <c r="EB59" i="9"/>
  <c r="DZ59" i="9"/>
  <c r="EB132" i="9"/>
  <c r="EK132" i="9"/>
  <c r="DZ132" i="9"/>
  <c r="EB285" i="9"/>
  <c r="EK285" i="9"/>
  <c r="DZ285" i="9"/>
  <c r="EB51" i="9"/>
  <c r="DZ51" i="9"/>
  <c r="EB38" i="9"/>
  <c r="DZ38" i="9"/>
  <c r="EB16" i="9"/>
  <c r="DZ16" i="9"/>
  <c r="EB77" i="9"/>
  <c r="DZ77" i="9"/>
  <c r="EB275" i="9"/>
  <c r="EK275" i="9"/>
  <c r="DZ275" i="9"/>
  <c r="DZ48" i="9"/>
  <c r="EB48" i="9"/>
  <c r="EK48" i="9"/>
  <c r="DZ6" i="9"/>
  <c r="EB6" i="9"/>
  <c r="EK6" i="9"/>
  <c r="EK95" i="9"/>
  <c r="DZ95" i="9"/>
  <c r="EB95" i="9"/>
  <c r="EK93" i="9"/>
  <c r="DZ93" i="9"/>
  <c r="EB93" i="9"/>
  <c r="EK129" i="9"/>
  <c r="DZ129" i="9"/>
  <c r="EB129" i="9"/>
  <c r="DZ253" i="9"/>
  <c r="EB253" i="9"/>
  <c r="EK253" i="9"/>
  <c r="DZ32" i="9"/>
  <c r="EB32" i="9"/>
  <c r="EK114" i="9"/>
  <c r="DZ114" i="9"/>
  <c r="EB114" i="9"/>
  <c r="EK109" i="9"/>
  <c r="DZ109" i="9"/>
  <c r="EB109" i="9"/>
  <c r="EB186" i="9"/>
  <c r="EK186" i="9"/>
  <c r="DZ186" i="9"/>
  <c r="EK104" i="9"/>
  <c r="DZ104" i="9"/>
  <c r="EB104" i="9"/>
  <c r="EB307" i="9"/>
  <c r="EK307" i="9"/>
  <c r="DZ307" i="9"/>
  <c r="EB295" i="9"/>
  <c r="EK295" i="9"/>
  <c r="DZ295" i="9"/>
  <c r="EB269" i="9"/>
  <c r="EK269" i="9"/>
  <c r="DZ269" i="9"/>
  <c r="EB230" i="9"/>
  <c r="EK230" i="9"/>
  <c r="DZ230" i="9"/>
  <c r="EK242" i="9"/>
  <c r="DZ242" i="9"/>
  <c r="EB242" i="9"/>
  <c r="EK73" i="9"/>
  <c r="DZ73" i="9"/>
  <c r="EB73" i="9"/>
  <c r="EE43" i="9"/>
  <c r="EB43" i="9"/>
  <c r="DZ43" i="9"/>
  <c r="EB289" i="9"/>
  <c r="EK289" i="9"/>
  <c r="DZ289" i="9"/>
  <c r="EB287" i="9"/>
  <c r="EK287" i="9"/>
  <c r="DZ287" i="9"/>
  <c r="EK89" i="9"/>
  <c r="DZ89" i="9"/>
  <c r="EB89" i="9"/>
  <c r="EE283" i="9"/>
  <c r="EB283" i="9"/>
  <c r="EK283" i="9"/>
  <c r="DZ283" i="9"/>
  <c r="EB261" i="9"/>
  <c r="EK261" i="9"/>
  <c r="DZ261" i="9"/>
  <c r="EB220" i="9"/>
  <c r="EK220" i="9"/>
  <c r="DZ220" i="9"/>
  <c r="EB216" i="9"/>
  <c r="EK216" i="9"/>
  <c r="DZ216" i="9"/>
  <c r="EB58" i="9"/>
  <c r="DZ58" i="9"/>
  <c r="EK131" i="9"/>
  <c r="DZ131" i="9"/>
  <c r="EB131" i="9"/>
  <c r="EK103" i="9"/>
  <c r="DZ103" i="9"/>
  <c r="EB103" i="9"/>
  <c r="EB158" i="9"/>
  <c r="EK158" i="9"/>
  <c r="DZ158" i="9"/>
  <c r="EK119" i="9"/>
  <c r="DZ119" i="9"/>
  <c r="EB119" i="9"/>
  <c r="EB69" i="9"/>
  <c r="DZ69" i="9"/>
  <c r="EB113" i="9"/>
  <c r="EK113" i="9"/>
  <c r="DZ113" i="9"/>
  <c r="DY447" i="9"/>
  <c r="DY324" i="9"/>
  <c r="EC439" i="9"/>
  <c r="EC435" i="9"/>
  <c r="EC433" i="9"/>
  <c r="EJ4" i="9"/>
  <c r="EB4" i="9"/>
  <c r="DV4" i="9"/>
  <c r="DW4" i="9"/>
  <c r="EK4" i="9"/>
  <c r="EC437" i="9"/>
  <c r="EC434" i="9"/>
  <c r="EA322" i="9"/>
  <c r="EH4" i="9"/>
  <c r="DX4" i="9"/>
  <c r="EI4" i="9"/>
  <c r="DU1" i="9"/>
  <c r="DU4" i="9"/>
  <c r="EY319" i="9"/>
  <c r="EY317" i="9"/>
  <c r="EY315" i="9"/>
  <c r="EY313" i="9"/>
  <c r="EP318" i="9"/>
  <c r="EP316" i="9"/>
  <c r="EP314" i="9"/>
  <c r="EY312" i="9"/>
  <c r="EY310" i="9"/>
  <c r="EY308" i="9"/>
  <c r="EY306" i="9"/>
  <c r="EY304" i="9"/>
  <c r="EY302" i="9"/>
  <c r="EY300" i="9"/>
  <c r="EY298" i="9"/>
  <c r="EY296" i="9"/>
  <c r="EY294" i="9"/>
  <c r="EY292" i="9"/>
  <c r="EY290" i="9"/>
  <c r="EY288" i="9"/>
  <c r="EY286" i="9"/>
  <c r="EY284" i="9"/>
  <c r="EY282" i="9"/>
  <c r="EY280" i="9"/>
  <c r="EZ312" i="9"/>
  <c r="EZ310" i="9"/>
  <c r="EZ308" i="9"/>
  <c r="EZ306" i="9"/>
  <c r="EZ304" i="9"/>
  <c r="EZ302" i="9"/>
  <c r="EZ300" i="9"/>
  <c r="EZ298" i="9"/>
  <c r="EZ296" i="9"/>
  <c r="EZ294" i="9"/>
  <c r="EZ292" i="9"/>
  <c r="EZ290" i="9"/>
  <c r="EZ288" i="9"/>
  <c r="EZ286" i="9"/>
  <c r="EZ284" i="9"/>
  <c r="EZ282" i="9"/>
  <c r="EZ280" i="9"/>
  <c r="EY278" i="9"/>
  <c r="EZ318" i="9"/>
  <c r="EZ316" i="9"/>
  <c r="EZ314" i="9"/>
  <c r="EP312" i="9"/>
  <c r="EP310" i="9"/>
  <c r="EP308" i="9"/>
  <c r="EP306" i="9"/>
  <c r="EP304" i="9"/>
  <c r="EP302" i="9"/>
  <c r="EP300" i="9"/>
  <c r="EP298" i="9"/>
  <c r="EP296" i="9"/>
  <c r="EP294" i="9"/>
  <c r="EP292" i="9"/>
  <c r="EP290" i="9"/>
  <c r="EP288" i="9"/>
  <c r="EP286" i="9"/>
  <c r="EP284" i="9"/>
  <c r="EP282" i="9"/>
  <c r="EP280" i="9"/>
  <c r="EZ278" i="9"/>
  <c r="EZ277" i="9"/>
  <c r="EZ276" i="9"/>
  <c r="EZ275" i="9"/>
  <c r="EZ274" i="9"/>
  <c r="EZ273" i="9"/>
  <c r="EZ272" i="9"/>
  <c r="EZ271" i="9"/>
  <c r="EZ270" i="9"/>
  <c r="EZ269" i="9"/>
  <c r="EZ268" i="9"/>
  <c r="EZ267" i="9"/>
  <c r="EZ266" i="9"/>
  <c r="EZ265" i="9"/>
  <c r="EZ264" i="9"/>
  <c r="EZ263" i="9"/>
  <c r="EZ262" i="9"/>
  <c r="EZ261" i="9"/>
  <c r="EZ260" i="9"/>
  <c r="EZ259" i="9"/>
  <c r="EZ258" i="9"/>
  <c r="EZ257" i="9"/>
  <c r="EZ256" i="9"/>
  <c r="EZ255" i="9"/>
  <c r="EZ254" i="9"/>
  <c r="EZ253" i="9"/>
  <c r="EZ252" i="9"/>
  <c r="EZ251" i="9"/>
  <c r="EZ250" i="9"/>
  <c r="EZ249" i="9"/>
  <c r="EZ248" i="9"/>
  <c r="EZ247" i="9"/>
  <c r="EZ246" i="9"/>
  <c r="EZ245" i="9"/>
  <c r="EZ244" i="9"/>
  <c r="EY243" i="9"/>
  <c r="EY241" i="9"/>
  <c r="EY239" i="9"/>
  <c r="EY237" i="9"/>
  <c r="EY235" i="9"/>
  <c r="EY233" i="9"/>
  <c r="EY231" i="9"/>
  <c r="EY229" i="9"/>
  <c r="EY227" i="9"/>
  <c r="EY225" i="9"/>
  <c r="EY223" i="9"/>
  <c r="EY221" i="9"/>
  <c r="EY276" i="9"/>
  <c r="EY274" i="9"/>
  <c r="EY272" i="9"/>
  <c r="EY270" i="9"/>
  <c r="EY268" i="9"/>
  <c r="EY266" i="9"/>
  <c r="EY264" i="9"/>
  <c r="EY262" i="9"/>
  <c r="EY260" i="9"/>
  <c r="EY258" i="9"/>
  <c r="EY256" i="9"/>
  <c r="EY254" i="9"/>
  <c r="EY252" i="9"/>
  <c r="EY250" i="9"/>
  <c r="EY248" i="9"/>
  <c r="EY246" i="9"/>
  <c r="EY244" i="9"/>
  <c r="EP243" i="9"/>
  <c r="EP242" i="9"/>
  <c r="EP241" i="9"/>
  <c r="EP240" i="9"/>
  <c r="EP239" i="9"/>
  <c r="EP238" i="9"/>
  <c r="EP237" i="9"/>
  <c r="EP236" i="9"/>
  <c r="EP235" i="9"/>
  <c r="EP234" i="9"/>
  <c r="EP233" i="9"/>
  <c r="EP232" i="9"/>
  <c r="EP231" i="9"/>
  <c r="EP230" i="9"/>
  <c r="EP229" i="9"/>
  <c r="EP228" i="9"/>
  <c r="EP227" i="9"/>
  <c r="EP226" i="9"/>
  <c r="EP225" i="9"/>
  <c r="EP224" i="9"/>
  <c r="EP223" i="9"/>
  <c r="EP222" i="9"/>
  <c r="EP221" i="9"/>
  <c r="EP220" i="9"/>
  <c r="EP219" i="9"/>
  <c r="EP218" i="9"/>
  <c r="EP217" i="9"/>
  <c r="EP216" i="9"/>
  <c r="EP215" i="9"/>
  <c r="EP214" i="9"/>
  <c r="EP213" i="9"/>
  <c r="EP212" i="9"/>
  <c r="EP211" i="9"/>
  <c r="EP210" i="9"/>
  <c r="EP209" i="9"/>
  <c r="EP208" i="9"/>
  <c r="EP207" i="9"/>
  <c r="EP206" i="9"/>
  <c r="EY220" i="9"/>
  <c r="EY218" i="9"/>
  <c r="EY216" i="9"/>
  <c r="EY214" i="9"/>
  <c r="EY212" i="9"/>
  <c r="EY210" i="9"/>
  <c r="EY208" i="9"/>
  <c r="EY206" i="9"/>
  <c r="EY204" i="9"/>
  <c r="EY202" i="9"/>
  <c r="EY200" i="9"/>
  <c r="EY198" i="9"/>
  <c r="EY196" i="9"/>
  <c r="EY194" i="9"/>
  <c r="EY192" i="9"/>
  <c r="EY190" i="9"/>
  <c r="EY188" i="9"/>
  <c r="EY186" i="9"/>
  <c r="EY184" i="9"/>
  <c r="EY182" i="9"/>
  <c r="EY180" i="9"/>
  <c r="EY178" i="9"/>
  <c r="EY176" i="9"/>
  <c r="EY174" i="9"/>
  <c r="EY172" i="9"/>
  <c r="EY170" i="9"/>
  <c r="EY168" i="9"/>
  <c r="EY166" i="9"/>
  <c r="EY164" i="9"/>
  <c r="EY162" i="9"/>
  <c r="EY160" i="9"/>
  <c r="EY158" i="9"/>
  <c r="EP205" i="9"/>
  <c r="EP204" i="9"/>
  <c r="EP203" i="9"/>
  <c r="EP202" i="9"/>
  <c r="EP201" i="9"/>
  <c r="EP200" i="9"/>
  <c r="EP199" i="9"/>
  <c r="EP198" i="9"/>
  <c r="EP197" i="9"/>
  <c r="EP196" i="9"/>
  <c r="EP195" i="9"/>
  <c r="EP194" i="9"/>
  <c r="EP193" i="9"/>
  <c r="EP192" i="9"/>
  <c r="EP191" i="9"/>
  <c r="EP190" i="9"/>
  <c r="EP189" i="9"/>
  <c r="EP188" i="9"/>
  <c r="EP187" i="9"/>
  <c r="EP186" i="9"/>
  <c r="EP185" i="9"/>
  <c r="EP184" i="9"/>
  <c r="EP183" i="9"/>
  <c r="EP182" i="9"/>
  <c r="EP181" i="9"/>
  <c r="EP180" i="9"/>
  <c r="EP179" i="9"/>
  <c r="EP178" i="9"/>
  <c r="EP177" i="9"/>
  <c r="EP176" i="9"/>
  <c r="EP175" i="9"/>
  <c r="EP174" i="9"/>
  <c r="EP173" i="9"/>
  <c r="EP172" i="9"/>
  <c r="EP171" i="9"/>
  <c r="EP170" i="9"/>
  <c r="EP169" i="9"/>
  <c r="EP168" i="9"/>
  <c r="EP167" i="9"/>
  <c r="EP166" i="9"/>
  <c r="EP165" i="9"/>
  <c r="EP164" i="9"/>
  <c r="EP163" i="9"/>
  <c r="EP162" i="9"/>
  <c r="EP161" i="9"/>
  <c r="EP160" i="9"/>
  <c r="EP159" i="9"/>
  <c r="EP158" i="9"/>
  <c r="EP157" i="9"/>
  <c r="EP156" i="9"/>
  <c r="EP155" i="9"/>
  <c r="EP154" i="9"/>
  <c r="EP153" i="9"/>
  <c r="EP152" i="9"/>
  <c r="EP151" i="9"/>
  <c r="EP150" i="9"/>
  <c r="EP149" i="9"/>
  <c r="EP148" i="9"/>
  <c r="EP147" i="9"/>
  <c r="EP146" i="9"/>
  <c r="EP145" i="9"/>
  <c r="EP144" i="9"/>
  <c r="EP143" i="9"/>
  <c r="EP142" i="9"/>
  <c r="EP141" i="9"/>
  <c r="EP140" i="9"/>
  <c r="EP139" i="9"/>
  <c r="EP138" i="9"/>
  <c r="EP137" i="9"/>
  <c r="EP136" i="9"/>
  <c r="EP135" i="9"/>
  <c r="EP134" i="9"/>
  <c r="EP133" i="9"/>
  <c r="EY155" i="9"/>
  <c r="EY153" i="9"/>
  <c r="EY151" i="9"/>
  <c r="EY149" i="9"/>
  <c r="EY147" i="9"/>
  <c r="EY145" i="9"/>
  <c r="EY143" i="9"/>
  <c r="EY141" i="9"/>
  <c r="EY139" i="9"/>
  <c r="EY137" i="9"/>
  <c r="EY135" i="9"/>
  <c r="EY133" i="9"/>
  <c r="EY131" i="9"/>
  <c r="EY129" i="9"/>
  <c r="EY127" i="9"/>
  <c r="EY125" i="9"/>
  <c r="EY123" i="9"/>
  <c r="EY121" i="9"/>
  <c r="EY119" i="9"/>
  <c r="EY117" i="9"/>
  <c r="EY115" i="9"/>
  <c r="EY113" i="9"/>
  <c r="EY111" i="9"/>
  <c r="EY109" i="9"/>
  <c r="EY107" i="9"/>
  <c r="EY105" i="9"/>
  <c r="EY103" i="9"/>
  <c r="EY101" i="9"/>
  <c r="EY99" i="9"/>
  <c r="EY97" i="9"/>
  <c r="EY95" i="9"/>
  <c r="EY93" i="9"/>
  <c r="EY91" i="9"/>
  <c r="EY89" i="9"/>
  <c r="EY87" i="9"/>
  <c r="EY85" i="9"/>
  <c r="EY83" i="9"/>
  <c r="EY74" i="9"/>
  <c r="EY65" i="9"/>
  <c r="EP132" i="9"/>
  <c r="EP131" i="9"/>
  <c r="EP130" i="9"/>
  <c r="EP129" i="9"/>
  <c r="EP128" i="9"/>
  <c r="EP127" i="9"/>
  <c r="EP126" i="9"/>
  <c r="EP125" i="9"/>
  <c r="EP124" i="9"/>
  <c r="EP123" i="9"/>
  <c r="EP122" i="9"/>
  <c r="EP121" i="9"/>
  <c r="EP120" i="9"/>
  <c r="EP119" i="9"/>
  <c r="EP118" i="9"/>
  <c r="EP117" i="9"/>
  <c r="EP116" i="9"/>
  <c r="EP115" i="9"/>
  <c r="EP114" i="9"/>
  <c r="EP113" i="9"/>
  <c r="EP112" i="9"/>
  <c r="EP111" i="9"/>
  <c r="EP110" i="9"/>
  <c r="EP109" i="9"/>
  <c r="EP108" i="9"/>
  <c r="EP107" i="9"/>
  <c r="EP106" i="9"/>
  <c r="EP105" i="9"/>
  <c r="EP104" i="9"/>
  <c r="EP103" i="9"/>
  <c r="EP102" i="9"/>
  <c r="EP101" i="9"/>
  <c r="EP100" i="9"/>
  <c r="EP99" i="9"/>
  <c r="EP98" i="9"/>
  <c r="EP97" i="9"/>
  <c r="EP96" i="9"/>
  <c r="EP95" i="9"/>
  <c r="EP94" i="9"/>
  <c r="EP93" i="9"/>
  <c r="EP92" i="9"/>
  <c r="EP91" i="9"/>
  <c r="EP90" i="9"/>
  <c r="EP89" i="9"/>
  <c r="EP88" i="9"/>
  <c r="EP87" i="9"/>
  <c r="EP86" i="9"/>
  <c r="EP85" i="9"/>
  <c r="EP84" i="9"/>
  <c r="EP83" i="9"/>
  <c r="EP82" i="9"/>
  <c r="EP81" i="9"/>
  <c r="EP80" i="9"/>
  <c r="EP79" i="9"/>
  <c r="EP78" i="9"/>
  <c r="EP77" i="9"/>
  <c r="EP76" i="9"/>
  <c r="EP75" i="9"/>
  <c r="EP74" i="9"/>
  <c r="EP73" i="9"/>
  <c r="EP72" i="9"/>
  <c r="EP71" i="9"/>
  <c r="EP70" i="9"/>
  <c r="EP69" i="9"/>
  <c r="EP68" i="9"/>
  <c r="EP67" i="9"/>
  <c r="EP66" i="9"/>
  <c r="EP65" i="9"/>
  <c r="EP64" i="9"/>
  <c r="EP63" i="9"/>
  <c r="EP62" i="9"/>
  <c r="EP61" i="9"/>
  <c r="EP60" i="9"/>
  <c r="EP59" i="9"/>
  <c r="EP58" i="9"/>
  <c r="EP57" i="9"/>
  <c r="EP56" i="9"/>
  <c r="EP55" i="9"/>
  <c r="EP54" i="9"/>
  <c r="EP53" i="9"/>
  <c r="EP52" i="9"/>
  <c r="EP51" i="9"/>
  <c r="EP50" i="9"/>
  <c r="EP49" i="9"/>
  <c r="EP48" i="9"/>
  <c r="EP47" i="9"/>
  <c r="EP46" i="9"/>
  <c r="EP45" i="9"/>
  <c r="EP44" i="9"/>
  <c r="EP43" i="9"/>
  <c r="EP42" i="9"/>
  <c r="EP41" i="9"/>
  <c r="EP40" i="9"/>
  <c r="EP39" i="9"/>
  <c r="EP38" i="9"/>
  <c r="EP37" i="9"/>
  <c r="EP36" i="9"/>
  <c r="EP35" i="9"/>
  <c r="EP34" i="9"/>
  <c r="EP33" i="9"/>
  <c r="EP32" i="9"/>
  <c r="EP31" i="9"/>
  <c r="EP30" i="9"/>
  <c r="EP29" i="9"/>
  <c r="EP28" i="9"/>
  <c r="EP27" i="9"/>
  <c r="EP26" i="9"/>
  <c r="EP25" i="9"/>
  <c r="EP24" i="9"/>
  <c r="EP23" i="9"/>
  <c r="EP22" i="9"/>
  <c r="EP21" i="9"/>
  <c r="EP20" i="9"/>
  <c r="EP19" i="9"/>
  <c r="EP18" i="9"/>
  <c r="EP17" i="9"/>
  <c r="EP16" i="9"/>
  <c r="EP15" i="9"/>
  <c r="EP14" i="9"/>
  <c r="EP13" i="9"/>
  <c r="EP12" i="9"/>
  <c r="EP11" i="9"/>
  <c r="EP10" i="9"/>
  <c r="EP9" i="9"/>
  <c r="EP8" i="9"/>
  <c r="EP7" i="9"/>
  <c r="EP6" i="9"/>
  <c r="EP5" i="9"/>
  <c r="EV4" i="9"/>
  <c r="EP4" i="9"/>
  <c r="EQ4" i="9" s="1"/>
  <c r="EY49" i="9"/>
  <c r="EY40" i="9"/>
  <c r="EY31" i="9"/>
  <c r="EY14" i="9"/>
  <c r="EY12" i="9"/>
  <c r="EY10" i="9"/>
  <c r="EY8" i="9"/>
  <c r="EY6" i="9"/>
  <c r="FK4" i="9"/>
  <c r="EW4" i="9"/>
  <c r="EY318" i="9"/>
  <c r="EY316" i="9"/>
  <c r="EY314" i="9"/>
  <c r="EP319" i="9"/>
  <c r="EP317" i="9"/>
  <c r="EP315" i="9"/>
  <c r="EP313" i="9"/>
  <c r="EY311" i="9"/>
  <c r="EY309" i="9"/>
  <c r="EY307" i="9"/>
  <c r="EY305" i="9"/>
  <c r="EY303" i="9"/>
  <c r="EY301" i="9"/>
  <c r="EY299" i="9"/>
  <c r="EY297" i="9"/>
  <c r="EY295" i="9"/>
  <c r="EY293" i="9"/>
  <c r="EY291" i="9"/>
  <c r="EY289" i="9"/>
  <c r="EY287" i="9"/>
  <c r="EY285" i="9"/>
  <c r="EY283" i="9"/>
  <c r="EY281" i="9"/>
  <c r="EY279" i="9"/>
  <c r="EZ311" i="9"/>
  <c r="EZ309" i="9"/>
  <c r="EZ307" i="9"/>
  <c r="EZ305" i="9"/>
  <c r="EZ303" i="9"/>
  <c r="EZ301" i="9"/>
  <c r="EZ299" i="9"/>
  <c r="EZ297" i="9"/>
  <c r="EZ295" i="9"/>
  <c r="EZ293" i="9"/>
  <c r="EZ291" i="9"/>
  <c r="EZ289" i="9"/>
  <c r="EZ287" i="9"/>
  <c r="EZ285" i="9"/>
  <c r="EZ283" i="9"/>
  <c r="EZ281" i="9"/>
  <c r="EZ279" i="9"/>
  <c r="EZ319" i="9"/>
  <c r="EZ317" i="9"/>
  <c r="EZ315" i="9"/>
  <c r="EZ313" i="9"/>
  <c r="EP311" i="9"/>
  <c r="EP309" i="9"/>
  <c r="EP307" i="9"/>
  <c r="EP305" i="9"/>
  <c r="EP303" i="9"/>
  <c r="EP301" i="9"/>
  <c r="EP299" i="9"/>
  <c r="EP297" i="9"/>
  <c r="EP295" i="9"/>
  <c r="EP293" i="9"/>
  <c r="EP291" i="9"/>
  <c r="EP289" i="9"/>
  <c r="EP287" i="9"/>
  <c r="EP285" i="9"/>
  <c r="EP283" i="9"/>
  <c r="EP281" i="9"/>
  <c r="EP279" i="9"/>
  <c r="EP278" i="9"/>
  <c r="EP277" i="9"/>
  <c r="EP276" i="9"/>
  <c r="EP275" i="9"/>
  <c r="EP274" i="9"/>
  <c r="EP273" i="9"/>
  <c r="EP272" i="9"/>
  <c r="EP271" i="9"/>
  <c r="EP270" i="9"/>
  <c r="EP269" i="9"/>
  <c r="EP268" i="9"/>
  <c r="EP267" i="9"/>
  <c r="EP266" i="9"/>
  <c r="EP265" i="9"/>
  <c r="EP264" i="9"/>
  <c r="EP263" i="9"/>
  <c r="EP262" i="9"/>
  <c r="EP261" i="9"/>
  <c r="EP260" i="9"/>
  <c r="EP259" i="9"/>
  <c r="EP258" i="9"/>
  <c r="EP257" i="9"/>
  <c r="EP256" i="9"/>
  <c r="EP255" i="9"/>
  <c r="EP254" i="9"/>
  <c r="EP253" i="9"/>
  <c r="EP252" i="9"/>
  <c r="EP251" i="9"/>
  <c r="EP250" i="9"/>
  <c r="EP249" i="9"/>
  <c r="EP248" i="9"/>
  <c r="EP247" i="9"/>
  <c r="EP246" i="9"/>
  <c r="EP245" i="9"/>
  <c r="EP244" i="9"/>
  <c r="EY242" i="9"/>
  <c r="EY240" i="9"/>
  <c r="EY238" i="9"/>
  <c r="EY236" i="9"/>
  <c r="EY234" i="9"/>
  <c r="EY232" i="9"/>
  <c r="EY230" i="9"/>
  <c r="EY228" i="9"/>
  <c r="EY226" i="9"/>
  <c r="EY224" i="9"/>
  <c r="EY222" i="9"/>
  <c r="EY277" i="9"/>
  <c r="EY275" i="9"/>
  <c r="EY273" i="9"/>
  <c r="EY271" i="9"/>
  <c r="EY269" i="9"/>
  <c r="EY267" i="9"/>
  <c r="EY265" i="9"/>
  <c r="EY263" i="9"/>
  <c r="EY261" i="9"/>
  <c r="EY259" i="9"/>
  <c r="EY257" i="9"/>
  <c r="EY255" i="9"/>
  <c r="EY253" i="9"/>
  <c r="EY251" i="9"/>
  <c r="EY249" i="9"/>
  <c r="EY247" i="9"/>
  <c r="EY245" i="9"/>
  <c r="EZ243" i="9"/>
  <c r="EZ242" i="9"/>
  <c r="EZ241" i="9"/>
  <c r="EZ240" i="9"/>
  <c r="EZ239" i="9"/>
  <c r="EZ238" i="9"/>
  <c r="EZ237" i="9"/>
  <c r="EZ236" i="9"/>
  <c r="EZ235" i="9"/>
  <c r="EZ234" i="9"/>
  <c r="EZ233" i="9"/>
  <c r="EZ232" i="9"/>
  <c r="EZ231" i="9"/>
  <c r="EZ230" i="9"/>
  <c r="EZ229" i="9"/>
  <c r="EZ228" i="9"/>
  <c r="EZ227" i="9"/>
  <c r="EZ226" i="9"/>
  <c r="EZ225" i="9"/>
  <c r="EZ224" i="9"/>
  <c r="EZ223" i="9"/>
  <c r="EZ222" i="9"/>
  <c r="EZ221" i="9"/>
  <c r="EZ220" i="9"/>
  <c r="EZ219" i="9"/>
  <c r="EZ218" i="9"/>
  <c r="EZ217" i="9"/>
  <c r="EZ216" i="9"/>
  <c r="EZ215" i="9"/>
  <c r="EZ214" i="9"/>
  <c r="EZ213" i="9"/>
  <c r="EZ212" i="9"/>
  <c r="EZ211" i="9"/>
  <c r="EZ210" i="9"/>
  <c r="EZ209" i="9"/>
  <c r="EZ208" i="9"/>
  <c r="EZ207" i="9"/>
  <c r="EZ206" i="9"/>
  <c r="EZ205" i="9"/>
  <c r="EY219" i="9"/>
  <c r="EY217" i="9"/>
  <c r="EY215" i="9"/>
  <c r="EY213" i="9"/>
  <c r="EY211" i="9"/>
  <c r="EY209" i="9"/>
  <c r="EY207" i="9"/>
  <c r="EY205" i="9"/>
  <c r="EY203" i="9"/>
  <c r="EY201" i="9"/>
  <c r="EY199" i="9"/>
  <c r="EY197" i="9"/>
  <c r="EY195" i="9"/>
  <c r="EY193" i="9"/>
  <c r="EY191" i="9"/>
  <c r="EY189" i="9"/>
  <c r="EY187" i="9"/>
  <c r="EY185" i="9"/>
  <c r="EY183" i="9"/>
  <c r="EY181" i="9"/>
  <c r="EY179" i="9"/>
  <c r="EY177" i="9"/>
  <c r="EY175" i="9"/>
  <c r="EY173" i="9"/>
  <c r="EY171" i="9"/>
  <c r="EY169" i="9"/>
  <c r="EY167" i="9"/>
  <c r="EY165" i="9"/>
  <c r="EY163" i="9"/>
  <c r="EY161" i="9"/>
  <c r="EY159" i="9"/>
  <c r="EY157" i="9"/>
  <c r="EZ204" i="9"/>
  <c r="EZ203" i="9"/>
  <c r="EZ202" i="9"/>
  <c r="EZ201" i="9"/>
  <c r="EZ200" i="9"/>
  <c r="EZ199" i="9"/>
  <c r="EZ198" i="9"/>
  <c r="EZ197" i="9"/>
  <c r="EZ196" i="9"/>
  <c r="EZ195" i="9"/>
  <c r="EZ194" i="9"/>
  <c r="EZ193" i="9"/>
  <c r="EZ192" i="9"/>
  <c r="EZ191" i="9"/>
  <c r="EZ190" i="9"/>
  <c r="EZ189" i="9"/>
  <c r="EZ188" i="9"/>
  <c r="EZ187" i="9"/>
  <c r="EZ186" i="9"/>
  <c r="EZ185" i="9"/>
  <c r="EZ184" i="9"/>
  <c r="EZ183" i="9"/>
  <c r="EZ182" i="9"/>
  <c r="EZ181" i="9"/>
  <c r="EZ180" i="9"/>
  <c r="EZ179" i="9"/>
  <c r="EZ178" i="9"/>
  <c r="EZ177" i="9"/>
  <c r="EZ176" i="9"/>
  <c r="EZ175" i="9"/>
  <c r="EZ174" i="9"/>
  <c r="EZ173" i="9"/>
  <c r="EZ172" i="9"/>
  <c r="EZ171" i="9"/>
  <c r="EZ170" i="9"/>
  <c r="EZ169" i="9"/>
  <c r="EZ168" i="9"/>
  <c r="EZ167" i="9"/>
  <c r="EZ166" i="9"/>
  <c r="EZ165" i="9"/>
  <c r="EZ164" i="9"/>
  <c r="EZ163" i="9"/>
  <c r="EZ162" i="9"/>
  <c r="EZ161" i="9"/>
  <c r="EZ160" i="9"/>
  <c r="EZ159" i="9"/>
  <c r="EZ158" i="9"/>
  <c r="EZ157" i="9"/>
  <c r="EZ156" i="9"/>
  <c r="EZ155" i="9"/>
  <c r="EZ154" i="9"/>
  <c r="EZ153" i="9"/>
  <c r="EZ152" i="9"/>
  <c r="EZ151" i="9"/>
  <c r="EZ150" i="9"/>
  <c r="EZ149" i="9"/>
  <c r="EZ148" i="9"/>
  <c r="EZ147" i="9"/>
  <c r="EZ146" i="9"/>
  <c r="EZ145" i="9"/>
  <c r="EZ144" i="9"/>
  <c r="EZ143" i="9"/>
  <c r="EZ142" i="9"/>
  <c r="EZ141" i="9"/>
  <c r="EZ140" i="9"/>
  <c r="EZ139" i="9"/>
  <c r="EZ138" i="9"/>
  <c r="EZ137" i="9"/>
  <c r="EZ136" i="9"/>
  <c r="EZ135" i="9"/>
  <c r="EZ134" i="9"/>
  <c r="EZ133" i="9"/>
  <c r="EY156" i="9"/>
  <c r="EY154" i="9"/>
  <c r="EY152" i="9"/>
  <c r="EY150" i="9"/>
  <c r="EY148" i="9"/>
  <c r="EY146" i="9"/>
  <c r="EY144" i="9"/>
  <c r="EY142" i="9"/>
  <c r="EY140" i="9"/>
  <c r="EY138" i="9"/>
  <c r="EY136" i="9"/>
  <c r="EY134" i="9"/>
  <c r="EY132" i="9"/>
  <c r="EY130" i="9"/>
  <c r="EY128" i="9"/>
  <c r="EY126" i="9"/>
  <c r="EY124" i="9"/>
  <c r="EY122" i="9"/>
  <c r="EY120" i="9"/>
  <c r="EY118" i="9"/>
  <c r="EY116" i="9"/>
  <c r="EY114" i="9"/>
  <c r="EY112" i="9"/>
  <c r="EY110" i="9"/>
  <c r="EY108" i="9"/>
  <c r="EY106" i="9"/>
  <c r="EY104" i="9"/>
  <c r="EY102" i="9"/>
  <c r="EY100" i="9"/>
  <c r="EY98" i="9"/>
  <c r="EY96" i="9"/>
  <c r="EY94" i="9"/>
  <c r="EY92" i="9"/>
  <c r="EY90" i="9"/>
  <c r="EY88" i="9"/>
  <c r="EY86" i="9"/>
  <c r="EY84" i="9"/>
  <c r="EY82" i="9"/>
  <c r="EY73" i="9"/>
  <c r="EZ132" i="9"/>
  <c r="EZ131" i="9"/>
  <c r="EZ130" i="9"/>
  <c r="EZ129" i="9"/>
  <c r="EZ128" i="9"/>
  <c r="EZ127" i="9"/>
  <c r="EZ126" i="9"/>
  <c r="EZ125" i="9"/>
  <c r="EZ124" i="9"/>
  <c r="EZ123" i="9"/>
  <c r="EZ122" i="9"/>
  <c r="EZ121" i="9"/>
  <c r="EZ120" i="9"/>
  <c r="EZ119" i="9"/>
  <c r="EZ118" i="9"/>
  <c r="EZ117" i="9"/>
  <c r="EZ116" i="9"/>
  <c r="EZ115" i="9"/>
  <c r="EZ114" i="9"/>
  <c r="EZ113" i="9"/>
  <c r="EZ112" i="9"/>
  <c r="EZ111" i="9"/>
  <c r="EZ110" i="9"/>
  <c r="EZ109" i="9"/>
  <c r="EZ108" i="9"/>
  <c r="EZ107" i="9"/>
  <c r="EZ106" i="9"/>
  <c r="EZ105" i="9"/>
  <c r="EZ104" i="9"/>
  <c r="EZ103" i="9"/>
  <c r="EZ102" i="9"/>
  <c r="EZ101" i="9"/>
  <c r="EZ100" i="9"/>
  <c r="EZ99" i="9"/>
  <c r="EZ98" i="9"/>
  <c r="EZ97" i="9"/>
  <c r="EZ96" i="9"/>
  <c r="EZ95" i="9"/>
  <c r="EZ94" i="9"/>
  <c r="EZ93" i="9"/>
  <c r="EZ92" i="9"/>
  <c r="EZ91" i="9"/>
  <c r="EZ90" i="9"/>
  <c r="EZ89" i="9"/>
  <c r="EZ88" i="9"/>
  <c r="EZ87" i="9"/>
  <c r="EZ86" i="9"/>
  <c r="EZ85" i="9"/>
  <c r="EZ84" i="9"/>
  <c r="EZ83" i="9"/>
  <c r="EZ82" i="9"/>
  <c r="EZ81" i="9"/>
  <c r="EZ80" i="9"/>
  <c r="EZ79" i="9"/>
  <c r="EZ78" i="9"/>
  <c r="EZ77" i="9"/>
  <c r="EZ76" i="9"/>
  <c r="EZ75" i="9"/>
  <c r="EZ74" i="9"/>
  <c r="EZ73" i="9"/>
  <c r="EZ72" i="9"/>
  <c r="EZ71" i="9"/>
  <c r="EZ70" i="9"/>
  <c r="EZ69" i="9"/>
  <c r="EZ68" i="9"/>
  <c r="EZ67" i="9"/>
  <c r="EZ66" i="9"/>
  <c r="EZ65" i="9"/>
  <c r="EZ64" i="9"/>
  <c r="EZ63" i="9"/>
  <c r="EZ62" i="9"/>
  <c r="EZ61" i="9"/>
  <c r="EZ60" i="9"/>
  <c r="EZ59" i="9"/>
  <c r="EZ58" i="9"/>
  <c r="EZ57" i="9"/>
  <c r="EZ56" i="9"/>
  <c r="EZ55" i="9"/>
  <c r="EZ54" i="9"/>
  <c r="EZ53" i="9"/>
  <c r="EZ52" i="9"/>
  <c r="EZ51" i="9"/>
  <c r="EZ50" i="9"/>
  <c r="EZ49" i="9"/>
  <c r="EZ48" i="9"/>
  <c r="EZ47" i="9"/>
  <c r="EZ46" i="9"/>
  <c r="EZ45" i="9"/>
  <c r="EZ44" i="9"/>
  <c r="EZ43" i="9"/>
  <c r="EZ42" i="9"/>
  <c r="EZ41" i="9"/>
  <c r="EZ40" i="9"/>
  <c r="EZ39" i="9"/>
  <c r="EZ38" i="9"/>
  <c r="EZ37" i="9"/>
  <c r="EZ36" i="9"/>
  <c r="EZ35" i="9"/>
  <c r="EZ34" i="9"/>
  <c r="EZ33" i="9"/>
  <c r="EZ32" i="9"/>
  <c r="EZ31" i="9"/>
  <c r="EZ30" i="9"/>
  <c r="EZ29" i="9"/>
  <c r="EZ28" i="9"/>
  <c r="EZ27" i="9"/>
  <c r="EZ26" i="9"/>
  <c r="EZ25" i="9"/>
  <c r="EZ24" i="9"/>
  <c r="EZ23" i="9"/>
  <c r="EZ22" i="9"/>
  <c r="EZ21" i="9"/>
  <c r="EZ20" i="9"/>
  <c r="EZ19" i="9"/>
  <c r="EZ18" i="9"/>
  <c r="EZ17" i="9"/>
  <c r="EZ16" i="9"/>
  <c r="EZ15" i="9"/>
  <c r="EZ14" i="9"/>
  <c r="EZ13" i="9"/>
  <c r="EZ12" i="9"/>
  <c r="EZ11" i="9"/>
  <c r="EZ10" i="9"/>
  <c r="EZ9" i="9"/>
  <c r="EZ8" i="9"/>
  <c r="EZ7" i="9"/>
  <c r="EZ6" i="9"/>
  <c r="EZ5" i="9"/>
  <c r="EX4" i="9"/>
  <c r="ER4" i="9"/>
  <c r="EY64" i="9"/>
  <c r="EY48" i="9"/>
  <c r="EY39" i="9"/>
  <c r="EY30" i="9"/>
  <c r="EY13" i="9"/>
  <c r="EY11" i="9"/>
  <c r="EY9" i="9"/>
  <c r="EY7" i="9"/>
  <c r="EY5" i="9"/>
  <c r="EU4" i="9"/>
  <c r="ER114" i="9"/>
  <c r="ET114" i="9" s="1"/>
  <c r="EU114" i="9" s="1"/>
  <c r="ER168" i="9"/>
  <c r="ET168" i="9" s="1"/>
  <c r="EU168" i="9" s="1"/>
  <c r="ER48" i="9"/>
  <c r="ET48" i="9" s="1"/>
  <c r="EU48" i="9" s="1"/>
  <c r="ER158" i="9"/>
  <c r="ER16" i="9"/>
  <c r="ET16" i="9" s="1"/>
  <c r="EU16" i="9" s="1"/>
  <c r="ER61" i="9"/>
  <c r="EX61" i="9" s="1"/>
  <c r="ER64" i="9"/>
  <c r="EX64" i="9" s="1"/>
  <c r="ER24" i="9"/>
  <c r="EX24" i="9" s="1"/>
  <c r="ER119" i="9"/>
  <c r="ET119" i="9" s="1"/>
  <c r="EU119" i="9" s="1"/>
  <c r="ER39" i="9"/>
  <c r="EX39" i="9" s="1"/>
  <c r="ER72" i="9"/>
  <c r="ET72" i="9" s="1"/>
  <c r="EU72" i="9" s="1"/>
  <c r="ER43" i="9"/>
  <c r="ER249" i="9"/>
  <c r="EV249" i="9" s="1"/>
  <c r="ER269" i="9"/>
  <c r="ET269" i="9" s="1"/>
  <c r="EU269" i="9" s="1"/>
  <c r="ER62" i="9"/>
  <c r="ET62" i="9" s="1"/>
  <c r="EU62" i="9" s="1"/>
  <c r="ER70" i="9"/>
  <c r="EX70" i="9" s="1"/>
  <c r="ER307" i="9"/>
  <c r="ER218" i="9"/>
  <c r="ET218" i="9" s="1"/>
  <c r="EU218" i="9" s="1"/>
  <c r="ER54" i="9"/>
  <c r="ET54" i="9" s="1"/>
  <c r="EU54" i="9" s="1"/>
  <c r="ER87" i="9"/>
  <c r="EV87" i="9" s="1"/>
  <c r="ER58" i="9"/>
  <c r="EX58" i="9" s="1"/>
  <c r="ER216" i="9"/>
  <c r="ET216" i="9" s="1"/>
  <c r="EU216" i="9" s="1"/>
  <c r="ER220" i="9"/>
  <c r="ET220" i="9" s="1"/>
  <c r="EU220" i="9" s="1"/>
  <c r="ER261" i="9"/>
  <c r="EX261" i="9" s="1"/>
  <c r="ER101" i="9"/>
  <c r="ER19" i="9"/>
  <c r="EX19" i="9" s="1"/>
  <c r="ER38" i="9"/>
  <c r="EV38" i="9" s="1"/>
  <c r="ER285" i="9"/>
  <c r="ER11" i="9"/>
  <c r="ET11" i="9" s="1"/>
  <c r="EU11" i="9" s="1"/>
  <c r="ER242" i="9"/>
  <c r="ER88" i="9"/>
  <c r="EX88" i="9" s="1"/>
  <c r="ER186" i="9"/>
  <c r="ET186" i="9" s="1"/>
  <c r="EU186" i="9" s="1"/>
  <c r="ER109" i="9"/>
  <c r="ET109" i="9" s="1"/>
  <c r="EU109" i="9" s="1"/>
  <c r="ER133" i="9"/>
  <c r="EX133" i="9" s="1"/>
  <c r="ER32" i="9"/>
  <c r="EX32" i="9" s="1"/>
  <c r="ER6" i="9"/>
  <c r="ER56" i="9"/>
  <c r="ER273" i="9"/>
  <c r="EV273" i="9" s="1"/>
  <c r="ER103" i="9"/>
  <c r="EX103" i="9" s="1"/>
  <c r="ER8" i="9"/>
  <c r="ET8" i="9" s="1"/>
  <c r="EU8" i="9" s="1"/>
  <c r="ER104" i="9"/>
  <c r="EX104" i="9" s="1"/>
  <c r="ER97" i="9"/>
  <c r="EX97" i="9" s="1"/>
  <c r="ER275" i="9"/>
  <c r="ET275" i="9" s="1"/>
  <c r="EU275" i="9" s="1"/>
  <c r="ER77" i="9"/>
  <c r="ET77" i="9" s="1"/>
  <c r="EU77" i="9" s="1"/>
  <c r="ER131" i="9"/>
  <c r="EX131" i="9" s="1"/>
  <c r="ER142" i="9"/>
  <c r="ET142" i="9" s="1"/>
  <c r="EU142" i="9" s="1"/>
  <c r="ER180" i="9"/>
  <c r="EX180" i="9" s="1"/>
  <c r="ER124" i="9"/>
  <c r="EV124" i="9" s="1"/>
  <c r="ER311" i="9"/>
  <c r="EV311" i="9" s="1"/>
  <c r="ER89" i="9"/>
  <c r="ET89" i="9" s="1"/>
  <c r="EU89" i="9" s="1"/>
  <c r="ER107" i="9"/>
  <c r="ET107" i="9" s="1"/>
  <c r="EU107" i="9" s="1"/>
  <c r="ER303" i="9"/>
  <c r="EV303" i="9" s="1"/>
  <c r="ER136" i="9"/>
  <c r="ER59" i="9"/>
  <c r="ER289" i="9"/>
  <c r="ER125" i="9"/>
  <c r="ET125" i="9" s="1"/>
  <c r="EU125" i="9" s="1"/>
  <c r="ER73" i="9"/>
  <c r="ET73" i="9" s="1"/>
  <c r="EU73" i="9" s="1"/>
  <c r="ER112" i="9"/>
  <c r="ER293" i="9"/>
  <c r="ER287" i="9"/>
  <c r="ER91" i="9"/>
  <c r="ER210" i="9"/>
  <c r="EX210" i="9" s="1"/>
  <c r="ER65" i="9"/>
  <c r="ET65" i="9" s="1"/>
  <c r="EU65" i="9" s="1"/>
  <c r="ER113" i="9"/>
  <c r="ET113" i="9" s="1"/>
  <c r="EU113" i="9" s="1"/>
  <c r="ER129" i="9"/>
  <c r="ER93" i="9"/>
  <c r="EX93" i="9" s="1"/>
  <c r="ER95" i="9"/>
  <c r="ET95" i="9" s="1"/>
  <c r="EU95" i="9" s="1"/>
  <c r="ER69" i="9"/>
  <c r="EX69" i="9" s="1"/>
  <c r="ER35" i="9"/>
  <c r="EX35" i="9" s="1"/>
  <c r="ER198" i="9"/>
  <c r="ET198" i="9" s="1"/>
  <c r="EU198" i="9" s="1"/>
  <c r="ER27" i="9"/>
  <c r="ER295" i="9"/>
  <c r="ET295" i="9" s="1"/>
  <c r="EU295" i="9" s="1"/>
  <c r="ER126" i="9"/>
  <c r="ER40" i="9"/>
  <c r="EX40" i="9" s="1"/>
  <c r="ER283" i="9"/>
  <c r="ET283" i="9" s="1"/>
  <c r="EU283" i="9" s="1"/>
  <c r="ER132" i="9"/>
  <c r="EX132" i="9" s="1"/>
  <c r="ER230" i="9"/>
  <c r="EX230" i="9" s="1"/>
  <c r="ER45" i="9"/>
  <c r="ET45" i="9" s="1"/>
  <c r="EU45" i="9" s="1"/>
  <c r="ER204" i="9"/>
  <c r="ER271" i="9"/>
  <c r="ET271" i="9" s="1"/>
  <c r="EU271" i="9" s="1"/>
  <c r="ER31" i="9"/>
  <c r="ET31" i="9" s="1"/>
  <c r="EU31" i="9" s="1"/>
  <c r="ER253" i="9"/>
  <c r="ET253" i="9" s="1"/>
  <c r="EU253" i="9" s="1"/>
  <c r="ER85" i="9"/>
  <c r="ET85" i="9" s="1"/>
  <c r="EU85" i="9" s="1"/>
  <c r="ER80" i="9"/>
  <c r="EV80" i="9" s="1"/>
  <c r="ER267" i="9"/>
  <c r="EV267" i="9" s="1"/>
  <c r="ER199" i="9"/>
  <c r="ER155" i="9"/>
  <c r="EV155" i="9" s="1"/>
  <c r="ET6" i="9"/>
  <c r="EU6" i="9" s="1"/>
  <c r="ET32" i="9"/>
  <c r="EU32" i="9" s="1"/>
  <c r="ER225" i="9"/>
  <c r="ER298" i="9"/>
  <c r="EV298" i="9" s="1"/>
  <c r="ER211" i="9"/>
  <c r="EX211" i="9" s="1"/>
  <c r="EX11" i="9"/>
  <c r="ET58" i="9"/>
  <c r="EU58" i="9" s="1"/>
  <c r="EX218" i="9"/>
  <c r="ER266" i="9"/>
  <c r="ET266" i="9" s="1"/>
  <c r="EU266" i="9" s="1"/>
  <c r="ET43" i="9"/>
  <c r="EU43" i="9" s="1"/>
  <c r="EX112" i="9"/>
  <c r="ER243" i="9"/>
  <c r="EV243" i="9" s="1"/>
  <c r="ET124" i="9"/>
  <c r="EU124" i="9" s="1"/>
  <c r="EX77" i="9"/>
  <c r="ER256" i="9"/>
  <c r="EX158" i="9"/>
  <c r="EX168" i="9"/>
  <c r="EX8" i="9"/>
  <c r="ET273" i="9"/>
  <c r="EU273" i="9" s="1"/>
  <c r="ER235" i="9"/>
  <c r="EX56" i="9"/>
  <c r="EX204" i="9"/>
  <c r="EX126" i="9"/>
  <c r="EX242" i="9"/>
  <c r="EX27" i="9"/>
  <c r="ET285" i="9"/>
  <c r="EU285" i="9" s="1"/>
  <c r="ER167" i="9"/>
  <c r="EX167" i="9" s="1"/>
  <c r="EX101" i="9"/>
  <c r="ET261" i="9"/>
  <c r="EU261" i="9" s="1"/>
  <c r="ET35" i="9"/>
  <c r="EU35" i="9" s="1"/>
  <c r="ET69" i="9"/>
  <c r="EU69" i="9" s="1"/>
  <c r="ET93" i="9"/>
  <c r="EU93" i="9" s="1"/>
  <c r="ER270" i="9"/>
  <c r="EV270" i="9" s="1"/>
  <c r="EX129" i="9"/>
  <c r="EX307" i="9"/>
  <c r="ET91" i="9"/>
  <c r="EU91" i="9" s="1"/>
  <c r="ET287" i="9"/>
  <c r="EU287" i="9" s="1"/>
  <c r="EX293" i="9"/>
  <c r="ET289" i="9"/>
  <c r="EU289" i="9" s="1"/>
  <c r="ET59" i="9"/>
  <c r="EU59" i="9" s="1"/>
  <c r="ET136" i="9"/>
  <c r="EU136" i="9" s="1"/>
  <c r="ET303" i="9"/>
  <c r="EU303" i="9" s="1"/>
  <c r="ET311" i="9"/>
  <c r="EU311" i="9" s="1"/>
  <c r="ER201" i="9"/>
  <c r="EX275" i="9"/>
  <c r="ET97" i="9"/>
  <c r="EU97" i="9" s="1"/>
  <c r="ET61" i="9"/>
  <c r="EU61" i="9" s="1"/>
  <c r="ER260" i="9"/>
  <c r="EX260" i="9" s="1"/>
  <c r="ER205" i="9"/>
  <c r="ET205" i="9" s="1"/>
  <c r="EU205" i="9" s="1"/>
  <c r="ET80" i="9"/>
  <c r="EU80" i="9" s="1"/>
  <c r="ER223" i="9"/>
  <c r="ER215" i="9"/>
  <c r="EX215" i="9" s="1"/>
  <c r="ER315" i="9"/>
  <c r="EX85" i="9"/>
  <c r="ER308" i="9"/>
  <c r="EX6" i="9"/>
  <c r="ET88" i="9"/>
  <c r="EU88" i="9" s="1"/>
  <c r="ET40" i="9"/>
  <c r="EU40" i="9" s="1"/>
  <c r="EX220" i="9"/>
  <c r="ET87" i="9"/>
  <c r="EU87" i="9" s="1"/>
  <c r="EX113" i="9"/>
  <c r="ET249" i="9"/>
  <c r="EU249" i="9" s="1"/>
  <c r="EX43" i="9"/>
  <c r="ER237" i="9"/>
  <c r="ER137" i="9"/>
  <c r="EX137" i="9" s="1"/>
  <c r="EX72" i="9"/>
  <c r="ET112" i="9"/>
  <c r="EU112" i="9" s="1"/>
  <c r="ER219" i="9"/>
  <c r="EV219" i="9" s="1"/>
  <c r="ER143" i="9"/>
  <c r="ET143" i="9" s="1"/>
  <c r="EU143" i="9" s="1"/>
  <c r="ER209" i="9"/>
  <c r="ET209" i="9" s="1"/>
  <c r="EU209" i="9" s="1"/>
  <c r="EX125" i="9"/>
  <c r="EX107" i="9"/>
  <c r="EX124" i="9"/>
  <c r="ER280" i="9"/>
  <c r="EX142" i="9"/>
  <c r="ET39" i="9"/>
  <c r="EU39" i="9" s="1"/>
  <c r="ER187" i="9"/>
  <c r="EX187" i="9" s="1"/>
  <c r="ER177" i="9"/>
  <c r="ET158" i="9"/>
  <c r="EU158" i="9" s="1"/>
  <c r="EX48" i="9"/>
  <c r="ER163" i="9"/>
  <c r="EX114" i="9"/>
  <c r="ET56" i="9"/>
  <c r="EU56" i="9" s="1"/>
  <c r="ER292" i="9"/>
  <c r="ER262" i="9"/>
  <c r="EX31" i="9"/>
  <c r="ER149" i="9"/>
  <c r="EX149" i="9" s="1"/>
  <c r="ET204" i="9"/>
  <c r="EU204" i="9" s="1"/>
  <c r="ET126" i="9"/>
  <c r="EU126" i="9" s="1"/>
  <c r="ET242" i="9"/>
  <c r="EU242" i="9" s="1"/>
  <c r="ET27" i="9"/>
  <c r="EU27" i="9" s="1"/>
  <c r="EX285" i="9"/>
  <c r="ET38" i="9"/>
  <c r="EU38" i="9" s="1"/>
  <c r="ET19" i="9"/>
  <c r="EU19" i="9" s="1"/>
  <c r="ET101" i="9"/>
  <c r="EU101" i="9" s="1"/>
  <c r="EX198" i="9"/>
  <c r="EX216" i="9"/>
  <c r="EX54" i="9"/>
  <c r="ET129" i="9"/>
  <c r="EU129" i="9" s="1"/>
  <c r="ET307" i="9"/>
  <c r="EU307" i="9" s="1"/>
  <c r="EX91" i="9"/>
  <c r="EX287" i="9"/>
  <c r="ET293" i="9"/>
  <c r="EU293" i="9" s="1"/>
  <c r="EX289" i="9"/>
  <c r="EX59" i="9"/>
  <c r="EX136" i="9"/>
  <c r="EX303" i="9"/>
  <c r="EX311" i="9"/>
  <c r="ET131" i="9"/>
  <c r="EU131" i="9" s="1"/>
  <c r="ER268" i="9"/>
  <c r="ER258" i="9"/>
  <c r="ET258" i="9" s="1"/>
  <c r="EU258" i="9" s="1"/>
  <c r="EX119" i="9"/>
  <c r="EX16" i="9"/>
  <c r="ET270" i="9"/>
  <c r="EU270" i="9" s="1"/>
  <c r="ET163" i="9"/>
  <c r="EU163" i="9" s="1"/>
  <c r="EX177" i="9"/>
  <c r="EX256" i="9"/>
  <c r="EX280" i="9"/>
  <c r="EX237" i="9"/>
  <c r="ET308" i="9"/>
  <c r="EU308" i="9" s="1"/>
  <c r="EX223" i="9"/>
  <c r="ET268" i="9"/>
  <c r="EU268" i="9" s="1"/>
  <c r="ET201" i="9"/>
  <c r="EU201" i="9" s="1"/>
  <c r="ET262" i="9"/>
  <c r="EU262" i="9" s="1"/>
  <c r="EX292" i="9"/>
  <c r="EX235" i="9"/>
  <c r="EX219" i="9"/>
  <c r="EX298" i="9"/>
  <c r="ET225" i="9"/>
  <c r="EU225" i="9" s="1"/>
  <c r="EX315" i="9"/>
  <c r="EX155" i="9"/>
  <c r="ET199" i="9"/>
  <c r="EU199" i="9" s="1"/>
  <c r="EX270" i="9"/>
  <c r="EX163" i="9"/>
  <c r="ET177" i="9"/>
  <c r="EU177" i="9" s="1"/>
  <c r="ET256" i="9"/>
  <c r="EU256" i="9" s="1"/>
  <c r="ET280" i="9"/>
  <c r="EU280" i="9" s="1"/>
  <c r="ET237" i="9"/>
  <c r="EU237" i="9" s="1"/>
  <c r="EX308" i="9"/>
  <c r="ET223" i="9"/>
  <c r="EU223" i="9" s="1"/>
  <c r="EX268" i="9"/>
  <c r="EX201" i="9"/>
  <c r="EX262" i="9"/>
  <c r="ET292" i="9"/>
  <c r="EU292" i="9" s="1"/>
  <c r="ET235" i="9"/>
  <c r="EU235" i="9" s="1"/>
  <c r="ET219" i="9"/>
  <c r="EU219" i="9" s="1"/>
  <c r="ET298" i="9"/>
  <c r="EU298" i="9" s="1"/>
  <c r="EX225" i="9"/>
  <c r="ET315" i="9"/>
  <c r="EU315" i="9" s="1"/>
  <c r="ET155" i="9"/>
  <c r="EU155" i="9" s="1"/>
  <c r="EX199" i="9"/>
  <c r="DY336" i="9"/>
  <c r="DY462" i="9"/>
  <c r="EE186" i="9"/>
  <c r="EV186" i="9" s="1"/>
  <c r="EE39" i="9"/>
  <c r="EE77" i="9"/>
  <c r="EV77" i="9" s="1"/>
  <c r="EE143" i="9"/>
  <c r="CQ464" i="9"/>
  <c r="BW382" i="9"/>
  <c r="CG411" i="9"/>
  <c r="BY370" i="9"/>
  <c r="BZ475" i="9"/>
  <c r="CB476" i="9" s="1"/>
  <c r="CB474" i="9" s="1"/>
  <c r="CB454" i="9"/>
  <c r="CD159" i="14"/>
  <c r="CD167" i="14" s="1"/>
  <c r="BV159" i="14"/>
  <c r="BV167" i="14" s="1"/>
  <c r="EE269" i="9"/>
  <c r="EV269" i="9" s="1"/>
  <c r="CL277" i="9"/>
  <c r="CA277" i="9"/>
  <c r="CC277" i="9"/>
  <c r="CH277" i="9"/>
  <c r="CD277" i="9"/>
  <c r="CF277" i="9"/>
  <c r="CF23" i="9"/>
  <c r="CA148" i="9"/>
  <c r="CL148" i="9"/>
  <c r="CC148" i="9"/>
  <c r="CH148" i="9"/>
  <c r="CD148" i="9"/>
  <c r="CF148" i="9"/>
  <c r="CL156" i="9"/>
  <c r="CC156" i="9"/>
  <c r="CA156" i="9"/>
  <c r="CH156" i="9"/>
  <c r="CD156" i="9"/>
  <c r="CF156" i="9"/>
  <c r="CA192" i="9"/>
  <c r="CC192" i="9"/>
  <c r="CL192" i="9"/>
  <c r="CD192" i="9"/>
  <c r="CH192" i="9"/>
  <c r="CF192" i="9"/>
  <c r="CC121" i="9"/>
  <c r="CL121" i="9"/>
  <c r="CA121" i="9"/>
  <c r="CH121" i="9"/>
  <c r="CD121" i="9"/>
  <c r="CA191" i="9"/>
  <c r="CC191" i="9"/>
  <c r="CL191" i="9"/>
  <c r="CD191" i="9"/>
  <c r="CH191" i="9"/>
  <c r="CF191" i="9"/>
  <c r="CC127" i="9"/>
  <c r="CL127" i="9"/>
  <c r="CA127" i="9"/>
  <c r="CD127" i="9"/>
  <c r="CH127" i="9"/>
  <c r="CF127" i="9"/>
  <c r="CL250" i="9"/>
  <c r="CA250" i="9"/>
  <c r="CC250" i="9"/>
  <c r="CD250" i="9"/>
  <c r="CH250" i="9"/>
  <c r="CF250" i="9"/>
  <c r="CC184" i="9"/>
  <c r="CL184" i="9"/>
  <c r="CA184" i="9"/>
  <c r="CH184" i="9"/>
  <c r="CD184" i="9"/>
  <c r="CF184" i="9"/>
  <c r="CC178" i="9"/>
  <c r="CL178" i="9"/>
  <c r="CA178" i="9"/>
  <c r="CD178" i="9"/>
  <c r="CH178" i="9"/>
  <c r="CC172" i="9"/>
  <c r="CL172" i="9"/>
  <c r="CA172" i="9"/>
  <c r="CD172" i="9"/>
  <c r="CH172" i="9"/>
  <c r="CF172" i="9"/>
  <c r="CL217" i="9"/>
  <c r="CC217" i="9"/>
  <c r="CA217" i="9"/>
  <c r="CD217" i="9"/>
  <c r="CH217" i="9"/>
  <c r="CF217" i="9"/>
  <c r="CA139" i="9"/>
  <c r="CL139" i="9"/>
  <c r="CC139" i="9"/>
  <c r="CD139" i="9"/>
  <c r="CH139" i="9"/>
  <c r="CC115" i="9"/>
  <c r="CL115" i="9"/>
  <c r="CA115" i="9"/>
  <c r="CH115" i="9"/>
  <c r="CD115" i="9"/>
  <c r="CF115" i="9"/>
  <c r="CC265" i="9"/>
  <c r="CL265" i="9"/>
  <c r="CA265" i="9"/>
  <c r="CD265" i="9"/>
  <c r="CH265" i="9"/>
  <c r="CF265" i="9"/>
  <c r="CC302" i="9"/>
  <c r="CL302" i="9"/>
  <c r="CA302" i="9"/>
  <c r="CD302" i="9"/>
  <c r="CH302" i="9"/>
  <c r="CL17" i="9"/>
  <c r="CC17" i="9"/>
  <c r="CA17" i="9"/>
  <c r="CD17" i="9"/>
  <c r="CH17" i="9"/>
  <c r="CL47" i="9"/>
  <c r="CC47" i="9"/>
  <c r="CA47" i="9"/>
  <c r="CD47" i="9"/>
  <c r="CH47" i="9"/>
  <c r="CF290" i="9"/>
  <c r="CC100" i="9"/>
  <c r="CL100" i="9"/>
  <c r="CA100" i="9"/>
  <c r="CH100" i="9"/>
  <c r="CD100" i="9"/>
  <c r="CF100" i="9"/>
  <c r="CC282" i="9"/>
  <c r="CL282" i="9"/>
  <c r="CA282" i="9"/>
  <c r="CH282" i="9"/>
  <c r="CD282" i="9"/>
  <c r="CC231" i="9"/>
  <c r="CL231" i="9"/>
  <c r="CA231" i="9"/>
  <c r="CD231" i="9"/>
  <c r="CH231" i="9"/>
  <c r="CF231" i="9"/>
  <c r="EE129" i="9"/>
  <c r="EV129" i="9" s="1"/>
  <c r="CC75" i="9"/>
  <c r="CL75" i="9"/>
  <c r="CB336" i="9"/>
  <c r="CA75" i="9"/>
  <c r="CH75" i="9"/>
  <c r="CD75" i="9"/>
  <c r="CF75" i="9"/>
  <c r="AV394" i="9"/>
  <c r="CF67" i="9"/>
  <c r="CA304" i="9"/>
  <c r="CC304" i="9"/>
  <c r="CL304" i="9"/>
  <c r="CH304" i="9"/>
  <c r="CD304" i="9"/>
  <c r="CC224" i="9"/>
  <c r="CL224" i="9"/>
  <c r="CA224" i="9"/>
  <c r="CH224" i="9"/>
  <c r="CD224" i="9"/>
  <c r="CC128" i="9"/>
  <c r="CL128" i="9"/>
  <c r="CA128" i="9"/>
  <c r="CH128" i="9"/>
  <c r="CD128" i="9"/>
  <c r="CF128" i="9"/>
  <c r="CA196" i="9"/>
  <c r="CC196" i="9"/>
  <c r="CL196" i="9"/>
  <c r="CH196" i="9"/>
  <c r="CD196" i="9"/>
  <c r="CF196" i="9"/>
  <c r="CA144" i="9"/>
  <c r="CL144" i="9"/>
  <c r="CC144" i="9"/>
  <c r="CH144" i="9"/>
  <c r="CD144" i="9"/>
  <c r="CF144" i="9"/>
  <c r="CL153" i="9"/>
  <c r="CC153" i="9"/>
  <c r="CA153" i="9"/>
  <c r="CH153" i="9"/>
  <c r="CD153" i="9"/>
  <c r="CL248" i="9"/>
  <c r="CA248" i="9"/>
  <c r="CC248" i="9"/>
  <c r="CH248" i="9"/>
  <c r="CD248" i="9"/>
  <c r="CF248" i="9"/>
  <c r="CC238" i="9"/>
  <c r="CL238" i="9"/>
  <c r="CA238" i="9"/>
  <c r="CD238" i="9"/>
  <c r="CH238" i="9"/>
  <c r="CL22" i="9"/>
  <c r="CC22" i="9"/>
  <c r="CA22" i="9"/>
  <c r="CD22" i="9"/>
  <c r="CH22" i="9"/>
  <c r="CF22" i="9"/>
  <c r="CC83" i="9"/>
  <c r="CL83" i="9"/>
  <c r="CA83" i="9"/>
  <c r="CH83" i="9"/>
  <c r="CD83" i="9"/>
  <c r="CF83" i="9"/>
  <c r="CL25" i="9"/>
  <c r="CC25" i="9"/>
  <c r="CA25" i="9"/>
  <c r="CD25" i="9"/>
  <c r="CH25" i="9"/>
  <c r="CF25" i="9"/>
  <c r="CA106" i="9"/>
  <c r="CC106" i="9"/>
  <c r="CL106" i="9"/>
  <c r="CH106" i="9"/>
  <c r="CD106" i="9"/>
  <c r="CF106" i="9"/>
  <c r="EE70" i="9"/>
  <c r="EV70" i="9" s="1"/>
  <c r="CC181" i="9"/>
  <c r="CL181" i="9"/>
  <c r="CA181" i="9"/>
  <c r="CH181" i="9"/>
  <c r="CD181" i="9"/>
  <c r="CF181" i="9"/>
  <c r="CF74" i="9"/>
  <c r="CF102" i="9"/>
  <c r="CA5" i="9"/>
  <c r="CL5" i="9"/>
  <c r="CC5" i="9"/>
  <c r="CB320" i="9"/>
  <c r="CB433" i="9"/>
  <c r="CD5" i="9"/>
  <c r="CH5" i="9"/>
  <c r="CF5" i="9"/>
  <c r="CC294" i="9"/>
  <c r="CL294" i="9"/>
  <c r="CA294" i="9"/>
  <c r="CD294" i="9"/>
  <c r="CH294" i="9"/>
  <c r="CC161" i="9"/>
  <c r="CL161" i="9"/>
  <c r="CA161" i="9"/>
  <c r="CH161" i="9"/>
  <c r="CD161" i="9"/>
  <c r="CF116" i="9"/>
  <c r="CB450" i="9"/>
  <c r="DB336" i="9"/>
  <c r="DB324" i="9"/>
  <c r="BY146" i="14"/>
  <c r="BY154" i="14" s="1"/>
  <c r="EE89" i="9"/>
  <c r="EV89" i="9" s="1"/>
  <c r="EE32" i="9"/>
  <c r="EV32" i="9" s="1"/>
  <c r="EE93" i="9"/>
  <c r="EV93" i="9" s="1"/>
  <c r="EE113" i="9"/>
  <c r="CA146" i="14"/>
  <c r="EV285" i="9"/>
  <c r="CC234" i="9"/>
  <c r="CL234" i="9"/>
  <c r="CA234" i="9"/>
  <c r="CH234" i="9"/>
  <c r="CD234" i="9"/>
  <c r="CA147" i="9"/>
  <c r="CL147" i="9"/>
  <c r="CC147" i="9"/>
  <c r="CD147" i="9"/>
  <c r="CH147" i="9"/>
  <c r="CL44" i="9"/>
  <c r="CC44" i="9"/>
  <c r="CA44" i="9"/>
  <c r="CH44" i="9"/>
  <c r="CD44" i="9"/>
  <c r="CL13" i="9"/>
  <c r="CC13" i="9"/>
  <c r="CA13" i="9"/>
  <c r="CD13" i="9"/>
  <c r="CH13" i="9"/>
  <c r="EV58" i="9"/>
  <c r="CC240" i="9"/>
  <c r="CL240" i="9"/>
  <c r="CA240" i="9"/>
  <c r="CH240" i="9"/>
  <c r="CD240" i="9"/>
  <c r="CA20" i="9"/>
  <c r="CL20" i="9"/>
  <c r="CC20" i="9"/>
  <c r="CD20" i="9"/>
  <c r="CH20" i="9"/>
  <c r="CF20" i="9"/>
  <c r="AT447" i="9"/>
  <c r="EV62" i="9"/>
  <c r="CA279" i="9"/>
  <c r="CC279" i="9"/>
  <c r="CL279" i="9"/>
  <c r="CD279" i="9"/>
  <c r="CH279" i="9"/>
  <c r="CC229" i="9"/>
  <c r="CL229" i="9"/>
  <c r="CA229" i="9"/>
  <c r="CD229" i="9"/>
  <c r="CH229" i="9"/>
  <c r="CL50" i="9"/>
  <c r="CC50" i="9"/>
  <c r="CA50" i="9"/>
  <c r="CH50" i="9"/>
  <c r="CD50" i="9"/>
  <c r="CF50" i="9"/>
  <c r="CC94" i="9"/>
  <c r="CL94" i="9"/>
  <c r="CA94" i="9"/>
  <c r="CD94" i="9"/>
  <c r="CH94" i="9"/>
  <c r="CF279" i="9"/>
  <c r="CL254" i="9"/>
  <c r="CA254" i="9"/>
  <c r="CC254" i="9"/>
  <c r="CD254" i="9"/>
  <c r="CH254" i="9"/>
  <c r="CF254" i="9"/>
  <c r="EV114" i="9"/>
  <c r="EV97" i="9"/>
  <c r="CL41" i="9"/>
  <c r="CC41" i="9"/>
  <c r="CA41" i="9"/>
  <c r="CH41" i="9"/>
  <c r="CD41" i="9"/>
  <c r="CA71" i="9"/>
  <c r="CC71" i="9"/>
  <c r="CL71" i="9"/>
  <c r="CH71" i="9"/>
  <c r="CD71" i="9"/>
  <c r="CC274" i="9"/>
  <c r="CL274" i="9"/>
  <c r="CA274" i="9"/>
  <c r="CD274" i="9"/>
  <c r="CH274" i="9"/>
  <c r="CA60" i="9"/>
  <c r="CL60" i="9"/>
  <c r="CC60" i="9"/>
  <c r="CD60" i="9"/>
  <c r="CH60" i="9"/>
  <c r="CF60" i="9"/>
  <c r="CC301" i="9"/>
  <c r="CL301" i="9"/>
  <c r="CA301" i="9"/>
  <c r="CH301" i="9"/>
  <c r="CD301" i="9"/>
  <c r="CF301" i="9"/>
  <c r="CA130" i="9"/>
  <c r="CC130" i="9"/>
  <c r="CL130" i="9"/>
  <c r="CH130" i="9"/>
  <c r="CD130" i="9"/>
  <c r="CL12" i="9"/>
  <c r="CC12" i="9"/>
  <c r="CA12" i="9"/>
  <c r="CH12" i="9"/>
  <c r="CD12" i="9"/>
  <c r="CF12" i="9"/>
  <c r="EV292" i="9"/>
  <c r="EV131" i="9"/>
  <c r="BN320" i="9"/>
  <c r="CC96" i="9"/>
  <c r="CL96" i="9"/>
  <c r="CA96" i="9"/>
  <c r="CH96" i="9"/>
  <c r="CD96" i="9"/>
  <c r="EV16" i="9"/>
  <c r="EV85" i="9"/>
  <c r="EV35" i="9"/>
  <c r="CQ448" i="9"/>
  <c r="DD311" i="9"/>
  <c r="DD309" i="9"/>
  <c r="DD307" i="9"/>
  <c r="DD305" i="9"/>
  <c r="DD303" i="9"/>
  <c r="DD301" i="9"/>
  <c r="DD299" i="9"/>
  <c r="DD297" i="9"/>
  <c r="DD295" i="9"/>
  <c r="DD293" i="9"/>
  <c r="DD291" i="9"/>
  <c r="DD289" i="9"/>
  <c r="DD287" i="9"/>
  <c r="DD285" i="9"/>
  <c r="DD283" i="9"/>
  <c r="DD281" i="9"/>
  <c r="DD319" i="9"/>
  <c r="DD317" i="9"/>
  <c r="DD315" i="9"/>
  <c r="DD313" i="9"/>
  <c r="DD278" i="9"/>
  <c r="DD276" i="9"/>
  <c r="DD274" i="9"/>
  <c r="DD272" i="9"/>
  <c r="DD270" i="9"/>
  <c r="DD268" i="9"/>
  <c r="DD266" i="9"/>
  <c r="DD264" i="9"/>
  <c r="DD262" i="9"/>
  <c r="DD260" i="9"/>
  <c r="DD258" i="9"/>
  <c r="DD256" i="9"/>
  <c r="DD254" i="9"/>
  <c r="DD252" i="9"/>
  <c r="DD250" i="9"/>
  <c r="DD248" i="9"/>
  <c r="DD246" i="9"/>
  <c r="DD244" i="9"/>
  <c r="DD242" i="9"/>
  <c r="DD240" i="9"/>
  <c r="DD238" i="9"/>
  <c r="DD236" i="9"/>
  <c r="DD234" i="9"/>
  <c r="DD232" i="9"/>
  <c r="DD230" i="9"/>
  <c r="DD228" i="9"/>
  <c r="DD226" i="9"/>
  <c r="DD224" i="9"/>
  <c r="DD222" i="9"/>
  <c r="DD220" i="9"/>
  <c r="DD218" i="9"/>
  <c r="DD216" i="9"/>
  <c r="DD214" i="9"/>
  <c r="DD212" i="9"/>
  <c r="DD210" i="9"/>
  <c r="DD208" i="9"/>
  <c r="DD206" i="9"/>
  <c r="DD204" i="9"/>
  <c r="DD202" i="9"/>
  <c r="DD200" i="9"/>
  <c r="DD198" i="9"/>
  <c r="DD196" i="9"/>
  <c r="DD194" i="9"/>
  <c r="DD192" i="9"/>
  <c r="DD190" i="9"/>
  <c r="DD188" i="9"/>
  <c r="DD186" i="9"/>
  <c r="DD184" i="9"/>
  <c r="DD182" i="9"/>
  <c r="DD180" i="9"/>
  <c r="DD178" i="9"/>
  <c r="DD176" i="9"/>
  <c r="DD174" i="9"/>
  <c r="DD172" i="9"/>
  <c r="DD170" i="9"/>
  <c r="DD168" i="9"/>
  <c r="DD166" i="9"/>
  <c r="DD164" i="9"/>
  <c r="DD162" i="9"/>
  <c r="DD160" i="9"/>
  <c r="DD158" i="9"/>
  <c r="DD156" i="9"/>
  <c r="DD154" i="9"/>
  <c r="DD152" i="9"/>
  <c r="DD150" i="9"/>
  <c r="DD148" i="9"/>
  <c r="DD146" i="9"/>
  <c r="DD144" i="9"/>
  <c r="DD142" i="9"/>
  <c r="DD140" i="9"/>
  <c r="DD138" i="9"/>
  <c r="DD136" i="9"/>
  <c r="DD134" i="9"/>
  <c r="DD132" i="9"/>
  <c r="DD130" i="9"/>
  <c r="DD128" i="9"/>
  <c r="DD126" i="9"/>
  <c r="DD124" i="9"/>
  <c r="DD122" i="9"/>
  <c r="DD120" i="9"/>
  <c r="DD118" i="9"/>
  <c r="DD116" i="9"/>
  <c r="DD114" i="9"/>
  <c r="DD112" i="9"/>
  <c r="DD110" i="9"/>
  <c r="DD108" i="9"/>
  <c r="DD106" i="9"/>
  <c r="DD104" i="9"/>
  <c r="DD102" i="9"/>
  <c r="DD100" i="9"/>
  <c r="DD98" i="9"/>
  <c r="DD96" i="9"/>
  <c r="DD94" i="9"/>
  <c r="DD92" i="9"/>
  <c r="DD90" i="9"/>
  <c r="DD88" i="9"/>
  <c r="DD86" i="9"/>
  <c r="DD84" i="9"/>
  <c r="DD82" i="9"/>
  <c r="DD80" i="9"/>
  <c r="DD78" i="9"/>
  <c r="DD76" i="9"/>
  <c r="DD74" i="9"/>
  <c r="DD72" i="9"/>
  <c r="DD70" i="9"/>
  <c r="DD68" i="9"/>
  <c r="DD66" i="9"/>
  <c r="DD64" i="9"/>
  <c r="DD62" i="9"/>
  <c r="DD60" i="9"/>
  <c r="DD58" i="9"/>
  <c r="DD56" i="9"/>
  <c r="DD54" i="9"/>
  <c r="DD52" i="9"/>
  <c r="DD50" i="9"/>
  <c r="DD48" i="9"/>
  <c r="DD46" i="9"/>
  <c r="DD44" i="9"/>
  <c r="DD42" i="9"/>
  <c r="DD40" i="9"/>
  <c r="DD38" i="9"/>
  <c r="DD36" i="9"/>
  <c r="DD34" i="9"/>
  <c r="DD32" i="9"/>
  <c r="DD30" i="9"/>
  <c r="DD28" i="9"/>
  <c r="DD26" i="9"/>
  <c r="DD24" i="9"/>
  <c r="DD22" i="9"/>
  <c r="DD20" i="9"/>
  <c r="DD18" i="9"/>
  <c r="DD16" i="9"/>
  <c r="DD14" i="9"/>
  <c r="DD12" i="9"/>
  <c r="DD10" i="9"/>
  <c r="DD8" i="9"/>
  <c r="DD6" i="9"/>
  <c r="DD312" i="9"/>
  <c r="DD310" i="9"/>
  <c r="DD308" i="9"/>
  <c r="DD306" i="9"/>
  <c r="DD304" i="9"/>
  <c r="DD302" i="9"/>
  <c r="DD300" i="9"/>
  <c r="DD298" i="9"/>
  <c r="DD296" i="9"/>
  <c r="DD294" i="9"/>
  <c r="DD292" i="9"/>
  <c r="DD290" i="9"/>
  <c r="DD288" i="9"/>
  <c r="DD286" i="9"/>
  <c r="DD284" i="9"/>
  <c r="DD282" i="9"/>
  <c r="DD280" i="9"/>
  <c r="DD318" i="9"/>
  <c r="DD316" i="9"/>
  <c r="DD314" i="9"/>
  <c r="DD279" i="9"/>
  <c r="DD277" i="9"/>
  <c r="DD275" i="9"/>
  <c r="DD273" i="9"/>
  <c r="DD271" i="9"/>
  <c r="DD269" i="9"/>
  <c r="DD267" i="9"/>
  <c r="DD265" i="9"/>
  <c r="DD263" i="9"/>
  <c r="DD261" i="9"/>
  <c r="DD259" i="9"/>
  <c r="DD257" i="9"/>
  <c r="DD255" i="9"/>
  <c r="DD253" i="9"/>
  <c r="DD251" i="9"/>
  <c r="DD249" i="9"/>
  <c r="DD247" i="9"/>
  <c r="DD245" i="9"/>
  <c r="DD243" i="9"/>
  <c r="DD241" i="9"/>
  <c r="DD239" i="9"/>
  <c r="DD237" i="9"/>
  <c r="DD235" i="9"/>
  <c r="DD233" i="9"/>
  <c r="DD231" i="9"/>
  <c r="DD229" i="9"/>
  <c r="DD227" i="9"/>
  <c r="DD225" i="9"/>
  <c r="DD223" i="9"/>
  <c r="DD221" i="9"/>
  <c r="DD219" i="9"/>
  <c r="DD217" i="9"/>
  <c r="DD215" i="9"/>
  <c r="DD213" i="9"/>
  <c r="DD211" i="9"/>
  <c r="DD209" i="9"/>
  <c r="DD207" i="9"/>
  <c r="DD205" i="9"/>
  <c r="DD203" i="9"/>
  <c r="DD201" i="9"/>
  <c r="DD199" i="9"/>
  <c r="DD197" i="9"/>
  <c r="DD195" i="9"/>
  <c r="DD193" i="9"/>
  <c r="DD191" i="9"/>
  <c r="DD189" i="9"/>
  <c r="DD187" i="9"/>
  <c r="DD185" i="9"/>
  <c r="DD183" i="9"/>
  <c r="DD181" i="9"/>
  <c r="DD179" i="9"/>
  <c r="DD177" i="9"/>
  <c r="DD175" i="9"/>
  <c r="DD173" i="9"/>
  <c r="DD171" i="9"/>
  <c r="DD169" i="9"/>
  <c r="DD167" i="9"/>
  <c r="DD165" i="9"/>
  <c r="DD163" i="9"/>
  <c r="DD161" i="9"/>
  <c r="DD159" i="9"/>
  <c r="DD157" i="9"/>
  <c r="DD155" i="9"/>
  <c r="DD153" i="9"/>
  <c r="DD151" i="9"/>
  <c r="DD149" i="9"/>
  <c r="DD147" i="9"/>
  <c r="DD145" i="9"/>
  <c r="DD143" i="9"/>
  <c r="DD141" i="9"/>
  <c r="DD139" i="9"/>
  <c r="DD137" i="9"/>
  <c r="DD135" i="9"/>
  <c r="DD133" i="9"/>
  <c r="DD131" i="9"/>
  <c r="DD129" i="9"/>
  <c r="DD127" i="9"/>
  <c r="DD125" i="9"/>
  <c r="DD123" i="9"/>
  <c r="DD121" i="9"/>
  <c r="DD119" i="9"/>
  <c r="DD117" i="9"/>
  <c r="DD115" i="9"/>
  <c r="DD113" i="9"/>
  <c r="DD111" i="9"/>
  <c r="DD109" i="9"/>
  <c r="DD107" i="9"/>
  <c r="DD105" i="9"/>
  <c r="DD103" i="9"/>
  <c r="DD101" i="9"/>
  <c r="DD99" i="9"/>
  <c r="DD97" i="9"/>
  <c r="DD95" i="9"/>
  <c r="DD93" i="9"/>
  <c r="DD91" i="9"/>
  <c r="DD89" i="9"/>
  <c r="DD87" i="9"/>
  <c r="DD85" i="9"/>
  <c r="DD83" i="9"/>
  <c r="DD81" i="9"/>
  <c r="DD79" i="9"/>
  <c r="DD77" i="9"/>
  <c r="DD75" i="9"/>
  <c r="DD73" i="9"/>
  <c r="DD71" i="9"/>
  <c r="DD69" i="9"/>
  <c r="DD67" i="9"/>
  <c r="DD65" i="9"/>
  <c r="DD63" i="9"/>
  <c r="DD61" i="9"/>
  <c r="DD59" i="9"/>
  <c r="DD57" i="9"/>
  <c r="DD55" i="9"/>
  <c r="DD53" i="9"/>
  <c r="DD51" i="9"/>
  <c r="DD49" i="9"/>
  <c r="DD47" i="9"/>
  <c r="DD45" i="9"/>
  <c r="DD43" i="9"/>
  <c r="DD41" i="9"/>
  <c r="DD39" i="9"/>
  <c r="DD37" i="9"/>
  <c r="DD35" i="9"/>
  <c r="DD33" i="9"/>
  <c r="DD31" i="9"/>
  <c r="DD29" i="9"/>
  <c r="DD27" i="9"/>
  <c r="DD25" i="9"/>
  <c r="DD23" i="9"/>
  <c r="DD21" i="9"/>
  <c r="DD19" i="9"/>
  <c r="DD17" i="9"/>
  <c r="DD15" i="9"/>
  <c r="DD13" i="9"/>
  <c r="DD11" i="9"/>
  <c r="DD9" i="9"/>
  <c r="DD7" i="9"/>
  <c r="DD5" i="9"/>
  <c r="CG320" i="9"/>
  <c r="BW320" i="9"/>
  <c r="CG407" i="9"/>
  <c r="CF96" i="9"/>
  <c r="CC159" i="14"/>
  <c r="BK141" i="14"/>
  <c r="BL133" i="14"/>
  <c r="AK191" i="14"/>
  <c r="AJ141" i="14"/>
  <c r="AL141" i="14"/>
  <c r="EV293" i="9"/>
  <c r="CL134" i="9"/>
  <c r="CC134" i="9"/>
  <c r="CA134" i="9"/>
  <c r="CD134" i="9"/>
  <c r="CH134" i="9"/>
  <c r="CF134" i="9"/>
  <c r="CA190" i="9"/>
  <c r="CC190" i="9"/>
  <c r="CL190" i="9"/>
  <c r="CH190" i="9"/>
  <c r="CD190" i="9"/>
  <c r="CF190" i="9"/>
  <c r="CA284" i="9"/>
  <c r="CC284" i="9"/>
  <c r="CL284" i="9"/>
  <c r="CH284" i="9"/>
  <c r="CD284" i="9"/>
  <c r="CC236" i="9"/>
  <c r="CL236" i="9"/>
  <c r="CA236" i="9"/>
  <c r="CD236" i="9"/>
  <c r="CH236" i="9"/>
  <c r="CF236" i="9"/>
  <c r="EV220" i="9"/>
  <c r="CA151" i="9"/>
  <c r="CL151" i="9"/>
  <c r="CC151" i="9"/>
  <c r="CD151" i="9"/>
  <c r="CH151" i="9"/>
  <c r="CC173" i="9"/>
  <c r="CL173" i="9"/>
  <c r="CA173" i="9"/>
  <c r="CH173" i="9"/>
  <c r="CD173" i="9"/>
  <c r="EV126" i="9"/>
  <c r="CL214" i="9"/>
  <c r="CC214" i="9"/>
  <c r="CA214" i="9"/>
  <c r="CH214" i="9"/>
  <c r="CD214" i="9"/>
  <c r="CF214" i="9"/>
  <c r="CA212" i="9"/>
  <c r="CL212" i="9"/>
  <c r="CC212" i="9"/>
  <c r="CH212" i="9"/>
  <c r="CD212" i="9"/>
  <c r="CF212" i="9"/>
  <c r="CC170" i="9"/>
  <c r="CL170" i="9"/>
  <c r="CA170" i="9"/>
  <c r="CH170" i="9"/>
  <c r="CD170" i="9"/>
  <c r="CF170" i="9"/>
  <c r="CF278" i="9"/>
  <c r="CC278" i="9"/>
  <c r="CL278" i="9"/>
  <c r="CA278" i="9"/>
  <c r="CH278" i="9"/>
  <c r="CD278" i="9"/>
  <c r="CA232" i="9"/>
  <c r="CC232" i="9"/>
  <c r="CL232" i="9"/>
  <c r="CD232" i="9"/>
  <c r="CH232" i="9"/>
  <c r="CF232" i="9"/>
  <c r="CC202" i="9"/>
  <c r="CL202" i="9"/>
  <c r="CA202" i="9"/>
  <c r="CH202" i="9"/>
  <c r="CD202" i="9"/>
  <c r="CF202" i="9"/>
  <c r="CA312" i="9"/>
  <c r="CC312" i="9"/>
  <c r="CL312" i="9"/>
  <c r="CH312" i="9"/>
  <c r="CD312" i="9"/>
  <c r="CC78" i="9"/>
  <c r="CL78" i="9"/>
  <c r="CA78" i="9"/>
  <c r="CH78" i="9"/>
  <c r="CD78" i="9"/>
  <c r="CL34" i="9"/>
  <c r="CC34" i="9"/>
  <c r="CA34" i="9"/>
  <c r="CH34" i="9"/>
  <c r="CD34" i="9"/>
  <c r="CA63" i="9"/>
  <c r="CL63" i="9"/>
  <c r="CC63" i="9"/>
  <c r="CD63" i="9"/>
  <c r="CH63" i="9"/>
  <c r="CF63" i="9"/>
  <c r="CF263" i="9"/>
  <c r="CC263" i="9"/>
  <c r="CL263" i="9"/>
  <c r="CA263" i="9"/>
  <c r="CH263" i="9"/>
  <c r="CD263" i="9"/>
  <c r="CC318" i="9"/>
  <c r="CL318" i="9"/>
  <c r="CA318" i="9"/>
  <c r="CD318" i="9"/>
  <c r="CH318" i="9"/>
  <c r="CF318" i="9"/>
  <c r="CL33" i="9"/>
  <c r="CC33" i="9"/>
  <c r="CA33" i="9"/>
  <c r="CD33" i="9"/>
  <c r="CH33" i="9"/>
  <c r="CF33" i="9"/>
  <c r="CF78" i="9"/>
  <c r="CF34" i="9"/>
  <c r="CA299" i="9"/>
  <c r="CC299" i="9"/>
  <c r="CL299" i="9"/>
  <c r="CD299" i="9"/>
  <c r="CH299" i="9"/>
  <c r="CF299" i="9"/>
  <c r="CL15" i="9"/>
  <c r="CC15" i="9"/>
  <c r="CA15" i="9"/>
  <c r="CD15" i="9"/>
  <c r="CH15" i="9"/>
  <c r="CF15" i="9"/>
  <c r="CF255" i="9"/>
  <c r="CL255" i="9"/>
  <c r="CA255" i="9"/>
  <c r="CC255" i="9"/>
  <c r="CH255" i="9"/>
  <c r="CD255" i="9"/>
  <c r="CC84" i="9"/>
  <c r="CL84" i="9"/>
  <c r="CA84" i="9"/>
  <c r="CH84" i="9"/>
  <c r="CD84" i="9"/>
  <c r="CF84" i="9"/>
  <c r="CA68" i="9"/>
  <c r="CC68" i="9"/>
  <c r="CL68" i="9"/>
  <c r="CD68" i="9"/>
  <c r="CH68" i="9"/>
  <c r="CF68" i="9"/>
  <c r="CC123" i="9"/>
  <c r="CL123" i="9"/>
  <c r="CA123" i="9"/>
  <c r="CD123" i="9"/>
  <c r="CH123" i="9"/>
  <c r="CF123" i="9"/>
  <c r="EV289" i="9"/>
  <c r="BK452" i="9"/>
  <c r="EV271" i="9"/>
  <c r="CC291" i="9"/>
  <c r="CL291" i="9"/>
  <c r="CA291" i="9"/>
  <c r="CD291" i="9"/>
  <c r="CH291" i="9"/>
  <c r="CL245" i="9"/>
  <c r="CA245" i="9"/>
  <c r="CC245" i="9"/>
  <c r="CH245" i="9"/>
  <c r="CD245" i="9"/>
  <c r="CC310" i="9"/>
  <c r="CL310" i="9"/>
  <c r="CA310" i="9"/>
  <c r="CD310" i="9"/>
  <c r="CH310" i="9"/>
  <c r="CC82" i="9"/>
  <c r="CL82" i="9"/>
  <c r="CA82" i="9"/>
  <c r="CH82" i="9"/>
  <c r="CD82" i="9"/>
  <c r="CF82" i="9"/>
  <c r="CC317" i="9"/>
  <c r="CL317" i="9"/>
  <c r="CA317" i="9"/>
  <c r="CD317" i="9"/>
  <c r="CH317" i="9"/>
  <c r="CF317" i="9"/>
  <c r="CA166" i="9"/>
  <c r="CC166" i="9"/>
  <c r="CL166" i="9"/>
  <c r="CD166" i="9"/>
  <c r="CH166" i="9"/>
  <c r="CF166" i="9"/>
  <c r="CF257" i="9"/>
  <c r="CF130" i="9"/>
  <c r="EV242" i="9"/>
  <c r="CA288" i="9"/>
  <c r="CC288" i="9"/>
  <c r="CL288" i="9"/>
  <c r="CH288" i="9"/>
  <c r="CD288" i="9"/>
  <c r="BN378" i="9"/>
  <c r="BM378" i="9" s="1"/>
  <c r="CF151" i="9"/>
  <c r="BJ442" i="9"/>
  <c r="CA140" i="9"/>
  <c r="CL140" i="9"/>
  <c r="CC140" i="9"/>
  <c r="CD140" i="9"/>
  <c r="CH140" i="9"/>
  <c r="CF140" i="9"/>
  <c r="EV266" i="9"/>
  <c r="EV101" i="9"/>
  <c r="EV31" i="9"/>
  <c r="CQ455" i="9"/>
  <c r="CQ473" i="9" s="1"/>
  <c r="CQ474" i="9" s="1"/>
  <c r="CS475" i="9" s="1"/>
  <c r="CQ468" i="9"/>
  <c r="CS469" i="9" s="1"/>
  <c r="CS467" i="9" s="1"/>
  <c r="CX7" i="9"/>
  <c r="CO7" i="9"/>
  <c r="CP7" i="9" s="1"/>
  <c r="CN7" i="9"/>
  <c r="CX11" i="9"/>
  <c r="CO11" i="9"/>
  <c r="CP11" i="9" s="1"/>
  <c r="CN11" i="9"/>
  <c r="CX15" i="9"/>
  <c r="CO15" i="9"/>
  <c r="CP15" i="9" s="1"/>
  <c r="CN15" i="9"/>
  <c r="CX19" i="9"/>
  <c r="CO19" i="9"/>
  <c r="CP19" i="9" s="1"/>
  <c r="CN19" i="9"/>
  <c r="CX23" i="9"/>
  <c r="CO23" i="9"/>
  <c r="CP23" i="9" s="1"/>
  <c r="CN23" i="9"/>
  <c r="CX27" i="9"/>
  <c r="CO27" i="9"/>
  <c r="CP27" i="9" s="1"/>
  <c r="CN27" i="9"/>
  <c r="CX31" i="9"/>
  <c r="CO31" i="9"/>
  <c r="CP31" i="9" s="1"/>
  <c r="CN31" i="9"/>
  <c r="CX35" i="9"/>
  <c r="CO35" i="9"/>
  <c r="CP35" i="9" s="1"/>
  <c r="CN35" i="9"/>
  <c r="CX39" i="9"/>
  <c r="CO39" i="9"/>
  <c r="CP39" i="9" s="1"/>
  <c r="CN39" i="9"/>
  <c r="CX43" i="9"/>
  <c r="CO43" i="9"/>
  <c r="CP43" i="9" s="1"/>
  <c r="CN43" i="9"/>
  <c r="CX47" i="9"/>
  <c r="CO47" i="9"/>
  <c r="CP47" i="9" s="1"/>
  <c r="CN47" i="9"/>
  <c r="CX51" i="9"/>
  <c r="CO51" i="9"/>
  <c r="CP51" i="9" s="1"/>
  <c r="CN51" i="9"/>
  <c r="CX55" i="9"/>
  <c r="CO55" i="9"/>
  <c r="CP55" i="9" s="1"/>
  <c r="CN55" i="9"/>
  <c r="CX59" i="9"/>
  <c r="CO59" i="9"/>
  <c r="CP59" i="9" s="1"/>
  <c r="CN59" i="9"/>
  <c r="CX63" i="9"/>
  <c r="CO63" i="9"/>
  <c r="CP63" i="9" s="1"/>
  <c r="CN63" i="9"/>
  <c r="CO67" i="9"/>
  <c r="CP67" i="9" s="1"/>
  <c r="CN67" i="9"/>
  <c r="CX67" i="9"/>
  <c r="CO71" i="9"/>
  <c r="CP71" i="9" s="1"/>
  <c r="CN71" i="9"/>
  <c r="CX71" i="9"/>
  <c r="CO75" i="9"/>
  <c r="CP75" i="9" s="1"/>
  <c r="CN75" i="9"/>
  <c r="CX75" i="9"/>
  <c r="CO79" i="9"/>
  <c r="CP79" i="9" s="1"/>
  <c r="CN79" i="9"/>
  <c r="CX79" i="9"/>
  <c r="CO83" i="9"/>
  <c r="CP83" i="9" s="1"/>
  <c r="CN83" i="9"/>
  <c r="CX83" i="9"/>
  <c r="CO87" i="9"/>
  <c r="CP87" i="9" s="1"/>
  <c r="CN87" i="9"/>
  <c r="CX87" i="9"/>
  <c r="CO91" i="9"/>
  <c r="CP91" i="9" s="1"/>
  <c r="CN91" i="9"/>
  <c r="CX91" i="9"/>
  <c r="CO95" i="9"/>
  <c r="CP95" i="9" s="1"/>
  <c r="CN95" i="9"/>
  <c r="CX95" i="9"/>
  <c r="CO99" i="9"/>
  <c r="CP99" i="9" s="1"/>
  <c r="CN99" i="9"/>
  <c r="CX99" i="9"/>
  <c r="CO103" i="9"/>
  <c r="CP103" i="9" s="1"/>
  <c r="CN103" i="9"/>
  <c r="CX103" i="9"/>
  <c r="CO107" i="9"/>
  <c r="CP107" i="9" s="1"/>
  <c r="CN107" i="9"/>
  <c r="CX107" i="9"/>
  <c r="CO111" i="9"/>
  <c r="CP111" i="9" s="1"/>
  <c r="CN111" i="9"/>
  <c r="CX111" i="9"/>
  <c r="CO115" i="9"/>
  <c r="CP115" i="9" s="1"/>
  <c r="CN115" i="9"/>
  <c r="CX115" i="9"/>
  <c r="CO119" i="9"/>
  <c r="CP119" i="9" s="1"/>
  <c r="CN119" i="9"/>
  <c r="CX119" i="9"/>
  <c r="CO123" i="9"/>
  <c r="CP123" i="9" s="1"/>
  <c r="CN123" i="9"/>
  <c r="CX123" i="9"/>
  <c r="CO127" i="9"/>
  <c r="CP127" i="9" s="1"/>
  <c r="CN127" i="9"/>
  <c r="CX127" i="9"/>
  <c r="CO131" i="9"/>
  <c r="CP131" i="9" s="1"/>
  <c r="CN131" i="9"/>
  <c r="CX131" i="9"/>
  <c r="CX135" i="9"/>
  <c r="CO135" i="9"/>
  <c r="CP135" i="9" s="1"/>
  <c r="CN135" i="9"/>
  <c r="CX139" i="9"/>
  <c r="CO139" i="9"/>
  <c r="CP139" i="9" s="1"/>
  <c r="CN139" i="9"/>
  <c r="CX143" i="9"/>
  <c r="CO143" i="9"/>
  <c r="CP143" i="9" s="1"/>
  <c r="CN143" i="9"/>
  <c r="CX147" i="9"/>
  <c r="CO147" i="9"/>
  <c r="CP147" i="9" s="1"/>
  <c r="CN147" i="9"/>
  <c r="CX151" i="9"/>
  <c r="CO151" i="9"/>
  <c r="CP151" i="9" s="1"/>
  <c r="CN151" i="9"/>
  <c r="CX155" i="9"/>
  <c r="CO155" i="9"/>
  <c r="CP155" i="9" s="1"/>
  <c r="CN155" i="9"/>
  <c r="CO159" i="9"/>
  <c r="CP159" i="9" s="1"/>
  <c r="CN159" i="9"/>
  <c r="CX159" i="9"/>
  <c r="CO163" i="9"/>
  <c r="CP163" i="9" s="1"/>
  <c r="CN163" i="9"/>
  <c r="CX163" i="9"/>
  <c r="CO167" i="9"/>
  <c r="CP167" i="9" s="1"/>
  <c r="CN167" i="9"/>
  <c r="CX167" i="9"/>
  <c r="CO171" i="9"/>
  <c r="CP171" i="9" s="1"/>
  <c r="CN171" i="9"/>
  <c r="CX171" i="9"/>
  <c r="CO175" i="9"/>
  <c r="CP175" i="9" s="1"/>
  <c r="CN175" i="9"/>
  <c r="CX175" i="9"/>
  <c r="CO179" i="9"/>
  <c r="CP179" i="9" s="1"/>
  <c r="CN179" i="9"/>
  <c r="CX179" i="9"/>
  <c r="CO183" i="9"/>
  <c r="CP183" i="9" s="1"/>
  <c r="CN183" i="9"/>
  <c r="CX183" i="9"/>
  <c r="CO187" i="9"/>
  <c r="CP187" i="9" s="1"/>
  <c r="CN187" i="9"/>
  <c r="CX187" i="9"/>
  <c r="CO191" i="9"/>
  <c r="CP191" i="9" s="1"/>
  <c r="CN191" i="9"/>
  <c r="CX191" i="9"/>
  <c r="CO195" i="9"/>
  <c r="CP195" i="9" s="1"/>
  <c r="CN195" i="9"/>
  <c r="CX195" i="9"/>
  <c r="CO199" i="9"/>
  <c r="CP199" i="9" s="1"/>
  <c r="CN199" i="9"/>
  <c r="CX199" i="9"/>
  <c r="CO203" i="9"/>
  <c r="CP203" i="9" s="1"/>
  <c r="CN203" i="9"/>
  <c r="CX203" i="9"/>
  <c r="CX207" i="9"/>
  <c r="CO207" i="9"/>
  <c r="CP207" i="9" s="1"/>
  <c r="CN207" i="9"/>
  <c r="CX211" i="9"/>
  <c r="CO211" i="9"/>
  <c r="CP211" i="9" s="1"/>
  <c r="CN211" i="9"/>
  <c r="CX215" i="9"/>
  <c r="CO215" i="9"/>
  <c r="CP215" i="9" s="1"/>
  <c r="CN215" i="9"/>
  <c r="CX219" i="9"/>
  <c r="CO219" i="9"/>
  <c r="CP219" i="9" s="1"/>
  <c r="CN219" i="9"/>
  <c r="CX246" i="9"/>
  <c r="CO246" i="9"/>
  <c r="CP246" i="9" s="1"/>
  <c r="CN246" i="9"/>
  <c r="CX250" i="9"/>
  <c r="CO250" i="9"/>
  <c r="CP250" i="9" s="1"/>
  <c r="CN250" i="9"/>
  <c r="CX254" i="9"/>
  <c r="CO254" i="9"/>
  <c r="CP254" i="9" s="1"/>
  <c r="CN254" i="9"/>
  <c r="CX258" i="9"/>
  <c r="CO258" i="9"/>
  <c r="CP258" i="9" s="1"/>
  <c r="CN258" i="9"/>
  <c r="CX262" i="9"/>
  <c r="CO262" i="9"/>
  <c r="CP262" i="9" s="1"/>
  <c r="CN262" i="9"/>
  <c r="CX266" i="9"/>
  <c r="CO266" i="9"/>
  <c r="CP266" i="9" s="1"/>
  <c r="CN266" i="9"/>
  <c r="CX270" i="9"/>
  <c r="CO270" i="9"/>
  <c r="CP270" i="9" s="1"/>
  <c r="CN270" i="9"/>
  <c r="CX274" i="9"/>
  <c r="CO274" i="9"/>
  <c r="CP274" i="9" s="1"/>
  <c r="CN274" i="9"/>
  <c r="CX278" i="9"/>
  <c r="CO278" i="9"/>
  <c r="CP278" i="9" s="1"/>
  <c r="CN278" i="9"/>
  <c r="CO225" i="9"/>
  <c r="CP225" i="9" s="1"/>
  <c r="CN225" i="9"/>
  <c r="CX225" i="9"/>
  <c r="CO229" i="9"/>
  <c r="CP229" i="9" s="1"/>
  <c r="CN229" i="9"/>
  <c r="CX229" i="9"/>
  <c r="CO233" i="9"/>
  <c r="CP233" i="9" s="1"/>
  <c r="CN233" i="9"/>
  <c r="CX233" i="9"/>
  <c r="CO237" i="9"/>
  <c r="CP237" i="9" s="1"/>
  <c r="CN237" i="9"/>
  <c r="CX237" i="9"/>
  <c r="CO241" i="9"/>
  <c r="CP241" i="9" s="1"/>
  <c r="CN241" i="9"/>
  <c r="CX241" i="9"/>
  <c r="CO279" i="9"/>
  <c r="CP279" i="9" s="1"/>
  <c r="CN279" i="9"/>
  <c r="CX279" i="9"/>
  <c r="CO283" i="9"/>
  <c r="CP283" i="9" s="1"/>
  <c r="CX283" i="9"/>
  <c r="CN283" i="9"/>
  <c r="CO287" i="9"/>
  <c r="CP287" i="9" s="1"/>
  <c r="CX287" i="9"/>
  <c r="CN287" i="9"/>
  <c r="CO291" i="9"/>
  <c r="CP291" i="9" s="1"/>
  <c r="CX291" i="9"/>
  <c r="CN291" i="9"/>
  <c r="CO295" i="9"/>
  <c r="CP295" i="9" s="1"/>
  <c r="CX295" i="9"/>
  <c r="CN295" i="9"/>
  <c r="CO299" i="9"/>
  <c r="CP299" i="9" s="1"/>
  <c r="CX299" i="9"/>
  <c r="CN299" i="9"/>
  <c r="CO303" i="9"/>
  <c r="CP303" i="9" s="1"/>
  <c r="CX303" i="9"/>
  <c r="CN303" i="9"/>
  <c r="CO307" i="9"/>
  <c r="CP307" i="9" s="1"/>
  <c r="CX307" i="9"/>
  <c r="CN307" i="9"/>
  <c r="CO311" i="9"/>
  <c r="CP311" i="9" s="1"/>
  <c r="CX311" i="9"/>
  <c r="CN311" i="9"/>
  <c r="CO315" i="9"/>
  <c r="CP315" i="9" s="1"/>
  <c r="CN315" i="9"/>
  <c r="CX315" i="9"/>
  <c r="CO319" i="9"/>
  <c r="CP319" i="9" s="1"/>
  <c r="CN319" i="9"/>
  <c r="CX319" i="9"/>
  <c r="CN8" i="9"/>
  <c r="CX8" i="9"/>
  <c r="CO8" i="9"/>
  <c r="CP8" i="9" s="1"/>
  <c r="CN12" i="9"/>
  <c r="CX12" i="9"/>
  <c r="CO12" i="9"/>
  <c r="CP12" i="9" s="1"/>
  <c r="CN16" i="9"/>
  <c r="CX16" i="9"/>
  <c r="CO16" i="9"/>
  <c r="CP16" i="9" s="1"/>
  <c r="CN20" i="9"/>
  <c r="CX20" i="9"/>
  <c r="CO20" i="9"/>
  <c r="CP20" i="9" s="1"/>
  <c r="CN24" i="9"/>
  <c r="CX24" i="9"/>
  <c r="CO24" i="9"/>
  <c r="CP24" i="9" s="1"/>
  <c r="CN28" i="9"/>
  <c r="CX28" i="9"/>
  <c r="CO28" i="9"/>
  <c r="CP28" i="9" s="1"/>
  <c r="CN32" i="9"/>
  <c r="CX32" i="9"/>
  <c r="CO32" i="9"/>
  <c r="CP32" i="9" s="1"/>
  <c r="CN36" i="9"/>
  <c r="CX36" i="9"/>
  <c r="CO36" i="9"/>
  <c r="CP36" i="9" s="1"/>
  <c r="CN40" i="9"/>
  <c r="CX40" i="9"/>
  <c r="CO40" i="9"/>
  <c r="CP40" i="9" s="1"/>
  <c r="CN44" i="9"/>
  <c r="CX44" i="9"/>
  <c r="CO44" i="9"/>
  <c r="CP44" i="9" s="1"/>
  <c r="CN48" i="9"/>
  <c r="CX48" i="9"/>
  <c r="CO48" i="9"/>
  <c r="CP48" i="9" s="1"/>
  <c r="CN52" i="9"/>
  <c r="CX52" i="9"/>
  <c r="CO52" i="9"/>
  <c r="CP52" i="9" s="1"/>
  <c r="CN56" i="9"/>
  <c r="CX56" i="9"/>
  <c r="CO56" i="9"/>
  <c r="CP56" i="9" s="1"/>
  <c r="CN60" i="9"/>
  <c r="CX60" i="9"/>
  <c r="CO60" i="9"/>
  <c r="CP60" i="9" s="1"/>
  <c r="CN64" i="9"/>
  <c r="CX64" i="9"/>
  <c r="CO64" i="9"/>
  <c r="CP64" i="9" s="1"/>
  <c r="CX68" i="9"/>
  <c r="CO68" i="9"/>
  <c r="CP68" i="9" s="1"/>
  <c r="CN68" i="9"/>
  <c r="CX72" i="9"/>
  <c r="CO72" i="9"/>
  <c r="CP72" i="9" s="1"/>
  <c r="CN72" i="9"/>
  <c r="CX76" i="9"/>
  <c r="CO76" i="9"/>
  <c r="CP76" i="9" s="1"/>
  <c r="CN76" i="9"/>
  <c r="CX80" i="9"/>
  <c r="CO80" i="9"/>
  <c r="CP80" i="9" s="1"/>
  <c r="CN80" i="9"/>
  <c r="CX84" i="9"/>
  <c r="CO84" i="9"/>
  <c r="CP84" i="9" s="1"/>
  <c r="CN84" i="9"/>
  <c r="CX88" i="9"/>
  <c r="CO88" i="9"/>
  <c r="CP88" i="9" s="1"/>
  <c r="CN88" i="9"/>
  <c r="CX92" i="9"/>
  <c r="CO92" i="9"/>
  <c r="CP92" i="9" s="1"/>
  <c r="CN92" i="9"/>
  <c r="CX96" i="9"/>
  <c r="CO96" i="9"/>
  <c r="CP96" i="9" s="1"/>
  <c r="CN96" i="9"/>
  <c r="CX100" i="9"/>
  <c r="CO100" i="9"/>
  <c r="CP100" i="9" s="1"/>
  <c r="CN100" i="9"/>
  <c r="CX104" i="9"/>
  <c r="CO104" i="9"/>
  <c r="CP104" i="9" s="1"/>
  <c r="CN104" i="9"/>
  <c r="CX108" i="9"/>
  <c r="CO108" i="9"/>
  <c r="CP108" i="9" s="1"/>
  <c r="CN108" i="9"/>
  <c r="CX112" i="9"/>
  <c r="CO112" i="9"/>
  <c r="CP112" i="9" s="1"/>
  <c r="CN112" i="9"/>
  <c r="CX116" i="9"/>
  <c r="CO116" i="9"/>
  <c r="CP116" i="9" s="1"/>
  <c r="CN116" i="9"/>
  <c r="CX120" i="9"/>
  <c r="CO120" i="9"/>
  <c r="CP120" i="9" s="1"/>
  <c r="CN120" i="9"/>
  <c r="CX124" i="9"/>
  <c r="CO124" i="9"/>
  <c r="CP124" i="9" s="1"/>
  <c r="CN124" i="9"/>
  <c r="CX128" i="9"/>
  <c r="CO128" i="9"/>
  <c r="CP128" i="9" s="1"/>
  <c r="CN128" i="9"/>
  <c r="CX132" i="9"/>
  <c r="CO132" i="9"/>
  <c r="CP132" i="9" s="1"/>
  <c r="CN132" i="9"/>
  <c r="CN136" i="9"/>
  <c r="CX136" i="9"/>
  <c r="CO136" i="9"/>
  <c r="CP136" i="9" s="1"/>
  <c r="CN140" i="9"/>
  <c r="CX140" i="9"/>
  <c r="CO140" i="9"/>
  <c r="CP140" i="9" s="1"/>
  <c r="CN144" i="9"/>
  <c r="CX144" i="9"/>
  <c r="CO144" i="9"/>
  <c r="CP144" i="9" s="1"/>
  <c r="CN148" i="9"/>
  <c r="CX148" i="9"/>
  <c r="CO148" i="9"/>
  <c r="CP148" i="9" s="1"/>
  <c r="CN152" i="9"/>
  <c r="CX152" i="9"/>
  <c r="CO152" i="9"/>
  <c r="CP152" i="9" s="1"/>
  <c r="CN156" i="9"/>
  <c r="CX156" i="9"/>
  <c r="CO156" i="9"/>
  <c r="CP156" i="9" s="1"/>
  <c r="CX160" i="9"/>
  <c r="CO160" i="9"/>
  <c r="CP160" i="9" s="1"/>
  <c r="CN160" i="9"/>
  <c r="CX164" i="9"/>
  <c r="CO164" i="9"/>
  <c r="CP164" i="9" s="1"/>
  <c r="CN164" i="9"/>
  <c r="CX168" i="9"/>
  <c r="CO168" i="9"/>
  <c r="CP168" i="9" s="1"/>
  <c r="CN168" i="9"/>
  <c r="CX172" i="9"/>
  <c r="CO172" i="9"/>
  <c r="CP172" i="9" s="1"/>
  <c r="CN172" i="9"/>
  <c r="CX176" i="9"/>
  <c r="CO176" i="9"/>
  <c r="CP176" i="9" s="1"/>
  <c r="CN176" i="9"/>
  <c r="CX180" i="9"/>
  <c r="CO180" i="9"/>
  <c r="CP180" i="9" s="1"/>
  <c r="CN180" i="9"/>
  <c r="CX184" i="9"/>
  <c r="CO184" i="9"/>
  <c r="CP184" i="9" s="1"/>
  <c r="CN184" i="9"/>
  <c r="CX188" i="9"/>
  <c r="CO188" i="9"/>
  <c r="CP188" i="9" s="1"/>
  <c r="CN188" i="9"/>
  <c r="CX192" i="9"/>
  <c r="CO192" i="9"/>
  <c r="CP192" i="9" s="1"/>
  <c r="CN192" i="9"/>
  <c r="CX196" i="9"/>
  <c r="CO196" i="9"/>
  <c r="CP196" i="9" s="1"/>
  <c r="CN196" i="9"/>
  <c r="CX200" i="9"/>
  <c r="CO200" i="9"/>
  <c r="CP200" i="9" s="1"/>
  <c r="CN200" i="9"/>
  <c r="CX204" i="9"/>
  <c r="CO204" i="9"/>
  <c r="CP204" i="9" s="1"/>
  <c r="CN204" i="9"/>
  <c r="CN208" i="9"/>
  <c r="CX208" i="9"/>
  <c r="CO208" i="9"/>
  <c r="CP208" i="9" s="1"/>
  <c r="CN212" i="9"/>
  <c r="CX212" i="9"/>
  <c r="CO212" i="9"/>
  <c r="CP212" i="9" s="1"/>
  <c r="CN216" i="9"/>
  <c r="CX216" i="9"/>
  <c r="CO216" i="9"/>
  <c r="CP216" i="9" s="1"/>
  <c r="CN220" i="9"/>
  <c r="CX220" i="9"/>
  <c r="CO220" i="9"/>
  <c r="CP220" i="9" s="1"/>
  <c r="CN247" i="9"/>
  <c r="CX247" i="9"/>
  <c r="CO247" i="9"/>
  <c r="CP247" i="9" s="1"/>
  <c r="CN251" i="9"/>
  <c r="CX251" i="9"/>
  <c r="CO251" i="9"/>
  <c r="CP251" i="9" s="1"/>
  <c r="CN255" i="9"/>
  <c r="CX255" i="9"/>
  <c r="CO255" i="9"/>
  <c r="CP255" i="9" s="1"/>
  <c r="CN259" i="9"/>
  <c r="CX259" i="9"/>
  <c r="CO259" i="9"/>
  <c r="CP259" i="9" s="1"/>
  <c r="CN263" i="9"/>
  <c r="CX263" i="9"/>
  <c r="CO263" i="9"/>
  <c r="CP263" i="9" s="1"/>
  <c r="CN267" i="9"/>
  <c r="CX267" i="9"/>
  <c r="CO267" i="9"/>
  <c r="CP267" i="9" s="1"/>
  <c r="CN271" i="9"/>
  <c r="CX271" i="9"/>
  <c r="CO271" i="9"/>
  <c r="CP271" i="9" s="1"/>
  <c r="CN275" i="9"/>
  <c r="CX275" i="9"/>
  <c r="CO275" i="9"/>
  <c r="CP275" i="9" s="1"/>
  <c r="CX222" i="9"/>
  <c r="CO222" i="9"/>
  <c r="CP222" i="9" s="1"/>
  <c r="CN222" i="9"/>
  <c r="CX226" i="9"/>
  <c r="CO226" i="9"/>
  <c r="CP226" i="9" s="1"/>
  <c r="CN226" i="9"/>
  <c r="CX230" i="9"/>
  <c r="CO230" i="9"/>
  <c r="CP230" i="9" s="1"/>
  <c r="CN230" i="9"/>
  <c r="CX234" i="9"/>
  <c r="CO234" i="9"/>
  <c r="CP234" i="9" s="1"/>
  <c r="CN234" i="9"/>
  <c r="CX238" i="9"/>
  <c r="CO238" i="9"/>
  <c r="CP238" i="9" s="1"/>
  <c r="CN238" i="9"/>
  <c r="CX242" i="9"/>
  <c r="CO242" i="9"/>
  <c r="CP242" i="9" s="1"/>
  <c r="CN242" i="9"/>
  <c r="CN280" i="9"/>
  <c r="CO280" i="9"/>
  <c r="CP280" i="9" s="1"/>
  <c r="CX280" i="9"/>
  <c r="CN284" i="9"/>
  <c r="CO284" i="9"/>
  <c r="CP284" i="9" s="1"/>
  <c r="CX284" i="9"/>
  <c r="CN288" i="9"/>
  <c r="CO288" i="9"/>
  <c r="CP288" i="9" s="1"/>
  <c r="CX288" i="9"/>
  <c r="CN292" i="9"/>
  <c r="CO292" i="9"/>
  <c r="CP292" i="9" s="1"/>
  <c r="CX292" i="9"/>
  <c r="CN296" i="9"/>
  <c r="CO296" i="9"/>
  <c r="CP296" i="9" s="1"/>
  <c r="CX296" i="9"/>
  <c r="CN300" i="9"/>
  <c r="CO300" i="9"/>
  <c r="CP300" i="9" s="1"/>
  <c r="CX300" i="9"/>
  <c r="CN304" i="9"/>
  <c r="CO304" i="9"/>
  <c r="CP304" i="9" s="1"/>
  <c r="CX304" i="9"/>
  <c r="CN308" i="9"/>
  <c r="CO308" i="9"/>
  <c r="CP308" i="9" s="1"/>
  <c r="CX308" i="9"/>
  <c r="CN312" i="9"/>
  <c r="CO312" i="9"/>
  <c r="CP312" i="9" s="1"/>
  <c r="CX312" i="9"/>
  <c r="CX316" i="9"/>
  <c r="CO316" i="9"/>
  <c r="CP316" i="9" s="1"/>
  <c r="CN316" i="9"/>
  <c r="EV64" i="9"/>
  <c r="EV8" i="9"/>
  <c r="CA228" i="9"/>
  <c r="CC228" i="9"/>
  <c r="CL228" i="9"/>
  <c r="CH228" i="9"/>
  <c r="CD228" i="9"/>
  <c r="CF147" i="9"/>
  <c r="EV48" i="9"/>
  <c r="CC227" i="9"/>
  <c r="CL227" i="9"/>
  <c r="CA227" i="9"/>
  <c r="CH227" i="9"/>
  <c r="CD227" i="9"/>
  <c r="CF227" i="9"/>
  <c r="CA90" i="9"/>
  <c r="CC90" i="9"/>
  <c r="CL90" i="9"/>
  <c r="CD90" i="9"/>
  <c r="CH90" i="9"/>
  <c r="CF90" i="9"/>
  <c r="CL208" i="9"/>
  <c r="CC208" i="9"/>
  <c r="CA208" i="9"/>
  <c r="CD208" i="9"/>
  <c r="CH208" i="9"/>
  <c r="AT462" i="9"/>
  <c r="CC251" i="9"/>
  <c r="CL251" i="9"/>
  <c r="CA251" i="9"/>
  <c r="CD251" i="9"/>
  <c r="CH251" i="9"/>
  <c r="CF251" i="9"/>
  <c r="CA117" i="9"/>
  <c r="CC117" i="9"/>
  <c r="CL117" i="9"/>
  <c r="CD117" i="9"/>
  <c r="CH117" i="9"/>
  <c r="CF117" i="9"/>
  <c r="CL138" i="9"/>
  <c r="CC138" i="9"/>
  <c r="CA138" i="9"/>
  <c r="CD138" i="9"/>
  <c r="CH138" i="9"/>
  <c r="CF138" i="9"/>
  <c r="CL150" i="9"/>
  <c r="CC150" i="9"/>
  <c r="CA150" i="9"/>
  <c r="CD150" i="9"/>
  <c r="CH150" i="9"/>
  <c r="CF29" i="9"/>
  <c r="CF146" i="9"/>
  <c r="CC81" i="9"/>
  <c r="CL81" i="9"/>
  <c r="CA81" i="9"/>
  <c r="CD81" i="9"/>
  <c r="CH81" i="9"/>
  <c r="CC105" i="9"/>
  <c r="CL105" i="9"/>
  <c r="CA105" i="9"/>
  <c r="CD105" i="9"/>
  <c r="CH105" i="9"/>
  <c r="CF154" i="9"/>
  <c r="EV180" i="9"/>
  <c r="CL10" i="9"/>
  <c r="CC10" i="9"/>
  <c r="CB324" i="9"/>
  <c r="CA10" i="9"/>
  <c r="CH10" i="9"/>
  <c r="CD10" i="9"/>
  <c r="CF10" i="9"/>
  <c r="CF274" i="9"/>
  <c r="CA21" i="9"/>
  <c r="CL21" i="9"/>
  <c r="CC21" i="9"/>
  <c r="CH21" i="9"/>
  <c r="CD21" i="9"/>
  <c r="CA42" i="9"/>
  <c r="CL42" i="9"/>
  <c r="CC42" i="9"/>
  <c r="CD42" i="9"/>
  <c r="CH42" i="9"/>
  <c r="CF42" i="9"/>
  <c r="CF41" i="9"/>
  <c r="CC309" i="9"/>
  <c r="CL309" i="9"/>
  <c r="CA309" i="9"/>
  <c r="CD309" i="9"/>
  <c r="CH309" i="9"/>
  <c r="CF309" i="9"/>
  <c r="CL207" i="9"/>
  <c r="CC207" i="9"/>
  <c r="CA207" i="9"/>
  <c r="CH207" i="9"/>
  <c r="CD207" i="9"/>
  <c r="CF207" i="9"/>
  <c r="EV308" i="9"/>
  <c r="CF53" i="9"/>
  <c r="CA176" i="9"/>
  <c r="CC176" i="9"/>
  <c r="CL176" i="9"/>
  <c r="CH176" i="9"/>
  <c r="CD176" i="9"/>
  <c r="CF252" i="9"/>
  <c r="CC241" i="9"/>
  <c r="CL241" i="9"/>
  <c r="CA241" i="9"/>
  <c r="CH241" i="9"/>
  <c r="CD241" i="9"/>
  <c r="CF241" i="9"/>
  <c r="EV225" i="9"/>
  <c r="BF394" i="9"/>
  <c r="EV215" i="9"/>
  <c r="EV315" i="9"/>
  <c r="DH348" i="9"/>
  <c r="DJ440" i="9" s="1"/>
  <c r="DI440" i="9" s="1"/>
  <c r="EC179" i="9"/>
  <c r="ED179" i="9" s="1"/>
  <c r="EG300" i="9"/>
  <c r="EC197" i="9"/>
  <c r="ED197" i="9" s="1"/>
  <c r="EG179" i="9"/>
  <c r="EC300" i="9"/>
  <c r="ED300" i="9" s="1"/>
  <c r="EG197" i="9"/>
  <c r="EB256" i="9"/>
  <c r="EK256" i="9"/>
  <c r="DZ256" i="9"/>
  <c r="EK280" i="9"/>
  <c r="DZ280" i="9"/>
  <c r="EB280" i="9"/>
  <c r="EB201" i="9"/>
  <c r="EK201" i="9"/>
  <c r="DZ201" i="9"/>
  <c r="EB219" i="9"/>
  <c r="EK219" i="9"/>
  <c r="DZ219" i="9"/>
  <c r="EB211" i="9"/>
  <c r="EK211" i="9"/>
  <c r="DZ211" i="9"/>
  <c r="EK298" i="9"/>
  <c r="DZ298" i="9"/>
  <c r="EB298" i="9"/>
  <c r="EB225" i="9"/>
  <c r="EK225" i="9"/>
  <c r="DZ225" i="9"/>
  <c r="EA306" i="9"/>
  <c r="EE262" i="9"/>
  <c r="EB262" i="9"/>
  <c r="EK262" i="9"/>
  <c r="DZ262" i="9"/>
  <c r="EK315" i="9"/>
  <c r="EB315" i="9"/>
  <c r="DZ315" i="9"/>
  <c r="DZ215" i="9"/>
  <c r="EB215" i="9"/>
  <c r="EK215" i="9"/>
  <c r="EB235" i="9"/>
  <c r="EK235" i="9"/>
  <c r="DZ235" i="9"/>
  <c r="DZ155" i="9"/>
  <c r="EB155" i="9"/>
  <c r="EK155" i="9"/>
  <c r="EK205" i="9"/>
  <c r="DZ205" i="9"/>
  <c r="EB205" i="9"/>
  <c r="DZ258" i="9"/>
  <c r="EB258" i="9"/>
  <c r="EK258" i="9"/>
  <c r="EK167" i="9"/>
  <c r="DZ167" i="9"/>
  <c r="EB167" i="9"/>
  <c r="EB209" i="9"/>
  <c r="EK209" i="9"/>
  <c r="DZ209" i="9"/>
  <c r="EB237" i="9"/>
  <c r="EK237" i="9"/>
  <c r="DZ237" i="9"/>
  <c r="EB292" i="9"/>
  <c r="EK292" i="9"/>
  <c r="DZ292" i="9"/>
  <c r="EC51" i="9"/>
  <c r="ED51" i="9" s="1"/>
  <c r="EB40" i="9"/>
  <c r="EK40" i="9"/>
  <c r="DZ40" i="9"/>
  <c r="DZ62" i="9"/>
  <c r="EB62" i="9"/>
  <c r="DZ267" i="9"/>
  <c r="EB267" i="9"/>
  <c r="EK267" i="9"/>
  <c r="EE210" i="9"/>
  <c r="EV210" i="9" s="1"/>
  <c r="DZ210" i="9"/>
  <c r="EB210" i="9"/>
  <c r="EK210" i="9"/>
  <c r="EB91" i="9"/>
  <c r="EK91" i="9"/>
  <c r="DZ91" i="9"/>
  <c r="EB249" i="9"/>
  <c r="EK249" i="9"/>
  <c r="DZ249" i="9"/>
  <c r="EE45" i="9"/>
  <c r="EV45" i="9" s="1"/>
  <c r="EB45" i="9"/>
  <c r="DZ45" i="9"/>
  <c r="DZ136" i="9"/>
  <c r="EB136" i="9"/>
  <c r="EK136" i="9"/>
  <c r="EB311" i="9"/>
  <c r="EK311" i="9"/>
  <c r="DZ311" i="9"/>
  <c r="EE11" i="9"/>
  <c r="EV11" i="9" s="1"/>
  <c r="DZ11" i="9"/>
  <c r="EB11" i="9"/>
  <c r="EK11" i="9"/>
  <c r="EK198" i="9"/>
  <c r="DZ198" i="9"/>
  <c r="EB198" i="9"/>
  <c r="EE72" i="9"/>
  <c r="EV72" i="9" s="1"/>
  <c r="DZ72" i="9"/>
  <c r="EB72" i="9"/>
  <c r="DZ35" i="9"/>
  <c r="EB35" i="9"/>
  <c r="DZ273" i="9"/>
  <c r="EB273" i="9"/>
  <c r="EK273" i="9"/>
  <c r="DZ61" i="9"/>
  <c r="EB61" i="9"/>
  <c r="DZ80" i="9"/>
  <c r="EB80" i="9"/>
  <c r="EB54" i="9"/>
  <c r="DZ54" i="9"/>
  <c r="EB56" i="9"/>
  <c r="DZ56" i="9"/>
  <c r="EK101" i="9"/>
  <c r="DZ101" i="9"/>
  <c r="EB101" i="9"/>
  <c r="EB39" i="9"/>
  <c r="EK39" i="9"/>
  <c r="DZ39" i="9"/>
  <c r="DZ218" i="9"/>
  <c r="EB218" i="9"/>
  <c r="EK218" i="9"/>
  <c r="DZ64" i="9"/>
  <c r="EB64" i="9"/>
  <c r="EK64" i="9"/>
  <c r="EK168" i="9"/>
  <c r="DZ168" i="9"/>
  <c r="EB168" i="9"/>
  <c r="DZ133" i="9"/>
  <c r="EB133" i="9"/>
  <c r="EK133" i="9"/>
  <c r="EB88" i="9"/>
  <c r="EK88" i="9"/>
  <c r="DZ88" i="9"/>
  <c r="EB271" i="9"/>
  <c r="EK271" i="9"/>
  <c r="DZ271" i="9"/>
  <c r="EB204" i="9"/>
  <c r="EK204" i="9"/>
  <c r="DZ204" i="9"/>
  <c r="EK126" i="9"/>
  <c r="DZ126" i="9"/>
  <c r="EB126" i="9"/>
  <c r="DZ8" i="9"/>
  <c r="EB8" i="9"/>
  <c r="EK8" i="9"/>
  <c r="EK125" i="9"/>
  <c r="DZ125" i="9"/>
  <c r="EB125" i="9"/>
  <c r="EK303" i="9"/>
  <c r="DZ303" i="9"/>
  <c r="EB303" i="9"/>
  <c r="EK107" i="9"/>
  <c r="DZ107" i="9"/>
  <c r="EB107" i="9"/>
  <c r="EB293" i="9"/>
  <c r="EK293" i="9"/>
  <c r="DZ293" i="9"/>
  <c r="EE27" i="9"/>
  <c r="EV27" i="9" s="1"/>
  <c r="EB27" i="9"/>
  <c r="DZ27" i="9"/>
  <c r="EB124" i="9"/>
  <c r="EK124" i="9"/>
  <c r="DZ124" i="9"/>
  <c r="EB180" i="9"/>
  <c r="EK180" i="9"/>
  <c r="DZ180" i="9"/>
  <c r="EB142" i="9"/>
  <c r="EK142" i="9"/>
  <c r="DZ142" i="9"/>
  <c r="EB87" i="9"/>
  <c r="EK87" i="9"/>
  <c r="DZ87" i="9"/>
  <c r="DZ19" i="9"/>
  <c r="EB19" i="9"/>
  <c r="EB24" i="9"/>
  <c r="DZ24" i="9"/>
  <c r="EK85" i="9"/>
  <c r="DZ85" i="9"/>
  <c r="EB85" i="9"/>
  <c r="EK97" i="9"/>
  <c r="DZ97" i="9"/>
  <c r="EB97" i="9"/>
  <c r="EB65" i="9"/>
  <c r="EK65" i="9"/>
  <c r="DZ65" i="9"/>
  <c r="EB31" i="9"/>
  <c r="EK31" i="9"/>
  <c r="DZ31" i="9"/>
  <c r="DY457" i="9"/>
  <c r="DY332" i="9"/>
  <c r="EE107" i="9"/>
  <c r="EV107" i="9" s="1"/>
  <c r="EE237" i="9"/>
  <c r="EV237" i="9" s="1"/>
  <c r="BY382" i="9"/>
  <c r="CG399" i="9"/>
  <c r="BW370" i="9"/>
  <c r="BW394" i="9" s="1"/>
  <c r="CB460" i="9"/>
  <c r="CB455" i="9"/>
  <c r="BZ476" i="9"/>
  <c r="BU146" i="14"/>
  <c r="EE287" i="9"/>
  <c r="EV287" i="9" s="1"/>
  <c r="AT452" i="9"/>
  <c r="EE149" i="9"/>
  <c r="EE295" i="9"/>
  <c r="EV295" i="9" s="1"/>
  <c r="CA182" i="9"/>
  <c r="CC182" i="9"/>
  <c r="CL182" i="9"/>
  <c r="CH182" i="9"/>
  <c r="CD182" i="9"/>
  <c r="CA37" i="9"/>
  <c r="CL37" i="9"/>
  <c r="CC37" i="9"/>
  <c r="CD37" i="9"/>
  <c r="CH37" i="9"/>
  <c r="CC200" i="9"/>
  <c r="CL200" i="9"/>
  <c r="CA200" i="9"/>
  <c r="CH200" i="9"/>
  <c r="CD200" i="9"/>
  <c r="CF200" i="9"/>
  <c r="EE88" i="9"/>
  <c r="EV88" i="9" s="1"/>
  <c r="CA183" i="9"/>
  <c r="CC183" i="9"/>
  <c r="CL183" i="9"/>
  <c r="CD183" i="9"/>
  <c r="CH183" i="9"/>
  <c r="CF183" i="9"/>
  <c r="CA135" i="9"/>
  <c r="CL135" i="9"/>
  <c r="CC135" i="9"/>
  <c r="CD135" i="9"/>
  <c r="CH135" i="9"/>
  <c r="CF135" i="9"/>
  <c r="EE163" i="9"/>
  <c r="EV163" i="9" s="1"/>
  <c r="CF259" i="9"/>
  <c r="CC165" i="9"/>
  <c r="CL165" i="9"/>
  <c r="CA165" i="9"/>
  <c r="CH165" i="9"/>
  <c r="CD165" i="9"/>
  <c r="BK457" i="9"/>
  <c r="EE112" i="9"/>
  <c r="EV112" i="9" s="1"/>
  <c r="EE59" i="9"/>
  <c r="EV59" i="9" s="1"/>
  <c r="BN382" i="9"/>
  <c r="BM382" i="9" s="1"/>
  <c r="CF291" i="9"/>
  <c r="CC203" i="9"/>
  <c r="CL203" i="9"/>
  <c r="CA203" i="9"/>
  <c r="CH203" i="9"/>
  <c r="CD203" i="9"/>
  <c r="CF203" i="9"/>
  <c r="CL145" i="9"/>
  <c r="CC145" i="9"/>
  <c r="CA145" i="9"/>
  <c r="CH145" i="9"/>
  <c r="CD145" i="9"/>
  <c r="CF145" i="9"/>
  <c r="CL276" i="9"/>
  <c r="CA276" i="9"/>
  <c r="CC276" i="9"/>
  <c r="CH276" i="9"/>
  <c r="CD276" i="9"/>
  <c r="CF304" i="9"/>
  <c r="CC194" i="9"/>
  <c r="CL194" i="9"/>
  <c r="CA194" i="9"/>
  <c r="CD194" i="9"/>
  <c r="CH194" i="9"/>
  <c r="CF150" i="9"/>
  <c r="CF213" i="9"/>
  <c r="CA296" i="9"/>
  <c r="CC296" i="9"/>
  <c r="CL296" i="9"/>
  <c r="CH296" i="9"/>
  <c r="CD296" i="9"/>
  <c r="CF286" i="9"/>
  <c r="BS332" i="9"/>
  <c r="BL332" i="9"/>
  <c r="EE235" i="9"/>
  <c r="EV235" i="9" s="1"/>
  <c r="CF118" i="9"/>
  <c r="CL55" i="9"/>
  <c r="CC55" i="9"/>
  <c r="CA55" i="9"/>
  <c r="CD55" i="9"/>
  <c r="CH55" i="9"/>
  <c r="CF55" i="9"/>
  <c r="CF86" i="9"/>
  <c r="CL264" i="9"/>
  <c r="CA264" i="9"/>
  <c r="CC264" i="9"/>
  <c r="CD264" i="9"/>
  <c r="CH264" i="9"/>
  <c r="CF264" i="9"/>
  <c r="CA92" i="9"/>
  <c r="CC92" i="9"/>
  <c r="CL92" i="9"/>
  <c r="CH92" i="9"/>
  <c r="CD92" i="9"/>
  <c r="CF92" i="9"/>
  <c r="CA76" i="9"/>
  <c r="CC76" i="9"/>
  <c r="CL76" i="9"/>
  <c r="CD76" i="9"/>
  <c r="CH76" i="9"/>
  <c r="CF76" i="9"/>
  <c r="CF222" i="9"/>
  <c r="EE268" i="9"/>
  <c r="EV268" i="9" s="1"/>
  <c r="DB320" i="9"/>
  <c r="DB332" i="9"/>
  <c r="CK348" i="9"/>
  <c r="EE261" i="9"/>
  <c r="EV261" i="9" s="1"/>
  <c r="BX133" i="14"/>
  <c r="BS146" i="14"/>
  <c r="BP167" i="14"/>
  <c r="AM154" i="14"/>
  <c r="EE204" i="9"/>
  <c r="EV204" i="9" s="1"/>
  <c r="EE136" i="9"/>
  <c r="AZ154" i="14"/>
  <c r="EE125" i="9"/>
  <c r="EV125" i="9" s="1"/>
  <c r="EE158" i="9"/>
  <c r="EV158" i="9" s="1"/>
  <c r="EE260" i="9"/>
  <c r="EV260" i="9" s="1"/>
  <c r="EE216" i="9"/>
  <c r="EV216" i="9" s="1"/>
  <c r="EE19" i="9"/>
  <c r="EV19" i="9" s="1"/>
  <c r="CQ450" i="9"/>
  <c r="BM388" i="9"/>
  <c r="AV388" i="9"/>
  <c r="AV389" i="9"/>
  <c r="BC326" i="9"/>
  <c r="AT326" i="9"/>
  <c r="AR326" i="9"/>
  <c r="AZ401" i="9"/>
  <c r="AW372" i="9"/>
  <c r="BD326" i="9"/>
  <c r="AO372" i="9"/>
  <c r="AQ372" i="9"/>
  <c r="AY401" i="9"/>
  <c r="AU372" i="9"/>
  <c r="AY406" i="9"/>
  <c r="AU377" i="9"/>
  <c r="AO377" i="9"/>
  <c r="BC331" i="9"/>
  <c r="AT331" i="9"/>
  <c r="AZ406" i="9"/>
  <c r="AQ377" i="9"/>
  <c r="AW377" i="9"/>
  <c r="AR331" i="9"/>
  <c r="BD331" i="9"/>
  <c r="BK326" i="9"/>
  <c r="BI326" i="9"/>
  <c r="BL372" i="9"/>
  <c r="BT326" i="9"/>
  <c r="BQ401" i="9"/>
  <c r="BF372" i="9"/>
  <c r="BU326" i="9"/>
  <c r="BN372" i="9"/>
  <c r="BH372" i="9"/>
  <c r="BP401" i="9"/>
  <c r="BF375" i="9"/>
  <c r="BK329" i="9"/>
  <c r="BP404" i="9"/>
  <c r="BQ404" i="9"/>
  <c r="BH375" i="9"/>
  <c r="BN375" i="9"/>
  <c r="BL375" i="9"/>
  <c r="BU329" i="9"/>
  <c r="BI329" i="9"/>
  <c r="BT329" i="9"/>
  <c r="AZ405" i="9"/>
  <c r="AQ376" i="9"/>
  <c r="AW376" i="9"/>
  <c r="AR330" i="9"/>
  <c r="AT330" i="9"/>
  <c r="AY405" i="9"/>
  <c r="AU376" i="9"/>
  <c r="AO376" i="9"/>
  <c r="BC330" i="9"/>
  <c r="BD330" i="9"/>
  <c r="BC334" i="9"/>
  <c r="AT334" i="9"/>
  <c r="AZ409" i="9"/>
  <c r="AW380" i="9"/>
  <c r="AR334" i="9"/>
  <c r="AS334" i="9" s="1"/>
  <c r="AQ380" i="9"/>
  <c r="AY409" i="9"/>
  <c r="AO380" i="9"/>
  <c r="AU380" i="9"/>
  <c r="BD334" i="9"/>
  <c r="AZ402" i="9"/>
  <c r="AW373" i="9"/>
  <c r="AT327" i="9"/>
  <c r="BC327" i="9"/>
  <c r="AR327" i="9"/>
  <c r="AQ373" i="9"/>
  <c r="AO373" i="9"/>
  <c r="BD327" i="9"/>
  <c r="AU373" i="9"/>
  <c r="AY402" i="9"/>
  <c r="BI335" i="9"/>
  <c r="BJ335" i="9" s="1"/>
  <c r="BT335" i="9"/>
  <c r="BK335" i="9"/>
  <c r="BU335" i="9"/>
  <c r="BL381" i="9"/>
  <c r="BQ410" i="9"/>
  <c r="BH381" i="9"/>
  <c r="BP410" i="9"/>
  <c r="BN381" i="9"/>
  <c r="BF381" i="9"/>
  <c r="BP405" i="9"/>
  <c r="BQ405" i="9"/>
  <c r="BH376" i="9"/>
  <c r="BN376" i="9"/>
  <c r="BL376" i="9"/>
  <c r="BU330" i="9"/>
  <c r="BI330" i="9"/>
  <c r="BT330" i="9"/>
  <c r="BF376" i="9"/>
  <c r="BK330" i="9"/>
  <c r="CH418" i="9"/>
  <c r="BY389" i="9"/>
  <c r="CE389" i="9"/>
  <c r="BW389" i="9"/>
  <c r="CB343" i="9"/>
  <c r="CG418" i="9"/>
  <c r="CC389" i="9"/>
  <c r="CL343" i="9"/>
  <c r="BZ343" i="9"/>
  <c r="CK343" i="9"/>
  <c r="AZ410" i="9"/>
  <c r="AW381" i="9"/>
  <c r="AR335" i="9"/>
  <c r="AS335" i="9" s="1"/>
  <c r="AT335" i="9"/>
  <c r="BC335" i="9"/>
  <c r="BD335" i="9"/>
  <c r="AO381" i="9"/>
  <c r="AU381" i="9"/>
  <c r="AY410" i="9"/>
  <c r="AQ381" i="9"/>
  <c r="BM389" i="9"/>
  <c r="CD387" i="9"/>
  <c r="BC337" i="9"/>
  <c r="AT337" i="9"/>
  <c r="AU337" i="9" s="1"/>
  <c r="AZ412" i="9"/>
  <c r="AW383" i="9"/>
  <c r="AR337" i="9"/>
  <c r="AS337" i="9" s="1"/>
  <c r="AU383" i="9"/>
  <c r="AO383" i="9"/>
  <c r="BD337" i="9"/>
  <c r="BB337" i="9" s="1"/>
  <c r="AQ383" i="9"/>
  <c r="AY412" i="9"/>
  <c r="BK334" i="9"/>
  <c r="BI334" i="9"/>
  <c r="BJ334" i="9" s="1"/>
  <c r="BT334" i="9"/>
  <c r="BL380" i="9"/>
  <c r="BU334" i="9"/>
  <c r="BQ409" i="9"/>
  <c r="BH380" i="9"/>
  <c r="BP409" i="9"/>
  <c r="BN380" i="9"/>
  <c r="BF380" i="9"/>
  <c r="BI327" i="9"/>
  <c r="BK327" i="9"/>
  <c r="BQ402" i="9"/>
  <c r="BT327" i="9"/>
  <c r="BL373" i="9"/>
  <c r="BF373" i="9"/>
  <c r="BU327" i="9"/>
  <c r="BN373" i="9"/>
  <c r="BH373" i="9"/>
  <c r="BP402" i="9"/>
  <c r="BF377" i="9"/>
  <c r="BK331" i="9"/>
  <c r="BP406" i="9"/>
  <c r="BQ406" i="9"/>
  <c r="BH377" i="9"/>
  <c r="BN377" i="9"/>
  <c r="BL377" i="9"/>
  <c r="BU331" i="9"/>
  <c r="BI331" i="9"/>
  <c r="BT331" i="9"/>
  <c r="CK339" i="9"/>
  <c r="BW385" i="9"/>
  <c r="CL339" i="9"/>
  <c r="CC385" i="9"/>
  <c r="CH414" i="9"/>
  <c r="BY385" i="9"/>
  <c r="CG414" i="9"/>
  <c r="BM385" i="9"/>
  <c r="BO385" i="9"/>
  <c r="AV387" i="9"/>
  <c r="AC406" i="9"/>
  <c r="H39" i="2"/>
  <c r="X132" i="12" s="1"/>
  <c r="AC474" i="9"/>
  <c r="Y144" i="14"/>
  <c r="S144" i="14"/>
  <c r="AC157" i="14"/>
  <c r="X131" i="14"/>
  <c r="V131" i="14"/>
  <c r="W131" i="14" s="1"/>
  <c r="AA144" i="14"/>
  <c r="AD157" i="14"/>
  <c r="X157" i="14" s="1"/>
  <c r="H5" i="17"/>
  <c r="O24" i="2"/>
  <c r="K46" i="2"/>
  <c r="T24" i="2"/>
  <c r="S29" i="2"/>
  <c r="U13" i="2"/>
  <c r="U24" i="2"/>
  <c r="O29" i="2"/>
  <c r="T34" i="2"/>
  <c r="T19" i="2"/>
  <c r="U19" i="2"/>
  <c r="AB444" i="9"/>
  <c r="C12" i="17"/>
  <c r="C13" i="17" s="1"/>
  <c r="R19" i="2"/>
  <c r="AC469" i="9"/>
  <c r="H34" i="2" s="1"/>
  <c r="X388" i="9" s="1"/>
  <c r="AB341" i="9"/>
  <c r="D27" i="10"/>
  <c r="D33" i="10" s="1"/>
  <c r="AB328" i="9"/>
  <c r="P29" i="2"/>
  <c r="Y29" i="2"/>
  <c r="T13" i="2"/>
  <c r="AF51" i="2"/>
  <c r="AD51" i="2"/>
  <c r="AG376" i="9"/>
  <c r="AE376" i="9"/>
  <c r="AC376" i="9" s="1"/>
  <c r="AB376" i="9" s="1"/>
  <c r="AD53" i="2"/>
  <c r="AE53" i="2"/>
  <c r="K24" i="2"/>
  <c r="AN21" i="2"/>
  <c r="AD17" i="2"/>
  <c r="AF17" i="2"/>
  <c r="AH16" i="2"/>
  <c r="AJ16" i="2"/>
  <c r="Z15" i="2"/>
  <c r="AB15" i="2"/>
  <c r="AD10" i="2"/>
  <c r="AF10" i="2"/>
  <c r="W191" i="14"/>
  <c r="X195" i="14"/>
  <c r="I110" i="13"/>
  <c r="Y34" i="2"/>
  <c r="K13" i="2"/>
  <c r="AD50" i="2"/>
  <c r="AF50" i="2"/>
  <c r="AD45" i="2"/>
  <c r="AE45" i="2"/>
  <c r="AD43" i="2"/>
  <c r="AE43" i="2"/>
  <c r="AD37" i="2"/>
  <c r="AE37" i="2"/>
  <c r="Z28" i="2"/>
  <c r="AA28" i="2"/>
  <c r="Z26" i="2"/>
  <c r="AA26" i="2"/>
  <c r="AD23" i="2"/>
  <c r="AE23" i="2"/>
  <c r="AH22" i="2"/>
  <c r="AI22" i="2"/>
  <c r="AH21" i="2"/>
  <c r="AI21" i="2"/>
  <c r="AM21" i="2" s="1"/>
  <c r="AH18" i="2"/>
  <c r="AI18" i="2"/>
  <c r="W34" i="2"/>
  <c r="AC7" i="2"/>
  <c r="DH450" i="9" s="1"/>
  <c r="AE8" i="2"/>
  <c r="AB6" i="2"/>
  <c r="DH454" i="9" s="1"/>
  <c r="AA5" i="2"/>
  <c r="AU37" i="13" s="1"/>
  <c r="X154" i="14"/>
  <c r="W154" i="14" s="1"/>
  <c r="W146" i="14"/>
  <c r="O13" i="2"/>
  <c r="AG377" i="9"/>
  <c r="AE377" i="9"/>
  <c r="AC377" i="9" s="1"/>
  <c r="AB377" i="9" s="1"/>
  <c r="AK328" i="9"/>
  <c r="K19" i="2"/>
  <c r="Z38" i="2"/>
  <c r="AA38" i="2"/>
  <c r="AD36" i="2"/>
  <c r="AE36" i="2"/>
  <c r="AD32" i="2"/>
  <c r="AE32" i="2"/>
  <c r="AD31" i="2"/>
  <c r="AE31" i="2"/>
  <c r="AD27" i="2"/>
  <c r="AE27" i="2"/>
  <c r="AD12" i="2"/>
  <c r="AF12" i="2"/>
  <c r="AD11" i="2"/>
  <c r="AF11" i="2"/>
  <c r="L29" i="2"/>
  <c r="Z52" i="2"/>
  <c r="AA52" i="2"/>
  <c r="AD44" i="2"/>
  <c r="AE44" i="2"/>
  <c r="Z33" i="2"/>
  <c r="AA33" i="2"/>
  <c r="C27" i="10"/>
  <c r="X34" i="2"/>
  <c r="S24" i="2"/>
  <c r="Z144" i="12"/>
  <c r="X144" i="12" s="1"/>
  <c r="AA484" i="9"/>
  <c r="Y131" i="14"/>
  <c r="V158" i="14"/>
  <c r="X132" i="14"/>
  <c r="Y132" i="14" s="1"/>
  <c r="AE387" i="9"/>
  <c r="AC387" i="9" s="1"/>
  <c r="AB387" i="9" s="1"/>
  <c r="J46" i="2"/>
  <c r="AD158" i="14"/>
  <c r="Y145" i="14"/>
  <c r="S145" i="14"/>
  <c r="V132" i="14"/>
  <c r="W132" i="14" s="1"/>
  <c r="AC158" i="14"/>
  <c r="AA145" i="14"/>
  <c r="U145" i="14"/>
  <c r="ET243" i="9" l="1"/>
  <c r="EU243" i="9" s="1"/>
  <c r="ET167" i="9"/>
  <c r="EU167" i="9" s="1"/>
  <c r="ET260" i="9"/>
  <c r="EU260" i="9" s="1"/>
  <c r="ET211" i="9"/>
  <c r="EU211" i="9" s="1"/>
  <c r="EX209" i="9"/>
  <c r="EX243" i="9"/>
  <c r="ET104" i="9"/>
  <c r="EU104" i="9" s="1"/>
  <c r="ET64" i="9"/>
  <c r="EU64" i="9" s="1"/>
  <c r="ET180" i="9"/>
  <c r="EU180" i="9" s="1"/>
  <c r="EX73" i="9"/>
  <c r="EX62" i="9"/>
  <c r="EX65" i="9"/>
  <c r="EX95" i="9"/>
  <c r="ET230" i="9"/>
  <c r="EU230" i="9" s="1"/>
  <c r="EX109" i="9"/>
  <c r="ET103" i="9"/>
  <c r="EU103" i="9" s="1"/>
  <c r="EX283" i="9"/>
  <c r="ET267" i="9"/>
  <c r="EU267" i="9" s="1"/>
  <c r="EX38" i="9"/>
  <c r="EX249" i="9"/>
  <c r="EV149" i="9"/>
  <c r="EV262" i="9"/>
  <c r="EV137" i="9"/>
  <c r="CP378" i="9"/>
  <c r="CN378" i="9"/>
  <c r="EV24" i="9"/>
  <c r="EV61" i="9"/>
  <c r="EV253" i="9"/>
  <c r="EV142" i="9"/>
  <c r="EV40" i="9"/>
  <c r="EV113" i="9"/>
  <c r="EV143" i="9"/>
  <c r="EV39" i="9"/>
  <c r="EX205" i="9"/>
  <c r="EX266" i="9"/>
  <c r="EX143" i="9"/>
  <c r="ET187" i="9"/>
  <c r="EU187" i="9" s="1"/>
  <c r="EX258" i="9"/>
  <c r="ET215" i="9"/>
  <c r="EU215" i="9" s="1"/>
  <c r="ET137" i="9"/>
  <c r="EU137" i="9" s="1"/>
  <c r="ET149" i="9"/>
  <c r="EU149" i="9" s="1"/>
  <c r="EX89" i="9"/>
  <c r="EX269" i="9"/>
  <c r="ET210" i="9"/>
  <c r="EU210" i="9" s="1"/>
  <c r="ET70" i="9"/>
  <c r="EU70" i="9" s="1"/>
  <c r="EX295" i="9"/>
  <c r="ET132" i="9"/>
  <c r="EU132" i="9" s="1"/>
  <c r="EX45" i="9"/>
  <c r="EX271" i="9"/>
  <c r="ET133" i="9"/>
  <c r="EU133" i="9" s="1"/>
  <c r="EX273" i="9"/>
  <c r="ET24" i="9"/>
  <c r="EU24" i="9" s="1"/>
  <c r="EX186" i="9"/>
  <c r="EX253" i="9"/>
  <c r="EX87" i="9"/>
  <c r="DS332" i="9"/>
  <c r="CB462" i="9"/>
  <c r="DS336" i="9"/>
  <c r="J39" i="2"/>
  <c r="DJ455" i="9"/>
  <c r="DH476" i="9"/>
  <c r="CE92" i="9"/>
  <c r="CS92" i="9"/>
  <c r="CE55" i="9"/>
  <c r="CS55" i="9"/>
  <c r="CE276" i="9"/>
  <c r="CS276" i="9"/>
  <c r="CE145" i="9"/>
  <c r="CS145" i="9"/>
  <c r="CE203" i="9"/>
  <c r="CS203" i="9"/>
  <c r="CE165" i="9"/>
  <c r="CS165" i="9"/>
  <c r="EK306" i="9"/>
  <c r="DZ306" i="9"/>
  <c r="EB306" i="9"/>
  <c r="EE306" i="9"/>
  <c r="EC306" i="9"/>
  <c r="EG306" i="9"/>
  <c r="DH448" i="9"/>
  <c r="CE241" i="9"/>
  <c r="CS241" i="9"/>
  <c r="CE176" i="9"/>
  <c r="CS176" i="9"/>
  <c r="CE207" i="9"/>
  <c r="CS207" i="9"/>
  <c r="CE42" i="9"/>
  <c r="CS42" i="9"/>
  <c r="CE21" i="9"/>
  <c r="CS21" i="9"/>
  <c r="CH399" i="9"/>
  <c r="CB348" i="9"/>
  <c r="CL324" i="9"/>
  <c r="CE105" i="9"/>
  <c r="CS105" i="9"/>
  <c r="CE150" i="9"/>
  <c r="CS150" i="9"/>
  <c r="CE138" i="9"/>
  <c r="CS138" i="9"/>
  <c r="CE117" i="9"/>
  <c r="CS117" i="9"/>
  <c r="CE251" i="9"/>
  <c r="CS251" i="9"/>
  <c r="CE227" i="9"/>
  <c r="CS227" i="9"/>
  <c r="CX411" i="9"/>
  <c r="CP382" i="9"/>
  <c r="CE140" i="9"/>
  <c r="CS140" i="9"/>
  <c r="CE288" i="9"/>
  <c r="CS288" i="9"/>
  <c r="CE82" i="9"/>
  <c r="CS82" i="9"/>
  <c r="CE310" i="9"/>
  <c r="CS310" i="9"/>
  <c r="CE123" i="9"/>
  <c r="CS123" i="9"/>
  <c r="CE68" i="9"/>
  <c r="CS68" i="9"/>
  <c r="CE255" i="9"/>
  <c r="CS255" i="9"/>
  <c r="CE15" i="9"/>
  <c r="CS15" i="9"/>
  <c r="CE299" i="9"/>
  <c r="CS299" i="9"/>
  <c r="CE318" i="9"/>
  <c r="CS318" i="9"/>
  <c r="CE263" i="9"/>
  <c r="CS263" i="9"/>
  <c r="CE63" i="9"/>
  <c r="CS63" i="9"/>
  <c r="CE34" i="9"/>
  <c r="CS34" i="9"/>
  <c r="CE312" i="9"/>
  <c r="CS312" i="9"/>
  <c r="CE232" i="9"/>
  <c r="CS232" i="9"/>
  <c r="CE278" i="9"/>
  <c r="CS278" i="9"/>
  <c r="CE236" i="9"/>
  <c r="CS236" i="9"/>
  <c r="CE284" i="9"/>
  <c r="CS284" i="9"/>
  <c r="CE134" i="9"/>
  <c r="CS134" i="9"/>
  <c r="AJ191" i="14"/>
  <c r="BK191" i="14"/>
  <c r="BJ141" i="14"/>
  <c r="BL141" i="14"/>
  <c r="DH455" i="9"/>
  <c r="DH473" i="9" s="1"/>
  <c r="DH474" i="9" s="1"/>
  <c r="DJ475" i="9" s="1"/>
  <c r="DH469" i="9"/>
  <c r="DJ470" i="9" s="1"/>
  <c r="DH458" i="9"/>
  <c r="DH468" i="9"/>
  <c r="DJ469" i="9" s="1"/>
  <c r="DJ467" i="9" s="1"/>
  <c r="DD320" i="9"/>
  <c r="DO5" i="9"/>
  <c r="DF5" i="9"/>
  <c r="DE5" i="9"/>
  <c r="DO9" i="9"/>
  <c r="DF9" i="9"/>
  <c r="DG9" i="9" s="1"/>
  <c r="DE9" i="9"/>
  <c r="DO13" i="9"/>
  <c r="DF13" i="9"/>
  <c r="DG13" i="9" s="1"/>
  <c r="DE13" i="9"/>
  <c r="DO17" i="9"/>
  <c r="DF17" i="9"/>
  <c r="DG17" i="9" s="1"/>
  <c r="DE17" i="9"/>
  <c r="DO21" i="9"/>
  <c r="DF21" i="9"/>
  <c r="DG21" i="9" s="1"/>
  <c r="DE21" i="9"/>
  <c r="DO25" i="9"/>
  <c r="DF25" i="9"/>
  <c r="DG25" i="9" s="1"/>
  <c r="DE25" i="9"/>
  <c r="DO29" i="9"/>
  <c r="DF29" i="9"/>
  <c r="DG29" i="9" s="1"/>
  <c r="DE29" i="9"/>
  <c r="DO33" i="9"/>
  <c r="DF33" i="9"/>
  <c r="DG33" i="9" s="1"/>
  <c r="DE33" i="9"/>
  <c r="DO37" i="9"/>
  <c r="DF37" i="9"/>
  <c r="DG37" i="9" s="1"/>
  <c r="DE37" i="9"/>
  <c r="DO41" i="9"/>
  <c r="DF41" i="9"/>
  <c r="DG41" i="9" s="1"/>
  <c r="DE41" i="9"/>
  <c r="DO45" i="9"/>
  <c r="DF45" i="9"/>
  <c r="DG45" i="9" s="1"/>
  <c r="DE45" i="9"/>
  <c r="DO49" i="9"/>
  <c r="DF49" i="9"/>
  <c r="DG49" i="9" s="1"/>
  <c r="DE49" i="9"/>
  <c r="DO53" i="9"/>
  <c r="DF53" i="9"/>
  <c r="DG53" i="9" s="1"/>
  <c r="DE53" i="9"/>
  <c r="DO57" i="9"/>
  <c r="DF57" i="9"/>
  <c r="DG57" i="9" s="1"/>
  <c r="DE57" i="9"/>
  <c r="DO61" i="9"/>
  <c r="DF61" i="9"/>
  <c r="DG61" i="9" s="1"/>
  <c r="DE61" i="9"/>
  <c r="DE65" i="9"/>
  <c r="DO65" i="9"/>
  <c r="DF65" i="9"/>
  <c r="DG65" i="9" s="1"/>
  <c r="DE69" i="9"/>
  <c r="DO69" i="9"/>
  <c r="DF69" i="9"/>
  <c r="DG69" i="9" s="1"/>
  <c r="DE73" i="9"/>
  <c r="DO73" i="9"/>
  <c r="DF73" i="9"/>
  <c r="DG73" i="9" s="1"/>
  <c r="DE77" i="9"/>
  <c r="DO77" i="9"/>
  <c r="DF77" i="9"/>
  <c r="DG77" i="9" s="1"/>
  <c r="DE81" i="9"/>
  <c r="DO81" i="9"/>
  <c r="DF81" i="9"/>
  <c r="DG81" i="9" s="1"/>
  <c r="DE85" i="9"/>
  <c r="DO85" i="9"/>
  <c r="DF85" i="9"/>
  <c r="DG85" i="9" s="1"/>
  <c r="DE89" i="9"/>
  <c r="DO89" i="9"/>
  <c r="DF89" i="9"/>
  <c r="DG89" i="9" s="1"/>
  <c r="DE93" i="9"/>
  <c r="DO93" i="9"/>
  <c r="DF93" i="9"/>
  <c r="DG93" i="9" s="1"/>
  <c r="DE97" i="9"/>
  <c r="DO97" i="9"/>
  <c r="DF97" i="9"/>
  <c r="DG97" i="9" s="1"/>
  <c r="DE101" i="9"/>
  <c r="DO101" i="9"/>
  <c r="DF101" i="9"/>
  <c r="DG101" i="9" s="1"/>
  <c r="DE105" i="9"/>
  <c r="DO105" i="9"/>
  <c r="DF105" i="9"/>
  <c r="DG105" i="9" s="1"/>
  <c r="DE109" i="9"/>
  <c r="DO109" i="9"/>
  <c r="DF109" i="9"/>
  <c r="DG109" i="9" s="1"/>
  <c r="DE113" i="9"/>
  <c r="DO113" i="9"/>
  <c r="DF113" i="9"/>
  <c r="DG113" i="9" s="1"/>
  <c r="DE117" i="9"/>
  <c r="DO117" i="9"/>
  <c r="DF117" i="9"/>
  <c r="DG117" i="9" s="1"/>
  <c r="DE121" i="9"/>
  <c r="DO121" i="9"/>
  <c r="DF121" i="9"/>
  <c r="DG121" i="9" s="1"/>
  <c r="DE125" i="9"/>
  <c r="DO125" i="9"/>
  <c r="DF125" i="9"/>
  <c r="DG125" i="9" s="1"/>
  <c r="DE129" i="9"/>
  <c r="DO129" i="9"/>
  <c r="DF129" i="9"/>
  <c r="DG129" i="9" s="1"/>
  <c r="DO133" i="9"/>
  <c r="DF133" i="9"/>
  <c r="DG133" i="9" s="1"/>
  <c r="DE133" i="9"/>
  <c r="DO137" i="9"/>
  <c r="DF137" i="9"/>
  <c r="DG137" i="9" s="1"/>
  <c r="DE137" i="9"/>
  <c r="DO141" i="9"/>
  <c r="DF141" i="9"/>
  <c r="DG141" i="9" s="1"/>
  <c r="DE141" i="9"/>
  <c r="DO145" i="9"/>
  <c r="DF145" i="9"/>
  <c r="DG145" i="9" s="1"/>
  <c r="DE145" i="9"/>
  <c r="DO149" i="9"/>
  <c r="DF149" i="9"/>
  <c r="DG149" i="9" s="1"/>
  <c r="DE149" i="9"/>
  <c r="DO153" i="9"/>
  <c r="DF153" i="9"/>
  <c r="DG153" i="9" s="1"/>
  <c r="DE153" i="9"/>
  <c r="DE157" i="9"/>
  <c r="DO157" i="9"/>
  <c r="DF157" i="9"/>
  <c r="DG157" i="9" s="1"/>
  <c r="DE161" i="9"/>
  <c r="DO161" i="9"/>
  <c r="DF161" i="9"/>
  <c r="DG161" i="9" s="1"/>
  <c r="DE165" i="9"/>
  <c r="DO165" i="9"/>
  <c r="DF165" i="9"/>
  <c r="DG165" i="9" s="1"/>
  <c r="DE169" i="9"/>
  <c r="DO169" i="9"/>
  <c r="DF169" i="9"/>
  <c r="DG169" i="9" s="1"/>
  <c r="DE173" i="9"/>
  <c r="DO173" i="9"/>
  <c r="DF173" i="9"/>
  <c r="DG173" i="9" s="1"/>
  <c r="DE177" i="9"/>
  <c r="DO177" i="9"/>
  <c r="DF177" i="9"/>
  <c r="DG177" i="9" s="1"/>
  <c r="DE181" i="9"/>
  <c r="DO181" i="9"/>
  <c r="DF181" i="9"/>
  <c r="DG181" i="9" s="1"/>
  <c r="DE185" i="9"/>
  <c r="DO185" i="9"/>
  <c r="DF185" i="9"/>
  <c r="DG185" i="9" s="1"/>
  <c r="DE189" i="9"/>
  <c r="DO189" i="9"/>
  <c r="DF189" i="9"/>
  <c r="DG189" i="9" s="1"/>
  <c r="DE193" i="9"/>
  <c r="DO193" i="9"/>
  <c r="DF193" i="9"/>
  <c r="DG193" i="9" s="1"/>
  <c r="DE197" i="9"/>
  <c r="DO197" i="9"/>
  <c r="DF197" i="9"/>
  <c r="DG197" i="9" s="1"/>
  <c r="DE201" i="9"/>
  <c r="DO201" i="9"/>
  <c r="DF201" i="9"/>
  <c r="DG201" i="9" s="1"/>
  <c r="DE205" i="9"/>
  <c r="DO205" i="9"/>
  <c r="DF205" i="9"/>
  <c r="DG205" i="9" s="1"/>
  <c r="DO209" i="9"/>
  <c r="DF209" i="9"/>
  <c r="DG209" i="9" s="1"/>
  <c r="DE209" i="9"/>
  <c r="DO213" i="9"/>
  <c r="DF213" i="9"/>
  <c r="DG213" i="9" s="1"/>
  <c r="DE213" i="9"/>
  <c r="DO217" i="9"/>
  <c r="DF217" i="9"/>
  <c r="DG217" i="9" s="1"/>
  <c r="DE217" i="9"/>
  <c r="DO221" i="9"/>
  <c r="DF221" i="9"/>
  <c r="DG221" i="9" s="1"/>
  <c r="DE221" i="9"/>
  <c r="DE225" i="9"/>
  <c r="DO225" i="9"/>
  <c r="DF225" i="9"/>
  <c r="DG225" i="9" s="1"/>
  <c r="DE229" i="9"/>
  <c r="DO229" i="9"/>
  <c r="DF229" i="9"/>
  <c r="DG229" i="9" s="1"/>
  <c r="DE233" i="9"/>
  <c r="DO233" i="9"/>
  <c r="DF233" i="9"/>
  <c r="DG233" i="9" s="1"/>
  <c r="DE237" i="9"/>
  <c r="DO237" i="9"/>
  <c r="DF237" i="9"/>
  <c r="DG237" i="9" s="1"/>
  <c r="DE241" i="9"/>
  <c r="DO241" i="9"/>
  <c r="DF241" i="9"/>
  <c r="DG241" i="9" s="1"/>
  <c r="DE245" i="9"/>
  <c r="DF245" i="9"/>
  <c r="DG245" i="9" s="1"/>
  <c r="DO245" i="9"/>
  <c r="DE249" i="9"/>
  <c r="DF249" i="9"/>
  <c r="DG249" i="9" s="1"/>
  <c r="DO249" i="9"/>
  <c r="DE253" i="9"/>
  <c r="DF253" i="9"/>
  <c r="DG253" i="9" s="1"/>
  <c r="DO253" i="9"/>
  <c r="DE257" i="9"/>
  <c r="DF257" i="9"/>
  <c r="DG257" i="9" s="1"/>
  <c r="DO257" i="9"/>
  <c r="DE261" i="9"/>
  <c r="DF261" i="9"/>
  <c r="DG261" i="9" s="1"/>
  <c r="DO261" i="9"/>
  <c r="DE265" i="9"/>
  <c r="DF265" i="9"/>
  <c r="DG265" i="9" s="1"/>
  <c r="DO265" i="9"/>
  <c r="DE269" i="9"/>
  <c r="DF269" i="9"/>
  <c r="DG269" i="9" s="1"/>
  <c r="DO269" i="9"/>
  <c r="DE273" i="9"/>
  <c r="DF273" i="9"/>
  <c r="DG273" i="9" s="1"/>
  <c r="DO273" i="9"/>
  <c r="DE277" i="9"/>
  <c r="DF277" i="9"/>
  <c r="DG277" i="9" s="1"/>
  <c r="DO277" i="9"/>
  <c r="DE314" i="9"/>
  <c r="DO314" i="9"/>
  <c r="DF314" i="9"/>
  <c r="DG314" i="9" s="1"/>
  <c r="DE318" i="9"/>
  <c r="DO318" i="9"/>
  <c r="DF318" i="9"/>
  <c r="DG318" i="9" s="1"/>
  <c r="DE282" i="9"/>
  <c r="DO282" i="9"/>
  <c r="DF282" i="9"/>
  <c r="DG282" i="9" s="1"/>
  <c r="DE286" i="9"/>
  <c r="DO286" i="9"/>
  <c r="DF286" i="9"/>
  <c r="DG286" i="9" s="1"/>
  <c r="DE290" i="9"/>
  <c r="DO290" i="9"/>
  <c r="DF290" i="9"/>
  <c r="DG290" i="9" s="1"/>
  <c r="DE294" i="9"/>
  <c r="DO294" i="9"/>
  <c r="DF294" i="9"/>
  <c r="DG294" i="9" s="1"/>
  <c r="DE298" i="9"/>
  <c r="DO298" i="9"/>
  <c r="DF298" i="9"/>
  <c r="DG298" i="9" s="1"/>
  <c r="DE302" i="9"/>
  <c r="DO302" i="9"/>
  <c r="DF302" i="9"/>
  <c r="DG302" i="9" s="1"/>
  <c r="DE306" i="9"/>
  <c r="DO306" i="9"/>
  <c r="DF306" i="9"/>
  <c r="DG306" i="9" s="1"/>
  <c r="DE310" i="9"/>
  <c r="DO310" i="9"/>
  <c r="DF310" i="9"/>
  <c r="DG310" i="9" s="1"/>
  <c r="DF6" i="9"/>
  <c r="DG6" i="9" s="1"/>
  <c r="DE6" i="9"/>
  <c r="DO6" i="9"/>
  <c r="DF10" i="9"/>
  <c r="DG10" i="9" s="1"/>
  <c r="DE10" i="9"/>
  <c r="DO10" i="9"/>
  <c r="DF14" i="9"/>
  <c r="DG14" i="9" s="1"/>
  <c r="DE14" i="9"/>
  <c r="DO14" i="9"/>
  <c r="DF18" i="9"/>
  <c r="DG18" i="9" s="1"/>
  <c r="DE18" i="9"/>
  <c r="DO18" i="9"/>
  <c r="DF22" i="9"/>
  <c r="DG22" i="9" s="1"/>
  <c r="DE22" i="9"/>
  <c r="DO22" i="9"/>
  <c r="DF26" i="9"/>
  <c r="DG26" i="9" s="1"/>
  <c r="DE26" i="9"/>
  <c r="DO26" i="9"/>
  <c r="DF30" i="9"/>
  <c r="DG30" i="9" s="1"/>
  <c r="DE30" i="9"/>
  <c r="DO30" i="9"/>
  <c r="DF34" i="9"/>
  <c r="DG34" i="9" s="1"/>
  <c r="DE34" i="9"/>
  <c r="DO34" i="9"/>
  <c r="DF38" i="9"/>
  <c r="DG38" i="9" s="1"/>
  <c r="DE38" i="9"/>
  <c r="DO38" i="9"/>
  <c r="DF42" i="9"/>
  <c r="DG42" i="9" s="1"/>
  <c r="DE42" i="9"/>
  <c r="DO42" i="9"/>
  <c r="DF46" i="9"/>
  <c r="DG46" i="9" s="1"/>
  <c r="DE46" i="9"/>
  <c r="DO46" i="9"/>
  <c r="DF50" i="9"/>
  <c r="DG50" i="9" s="1"/>
  <c r="DE50" i="9"/>
  <c r="DO50" i="9"/>
  <c r="DF54" i="9"/>
  <c r="DG54" i="9" s="1"/>
  <c r="DE54" i="9"/>
  <c r="DO54" i="9"/>
  <c r="DF58" i="9"/>
  <c r="DG58" i="9" s="1"/>
  <c r="DE58" i="9"/>
  <c r="DO58" i="9"/>
  <c r="DF62" i="9"/>
  <c r="DG62" i="9" s="1"/>
  <c r="DE62" i="9"/>
  <c r="DO62" i="9"/>
  <c r="DO66" i="9"/>
  <c r="DF66" i="9"/>
  <c r="DG66" i="9" s="1"/>
  <c r="DE66" i="9"/>
  <c r="DO70" i="9"/>
  <c r="DF70" i="9"/>
  <c r="DG70" i="9" s="1"/>
  <c r="DE70" i="9"/>
  <c r="DO74" i="9"/>
  <c r="DF74" i="9"/>
  <c r="DG74" i="9" s="1"/>
  <c r="DE74" i="9"/>
  <c r="DO78" i="9"/>
  <c r="DF78" i="9"/>
  <c r="DG78" i="9" s="1"/>
  <c r="DE78" i="9"/>
  <c r="DO82" i="9"/>
  <c r="DF82" i="9"/>
  <c r="DG82" i="9" s="1"/>
  <c r="DE82" i="9"/>
  <c r="DO86" i="9"/>
  <c r="DF86" i="9"/>
  <c r="DG86" i="9" s="1"/>
  <c r="DE86" i="9"/>
  <c r="DO90" i="9"/>
  <c r="DF90" i="9"/>
  <c r="DG90" i="9" s="1"/>
  <c r="DE90" i="9"/>
  <c r="DO94" i="9"/>
  <c r="DF94" i="9"/>
  <c r="DG94" i="9" s="1"/>
  <c r="DE94" i="9"/>
  <c r="DO98" i="9"/>
  <c r="DF98" i="9"/>
  <c r="DG98" i="9" s="1"/>
  <c r="DE98" i="9"/>
  <c r="DO102" i="9"/>
  <c r="DF102" i="9"/>
  <c r="DG102" i="9" s="1"/>
  <c r="DE102" i="9"/>
  <c r="DO106" i="9"/>
  <c r="DF106" i="9"/>
  <c r="DG106" i="9" s="1"/>
  <c r="DE106" i="9"/>
  <c r="DO110" i="9"/>
  <c r="DF110" i="9"/>
  <c r="DG110" i="9" s="1"/>
  <c r="DE110" i="9"/>
  <c r="DO114" i="9"/>
  <c r="DF114" i="9"/>
  <c r="DG114" i="9" s="1"/>
  <c r="DE114" i="9"/>
  <c r="DO118" i="9"/>
  <c r="DF118" i="9"/>
  <c r="DG118" i="9" s="1"/>
  <c r="DE118" i="9"/>
  <c r="DO122" i="9"/>
  <c r="DF122" i="9"/>
  <c r="DG122" i="9" s="1"/>
  <c r="DE122" i="9"/>
  <c r="DO126" i="9"/>
  <c r="DF126" i="9"/>
  <c r="DG126" i="9" s="1"/>
  <c r="DE126" i="9"/>
  <c r="DO130" i="9"/>
  <c r="DF130" i="9"/>
  <c r="DG130" i="9" s="1"/>
  <c r="DE130" i="9"/>
  <c r="DF134" i="9"/>
  <c r="DG134" i="9" s="1"/>
  <c r="DE134" i="9"/>
  <c r="DO134" i="9"/>
  <c r="DF138" i="9"/>
  <c r="DG138" i="9" s="1"/>
  <c r="DE138" i="9"/>
  <c r="DO138" i="9"/>
  <c r="DF142" i="9"/>
  <c r="DG142" i="9" s="1"/>
  <c r="DE142" i="9"/>
  <c r="DO142" i="9"/>
  <c r="DF146" i="9"/>
  <c r="DG146" i="9" s="1"/>
  <c r="DE146" i="9"/>
  <c r="DO146" i="9"/>
  <c r="DF150" i="9"/>
  <c r="DG150" i="9" s="1"/>
  <c r="DE150" i="9"/>
  <c r="DO150" i="9"/>
  <c r="DF154" i="9"/>
  <c r="DG154" i="9" s="1"/>
  <c r="DE154" i="9"/>
  <c r="DO154" i="9"/>
  <c r="DO158" i="9"/>
  <c r="DF158" i="9"/>
  <c r="DG158" i="9" s="1"/>
  <c r="DE158" i="9"/>
  <c r="DO162" i="9"/>
  <c r="DF162" i="9"/>
  <c r="DG162" i="9" s="1"/>
  <c r="DE162" i="9"/>
  <c r="DO166" i="9"/>
  <c r="DF166" i="9"/>
  <c r="DG166" i="9" s="1"/>
  <c r="DE166" i="9"/>
  <c r="DO170" i="9"/>
  <c r="DF170" i="9"/>
  <c r="DG170" i="9" s="1"/>
  <c r="DE170" i="9"/>
  <c r="DO174" i="9"/>
  <c r="DF174" i="9"/>
  <c r="DG174" i="9" s="1"/>
  <c r="DE174" i="9"/>
  <c r="DO178" i="9"/>
  <c r="DF178" i="9"/>
  <c r="DG178" i="9" s="1"/>
  <c r="DE178" i="9"/>
  <c r="DO182" i="9"/>
  <c r="DF182" i="9"/>
  <c r="DG182" i="9" s="1"/>
  <c r="DE182" i="9"/>
  <c r="DO186" i="9"/>
  <c r="DF186" i="9"/>
  <c r="DG186" i="9" s="1"/>
  <c r="DE186" i="9"/>
  <c r="DO190" i="9"/>
  <c r="DF190" i="9"/>
  <c r="DG190" i="9" s="1"/>
  <c r="DE190" i="9"/>
  <c r="DO194" i="9"/>
  <c r="DF194" i="9"/>
  <c r="DG194" i="9" s="1"/>
  <c r="DE194" i="9"/>
  <c r="DO198" i="9"/>
  <c r="DF198" i="9"/>
  <c r="DG198" i="9" s="1"/>
  <c r="DE198" i="9"/>
  <c r="DO202" i="9"/>
  <c r="DF202" i="9"/>
  <c r="DG202" i="9" s="1"/>
  <c r="DE202" i="9"/>
  <c r="DF206" i="9"/>
  <c r="DG206" i="9" s="1"/>
  <c r="DE206" i="9"/>
  <c r="DO206" i="9"/>
  <c r="DF210" i="9"/>
  <c r="DG210" i="9" s="1"/>
  <c r="DE210" i="9"/>
  <c r="DO210" i="9"/>
  <c r="DF214" i="9"/>
  <c r="DG214" i="9" s="1"/>
  <c r="DE214" i="9"/>
  <c r="DO214" i="9"/>
  <c r="DF218" i="9"/>
  <c r="DG218" i="9" s="1"/>
  <c r="DE218" i="9"/>
  <c r="DO218" i="9"/>
  <c r="DO222" i="9"/>
  <c r="DF222" i="9"/>
  <c r="DG222" i="9" s="1"/>
  <c r="DE222" i="9"/>
  <c r="DO226" i="9"/>
  <c r="DF226" i="9"/>
  <c r="DG226" i="9" s="1"/>
  <c r="DE226" i="9"/>
  <c r="DO230" i="9"/>
  <c r="DF230" i="9"/>
  <c r="DG230" i="9" s="1"/>
  <c r="DE230" i="9"/>
  <c r="DO234" i="9"/>
  <c r="DF234" i="9"/>
  <c r="DG234" i="9" s="1"/>
  <c r="DE234" i="9"/>
  <c r="DO238" i="9"/>
  <c r="DF238" i="9"/>
  <c r="DG238" i="9" s="1"/>
  <c r="DE238" i="9"/>
  <c r="DO242" i="9"/>
  <c r="DF242" i="9"/>
  <c r="DG242" i="9" s="1"/>
  <c r="DE242" i="9"/>
  <c r="DF246" i="9"/>
  <c r="DG246" i="9" s="1"/>
  <c r="DO246" i="9"/>
  <c r="DE246" i="9"/>
  <c r="DF250" i="9"/>
  <c r="DG250" i="9" s="1"/>
  <c r="DO250" i="9"/>
  <c r="DE250" i="9"/>
  <c r="DF254" i="9"/>
  <c r="DG254" i="9" s="1"/>
  <c r="DO254" i="9"/>
  <c r="DE254" i="9"/>
  <c r="DF258" i="9"/>
  <c r="DG258" i="9" s="1"/>
  <c r="DO258" i="9"/>
  <c r="DE258" i="9"/>
  <c r="DF262" i="9"/>
  <c r="DG262" i="9" s="1"/>
  <c r="DO262" i="9"/>
  <c r="DE262" i="9"/>
  <c r="DF266" i="9"/>
  <c r="DG266" i="9" s="1"/>
  <c r="DO266" i="9"/>
  <c r="DE266" i="9"/>
  <c r="DF270" i="9"/>
  <c r="DG270" i="9" s="1"/>
  <c r="DO270" i="9"/>
  <c r="DE270" i="9"/>
  <c r="DF274" i="9"/>
  <c r="DG274" i="9" s="1"/>
  <c r="DO274" i="9"/>
  <c r="DE274" i="9"/>
  <c r="DF278" i="9"/>
  <c r="DG278" i="9" s="1"/>
  <c r="DO278" i="9"/>
  <c r="DE278" i="9"/>
  <c r="DO315" i="9"/>
  <c r="DF315" i="9"/>
  <c r="DG315" i="9" s="1"/>
  <c r="DE315" i="9"/>
  <c r="DO319" i="9"/>
  <c r="DF319" i="9"/>
  <c r="DG319" i="9" s="1"/>
  <c r="DE319" i="9"/>
  <c r="DO283" i="9"/>
  <c r="DF283" i="9"/>
  <c r="DG283" i="9" s="1"/>
  <c r="DE283" i="9"/>
  <c r="DO287" i="9"/>
  <c r="DF287" i="9"/>
  <c r="DG287" i="9" s="1"/>
  <c r="DE287" i="9"/>
  <c r="DO291" i="9"/>
  <c r="DF291" i="9"/>
  <c r="DG291" i="9" s="1"/>
  <c r="DE291" i="9"/>
  <c r="DO295" i="9"/>
  <c r="DF295" i="9"/>
  <c r="DG295" i="9" s="1"/>
  <c r="DE295" i="9"/>
  <c r="DO299" i="9"/>
  <c r="DF299" i="9"/>
  <c r="DG299" i="9" s="1"/>
  <c r="DE299" i="9"/>
  <c r="DO303" i="9"/>
  <c r="DF303" i="9"/>
  <c r="DG303" i="9" s="1"/>
  <c r="DE303" i="9"/>
  <c r="DO307" i="9"/>
  <c r="DF307" i="9"/>
  <c r="DG307" i="9" s="1"/>
  <c r="DE307" i="9"/>
  <c r="DO311" i="9"/>
  <c r="DF311" i="9"/>
  <c r="DG311" i="9" s="1"/>
  <c r="DE311" i="9"/>
  <c r="CE301" i="9"/>
  <c r="CS301" i="9"/>
  <c r="CE274" i="9"/>
  <c r="CS274" i="9"/>
  <c r="CE71" i="9"/>
  <c r="CS71" i="9"/>
  <c r="CE50" i="9"/>
  <c r="CS50" i="9"/>
  <c r="CE229" i="9"/>
  <c r="CS229" i="9"/>
  <c r="CE20" i="9"/>
  <c r="CS20" i="9"/>
  <c r="CE240" i="9"/>
  <c r="CS240" i="9"/>
  <c r="CE147" i="9"/>
  <c r="CS147" i="9"/>
  <c r="CE234" i="9"/>
  <c r="CS234" i="9"/>
  <c r="CH320" i="9"/>
  <c r="CA320" i="9"/>
  <c r="CB435" i="9" s="1"/>
  <c r="CB434" i="9" s="1"/>
  <c r="CE181" i="9"/>
  <c r="CS181" i="9"/>
  <c r="CE25" i="9"/>
  <c r="CS25" i="9"/>
  <c r="CE22" i="9"/>
  <c r="CS22" i="9"/>
  <c r="CE248" i="9"/>
  <c r="CS248" i="9"/>
  <c r="CE128" i="9"/>
  <c r="CS128" i="9"/>
  <c r="CE304" i="9"/>
  <c r="CS304" i="9"/>
  <c r="CH411" i="9"/>
  <c r="CC382" i="9"/>
  <c r="CE231" i="9"/>
  <c r="CS231" i="9"/>
  <c r="CE282" i="9"/>
  <c r="CS282" i="9"/>
  <c r="CE100" i="9"/>
  <c r="CS100" i="9"/>
  <c r="CE17" i="9"/>
  <c r="CS17" i="9"/>
  <c r="CE115" i="9"/>
  <c r="CS115" i="9"/>
  <c r="CE139" i="9"/>
  <c r="CS139" i="9"/>
  <c r="CE217" i="9"/>
  <c r="CS217" i="9"/>
  <c r="CE172" i="9"/>
  <c r="CS172" i="9"/>
  <c r="CE184" i="9"/>
  <c r="CS184" i="9"/>
  <c r="CE192" i="9"/>
  <c r="CS192" i="9"/>
  <c r="CE277" i="9"/>
  <c r="CS277" i="9"/>
  <c r="CB452" i="9"/>
  <c r="BY394" i="9"/>
  <c r="ES258" i="9"/>
  <c r="FB258" i="9"/>
  <c r="EQ258" i="9"/>
  <c r="ES268" i="9"/>
  <c r="FB268" i="9"/>
  <c r="EQ268" i="9"/>
  <c r="EQ292" i="9"/>
  <c r="ES292" i="9"/>
  <c r="FB292" i="9"/>
  <c r="ES177" i="9"/>
  <c r="FB177" i="9"/>
  <c r="EQ177" i="9"/>
  <c r="ES187" i="9"/>
  <c r="FB187" i="9"/>
  <c r="EQ187" i="9"/>
  <c r="EQ280" i="9"/>
  <c r="ES280" i="9"/>
  <c r="FB280" i="9"/>
  <c r="EQ209" i="9"/>
  <c r="FB209" i="9"/>
  <c r="ES209" i="9"/>
  <c r="EQ143" i="9"/>
  <c r="FB143" i="9"/>
  <c r="ES143" i="9"/>
  <c r="FB137" i="9"/>
  <c r="ES137" i="9"/>
  <c r="EQ137" i="9"/>
  <c r="EQ315" i="9"/>
  <c r="ES315" i="9"/>
  <c r="FB315" i="9"/>
  <c r="ES223" i="9"/>
  <c r="FB223" i="9"/>
  <c r="EQ223" i="9"/>
  <c r="ES205" i="9"/>
  <c r="FB205" i="9"/>
  <c r="EQ205" i="9"/>
  <c r="EV167" i="9"/>
  <c r="ES167" i="9"/>
  <c r="FB167" i="9"/>
  <c r="EQ167" i="9"/>
  <c r="ER300" i="9"/>
  <c r="ER179" i="9"/>
  <c r="EQ298" i="9"/>
  <c r="ES298" i="9"/>
  <c r="FB298" i="9"/>
  <c r="EQ225" i="9"/>
  <c r="ES225" i="9"/>
  <c r="FB225" i="9"/>
  <c r="EX80" i="9"/>
  <c r="EQ199" i="9"/>
  <c r="ES199" i="9"/>
  <c r="FB199" i="9"/>
  <c r="EX267" i="9"/>
  <c r="EQ31" i="9"/>
  <c r="FB31" i="9"/>
  <c r="ES31" i="9"/>
  <c r="FB271" i="9"/>
  <c r="EQ271" i="9"/>
  <c r="ES271" i="9"/>
  <c r="EQ45" i="9"/>
  <c r="ES45" i="9"/>
  <c r="EV132" i="9"/>
  <c r="EQ132" i="9"/>
  <c r="ES132" i="9"/>
  <c r="FB132" i="9"/>
  <c r="EQ126" i="9"/>
  <c r="ES126" i="9"/>
  <c r="FB126" i="9"/>
  <c r="ES198" i="9"/>
  <c r="FB198" i="9"/>
  <c r="EQ198" i="9"/>
  <c r="EQ113" i="9"/>
  <c r="ES113" i="9"/>
  <c r="FB113" i="9"/>
  <c r="EQ210" i="9"/>
  <c r="FB210" i="9"/>
  <c r="ES210" i="9"/>
  <c r="ES293" i="9"/>
  <c r="FB293" i="9"/>
  <c r="EQ293" i="9"/>
  <c r="EQ112" i="9"/>
  <c r="ES112" i="9"/>
  <c r="FB112" i="9"/>
  <c r="EQ125" i="9"/>
  <c r="ES125" i="9"/>
  <c r="FB125" i="9"/>
  <c r="EQ289" i="9"/>
  <c r="ES289" i="9"/>
  <c r="FB289" i="9"/>
  <c r="EV136" i="9"/>
  <c r="FB136" i="9"/>
  <c r="ES136" i="9"/>
  <c r="EQ136" i="9"/>
  <c r="EQ107" i="9"/>
  <c r="ES107" i="9"/>
  <c r="FB107" i="9"/>
  <c r="EQ180" i="9"/>
  <c r="ES180" i="9"/>
  <c r="FB180" i="9"/>
  <c r="FB142" i="9"/>
  <c r="ES142" i="9"/>
  <c r="EQ142" i="9"/>
  <c r="ES77" i="9"/>
  <c r="EQ77" i="9"/>
  <c r="EQ97" i="9"/>
  <c r="ES97" i="9"/>
  <c r="FB97" i="9"/>
  <c r="EQ104" i="9"/>
  <c r="ES104" i="9"/>
  <c r="FB104" i="9"/>
  <c r="EQ8" i="9"/>
  <c r="FB8" i="9"/>
  <c r="ES8" i="9"/>
  <c r="ER51" i="9"/>
  <c r="EQ56" i="9"/>
  <c r="ES56" i="9"/>
  <c r="ES32" i="9"/>
  <c r="EQ32" i="9"/>
  <c r="EQ109" i="9"/>
  <c r="ES109" i="9"/>
  <c r="FB109" i="9"/>
  <c r="EQ88" i="9"/>
  <c r="ES88" i="9"/>
  <c r="FB88" i="9"/>
  <c r="EQ242" i="9"/>
  <c r="ES242" i="9"/>
  <c r="FB242" i="9"/>
  <c r="FB11" i="9"/>
  <c r="ES11" i="9"/>
  <c r="EQ11" i="9"/>
  <c r="EQ285" i="9"/>
  <c r="ES285" i="9"/>
  <c r="FB285" i="9"/>
  <c r="ES19" i="9"/>
  <c r="EQ19" i="9"/>
  <c r="FB220" i="9"/>
  <c r="ES220" i="9"/>
  <c r="EQ220" i="9"/>
  <c r="ES58" i="9"/>
  <c r="EQ58" i="9"/>
  <c r="ES54" i="9"/>
  <c r="EQ54" i="9"/>
  <c r="EQ218" i="9"/>
  <c r="FB218" i="9"/>
  <c r="ES218" i="9"/>
  <c r="EV307" i="9"/>
  <c r="ES307" i="9"/>
  <c r="FB307" i="9"/>
  <c r="EQ307" i="9"/>
  <c r="ES62" i="9"/>
  <c r="EQ62" i="9"/>
  <c r="FB269" i="9"/>
  <c r="EQ269" i="9"/>
  <c r="ES269" i="9"/>
  <c r="EQ43" i="9"/>
  <c r="ES43" i="9"/>
  <c r="FB39" i="9"/>
  <c r="ES39" i="9"/>
  <c r="EQ39" i="9"/>
  <c r="EQ119" i="9"/>
  <c r="ES119" i="9"/>
  <c r="FB119" i="9"/>
  <c r="EQ64" i="9"/>
  <c r="FB64" i="9"/>
  <c r="ES64" i="9"/>
  <c r="EQ61" i="9"/>
  <c r="ES61" i="9"/>
  <c r="ES16" i="9"/>
  <c r="EQ16" i="9"/>
  <c r="FB48" i="9"/>
  <c r="ES48" i="9"/>
  <c r="EQ48" i="9"/>
  <c r="ET437" i="9"/>
  <c r="ET434" i="9"/>
  <c r="ER322" i="9"/>
  <c r="EZ4" i="9"/>
  <c r="EL4" i="9"/>
  <c r="EY4" i="9"/>
  <c r="FA4" i="9"/>
  <c r="EO4" i="9"/>
  <c r="ET439" i="9"/>
  <c r="ET435" i="9"/>
  <c r="ET433" i="9"/>
  <c r="FB4" i="9"/>
  <c r="EN4" i="9"/>
  <c r="EL1" i="9"/>
  <c r="EM4" i="9"/>
  <c r="ES4" i="9"/>
  <c r="FG319" i="9"/>
  <c r="FG318" i="9"/>
  <c r="FG317" i="9"/>
  <c r="FG316" i="9"/>
  <c r="FG315" i="9"/>
  <c r="FG314" i="9"/>
  <c r="FG313" i="9"/>
  <c r="FG312" i="9"/>
  <c r="FG311" i="9"/>
  <c r="FG310" i="9"/>
  <c r="FG309" i="9"/>
  <c r="FG308" i="9"/>
  <c r="FG307" i="9"/>
  <c r="FG306" i="9"/>
  <c r="FG305" i="9"/>
  <c r="FG304" i="9"/>
  <c r="FG303" i="9"/>
  <c r="FG302" i="9"/>
  <c r="FG301" i="9"/>
  <c r="FG300" i="9"/>
  <c r="FG299" i="9"/>
  <c r="FG298" i="9"/>
  <c r="FG297" i="9"/>
  <c r="FG296" i="9"/>
  <c r="FG295" i="9"/>
  <c r="FG294" i="9"/>
  <c r="FG293" i="9"/>
  <c r="FG292" i="9"/>
  <c r="FG291" i="9"/>
  <c r="FG290" i="9"/>
  <c r="FG289" i="9"/>
  <c r="FG288" i="9"/>
  <c r="FG287" i="9"/>
  <c r="FG286" i="9"/>
  <c r="FG285" i="9"/>
  <c r="FG284" i="9"/>
  <c r="FG283" i="9"/>
  <c r="FG282" i="9"/>
  <c r="FG281" i="9"/>
  <c r="FG280" i="9"/>
  <c r="FG279" i="9"/>
  <c r="FP311" i="9"/>
  <c r="FP309" i="9"/>
  <c r="FP307" i="9"/>
  <c r="FP305" i="9"/>
  <c r="FP303" i="9"/>
  <c r="FP301" i="9"/>
  <c r="FP299" i="9"/>
  <c r="FP297" i="9"/>
  <c r="FP295" i="9"/>
  <c r="FP293" i="9"/>
  <c r="FP291" i="9"/>
  <c r="FP289" i="9"/>
  <c r="FP287" i="9"/>
  <c r="FP285" i="9"/>
  <c r="FP283" i="9"/>
  <c r="FP281" i="9"/>
  <c r="FP279" i="9"/>
  <c r="FG278" i="9"/>
  <c r="FP318" i="9"/>
  <c r="FP316" i="9"/>
  <c r="FP314" i="9"/>
  <c r="FP278" i="9"/>
  <c r="FP276" i="9"/>
  <c r="FP274" i="9"/>
  <c r="FP272" i="9"/>
  <c r="FP270" i="9"/>
  <c r="FP268" i="9"/>
  <c r="FP266" i="9"/>
  <c r="FP264" i="9"/>
  <c r="FP262" i="9"/>
  <c r="FP260" i="9"/>
  <c r="FP258" i="9"/>
  <c r="FP256" i="9"/>
  <c r="FP254" i="9"/>
  <c r="FP252" i="9"/>
  <c r="FP250" i="9"/>
  <c r="FP248" i="9"/>
  <c r="FP246" i="9"/>
  <c r="FP244" i="9"/>
  <c r="FQ276" i="9"/>
  <c r="FQ274" i="9"/>
  <c r="FQ272" i="9"/>
  <c r="FQ270" i="9"/>
  <c r="FQ268" i="9"/>
  <c r="FQ266" i="9"/>
  <c r="FQ264" i="9"/>
  <c r="FQ262" i="9"/>
  <c r="FQ260" i="9"/>
  <c r="FQ258" i="9"/>
  <c r="FQ256" i="9"/>
  <c r="FQ254" i="9"/>
  <c r="FQ252" i="9"/>
  <c r="FQ250" i="9"/>
  <c r="FQ248" i="9"/>
  <c r="FQ246" i="9"/>
  <c r="FQ244" i="9"/>
  <c r="FG243" i="9"/>
  <c r="FG242" i="9"/>
  <c r="FG241" i="9"/>
  <c r="FG240" i="9"/>
  <c r="FG239" i="9"/>
  <c r="FG238" i="9"/>
  <c r="FG237" i="9"/>
  <c r="FG236" i="9"/>
  <c r="FG235" i="9"/>
  <c r="FG234" i="9"/>
  <c r="FG233" i="9"/>
  <c r="FG232" i="9"/>
  <c r="FG231" i="9"/>
  <c r="FG230" i="9"/>
  <c r="FG229" i="9"/>
  <c r="FG228" i="9"/>
  <c r="FG227" i="9"/>
  <c r="FG226" i="9"/>
  <c r="FG225" i="9"/>
  <c r="FG224" i="9"/>
  <c r="FG223" i="9"/>
  <c r="FG222" i="9"/>
  <c r="FG221" i="9"/>
  <c r="FG276" i="9"/>
  <c r="FG274" i="9"/>
  <c r="FG272" i="9"/>
  <c r="FG270" i="9"/>
  <c r="FG268" i="9"/>
  <c r="FG266" i="9"/>
  <c r="FG264" i="9"/>
  <c r="FG262" i="9"/>
  <c r="FG260" i="9"/>
  <c r="FG258" i="9"/>
  <c r="FG256" i="9"/>
  <c r="FG254" i="9"/>
  <c r="FG252" i="9"/>
  <c r="FG250" i="9"/>
  <c r="FG248" i="9"/>
  <c r="FG246" i="9"/>
  <c r="FG244" i="9"/>
  <c r="FP242" i="9"/>
  <c r="FP240" i="9"/>
  <c r="FP238" i="9"/>
  <c r="FP236" i="9"/>
  <c r="FP234" i="9"/>
  <c r="FP232" i="9"/>
  <c r="FP230" i="9"/>
  <c r="FP228" i="9"/>
  <c r="FP226" i="9"/>
  <c r="FP224" i="9"/>
  <c r="FP222" i="9"/>
  <c r="FP220" i="9"/>
  <c r="FP218" i="9"/>
  <c r="FP216" i="9"/>
  <c r="FP214" i="9"/>
  <c r="FP212" i="9"/>
  <c r="FP210" i="9"/>
  <c r="FP208" i="9"/>
  <c r="FP206" i="9"/>
  <c r="FG220" i="9"/>
  <c r="FG218" i="9"/>
  <c r="FG216" i="9"/>
  <c r="FG214" i="9"/>
  <c r="FG212" i="9"/>
  <c r="FG210" i="9"/>
  <c r="FG208" i="9"/>
  <c r="FG206" i="9"/>
  <c r="FQ204" i="9"/>
  <c r="FQ203" i="9"/>
  <c r="FQ202" i="9"/>
  <c r="FQ201" i="9"/>
  <c r="FQ200" i="9"/>
  <c r="FQ199" i="9"/>
  <c r="FQ198" i="9"/>
  <c r="FQ197" i="9"/>
  <c r="FQ196" i="9"/>
  <c r="FQ195" i="9"/>
  <c r="FQ194" i="9"/>
  <c r="FQ193" i="9"/>
  <c r="FQ192" i="9"/>
  <c r="FQ191" i="9"/>
  <c r="FQ190" i="9"/>
  <c r="FQ189" i="9"/>
  <c r="FQ188" i="9"/>
  <c r="FQ187" i="9"/>
  <c r="FQ186" i="9"/>
  <c r="FQ185" i="9"/>
  <c r="FQ184" i="9"/>
  <c r="FQ183" i="9"/>
  <c r="FQ182" i="9"/>
  <c r="FQ181" i="9"/>
  <c r="FQ180" i="9"/>
  <c r="FQ179" i="9"/>
  <c r="FQ178" i="9"/>
  <c r="FQ177" i="9"/>
  <c r="FQ176" i="9"/>
  <c r="FQ175" i="9"/>
  <c r="FQ174" i="9"/>
  <c r="FQ173" i="9"/>
  <c r="FQ172" i="9"/>
  <c r="FQ171" i="9"/>
  <c r="FQ170" i="9"/>
  <c r="FQ169" i="9"/>
  <c r="FQ168" i="9"/>
  <c r="FQ167" i="9"/>
  <c r="FQ166" i="9"/>
  <c r="FQ165" i="9"/>
  <c r="FQ164" i="9"/>
  <c r="FQ163" i="9"/>
  <c r="FQ162" i="9"/>
  <c r="FQ161" i="9"/>
  <c r="FQ160" i="9"/>
  <c r="FQ159" i="9"/>
  <c r="FQ158" i="9"/>
  <c r="FQ157" i="9"/>
  <c r="FQ220" i="9"/>
  <c r="FQ218" i="9"/>
  <c r="FQ216" i="9"/>
  <c r="FQ214" i="9"/>
  <c r="FQ212" i="9"/>
  <c r="FQ210" i="9"/>
  <c r="FQ208" i="9"/>
  <c r="FQ206" i="9"/>
  <c r="FP204" i="9"/>
  <c r="FP202" i="9"/>
  <c r="FP200" i="9"/>
  <c r="FP198" i="9"/>
  <c r="FP196" i="9"/>
  <c r="FP194" i="9"/>
  <c r="FP192" i="9"/>
  <c r="FP190" i="9"/>
  <c r="FP188" i="9"/>
  <c r="FP186" i="9"/>
  <c r="FP184" i="9"/>
  <c r="FP182" i="9"/>
  <c r="FP180" i="9"/>
  <c r="FP178" i="9"/>
  <c r="FP176" i="9"/>
  <c r="FP174" i="9"/>
  <c r="FP172" i="9"/>
  <c r="FP170" i="9"/>
  <c r="FP168" i="9"/>
  <c r="FP166" i="9"/>
  <c r="FP164" i="9"/>
  <c r="FP162" i="9"/>
  <c r="FP160" i="9"/>
  <c r="FP158" i="9"/>
  <c r="FP156" i="9"/>
  <c r="FP154" i="9"/>
  <c r="FP152" i="9"/>
  <c r="FP150" i="9"/>
  <c r="FP148" i="9"/>
  <c r="FP146" i="9"/>
  <c r="FP144" i="9"/>
  <c r="FP142" i="9"/>
  <c r="FP140" i="9"/>
  <c r="FP138" i="9"/>
  <c r="FP136" i="9"/>
  <c r="FP134" i="9"/>
  <c r="FG156" i="9"/>
  <c r="FG154" i="9"/>
  <c r="FG152" i="9"/>
  <c r="FG150" i="9"/>
  <c r="FG148" i="9"/>
  <c r="FG146" i="9"/>
  <c r="FG144" i="9"/>
  <c r="FG142" i="9"/>
  <c r="FG140" i="9"/>
  <c r="FG138" i="9"/>
  <c r="FG136" i="9"/>
  <c r="FG134" i="9"/>
  <c r="FQ132" i="9"/>
  <c r="FQ131" i="9"/>
  <c r="FQ130" i="9"/>
  <c r="FQ129" i="9"/>
  <c r="FQ128" i="9"/>
  <c r="FQ127" i="9"/>
  <c r="FQ126" i="9"/>
  <c r="FQ125" i="9"/>
  <c r="FQ124" i="9"/>
  <c r="FQ123" i="9"/>
  <c r="FQ122" i="9"/>
  <c r="FQ121" i="9"/>
  <c r="FQ120" i="9"/>
  <c r="FQ119" i="9"/>
  <c r="FQ118" i="9"/>
  <c r="FQ117" i="9"/>
  <c r="FQ116" i="9"/>
  <c r="FQ115" i="9"/>
  <c r="FQ114" i="9"/>
  <c r="FQ113" i="9"/>
  <c r="FQ112" i="9"/>
  <c r="FQ111" i="9"/>
  <c r="FQ110" i="9"/>
  <c r="FQ109" i="9"/>
  <c r="FQ108" i="9"/>
  <c r="FQ107" i="9"/>
  <c r="FQ106" i="9"/>
  <c r="FQ105" i="9"/>
  <c r="FQ104" i="9"/>
  <c r="FQ103" i="9"/>
  <c r="FQ102" i="9"/>
  <c r="FQ101" i="9"/>
  <c r="FQ100" i="9"/>
  <c r="FQ99" i="9"/>
  <c r="FQ98" i="9"/>
  <c r="FQ97" i="9"/>
  <c r="FQ96" i="9"/>
  <c r="FQ95" i="9"/>
  <c r="FQ94" i="9"/>
  <c r="FQ93" i="9"/>
  <c r="FQ92" i="9"/>
  <c r="FQ91" i="9"/>
  <c r="FQ90" i="9"/>
  <c r="FQ89" i="9"/>
  <c r="FQ88" i="9"/>
  <c r="FQ87" i="9"/>
  <c r="FQ86" i="9"/>
  <c r="FQ85" i="9"/>
  <c r="FQ84" i="9"/>
  <c r="FQ83" i="9"/>
  <c r="FQ82" i="9"/>
  <c r="FQ81" i="9"/>
  <c r="FQ80" i="9"/>
  <c r="FQ79" i="9"/>
  <c r="FQ78" i="9"/>
  <c r="FQ77" i="9"/>
  <c r="FQ76" i="9"/>
  <c r="FQ75" i="9"/>
  <c r="FQ74" i="9"/>
  <c r="FQ73" i="9"/>
  <c r="FQ72" i="9"/>
  <c r="FQ71" i="9"/>
  <c r="FQ70" i="9"/>
  <c r="FQ69" i="9"/>
  <c r="FQ68" i="9"/>
  <c r="FQ67" i="9"/>
  <c r="FQ66" i="9"/>
  <c r="FQ65" i="9"/>
  <c r="FQ156" i="9"/>
  <c r="FQ154" i="9"/>
  <c r="FQ152" i="9"/>
  <c r="FQ150" i="9"/>
  <c r="FQ148" i="9"/>
  <c r="FQ146" i="9"/>
  <c r="FQ144" i="9"/>
  <c r="FQ142" i="9"/>
  <c r="FQ140" i="9"/>
  <c r="FQ138" i="9"/>
  <c r="FQ136" i="9"/>
  <c r="FQ134" i="9"/>
  <c r="FP132" i="9"/>
  <c r="FP130" i="9"/>
  <c r="FP128" i="9"/>
  <c r="FP126" i="9"/>
  <c r="FP124" i="9"/>
  <c r="FP122" i="9"/>
  <c r="FP120" i="9"/>
  <c r="FP118" i="9"/>
  <c r="FP116" i="9"/>
  <c r="FP114" i="9"/>
  <c r="FP112" i="9"/>
  <c r="FP110" i="9"/>
  <c r="FP108" i="9"/>
  <c r="FP106" i="9"/>
  <c r="FP104" i="9"/>
  <c r="FP102" i="9"/>
  <c r="FP100" i="9"/>
  <c r="FP98" i="9"/>
  <c r="FP96" i="9"/>
  <c r="FP94" i="9"/>
  <c r="FP92" i="9"/>
  <c r="FP90" i="9"/>
  <c r="FP88" i="9"/>
  <c r="FP86" i="9"/>
  <c r="FP84" i="9"/>
  <c r="FP82" i="9"/>
  <c r="FP73" i="9"/>
  <c r="FP64" i="9"/>
  <c r="FP48" i="9"/>
  <c r="FP39" i="9"/>
  <c r="FP30" i="9"/>
  <c r="FP13" i="9"/>
  <c r="FP11" i="9"/>
  <c r="FP9" i="9"/>
  <c r="FP7" i="9"/>
  <c r="FP5" i="9"/>
  <c r="FL4" i="9"/>
  <c r="FG63" i="9"/>
  <c r="FG61" i="9"/>
  <c r="FG59" i="9"/>
  <c r="FG57" i="9"/>
  <c r="FG55" i="9"/>
  <c r="FG53" i="9"/>
  <c r="FG51" i="9"/>
  <c r="FG49" i="9"/>
  <c r="FG47" i="9"/>
  <c r="FG45" i="9"/>
  <c r="FG43" i="9"/>
  <c r="FG41" i="9"/>
  <c r="FG39" i="9"/>
  <c r="FG37" i="9"/>
  <c r="FG35" i="9"/>
  <c r="FG33" i="9"/>
  <c r="FG31" i="9"/>
  <c r="FG29" i="9"/>
  <c r="FG27" i="9"/>
  <c r="FG25" i="9"/>
  <c r="FG23" i="9"/>
  <c r="FG21" i="9"/>
  <c r="FG19" i="9"/>
  <c r="FG17" i="9"/>
  <c r="FG15" i="9"/>
  <c r="FG13" i="9"/>
  <c r="FG11" i="9"/>
  <c r="FG9" i="9"/>
  <c r="FG7" i="9"/>
  <c r="FG5" i="9"/>
  <c r="FG4" i="9"/>
  <c r="FH4" i="9" s="1"/>
  <c r="FI4" i="9"/>
  <c r="FQ63" i="9"/>
  <c r="FQ61" i="9"/>
  <c r="FQ59" i="9"/>
  <c r="FQ57" i="9"/>
  <c r="FQ55" i="9"/>
  <c r="FQ53" i="9"/>
  <c r="FQ51" i="9"/>
  <c r="FQ49" i="9"/>
  <c r="FQ47" i="9"/>
  <c r="FQ45" i="9"/>
  <c r="FQ43" i="9"/>
  <c r="FQ41" i="9"/>
  <c r="FQ39" i="9"/>
  <c r="FQ37" i="9"/>
  <c r="FQ35" i="9"/>
  <c r="FQ33" i="9"/>
  <c r="FQ31" i="9"/>
  <c r="FQ29" i="9"/>
  <c r="FQ27" i="9"/>
  <c r="FQ25" i="9"/>
  <c r="FQ23" i="9"/>
  <c r="FQ21" i="9"/>
  <c r="FQ19" i="9"/>
  <c r="FQ17" i="9"/>
  <c r="FQ15" i="9"/>
  <c r="FQ13" i="9"/>
  <c r="FQ11" i="9"/>
  <c r="FQ9" i="9"/>
  <c r="FQ7" i="9"/>
  <c r="FQ5" i="9"/>
  <c r="FQ319" i="9"/>
  <c r="FQ318" i="9"/>
  <c r="FQ317" i="9"/>
  <c r="FQ316" i="9"/>
  <c r="FQ315" i="9"/>
  <c r="FQ314" i="9"/>
  <c r="FQ313" i="9"/>
  <c r="FQ312" i="9"/>
  <c r="FQ311" i="9"/>
  <c r="FQ310" i="9"/>
  <c r="FQ309" i="9"/>
  <c r="FQ308" i="9"/>
  <c r="FQ307" i="9"/>
  <c r="FQ306" i="9"/>
  <c r="FQ305" i="9"/>
  <c r="FQ304" i="9"/>
  <c r="FQ303" i="9"/>
  <c r="FQ302" i="9"/>
  <c r="FQ301" i="9"/>
  <c r="FQ300" i="9"/>
  <c r="FQ299" i="9"/>
  <c r="FQ298" i="9"/>
  <c r="FQ297" i="9"/>
  <c r="FQ296" i="9"/>
  <c r="FQ295" i="9"/>
  <c r="FQ294" i="9"/>
  <c r="FQ293" i="9"/>
  <c r="FQ292" i="9"/>
  <c r="FQ291" i="9"/>
  <c r="FQ290" i="9"/>
  <c r="FQ289" i="9"/>
  <c r="FQ288" i="9"/>
  <c r="FQ287" i="9"/>
  <c r="FQ286" i="9"/>
  <c r="FQ285" i="9"/>
  <c r="FQ284" i="9"/>
  <c r="FQ283" i="9"/>
  <c r="FQ282" i="9"/>
  <c r="FQ281" i="9"/>
  <c r="FQ280" i="9"/>
  <c r="FQ279" i="9"/>
  <c r="FP312" i="9"/>
  <c r="FP310" i="9"/>
  <c r="FP308" i="9"/>
  <c r="FP306" i="9"/>
  <c r="FP304" i="9"/>
  <c r="FP302" i="9"/>
  <c r="FP300" i="9"/>
  <c r="FP298" i="9"/>
  <c r="FP296" i="9"/>
  <c r="FP294" i="9"/>
  <c r="FP292" i="9"/>
  <c r="FP290" i="9"/>
  <c r="FP288" i="9"/>
  <c r="FP286" i="9"/>
  <c r="FP284" i="9"/>
  <c r="FP282" i="9"/>
  <c r="FP280" i="9"/>
  <c r="FQ278" i="9"/>
  <c r="FP319" i="9"/>
  <c r="FP317" i="9"/>
  <c r="FP315" i="9"/>
  <c r="FP313" i="9"/>
  <c r="FP277" i="9"/>
  <c r="FP275" i="9"/>
  <c r="FP273" i="9"/>
  <c r="FP271" i="9"/>
  <c r="FP269" i="9"/>
  <c r="FP267" i="9"/>
  <c r="FP265" i="9"/>
  <c r="FP263" i="9"/>
  <c r="FP261" i="9"/>
  <c r="FP259" i="9"/>
  <c r="FP257" i="9"/>
  <c r="FP255" i="9"/>
  <c r="FP253" i="9"/>
  <c r="FP251" i="9"/>
  <c r="FP249" i="9"/>
  <c r="FP247" i="9"/>
  <c r="FP245" i="9"/>
  <c r="FQ277" i="9"/>
  <c r="FQ275" i="9"/>
  <c r="FQ273" i="9"/>
  <c r="FQ271" i="9"/>
  <c r="FQ269" i="9"/>
  <c r="FQ267" i="9"/>
  <c r="FQ265" i="9"/>
  <c r="FQ263" i="9"/>
  <c r="FQ261" i="9"/>
  <c r="FQ259" i="9"/>
  <c r="FQ257" i="9"/>
  <c r="FQ255" i="9"/>
  <c r="FQ253" i="9"/>
  <c r="FQ251" i="9"/>
  <c r="FQ249" i="9"/>
  <c r="FQ247" i="9"/>
  <c r="FQ245" i="9"/>
  <c r="FQ243" i="9"/>
  <c r="FQ242" i="9"/>
  <c r="FQ241" i="9"/>
  <c r="FQ240" i="9"/>
  <c r="FQ239" i="9"/>
  <c r="FQ238" i="9"/>
  <c r="FQ237" i="9"/>
  <c r="FQ236" i="9"/>
  <c r="FQ235" i="9"/>
  <c r="FQ234" i="9"/>
  <c r="FQ233" i="9"/>
  <c r="FQ232" i="9"/>
  <c r="FQ231" i="9"/>
  <c r="FQ230" i="9"/>
  <c r="FQ229" i="9"/>
  <c r="FQ228" i="9"/>
  <c r="FQ227" i="9"/>
  <c r="FQ226" i="9"/>
  <c r="FQ225" i="9"/>
  <c r="FQ224" i="9"/>
  <c r="FQ223" i="9"/>
  <c r="FQ222" i="9"/>
  <c r="FQ221" i="9"/>
  <c r="FG277" i="9"/>
  <c r="FG275" i="9"/>
  <c r="FG273" i="9"/>
  <c r="FG271" i="9"/>
  <c r="FG269" i="9"/>
  <c r="FG267" i="9"/>
  <c r="FG265" i="9"/>
  <c r="FG263" i="9"/>
  <c r="FG261" i="9"/>
  <c r="FG259" i="9"/>
  <c r="FG257" i="9"/>
  <c r="FG255" i="9"/>
  <c r="FG253" i="9"/>
  <c r="FG251" i="9"/>
  <c r="FG249" i="9"/>
  <c r="FG247" i="9"/>
  <c r="FG245" i="9"/>
  <c r="FP243" i="9"/>
  <c r="FP241" i="9"/>
  <c r="FP239" i="9"/>
  <c r="FP237" i="9"/>
  <c r="FP235" i="9"/>
  <c r="FP233" i="9"/>
  <c r="FP231" i="9"/>
  <c r="FP229" i="9"/>
  <c r="FP227" i="9"/>
  <c r="FP225" i="9"/>
  <c r="FP223" i="9"/>
  <c r="FP221" i="9"/>
  <c r="FP219" i="9"/>
  <c r="FP217" i="9"/>
  <c r="FP215" i="9"/>
  <c r="FP213" i="9"/>
  <c r="FP211" i="9"/>
  <c r="FP209" i="9"/>
  <c r="FP207" i="9"/>
  <c r="FP205" i="9"/>
  <c r="FG219" i="9"/>
  <c r="FG217" i="9"/>
  <c r="FG215" i="9"/>
  <c r="FG213" i="9"/>
  <c r="FG211" i="9"/>
  <c r="FG209" i="9"/>
  <c r="FG207" i="9"/>
  <c r="FG205" i="9"/>
  <c r="FG204" i="9"/>
  <c r="FG203" i="9"/>
  <c r="FG202" i="9"/>
  <c r="FG201" i="9"/>
  <c r="FG200" i="9"/>
  <c r="FG199" i="9"/>
  <c r="FG198" i="9"/>
  <c r="FG197" i="9"/>
  <c r="FG196" i="9"/>
  <c r="FG195" i="9"/>
  <c r="FG194" i="9"/>
  <c r="FG193" i="9"/>
  <c r="FG192" i="9"/>
  <c r="FG191" i="9"/>
  <c r="FG190" i="9"/>
  <c r="FG189" i="9"/>
  <c r="FG188" i="9"/>
  <c r="FG187" i="9"/>
  <c r="FG186" i="9"/>
  <c r="FG185" i="9"/>
  <c r="FG184" i="9"/>
  <c r="FG183" i="9"/>
  <c r="FG182" i="9"/>
  <c r="FG181" i="9"/>
  <c r="FG180" i="9"/>
  <c r="FG179" i="9"/>
  <c r="FG178" i="9"/>
  <c r="FG177" i="9"/>
  <c r="FG176" i="9"/>
  <c r="FG175" i="9"/>
  <c r="FG174" i="9"/>
  <c r="FG173" i="9"/>
  <c r="FG172" i="9"/>
  <c r="FG171" i="9"/>
  <c r="FG170" i="9"/>
  <c r="FG169" i="9"/>
  <c r="FG168" i="9"/>
  <c r="FG167" i="9"/>
  <c r="FG166" i="9"/>
  <c r="FG165" i="9"/>
  <c r="FG164" i="9"/>
  <c r="FG163" i="9"/>
  <c r="FG162" i="9"/>
  <c r="FG161" i="9"/>
  <c r="FG160" i="9"/>
  <c r="FG159" i="9"/>
  <c r="FG158" i="9"/>
  <c r="FG157" i="9"/>
  <c r="FQ219" i="9"/>
  <c r="FQ217" i="9"/>
  <c r="FQ215" i="9"/>
  <c r="FQ213" i="9"/>
  <c r="FQ211" i="9"/>
  <c r="FQ209" i="9"/>
  <c r="FQ207" i="9"/>
  <c r="FQ205" i="9"/>
  <c r="FP203" i="9"/>
  <c r="FP201" i="9"/>
  <c r="FP199" i="9"/>
  <c r="FP197" i="9"/>
  <c r="FP195" i="9"/>
  <c r="FP193" i="9"/>
  <c r="FP191" i="9"/>
  <c r="FP189" i="9"/>
  <c r="FP187" i="9"/>
  <c r="FP185" i="9"/>
  <c r="FP183" i="9"/>
  <c r="FP181" i="9"/>
  <c r="FP179" i="9"/>
  <c r="FP177" i="9"/>
  <c r="FP175" i="9"/>
  <c r="FP173" i="9"/>
  <c r="FP171" i="9"/>
  <c r="FP169" i="9"/>
  <c r="FP167" i="9"/>
  <c r="FP165" i="9"/>
  <c r="FP163" i="9"/>
  <c r="FP161" i="9"/>
  <c r="FP159" i="9"/>
  <c r="FP157" i="9"/>
  <c r="FP155" i="9"/>
  <c r="FP153" i="9"/>
  <c r="FP151" i="9"/>
  <c r="FP149" i="9"/>
  <c r="FP147" i="9"/>
  <c r="FP145" i="9"/>
  <c r="FP143" i="9"/>
  <c r="FP141" i="9"/>
  <c r="FP139" i="9"/>
  <c r="FP137" i="9"/>
  <c r="FP135" i="9"/>
  <c r="FP133" i="9"/>
  <c r="FG155" i="9"/>
  <c r="FG153" i="9"/>
  <c r="FG151" i="9"/>
  <c r="FG149" i="9"/>
  <c r="FG147" i="9"/>
  <c r="FG145" i="9"/>
  <c r="FG143" i="9"/>
  <c r="FG141" i="9"/>
  <c r="FG139" i="9"/>
  <c r="FG137" i="9"/>
  <c r="FG135" i="9"/>
  <c r="FG133" i="9"/>
  <c r="FG132" i="9"/>
  <c r="FG131" i="9"/>
  <c r="FG130" i="9"/>
  <c r="FG129" i="9"/>
  <c r="FG128" i="9"/>
  <c r="FG127" i="9"/>
  <c r="FG126" i="9"/>
  <c r="FG125" i="9"/>
  <c r="FG124" i="9"/>
  <c r="FG123" i="9"/>
  <c r="FG122" i="9"/>
  <c r="FG121" i="9"/>
  <c r="FG120" i="9"/>
  <c r="FG119" i="9"/>
  <c r="FG118" i="9"/>
  <c r="FG117" i="9"/>
  <c r="FG116" i="9"/>
  <c r="FG115" i="9"/>
  <c r="FG114" i="9"/>
  <c r="FG113" i="9"/>
  <c r="FG112" i="9"/>
  <c r="FG111" i="9"/>
  <c r="FG110" i="9"/>
  <c r="FG109" i="9"/>
  <c r="FG108" i="9"/>
  <c r="FG107" i="9"/>
  <c r="FG106" i="9"/>
  <c r="FG105" i="9"/>
  <c r="FG104" i="9"/>
  <c r="FG103" i="9"/>
  <c r="FG102" i="9"/>
  <c r="FG101" i="9"/>
  <c r="FG100" i="9"/>
  <c r="FG99" i="9"/>
  <c r="FG98" i="9"/>
  <c r="FG97" i="9"/>
  <c r="FG96" i="9"/>
  <c r="FG95" i="9"/>
  <c r="FG94" i="9"/>
  <c r="FG93" i="9"/>
  <c r="FG92" i="9"/>
  <c r="FG91" i="9"/>
  <c r="FG90" i="9"/>
  <c r="FG89" i="9"/>
  <c r="FG88" i="9"/>
  <c r="FG87" i="9"/>
  <c r="FG86" i="9"/>
  <c r="FG85" i="9"/>
  <c r="FG84" i="9"/>
  <c r="FG83" i="9"/>
  <c r="FG82" i="9"/>
  <c r="FG81" i="9"/>
  <c r="FG80" i="9"/>
  <c r="FG79" i="9"/>
  <c r="FG78" i="9"/>
  <c r="FG77" i="9"/>
  <c r="FG76" i="9"/>
  <c r="FG75" i="9"/>
  <c r="FG74" i="9"/>
  <c r="FG73" i="9"/>
  <c r="FG72" i="9"/>
  <c r="FG71" i="9"/>
  <c r="FG70" i="9"/>
  <c r="FG69" i="9"/>
  <c r="FG68" i="9"/>
  <c r="FG67" i="9"/>
  <c r="FG66" i="9"/>
  <c r="FG65" i="9"/>
  <c r="FQ155" i="9"/>
  <c r="FQ153" i="9"/>
  <c r="FQ151" i="9"/>
  <c r="FQ149" i="9"/>
  <c r="FQ147" i="9"/>
  <c r="FQ145" i="9"/>
  <c r="FQ143" i="9"/>
  <c r="FQ141" i="9"/>
  <c r="FQ139" i="9"/>
  <c r="FQ137" i="9"/>
  <c r="FQ135" i="9"/>
  <c r="FQ133" i="9"/>
  <c r="FP131" i="9"/>
  <c r="FP129" i="9"/>
  <c r="FP127" i="9"/>
  <c r="FP125" i="9"/>
  <c r="FP123" i="9"/>
  <c r="FP121" i="9"/>
  <c r="FP119" i="9"/>
  <c r="FP117" i="9"/>
  <c r="FP115" i="9"/>
  <c r="FP113" i="9"/>
  <c r="FP111" i="9"/>
  <c r="FP109" i="9"/>
  <c r="FP107" i="9"/>
  <c r="FP105" i="9"/>
  <c r="FP103" i="9"/>
  <c r="FP101" i="9"/>
  <c r="FP99" i="9"/>
  <c r="FP97" i="9"/>
  <c r="FP95" i="9"/>
  <c r="FP93" i="9"/>
  <c r="FP91" i="9"/>
  <c r="FP89" i="9"/>
  <c r="FP87" i="9"/>
  <c r="FP85" i="9"/>
  <c r="FP83" i="9"/>
  <c r="FP74" i="9"/>
  <c r="FP65" i="9"/>
  <c r="FP49" i="9"/>
  <c r="FP40" i="9"/>
  <c r="FP31" i="9"/>
  <c r="FP14" i="9"/>
  <c r="FP12" i="9"/>
  <c r="FP10" i="9"/>
  <c r="FP8" i="9"/>
  <c r="FP6" i="9"/>
  <c r="FN4" i="9"/>
  <c r="FG64" i="9"/>
  <c r="FG62" i="9"/>
  <c r="FG60" i="9"/>
  <c r="FG58" i="9"/>
  <c r="FG56" i="9"/>
  <c r="FG54" i="9"/>
  <c r="FG52" i="9"/>
  <c r="FG50" i="9"/>
  <c r="FG48" i="9"/>
  <c r="FG46" i="9"/>
  <c r="FG44" i="9"/>
  <c r="FG42" i="9"/>
  <c r="FG40" i="9"/>
  <c r="FG38" i="9"/>
  <c r="FG36" i="9"/>
  <c r="FG34" i="9"/>
  <c r="FG32" i="9"/>
  <c r="FG30" i="9"/>
  <c r="FG28" i="9"/>
  <c r="FG26" i="9"/>
  <c r="FG24" i="9"/>
  <c r="FG22" i="9"/>
  <c r="FG20" i="9"/>
  <c r="FG18" i="9"/>
  <c r="FG16" i="9"/>
  <c r="FG14" i="9"/>
  <c r="FG12" i="9"/>
  <c r="FG10" i="9"/>
  <c r="FG8" i="9"/>
  <c r="FG6" i="9"/>
  <c r="FO4" i="9"/>
  <c r="FM4" i="9"/>
  <c r="FQ64" i="9"/>
  <c r="FQ62" i="9"/>
  <c r="FQ60" i="9"/>
  <c r="FQ58" i="9"/>
  <c r="FQ56" i="9"/>
  <c r="FQ54" i="9"/>
  <c r="FQ52" i="9"/>
  <c r="FQ50" i="9"/>
  <c r="FQ48" i="9"/>
  <c r="FQ46" i="9"/>
  <c r="FQ44" i="9"/>
  <c r="FQ42" i="9"/>
  <c r="FQ40" i="9"/>
  <c r="FQ38" i="9"/>
  <c r="FQ36" i="9"/>
  <c r="FQ34" i="9"/>
  <c r="FQ32" i="9"/>
  <c r="FQ30" i="9"/>
  <c r="FQ28" i="9"/>
  <c r="FQ26" i="9"/>
  <c r="FQ24" i="9"/>
  <c r="FQ22" i="9"/>
  <c r="FQ20" i="9"/>
  <c r="FQ18" i="9"/>
  <c r="FQ16" i="9"/>
  <c r="FQ14" i="9"/>
  <c r="FQ12" i="9"/>
  <c r="FQ10" i="9"/>
  <c r="FQ8" i="9"/>
  <c r="FQ6" i="9"/>
  <c r="FI119" i="9"/>
  <c r="FO119" i="9" s="1"/>
  <c r="FI131" i="9"/>
  <c r="FM131" i="9" s="1"/>
  <c r="FI242" i="9"/>
  <c r="FM242" i="9" s="1"/>
  <c r="FI230" i="9"/>
  <c r="FI114" i="9"/>
  <c r="FI158" i="9"/>
  <c r="FI218" i="9"/>
  <c r="FI40" i="9"/>
  <c r="FM40" i="9" s="1"/>
  <c r="FI64" i="9"/>
  <c r="FI180" i="9"/>
  <c r="FI19" i="9"/>
  <c r="FK19" i="9" s="1"/>
  <c r="FL19" i="9" s="1"/>
  <c r="FI38" i="9"/>
  <c r="FI285" i="9"/>
  <c r="FO285" i="9" s="1"/>
  <c r="FI311" i="9"/>
  <c r="FI89" i="9"/>
  <c r="FI303" i="9"/>
  <c r="FI136" i="9"/>
  <c r="FK136" i="9" s="1"/>
  <c r="FL136" i="9" s="1"/>
  <c r="FI59" i="9"/>
  <c r="FI289" i="9"/>
  <c r="FO289" i="9" s="1"/>
  <c r="FI73" i="9"/>
  <c r="FK73" i="9" s="1"/>
  <c r="FL73" i="9" s="1"/>
  <c r="FI293" i="9"/>
  <c r="FI210" i="9"/>
  <c r="FI70" i="9"/>
  <c r="FO70" i="9" s="1"/>
  <c r="FI307" i="9"/>
  <c r="FO307" i="9" s="1"/>
  <c r="FI198" i="9"/>
  <c r="FK198" i="9" s="1"/>
  <c r="FL198" i="9" s="1"/>
  <c r="FI27" i="9"/>
  <c r="FO27" i="9" s="1"/>
  <c r="FI271" i="9"/>
  <c r="FO271" i="9" s="1"/>
  <c r="FI133" i="9"/>
  <c r="FO133" i="9" s="1"/>
  <c r="FI103" i="9"/>
  <c r="FI8" i="9"/>
  <c r="FM8" i="9" s="1"/>
  <c r="FI39" i="9"/>
  <c r="FO39" i="9" s="1"/>
  <c r="FI77" i="9"/>
  <c r="FI142" i="9"/>
  <c r="FO142" i="9" s="1"/>
  <c r="FI112" i="9"/>
  <c r="FO112" i="9" s="1"/>
  <c r="FI6" i="9"/>
  <c r="FO6" i="9" s="1"/>
  <c r="FI85" i="9"/>
  <c r="FK85" i="9" s="1"/>
  <c r="FL85" i="9" s="1"/>
  <c r="FI267" i="9"/>
  <c r="FM267" i="9" s="1"/>
  <c r="FI95" i="9"/>
  <c r="FI204" i="9"/>
  <c r="FI31" i="9"/>
  <c r="FM31" i="9" s="1"/>
  <c r="FI109" i="9"/>
  <c r="FK109" i="9" s="1"/>
  <c r="FL109" i="9" s="1"/>
  <c r="FI56" i="9"/>
  <c r="FO56" i="9" s="1"/>
  <c r="FI273" i="9"/>
  <c r="FO273" i="9" s="1"/>
  <c r="FI24" i="9"/>
  <c r="FI43" i="9"/>
  <c r="FK43" i="9" s="1"/>
  <c r="FL43" i="9" s="1"/>
  <c r="FI249" i="9"/>
  <c r="FO249" i="9" s="1"/>
  <c r="FI113" i="9"/>
  <c r="FO113" i="9" s="1"/>
  <c r="FI58" i="9"/>
  <c r="FI220" i="9"/>
  <c r="FK220" i="9" s="1"/>
  <c r="FL220" i="9" s="1"/>
  <c r="FI11" i="9"/>
  <c r="FI283" i="9"/>
  <c r="FK283" i="9" s="1"/>
  <c r="FL283" i="9" s="1"/>
  <c r="FI88" i="9"/>
  <c r="FI32" i="9"/>
  <c r="FM32" i="9" s="1"/>
  <c r="FI253" i="9"/>
  <c r="FI80" i="9"/>
  <c r="FM80" i="9" s="1"/>
  <c r="FI104" i="9"/>
  <c r="FK104" i="9" s="1"/>
  <c r="FL104" i="9" s="1"/>
  <c r="FI275" i="9"/>
  <c r="FO275" i="9" s="1"/>
  <c r="FI287" i="9"/>
  <c r="FO287" i="9" s="1"/>
  <c r="FI269" i="9"/>
  <c r="FO269" i="9" s="1"/>
  <c r="FI91" i="9"/>
  <c r="FI62" i="9"/>
  <c r="FK62" i="9" s="1"/>
  <c r="FL62" i="9" s="1"/>
  <c r="FI65" i="9"/>
  <c r="FI93" i="9"/>
  <c r="FK93" i="9" s="1"/>
  <c r="FL93" i="9" s="1"/>
  <c r="FI54" i="9"/>
  <c r="FO54" i="9" s="1"/>
  <c r="FI295" i="9"/>
  <c r="FM295" i="9" s="1"/>
  <c r="FI16" i="9"/>
  <c r="FM16" i="9" s="1"/>
  <c r="FI61" i="9"/>
  <c r="FK61" i="9" s="1"/>
  <c r="FL61" i="9" s="1"/>
  <c r="FI97" i="9"/>
  <c r="FI129" i="9"/>
  <c r="FK129" i="9" s="1"/>
  <c r="FL129" i="9" s="1"/>
  <c r="FI69" i="9"/>
  <c r="FI35" i="9"/>
  <c r="FI216" i="9"/>
  <c r="FK216" i="9" s="1"/>
  <c r="FL216" i="9" s="1"/>
  <c r="FI261" i="9"/>
  <c r="FO261" i="9" s="1"/>
  <c r="FI101" i="9"/>
  <c r="FK101" i="9" s="1"/>
  <c r="FL101" i="9" s="1"/>
  <c r="FI126" i="9"/>
  <c r="FK126" i="9" s="1"/>
  <c r="FL126" i="9" s="1"/>
  <c r="FI132" i="9"/>
  <c r="FI45" i="9"/>
  <c r="FO45" i="9" s="1"/>
  <c r="FI168" i="9"/>
  <c r="FK168" i="9" s="1"/>
  <c r="FL168" i="9" s="1"/>
  <c r="FI48" i="9"/>
  <c r="FO48" i="9" s="1"/>
  <c r="FI124" i="9"/>
  <c r="FK124" i="9" s="1"/>
  <c r="FL124" i="9" s="1"/>
  <c r="FI107" i="9"/>
  <c r="FO107" i="9" s="1"/>
  <c r="FI125" i="9"/>
  <c r="FO125" i="9" s="1"/>
  <c r="FI72" i="9"/>
  <c r="FI87" i="9"/>
  <c r="FO87" i="9" s="1"/>
  <c r="FI186" i="9"/>
  <c r="FK186" i="9" s="1"/>
  <c r="FL186" i="9" s="1"/>
  <c r="FK87" i="9"/>
  <c r="FL87" i="9" s="1"/>
  <c r="FI266" i="9"/>
  <c r="FI143" i="9"/>
  <c r="FK143" i="9" s="1"/>
  <c r="FL143" i="9" s="1"/>
  <c r="FI187" i="9"/>
  <c r="FO8" i="9"/>
  <c r="FK103" i="9"/>
  <c r="FL103" i="9" s="1"/>
  <c r="FO126" i="9"/>
  <c r="FO101" i="9"/>
  <c r="FO186" i="9"/>
  <c r="FI298" i="9"/>
  <c r="FO298" i="9" s="1"/>
  <c r="FK142" i="9"/>
  <c r="FL142" i="9" s="1"/>
  <c r="FO77" i="9"/>
  <c r="FO132" i="9"/>
  <c r="FK69" i="9"/>
  <c r="FL69" i="9" s="1"/>
  <c r="FO293" i="9"/>
  <c r="FK89" i="9"/>
  <c r="FL89" i="9" s="1"/>
  <c r="FK311" i="9"/>
  <c r="FL311" i="9" s="1"/>
  <c r="FK91" i="9"/>
  <c r="FL91" i="9" s="1"/>
  <c r="FO64" i="9"/>
  <c r="FI211" i="9"/>
  <c r="FK211" i="9" s="1"/>
  <c r="FL211" i="9" s="1"/>
  <c r="FO220" i="9"/>
  <c r="FK58" i="9"/>
  <c r="FL58" i="9" s="1"/>
  <c r="FO218" i="9"/>
  <c r="FI237" i="9"/>
  <c r="FO237" i="9" s="1"/>
  <c r="FI137" i="9"/>
  <c r="FK158" i="9"/>
  <c r="FL158" i="9" s="1"/>
  <c r="FK31" i="9"/>
  <c r="FL31" i="9" s="1"/>
  <c r="FK230" i="9"/>
  <c r="FL230" i="9" s="1"/>
  <c r="FK131" i="9"/>
  <c r="FL131" i="9" s="1"/>
  <c r="FK72" i="9"/>
  <c r="FL72" i="9" s="1"/>
  <c r="FK125" i="9"/>
  <c r="FL125" i="9" s="1"/>
  <c r="FO35" i="9"/>
  <c r="FK210" i="9"/>
  <c r="FL210" i="9" s="1"/>
  <c r="FO59" i="9"/>
  <c r="FO303" i="9"/>
  <c r="FK97" i="9"/>
  <c r="FL97" i="9" s="1"/>
  <c r="FO61" i="9"/>
  <c r="FK38" i="9"/>
  <c r="FL38" i="9" s="1"/>
  <c r="FK65" i="9"/>
  <c r="FL65" i="9" s="1"/>
  <c r="FK180" i="9"/>
  <c r="FL180" i="9" s="1"/>
  <c r="FI268" i="9"/>
  <c r="FO268" i="9" s="1"/>
  <c r="FK80" i="9"/>
  <c r="FL80" i="9" s="1"/>
  <c r="FK253" i="9"/>
  <c r="FL253" i="9" s="1"/>
  <c r="FK32" i="9"/>
  <c r="FL32" i="9" s="1"/>
  <c r="FK88" i="9"/>
  <c r="FL88" i="9" s="1"/>
  <c r="FK40" i="9"/>
  <c r="FL40" i="9" s="1"/>
  <c r="FO11" i="9"/>
  <c r="FK24" i="9"/>
  <c r="FL24" i="9" s="1"/>
  <c r="FI177" i="9"/>
  <c r="FO114" i="9"/>
  <c r="FO109" i="9"/>
  <c r="FI149" i="9"/>
  <c r="FO149" i="9" s="1"/>
  <c r="FK204" i="9"/>
  <c r="FL204" i="9" s="1"/>
  <c r="FO95" i="9"/>
  <c r="FO124" i="9"/>
  <c r="FK8" i="9"/>
  <c r="FL8" i="9" s="1"/>
  <c r="FO103" i="9"/>
  <c r="FI292" i="9"/>
  <c r="FK292" i="9" s="1"/>
  <c r="FL292" i="9" s="1"/>
  <c r="FK271" i="9"/>
  <c r="FL271" i="9" s="1"/>
  <c r="FK27" i="9"/>
  <c r="FL27" i="9" s="1"/>
  <c r="FO198" i="9"/>
  <c r="FI155" i="9"/>
  <c r="FI315" i="9"/>
  <c r="FK315" i="9" s="1"/>
  <c r="FL315" i="9" s="1"/>
  <c r="FI219" i="9"/>
  <c r="FI243" i="9"/>
  <c r="FO243" i="9" s="1"/>
  <c r="FK77" i="9"/>
  <c r="FL77" i="9" s="1"/>
  <c r="FI262" i="9"/>
  <c r="FK262" i="9" s="1"/>
  <c r="FL262" i="9" s="1"/>
  <c r="FK45" i="9"/>
  <c r="FL45" i="9" s="1"/>
  <c r="FK132" i="9"/>
  <c r="FL132" i="9" s="1"/>
  <c r="FK261" i="9"/>
  <c r="FL261" i="9" s="1"/>
  <c r="FK307" i="9"/>
  <c r="FL307" i="9" s="1"/>
  <c r="FK293" i="9"/>
  <c r="FL293" i="9" s="1"/>
  <c r="FO89" i="9"/>
  <c r="FO311" i="9"/>
  <c r="FO91" i="9"/>
  <c r="FK275" i="9"/>
  <c r="FL275" i="9" s="1"/>
  <c r="FO58" i="9"/>
  <c r="FK113" i="9"/>
  <c r="FL113" i="9" s="1"/>
  <c r="FO158" i="9"/>
  <c r="FK56" i="9"/>
  <c r="FL56" i="9" s="1"/>
  <c r="FO31" i="9"/>
  <c r="FO131" i="9"/>
  <c r="FI225" i="9"/>
  <c r="FK225" i="9" s="1"/>
  <c r="FL225" i="9" s="1"/>
  <c r="FO72" i="9"/>
  <c r="FI167" i="9"/>
  <c r="FO73" i="9"/>
  <c r="FK303" i="9"/>
  <c r="FL303" i="9" s="1"/>
  <c r="FI201" i="9"/>
  <c r="FI258" i="9"/>
  <c r="FK258" i="9" s="1"/>
  <c r="FL258" i="9" s="1"/>
  <c r="FO38" i="9"/>
  <c r="FO180" i="9"/>
  <c r="FI215" i="9"/>
  <c r="FO215" i="9" s="1"/>
  <c r="FI308" i="9"/>
  <c r="FO308" i="9" s="1"/>
  <c r="FO253" i="9"/>
  <c r="FO88" i="9"/>
  <c r="FI256" i="9"/>
  <c r="FO24" i="9"/>
  <c r="FI163" i="9"/>
  <c r="FK114" i="9"/>
  <c r="FL114" i="9" s="1"/>
  <c r="FO204" i="9"/>
  <c r="FK95" i="9"/>
  <c r="FL95" i="9" s="1"/>
  <c r="FI270" i="9"/>
  <c r="FM270" i="9" s="1"/>
  <c r="FO267" i="9"/>
  <c r="FI199" i="9"/>
  <c r="FK133" i="9"/>
  <c r="FL133" i="9" s="1"/>
  <c r="FO69" i="9"/>
  <c r="FK16" i="9"/>
  <c r="FL16" i="9" s="1"/>
  <c r="FI260" i="9"/>
  <c r="FK285" i="9"/>
  <c r="FL285" i="9" s="1"/>
  <c r="FK287" i="9"/>
  <c r="FL287" i="9" s="1"/>
  <c r="FK64" i="9"/>
  <c r="FL64" i="9" s="1"/>
  <c r="FO104" i="9"/>
  <c r="FO283" i="9"/>
  <c r="FK218" i="9"/>
  <c r="FL218" i="9" s="1"/>
  <c r="FI209" i="9"/>
  <c r="FO230" i="9"/>
  <c r="FI205" i="9"/>
  <c r="FO205" i="9" s="1"/>
  <c r="FO85" i="9"/>
  <c r="FK6" i="9"/>
  <c r="FL6" i="9" s="1"/>
  <c r="FK112" i="9"/>
  <c r="FL112" i="9" s="1"/>
  <c r="FI235" i="9"/>
  <c r="FK35" i="9"/>
  <c r="FL35" i="9" s="1"/>
  <c r="FO210" i="9"/>
  <c r="FK59" i="9"/>
  <c r="FL59" i="9" s="1"/>
  <c r="FO97" i="9"/>
  <c r="FK295" i="9"/>
  <c r="FL295" i="9" s="1"/>
  <c r="FK54" i="9"/>
  <c r="FL54" i="9" s="1"/>
  <c r="FO65" i="9"/>
  <c r="FI223" i="9"/>
  <c r="FO223" i="9" s="1"/>
  <c r="FO40" i="9"/>
  <c r="FK11" i="9"/>
  <c r="FL11" i="9" s="1"/>
  <c r="FK249" i="9"/>
  <c r="FL249" i="9" s="1"/>
  <c r="FI280" i="9"/>
  <c r="FK280" i="9" s="1"/>
  <c r="FL280" i="9" s="1"/>
  <c r="FK215" i="9"/>
  <c r="FL215" i="9" s="1"/>
  <c r="FK137" i="9"/>
  <c r="FL137" i="9" s="1"/>
  <c r="FK163" i="9"/>
  <c r="FL163" i="9" s="1"/>
  <c r="FO256" i="9"/>
  <c r="FO280" i="9"/>
  <c r="FK268" i="9"/>
  <c r="FL268" i="9" s="1"/>
  <c r="FO209" i="9"/>
  <c r="FO262" i="9"/>
  <c r="FO155" i="9"/>
  <c r="FO270" i="9"/>
  <c r="FK177" i="9"/>
  <c r="FL177" i="9" s="1"/>
  <c r="FO258" i="9"/>
  <c r="FO201" i="9"/>
  <c r="FO219" i="9"/>
  <c r="FK187" i="9"/>
  <c r="FL187" i="9" s="1"/>
  <c r="FK266" i="9"/>
  <c r="FL266" i="9" s="1"/>
  <c r="FK199" i="9"/>
  <c r="FL199" i="9" s="1"/>
  <c r="FO167" i="9"/>
  <c r="FO137" i="9"/>
  <c r="FK149" i="9"/>
  <c r="FL149" i="9" s="1"/>
  <c r="FO163" i="9"/>
  <c r="FK256" i="9"/>
  <c r="FL256" i="9" s="1"/>
  <c r="FK223" i="9"/>
  <c r="FL223" i="9" s="1"/>
  <c r="FO225" i="9"/>
  <c r="FK209" i="9"/>
  <c r="FL209" i="9" s="1"/>
  <c r="FO211" i="9"/>
  <c r="FK243" i="9"/>
  <c r="FL243" i="9" s="1"/>
  <c r="FK155" i="9"/>
  <c r="FL155" i="9" s="1"/>
  <c r="FO292" i="9"/>
  <c r="FK270" i="9"/>
  <c r="FL270" i="9" s="1"/>
  <c r="FO177" i="9"/>
  <c r="FK201" i="9"/>
  <c r="FL201" i="9" s="1"/>
  <c r="FK219" i="9"/>
  <c r="FL219" i="9" s="1"/>
  <c r="FK298" i="9"/>
  <c r="FL298" i="9" s="1"/>
  <c r="FO187" i="9"/>
  <c r="FO266" i="9"/>
  <c r="FO199" i="9"/>
  <c r="EP332" i="9"/>
  <c r="EP457" i="9"/>
  <c r="EP324" i="9"/>
  <c r="EP447" i="9"/>
  <c r="DY348" i="9"/>
  <c r="EA440" i="9" s="1"/>
  <c r="DZ440" i="9" s="1"/>
  <c r="EV43" i="9"/>
  <c r="EV179" i="9"/>
  <c r="CB447" i="9"/>
  <c r="CE281" i="9"/>
  <c r="CS281" i="9"/>
  <c r="CE252" i="9"/>
  <c r="CS252" i="9"/>
  <c r="CE314" i="9"/>
  <c r="CS314" i="9"/>
  <c r="CW314" i="9" s="1"/>
  <c r="CE246" i="9"/>
  <c r="CS246" i="9"/>
  <c r="CE157" i="9"/>
  <c r="CS157" i="9"/>
  <c r="CE188" i="9"/>
  <c r="CS188" i="9"/>
  <c r="CE319" i="9"/>
  <c r="CS319" i="9"/>
  <c r="BN394" i="9"/>
  <c r="BM370" i="9"/>
  <c r="CE30" i="9"/>
  <c r="CS30" i="9"/>
  <c r="CE206" i="9"/>
  <c r="CS206" i="9"/>
  <c r="CE174" i="9"/>
  <c r="CS174" i="9"/>
  <c r="CE110" i="9"/>
  <c r="CS110" i="9"/>
  <c r="CE26" i="9"/>
  <c r="CS26" i="9"/>
  <c r="CE272" i="9"/>
  <c r="CS272" i="9"/>
  <c r="CE257" i="9"/>
  <c r="CS257" i="9"/>
  <c r="CE14" i="9"/>
  <c r="CS14" i="9"/>
  <c r="EV54" i="9"/>
  <c r="FM54" i="9" s="1"/>
  <c r="CN370" i="9"/>
  <c r="CX399" i="9"/>
  <c r="CP5" i="9"/>
  <c r="CP320" i="9" s="1"/>
  <c r="CO320" i="9"/>
  <c r="CN320" i="9"/>
  <c r="CS454" i="9"/>
  <c r="CQ475" i="9"/>
  <c r="CS476" i="9" s="1"/>
  <c r="CS474" i="9" s="1"/>
  <c r="CE108" i="9"/>
  <c r="CS108" i="9"/>
  <c r="CE102" i="9"/>
  <c r="CS102" i="9"/>
  <c r="CW102" i="9" s="1"/>
  <c r="CE193" i="9"/>
  <c r="CS193" i="9"/>
  <c r="CH407" i="9"/>
  <c r="CC378" i="9"/>
  <c r="CE36" i="9"/>
  <c r="CS36" i="9"/>
  <c r="CE122" i="9"/>
  <c r="CS122" i="9"/>
  <c r="CE169" i="9"/>
  <c r="CS169" i="9"/>
  <c r="CE213" i="9"/>
  <c r="CS213" i="9"/>
  <c r="CE290" i="9"/>
  <c r="CS290" i="9"/>
  <c r="CW290" i="9" s="1"/>
  <c r="CE52" i="9"/>
  <c r="CS52" i="9"/>
  <c r="CE226" i="9"/>
  <c r="CS226" i="9"/>
  <c r="EV187" i="9"/>
  <c r="CB457" i="9"/>
  <c r="EV109" i="9"/>
  <c r="DH463" i="9"/>
  <c r="DS324" i="9"/>
  <c r="DS348" i="9" s="1"/>
  <c r="DS320" i="9"/>
  <c r="CE316" i="9"/>
  <c r="CS316" i="9"/>
  <c r="CE53" i="9"/>
  <c r="CS53" i="9"/>
  <c r="CW53" i="9" s="1"/>
  <c r="EV199" i="9"/>
  <c r="FM199" i="9" s="1"/>
  <c r="CE233" i="9"/>
  <c r="CS233" i="9"/>
  <c r="CE120" i="9"/>
  <c r="CS120" i="9"/>
  <c r="CE7" i="9"/>
  <c r="CS7" i="9"/>
  <c r="CE57" i="9"/>
  <c r="CS57" i="9"/>
  <c r="EV280" i="9"/>
  <c r="FM280" i="9" s="1"/>
  <c r="FM260" i="9"/>
  <c r="FM125" i="9"/>
  <c r="BX141" i="14"/>
  <c r="BY133" i="14"/>
  <c r="FM268" i="9"/>
  <c r="CE76" i="9"/>
  <c r="CS76" i="9"/>
  <c r="CW92" i="9"/>
  <c r="CE264" i="9"/>
  <c r="CS264" i="9"/>
  <c r="CE296" i="9"/>
  <c r="CS296" i="9"/>
  <c r="CE194" i="9"/>
  <c r="CS194" i="9"/>
  <c r="CW304" i="9"/>
  <c r="CW145" i="9"/>
  <c r="CW203" i="9"/>
  <c r="FM59" i="9"/>
  <c r="CE135" i="9"/>
  <c r="CS135" i="9"/>
  <c r="CE183" i="9"/>
  <c r="CS183" i="9"/>
  <c r="CE200" i="9"/>
  <c r="CS200" i="9"/>
  <c r="CE37" i="9"/>
  <c r="CS37" i="9"/>
  <c r="CE182" i="9"/>
  <c r="CS182" i="9"/>
  <c r="FM149" i="9"/>
  <c r="FM287" i="9"/>
  <c r="CG423" i="9"/>
  <c r="FM27" i="9"/>
  <c r="FM262" i="9"/>
  <c r="DH449" i="9"/>
  <c r="DJ450" i="9" s="1"/>
  <c r="CW241" i="9"/>
  <c r="CW252" i="9"/>
  <c r="CW207" i="9"/>
  <c r="CC320" i="9"/>
  <c r="CE309" i="9"/>
  <c r="CS309" i="9"/>
  <c r="CW274" i="9"/>
  <c r="CE10" i="9"/>
  <c r="CS10" i="9"/>
  <c r="CC370" i="9"/>
  <c r="CC394" i="9" s="1"/>
  <c r="FM180" i="9"/>
  <c r="CE81" i="9"/>
  <c r="CS81" i="9"/>
  <c r="FM137" i="9"/>
  <c r="CE208" i="9"/>
  <c r="CS208" i="9"/>
  <c r="CE90" i="9"/>
  <c r="CS90" i="9"/>
  <c r="CW227" i="9"/>
  <c r="FM48" i="9"/>
  <c r="CE228" i="9"/>
  <c r="CS228" i="9"/>
  <c r="CX407" i="9"/>
  <c r="CN382" i="9"/>
  <c r="FM101" i="9"/>
  <c r="FM266" i="9"/>
  <c r="CE166" i="9"/>
  <c r="CS166" i="9"/>
  <c r="CE317" i="9"/>
  <c r="CS317" i="9"/>
  <c r="CE245" i="9"/>
  <c r="CS245" i="9"/>
  <c r="CE291" i="9"/>
  <c r="CS291" i="9"/>
  <c r="FM271" i="9"/>
  <c r="CE84" i="9"/>
  <c r="CS84" i="9"/>
  <c r="CW84" i="9" s="1"/>
  <c r="CW255" i="9"/>
  <c r="CW34" i="9"/>
  <c r="CE33" i="9"/>
  <c r="CS33" i="9"/>
  <c r="CW263" i="9"/>
  <c r="CE78" i="9"/>
  <c r="CS78" i="9"/>
  <c r="CW78" i="9" s="1"/>
  <c r="CE202" i="9"/>
  <c r="CS202" i="9"/>
  <c r="CW278" i="9"/>
  <c r="CE170" i="9"/>
  <c r="CS170" i="9"/>
  <c r="CE212" i="9"/>
  <c r="CS212" i="9"/>
  <c r="CE214" i="9"/>
  <c r="CS214" i="9"/>
  <c r="CE173" i="9"/>
  <c r="CS173" i="9"/>
  <c r="CE151" i="9"/>
  <c r="CS151" i="9"/>
  <c r="CE190" i="9"/>
  <c r="CS190" i="9"/>
  <c r="CW190" i="9" s="1"/>
  <c r="FM293" i="9"/>
  <c r="CC167" i="14"/>
  <c r="FM298" i="9"/>
  <c r="DH464" i="9"/>
  <c r="DH453" i="9"/>
  <c r="DH459" i="9"/>
  <c r="DH460" i="9"/>
  <c r="DH470" i="9"/>
  <c r="DF7" i="9"/>
  <c r="DG7" i="9" s="1"/>
  <c r="DE7" i="9"/>
  <c r="DO7" i="9"/>
  <c r="DF11" i="9"/>
  <c r="DG11" i="9" s="1"/>
  <c r="DE11" i="9"/>
  <c r="DO11" i="9"/>
  <c r="DF15" i="9"/>
  <c r="DG15" i="9" s="1"/>
  <c r="DE15" i="9"/>
  <c r="DO15" i="9"/>
  <c r="DF19" i="9"/>
  <c r="DG19" i="9" s="1"/>
  <c r="DE19" i="9"/>
  <c r="DO19" i="9"/>
  <c r="DF23" i="9"/>
  <c r="DG23" i="9" s="1"/>
  <c r="DE23" i="9"/>
  <c r="DO23" i="9"/>
  <c r="DF27" i="9"/>
  <c r="DG27" i="9" s="1"/>
  <c r="DE27" i="9"/>
  <c r="DO27" i="9"/>
  <c r="DF31" i="9"/>
  <c r="DG31" i="9" s="1"/>
  <c r="DE31" i="9"/>
  <c r="DO31" i="9"/>
  <c r="DF35" i="9"/>
  <c r="DG35" i="9" s="1"/>
  <c r="DE35" i="9"/>
  <c r="DO35" i="9"/>
  <c r="DF39" i="9"/>
  <c r="DG39" i="9" s="1"/>
  <c r="DE39" i="9"/>
  <c r="DO39" i="9"/>
  <c r="DF43" i="9"/>
  <c r="DG43" i="9" s="1"/>
  <c r="DE43" i="9"/>
  <c r="DO43" i="9"/>
  <c r="DF47" i="9"/>
  <c r="DG47" i="9" s="1"/>
  <c r="DE47" i="9"/>
  <c r="DO47" i="9"/>
  <c r="DF51" i="9"/>
  <c r="DG51" i="9" s="1"/>
  <c r="DE51" i="9"/>
  <c r="DO51" i="9"/>
  <c r="DF55" i="9"/>
  <c r="DG55" i="9" s="1"/>
  <c r="DE55" i="9"/>
  <c r="DO55" i="9"/>
  <c r="DF59" i="9"/>
  <c r="DG59" i="9" s="1"/>
  <c r="DE59" i="9"/>
  <c r="DO59" i="9"/>
  <c r="DF63" i="9"/>
  <c r="DG63" i="9" s="1"/>
  <c r="DE63" i="9"/>
  <c r="DO63" i="9"/>
  <c r="DO67" i="9"/>
  <c r="DF67" i="9"/>
  <c r="DG67" i="9" s="1"/>
  <c r="DE67" i="9"/>
  <c r="DO71" i="9"/>
  <c r="DF71" i="9"/>
  <c r="DG71" i="9" s="1"/>
  <c r="DE71" i="9"/>
  <c r="DO75" i="9"/>
  <c r="DF75" i="9"/>
  <c r="DG75" i="9" s="1"/>
  <c r="DE75" i="9"/>
  <c r="DO79" i="9"/>
  <c r="DF79" i="9"/>
  <c r="DG79" i="9" s="1"/>
  <c r="DE79" i="9"/>
  <c r="DO83" i="9"/>
  <c r="DF83" i="9"/>
  <c r="DG83" i="9" s="1"/>
  <c r="DE83" i="9"/>
  <c r="DO87" i="9"/>
  <c r="DF87" i="9"/>
  <c r="DG87" i="9" s="1"/>
  <c r="DE87" i="9"/>
  <c r="DO91" i="9"/>
  <c r="DF91" i="9"/>
  <c r="DG91" i="9" s="1"/>
  <c r="DE91" i="9"/>
  <c r="DO95" i="9"/>
  <c r="DF95" i="9"/>
  <c r="DG95" i="9" s="1"/>
  <c r="DE95" i="9"/>
  <c r="DO99" i="9"/>
  <c r="DF99" i="9"/>
  <c r="DG99" i="9" s="1"/>
  <c r="DE99" i="9"/>
  <c r="DO103" i="9"/>
  <c r="DF103" i="9"/>
  <c r="DG103" i="9" s="1"/>
  <c r="DE103" i="9"/>
  <c r="DO107" i="9"/>
  <c r="DF107" i="9"/>
  <c r="DG107" i="9" s="1"/>
  <c r="DE107" i="9"/>
  <c r="DO111" i="9"/>
  <c r="DF111" i="9"/>
  <c r="DG111" i="9" s="1"/>
  <c r="DE111" i="9"/>
  <c r="DO115" i="9"/>
  <c r="DF115" i="9"/>
  <c r="DG115" i="9" s="1"/>
  <c r="DE115" i="9"/>
  <c r="DO119" i="9"/>
  <c r="DF119" i="9"/>
  <c r="DG119" i="9" s="1"/>
  <c r="DE119" i="9"/>
  <c r="DO123" i="9"/>
  <c r="DF123" i="9"/>
  <c r="DG123" i="9" s="1"/>
  <c r="DE123" i="9"/>
  <c r="DO127" i="9"/>
  <c r="DF127" i="9"/>
  <c r="DG127" i="9" s="1"/>
  <c r="DE127" i="9"/>
  <c r="DO131" i="9"/>
  <c r="DF131" i="9"/>
  <c r="DG131" i="9" s="1"/>
  <c r="DE131" i="9"/>
  <c r="DF135" i="9"/>
  <c r="DG135" i="9" s="1"/>
  <c r="DE135" i="9"/>
  <c r="DO135" i="9"/>
  <c r="DF139" i="9"/>
  <c r="DG139" i="9" s="1"/>
  <c r="DE139" i="9"/>
  <c r="DO139" i="9"/>
  <c r="DF143" i="9"/>
  <c r="DG143" i="9" s="1"/>
  <c r="DE143" i="9"/>
  <c r="DO143" i="9"/>
  <c r="DF147" i="9"/>
  <c r="DG147" i="9" s="1"/>
  <c r="DE147" i="9"/>
  <c r="DO147" i="9"/>
  <c r="DF151" i="9"/>
  <c r="DG151" i="9" s="1"/>
  <c r="DE151" i="9"/>
  <c r="DO151" i="9"/>
  <c r="DF155" i="9"/>
  <c r="DG155" i="9" s="1"/>
  <c r="DE155" i="9"/>
  <c r="DO155" i="9"/>
  <c r="DO159" i="9"/>
  <c r="DF159" i="9"/>
  <c r="DG159" i="9" s="1"/>
  <c r="DE159" i="9"/>
  <c r="DO163" i="9"/>
  <c r="DF163" i="9"/>
  <c r="DG163" i="9" s="1"/>
  <c r="DE163" i="9"/>
  <c r="DO167" i="9"/>
  <c r="DF167" i="9"/>
  <c r="DG167" i="9" s="1"/>
  <c r="DE167" i="9"/>
  <c r="DO171" i="9"/>
  <c r="DF171" i="9"/>
  <c r="DG171" i="9" s="1"/>
  <c r="DE171" i="9"/>
  <c r="DO175" i="9"/>
  <c r="DF175" i="9"/>
  <c r="DG175" i="9" s="1"/>
  <c r="DE175" i="9"/>
  <c r="DO179" i="9"/>
  <c r="DF179" i="9"/>
  <c r="DG179" i="9" s="1"/>
  <c r="DE179" i="9"/>
  <c r="DO183" i="9"/>
  <c r="DF183" i="9"/>
  <c r="DG183" i="9" s="1"/>
  <c r="DE183" i="9"/>
  <c r="DO187" i="9"/>
  <c r="DF187" i="9"/>
  <c r="DG187" i="9" s="1"/>
  <c r="DE187" i="9"/>
  <c r="DO191" i="9"/>
  <c r="DF191" i="9"/>
  <c r="DG191" i="9" s="1"/>
  <c r="DE191" i="9"/>
  <c r="DO195" i="9"/>
  <c r="DF195" i="9"/>
  <c r="DG195" i="9" s="1"/>
  <c r="DE195" i="9"/>
  <c r="DO199" i="9"/>
  <c r="DF199" i="9"/>
  <c r="DG199" i="9" s="1"/>
  <c r="DE199" i="9"/>
  <c r="DO203" i="9"/>
  <c r="DF203" i="9"/>
  <c r="DG203" i="9" s="1"/>
  <c r="DE203" i="9"/>
  <c r="DF207" i="9"/>
  <c r="DG207" i="9" s="1"/>
  <c r="DE207" i="9"/>
  <c r="DO207" i="9"/>
  <c r="DF211" i="9"/>
  <c r="DG211" i="9" s="1"/>
  <c r="DE211" i="9"/>
  <c r="DO211" i="9"/>
  <c r="DF215" i="9"/>
  <c r="DG215" i="9" s="1"/>
  <c r="DE215" i="9"/>
  <c r="DO215" i="9"/>
  <c r="DF219" i="9"/>
  <c r="DG219" i="9" s="1"/>
  <c r="DE219" i="9"/>
  <c r="DO219" i="9"/>
  <c r="DO223" i="9"/>
  <c r="DF223" i="9"/>
  <c r="DG223" i="9" s="1"/>
  <c r="DE223" i="9"/>
  <c r="DO227" i="9"/>
  <c r="DF227" i="9"/>
  <c r="DG227" i="9" s="1"/>
  <c r="DE227" i="9"/>
  <c r="DO231" i="9"/>
  <c r="DF231" i="9"/>
  <c r="DG231" i="9" s="1"/>
  <c r="DE231" i="9"/>
  <c r="DO235" i="9"/>
  <c r="DF235" i="9"/>
  <c r="DG235" i="9" s="1"/>
  <c r="DE235" i="9"/>
  <c r="DO239" i="9"/>
  <c r="DF239" i="9"/>
  <c r="DG239" i="9" s="1"/>
  <c r="DE239" i="9"/>
  <c r="DO243" i="9"/>
  <c r="DF243" i="9"/>
  <c r="DG243" i="9" s="1"/>
  <c r="DE243" i="9"/>
  <c r="DF247" i="9"/>
  <c r="DG247" i="9" s="1"/>
  <c r="DO247" i="9"/>
  <c r="DE247" i="9"/>
  <c r="DF251" i="9"/>
  <c r="DG251" i="9" s="1"/>
  <c r="DO251" i="9"/>
  <c r="DE251" i="9"/>
  <c r="DF255" i="9"/>
  <c r="DG255" i="9" s="1"/>
  <c r="DO255" i="9"/>
  <c r="DE255" i="9"/>
  <c r="DF259" i="9"/>
  <c r="DG259" i="9" s="1"/>
  <c r="DO259" i="9"/>
  <c r="DE259" i="9"/>
  <c r="DF263" i="9"/>
  <c r="DG263" i="9" s="1"/>
  <c r="DO263" i="9"/>
  <c r="DE263" i="9"/>
  <c r="DF267" i="9"/>
  <c r="DG267" i="9" s="1"/>
  <c r="DO267" i="9"/>
  <c r="DE267" i="9"/>
  <c r="DF271" i="9"/>
  <c r="DG271" i="9" s="1"/>
  <c r="DO271" i="9"/>
  <c r="DE271" i="9"/>
  <c r="DF275" i="9"/>
  <c r="DG275" i="9" s="1"/>
  <c r="DO275" i="9"/>
  <c r="DE275" i="9"/>
  <c r="DO279" i="9"/>
  <c r="DF279" i="9"/>
  <c r="DG279" i="9" s="1"/>
  <c r="DE279" i="9"/>
  <c r="DO316" i="9"/>
  <c r="DF316" i="9"/>
  <c r="DG316" i="9" s="1"/>
  <c r="DE316" i="9"/>
  <c r="DO280" i="9"/>
  <c r="DF280" i="9"/>
  <c r="DG280" i="9" s="1"/>
  <c r="DE280" i="9"/>
  <c r="DO284" i="9"/>
  <c r="DF284" i="9"/>
  <c r="DG284" i="9" s="1"/>
  <c r="DE284" i="9"/>
  <c r="DO288" i="9"/>
  <c r="DF288" i="9"/>
  <c r="DG288" i="9" s="1"/>
  <c r="DE288" i="9"/>
  <c r="DO292" i="9"/>
  <c r="DF292" i="9"/>
  <c r="DG292" i="9" s="1"/>
  <c r="DE292" i="9"/>
  <c r="DO296" i="9"/>
  <c r="DF296" i="9"/>
  <c r="DG296" i="9" s="1"/>
  <c r="DE296" i="9"/>
  <c r="DO300" i="9"/>
  <c r="DF300" i="9"/>
  <c r="DG300" i="9" s="1"/>
  <c r="DE300" i="9"/>
  <c r="DO304" i="9"/>
  <c r="DF304" i="9"/>
  <c r="DG304" i="9" s="1"/>
  <c r="DE304" i="9"/>
  <c r="DO308" i="9"/>
  <c r="DF308" i="9"/>
  <c r="DG308" i="9" s="1"/>
  <c r="DE308" i="9"/>
  <c r="DO312" i="9"/>
  <c r="DF312" i="9"/>
  <c r="DG312" i="9" s="1"/>
  <c r="DE312" i="9"/>
  <c r="DO8" i="9"/>
  <c r="DF8" i="9"/>
  <c r="DG8" i="9" s="1"/>
  <c r="DE8" i="9"/>
  <c r="DO12" i="9"/>
  <c r="DF12" i="9"/>
  <c r="DG12" i="9" s="1"/>
  <c r="DE12" i="9"/>
  <c r="DO16" i="9"/>
  <c r="DF16" i="9"/>
  <c r="DG16" i="9" s="1"/>
  <c r="DE16" i="9"/>
  <c r="DO20" i="9"/>
  <c r="DF20" i="9"/>
  <c r="DG20" i="9" s="1"/>
  <c r="DE20" i="9"/>
  <c r="DO24" i="9"/>
  <c r="DF24" i="9"/>
  <c r="DG24" i="9" s="1"/>
  <c r="DE24" i="9"/>
  <c r="DO28" i="9"/>
  <c r="DF28" i="9"/>
  <c r="DG28" i="9" s="1"/>
  <c r="DE28" i="9"/>
  <c r="DO32" i="9"/>
  <c r="DF32" i="9"/>
  <c r="DG32" i="9" s="1"/>
  <c r="DE32" i="9"/>
  <c r="DO36" i="9"/>
  <c r="DF36" i="9"/>
  <c r="DG36" i="9" s="1"/>
  <c r="DE36" i="9"/>
  <c r="DO40" i="9"/>
  <c r="DF40" i="9"/>
  <c r="DG40" i="9" s="1"/>
  <c r="DE40" i="9"/>
  <c r="DO44" i="9"/>
  <c r="DF44" i="9"/>
  <c r="DG44" i="9" s="1"/>
  <c r="DE44" i="9"/>
  <c r="DO48" i="9"/>
  <c r="DF48" i="9"/>
  <c r="DG48" i="9" s="1"/>
  <c r="DE48" i="9"/>
  <c r="DO52" i="9"/>
  <c r="DF52" i="9"/>
  <c r="DG52" i="9" s="1"/>
  <c r="DE52" i="9"/>
  <c r="DO56" i="9"/>
  <c r="DF56" i="9"/>
  <c r="DG56" i="9" s="1"/>
  <c r="DE56" i="9"/>
  <c r="DO60" i="9"/>
  <c r="DF60" i="9"/>
  <c r="DG60" i="9" s="1"/>
  <c r="DE60" i="9"/>
  <c r="DO64" i="9"/>
  <c r="DF64" i="9"/>
  <c r="DG64" i="9" s="1"/>
  <c r="DE64" i="9"/>
  <c r="DE68" i="9"/>
  <c r="DO68" i="9"/>
  <c r="DF68" i="9"/>
  <c r="DG68" i="9" s="1"/>
  <c r="DE72" i="9"/>
  <c r="DO72" i="9"/>
  <c r="DF72" i="9"/>
  <c r="DG72" i="9" s="1"/>
  <c r="DE76" i="9"/>
  <c r="DO76" i="9"/>
  <c r="DF76" i="9"/>
  <c r="DG76" i="9" s="1"/>
  <c r="DE80" i="9"/>
  <c r="DO80" i="9"/>
  <c r="DF80" i="9"/>
  <c r="DG80" i="9" s="1"/>
  <c r="DE84" i="9"/>
  <c r="DO84" i="9"/>
  <c r="DF84" i="9"/>
  <c r="DG84" i="9" s="1"/>
  <c r="DE88" i="9"/>
  <c r="DO88" i="9"/>
  <c r="DF88" i="9"/>
  <c r="DG88" i="9" s="1"/>
  <c r="DE92" i="9"/>
  <c r="DO92" i="9"/>
  <c r="DF92" i="9"/>
  <c r="DG92" i="9" s="1"/>
  <c r="DE96" i="9"/>
  <c r="DO96" i="9"/>
  <c r="DF96" i="9"/>
  <c r="DG96" i="9" s="1"/>
  <c r="DE100" i="9"/>
  <c r="DO100" i="9"/>
  <c r="DF100" i="9"/>
  <c r="DG100" i="9" s="1"/>
  <c r="DE104" i="9"/>
  <c r="DO104" i="9"/>
  <c r="DF104" i="9"/>
  <c r="DG104" i="9" s="1"/>
  <c r="DE108" i="9"/>
  <c r="DO108" i="9"/>
  <c r="DF108" i="9"/>
  <c r="DG108" i="9" s="1"/>
  <c r="DE112" i="9"/>
  <c r="DO112" i="9"/>
  <c r="DF112" i="9"/>
  <c r="DG112" i="9" s="1"/>
  <c r="DE116" i="9"/>
  <c r="DO116" i="9"/>
  <c r="DF116" i="9"/>
  <c r="DG116" i="9" s="1"/>
  <c r="DE120" i="9"/>
  <c r="DO120" i="9"/>
  <c r="DF120" i="9"/>
  <c r="DG120" i="9" s="1"/>
  <c r="DE124" i="9"/>
  <c r="DO124" i="9"/>
  <c r="DF124" i="9"/>
  <c r="DG124" i="9" s="1"/>
  <c r="DE128" i="9"/>
  <c r="DO128" i="9"/>
  <c r="DF128" i="9"/>
  <c r="DG128" i="9" s="1"/>
  <c r="DE132" i="9"/>
  <c r="DO132" i="9"/>
  <c r="DF132" i="9"/>
  <c r="DG132" i="9" s="1"/>
  <c r="DO136" i="9"/>
  <c r="DF136" i="9"/>
  <c r="DG136" i="9" s="1"/>
  <c r="DE136" i="9"/>
  <c r="DO140" i="9"/>
  <c r="DF140" i="9"/>
  <c r="DG140" i="9" s="1"/>
  <c r="DE140" i="9"/>
  <c r="DO144" i="9"/>
  <c r="DF144" i="9"/>
  <c r="DG144" i="9" s="1"/>
  <c r="DE144" i="9"/>
  <c r="DO148" i="9"/>
  <c r="DF148" i="9"/>
  <c r="DG148" i="9" s="1"/>
  <c r="DE148" i="9"/>
  <c r="DO152" i="9"/>
  <c r="DF152" i="9"/>
  <c r="DG152" i="9" s="1"/>
  <c r="DE152" i="9"/>
  <c r="DO156" i="9"/>
  <c r="DF156" i="9"/>
  <c r="DG156" i="9" s="1"/>
  <c r="DE156" i="9"/>
  <c r="DE160" i="9"/>
  <c r="DO160" i="9"/>
  <c r="DF160" i="9"/>
  <c r="DG160" i="9" s="1"/>
  <c r="DE164" i="9"/>
  <c r="DO164" i="9"/>
  <c r="DF164" i="9"/>
  <c r="DG164" i="9" s="1"/>
  <c r="DE168" i="9"/>
  <c r="DO168" i="9"/>
  <c r="DF168" i="9"/>
  <c r="DG168" i="9" s="1"/>
  <c r="DE172" i="9"/>
  <c r="DO172" i="9"/>
  <c r="DF172" i="9"/>
  <c r="DG172" i="9" s="1"/>
  <c r="DE176" i="9"/>
  <c r="DO176" i="9"/>
  <c r="DF176" i="9"/>
  <c r="DG176" i="9" s="1"/>
  <c r="DE180" i="9"/>
  <c r="DO180" i="9"/>
  <c r="DF180" i="9"/>
  <c r="DG180" i="9" s="1"/>
  <c r="DE184" i="9"/>
  <c r="DO184" i="9"/>
  <c r="DF184" i="9"/>
  <c r="DG184" i="9" s="1"/>
  <c r="DE188" i="9"/>
  <c r="DO188" i="9"/>
  <c r="DF188" i="9"/>
  <c r="DG188" i="9" s="1"/>
  <c r="DE192" i="9"/>
  <c r="DO192" i="9"/>
  <c r="DF192" i="9"/>
  <c r="DG192" i="9" s="1"/>
  <c r="DE196" i="9"/>
  <c r="DO196" i="9"/>
  <c r="DF196" i="9"/>
  <c r="DG196" i="9" s="1"/>
  <c r="DE200" i="9"/>
  <c r="DO200" i="9"/>
  <c r="DF200" i="9"/>
  <c r="DG200" i="9" s="1"/>
  <c r="DE204" i="9"/>
  <c r="DO204" i="9"/>
  <c r="DF204" i="9"/>
  <c r="DG204" i="9" s="1"/>
  <c r="DO208" i="9"/>
  <c r="DF208" i="9"/>
  <c r="DG208" i="9" s="1"/>
  <c r="DE208" i="9"/>
  <c r="DO212" i="9"/>
  <c r="DF212" i="9"/>
  <c r="DG212" i="9" s="1"/>
  <c r="DE212" i="9"/>
  <c r="DO216" i="9"/>
  <c r="DF216" i="9"/>
  <c r="DG216" i="9" s="1"/>
  <c r="DE216" i="9"/>
  <c r="DO220" i="9"/>
  <c r="DF220" i="9"/>
  <c r="DG220" i="9" s="1"/>
  <c r="DE220" i="9"/>
  <c r="DE224" i="9"/>
  <c r="DO224" i="9"/>
  <c r="DF224" i="9"/>
  <c r="DG224" i="9" s="1"/>
  <c r="DE228" i="9"/>
  <c r="DO228" i="9"/>
  <c r="DF228" i="9"/>
  <c r="DG228" i="9" s="1"/>
  <c r="DE232" i="9"/>
  <c r="DO232" i="9"/>
  <c r="DF232" i="9"/>
  <c r="DG232" i="9" s="1"/>
  <c r="DE236" i="9"/>
  <c r="DO236" i="9"/>
  <c r="DF236" i="9"/>
  <c r="DG236" i="9" s="1"/>
  <c r="DE240" i="9"/>
  <c r="DO240" i="9"/>
  <c r="DF240" i="9"/>
  <c r="DG240" i="9" s="1"/>
  <c r="DE244" i="9"/>
  <c r="DO244" i="9"/>
  <c r="DF244" i="9"/>
  <c r="DG244" i="9" s="1"/>
  <c r="DE248" i="9"/>
  <c r="DF248" i="9"/>
  <c r="DG248" i="9" s="1"/>
  <c r="DO248" i="9"/>
  <c r="DE252" i="9"/>
  <c r="DF252" i="9"/>
  <c r="DG252" i="9" s="1"/>
  <c r="DO252" i="9"/>
  <c r="DE256" i="9"/>
  <c r="DF256" i="9"/>
  <c r="DG256" i="9" s="1"/>
  <c r="DO256" i="9"/>
  <c r="DE260" i="9"/>
  <c r="DF260" i="9"/>
  <c r="DG260" i="9" s="1"/>
  <c r="DO260" i="9"/>
  <c r="DE264" i="9"/>
  <c r="DF264" i="9"/>
  <c r="DG264" i="9" s="1"/>
  <c r="DO264" i="9"/>
  <c r="DE268" i="9"/>
  <c r="DF268" i="9"/>
  <c r="DG268" i="9" s="1"/>
  <c r="DO268" i="9"/>
  <c r="DE272" i="9"/>
  <c r="DF272" i="9"/>
  <c r="DG272" i="9" s="1"/>
  <c r="DO272" i="9"/>
  <c r="DE276" i="9"/>
  <c r="DF276" i="9"/>
  <c r="DG276" i="9" s="1"/>
  <c r="DO276" i="9"/>
  <c r="DE313" i="9"/>
  <c r="DO313" i="9"/>
  <c r="DF313" i="9"/>
  <c r="DG313" i="9" s="1"/>
  <c r="DE317" i="9"/>
  <c r="DO317" i="9"/>
  <c r="DF317" i="9"/>
  <c r="DG317" i="9" s="1"/>
  <c r="DE281" i="9"/>
  <c r="DO281" i="9"/>
  <c r="DF281" i="9"/>
  <c r="DG281" i="9" s="1"/>
  <c r="DE285" i="9"/>
  <c r="DO285" i="9"/>
  <c r="DF285" i="9"/>
  <c r="DG285" i="9" s="1"/>
  <c r="DE289" i="9"/>
  <c r="DO289" i="9"/>
  <c r="DF289" i="9"/>
  <c r="DG289" i="9" s="1"/>
  <c r="DE293" i="9"/>
  <c r="DO293" i="9"/>
  <c r="DF293" i="9"/>
  <c r="DG293" i="9" s="1"/>
  <c r="DE297" i="9"/>
  <c r="DO297" i="9"/>
  <c r="DF297" i="9"/>
  <c r="DG297" i="9" s="1"/>
  <c r="DE301" i="9"/>
  <c r="DO301" i="9"/>
  <c r="DF301" i="9"/>
  <c r="DG301" i="9" s="1"/>
  <c r="DE305" i="9"/>
  <c r="DO305" i="9"/>
  <c r="DF305" i="9"/>
  <c r="DG305" i="9" s="1"/>
  <c r="DE309" i="9"/>
  <c r="DO309" i="9"/>
  <c r="DF309" i="9"/>
  <c r="DG309" i="9" s="1"/>
  <c r="CS449" i="9"/>
  <c r="CS448" i="9"/>
  <c r="FM85" i="9"/>
  <c r="CE96" i="9"/>
  <c r="CS96" i="9"/>
  <c r="FM142" i="9"/>
  <c r="FM292" i="9"/>
  <c r="CE12" i="9"/>
  <c r="CS12" i="9"/>
  <c r="CE130" i="9"/>
  <c r="CS130" i="9"/>
  <c r="CW301" i="9"/>
  <c r="CE60" i="9"/>
  <c r="CS60" i="9"/>
  <c r="CE41" i="9"/>
  <c r="CS41" i="9"/>
  <c r="CW41" i="9" s="1"/>
  <c r="FM97" i="9"/>
  <c r="CE254" i="9"/>
  <c r="CS254" i="9"/>
  <c r="CE94" i="9"/>
  <c r="CS94" i="9"/>
  <c r="CW50" i="9"/>
  <c r="CE279" i="9"/>
  <c r="CS279" i="9"/>
  <c r="CW279" i="9" s="1"/>
  <c r="FM58" i="9"/>
  <c r="CE13" i="9"/>
  <c r="CS13" i="9"/>
  <c r="CE44" i="9"/>
  <c r="CS44" i="9"/>
  <c r="FM285" i="9"/>
  <c r="CF146" i="14"/>
  <c r="CI159" i="14"/>
  <c r="CI167" i="14" s="1"/>
  <c r="CA154" i="14"/>
  <c r="BZ146" i="14"/>
  <c r="FM93" i="9"/>
  <c r="FM89" i="9"/>
  <c r="DB348" i="9"/>
  <c r="CE161" i="9"/>
  <c r="CS161" i="9"/>
  <c r="CE294" i="9"/>
  <c r="CS294" i="9"/>
  <c r="CF320" i="9"/>
  <c r="CE5" i="9"/>
  <c r="CD320" i="9"/>
  <c r="CS5" i="9"/>
  <c r="CW5" i="9" s="1"/>
  <c r="CB436" i="9"/>
  <c r="CB437" i="9" s="1"/>
  <c r="CB441" i="9"/>
  <c r="CL320" i="9"/>
  <c r="CW181" i="9"/>
  <c r="FM70" i="9"/>
  <c r="CE106" i="9"/>
  <c r="CS106" i="9"/>
  <c r="CW106" i="9" s="1"/>
  <c r="CE83" i="9"/>
  <c r="CS83" i="9"/>
  <c r="CW83" i="9" s="1"/>
  <c r="CE238" i="9"/>
  <c r="CS238" i="9"/>
  <c r="CW248" i="9"/>
  <c r="CE153" i="9"/>
  <c r="CS153" i="9"/>
  <c r="CE144" i="9"/>
  <c r="CS144" i="9"/>
  <c r="CE196" i="9"/>
  <c r="CS196" i="9"/>
  <c r="CW128" i="9"/>
  <c r="CE224" i="9"/>
  <c r="CS224" i="9"/>
  <c r="CE75" i="9"/>
  <c r="CS75" i="9"/>
  <c r="CL336" i="9"/>
  <c r="CJ339" i="9" s="1"/>
  <c r="FM129" i="9"/>
  <c r="CW100" i="9"/>
  <c r="CE47" i="9"/>
  <c r="CS47" i="9"/>
  <c r="CE302" i="9"/>
  <c r="CS302" i="9"/>
  <c r="CE265" i="9"/>
  <c r="CS265" i="9"/>
  <c r="CW115" i="9"/>
  <c r="CE178" i="9"/>
  <c r="CS178" i="9"/>
  <c r="CW184" i="9"/>
  <c r="CE250" i="9"/>
  <c r="CS250" i="9"/>
  <c r="CE127" i="9"/>
  <c r="CS127" i="9"/>
  <c r="CE191" i="9"/>
  <c r="CS191" i="9"/>
  <c r="CE121" i="9"/>
  <c r="CS121" i="9"/>
  <c r="CE156" i="9"/>
  <c r="CS156" i="9"/>
  <c r="CE148" i="9"/>
  <c r="CS148" i="9"/>
  <c r="CW277" i="9"/>
  <c r="FM269" i="9"/>
  <c r="FM77" i="9"/>
  <c r="FM186" i="9"/>
  <c r="FB149" i="9"/>
  <c r="ES149" i="9"/>
  <c r="EQ149" i="9"/>
  <c r="ES262" i="9"/>
  <c r="FB262" i="9"/>
  <c r="EQ262" i="9"/>
  <c r="EQ163" i="9"/>
  <c r="ES163" i="9"/>
  <c r="FB163" i="9"/>
  <c r="ER197" i="9"/>
  <c r="FB219" i="9"/>
  <c r="ES219" i="9"/>
  <c r="EQ219" i="9"/>
  <c r="ES237" i="9"/>
  <c r="FB237" i="9"/>
  <c r="EQ237" i="9"/>
  <c r="ES308" i="9"/>
  <c r="FB308" i="9"/>
  <c r="EQ308" i="9"/>
  <c r="FB215" i="9"/>
  <c r="ES215" i="9"/>
  <c r="EQ215" i="9"/>
  <c r="FB260" i="9"/>
  <c r="EQ260" i="9"/>
  <c r="ES260" i="9"/>
  <c r="EV201" i="9"/>
  <c r="FM201" i="9" s="1"/>
  <c r="EQ201" i="9"/>
  <c r="ES201" i="9"/>
  <c r="FB201" i="9"/>
  <c r="ES270" i="9"/>
  <c r="FB270" i="9"/>
  <c r="EQ270" i="9"/>
  <c r="ES235" i="9"/>
  <c r="FB235" i="9"/>
  <c r="EQ235" i="9"/>
  <c r="FB256" i="9"/>
  <c r="EQ256" i="9"/>
  <c r="ES256" i="9"/>
  <c r="ES243" i="9"/>
  <c r="FB243" i="9"/>
  <c r="EQ243" i="9"/>
  <c r="ES266" i="9"/>
  <c r="FB266" i="9"/>
  <c r="EQ266" i="9"/>
  <c r="FB211" i="9"/>
  <c r="ES211" i="9"/>
  <c r="EQ211" i="9"/>
  <c r="FB155" i="9"/>
  <c r="ES155" i="9"/>
  <c r="EQ155" i="9"/>
  <c r="ES267" i="9"/>
  <c r="FB267" i="9"/>
  <c r="EQ267" i="9"/>
  <c r="EQ80" i="9"/>
  <c r="ES80" i="9"/>
  <c r="EQ85" i="9"/>
  <c r="ES85" i="9"/>
  <c r="FB85" i="9"/>
  <c r="FB253" i="9"/>
  <c r="EQ253" i="9"/>
  <c r="ES253" i="9"/>
  <c r="EQ204" i="9"/>
  <c r="ES204" i="9"/>
  <c r="FB204" i="9"/>
  <c r="EV230" i="9"/>
  <c r="FM230" i="9" s="1"/>
  <c r="EQ230" i="9"/>
  <c r="ES230" i="9"/>
  <c r="FB230" i="9"/>
  <c r="EQ283" i="9"/>
  <c r="ES283" i="9"/>
  <c r="FB283" i="9"/>
  <c r="EQ40" i="9"/>
  <c r="FB40" i="9"/>
  <c r="ES40" i="9"/>
  <c r="EQ295" i="9"/>
  <c r="ES295" i="9"/>
  <c r="FB295" i="9"/>
  <c r="ES27" i="9"/>
  <c r="EQ27" i="9"/>
  <c r="EQ35" i="9"/>
  <c r="ES35" i="9"/>
  <c r="EV69" i="9"/>
  <c r="FM69" i="9" s="1"/>
  <c r="EQ69" i="9"/>
  <c r="ES69" i="9"/>
  <c r="EQ95" i="9"/>
  <c r="ES95" i="9"/>
  <c r="FB95" i="9"/>
  <c r="EQ93" i="9"/>
  <c r="ES93" i="9"/>
  <c r="FB93" i="9"/>
  <c r="ES129" i="9"/>
  <c r="FB129" i="9"/>
  <c r="EQ129" i="9"/>
  <c r="EQ65" i="9"/>
  <c r="ES65" i="9"/>
  <c r="FB65" i="9"/>
  <c r="EV91" i="9"/>
  <c r="FM91" i="9" s="1"/>
  <c r="EQ91" i="9"/>
  <c r="ES91" i="9"/>
  <c r="FB91" i="9"/>
  <c r="EQ287" i="9"/>
  <c r="ES287" i="9"/>
  <c r="FB287" i="9"/>
  <c r="EQ73" i="9"/>
  <c r="ES73" i="9"/>
  <c r="FB73" i="9"/>
  <c r="EQ59" i="9"/>
  <c r="ES59" i="9"/>
  <c r="EQ303" i="9"/>
  <c r="ES303" i="9"/>
  <c r="FB303" i="9"/>
  <c r="EQ89" i="9"/>
  <c r="ES89" i="9"/>
  <c r="FB89" i="9"/>
  <c r="EQ311" i="9"/>
  <c r="ES311" i="9"/>
  <c r="FB311" i="9"/>
  <c r="ES124" i="9"/>
  <c r="FB124" i="9"/>
  <c r="EQ124" i="9"/>
  <c r="ES131" i="9"/>
  <c r="FB131" i="9"/>
  <c r="EQ131" i="9"/>
  <c r="ES275" i="9"/>
  <c r="FB275" i="9"/>
  <c r="EQ275" i="9"/>
  <c r="EV103" i="9"/>
  <c r="FM103" i="9" s="1"/>
  <c r="ES103" i="9"/>
  <c r="FB103" i="9"/>
  <c r="EQ103" i="9"/>
  <c r="FB273" i="9"/>
  <c r="EQ273" i="9"/>
  <c r="ES273" i="9"/>
  <c r="FB6" i="9"/>
  <c r="ES6" i="9"/>
  <c r="EQ6" i="9"/>
  <c r="EV133" i="9"/>
  <c r="FM133" i="9" s="1"/>
  <c r="FB133" i="9"/>
  <c r="ES133" i="9"/>
  <c r="EQ133" i="9"/>
  <c r="ES186" i="9"/>
  <c r="FB186" i="9"/>
  <c r="EQ186" i="9"/>
  <c r="EQ38" i="9"/>
  <c r="ES38" i="9"/>
  <c r="ES101" i="9"/>
  <c r="FB101" i="9"/>
  <c r="EQ101" i="9"/>
  <c r="FB261" i="9"/>
  <c r="EQ261" i="9"/>
  <c r="ES261" i="9"/>
  <c r="FB216" i="9"/>
  <c r="ES216" i="9"/>
  <c r="EQ216" i="9"/>
  <c r="ES87" i="9"/>
  <c r="FB87" i="9"/>
  <c r="EQ87" i="9"/>
  <c r="EQ70" i="9"/>
  <c r="ES70" i="9"/>
  <c r="ES249" i="9"/>
  <c r="FB249" i="9"/>
  <c r="EQ249" i="9"/>
  <c r="ES72" i="9"/>
  <c r="EQ72" i="9"/>
  <c r="EQ24" i="9"/>
  <c r="ES24" i="9"/>
  <c r="EQ158" i="9"/>
  <c r="ES158" i="9"/>
  <c r="FB158" i="9"/>
  <c r="EQ168" i="9"/>
  <c r="ES168" i="9"/>
  <c r="FB168" i="9"/>
  <c r="ES114" i="9"/>
  <c r="FB114" i="9"/>
  <c r="EQ114" i="9"/>
  <c r="EP320" i="9"/>
  <c r="ER439" i="9" s="1"/>
  <c r="EP462" i="9"/>
  <c r="EP336" i="9"/>
  <c r="DU319" i="9"/>
  <c r="DU317" i="9"/>
  <c r="DU315" i="9"/>
  <c r="DU313" i="9"/>
  <c r="DU311" i="9"/>
  <c r="DU309" i="9"/>
  <c r="DU307" i="9"/>
  <c r="DU305" i="9"/>
  <c r="DU303" i="9"/>
  <c r="DU301" i="9"/>
  <c r="DU299" i="9"/>
  <c r="DU297" i="9"/>
  <c r="DU295" i="9"/>
  <c r="DU293" i="9"/>
  <c r="DU291" i="9"/>
  <c r="DU289" i="9"/>
  <c r="DU287" i="9"/>
  <c r="DU285" i="9"/>
  <c r="DU283" i="9"/>
  <c r="DU281" i="9"/>
  <c r="DU279" i="9"/>
  <c r="DU277" i="9"/>
  <c r="DU275" i="9"/>
  <c r="DU273" i="9"/>
  <c r="DU271" i="9"/>
  <c r="DU269" i="9"/>
  <c r="DU267" i="9"/>
  <c r="DU265" i="9"/>
  <c r="DU263" i="9"/>
  <c r="DU261" i="9"/>
  <c r="DU259" i="9"/>
  <c r="DU257" i="9"/>
  <c r="DU255" i="9"/>
  <c r="DU253" i="9"/>
  <c r="DU251" i="9"/>
  <c r="DU249" i="9"/>
  <c r="DU247" i="9"/>
  <c r="DU245" i="9"/>
  <c r="DU243" i="9"/>
  <c r="DU241" i="9"/>
  <c r="DU239" i="9"/>
  <c r="DU237" i="9"/>
  <c r="DU235" i="9"/>
  <c r="DU233" i="9"/>
  <c r="DU231" i="9"/>
  <c r="DU229" i="9"/>
  <c r="DU227" i="9"/>
  <c r="DU225" i="9"/>
  <c r="DU223" i="9"/>
  <c r="DU221" i="9"/>
  <c r="DU204" i="9"/>
  <c r="DU202" i="9"/>
  <c r="DU200" i="9"/>
  <c r="DU198" i="9"/>
  <c r="DU196" i="9"/>
  <c r="DU194" i="9"/>
  <c r="DU192" i="9"/>
  <c r="DU190" i="9"/>
  <c r="DU188" i="9"/>
  <c r="DU186" i="9"/>
  <c r="DU184" i="9"/>
  <c r="DU182" i="9"/>
  <c r="DU180" i="9"/>
  <c r="DU178" i="9"/>
  <c r="DU176" i="9"/>
  <c r="DU174" i="9"/>
  <c r="DU172" i="9"/>
  <c r="DU170" i="9"/>
  <c r="DU168" i="9"/>
  <c r="DU166" i="9"/>
  <c r="DU164" i="9"/>
  <c r="DU162" i="9"/>
  <c r="DU160" i="9"/>
  <c r="DU158" i="9"/>
  <c r="DU220" i="9"/>
  <c r="DU218" i="9"/>
  <c r="DU216" i="9"/>
  <c r="DU214" i="9"/>
  <c r="DU212" i="9"/>
  <c r="DU210" i="9"/>
  <c r="DU208" i="9"/>
  <c r="DU206" i="9"/>
  <c r="DU131" i="9"/>
  <c r="DU129" i="9"/>
  <c r="DU127" i="9"/>
  <c r="DU125" i="9"/>
  <c r="DU123" i="9"/>
  <c r="DU121" i="9"/>
  <c r="DU119" i="9"/>
  <c r="DU117" i="9"/>
  <c r="DU115" i="9"/>
  <c r="DU113" i="9"/>
  <c r="DU111" i="9"/>
  <c r="DU109" i="9"/>
  <c r="DU107" i="9"/>
  <c r="DU105" i="9"/>
  <c r="DU103" i="9"/>
  <c r="DU101" i="9"/>
  <c r="DU99" i="9"/>
  <c r="DU97" i="9"/>
  <c r="DU95" i="9"/>
  <c r="DU93" i="9"/>
  <c r="DU91" i="9"/>
  <c r="DU89" i="9"/>
  <c r="DU87" i="9"/>
  <c r="DU85" i="9"/>
  <c r="DU83" i="9"/>
  <c r="DU81" i="9"/>
  <c r="DU79" i="9"/>
  <c r="DU77" i="9"/>
  <c r="DU75" i="9"/>
  <c r="DU73" i="9"/>
  <c r="DU71" i="9"/>
  <c r="DU69" i="9"/>
  <c r="DU67" i="9"/>
  <c r="DU65" i="9"/>
  <c r="DU155" i="9"/>
  <c r="DU153" i="9"/>
  <c r="DU151" i="9"/>
  <c r="DU149" i="9"/>
  <c r="DU147" i="9"/>
  <c r="DU145" i="9"/>
  <c r="DU143" i="9"/>
  <c r="DU141" i="9"/>
  <c r="DU139" i="9"/>
  <c r="DU137" i="9"/>
  <c r="DU135" i="9"/>
  <c r="DU133" i="9"/>
  <c r="DU63" i="9"/>
  <c r="DU61" i="9"/>
  <c r="DU59" i="9"/>
  <c r="DU57" i="9"/>
  <c r="DU55" i="9"/>
  <c r="DU53" i="9"/>
  <c r="DU51" i="9"/>
  <c r="DU49" i="9"/>
  <c r="DU47" i="9"/>
  <c r="DU45" i="9"/>
  <c r="DU43" i="9"/>
  <c r="DU41" i="9"/>
  <c r="DU39" i="9"/>
  <c r="DU37" i="9"/>
  <c r="DU35" i="9"/>
  <c r="DU33" i="9"/>
  <c r="DU31" i="9"/>
  <c r="DU29" i="9"/>
  <c r="DU27" i="9"/>
  <c r="DU25" i="9"/>
  <c r="DU23" i="9"/>
  <c r="DU21" i="9"/>
  <c r="DU19" i="9"/>
  <c r="DU17" i="9"/>
  <c r="DU15" i="9"/>
  <c r="DU13" i="9"/>
  <c r="DU11" i="9"/>
  <c r="DU9" i="9"/>
  <c r="DU7" i="9"/>
  <c r="DU5" i="9"/>
  <c r="DU318" i="9"/>
  <c r="DU316" i="9"/>
  <c r="DU314" i="9"/>
  <c r="DU312" i="9"/>
  <c r="DU310" i="9"/>
  <c r="DU308" i="9"/>
  <c r="DU306" i="9"/>
  <c r="DU304" i="9"/>
  <c r="DU302" i="9"/>
  <c r="DU300" i="9"/>
  <c r="DU298" i="9"/>
  <c r="DU296" i="9"/>
  <c r="DU294" i="9"/>
  <c r="DU292" i="9"/>
  <c r="DU290" i="9"/>
  <c r="DU288" i="9"/>
  <c r="DU286" i="9"/>
  <c r="DU284" i="9"/>
  <c r="DU282" i="9"/>
  <c r="DU280" i="9"/>
  <c r="DU278" i="9"/>
  <c r="DU276" i="9"/>
  <c r="DU274" i="9"/>
  <c r="DU272" i="9"/>
  <c r="DU270" i="9"/>
  <c r="DU268" i="9"/>
  <c r="DU266" i="9"/>
  <c r="DU264" i="9"/>
  <c r="DU262" i="9"/>
  <c r="DU260" i="9"/>
  <c r="DU258" i="9"/>
  <c r="DU256" i="9"/>
  <c r="DU254" i="9"/>
  <c r="DU252" i="9"/>
  <c r="DU250" i="9"/>
  <c r="DU248" i="9"/>
  <c r="DU246" i="9"/>
  <c r="DU244" i="9"/>
  <c r="DU242" i="9"/>
  <c r="DU240" i="9"/>
  <c r="DU238" i="9"/>
  <c r="DU236" i="9"/>
  <c r="DU234" i="9"/>
  <c r="DU232" i="9"/>
  <c r="DU230" i="9"/>
  <c r="DU228" i="9"/>
  <c r="DU226" i="9"/>
  <c r="DU224" i="9"/>
  <c r="DU222" i="9"/>
  <c r="DU205" i="9"/>
  <c r="DU203" i="9"/>
  <c r="DU201" i="9"/>
  <c r="DU199" i="9"/>
  <c r="DU197" i="9"/>
  <c r="DU195" i="9"/>
  <c r="DU193" i="9"/>
  <c r="DU191" i="9"/>
  <c r="DU189" i="9"/>
  <c r="DU187" i="9"/>
  <c r="DU185" i="9"/>
  <c r="DU183" i="9"/>
  <c r="DU181" i="9"/>
  <c r="DU179" i="9"/>
  <c r="DU177" i="9"/>
  <c r="DU175" i="9"/>
  <c r="DU173" i="9"/>
  <c r="DU171" i="9"/>
  <c r="DU169" i="9"/>
  <c r="DU167" i="9"/>
  <c r="DU165" i="9"/>
  <c r="DU163" i="9"/>
  <c r="DU161" i="9"/>
  <c r="DU159" i="9"/>
  <c r="DU157" i="9"/>
  <c r="DU219" i="9"/>
  <c r="DU217" i="9"/>
  <c r="DU215" i="9"/>
  <c r="DU213" i="9"/>
  <c r="DU211" i="9"/>
  <c r="DU209" i="9"/>
  <c r="DU207" i="9"/>
  <c r="DU132" i="9"/>
  <c r="DU130" i="9"/>
  <c r="DU128" i="9"/>
  <c r="DU126" i="9"/>
  <c r="DU124" i="9"/>
  <c r="DU122" i="9"/>
  <c r="DU120" i="9"/>
  <c r="DU118" i="9"/>
  <c r="DU116" i="9"/>
  <c r="DU114" i="9"/>
  <c r="DU112" i="9"/>
  <c r="DU110" i="9"/>
  <c r="DU108" i="9"/>
  <c r="DU106" i="9"/>
  <c r="DU104" i="9"/>
  <c r="DU102" i="9"/>
  <c r="DU100" i="9"/>
  <c r="DU98" i="9"/>
  <c r="DU96" i="9"/>
  <c r="DU94" i="9"/>
  <c r="DU92" i="9"/>
  <c r="DU90" i="9"/>
  <c r="DU88" i="9"/>
  <c r="DU86" i="9"/>
  <c r="DU84" i="9"/>
  <c r="DU82" i="9"/>
  <c r="DU80" i="9"/>
  <c r="DU78" i="9"/>
  <c r="DU76" i="9"/>
  <c r="DU74" i="9"/>
  <c r="DU72" i="9"/>
  <c r="DU70" i="9"/>
  <c r="DU68" i="9"/>
  <c r="DU66" i="9"/>
  <c r="DU156" i="9"/>
  <c r="DU154" i="9"/>
  <c r="DU152" i="9"/>
  <c r="DU150" i="9"/>
  <c r="DU148" i="9"/>
  <c r="DU146" i="9"/>
  <c r="DU144" i="9"/>
  <c r="DU142" i="9"/>
  <c r="DU140" i="9"/>
  <c r="DU138" i="9"/>
  <c r="DU136" i="9"/>
  <c r="DU134" i="9"/>
  <c r="DU64" i="9"/>
  <c r="DU62" i="9"/>
  <c r="DU60" i="9"/>
  <c r="DU58" i="9"/>
  <c r="DU56" i="9"/>
  <c r="DU54" i="9"/>
  <c r="DU52" i="9"/>
  <c r="DU50" i="9"/>
  <c r="DU48" i="9"/>
  <c r="DU46" i="9"/>
  <c r="DU44" i="9"/>
  <c r="DU42" i="9"/>
  <c r="DU40" i="9"/>
  <c r="DU38" i="9"/>
  <c r="DU36" i="9"/>
  <c r="DU34" i="9"/>
  <c r="DU32" i="9"/>
  <c r="DU30" i="9"/>
  <c r="DU28" i="9"/>
  <c r="DU26" i="9"/>
  <c r="DU24" i="9"/>
  <c r="DU22" i="9"/>
  <c r="DU20" i="9"/>
  <c r="DU18" i="9"/>
  <c r="DU16" i="9"/>
  <c r="DU14" i="9"/>
  <c r="DU12" i="9"/>
  <c r="DU10" i="9"/>
  <c r="DU8" i="9"/>
  <c r="DU6" i="9"/>
  <c r="EJ312" i="9"/>
  <c r="EJ310" i="9"/>
  <c r="EJ308" i="9"/>
  <c r="EJ306" i="9"/>
  <c r="EJ304" i="9"/>
  <c r="EJ302" i="9"/>
  <c r="EJ300" i="9"/>
  <c r="EJ298" i="9"/>
  <c r="EJ296" i="9"/>
  <c r="EJ294" i="9"/>
  <c r="EJ292" i="9"/>
  <c r="EJ290" i="9"/>
  <c r="EJ288" i="9"/>
  <c r="EJ286" i="9"/>
  <c r="EJ284" i="9"/>
  <c r="EJ282" i="9"/>
  <c r="EJ280" i="9"/>
  <c r="EJ318" i="9"/>
  <c r="EJ316" i="9"/>
  <c r="EJ314" i="9"/>
  <c r="EJ279" i="9"/>
  <c r="EJ277" i="9"/>
  <c r="EJ275" i="9"/>
  <c r="EJ273" i="9"/>
  <c r="EJ271" i="9"/>
  <c r="EJ269" i="9"/>
  <c r="EJ267" i="9"/>
  <c r="EJ265" i="9"/>
  <c r="EJ263" i="9"/>
  <c r="EJ261" i="9"/>
  <c r="EJ259" i="9"/>
  <c r="EJ257" i="9"/>
  <c r="EJ255" i="9"/>
  <c r="EJ253" i="9"/>
  <c r="EJ251" i="9"/>
  <c r="EJ249" i="9"/>
  <c r="EJ247" i="9"/>
  <c r="EJ245" i="9"/>
  <c r="EJ243" i="9"/>
  <c r="EJ241" i="9"/>
  <c r="EJ239" i="9"/>
  <c r="EJ237" i="9"/>
  <c r="EJ235" i="9"/>
  <c r="EJ233" i="9"/>
  <c r="EJ231" i="9"/>
  <c r="EJ229" i="9"/>
  <c r="EJ227" i="9"/>
  <c r="EJ225" i="9"/>
  <c r="EJ223" i="9"/>
  <c r="EJ221" i="9"/>
  <c r="EJ219" i="9"/>
  <c r="EJ217" i="9"/>
  <c r="EJ215" i="9"/>
  <c r="EJ213" i="9"/>
  <c r="EJ211" i="9"/>
  <c r="EJ209" i="9"/>
  <c r="EJ207" i="9"/>
  <c r="EJ205" i="9"/>
  <c r="EJ203" i="9"/>
  <c r="EJ201" i="9"/>
  <c r="EJ199" i="9"/>
  <c r="EJ197" i="9"/>
  <c r="EJ195" i="9"/>
  <c r="EJ193" i="9"/>
  <c r="EJ191" i="9"/>
  <c r="EJ189" i="9"/>
  <c r="EJ187" i="9"/>
  <c r="EJ185" i="9"/>
  <c r="EJ183" i="9"/>
  <c r="EJ181" i="9"/>
  <c r="EJ179" i="9"/>
  <c r="EJ177" i="9"/>
  <c r="EJ175" i="9"/>
  <c r="EJ173" i="9"/>
  <c r="EJ171" i="9"/>
  <c r="EJ169" i="9"/>
  <c r="EJ167" i="9"/>
  <c r="EJ165" i="9"/>
  <c r="EJ163" i="9"/>
  <c r="EJ161" i="9"/>
  <c r="EJ159" i="9"/>
  <c r="EJ157" i="9"/>
  <c r="EJ155" i="9"/>
  <c r="EJ153" i="9"/>
  <c r="EJ151" i="9"/>
  <c r="EJ149" i="9"/>
  <c r="EJ147" i="9"/>
  <c r="EJ145" i="9"/>
  <c r="EJ143" i="9"/>
  <c r="EJ141" i="9"/>
  <c r="EJ139" i="9"/>
  <c r="EJ137" i="9"/>
  <c r="EJ135" i="9"/>
  <c r="EJ133" i="9"/>
  <c r="EJ131" i="9"/>
  <c r="EJ129" i="9"/>
  <c r="EJ127" i="9"/>
  <c r="EJ125" i="9"/>
  <c r="EJ123" i="9"/>
  <c r="EJ121" i="9"/>
  <c r="EJ119" i="9"/>
  <c r="EJ117" i="9"/>
  <c r="EJ115" i="9"/>
  <c r="EJ113" i="9"/>
  <c r="EJ111" i="9"/>
  <c r="EJ109" i="9"/>
  <c r="EJ107" i="9"/>
  <c r="EJ105" i="9"/>
  <c r="EJ103" i="9"/>
  <c r="EJ101" i="9"/>
  <c r="EJ99" i="9"/>
  <c r="EJ97" i="9"/>
  <c r="EJ95" i="9"/>
  <c r="EJ93" i="9"/>
  <c r="EJ91" i="9"/>
  <c r="EJ89" i="9"/>
  <c r="EJ87" i="9"/>
  <c r="EJ85" i="9"/>
  <c r="EJ83" i="9"/>
  <c r="EJ74" i="9"/>
  <c r="EJ65" i="9"/>
  <c r="EJ48" i="9"/>
  <c r="EJ39" i="9"/>
  <c r="EJ30" i="9"/>
  <c r="EJ13" i="9"/>
  <c r="EJ11" i="9"/>
  <c r="EJ9" i="9"/>
  <c r="EJ7" i="9"/>
  <c r="EJ5" i="9"/>
  <c r="EC436" i="9"/>
  <c r="EJ311" i="9"/>
  <c r="EJ309" i="9"/>
  <c r="EJ307" i="9"/>
  <c r="EJ305" i="9"/>
  <c r="EJ303" i="9"/>
  <c r="EJ301" i="9"/>
  <c r="EJ299" i="9"/>
  <c r="EJ297" i="9"/>
  <c r="EJ295" i="9"/>
  <c r="EJ293" i="9"/>
  <c r="EJ291" i="9"/>
  <c r="EJ289" i="9"/>
  <c r="EJ287" i="9"/>
  <c r="EJ285" i="9"/>
  <c r="EJ283" i="9"/>
  <c r="EJ281" i="9"/>
  <c r="EJ319" i="9"/>
  <c r="EJ317" i="9"/>
  <c r="EJ315" i="9"/>
  <c r="EJ313" i="9"/>
  <c r="EJ278" i="9"/>
  <c r="EJ276" i="9"/>
  <c r="EJ274" i="9"/>
  <c r="EJ272" i="9"/>
  <c r="EJ270" i="9"/>
  <c r="EJ268" i="9"/>
  <c r="EJ266" i="9"/>
  <c r="EJ264" i="9"/>
  <c r="EJ262" i="9"/>
  <c r="EJ260" i="9"/>
  <c r="EJ258" i="9"/>
  <c r="EJ256" i="9"/>
  <c r="EJ254" i="9"/>
  <c r="EJ252" i="9"/>
  <c r="EJ250" i="9"/>
  <c r="EJ248" i="9"/>
  <c r="EJ246" i="9"/>
  <c r="EJ244" i="9"/>
  <c r="EJ242" i="9"/>
  <c r="EJ240" i="9"/>
  <c r="EJ238" i="9"/>
  <c r="EJ236" i="9"/>
  <c r="EJ234" i="9"/>
  <c r="EJ232" i="9"/>
  <c r="EJ230" i="9"/>
  <c r="EJ228" i="9"/>
  <c r="EJ226" i="9"/>
  <c r="EJ224" i="9"/>
  <c r="EJ222" i="9"/>
  <c r="EJ220" i="9"/>
  <c r="EJ218" i="9"/>
  <c r="EJ216" i="9"/>
  <c r="EJ214" i="9"/>
  <c r="EJ212" i="9"/>
  <c r="EJ210" i="9"/>
  <c r="EJ208" i="9"/>
  <c r="EJ206" i="9"/>
  <c r="EJ204" i="9"/>
  <c r="EJ202" i="9"/>
  <c r="EJ200" i="9"/>
  <c r="EJ198" i="9"/>
  <c r="EJ196" i="9"/>
  <c r="EJ194" i="9"/>
  <c r="EJ192" i="9"/>
  <c r="EJ190" i="9"/>
  <c r="EJ188" i="9"/>
  <c r="EJ186" i="9"/>
  <c r="EJ184" i="9"/>
  <c r="EJ182" i="9"/>
  <c r="EJ180" i="9"/>
  <c r="EJ178" i="9"/>
  <c r="EJ176" i="9"/>
  <c r="EJ174" i="9"/>
  <c r="EJ172" i="9"/>
  <c r="EJ170" i="9"/>
  <c r="EJ168" i="9"/>
  <c r="EJ166" i="9"/>
  <c r="EJ164" i="9"/>
  <c r="EJ162" i="9"/>
  <c r="EJ160" i="9"/>
  <c r="EJ158" i="9"/>
  <c r="EJ156" i="9"/>
  <c r="EJ154" i="9"/>
  <c r="EJ152" i="9"/>
  <c r="EJ150" i="9"/>
  <c r="EJ148" i="9"/>
  <c r="EJ146" i="9"/>
  <c r="EJ144" i="9"/>
  <c r="EJ142" i="9"/>
  <c r="EJ140" i="9"/>
  <c r="EJ138" i="9"/>
  <c r="EJ136" i="9"/>
  <c r="EJ134" i="9"/>
  <c r="EJ132" i="9"/>
  <c r="EJ130" i="9"/>
  <c r="EJ128" i="9"/>
  <c r="EJ126" i="9"/>
  <c r="EJ124" i="9"/>
  <c r="EJ122" i="9"/>
  <c r="EJ120" i="9"/>
  <c r="EJ118" i="9"/>
  <c r="EJ116" i="9"/>
  <c r="EJ114" i="9"/>
  <c r="EJ112" i="9"/>
  <c r="EJ110" i="9"/>
  <c r="EJ108" i="9"/>
  <c r="EJ106" i="9"/>
  <c r="EJ104" i="9"/>
  <c r="EJ102" i="9"/>
  <c r="EJ100" i="9"/>
  <c r="EJ98" i="9"/>
  <c r="EJ96" i="9"/>
  <c r="EJ94" i="9"/>
  <c r="EJ92" i="9"/>
  <c r="EJ90" i="9"/>
  <c r="EJ88" i="9"/>
  <c r="EJ86" i="9"/>
  <c r="EJ84" i="9"/>
  <c r="EJ82" i="9"/>
  <c r="EJ73" i="9"/>
  <c r="EJ64" i="9"/>
  <c r="EJ49" i="9"/>
  <c r="EJ40" i="9"/>
  <c r="EJ31" i="9"/>
  <c r="EJ14" i="9"/>
  <c r="EJ12" i="9"/>
  <c r="EJ10" i="9"/>
  <c r="EJ8" i="9"/>
  <c r="EJ6" i="9"/>
  <c r="EH79" i="9"/>
  <c r="EJ79" i="9" s="1"/>
  <c r="EH69" i="9"/>
  <c r="EJ69" i="9" s="1"/>
  <c r="EK69" i="9" s="1"/>
  <c r="EH59" i="9"/>
  <c r="EJ59" i="9" s="1"/>
  <c r="EK59" i="9" s="1"/>
  <c r="EH51" i="9"/>
  <c r="EJ51" i="9" s="1"/>
  <c r="EK51" i="9" s="1"/>
  <c r="EH41" i="9"/>
  <c r="EJ41" i="9" s="1"/>
  <c r="EH29" i="9"/>
  <c r="EJ29" i="9" s="1"/>
  <c r="EH21" i="9"/>
  <c r="EJ21" i="9" s="1"/>
  <c r="EH80" i="9"/>
  <c r="EJ80" i="9" s="1"/>
  <c r="EK80" i="9" s="1"/>
  <c r="EH70" i="9"/>
  <c r="EJ70" i="9" s="1"/>
  <c r="EK70" i="9" s="1"/>
  <c r="EH60" i="9"/>
  <c r="EJ60" i="9" s="1"/>
  <c r="EH52" i="9"/>
  <c r="EJ52" i="9" s="1"/>
  <c r="EH42" i="9"/>
  <c r="EJ42" i="9" s="1"/>
  <c r="EH32" i="9"/>
  <c r="EJ32" i="9" s="1"/>
  <c r="EK32" i="9" s="1"/>
  <c r="EH22" i="9"/>
  <c r="EJ22" i="9" s="1"/>
  <c r="EH81" i="9"/>
  <c r="EJ81" i="9" s="1"/>
  <c r="EH71" i="9"/>
  <c r="EJ71" i="9" s="1"/>
  <c r="EH61" i="9"/>
  <c r="EJ61" i="9" s="1"/>
  <c r="EK61" i="9" s="1"/>
  <c r="EH53" i="9"/>
  <c r="EJ53" i="9" s="1"/>
  <c r="EH43" i="9"/>
  <c r="EJ43" i="9" s="1"/>
  <c r="EK43" i="9" s="1"/>
  <c r="EH33" i="9"/>
  <c r="EJ33" i="9" s="1"/>
  <c r="EH23" i="9"/>
  <c r="EJ23" i="9" s="1"/>
  <c r="EH15" i="9"/>
  <c r="EJ15" i="9" s="1"/>
  <c r="EH72" i="9"/>
  <c r="EJ72" i="9" s="1"/>
  <c r="EK72" i="9" s="1"/>
  <c r="EH62" i="9"/>
  <c r="EJ62" i="9" s="1"/>
  <c r="EK62" i="9" s="1"/>
  <c r="EH54" i="9"/>
  <c r="EJ54" i="9" s="1"/>
  <c r="EK54" i="9" s="1"/>
  <c r="EH44" i="9"/>
  <c r="EJ44" i="9" s="1"/>
  <c r="EH34" i="9"/>
  <c r="EJ34" i="9" s="1"/>
  <c r="EH24" i="9"/>
  <c r="EJ24" i="9" s="1"/>
  <c r="EK24" i="9" s="1"/>
  <c r="EH16" i="9"/>
  <c r="EJ16" i="9" s="1"/>
  <c r="EK16" i="9" s="1"/>
  <c r="EH75" i="9"/>
  <c r="EJ75" i="9" s="1"/>
  <c r="EH63" i="9"/>
  <c r="EJ63" i="9" s="1"/>
  <c r="EH55" i="9"/>
  <c r="EJ55" i="9" s="1"/>
  <c r="EH45" i="9"/>
  <c r="EJ45" i="9" s="1"/>
  <c r="EK45" i="9" s="1"/>
  <c r="EH35" i="9"/>
  <c r="EJ35" i="9" s="1"/>
  <c r="EK35" i="9" s="1"/>
  <c r="EH25" i="9"/>
  <c r="EJ25" i="9" s="1"/>
  <c r="EH17" i="9"/>
  <c r="EJ17" i="9" s="1"/>
  <c r="EH76" i="9"/>
  <c r="EJ76" i="9" s="1"/>
  <c r="EH66" i="9"/>
  <c r="EJ66" i="9" s="1"/>
  <c r="EH56" i="9"/>
  <c r="EJ56" i="9" s="1"/>
  <c r="EK56" i="9" s="1"/>
  <c r="EH46" i="9"/>
  <c r="EJ46" i="9" s="1"/>
  <c r="EH36" i="9"/>
  <c r="EJ36" i="9" s="1"/>
  <c r="EH26" i="9"/>
  <c r="EJ26" i="9" s="1"/>
  <c r="EH18" i="9"/>
  <c r="EJ18" i="9" s="1"/>
  <c r="EH77" i="9"/>
  <c r="EJ77" i="9" s="1"/>
  <c r="EK77" i="9" s="1"/>
  <c r="EH67" i="9"/>
  <c r="EJ67" i="9" s="1"/>
  <c r="EH57" i="9"/>
  <c r="EJ57" i="9" s="1"/>
  <c r="EH47" i="9"/>
  <c r="EJ47" i="9" s="1"/>
  <c r="EH37" i="9"/>
  <c r="EJ37" i="9" s="1"/>
  <c r="EH27" i="9"/>
  <c r="EJ27" i="9" s="1"/>
  <c r="EK27" i="9" s="1"/>
  <c r="EH19" i="9"/>
  <c r="EJ19" i="9" s="1"/>
  <c r="EK19" i="9" s="1"/>
  <c r="EH78" i="9"/>
  <c r="EJ78" i="9" s="1"/>
  <c r="EH68" i="9"/>
  <c r="EJ68" i="9" s="1"/>
  <c r="EH58" i="9"/>
  <c r="EJ58" i="9" s="1"/>
  <c r="EK58" i="9" s="1"/>
  <c r="EH50" i="9"/>
  <c r="EJ50" i="9" s="1"/>
  <c r="EH38" i="9"/>
  <c r="EJ38" i="9" s="1"/>
  <c r="EK38" i="9" s="1"/>
  <c r="EH28" i="9"/>
  <c r="EJ28" i="9" s="1"/>
  <c r="EH20" i="9"/>
  <c r="EJ20" i="9" s="1"/>
  <c r="EV283" i="9"/>
  <c r="FM283" i="9" s="1"/>
  <c r="CS450" i="9"/>
  <c r="EV223" i="9"/>
  <c r="FM223" i="9" s="1"/>
  <c r="CE162" i="9"/>
  <c r="CS162" i="9"/>
  <c r="CE46" i="9"/>
  <c r="CS46" i="9"/>
  <c r="CE239" i="9"/>
  <c r="CS239" i="9"/>
  <c r="CW246" i="9"/>
  <c r="CE297" i="9"/>
  <c r="CS297" i="9"/>
  <c r="CW319" i="9"/>
  <c r="CE313" i="9"/>
  <c r="CS313" i="9"/>
  <c r="CE111" i="9"/>
  <c r="CS111" i="9"/>
  <c r="CE99" i="9"/>
  <c r="CS99" i="9"/>
  <c r="CW174" i="9"/>
  <c r="CW110" i="9"/>
  <c r="CE29" i="9"/>
  <c r="CS29" i="9"/>
  <c r="CE259" i="9"/>
  <c r="CS259" i="9"/>
  <c r="EV218" i="9"/>
  <c r="FM218" i="9" s="1"/>
  <c r="AW191" i="14"/>
  <c r="CP370" i="9"/>
  <c r="CP394" i="9" s="1"/>
  <c r="CX320" i="9"/>
  <c r="CQ476" i="9"/>
  <c r="CS455" i="9"/>
  <c r="CS460" i="9"/>
  <c r="CE222" i="9"/>
  <c r="CS222" i="9"/>
  <c r="CE86" i="9"/>
  <c r="CS86" i="9"/>
  <c r="CE74" i="9"/>
  <c r="CS74" i="9"/>
  <c r="CE118" i="9"/>
  <c r="CS118" i="9"/>
  <c r="CC335" i="9"/>
  <c r="CC333" i="9"/>
  <c r="CC334" i="9"/>
  <c r="CE9" i="9"/>
  <c r="CE378" i="9" s="1"/>
  <c r="CD378" i="9" s="1"/>
  <c r="CS9" i="9"/>
  <c r="CL332" i="9"/>
  <c r="CW36" i="9"/>
  <c r="CE79" i="9"/>
  <c r="CS79" i="9"/>
  <c r="CE49" i="9"/>
  <c r="CS49" i="9"/>
  <c r="CE18" i="9"/>
  <c r="CS18" i="9"/>
  <c r="CE171" i="9"/>
  <c r="CS171" i="9"/>
  <c r="CW171" i="9" s="1"/>
  <c r="CE189" i="9"/>
  <c r="CS189" i="9"/>
  <c r="CE159" i="9"/>
  <c r="CS159" i="9"/>
  <c r="EV256" i="9"/>
  <c r="FM256" i="9" s="1"/>
  <c r="CE244" i="9"/>
  <c r="CS244" i="9"/>
  <c r="CE286" i="9"/>
  <c r="CS286" i="9"/>
  <c r="CE175" i="9"/>
  <c r="CS175" i="9"/>
  <c r="CW169" i="9"/>
  <c r="CE152" i="9"/>
  <c r="CS152" i="9"/>
  <c r="CE98" i="9"/>
  <c r="CS98" i="9"/>
  <c r="CE66" i="9"/>
  <c r="CS66" i="9"/>
  <c r="EV258" i="9"/>
  <c r="FM258" i="9" s="1"/>
  <c r="CE185" i="9"/>
  <c r="CS185" i="9"/>
  <c r="CW185" i="9" s="1"/>
  <c r="CE247" i="9"/>
  <c r="CS247" i="9"/>
  <c r="CW247" i="9" s="1"/>
  <c r="CE160" i="9"/>
  <c r="CS160" i="9"/>
  <c r="EV119" i="9"/>
  <c r="FM119" i="9" s="1"/>
  <c r="CW52" i="9"/>
  <c r="CE67" i="9"/>
  <c r="CS67" i="9"/>
  <c r="CE221" i="9"/>
  <c r="CS221" i="9"/>
  <c r="CW226" i="9"/>
  <c r="CE23" i="9"/>
  <c r="CS23" i="9"/>
  <c r="EV275" i="9"/>
  <c r="FM275" i="9" s="1"/>
  <c r="EV95" i="9"/>
  <c r="FM95" i="9" s="1"/>
  <c r="EV177" i="9"/>
  <c r="BM154" i="14"/>
  <c r="CS464" i="9"/>
  <c r="CS463" i="9"/>
  <c r="EV56" i="9"/>
  <c r="FM56" i="9" s="1"/>
  <c r="CE141" i="9"/>
  <c r="CS141" i="9"/>
  <c r="EV211" i="9"/>
  <c r="FM211" i="9" s="1"/>
  <c r="EV104" i="9"/>
  <c r="FM104" i="9" s="1"/>
  <c r="CE28" i="9"/>
  <c r="CS28" i="9"/>
  <c r="CW7" i="9"/>
  <c r="EV198" i="9"/>
  <c r="FM198" i="9" s="1"/>
  <c r="CE195" i="9"/>
  <c r="CS195" i="9"/>
  <c r="CE154" i="9"/>
  <c r="CS154" i="9"/>
  <c r="CE116" i="9"/>
  <c r="CS116" i="9"/>
  <c r="CE164" i="9"/>
  <c r="CS164" i="9"/>
  <c r="CE146" i="9"/>
  <c r="CS146" i="9"/>
  <c r="CE305" i="9"/>
  <c r="CS305" i="9"/>
  <c r="CW57" i="9"/>
  <c r="EV73" i="9"/>
  <c r="FM73" i="9" s="1"/>
  <c r="EV6" i="9"/>
  <c r="EV168" i="9"/>
  <c r="FM168" i="9" s="1"/>
  <c r="EV209" i="9"/>
  <c r="FM209" i="9" s="1"/>
  <c r="EV65" i="9"/>
  <c r="FM65" i="9" s="1"/>
  <c r="EV205" i="9"/>
  <c r="FM205" i="9" s="1"/>
  <c r="CS459" i="9"/>
  <c r="S145" i="12"/>
  <c r="Y145" i="12"/>
  <c r="AD158" i="12"/>
  <c r="BM376" i="9"/>
  <c r="BS327" i="9"/>
  <c r="BJ327" i="9"/>
  <c r="BM380" i="9"/>
  <c r="BO380" i="9"/>
  <c r="AV381" i="9"/>
  <c r="AX381" i="9"/>
  <c r="BB327" i="9"/>
  <c r="AV373" i="9"/>
  <c r="AX373" i="9"/>
  <c r="AV380" i="9"/>
  <c r="AX380" i="9"/>
  <c r="BM375" i="9"/>
  <c r="BM372" i="9"/>
  <c r="BO372" i="9"/>
  <c r="BJ326" i="9"/>
  <c r="AV377" i="9"/>
  <c r="BB326" i="9"/>
  <c r="AU326" i="9"/>
  <c r="CB333" i="9"/>
  <c r="CK333" i="9"/>
  <c r="BZ333" i="9"/>
  <c r="CA333" i="9" s="1"/>
  <c r="BW379" i="9"/>
  <c r="CH408" i="9"/>
  <c r="CG408" i="9"/>
  <c r="CC379" i="9"/>
  <c r="CL333" i="9"/>
  <c r="BY379" i="9"/>
  <c r="AY404" i="9"/>
  <c r="AU375" i="9"/>
  <c r="AO375" i="9"/>
  <c r="BC329" i="9"/>
  <c r="AT329" i="9"/>
  <c r="AZ404" i="9"/>
  <c r="AQ375" i="9"/>
  <c r="AW375" i="9"/>
  <c r="AR329" i="9"/>
  <c r="BD329" i="9"/>
  <c r="BI325" i="9"/>
  <c r="BK325" i="9"/>
  <c r="BT325" i="9"/>
  <c r="BL371" i="9"/>
  <c r="BQ400" i="9"/>
  <c r="BN371" i="9"/>
  <c r="BH371" i="9"/>
  <c r="BP400" i="9"/>
  <c r="BF371" i="9"/>
  <c r="BU325" i="9"/>
  <c r="AZ400" i="9"/>
  <c r="AW371" i="9"/>
  <c r="AT325" i="9"/>
  <c r="BC325" i="9"/>
  <c r="AR325" i="9"/>
  <c r="AO371" i="9"/>
  <c r="AY400" i="9"/>
  <c r="BD325" i="9"/>
  <c r="AU371" i="9"/>
  <c r="AQ371" i="9"/>
  <c r="AZ408" i="9"/>
  <c r="AW379" i="9"/>
  <c r="AR333" i="9"/>
  <c r="AS333" i="9" s="1"/>
  <c r="AS332" i="9" s="1"/>
  <c r="AT333" i="9"/>
  <c r="BC333" i="9"/>
  <c r="BD333" i="9"/>
  <c r="AQ379" i="9"/>
  <c r="AO379" i="9"/>
  <c r="AU379" i="9"/>
  <c r="AY408" i="9"/>
  <c r="DB339" i="9"/>
  <c r="CN385" i="9"/>
  <c r="CP385" i="9"/>
  <c r="CX414" i="9"/>
  <c r="CH405" i="9"/>
  <c r="BY376" i="9"/>
  <c r="CE376" i="9"/>
  <c r="BW376" i="9"/>
  <c r="CB330" i="9"/>
  <c r="CG405" i="9"/>
  <c r="CC376" i="9"/>
  <c r="CK330" i="9"/>
  <c r="CL330" i="9"/>
  <c r="BZ330" i="9"/>
  <c r="BK337" i="9"/>
  <c r="BL337" i="9" s="1"/>
  <c r="BI337" i="9"/>
  <c r="BJ337" i="9" s="1"/>
  <c r="BL383" i="9"/>
  <c r="BQ412" i="9"/>
  <c r="BT337" i="9"/>
  <c r="BN383" i="9"/>
  <c r="BF383" i="9"/>
  <c r="BH383" i="9"/>
  <c r="BU337" i="9"/>
  <c r="BS337" i="9" s="1"/>
  <c r="BP412" i="9"/>
  <c r="CB327" i="9"/>
  <c r="BZ327" i="9"/>
  <c r="CK327" i="9"/>
  <c r="CH402" i="9"/>
  <c r="BW373" i="9"/>
  <c r="CG402" i="9"/>
  <c r="BY373" i="9"/>
  <c r="CC373" i="9"/>
  <c r="CL327" i="9"/>
  <c r="CE373" i="9"/>
  <c r="CK334" i="9"/>
  <c r="CB334" i="9"/>
  <c r="BZ334" i="9"/>
  <c r="CA334" i="9" s="1"/>
  <c r="CL334" i="9"/>
  <c r="BY380" i="9"/>
  <c r="BW380" i="9"/>
  <c r="CH409" i="9"/>
  <c r="CC380" i="9"/>
  <c r="CG409" i="9"/>
  <c r="CE380" i="9"/>
  <c r="BI333" i="9"/>
  <c r="BJ333" i="9" s="1"/>
  <c r="BJ332" i="9" s="1"/>
  <c r="BT333" i="9"/>
  <c r="BK333" i="9"/>
  <c r="BQ408" i="9"/>
  <c r="BU333" i="9"/>
  <c r="BL379" i="9"/>
  <c r="BH379" i="9"/>
  <c r="BP408" i="9"/>
  <c r="BN379" i="9"/>
  <c r="BF379" i="9"/>
  <c r="AA145" i="12"/>
  <c r="U145" i="12"/>
  <c r="V132" i="12"/>
  <c r="AC158" i="12"/>
  <c r="W130" i="14"/>
  <c r="CP388" i="9"/>
  <c r="CV388" i="9"/>
  <c r="CN388" i="9"/>
  <c r="DB342" i="9"/>
  <c r="DC342" i="9"/>
  <c r="CQ342" i="9"/>
  <c r="CX417" i="9"/>
  <c r="CY417" i="9"/>
  <c r="CT388" i="9"/>
  <c r="CS342" i="9"/>
  <c r="AZ413" i="9"/>
  <c r="AW384" i="9"/>
  <c r="AR338" i="9"/>
  <c r="AS338" i="9" s="1"/>
  <c r="AS336" i="9" s="1"/>
  <c r="AT338" i="9"/>
  <c r="AU338" i="9" s="1"/>
  <c r="BC338" i="9"/>
  <c r="BD338" i="9"/>
  <c r="BB338" i="9" s="1"/>
  <c r="AO384" i="9"/>
  <c r="AQ384" i="9"/>
  <c r="AU384" i="9"/>
  <c r="AY413" i="9"/>
  <c r="CX416" i="9"/>
  <c r="CT387" i="9"/>
  <c r="CS341" i="9"/>
  <c r="CY416" i="9"/>
  <c r="CP387" i="9"/>
  <c r="CV387" i="9"/>
  <c r="CN387" i="9"/>
  <c r="DB341" i="9"/>
  <c r="DC341" i="9"/>
  <c r="CQ341" i="9"/>
  <c r="CX418" i="9"/>
  <c r="CY418" i="9"/>
  <c r="CT389" i="9"/>
  <c r="CS343" i="9"/>
  <c r="CP389" i="9"/>
  <c r="CV389" i="9"/>
  <c r="CN389" i="9"/>
  <c r="DB343" i="9"/>
  <c r="DC343" i="9"/>
  <c r="CQ343" i="9"/>
  <c r="BZ326" i="9"/>
  <c r="CB326" i="9"/>
  <c r="CK326" i="9"/>
  <c r="CH401" i="9"/>
  <c r="CC372" i="9"/>
  <c r="CL326" i="9"/>
  <c r="BW372" i="9"/>
  <c r="CG401" i="9"/>
  <c r="BY372" i="9"/>
  <c r="CE372" i="9"/>
  <c r="BI338" i="9"/>
  <c r="BJ338" i="9" s="1"/>
  <c r="BK338" i="9"/>
  <c r="BL338" i="9" s="1"/>
  <c r="BT338" i="9"/>
  <c r="BQ413" i="9"/>
  <c r="BL384" i="9"/>
  <c r="BN384" i="9"/>
  <c r="BH384" i="9"/>
  <c r="BF384" i="9"/>
  <c r="BU338" i="9"/>
  <c r="BS338" i="9" s="1"/>
  <c r="BP413" i="9"/>
  <c r="CG406" i="9"/>
  <c r="CC377" i="9"/>
  <c r="CK331" i="9"/>
  <c r="CB331" i="9"/>
  <c r="BZ331" i="9"/>
  <c r="CH406" i="9"/>
  <c r="BY377" i="9"/>
  <c r="CE377" i="9"/>
  <c r="BW377" i="9"/>
  <c r="CL331" i="9"/>
  <c r="CG417" i="9"/>
  <c r="CC388" i="9"/>
  <c r="CL342" i="9"/>
  <c r="BZ342" i="9"/>
  <c r="CK342" i="9"/>
  <c r="CH417" i="9"/>
  <c r="BY388" i="9"/>
  <c r="CE388" i="9"/>
  <c r="BW388" i="9"/>
  <c r="CB342" i="9"/>
  <c r="CB335" i="9"/>
  <c r="CK335" i="9"/>
  <c r="BZ335" i="9"/>
  <c r="CA335" i="9" s="1"/>
  <c r="CC381" i="9"/>
  <c r="CG410" i="9"/>
  <c r="BY381" i="9"/>
  <c r="BW381" i="9"/>
  <c r="CH410" i="9"/>
  <c r="CL335" i="9"/>
  <c r="CE381" i="9"/>
  <c r="BZ337" i="9"/>
  <c r="CA337" i="9" s="1"/>
  <c r="CK337" i="9"/>
  <c r="CB337" i="9"/>
  <c r="CC337" i="9" s="1"/>
  <c r="BW383" i="9"/>
  <c r="CH412" i="9"/>
  <c r="CL337" i="9"/>
  <c r="CJ337" i="9" s="1"/>
  <c r="CC383" i="9"/>
  <c r="BY383" i="9"/>
  <c r="CG412" i="9"/>
  <c r="CE383" i="9"/>
  <c r="AQ157" i="14"/>
  <c r="AK131" i="14"/>
  <c r="AI157" i="14"/>
  <c r="AI131" i="14"/>
  <c r="AF144" i="14"/>
  <c r="AH144" i="14"/>
  <c r="AL144" i="14"/>
  <c r="AP157" i="14"/>
  <c r="AN144" i="14"/>
  <c r="Z144" i="14"/>
  <c r="X144" i="14" s="1"/>
  <c r="W144" i="14" s="1"/>
  <c r="BM377" i="9"/>
  <c r="BM373" i="9"/>
  <c r="BO373" i="9"/>
  <c r="BL327" i="9"/>
  <c r="BB336" i="9"/>
  <c r="AV383" i="9"/>
  <c r="AX383" i="9"/>
  <c r="AU336" i="9"/>
  <c r="CD389" i="9"/>
  <c r="BM381" i="9"/>
  <c r="BO381" i="9"/>
  <c r="AS327" i="9"/>
  <c r="AU327" i="9"/>
  <c r="AV376" i="9"/>
  <c r="BS326" i="9"/>
  <c r="BL326" i="9"/>
  <c r="AV372" i="9"/>
  <c r="AX372" i="9"/>
  <c r="AS326" i="9"/>
  <c r="H6" i="17"/>
  <c r="AH417" i="9"/>
  <c r="AV38" i="13"/>
  <c r="AU33" i="13"/>
  <c r="AW42" i="13"/>
  <c r="AV41" i="13"/>
  <c r="AW45" i="13"/>
  <c r="AV32" i="13"/>
  <c r="AU38" i="13"/>
  <c r="AW40" i="13"/>
  <c r="AV31" i="13"/>
  <c r="AU34" i="13"/>
  <c r="AW36" i="13"/>
  <c r="AV35" i="13"/>
  <c r="AU10" i="13"/>
  <c r="AV44" i="13"/>
  <c r="AU42" i="13"/>
  <c r="AW44" i="13"/>
  <c r="AV10" i="13"/>
  <c r="AU41" i="13"/>
  <c r="AW35" i="13"/>
  <c r="AV34" i="13"/>
  <c r="AW31" i="13"/>
  <c r="AV40" i="13"/>
  <c r="AU31" i="13"/>
  <c r="AW33" i="13"/>
  <c r="AV39" i="13"/>
  <c r="AU45" i="13"/>
  <c r="AW39" i="13"/>
  <c r="AV45" i="13"/>
  <c r="AU40" i="13"/>
  <c r="AW34" i="13"/>
  <c r="AV33" i="13"/>
  <c r="AU36" i="13"/>
  <c r="AW10" i="13"/>
  <c r="AV37" i="13"/>
  <c r="AU32" i="13"/>
  <c r="AV42" i="13"/>
  <c r="AU44" i="13"/>
  <c r="AW38" i="13"/>
  <c r="AU39" i="13"/>
  <c r="AW41" i="13"/>
  <c r="AV36" i="13"/>
  <c r="AU35" i="13"/>
  <c r="AW37" i="13"/>
  <c r="AW32" i="13"/>
  <c r="H7" i="17"/>
  <c r="I5" i="17"/>
  <c r="AA34" i="2"/>
  <c r="S19" i="2"/>
  <c r="V34" i="2"/>
  <c r="O46" i="2"/>
  <c r="T29" i="2"/>
  <c r="R24" i="2"/>
  <c r="AC34" i="2"/>
  <c r="AA342" i="9"/>
  <c r="AI417" i="9"/>
  <c r="AD388" i="9"/>
  <c r="AF388" i="9"/>
  <c r="AG388" i="9" s="1"/>
  <c r="AC342" i="9"/>
  <c r="AD342" i="9" s="1"/>
  <c r="AL342" i="9"/>
  <c r="Z388" i="9"/>
  <c r="AM342" i="9"/>
  <c r="AK342" i="9" s="1"/>
  <c r="E9" i="17"/>
  <c r="E10" i="17" s="1"/>
  <c r="F8" i="17"/>
  <c r="AC470" i="9"/>
  <c r="I34" i="2" s="1"/>
  <c r="AB342" i="9"/>
  <c r="AB374" i="9"/>
  <c r="AP21" i="2"/>
  <c r="AL21" i="2"/>
  <c r="C45" i="10"/>
  <c r="C33" i="10"/>
  <c r="AG374" i="9"/>
  <c r="P39" i="2"/>
  <c r="P46" i="2"/>
  <c r="AD33" i="2"/>
  <c r="AE33" i="2"/>
  <c r="AH44" i="2"/>
  <c r="AI44" i="2"/>
  <c r="AE52" i="2"/>
  <c r="AD52" i="2"/>
  <c r="N29" i="2"/>
  <c r="AH11" i="2"/>
  <c r="AJ11" i="2"/>
  <c r="AH12" i="2"/>
  <c r="AJ12" i="2"/>
  <c r="AH27" i="2"/>
  <c r="AI27" i="2"/>
  <c r="AH31" i="2"/>
  <c r="AI31" i="2"/>
  <c r="AH32" i="2"/>
  <c r="AI32" i="2"/>
  <c r="AH36" i="2"/>
  <c r="AI36" i="2"/>
  <c r="AD38" i="2"/>
  <c r="AE38" i="2"/>
  <c r="L46" i="2"/>
  <c r="L39" i="2"/>
  <c r="X19" i="2"/>
  <c r="N13" i="2"/>
  <c r="AH51" i="2"/>
  <c r="AJ51" i="2"/>
  <c r="S13" i="2"/>
  <c r="Y13" i="2"/>
  <c r="N19" i="2"/>
  <c r="R13" i="2"/>
  <c r="AG7" i="2"/>
  <c r="AG29" i="2" s="1"/>
  <c r="AI8" i="2"/>
  <c r="AF6" i="2"/>
  <c r="DY454" i="9" s="1"/>
  <c r="AE5" i="2"/>
  <c r="X24" i="2"/>
  <c r="X29" i="2"/>
  <c r="AM18" i="2"/>
  <c r="AP18" i="2" s="1"/>
  <c r="AL18" i="2"/>
  <c r="AM22" i="2"/>
  <c r="AP22" i="2" s="1"/>
  <c r="AL22" i="2"/>
  <c r="AH23" i="2"/>
  <c r="AI23" i="2"/>
  <c r="AD26" i="2"/>
  <c r="AE26" i="2"/>
  <c r="AD28" i="2"/>
  <c r="AE28" i="2"/>
  <c r="AH37" i="2"/>
  <c r="AI37" i="2"/>
  <c r="AH43" i="2"/>
  <c r="AI43" i="2"/>
  <c r="AH45" i="2"/>
  <c r="AI45" i="2"/>
  <c r="AH50" i="2"/>
  <c r="AJ50" i="2"/>
  <c r="X199" i="14"/>
  <c r="W199" i="14" s="1"/>
  <c r="W195" i="14"/>
  <c r="AH10" i="2"/>
  <c r="AJ10" i="2"/>
  <c r="AD15" i="2"/>
  <c r="AF15" i="2"/>
  <c r="AL16" i="2"/>
  <c r="AN16" i="2"/>
  <c r="AP16" i="2" s="1"/>
  <c r="AJ17" i="2"/>
  <c r="AH17" i="2"/>
  <c r="N24" i="2"/>
  <c r="AH53" i="2"/>
  <c r="AI53" i="2"/>
  <c r="Y24" i="2"/>
  <c r="Y19" i="2"/>
  <c r="R29" i="2"/>
  <c r="X13" i="2"/>
  <c r="Y130" i="14"/>
  <c r="V24" i="2"/>
  <c r="Z34" i="2"/>
  <c r="O39" i="2"/>
  <c r="S39" i="2"/>
  <c r="K39" i="2"/>
  <c r="Y132" i="12"/>
  <c r="Y130" i="12" s="1"/>
  <c r="W144" i="12"/>
  <c r="X158" i="14"/>
  <c r="Z145" i="14"/>
  <c r="X145" i="14" s="1"/>
  <c r="X158" i="12"/>
  <c r="W132" i="12"/>
  <c r="W130" i="12" s="1"/>
  <c r="Z145" i="12"/>
  <c r="X145" i="12" s="1"/>
  <c r="EJ332" i="9" l="1"/>
  <c r="FO216" i="9"/>
  <c r="FO168" i="9"/>
  <c r="FO16" i="9"/>
  <c r="DG378" i="9"/>
  <c r="CE379" i="9"/>
  <c r="FM220" i="9"/>
  <c r="FM61" i="9"/>
  <c r="FM315" i="9"/>
  <c r="FM107" i="9"/>
  <c r="FM261" i="9"/>
  <c r="FM109" i="9"/>
  <c r="FM187" i="9"/>
  <c r="FM43" i="9"/>
  <c r="FO143" i="9"/>
  <c r="FO315" i="9"/>
  <c r="FK237" i="9"/>
  <c r="FL237" i="9" s="1"/>
  <c r="FK205" i="9"/>
  <c r="FL205" i="9" s="1"/>
  <c r="FK273" i="9"/>
  <c r="FL273" i="9" s="1"/>
  <c r="FO43" i="9"/>
  <c r="FO93" i="9"/>
  <c r="FO19" i="9"/>
  <c r="FK119" i="9"/>
  <c r="FL119" i="9" s="1"/>
  <c r="FK70" i="9"/>
  <c r="FL70" i="9" s="1"/>
  <c r="FK242" i="9"/>
  <c r="FL242" i="9" s="1"/>
  <c r="FO32" i="9"/>
  <c r="FO80" i="9"/>
  <c r="FO62" i="9"/>
  <c r="FO136" i="9"/>
  <c r="FO129" i="9"/>
  <c r="FK39" i="9"/>
  <c r="FL39" i="9" s="1"/>
  <c r="FK269" i="9"/>
  <c r="FL269" i="9" s="1"/>
  <c r="FK289" i="9"/>
  <c r="FL289" i="9" s="1"/>
  <c r="FK48" i="9"/>
  <c r="FL48" i="9" s="1"/>
  <c r="FO242" i="9"/>
  <c r="FO295" i="9"/>
  <c r="FK267" i="9"/>
  <c r="FL267" i="9" s="1"/>
  <c r="CS457" i="9"/>
  <c r="EA455" i="9"/>
  <c r="DY476" i="9"/>
  <c r="CR146" i="9"/>
  <c r="CT146" i="9"/>
  <c r="DC146" i="9"/>
  <c r="CY146" i="9"/>
  <c r="CU146" i="9"/>
  <c r="CT164" i="9"/>
  <c r="DC164" i="9"/>
  <c r="CR164" i="9"/>
  <c r="CU164" i="9"/>
  <c r="CY164" i="9"/>
  <c r="CT116" i="9"/>
  <c r="DC116" i="9"/>
  <c r="CR116" i="9"/>
  <c r="CU116" i="9"/>
  <c r="CY116" i="9"/>
  <c r="CT154" i="9"/>
  <c r="DC154" i="9"/>
  <c r="CR154" i="9"/>
  <c r="CU154" i="9"/>
  <c r="CY154" i="9"/>
  <c r="CT195" i="9"/>
  <c r="DC195" i="9"/>
  <c r="CR195" i="9"/>
  <c r="CU195" i="9"/>
  <c r="CY195" i="9"/>
  <c r="CR28" i="9"/>
  <c r="CT28" i="9"/>
  <c r="DC28" i="9"/>
  <c r="CU28" i="9"/>
  <c r="CY28" i="9"/>
  <c r="CR141" i="9"/>
  <c r="CT141" i="9"/>
  <c r="DC141" i="9"/>
  <c r="CU141" i="9"/>
  <c r="CY141" i="9"/>
  <c r="CR23" i="9"/>
  <c r="CT23" i="9"/>
  <c r="DC23" i="9"/>
  <c r="CY23" i="9"/>
  <c r="CU23" i="9"/>
  <c r="DC67" i="9"/>
  <c r="CR67" i="9"/>
  <c r="CT67" i="9"/>
  <c r="CY67" i="9"/>
  <c r="CU67" i="9"/>
  <c r="DC160" i="9"/>
  <c r="CR160" i="9"/>
  <c r="CT160" i="9"/>
  <c r="CY160" i="9"/>
  <c r="CU160" i="9"/>
  <c r="CT66" i="9"/>
  <c r="DC66" i="9"/>
  <c r="CR66" i="9"/>
  <c r="CY66" i="9"/>
  <c r="CU66" i="9"/>
  <c r="CW66" i="9"/>
  <c r="CR152" i="9"/>
  <c r="CT152" i="9"/>
  <c r="DC152" i="9"/>
  <c r="CY152" i="9"/>
  <c r="CU152" i="9"/>
  <c r="CR286" i="9"/>
  <c r="DC286" i="9"/>
  <c r="CT286" i="9"/>
  <c r="CY286" i="9"/>
  <c r="CU286" i="9"/>
  <c r="DC244" i="9"/>
  <c r="CR244" i="9"/>
  <c r="CT244" i="9"/>
  <c r="CY244" i="9"/>
  <c r="CU244" i="9"/>
  <c r="CT189" i="9"/>
  <c r="DC189" i="9"/>
  <c r="CR189" i="9"/>
  <c r="CU189" i="9"/>
  <c r="CY189" i="9"/>
  <c r="CW189" i="9"/>
  <c r="CT9" i="9"/>
  <c r="DC9" i="9"/>
  <c r="CR9" i="9"/>
  <c r="CY9" i="9"/>
  <c r="CU9" i="9"/>
  <c r="CS332" i="9"/>
  <c r="DC118" i="9"/>
  <c r="CR118" i="9"/>
  <c r="CT118" i="9"/>
  <c r="CY118" i="9"/>
  <c r="CU118" i="9"/>
  <c r="CT74" i="9"/>
  <c r="DC74" i="9"/>
  <c r="CR74" i="9"/>
  <c r="CU74" i="9"/>
  <c r="CY74" i="9"/>
  <c r="CT86" i="9"/>
  <c r="DC86" i="9"/>
  <c r="CR86" i="9"/>
  <c r="CU86" i="9"/>
  <c r="CY86" i="9"/>
  <c r="CT222" i="9"/>
  <c r="DC222" i="9"/>
  <c r="CR222" i="9"/>
  <c r="CU222" i="9"/>
  <c r="CY222" i="9"/>
  <c r="CR259" i="9"/>
  <c r="CT259" i="9"/>
  <c r="DC259" i="9"/>
  <c r="CY259" i="9"/>
  <c r="CU259" i="9"/>
  <c r="CT29" i="9"/>
  <c r="DC29" i="9"/>
  <c r="CR29" i="9"/>
  <c r="CY29" i="9"/>
  <c r="CU29" i="9"/>
  <c r="DC99" i="9"/>
  <c r="CR99" i="9"/>
  <c r="CT99" i="9"/>
  <c r="CY99" i="9"/>
  <c r="CU99" i="9"/>
  <c r="CW99" i="9"/>
  <c r="CT313" i="9"/>
  <c r="DC313" i="9"/>
  <c r="CR313" i="9"/>
  <c r="CU313" i="9"/>
  <c r="CY313" i="9"/>
  <c r="CW195" i="9"/>
  <c r="DC297" i="9"/>
  <c r="CT297" i="9"/>
  <c r="CR297" i="9"/>
  <c r="CY297" i="9"/>
  <c r="CU297" i="9"/>
  <c r="CT162" i="9"/>
  <c r="DC162" i="9"/>
  <c r="CR162" i="9"/>
  <c r="CY162" i="9"/>
  <c r="CU162" i="9"/>
  <c r="DY449" i="9"/>
  <c r="EJ320" i="9"/>
  <c r="EF8" i="9"/>
  <c r="DW8" i="9"/>
  <c r="DX8" i="9" s="1"/>
  <c r="DV8" i="9"/>
  <c r="EF12" i="9"/>
  <c r="DW12" i="9"/>
  <c r="DX12" i="9" s="1"/>
  <c r="DV12" i="9"/>
  <c r="EF16" i="9"/>
  <c r="DW16" i="9"/>
  <c r="DX16" i="9" s="1"/>
  <c r="DV16" i="9"/>
  <c r="EF20" i="9"/>
  <c r="DW20" i="9"/>
  <c r="DX20" i="9" s="1"/>
  <c r="DV20" i="9"/>
  <c r="EF24" i="9"/>
  <c r="DW24" i="9"/>
  <c r="DX24" i="9" s="1"/>
  <c r="DV24" i="9"/>
  <c r="EF28" i="9"/>
  <c r="DW28" i="9"/>
  <c r="DX28" i="9" s="1"/>
  <c r="DV28" i="9"/>
  <c r="EF32" i="9"/>
  <c r="DW32" i="9"/>
  <c r="DX32" i="9" s="1"/>
  <c r="DV32" i="9"/>
  <c r="EF36" i="9"/>
  <c r="DW36" i="9"/>
  <c r="DX36" i="9" s="1"/>
  <c r="DV36" i="9"/>
  <c r="EF40" i="9"/>
  <c r="DW40" i="9"/>
  <c r="DX40" i="9" s="1"/>
  <c r="DV40" i="9"/>
  <c r="EF44" i="9"/>
  <c r="DW44" i="9"/>
  <c r="DX44" i="9" s="1"/>
  <c r="DV44" i="9"/>
  <c r="EF48" i="9"/>
  <c r="DW48" i="9"/>
  <c r="DX48" i="9" s="1"/>
  <c r="DV48" i="9"/>
  <c r="EF52" i="9"/>
  <c r="DW52" i="9"/>
  <c r="DX52" i="9" s="1"/>
  <c r="DV52" i="9"/>
  <c r="EF56" i="9"/>
  <c r="DW56" i="9"/>
  <c r="DX56" i="9" s="1"/>
  <c r="DV56" i="9"/>
  <c r="EF60" i="9"/>
  <c r="DW60" i="9"/>
  <c r="DX60" i="9" s="1"/>
  <c r="DV60" i="9"/>
  <c r="EF64" i="9"/>
  <c r="DW64" i="9"/>
  <c r="DX64" i="9" s="1"/>
  <c r="DV64" i="9"/>
  <c r="EF136" i="9"/>
  <c r="DW136" i="9"/>
  <c r="DX136" i="9" s="1"/>
  <c r="DV136" i="9"/>
  <c r="EF140" i="9"/>
  <c r="DW140" i="9"/>
  <c r="DX140" i="9" s="1"/>
  <c r="DV140" i="9"/>
  <c r="EF144" i="9"/>
  <c r="DW144" i="9"/>
  <c r="DX144" i="9" s="1"/>
  <c r="DV144" i="9"/>
  <c r="EF148" i="9"/>
  <c r="DW148" i="9"/>
  <c r="DX148" i="9" s="1"/>
  <c r="DV148" i="9"/>
  <c r="EF152" i="9"/>
  <c r="DW152" i="9"/>
  <c r="DX152" i="9" s="1"/>
  <c r="DV152" i="9"/>
  <c r="EF156" i="9"/>
  <c r="DW156" i="9"/>
  <c r="DX156" i="9" s="1"/>
  <c r="DV156" i="9"/>
  <c r="DW68" i="9"/>
  <c r="DX68" i="9" s="1"/>
  <c r="DV68" i="9"/>
  <c r="EF68" i="9"/>
  <c r="DW72" i="9"/>
  <c r="DX72" i="9" s="1"/>
  <c r="DV72" i="9"/>
  <c r="EF72" i="9"/>
  <c r="DW76" i="9"/>
  <c r="DX76" i="9" s="1"/>
  <c r="DV76" i="9"/>
  <c r="EF76" i="9"/>
  <c r="DW80" i="9"/>
  <c r="DX80" i="9" s="1"/>
  <c r="DV80" i="9"/>
  <c r="EF80" i="9"/>
  <c r="DW84" i="9"/>
  <c r="DX84" i="9" s="1"/>
  <c r="DV84" i="9"/>
  <c r="EF84" i="9"/>
  <c r="DW88" i="9"/>
  <c r="DX88" i="9" s="1"/>
  <c r="DV88" i="9"/>
  <c r="EF88" i="9"/>
  <c r="DW92" i="9"/>
  <c r="DX92" i="9" s="1"/>
  <c r="DV92" i="9"/>
  <c r="EF92" i="9"/>
  <c r="DW96" i="9"/>
  <c r="DX96" i="9" s="1"/>
  <c r="DV96" i="9"/>
  <c r="EF96" i="9"/>
  <c r="DW100" i="9"/>
  <c r="DX100" i="9" s="1"/>
  <c r="DV100" i="9"/>
  <c r="EF100" i="9"/>
  <c r="DW104" i="9"/>
  <c r="DX104" i="9" s="1"/>
  <c r="DV104" i="9"/>
  <c r="EF104" i="9"/>
  <c r="DW108" i="9"/>
  <c r="DX108" i="9" s="1"/>
  <c r="DV108" i="9"/>
  <c r="EF108" i="9"/>
  <c r="DW112" i="9"/>
  <c r="DX112" i="9" s="1"/>
  <c r="DV112" i="9"/>
  <c r="EF112" i="9"/>
  <c r="DW116" i="9"/>
  <c r="DX116" i="9" s="1"/>
  <c r="DV116" i="9"/>
  <c r="EF116" i="9"/>
  <c r="DW120" i="9"/>
  <c r="DX120" i="9" s="1"/>
  <c r="DV120" i="9"/>
  <c r="EF120" i="9"/>
  <c r="DW124" i="9"/>
  <c r="DX124" i="9" s="1"/>
  <c r="DV124" i="9"/>
  <c r="EF124" i="9"/>
  <c r="DW128" i="9"/>
  <c r="DX128" i="9" s="1"/>
  <c r="DV128" i="9"/>
  <c r="EF128" i="9"/>
  <c r="DW132" i="9"/>
  <c r="DX132" i="9" s="1"/>
  <c r="DV132" i="9"/>
  <c r="EF132" i="9"/>
  <c r="EF209" i="9"/>
  <c r="DW209" i="9"/>
  <c r="DX209" i="9" s="1"/>
  <c r="DV209" i="9"/>
  <c r="EF213" i="9"/>
  <c r="DW213" i="9"/>
  <c r="DX213" i="9" s="1"/>
  <c r="DV213" i="9"/>
  <c r="EF217" i="9"/>
  <c r="DW217" i="9"/>
  <c r="DX217" i="9" s="1"/>
  <c r="DV217" i="9"/>
  <c r="DW157" i="9"/>
  <c r="DX157" i="9" s="1"/>
  <c r="DV157" i="9"/>
  <c r="EF157" i="9"/>
  <c r="DW161" i="9"/>
  <c r="DX161" i="9" s="1"/>
  <c r="DV161" i="9"/>
  <c r="EF161" i="9"/>
  <c r="DW165" i="9"/>
  <c r="DX165" i="9" s="1"/>
  <c r="DV165" i="9"/>
  <c r="EF165" i="9"/>
  <c r="DW169" i="9"/>
  <c r="DX169" i="9" s="1"/>
  <c r="DV169" i="9"/>
  <c r="EF169" i="9"/>
  <c r="DW173" i="9"/>
  <c r="DX173" i="9" s="1"/>
  <c r="DV173" i="9"/>
  <c r="EF173" i="9"/>
  <c r="DW177" i="9"/>
  <c r="DX177" i="9" s="1"/>
  <c r="DV177" i="9"/>
  <c r="EF177" i="9"/>
  <c r="DW181" i="9"/>
  <c r="DX181" i="9" s="1"/>
  <c r="DV181" i="9"/>
  <c r="EF181" i="9"/>
  <c r="DW185" i="9"/>
  <c r="DX185" i="9" s="1"/>
  <c r="DV185" i="9"/>
  <c r="EF185" i="9"/>
  <c r="DW189" i="9"/>
  <c r="DX189" i="9" s="1"/>
  <c r="DV189" i="9"/>
  <c r="EF189" i="9"/>
  <c r="DW193" i="9"/>
  <c r="DX193" i="9" s="1"/>
  <c r="DV193" i="9"/>
  <c r="EF193" i="9"/>
  <c r="DW197" i="9"/>
  <c r="DX197" i="9" s="1"/>
  <c r="DV197" i="9"/>
  <c r="EF197" i="9"/>
  <c r="DW201" i="9"/>
  <c r="DX201" i="9" s="1"/>
  <c r="DV201" i="9"/>
  <c r="EF201" i="9"/>
  <c r="DW205" i="9"/>
  <c r="DX205" i="9" s="1"/>
  <c r="DV205" i="9"/>
  <c r="EF205" i="9"/>
  <c r="DW224" i="9"/>
  <c r="DX224" i="9" s="1"/>
  <c r="DV224" i="9"/>
  <c r="EF224" i="9"/>
  <c r="DW228" i="9"/>
  <c r="DX228" i="9" s="1"/>
  <c r="DV228" i="9"/>
  <c r="EF228" i="9"/>
  <c r="DW232" i="9"/>
  <c r="DX232" i="9" s="1"/>
  <c r="DV232" i="9"/>
  <c r="EF232" i="9"/>
  <c r="DW236" i="9"/>
  <c r="DX236" i="9" s="1"/>
  <c r="DV236" i="9"/>
  <c r="EF236" i="9"/>
  <c r="DW240" i="9"/>
  <c r="DX240" i="9" s="1"/>
  <c r="DV240" i="9"/>
  <c r="EF240" i="9"/>
  <c r="EF244" i="9"/>
  <c r="DV244" i="9"/>
  <c r="DW244" i="9"/>
  <c r="DX244" i="9" s="1"/>
  <c r="EF248" i="9"/>
  <c r="DW248" i="9"/>
  <c r="DX248" i="9" s="1"/>
  <c r="DV248" i="9"/>
  <c r="EF252" i="9"/>
  <c r="DW252" i="9"/>
  <c r="DX252" i="9" s="1"/>
  <c r="DV252" i="9"/>
  <c r="EF256" i="9"/>
  <c r="DW256" i="9"/>
  <c r="DX256" i="9" s="1"/>
  <c r="DV256" i="9"/>
  <c r="EF260" i="9"/>
  <c r="DW260" i="9"/>
  <c r="DX260" i="9" s="1"/>
  <c r="DV260" i="9"/>
  <c r="EF264" i="9"/>
  <c r="DW264" i="9"/>
  <c r="DX264" i="9" s="1"/>
  <c r="DV264" i="9"/>
  <c r="EF268" i="9"/>
  <c r="DW268" i="9"/>
  <c r="DX268" i="9" s="1"/>
  <c r="DV268" i="9"/>
  <c r="EF272" i="9"/>
  <c r="DW272" i="9"/>
  <c r="DX272" i="9" s="1"/>
  <c r="DV272" i="9"/>
  <c r="EF276" i="9"/>
  <c r="DW276" i="9"/>
  <c r="DX276" i="9" s="1"/>
  <c r="DV276" i="9"/>
  <c r="DW280" i="9"/>
  <c r="DX280" i="9" s="1"/>
  <c r="DV280" i="9"/>
  <c r="EF280" i="9"/>
  <c r="DW284" i="9"/>
  <c r="DX284" i="9" s="1"/>
  <c r="DV284" i="9"/>
  <c r="EF284" i="9"/>
  <c r="DW288" i="9"/>
  <c r="DX288" i="9" s="1"/>
  <c r="DV288" i="9"/>
  <c r="EF288" i="9"/>
  <c r="DW292" i="9"/>
  <c r="DX292" i="9" s="1"/>
  <c r="DV292" i="9"/>
  <c r="EF292" i="9"/>
  <c r="DW296" i="9"/>
  <c r="DX296" i="9" s="1"/>
  <c r="DV296" i="9"/>
  <c r="EF296" i="9"/>
  <c r="DW300" i="9"/>
  <c r="DX300" i="9" s="1"/>
  <c r="DV300" i="9"/>
  <c r="EF300" i="9"/>
  <c r="DW304" i="9"/>
  <c r="DX304" i="9" s="1"/>
  <c r="DV304" i="9"/>
  <c r="EF304" i="9"/>
  <c r="DW308" i="9"/>
  <c r="DX308" i="9" s="1"/>
  <c r="DV308" i="9"/>
  <c r="EF308" i="9"/>
  <c r="DW312" i="9"/>
  <c r="DX312" i="9" s="1"/>
  <c r="DV312" i="9"/>
  <c r="EF312" i="9"/>
  <c r="DW316" i="9"/>
  <c r="DX316" i="9" s="1"/>
  <c r="EF316" i="9"/>
  <c r="DV316" i="9"/>
  <c r="DU320" i="9"/>
  <c r="DV5" i="9"/>
  <c r="EF5" i="9"/>
  <c r="DW5" i="9"/>
  <c r="DV9" i="9"/>
  <c r="EF9" i="9"/>
  <c r="DW9" i="9"/>
  <c r="DX9" i="9" s="1"/>
  <c r="DV13" i="9"/>
  <c r="EF13" i="9"/>
  <c r="DW13" i="9"/>
  <c r="DX13" i="9" s="1"/>
  <c r="DV17" i="9"/>
  <c r="EF17" i="9"/>
  <c r="DW17" i="9"/>
  <c r="DX17" i="9" s="1"/>
  <c r="DV21" i="9"/>
  <c r="EF21" i="9"/>
  <c r="DW21" i="9"/>
  <c r="DX21" i="9" s="1"/>
  <c r="DV25" i="9"/>
  <c r="EF25" i="9"/>
  <c r="DW25" i="9"/>
  <c r="DX25" i="9" s="1"/>
  <c r="DV29" i="9"/>
  <c r="EF29" i="9"/>
  <c r="DW29" i="9"/>
  <c r="DX29" i="9" s="1"/>
  <c r="DV33" i="9"/>
  <c r="EF33" i="9"/>
  <c r="DW33" i="9"/>
  <c r="DX33" i="9" s="1"/>
  <c r="DV37" i="9"/>
  <c r="EF37" i="9"/>
  <c r="DW37" i="9"/>
  <c r="DX37" i="9" s="1"/>
  <c r="DV41" i="9"/>
  <c r="EF41" i="9"/>
  <c r="DW41" i="9"/>
  <c r="DX41" i="9" s="1"/>
  <c r="DV45" i="9"/>
  <c r="EF45" i="9"/>
  <c r="DW45" i="9"/>
  <c r="DX45" i="9" s="1"/>
  <c r="DV49" i="9"/>
  <c r="EF49" i="9"/>
  <c r="DW49" i="9"/>
  <c r="DX49" i="9" s="1"/>
  <c r="DV53" i="9"/>
  <c r="EF53" i="9"/>
  <c r="DW53" i="9"/>
  <c r="DX53" i="9" s="1"/>
  <c r="DV57" i="9"/>
  <c r="EF57" i="9"/>
  <c r="DW57" i="9"/>
  <c r="DX57" i="9" s="1"/>
  <c r="DV61" i="9"/>
  <c r="EF61" i="9"/>
  <c r="DW61" i="9"/>
  <c r="DX61" i="9" s="1"/>
  <c r="DV133" i="9"/>
  <c r="EF133" i="9"/>
  <c r="DW133" i="9"/>
  <c r="DX133" i="9" s="1"/>
  <c r="DV137" i="9"/>
  <c r="EF137" i="9"/>
  <c r="DW137" i="9"/>
  <c r="DX137" i="9" s="1"/>
  <c r="DV141" i="9"/>
  <c r="EF141" i="9"/>
  <c r="DW141" i="9"/>
  <c r="DX141" i="9" s="1"/>
  <c r="DV145" i="9"/>
  <c r="EF145" i="9"/>
  <c r="DW145" i="9"/>
  <c r="DX145" i="9" s="1"/>
  <c r="DV149" i="9"/>
  <c r="EF149" i="9"/>
  <c r="DW149" i="9"/>
  <c r="DX149" i="9" s="1"/>
  <c r="DV153" i="9"/>
  <c r="EF153" i="9"/>
  <c r="DW153" i="9"/>
  <c r="DX153" i="9" s="1"/>
  <c r="EF65" i="9"/>
  <c r="DW65" i="9"/>
  <c r="DX65" i="9" s="1"/>
  <c r="DV65" i="9"/>
  <c r="EF69" i="9"/>
  <c r="DW69" i="9"/>
  <c r="DX69" i="9" s="1"/>
  <c r="DV69" i="9"/>
  <c r="EF73" i="9"/>
  <c r="DW73" i="9"/>
  <c r="DX73" i="9" s="1"/>
  <c r="DV73" i="9"/>
  <c r="EF77" i="9"/>
  <c r="DW77" i="9"/>
  <c r="DX77" i="9" s="1"/>
  <c r="DV77" i="9"/>
  <c r="EF81" i="9"/>
  <c r="DW81" i="9"/>
  <c r="DX81" i="9" s="1"/>
  <c r="DV81" i="9"/>
  <c r="EF85" i="9"/>
  <c r="DW85" i="9"/>
  <c r="DX85" i="9" s="1"/>
  <c r="DV85" i="9"/>
  <c r="EF89" i="9"/>
  <c r="DW89" i="9"/>
  <c r="DX89" i="9" s="1"/>
  <c r="DV89" i="9"/>
  <c r="EF93" i="9"/>
  <c r="DW93" i="9"/>
  <c r="DX93" i="9" s="1"/>
  <c r="DV93" i="9"/>
  <c r="EF97" i="9"/>
  <c r="DW97" i="9"/>
  <c r="DX97" i="9" s="1"/>
  <c r="DV97" i="9"/>
  <c r="EF101" i="9"/>
  <c r="DW101" i="9"/>
  <c r="DX101" i="9" s="1"/>
  <c r="DV101" i="9"/>
  <c r="EF105" i="9"/>
  <c r="DW105" i="9"/>
  <c r="DX105" i="9" s="1"/>
  <c r="DV105" i="9"/>
  <c r="EF109" i="9"/>
  <c r="DW109" i="9"/>
  <c r="DX109" i="9" s="1"/>
  <c r="DV109" i="9"/>
  <c r="EF113" i="9"/>
  <c r="DW113" i="9"/>
  <c r="DX113" i="9" s="1"/>
  <c r="DV113" i="9"/>
  <c r="EF117" i="9"/>
  <c r="DW117" i="9"/>
  <c r="DX117" i="9" s="1"/>
  <c r="DV117" i="9"/>
  <c r="EF121" i="9"/>
  <c r="DW121" i="9"/>
  <c r="DX121" i="9" s="1"/>
  <c r="DV121" i="9"/>
  <c r="EF125" i="9"/>
  <c r="DW125" i="9"/>
  <c r="DX125" i="9" s="1"/>
  <c r="DV125" i="9"/>
  <c r="EF129" i="9"/>
  <c r="DW129" i="9"/>
  <c r="DX129" i="9" s="1"/>
  <c r="DV129" i="9"/>
  <c r="DV206" i="9"/>
  <c r="EF206" i="9"/>
  <c r="DW206" i="9"/>
  <c r="DX206" i="9" s="1"/>
  <c r="DV210" i="9"/>
  <c r="EF210" i="9"/>
  <c r="DW210" i="9"/>
  <c r="DX210" i="9" s="1"/>
  <c r="DV214" i="9"/>
  <c r="EF214" i="9"/>
  <c r="DW214" i="9"/>
  <c r="DX214" i="9" s="1"/>
  <c r="DV218" i="9"/>
  <c r="EF218" i="9"/>
  <c r="DW218" i="9"/>
  <c r="DX218" i="9" s="1"/>
  <c r="EF158" i="9"/>
  <c r="DW158" i="9"/>
  <c r="DX158" i="9" s="1"/>
  <c r="DV158" i="9"/>
  <c r="EF162" i="9"/>
  <c r="DW162" i="9"/>
  <c r="DX162" i="9" s="1"/>
  <c r="DV162" i="9"/>
  <c r="EF166" i="9"/>
  <c r="DW166" i="9"/>
  <c r="DX166" i="9" s="1"/>
  <c r="DV166" i="9"/>
  <c r="EF170" i="9"/>
  <c r="DW170" i="9"/>
  <c r="DX170" i="9" s="1"/>
  <c r="DV170" i="9"/>
  <c r="EF174" i="9"/>
  <c r="DW174" i="9"/>
  <c r="DX174" i="9" s="1"/>
  <c r="DV174" i="9"/>
  <c r="EF178" i="9"/>
  <c r="DW178" i="9"/>
  <c r="DX178" i="9" s="1"/>
  <c r="DV178" i="9"/>
  <c r="EF182" i="9"/>
  <c r="DW182" i="9"/>
  <c r="DX182" i="9" s="1"/>
  <c r="DV182" i="9"/>
  <c r="EF186" i="9"/>
  <c r="DW186" i="9"/>
  <c r="DX186" i="9" s="1"/>
  <c r="DV186" i="9"/>
  <c r="EF190" i="9"/>
  <c r="DW190" i="9"/>
  <c r="DX190" i="9" s="1"/>
  <c r="DV190" i="9"/>
  <c r="EF194" i="9"/>
  <c r="DW194" i="9"/>
  <c r="DX194" i="9" s="1"/>
  <c r="DV194" i="9"/>
  <c r="EF198" i="9"/>
  <c r="DW198" i="9"/>
  <c r="DX198" i="9" s="1"/>
  <c r="DV198" i="9"/>
  <c r="EF202" i="9"/>
  <c r="DW202" i="9"/>
  <c r="DX202" i="9" s="1"/>
  <c r="DV202" i="9"/>
  <c r="EF221" i="9"/>
  <c r="DW221" i="9"/>
  <c r="DX221" i="9" s="1"/>
  <c r="DV221" i="9"/>
  <c r="EF225" i="9"/>
  <c r="DW225" i="9"/>
  <c r="DX225" i="9" s="1"/>
  <c r="DV225" i="9"/>
  <c r="EF229" i="9"/>
  <c r="DW229" i="9"/>
  <c r="DX229" i="9" s="1"/>
  <c r="DV229" i="9"/>
  <c r="EF233" i="9"/>
  <c r="DW233" i="9"/>
  <c r="DX233" i="9" s="1"/>
  <c r="DV233" i="9"/>
  <c r="EF237" i="9"/>
  <c r="DW237" i="9"/>
  <c r="DX237" i="9" s="1"/>
  <c r="DV237" i="9"/>
  <c r="EF241" i="9"/>
  <c r="DW241" i="9"/>
  <c r="DX241" i="9" s="1"/>
  <c r="DV241" i="9"/>
  <c r="DV245" i="9"/>
  <c r="EF245" i="9"/>
  <c r="DW245" i="9"/>
  <c r="DX245" i="9" s="1"/>
  <c r="DV249" i="9"/>
  <c r="EF249" i="9"/>
  <c r="DW249" i="9"/>
  <c r="DX249" i="9" s="1"/>
  <c r="DV253" i="9"/>
  <c r="EF253" i="9"/>
  <c r="DW253" i="9"/>
  <c r="DX253" i="9" s="1"/>
  <c r="DV257" i="9"/>
  <c r="EF257" i="9"/>
  <c r="DW257" i="9"/>
  <c r="DX257" i="9" s="1"/>
  <c r="DV261" i="9"/>
  <c r="EF261" i="9"/>
  <c r="DW261" i="9"/>
  <c r="DX261" i="9" s="1"/>
  <c r="DV265" i="9"/>
  <c r="EF265" i="9"/>
  <c r="DW265" i="9"/>
  <c r="DX265" i="9" s="1"/>
  <c r="DV269" i="9"/>
  <c r="EF269" i="9"/>
  <c r="DW269" i="9"/>
  <c r="DX269" i="9" s="1"/>
  <c r="DV273" i="9"/>
  <c r="EF273" i="9"/>
  <c r="DW273" i="9"/>
  <c r="DX273" i="9" s="1"/>
  <c r="DV277" i="9"/>
  <c r="EF277" i="9"/>
  <c r="DW277" i="9"/>
  <c r="DX277" i="9" s="1"/>
  <c r="EF281" i="9"/>
  <c r="DW281" i="9"/>
  <c r="DX281" i="9" s="1"/>
  <c r="DV281" i="9"/>
  <c r="EF285" i="9"/>
  <c r="DW285" i="9"/>
  <c r="DX285" i="9" s="1"/>
  <c r="DV285" i="9"/>
  <c r="EF289" i="9"/>
  <c r="DW289" i="9"/>
  <c r="DX289" i="9" s="1"/>
  <c r="DV289" i="9"/>
  <c r="EF293" i="9"/>
  <c r="DW293" i="9"/>
  <c r="DX293" i="9" s="1"/>
  <c r="DV293" i="9"/>
  <c r="EF297" i="9"/>
  <c r="DW297" i="9"/>
  <c r="DX297" i="9" s="1"/>
  <c r="DV297" i="9"/>
  <c r="EF301" i="9"/>
  <c r="DW301" i="9"/>
  <c r="DX301" i="9" s="1"/>
  <c r="DV301" i="9"/>
  <c r="EF305" i="9"/>
  <c r="DW305" i="9"/>
  <c r="DX305" i="9" s="1"/>
  <c r="DV305" i="9"/>
  <c r="EF309" i="9"/>
  <c r="DW309" i="9"/>
  <c r="DX309" i="9" s="1"/>
  <c r="DV309" i="9"/>
  <c r="DV313" i="9"/>
  <c r="DW313" i="9"/>
  <c r="DX313" i="9" s="1"/>
  <c r="EF313" i="9"/>
  <c r="DV317" i="9"/>
  <c r="DW317" i="9"/>
  <c r="DX317" i="9" s="1"/>
  <c r="EF317" i="9"/>
  <c r="EQ197" i="9"/>
  <c r="ES197" i="9"/>
  <c r="FB197" i="9"/>
  <c r="EV197" i="9"/>
  <c r="ET197" i="9"/>
  <c r="EX197" i="9"/>
  <c r="DY463" i="9"/>
  <c r="CT148" i="9"/>
  <c r="DC148" i="9"/>
  <c r="CR148" i="9"/>
  <c r="CU148" i="9"/>
  <c r="CY148" i="9"/>
  <c r="CT156" i="9"/>
  <c r="DC156" i="9"/>
  <c r="CR156" i="9"/>
  <c r="CU156" i="9"/>
  <c r="CY156" i="9"/>
  <c r="DC121" i="9"/>
  <c r="CR121" i="9"/>
  <c r="CT121" i="9"/>
  <c r="CU121" i="9"/>
  <c r="CY121" i="9"/>
  <c r="CW121" i="9"/>
  <c r="CT191" i="9"/>
  <c r="DC191" i="9"/>
  <c r="CR191" i="9"/>
  <c r="CU191" i="9"/>
  <c r="CY191" i="9"/>
  <c r="CW191" i="9"/>
  <c r="CR250" i="9"/>
  <c r="CT250" i="9"/>
  <c r="DC250" i="9"/>
  <c r="CU250" i="9"/>
  <c r="CY250" i="9"/>
  <c r="CW250" i="9"/>
  <c r="DC178" i="9"/>
  <c r="CR178" i="9"/>
  <c r="CT178" i="9"/>
  <c r="CU178" i="9"/>
  <c r="CY178" i="9"/>
  <c r="CW178" i="9"/>
  <c r="CR302" i="9"/>
  <c r="DC302" i="9"/>
  <c r="CT302" i="9"/>
  <c r="CY302" i="9"/>
  <c r="CU302" i="9"/>
  <c r="CW302" i="9"/>
  <c r="CR47" i="9"/>
  <c r="CT47" i="9"/>
  <c r="DC47" i="9"/>
  <c r="CY47" i="9"/>
  <c r="CU47" i="9"/>
  <c r="CW47" i="9"/>
  <c r="DC75" i="9"/>
  <c r="CR75" i="9"/>
  <c r="CS336" i="9"/>
  <c r="CT75" i="9"/>
  <c r="CU75" i="9"/>
  <c r="CY75" i="9"/>
  <c r="CW67" i="9"/>
  <c r="DC196" i="9"/>
  <c r="CR196" i="9"/>
  <c r="CT196" i="9"/>
  <c r="CU196" i="9"/>
  <c r="CY196" i="9"/>
  <c r="CT144" i="9"/>
  <c r="DC144" i="9"/>
  <c r="CR144" i="9"/>
  <c r="CU144" i="9"/>
  <c r="CY144" i="9"/>
  <c r="CR153" i="9"/>
  <c r="CT153" i="9"/>
  <c r="DC153" i="9"/>
  <c r="CU153" i="9"/>
  <c r="CY153" i="9"/>
  <c r="CW153" i="9"/>
  <c r="DC294" i="9"/>
  <c r="CT294" i="9"/>
  <c r="CR294" i="9"/>
  <c r="CU294" i="9"/>
  <c r="CY294" i="9"/>
  <c r="CW294" i="9"/>
  <c r="CT161" i="9"/>
  <c r="DC161" i="9"/>
  <c r="CR161" i="9"/>
  <c r="CU161" i="9"/>
  <c r="CY161" i="9"/>
  <c r="CW161" i="9"/>
  <c r="BZ154" i="14"/>
  <c r="CR44" i="9"/>
  <c r="CT44" i="9"/>
  <c r="DC44" i="9"/>
  <c r="CU44" i="9"/>
  <c r="CY44" i="9"/>
  <c r="CW44" i="9"/>
  <c r="CT13" i="9"/>
  <c r="DC13" i="9"/>
  <c r="CR13" i="9"/>
  <c r="CU13" i="9"/>
  <c r="CY13" i="9"/>
  <c r="CW13" i="9"/>
  <c r="DC94" i="9"/>
  <c r="CR94" i="9"/>
  <c r="CT94" i="9"/>
  <c r="CU94" i="9"/>
  <c r="CY94" i="9"/>
  <c r="CW94" i="9"/>
  <c r="CS447" i="9"/>
  <c r="DG382" i="9"/>
  <c r="DJ454" i="9"/>
  <c r="DJ452" i="9" s="1"/>
  <c r="DH475" i="9"/>
  <c r="DJ476" i="9" s="1"/>
  <c r="DJ474" i="9" s="1"/>
  <c r="CT151" i="9"/>
  <c r="DC151" i="9"/>
  <c r="CR151" i="9"/>
  <c r="CY151" i="9"/>
  <c r="CU151" i="9"/>
  <c r="CT173" i="9"/>
  <c r="DC173" i="9"/>
  <c r="CR173" i="9"/>
  <c r="CU173" i="9"/>
  <c r="CY173" i="9"/>
  <c r="CW173" i="9"/>
  <c r="CT214" i="9"/>
  <c r="DC214" i="9"/>
  <c r="CR214" i="9"/>
  <c r="CY214" i="9"/>
  <c r="CU214" i="9"/>
  <c r="CT212" i="9"/>
  <c r="DC212" i="9"/>
  <c r="CR212" i="9"/>
  <c r="CY212" i="9"/>
  <c r="CU212" i="9"/>
  <c r="DC170" i="9"/>
  <c r="CR170" i="9"/>
  <c r="CT170" i="9"/>
  <c r="CU170" i="9"/>
  <c r="CY170" i="9"/>
  <c r="CR33" i="9"/>
  <c r="CT33" i="9"/>
  <c r="DC33" i="9"/>
  <c r="CY33" i="9"/>
  <c r="CU33" i="9"/>
  <c r="CW33" i="9"/>
  <c r="CR291" i="9"/>
  <c r="DC291" i="9"/>
  <c r="CT291" i="9"/>
  <c r="CY291" i="9"/>
  <c r="CU291" i="9"/>
  <c r="CT245" i="9"/>
  <c r="DC245" i="9"/>
  <c r="CR245" i="9"/>
  <c r="CY245" i="9"/>
  <c r="CU245" i="9"/>
  <c r="CW245" i="9"/>
  <c r="CT317" i="9"/>
  <c r="DC317" i="9"/>
  <c r="CR317" i="9"/>
  <c r="CU317" i="9"/>
  <c r="CY317" i="9"/>
  <c r="CW317" i="9"/>
  <c r="DC228" i="9"/>
  <c r="CR228" i="9"/>
  <c r="CT228" i="9"/>
  <c r="CY228" i="9"/>
  <c r="CU228" i="9"/>
  <c r="CW228" i="9"/>
  <c r="CT90" i="9"/>
  <c r="DC90" i="9"/>
  <c r="CR90" i="9"/>
  <c r="CU90" i="9"/>
  <c r="CY90" i="9"/>
  <c r="CW90" i="9"/>
  <c r="CW146" i="9"/>
  <c r="CE370" i="9"/>
  <c r="CT182" i="9"/>
  <c r="DC182" i="9"/>
  <c r="CR182" i="9"/>
  <c r="CU182" i="9"/>
  <c r="CY182" i="9"/>
  <c r="CW182" i="9"/>
  <c r="CR37" i="9"/>
  <c r="CT37" i="9"/>
  <c r="DC37" i="9"/>
  <c r="CY37" i="9"/>
  <c r="CU37" i="9"/>
  <c r="CW37" i="9"/>
  <c r="DC200" i="9"/>
  <c r="CR200" i="9"/>
  <c r="CT200" i="9"/>
  <c r="CU200" i="9"/>
  <c r="CY200" i="9"/>
  <c r="CT183" i="9"/>
  <c r="DC183" i="9"/>
  <c r="CR183" i="9"/>
  <c r="CU183" i="9"/>
  <c r="CY183" i="9"/>
  <c r="CW183" i="9"/>
  <c r="CW259" i="9"/>
  <c r="CW291" i="9"/>
  <c r="CT194" i="9"/>
  <c r="DC194" i="9"/>
  <c r="CR194" i="9"/>
  <c r="CY194" i="9"/>
  <c r="CU194" i="9"/>
  <c r="CW194" i="9"/>
  <c r="CR296" i="9"/>
  <c r="DC296" i="9"/>
  <c r="CT296" i="9"/>
  <c r="CY296" i="9"/>
  <c r="CU296" i="9"/>
  <c r="CW296" i="9"/>
  <c r="CW86" i="9"/>
  <c r="BX191" i="14"/>
  <c r="BW141" i="14"/>
  <c r="BY141" i="14"/>
  <c r="CR57" i="9"/>
  <c r="CT57" i="9"/>
  <c r="DC57" i="9"/>
  <c r="CU57" i="9"/>
  <c r="CY57" i="9"/>
  <c r="CT7" i="9"/>
  <c r="DC7" i="9"/>
  <c r="CR7" i="9"/>
  <c r="CU7" i="9"/>
  <c r="CY7" i="9"/>
  <c r="DC120" i="9"/>
  <c r="CR120" i="9"/>
  <c r="CT120" i="9"/>
  <c r="CY120" i="9"/>
  <c r="CU120" i="9"/>
  <c r="DC233" i="9"/>
  <c r="CR233" i="9"/>
  <c r="CT233" i="9"/>
  <c r="CU233" i="9"/>
  <c r="CY233" i="9"/>
  <c r="CW233" i="9"/>
  <c r="CW141" i="9"/>
  <c r="CT213" i="9"/>
  <c r="DC213" i="9"/>
  <c r="CR213" i="9"/>
  <c r="CU213" i="9"/>
  <c r="CY213" i="9"/>
  <c r="CT169" i="9"/>
  <c r="DC169" i="9"/>
  <c r="CR169" i="9"/>
  <c r="CU169" i="9"/>
  <c r="CY169" i="9"/>
  <c r="CW244" i="9"/>
  <c r="CT122" i="9"/>
  <c r="DC122" i="9"/>
  <c r="CR122" i="9"/>
  <c r="CY122" i="9"/>
  <c r="CU122" i="9"/>
  <c r="CR36" i="9"/>
  <c r="CT36" i="9"/>
  <c r="DC36" i="9"/>
  <c r="CY36" i="9"/>
  <c r="CU36" i="9"/>
  <c r="CW9" i="9"/>
  <c r="CT102" i="9"/>
  <c r="DC102" i="9"/>
  <c r="CR102" i="9"/>
  <c r="CU102" i="9"/>
  <c r="CY102" i="9"/>
  <c r="DC108" i="9"/>
  <c r="CR108" i="9"/>
  <c r="CT108" i="9"/>
  <c r="CU108" i="9"/>
  <c r="CY108" i="9"/>
  <c r="CW108" i="9"/>
  <c r="CS452" i="9"/>
  <c r="CX423" i="9"/>
  <c r="CW120" i="9"/>
  <c r="CT14" i="9"/>
  <c r="DC14" i="9"/>
  <c r="CR14" i="9"/>
  <c r="CU14" i="9"/>
  <c r="CY14" i="9"/>
  <c r="CW14" i="9"/>
  <c r="CT206" i="9"/>
  <c r="DC206" i="9"/>
  <c r="CR206" i="9"/>
  <c r="CY206" i="9"/>
  <c r="CU206" i="9"/>
  <c r="CW206" i="9"/>
  <c r="BM394" i="9"/>
  <c r="CW313" i="9"/>
  <c r="CT188" i="9"/>
  <c r="DC188" i="9"/>
  <c r="CR188" i="9"/>
  <c r="CU188" i="9"/>
  <c r="CY188" i="9"/>
  <c r="CW188" i="9"/>
  <c r="CT157" i="9"/>
  <c r="DC157" i="9"/>
  <c r="CR157" i="9"/>
  <c r="CU157" i="9"/>
  <c r="CY157" i="9"/>
  <c r="CW157" i="9"/>
  <c r="CW162" i="9"/>
  <c r="DY450" i="9"/>
  <c r="DY458" i="9"/>
  <c r="DY469" i="9"/>
  <c r="EA470" i="9" s="1"/>
  <c r="DY453" i="9"/>
  <c r="DY459" i="9"/>
  <c r="DY470" i="9"/>
  <c r="FH280" i="9"/>
  <c r="FS280" i="9"/>
  <c r="FJ280" i="9"/>
  <c r="FM235" i="9"/>
  <c r="FJ235" i="9"/>
  <c r="FS235" i="9"/>
  <c r="FH235" i="9"/>
  <c r="FJ209" i="9"/>
  <c r="FS209" i="9"/>
  <c r="FH209" i="9"/>
  <c r="FH260" i="9"/>
  <c r="FJ260" i="9"/>
  <c r="FS260" i="9"/>
  <c r="FS199" i="9"/>
  <c r="FH199" i="9"/>
  <c r="FJ199" i="9"/>
  <c r="FS163" i="9"/>
  <c r="FH163" i="9"/>
  <c r="FJ163" i="9"/>
  <c r="FS308" i="9"/>
  <c r="FJ308" i="9"/>
  <c r="FH308" i="9"/>
  <c r="FH215" i="9"/>
  <c r="FJ215" i="9"/>
  <c r="FS215" i="9"/>
  <c r="FJ201" i="9"/>
  <c r="FS201" i="9"/>
  <c r="FH201" i="9"/>
  <c r="FS167" i="9"/>
  <c r="FH167" i="9"/>
  <c r="FJ167" i="9"/>
  <c r="FJ225" i="9"/>
  <c r="FS225" i="9"/>
  <c r="FH225" i="9"/>
  <c r="FJ315" i="9"/>
  <c r="FS315" i="9"/>
  <c r="FH315" i="9"/>
  <c r="FJ155" i="9"/>
  <c r="FS155" i="9"/>
  <c r="FH155" i="9"/>
  <c r="FS292" i="9"/>
  <c r="FJ292" i="9"/>
  <c r="FH292" i="9"/>
  <c r="FM177" i="9"/>
  <c r="FS177" i="9"/>
  <c r="FH177" i="9"/>
  <c r="FJ177" i="9"/>
  <c r="FS237" i="9"/>
  <c r="FH237" i="9"/>
  <c r="FJ237" i="9"/>
  <c r="FH298" i="9"/>
  <c r="FS298" i="9"/>
  <c r="FJ298" i="9"/>
  <c r="FS187" i="9"/>
  <c r="FH187" i="9"/>
  <c r="FJ187" i="9"/>
  <c r="FH143" i="9"/>
  <c r="FJ143" i="9"/>
  <c r="FS143" i="9"/>
  <c r="FJ266" i="9"/>
  <c r="FS266" i="9"/>
  <c r="FH266" i="9"/>
  <c r="FS87" i="9"/>
  <c r="FH87" i="9"/>
  <c r="FJ87" i="9"/>
  <c r="FS107" i="9"/>
  <c r="FH107" i="9"/>
  <c r="FJ107" i="9"/>
  <c r="FJ124" i="9"/>
  <c r="FS124" i="9"/>
  <c r="FH124" i="9"/>
  <c r="FJ168" i="9"/>
  <c r="FS168" i="9"/>
  <c r="FH168" i="9"/>
  <c r="FJ45" i="9"/>
  <c r="FH45" i="9"/>
  <c r="FS126" i="9"/>
  <c r="FH126" i="9"/>
  <c r="FJ126" i="9"/>
  <c r="FJ101" i="9"/>
  <c r="FS101" i="9"/>
  <c r="FH101" i="9"/>
  <c r="FJ216" i="9"/>
  <c r="FS216" i="9"/>
  <c r="FH216" i="9"/>
  <c r="FS129" i="9"/>
  <c r="FH129" i="9"/>
  <c r="FJ129" i="9"/>
  <c r="FJ61" i="9"/>
  <c r="FH61" i="9"/>
  <c r="FH54" i="9"/>
  <c r="FJ54" i="9"/>
  <c r="FS65" i="9"/>
  <c r="FH65" i="9"/>
  <c r="FJ65" i="9"/>
  <c r="FJ269" i="9"/>
  <c r="FS269" i="9"/>
  <c r="FH269" i="9"/>
  <c r="FJ275" i="9"/>
  <c r="FS275" i="9"/>
  <c r="FH275" i="9"/>
  <c r="FH253" i="9"/>
  <c r="FJ253" i="9"/>
  <c r="FS253" i="9"/>
  <c r="FM88" i="9"/>
  <c r="FJ88" i="9"/>
  <c r="FS88" i="9"/>
  <c r="FH88" i="9"/>
  <c r="FJ11" i="9"/>
  <c r="FS11" i="9"/>
  <c r="FH11" i="9"/>
  <c r="FJ58" i="9"/>
  <c r="FH58" i="9"/>
  <c r="FJ249" i="9"/>
  <c r="FS249" i="9"/>
  <c r="FH249" i="9"/>
  <c r="FJ24" i="9"/>
  <c r="FH24" i="9"/>
  <c r="FJ273" i="9"/>
  <c r="FS273" i="9"/>
  <c r="FH273" i="9"/>
  <c r="FJ109" i="9"/>
  <c r="FS109" i="9"/>
  <c r="FH109" i="9"/>
  <c r="FM204" i="9"/>
  <c r="FJ204" i="9"/>
  <c r="FS204" i="9"/>
  <c r="FH204" i="9"/>
  <c r="FS85" i="9"/>
  <c r="FH85" i="9"/>
  <c r="FJ85" i="9"/>
  <c r="FM6" i="9"/>
  <c r="FH6" i="9"/>
  <c r="FJ6" i="9"/>
  <c r="FS6" i="9"/>
  <c r="FJ142" i="9"/>
  <c r="FS142" i="9"/>
  <c r="FH142" i="9"/>
  <c r="FM39" i="9"/>
  <c r="FJ39" i="9"/>
  <c r="FS39" i="9"/>
  <c r="FH39" i="9"/>
  <c r="FS103" i="9"/>
  <c r="FH103" i="9"/>
  <c r="FJ103" i="9"/>
  <c r="FJ133" i="9"/>
  <c r="FS133" i="9"/>
  <c r="FH133" i="9"/>
  <c r="FJ198" i="9"/>
  <c r="FS198" i="9"/>
  <c r="FH198" i="9"/>
  <c r="FS307" i="9"/>
  <c r="FJ307" i="9"/>
  <c r="FH307" i="9"/>
  <c r="FH70" i="9"/>
  <c r="FJ70" i="9"/>
  <c r="FJ210" i="9"/>
  <c r="FS210" i="9"/>
  <c r="FH210" i="9"/>
  <c r="FS73" i="9"/>
  <c r="FH73" i="9"/>
  <c r="FJ73" i="9"/>
  <c r="FS289" i="9"/>
  <c r="FJ289" i="9"/>
  <c r="FH289" i="9"/>
  <c r="FJ136" i="9"/>
  <c r="FS136" i="9"/>
  <c r="FH136" i="9"/>
  <c r="FS89" i="9"/>
  <c r="FH89" i="9"/>
  <c r="FJ89" i="9"/>
  <c r="FH311" i="9"/>
  <c r="FS311" i="9"/>
  <c r="FJ311" i="9"/>
  <c r="FM38" i="9"/>
  <c r="FJ38" i="9"/>
  <c r="FH38" i="9"/>
  <c r="FJ180" i="9"/>
  <c r="FS180" i="9"/>
  <c r="FH180" i="9"/>
  <c r="FH64" i="9"/>
  <c r="FS64" i="9"/>
  <c r="FJ64" i="9"/>
  <c r="FH218" i="9"/>
  <c r="FJ218" i="9"/>
  <c r="FS218" i="9"/>
  <c r="FJ158" i="9"/>
  <c r="FS158" i="9"/>
  <c r="FH158" i="9"/>
  <c r="FS114" i="9"/>
  <c r="FH114" i="9"/>
  <c r="FJ114" i="9"/>
  <c r="FJ119" i="9"/>
  <c r="FH119" i="9"/>
  <c r="FS119" i="9"/>
  <c r="FG324" i="9"/>
  <c r="FG447" i="9"/>
  <c r="FG336" i="9"/>
  <c r="FG462" i="9"/>
  <c r="ET436" i="9"/>
  <c r="FA318" i="9"/>
  <c r="FA316" i="9"/>
  <c r="FA314" i="9"/>
  <c r="FA312" i="9"/>
  <c r="FA310" i="9"/>
  <c r="FA308" i="9"/>
  <c r="FA306" i="9"/>
  <c r="FA304" i="9"/>
  <c r="FA302" i="9"/>
  <c r="FA300" i="9"/>
  <c r="FA298" i="9"/>
  <c r="FA296" i="9"/>
  <c r="FA294" i="9"/>
  <c r="FA292" i="9"/>
  <c r="FA290" i="9"/>
  <c r="FA288" i="9"/>
  <c r="FA286" i="9"/>
  <c r="FA284" i="9"/>
  <c r="FA282" i="9"/>
  <c r="FA280" i="9"/>
  <c r="FA278" i="9"/>
  <c r="FA276" i="9"/>
  <c r="FA274" i="9"/>
  <c r="FA272" i="9"/>
  <c r="FA270" i="9"/>
  <c r="FA268" i="9"/>
  <c r="FA266" i="9"/>
  <c r="FA264" i="9"/>
  <c r="FA262" i="9"/>
  <c r="FA260" i="9"/>
  <c r="FA258" i="9"/>
  <c r="FA256" i="9"/>
  <c r="FA254" i="9"/>
  <c r="FA252" i="9"/>
  <c r="FA250" i="9"/>
  <c r="FA248" i="9"/>
  <c r="FA246" i="9"/>
  <c r="FA244" i="9"/>
  <c r="FA242" i="9"/>
  <c r="FA240" i="9"/>
  <c r="FA238" i="9"/>
  <c r="FA236" i="9"/>
  <c r="FA234" i="9"/>
  <c r="FA232" i="9"/>
  <c r="FA230" i="9"/>
  <c r="FA228" i="9"/>
  <c r="FA226" i="9"/>
  <c r="FA224" i="9"/>
  <c r="FA222" i="9"/>
  <c r="FA204" i="9"/>
  <c r="FA202" i="9"/>
  <c r="FA200" i="9"/>
  <c r="FA198" i="9"/>
  <c r="FA196" i="9"/>
  <c r="FA194" i="9"/>
  <c r="FA192" i="9"/>
  <c r="FA190" i="9"/>
  <c r="FA188" i="9"/>
  <c r="FA186" i="9"/>
  <c r="FA184" i="9"/>
  <c r="FA182" i="9"/>
  <c r="FA180" i="9"/>
  <c r="FA178" i="9"/>
  <c r="FA176" i="9"/>
  <c r="FA174" i="9"/>
  <c r="FA172" i="9"/>
  <c r="FA170" i="9"/>
  <c r="FA168" i="9"/>
  <c r="FA166" i="9"/>
  <c r="FA164" i="9"/>
  <c r="FA162" i="9"/>
  <c r="FA160" i="9"/>
  <c r="FA158" i="9"/>
  <c r="FA220" i="9"/>
  <c r="FA218" i="9"/>
  <c r="FA216" i="9"/>
  <c r="FA214" i="9"/>
  <c r="FA212" i="9"/>
  <c r="FA210" i="9"/>
  <c r="FA208" i="9"/>
  <c r="FA206" i="9"/>
  <c r="FA132" i="9"/>
  <c r="FA130" i="9"/>
  <c r="FA128" i="9"/>
  <c r="FA126" i="9"/>
  <c r="FA124" i="9"/>
  <c r="FA122" i="9"/>
  <c r="FA120" i="9"/>
  <c r="FA118" i="9"/>
  <c r="FA116" i="9"/>
  <c r="FA114" i="9"/>
  <c r="FA112" i="9"/>
  <c r="FA110" i="9"/>
  <c r="FA108" i="9"/>
  <c r="FA106" i="9"/>
  <c r="FA104" i="9"/>
  <c r="FA102" i="9"/>
  <c r="FA100" i="9"/>
  <c r="FA98" i="9"/>
  <c r="FA96" i="9"/>
  <c r="FA94" i="9"/>
  <c r="FA92" i="9"/>
  <c r="FA90" i="9"/>
  <c r="FA88" i="9"/>
  <c r="FA86" i="9"/>
  <c r="FA84" i="9"/>
  <c r="FA82" i="9"/>
  <c r="FA73" i="9"/>
  <c r="FA156" i="9"/>
  <c r="FA154" i="9"/>
  <c r="FA152" i="9"/>
  <c r="FA150" i="9"/>
  <c r="FA148" i="9"/>
  <c r="FA146" i="9"/>
  <c r="FA144" i="9"/>
  <c r="FA142" i="9"/>
  <c r="FA140" i="9"/>
  <c r="FA138" i="9"/>
  <c r="FA136" i="9"/>
  <c r="FA134" i="9"/>
  <c r="FA64" i="9"/>
  <c r="FA49" i="9"/>
  <c r="FA40" i="9"/>
  <c r="FA31" i="9"/>
  <c r="FA14" i="9"/>
  <c r="FA12" i="9"/>
  <c r="FA10" i="9"/>
  <c r="FA8" i="9"/>
  <c r="FA6" i="9"/>
  <c r="FA319" i="9"/>
  <c r="FA317" i="9"/>
  <c r="FA315" i="9"/>
  <c r="FA313" i="9"/>
  <c r="FA311" i="9"/>
  <c r="FA309" i="9"/>
  <c r="FA307" i="9"/>
  <c r="FA305" i="9"/>
  <c r="FA303" i="9"/>
  <c r="FA301" i="9"/>
  <c r="FA299" i="9"/>
  <c r="FA297" i="9"/>
  <c r="FA295" i="9"/>
  <c r="FA293" i="9"/>
  <c r="FA291" i="9"/>
  <c r="FA289" i="9"/>
  <c r="FA287" i="9"/>
  <c r="FA285" i="9"/>
  <c r="FA283" i="9"/>
  <c r="FA281" i="9"/>
  <c r="FA279" i="9"/>
  <c r="FA277" i="9"/>
  <c r="FA275" i="9"/>
  <c r="FA273" i="9"/>
  <c r="FA271" i="9"/>
  <c r="FA269" i="9"/>
  <c r="FA267" i="9"/>
  <c r="FA265" i="9"/>
  <c r="FA263" i="9"/>
  <c r="FA261" i="9"/>
  <c r="FA259" i="9"/>
  <c r="FA257" i="9"/>
  <c r="FA255" i="9"/>
  <c r="FA253" i="9"/>
  <c r="FA251" i="9"/>
  <c r="FA249" i="9"/>
  <c r="FA247" i="9"/>
  <c r="FA245" i="9"/>
  <c r="FA243" i="9"/>
  <c r="FA241" i="9"/>
  <c r="FA239" i="9"/>
  <c r="FA237" i="9"/>
  <c r="FA235" i="9"/>
  <c r="FA233" i="9"/>
  <c r="FA231" i="9"/>
  <c r="FA229" i="9"/>
  <c r="FA227" i="9"/>
  <c r="FA225" i="9"/>
  <c r="FA223" i="9"/>
  <c r="FA221" i="9"/>
  <c r="FA203" i="9"/>
  <c r="FA201" i="9"/>
  <c r="FA199" i="9"/>
  <c r="FA197" i="9"/>
  <c r="FA195" i="9"/>
  <c r="FA193" i="9"/>
  <c r="FA191" i="9"/>
  <c r="FA189" i="9"/>
  <c r="FA187" i="9"/>
  <c r="FA185" i="9"/>
  <c r="FA183" i="9"/>
  <c r="FA181" i="9"/>
  <c r="FA179" i="9"/>
  <c r="FA177" i="9"/>
  <c r="FA175" i="9"/>
  <c r="FA173" i="9"/>
  <c r="FA171" i="9"/>
  <c r="FA169" i="9"/>
  <c r="FA167" i="9"/>
  <c r="FA165" i="9"/>
  <c r="FA163" i="9"/>
  <c r="FA161" i="9"/>
  <c r="FA159" i="9"/>
  <c r="FA157" i="9"/>
  <c r="FA219" i="9"/>
  <c r="FA217" i="9"/>
  <c r="FA215" i="9"/>
  <c r="FA213" i="9"/>
  <c r="FA211" i="9"/>
  <c r="FA209" i="9"/>
  <c r="FA207" i="9"/>
  <c r="FA205" i="9"/>
  <c r="FA131" i="9"/>
  <c r="FA129" i="9"/>
  <c r="FA127" i="9"/>
  <c r="FA125" i="9"/>
  <c r="FA123" i="9"/>
  <c r="FA121" i="9"/>
  <c r="FA119" i="9"/>
  <c r="FA117" i="9"/>
  <c r="FA115" i="9"/>
  <c r="FA113" i="9"/>
  <c r="FA111" i="9"/>
  <c r="FA109" i="9"/>
  <c r="FA107" i="9"/>
  <c r="FA105" i="9"/>
  <c r="FA103" i="9"/>
  <c r="FA101" i="9"/>
  <c r="FA99" i="9"/>
  <c r="FA97" i="9"/>
  <c r="FA95" i="9"/>
  <c r="FA93" i="9"/>
  <c r="FA91" i="9"/>
  <c r="FA89" i="9"/>
  <c r="FA87" i="9"/>
  <c r="FA85" i="9"/>
  <c r="FA83" i="9"/>
  <c r="FA74" i="9"/>
  <c r="FA65" i="9"/>
  <c r="FA155" i="9"/>
  <c r="FA153" i="9"/>
  <c r="FA151" i="9"/>
  <c r="FA149" i="9"/>
  <c r="FA147" i="9"/>
  <c r="FA145" i="9"/>
  <c r="FA143" i="9"/>
  <c r="FA141" i="9"/>
  <c r="FA139" i="9"/>
  <c r="FA137" i="9"/>
  <c r="FA135" i="9"/>
  <c r="FA133" i="9"/>
  <c r="FA48" i="9"/>
  <c r="FA39" i="9"/>
  <c r="FA30" i="9"/>
  <c r="FA13" i="9"/>
  <c r="FA11" i="9"/>
  <c r="FA9" i="9"/>
  <c r="FA7" i="9"/>
  <c r="FA5" i="9"/>
  <c r="EY81" i="9"/>
  <c r="FA81" i="9" s="1"/>
  <c r="EY71" i="9"/>
  <c r="FA71" i="9" s="1"/>
  <c r="EY61" i="9"/>
  <c r="FA61" i="9" s="1"/>
  <c r="FB61" i="9" s="1"/>
  <c r="EY53" i="9"/>
  <c r="FA53" i="9" s="1"/>
  <c r="EY43" i="9"/>
  <c r="FA43" i="9" s="1"/>
  <c r="FB43" i="9" s="1"/>
  <c r="EY33" i="9"/>
  <c r="FA33" i="9" s="1"/>
  <c r="EY23" i="9"/>
  <c r="FA23" i="9" s="1"/>
  <c r="EY15" i="9"/>
  <c r="FA15" i="9" s="1"/>
  <c r="EY72" i="9"/>
  <c r="FA72" i="9" s="1"/>
  <c r="FB72" i="9" s="1"/>
  <c r="EY62" i="9"/>
  <c r="FA62" i="9" s="1"/>
  <c r="FB62" i="9" s="1"/>
  <c r="EY54" i="9"/>
  <c r="FA54" i="9" s="1"/>
  <c r="FB54" i="9" s="1"/>
  <c r="EY44" i="9"/>
  <c r="FA44" i="9" s="1"/>
  <c r="EY34" i="9"/>
  <c r="FA34" i="9" s="1"/>
  <c r="EY24" i="9"/>
  <c r="FA24" i="9" s="1"/>
  <c r="FB24" i="9" s="1"/>
  <c r="EY16" i="9"/>
  <c r="FA16" i="9" s="1"/>
  <c r="FB16" i="9" s="1"/>
  <c r="EY75" i="9"/>
  <c r="FA75" i="9" s="1"/>
  <c r="EY63" i="9"/>
  <c r="FA63" i="9" s="1"/>
  <c r="EY55" i="9"/>
  <c r="FA55" i="9" s="1"/>
  <c r="EY45" i="9"/>
  <c r="FA45" i="9" s="1"/>
  <c r="FB45" i="9" s="1"/>
  <c r="EY35" i="9"/>
  <c r="FA35" i="9" s="1"/>
  <c r="FB35" i="9" s="1"/>
  <c r="EY25" i="9"/>
  <c r="FA25" i="9" s="1"/>
  <c r="EY17" i="9"/>
  <c r="FA17" i="9" s="1"/>
  <c r="EY76" i="9"/>
  <c r="FA76" i="9" s="1"/>
  <c r="EY66" i="9"/>
  <c r="FA66" i="9" s="1"/>
  <c r="EY56" i="9"/>
  <c r="FA56" i="9" s="1"/>
  <c r="FB56" i="9" s="1"/>
  <c r="EY46" i="9"/>
  <c r="FA46" i="9" s="1"/>
  <c r="EY36" i="9"/>
  <c r="FA36" i="9" s="1"/>
  <c r="EY26" i="9"/>
  <c r="FA26" i="9" s="1"/>
  <c r="EY18" i="9"/>
  <c r="FA18" i="9" s="1"/>
  <c r="EY77" i="9"/>
  <c r="FA77" i="9" s="1"/>
  <c r="FB77" i="9" s="1"/>
  <c r="EY67" i="9"/>
  <c r="FA67" i="9" s="1"/>
  <c r="EY57" i="9"/>
  <c r="FA57" i="9" s="1"/>
  <c r="EY47" i="9"/>
  <c r="FA47" i="9" s="1"/>
  <c r="EY37" i="9"/>
  <c r="FA37" i="9" s="1"/>
  <c r="EY27" i="9"/>
  <c r="FA27" i="9" s="1"/>
  <c r="FB27" i="9" s="1"/>
  <c r="EY19" i="9"/>
  <c r="FA19" i="9" s="1"/>
  <c r="FB19" i="9" s="1"/>
  <c r="EY78" i="9"/>
  <c r="FA78" i="9" s="1"/>
  <c r="EY68" i="9"/>
  <c r="FA68" i="9" s="1"/>
  <c r="EY58" i="9"/>
  <c r="FA58" i="9" s="1"/>
  <c r="FB58" i="9" s="1"/>
  <c r="EY50" i="9"/>
  <c r="FA50" i="9" s="1"/>
  <c r="EY38" i="9"/>
  <c r="FA38" i="9" s="1"/>
  <c r="FB38" i="9" s="1"/>
  <c r="EY28" i="9"/>
  <c r="FA28" i="9" s="1"/>
  <c r="EY20" i="9"/>
  <c r="FA20" i="9" s="1"/>
  <c r="EY79" i="9"/>
  <c r="FA79" i="9" s="1"/>
  <c r="EY69" i="9"/>
  <c r="FA69" i="9" s="1"/>
  <c r="FB69" i="9" s="1"/>
  <c r="EY59" i="9"/>
  <c r="FA59" i="9" s="1"/>
  <c r="FB59" i="9" s="1"/>
  <c r="EY51" i="9"/>
  <c r="FA51" i="9" s="1"/>
  <c r="EY41" i="9"/>
  <c r="FA41" i="9" s="1"/>
  <c r="EY29" i="9"/>
  <c r="FA29" i="9" s="1"/>
  <c r="EY21" i="9"/>
  <c r="FA21" i="9" s="1"/>
  <c r="EY80" i="9"/>
  <c r="FA80" i="9" s="1"/>
  <c r="FB80" i="9" s="1"/>
  <c r="EY70" i="9"/>
  <c r="FA70" i="9" s="1"/>
  <c r="FB70" i="9" s="1"/>
  <c r="EY60" i="9"/>
  <c r="FA60" i="9" s="1"/>
  <c r="EY52" i="9"/>
  <c r="FA52" i="9" s="1"/>
  <c r="EY42" i="9"/>
  <c r="FA42" i="9" s="1"/>
  <c r="EY32" i="9"/>
  <c r="FA32" i="9" s="1"/>
  <c r="FB32" i="9" s="1"/>
  <c r="EY22" i="9"/>
  <c r="FA22" i="9" s="1"/>
  <c r="FM307" i="9"/>
  <c r="EQ179" i="9"/>
  <c r="ES179" i="9"/>
  <c r="FB179" i="9"/>
  <c r="ET179" i="9"/>
  <c r="EX179" i="9"/>
  <c r="DY464" i="9"/>
  <c r="CR277" i="9"/>
  <c r="CT277" i="9"/>
  <c r="DC277" i="9"/>
  <c r="CY277" i="9"/>
  <c r="CU277" i="9"/>
  <c r="CW23" i="9"/>
  <c r="CW156" i="9"/>
  <c r="DC184" i="9"/>
  <c r="CR184" i="9"/>
  <c r="CT184" i="9"/>
  <c r="CU184" i="9"/>
  <c r="CY184" i="9"/>
  <c r="CT172" i="9"/>
  <c r="DC172" i="9"/>
  <c r="CR172" i="9"/>
  <c r="CY172" i="9"/>
  <c r="CU172" i="9"/>
  <c r="CW172" i="9"/>
  <c r="CR139" i="9"/>
  <c r="CT139" i="9"/>
  <c r="DC139" i="9"/>
  <c r="CU139" i="9"/>
  <c r="CY139" i="9"/>
  <c r="CW139" i="9"/>
  <c r="CT115" i="9"/>
  <c r="DC115" i="9"/>
  <c r="CR115" i="9"/>
  <c r="CY115" i="9"/>
  <c r="CU115" i="9"/>
  <c r="CR17" i="9"/>
  <c r="CT17" i="9"/>
  <c r="DC17" i="9"/>
  <c r="CY17" i="9"/>
  <c r="CU17" i="9"/>
  <c r="CW17" i="9"/>
  <c r="CT100" i="9"/>
  <c r="DC100" i="9"/>
  <c r="CR100" i="9"/>
  <c r="CY100" i="9"/>
  <c r="CU100" i="9"/>
  <c r="CR282" i="9"/>
  <c r="DC282" i="9"/>
  <c r="CT282" i="9"/>
  <c r="CY282" i="9"/>
  <c r="CU282" i="9"/>
  <c r="CW282" i="9"/>
  <c r="CW231" i="9"/>
  <c r="DC231" i="9"/>
  <c r="CR231" i="9"/>
  <c r="CT231" i="9"/>
  <c r="CU231" i="9"/>
  <c r="CY231" i="9"/>
  <c r="CW75" i="9"/>
  <c r="CW144" i="9"/>
  <c r="DC229" i="9"/>
  <c r="CR229" i="9"/>
  <c r="CT229" i="9"/>
  <c r="CU229" i="9"/>
  <c r="CY229" i="9"/>
  <c r="CW229" i="9"/>
  <c r="CT50" i="9"/>
  <c r="DC50" i="9"/>
  <c r="CR50" i="9"/>
  <c r="CY50" i="9"/>
  <c r="CU50" i="9"/>
  <c r="FM114" i="9"/>
  <c r="DE370" i="9"/>
  <c r="DF320" i="9"/>
  <c r="DG5" i="9"/>
  <c r="DG320" i="9" s="1"/>
  <c r="DJ459" i="9"/>
  <c r="DJ458" i="9"/>
  <c r="BJ191" i="14"/>
  <c r="CW134" i="9"/>
  <c r="CT134" i="9"/>
  <c r="DC134" i="9"/>
  <c r="CR134" i="9"/>
  <c r="CY134" i="9"/>
  <c r="CU134" i="9"/>
  <c r="FM126" i="9"/>
  <c r="CW212" i="9"/>
  <c r="CT278" i="9"/>
  <c r="DC278" i="9"/>
  <c r="CR278" i="9"/>
  <c r="CY278" i="9"/>
  <c r="CU278" i="9"/>
  <c r="CT232" i="9"/>
  <c r="DC232" i="9"/>
  <c r="CR232" i="9"/>
  <c r="CU232" i="9"/>
  <c r="CY232" i="9"/>
  <c r="CW232" i="9"/>
  <c r="CR312" i="9"/>
  <c r="DC312" i="9"/>
  <c r="CT312" i="9"/>
  <c r="CY312" i="9"/>
  <c r="CU312" i="9"/>
  <c r="CW312" i="9"/>
  <c r="CT34" i="9"/>
  <c r="DC34" i="9"/>
  <c r="CR34" i="9"/>
  <c r="CY34" i="9"/>
  <c r="CU34" i="9"/>
  <c r="CT63" i="9"/>
  <c r="DC63" i="9"/>
  <c r="CR63" i="9"/>
  <c r="CY63" i="9"/>
  <c r="CU63" i="9"/>
  <c r="CW63" i="9"/>
  <c r="CW15" i="9"/>
  <c r="CT15" i="9"/>
  <c r="DC15" i="9"/>
  <c r="CR15" i="9"/>
  <c r="CY15" i="9"/>
  <c r="CU15" i="9"/>
  <c r="CR255" i="9"/>
  <c r="CT255" i="9"/>
  <c r="DC255" i="9"/>
  <c r="CY255" i="9"/>
  <c r="CU255" i="9"/>
  <c r="CW123" i="9"/>
  <c r="CT123" i="9"/>
  <c r="DC123" i="9"/>
  <c r="CR123" i="9"/>
  <c r="CY123" i="9"/>
  <c r="CU123" i="9"/>
  <c r="FM289" i="9"/>
  <c r="CR140" i="9"/>
  <c r="CT140" i="9"/>
  <c r="DC140" i="9"/>
  <c r="CY140" i="9"/>
  <c r="CU140" i="9"/>
  <c r="CW140" i="9"/>
  <c r="DC227" i="9"/>
  <c r="CR227" i="9"/>
  <c r="CT227" i="9"/>
  <c r="CU227" i="9"/>
  <c r="CY227" i="9"/>
  <c r="CR251" i="9"/>
  <c r="CT251" i="9"/>
  <c r="DC251" i="9"/>
  <c r="CY251" i="9"/>
  <c r="CU251" i="9"/>
  <c r="CW251" i="9"/>
  <c r="CT138" i="9"/>
  <c r="DC138" i="9"/>
  <c r="CR138" i="9"/>
  <c r="CU138" i="9"/>
  <c r="CY138" i="9"/>
  <c r="CW138" i="9"/>
  <c r="DC105" i="9"/>
  <c r="CR105" i="9"/>
  <c r="CT105" i="9"/>
  <c r="CU105" i="9"/>
  <c r="CY105" i="9"/>
  <c r="CW105" i="9"/>
  <c r="CW154" i="9"/>
  <c r="CH423" i="9"/>
  <c r="CR21" i="9"/>
  <c r="CT21" i="9"/>
  <c r="DC21" i="9"/>
  <c r="CY21" i="9"/>
  <c r="CU21" i="9"/>
  <c r="CW21" i="9"/>
  <c r="CT42" i="9"/>
  <c r="DC42" i="9"/>
  <c r="CR42" i="9"/>
  <c r="CY42" i="9"/>
  <c r="CU42" i="9"/>
  <c r="CW42" i="9"/>
  <c r="DC176" i="9"/>
  <c r="CR176" i="9"/>
  <c r="CT176" i="9"/>
  <c r="CY176" i="9"/>
  <c r="CU176" i="9"/>
  <c r="CW176" i="9"/>
  <c r="DC241" i="9"/>
  <c r="CR241" i="9"/>
  <c r="CT241" i="9"/>
  <c r="CU241" i="9"/>
  <c r="CY241" i="9"/>
  <c r="FM225" i="9"/>
  <c r="DJ449" i="9"/>
  <c r="DJ448" i="9"/>
  <c r="ED306" i="9"/>
  <c r="ER306" i="9"/>
  <c r="FM45" i="9"/>
  <c r="FM163" i="9"/>
  <c r="CW286" i="9"/>
  <c r="CW55" i="9"/>
  <c r="CT55" i="9"/>
  <c r="DC55" i="9"/>
  <c r="CR55" i="9"/>
  <c r="CY55" i="9"/>
  <c r="CU55" i="9"/>
  <c r="DC92" i="9"/>
  <c r="CR92" i="9"/>
  <c r="CT92" i="9"/>
  <c r="CY92" i="9"/>
  <c r="CU92" i="9"/>
  <c r="CW222" i="9"/>
  <c r="FM216" i="9"/>
  <c r="FM87" i="9"/>
  <c r="FM124" i="9"/>
  <c r="FM249" i="9"/>
  <c r="DC305" i="9"/>
  <c r="CT305" i="9"/>
  <c r="CR305" i="9"/>
  <c r="CY305" i="9"/>
  <c r="CU305" i="9"/>
  <c r="CW305" i="9"/>
  <c r="CS462" i="9"/>
  <c r="CR221" i="9"/>
  <c r="CT221" i="9"/>
  <c r="DC221" i="9"/>
  <c r="CY221" i="9"/>
  <c r="CU221" i="9"/>
  <c r="CW221" i="9"/>
  <c r="CR247" i="9"/>
  <c r="CT247" i="9"/>
  <c r="DC247" i="9"/>
  <c r="CU247" i="9"/>
  <c r="CY247" i="9"/>
  <c r="CT185" i="9"/>
  <c r="DC185" i="9"/>
  <c r="CR185" i="9"/>
  <c r="CU185" i="9"/>
  <c r="CY185" i="9"/>
  <c r="DC98" i="9"/>
  <c r="CR98" i="9"/>
  <c r="CT98" i="9"/>
  <c r="CU98" i="9"/>
  <c r="CY98" i="9"/>
  <c r="CW98" i="9"/>
  <c r="CT175" i="9"/>
  <c r="DC175" i="9"/>
  <c r="CR175" i="9"/>
  <c r="CU175" i="9"/>
  <c r="CY175" i="9"/>
  <c r="CW175" i="9"/>
  <c r="CT159" i="9"/>
  <c r="DC159" i="9"/>
  <c r="CR159" i="9"/>
  <c r="CU159" i="9"/>
  <c r="CY159" i="9"/>
  <c r="CW159" i="9"/>
  <c r="CT171" i="9"/>
  <c r="DC171" i="9"/>
  <c r="CR171" i="9"/>
  <c r="CU171" i="9"/>
  <c r="CY171" i="9"/>
  <c r="CT18" i="9"/>
  <c r="DC18" i="9"/>
  <c r="CR18" i="9"/>
  <c r="CY18" i="9"/>
  <c r="CU18" i="9"/>
  <c r="CT49" i="9"/>
  <c r="DC49" i="9"/>
  <c r="CR49" i="9"/>
  <c r="CU49" i="9"/>
  <c r="CY49" i="9"/>
  <c r="CT79" i="9"/>
  <c r="DC79" i="9"/>
  <c r="CR79" i="9"/>
  <c r="CY79" i="9"/>
  <c r="CU79" i="9"/>
  <c r="CW79" i="9"/>
  <c r="CJ335" i="9"/>
  <c r="CJ333" i="9"/>
  <c r="CJ334" i="9"/>
  <c r="CC332" i="9"/>
  <c r="CW49" i="9"/>
  <c r="CT111" i="9"/>
  <c r="DC111" i="9"/>
  <c r="CR111" i="9"/>
  <c r="CU111" i="9"/>
  <c r="CY111" i="9"/>
  <c r="CW164" i="9"/>
  <c r="DC239" i="9"/>
  <c r="CR239" i="9"/>
  <c r="CT239" i="9"/>
  <c r="CU239" i="9"/>
  <c r="CY239" i="9"/>
  <c r="CT46" i="9"/>
  <c r="DC46" i="9"/>
  <c r="CR46" i="9"/>
  <c r="CU46" i="9"/>
  <c r="CY46" i="9"/>
  <c r="CW46" i="9"/>
  <c r="DY448" i="9"/>
  <c r="EJ336" i="9"/>
  <c r="EJ324" i="9"/>
  <c r="DV6" i="9"/>
  <c r="EF6" i="9"/>
  <c r="DW6" i="9"/>
  <c r="DX6" i="9" s="1"/>
  <c r="DV10" i="9"/>
  <c r="EF10" i="9"/>
  <c r="DW10" i="9"/>
  <c r="DX10" i="9" s="1"/>
  <c r="DV14" i="9"/>
  <c r="EF14" i="9"/>
  <c r="DW14" i="9"/>
  <c r="DX14" i="9" s="1"/>
  <c r="DV18" i="9"/>
  <c r="EF18" i="9"/>
  <c r="DW18" i="9"/>
  <c r="DX18" i="9" s="1"/>
  <c r="DV22" i="9"/>
  <c r="EF22" i="9"/>
  <c r="DW22" i="9"/>
  <c r="DX22" i="9" s="1"/>
  <c r="DV26" i="9"/>
  <c r="EF26" i="9"/>
  <c r="DW26" i="9"/>
  <c r="DX26" i="9" s="1"/>
  <c r="DV30" i="9"/>
  <c r="EF30" i="9"/>
  <c r="DW30" i="9"/>
  <c r="DX30" i="9" s="1"/>
  <c r="DV34" i="9"/>
  <c r="EF34" i="9"/>
  <c r="DW34" i="9"/>
  <c r="DX34" i="9" s="1"/>
  <c r="DV38" i="9"/>
  <c r="EF38" i="9"/>
  <c r="DW38" i="9"/>
  <c r="DX38" i="9" s="1"/>
  <c r="DV42" i="9"/>
  <c r="EF42" i="9"/>
  <c r="DW42" i="9"/>
  <c r="DX42" i="9" s="1"/>
  <c r="DV46" i="9"/>
  <c r="EF46" i="9"/>
  <c r="DW46" i="9"/>
  <c r="DX46" i="9" s="1"/>
  <c r="DV50" i="9"/>
  <c r="EF50" i="9"/>
  <c r="DW50" i="9"/>
  <c r="DX50" i="9" s="1"/>
  <c r="DV54" i="9"/>
  <c r="EF54" i="9"/>
  <c r="DW54" i="9"/>
  <c r="DX54" i="9" s="1"/>
  <c r="DV58" i="9"/>
  <c r="EF58" i="9"/>
  <c r="DW58" i="9"/>
  <c r="DX58" i="9" s="1"/>
  <c r="DV62" i="9"/>
  <c r="EF62" i="9"/>
  <c r="DW62" i="9"/>
  <c r="DX62" i="9" s="1"/>
  <c r="DV134" i="9"/>
  <c r="EF134" i="9"/>
  <c r="DW134" i="9"/>
  <c r="DX134" i="9" s="1"/>
  <c r="DV138" i="9"/>
  <c r="EF138" i="9"/>
  <c r="DW138" i="9"/>
  <c r="DX138" i="9" s="1"/>
  <c r="DV142" i="9"/>
  <c r="EF142" i="9"/>
  <c r="DW142" i="9"/>
  <c r="DX142" i="9" s="1"/>
  <c r="DV146" i="9"/>
  <c r="EF146" i="9"/>
  <c r="DW146" i="9"/>
  <c r="DX146" i="9" s="1"/>
  <c r="DV150" i="9"/>
  <c r="EF150" i="9"/>
  <c r="DW150" i="9"/>
  <c r="DX150" i="9" s="1"/>
  <c r="DV154" i="9"/>
  <c r="EF154" i="9"/>
  <c r="DW154" i="9"/>
  <c r="DX154" i="9" s="1"/>
  <c r="EF66" i="9"/>
  <c r="DW66" i="9"/>
  <c r="DX66" i="9" s="1"/>
  <c r="DV66" i="9"/>
  <c r="EF70" i="9"/>
  <c r="DW70" i="9"/>
  <c r="DX70" i="9" s="1"/>
  <c r="DV70" i="9"/>
  <c r="EF74" i="9"/>
  <c r="DW74" i="9"/>
  <c r="DX74" i="9" s="1"/>
  <c r="DV74" i="9"/>
  <c r="EF78" i="9"/>
  <c r="DW78" i="9"/>
  <c r="DX78" i="9" s="1"/>
  <c r="DV78" i="9"/>
  <c r="EF82" i="9"/>
  <c r="DW82" i="9"/>
  <c r="DX82" i="9" s="1"/>
  <c r="DV82" i="9"/>
  <c r="EF86" i="9"/>
  <c r="DW86" i="9"/>
  <c r="DX86" i="9" s="1"/>
  <c r="DV86" i="9"/>
  <c r="EF90" i="9"/>
  <c r="DW90" i="9"/>
  <c r="DX90" i="9" s="1"/>
  <c r="DV90" i="9"/>
  <c r="EF94" i="9"/>
  <c r="DW94" i="9"/>
  <c r="DX94" i="9" s="1"/>
  <c r="DV94" i="9"/>
  <c r="EF98" i="9"/>
  <c r="DW98" i="9"/>
  <c r="DX98" i="9" s="1"/>
  <c r="DV98" i="9"/>
  <c r="EF102" i="9"/>
  <c r="DW102" i="9"/>
  <c r="DX102" i="9" s="1"/>
  <c r="DV102" i="9"/>
  <c r="EF106" i="9"/>
  <c r="DW106" i="9"/>
  <c r="DX106" i="9" s="1"/>
  <c r="DV106" i="9"/>
  <c r="EF110" i="9"/>
  <c r="DW110" i="9"/>
  <c r="DX110" i="9" s="1"/>
  <c r="DV110" i="9"/>
  <c r="EF114" i="9"/>
  <c r="DW114" i="9"/>
  <c r="DX114" i="9" s="1"/>
  <c r="DV114" i="9"/>
  <c r="EF118" i="9"/>
  <c r="DW118" i="9"/>
  <c r="DX118" i="9" s="1"/>
  <c r="DV118" i="9"/>
  <c r="EF122" i="9"/>
  <c r="DW122" i="9"/>
  <c r="DX122" i="9" s="1"/>
  <c r="DV122" i="9"/>
  <c r="EF126" i="9"/>
  <c r="DW126" i="9"/>
  <c r="DX126" i="9" s="1"/>
  <c r="DV126" i="9"/>
  <c r="EF130" i="9"/>
  <c r="DW130" i="9"/>
  <c r="DX130" i="9" s="1"/>
  <c r="DV130" i="9"/>
  <c r="DV207" i="9"/>
  <c r="EF207" i="9"/>
  <c r="DW207" i="9"/>
  <c r="DX207" i="9" s="1"/>
  <c r="DV211" i="9"/>
  <c r="EF211" i="9"/>
  <c r="DW211" i="9"/>
  <c r="DX211" i="9" s="1"/>
  <c r="DV215" i="9"/>
  <c r="EF215" i="9"/>
  <c r="DW215" i="9"/>
  <c r="DX215" i="9" s="1"/>
  <c r="DV219" i="9"/>
  <c r="EF219" i="9"/>
  <c r="DW219" i="9"/>
  <c r="DX219" i="9" s="1"/>
  <c r="EF159" i="9"/>
  <c r="DW159" i="9"/>
  <c r="DX159" i="9" s="1"/>
  <c r="DV159" i="9"/>
  <c r="EF163" i="9"/>
  <c r="DW163" i="9"/>
  <c r="DX163" i="9" s="1"/>
  <c r="DV163" i="9"/>
  <c r="EF167" i="9"/>
  <c r="DW167" i="9"/>
  <c r="DX167" i="9" s="1"/>
  <c r="DV167" i="9"/>
  <c r="EF171" i="9"/>
  <c r="DW171" i="9"/>
  <c r="DX171" i="9" s="1"/>
  <c r="DV171" i="9"/>
  <c r="EF175" i="9"/>
  <c r="DW175" i="9"/>
  <c r="DX175" i="9" s="1"/>
  <c r="DV175" i="9"/>
  <c r="EF179" i="9"/>
  <c r="DW179" i="9"/>
  <c r="DX179" i="9" s="1"/>
  <c r="DV179" i="9"/>
  <c r="EF183" i="9"/>
  <c r="DW183" i="9"/>
  <c r="DX183" i="9" s="1"/>
  <c r="DV183" i="9"/>
  <c r="EF187" i="9"/>
  <c r="DW187" i="9"/>
  <c r="DX187" i="9" s="1"/>
  <c r="DV187" i="9"/>
  <c r="EF191" i="9"/>
  <c r="DW191" i="9"/>
  <c r="DX191" i="9" s="1"/>
  <c r="DV191" i="9"/>
  <c r="EF195" i="9"/>
  <c r="DW195" i="9"/>
  <c r="DX195" i="9" s="1"/>
  <c r="DV195" i="9"/>
  <c r="EF199" i="9"/>
  <c r="DW199" i="9"/>
  <c r="DX199" i="9" s="1"/>
  <c r="DV199" i="9"/>
  <c r="EF203" i="9"/>
  <c r="DW203" i="9"/>
  <c r="DX203" i="9" s="1"/>
  <c r="DV203" i="9"/>
  <c r="EF222" i="9"/>
  <c r="DW222" i="9"/>
  <c r="DX222" i="9" s="1"/>
  <c r="DV222" i="9"/>
  <c r="EF226" i="9"/>
  <c r="DW226" i="9"/>
  <c r="DX226" i="9" s="1"/>
  <c r="DV226" i="9"/>
  <c r="EF230" i="9"/>
  <c r="DW230" i="9"/>
  <c r="DX230" i="9" s="1"/>
  <c r="DV230" i="9"/>
  <c r="EF234" i="9"/>
  <c r="DW234" i="9"/>
  <c r="DX234" i="9" s="1"/>
  <c r="DV234" i="9"/>
  <c r="EF238" i="9"/>
  <c r="DW238" i="9"/>
  <c r="DX238" i="9" s="1"/>
  <c r="DV238" i="9"/>
  <c r="EF242" i="9"/>
  <c r="DW242" i="9"/>
  <c r="DX242" i="9" s="1"/>
  <c r="DV242" i="9"/>
  <c r="DV246" i="9"/>
  <c r="EF246" i="9"/>
  <c r="DW246" i="9"/>
  <c r="DX246" i="9" s="1"/>
  <c r="DV250" i="9"/>
  <c r="EF250" i="9"/>
  <c r="DW250" i="9"/>
  <c r="DX250" i="9" s="1"/>
  <c r="DV254" i="9"/>
  <c r="EF254" i="9"/>
  <c r="DW254" i="9"/>
  <c r="DX254" i="9" s="1"/>
  <c r="DV258" i="9"/>
  <c r="EF258" i="9"/>
  <c r="DW258" i="9"/>
  <c r="DX258" i="9" s="1"/>
  <c r="DV262" i="9"/>
  <c r="EF262" i="9"/>
  <c r="DW262" i="9"/>
  <c r="DX262" i="9" s="1"/>
  <c r="DV266" i="9"/>
  <c r="EF266" i="9"/>
  <c r="DW266" i="9"/>
  <c r="DX266" i="9" s="1"/>
  <c r="DV270" i="9"/>
  <c r="EF270" i="9"/>
  <c r="DW270" i="9"/>
  <c r="DX270" i="9" s="1"/>
  <c r="DV274" i="9"/>
  <c r="EF274" i="9"/>
  <c r="DW274" i="9"/>
  <c r="DX274" i="9" s="1"/>
  <c r="DV278" i="9"/>
  <c r="EF278" i="9"/>
  <c r="DW278" i="9"/>
  <c r="DX278" i="9" s="1"/>
  <c r="EF282" i="9"/>
  <c r="DW282" i="9"/>
  <c r="DX282" i="9" s="1"/>
  <c r="DV282" i="9"/>
  <c r="EF286" i="9"/>
  <c r="DW286" i="9"/>
  <c r="DX286" i="9" s="1"/>
  <c r="DV286" i="9"/>
  <c r="EF290" i="9"/>
  <c r="DW290" i="9"/>
  <c r="DX290" i="9" s="1"/>
  <c r="DV290" i="9"/>
  <c r="EF294" i="9"/>
  <c r="DW294" i="9"/>
  <c r="DX294" i="9" s="1"/>
  <c r="DV294" i="9"/>
  <c r="EF298" i="9"/>
  <c r="DW298" i="9"/>
  <c r="DX298" i="9" s="1"/>
  <c r="DV298" i="9"/>
  <c r="EF302" i="9"/>
  <c r="DW302" i="9"/>
  <c r="DX302" i="9" s="1"/>
  <c r="DV302" i="9"/>
  <c r="EF306" i="9"/>
  <c r="DW306" i="9"/>
  <c r="DX306" i="9" s="1"/>
  <c r="DV306" i="9"/>
  <c r="EF310" i="9"/>
  <c r="DW310" i="9"/>
  <c r="DX310" i="9" s="1"/>
  <c r="DV310" i="9"/>
  <c r="DV314" i="9"/>
  <c r="DW314" i="9"/>
  <c r="DX314" i="9" s="1"/>
  <c r="EF314" i="9"/>
  <c r="DV318" i="9"/>
  <c r="DW318" i="9"/>
  <c r="DX318" i="9" s="1"/>
  <c r="EF318" i="9"/>
  <c r="EF7" i="9"/>
  <c r="DW7" i="9"/>
  <c r="DX7" i="9" s="1"/>
  <c r="DV7" i="9"/>
  <c r="EF11" i="9"/>
  <c r="DW11" i="9"/>
  <c r="DX11" i="9" s="1"/>
  <c r="DV11" i="9"/>
  <c r="EF15" i="9"/>
  <c r="DW15" i="9"/>
  <c r="DX15" i="9" s="1"/>
  <c r="DV15" i="9"/>
  <c r="EF19" i="9"/>
  <c r="DW19" i="9"/>
  <c r="DX19" i="9" s="1"/>
  <c r="DV19" i="9"/>
  <c r="EF23" i="9"/>
  <c r="DW23" i="9"/>
  <c r="DX23" i="9" s="1"/>
  <c r="DV23" i="9"/>
  <c r="EF27" i="9"/>
  <c r="DW27" i="9"/>
  <c r="DX27" i="9" s="1"/>
  <c r="DV27" i="9"/>
  <c r="EF31" i="9"/>
  <c r="DW31" i="9"/>
  <c r="DX31" i="9" s="1"/>
  <c r="DV31" i="9"/>
  <c r="EF35" i="9"/>
  <c r="DW35" i="9"/>
  <c r="DX35" i="9" s="1"/>
  <c r="DV35" i="9"/>
  <c r="EF39" i="9"/>
  <c r="DW39" i="9"/>
  <c r="DX39" i="9" s="1"/>
  <c r="DV39" i="9"/>
  <c r="EF43" i="9"/>
  <c r="DW43" i="9"/>
  <c r="DX43" i="9" s="1"/>
  <c r="DV43" i="9"/>
  <c r="EF47" i="9"/>
  <c r="DW47" i="9"/>
  <c r="DX47" i="9" s="1"/>
  <c r="DV47" i="9"/>
  <c r="EF51" i="9"/>
  <c r="DW51" i="9"/>
  <c r="DX51" i="9" s="1"/>
  <c r="DV51" i="9"/>
  <c r="EF55" i="9"/>
  <c r="DW55" i="9"/>
  <c r="DX55" i="9" s="1"/>
  <c r="DV55" i="9"/>
  <c r="EF59" i="9"/>
  <c r="DW59" i="9"/>
  <c r="DX59" i="9" s="1"/>
  <c r="DV59" i="9"/>
  <c r="EF63" i="9"/>
  <c r="DW63" i="9"/>
  <c r="DX63" i="9" s="1"/>
  <c r="DV63" i="9"/>
  <c r="EF135" i="9"/>
  <c r="DW135" i="9"/>
  <c r="DX135" i="9" s="1"/>
  <c r="DV135" i="9"/>
  <c r="EF139" i="9"/>
  <c r="DW139" i="9"/>
  <c r="DX139" i="9" s="1"/>
  <c r="DV139" i="9"/>
  <c r="EF143" i="9"/>
  <c r="DW143" i="9"/>
  <c r="DX143" i="9" s="1"/>
  <c r="DV143" i="9"/>
  <c r="EF147" i="9"/>
  <c r="DW147" i="9"/>
  <c r="DX147" i="9" s="1"/>
  <c r="DV147" i="9"/>
  <c r="EF151" i="9"/>
  <c r="DW151" i="9"/>
  <c r="DX151" i="9" s="1"/>
  <c r="DV151" i="9"/>
  <c r="EF155" i="9"/>
  <c r="DW155" i="9"/>
  <c r="DX155" i="9" s="1"/>
  <c r="DV155" i="9"/>
  <c r="DW67" i="9"/>
  <c r="DX67" i="9" s="1"/>
  <c r="DV67" i="9"/>
  <c r="EF67" i="9"/>
  <c r="DW71" i="9"/>
  <c r="DX71" i="9" s="1"/>
  <c r="DV71" i="9"/>
  <c r="EF71" i="9"/>
  <c r="DW75" i="9"/>
  <c r="DX75" i="9" s="1"/>
  <c r="DV75" i="9"/>
  <c r="DV382" i="9" s="1"/>
  <c r="EF75" i="9"/>
  <c r="DW79" i="9"/>
  <c r="DX79" i="9" s="1"/>
  <c r="DV79" i="9"/>
  <c r="EF79" i="9"/>
  <c r="DW83" i="9"/>
  <c r="DX83" i="9" s="1"/>
  <c r="DV83" i="9"/>
  <c r="EF83" i="9"/>
  <c r="DW87" i="9"/>
  <c r="DX87" i="9" s="1"/>
  <c r="DV87" i="9"/>
  <c r="EF87" i="9"/>
  <c r="DW91" i="9"/>
  <c r="DX91" i="9" s="1"/>
  <c r="DV91" i="9"/>
  <c r="EF91" i="9"/>
  <c r="DW95" i="9"/>
  <c r="DX95" i="9" s="1"/>
  <c r="DV95" i="9"/>
  <c r="EF95" i="9"/>
  <c r="DW99" i="9"/>
  <c r="DX99" i="9" s="1"/>
  <c r="DV99" i="9"/>
  <c r="EF99" i="9"/>
  <c r="DW103" i="9"/>
  <c r="DX103" i="9" s="1"/>
  <c r="DV103" i="9"/>
  <c r="EF103" i="9"/>
  <c r="DW107" i="9"/>
  <c r="DX107" i="9" s="1"/>
  <c r="DV107" i="9"/>
  <c r="EF107" i="9"/>
  <c r="DW111" i="9"/>
  <c r="DX111" i="9" s="1"/>
  <c r="DV111" i="9"/>
  <c r="EF111" i="9"/>
  <c r="DW115" i="9"/>
  <c r="DX115" i="9" s="1"/>
  <c r="DV115" i="9"/>
  <c r="EF115" i="9"/>
  <c r="DW119" i="9"/>
  <c r="DX119" i="9" s="1"/>
  <c r="DV119" i="9"/>
  <c r="EF119" i="9"/>
  <c r="DW123" i="9"/>
  <c r="DX123" i="9" s="1"/>
  <c r="DV123" i="9"/>
  <c r="EF123" i="9"/>
  <c r="DW127" i="9"/>
  <c r="DX127" i="9" s="1"/>
  <c r="DV127" i="9"/>
  <c r="EF127" i="9"/>
  <c r="DW131" i="9"/>
  <c r="DX131" i="9" s="1"/>
  <c r="DV131" i="9"/>
  <c r="EF131" i="9"/>
  <c r="EF208" i="9"/>
  <c r="DW208" i="9"/>
  <c r="DX208" i="9" s="1"/>
  <c r="DV208" i="9"/>
  <c r="EF212" i="9"/>
  <c r="DW212" i="9"/>
  <c r="DX212" i="9" s="1"/>
  <c r="DV212" i="9"/>
  <c r="EF216" i="9"/>
  <c r="DW216" i="9"/>
  <c r="DX216" i="9" s="1"/>
  <c r="DV216" i="9"/>
  <c r="EF220" i="9"/>
  <c r="DW220" i="9"/>
  <c r="DX220" i="9" s="1"/>
  <c r="DV220" i="9"/>
  <c r="DW160" i="9"/>
  <c r="DX160" i="9" s="1"/>
  <c r="DV160" i="9"/>
  <c r="EF160" i="9"/>
  <c r="DW164" i="9"/>
  <c r="DX164" i="9" s="1"/>
  <c r="DV164" i="9"/>
  <c r="EF164" i="9"/>
  <c r="DW168" i="9"/>
  <c r="DX168" i="9" s="1"/>
  <c r="DV168" i="9"/>
  <c r="EF168" i="9"/>
  <c r="DW172" i="9"/>
  <c r="DX172" i="9" s="1"/>
  <c r="DV172" i="9"/>
  <c r="EF172" i="9"/>
  <c r="DW176" i="9"/>
  <c r="DX176" i="9" s="1"/>
  <c r="DV176" i="9"/>
  <c r="EF176" i="9"/>
  <c r="DW180" i="9"/>
  <c r="DX180" i="9" s="1"/>
  <c r="DV180" i="9"/>
  <c r="EF180" i="9"/>
  <c r="DW184" i="9"/>
  <c r="DX184" i="9" s="1"/>
  <c r="DV184" i="9"/>
  <c r="EF184" i="9"/>
  <c r="DW188" i="9"/>
  <c r="DX188" i="9" s="1"/>
  <c r="DV188" i="9"/>
  <c r="EF188" i="9"/>
  <c r="DW192" i="9"/>
  <c r="DX192" i="9" s="1"/>
  <c r="DV192" i="9"/>
  <c r="EF192" i="9"/>
  <c r="DW196" i="9"/>
  <c r="DX196" i="9" s="1"/>
  <c r="DV196" i="9"/>
  <c r="EF196" i="9"/>
  <c r="DW200" i="9"/>
  <c r="DX200" i="9" s="1"/>
  <c r="DV200" i="9"/>
  <c r="EF200" i="9"/>
  <c r="DW204" i="9"/>
  <c r="DX204" i="9" s="1"/>
  <c r="DV204" i="9"/>
  <c r="EF204" i="9"/>
  <c r="DW223" i="9"/>
  <c r="DX223" i="9" s="1"/>
  <c r="DV223" i="9"/>
  <c r="EF223" i="9"/>
  <c r="DW227" i="9"/>
  <c r="DX227" i="9" s="1"/>
  <c r="DV227" i="9"/>
  <c r="EF227" i="9"/>
  <c r="DW231" i="9"/>
  <c r="DX231" i="9" s="1"/>
  <c r="DV231" i="9"/>
  <c r="EF231" i="9"/>
  <c r="DW235" i="9"/>
  <c r="DX235" i="9" s="1"/>
  <c r="DV235" i="9"/>
  <c r="EF235" i="9"/>
  <c r="DW239" i="9"/>
  <c r="DX239" i="9" s="1"/>
  <c r="DV239" i="9"/>
  <c r="EF239" i="9"/>
  <c r="DW243" i="9"/>
  <c r="DX243" i="9" s="1"/>
  <c r="DV243" i="9"/>
  <c r="EF243" i="9"/>
  <c r="EF247" i="9"/>
  <c r="DW247" i="9"/>
  <c r="DX247" i="9" s="1"/>
  <c r="DV247" i="9"/>
  <c r="EF251" i="9"/>
  <c r="DW251" i="9"/>
  <c r="DX251" i="9" s="1"/>
  <c r="DV251" i="9"/>
  <c r="EF255" i="9"/>
  <c r="DW255" i="9"/>
  <c r="DX255" i="9" s="1"/>
  <c r="DV255" i="9"/>
  <c r="EF259" i="9"/>
  <c r="DW259" i="9"/>
  <c r="DX259" i="9" s="1"/>
  <c r="DV259" i="9"/>
  <c r="EF263" i="9"/>
  <c r="DW263" i="9"/>
  <c r="DX263" i="9" s="1"/>
  <c r="DV263" i="9"/>
  <c r="EF267" i="9"/>
  <c r="DW267" i="9"/>
  <c r="DX267" i="9" s="1"/>
  <c r="DV267" i="9"/>
  <c r="EF271" i="9"/>
  <c r="DW271" i="9"/>
  <c r="DX271" i="9" s="1"/>
  <c r="DV271" i="9"/>
  <c r="EF275" i="9"/>
  <c r="DW275" i="9"/>
  <c r="DX275" i="9" s="1"/>
  <c r="DV275" i="9"/>
  <c r="DW279" i="9"/>
  <c r="DX279" i="9" s="1"/>
  <c r="DV279" i="9"/>
  <c r="EF279" i="9"/>
  <c r="DW283" i="9"/>
  <c r="DX283" i="9" s="1"/>
  <c r="DV283" i="9"/>
  <c r="EF283" i="9"/>
  <c r="DW287" i="9"/>
  <c r="DX287" i="9" s="1"/>
  <c r="DV287" i="9"/>
  <c r="EF287" i="9"/>
  <c r="DW291" i="9"/>
  <c r="DX291" i="9" s="1"/>
  <c r="DV291" i="9"/>
  <c r="EF291" i="9"/>
  <c r="DW295" i="9"/>
  <c r="DX295" i="9" s="1"/>
  <c r="DV295" i="9"/>
  <c r="EF295" i="9"/>
  <c r="DW299" i="9"/>
  <c r="DX299" i="9" s="1"/>
  <c r="DV299" i="9"/>
  <c r="EF299" i="9"/>
  <c r="DW303" i="9"/>
  <c r="DX303" i="9" s="1"/>
  <c r="DV303" i="9"/>
  <c r="EF303" i="9"/>
  <c r="DW307" i="9"/>
  <c r="DX307" i="9" s="1"/>
  <c r="DV307" i="9"/>
  <c r="EF307" i="9"/>
  <c r="DW311" i="9"/>
  <c r="DX311" i="9" s="1"/>
  <c r="DV311" i="9"/>
  <c r="EF311" i="9"/>
  <c r="DW315" i="9"/>
  <c r="DX315" i="9" s="1"/>
  <c r="EF315" i="9"/>
  <c r="DV315" i="9"/>
  <c r="DW319" i="9"/>
  <c r="DX319" i="9" s="1"/>
  <c r="EF319" i="9"/>
  <c r="DV319" i="9"/>
  <c r="CT127" i="9"/>
  <c r="DC127" i="9"/>
  <c r="CR127" i="9"/>
  <c r="CY127" i="9"/>
  <c r="CU127" i="9"/>
  <c r="CW127" i="9"/>
  <c r="CR265" i="9"/>
  <c r="CT265" i="9"/>
  <c r="DC265" i="9"/>
  <c r="CU265" i="9"/>
  <c r="CY265" i="9"/>
  <c r="CW265" i="9"/>
  <c r="CE382" i="9"/>
  <c r="CE385" i="9"/>
  <c r="CD385" i="9" s="1"/>
  <c r="DC224" i="9"/>
  <c r="CR224" i="9"/>
  <c r="CT224" i="9"/>
  <c r="CY224" i="9"/>
  <c r="CU224" i="9"/>
  <c r="CW224" i="9"/>
  <c r="CT238" i="9"/>
  <c r="DC238" i="9"/>
  <c r="CR238" i="9"/>
  <c r="CU238" i="9"/>
  <c r="CY238" i="9"/>
  <c r="CW238" i="9"/>
  <c r="DC83" i="9"/>
  <c r="CR83" i="9"/>
  <c r="CT83" i="9"/>
  <c r="CU83" i="9"/>
  <c r="CY83" i="9"/>
  <c r="CT106" i="9"/>
  <c r="DC106" i="9"/>
  <c r="CR106" i="9"/>
  <c r="CU106" i="9"/>
  <c r="CY106" i="9"/>
  <c r="CT5" i="9"/>
  <c r="DC5" i="9"/>
  <c r="CR5" i="9"/>
  <c r="CS433" i="9"/>
  <c r="CS320" i="9"/>
  <c r="CU5" i="9"/>
  <c r="CY5" i="9"/>
  <c r="CE320" i="9"/>
  <c r="CT279" i="9"/>
  <c r="DC279" i="9"/>
  <c r="CR279" i="9"/>
  <c r="CU279" i="9"/>
  <c r="CY279" i="9"/>
  <c r="CT254" i="9"/>
  <c r="DC254" i="9"/>
  <c r="CR254" i="9"/>
  <c r="CY254" i="9"/>
  <c r="CU254" i="9"/>
  <c r="CW254" i="9"/>
  <c r="CR41" i="9"/>
  <c r="CT41" i="9"/>
  <c r="DC41" i="9"/>
  <c r="CY41" i="9"/>
  <c r="CU41" i="9"/>
  <c r="CT60" i="9"/>
  <c r="DC60" i="9"/>
  <c r="CR60" i="9"/>
  <c r="CY60" i="9"/>
  <c r="CU60" i="9"/>
  <c r="CW60" i="9"/>
  <c r="CT130" i="9"/>
  <c r="DC130" i="9"/>
  <c r="CR130" i="9"/>
  <c r="CY130" i="9"/>
  <c r="CU130" i="9"/>
  <c r="CR12" i="9"/>
  <c r="CT12" i="9"/>
  <c r="DC12" i="9"/>
  <c r="CY12" i="9"/>
  <c r="CU12" i="9"/>
  <c r="DC96" i="9"/>
  <c r="CR96" i="9"/>
  <c r="CT96" i="9"/>
  <c r="CY96" i="9"/>
  <c r="CU96" i="9"/>
  <c r="DE378" i="9"/>
  <c r="DO407" i="9"/>
  <c r="DE382" i="9"/>
  <c r="DO411" i="9"/>
  <c r="DJ460" i="9"/>
  <c r="CW96" i="9"/>
  <c r="CT190" i="9"/>
  <c r="DC190" i="9"/>
  <c r="CR190" i="9"/>
  <c r="CU190" i="9"/>
  <c r="CY190" i="9"/>
  <c r="DC202" i="9"/>
  <c r="CR202" i="9"/>
  <c r="CT202" i="9"/>
  <c r="CU202" i="9"/>
  <c r="CY202" i="9"/>
  <c r="CT78" i="9"/>
  <c r="DC78" i="9"/>
  <c r="CR78" i="9"/>
  <c r="CU78" i="9"/>
  <c r="CY78" i="9"/>
  <c r="CT84" i="9"/>
  <c r="DC84" i="9"/>
  <c r="CR84" i="9"/>
  <c r="CY84" i="9"/>
  <c r="CU84" i="9"/>
  <c r="CW166" i="9"/>
  <c r="DC166" i="9"/>
  <c r="CR166" i="9"/>
  <c r="CT166" i="9"/>
  <c r="CU166" i="9"/>
  <c r="CY166" i="9"/>
  <c r="CW130" i="9"/>
  <c r="CW151" i="9"/>
  <c r="CT208" i="9"/>
  <c r="DC208" i="9"/>
  <c r="CR208" i="9"/>
  <c r="CU208" i="9"/>
  <c r="CY208" i="9"/>
  <c r="CW208" i="9"/>
  <c r="CW81" i="9"/>
  <c r="CT81" i="9"/>
  <c r="DC81" i="9"/>
  <c r="CR81" i="9"/>
  <c r="CU81" i="9"/>
  <c r="CY81" i="9"/>
  <c r="CS324" i="9"/>
  <c r="CR10" i="9"/>
  <c r="CT10" i="9"/>
  <c r="DC10" i="9"/>
  <c r="CU10" i="9"/>
  <c r="CY10" i="9"/>
  <c r="CR309" i="9"/>
  <c r="DC309" i="9"/>
  <c r="CT309" i="9"/>
  <c r="CY309" i="9"/>
  <c r="CU309" i="9"/>
  <c r="CW309" i="9"/>
  <c r="CT135" i="9"/>
  <c r="DC135" i="9"/>
  <c r="CR135" i="9"/>
  <c r="CY135" i="9"/>
  <c r="CU135" i="9"/>
  <c r="CW135" i="9"/>
  <c r="CR264" i="9"/>
  <c r="CT264" i="9"/>
  <c r="DC264" i="9"/>
  <c r="CU264" i="9"/>
  <c r="CY264" i="9"/>
  <c r="CW264" i="9"/>
  <c r="CT76" i="9"/>
  <c r="DC76" i="9"/>
  <c r="CR76" i="9"/>
  <c r="CU76" i="9"/>
  <c r="CY76" i="9"/>
  <c r="CW76" i="9"/>
  <c r="CW28" i="9"/>
  <c r="CT53" i="9"/>
  <c r="DC53" i="9"/>
  <c r="CR53" i="9"/>
  <c r="CY53" i="9"/>
  <c r="CU53" i="9"/>
  <c r="DC316" i="9"/>
  <c r="CR316" i="9"/>
  <c r="CT316" i="9"/>
  <c r="CU316" i="9"/>
  <c r="CY316" i="9"/>
  <c r="CW316" i="9"/>
  <c r="DJ464" i="9"/>
  <c r="DJ463" i="9"/>
  <c r="DC226" i="9"/>
  <c r="CR226" i="9"/>
  <c r="CT226" i="9"/>
  <c r="CY226" i="9"/>
  <c r="CU226" i="9"/>
  <c r="CR52" i="9"/>
  <c r="CT52" i="9"/>
  <c r="DC52" i="9"/>
  <c r="CU52" i="9"/>
  <c r="CY52" i="9"/>
  <c r="CR290" i="9"/>
  <c r="DC290" i="9"/>
  <c r="CT290" i="9"/>
  <c r="CY290" i="9"/>
  <c r="CU290" i="9"/>
  <c r="CW160" i="9"/>
  <c r="CW152" i="9"/>
  <c r="CW122" i="9"/>
  <c r="CW18" i="9"/>
  <c r="DC193" i="9"/>
  <c r="CR193" i="9"/>
  <c r="CT193" i="9"/>
  <c r="CY193" i="9"/>
  <c r="CU193" i="9"/>
  <c r="CW193" i="9"/>
  <c r="CN394" i="9"/>
  <c r="CR257" i="9"/>
  <c r="CT257" i="9"/>
  <c r="DC257" i="9"/>
  <c r="CY257" i="9"/>
  <c r="CU257" i="9"/>
  <c r="CR272" i="9"/>
  <c r="CT272" i="9"/>
  <c r="DC272" i="9"/>
  <c r="CU272" i="9"/>
  <c r="CY272" i="9"/>
  <c r="CW272" i="9"/>
  <c r="CR26" i="9"/>
  <c r="CT26" i="9"/>
  <c r="DC26" i="9"/>
  <c r="CU26" i="9"/>
  <c r="CY26" i="9"/>
  <c r="CW26" i="9"/>
  <c r="CT110" i="9"/>
  <c r="DC110" i="9"/>
  <c r="CR110" i="9"/>
  <c r="CU110" i="9"/>
  <c r="CY110" i="9"/>
  <c r="CT174" i="9"/>
  <c r="DC174" i="9"/>
  <c r="CR174" i="9"/>
  <c r="CU174" i="9"/>
  <c r="CY174" i="9"/>
  <c r="CW111" i="9"/>
  <c r="CR30" i="9"/>
  <c r="CT30" i="9"/>
  <c r="DC30" i="9"/>
  <c r="CU30" i="9"/>
  <c r="CY30" i="9"/>
  <c r="CW30" i="9"/>
  <c r="DC319" i="9"/>
  <c r="CR319" i="9"/>
  <c r="CT319" i="9"/>
  <c r="CY319" i="9"/>
  <c r="CU319" i="9"/>
  <c r="CW297" i="9"/>
  <c r="CT246" i="9"/>
  <c r="DC246" i="9"/>
  <c r="CR246" i="9"/>
  <c r="CY246" i="9"/>
  <c r="CU246" i="9"/>
  <c r="CW239" i="9"/>
  <c r="DC314" i="9"/>
  <c r="CR314" i="9"/>
  <c r="CT314" i="9"/>
  <c r="CY314" i="9"/>
  <c r="CU314" i="9"/>
  <c r="CT252" i="9"/>
  <c r="DC252" i="9"/>
  <c r="CR252" i="9"/>
  <c r="CY252" i="9"/>
  <c r="CU252" i="9"/>
  <c r="CR281" i="9"/>
  <c r="DC281" i="9"/>
  <c r="CT281" i="9"/>
  <c r="CU281" i="9"/>
  <c r="CY281" i="9"/>
  <c r="CW281" i="9"/>
  <c r="DY460" i="9"/>
  <c r="DY455" i="9"/>
  <c r="DY473" i="9" s="1"/>
  <c r="DY474" i="9" s="1"/>
  <c r="EA475" i="9" s="1"/>
  <c r="DY468" i="9"/>
  <c r="EA469" i="9" s="1"/>
  <c r="EA467" i="9" s="1"/>
  <c r="EP348" i="9"/>
  <c r="ER440" i="9" s="1"/>
  <c r="EQ440" i="9" s="1"/>
  <c r="FO235" i="9"/>
  <c r="FK260" i="9"/>
  <c r="FL260" i="9" s="1"/>
  <c r="FK235" i="9"/>
  <c r="FL235" i="9" s="1"/>
  <c r="FO260" i="9"/>
  <c r="FK167" i="9"/>
  <c r="FL167" i="9" s="1"/>
  <c r="FK308" i="9"/>
  <c r="FL308" i="9" s="1"/>
  <c r="FS223" i="9"/>
  <c r="FH223" i="9"/>
  <c r="FJ223" i="9"/>
  <c r="FJ205" i="9"/>
  <c r="FS205" i="9"/>
  <c r="FH205" i="9"/>
  <c r="FH270" i="9"/>
  <c r="FJ270" i="9"/>
  <c r="FS270" i="9"/>
  <c r="FH256" i="9"/>
  <c r="FJ256" i="9"/>
  <c r="FS256" i="9"/>
  <c r="FH258" i="9"/>
  <c r="FJ258" i="9"/>
  <c r="FS258" i="9"/>
  <c r="FH262" i="9"/>
  <c r="FJ262" i="9"/>
  <c r="FS262" i="9"/>
  <c r="FS243" i="9"/>
  <c r="FH243" i="9"/>
  <c r="FJ243" i="9"/>
  <c r="FJ219" i="9"/>
  <c r="FS219" i="9"/>
  <c r="FH219" i="9"/>
  <c r="FJ149" i="9"/>
  <c r="FS149" i="9"/>
  <c r="FH149" i="9"/>
  <c r="FJ268" i="9"/>
  <c r="FS268" i="9"/>
  <c r="FH268" i="9"/>
  <c r="FH137" i="9"/>
  <c r="FJ137" i="9"/>
  <c r="FS137" i="9"/>
  <c r="FH211" i="9"/>
  <c r="FJ211" i="9"/>
  <c r="FS211" i="9"/>
  <c r="FK107" i="9"/>
  <c r="FL107" i="9" s="1"/>
  <c r="FS186" i="9"/>
  <c r="FH186" i="9"/>
  <c r="FJ186" i="9"/>
  <c r="FM72" i="9"/>
  <c r="FJ72" i="9"/>
  <c r="FH72" i="9"/>
  <c r="FS125" i="9"/>
  <c r="FH125" i="9"/>
  <c r="FJ125" i="9"/>
  <c r="FH48" i="9"/>
  <c r="FJ48" i="9"/>
  <c r="FS48" i="9"/>
  <c r="FS132" i="9"/>
  <c r="FH132" i="9"/>
  <c r="FJ132" i="9"/>
  <c r="FJ261" i="9"/>
  <c r="FS261" i="9"/>
  <c r="FH261" i="9"/>
  <c r="FJ35" i="9"/>
  <c r="FH35" i="9"/>
  <c r="FH69" i="9"/>
  <c r="FJ69" i="9"/>
  <c r="FS97" i="9"/>
  <c r="FH97" i="9"/>
  <c r="FJ97" i="9"/>
  <c r="FH16" i="9"/>
  <c r="FJ16" i="9"/>
  <c r="FS295" i="9"/>
  <c r="FJ295" i="9"/>
  <c r="FH295" i="9"/>
  <c r="FS93" i="9"/>
  <c r="FH93" i="9"/>
  <c r="FJ93" i="9"/>
  <c r="FM62" i="9"/>
  <c r="FJ62" i="9"/>
  <c r="FH62" i="9"/>
  <c r="FS91" i="9"/>
  <c r="FH91" i="9"/>
  <c r="FJ91" i="9"/>
  <c r="FS287" i="9"/>
  <c r="FJ287" i="9"/>
  <c r="FH287" i="9"/>
  <c r="FJ104" i="9"/>
  <c r="FH104" i="9"/>
  <c r="FS104" i="9"/>
  <c r="FJ80" i="9"/>
  <c r="FH80" i="9"/>
  <c r="FJ32" i="9"/>
  <c r="FH32" i="9"/>
  <c r="FH283" i="9"/>
  <c r="FJ283" i="9"/>
  <c r="FS283" i="9"/>
  <c r="FH220" i="9"/>
  <c r="FS220" i="9"/>
  <c r="FJ220" i="9"/>
  <c r="FJ113" i="9"/>
  <c r="FH113" i="9"/>
  <c r="FS113" i="9"/>
  <c r="FH43" i="9"/>
  <c r="FJ43" i="9"/>
  <c r="FH56" i="9"/>
  <c r="FJ56" i="9"/>
  <c r="FH31" i="9"/>
  <c r="FS31" i="9"/>
  <c r="FJ31" i="9"/>
  <c r="FJ95" i="9"/>
  <c r="FS95" i="9"/>
  <c r="FH95" i="9"/>
  <c r="FH267" i="9"/>
  <c r="FJ267" i="9"/>
  <c r="FS267" i="9"/>
  <c r="FS112" i="9"/>
  <c r="FH112" i="9"/>
  <c r="FJ112" i="9"/>
  <c r="FJ77" i="9"/>
  <c r="FH77" i="9"/>
  <c r="FH8" i="9"/>
  <c r="FJ8" i="9"/>
  <c r="FS8" i="9"/>
  <c r="FJ271" i="9"/>
  <c r="FS271" i="9"/>
  <c r="FH271" i="9"/>
  <c r="FJ27" i="9"/>
  <c r="FH27" i="9"/>
  <c r="FS293" i="9"/>
  <c r="FJ293" i="9"/>
  <c r="FH293" i="9"/>
  <c r="FJ59" i="9"/>
  <c r="FH59" i="9"/>
  <c r="FS303" i="9"/>
  <c r="FJ303" i="9"/>
  <c r="FH303" i="9"/>
  <c r="FS285" i="9"/>
  <c r="FJ285" i="9"/>
  <c r="FH285" i="9"/>
  <c r="FM19" i="9"/>
  <c r="FH19" i="9"/>
  <c r="FJ19" i="9"/>
  <c r="FJ40" i="9"/>
  <c r="FS40" i="9"/>
  <c r="FH40" i="9"/>
  <c r="FS230" i="9"/>
  <c r="FH230" i="9"/>
  <c r="FJ230" i="9"/>
  <c r="FJ242" i="9"/>
  <c r="FS242" i="9"/>
  <c r="FH242" i="9"/>
  <c r="FS131" i="9"/>
  <c r="FH131" i="9"/>
  <c r="FJ131" i="9"/>
  <c r="FG332" i="9"/>
  <c r="FG457" i="9"/>
  <c r="FK439" i="9"/>
  <c r="FK435" i="9"/>
  <c r="FK433" i="9"/>
  <c r="FR4" i="9"/>
  <c r="FJ4" i="9"/>
  <c r="FD4" i="9"/>
  <c r="FC4" i="9"/>
  <c r="FE4" i="9"/>
  <c r="FK437" i="9"/>
  <c r="FK434" i="9"/>
  <c r="FI322" i="9"/>
  <c r="FP4" i="9"/>
  <c r="FF4" i="9"/>
  <c r="FS4" i="9"/>
  <c r="FQ4" i="9"/>
  <c r="FC1" i="9"/>
  <c r="FG320" i="9"/>
  <c r="FI439" i="9" s="1"/>
  <c r="EL318" i="9"/>
  <c r="EL316" i="9"/>
  <c r="EL314" i="9"/>
  <c r="EL312" i="9"/>
  <c r="EL310" i="9"/>
  <c r="EL308" i="9"/>
  <c r="EL306" i="9"/>
  <c r="EL304" i="9"/>
  <c r="EL302" i="9"/>
  <c r="EL300" i="9"/>
  <c r="EL298" i="9"/>
  <c r="EL296" i="9"/>
  <c r="EL294" i="9"/>
  <c r="EL292" i="9"/>
  <c r="EL290" i="9"/>
  <c r="EL288" i="9"/>
  <c r="EL286" i="9"/>
  <c r="EL284" i="9"/>
  <c r="EL282" i="9"/>
  <c r="EL280" i="9"/>
  <c r="EL278" i="9"/>
  <c r="EL276" i="9"/>
  <c r="EL274" i="9"/>
  <c r="EL272" i="9"/>
  <c r="EL270" i="9"/>
  <c r="EL268" i="9"/>
  <c r="EL266" i="9"/>
  <c r="EL264" i="9"/>
  <c r="EL262" i="9"/>
  <c r="EL260" i="9"/>
  <c r="EL258" i="9"/>
  <c r="EL256" i="9"/>
  <c r="EL254" i="9"/>
  <c r="EL252" i="9"/>
  <c r="EL250" i="9"/>
  <c r="EL248" i="9"/>
  <c r="EL246" i="9"/>
  <c r="EL244" i="9"/>
  <c r="EL242" i="9"/>
  <c r="EL240" i="9"/>
  <c r="EL238" i="9"/>
  <c r="EL236" i="9"/>
  <c r="EL234" i="9"/>
  <c r="EL232" i="9"/>
  <c r="EL230" i="9"/>
  <c r="EL228" i="9"/>
  <c r="EL226" i="9"/>
  <c r="EL224" i="9"/>
  <c r="EL222" i="9"/>
  <c r="EL220" i="9"/>
  <c r="EL218" i="9"/>
  <c r="EL216" i="9"/>
  <c r="EL214" i="9"/>
  <c r="EL212" i="9"/>
  <c r="EL210" i="9"/>
  <c r="EL208" i="9"/>
  <c r="EL206" i="9"/>
  <c r="EL204" i="9"/>
  <c r="EL202" i="9"/>
  <c r="EL200" i="9"/>
  <c r="EL198" i="9"/>
  <c r="EL196" i="9"/>
  <c r="EL194" i="9"/>
  <c r="EL192" i="9"/>
  <c r="EL190" i="9"/>
  <c r="EL188" i="9"/>
  <c r="EL186" i="9"/>
  <c r="EL184" i="9"/>
  <c r="EL182" i="9"/>
  <c r="EL180" i="9"/>
  <c r="EL178" i="9"/>
  <c r="EL176" i="9"/>
  <c r="EL174" i="9"/>
  <c r="EL172" i="9"/>
  <c r="EL170" i="9"/>
  <c r="EL168" i="9"/>
  <c r="EL166" i="9"/>
  <c r="EL164" i="9"/>
  <c r="EL162" i="9"/>
  <c r="EL160" i="9"/>
  <c r="EL158" i="9"/>
  <c r="EL156" i="9"/>
  <c r="EL154" i="9"/>
  <c r="EL152" i="9"/>
  <c r="EL150" i="9"/>
  <c r="EL148" i="9"/>
  <c r="EL146" i="9"/>
  <c r="EL144" i="9"/>
  <c r="EL142" i="9"/>
  <c r="EL140" i="9"/>
  <c r="EL138" i="9"/>
  <c r="EL136" i="9"/>
  <c r="EL134" i="9"/>
  <c r="EL132" i="9"/>
  <c r="EL130" i="9"/>
  <c r="EL128" i="9"/>
  <c r="EL126" i="9"/>
  <c r="EL124" i="9"/>
  <c r="EL122" i="9"/>
  <c r="EL120" i="9"/>
  <c r="EL118" i="9"/>
  <c r="EL116" i="9"/>
  <c r="EL114" i="9"/>
  <c r="EL112" i="9"/>
  <c r="EL110" i="9"/>
  <c r="EL108" i="9"/>
  <c r="EL106" i="9"/>
  <c r="EL104" i="9"/>
  <c r="EL102" i="9"/>
  <c r="EL100" i="9"/>
  <c r="EL98" i="9"/>
  <c r="EL96" i="9"/>
  <c r="EL94" i="9"/>
  <c r="EL92" i="9"/>
  <c r="EL90" i="9"/>
  <c r="EL88" i="9"/>
  <c r="EL86" i="9"/>
  <c r="EL84" i="9"/>
  <c r="EL82" i="9"/>
  <c r="EL80" i="9"/>
  <c r="EL78" i="9"/>
  <c r="EL76" i="9"/>
  <c r="EL74" i="9"/>
  <c r="EL72" i="9"/>
  <c r="EL70" i="9"/>
  <c r="EL68" i="9"/>
  <c r="EL66" i="9"/>
  <c r="EL64" i="9"/>
  <c r="EL62" i="9"/>
  <c r="EL60" i="9"/>
  <c r="EL58" i="9"/>
  <c r="EL56" i="9"/>
  <c r="EL54" i="9"/>
  <c r="EL52" i="9"/>
  <c r="EL50" i="9"/>
  <c r="EL48" i="9"/>
  <c r="EL46" i="9"/>
  <c r="EL44" i="9"/>
  <c r="EL42" i="9"/>
  <c r="EL40" i="9"/>
  <c r="EL38" i="9"/>
  <c r="EL36" i="9"/>
  <c r="EL34" i="9"/>
  <c r="EL32" i="9"/>
  <c r="EL30" i="9"/>
  <c r="EL28" i="9"/>
  <c r="EL26" i="9"/>
  <c r="EL24" i="9"/>
  <c r="EL22" i="9"/>
  <c r="EL20" i="9"/>
  <c r="EL18" i="9"/>
  <c r="EL16" i="9"/>
  <c r="EL14" i="9"/>
  <c r="EL12" i="9"/>
  <c r="EL10" i="9"/>
  <c r="EL8" i="9"/>
  <c r="EL6" i="9"/>
  <c r="EL319" i="9"/>
  <c r="EL317" i="9"/>
  <c r="EL315" i="9"/>
  <c r="EL313" i="9"/>
  <c r="EL311" i="9"/>
  <c r="EL309" i="9"/>
  <c r="EL307" i="9"/>
  <c r="EL305" i="9"/>
  <c r="EL303" i="9"/>
  <c r="EL301" i="9"/>
  <c r="EL299" i="9"/>
  <c r="EL297" i="9"/>
  <c r="EL295" i="9"/>
  <c r="EL293" i="9"/>
  <c r="EL291" i="9"/>
  <c r="EL289" i="9"/>
  <c r="EL287" i="9"/>
  <c r="EL285" i="9"/>
  <c r="EL283" i="9"/>
  <c r="EL281" i="9"/>
  <c r="EL279" i="9"/>
  <c r="EL277" i="9"/>
  <c r="EL275" i="9"/>
  <c r="EL273" i="9"/>
  <c r="EL271" i="9"/>
  <c r="EL269" i="9"/>
  <c r="EL267" i="9"/>
  <c r="EL265" i="9"/>
  <c r="EL263" i="9"/>
  <c r="EL261" i="9"/>
  <c r="EL259" i="9"/>
  <c r="EL257" i="9"/>
  <c r="EL255" i="9"/>
  <c r="EL253" i="9"/>
  <c r="EL251" i="9"/>
  <c r="EL249" i="9"/>
  <c r="EL247" i="9"/>
  <c r="EL245" i="9"/>
  <c r="EL243" i="9"/>
  <c r="EL241" i="9"/>
  <c r="EL239" i="9"/>
  <c r="EL237" i="9"/>
  <c r="EL235" i="9"/>
  <c r="EL233" i="9"/>
  <c r="EL231" i="9"/>
  <c r="EL229" i="9"/>
  <c r="EL227" i="9"/>
  <c r="EL225" i="9"/>
  <c r="EL223" i="9"/>
  <c r="EL221" i="9"/>
  <c r="EL219" i="9"/>
  <c r="EL217" i="9"/>
  <c r="EL215" i="9"/>
  <c r="EL213" i="9"/>
  <c r="EL211" i="9"/>
  <c r="EL209" i="9"/>
  <c r="EL207" i="9"/>
  <c r="EL205" i="9"/>
  <c r="EL203" i="9"/>
  <c r="EL201" i="9"/>
  <c r="EL199" i="9"/>
  <c r="EL197" i="9"/>
  <c r="EL195" i="9"/>
  <c r="EL193" i="9"/>
  <c r="EL191" i="9"/>
  <c r="EL189" i="9"/>
  <c r="EL187" i="9"/>
  <c r="EL185" i="9"/>
  <c r="EL183" i="9"/>
  <c r="EL181" i="9"/>
  <c r="EL179" i="9"/>
  <c r="EL177" i="9"/>
  <c r="EL175" i="9"/>
  <c r="EL173" i="9"/>
  <c r="EL171" i="9"/>
  <c r="EL169" i="9"/>
  <c r="EL167" i="9"/>
  <c r="EL165" i="9"/>
  <c r="EL163" i="9"/>
  <c r="EL161" i="9"/>
  <c r="EL159" i="9"/>
  <c r="EL157" i="9"/>
  <c r="EL155" i="9"/>
  <c r="EL153" i="9"/>
  <c r="EL151" i="9"/>
  <c r="EL149" i="9"/>
  <c r="EL147" i="9"/>
  <c r="EL145" i="9"/>
  <c r="EL143" i="9"/>
  <c r="EL141" i="9"/>
  <c r="EL139" i="9"/>
  <c r="EL137" i="9"/>
  <c r="EL135" i="9"/>
  <c r="EL133" i="9"/>
  <c r="EL131" i="9"/>
  <c r="EL129" i="9"/>
  <c r="EL127" i="9"/>
  <c r="EL125" i="9"/>
  <c r="EL123" i="9"/>
  <c r="EL121" i="9"/>
  <c r="EL119" i="9"/>
  <c r="EL117" i="9"/>
  <c r="EL115" i="9"/>
  <c r="EL113" i="9"/>
  <c r="EL111" i="9"/>
  <c r="EL109" i="9"/>
  <c r="EL107" i="9"/>
  <c r="EL105" i="9"/>
  <c r="EL103" i="9"/>
  <c r="EL101" i="9"/>
  <c r="EL99" i="9"/>
  <c r="EL97" i="9"/>
  <c r="EL95" i="9"/>
  <c r="EL93" i="9"/>
  <c r="EL91" i="9"/>
  <c r="EL89" i="9"/>
  <c r="EL87" i="9"/>
  <c r="EL85" i="9"/>
  <c r="EL83" i="9"/>
  <c r="EL81" i="9"/>
  <c r="EL79" i="9"/>
  <c r="EL77" i="9"/>
  <c r="EL75" i="9"/>
  <c r="EL73" i="9"/>
  <c r="EL71" i="9"/>
  <c r="EL69" i="9"/>
  <c r="EL67" i="9"/>
  <c r="EL65" i="9"/>
  <c r="EL63" i="9"/>
  <c r="EL61" i="9"/>
  <c r="EL59" i="9"/>
  <c r="EL57" i="9"/>
  <c r="EL55" i="9"/>
  <c r="EL53" i="9"/>
  <c r="EL51" i="9"/>
  <c r="EL49" i="9"/>
  <c r="EL47" i="9"/>
  <c r="EL45" i="9"/>
  <c r="EL43" i="9"/>
  <c r="EL41" i="9"/>
  <c r="EL39" i="9"/>
  <c r="EL37" i="9"/>
  <c r="EL35" i="9"/>
  <c r="EL33" i="9"/>
  <c r="EL31" i="9"/>
  <c r="EL29" i="9"/>
  <c r="EL27" i="9"/>
  <c r="EL25" i="9"/>
  <c r="EL23" i="9"/>
  <c r="EL21" i="9"/>
  <c r="EL19" i="9"/>
  <c r="EL17" i="9"/>
  <c r="EL15" i="9"/>
  <c r="EL13" i="9"/>
  <c r="EL11" i="9"/>
  <c r="EL9" i="9"/>
  <c r="EL7" i="9"/>
  <c r="EL5" i="9"/>
  <c r="EV51" i="9"/>
  <c r="EQ51" i="9"/>
  <c r="FB51" i="9"/>
  <c r="ES51" i="9"/>
  <c r="ET51" i="9"/>
  <c r="EX51" i="9"/>
  <c r="FM136" i="9"/>
  <c r="FM132" i="9"/>
  <c r="EQ300" i="9"/>
  <c r="ES300" i="9"/>
  <c r="FB300" i="9"/>
  <c r="EX300" i="9"/>
  <c r="ET300" i="9"/>
  <c r="EV300" i="9"/>
  <c r="FM167" i="9"/>
  <c r="FM143" i="9"/>
  <c r="CW148" i="9"/>
  <c r="DC192" i="9"/>
  <c r="CR192" i="9"/>
  <c r="CT192" i="9"/>
  <c r="CU192" i="9"/>
  <c r="CY192" i="9"/>
  <c r="CW192" i="9"/>
  <c r="CR217" i="9"/>
  <c r="CT217" i="9"/>
  <c r="DC217" i="9"/>
  <c r="CY217" i="9"/>
  <c r="CU217" i="9"/>
  <c r="CW217" i="9"/>
  <c r="CR304" i="9"/>
  <c r="DC304" i="9"/>
  <c r="CT304" i="9"/>
  <c r="CY304" i="9"/>
  <c r="CU304" i="9"/>
  <c r="DC128" i="9"/>
  <c r="CR128" i="9"/>
  <c r="CT128" i="9"/>
  <c r="CY128" i="9"/>
  <c r="CU128" i="9"/>
  <c r="CW196" i="9"/>
  <c r="CT248" i="9"/>
  <c r="DC248" i="9"/>
  <c r="CR248" i="9"/>
  <c r="CY248" i="9"/>
  <c r="CU248" i="9"/>
  <c r="CT22" i="9"/>
  <c r="DC22" i="9"/>
  <c r="CR22" i="9"/>
  <c r="CU22" i="9"/>
  <c r="CY22" i="9"/>
  <c r="CW22" i="9"/>
  <c r="CT25" i="9"/>
  <c r="DC25" i="9"/>
  <c r="CR25" i="9"/>
  <c r="CU25" i="9"/>
  <c r="CY25" i="9"/>
  <c r="CW25" i="9"/>
  <c r="CT181" i="9"/>
  <c r="DC181" i="9"/>
  <c r="CR181" i="9"/>
  <c r="CU181" i="9"/>
  <c r="CY181" i="9"/>
  <c r="CW74" i="9"/>
  <c r="CW116" i="9"/>
  <c r="FM113" i="9"/>
  <c r="CT234" i="9"/>
  <c r="DC234" i="9"/>
  <c r="CR234" i="9"/>
  <c r="CU234" i="9"/>
  <c r="CY234" i="9"/>
  <c r="CW234" i="9"/>
  <c r="CR147" i="9"/>
  <c r="CT147" i="9"/>
  <c r="DC147" i="9"/>
  <c r="CU147" i="9"/>
  <c r="CY147" i="9"/>
  <c r="DC240" i="9"/>
  <c r="CR240" i="9"/>
  <c r="CT240" i="9"/>
  <c r="CY240" i="9"/>
  <c r="CU240" i="9"/>
  <c r="CW240" i="9"/>
  <c r="CT20" i="9"/>
  <c r="DC20" i="9"/>
  <c r="CR20" i="9"/>
  <c r="CU20" i="9"/>
  <c r="CY20" i="9"/>
  <c r="CW20" i="9"/>
  <c r="CW71" i="9"/>
  <c r="CT71" i="9"/>
  <c r="DC71" i="9"/>
  <c r="CR71" i="9"/>
  <c r="CY71" i="9"/>
  <c r="CU71" i="9"/>
  <c r="CT274" i="9"/>
  <c r="DC274" i="9"/>
  <c r="CR274" i="9"/>
  <c r="CY274" i="9"/>
  <c r="CU274" i="9"/>
  <c r="CR301" i="9"/>
  <c r="DC301" i="9"/>
  <c r="CT301" i="9"/>
  <c r="CU301" i="9"/>
  <c r="CY301" i="9"/>
  <c r="CW12" i="9"/>
  <c r="FM35" i="9"/>
  <c r="DO399" i="9"/>
  <c r="DG370" i="9"/>
  <c r="DG394" i="9" s="1"/>
  <c r="DE320" i="9"/>
  <c r="DO320" i="9"/>
  <c r="FM253" i="9"/>
  <c r="DC284" i="9"/>
  <c r="CT284" i="9"/>
  <c r="CR284" i="9"/>
  <c r="CU284" i="9"/>
  <c r="CY284" i="9"/>
  <c r="CW284" i="9"/>
  <c r="DC236" i="9"/>
  <c r="CR236" i="9"/>
  <c r="CT236" i="9"/>
  <c r="CY236" i="9"/>
  <c r="CU236" i="9"/>
  <c r="CW236" i="9"/>
  <c r="CW214" i="9"/>
  <c r="CW170" i="9"/>
  <c r="CW202" i="9"/>
  <c r="CR263" i="9"/>
  <c r="CT263" i="9"/>
  <c r="DC263" i="9"/>
  <c r="CU263" i="9"/>
  <c r="CY263" i="9"/>
  <c r="DC318" i="9"/>
  <c r="CR318" i="9"/>
  <c r="CT318" i="9"/>
  <c r="CY318" i="9"/>
  <c r="CU318" i="9"/>
  <c r="CW318" i="9"/>
  <c r="DC299" i="9"/>
  <c r="CT299" i="9"/>
  <c r="CR299" i="9"/>
  <c r="CY299" i="9"/>
  <c r="CU299" i="9"/>
  <c r="CW299" i="9"/>
  <c r="DC68" i="9"/>
  <c r="CR68" i="9"/>
  <c r="CT68" i="9"/>
  <c r="CY68" i="9"/>
  <c r="CY413" i="9" s="1"/>
  <c r="CU68" i="9"/>
  <c r="CW68" i="9"/>
  <c r="DC310" i="9"/>
  <c r="CT310" i="9"/>
  <c r="CR310" i="9"/>
  <c r="CU310" i="9"/>
  <c r="CY310" i="9"/>
  <c r="CW310" i="9"/>
  <c r="CW82" i="9"/>
  <c r="DC82" i="9"/>
  <c r="CR82" i="9"/>
  <c r="CT82" i="9"/>
  <c r="CY82" i="9"/>
  <c r="CU82" i="9"/>
  <c r="CW257" i="9"/>
  <c r="CR288" i="9"/>
  <c r="DC288" i="9"/>
  <c r="CT288" i="9"/>
  <c r="CY288" i="9"/>
  <c r="CU288" i="9"/>
  <c r="CW288" i="9"/>
  <c r="FM24" i="9"/>
  <c r="FM64" i="9"/>
  <c r="CW147" i="9"/>
  <c r="CT117" i="9"/>
  <c r="DC117" i="9"/>
  <c r="CR117" i="9"/>
  <c r="CY117" i="9"/>
  <c r="CU117" i="9"/>
  <c r="CW117" i="9"/>
  <c r="CW150" i="9"/>
  <c r="CR150" i="9"/>
  <c r="CT150" i="9"/>
  <c r="DC150" i="9"/>
  <c r="CY150" i="9"/>
  <c r="CU150" i="9"/>
  <c r="CW29" i="9"/>
  <c r="CL348" i="9"/>
  <c r="CL353" i="9" s="1"/>
  <c r="CB353" i="9" s="1"/>
  <c r="CB357" i="9" s="1"/>
  <c r="BZ478" i="9"/>
  <c r="CB442" i="9"/>
  <c r="CA442" i="9" s="1"/>
  <c r="CW10" i="9"/>
  <c r="CT207" i="9"/>
  <c r="DC207" i="9"/>
  <c r="CR207" i="9"/>
  <c r="CU207" i="9"/>
  <c r="CY207" i="9"/>
  <c r="FM308" i="9"/>
  <c r="FM215" i="9"/>
  <c r="EV306" i="9"/>
  <c r="FM210" i="9"/>
  <c r="FM11" i="9"/>
  <c r="FM237" i="9"/>
  <c r="CW200" i="9"/>
  <c r="DC165" i="9"/>
  <c r="CR165" i="9"/>
  <c r="CT165" i="9"/>
  <c r="CY165" i="9"/>
  <c r="CU165" i="9"/>
  <c r="CW165" i="9"/>
  <c r="FM112" i="9"/>
  <c r="CT203" i="9"/>
  <c r="DC203" i="9"/>
  <c r="CR203" i="9"/>
  <c r="CU203" i="9"/>
  <c r="CY203" i="9"/>
  <c r="CT145" i="9"/>
  <c r="DC145" i="9"/>
  <c r="CR145" i="9"/>
  <c r="CY145" i="9"/>
  <c r="CU145" i="9"/>
  <c r="CR276" i="9"/>
  <c r="CT276" i="9"/>
  <c r="DC276" i="9"/>
  <c r="CU276" i="9"/>
  <c r="CY276" i="9"/>
  <c r="CW276" i="9"/>
  <c r="CW213" i="9"/>
  <c r="CW118" i="9"/>
  <c r="FM158" i="9"/>
  <c r="FM273" i="9"/>
  <c r="FM303" i="9"/>
  <c r="FM243" i="9"/>
  <c r="FM311" i="9"/>
  <c r="FM155" i="9"/>
  <c r="FM219" i="9"/>
  <c r="AC417" i="9"/>
  <c r="CD388" i="9"/>
  <c r="CD377" i="9"/>
  <c r="CU389" i="9"/>
  <c r="CU387" i="9"/>
  <c r="CU388" i="9"/>
  <c r="AH144" i="12"/>
  <c r="AN144" i="12"/>
  <c r="AK131" i="12"/>
  <c r="AQ157" i="12"/>
  <c r="AI131" i="12"/>
  <c r="AP157" i="12"/>
  <c r="AF144" i="12"/>
  <c r="AL144" i="12"/>
  <c r="BC157" i="12"/>
  <c r="BA144" i="12"/>
  <c r="AS144" i="12"/>
  <c r="BD157" i="12"/>
  <c r="AY144" i="12"/>
  <c r="AX131" i="12"/>
  <c r="AU144" i="12"/>
  <c r="AV131" i="12"/>
  <c r="CQ335" i="9"/>
  <c r="CR335" i="9" s="1"/>
  <c r="DB335" i="9"/>
  <c r="CX410" i="9"/>
  <c r="CN381" i="9"/>
  <c r="CP381" i="9"/>
  <c r="CS335" i="9"/>
  <c r="CY410" i="9"/>
  <c r="DC335" i="9"/>
  <c r="CT381" i="9"/>
  <c r="CQ338" i="9"/>
  <c r="CR338" i="9" s="1"/>
  <c r="DB338" i="9"/>
  <c r="CN384" i="9"/>
  <c r="CS338" i="9"/>
  <c r="CT338" i="9" s="1"/>
  <c r="CX413" i="9"/>
  <c r="CP384" i="9"/>
  <c r="CT384" i="9"/>
  <c r="DC338" i="9"/>
  <c r="CQ327" i="9"/>
  <c r="DB327" i="9"/>
  <c r="CN373" i="9"/>
  <c r="CS327" i="9"/>
  <c r="CP373" i="9"/>
  <c r="CX402" i="9"/>
  <c r="CT373" i="9"/>
  <c r="CY402" i="9"/>
  <c r="DC327" i="9"/>
  <c r="AP158" i="12"/>
  <c r="AQ158" i="12"/>
  <c r="AF145" i="12"/>
  <c r="AI132" i="12"/>
  <c r="AL145" i="12"/>
  <c r="AN145" i="12"/>
  <c r="AH145" i="12"/>
  <c r="AK132" i="12"/>
  <c r="BD158" i="12"/>
  <c r="AY145" i="12"/>
  <c r="AX132" i="12"/>
  <c r="AU145" i="12"/>
  <c r="AV132" i="12"/>
  <c r="BC158" i="12"/>
  <c r="BA145" i="12"/>
  <c r="AS145" i="12"/>
  <c r="AV157" i="14"/>
  <c r="AV131" i="14"/>
  <c r="AX131" i="14"/>
  <c r="AS144" i="14"/>
  <c r="BC157" i="14"/>
  <c r="BD157" i="14"/>
  <c r="AY144" i="14"/>
  <c r="AU144" i="14"/>
  <c r="BA144" i="14"/>
  <c r="CD383" i="9"/>
  <c r="CF383" i="9"/>
  <c r="CD381" i="9"/>
  <c r="CF381" i="9"/>
  <c r="CD372" i="9"/>
  <c r="CF372" i="9"/>
  <c r="BQ157" i="12"/>
  <c r="BK131" i="12"/>
  <c r="BH144" i="12"/>
  <c r="BL144" i="12"/>
  <c r="BP157" i="12"/>
  <c r="BF144" i="12"/>
  <c r="BI131" i="12"/>
  <c r="BN144" i="12"/>
  <c r="CQ326" i="9"/>
  <c r="DB326" i="9"/>
  <c r="CN372" i="9"/>
  <c r="CP372" i="9"/>
  <c r="CX401" i="9"/>
  <c r="CS326" i="9"/>
  <c r="CY401" i="9"/>
  <c r="DC326" i="9"/>
  <c r="CT372" i="9"/>
  <c r="CY406" i="9"/>
  <c r="CP377" i="9"/>
  <c r="CV377" i="9"/>
  <c r="CT377" i="9"/>
  <c r="DC331" i="9"/>
  <c r="CQ331" i="9"/>
  <c r="DB331" i="9"/>
  <c r="CX406" i="9"/>
  <c r="CN377" i="9"/>
  <c r="CS331" i="9"/>
  <c r="CQ334" i="9"/>
  <c r="CR334" i="9" s="1"/>
  <c r="DB334" i="9"/>
  <c r="CP380" i="9"/>
  <c r="CX409" i="9"/>
  <c r="CN380" i="9"/>
  <c r="CS334" i="9"/>
  <c r="CY409" i="9"/>
  <c r="DC334" i="9"/>
  <c r="CT380" i="9"/>
  <c r="EJ339" i="9"/>
  <c r="DV385" i="9"/>
  <c r="DX385" i="9"/>
  <c r="EF414" i="9"/>
  <c r="CB325" i="9"/>
  <c r="BZ325" i="9"/>
  <c r="CK325" i="9"/>
  <c r="CG400" i="9"/>
  <c r="BY371" i="9"/>
  <c r="CC371" i="9"/>
  <c r="CL325" i="9"/>
  <c r="CH400" i="9"/>
  <c r="BW371" i="9"/>
  <c r="CE371" i="9"/>
  <c r="CX405" i="9"/>
  <c r="CN376" i="9"/>
  <c r="CS330" i="9"/>
  <c r="CY405" i="9"/>
  <c r="CP376" i="9"/>
  <c r="CV376" i="9"/>
  <c r="CT376" i="9"/>
  <c r="DC330" i="9"/>
  <c r="CQ330" i="9"/>
  <c r="DB330" i="9"/>
  <c r="AI132" i="14"/>
  <c r="AI158" i="14"/>
  <c r="AL145" i="14"/>
  <c r="AK132" i="14"/>
  <c r="AQ158" i="14"/>
  <c r="AH145" i="14"/>
  <c r="AF145" i="14"/>
  <c r="AP158" i="14"/>
  <c r="AN145" i="14"/>
  <c r="AV132" i="14"/>
  <c r="AV158" i="14"/>
  <c r="AX132" i="14"/>
  <c r="AU145" i="14"/>
  <c r="AS145" i="14"/>
  <c r="BD158" i="14"/>
  <c r="AY145" i="14"/>
  <c r="BC158" i="14"/>
  <c r="BA145" i="14"/>
  <c r="DO418" i="9"/>
  <c r="DP418" i="9"/>
  <c r="DK389" i="9"/>
  <c r="DJ343" i="9"/>
  <c r="DS343" i="9"/>
  <c r="DG389" i="9"/>
  <c r="DM389" i="9"/>
  <c r="DE389" i="9"/>
  <c r="DT343" i="9"/>
  <c r="DH343" i="9"/>
  <c r="BZ338" i="9"/>
  <c r="CA338" i="9" s="1"/>
  <c r="CA336" i="9" s="1"/>
  <c r="CK338" i="9"/>
  <c r="CB338" i="9"/>
  <c r="CC338" i="9" s="1"/>
  <c r="CC336" i="9" s="1"/>
  <c r="CH413" i="9"/>
  <c r="BY384" i="9"/>
  <c r="CG413" i="9"/>
  <c r="BW384" i="9"/>
  <c r="CL338" i="9"/>
  <c r="CJ338" i="9" s="1"/>
  <c r="CJ336" i="9" s="1"/>
  <c r="CC384" i="9"/>
  <c r="CE384" i="9"/>
  <c r="DP416" i="9"/>
  <c r="DO416" i="9"/>
  <c r="DK387" i="9"/>
  <c r="DJ341" i="9"/>
  <c r="DS341" i="9"/>
  <c r="DG387" i="9"/>
  <c r="DM387" i="9"/>
  <c r="DE387" i="9"/>
  <c r="DT341" i="9"/>
  <c r="DH341" i="9"/>
  <c r="AM144" i="14"/>
  <c r="CA326" i="9"/>
  <c r="CD380" i="9"/>
  <c r="CF380" i="9"/>
  <c r="CD373" i="9"/>
  <c r="CF373" i="9"/>
  <c r="CA327" i="9"/>
  <c r="BM383" i="9"/>
  <c r="BO383" i="9"/>
  <c r="BJ336" i="9"/>
  <c r="AV379" i="9"/>
  <c r="AX379" i="9"/>
  <c r="AX378" i="9" s="1"/>
  <c r="BB325" i="9"/>
  <c r="BB324" i="9" s="1"/>
  <c r="AV371" i="9"/>
  <c r="AX371" i="9"/>
  <c r="AX370" i="9" s="1"/>
  <c r="BS325" i="9"/>
  <c r="BS324" i="9" s="1"/>
  <c r="BM371" i="9"/>
  <c r="BO371" i="9"/>
  <c r="BO370" i="9" s="1"/>
  <c r="BL325" i="9"/>
  <c r="BL324" i="9" s="1"/>
  <c r="AV375" i="9"/>
  <c r="CD379" i="9"/>
  <c r="CF379" i="9"/>
  <c r="CG404" i="9"/>
  <c r="CC375" i="9"/>
  <c r="CK329" i="9"/>
  <c r="CB329" i="9"/>
  <c r="BZ329" i="9"/>
  <c r="CH404" i="9"/>
  <c r="BY375" i="9"/>
  <c r="CE375" i="9"/>
  <c r="BW375" i="9"/>
  <c r="CL329" i="9"/>
  <c r="AJ131" i="14"/>
  <c r="AL131" i="14"/>
  <c r="BM384" i="9"/>
  <c r="BO384" i="9"/>
  <c r="CJ326" i="9"/>
  <c r="CC326" i="9"/>
  <c r="AV384" i="9"/>
  <c r="AX384" i="9"/>
  <c r="AX382" i="9" s="1"/>
  <c r="BM379" i="9"/>
  <c r="BO379" i="9"/>
  <c r="BO378" i="9" s="1"/>
  <c r="CJ327" i="9"/>
  <c r="CC327" i="9"/>
  <c r="BS336" i="9"/>
  <c r="BL336" i="9"/>
  <c r="CD376" i="9"/>
  <c r="AS325" i="9"/>
  <c r="AS324" i="9" s="1"/>
  <c r="AU325" i="9"/>
  <c r="AU324" i="9" s="1"/>
  <c r="BJ325" i="9"/>
  <c r="BJ324" i="9" s="1"/>
  <c r="CA332" i="9"/>
  <c r="AE388" i="9"/>
  <c r="AC388" i="9" s="1"/>
  <c r="AB388" i="9" s="1"/>
  <c r="BB37" i="13"/>
  <c r="BB41" i="13"/>
  <c r="BD35" i="13"/>
  <c r="BC38" i="13"/>
  <c r="BB33" i="13"/>
  <c r="BD42" i="13"/>
  <c r="BD33" i="13"/>
  <c r="BC35" i="13"/>
  <c r="BB38" i="13"/>
  <c r="BD40" i="13"/>
  <c r="BB31" i="13"/>
  <c r="BD32" i="13"/>
  <c r="BC40" i="13"/>
  <c r="BB39" i="13"/>
  <c r="BD41" i="13"/>
  <c r="BC10" i="13"/>
  <c r="BB10" i="13"/>
  <c r="BD31" i="13"/>
  <c r="BC41" i="13"/>
  <c r="BB44" i="13"/>
  <c r="BC32" i="13"/>
  <c r="BB32" i="13"/>
  <c r="BD38" i="13"/>
  <c r="BD45" i="13"/>
  <c r="BD10" i="13"/>
  <c r="BC42" i="13"/>
  <c r="BB45" i="13"/>
  <c r="BD39" i="13"/>
  <c r="BC33" i="13"/>
  <c r="BB36" i="13"/>
  <c r="BB34" i="13"/>
  <c r="BD36" i="13"/>
  <c r="BC31" i="13"/>
  <c r="BC34" i="13"/>
  <c r="BC39" i="13"/>
  <c r="BB35" i="13"/>
  <c r="BD37" i="13"/>
  <c r="BC36" i="13"/>
  <c r="BB42" i="13"/>
  <c r="BD44" i="13"/>
  <c r="BC44" i="13"/>
  <c r="BB40" i="13"/>
  <c r="BD34" i="13"/>
  <c r="BC37" i="13"/>
  <c r="BC45" i="13"/>
  <c r="I6" i="17"/>
  <c r="I7" i="17" s="1"/>
  <c r="J5" i="17"/>
  <c r="K5" i="17"/>
  <c r="AB24" i="2"/>
  <c r="AC19" i="2"/>
  <c r="AB19" i="2"/>
  <c r="V19" i="2"/>
  <c r="AB29" i="2"/>
  <c r="S46" i="2"/>
  <c r="T39" i="2"/>
  <c r="T46" i="2"/>
  <c r="AB34" i="2"/>
  <c r="W46" i="2"/>
  <c r="AA39" i="2"/>
  <c r="V29" i="2"/>
  <c r="AC467" i="9"/>
  <c r="N46" i="2"/>
  <c r="W19" i="2"/>
  <c r="AL44" i="2"/>
  <c r="AM44" i="2"/>
  <c r="AP44" i="2" s="1"/>
  <c r="AI33" i="2"/>
  <c r="AH33" i="2"/>
  <c r="R46" i="2"/>
  <c r="AM53" i="2"/>
  <c r="AP53" i="2" s="1"/>
  <c r="AL53" i="2"/>
  <c r="AL17" i="2"/>
  <c r="AN17" i="2"/>
  <c r="AP17" i="2" s="1"/>
  <c r="AL50" i="2"/>
  <c r="AN50" i="2"/>
  <c r="AP50" i="2" s="1"/>
  <c r="AL45" i="2"/>
  <c r="AM45" i="2"/>
  <c r="AP45" i="2" s="1"/>
  <c r="AL43" i="2"/>
  <c r="AM43" i="2"/>
  <c r="AP43" i="2" s="1"/>
  <c r="AL37" i="2"/>
  <c r="AM37" i="2"/>
  <c r="AP37" i="2" s="1"/>
  <c r="AH28" i="2"/>
  <c r="AI28" i="2"/>
  <c r="AH26" i="2"/>
  <c r="AI26" i="2"/>
  <c r="AM23" i="2"/>
  <c r="AP23" i="2" s="1"/>
  <c r="AL23" i="2"/>
  <c r="W29" i="2"/>
  <c r="W39" i="2"/>
  <c r="AH15" i="2"/>
  <c r="AJ15" i="2"/>
  <c r="AL10" i="2"/>
  <c r="AN10" i="2"/>
  <c r="AP10" i="2" s="1"/>
  <c r="W24" i="2"/>
  <c r="AK7" i="2"/>
  <c r="BK45" i="13" s="1"/>
  <c r="AM8" i="2"/>
  <c r="AJ6" i="2"/>
  <c r="BJ37" i="13" s="1"/>
  <c r="AI5" i="2"/>
  <c r="BI33" i="13" s="1"/>
  <c r="V13" i="2"/>
  <c r="AL51" i="2"/>
  <c r="AN51" i="2"/>
  <c r="AP51" i="2" s="1"/>
  <c r="AH38" i="2"/>
  <c r="AI38" i="2"/>
  <c r="AL36" i="2"/>
  <c r="AM36" i="2"/>
  <c r="AP36" i="2" s="1"/>
  <c r="AL32" i="2"/>
  <c r="AM32" i="2"/>
  <c r="AP32" i="2" s="1"/>
  <c r="AL31" i="2"/>
  <c r="AM31" i="2"/>
  <c r="AP31" i="2" s="1"/>
  <c r="AL27" i="2"/>
  <c r="AM27" i="2"/>
  <c r="AP27" i="2" s="1"/>
  <c r="AL12" i="2"/>
  <c r="AN12" i="2"/>
  <c r="AP12" i="2" s="1"/>
  <c r="AL11" i="2"/>
  <c r="AN11" i="2"/>
  <c r="AP11" i="2" s="1"/>
  <c r="AI52" i="2"/>
  <c r="AH52" i="2"/>
  <c r="R39" i="2"/>
  <c r="AA19" i="2"/>
  <c r="N39" i="2"/>
  <c r="W145" i="14"/>
  <c r="AH418" i="9"/>
  <c r="X389" i="9"/>
  <c r="AF389" i="9"/>
  <c r="AG389" i="9" s="1"/>
  <c r="AG386" i="9" s="1"/>
  <c r="AL343" i="9"/>
  <c r="AM343" i="9"/>
  <c r="AK343" i="9" s="1"/>
  <c r="AK340" i="9" s="1"/>
  <c r="AC343" i="9"/>
  <c r="AD343" i="9" s="1"/>
  <c r="AD340" i="9" s="1"/>
  <c r="AI418" i="9"/>
  <c r="Z389" i="9"/>
  <c r="AD389" i="9"/>
  <c r="AA343" i="9"/>
  <c r="AB343" i="9" s="1"/>
  <c r="AB340" i="9" s="1"/>
  <c r="J34" i="2"/>
  <c r="EJ348" i="9" l="1"/>
  <c r="DJ447" i="9"/>
  <c r="DJ462" i="9"/>
  <c r="CV207" i="9"/>
  <c r="DJ207" i="9"/>
  <c r="CV117" i="9"/>
  <c r="DJ117" i="9"/>
  <c r="CV68" i="9"/>
  <c r="DJ68" i="9"/>
  <c r="CV299" i="9"/>
  <c r="DJ299" i="9"/>
  <c r="CV318" i="9"/>
  <c r="DJ318" i="9"/>
  <c r="CV263" i="9"/>
  <c r="DJ263" i="9"/>
  <c r="CV236" i="9"/>
  <c r="DJ236" i="9"/>
  <c r="CV71" i="9"/>
  <c r="DJ71" i="9"/>
  <c r="CV20" i="9"/>
  <c r="DJ20" i="9"/>
  <c r="CV304" i="9"/>
  <c r="DJ304" i="9"/>
  <c r="CV217" i="9"/>
  <c r="DJ217" i="9"/>
  <c r="EU51" i="9"/>
  <c r="FI51" i="9"/>
  <c r="FM51" i="9" s="1"/>
  <c r="EP458" i="9"/>
  <c r="EP469" i="9"/>
  <c r="ER470" i="9" s="1"/>
  <c r="EP453" i="9"/>
  <c r="EP459" i="9"/>
  <c r="EP470" i="9"/>
  <c r="EN7" i="9"/>
  <c r="EO7" i="9" s="1"/>
  <c r="EW7" i="9"/>
  <c r="EM7" i="9"/>
  <c r="EN11" i="9"/>
  <c r="EO11" i="9" s="1"/>
  <c r="EW11" i="9"/>
  <c r="EM11" i="9"/>
  <c r="EN15" i="9"/>
  <c r="EO15" i="9" s="1"/>
  <c r="EW15" i="9"/>
  <c r="EM15" i="9"/>
  <c r="EN19" i="9"/>
  <c r="EO19" i="9" s="1"/>
  <c r="EW19" i="9"/>
  <c r="EM19" i="9"/>
  <c r="EN23" i="9"/>
  <c r="EO23" i="9" s="1"/>
  <c r="EW23" i="9"/>
  <c r="EM23" i="9"/>
  <c r="EN27" i="9"/>
  <c r="EO27" i="9" s="1"/>
  <c r="EW27" i="9"/>
  <c r="EM27" i="9"/>
  <c r="EN31" i="9"/>
  <c r="EO31" i="9" s="1"/>
  <c r="EW31" i="9"/>
  <c r="EM31" i="9"/>
  <c r="EN35" i="9"/>
  <c r="EO35" i="9" s="1"/>
  <c r="EW35" i="9"/>
  <c r="EM35" i="9"/>
  <c r="EN39" i="9"/>
  <c r="EO39" i="9" s="1"/>
  <c r="EW39" i="9"/>
  <c r="EM39" i="9"/>
  <c r="EN43" i="9"/>
  <c r="EO43" i="9" s="1"/>
  <c r="EW43" i="9"/>
  <c r="EM43" i="9"/>
  <c r="EN47" i="9"/>
  <c r="EO47" i="9" s="1"/>
  <c r="EW47" i="9"/>
  <c r="EM47" i="9"/>
  <c r="EN51" i="9"/>
  <c r="EO51" i="9" s="1"/>
  <c r="EW51" i="9"/>
  <c r="EM51" i="9"/>
  <c r="EN55" i="9"/>
  <c r="EO55" i="9" s="1"/>
  <c r="EW55" i="9"/>
  <c r="EM55" i="9"/>
  <c r="EN59" i="9"/>
  <c r="EO59" i="9" s="1"/>
  <c r="EW59" i="9"/>
  <c r="EM59" i="9"/>
  <c r="EN63" i="9"/>
  <c r="EO63" i="9" s="1"/>
  <c r="EW63" i="9"/>
  <c r="EM63" i="9"/>
  <c r="EW67" i="9"/>
  <c r="EN67" i="9"/>
  <c r="EO67" i="9" s="1"/>
  <c r="EM67" i="9"/>
  <c r="EW71" i="9"/>
  <c r="EN71" i="9"/>
  <c r="EO71" i="9" s="1"/>
  <c r="EM71" i="9"/>
  <c r="EW75" i="9"/>
  <c r="EN75" i="9"/>
  <c r="EO75" i="9" s="1"/>
  <c r="EM75" i="9"/>
  <c r="EW79" i="9"/>
  <c r="EN79" i="9"/>
  <c r="EO79" i="9" s="1"/>
  <c r="EM79" i="9"/>
  <c r="EW83" i="9"/>
  <c r="EN83" i="9"/>
  <c r="EO83" i="9" s="1"/>
  <c r="EM83" i="9"/>
  <c r="EW87" i="9"/>
  <c r="EN87" i="9"/>
  <c r="EO87" i="9" s="1"/>
  <c r="EM87" i="9"/>
  <c r="EW91" i="9"/>
  <c r="EN91" i="9"/>
  <c r="EO91" i="9" s="1"/>
  <c r="EM91" i="9"/>
  <c r="EW95" i="9"/>
  <c r="EN95" i="9"/>
  <c r="EO95" i="9" s="1"/>
  <c r="EM95" i="9"/>
  <c r="EW99" i="9"/>
  <c r="EN99" i="9"/>
  <c r="EO99" i="9" s="1"/>
  <c r="EM99" i="9"/>
  <c r="EW103" i="9"/>
  <c r="EN103" i="9"/>
  <c r="EO103" i="9" s="1"/>
  <c r="EM103" i="9"/>
  <c r="EW107" i="9"/>
  <c r="EN107" i="9"/>
  <c r="EO107" i="9" s="1"/>
  <c r="EM107" i="9"/>
  <c r="EW111" i="9"/>
  <c r="EN111" i="9"/>
  <c r="EO111" i="9" s="1"/>
  <c r="EM111" i="9"/>
  <c r="EW115" i="9"/>
  <c r="EN115" i="9"/>
  <c r="EO115" i="9" s="1"/>
  <c r="EM115" i="9"/>
  <c r="EW119" i="9"/>
  <c r="EN119" i="9"/>
  <c r="EO119" i="9" s="1"/>
  <c r="EM119" i="9"/>
  <c r="EW123" i="9"/>
  <c r="EN123" i="9"/>
  <c r="EO123" i="9" s="1"/>
  <c r="EM123" i="9"/>
  <c r="EW127" i="9"/>
  <c r="EN127" i="9"/>
  <c r="EO127" i="9" s="1"/>
  <c r="EM127" i="9"/>
  <c r="EW131" i="9"/>
  <c r="EN131" i="9"/>
  <c r="EO131" i="9" s="1"/>
  <c r="EM131" i="9"/>
  <c r="EN135" i="9"/>
  <c r="EO135" i="9" s="1"/>
  <c r="EW135" i="9"/>
  <c r="EM135" i="9"/>
  <c r="EN139" i="9"/>
  <c r="EO139" i="9" s="1"/>
  <c r="EW139" i="9"/>
  <c r="EM139" i="9"/>
  <c r="EN143" i="9"/>
  <c r="EO143" i="9" s="1"/>
  <c r="EW143" i="9"/>
  <c r="EM143" i="9"/>
  <c r="EN147" i="9"/>
  <c r="EO147" i="9" s="1"/>
  <c r="EW147" i="9"/>
  <c r="EM147" i="9"/>
  <c r="EN151" i="9"/>
  <c r="EO151" i="9" s="1"/>
  <c r="EW151" i="9"/>
  <c r="EM151" i="9"/>
  <c r="EN155" i="9"/>
  <c r="EO155" i="9" s="1"/>
  <c r="EW155" i="9"/>
  <c r="EM155" i="9"/>
  <c r="EW159" i="9"/>
  <c r="EN159" i="9"/>
  <c r="EO159" i="9" s="1"/>
  <c r="EM159" i="9"/>
  <c r="EW163" i="9"/>
  <c r="EN163" i="9"/>
  <c r="EO163" i="9" s="1"/>
  <c r="EM163" i="9"/>
  <c r="EW167" i="9"/>
  <c r="EN167" i="9"/>
  <c r="EO167" i="9" s="1"/>
  <c r="EM167" i="9"/>
  <c r="EW171" i="9"/>
  <c r="EN171" i="9"/>
  <c r="EO171" i="9" s="1"/>
  <c r="EM171" i="9"/>
  <c r="EW175" i="9"/>
  <c r="EN175" i="9"/>
  <c r="EO175" i="9" s="1"/>
  <c r="EM175" i="9"/>
  <c r="EW179" i="9"/>
  <c r="EN179" i="9"/>
  <c r="EO179" i="9" s="1"/>
  <c r="EM179" i="9"/>
  <c r="EW183" i="9"/>
  <c r="EN183" i="9"/>
  <c r="EO183" i="9" s="1"/>
  <c r="EM183" i="9"/>
  <c r="EW187" i="9"/>
  <c r="EN187" i="9"/>
  <c r="EO187" i="9" s="1"/>
  <c r="EM187" i="9"/>
  <c r="EW191" i="9"/>
  <c r="EN191" i="9"/>
  <c r="EO191" i="9" s="1"/>
  <c r="EM191" i="9"/>
  <c r="EW195" i="9"/>
  <c r="EN195" i="9"/>
  <c r="EO195" i="9" s="1"/>
  <c r="EM195" i="9"/>
  <c r="EW199" i="9"/>
  <c r="EN199" i="9"/>
  <c r="EO199" i="9" s="1"/>
  <c r="EM199" i="9"/>
  <c r="EW203" i="9"/>
  <c r="EN203" i="9"/>
  <c r="EO203" i="9" s="1"/>
  <c r="EM203" i="9"/>
  <c r="EN207" i="9"/>
  <c r="EO207" i="9" s="1"/>
  <c r="EW207" i="9"/>
  <c r="EM207" i="9"/>
  <c r="EN211" i="9"/>
  <c r="EO211" i="9" s="1"/>
  <c r="EW211" i="9"/>
  <c r="EM211" i="9"/>
  <c r="EN215" i="9"/>
  <c r="EO215" i="9" s="1"/>
  <c r="EW215" i="9"/>
  <c r="EM215" i="9"/>
  <c r="EN219" i="9"/>
  <c r="EO219" i="9" s="1"/>
  <c r="EW219" i="9"/>
  <c r="EM219" i="9"/>
  <c r="EW223" i="9"/>
  <c r="EN223" i="9"/>
  <c r="EO223" i="9" s="1"/>
  <c r="EM223" i="9"/>
  <c r="EW227" i="9"/>
  <c r="EN227" i="9"/>
  <c r="EO227" i="9" s="1"/>
  <c r="EM227" i="9"/>
  <c r="EW231" i="9"/>
  <c r="EN231" i="9"/>
  <c r="EO231" i="9" s="1"/>
  <c r="EM231" i="9"/>
  <c r="EW235" i="9"/>
  <c r="EN235" i="9"/>
  <c r="EO235" i="9" s="1"/>
  <c r="EM235" i="9"/>
  <c r="EW239" i="9"/>
  <c r="EN239" i="9"/>
  <c r="EO239" i="9" s="1"/>
  <c r="EM239" i="9"/>
  <c r="EW243" i="9"/>
  <c r="EN243" i="9"/>
  <c r="EO243" i="9" s="1"/>
  <c r="EM243" i="9"/>
  <c r="EN247" i="9"/>
  <c r="EO247" i="9" s="1"/>
  <c r="EM247" i="9"/>
  <c r="EW247" i="9"/>
  <c r="EN251" i="9"/>
  <c r="EO251" i="9" s="1"/>
  <c r="EM251" i="9"/>
  <c r="EW251" i="9"/>
  <c r="EN255" i="9"/>
  <c r="EO255" i="9" s="1"/>
  <c r="EM255" i="9"/>
  <c r="EW255" i="9"/>
  <c r="EN259" i="9"/>
  <c r="EO259" i="9" s="1"/>
  <c r="EM259" i="9"/>
  <c r="EW259" i="9"/>
  <c r="EN263" i="9"/>
  <c r="EO263" i="9" s="1"/>
  <c r="EM263" i="9"/>
  <c r="EW263" i="9"/>
  <c r="EN267" i="9"/>
  <c r="EO267" i="9" s="1"/>
  <c r="EM267" i="9"/>
  <c r="EW267" i="9"/>
  <c r="EN271" i="9"/>
  <c r="EO271" i="9" s="1"/>
  <c r="EM271" i="9"/>
  <c r="EW271" i="9"/>
  <c r="EN275" i="9"/>
  <c r="EO275" i="9" s="1"/>
  <c r="EM275" i="9"/>
  <c r="EW275" i="9"/>
  <c r="EW279" i="9"/>
  <c r="EN279" i="9"/>
  <c r="EO279" i="9" s="1"/>
  <c r="EM279" i="9"/>
  <c r="EW283" i="9"/>
  <c r="EN283" i="9"/>
  <c r="EO283" i="9" s="1"/>
  <c r="EM283" i="9"/>
  <c r="EW287" i="9"/>
  <c r="EN287" i="9"/>
  <c r="EO287" i="9" s="1"/>
  <c r="EM287" i="9"/>
  <c r="EW291" i="9"/>
  <c r="EN291" i="9"/>
  <c r="EO291" i="9" s="1"/>
  <c r="EM291" i="9"/>
  <c r="EW295" i="9"/>
  <c r="EN295" i="9"/>
  <c r="EO295" i="9" s="1"/>
  <c r="EM295" i="9"/>
  <c r="EW299" i="9"/>
  <c r="EN299" i="9"/>
  <c r="EO299" i="9" s="1"/>
  <c r="EM299" i="9"/>
  <c r="EW303" i="9"/>
  <c r="EN303" i="9"/>
  <c r="EO303" i="9" s="1"/>
  <c r="EM303" i="9"/>
  <c r="EW307" i="9"/>
  <c r="EN307" i="9"/>
  <c r="EO307" i="9" s="1"/>
  <c r="EM307" i="9"/>
  <c r="EW311" i="9"/>
  <c r="EN311" i="9"/>
  <c r="EO311" i="9" s="1"/>
  <c r="EM311" i="9"/>
  <c r="EW315" i="9"/>
  <c r="EN315" i="9"/>
  <c r="EO315" i="9" s="1"/>
  <c r="EM315" i="9"/>
  <c r="EW319" i="9"/>
  <c r="EN319" i="9"/>
  <c r="EO319" i="9" s="1"/>
  <c r="EM319" i="9"/>
  <c r="EM8" i="9"/>
  <c r="EN8" i="9"/>
  <c r="EO8" i="9" s="1"/>
  <c r="EW8" i="9"/>
  <c r="EM12" i="9"/>
  <c r="EN12" i="9"/>
  <c r="EO12" i="9" s="1"/>
  <c r="EW12" i="9"/>
  <c r="EM16" i="9"/>
  <c r="EN16" i="9"/>
  <c r="EO16" i="9" s="1"/>
  <c r="EW16" i="9"/>
  <c r="EM20" i="9"/>
  <c r="EN20" i="9"/>
  <c r="EO20" i="9" s="1"/>
  <c r="EW20" i="9"/>
  <c r="EM24" i="9"/>
  <c r="EN24" i="9"/>
  <c r="EO24" i="9" s="1"/>
  <c r="EW24" i="9"/>
  <c r="EM28" i="9"/>
  <c r="EN28" i="9"/>
  <c r="EO28" i="9" s="1"/>
  <c r="EW28" i="9"/>
  <c r="EM32" i="9"/>
  <c r="EN32" i="9"/>
  <c r="EO32" i="9" s="1"/>
  <c r="EW32" i="9"/>
  <c r="EM36" i="9"/>
  <c r="EN36" i="9"/>
  <c r="EO36" i="9" s="1"/>
  <c r="EW36" i="9"/>
  <c r="EM40" i="9"/>
  <c r="EN40" i="9"/>
  <c r="EO40" i="9" s="1"/>
  <c r="EW40" i="9"/>
  <c r="EM44" i="9"/>
  <c r="EN44" i="9"/>
  <c r="EO44" i="9" s="1"/>
  <c r="EW44" i="9"/>
  <c r="EM48" i="9"/>
  <c r="EN48" i="9"/>
  <c r="EO48" i="9" s="1"/>
  <c r="EW48" i="9"/>
  <c r="EM52" i="9"/>
  <c r="EN52" i="9"/>
  <c r="EO52" i="9" s="1"/>
  <c r="EW52" i="9"/>
  <c r="EM56" i="9"/>
  <c r="EN56" i="9"/>
  <c r="EO56" i="9" s="1"/>
  <c r="EW56" i="9"/>
  <c r="EM60" i="9"/>
  <c r="EN60" i="9"/>
  <c r="EO60" i="9" s="1"/>
  <c r="EW60" i="9"/>
  <c r="EM64" i="9"/>
  <c r="EN64" i="9"/>
  <c r="EO64" i="9" s="1"/>
  <c r="EW64" i="9"/>
  <c r="EM68" i="9"/>
  <c r="EW68" i="9"/>
  <c r="EN68" i="9"/>
  <c r="EO68" i="9" s="1"/>
  <c r="EM72" i="9"/>
  <c r="EW72" i="9"/>
  <c r="EN72" i="9"/>
  <c r="EO72" i="9" s="1"/>
  <c r="EM76" i="9"/>
  <c r="EW76" i="9"/>
  <c r="EN76" i="9"/>
  <c r="EO76" i="9" s="1"/>
  <c r="EM80" i="9"/>
  <c r="EW80" i="9"/>
  <c r="EN80" i="9"/>
  <c r="EO80" i="9" s="1"/>
  <c r="EM84" i="9"/>
  <c r="EW84" i="9"/>
  <c r="EN84" i="9"/>
  <c r="EO84" i="9" s="1"/>
  <c r="EM88" i="9"/>
  <c r="EW88" i="9"/>
  <c r="EN88" i="9"/>
  <c r="EO88" i="9" s="1"/>
  <c r="EM92" i="9"/>
  <c r="EW92" i="9"/>
  <c r="EN92" i="9"/>
  <c r="EO92" i="9" s="1"/>
  <c r="EM96" i="9"/>
  <c r="EW96" i="9"/>
  <c r="EN96" i="9"/>
  <c r="EO96" i="9" s="1"/>
  <c r="EM100" i="9"/>
  <c r="EW100" i="9"/>
  <c r="EN100" i="9"/>
  <c r="EO100" i="9" s="1"/>
  <c r="EM104" i="9"/>
  <c r="EW104" i="9"/>
  <c r="EN104" i="9"/>
  <c r="EO104" i="9" s="1"/>
  <c r="EM108" i="9"/>
  <c r="EW108" i="9"/>
  <c r="EN108" i="9"/>
  <c r="EO108" i="9" s="1"/>
  <c r="EM112" i="9"/>
  <c r="EW112" i="9"/>
  <c r="EN112" i="9"/>
  <c r="EO112" i="9" s="1"/>
  <c r="EM116" i="9"/>
  <c r="EW116" i="9"/>
  <c r="EN116" i="9"/>
  <c r="EO116" i="9" s="1"/>
  <c r="EM120" i="9"/>
  <c r="EW120" i="9"/>
  <c r="EN120" i="9"/>
  <c r="EO120" i="9" s="1"/>
  <c r="EM124" i="9"/>
  <c r="EW124" i="9"/>
  <c r="EN124" i="9"/>
  <c r="EO124" i="9" s="1"/>
  <c r="EM128" i="9"/>
  <c r="EW128" i="9"/>
  <c r="EN128" i="9"/>
  <c r="EO128" i="9" s="1"/>
  <c r="EM132" i="9"/>
  <c r="EW132" i="9"/>
  <c r="EN132" i="9"/>
  <c r="EO132" i="9" s="1"/>
  <c r="EM136" i="9"/>
  <c r="EN136" i="9"/>
  <c r="EO136" i="9" s="1"/>
  <c r="EW136" i="9"/>
  <c r="EM140" i="9"/>
  <c r="EN140" i="9"/>
  <c r="EO140" i="9" s="1"/>
  <c r="EW140" i="9"/>
  <c r="EM144" i="9"/>
  <c r="EN144" i="9"/>
  <c r="EO144" i="9" s="1"/>
  <c r="EW144" i="9"/>
  <c r="EM148" i="9"/>
  <c r="EN148" i="9"/>
  <c r="EO148" i="9" s="1"/>
  <c r="EW148" i="9"/>
  <c r="EM152" i="9"/>
  <c r="EN152" i="9"/>
  <c r="EO152" i="9" s="1"/>
  <c r="EW152" i="9"/>
  <c r="EM156" i="9"/>
  <c r="EN156" i="9"/>
  <c r="EO156" i="9" s="1"/>
  <c r="EW156" i="9"/>
  <c r="EM160" i="9"/>
  <c r="EW160" i="9"/>
  <c r="EN160" i="9"/>
  <c r="EO160" i="9" s="1"/>
  <c r="EM164" i="9"/>
  <c r="EW164" i="9"/>
  <c r="EN164" i="9"/>
  <c r="EO164" i="9" s="1"/>
  <c r="EM168" i="9"/>
  <c r="EW168" i="9"/>
  <c r="EN168" i="9"/>
  <c r="EO168" i="9" s="1"/>
  <c r="EM172" i="9"/>
  <c r="EW172" i="9"/>
  <c r="EN172" i="9"/>
  <c r="EO172" i="9" s="1"/>
  <c r="EM176" i="9"/>
  <c r="EW176" i="9"/>
  <c r="EN176" i="9"/>
  <c r="EO176" i="9" s="1"/>
  <c r="EM180" i="9"/>
  <c r="EW180" i="9"/>
  <c r="EN180" i="9"/>
  <c r="EO180" i="9" s="1"/>
  <c r="EM184" i="9"/>
  <c r="EW184" i="9"/>
  <c r="EN184" i="9"/>
  <c r="EO184" i="9" s="1"/>
  <c r="EM188" i="9"/>
  <c r="EW188" i="9"/>
  <c r="EN188" i="9"/>
  <c r="EO188" i="9" s="1"/>
  <c r="EM192" i="9"/>
  <c r="EW192" i="9"/>
  <c r="EN192" i="9"/>
  <c r="EO192" i="9" s="1"/>
  <c r="EM196" i="9"/>
  <c r="EW196" i="9"/>
  <c r="EN196" i="9"/>
  <c r="EO196" i="9" s="1"/>
  <c r="EM200" i="9"/>
  <c r="EW200" i="9"/>
  <c r="EN200" i="9"/>
  <c r="EO200" i="9" s="1"/>
  <c r="EM204" i="9"/>
  <c r="EW204" i="9"/>
  <c r="EN204" i="9"/>
  <c r="EO204" i="9" s="1"/>
  <c r="EM208" i="9"/>
  <c r="EN208" i="9"/>
  <c r="EO208" i="9" s="1"/>
  <c r="EW208" i="9"/>
  <c r="EM212" i="9"/>
  <c r="EN212" i="9"/>
  <c r="EO212" i="9" s="1"/>
  <c r="EW212" i="9"/>
  <c r="EM216" i="9"/>
  <c r="EN216" i="9"/>
  <c r="EO216" i="9" s="1"/>
  <c r="EW216" i="9"/>
  <c r="EM220" i="9"/>
  <c r="EN220" i="9"/>
  <c r="EO220" i="9" s="1"/>
  <c r="EW220" i="9"/>
  <c r="EM224" i="9"/>
  <c r="EW224" i="9"/>
  <c r="EN224" i="9"/>
  <c r="EO224" i="9" s="1"/>
  <c r="EM228" i="9"/>
  <c r="EW228" i="9"/>
  <c r="EN228" i="9"/>
  <c r="EO228" i="9" s="1"/>
  <c r="EM232" i="9"/>
  <c r="EW232" i="9"/>
  <c r="EN232" i="9"/>
  <c r="EO232" i="9" s="1"/>
  <c r="EM236" i="9"/>
  <c r="EW236" i="9"/>
  <c r="EN236" i="9"/>
  <c r="EO236" i="9" s="1"/>
  <c r="EM240" i="9"/>
  <c r="EW240" i="9"/>
  <c r="EN240" i="9"/>
  <c r="EO240" i="9" s="1"/>
  <c r="EW244" i="9"/>
  <c r="EN244" i="9"/>
  <c r="EO244" i="9" s="1"/>
  <c r="EM244" i="9"/>
  <c r="EW248" i="9"/>
  <c r="EN248" i="9"/>
  <c r="EO248" i="9" s="1"/>
  <c r="EM248" i="9"/>
  <c r="EW252" i="9"/>
  <c r="EN252" i="9"/>
  <c r="EO252" i="9" s="1"/>
  <c r="EM252" i="9"/>
  <c r="EW256" i="9"/>
  <c r="EN256" i="9"/>
  <c r="EO256" i="9" s="1"/>
  <c r="EM256" i="9"/>
  <c r="EW260" i="9"/>
  <c r="EN260" i="9"/>
  <c r="EO260" i="9" s="1"/>
  <c r="EM260" i="9"/>
  <c r="EW264" i="9"/>
  <c r="EN264" i="9"/>
  <c r="EO264" i="9" s="1"/>
  <c r="EM264" i="9"/>
  <c r="EW268" i="9"/>
  <c r="EN268" i="9"/>
  <c r="EO268" i="9" s="1"/>
  <c r="EM268" i="9"/>
  <c r="EW272" i="9"/>
  <c r="EN272" i="9"/>
  <c r="EO272" i="9" s="1"/>
  <c r="EM272" i="9"/>
  <c r="EW276" i="9"/>
  <c r="EN276" i="9"/>
  <c r="EO276" i="9" s="1"/>
  <c r="EM276" i="9"/>
  <c r="EM280" i="9"/>
  <c r="EW280" i="9"/>
  <c r="EN280" i="9"/>
  <c r="EO280" i="9" s="1"/>
  <c r="EM284" i="9"/>
  <c r="EW284" i="9"/>
  <c r="EN284" i="9"/>
  <c r="EO284" i="9" s="1"/>
  <c r="EM288" i="9"/>
  <c r="EW288" i="9"/>
  <c r="EN288" i="9"/>
  <c r="EO288" i="9" s="1"/>
  <c r="EM292" i="9"/>
  <c r="EW292" i="9"/>
  <c r="EN292" i="9"/>
  <c r="EO292" i="9" s="1"/>
  <c r="EM296" i="9"/>
  <c r="EW296" i="9"/>
  <c r="EN296" i="9"/>
  <c r="EO296" i="9" s="1"/>
  <c r="EM300" i="9"/>
  <c r="EW300" i="9"/>
  <c r="EN300" i="9"/>
  <c r="EO300" i="9" s="1"/>
  <c r="EM304" i="9"/>
  <c r="EW304" i="9"/>
  <c r="EN304" i="9"/>
  <c r="EO304" i="9" s="1"/>
  <c r="EM308" i="9"/>
  <c r="EW308" i="9"/>
  <c r="EN308" i="9"/>
  <c r="EO308" i="9" s="1"/>
  <c r="EM312" i="9"/>
  <c r="EW312" i="9"/>
  <c r="EN312" i="9"/>
  <c r="EO312" i="9" s="1"/>
  <c r="EM316" i="9"/>
  <c r="EW316" i="9"/>
  <c r="EN316" i="9"/>
  <c r="EO316" i="9" s="1"/>
  <c r="FC319" i="9"/>
  <c r="FC317" i="9"/>
  <c r="FC315" i="9"/>
  <c r="FC313" i="9"/>
  <c r="FC311" i="9"/>
  <c r="FC309" i="9"/>
  <c r="FC307" i="9"/>
  <c r="FC305" i="9"/>
  <c r="FC303" i="9"/>
  <c r="FC301" i="9"/>
  <c r="FC299" i="9"/>
  <c r="FC297" i="9"/>
  <c r="FC295" i="9"/>
  <c r="FC293" i="9"/>
  <c r="FC291" i="9"/>
  <c r="FC289" i="9"/>
  <c r="FC287" i="9"/>
  <c r="FC285" i="9"/>
  <c r="FC283" i="9"/>
  <c r="FC281" i="9"/>
  <c r="FC279" i="9"/>
  <c r="FC243" i="9"/>
  <c r="FC241" i="9"/>
  <c r="FC239" i="9"/>
  <c r="FC237" i="9"/>
  <c r="FC235" i="9"/>
  <c r="FC233" i="9"/>
  <c r="FC231" i="9"/>
  <c r="FC229" i="9"/>
  <c r="FC227" i="9"/>
  <c r="FC225" i="9"/>
  <c r="FC223" i="9"/>
  <c r="FC221" i="9"/>
  <c r="FC276" i="9"/>
  <c r="FC274" i="9"/>
  <c r="FC272" i="9"/>
  <c r="FC270" i="9"/>
  <c r="FC268" i="9"/>
  <c r="FC266" i="9"/>
  <c r="FC264" i="9"/>
  <c r="FC262" i="9"/>
  <c r="FC260" i="9"/>
  <c r="FC258" i="9"/>
  <c r="FC256" i="9"/>
  <c r="FC254" i="9"/>
  <c r="FC252" i="9"/>
  <c r="FC250" i="9"/>
  <c r="FC248" i="9"/>
  <c r="FC246" i="9"/>
  <c r="FC244" i="9"/>
  <c r="FC219" i="9"/>
  <c r="FC217" i="9"/>
  <c r="FC215" i="9"/>
  <c r="FC213" i="9"/>
  <c r="FC211" i="9"/>
  <c r="FC209" i="9"/>
  <c r="FC207" i="9"/>
  <c r="FC205" i="9"/>
  <c r="FC203" i="9"/>
  <c r="FC201" i="9"/>
  <c r="FC199" i="9"/>
  <c r="FC197" i="9"/>
  <c r="FC195" i="9"/>
  <c r="FC193" i="9"/>
  <c r="FC191" i="9"/>
  <c r="FC189" i="9"/>
  <c r="FC187" i="9"/>
  <c r="FC185" i="9"/>
  <c r="FC183" i="9"/>
  <c r="FC181" i="9"/>
  <c r="FC179" i="9"/>
  <c r="FC177" i="9"/>
  <c r="FC175" i="9"/>
  <c r="FC173" i="9"/>
  <c r="FC171" i="9"/>
  <c r="FC169" i="9"/>
  <c r="FC167" i="9"/>
  <c r="FC165" i="9"/>
  <c r="FC163" i="9"/>
  <c r="FC161" i="9"/>
  <c r="FC159" i="9"/>
  <c r="FC157" i="9"/>
  <c r="FC155" i="9"/>
  <c r="FC153" i="9"/>
  <c r="FC151" i="9"/>
  <c r="FC149" i="9"/>
  <c r="FC147" i="9"/>
  <c r="FC145" i="9"/>
  <c r="FC143" i="9"/>
  <c r="FC141" i="9"/>
  <c r="FC139" i="9"/>
  <c r="FC137" i="9"/>
  <c r="FC135" i="9"/>
  <c r="FC133" i="9"/>
  <c r="FC131" i="9"/>
  <c r="FC129" i="9"/>
  <c r="FC127" i="9"/>
  <c r="FC125" i="9"/>
  <c r="FC123" i="9"/>
  <c r="FC121" i="9"/>
  <c r="FC119" i="9"/>
  <c r="FC117" i="9"/>
  <c r="FC115" i="9"/>
  <c r="FC113" i="9"/>
  <c r="FC111" i="9"/>
  <c r="FC109" i="9"/>
  <c r="FC107" i="9"/>
  <c r="FC105" i="9"/>
  <c r="FC103" i="9"/>
  <c r="FC101" i="9"/>
  <c r="FC99" i="9"/>
  <c r="FC97" i="9"/>
  <c r="FC95" i="9"/>
  <c r="FC93" i="9"/>
  <c r="FC91" i="9"/>
  <c r="FC89" i="9"/>
  <c r="FC87" i="9"/>
  <c r="FC85" i="9"/>
  <c r="FC83" i="9"/>
  <c r="FC81" i="9"/>
  <c r="FC79" i="9"/>
  <c r="FC77" i="9"/>
  <c r="FC75" i="9"/>
  <c r="FC73" i="9"/>
  <c r="FC71" i="9"/>
  <c r="FC69" i="9"/>
  <c r="FC67" i="9"/>
  <c r="FC65" i="9"/>
  <c r="FC63" i="9"/>
  <c r="FC61" i="9"/>
  <c r="FC59" i="9"/>
  <c r="FC57" i="9"/>
  <c r="FC55" i="9"/>
  <c r="FC53" i="9"/>
  <c r="FC51" i="9"/>
  <c r="FC49" i="9"/>
  <c r="FC47" i="9"/>
  <c r="FC45" i="9"/>
  <c r="FC43" i="9"/>
  <c r="FC41" i="9"/>
  <c r="FC39" i="9"/>
  <c r="FC37" i="9"/>
  <c r="FC35" i="9"/>
  <c r="FC33" i="9"/>
  <c r="FC31" i="9"/>
  <c r="FC29" i="9"/>
  <c r="FC27" i="9"/>
  <c r="FC25" i="9"/>
  <c r="FC23" i="9"/>
  <c r="FC21" i="9"/>
  <c r="FC19" i="9"/>
  <c r="FC17" i="9"/>
  <c r="FC15" i="9"/>
  <c r="FC13" i="9"/>
  <c r="FC11" i="9"/>
  <c r="FC9" i="9"/>
  <c r="FC7" i="9"/>
  <c r="FC5" i="9"/>
  <c r="FC318" i="9"/>
  <c r="FC316" i="9"/>
  <c r="FC314" i="9"/>
  <c r="FC312" i="9"/>
  <c r="FC310" i="9"/>
  <c r="FC308" i="9"/>
  <c r="FC306" i="9"/>
  <c r="FC304" i="9"/>
  <c r="FC302" i="9"/>
  <c r="FC300" i="9"/>
  <c r="FC298" i="9"/>
  <c r="FC296" i="9"/>
  <c r="FC294" i="9"/>
  <c r="FC292" i="9"/>
  <c r="FC290" i="9"/>
  <c r="FC288" i="9"/>
  <c r="FC286" i="9"/>
  <c r="FC284" i="9"/>
  <c r="FC282" i="9"/>
  <c r="FC280" i="9"/>
  <c r="FC278" i="9"/>
  <c r="FC242" i="9"/>
  <c r="FC240" i="9"/>
  <c r="FC238" i="9"/>
  <c r="FC236" i="9"/>
  <c r="FC234" i="9"/>
  <c r="FC232" i="9"/>
  <c r="FC230" i="9"/>
  <c r="FC228" i="9"/>
  <c r="FC226" i="9"/>
  <c r="FC224" i="9"/>
  <c r="FC222" i="9"/>
  <c r="FC277" i="9"/>
  <c r="FC275" i="9"/>
  <c r="FC273" i="9"/>
  <c r="FC271" i="9"/>
  <c r="FC269" i="9"/>
  <c r="FC267" i="9"/>
  <c r="FC265" i="9"/>
  <c r="FC263" i="9"/>
  <c r="FC261" i="9"/>
  <c r="FC259" i="9"/>
  <c r="FC257" i="9"/>
  <c r="FC255" i="9"/>
  <c r="FC253" i="9"/>
  <c r="FC251" i="9"/>
  <c r="FC249" i="9"/>
  <c r="FC247" i="9"/>
  <c r="FC245" i="9"/>
  <c r="FC220" i="9"/>
  <c r="FC218" i="9"/>
  <c r="FC216" i="9"/>
  <c r="FC214" i="9"/>
  <c r="FC212" i="9"/>
  <c r="FC210" i="9"/>
  <c r="FC208" i="9"/>
  <c r="FC206" i="9"/>
  <c r="FC204" i="9"/>
  <c r="FC202" i="9"/>
  <c r="FC200" i="9"/>
  <c r="FC198" i="9"/>
  <c r="FC196" i="9"/>
  <c r="FC194" i="9"/>
  <c r="FC192" i="9"/>
  <c r="FC190" i="9"/>
  <c r="FC188" i="9"/>
  <c r="FC186" i="9"/>
  <c r="FC184" i="9"/>
  <c r="FC182" i="9"/>
  <c r="FC180" i="9"/>
  <c r="FC178" i="9"/>
  <c r="FC176" i="9"/>
  <c r="FC174" i="9"/>
  <c r="FC172" i="9"/>
  <c r="FC170" i="9"/>
  <c r="FC168" i="9"/>
  <c r="FC166" i="9"/>
  <c r="FC164" i="9"/>
  <c r="FC162" i="9"/>
  <c r="FC160" i="9"/>
  <c r="FC158" i="9"/>
  <c r="FC156" i="9"/>
  <c r="FC154" i="9"/>
  <c r="FC152" i="9"/>
  <c r="FC150" i="9"/>
  <c r="FC148" i="9"/>
  <c r="FC146" i="9"/>
  <c r="FC144" i="9"/>
  <c r="FC142" i="9"/>
  <c r="FC140" i="9"/>
  <c r="FC138" i="9"/>
  <c r="FC136" i="9"/>
  <c r="FC134" i="9"/>
  <c r="FC132" i="9"/>
  <c r="FC130" i="9"/>
  <c r="FC128" i="9"/>
  <c r="FC126" i="9"/>
  <c r="FC124" i="9"/>
  <c r="FC122" i="9"/>
  <c r="FC120" i="9"/>
  <c r="FC118" i="9"/>
  <c r="FC116" i="9"/>
  <c r="FC114" i="9"/>
  <c r="FC112" i="9"/>
  <c r="FC110" i="9"/>
  <c r="FC108" i="9"/>
  <c r="FC106" i="9"/>
  <c r="FC104" i="9"/>
  <c r="FC102" i="9"/>
  <c r="FC100" i="9"/>
  <c r="FC98" i="9"/>
  <c r="FC96" i="9"/>
  <c r="FC94" i="9"/>
  <c r="FC92" i="9"/>
  <c r="FC90" i="9"/>
  <c r="FC88" i="9"/>
  <c r="FC86" i="9"/>
  <c r="FC84" i="9"/>
  <c r="FC82" i="9"/>
  <c r="FC80" i="9"/>
  <c r="FC78" i="9"/>
  <c r="FC76" i="9"/>
  <c r="FC74" i="9"/>
  <c r="FC72" i="9"/>
  <c r="FC70" i="9"/>
  <c r="FC68" i="9"/>
  <c r="FC66" i="9"/>
  <c r="FC64" i="9"/>
  <c r="FC62" i="9"/>
  <c r="FC60" i="9"/>
  <c r="FC58" i="9"/>
  <c r="FC56" i="9"/>
  <c r="FC54" i="9"/>
  <c r="FC52" i="9"/>
  <c r="FC50" i="9"/>
  <c r="FC48" i="9"/>
  <c r="FC46" i="9"/>
  <c r="FC44" i="9"/>
  <c r="FC42" i="9"/>
  <c r="FC40" i="9"/>
  <c r="FC38" i="9"/>
  <c r="FC36" i="9"/>
  <c r="FC34" i="9"/>
  <c r="FC32" i="9"/>
  <c r="FC30" i="9"/>
  <c r="FC28" i="9"/>
  <c r="FC26" i="9"/>
  <c r="FC24" i="9"/>
  <c r="FC22" i="9"/>
  <c r="FC20" i="9"/>
  <c r="FC18" i="9"/>
  <c r="FC16" i="9"/>
  <c r="FC14" i="9"/>
  <c r="FC12" i="9"/>
  <c r="FC10" i="9"/>
  <c r="FC8" i="9"/>
  <c r="FC6" i="9"/>
  <c r="CV314" i="9"/>
  <c r="DJ314" i="9"/>
  <c r="CV246" i="9"/>
  <c r="DJ246" i="9"/>
  <c r="CV319" i="9"/>
  <c r="DJ319" i="9"/>
  <c r="CV110" i="9"/>
  <c r="DJ110" i="9"/>
  <c r="CV26" i="9"/>
  <c r="DJ26" i="9"/>
  <c r="CV272" i="9"/>
  <c r="DJ272" i="9"/>
  <c r="CV257" i="9"/>
  <c r="DJ257" i="9"/>
  <c r="CV290" i="9"/>
  <c r="DJ290" i="9"/>
  <c r="CV52" i="9"/>
  <c r="DJ52" i="9"/>
  <c r="CV226" i="9"/>
  <c r="DJ226" i="9"/>
  <c r="CV135" i="9"/>
  <c r="DJ135" i="9"/>
  <c r="CV309" i="9"/>
  <c r="DJ309" i="9"/>
  <c r="CY399" i="9"/>
  <c r="DC324" i="9"/>
  <c r="CV208" i="9"/>
  <c r="DJ208" i="9"/>
  <c r="CV166" i="9"/>
  <c r="DJ166" i="9"/>
  <c r="DN166" i="9" s="1"/>
  <c r="CV202" i="9"/>
  <c r="DJ202" i="9"/>
  <c r="DJ457" i="9"/>
  <c r="AC24" i="2"/>
  <c r="CV12" i="9"/>
  <c r="DJ12" i="9"/>
  <c r="CV41" i="9"/>
  <c r="DJ41" i="9"/>
  <c r="CV254" i="9"/>
  <c r="DJ254" i="9"/>
  <c r="CY320" i="9"/>
  <c r="CS436" i="9"/>
  <c r="CS441" i="9"/>
  <c r="CR320" i="9"/>
  <c r="CS435" i="9" s="1"/>
  <c r="CT320" i="9"/>
  <c r="CV106" i="9"/>
  <c r="DJ106" i="9"/>
  <c r="EP463" i="9"/>
  <c r="EF411" i="9"/>
  <c r="DX382" i="9"/>
  <c r="EF399" i="9"/>
  <c r="CV46" i="9"/>
  <c r="DJ46" i="9"/>
  <c r="CV111" i="9"/>
  <c r="DJ111" i="9"/>
  <c r="CV79" i="9"/>
  <c r="DJ79" i="9"/>
  <c r="CV49" i="9"/>
  <c r="DJ49" i="9"/>
  <c r="CV18" i="9"/>
  <c r="DJ18" i="9"/>
  <c r="DN18" i="9" s="1"/>
  <c r="CV171" i="9"/>
  <c r="DJ171" i="9"/>
  <c r="CV159" i="9"/>
  <c r="DJ159" i="9"/>
  <c r="CV175" i="9"/>
  <c r="DJ175" i="9"/>
  <c r="CV98" i="9"/>
  <c r="DJ98" i="9"/>
  <c r="CV247" i="9"/>
  <c r="DJ247" i="9"/>
  <c r="CV55" i="9"/>
  <c r="DJ55" i="9"/>
  <c r="CV176" i="9"/>
  <c r="DJ176" i="9"/>
  <c r="CV42" i="9"/>
  <c r="DJ42" i="9"/>
  <c r="CV21" i="9"/>
  <c r="DJ21" i="9"/>
  <c r="CV251" i="9"/>
  <c r="DJ251" i="9"/>
  <c r="CV227" i="9"/>
  <c r="DJ227" i="9"/>
  <c r="CV15" i="9"/>
  <c r="DJ15" i="9"/>
  <c r="CV34" i="9"/>
  <c r="DJ34" i="9"/>
  <c r="CV312" i="9"/>
  <c r="DJ312" i="9"/>
  <c r="CV134" i="9"/>
  <c r="DJ134" i="9"/>
  <c r="DE394" i="9"/>
  <c r="CV50" i="9"/>
  <c r="DJ50" i="9"/>
  <c r="CV231" i="9"/>
  <c r="DJ231" i="9"/>
  <c r="DN231" i="9" s="1"/>
  <c r="CV282" i="9"/>
  <c r="DJ282" i="9"/>
  <c r="CV115" i="9"/>
  <c r="DJ115" i="9"/>
  <c r="CV172" i="9"/>
  <c r="DJ172" i="9"/>
  <c r="CV184" i="9"/>
  <c r="DJ184" i="9"/>
  <c r="CV277" i="9"/>
  <c r="DJ277" i="9"/>
  <c r="FA336" i="9"/>
  <c r="FA320" i="9"/>
  <c r="FA332" i="9"/>
  <c r="FG348" i="9"/>
  <c r="FI440" i="9" s="1"/>
  <c r="FH440" i="9" s="1"/>
  <c r="EP449" i="9"/>
  <c r="EA460" i="9"/>
  <c r="CV157" i="9"/>
  <c r="DJ157" i="9"/>
  <c r="CV188" i="9"/>
  <c r="DJ188" i="9"/>
  <c r="CV206" i="9"/>
  <c r="DJ206" i="9"/>
  <c r="CV102" i="9"/>
  <c r="DJ102" i="9"/>
  <c r="CV122" i="9"/>
  <c r="DJ122" i="9"/>
  <c r="CV213" i="9"/>
  <c r="DJ213" i="9"/>
  <c r="CV57" i="9"/>
  <c r="DJ57" i="9"/>
  <c r="BW191" i="14"/>
  <c r="CV296" i="9"/>
  <c r="DJ296" i="9"/>
  <c r="CV194" i="9"/>
  <c r="DJ194" i="9"/>
  <c r="CV183" i="9"/>
  <c r="DJ183" i="9"/>
  <c r="CV37" i="9"/>
  <c r="DJ37" i="9"/>
  <c r="CE394" i="9"/>
  <c r="CD370" i="9"/>
  <c r="CV90" i="9"/>
  <c r="DJ90" i="9"/>
  <c r="CV317" i="9"/>
  <c r="DJ317" i="9"/>
  <c r="CV291" i="9"/>
  <c r="DJ291" i="9"/>
  <c r="DN291" i="9" s="1"/>
  <c r="CV170" i="9"/>
  <c r="DJ170" i="9"/>
  <c r="CV212" i="9"/>
  <c r="DJ212" i="9"/>
  <c r="CV173" i="9"/>
  <c r="DJ173" i="9"/>
  <c r="CV151" i="9"/>
  <c r="DJ151" i="9"/>
  <c r="CV153" i="9"/>
  <c r="DJ153" i="9"/>
  <c r="CV196" i="9"/>
  <c r="DJ196" i="9"/>
  <c r="CV75" i="9"/>
  <c r="DJ75" i="9"/>
  <c r="DC336" i="9"/>
  <c r="DA338" i="9" s="1"/>
  <c r="DC339" i="9"/>
  <c r="CV156" i="9"/>
  <c r="DJ156" i="9"/>
  <c r="EP464" i="9"/>
  <c r="EF320" i="9"/>
  <c r="DV378" i="9"/>
  <c r="EF407" i="9"/>
  <c r="EA450" i="9"/>
  <c r="CV313" i="9"/>
  <c r="DJ313" i="9"/>
  <c r="DN313" i="9" s="1"/>
  <c r="CV259" i="9"/>
  <c r="DJ259" i="9"/>
  <c r="CV222" i="9"/>
  <c r="DJ222" i="9"/>
  <c r="CV74" i="9"/>
  <c r="DJ74" i="9"/>
  <c r="CV118" i="9"/>
  <c r="DJ118" i="9"/>
  <c r="CV9" i="9"/>
  <c r="DJ9" i="9"/>
  <c r="CT378" i="9"/>
  <c r="CV189" i="9"/>
  <c r="DJ189" i="9"/>
  <c r="CV244" i="9"/>
  <c r="DJ244" i="9"/>
  <c r="CV28" i="9"/>
  <c r="DJ28" i="9"/>
  <c r="CV154" i="9"/>
  <c r="DJ154" i="9"/>
  <c r="CV164" i="9"/>
  <c r="DJ164" i="9"/>
  <c r="CV146" i="9"/>
  <c r="DJ146" i="9"/>
  <c r="EP448" i="9"/>
  <c r="DN118" i="9"/>
  <c r="CV276" i="9"/>
  <c r="DJ276" i="9"/>
  <c r="CV145" i="9"/>
  <c r="DJ145" i="9"/>
  <c r="CV203" i="9"/>
  <c r="DJ203" i="9"/>
  <c r="CV165" i="9"/>
  <c r="DJ165" i="9"/>
  <c r="CV150" i="9"/>
  <c r="DJ150" i="9"/>
  <c r="CV288" i="9"/>
  <c r="DJ288" i="9"/>
  <c r="CV82" i="9"/>
  <c r="DJ82" i="9"/>
  <c r="CV310" i="9"/>
  <c r="DJ310" i="9"/>
  <c r="DN68" i="9"/>
  <c r="DN299" i="9"/>
  <c r="DN318" i="9"/>
  <c r="DN170" i="9"/>
  <c r="DN236" i="9"/>
  <c r="CV284" i="9"/>
  <c r="DJ284" i="9"/>
  <c r="DO423" i="9"/>
  <c r="DN12" i="9"/>
  <c r="CV301" i="9"/>
  <c r="DJ301" i="9"/>
  <c r="CV274" i="9"/>
  <c r="DJ274" i="9"/>
  <c r="DN71" i="9"/>
  <c r="CV240" i="9"/>
  <c r="DJ240" i="9"/>
  <c r="CV147" i="9"/>
  <c r="DJ147" i="9"/>
  <c r="CV234" i="9"/>
  <c r="DJ234" i="9"/>
  <c r="DN74" i="9"/>
  <c r="CV181" i="9"/>
  <c r="DJ181" i="9"/>
  <c r="CV25" i="9"/>
  <c r="DJ25" i="9"/>
  <c r="CV22" i="9"/>
  <c r="DJ22" i="9"/>
  <c r="CV248" i="9"/>
  <c r="DJ248" i="9"/>
  <c r="CV128" i="9"/>
  <c r="DJ128" i="9"/>
  <c r="DN217" i="9"/>
  <c r="CV192" i="9"/>
  <c r="DJ192" i="9"/>
  <c r="EU300" i="9"/>
  <c r="FI300" i="9"/>
  <c r="EP454" i="9"/>
  <c r="EP460" i="9"/>
  <c r="EP455" i="9"/>
  <c r="EP473" i="9" s="1"/>
  <c r="EP474" i="9" s="1"/>
  <c r="ER475" i="9" s="1"/>
  <c r="EP468" i="9"/>
  <c r="ER469" i="9" s="1"/>
  <c r="ER467" i="9" s="1"/>
  <c r="EL320" i="9"/>
  <c r="EM5" i="9"/>
  <c r="EN5" i="9"/>
  <c r="EW5" i="9"/>
  <c r="EM9" i="9"/>
  <c r="EN9" i="9"/>
  <c r="EO9" i="9" s="1"/>
  <c r="EW9" i="9"/>
  <c r="EM13" i="9"/>
  <c r="EN13" i="9"/>
  <c r="EO13" i="9" s="1"/>
  <c r="EW13" i="9"/>
  <c r="EM17" i="9"/>
  <c r="EN17" i="9"/>
  <c r="EO17" i="9" s="1"/>
  <c r="EW17" i="9"/>
  <c r="EM21" i="9"/>
  <c r="EN21" i="9"/>
  <c r="EO21" i="9" s="1"/>
  <c r="EW21" i="9"/>
  <c r="EM25" i="9"/>
  <c r="EN25" i="9"/>
  <c r="EO25" i="9" s="1"/>
  <c r="EW25" i="9"/>
  <c r="EM29" i="9"/>
  <c r="EN29" i="9"/>
  <c r="EO29" i="9" s="1"/>
  <c r="EW29" i="9"/>
  <c r="EM33" i="9"/>
  <c r="EN33" i="9"/>
  <c r="EO33" i="9" s="1"/>
  <c r="EW33" i="9"/>
  <c r="EM37" i="9"/>
  <c r="EN37" i="9"/>
  <c r="EO37" i="9" s="1"/>
  <c r="EW37" i="9"/>
  <c r="EM41" i="9"/>
  <c r="EN41" i="9"/>
  <c r="EO41" i="9" s="1"/>
  <c r="EW41" i="9"/>
  <c r="EM45" i="9"/>
  <c r="EN45" i="9"/>
  <c r="EO45" i="9" s="1"/>
  <c r="EW45" i="9"/>
  <c r="EM49" i="9"/>
  <c r="EN49" i="9"/>
  <c r="EO49" i="9" s="1"/>
  <c r="EW49" i="9"/>
  <c r="EM53" i="9"/>
  <c r="EN53" i="9"/>
  <c r="EO53" i="9" s="1"/>
  <c r="EW53" i="9"/>
  <c r="EM57" i="9"/>
  <c r="EN57" i="9"/>
  <c r="EO57" i="9" s="1"/>
  <c r="EW57" i="9"/>
  <c r="EM61" i="9"/>
  <c r="EN61" i="9"/>
  <c r="EO61" i="9" s="1"/>
  <c r="EW61" i="9"/>
  <c r="EM65" i="9"/>
  <c r="EW65" i="9"/>
  <c r="EN65" i="9"/>
  <c r="EO65" i="9" s="1"/>
  <c r="EM69" i="9"/>
  <c r="EW69" i="9"/>
  <c r="EN69" i="9"/>
  <c r="EO69" i="9" s="1"/>
  <c r="EM73" i="9"/>
  <c r="EW73" i="9"/>
  <c r="EN73" i="9"/>
  <c r="EO73" i="9" s="1"/>
  <c r="EM77" i="9"/>
  <c r="EW77" i="9"/>
  <c r="EN77" i="9"/>
  <c r="EO77" i="9" s="1"/>
  <c r="EM81" i="9"/>
  <c r="EW81" i="9"/>
  <c r="EN81" i="9"/>
  <c r="EO81" i="9" s="1"/>
  <c r="EM85" i="9"/>
  <c r="EW85" i="9"/>
  <c r="EN85" i="9"/>
  <c r="EO85" i="9" s="1"/>
  <c r="EM89" i="9"/>
  <c r="EW89" i="9"/>
  <c r="EN89" i="9"/>
  <c r="EO89" i="9" s="1"/>
  <c r="EM93" i="9"/>
  <c r="EW93" i="9"/>
  <c r="EN93" i="9"/>
  <c r="EO93" i="9" s="1"/>
  <c r="EM97" i="9"/>
  <c r="EW97" i="9"/>
  <c r="EN97" i="9"/>
  <c r="EO97" i="9" s="1"/>
  <c r="EM101" i="9"/>
  <c r="EW101" i="9"/>
  <c r="EN101" i="9"/>
  <c r="EO101" i="9" s="1"/>
  <c r="EM105" i="9"/>
  <c r="EW105" i="9"/>
  <c r="EN105" i="9"/>
  <c r="EO105" i="9" s="1"/>
  <c r="EM109" i="9"/>
  <c r="EW109" i="9"/>
  <c r="EN109" i="9"/>
  <c r="EO109" i="9" s="1"/>
  <c r="EM113" i="9"/>
  <c r="EW113" i="9"/>
  <c r="EN113" i="9"/>
  <c r="EO113" i="9" s="1"/>
  <c r="EM117" i="9"/>
  <c r="EW117" i="9"/>
  <c r="EN117" i="9"/>
  <c r="EO117" i="9" s="1"/>
  <c r="EM121" i="9"/>
  <c r="EW121" i="9"/>
  <c r="EN121" i="9"/>
  <c r="EO121" i="9" s="1"/>
  <c r="EM125" i="9"/>
  <c r="EW125" i="9"/>
  <c r="EN125" i="9"/>
  <c r="EO125" i="9" s="1"/>
  <c r="EM129" i="9"/>
  <c r="EW129" i="9"/>
  <c r="EN129" i="9"/>
  <c r="EO129" i="9" s="1"/>
  <c r="EM133" i="9"/>
  <c r="EN133" i="9"/>
  <c r="EO133" i="9" s="1"/>
  <c r="EW133" i="9"/>
  <c r="EM137" i="9"/>
  <c r="EN137" i="9"/>
  <c r="EO137" i="9" s="1"/>
  <c r="EW137" i="9"/>
  <c r="EM141" i="9"/>
  <c r="EN141" i="9"/>
  <c r="EO141" i="9" s="1"/>
  <c r="EW141" i="9"/>
  <c r="EM145" i="9"/>
  <c r="EN145" i="9"/>
  <c r="EO145" i="9" s="1"/>
  <c r="EW145" i="9"/>
  <c r="EM149" i="9"/>
  <c r="EN149" i="9"/>
  <c r="EO149" i="9" s="1"/>
  <c r="EW149" i="9"/>
  <c r="EM153" i="9"/>
  <c r="EN153" i="9"/>
  <c r="EO153" i="9" s="1"/>
  <c r="EW153" i="9"/>
  <c r="EM157" i="9"/>
  <c r="EW157" i="9"/>
  <c r="EN157" i="9"/>
  <c r="EO157" i="9" s="1"/>
  <c r="EM161" i="9"/>
  <c r="EW161" i="9"/>
  <c r="EN161" i="9"/>
  <c r="EO161" i="9" s="1"/>
  <c r="EM165" i="9"/>
  <c r="EW165" i="9"/>
  <c r="EN165" i="9"/>
  <c r="EO165" i="9" s="1"/>
  <c r="EM169" i="9"/>
  <c r="EW169" i="9"/>
  <c r="EN169" i="9"/>
  <c r="EO169" i="9" s="1"/>
  <c r="EM173" i="9"/>
  <c r="EW173" i="9"/>
  <c r="EN173" i="9"/>
  <c r="EO173" i="9" s="1"/>
  <c r="EM177" i="9"/>
  <c r="EW177" i="9"/>
  <c r="EN177" i="9"/>
  <c r="EO177" i="9" s="1"/>
  <c r="EM181" i="9"/>
  <c r="EW181" i="9"/>
  <c r="EN181" i="9"/>
  <c r="EO181" i="9" s="1"/>
  <c r="EM185" i="9"/>
  <c r="EW185" i="9"/>
  <c r="EN185" i="9"/>
  <c r="EO185" i="9" s="1"/>
  <c r="EM189" i="9"/>
  <c r="EW189" i="9"/>
  <c r="EN189" i="9"/>
  <c r="EO189" i="9" s="1"/>
  <c r="EM193" i="9"/>
  <c r="EW193" i="9"/>
  <c r="EN193" i="9"/>
  <c r="EO193" i="9" s="1"/>
  <c r="EM197" i="9"/>
  <c r="EW197" i="9"/>
  <c r="EN197" i="9"/>
  <c r="EO197" i="9" s="1"/>
  <c r="EM201" i="9"/>
  <c r="EW201" i="9"/>
  <c r="EN201" i="9"/>
  <c r="EO201" i="9" s="1"/>
  <c r="EM205" i="9"/>
  <c r="EW205" i="9"/>
  <c r="EN205" i="9"/>
  <c r="EO205" i="9" s="1"/>
  <c r="EM209" i="9"/>
  <c r="EN209" i="9"/>
  <c r="EO209" i="9" s="1"/>
  <c r="EW209" i="9"/>
  <c r="EM213" i="9"/>
  <c r="EN213" i="9"/>
  <c r="EO213" i="9" s="1"/>
  <c r="EW213" i="9"/>
  <c r="EM217" i="9"/>
  <c r="EN217" i="9"/>
  <c r="EO217" i="9" s="1"/>
  <c r="EW217" i="9"/>
  <c r="EM221" i="9"/>
  <c r="EW221" i="9"/>
  <c r="EN221" i="9"/>
  <c r="EO221" i="9" s="1"/>
  <c r="EM225" i="9"/>
  <c r="EW225" i="9"/>
  <c r="EN225" i="9"/>
  <c r="EO225" i="9" s="1"/>
  <c r="EM229" i="9"/>
  <c r="EW229" i="9"/>
  <c r="EN229" i="9"/>
  <c r="EO229" i="9" s="1"/>
  <c r="EM233" i="9"/>
  <c r="EW233" i="9"/>
  <c r="EN233" i="9"/>
  <c r="EO233" i="9" s="1"/>
  <c r="EM237" i="9"/>
  <c r="EW237" i="9"/>
  <c r="EN237" i="9"/>
  <c r="EO237" i="9" s="1"/>
  <c r="EM241" i="9"/>
  <c r="EW241" i="9"/>
  <c r="EN241" i="9"/>
  <c r="EO241" i="9" s="1"/>
  <c r="EW245" i="9"/>
  <c r="EN245" i="9"/>
  <c r="EO245" i="9" s="1"/>
  <c r="EM245" i="9"/>
  <c r="EW249" i="9"/>
  <c r="EN249" i="9"/>
  <c r="EO249" i="9" s="1"/>
  <c r="EM249" i="9"/>
  <c r="EW253" i="9"/>
  <c r="EN253" i="9"/>
  <c r="EO253" i="9" s="1"/>
  <c r="EM253" i="9"/>
  <c r="EW257" i="9"/>
  <c r="EN257" i="9"/>
  <c r="EO257" i="9" s="1"/>
  <c r="EM257" i="9"/>
  <c r="EW261" i="9"/>
  <c r="EN261" i="9"/>
  <c r="EO261" i="9" s="1"/>
  <c r="EM261" i="9"/>
  <c r="EW265" i="9"/>
  <c r="EN265" i="9"/>
  <c r="EO265" i="9" s="1"/>
  <c r="EM265" i="9"/>
  <c r="EW269" i="9"/>
  <c r="EN269" i="9"/>
  <c r="EO269" i="9" s="1"/>
  <c r="EM269" i="9"/>
  <c r="EW273" i="9"/>
  <c r="EN273" i="9"/>
  <c r="EO273" i="9" s="1"/>
  <c r="EM273" i="9"/>
  <c r="EW277" i="9"/>
  <c r="EN277" i="9"/>
  <c r="EO277" i="9" s="1"/>
  <c r="EM277" i="9"/>
  <c r="EM281" i="9"/>
  <c r="EW281" i="9"/>
  <c r="EN281" i="9"/>
  <c r="EO281" i="9" s="1"/>
  <c r="EM285" i="9"/>
  <c r="EW285" i="9"/>
  <c r="EN285" i="9"/>
  <c r="EO285" i="9" s="1"/>
  <c r="EM289" i="9"/>
  <c r="EW289" i="9"/>
  <c r="EN289" i="9"/>
  <c r="EO289" i="9" s="1"/>
  <c r="EM293" i="9"/>
  <c r="EW293" i="9"/>
  <c r="EN293" i="9"/>
  <c r="EO293" i="9" s="1"/>
  <c r="EM297" i="9"/>
  <c r="EW297" i="9"/>
  <c r="EN297" i="9"/>
  <c r="EO297" i="9" s="1"/>
  <c r="EM301" i="9"/>
  <c r="EW301" i="9"/>
  <c r="EN301" i="9"/>
  <c r="EO301" i="9" s="1"/>
  <c r="EM305" i="9"/>
  <c r="EW305" i="9"/>
  <c r="EN305" i="9"/>
  <c r="EO305" i="9" s="1"/>
  <c r="EM309" i="9"/>
  <c r="EW309" i="9"/>
  <c r="EN309" i="9"/>
  <c r="EO309" i="9" s="1"/>
  <c r="EM313" i="9"/>
  <c r="EW313" i="9"/>
  <c r="EN313" i="9"/>
  <c r="EO313" i="9" s="1"/>
  <c r="EM317" i="9"/>
  <c r="EW317" i="9"/>
  <c r="EN317" i="9"/>
  <c r="EO317" i="9" s="1"/>
  <c r="EN6" i="9"/>
  <c r="EO6" i="9" s="1"/>
  <c r="EW6" i="9"/>
  <c r="EM6" i="9"/>
  <c r="EN10" i="9"/>
  <c r="EO10" i="9" s="1"/>
  <c r="EW10" i="9"/>
  <c r="EM10" i="9"/>
  <c r="EN14" i="9"/>
  <c r="EO14" i="9" s="1"/>
  <c r="EW14" i="9"/>
  <c r="EM14" i="9"/>
  <c r="EN18" i="9"/>
  <c r="EO18" i="9" s="1"/>
  <c r="EW18" i="9"/>
  <c r="EM18" i="9"/>
  <c r="EN22" i="9"/>
  <c r="EO22" i="9" s="1"/>
  <c r="EW22" i="9"/>
  <c r="EM22" i="9"/>
  <c r="EN26" i="9"/>
  <c r="EO26" i="9" s="1"/>
  <c r="EW26" i="9"/>
  <c r="EM26" i="9"/>
  <c r="EN30" i="9"/>
  <c r="EO30" i="9" s="1"/>
  <c r="EW30" i="9"/>
  <c r="EM30" i="9"/>
  <c r="EN34" i="9"/>
  <c r="EO34" i="9" s="1"/>
  <c r="EW34" i="9"/>
  <c r="EM34" i="9"/>
  <c r="EN38" i="9"/>
  <c r="EO38" i="9" s="1"/>
  <c r="EW38" i="9"/>
  <c r="EM38" i="9"/>
  <c r="EN42" i="9"/>
  <c r="EO42" i="9" s="1"/>
  <c r="EW42" i="9"/>
  <c r="EM42" i="9"/>
  <c r="EN46" i="9"/>
  <c r="EO46" i="9" s="1"/>
  <c r="EW46" i="9"/>
  <c r="EM46" i="9"/>
  <c r="EN50" i="9"/>
  <c r="EO50" i="9" s="1"/>
  <c r="EW50" i="9"/>
  <c r="EM50" i="9"/>
  <c r="EN54" i="9"/>
  <c r="EO54" i="9" s="1"/>
  <c r="EW54" i="9"/>
  <c r="EM54" i="9"/>
  <c r="EN58" i="9"/>
  <c r="EO58" i="9" s="1"/>
  <c r="EW58" i="9"/>
  <c r="EM58" i="9"/>
  <c r="EN62" i="9"/>
  <c r="EO62" i="9" s="1"/>
  <c r="EW62" i="9"/>
  <c r="EM62" i="9"/>
  <c r="EW66" i="9"/>
  <c r="EN66" i="9"/>
  <c r="EO66" i="9" s="1"/>
  <c r="EM66" i="9"/>
  <c r="EW70" i="9"/>
  <c r="EN70" i="9"/>
  <c r="EO70" i="9" s="1"/>
  <c r="EM70" i="9"/>
  <c r="EW74" i="9"/>
  <c r="EN74" i="9"/>
  <c r="EO74" i="9" s="1"/>
  <c r="EM74" i="9"/>
  <c r="EW78" i="9"/>
  <c r="EN78" i="9"/>
  <c r="EO78" i="9" s="1"/>
  <c r="EM78" i="9"/>
  <c r="EW82" i="9"/>
  <c r="EN82" i="9"/>
  <c r="EO82" i="9" s="1"/>
  <c r="EM82" i="9"/>
  <c r="EW86" i="9"/>
  <c r="EN86" i="9"/>
  <c r="EO86" i="9" s="1"/>
  <c r="EM86" i="9"/>
  <c r="EW90" i="9"/>
  <c r="EN90" i="9"/>
  <c r="EO90" i="9" s="1"/>
  <c r="EM90" i="9"/>
  <c r="EW94" i="9"/>
  <c r="EN94" i="9"/>
  <c r="EO94" i="9" s="1"/>
  <c r="EM94" i="9"/>
  <c r="EW98" i="9"/>
  <c r="EN98" i="9"/>
  <c r="EO98" i="9" s="1"/>
  <c r="EM98" i="9"/>
  <c r="EW102" i="9"/>
  <c r="EN102" i="9"/>
  <c r="EO102" i="9" s="1"/>
  <c r="EM102" i="9"/>
  <c r="EW106" i="9"/>
  <c r="EN106" i="9"/>
  <c r="EO106" i="9" s="1"/>
  <c r="EM106" i="9"/>
  <c r="EW110" i="9"/>
  <c r="EN110" i="9"/>
  <c r="EO110" i="9" s="1"/>
  <c r="EM110" i="9"/>
  <c r="EW114" i="9"/>
  <c r="EN114" i="9"/>
  <c r="EO114" i="9" s="1"/>
  <c r="EM114" i="9"/>
  <c r="EW118" i="9"/>
  <c r="EN118" i="9"/>
  <c r="EO118" i="9" s="1"/>
  <c r="EM118" i="9"/>
  <c r="EW122" i="9"/>
  <c r="EN122" i="9"/>
  <c r="EO122" i="9" s="1"/>
  <c r="EM122" i="9"/>
  <c r="EW126" i="9"/>
  <c r="EN126" i="9"/>
  <c r="EO126" i="9" s="1"/>
  <c r="EM126" i="9"/>
  <c r="EW130" i="9"/>
  <c r="EN130" i="9"/>
  <c r="EO130" i="9" s="1"/>
  <c r="EM130" i="9"/>
  <c r="EN134" i="9"/>
  <c r="EO134" i="9" s="1"/>
  <c r="EW134" i="9"/>
  <c r="EM134" i="9"/>
  <c r="EN138" i="9"/>
  <c r="EO138" i="9" s="1"/>
  <c r="EW138" i="9"/>
  <c r="EM138" i="9"/>
  <c r="EN142" i="9"/>
  <c r="EO142" i="9" s="1"/>
  <c r="EW142" i="9"/>
  <c r="EM142" i="9"/>
  <c r="EN146" i="9"/>
  <c r="EO146" i="9" s="1"/>
  <c r="EW146" i="9"/>
  <c r="EM146" i="9"/>
  <c r="EN150" i="9"/>
  <c r="EO150" i="9" s="1"/>
  <c r="EW150" i="9"/>
  <c r="EM150" i="9"/>
  <c r="EN154" i="9"/>
  <c r="EO154" i="9" s="1"/>
  <c r="EW154" i="9"/>
  <c r="EM154" i="9"/>
  <c r="EW158" i="9"/>
  <c r="EN158" i="9"/>
  <c r="EO158" i="9" s="1"/>
  <c r="EM158" i="9"/>
  <c r="EW162" i="9"/>
  <c r="EN162" i="9"/>
  <c r="EO162" i="9" s="1"/>
  <c r="EM162" i="9"/>
  <c r="EW166" i="9"/>
  <c r="EN166" i="9"/>
  <c r="EO166" i="9" s="1"/>
  <c r="EM166" i="9"/>
  <c r="EW170" i="9"/>
  <c r="EN170" i="9"/>
  <c r="EO170" i="9" s="1"/>
  <c r="EM170" i="9"/>
  <c r="EW174" i="9"/>
  <c r="EN174" i="9"/>
  <c r="EO174" i="9" s="1"/>
  <c r="EM174" i="9"/>
  <c r="EW178" i="9"/>
  <c r="EN178" i="9"/>
  <c r="EO178" i="9" s="1"/>
  <c r="EM178" i="9"/>
  <c r="EW182" i="9"/>
  <c r="EN182" i="9"/>
  <c r="EO182" i="9" s="1"/>
  <c r="EM182" i="9"/>
  <c r="EW186" i="9"/>
  <c r="EN186" i="9"/>
  <c r="EO186" i="9" s="1"/>
  <c r="EM186" i="9"/>
  <c r="EW190" i="9"/>
  <c r="EN190" i="9"/>
  <c r="EO190" i="9" s="1"/>
  <c r="EM190" i="9"/>
  <c r="EW194" i="9"/>
  <c r="EN194" i="9"/>
  <c r="EO194" i="9" s="1"/>
  <c r="EM194" i="9"/>
  <c r="EW198" i="9"/>
  <c r="EN198" i="9"/>
  <c r="EO198" i="9" s="1"/>
  <c r="EM198" i="9"/>
  <c r="EW202" i="9"/>
  <c r="EN202" i="9"/>
  <c r="EO202" i="9" s="1"/>
  <c r="EM202" i="9"/>
  <c r="EN206" i="9"/>
  <c r="EO206" i="9" s="1"/>
  <c r="EW206" i="9"/>
  <c r="EM206" i="9"/>
  <c r="EN210" i="9"/>
  <c r="EO210" i="9" s="1"/>
  <c r="EW210" i="9"/>
  <c r="EM210" i="9"/>
  <c r="EN214" i="9"/>
  <c r="EO214" i="9" s="1"/>
  <c r="EW214" i="9"/>
  <c r="EM214" i="9"/>
  <c r="EN218" i="9"/>
  <c r="EO218" i="9" s="1"/>
  <c r="EW218" i="9"/>
  <c r="EM218" i="9"/>
  <c r="EW222" i="9"/>
  <c r="EN222" i="9"/>
  <c r="EO222" i="9" s="1"/>
  <c r="EM222" i="9"/>
  <c r="EW226" i="9"/>
  <c r="EN226" i="9"/>
  <c r="EO226" i="9" s="1"/>
  <c r="EM226" i="9"/>
  <c r="EW230" i="9"/>
  <c r="EN230" i="9"/>
  <c r="EO230" i="9" s="1"/>
  <c r="EM230" i="9"/>
  <c r="EW234" i="9"/>
  <c r="EN234" i="9"/>
  <c r="EO234" i="9" s="1"/>
  <c r="EM234" i="9"/>
  <c r="EW238" i="9"/>
  <c r="EN238" i="9"/>
  <c r="EO238" i="9" s="1"/>
  <c r="EM238" i="9"/>
  <c r="EW242" i="9"/>
  <c r="EN242" i="9"/>
  <c r="EO242" i="9" s="1"/>
  <c r="EM242" i="9"/>
  <c r="EN246" i="9"/>
  <c r="EO246" i="9" s="1"/>
  <c r="EM246" i="9"/>
  <c r="EW246" i="9"/>
  <c r="EN250" i="9"/>
  <c r="EO250" i="9" s="1"/>
  <c r="EM250" i="9"/>
  <c r="EW250" i="9"/>
  <c r="EN254" i="9"/>
  <c r="EO254" i="9" s="1"/>
  <c r="EM254" i="9"/>
  <c r="EW254" i="9"/>
  <c r="EN258" i="9"/>
  <c r="EO258" i="9" s="1"/>
  <c r="EM258" i="9"/>
  <c r="EW258" i="9"/>
  <c r="EN262" i="9"/>
  <c r="EO262" i="9" s="1"/>
  <c r="EM262" i="9"/>
  <c r="EW262" i="9"/>
  <c r="EN266" i="9"/>
  <c r="EO266" i="9" s="1"/>
  <c r="EM266" i="9"/>
  <c r="EW266" i="9"/>
  <c r="EN270" i="9"/>
  <c r="EO270" i="9" s="1"/>
  <c r="EM270" i="9"/>
  <c r="EW270" i="9"/>
  <c r="EN274" i="9"/>
  <c r="EO274" i="9" s="1"/>
  <c r="EM274" i="9"/>
  <c r="EW274" i="9"/>
  <c r="EW278" i="9"/>
  <c r="EM278" i="9"/>
  <c r="EN278" i="9"/>
  <c r="EO278" i="9" s="1"/>
  <c r="EW282" i="9"/>
  <c r="EN282" i="9"/>
  <c r="EO282" i="9" s="1"/>
  <c r="EM282" i="9"/>
  <c r="EW286" i="9"/>
  <c r="EN286" i="9"/>
  <c r="EO286" i="9" s="1"/>
  <c r="EM286" i="9"/>
  <c r="EW290" i="9"/>
  <c r="EN290" i="9"/>
  <c r="EO290" i="9" s="1"/>
  <c r="EM290" i="9"/>
  <c r="EW294" i="9"/>
  <c r="EN294" i="9"/>
  <c r="EO294" i="9" s="1"/>
  <c r="EM294" i="9"/>
  <c r="EW298" i="9"/>
  <c r="EN298" i="9"/>
  <c r="EO298" i="9" s="1"/>
  <c r="EM298" i="9"/>
  <c r="EW302" i="9"/>
  <c r="EN302" i="9"/>
  <c r="EO302" i="9" s="1"/>
  <c r="EM302" i="9"/>
  <c r="EW306" i="9"/>
  <c r="EN306" i="9"/>
  <c r="EO306" i="9" s="1"/>
  <c r="EM306" i="9"/>
  <c r="EW310" i="9"/>
  <c r="EN310" i="9"/>
  <c r="EO310" i="9" s="1"/>
  <c r="EM310" i="9"/>
  <c r="EW314" i="9"/>
  <c r="EN314" i="9"/>
  <c r="EO314" i="9" s="1"/>
  <c r="EM314" i="9"/>
  <c r="EW318" i="9"/>
  <c r="EN318" i="9"/>
  <c r="EO318" i="9" s="1"/>
  <c r="EM318" i="9"/>
  <c r="FR319" i="9"/>
  <c r="FR317" i="9"/>
  <c r="FR315" i="9"/>
  <c r="FR313" i="9"/>
  <c r="FR311" i="9"/>
  <c r="FR309" i="9"/>
  <c r="FR307" i="9"/>
  <c r="FR305" i="9"/>
  <c r="FR303" i="9"/>
  <c r="FR301" i="9"/>
  <c r="FR299" i="9"/>
  <c r="FR297" i="9"/>
  <c r="FR295" i="9"/>
  <c r="FR293" i="9"/>
  <c r="FR291" i="9"/>
  <c r="FR289" i="9"/>
  <c r="FR287" i="9"/>
  <c r="FR285" i="9"/>
  <c r="FR283" i="9"/>
  <c r="FR281" i="9"/>
  <c r="FR279" i="9"/>
  <c r="FR277" i="9"/>
  <c r="FR275" i="9"/>
  <c r="FR273" i="9"/>
  <c r="FR271" i="9"/>
  <c r="FR269" i="9"/>
  <c r="FR267" i="9"/>
  <c r="FR265" i="9"/>
  <c r="FR263" i="9"/>
  <c r="FR261" i="9"/>
  <c r="FR259" i="9"/>
  <c r="FR257" i="9"/>
  <c r="FR255" i="9"/>
  <c r="FR253" i="9"/>
  <c r="FR251" i="9"/>
  <c r="FR249" i="9"/>
  <c r="FR247" i="9"/>
  <c r="FR245" i="9"/>
  <c r="FR243" i="9"/>
  <c r="FR241" i="9"/>
  <c r="FR239" i="9"/>
  <c r="FR237" i="9"/>
  <c r="FR235" i="9"/>
  <c r="FR233" i="9"/>
  <c r="FR231" i="9"/>
  <c r="FR229" i="9"/>
  <c r="FR227" i="9"/>
  <c r="FR225" i="9"/>
  <c r="FR223" i="9"/>
  <c r="FR221" i="9"/>
  <c r="FR219" i="9"/>
  <c r="FR217" i="9"/>
  <c r="FR215" i="9"/>
  <c r="FR213" i="9"/>
  <c r="FR211" i="9"/>
  <c r="FR209" i="9"/>
  <c r="FR207" i="9"/>
  <c r="FR205" i="9"/>
  <c r="FR203" i="9"/>
  <c r="FR201" i="9"/>
  <c r="FR199" i="9"/>
  <c r="FR197" i="9"/>
  <c r="FR195" i="9"/>
  <c r="FR193" i="9"/>
  <c r="FR191" i="9"/>
  <c r="FR189" i="9"/>
  <c r="FR187" i="9"/>
  <c r="FR185" i="9"/>
  <c r="FR183" i="9"/>
  <c r="FR181" i="9"/>
  <c r="FR179" i="9"/>
  <c r="FR177" i="9"/>
  <c r="FR175" i="9"/>
  <c r="FR173" i="9"/>
  <c r="FR171" i="9"/>
  <c r="FR169" i="9"/>
  <c r="FR167" i="9"/>
  <c r="FR165" i="9"/>
  <c r="FR163" i="9"/>
  <c r="FR161" i="9"/>
  <c r="FR159" i="9"/>
  <c r="FR157" i="9"/>
  <c r="FR155" i="9"/>
  <c r="FR153" i="9"/>
  <c r="FR151" i="9"/>
  <c r="FR149" i="9"/>
  <c r="FR147" i="9"/>
  <c r="FR145" i="9"/>
  <c r="FR143" i="9"/>
  <c r="FR141" i="9"/>
  <c r="FR139" i="9"/>
  <c r="FR137" i="9"/>
  <c r="FR135" i="9"/>
  <c r="FR133" i="9"/>
  <c r="FR131" i="9"/>
  <c r="FR129" i="9"/>
  <c r="FR127" i="9"/>
  <c r="FR125" i="9"/>
  <c r="FR123" i="9"/>
  <c r="FR121" i="9"/>
  <c r="FR119" i="9"/>
  <c r="FR117" i="9"/>
  <c r="FR115" i="9"/>
  <c r="FR113" i="9"/>
  <c r="FR111" i="9"/>
  <c r="FR109" i="9"/>
  <c r="FR107" i="9"/>
  <c r="FR105" i="9"/>
  <c r="FR103" i="9"/>
  <c r="FR101" i="9"/>
  <c r="FR99" i="9"/>
  <c r="FR97" i="9"/>
  <c r="FR95" i="9"/>
  <c r="FR93" i="9"/>
  <c r="FR91" i="9"/>
  <c r="FR89" i="9"/>
  <c r="FR87" i="9"/>
  <c r="FR85" i="9"/>
  <c r="FR83" i="9"/>
  <c r="FR74" i="9"/>
  <c r="FR65" i="9"/>
  <c r="FR48" i="9"/>
  <c r="FR39" i="9"/>
  <c r="FR30" i="9"/>
  <c r="FR13" i="9"/>
  <c r="FR11" i="9"/>
  <c r="FR9" i="9"/>
  <c r="FR7" i="9"/>
  <c r="FR5" i="9"/>
  <c r="FK436" i="9"/>
  <c r="FR318" i="9"/>
  <c r="FR316" i="9"/>
  <c r="FR314" i="9"/>
  <c r="FR312" i="9"/>
  <c r="FR310" i="9"/>
  <c r="FR308" i="9"/>
  <c r="FR306" i="9"/>
  <c r="FR304" i="9"/>
  <c r="FR302" i="9"/>
  <c r="FR300" i="9"/>
  <c r="FR298" i="9"/>
  <c r="FR296" i="9"/>
  <c r="FR294" i="9"/>
  <c r="FR292" i="9"/>
  <c r="FR290" i="9"/>
  <c r="FR288" i="9"/>
  <c r="FR286" i="9"/>
  <c r="FR284" i="9"/>
  <c r="FR282" i="9"/>
  <c r="FR280" i="9"/>
  <c r="FR278" i="9"/>
  <c r="FR276" i="9"/>
  <c r="FR274" i="9"/>
  <c r="FR272" i="9"/>
  <c r="FR270" i="9"/>
  <c r="FR268" i="9"/>
  <c r="FR266" i="9"/>
  <c r="FR264" i="9"/>
  <c r="FR262" i="9"/>
  <c r="FR260" i="9"/>
  <c r="FR258" i="9"/>
  <c r="FR256" i="9"/>
  <c r="FR254" i="9"/>
  <c r="FR252" i="9"/>
  <c r="FR250" i="9"/>
  <c r="FR248" i="9"/>
  <c r="FR246" i="9"/>
  <c r="FR244" i="9"/>
  <c r="FR242" i="9"/>
  <c r="FR240" i="9"/>
  <c r="FR238" i="9"/>
  <c r="FR236" i="9"/>
  <c r="FR234" i="9"/>
  <c r="FR232" i="9"/>
  <c r="FR230" i="9"/>
  <c r="FR228" i="9"/>
  <c r="FR226" i="9"/>
  <c r="FR224" i="9"/>
  <c r="FR222" i="9"/>
  <c r="FR220" i="9"/>
  <c r="FR218" i="9"/>
  <c r="FR216" i="9"/>
  <c r="FR214" i="9"/>
  <c r="FR212" i="9"/>
  <c r="FR210" i="9"/>
  <c r="FR208" i="9"/>
  <c r="FR206" i="9"/>
  <c r="FR204" i="9"/>
  <c r="FR202" i="9"/>
  <c r="FR200" i="9"/>
  <c r="FR198" i="9"/>
  <c r="FR196" i="9"/>
  <c r="FR194" i="9"/>
  <c r="FR192" i="9"/>
  <c r="FR190" i="9"/>
  <c r="FR188" i="9"/>
  <c r="FR186" i="9"/>
  <c r="FR184" i="9"/>
  <c r="FR182" i="9"/>
  <c r="FR180" i="9"/>
  <c r="FR178" i="9"/>
  <c r="FR176" i="9"/>
  <c r="FR174" i="9"/>
  <c r="FR172" i="9"/>
  <c r="FR170" i="9"/>
  <c r="FR168" i="9"/>
  <c r="FR166" i="9"/>
  <c r="FR164" i="9"/>
  <c r="FR162" i="9"/>
  <c r="FR160" i="9"/>
  <c r="FR158" i="9"/>
  <c r="FR156" i="9"/>
  <c r="FR154" i="9"/>
  <c r="FR152" i="9"/>
  <c r="FR150" i="9"/>
  <c r="FR148" i="9"/>
  <c r="FR146" i="9"/>
  <c r="FR144" i="9"/>
  <c r="FR142" i="9"/>
  <c r="FR140" i="9"/>
  <c r="FR138" i="9"/>
  <c r="FR136" i="9"/>
  <c r="FR134" i="9"/>
  <c r="FR132" i="9"/>
  <c r="FR130" i="9"/>
  <c r="FR128" i="9"/>
  <c r="FR126" i="9"/>
  <c r="FR124" i="9"/>
  <c r="FR122" i="9"/>
  <c r="FR120" i="9"/>
  <c r="FR118" i="9"/>
  <c r="FR116" i="9"/>
  <c r="FR114" i="9"/>
  <c r="FR112" i="9"/>
  <c r="FR110" i="9"/>
  <c r="FR108" i="9"/>
  <c r="FR106" i="9"/>
  <c r="FR104" i="9"/>
  <c r="FR102" i="9"/>
  <c r="FR100" i="9"/>
  <c r="FR98" i="9"/>
  <c r="FR96" i="9"/>
  <c r="FR94" i="9"/>
  <c r="FR92" i="9"/>
  <c r="FR90" i="9"/>
  <c r="FR88" i="9"/>
  <c r="FR86" i="9"/>
  <c r="FR84" i="9"/>
  <c r="FR82" i="9"/>
  <c r="FR73" i="9"/>
  <c r="FR64" i="9"/>
  <c r="FR49" i="9"/>
  <c r="FR40" i="9"/>
  <c r="FR31" i="9"/>
  <c r="FR14" i="9"/>
  <c r="FR12" i="9"/>
  <c r="FR10" i="9"/>
  <c r="FR8" i="9"/>
  <c r="FR6" i="9"/>
  <c r="FP78" i="9"/>
  <c r="FR78" i="9" s="1"/>
  <c r="FP68" i="9"/>
  <c r="FR68" i="9" s="1"/>
  <c r="FP58" i="9"/>
  <c r="FR58" i="9" s="1"/>
  <c r="FS58" i="9" s="1"/>
  <c r="FP50" i="9"/>
  <c r="FR50" i="9" s="1"/>
  <c r="FP38" i="9"/>
  <c r="FR38" i="9" s="1"/>
  <c r="FS38" i="9" s="1"/>
  <c r="FP28" i="9"/>
  <c r="FR28" i="9" s="1"/>
  <c r="FP20" i="9"/>
  <c r="FR20" i="9" s="1"/>
  <c r="FP79" i="9"/>
  <c r="FR79" i="9" s="1"/>
  <c r="FP69" i="9"/>
  <c r="FR69" i="9" s="1"/>
  <c r="FS69" i="9" s="1"/>
  <c r="FP59" i="9"/>
  <c r="FR59" i="9" s="1"/>
  <c r="FS59" i="9" s="1"/>
  <c r="FP51" i="9"/>
  <c r="FR51" i="9" s="1"/>
  <c r="FP41" i="9"/>
  <c r="FR41" i="9" s="1"/>
  <c r="FP29" i="9"/>
  <c r="FR29" i="9" s="1"/>
  <c r="FP21" i="9"/>
  <c r="FR21" i="9" s="1"/>
  <c r="FP80" i="9"/>
  <c r="FR80" i="9" s="1"/>
  <c r="FS80" i="9" s="1"/>
  <c r="FP70" i="9"/>
  <c r="FR70" i="9" s="1"/>
  <c r="FS70" i="9" s="1"/>
  <c r="FP60" i="9"/>
  <c r="FR60" i="9" s="1"/>
  <c r="FP52" i="9"/>
  <c r="FR52" i="9" s="1"/>
  <c r="FP42" i="9"/>
  <c r="FR42" i="9" s="1"/>
  <c r="FP32" i="9"/>
  <c r="FR32" i="9" s="1"/>
  <c r="FS32" i="9" s="1"/>
  <c r="FP22" i="9"/>
  <c r="FR22" i="9" s="1"/>
  <c r="FP81" i="9"/>
  <c r="FR81" i="9" s="1"/>
  <c r="FP71" i="9"/>
  <c r="FR71" i="9" s="1"/>
  <c r="FP61" i="9"/>
  <c r="FR61" i="9" s="1"/>
  <c r="FS61" i="9" s="1"/>
  <c r="FP53" i="9"/>
  <c r="FR53" i="9" s="1"/>
  <c r="FP43" i="9"/>
  <c r="FR43" i="9" s="1"/>
  <c r="FS43" i="9" s="1"/>
  <c r="FP33" i="9"/>
  <c r="FR33" i="9" s="1"/>
  <c r="FP23" i="9"/>
  <c r="FR23" i="9" s="1"/>
  <c r="FP15" i="9"/>
  <c r="FR15" i="9" s="1"/>
  <c r="FP72" i="9"/>
  <c r="FR72" i="9" s="1"/>
  <c r="FS72" i="9" s="1"/>
  <c r="FP62" i="9"/>
  <c r="FR62" i="9" s="1"/>
  <c r="FS62" i="9" s="1"/>
  <c r="FP54" i="9"/>
  <c r="FR54" i="9" s="1"/>
  <c r="FS54" i="9" s="1"/>
  <c r="FP44" i="9"/>
  <c r="FR44" i="9" s="1"/>
  <c r="FP34" i="9"/>
  <c r="FR34" i="9" s="1"/>
  <c r="FP24" i="9"/>
  <c r="FR24" i="9" s="1"/>
  <c r="FS24" i="9" s="1"/>
  <c r="FP16" i="9"/>
  <c r="FR16" i="9" s="1"/>
  <c r="FS16" i="9" s="1"/>
  <c r="FP75" i="9"/>
  <c r="FR75" i="9" s="1"/>
  <c r="FP63" i="9"/>
  <c r="FR63" i="9" s="1"/>
  <c r="FP55" i="9"/>
  <c r="FR55" i="9" s="1"/>
  <c r="FP45" i="9"/>
  <c r="FR45" i="9" s="1"/>
  <c r="FS45" i="9" s="1"/>
  <c r="FP35" i="9"/>
  <c r="FR35" i="9" s="1"/>
  <c r="FS35" i="9" s="1"/>
  <c r="FP25" i="9"/>
  <c r="FR25" i="9" s="1"/>
  <c r="FP17" i="9"/>
  <c r="FR17" i="9" s="1"/>
  <c r="FP76" i="9"/>
  <c r="FR76" i="9" s="1"/>
  <c r="FP66" i="9"/>
  <c r="FR66" i="9" s="1"/>
  <c r="FP56" i="9"/>
  <c r="FR56" i="9" s="1"/>
  <c r="FS56" i="9" s="1"/>
  <c r="FP46" i="9"/>
  <c r="FR46" i="9" s="1"/>
  <c r="FP36" i="9"/>
  <c r="FR36" i="9" s="1"/>
  <c r="FP26" i="9"/>
  <c r="FR26" i="9" s="1"/>
  <c r="FP18" i="9"/>
  <c r="FR18" i="9" s="1"/>
  <c r="FP77" i="9"/>
  <c r="FR77" i="9" s="1"/>
  <c r="FS77" i="9" s="1"/>
  <c r="FP67" i="9"/>
  <c r="FR67" i="9" s="1"/>
  <c r="FP57" i="9"/>
  <c r="FR57" i="9" s="1"/>
  <c r="FP47" i="9"/>
  <c r="FR47" i="9" s="1"/>
  <c r="FP37" i="9"/>
  <c r="FR37" i="9" s="1"/>
  <c r="FP27" i="9"/>
  <c r="FR27" i="9" s="1"/>
  <c r="FS27" i="9" s="1"/>
  <c r="FP19" i="9"/>
  <c r="FR19" i="9" s="1"/>
  <c r="FS19" i="9" s="1"/>
  <c r="EP450" i="9"/>
  <c r="CV281" i="9"/>
  <c r="DJ281" i="9"/>
  <c r="CV252" i="9"/>
  <c r="DJ252" i="9"/>
  <c r="CV30" i="9"/>
  <c r="DJ30" i="9"/>
  <c r="DN111" i="9"/>
  <c r="CV174" i="9"/>
  <c r="DJ174" i="9"/>
  <c r="CV193" i="9"/>
  <c r="DJ193" i="9"/>
  <c r="DN122" i="9"/>
  <c r="CV316" i="9"/>
  <c r="DJ316" i="9"/>
  <c r="CV53" i="9"/>
  <c r="DJ53" i="9"/>
  <c r="CV76" i="9"/>
  <c r="DJ76" i="9"/>
  <c r="CV264" i="9"/>
  <c r="DJ264" i="9"/>
  <c r="DN135" i="9"/>
  <c r="DN309" i="9"/>
  <c r="CV10" i="9"/>
  <c r="DJ10" i="9"/>
  <c r="CT370" i="9"/>
  <c r="CS348" i="9"/>
  <c r="CV81" i="9"/>
  <c r="DJ81" i="9"/>
  <c r="DN81" i="9" s="1"/>
  <c r="DN151" i="9"/>
  <c r="CV84" i="9"/>
  <c r="DJ84" i="9"/>
  <c r="CV78" i="9"/>
  <c r="DJ78" i="9"/>
  <c r="CV190" i="9"/>
  <c r="DJ190" i="9"/>
  <c r="CV96" i="9"/>
  <c r="DJ96" i="9"/>
  <c r="CV130" i="9"/>
  <c r="DJ130" i="9"/>
  <c r="CV60" i="9"/>
  <c r="DJ60" i="9"/>
  <c r="DN254" i="9"/>
  <c r="CV279" i="9"/>
  <c r="DJ279" i="9"/>
  <c r="CV5" i="9"/>
  <c r="CU320" i="9"/>
  <c r="DJ5" i="9"/>
  <c r="CS434" i="9"/>
  <c r="DC320" i="9"/>
  <c r="CV83" i="9"/>
  <c r="DJ83" i="9"/>
  <c r="CV238" i="9"/>
  <c r="DJ238" i="9"/>
  <c r="CV224" i="9"/>
  <c r="DJ224" i="9"/>
  <c r="CD382" i="9"/>
  <c r="CF385" i="9"/>
  <c r="CV265" i="9"/>
  <c r="DJ265" i="9"/>
  <c r="CV127" i="9"/>
  <c r="DJ127" i="9"/>
  <c r="DX370" i="9"/>
  <c r="DV370" i="9"/>
  <c r="DV394" i="9" s="1"/>
  <c r="EA449" i="9"/>
  <c r="EA448" i="9"/>
  <c r="CV239" i="9"/>
  <c r="DJ239" i="9"/>
  <c r="DN239" i="9" s="1"/>
  <c r="CJ332" i="9"/>
  <c r="DN79" i="9"/>
  <c r="CV185" i="9"/>
  <c r="DJ185" i="9"/>
  <c r="CV221" i="9"/>
  <c r="DJ221" i="9"/>
  <c r="CV305" i="9"/>
  <c r="DJ305" i="9"/>
  <c r="DN305" i="9" s="1"/>
  <c r="CV92" i="9"/>
  <c r="DJ92" i="9"/>
  <c r="DN55" i="9"/>
  <c r="ES306" i="9"/>
  <c r="FB306" i="9"/>
  <c r="EQ306" i="9"/>
  <c r="ET306" i="9"/>
  <c r="EX306" i="9"/>
  <c r="CV241" i="9"/>
  <c r="DJ241" i="9"/>
  <c r="DN176" i="9"/>
  <c r="DN42" i="9"/>
  <c r="DN21" i="9"/>
  <c r="CV105" i="9"/>
  <c r="DJ105" i="9"/>
  <c r="CV138" i="9"/>
  <c r="DJ138" i="9"/>
  <c r="DN251" i="9"/>
  <c r="CV140" i="9"/>
  <c r="DJ140" i="9"/>
  <c r="DN140" i="9" s="1"/>
  <c r="CV123" i="9"/>
  <c r="DJ123" i="9"/>
  <c r="CV255" i="9"/>
  <c r="DJ255" i="9"/>
  <c r="DN15" i="9"/>
  <c r="CV63" i="9"/>
  <c r="DJ63" i="9"/>
  <c r="DN312" i="9"/>
  <c r="CV232" i="9"/>
  <c r="DJ232" i="9"/>
  <c r="CV278" i="9"/>
  <c r="DJ278" i="9"/>
  <c r="DN134" i="9"/>
  <c r="CV229" i="9"/>
  <c r="DJ229" i="9"/>
  <c r="DN282" i="9"/>
  <c r="CV100" i="9"/>
  <c r="DJ100" i="9"/>
  <c r="CV17" i="9"/>
  <c r="DJ17" i="9"/>
  <c r="CV139" i="9"/>
  <c r="DJ139" i="9"/>
  <c r="DN172" i="9"/>
  <c r="EU179" i="9"/>
  <c r="FI179" i="9"/>
  <c r="FA324" i="9"/>
  <c r="FA348" i="9" s="1"/>
  <c r="DY475" i="9"/>
  <c r="EA476" i="9" s="1"/>
  <c r="EA474" i="9" s="1"/>
  <c r="EA454" i="9"/>
  <c r="EA452" i="9" s="1"/>
  <c r="EA459" i="9"/>
  <c r="EA458" i="9"/>
  <c r="DN206" i="9"/>
  <c r="CV14" i="9"/>
  <c r="DJ14" i="9"/>
  <c r="DN120" i="9"/>
  <c r="CV108" i="9"/>
  <c r="DJ108" i="9"/>
  <c r="CV36" i="9"/>
  <c r="DJ36" i="9"/>
  <c r="DN244" i="9"/>
  <c r="CV169" i="9"/>
  <c r="DJ169" i="9"/>
  <c r="CV233" i="9"/>
  <c r="DJ233" i="9"/>
  <c r="CV120" i="9"/>
  <c r="DJ120" i="9"/>
  <c r="CV7" i="9"/>
  <c r="DJ7" i="9"/>
  <c r="DN296" i="9"/>
  <c r="DN194" i="9"/>
  <c r="DN259" i="9"/>
  <c r="CV200" i="9"/>
  <c r="DJ200" i="9"/>
  <c r="DN37" i="9"/>
  <c r="CV182" i="9"/>
  <c r="DJ182" i="9"/>
  <c r="DN146" i="9"/>
  <c r="CV228" i="9"/>
  <c r="DJ228" i="9"/>
  <c r="CV245" i="9"/>
  <c r="DJ245" i="9"/>
  <c r="CV33" i="9"/>
  <c r="DJ33" i="9"/>
  <c r="CV214" i="9"/>
  <c r="DJ214" i="9"/>
  <c r="CV94" i="9"/>
  <c r="DJ94" i="9"/>
  <c r="CV13" i="9"/>
  <c r="DJ13" i="9"/>
  <c r="CV44" i="9"/>
  <c r="DJ44" i="9"/>
  <c r="CV161" i="9"/>
  <c r="DJ161" i="9"/>
  <c r="CV294" i="9"/>
  <c r="DJ294" i="9"/>
  <c r="CW320" i="9"/>
  <c r="CV144" i="9"/>
  <c r="DJ144" i="9"/>
  <c r="CY411" i="9"/>
  <c r="CY414" i="9"/>
  <c r="CT382" i="9"/>
  <c r="CT385" i="9"/>
  <c r="CV47" i="9"/>
  <c r="DJ47" i="9"/>
  <c r="CV302" i="9"/>
  <c r="DJ302" i="9"/>
  <c r="CV178" i="9"/>
  <c r="DJ178" i="9"/>
  <c r="CV250" i="9"/>
  <c r="DJ250" i="9"/>
  <c r="CV191" i="9"/>
  <c r="DJ191" i="9"/>
  <c r="CV121" i="9"/>
  <c r="DJ121" i="9"/>
  <c r="CV148" i="9"/>
  <c r="DJ148" i="9"/>
  <c r="EA464" i="9"/>
  <c r="EA463" i="9"/>
  <c r="EU197" i="9"/>
  <c r="FI197" i="9"/>
  <c r="DX5" i="9"/>
  <c r="DX320" i="9" s="1"/>
  <c r="DW320" i="9"/>
  <c r="DV320" i="9"/>
  <c r="DX378" i="9"/>
  <c r="CV162" i="9"/>
  <c r="DJ162" i="9"/>
  <c r="CV297" i="9"/>
  <c r="DJ297" i="9"/>
  <c r="CV99" i="9"/>
  <c r="DJ99" i="9"/>
  <c r="DN99" i="9" s="1"/>
  <c r="CV29" i="9"/>
  <c r="DJ29" i="9"/>
  <c r="DN29" i="9" s="1"/>
  <c r="CV86" i="9"/>
  <c r="DJ86" i="9"/>
  <c r="CT334" i="9"/>
  <c r="CT335" i="9"/>
  <c r="CT333" i="9"/>
  <c r="CY407" i="9"/>
  <c r="DC332" i="9"/>
  <c r="CV286" i="9"/>
  <c r="DJ286" i="9"/>
  <c r="CV152" i="9"/>
  <c r="DJ152" i="9"/>
  <c r="CV66" i="9"/>
  <c r="DJ66" i="9"/>
  <c r="CV160" i="9"/>
  <c r="DJ160" i="9"/>
  <c r="CV67" i="9"/>
  <c r="DJ67" i="9"/>
  <c r="CV23" i="9"/>
  <c r="DJ23" i="9"/>
  <c r="CV141" i="9"/>
  <c r="DJ141" i="9"/>
  <c r="CV195" i="9"/>
  <c r="DJ195" i="9"/>
  <c r="CV116" i="9"/>
  <c r="DJ116" i="9"/>
  <c r="CU376" i="9"/>
  <c r="DP404" i="9"/>
  <c r="DG375" i="9"/>
  <c r="DM375" i="9"/>
  <c r="DH329" i="9"/>
  <c r="DT329" i="9"/>
  <c r="DO404" i="9"/>
  <c r="DK375" i="9"/>
  <c r="DE375" i="9"/>
  <c r="DS329" i="9"/>
  <c r="DJ329" i="9"/>
  <c r="CA144" i="12"/>
  <c r="BS144" i="12"/>
  <c r="BU144" i="12"/>
  <c r="BX131" i="12"/>
  <c r="CC157" i="12"/>
  <c r="CD157" i="12"/>
  <c r="BY144" i="12"/>
  <c r="BV131" i="12"/>
  <c r="BV157" i="14"/>
  <c r="BV131" i="14"/>
  <c r="BU144" i="14"/>
  <c r="BS144" i="14"/>
  <c r="CC157" i="14"/>
  <c r="BX131" i="14"/>
  <c r="BY144" i="14"/>
  <c r="CD157" i="14"/>
  <c r="CA144" i="14"/>
  <c r="BI157" i="14"/>
  <c r="BI131" i="14"/>
  <c r="BH144" i="14"/>
  <c r="BP157" i="14"/>
  <c r="BK131" i="14"/>
  <c r="BL144" i="14"/>
  <c r="BQ157" i="14"/>
  <c r="BF144" i="14"/>
  <c r="BN144" i="14"/>
  <c r="CQ333" i="9"/>
  <c r="CR333" i="9" s="1"/>
  <c r="CR332" i="9" s="1"/>
  <c r="DB333" i="9"/>
  <c r="CP379" i="9"/>
  <c r="CS333" i="9"/>
  <c r="CX408" i="9"/>
  <c r="CN379" i="9"/>
  <c r="CY408" i="9"/>
  <c r="DC333" i="9"/>
  <c r="CT379" i="9"/>
  <c r="CV379" i="9"/>
  <c r="CQ337" i="9"/>
  <c r="CR337" i="9" s="1"/>
  <c r="CR336" i="9" s="1"/>
  <c r="DB337" i="9"/>
  <c r="CP383" i="9"/>
  <c r="CN383" i="9"/>
  <c r="CS337" i="9"/>
  <c r="CT337" i="9" s="1"/>
  <c r="CT336" i="9" s="1"/>
  <c r="CX412" i="9"/>
  <c r="DC337" i="9"/>
  <c r="DA337" i="9" s="1"/>
  <c r="CY412" i="9"/>
  <c r="CT383" i="9"/>
  <c r="CV383" i="9"/>
  <c r="CY404" i="9"/>
  <c r="CP375" i="9"/>
  <c r="CV375" i="9"/>
  <c r="CT375" i="9"/>
  <c r="DC329" i="9"/>
  <c r="CQ329" i="9"/>
  <c r="DB329" i="9"/>
  <c r="CX404" i="9"/>
  <c r="CN375" i="9"/>
  <c r="CS329" i="9"/>
  <c r="CQ157" i="12"/>
  <c r="CN144" i="12"/>
  <c r="CL144" i="12"/>
  <c r="CI131" i="12"/>
  <c r="CP157" i="12"/>
  <c r="CH144" i="12"/>
  <c r="CK131" i="12"/>
  <c r="CF144" i="12"/>
  <c r="DG388" i="9"/>
  <c r="DM388" i="9"/>
  <c r="DE388" i="9"/>
  <c r="DT342" i="9"/>
  <c r="DH342" i="9"/>
  <c r="DO417" i="9"/>
  <c r="DP417" i="9"/>
  <c r="DK388" i="9"/>
  <c r="DJ342" i="9"/>
  <c r="DS342" i="9"/>
  <c r="V39" i="2"/>
  <c r="BF145" i="12"/>
  <c r="BP158" i="12"/>
  <c r="BQ158" i="12"/>
  <c r="BL145" i="12"/>
  <c r="BK132" i="12"/>
  <c r="BI132" i="12"/>
  <c r="BN145" i="12"/>
  <c r="BH145" i="12"/>
  <c r="DH338" i="9"/>
  <c r="DI338" i="9" s="1"/>
  <c r="DS338" i="9"/>
  <c r="DG384" i="9"/>
  <c r="DO413" i="9"/>
  <c r="DE384" i="9"/>
  <c r="DJ338" i="9"/>
  <c r="DO405" i="9"/>
  <c r="DK376" i="9"/>
  <c r="DE376" i="9"/>
  <c r="DS330" i="9"/>
  <c r="DT330" i="9"/>
  <c r="DP405" i="9"/>
  <c r="DG376" i="9"/>
  <c r="DM376" i="9"/>
  <c r="DH330" i="9"/>
  <c r="DJ330" i="9"/>
  <c r="DH334" i="9"/>
  <c r="DI334" i="9" s="1"/>
  <c r="DS334" i="9"/>
  <c r="DO409" i="9"/>
  <c r="DE380" i="9"/>
  <c r="DG380" i="9"/>
  <c r="DJ334" i="9"/>
  <c r="CD375" i="9"/>
  <c r="CF378" i="9"/>
  <c r="BO382" i="9"/>
  <c r="DL387" i="9"/>
  <c r="DL389" i="9"/>
  <c r="AM145" i="14"/>
  <c r="AJ132" i="14"/>
  <c r="AJ130" i="14" s="1"/>
  <c r="CJ325" i="9"/>
  <c r="CJ324" i="9" s="1"/>
  <c r="CC325" i="9"/>
  <c r="CC324" i="9" s="1"/>
  <c r="CU377" i="9"/>
  <c r="CR326" i="9"/>
  <c r="AW131" i="14"/>
  <c r="AM145" i="12"/>
  <c r="CT327" i="9"/>
  <c r="AZ144" i="12"/>
  <c r="AM144" i="12"/>
  <c r="BI158" i="14"/>
  <c r="BI132" i="14"/>
  <c r="BQ158" i="14"/>
  <c r="BL145" i="14"/>
  <c r="BF145" i="14"/>
  <c r="BH145" i="14"/>
  <c r="BK132" i="14"/>
  <c r="BP158" i="14"/>
  <c r="BN145" i="14"/>
  <c r="DP406" i="9"/>
  <c r="DG377" i="9"/>
  <c r="DM377" i="9"/>
  <c r="DH331" i="9"/>
  <c r="DT331" i="9"/>
  <c r="DO406" i="9"/>
  <c r="DK377" i="9"/>
  <c r="DE377" i="9"/>
  <c r="DS331" i="9"/>
  <c r="DJ331" i="9"/>
  <c r="CD384" i="9"/>
  <c r="CF384" i="9"/>
  <c r="CF382" i="9" s="1"/>
  <c r="AZ145" i="14"/>
  <c r="AY132" i="14"/>
  <c r="AW132" i="14"/>
  <c r="AL132" i="14"/>
  <c r="AL130" i="14" s="1"/>
  <c r="CD371" i="9"/>
  <c r="CF371" i="9"/>
  <c r="CF370" i="9" s="1"/>
  <c r="CA325" i="9"/>
  <c r="CA324" i="9" s="1"/>
  <c r="DA326" i="9"/>
  <c r="CT326" i="9"/>
  <c r="BM144" i="12"/>
  <c r="AZ144" i="14"/>
  <c r="AY131" i="14"/>
  <c r="AZ145" i="12"/>
  <c r="DA327" i="9"/>
  <c r="CR327" i="9"/>
  <c r="BK41" i="13"/>
  <c r="BK34" i="13"/>
  <c r="BI35" i="13"/>
  <c r="BK36" i="13"/>
  <c r="BJ42" i="13"/>
  <c r="BI42" i="13"/>
  <c r="BK37" i="13"/>
  <c r="BJ45" i="13"/>
  <c r="BK42" i="13"/>
  <c r="BJ41" i="13"/>
  <c r="BK44" i="13"/>
  <c r="BJ32" i="13"/>
  <c r="BI44" i="13"/>
  <c r="BK39" i="13"/>
  <c r="BI38" i="13"/>
  <c r="BK33" i="13"/>
  <c r="BJ44" i="13"/>
  <c r="BI31" i="13"/>
  <c r="BK32" i="13"/>
  <c r="BI37" i="13"/>
  <c r="BK38" i="13"/>
  <c r="BI41" i="13"/>
  <c r="BJ33" i="13"/>
  <c r="BJ36" i="13"/>
  <c r="BI40" i="13"/>
  <c r="BJ31" i="13"/>
  <c r="BI34" i="13"/>
  <c r="BK10" i="13"/>
  <c r="BJ34" i="13"/>
  <c r="BI10" i="13"/>
  <c r="BJ10" i="13"/>
  <c r="BI32" i="13"/>
  <c r="BJ40" i="13"/>
  <c r="BI36" i="13"/>
  <c r="BK31" i="13"/>
  <c r="BJ39" i="13"/>
  <c r="BK40" i="13"/>
  <c r="BJ35" i="13"/>
  <c r="BI39" i="13"/>
  <c r="BK35" i="13"/>
  <c r="BJ38" i="13"/>
  <c r="BI45" i="13"/>
  <c r="AD34" i="2"/>
  <c r="AA13" i="2"/>
  <c r="AA24" i="2"/>
  <c r="V46" i="2"/>
  <c r="F9" i="17"/>
  <c r="F10" i="17" s="1"/>
  <c r="G8" i="17"/>
  <c r="X46" i="2"/>
  <c r="X39" i="2"/>
  <c r="Z24" i="2"/>
  <c r="AL26" i="2"/>
  <c r="AM26" i="2"/>
  <c r="AP26" i="2" s="1"/>
  <c r="AL28" i="2"/>
  <c r="AM28" i="2"/>
  <c r="AP28" i="2" s="1"/>
  <c r="AM52" i="2"/>
  <c r="AP52" i="2" s="1"/>
  <c r="AL52" i="2"/>
  <c r="AL38" i="2"/>
  <c r="AM38" i="2"/>
  <c r="AP38" i="2" s="1"/>
  <c r="AO7" i="2"/>
  <c r="FG470" i="9" s="1"/>
  <c r="AN6" i="2"/>
  <c r="FG459" i="9" s="1"/>
  <c r="AM5" i="2"/>
  <c r="I27" i="18" s="1"/>
  <c r="AL15" i="2"/>
  <c r="AN15" i="2"/>
  <c r="AP15" i="2" s="1"/>
  <c r="Z29" i="2"/>
  <c r="AL33" i="2"/>
  <c r="AM33" i="2"/>
  <c r="AP33" i="2" s="1"/>
  <c r="Z19" i="2"/>
  <c r="AD19" i="2"/>
  <c r="AB39" i="2"/>
  <c r="AB46" i="2"/>
  <c r="W145" i="12"/>
  <c r="W143" i="12" s="1"/>
  <c r="AC418" i="9"/>
  <c r="AE389" i="9"/>
  <c r="AC389" i="9" s="1"/>
  <c r="AB389" i="9" s="1"/>
  <c r="AB386" i="9" s="1"/>
  <c r="I29" i="2"/>
  <c r="AH414" i="9" s="1"/>
  <c r="DA339" i="9" l="1"/>
  <c r="EA462" i="9"/>
  <c r="FR332" i="9"/>
  <c r="EA447" i="9"/>
  <c r="DK116" i="9"/>
  <c r="DT116" i="9"/>
  <c r="DI116" i="9"/>
  <c r="DL116" i="9"/>
  <c r="DP116" i="9"/>
  <c r="DI195" i="9"/>
  <c r="DK195" i="9"/>
  <c r="DT195" i="9"/>
  <c r="DP195" i="9"/>
  <c r="DL195" i="9"/>
  <c r="DT141" i="9"/>
  <c r="DI141" i="9"/>
  <c r="DK141" i="9"/>
  <c r="DL141" i="9"/>
  <c r="DP141" i="9"/>
  <c r="DN23" i="9"/>
  <c r="DK23" i="9"/>
  <c r="DT23" i="9"/>
  <c r="DI23" i="9"/>
  <c r="DP23" i="9"/>
  <c r="DL23" i="9"/>
  <c r="DK67" i="9"/>
  <c r="DT67" i="9"/>
  <c r="DI67" i="9"/>
  <c r="DL67" i="9"/>
  <c r="DP67" i="9"/>
  <c r="DI160" i="9"/>
  <c r="DK160" i="9"/>
  <c r="DT160" i="9"/>
  <c r="DL160" i="9"/>
  <c r="DP160" i="9"/>
  <c r="DI66" i="9"/>
  <c r="DK66" i="9"/>
  <c r="DT66" i="9"/>
  <c r="DL66" i="9"/>
  <c r="DP66" i="9"/>
  <c r="DN152" i="9"/>
  <c r="DT152" i="9"/>
  <c r="DI152" i="9"/>
  <c r="DK152" i="9"/>
  <c r="DP152" i="9"/>
  <c r="DL152" i="9"/>
  <c r="DI286" i="9"/>
  <c r="DK286" i="9"/>
  <c r="DT286" i="9"/>
  <c r="DP286" i="9"/>
  <c r="DL286" i="9"/>
  <c r="DA334" i="9"/>
  <c r="DA335" i="9"/>
  <c r="DA333" i="9"/>
  <c r="CT332" i="9"/>
  <c r="DI250" i="9"/>
  <c r="DT250" i="9"/>
  <c r="DK250" i="9"/>
  <c r="DL250" i="9"/>
  <c r="DP250" i="9"/>
  <c r="DN250" i="9"/>
  <c r="DK302" i="9"/>
  <c r="DT302" i="9"/>
  <c r="DI302" i="9"/>
  <c r="DL302" i="9"/>
  <c r="DP302" i="9"/>
  <c r="DN47" i="9"/>
  <c r="DT47" i="9"/>
  <c r="DI47" i="9"/>
  <c r="DK47" i="9"/>
  <c r="DP47" i="9"/>
  <c r="DL47" i="9"/>
  <c r="DN144" i="9"/>
  <c r="DT144" i="9"/>
  <c r="DI144" i="9"/>
  <c r="DK144" i="9"/>
  <c r="DP144" i="9"/>
  <c r="DL144" i="9"/>
  <c r="DK161" i="9"/>
  <c r="DT161" i="9"/>
  <c r="DI161" i="9"/>
  <c r="DL161" i="9"/>
  <c r="DP161" i="9"/>
  <c r="DN161" i="9"/>
  <c r="DT13" i="9"/>
  <c r="DI13" i="9"/>
  <c r="DK13" i="9"/>
  <c r="DP13" i="9"/>
  <c r="DL13" i="9"/>
  <c r="DN13" i="9"/>
  <c r="DK214" i="9"/>
  <c r="DT214" i="9"/>
  <c r="DI214" i="9"/>
  <c r="DP214" i="9"/>
  <c r="DL214" i="9"/>
  <c r="DT33" i="9"/>
  <c r="DI33" i="9"/>
  <c r="DK33" i="9"/>
  <c r="DL33" i="9"/>
  <c r="DP33" i="9"/>
  <c r="DT245" i="9"/>
  <c r="DK245" i="9"/>
  <c r="DI245" i="9"/>
  <c r="DL245" i="9"/>
  <c r="DP245" i="9"/>
  <c r="DI228" i="9"/>
  <c r="DK228" i="9"/>
  <c r="DT228" i="9"/>
  <c r="DP228" i="9"/>
  <c r="DL228" i="9"/>
  <c r="DT7" i="9"/>
  <c r="DI7" i="9"/>
  <c r="DK7" i="9"/>
  <c r="DL7" i="9"/>
  <c r="DP7" i="9"/>
  <c r="DN7" i="9"/>
  <c r="DI120" i="9"/>
  <c r="DK120" i="9"/>
  <c r="DT120" i="9"/>
  <c r="DP120" i="9"/>
  <c r="DL120" i="9"/>
  <c r="DK233" i="9"/>
  <c r="DT233" i="9"/>
  <c r="DI233" i="9"/>
  <c r="DL233" i="9"/>
  <c r="DP233" i="9"/>
  <c r="DN233" i="9"/>
  <c r="DK36" i="9"/>
  <c r="DT36" i="9"/>
  <c r="DI36" i="9"/>
  <c r="DP36" i="9"/>
  <c r="DL36" i="9"/>
  <c r="DN36" i="9"/>
  <c r="DI108" i="9"/>
  <c r="DK108" i="9"/>
  <c r="DT108" i="9"/>
  <c r="DL108" i="9"/>
  <c r="DP108" i="9"/>
  <c r="DN108" i="9"/>
  <c r="DT14" i="9"/>
  <c r="DI14" i="9"/>
  <c r="DK14" i="9"/>
  <c r="DL14" i="9"/>
  <c r="DP14" i="9"/>
  <c r="DN14" i="9"/>
  <c r="EA457" i="9"/>
  <c r="FG463" i="9"/>
  <c r="FS179" i="9"/>
  <c r="FH179" i="9"/>
  <c r="FJ179" i="9"/>
  <c r="FK179" i="9"/>
  <c r="FL179" i="9" s="1"/>
  <c r="FO179" i="9"/>
  <c r="FM179" i="9"/>
  <c r="DT17" i="9"/>
  <c r="DI17" i="9"/>
  <c r="DK17" i="9"/>
  <c r="DL17" i="9"/>
  <c r="DP17" i="9"/>
  <c r="DI100" i="9"/>
  <c r="DK100" i="9"/>
  <c r="DT100" i="9"/>
  <c r="DL100" i="9"/>
  <c r="DP100" i="9"/>
  <c r="DN100" i="9"/>
  <c r="DT278" i="9"/>
  <c r="DK278" i="9"/>
  <c r="DI278" i="9"/>
  <c r="DP278" i="9"/>
  <c r="DL278" i="9"/>
  <c r="DN278" i="9"/>
  <c r="DK232" i="9"/>
  <c r="DT232" i="9"/>
  <c r="DI232" i="9"/>
  <c r="DP232" i="9"/>
  <c r="DL232" i="9"/>
  <c r="DN232" i="9"/>
  <c r="DT63" i="9"/>
  <c r="DI63" i="9"/>
  <c r="DK63" i="9"/>
  <c r="DL63" i="9"/>
  <c r="DP63" i="9"/>
  <c r="DK138" i="9"/>
  <c r="DT138" i="9"/>
  <c r="DI138" i="9"/>
  <c r="DL138" i="9"/>
  <c r="DP138" i="9"/>
  <c r="DN138" i="9"/>
  <c r="EU306" i="9"/>
  <c r="FI306" i="9"/>
  <c r="DX394" i="9"/>
  <c r="DK224" i="9"/>
  <c r="DT224" i="9"/>
  <c r="DI224" i="9"/>
  <c r="DP224" i="9"/>
  <c r="DL224" i="9"/>
  <c r="DI238" i="9"/>
  <c r="DK238" i="9"/>
  <c r="DT238" i="9"/>
  <c r="DL238" i="9"/>
  <c r="DP238" i="9"/>
  <c r="DN238" i="9"/>
  <c r="DT60" i="9"/>
  <c r="DI60" i="9"/>
  <c r="DK60" i="9"/>
  <c r="DP60" i="9"/>
  <c r="DL60" i="9"/>
  <c r="DI130" i="9"/>
  <c r="DK130" i="9"/>
  <c r="DT130" i="9"/>
  <c r="DL130" i="9"/>
  <c r="DP130" i="9"/>
  <c r="DI96" i="9"/>
  <c r="DK96" i="9"/>
  <c r="DT96" i="9"/>
  <c r="DP96" i="9"/>
  <c r="DL96" i="9"/>
  <c r="DN96" i="9"/>
  <c r="CQ478" i="9"/>
  <c r="CS442" i="9"/>
  <c r="DJ324" i="9"/>
  <c r="DK10" i="9"/>
  <c r="DT10" i="9"/>
  <c r="DI10" i="9"/>
  <c r="DP10" i="9"/>
  <c r="DL10" i="9"/>
  <c r="DT264" i="9"/>
  <c r="DK264" i="9"/>
  <c r="DI264" i="9"/>
  <c r="DP264" i="9"/>
  <c r="DL264" i="9"/>
  <c r="DN264" i="9"/>
  <c r="DK53" i="9"/>
  <c r="DT53" i="9"/>
  <c r="DI53" i="9"/>
  <c r="DL53" i="9"/>
  <c r="DP53" i="9"/>
  <c r="DN53" i="9"/>
  <c r="DI316" i="9"/>
  <c r="DK316" i="9"/>
  <c r="DT316" i="9"/>
  <c r="DP316" i="9"/>
  <c r="DL316" i="9"/>
  <c r="DN316" i="9"/>
  <c r="DT30" i="9"/>
  <c r="DI30" i="9"/>
  <c r="DK30" i="9"/>
  <c r="DP30" i="9"/>
  <c r="DL30" i="9"/>
  <c r="DN30" i="9"/>
  <c r="FR324" i="9"/>
  <c r="EW399" i="9"/>
  <c r="EN320" i="9"/>
  <c r="EO5" i="9"/>
  <c r="EO320" i="9" s="1"/>
  <c r="ER455" i="9"/>
  <c r="EP476" i="9"/>
  <c r="DK192" i="9"/>
  <c r="DT192" i="9"/>
  <c r="DI192" i="9"/>
  <c r="DL192" i="9"/>
  <c r="DP192" i="9"/>
  <c r="DN192" i="9"/>
  <c r="DI128" i="9"/>
  <c r="DK128" i="9"/>
  <c r="DT128" i="9"/>
  <c r="DL128" i="9"/>
  <c r="DP128" i="9"/>
  <c r="DN128" i="9"/>
  <c r="DI248" i="9"/>
  <c r="DT248" i="9"/>
  <c r="DK248" i="9"/>
  <c r="DL248" i="9"/>
  <c r="DP248" i="9"/>
  <c r="DN248" i="9"/>
  <c r="DK22" i="9"/>
  <c r="DT22" i="9"/>
  <c r="DI22" i="9"/>
  <c r="DP22" i="9"/>
  <c r="DL22" i="9"/>
  <c r="DN22" i="9"/>
  <c r="DK181" i="9"/>
  <c r="DT181" i="9"/>
  <c r="DI181" i="9"/>
  <c r="DL181" i="9"/>
  <c r="DP181" i="9"/>
  <c r="DN181" i="9"/>
  <c r="DK147" i="9"/>
  <c r="DT147" i="9"/>
  <c r="DI147" i="9"/>
  <c r="DP147" i="9"/>
  <c r="DL147" i="9"/>
  <c r="DK240" i="9"/>
  <c r="DT240" i="9"/>
  <c r="DI240" i="9"/>
  <c r="DP240" i="9"/>
  <c r="DL240" i="9"/>
  <c r="DK284" i="9"/>
  <c r="DT284" i="9"/>
  <c r="DI284" i="9"/>
  <c r="DL284" i="9"/>
  <c r="DP284" i="9"/>
  <c r="DN284" i="9"/>
  <c r="DN310" i="9"/>
  <c r="DK310" i="9"/>
  <c r="DT310" i="9"/>
  <c r="DI310" i="9"/>
  <c r="DL310" i="9"/>
  <c r="DP310" i="9"/>
  <c r="DI82" i="9"/>
  <c r="DK82" i="9"/>
  <c r="DT82" i="9"/>
  <c r="DL82" i="9"/>
  <c r="DP82" i="9"/>
  <c r="DK288" i="9"/>
  <c r="DT288" i="9"/>
  <c r="DI288" i="9"/>
  <c r="DL288" i="9"/>
  <c r="DP288" i="9"/>
  <c r="DN147" i="9"/>
  <c r="DK165" i="9"/>
  <c r="DT165" i="9"/>
  <c r="DI165" i="9"/>
  <c r="DL165" i="9"/>
  <c r="DP165" i="9"/>
  <c r="DI203" i="9"/>
  <c r="DK203" i="9"/>
  <c r="DT203" i="9"/>
  <c r="DP203" i="9"/>
  <c r="DL203" i="9"/>
  <c r="DN203" i="9"/>
  <c r="DK145" i="9"/>
  <c r="DT145" i="9"/>
  <c r="DI145" i="9"/>
  <c r="DP145" i="9"/>
  <c r="DL145" i="9"/>
  <c r="DN145" i="9"/>
  <c r="DI276" i="9"/>
  <c r="DT276" i="9"/>
  <c r="DK276" i="9"/>
  <c r="DL276" i="9"/>
  <c r="DP276" i="9"/>
  <c r="DN276" i="9"/>
  <c r="ER449" i="9"/>
  <c r="ER448" i="9"/>
  <c r="DI244" i="9"/>
  <c r="DK244" i="9"/>
  <c r="DT244" i="9"/>
  <c r="DL244" i="9"/>
  <c r="DP244" i="9"/>
  <c r="DK189" i="9"/>
  <c r="DT189" i="9"/>
  <c r="DI189" i="9"/>
  <c r="DL189" i="9"/>
  <c r="DP189" i="9"/>
  <c r="DN189" i="9"/>
  <c r="DT9" i="9"/>
  <c r="DI9" i="9"/>
  <c r="DK9" i="9"/>
  <c r="DL9" i="9"/>
  <c r="DP9" i="9"/>
  <c r="DJ332" i="9"/>
  <c r="DJ335" i="9"/>
  <c r="DK118" i="9"/>
  <c r="DT118" i="9"/>
  <c r="DI118" i="9"/>
  <c r="DL118" i="9"/>
  <c r="DP118" i="9"/>
  <c r="DK74" i="9"/>
  <c r="DT74" i="9"/>
  <c r="DI74" i="9"/>
  <c r="DL74" i="9"/>
  <c r="DP74" i="9"/>
  <c r="DK222" i="9"/>
  <c r="DT222" i="9"/>
  <c r="DI222" i="9"/>
  <c r="DP222" i="9"/>
  <c r="DL222" i="9"/>
  <c r="DI259" i="9"/>
  <c r="DT259" i="9"/>
  <c r="DK259" i="9"/>
  <c r="DL259" i="9"/>
  <c r="DP259" i="9"/>
  <c r="DT156" i="9"/>
  <c r="DI156" i="9"/>
  <c r="DK156" i="9"/>
  <c r="DL156" i="9"/>
  <c r="DP156" i="9"/>
  <c r="DN302" i="9"/>
  <c r="CV382" i="9"/>
  <c r="CV385" i="9"/>
  <c r="CU385" i="9" s="1"/>
  <c r="CV384" i="9"/>
  <c r="CU384" i="9" s="1"/>
  <c r="DI196" i="9"/>
  <c r="DK196" i="9"/>
  <c r="DT196" i="9"/>
  <c r="DL196" i="9"/>
  <c r="DP196" i="9"/>
  <c r="DT153" i="9"/>
  <c r="DI153" i="9"/>
  <c r="DK153" i="9"/>
  <c r="DL153" i="9"/>
  <c r="DP153" i="9"/>
  <c r="DN153" i="9"/>
  <c r="DK212" i="9"/>
  <c r="DT212" i="9"/>
  <c r="DI212" i="9"/>
  <c r="DL212" i="9"/>
  <c r="DP212" i="9"/>
  <c r="DK170" i="9"/>
  <c r="DT170" i="9"/>
  <c r="DI170" i="9"/>
  <c r="DP170" i="9"/>
  <c r="DL170" i="9"/>
  <c r="DN33" i="9"/>
  <c r="DI317" i="9"/>
  <c r="DK317" i="9"/>
  <c r="DT317" i="9"/>
  <c r="DP317" i="9"/>
  <c r="DL317" i="9"/>
  <c r="DN317" i="9"/>
  <c r="DI90" i="9"/>
  <c r="DK90" i="9"/>
  <c r="DT90" i="9"/>
  <c r="DL90" i="9"/>
  <c r="DP90" i="9"/>
  <c r="DN90" i="9"/>
  <c r="DN57" i="9"/>
  <c r="DT57" i="9"/>
  <c r="DI57" i="9"/>
  <c r="DK57" i="9"/>
  <c r="DP57" i="9"/>
  <c r="DL57" i="9"/>
  <c r="DN141" i="9"/>
  <c r="DI102" i="9"/>
  <c r="DK102" i="9"/>
  <c r="DT102" i="9"/>
  <c r="DL102" i="9"/>
  <c r="DP102" i="9"/>
  <c r="DN102" i="9"/>
  <c r="DT206" i="9"/>
  <c r="DI206" i="9"/>
  <c r="DK206" i="9"/>
  <c r="DL206" i="9"/>
  <c r="DP206" i="9"/>
  <c r="DI157" i="9"/>
  <c r="DK157" i="9"/>
  <c r="DT157" i="9"/>
  <c r="DP157" i="9"/>
  <c r="DL157" i="9"/>
  <c r="DN157" i="9"/>
  <c r="FG448" i="9"/>
  <c r="FG464" i="9"/>
  <c r="DT277" i="9"/>
  <c r="DK277" i="9"/>
  <c r="DI277" i="9"/>
  <c r="DP277" i="9"/>
  <c r="DL277" i="9"/>
  <c r="DN277" i="9"/>
  <c r="DN156" i="9"/>
  <c r="DK282" i="9"/>
  <c r="DT282" i="9"/>
  <c r="DI282" i="9"/>
  <c r="DL282" i="9"/>
  <c r="DP282" i="9"/>
  <c r="DT50" i="9"/>
  <c r="DI50" i="9"/>
  <c r="DK50" i="9"/>
  <c r="DL50" i="9"/>
  <c r="DP50" i="9"/>
  <c r="DN50" i="9"/>
  <c r="DI312" i="9"/>
  <c r="DK312" i="9"/>
  <c r="DT312" i="9"/>
  <c r="DP312" i="9"/>
  <c r="DL312" i="9"/>
  <c r="DT34" i="9"/>
  <c r="DI34" i="9"/>
  <c r="DK34" i="9"/>
  <c r="DL34" i="9"/>
  <c r="DP34" i="9"/>
  <c r="DN34" i="9"/>
  <c r="DN63" i="9"/>
  <c r="DT21" i="9"/>
  <c r="DI21" i="9"/>
  <c r="DK21" i="9"/>
  <c r="DL21" i="9"/>
  <c r="DP21" i="9"/>
  <c r="DT42" i="9"/>
  <c r="DI42" i="9"/>
  <c r="DK42" i="9"/>
  <c r="DP42" i="9"/>
  <c r="DL42" i="9"/>
  <c r="DI176" i="9"/>
  <c r="DK176" i="9"/>
  <c r="DT176" i="9"/>
  <c r="DL176" i="9"/>
  <c r="DP176" i="9"/>
  <c r="DN286" i="9"/>
  <c r="DI247" i="9"/>
  <c r="DT247" i="9"/>
  <c r="DK247" i="9"/>
  <c r="DL247" i="9"/>
  <c r="DP247" i="9"/>
  <c r="DN247" i="9"/>
  <c r="DI98" i="9"/>
  <c r="DK98" i="9"/>
  <c r="DT98" i="9"/>
  <c r="DP98" i="9"/>
  <c r="DL98" i="9"/>
  <c r="DN98" i="9"/>
  <c r="DK159" i="9"/>
  <c r="DT159" i="9"/>
  <c r="DI159" i="9"/>
  <c r="DL159" i="9"/>
  <c r="DP159" i="9"/>
  <c r="DN159" i="9"/>
  <c r="DK46" i="9"/>
  <c r="DT46" i="9"/>
  <c r="DI46" i="9"/>
  <c r="DL46" i="9"/>
  <c r="DP46" i="9"/>
  <c r="DN46" i="9"/>
  <c r="ER464" i="9"/>
  <c r="ER463" i="9"/>
  <c r="DK106" i="9"/>
  <c r="DT106" i="9"/>
  <c r="DI106" i="9"/>
  <c r="DP106" i="9"/>
  <c r="DL106" i="9"/>
  <c r="DN106" i="9"/>
  <c r="CR442" i="9"/>
  <c r="DK12" i="9"/>
  <c r="DT12" i="9"/>
  <c r="DI12" i="9"/>
  <c r="DL12" i="9"/>
  <c r="DP12" i="9"/>
  <c r="DH335" i="9"/>
  <c r="DI335" i="9" s="1"/>
  <c r="DO410" i="9"/>
  <c r="DG381" i="9"/>
  <c r="DS335" i="9"/>
  <c r="DE381" i="9"/>
  <c r="DI202" i="9"/>
  <c r="DK202" i="9"/>
  <c r="DT202" i="9"/>
  <c r="DP202" i="9"/>
  <c r="DL202" i="9"/>
  <c r="DK208" i="9"/>
  <c r="DT208" i="9"/>
  <c r="DI208" i="9"/>
  <c r="DL208" i="9"/>
  <c r="DP208" i="9"/>
  <c r="DN208" i="9"/>
  <c r="CY423" i="9"/>
  <c r="CV320" i="9"/>
  <c r="DI226" i="9"/>
  <c r="DK226" i="9"/>
  <c r="DT226" i="9"/>
  <c r="DL226" i="9"/>
  <c r="DP226" i="9"/>
  <c r="DN226" i="9"/>
  <c r="DK52" i="9"/>
  <c r="DT52" i="9"/>
  <c r="DI52" i="9"/>
  <c r="DL52" i="9"/>
  <c r="DP52" i="9"/>
  <c r="DN52" i="9"/>
  <c r="DI290" i="9"/>
  <c r="DK290" i="9"/>
  <c r="DT290" i="9"/>
  <c r="DP290" i="9"/>
  <c r="DL290" i="9"/>
  <c r="DN290" i="9"/>
  <c r="DI257" i="9"/>
  <c r="DT257" i="9"/>
  <c r="DK257" i="9"/>
  <c r="DP257" i="9"/>
  <c r="DL257" i="9"/>
  <c r="DI272" i="9"/>
  <c r="DT272" i="9"/>
  <c r="DK272" i="9"/>
  <c r="DL272" i="9"/>
  <c r="DP272" i="9"/>
  <c r="DN272" i="9"/>
  <c r="DI110" i="9"/>
  <c r="DK110" i="9"/>
  <c r="DT110" i="9"/>
  <c r="DP110" i="9"/>
  <c r="DL110" i="9"/>
  <c r="DN110" i="9"/>
  <c r="DK319" i="9"/>
  <c r="DT319" i="9"/>
  <c r="DI319" i="9"/>
  <c r="DL319" i="9"/>
  <c r="DP319" i="9"/>
  <c r="DN319" i="9"/>
  <c r="DI246" i="9"/>
  <c r="DT246" i="9"/>
  <c r="DK246" i="9"/>
  <c r="DL246" i="9"/>
  <c r="DP246" i="9"/>
  <c r="DN246" i="9"/>
  <c r="DI314" i="9"/>
  <c r="DK314" i="9"/>
  <c r="DT314" i="9"/>
  <c r="DP314" i="9"/>
  <c r="DL314" i="9"/>
  <c r="DN314" i="9"/>
  <c r="FN8" i="9"/>
  <c r="FE8" i="9"/>
  <c r="FF8" i="9" s="1"/>
  <c r="FD8" i="9"/>
  <c r="FN12" i="9"/>
  <c r="FE12" i="9"/>
  <c r="FF12" i="9" s="1"/>
  <c r="FD12" i="9"/>
  <c r="FD16" i="9"/>
  <c r="FN16" i="9"/>
  <c r="FE16" i="9"/>
  <c r="FF16" i="9" s="1"/>
  <c r="FN20" i="9"/>
  <c r="FE20" i="9"/>
  <c r="FF20" i="9" s="1"/>
  <c r="FD20" i="9"/>
  <c r="FN24" i="9"/>
  <c r="FE24" i="9"/>
  <c r="FF24" i="9" s="1"/>
  <c r="FD24" i="9"/>
  <c r="FD28" i="9"/>
  <c r="FN28" i="9"/>
  <c r="FE28" i="9"/>
  <c r="FF28" i="9" s="1"/>
  <c r="FN32" i="9"/>
  <c r="FE32" i="9"/>
  <c r="FF32" i="9" s="1"/>
  <c r="FD32" i="9"/>
  <c r="FD36" i="9"/>
  <c r="FN36" i="9"/>
  <c r="FE36" i="9"/>
  <c r="FF36" i="9" s="1"/>
  <c r="FD40" i="9"/>
  <c r="FN40" i="9"/>
  <c r="FE40" i="9"/>
  <c r="FF40" i="9" s="1"/>
  <c r="FN44" i="9"/>
  <c r="FE44" i="9"/>
  <c r="FF44" i="9" s="1"/>
  <c r="FD44" i="9"/>
  <c r="FN48" i="9"/>
  <c r="FE48" i="9"/>
  <c r="FF48" i="9" s="1"/>
  <c r="FD48" i="9"/>
  <c r="FD52" i="9"/>
  <c r="FN52" i="9"/>
  <c r="FE52" i="9"/>
  <c r="FF52" i="9" s="1"/>
  <c r="FN56" i="9"/>
  <c r="FE56" i="9"/>
  <c r="FF56" i="9" s="1"/>
  <c r="FD56" i="9"/>
  <c r="FD60" i="9"/>
  <c r="FN60" i="9"/>
  <c r="FE60" i="9"/>
  <c r="FF60" i="9" s="1"/>
  <c r="FD64" i="9"/>
  <c r="FN64" i="9"/>
  <c r="FE64" i="9"/>
  <c r="FF64" i="9" s="1"/>
  <c r="FE68" i="9"/>
  <c r="FF68" i="9" s="1"/>
  <c r="FD68" i="9"/>
  <c r="FN68" i="9"/>
  <c r="FN72" i="9"/>
  <c r="FE72" i="9"/>
  <c r="FF72" i="9" s="1"/>
  <c r="FD72" i="9"/>
  <c r="FE76" i="9"/>
  <c r="FF76" i="9" s="1"/>
  <c r="FD76" i="9"/>
  <c r="FN76" i="9"/>
  <c r="FE80" i="9"/>
  <c r="FF80" i="9" s="1"/>
  <c r="FD80" i="9"/>
  <c r="FN80" i="9"/>
  <c r="FN84" i="9"/>
  <c r="FE84" i="9"/>
  <c r="FF84" i="9" s="1"/>
  <c r="FD84" i="9"/>
  <c r="FE88" i="9"/>
  <c r="FF88" i="9" s="1"/>
  <c r="FD88" i="9"/>
  <c r="FN88" i="9"/>
  <c r="FN92" i="9"/>
  <c r="FE92" i="9"/>
  <c r="FF92" i="9" s="1"/>
  <c r="FD92" i="9"/>
  <c r="FN96" i="9"/>
  <c r="FE96" i="9"/>
  <c r="FF96" i="9" s="1"/>
  <c r="FD96" i="9"/>
  <c r="FE100" i="9"/>
  <c r="FF100" i="9" s="1"/>
  <c r="FD100" i="9"/>
  <c r="FN100" i="9"/>
  <c r="FN104" i="9"/>
  <c r="FE104" i="9"/>
  <c r="FF104" i="9" s="1"/>
  <c r="FD104" i="9"/>
  <c r="FN108" i="9"/>
  <c r="FE108" i="9"/>
  <c r="FF108" i="9" s="1"/>
  <c r="FD108" i="9"/>
  <c r="FE112" i="9"/>
  <c r="FF112" i="9" s="1"/>
  <c r="FD112" i="9"/>
  <c r="FN112" i="9"/>
  <c r="FN116" i="9"/>
  <c r="FE116" i="9"/>
  <c r="FF116" i="9" s="1"/>
  <c r="FD116" i="9"/>
  <c r="FE120" i="9"/>
  <c r="FF120" i="9" s="1"/>
  <c r="FD120" i="9"/>
  <c r="FN120" i="9"/>
  <c r="FE124" i="9"/>
  <c r="FF124" i="9" s="1"/>
  <c r="FD124" i="9"/>
  <c r="FN124" i="9"/>
  <c r="FN128" i="9"/>
  <c r="FE128" i="9"/>
  <c r="FF128" i="9" s="1"/>
  <c r="FD128" i="9"/>
  <c r="FN132" i="9"/>
  <c r="FE132" i="9"/>
  <c r="FF132" i="9" s="1"/>
  <c r="FD132" i="9"/>
  <c r="FN136" i="9"/>
  <c r="FE136" i="9"/>
  <c r="FF136" i="9" s="1"/>
  <c r="FD136" i="9"/>
  <c r="FD140" i="9"/>
  <c r="FN140" i="9"/>
  <c r="FE140" i="9"/>
  <c r="FF140" i="9" s="1"/>
  <c r="FD144" i="9"/>
  <c r="FN144" i="9"/>
  <c r="FE144" i="9"/>
  <c r="FF144" i="9" s="1"/>
  <c r="FN148" i="9"/>
  <c r="FE148" i="9"/>
  <c r="FF148" i="9" s="1"/>
  <c r="FD148" i="9"/>
  <c r="FD152" i="9"/>
  <c r="FN152" i="9"/>
  <c r="FE152" i="9"/>
  <c r="FF152" i="9" s="1"/>
  <c r="FD156" i="9"/>
  <c r="FN156" i="9"/>
  <c r="FE156" i="9"/>
  <c r="FF156" i="9" s="1"/>
  <c r="FE160" i="9"/>
  <c r="FF160" i="9" s="1"/>
  <c r="FD160" i="9"/>
  <c r="FN160" i="9"/>
  <c r="FN164" i="9"/>
  <c r="FE164" i="9"/>
  <c r="FF164" i="9" s="1"/>
  <c r="FD164" i="9"/>
  <c r="FE168" i="9"/>
  <c r="FF168" i="9" s="1"/>
  <c r="FD168" i="9"/>
  <c r="FN168" i="9"/>
  <c r="FN172" i="9"/>
  <c r="FE172" i="9"/>
  <c r="FF172" i="9" s="1"/>
  <c r="FD172" i="9"/>
  <c r="FN176" i="9"/>
  <c r="FE176" i="9"/>
  <c r="FF176" i="9" s="1"/>
  <c r="FD176" i="9"/>
  <c r="FE180" i="9"/>
  <c r="FF180" i="9" s="1"/>
  <c r="FD180" i="9"/>
  <c r="FN180" i="9"/>
  <c r="FN184" i="9"/>
  <c r="FE184" i="9"/>
  <c r="FF184" i="9" s="1"/>
  <c r="FD184" i="9"/>
  <c r="FE188" i="9"/>
  <c r="FF188" i="9" s="1"/>
  <c r="FD188" i="9"/>
  <c r="FN188" i="9"/>
  <c r="FE192" i="9"/>
  <c r="FF192" i="9" s="1"/>
  <c r="FD192" i="9"/>
  <c r="FN192" i="9"/>
  <c r="FN196" i="9"/>
  <c r="FE196" i="9"/>
  <c r="FF196" i="9" s="1"/>
  <c r="FD196" i="9"/>
  <c r="FE200" i="9"/>
  <c r="FF200" i="9" s="1"/>
  <c r="FD200" i="9"/>
  <c r="FN200" i="9"/>
  <c r="FN204" i="9"/>
  <c r="FE204" i="9"/>
  <c r="FF204" i="9" s="1"/>
  <c r="FD204" i="9"/>
  <c r="FD208" i="9"/>
  <c r="FN208" i="9"/>
  <c r="FE208" i="9"/>
  <c r="FF208" i="9" s="1"/>
  <c r="FN212" i="9"/>
  <c r="FE212" i="9"/>
  <c r="FF212" i="9" s="1"/>
  <c r="FD212" i="9"/>
  <c r="FD216" i="9"/>
  <c r="FN216" i="9"/>
  <c r="FE216" i="9"/>
  <c r="FF216" i="9" s="1"/>
  <c r="FN220" i="9"/>
  <c r="FE220" i="9"/>
  <c r="FF220" i="9" s="1"/>
  <c r="FD220" i="9"/>
  <c r="FN247" i="9"/>
  <c r="FE247" i="9"/>
  <c r="FF247" i="9" s="1"/>
  <c r="FD247" i="9"/>
  <c r="FD251" i="9"/>
  <c r="FN251" i="9"/>
  <c r="FE251" i="9"/>
  <c r="FF251" i="9" s="1"/>
  <c r="FN255" i="9"/>
  <c r="FE255" i="9"/>
  <c r="FF255" i="9" s="1"/>
  <c r="FD255" i="9"/>
  <c r="FN259" i="9"/>
  <c r="FE259" i="9"/>
  <c r="FF259" i="9" s="1"/>
  <c r="FD259" i="9"/>
  <c r="FD263" i="9"/>
  <c r="FN263" i="9"/>
  <c r="FE263" i="9"/>
  <c r="FF263" i="9" s="1"/>
  <c r="FN267" i="9"/>
  <c r="FE267" i="9"/>
  <c r="FF267" i="9" s="1"/>
  <c r="FD267" i="9"/>
  <c r="FD271" i="9"/>
  <c r="FN271" i="9"/>
  <c r="FE271" i="9"/>
  <c r="FF271" i="9" s="1"/>
  <c r="FD275" i="9"/>
  <c r="FN275" i="9"/>
  <c r="FE275" i="9"/>
  <c r="FF275" i="9" s="1"/>
  <c r="FE222" i="9"/>
  <c r="FF222" i="9" s="1"/>
  <c r="FD222" i="9"/>
  <c r="FN222" i="9"/>
  <c r="FE226" i="9"/>
  <c r="FF226" i="9" s="1"/>
  <c r="FD226" i="9"/>
  <c r="FN226" i="9"/>
  <c r="FN230" i="9"/>
  <c r="FE230" i="9"/>
  <c r="FF230" i="9" s="1"/>
  <c r="FD230" i="9"/>
  <c r="FE234" i="9"/>
  <c r="FF234" i="9" s="1"/>
  <c r="FD234" i="9"/>
  <c r="FN234" i="9"/>
  <c r="FN238" i="9"/>
  <c r="FE238" i="9"/>
  <c r="FF238" i="9" s="1"/>
  <c r="FD238" i="9"/>
  <c r="FE242" i="9"/>
  <c r="FF242" i="9" s="1"/>
  <c r="FD242" i="9"/>
  <c r="FN242" i="9"/>
  <c r="FE280" i="9"/>
  <c r="FF280" i="9" s="1"/>
  <c r="FN280" i="9"/>
  <c r="FD280" i="9"/>
  <c r="FD284" i="9"/>
  <c r="FE284" i="9"/>
  <c r="FF284" i="9" s="1"/>
  <c r="FN284" i="9"/>
  <c r="FE288" i="9"/>
  <c r="FF288" i="9" s="1"/>
  <c r="FN288" i="9"/>
  <c r="FD288" i="9"/>
  <c r="FD292" i="9"/>
  <c r="FE292" i="9"/>
  <c r="FF292" i="9" s="1"/>
  <c r="FN292" i="9"/>
  <c r="FD296" i="9"/>
  <c r="FE296" i="9"/>
  <c r="FF296" i="9" s="1"/>
  <c r="FN296" i="9"/>
  <c r="FE300" i="9"/>
  <c r="FF300" i="9" s="1"/>
  <c r="FN300" i="9"/>
  <c r="FD300" i="9"/>
  <c r="FD304" i="9"/>
  <c r="FE304" i="9"/>
  <c r="FF304" i="9" s="1"/>
  <c r="FN304" i="9"/>
  <c r="FE308" i="9"/>
  <c r="FF308" i="9" s="1"/>
  <c r="FN308" i="9"/>
  <c r="FD308" i="9"/>
  <c r="FD312" i="9"/>
  <c r="FE312" i="9"/>
  <c r="FF312" i="9" s="1"/>
  <c r="FN312" i="9"/>
  <c r="FN316" i="9"/>
  <c r="FE316" i="9"/>
  <c r="FF316" i="9" s="1"/>
  <c r="FD316" i="9"/>
  <c r="FN5" i="9"/>
  <c r="FE5" i="9"/>
  <c r="FC320" i="9"/>
  <c r="FD5" i="9"/>
  <c r="FN9" i="9"/>
  <c r="FE9" i="9"/>
  <c r="FF9" i="9" s="1"/>
  <c r="FD9" i="9"/>
  <c r="FN13" i="9"/>
  <c r="FE13" i="9"/>
  <c r="FF13" i="9" s="1"/>
  <c r="FD13" i="9"/>
  <c r="FN17" i="9"/>
  <c r="FE17" i="9"/>
  <c r="FF17" i="9" s="1"/>
  <c r="FD17" i="9"/>
  <c r="FN21" i="9"/>
  <c r="FE21" i="9"/>
  <c r="FF21" i="9" s="1"/>
  <c r="FD21" i="9"/>
  <c r="FN25" i="9"/>
  <c r="FE25" i="9"/>
  <c r="FF25" i="9" s="1"/>
  <c r="FD25" i="9"/>
  <c r="FN29" i="9"/>
  <c r="FE29" i="9"/>
  <c r="FF29" i="9" s="1"/>
  <c r="FD29" i="9"/>
  <c r="FN33" i="9"/>
  <c r="FE33" i="9"/>
  <c r="FF33" i="9" s="1"/>
  <c r="FD33" i="9"/>
  <c r="FN37" i="9"/>
  <c r="FE37" i="9"/>
  <c r="FF37" i="9" s="1"/>
  <c r="FD37" i="9"/>
  <c r="FN41" i="9"/>
  <c r="FE41" i="9"/>
  <c r="FF41" i="9" s="1"/>
  <c r="FD41" i="9"/>
  <c r="FN45" i="9"/>
  <c r="FE45" i="9"/>
  <c r="FF45" i="9" s="1"/>
  <c r="FD45" i="9"/>
  <c r="FN49" i="9"/>
  <c r="FE49" i="9"/>
  <c r="FF49" i="9" s="1"/>
  <c r="FD49" i="9"/>
  <c r="FN53" i="9"/>
  <c r="FE53" i="9"/>
  <c r="FF53" i="9" s="1"/>
  <c r="FD53" i="9"/>
  <c r="FN57" i="9"/>
  <c r="FE57" i="9"/>
  <c r="FF57" i="9" s="1"/>
  <c r="FD57" i="9"/>
  <c r="FN61" i="9"/>
  <c r="FE61" i="9"/>
  <c r="FF61" i="9" s="1"/>
  <c r="FD61" i="9"/>
  <c r="FE65" i="9"/>
  <c r="FF65" i="9" s="1"/>
  <c r="FD65" i="9"/>
  <c r="FN65" i="9"/>
  <c r="FE69" i="9"/>
  <c r="FF69" i="9" s="1"/>
  <c r="FD69" i="9"/>
  <c r="FN69" i="9"/>
  <c r="FE73" i="9"/>
  <c r="FF73" i="9" s="1"/>
  <c r="FD73" i="9"/>
  <c r="FN73" i="9"/>
  <c r="FE77" i="9"/>
  <c r="FF77" i="9" s="1"/>
  <c r="FD77" i="9"/>
  <c r="FN77" i="9"/>
  <c r="FE81" i="9"/>
  <c r="FF81" i="9" s="1"/>
  <c r="FD81" i="9"/>
  <c r="FN81" i="9"/>
  <c r="FE85" i="9"/>
  <c r="FF85" i="9" s="1"/>
  <c r="FD85" i="9"/>
  <c r="FN85" i="9"/>
  <c r="FE89" i="9"/>
  <c r="FF89" i="9" s="1"/>
  <c r="FD89" i="9"/>
  <c r="FN89" i="9"/>
  <c r="FE93" i="9"/>
  <c r="FF93" i="9" s="1"/>
  <c r="FD93" i="9"/>
  <c r="FN93" i="9"/>
  <c r="FE97" i="9"/>
  <c r="FF97" i="9" s="1"/>
  <c r="FD97" i="9"/>
  <c r="FN97" i="9"/>
  <c r="FE101" i="9"/>
  <c r="FF101" i="9" s="1"/>
  <c r="FD101" i="9"/>
  <c r="FN101" i="9"/>
  <c r="FE105" i="9"/>
  <c r="FF105" i="9" s="1"/>
  <c r="FD105" i="9"/>
  <c r="FN105" i="9"/>
  <c r="FE109" i="9"/>
  <c r="FF109" i="9" s="1"/>
  <c r="FD109" i="9"/>
  <c r="FN109" i="9"/>
  <c r="FE113" i="9"/>
  <c r="FF113" i="9" s="1"/>
  <c r="FD113" i="9"/>
  <c r="FN113" i="9"/>
  <c r="FE117" i="9"/>
  <c r="FF117" i="9" s="1"/>
  <c r="FD117" i="9"/>
  <c r="FN117" i="9"/>
  <c r="FE121" i="9"/>
  <c r="FF121" i="9" s="1"/>
  <c r="FD121" i="9"/>
  <c r="FN121" i="9"/>
  <c r="FE125" i="9"/>
  <c r="FF125" i="9" s="1"/>
  <c r="FD125" i="9"/>
  <c r="FN125" i="9"/>
  <c r="FE129" i="9"/>
  <c r="FF129" i="9" s="1"/>
  <c r="FD129" i="9"/>
  <c r="FN129" i="9"/>
  <c r="FN133" i="9"/>
  <c r="FE133" i="9"/>
  <c r="FF133" i="9" s="1"/>
  <c r="FD133" i="9"/>
  <c r="FN137" i="9"/>
  <c r="FE137" i="9"/>
  <c r="FF137" i="9" s="1"/>
  <c r="FD137" i="9"/>
  <c r="FN141" i="9"/>
  <c r="FE141" i="9"/>
  <c r="FF141" i="9" s="1"/>
  <c r="FD141" i="9"/>
  <c r="FN145" i="9"/>
  <c r="FE145" i="9"/>
  <c r="FF145" i="9" s="1"/>
  <c r="FD145" i="9"/>
  <c r="FN149" i="9"/>
  <c r="FE149" i="9"/>
  <c r="FF149" i="9" s="1"/>
  <c r="FD149" i="9"/>
  <c r="FN153" i="9"/>
  <c r="FE153" i="9"/>
  <c r="FF153" i="9" s="1"/>
  <c r="FD153" i="9"/>
  <c r="FE157" i="9"/>
  <c r="FF157" i="9" s="1"/>
  <c r="FD157" i="9"/>
  <c r="FN157" i="9"/>
  <c r="FE161" i="9"/>
  <c r="FF161" i="9" s="1"/>
  <c r="FD161" i="9"/>
  <c r="FN161" i="9"/>
  <c r="FE165" i="9"/>
  <c r="FF165" i="9" s="1"/>
  <c r="FD165" i="9"/>
  <c r="FN165" i="9"/>
  <c r="FE169" i="9"/>
  <c r="FF169" i="9" s="1"/>
  <c r="FD169" i="9"/>
  <c r="FN169" i="9"/>
  <c r="FE173" i="9"/>
  <c r="FF173" i="9" s="1"/>
  <c r="FD173" i="9"/>
  <c r="FN173" i="9"/>
  <c r="FE177" i="9"/>
  <c r="FF177" i="9" s="1"/>
  <c r="FD177" i="9"/>
  <c r="FN177" i="9"/>
  <c r="FE181" i="9"/>
  <c r="FF181" i="9" s="1"/>
  <c r="FD181" i="9"/>
  <c r="FN181" i="9"/>
  <c r="FE185" i="9"/>
  <c r="FF185" i="9" s="1"/>
  <c r="FD185" i="9"/>
  <c r="FN185" i="9"/>
  <c r="FE189" i="9"/>
  <c r="FF189" i="9" s="1"/>
  <c r="FD189" i="9"/>
  <c r="FN189" i="9"/>
  <c r="FE193" i="9"/>
  <c r="FF193" i="9" s="1"/>
  <c r="FD193" i="9"/>
  <c r="FN193" i="9"/>
  <c r="FE197" i="9"/>
  <c r="FF197" i="9" s="1"/>
  <c r="FD197" i="9"/>
  <c r="FN197" i="9"/>
  <c r="FE201" i="9"/>
  <c r="FF201" i="9" s="1"/>
  <c r="FD201" i="9"/>
  <c r="FN201" i="9"/>
  <c r="FN205" i="9"/>
  <c r="FE205" i="9"/>
  <c r="FF205" i="9" s="1"/>
  <c r="FD205" i="9"/>
  <c r="FN209" i="9"/>
  <c r="FE209" i="9"/>
  <c r="FF209" i="9" s="1"/>
  <c r="FD209" i="9"/>
  <c r="FN213" i="9"/>
  <c r="FE213" i="9"/>
  <c r="FF213" i="9" s="1"/>
  <c r="FD213" i="9"/>
  <c r="FN217" i="9"/>
  <c r="FE217" i="9"/>
  <c r="FF217" i="9" s="1"/>
  <c r="FD217" i="9"/>
  <c r="FN244" i="9"/>
  <c r="FE244" i="9"/>
  <c r="FF244" i="9" s="1"/>
  <c r="FD244" i="9"/>
  <c r="FN248" i="9"/>
  <c r="FE248" i="9"/>
  <c r="FF248" i="9" s="1"/>
  <c r="FD248" i="9"/>
  <c r="FN252" i="9"/>
  <c r="FE252" i="9"/>
  <c r="FF252" i="9" s="1"/>
  <c r="FD252" i="9"/>
  <c r="FN256" i="9"/>
  <c r="FE256" i="9"/>
  <c r="FF256" i="9" s="1"/>
  <c r="FD256" i="9"/>
  <c r="FN260" i="9"/>
  <c r="FE260" i="9"/>
  <c r="FF260" i="9" s="1"/>
  <c r="FD260" i="9"/>
  <c r="FN264" i="9"/>
  <c r="FE264" i="9"/>
  <c r="FF264" i="9" s="1"/>
  <c r="FD264" i="9"/>
  <c r="FN268" i="9"/>
  <c r="FE268" i="9"/>
  <c r="FF268" i="9" s="1"/>
  <c r="FD268" i="9"/>
  <c r="FN272" i="9"/>
  <c r="FE272" i="9"/>
  <c r="FF272" i="9" s="1"/>
  <c r="FD272" i="9"/>
  <c r="FN276" i="9"/>
  <c r="FE276" i="9"/>
  <c r="FF276" i="9" s="1"/>
  <c r="FD276" i="9"/>
  <c r="FE223" i="9"/>
  <c r="FF223" i="9" s="1"/>
  <c r="FD223" i="9"/>
  <c r="FN223" i="9"/>
  <c r="FE227" i="9"/>
  <c r="FF227" i="9" s="1"/>
  <c r="FD227" i="9"/>
  <c r="FN227" i="9"/>
  <c r="FE231" i="9"/>
  <c r="FF231" i="9" s="1"/>
  <c r="FD231" i="9"/>
  <c r="FN231" i="9"/>
  <c r="FE235" i="9"/>
  <c r="FF235" i="9" s="1"/>
  <c r="FD235" i="9"/>
  <c r="FN235" i="9"/>
  <c r="FE239" i="9"/>
  <c r="FF239" i="9" s="1"/>
  <c r="FD239" i="9"/>
  <c r="FN239" i="9"/>
  <c r="FE243" i="9"/>
  <c r="FF243" i="9" s="1"/>
  <c r="FD243" i="9"/>
  <c r="FN243" i="9"/>
  <c r="FE281" i="9"/>
  <c r="FF281" i="9" s="1"/>
  <c r="FN281" i="9"/>
  <c r="FD281" i="9"/>
  <c r="FE285" i="9"/>
  <c r="FF285" i="9" s="1"/>
  <c r="FN285" i="9"/>
  <c r="FD285" i="9"/>
  <c r="FE289" i="9"/>
  <c r="FF289" i="9" s="1"/>
  <c r="FN289" i="9"/>
  <c r="FD289" i="9"/>
  <c r="FE293" i="9"/>
  <c r="FF293" i="9" s="1"/>
  <c r="FN293" i="9"/>
  <c r="FD293" i="9"/>
  <c r="FE297" i="9"/>
  <c r="FF297" i="9" s="1"/>
  <c r="FN297" i="9"/>
  <c r="FD297" i="9"/>
  <c r="FE301" i="9"/>
  <c r="FF301" i="9" s="1"/>
  <c r="FN301" i="9"/>
  <c r="FD301" i="9"/>
  <c r="FE305" i="9"/>
  <c r="FF305" i="9" s="1"/>
  <c r="FN305" i="9"/>
  <c r="FD305" i="9"/>
  <c r="FE309" i="9"/>
  <c r="FF309" i="9" s="1"/>
  <c r="FN309" i="9"/>
  <c r="FD309" i="9"/>
  <c r="FE313" i="9"/>
  <c r="FF313" i="9" s="1"/>
  <c r="FD313" i="9"/>
  <c r="FN313" i="9"/>
  <c r="FE317" i="9"/>
  <c r="FF317" i="9" s="1"/>
  <c r="FD317" i="9"/>
  <c r="FN317" i="9"/>
  <c r="FG454" i="9"/>
  <c r="FG460" i="9"/>
  <c r="FI460" i="9" s="1"/>
  <c r="FG455" i="9"/>
  <c r="FG473" i="9" s="1"/>
  <c r="FG474" i="9" s="1"/>
  <c r="FI475" i="9" s="1"/>
  <c r="FG468" i="9"/>
  <c r="FI469" i="9" s="1"/>
  <c r="EO378" i="9"/>
  <c r="EO382" i="9"/>
  <c r="ER460" i="9"/>
  <c r="DT217" i="9"/>
  <c r="DI217" i="9"/>
  <c r="DK217" i="9"/>
  <c r="DL217" i="9"/>
  <c r="DP217" i="9"/>
  <c r="DK304" i="9"/>
  <c r="DT304" i="9"/>
  <c r="DI304" i="9"/>
  <c r="DL304" i="9"/>
  <c r="DP304" i="9"/>
  <c r="DN304" i="9"/>
  <c r="DN196" i="9"/>
  <c r="DN240" i="9"/>
  <c r="DK71" i="9"/>
  <c r="DT71" i="9"/>
  <c r="DI71" i="9"/>
  <c r="DP71" i="9"/>
  <c r="DL71" i="9"/>
  <c r="DK236" i="9"/>
  <c r="DT236" i="9"/>
  <c r="DI236" i="9"/>
  <c r="DP236" i="9"/>
  <c r="DL236" i="9"/>
  <c r="DN214" i="9"/>
  <c r="DT263" i="9"/>
  <c r="DK263" i="9"/>
  <c r="DI263" i="9"/>
  <c r="DP263" i="9"/>
  <c r="DL263" i="9"/>
  <c r="DN263" i="9"/>
  <c r="DI318" i="9"/>
  <c r="DK318" i="9"/>
  <c r="DT318" i="9"/>
  <c r="DP318" i="9"/>
  <c r="DL318" i="9"/>
  <c r="DI299" i="9"/>
  <c r="DK299" i="9"/>
  <c r="DT299" i="9"/>
  <c r="DP299" i="9"/>
  <c r="DL299" i="9"/>
  <c r="DI68" i="9"/>
  <c r="DK68" i="9"/>
  <c r="DT68" i="9"/>
  <c r="DP68" i="9"/>
  <c r="DL68" i="9"/>
  <c r="DN82" i="9"/>
  <c r="DN288" i="9"/>
  <c r="DK207" i="9"/>
  <c r="DT207" i="9"/>
  <c r="DI207" i="9"/>
  <c r="DP207" i="9"/>
  <c r="DL207" i="9"/>
  <c r="DN207" i="9"/>
  <c r="DN165" i="9"/>
  <c r="DA336" i="9"/>
  <c r="DK86" i="9"/>
  <c r="DT86" i="9"/>
  <c r="DI86" i="9"/>
  <c r="DP86" i="9"/>
  <c r="DL86" i="9"/>
  <c r="DK29" i="9"/>
  <c r="DT29" i="9"/>
  <c r="DI29" i="9"/>
  <c r="DP29" i="9"/>
  <c r="DL29" i="9"/>
  <c r="DK99" i="9"/>
  <c r="DT99" i="9"/>
  <c r="DI99" i="9"/>
  <c r="DL99" i="9"/>
  <c r="DP99" i="9"/>
  <c r="DK297" i="9"/>
  <c r="DT297" i="9"/>
  <c r="DI297" i="9"/>
  <c r="DL297" i="9"/>
  <c r="DP297" i="9"/>
  <c r="DI162" i="9"/>
  <c r="DK162" i="9"/>
  <c r="DT162" i="9"/>
  <c r="DP162" i="9"/>
  <c r="DL162" i="9"/>
  <c r="FJ197" i="9"/>
  <c r="FS197" i="9"/>
  <c r="FH197" i="9"/>
  <c r="FO197" i="9"/>
  <c r="FK197" i="9"/>
  <c r="FL197" i="9" s="1"/>
  <c r="DT148" i="9"/>
  <c r="DI148" i="9"/>
  <c r="DK148" i="9"/>
  <c r="DP148" i="9"/>
  <c r="DL148" i="9"/>
  <c r="DN121" i="9"/>
  <c r="DI121" i="9"/>
  <c r="DK121" i="9"/>
  <c r="DT121" i="9"/>
  <c r="DP121" i="9"/>
  <c r="DL121" i="9"/>
  <c r="DK191" i="9"/>
  <c r="DT191" i="9"/>
  <c r="DI191" i="9"/>
  <c r="DL191" i="9"/>
  <c r="DP191" i="9"/>
  <c r="DN191" i="9"/>
  <c r="DI178" i="9"/>
  <c r="DK178" i="9"/>
  <c r="DT178" i="9"/>
  <c r="DP178" i="9"/>
  <c r="DL178" i="9"/>
  <c r="DN178" i="9"/>
  <c r="DI294" i="9"/>
  <c r="DK294" i="9"/>
  <c r="DT294" i="9"/>
  <c r="DP294" i="9"/>
  <c r="DL294" i="9"/>
  <c r="DN294" i="9"/>
  <c r="DK44" i="9"/>
  <c r="DT44" i="9"/>
  <c r="DI44" i="9"/>
  <c r="DL44" i="9"/>
  <c r="DP44" i="9"/>
  <c r="DN44" i="9"/>
  <c r="DK94" i="9"/>
  <c r="DT94" i="9"/>
  <c r="DI94" i="9"/>
  <c r="DP94" i="9"/>
  <c r="DL94" i="9"/>
  <c r="DN94" i="9"/>
  <c r="DK182" i="9"/>
  <c r="DT182" i="9"/>
  <c r="DI182" i="9"/>
  <c r="DP182" i="9"/>
  <c r="DL182" i="9"/>
  <c r="DN182" i="9"/>
  <c r="DI200" i="9"/>
  <c r="DK200" i="9"/>
  <c r="DT200" i="9"/>
  <c r="DL200" i="9"/>
  <c r="DP200" i="9"/>
  <c r="DI169" i="9"/>
  <c r="DK169" i="9"/>
  <c r="DT169" i="9"/>
  <c r="DP169" i="9"/>
  <c r="DL169" i="9"/>
  <c r="DN169" i="9"/>
  <c r="FG450" i="9"/>
  <c r="DT139" i="9"/>
  <c r="DI139" i="9"/>
  <c r="DK139" i="9"/>
  <c r="DL139" i="9"/>
  <c r="DP139" i="9"/>
  <c r="DN139" i="9"/>
  <c r="DN229" i="9"/>
  <c r="DK229" i="9"/>
  <c r="DT229" i="9"/>
  <c r="DI229" i="9"/>
  <c r="DL229" i="9"/>
  <c r="DP229" i="9"/>
  <c r="DI255" i="9"/>
  <c r="DT255" i="9"/>
  <c r="DK255" i="9"/>
  <c r="DP255" i="9"/>
  <c r="DL255" i="9"/>
  <c r="DN255" i="9"/>
  <c r="DI123" i="9"/>
  <c r="DK123" i="9"/>
  <c r="DT123" i="9"/>
  <c r="DL123" i="9"/>
  <c r="DP123" i="9"/>
  <c r="DK140" i="9"/>
  <c r="DT140" i="9"/>
  <c r="DI140" i="9"/>
  <c r="DL140" i="9"/>
  <c r="DP140" i="9"/>
  <c r="DI105" i="9"/>
  <c r="DK105" i="9"/>
  <c r="DT105" i="9"/>
  <c r="DL105" i="9"/>
  <c r="DP105" i="9"/>
  <c r="DN105" i="9"/>
  <c r="DI241" i="9"/>
  <c r="DK241" i="9"/>
  <c r="DT241" i="9"/>
  <c r="DP241" i="9"/>
  <c r="DL241" i="9"/>
  <c r="DN241" i="9"/>
  <c r="DK92" i="9"/>
  <c r="DT92" i="9"/>
  <c r="DI92" i="9"/>
  <c r="DL92" i="9"/>
  <c r="DP92" i="9"/>
  <c r="DN92" i="9"/>
  <c r="DI305" i="9"/>
  <c r="DK305" i="9"/>
  <c r="DT305" i="9"/>
  <c r="DL305" i="9"/>
  <c r="DP305" i="9"/>
  <c r="DK221" i="9"/>
  <c r="DT221" i="9"/>
  <c r="DI221" i="9"/>
  <c r="DP221" i="9"/>
  <c r="DL221" i="9"/>
  <c r="DK185" i="9"/>
  <c r="DT185" i="9"/>
  <c r="DI185" i="9"/>
  <c r="DL185" i="9"/>
  <c r="DP185" i="9"/>
  <c r="DN185" i="9"/>
  <c r="DK239" i="9"/>
  <c r="DT239" i="9"/>
  <c r="DI239" i="9"/>
  <c r="DL239" i="9"/>
  <c r="DP239" i="9"/>
  <c r="DK127" i="9"/>
  <c r="DT127" i="9"/>
  <c r="DI127" i="9"/>
  <c r="DP127" i="9"/>
  <c r="DL127" i="9"/>
  <c r="DT265" i="9"/>
  <c r="DK265" i="9"/>
  <c r="DI265" i="9"/>
  <c r="DP265" i="9"/>
  <c r="DL265" i="9"/>
  <c r="DN265" i="9"/>
  <c r="DI83" i="9"/>
  <c r="DK83" i="9"/>
  <c r="DT83" i="9"/>
  <c r="DP83" i="9"/>
  <c r="DL83" i="9"/>
  <c r="DN83" i="9"/>
  <c r="DN5" i="9"/>
  <c r="DT5" i="9"/>
  <c r="DI5" i="9"/>
  <c r="DK5" i="9"/>
  <c r="DJ320" i="9"/>
  <c r="DJ433" i="9"/>
  <c r="DP5" i="9"/>
  <c r="DL5" i="9"/>
  <c r="DK279" i="9"/>
  <c r="DT279" i="9"/>
  <c r="DI279" i="9"/>
  <c r="DL279" i="9"/>
  <c r="DP279" i="9"/>
  <c r="DN279" i="9"/>
  <c r="DK190" i="9"/>
  <c r="DT190" i="9"/>
  <c r="DI190" i="9"/>
  <c r="DP190" i="9"/>
  <c r="DL190" i="9"/>
  <c r="DN190" i="9"/>
  <c r="DN78" i="9"/>
  <c r="DK78" i="9"/>
  <c r="DT78" i="9"/>
  <c r="DI78" i="9"/>
  <c r="DP78" i="9"/>
  <c r="DL78" i="9"/>
  <c r="DK84" i="9"/>
  <c r="DT84" i="9"/>
  <c r="DI84" i="9"/>
  <c r="DL84" i="9"/>
  <c r="DP84" i="9"/>
  <c r="DN84" i="9"/>
  <c r="DK81" i="9"/>
  <c r="DT81" i="9"/>
  <c r="DI81" i="9"/>
  <c r="DP81" i="9"/>
  <c r="DL81" i="9"/>
  <c r="CT394" i="9"/>
  <c r="CV370" i="9"/>
  <c r="CV372" i="9"/>
  <c r="CU372" i="9" s="1"/>
  <c r="CV373" i="9"/>
  <c r="CU373" i="9" s="1"/>
  <c r="DK76" i="9"/>
  <c r="DT76" i="9"/>
  <c r="DI76" i="9"/>
  <c r="DP76" i="9"/>
  <c r="DL76" i="9"/>
  <c r="DN76" i="9"/>
  <c r="DN160" i="9"/>
  <c r="DI193" i="9"/>
  <c r="DK193" i="9"/>
  <c r="DT193" i="9"/>
  <c r="DP193" i="9"/>
  <c r="DL193" i="9"/>
  <c r="DI174" i="9"/>
  <c r="DK174" i="9"/>
  <c r="DT174" i="9"/>
  <c r="DL174" i="9"/>
  <c r="DP174" i="9"/>
  <c r="DN174" i="9"/>
  <c r="DN297" i="9"/>
  <c r="DT252" i="9"/>
  <c r="DK252" i="9"/>
  <c r="DI252" i="9"/>
  <c r="DP252" i="9"/>
  <c r="DL252" i="9"/>
  <c r="DN252" i="9"/>
  <c r="DI281" i="9"/>
  <c r="DK281" i="9"/>
  <c r="DT281" i="9"/>
  <c r="DL281" i="9"/>
  <c r="DP281" i="9"/>
  <c r="DN281" i="9"/>
  <c r="FR336" i="9"/>
  <c r="FR320" i="9"/>
  <c r="EM370" i="9"/>
  <c r="EO370" i="9"/>
  <c r="EO394" i="9" s="1"/>
  <c r="EW320" i="9"/>
  <c r="EM320" i="9"/>
  <c r="FH300" i="9"/>
  <c r="FS300" i="9"/>
  <c r="FJ300" i="9"/>
  <c r="FO300" i="9"/>
  <c r="FK300" i="9"/>
  <c r="FL300" i="9" s="1"/>
  <c r="DN148" i="9"/>
  <c r="DT25" i="9"/>
  <c r="DI25" i="9"/>
  <c r="DK25" i="9"/>
  <c r="DL25" i="9"/>
  <c r="DP25" i="9"/>
  <c r="DN25" i="9"/>
  <c r="DI234" i="9"/>
  <c r="DK234" i="9"/>
  <c r="DT234" i="9"/>
  <c r="DL234" i="9"/>
  <c r="DP234" i="9"/>
  <c r="DN234" i="9"/>
  <c r="DI274" i="9"/>
  <c r="DT274" i="9"/>
  <c r="DK274" i="9"/>
  <c r="DL274" i="9"/>
  <c r="DP274" i="9"/>
  <c r="DN274" i="9"/>
  <c r="DI301" i="9"/>
  <c r="DK301" i="9"/>
  <c r="DT301" i="9"/>
  <c r="DP301" i="9"/>
  <c r="DL301" i="9"/>
  <c r="DN301" i="9"/>
  <c r="DK150" i="9"/>
  <c r="DT150" i="9"/>
  <c r="DI150" i="9"/>
  <c r="DL150" i="9"/>
  <c r="DP150" i="9"/>
  <c r="DT146" i="9"/>
  <c r="DI146" i="9"/>
  <c r="DK146" i="9"/>
  <c r="DP146" i="9"/>
  <c r="DL146" i="9"/>
  <c r="DK164" i="9"/>
  <c r="DT164" i="9"/>
  <c r="DI164" i="9"/>
  <c r="DL164" i="9"/>
  <c r="DP164" i="9"/>
  <c r="DT154" i="9"/>
  <c r="DI154" i="9"/>
  <c r="DK154" i="9"/>
  <c r="DP154" i="9"/>
  <c r="DL154" i="9"/>
  <c r="DK28" i="9"/>
  <c r="DT28" i="9"/>
  <c r="DI28" i="9"/>
  <c r="DL28" i="9"/>
  <c r="DP28" i="9"/>
  <c r="DN66" i="9"/>
  <c r="CV378" i="9"/>
  <c r="CV380" i="9"/>
  <c r="CU380" i="9" s="1"/>
  <c r="CV381" i="9"/>
  <c r="CU381" i="9" s="1"/>
  <c r="DI313" i="9"/>
  <c r="DK313" i="9"/>
  <c r="DT313" i="9"/>
  <c r="DL313" i="9"/>
  <c r="DP313" i="9"/>
  <c r="DN195" i="9"/>
  <c r="FM197" i="9"/>
  <c r="DJ336" i="9"/>
  <c r="DK338" i="9" s="1"/>
  <c r="DI75" i="9"/>
  <c r="DK75" i="9"/>
  <c r="DT75" i="9"/>
  <c r="DP75" i="9"/>
  <c r="DL75" i="9"/>
  <c r="DN67" i="9"/>
  <c r="DT151" i="9"/>
  <c r="DI151" i="9"/>
  <c r="DK151" i="9"/>
  <c r="DL151" i="9"/>
  <c r="DP151" i="9"/>
  <c r="DK173" i="9"/>
  <c r="DT173" i="9"/>
  <c r="DI173" i="9"/>
  <c r="DL173" i="9"/>
  <c r="DP173" i="9"/>
  <c r="DN173" i="9"/>
  <c r="DK291" i="9"/>
  <c r="DT291" i="9"/>
  <c r="DI291" i="9"/>
  <c r="DP291" i="9"/>
  <c r="DL291" i="9"/>
  <c r="DN245" i="9"/>
  <c r="DN228" i="9"/>
  <c r="CD394" i="9"/>
  <c r="DT37" i="9"/>
  <c r="DI37" i="9"/>
  <c r="DK37" i="9"/>
  <c r="DL37" i="9"/>
  <c r="DP37" i="9"/>
  <c r="DI183" i="9"/>
  <c r="DK183" i="9"/>
  <c r="DT183" i="9"/>
  <c r="DP183" i="9"/>
  <c r="DL183" i="9"/>
  <c r="DN183" i="9"/>
  <c r="DI194" i="9"/>
  <c r="DK194" i="9"/>
  <c r="DT194" i="9"/>
  <c r="DL194" i="9"/>
  <c r="DP194" i="9"/>
  <c r="DI296" i="9"/>
  <c r="DK296" i="9"/>
  <c r="DT296" i="9"/>
  <c r="DP296" i="9"/>
  <c r="DL296" i="9"/>
  <c r="DN86" i="9"/>
  <c r="DN213" i="9"/>
  <c r="DK213" i="9"/>
  <c r="DT213" i="9"/>
  <c r="DI213" i="9"/>
  <c r="DP213" i="9"/>
  <c r="DL213" i="9"/>
  <c r="DI122" i="9"/>
  <c r="DK122" i="9"/>
  <c r="DT122" i="9"/>
  <c r="DL122" i="9"/>
  <c r="DP122" i="9"/>
  <c r="DN9" i="9"/>
  <c r="DI188" i="9"/>
  <c r="DK188" i="9"/>
  <c r="DT188" i="9"/>
  <c r="DL188" i="9"/>
  <c r="DP188" i="9"/>
  <c r="DN188" i="9"/>
  <c r="DN162" i="9"/>
  <c r="ER450" i="9"/>
  <c r="FG449" i="9"/>
  <c r="FI450" i="9" s="1"/>
  <c r="DI184" i="9"/>
  <c r="DK184" i="9"/>
  <c r="DT184" i="9"/>
  <c r="DL184" i="9"/>
  <c r="DP184" i="9"/>
  <c r="DN184" i="9"/>
  <c r="DK172" i="9"/>
  <c r="DT172" i="9"/>
  <c r="DI172" i="9"/>
  <c r="DP172" i="9"/>
  <c r="DL172" i="9"/>
  <c r="DK115" i="9"/>
  <c r="DT115" i="9"/>
  <c r="DI115" i="9"/>
  <c r="DL115" i="9"/>
  <c r="DP115" i="9"/>
  <c r="DN115" i="9"/>
  <c r="DN17" i="9"/>
  <c r="DI231" i="9"/>
  <c r="DK231" i="9"/>
  <c r="DT231" i="9"/>
  <c r="DP231" i="9"/>
  <c r="DL231" i="9"/>
  <c r="DN75" i="9"/>
  <c r="DT134" i="9"/>
  <c r="DI134" i="9"/>
  <c r="DK134" i="9"/>
  <c r="DL134" i="9"/>
  <c r="DP134" i="9"/>
  <c r="DN212" i="9"/>
  <c r="DK15" i="9"/>
  <c r="DT15" i="9"/>
  <c r="DI15" i="9"/>
  <c r="DP15" i="9"/>
  <c r="DL15" i="9"/>
  <c r="DN123" i="9"/>
  <c r="DI227" i="9"/>
  <c r="DK227" i="9"/>
  <c r="DT227" i="9"/>
  <c r="DP227" i="9"/>
  <c r="DL227" i="9"/>
  <c r="DN227" i="9"/>
  <c r="DI251" i="9"/>
  <c r="DT251" i="9"/>
  <c r="DK251" i="9"/>
  <c r="DL251" i="9"/>
  <c r="DP251" i="9"/>
  <c r="DN154" i="9"/>
  <c r="DK55" i="9"/>
  <c r="DT55" i="9"/>
  <c r="DI55" i="9"/>
  <c r="DP55" i="9"/>
  <c r="DL55" i="9"/>
  <c r="DN222" i="9"/>
  <c r="DN221" i="9"/>
  <c r="DI175" i="9"/>
  <c r="DK175" i="9"/>
  <c r="DT175" i="9"/>
  <c r="DP175" i="9"/>
  <c r="DL175" i="9"/>
  <c r="DN175" i="9"/>
  <c r="DK171" i="9"/>
  <c r="DT171" i="9"/>
  <c r="DI171" i="9"/>
  <c r="DL171" i="9"/>
  <c r="DP171" i="9"/>
  <c r="DN171" i="9"/>
  <c r="DT18" i="9"/>
  <c r="DI18" i="9"/>
  <c r="DK18" i="9"/>
  <c r="DP18" i="9"/>
  <c r="DL18" i="9"/>
  <c r="DN49" i="9"/>
  <c r="DT49" i="9"/>
  <c r="DI49" i="9"/>
  <c r="DK49" i="9"/>
  <c r="DL49" i="9"/>
  <c r="DP49" i="9"/>
  <c r="DK79" i="9"/>
  <c r="DT79" i="9"/>
  <c r="DI79" i="9"/>
  <c r="DP79" i="9"/>
  <c r="DL79" i="9"/>
  <c r="DK111" i="9"/>
  <c r="DT111" i="9"/>
  <c r="DI111" i="9"/>
  <c r="DL111" i="9"/>
  <c r="DP111" i="9"/>
  <c r="DN164" i="9"/>
  <c r="EF423" i="9"/>
  <c r="DN127" i="9"/>
  <c r="DN224" i="9"/>
  <c r="CS437" i="9"/>
  <c r="DT254" i="9"/>
  <c r="DK254" i="9"/>
  <c r="DI254" i="9"/>
  <c r="DP254" i="9"/>
  <c r="DL254" i="9"/>
  <c r="DK41" i="9"/>
  <c r="DT41" i="9"/>
  <c r="DI41" i="9"/>
  <c r="DP41" i="9"/>
  <c r="DL41" i="9"/>
  <c r="DN41" i="9"/>
  <c r="DN60" i="9"/>
  <c r="DI166" i="9"/>
  <c r="DK166" i="9"/>
  <c r="DT166" i="9"/>
  <c r="DP166" i="9"/>
  <c r="DL166" i="9"/>
  <c r="DN130" i="9"/>
  <c r="DC348" i="9"/>
  <c r="DC353" i="9" s="1"/>
  <c r="CS353" i="9" s="1"/>
  <c r="CS357" i="9" s="1"/>
  <c r="DI309" i="9"/>
  <c r="DK309" i="9"/>
  <c r="DT309" i="9"/>
  <c r="DL309" i="9"/>
  <c r="DP309" i="9"/>
  <c r="DT135" i="9"/>
  <c r="DI135" i="9"/>
  <c r="DK135" i="9"/>
  <c r="DL135" i="9"/>
  <c r="DP135" i="9"/>
  <c r="DN28" i="9"/>
  <c r="DN193" i="9"/>
  <c r="DK26" i="9"/>
  <c r="DT26" i="9"/>
  <c r="DI26" i="9"/>
  <c r="DL26" i="9"/>
  <c r="DP26" i="9"/>
  <c r="DN26" i="9"/>
  <c r="FN6" i="9"/>
  <c r="FE6" i="9"/>
  <c r="FF6" i="9" s="1"/>
  <c r="FD6" i="9"/>
  <c r="FD10" i="9"/>
  <c r="FN10" i="9"/>
  <c r="FE10" i="9"/>
  <c r="FF10" i="9" s="1"/>
  <c r="FD14" i="9"/>
  <c r="FN14" i="9"/>
  <c r="FE14" i="9"/>
  <c r="FF14" i="9" s="1"/>
  <c r="FN18" i="9"/>
  <c r="FE18" i="9"/>
  <c r="FF18" i="9" s="1"/>
  <c r="FD18" i="9"/>
  <c r="FD22" i="9"/>
  <c r="FN22" i="9"/>
  <c r="FE22" i="9"/>
  <c r="FF22" i="9" s="1"/>
  <c r="FD26" i="9"/>
  <c r="FN26" i="9"/>
  <c r="FE26" i="9"/>
  <c r="FF26" i="9" s="1"/>
  <c r="FN30" i="9"/>
  <c r="FE30" i="9"/>
  <c r="FF30" i="9" s="1"/>
  <c r="FD30" i="9"/>
  <c r="FD34" i="9"/>
  <c r="FN34" i="9"/>
  <c r="FE34" i="9"/>
  <c r="FF34" i="9" s="1"/>
  <c r="FN38" i="9"/>
  <c r="FE38" i="9"/>
  <c r="FF38" i="9" s="1"/>
  <c r="FD38" i="9"/>
  <c r="FN42" i="9"/>
  <c r="FE42" i="9"/>
  <c r="FF42" i="9" s="1"/>
  <c r="FD42" i="9"/>
  <c r="FD46" i="9"/>
  <c r="FN46" i="9"/>
  <c r="FE46" i="9"/>
  <c r="FF46" i="9" s="1"/>
  <c r="FD50" i="9"/>
  <c r="FN50" i="9"/>
  <c r="FE50" i="9"/>
  <c r="FF50" i="9" s="1"/>
  <c r="FN54" i="9"/>
  <c r="FE54" i="9"/>
  <c r="FF54" i="9" s="1"/>
  <c r="FD54" i="9"/>
  <c r="FD58" i="9"/>
  <c r="FN58" i="9"/>
  <c r="FE58" i="9"/>
  <c r="FF58" i="9" s="1"/>
  <c r="FN62" i="9"/>
  <c r="FE62" i="9"/>
  <c r="FF62" i="9" s="1"/>
  <c r="FD62" i="9"/>
  <c r="FE66" i="9"/>
  <c r="FF66" i="9" s="1"/>
  <c r="FD66" i="9"/>
  <c r="FN66" i="9"/>
  <c r="FN70" i="9"/>
  <c r="FE70" i="9"/>
  <c r="FF70" i="9" s="1"/>
  <c r="FD70" i="9"/>
  <c r="FE74" i="9"/>
  <c r="FF74" i="9" s="1"/>
  <c r="FD74" i="9"/>
  <c r="FN74" i="9"/>
  <c r="FN78" i="9"/>
  <c r="FE78" i="9"/>
  <c r="FF78" i="9" s="1"/>
  <c r="FD78" i="9"/>
  <c r="FN82" i="9"/>
  <c r="FE82" i="9"/>
  <c r="FF82" i="9" s="1"/>
  <c r="FD82" i="9"/>
  <c r="FE86" i="9"/>
  <c r="FF86" i="9" s="1"/>
  <c r="FD86" i="9"/>
  <c r="FN86" i="9"/>
  <c r="FN90" i="9"/>
  <c r="FE90" i="9"/>
  <c r="FF90" i="9" s="1"/>
  <c r="FD90" i="9"/>
  <c r="FE94" i="9"/>
  <c r="FF94" i="9" s="1"/>
  <c r="FD94" i="9"/>
  <c r="FN94" i="9"/>
  <c r="FE98" i="9"/>
  <c r="FF98" i="9" s="1"/>
  <c r="FD98" i="9"/>
  <c r="FN98" i="9"/>
  <c r="FN102" i="9"/>
  <c r="FE102" i="9"/>
  <c r="FF102" i="9" s="1"/>
  <c r="FD102" i="9"/>
  <c r="FE106" i="9"/>
  <c r="FF106" i="9" s="1"/>
  <c r="FD106" i="9"/>
  <c r="FN106" i="9"/>
  <c r="FE110" i="9"/>
  <c r="FF110" i="9" s="1"/>
  <c r="FD110" i="9"/>
  <c r="FN110" i="9"/>
  <c r="FN114" i="9"/>
  <c r="FE114" i="9"/>
  <c r="FF114" i="9" s="1"/>
  <c r="FD114" i="9"/>
  <c r="FE118" i="9"/>
  <c r="FF118" i="9" s="1"/>
  <c r="FD118" i="9"/>
  <c r="FN118" i="9"/>
  <c r="FN122" i="9"/>
  <c r="FE122" i="9"/>
  <c r="FF122" i="9" s="1"/>
  <c r="FD122" i="9"/>
  <c r="FN126" i="9"/>
  <c r="FE126" i="9"/>
  <c r="FF126" i="9" s="1"/>
  <c r="FD126" i="9"/>
  <c r="FE130" i="9"/>
  <c r="FF130" i="9" s="1"/>
  <c r="FD130" i="9"/>
  <c r="FN130" i="9"/>
  <c r="FN134" i="9"/>
  <c r="FE134" i="9"/>
  <c r="FF134" i="9" s="1"/>
  <c r="FD134" i="9"/>
  <c r="FD138" i="9"/>
  <c r="FN138" i="9"/>
  <c r="FE138" i="9"/>
  <c r="FF138" i="9" s="1"/>
  <c r="FN142" i="9"/>
  <c r="FE142" i="9"/>
  <c r="FF142" i="9" s="1"/>
  <c r="FD142" i="9"/>
  <c r="FN146" i="9"/>
  <c r="FE146" i="9"/>
  <c r="FF146" i="9" s="1"/>
  <c r="FD146" i="9"/>
  <c r="FD150" i="9"/>
  <c r="FN150" i="9"/>
  <c r="FE150" i="9"/>
  <c r="FF150" i="9" s="1"/>
  <c r="FN154" i="9"/>
  <c r="FE154" i="9"/>
  <c r="FF154" i="9" s="1"/>
  <c r="FD154" i="9"/>
  <c r="FE158" i="9"/>
  <c r="FF158" i="9" s="1"/>
  <c r="FD158" i="9"/>
  <c r="FN158" i="9"/>
  <c r="FN162" i="9"/>
  <c r="FE162" i="9"/>
  <c r="FF162" i="9" s="1"/>
  <c r="FD162" i="9"/>
  <c r="FE166" i="9"/>
  <c r="FF166" i="9" s="1"/>
  <c r="FD166" i="9"/>
  <c r="FN166" i="9"/>
  <c r="FN170" i="9"/>
  <c r="FE170" i="9"/>
  <c r="FF170" i="9" s="1"/>
  <c r="FD170" i="9"/>
  <c r="FE174" i="9"/>
  <c r="FF174" i="9" s="1"/>
  <c r="FD174" i="9"/>
  <c r="FN174" i="9"/>
  <c r="FE178" i="9"/>
  <c r="FF178" i="9" s="1"/>
  <c r="FD178" i="9"/>
  <c r="FN178" i="9"/>
  <c r="FN182" i="9"/>
  <c r="FE182" i="9"/>
  <c r="FF182" i="9" s="1"/>
  <c r="FD182" i="9"/>
  <c r="FE186" i="9"/>
  <c r="FF186" i="9" s="1"/>
  <c r="FD186" i="9"/>
  <c r="FN186" i="9"/>
  <c r="FN190" i="9"/>
  <c r="FE190" i="9"/>
  <c r="FF190" i="9" s="1"/>
  <c r="FD190" i="9"/>
  <c r="FN194" i="9"/>
  <c r="FE194" i="9"/>
  <c r="FF194" i="9" s="1"/>
  <c r="FD194" i="9"/>
  <c r="FE198" i="9"/>
  <c r="FF198" i="9" s="1"/>
  <c r="FD198" i="9"/>
  <c r="FN198" i="9"/>
  <c r="FN202" i="9"/>
  <c r="FE202" i="9"/>
  <c r="FF202" i="9" s="1"/>
  <c r="FD202" i="9"/>
  <c r="FN206" i="9"/>
  <c r="FE206" i="9"/>
  <c r="FF206" i="9" s="1"/>
  <c r="FD206" i="9"/>
  <c r="FN210" i="9"/>
  <c r="FE210" i="9"/>
  <c r="FF210" i="9" s="1"/>
  <c r="FD210" i="9"/>
  <c r="FD214" i="9"/>
  <c r="FN214" i="9"/>
  <c r="FE214" i="9"/>
  <c r="FF214" i="9" s="1"/>
  <c r="FN218" i="9"/>
  <c r="FE218" i="9"/>
  <c r="FF218" i="9" s="1"/>
  <c r="FD218" i="9"/>
  <c r="FD245" i="9"/>
  <c r="FN245" i="9"/>
  <c r="FE245" i="9"/>
  <c r="FF245" i="9" s="1"/>
  <c r="FD249" i="9"/>
  <c r="FN249" i="9"/>
  <c r="FE249" i="9"/>
  <c r="FF249" i="9" s="1"/>
  <c r="FN253" i="9"/>
  <c r="FE253" i="9"/>
  <c r="FF253" i="9" s="1"/>
  <c r="FD253" i="9"/>
  <c r="FD257" i="9"/>
  <c r="FN257" i="9"/>
  <c r="FE257" i="9"/>
  <c r="FF257" i="9" s="1"/>
  <c r="FD261" i="9"/>
  <c r="FN261" i="9"/>
  <c r="FE261" i="9"/>
  <c r="FF261" i="9" s="1"/>
  <c r="FN265" i="9"/>
  <c r="FE265" i="9"/>
  <c r="FF265" i="9" s="1"/>
  <c r="FD265" i="9"/>
  <c r="FD269" i="9"/>
  <c r="FN269" i="9"/>
  <c r="FE269" i="9"/>
  <c r="FF269" i="9" s="1"/>
  <c r="FN273" i="9"/>
  <c r="FE273" i="9"/>
  <c r="FF273" i="9" s="1"/>
  <c r="FD273" i="9"/>
  <c r="FN277" i="9"/>
  <c r="FE277" i="9"/>
  <c r="FF277" i="9" s="1"/>
  <c r="FD277" i="9"/>
  <c r="FN224" i="9"/>
  <c r="FE224" i="9"/>
  <c r="FF224" i="9" s="1"/>
  <c r="FD224" i="9"/>
  <c r="FN228" i="9"/>
  <c r="FE228" i="9"/>
  <c r="FF228" i="9" s="1"/>
  <c r="FD228" i="9"/>
  <c r="FE232" i="9"/>
  <c r="FF232" i="9" s="1"/>
  <c r="FD232" i="9"/>
  <c r="FN232" i="9"/>
  <c r="FN236" i="9"/>
  <c r="FE236" i="9"/>
  <c r="FF236" i="9" s="1"/>
  <c r="FD236" i="9"/>
  <c r="FE240" i="9"/>
  <c r="FF240" i="9" s="1"/>
  <c r="FD240" i="9"/>
  <c r="FN240" i="9"/>
  <c r="FN278" i="9"/>
  <c r="FE278" i="9"/>
  <c r="FF278" i="9" s="1"/>
  <c r="FD278" i="9"/>
  <c r="FD282" i="9"/>
  <c r="FE282" i="9"/>
  <c r="FF282" i="9" s="1"/>
  <c r="FN282" i="9"/>
  <c r="FE286" i="9"/>
  <c r="FF286" i="9" s="1"/>
  <c r="FN286" i="9"/>
  <c r="FD286" i="9"/>
  <c r="FD290" i="9"/>
  <c r="FE290" i="9"/>
  <c r="FF290" i="9" s="1"/>
  <c r="FN290" i="9"/>
  <c r="FE294" i="9"/>
  <c r="FF294" i="9" s="1"/>
  <c r="FN294" i="9"/>
  <c r="FD294" i="9"/>
  <c r="FE298" i="9"/>
  <c r="FF298" i="9" s="1"/>
  <c r="FN298" i="9"/>
  <c r="FD298" i="9"/>
  <c r="FD302" i="9"/>
  <c r="FE302" i="9"/>
  <c r="FF302" i="9" s="1"/>
  <c r="FN302" i="9"/>
  <c r="FE306" i="9"/>
  <c r="FF306" i="9" s="1"/>
  <c r="FN306" i="9"/>
  <c r="FD306" i="9"/>
  <c r="FD310" i="9"/>
  <c r="FE310" i="9"/>
  <c r="FF310" i="9" s="1"/>
  <c r="FN310" i="9"/>
  <c r="FE314" i="9"/>
  <c r="FF314" i="9" s="1"/>
  <c r="FD314" i="9"/>
  <c r="FN314" i="9"/>
  <c r="FE318" i="9"/>
  <c r="FF318" i="9" s="1"/>
  <c r="FD318" i="9"/>
  <c r="FN318" i="9"/>
  <c r="FD7" i="9"/>
  <c r="FN7" i="9"/>
  <c r="FE7" i="9"/>
  <c r="FF7" i="9" s="1"/>
  <c r="FD11" i="9"/>
  <c r="FN11" i="9"/>
  <c r="FE11" i="9"/>
  <c r="FF11" i="9" s="1"/>
  <c r="FD15" i="9"/>
  <c r="FN15" i="9"/>
  <c r="FE15" i="9"/>
  <c r="FF15" i="9" s="1"/>
  <c r="FD19" i="9"/>
  <c r="FN19" i="9"/>
  <c r="FE19" i="9"/>
  <c r="FF19" i="9" s="1"/>
  <c r="FD23" i="9"/>
  <c r="FN23" i="9"/>
  <c r="FE23" i="9"/>
  <c r="FF23" i="9" s="1"/>
  <c r="FD27" i="9"/>
  <c r="FN27" i="9"/>
  <c r="FE27" i="9"/>
  <c r="FF27" i="9" s="1"/>
  <c r="FD31" i="9"/>
  <c r="FN31" i="9"/>
  <c r="FE31" i="9"/>
  <c r="FF31" i="9" s="1"/>
  <c r="FD35" i="9"/>
  <c r="FN35" i="9"/>
  <c r="FE35" i="9"/>
  <c r="FF35" i="9" s="1"/>
  <c r="FD39" i="9"/>
  <c r="FN39" i="9"/>
  <c r="FE39" i="9"/>
  <c r="FF39" i="9" s="1"/>
  <c r="FD43" i="9"/>
  <c r="FN43" i="9"/>
  <c r="FE43" i="9"/>
  <c r="FF43" i="9" s="1"/>
  <c r="FD47" i="9"/>
  <c r="FN47" i="9"/>
  <c r="FE47" i="9"/>
  <c r="FF47" i="9" s="1"/>
  <c r="FD51" i="9"/>
  <c r="FN51" i="9"/>
  <c r="FE51" i="9"/>
  <c r="FF51" i="9" s="1"/>
  <c r="FD55" i="9"/>
  <c r="FN55" i="9"/>
  <c r="FE55" i="9"/>
  <c r="FF55" i="9" s="1"/>
  <c r="FD59" i="9"/>
  <c r="FN59" i="9"/>
  <c r="FE59" i="9"/>
  <c r="FF59" i="9" s="1"/>
  <c r="FD63" i="9"/>
  <c r="FN63" i="9"/>
  <c r="FE63" i="9"/>
  <c r="FF63" i="9" s="1"/>
  <c r="FN67" i="9"/>
  <c r="FE67" i="9"/>
  <c r="FF67" i="9" s="1"/>
  <c r="FD67" i="9"/>
  <c r="FN71" i="9"/>
  <c r="FE71" i="9"/>
  <c r="FF71" i="9" s="1"/>
  <c r="FD71" i="9"/>
  <c r="FN75" i="9"/>
  <c r="FE75" i="9"/>
  <c r="FF75" i="9" s="1"/>
  <c r="FD75" i="9"/>
  <c r="FN79" i="9"/>
  <c r="FE79" i="9"/>
  <c r="FF79" i="9" s="1"/>
  <c r="FD79" i="9"/>
  <c r="FN83" i="9"/>
  <c r="FE83" i="9"/>
  <c r="FF83" i="9" s="1"/>
  <c r="FD83" i="9"/>
  <c r="FN87" i="9"/>
  <c r="FE87" i="9"/>
  <c r="FF87" i="9" s="1"/>
  <c r="FD87" i="9"/>
  <c r="FN91" i="9"/>
  <c r="FE91" i="9"/>
  <c r="FF91" i="9" s="1"/>
  <c r="FD91" i="9"/>
  <c r="FN95" i="9"/>
  <c r="FE95" i="9"/>
  <c r="FF95" i="9" s="1"/>
  <c r="FD95" i="9"/>
  <c r="FN99" i="9"/>
  <c r="FE99" i="9"/>
  <c r="FF99" i="9" s="1"/>
  <c r="FD99" i="9"/>
  <c r="FN103" i="9"/>
  <c r="FE103" i="9"/>
  <c r="FF103" i="9" s="1"/>
  <c r="FD103" i="9"/>
  <c r="FN107" i="9"/>
  <c r="FE107" i="9"/>
  <c r="FF107" i="9" s="1"/>
  <c r="FD107" i="9"/>
  <c r="FN111" i="9"/>
  <c r="FE111" i="9"/>
  <c r="FF111" i="9" s="1"/>
  <c r="FD111" i="9"/>
  <c r="FN115" i="9"/>
  <c r="FE115" i="9"/>
  <c r="FF115" i="9" s="1"/>
  <c r="FD115" i="9"/>
  <c r="FN119" i="9"/>
  <c r="FE119" i="9"/>
  <c r="FF119" i="9" s="1"/>
  <c r="FD119" i="9"/>
  <c r="FN123" i="9"/>
  <c r="FE123" i="9"/>
  <c r="FF123" i="9" s="1"/>
  <c r="FD123" i="9"/>
  <c r="FN127" i="9"/>
  <c r="FE127" i="9"/>
  <c r="FF127" i="9" s="1"/>
  <c r="FD127" i="9"/>
  <c r="FN131" i="9"/>
  <c r="FE131" i="9"/>
  <c r="FF131" i="9" s="1"/>
  <c r="FD131" i="9"/>
  <c r="FD135" i="9"/>
  <c r="FN135" i="9"/>
  <c r="FE135" i="9"/>
  <c r="FF135" i="9" s="1"/>
  <c r="FD139" i="9"/>
  <c r="FN139" i="9"/>
  <c r="FE139" i="9"/>
  <c r="FF139" i="9" s="1"/>
  <c r="FD143" i="9"/>
  <c r="FN143" i="9"/>
  <c r="FE143" i="9"/>
  <c r="FF143" i="9" s="1"/>
  <c r="FD147" i="9"/>
  <c r="FN147" i="9"/>
  <c r="FE147" i="9"/>
  <c r="FF147" i="9" s="1"/>
  <c r="FD151" i="9"/>
  <c r="FN151" i="9"/>
  <c r="FE151" i="9"/>
  <c r="FF151" i="9" s="1"/>
  <c r="FD155" i="9"/>
  <c r="FN155" i="9"/>
  <c r="FE155" i="9"/>
  <c r="FF155" i="9" s="1"/>
  <c r="FN159" i="9"/>
  <c r="FE159" i="9"/>
  <c r="FF159" i="9" s="1"/>
  <c r="FD159" i="9"/>
  <c r="FN163" i="9"/>
  <c r="FE163" i="9"/>
  <c r="FF163" i="9" s="1"/>
  <c r="FD163" i="9"/>
  <c r="FN167" i="9"/>
  <c r="FE167" i="9"/>
  <c r="FF167" i="9" s="1"/>
  <c r="FD167" i="9"/>
  <c r="FN171" i="9"/>
  <c r="FE171" i="9"/>
  <c r="FF171" i="9" s="1"/>
  <c r="FD171" i="9"/>
  <c r="FN175" i="9"/>
  <c r="FE175" i="9"/>
  <c r="FF175" i="9" s="1"/>
  <c r="FD175" i="9"/>
  <c r="FN179" i="9"/>
  <c r="FE179" i="9"/>
  <c r="FF179" i="9" s="1"/>
  <c r="FD179" i="9"/>
  <c r="FN183" i="9"/>
  <c r="FE183" i="9"/>
  <c r="FF183" i="9" s="1"/>
  <c r="FD183" i="9"/>
  <c r="FN187" i="9"/>
  <c r="FE187" i="9"/>
  <c r="FF187" i="9" s="1"/>
  <c r="FD187" i="9"/>
  <c r="FN191" i="9"/>
  <c r="FE191" i="9"/>
  <c r="FF191" i="9" s="1"/>
  <c r="FD191" i="9"/>
  <c r="FN195" i="9"/>
  <c r="FE195" i="9"/>
  <c r="FF195" i="9" s="1"/>
  <c r="FD195" i="9"/>
  <c r="FN199" i="9"/>
  <c r="FE199" i="9"/>
  <c r="FF199" i="9" s="1"/>
  <c r="FD199" i="9"/>
  <c r="FN203" i="9"/>
  <c r="FE203" i="9"/>
  <c r="FF203" i="9" s="1"/>
  <c r="FD203" i="9"/>
  <c r="FD207" i="9"/>
  <c r="FN207" i="9"/>
  <c r="FE207" i="9"/>
  <c r="FF207" i="9" s="1"/>
  <c r="FD211" i="9"/>
  <c r="FN211" i="9"/>
  <c r="FE211" i="9"/>
  <c r="FF211" i="9" s="1"/>
  <c r="FD215" i="9"/>
  <c r="FN215" i="9"/>
  <c r="FE215" i="9"/>
  <c r="FF215" i="9" s="1"/>
  <c r="FD219" i="9"/>
  <c r="FN219" i="9"/>
  <c r="FE219" i="9"/>
  <c r="FF219" i="9" s="1"/>
  <c r="FD246" i="9"/>
  <c r="FN246" i="9"/>
  <c r="FE246" i="9"/>
  <c r="FF246" i="9" s="1"/>
  <c r="FD250" i="9"/>
  <c r="FN250" i="9"/>
  <c r="FE250" i="9"/>
  <c r="FF250" i="9" s="1"/>
  <c r="FD254" i="9"/>
  <c r="FN254" i="9"/>
  <c r="FE254" i="9"/>
  <c r="FF254" i="9" s="1"/>
  <c r="FD258" i="9"/>
  <c r="FN258" i="9"/>
  <c r="FE258" i="9"/>
  <c r="FF258" i="9" s="1"/>
  <c r="FD262" i="9"/>
  <c r="FN262" i="9"/>
  <c r="FE262" i="9"/>
  <c r="FF262" i="9" s="1"/>
  <c r="FD266" i="9"/>
  <c r="FN266" i="9"/>
  <c r="FE266" i="9"/>
  <c r="FF266" i="9" s="1"/>
  <c r="FD270" i="9"/>
  <c r="FN270" i="9"/>
  <c r="FE270" i="9"/>
  <c r="FF270" i="9" s="1"/>
  <c r="FD274" i="9"/>
  <c r="FN274" i="9"/>
  <c r="FE274" i="9"/>
  <c r="FF274" i="9" s="1"/>
  <c r="FN221" i="9"/>
  <c r="FE221" i="9"/>
  <c r="FF221" i="9" s="1"/>
  <c r="FD221" i="9"/>
  <c r="FN225" i="9"/>
  <c r="FE225" i="9"/>
  <c r="FF225" i="9" s="1"/>
  <c r="FD225" i="9"/>
  <c r="FN229" i="9"/>
  <c r="FE229" i="9"/>
  <c r="FF229" i="9" s="1"/>
  <c r="FD229" i="9"/>
  <c r="FN233" i="9"/>
  <c r="FE233" i="9"/>
  <c r="FF233" i="9" s="1"/>
  <c r="FD233" i="9"/>
  <c r="FN237" i="9"/>
  <c r="FE237" i="9"/>
  <c r="FF237" i="9" s="1"/>
  <c r="FD237" i="9"/>
  <c r="FN241" i="9"/>
  <c r="FE241" i="9"/>
  <c r="FF241" i="9" s="1"/>
  <c r="FD241" i="9"/>
  <c r="FD279" i="9"/>
  <c r="FE279" i="9"/>
  <c r="FF279" i="9" s="1"/>
  <c r="FN279" i="9"/>
  <c r="FD283" i="9"/>
  <c r="FE283" i="9"/>
  <c r="FF283" i="9" s="1"/>
  <c r="FN283" i="9"/>
  <c r="FD287" i="9"/>
  <c r="FE287" i="9"/>
  <c r="FF287" i="9" s="1"/>
  <c r="FN287" i="9"/>
  <c r="FD291" i="9"/>
  <c r="FE291" i="9"/>
  <c r="FF291" i="9" s="1"/>
  <c r="FN291" i="9"/>
  <c r="FD295" i="9"/>
  <c r="FE295" i="9"/>
  <c r="FF295" i="9" s="1"/>
  <c r="FN295" i="9"/>
  <c r="FD299" i="9"/>
  <c r="FE299" i="9"/>
  <c r="FF299" i="9" s="1"/>
  <c r="FN299" i="9"/>
  <c r="FD303" i="9"/>
  <c r="FE303" i="9"/>
  <c r="FF303" i="9" s="1"/>
  <c r="FN303" i="9"/>
  <c r="FD307" i="9"/>
  <c r="FE307" i="9"/>
  <c r="FF307" i="9" s="1"/>
  <c r="FN307" i="9"/>
  <c r="FD311" i="9"/>
  <c r="FE311" i="9"/>
  <c r="FF311" i="9" s="1"/>
  <c r="FN311" i="9"/>
  <c r="FN315" i="9"/>
  <c r="FE315" i="9"/>
  <c r="FF315" i="9" s="1"/>
  <c r="FD315" i="9"/>
  <c r="FN319" i="9"/>
  <c r="FE319" i="9"/>
  <c r="FF319" i="9" s="1"/>
  <c r="FD319" i="9"/>
  <c r="FG458" i="9"/>
  <c r="FG469" i="9"/>
  <c r="FI470" i="9" s="1"/>
  <c r="FG453" i="9"/>
  <c r="EW407" i="9"/>
  <c r="EM378" i="9"/>
  <c r="EM382" i="9"/>
  <c r="EW411" i="9"/>
  <c r="EP475" i="9"/>
  <c r="ER476" i="9" s="1"/>
  <c r="ER474" i="9" s="1"/>
  <c r="ER454" i="9"/>
  <c r="ER452" i="9" s="1"/>
  <c r="ER459" i="9"/>
  <c r="ER458" i="9"/>
  <c r="FJ51" i="9"/>
  <c r="FS51" i="9"/>
  <c r="FH51" i="9"/>
  <c r="FK51" i="9"/>
  <c r="FL51" i="9" s="1"/>
  <c r="FO51" i="9"/>
  <c r="FM300" i="9"/>
  <c r="DN116" i="9"/>
  <c r="DK20" i="9"/>
  <c r="DT20" i="9"/>
  <c r="DI20" i="9"/>
  <c r="DP20" i="9"/>
  <c r="DL20" i="9"/>
  <c r="DN20" i="9"/>
  <c r="DN202" i="9"/>
  <c r="DN257" i="9"/>
  <c r="DN117" i="9"/>
  <c r="DK117" i="9"/>
  <c r="DT117" i="9"/>
  <c r="DI117" i="9"/>
  <c r="DL117" i="9"/>
  <c r="DP117" i="9"/>
  <c r="DN150" i="9"/>
  <c r="DN10" i="9"/>
  <c r="DN200" i="9"/>
  <c r="CI158" i="14"/>
  <c r="CI132" i="14"/>
  <c r="CH145" i="14"/>
  <c r="CF145" i="14"/>
  <c r="CP158" i="14"/>
  <c r="CQ158" i="14"/>
  <c r="CL145" i="14"/>
  <c r="CK132" i="14"/>
  <c r="CN145" i="14"/>
  <c r="BV132" i="14"/>
  <c r="BV158" i="14"/>
  <c r="BS145" i="14"/>
  <c r="CC158" i="14"/>
  <c r="BX132" i="14"/>
  <c r="BU145" i="14"/>
  <c r="CD158" i="14"/>
  <c r="BY145" i="14"/>
  <c r="CA145" i="14"/>
  <c r="DH333" i="9"/>
  <c r="DI333" i="9" s="1"/>
  <c r="DI332" i="9" s="1"/>
  <c r="DS333" i="9"/>
  <c r="DG379" i="9"/>
  <c r="DO408" i="9"/>
  <c r="DE379" i="9"/>
  <c r="DJ333" i="9"/>
  <c r="DK379" i="9"/>
  <c r="DP408" i="9"/>
  <c r="DT333" i="9"/>
  <c r="BM145" i="14"/>
  <c r="CI132" i="12"/>
  <c r="CP158" i="12"/>
  <c r="CQ158" i="12"/>
  <c r="CH145" i="12"/>
  <c r="CN145" i="12"/>
  <c r="CK132" i="12"/>
  <c r="CF145" i="12"/>
  <c r="CL145" i="12"/>
  <c r="CC158" i="12"/>
  <c r="CD158" i="12"/>
  <c r="BY145" i="12"/>
  <c r="BV132" i="12"/>
  <c r="CA145" i="12"/>
  <c r="BS145" i="12"/>
  <c r="BU145" i="12"/>
  <c r="BX132" i="12"/>
  <c r="DH325" i="9"/>
  <c r="DS325" i="9"/>
  <c r="DE371" i="9"/>
  <c r="DG371" i="9"/>
  <c r="DO400" i="9"/>
  <c r="DJ325" i="9"/>
  <c r="DP400" i="9"/>
  <c r="DK371" i="9"/>
  <c r="AY130" i="14"/>
  <c r="DL377" i="9"/>
  <c r="BJ132" i="14"/>
  <c r="AW130" i="14"/>
  <c r="DL376" i="9"/>
  <c r="CU375" i="9"/>
  <c r="BJ131" i="14"/>
  <c r="BJ130" i="14" s="1"/>
  <c r="BZ144" i="14"/>
  <c r="BZ144" i="12"/>
  <c r="DL375" i="9"/>
  <c r="BL132" i="14"/>
  <c r="BM145" i="12"/>
  <c r="DL388" i="9"/>
  <c r="CM144" i="12"/>
  <c r="CU383" i="9"/>
  <c r="CW383" i="9"/>
  <c r="CU379" i="9"/>
  <c r="CW379" i="9"/>
  <c r="BM144" i="14"/>
  <c r="BL131" i="14"/>
  <c r="BY131" i="14"/>
  <c r="BW131" i="14"/>
  <c r="AD24" i="2"/>
  <c r="Z39" i="2"/>
  <c r="Z46" i="2"/>
  <c r="AD39" i="2"/>
  <c r="AC463" i="9"/>
  <c r="G29" i="2" s="1"/>
  <c r="AH412" i="9" s="1"/>
  <c r="AF385" i="9"/>
  <c r="AL339" i="9"/>
  <c r="AD385" i="9"/>
  <c r="X385" i="9"/>
  <c r="AM339" i="9"/>
  <c r="AK339" i="9" s="1"/>
  <c r="Z385" i="9"/>
  <c r="AI414" i="9"/>
  <c r="AC414" i="9" s="1"/>
  <c r="AI412" i="9"/>
  <c r="DT325" i="9" l="1"/>
  <c r="ER447" i="9"/>
  <c r="BL130" i="14"/>
  <c r="FD382" i="9"/>
  <c r="FN411" i="9"/>
  <c r="DA332" i="9"/>
  <c r="ER462" i="9"/>
  <c r="DM117" i="9"/>
  <c r="EA117" i="9"/>
  <c r="DM20" i="9"/>
  <c r="EA20" i="9"/>
  <c r="FI454" i="9"/>
  <c r="FG475" i="9"/>
  <c r="FI476" i="9" s="1"/>
  <c r="FI474" i="9" s="1"/>
  <c r="FI459" i="9"/>
  <c r="FI458" i="9"/>
  <c r="FN399" i="9"/>
  <c r="DM135" i="9"/>
  <c r="EA135" i="9"/>
  <c r="DM41" i="9"/>
  <c r="EA41" i="9"/>
  <c r="DM18" i="9"/>
  <c r="EA18" i="9"/>
  <c r="DM175" i="9"/>
  <c r="EA175" i="9"/>
  <c r="DM251" i="9"/>
  <c r="EA251" i="9"/>
  <c r="DM134" i="9"/>
  <c r="EA134" i="9"/>
  <c r="DM184" i="9"/>
  <c r="EA184" i="9"/>
  <c r="DM296" i="9"/>
  <c r="EA296" i="9"/>
  <c r="DM194" i="9"/>
  <c r="EA194" i="9"/>
  <c r="DM173" i="9"/>
  <c r="EA173" i="9"/>
  <c r="DM75" i="9"/>
  <c r="EA75" i="9"/>
  <c r="EE75" i="9" s="1"/>
  <c r="DT336" i="9"/>
  <c r="DT338" i="9"/>
  <c r="DM28" i="9"/>
  <c r="EA28" i="9"/>
  <c r="DM154" i="9"/>
  <c r="EA154" i="9"/>
  <c r="DM164" i="9"/>
  <c r="EA164" i="9"/>
  <c r="DM146" i="9"/>
  <c r="EA146" i="9"/>
  <c r="DM301" i="9"/>
  <c r="EA301" i="9"/>
  <c r="DM281" i="9"/>
  <c r="EA281" i="9"/>
  <c r="DM174" i="9"/>
  <c r="EA174" i="9"/>
  <c r="DM193" i="9"/>
  <c r="EA193" i="9"/>
  <c r="DM190" i="9"/>
  <c r="EA190" i="9"/>
  <c r="DM279" i="9"/>
  <c r="EA279" i="9"/>
  <c r="DM5" i="9"/>
  <c r="DL320" i="9"/>
  <c r="EA5" i="9"/>
  <c r="DK320" i="9"/>
  <c r="DT320" i="9"/>
  <c r="DM265" i="9"/>
  <c r="EA265" i="9"/>
  <c r="DM185" i="9"/>
  <c r="EA185" i="9"/>
  <c r="DM221" i="9"/>
  <c r="EA221" i="9"/>
  <c r="DM305" i="9"/>
  <c r="EA305" i="9"/>
  <c r="DM92" i="9"/>
  <c r="EA92" i="9"/>
  <c r="DM123" i="9"/>
  <c r="EA123" i="9"/>
  <c r="DM139" i="9"/>
  <c r="EA139" i="9"/>
  <c r="DM182" i="9"/>
  <c r="EA182" i="9"/>
  <c r="DM94" i="9"/>
  <c r="EA94" i="9"/>
  <c r="DM294" i="9"/>
  <c r="EA294" i="9"/>
  <c r="DM191" i="9"/>
  <c r="EA191" i="9"/>
  <c r="DM121" i="9"/>
  <c r="EA121" i="9"/>
  <c r="DM148" i="9"/>
  <c r="EA148" i="9"/>
  <c r="DM162" i="9"/>
  <c r="EA162" i="9"/>
  <c r="DM297" i="9"/>
  <c r="EA297" i="9"/>
  <c r="EE297" i="9" s="1"/>
  <c r="DM86" i="9"/>
  <c r="EA86" i="9"/>
  <c r="DM207" i="9"/>
  <c r="EA207" i="9"/>
  <c r="DM299" i="9"/>
  <c r="EA299" i="9"/>
  <c r="DM71" i="9"/>
  <c r="EA71" i="9"/>
  <c r="DM217" i="9"/>
  <c r="EA217" i="9"/>
  <c r="ER457" i="9"/>
  <c r="FI455" i="9"/>
  <c r="FG476" i="9"/>
  <c r="FN320" i="9"/>
  <c r="FD378" i="9"/>
  <c r="FN407" i="9"/>
  <c r="DM314" i="9"/>
  <c r="EA314" i="9"/>
  <c r="DM110" i="9"/>
  <c r="EA110" i="9"/>
  <c r="DM52" i="9"/>
  <c r="EA52" i="9"/>
  <c r="DM226" i="9"/>
  <c r="EA226" i="9"/>
  <c r="DM12" i="9"/>
  <c r="EA12" i="9"/>
  <c r="DM106" i="9"/>
  <c r="EA106" i="9"/>
  <c r="DM98" i="9"/>
  <c r="EA98" i="9"/>
  <c r="DM34" i="9"/>
  <c r="EA34" i="9"/>
  <c r="DM312" i="9"/>
  <c r="EA312" i="9"/>
  <c r="DM57" i="9"/>
  <c r="EA57" i="9"/>
  <c r="DM90" i="9"/>
  <c r="EA90" i="9"/>
  <c r="DM196" i="9"/>
  <c r="EA196" i="9"/>
  <c r="CU382" i="9"/>
  <c r="CW385" i="9"/>
  <c r="CW384" i="9"/>
  <c r="DM259" i="9"/>
  <c r="EA259" i="9"/>
  <c r="DM222" i="9"/>
  <c r="EA222" i="9"/>
  <c r="DM74" i="9"/>
  <c r="EA74" i="9"/>
  <c r="DK335" i="9"/>
  <c r="DK333" i="9"/>
  <c r="DK334" i="9"/>
  <c r="DM9" i="9"/>
  <c r="EA9" i="9"/>
  <c r="DM189" i="9"/>
  <c r="EA189" i="9"/>
  <c r="DM145" i="9"/>
  <c r="EA145" i="9"/>
  <c r="DM203" i="9"/>
  <c r="EA203" i="9"/>
  <c r="DM165" i="9"/>
  <c r="EA165" i="9"/>
  <c r="DM288" i="9"/>
  <c r="EA288" i="9"/>
  <c r="DM310" i="9"/>
  <c r="EA310" i="9"/>
  <c r="EE310" i="9" s="1"/>
  <c r="DM284" i="9"/>
  <c r="EA284" i="9"/>
  <c r="DM147" i="9"/>
  <c r="EA147" i="9"/>
  <c r="DM181" i="9"/>
  <c r="EA181" i="9"/>
  <c r="DM248" i="9"/>
  <c r="EA248" i="9"/>
  <c r="DM128" i="9"/>
  <c r="EA128" i="9"/>
  <c r="DM192" i="9"/>
  <c r="EA192" i="9"/>
  <c r="EW423" i="9"/>
  <c r="DM316" i="9"/>
  <c r="EA316" i="9"/>
  <c r="DM264" i="9"/>
  <c r="EA264" i="9"/>
  <c r="DM10" i="9"/>
  <c r="EA10" i="9"/>
  <c r="DK370" i="9"/>
  <c r="DM238" i="9"/>
  <c r="EA238" i="9"/>
  <c r="DM224" i="9"/>
  <c r="EA224" i="9"/>
  <c r="DM232" i="9"/>
  <c r="EA232" i="9"/>
  <c r="DM278" i="9"/>
  <c r="EA278" i="9"/>
  <c r="DM100" i="9"/>
  <c r="EA100" i="9"/>
  <c r="FI464" i="9"/>
  <c r="FI463" i="9"/>
  <c r="DM14" i="9"/>
  <c r="EA14" i="9"/>
  <c r="DM108" i="9"/>
  <c r="EA108" i="9"/>
  <c r="DM233" i="9"/>
  <c r="EA233" i="9"/>
  <c r="DM120" i="9"/>
  <c r="EA120" i="9"/>
  <c r="DM228" i="9"/>
  <c r="EA228" i="9"/>
  <c r="EE228" i="9" s="1"/>
  <c r="DM245" i="9"/>
  <c r="EA245" i="9"/>
  <c r="DM161" i="9"/>
  <c r="EA161" i="9"/>
  <c r="DM144" i="9"/>
  <c r="EA144" i="9"/>
  <c r="DM302" i="9"/>
  <c r="EA302" i="9"/>
  <c r="DM250" i="9"/>
  <c r="EA250" i="9"/>
  <c r="DM286" i="9"/>
  <c r="EA286" i="9"/>
  <c r="DM66" i="9"/>
  <c r="EA66" i="9"/>
  <c r="EE66" i="9" s="1"/>
  <c r="DM67" i="9"/>
  <c r="EA67" i="9"/>
  <c r="EE67" i="9" s="1"/>
  <c r="DM23" i="9"/>
  <c r="EA23" i="9"/>
  <c r="EE10" i="9"/>
  <c r="EE20" i="9"/>
  <c r="FF382" i="9"/>
  <c r="FF370" i="9"/>
  <c r="FD370" i="9"/>
  <c r="FD394" i="9" s="1"/>
  <c r="DM26" i="9"/>
  <c r="EA26" i="9"/>
  <c r="EE193" i="9"/>
  <c r="DP320" i="9"/>
  <c r="DM309" i="9"/>
  <c r="EA309" i="9"/>
  <c r="DM166" i="9"/>
  <c r="EA166" i="9"/>
  <c r="EE41" i="9"/>
  <c r="DM254" i="9"/>
  <c r="EA254" i="9"/>
  <c r="EE224" i="9"/>
  <c r="EE164" i="9"/>
  <c r="DM111" i="9"/>
  <c r="EA111" i="9"/>
  <c r="DM79" i="9"/>
  <c r="EA79" i="9"/>
  <c r="DM49" i="9"/>
  <c r="EA49" i="9"/>
  <c r="EE49" i="9" s="1"/>
  <c r="DM171" i="9"/>
  <c r="EA171" i="9"/>
  <c r="EE175" i="9"/>
  <c r="EE221" i="9"/>
  <c r="DM55" i="9"/>
  <c r="EA55" i="9"/>
  <c r="DM227" i="9"/>
  <c r="EA227" i="9"/>
  <c r="DM15" i="9"/>
  <c r="EA15" i="9"/>
  <c r="DM231" i="9"/>
  <c r="EA231" i="9"/>
  <c r="DM115" i="9"/>
  <c r="EA115" i="9"/>
  <c r="DM172" i="9"/>
  <c r="EA172" i="9"/>
  <c r="DM188" i="9"/>
  <c r="EA188" i="9"/>
  <c r="EE9" i="9"/>
  <c r="DM122" i="9"/>
  <c r="EA122" i="9"/>
  <c r="DM213" i="9"/>
  <c r="EA213" i="9"/>
  <c r="EE213" i="9" s="1"/>
  <c r="EE86" i="9"/>
  <c r="DM183" i="9"/>
  <c r="EA183" i="9"/>
  <c r="DM37" i="9"/>
  <c r="EA37" i="9"/>
  <c r="DM291" i="9"/>
  <c r="EA291" i="9"/>
  <c r="DM151" i="9"/>
  <c r="EA151" i="9"/>
  <c r="DP411" i="9"/>
  <c r="DP413" i="9"/>
  <c r="DK382" i="9"/>
  <c r="DK384" i="9"/>
  <c r="DM313" i="9"/>
  <c r="EA313" i="9"/>
  <c r="CU378" i="9"/>
  <c r="CW381" i="9"/>
  <c r="CW380" i="9"/>
  <c r="DM150" i="9"/>
  <c r="EA150" i="9"/>
  <c r="EE150" i="9" s="1"/>
  <c r="EE301" i="9"/>
  <c r="DM274" i="9"/>
  <c r="EA274" i="9"/>
  <c r="DM234" i="9"/>
  <c r="EA234" i="9"/>
  <c r="DM25" i="9"/>
  <c r="EA25" i="9"/>
  <c r="EM394" i="9"/>
  <c r="DM252" i="9"/>
  <c r="EA252" i="9"/>
  <c r="DM76" i="9"/>
  <c r="EA76" i="9"/>
  <c r="EE76" i="9" s="1"/>
  <c r="CV394" i="9"/>
  <c r="CU370" i="9"/>
  <c r="CW372" i="9"/>
  <c r="CW373" i="9"/>
  <c r="DM81" i="9"/>
  <c r="EA81" i="9"/>
  <c r="DM84" i="9"/>
  <c r="EA84" i="9"/>
  <c r="DM78" i="9"/>
  <c r="EA78" i="9"/>
  <c r="EE190" i="9"/>
  <c r="DJ441" i="9"/>
  <c r="DJ436" i="9"/>
  <c r="DI320" i="9"/>
  <c r="DJ435" i="9" s="1"/>
  <c r="DJ434" i="9" s="1"/>
  <c r="DN320" i="9"/>
  <c r="EE5" i="9"/>
  <c r="DM83" i="9"/>
  <c r="EA83" i="9"/>
  <c r="EE265" i="9"/>
  <c r="DM127" i="9"/>
  <c r="EA127" i="9"/>
  <c r="DM239" i="9"/>
  <c r="EA239" i="9"/>
  <c r="DM241" i="9"/>
  <c r="EA241" i="9"/>
  <c r="DM105" i="9"/>
  <c r="EA105" i="9"/>
  <c r="DM140" i="9"/>
  <c r="EA140" i="9"/>
  <c r="DM255" i="9"/>
  <c r="EA255" i="9"/>
  <c r="DM229" i="9"/>
  <c r="EA229" i="9"/>
  <c r="EE229" i="9" s="1"/>
  <c r="DM169" i="9"/>
  <c r="EA169" i="9"/>
  <c r="EE169" i="9" s="1"/>
  <c r="DM200" i="9"/>
  <c r="EA200" i="9"/>
  <c r="EE182" i="9"/>
  <c r="EE94" i="9"/>
  <c r="DM44" i="9"/>
  <c r="EA44" i="9"/>
  <c r="DM178" i="9"/>
  <c r="EA178" i="9"/>
  <c r="EE121" i="9"/>
  <c r="DM99" i="9"/>
  <c r="EA99" i="9"/>
  <c r="DM29" i="9"/>
  <c r="EA29" i="9"/>
  <c r="EE207" i="9"/>
  <c r="EE288" i="9"/>
  <c r="DM68" i="9"/>
  <c r="EA68" i="9"/>
  <c r="DM318" i="9"/>
  <c r="EA318" i="9"/>
  <c r="DM263" i="9"/>
  <c r="EA263" i="9"/>
  <c r="EE263" i="9" s="1"/>
  <c r="DM236" i="9"/>
  <c r="EA236" i="9"/>
  <c r="DM304" i="9"/>
  <c r="EA304" i="9"/>
  <c r="FI467" i="9"/>
  <c r="FD320" i="9"/>
  <c r="FE320" i="9"/>
  <c r="FF5" i="9"/>
  <c r="FF320" i="9" s="1"/>
  <c r="FF378" i="9"/>
  <c r="EE314" i="9"/>
  <c r="DM246" i="9"/>
  <c r="EA246" i="9"/>
  <c r="DM319" i="9"/>
  <c r="EA319" i="9"/>
  <c r="EE110" i="9"/>
  <c r="DM272" i="9"/>
  <c r="EA272" i="9"/>
  <c r="DM257" i="9"/>
  <c r="EA257" i="9"/>
  <c r="EE257" i="9" s="1"/>
  <c r="DM290" i="9"/>
  <c r="EA290" i="9"/>
  <c r="DM208" i="9"/>
  <c r="EA208" i="9"/>
  <c r="DM202" i="9"/>
  <c r="EA202" i="9"/>
  <c r="EE106" i="9"/>
  <c r="DM46" i="9"/>
  <c r="EA46" i="9"/>
  <c r="DM159" i="9"/>
  <c r="EA159" i="9"/>
  <c r="EE98" i="9"/>
  <c r="DM247" i="9"/>
  <c r="EA247" i="9"/>
  <c r="EE286" i="9"/>
  <c r="DM176" i="9"/>
  <c r="EA176" i="9"/>
  <c r="DM42" i="9"/>
  <c r="EA42" i="9"/>
  <c r="DM21" i="9"/>
  <c r="EA21" i="9"/>
  <c r="DM50" i="9"/>
  <c r="EA50" i="9"/>
  <c r="DM282" i="9"/>
  <c r="EA282" i="9"/>
  <c r="DM277" i="9"/>
  <c r="EA277" i="9"/>
  <c r="EE277" i="9" s="1"/>
  <c r="FI449" i="9"/>
  <c r="FI448" i="9"/>
  <c r="DM157" i="9"/>
  <c r="EA157" i="9"/>
  <c r="DM206" i="9"/>
  <c r="EA206" i="9"/>
  <c r="DM102" i="9"/>
  <c r="EA102" i="9"/>
  <c r="EE57" i="9"/>
  <c r="DM317" i="9"/>
  <c r="EA317" i="9"/>
  <c r="DM170" i="9"/>
  <c r="EA170" i="9"/>
  <c r="DM212" i="9"/>
  <c r="EA212" i="9"/>
  <c r="DM153" i="9"/>
  <c r="EA153" i="9"/>
  <c r="EE302" i="9"/>
  <c r="DM156" i="9"/>
  <c r="EA156" i="9"/>
  <c r="DM118" i="9"/>
  <c r="EA118" i="9"/>
  <c r="DP407" i="9"/>
  <c r="DP410" i="9"/>
  <c r="DP409" i="9"/>
  <c r="DK378" i="9"/>
  <c r="DK381" i="9"/>
  <c r="DK380" i="9"/>
  <c r="DT332" i="9"/>
  <c r="DT335" i="9"/>
  <c r="DT334" i="9"/>
  <c r="DM244" i="9"/>
  <c r="EA244" i="9"/>
  <c r="DM276" i="9"/>
  <c r="EA276" i="9"/>
  <c r="EE145" i="9"/>
  <c r="EE203" i="9"/>
  <c r="DM82" i="9"/>
  <c r="EA82" i="9"/>
  <c r="DM240" i="9"/>
  <c r="EA240" i="9"/>
  <c r="EE240" i="9" s="1"/>
  <c r="DM22" i="9"/>
  <c r="EA22" i="9"/>
  <c r="FR348" i="9"/>
  <c r="DM30" i="9"/>
  <c r="EA30" i="9"/>
  <c r="EE316" i="9"/>
  <c r="DM53" i="9"/>
  <c r="EA53" i="9"/>
  <c r="EE264" i="9"/>
  <c r="DP399" i="9"/>
  <c r="DT324" i="9"/>
  <c r="DJ348" i="9"/>
  <c r="DM96" i="9"/>
  <c r="EA96" i="9"/>
  <c r="EE96" i="9" s="1"/>
  <c r="DM130" i="9"/>
  <c r="EA130" i="9"/>
  <c r="DM60" i="9"/>
  <c r="EA60" i="9"/>
  <c r="EE60" i="9" s="1"/>
  <c r="FH306" i="9"/>
  <c r="FS306" i="9"/>
  <c r="FJ306" i="9"/>
  <c r="FO306" i="9"/>
  <c r="FK306" i="9"/>
  <c r="FL306" i="9" s="1"/>
  <c r="FM306" i="9"/>
  <c r="DM138" i="9"/>
  <c r="EA138" i="9"/>
  <c r="DM63" i="9"/>
  <c r="EA63" i="9"/>
  <c r="EE232" i="9"/>
  <c r="EE278" i="9"/>
  <c r="DM17" i="9"/>
  <c r="EA17" i="9"/>
  <c r="DM36" i="9"/>
  <c r="EA36" i="9"/>
  <c r="DM7" i="9"/>
  <c r="EA7" i="9"/>
  <c r="DM33" i="9"/>
  <c r="EA33" i="9"/>
  <c r="EE33" i="9" s="1"/>
  <c r="DM214" i="9"/>
  <c r="EA214" i="9"/>
  <c r="DM13" i="9"/>
  <c r="EA13" i="9"/>
  <c r="EE144" i="9"/>
  <c r="DM47" i="9"/>
  <c r="EA47" i="9"/>
  <c r="DM152" i="9"/>
  <c r="EA152" i="9"/>
  <c r="DM160" i="9"/>
  <c r="EA160" i="9"/>
  <c r="EE23" i="9"/>
  <c r="DM141" i="9"/>
  <c r="EA141" i="9"/>
  <c r="DM195" i="9"/>
  <c r="EA195" i="9"/>
  <c r="DM116" i="9"/>
  <c r="EA116" i="9"/>
  <c r="EE116" i="9" s="1"/>
  <c r="DR325" i="9"/>
  <c r="DI325" i="9"/>
  <c r="BZ145" i="12"/>
  <c r="CM145" i="12"/>
  <c r="BZ145" i="14"/>
  <c r="BY132" i="14"/>
  <c r="BY130" i="14" s="1"/>
  <c r="BW132" i="14"/>
  <c r="BW130" i="14" s="1"/>
  <c r="CL132" i="14"/>
  <c r="CJ132" i="14"/>
  <c r="DK325" i="9"/>
  <c r="CM145" i="14"/>
  <c r="G9" i="17"/>
  <c r="G10" i="17" s="1"/>
  <c r="H8" i="17"/>
  <c r="AL337" i="9"/>
  <c r="X383" i="9"/>
  <c r="AC337" i="9"/>
  <c r="AD337" i="9" s="1"/>
  <c r="Z383" i="9"/>
  <c r="AC412" i="9"/>
  <c r="AD383" i="9"/>
  <c r="AF383" i="9"/>
  <c r="AG383" i="9" s="1"/>
  <c r="AM337" i="9"/>
  <c r="AK337" i="9" s="1"/>
  <c r="AA337" i="9"/>
  <c r="AB337" i="9" s="1"/>
  <c r="AB414" i="9"/>
  <c r="AB412" i="9"/>
  <c r="AB418" i="9"/>
  <c r="AB416" i="9"/>
  <c r="AB417" i="9"/>
  <c r="AB405" i="9"/>
  <c r="AB406" i="9"/>
  <c r="AB404" i="9"/>
  <c r="AE385" i="9"/>
  <c r="AG385" i="9"/>
  <c r="AC460" i="9"/>
  <c r="I24" i="2" s="1"/>
  <c r="AC458" i="9"/>
  <c r="G24" i="2" s="1"/>
  <c r="AC450" i="9"/>
  <c r="I13" i="2" s="1"/>
  <c r="DT348" i="9" l="1"/>
  <c r="DT353" i="9" s="1"/>
  <c r="DJ353" i="9" s="1"/>
  <c r="DJ437" i="9"/>
  <c r="DJ357" i="9"/>
  <c r="CW382" i="9"/>
  <c r="CW378" i="9"/>
  <c r="EK160" i="9"/>
  <c r="DZ160" i="9"/>
  <c r="EB160" i="9"/>
  <c r="EC160" i="9"/>
  <c r="EG160" i="9"/>
  <c r="DZ152" i="9"/>
  <c r="EB152" i="9"/>
  <c r="EK152" i="9"/>
  <c r="EC152" i="9"/>
  <c r="EG152" i="9"/>
  <c r="EB47" i="9"/>
  <c r="EK47" i="9"/>
  <c r="DZ47" i="9"/>
  <c r="EG47" i="9"/>
  <c r="EC47" i="9"/>
  <c r="DZ36" i="9"/>
  <c r="EB36" i="9"/>
  <c r="EK36" i="9"/>
  <c r="EC36" i="9"/>
  <c r="EG36" i="9"/>
  <c r="EB17" i="9"/>
  <c r="EK17" i="9"/>
  <c r="DZ17" i="9"/>
  <c r="EC17" i="9"/>
  <c r="EG17" i="9"/>
  <c r="DZ63" i="9"/>
  <c r="EB63" i="9"/>
  <c r="EK63" i="9"/>
  <c r="EG63" i="9"/>
  <c r="EC63" i="9"/>
  <c r="EB138" i="9"/>
  <c r="EK138" i="9"/>
  <c r="DZ138" i="9"/>
  <c r="EC138" i="9"/>
  <c r="EG138" i="9"/>
  <c r="EE138" i="9"/>
  <c r="DH478" i="9"/>
  <c r="DJ442" i="9"/>
  <c r="DP423" i="9"/>
  <c r="EB53" i="9"/>
  <c r="EK53" i="9"/>
  <c r="DZ53" i="9"/>
  <c r="EG53" i="9"/>
  <c r="EC53" i="9"/>
  <c r="EE53" i="9"/>
  <c r="DZ30" i="9"/>
  <c r="EB30" i="9"/>
  <c r="EK30" i="9"/>
  <c r="EC30" i="9"/>
  <c r="EG30" i="9"/>
  <c r="EK244" i="9"/>
  <c r="DZ244" i="9"/>
  <c r="EB244" i="9"/>
  <c r="EC244" i="9"/>
  <c r="EG244" i="9"/>
  <c r="EE244" i="9"/>
  <c r="DR334" i="9"/>
  <c r="DR335" i="9"/>
  <c r="DR333" i="9"/>
  <c r="EB212" i="9"/>
  <c r="EK212" i="9"/>
  <c r="DZ212" i="9"/>
  <c r="EC212" i="9"/>
  <c r="EG212" i="9"/>
  <c r="EE170" i="9"/>
  <c r="EK170" i="9"/>
  <c r="DZ170" i="9"/>
  <c r="EB170" i="9"/>
  <c r="EC170" i="9"/>
  <c r="EG170" i="9"/>
  <c r="DZ317" i="9"/>
  <c r="EK317" i="9"/>
  <c r="EB317" i="9"/>
  <c r="EG317" i="9"/>
  <c r="EC317" i="9"/>
  <c r="EK102" i="9"/>
  <c r="DZ102" i="9"/>
  <c r="EB102" i="9"/>
  <c r="EC102" i="9"/>
  <c r="EG102" i="9"/>
  <c r="EE102" i="9"/>
  <c r="FI447" i="9"/>
  <c r="EB282" i="9"/>
  <c r="EK282" i="9"/>
  <c r="DZ282" i="9"/>
  <c r="EG282" i="9"/>
  <c r="EC282" i="9"/>
  <c r="EE282" i="9"/>
  <c r="DZ50" i="9"/>
  <c r="EB50" i="9"/>
  <c r="EK50" i="9"/>
  <c r="EC50" i="9"/>
  <c r="EG50" i="9"/>
  <c r="EE50" i="9"/>
  <c r="EB21" i="9"/>
  <c r="EK21" i="9"/>
  <c r="DZ21" i="9"/>
  <c r="EC21" i="9"/>
  <c r="EG21" i="9"/>
  <c r="EE21" i="9"/>
  <c r="EB42" i="9"/>
  <c r="EK42" i="9"/>
  <c r="DZ42" i="9"/>
  <c r="EC42" i="9"/>
  <c r="EG42" i="9"/>
  <c r="EE42" i="9"/>
  <c r="EK176" i="9"/>
  <c r="DZ176" i="9"/>
  <c r="EB176" i="9"/>
  <c r="EC176" i="9"/>
  <c r="EG176" i="9"/>
  <c r="EE176" i="9"/>
  <c r="EK202" i="9"/>
  <c r="DZ202" i="9"/>
  <c r="EB202" i="9"/>
  <c r="EC202" i="9"/>
  <c r="EG202" i="9"/>
  <c r="DZ208" i="9"/>
  <c r="EB208" i="9"/>
  <c r="EK208" i="9"/>
  <c r="EC208" i="9"/>
  <c r="EG208" i="9"/>
  <c r="EE208" i="9"/>
  <c r="EB246" i="9"/>
  <c r="EK246" i="9"/>
  <c r="DZ246" i="9"/>
  <c r="EC246" i="9"/>
  <c r="EG246" i="9"/>
  <c r="EE246" i="9"/>
  <c r="EB178" i="9"/>
  <c r="EK178" i="9"/>
  <c r="DZ178" i="9"/>
  <c r="EC178" i="9"/>
  <c r="EG178" i="9"/>
  <c r="EB44" i="9"/>
  <c r="EK44" i="9"/>
  <c r="DZ44" i="9"/>
  <c r="EG44" i="9"/>
  <c r="EC44" i="9"/>
  <c r="EE44" i="9"/>
  <c r="EK229" i="9"/>
  <c r="DZ229" i="9"/>
  <c r="EB229" i="9"/>
  <c r="EG229" i="9"/>
  <c r="EC229" i="9"/>
  <c r="EB255" i="9"/>
  <c r="EK255" i="9"/>
  <c r="DZ255" i="9"/>
  <c r="EG255" i="9"/>
  <c r="EC255" i="9"/>
  <c r="EE140" i="9"/>
  <c r="EB140" i="9"/>
  <c r="EK140" i="9"/>
  <c r="DZ140" i="9"/>
  <c r="EC140" i="9"/>
  <c r="EG140" i="9"/>
  <c r="EK105" i="9"/>
  <c r="DZ105" i="9"/>
  <c r="EB105" i="9"/>
  <c r="EC105" i="9"/>
  <c r="EG105" i="9"/>
  <c r="EE105" i="9"/>
  <c r="EK83" i="9"/>
  <c r="DZ83" i="9"/>
  <c r="EB83" i="9"/>
  <c r="EG83" i="9"/>
  <c r="EC83" i="9"/>
  <c r="DI442" i="9"/>
  <c r="EK78" i="9"/>
  <c r="DZ78" i="9"/>
  <c r="EB78" i="9"/>
  <c r="EC78" i="9"/>
  <c r="EG78" i="9"/>
  <c r="EB84" i="9"/>
  <c r="EK84" i="9"/>
  <c r="DZ84" i="9"/>
  <c r="EG84" i="9"/>
  <c r="EC84" i="9"/>
  <c r="EE84" i="9"/>
  <c r="EB252" i="9"/>
  <c r="EK252" i="9"/>
  <c r="DZ252" i="9"/>
  <c r="EC252" i="9"/>
  <c r="EG252" i="9"/>
  <c r="EK234" i="9"/>
  <c r="DZ234" i="9"/>
  <c r="EB234" i="9"/>
  <c r="EC234" i="9"/>
  <c r="EG234" i="9"/>
  <c r="EE234" i="9"/>
  <c r="DZ37" i="9"/>
  <c r="EB37" i="9"/>
  <c r="EK37" i="9"/>
  <c r="EG37" i="9"/>
  <c r="EC37" i="9"/>
  <c r="EE37" i="9"/>
  <c r="EE183" i="9"/>
  <c r="EK183" i="9"/>
  <c r="DZ183" i="9"/>
  <c r="EB183" i="9"/>
  <c r="EG183" i="9"/>
  <c r="EC183" i="9"/>
  <c r="EB188" i="9"/>
  <c r="EK188" i="9"/>
  <c r="DZ188" i="9"/>
  <c r="EC188" i="9"/>
  <c r="EG188" i="9"/>
  <c r="EE188" i="9"/>
  <c r="EK231" i="9"/>
  <c r="DZ231" i="9"/>
  <c r="EB231" i="9"/>
  <c r="EG231" i="9"/>
  <c r="EC231" i="9"/>
  <c r="EE231" i="9"/>
  <c r="DZ15" i="9"/>
  <c r="EB15" i="9"/>
  <c r="EK15" i="9"/>
  <c r="EG15" i="9"/>
  <c r="EC15" i="9"/>
  <c r="EE15" i="9"/>
  <c r="EB227" i="9"/>
  <c r="EK227" i="9"/>
  <c r="DZ227" i="9"/>
  <c r="EC227" i="9"/>
  <c r="EG227" i="9"/>
  <c r="DZ55" i="9"/>
  <c r="EB55" i="9"/>
  <c r="EK55" i="9"/>
  <c r="EG55" i="9"/>
  <c r="EC55" i="9"/>
  <c r="EE55" i="9"/>
  <c r="EB171" i="9"/>
  <c r="EK171" i="9"/>
  <c r="DZ171" i="9"/>
  <c r="EC171" i="9"/>
  <c r="EG171" i="9"/>
  <c r="EE171" i="9"/>
  <c r="DZ49" i="9"/>
  <c r="EB49" i="9"/>
  <c r="EK49" i="9"/>
  <c r="EG49" i="9"/>
  <c r="EC49" i="9"/>
  <c r="EB79" i="9"/>
  <c r="EK79" i="9"/>
  <c r="DZ79" i="9"/>
  <c r="EC79" i="9"/>
  <c r="EG79" i="9"/>
  <c r="EE79" i="9"/>
  <c r="EB111" i="9"/>
  <c r="EK111" i="9"/>
  <c r="DZ111" i="9"/>
  <c r="EC111" i="9"/>
  <c r="EG111" i="9"/>
  <c r="EE111" i="9"/>
  <c r="EB254" i="9"/>
  <c r="EK254" i="9"/>
  <c r="DZ254" i="9"/>
  <c r="EC254" i="9"/>
  <c r="EG254" i="9"/>
  <c r="EE254" i="9"/>
  <c r="EB309" i="9"/>
  <c r="EK309" i="9"/>
  <c r="DZ309" i="9"/>
  <c r="EC309" i="9"/>
  <c r="EG309" i="9"/>
  <c r="EE309" i="9"/>
  <c r="EB26" i="9"/>
  <c r="EK26" i="9"/>
  <c r="DZ26" i="9"/>
  <c r="EG26" i="9"/>
  <c r="EC26" i="9"/>
  <c r="EE26" i="9"/>
  <c r="FF394" i="9"/>
  <c r="EB286" i="9"/>
  <c r="EK286" i="9"/>
  <c r="DZ286" i="9"/>
  <c r="EG286" i="9"/>
  <c r="EC286" i="9"/>
  <c r="EB250" i="9"/>
  <c r="EK250" i="9"/>
  <c r="DZ250" i="9"/>
  <c r="EC250" i="9"/>
  <c r="EG250" i="9"/>
  <c r="EE250" i="9"/>
  <c r="EB144" i="9"/>
  <c r="EK144" i="9"/>
  <c r="DZ144" i="9"/>
  <c r="EG144" i="9"/>
  <c r="EC144" i="9"/>
  <c r="EK161" i="9"/>
  <c r="DZ161" i="9"/>
  <c r="EB161" i="9"/>
  <c r="EG161" i="9"/>
  <c r="EC161" i="9"/>
  <c r="EE161" i="9"/>
  <c r="DZ245" i="9"/>
  <c r="EB245" i="9"/>
  <c r="EK245" i="9"/>
  <c r="EC245" i="9"/>
  <c r="EG245" i="9"/>
  <c r="EK228" i="9"/>
  <c r="DZ228" i="9"/>
  <c r="EB228" i="9"/>
  <c r="EG228" i="9"/>
  <c r="EC228" i="9"/>
  <c r="EK120" i="9"/>
  <c r="DZ120" i="9"/>
  <c r="EB120" i="9"/>
  <c r="EC120" i="9"/>
  <c r="EG120" i="9"/>
  <c r="EE120" i="9"/>
  <c r="EE233" i="9"/>
  <c r="EK233" i="9"/>
  <c r="DZ233" i="9"/>
  <c r="EB233" i="9"/>
  <c r="EG233" i="9"/>
  <c r="EC233" i="9"/>
  <c r="EE36" i="9"/>
  <c r="FI462" i="9"/>
  <c r="EB100" i="9"/>
  <c r="EK100" i="9"/>
  <c r="DZ100" i="9"/>
  <c r="EG100" i="9"/>
  <c r="EC100" i="9"/>
  <c r="EE100" i="9"/>
  <c r="EA324" i="9"/>
  <c r="DZ10" i="9"/>
  <c r="EB10" i="9"/>
  <c r="EK10" i="9"/>
  <c r="EG10" i="9"/>
  <c r="EC10" i="9"/>
  <c r="DZ264" i="9"/>
  <c r="EB264" i="9"/>
  <c r="EK264" i="9"/>
  <c r="EG264" i="9"/>
  <c r="EC264" i="9"/>
  <c r="DZ316" i="9"/>
  <c r="EK316" i="9"/>
  <c r="EB316" i="9"/>
  <c r="EC316" i="9"/>
  <c r="EG316" i="9"/>
  <c r="EE30" i="9"/>
  <c r="EB248" i="9"/>
  <c r="EK248" i="9"/>
  <c r="DZ248" i="9"/>
  <c r="EC248" i="9"/>
  <c r="EG248" i="9"/>
  <c r="EE248" i="9"/>
  <c r="EB181" i="9"/>
  <c r="EK181" i="9"/>
  <c r="DZ181" i="9"/>
  <c r="EC181" i="9"/>
  <c r="EG181" i="9"/>
  <c r="EE181" i="9"/>
  <c r="EK165" i="9"/>
  <c r="DZ165" i="9"/>
  <c r="EB165" i="9"/>
  <c r="EG165" i="9"/>
  <c r="EC165" i="9"/>
  <c r="EK203" i="9"/>
  <c r="DZ203" i="9"/>
  <c r="EB203" i="9"/>
  <c r="EG203" i="9"/>
  <c r="EC203" i="9"/>
  <c r="DZ145" i="9"/>
  <c r="EB145" i="9"/>
  <c r="EK145" i="9"/>
  <c r="EG145" i="9"/>
  <c r="EC145" i="9"/>
  <c r="EB189" i="9"/>
  <c r="EK189" i="9"/>
  <c r="DZ189" i="9"/>
  <c r="EC189" i="9"/>
  <c r="EG189" i="9"/>
  <c r="EE189" i="9"/>
  <c r="DM378" i="9"/>
  <c r="DM381" i="9"/>
  <c r="DL381" i="9" s="1"/>
  <c r="DM380" i="9"/>
  <c r="DL380" i="9" s="1"/>
  <c r="DM379" i="9"/>
  <c r="DL379" i="9" s="1"/>
  <c r="DK332" i="9"/>
  <c r="EK74" i="9"/>
  <c r="DZ74" i="9"/>
  <c r="EB74" i="9"/>
  <c r="EC74" i="9"/>
  <c r="EG74" i="9"/>
  <c r="EE74" i="9"/>
  <c r="EK222" i="9"/>
  <c r="DZ222" i="9"/>
  <c r="EB222" i="9"/>
  <c r="EC222" i="9"/>
  <c r="EG222" i="9"/>
  <c r="EB259" i="9"/>
  <c r="EK259" i="9"/>
  <c r="DZ259" i="9"/>
  <c r="EG259" i="9"/>
  <c r="EC259" i="9"/>
  <c r="EE259" i="9"/>
  <c r="EB196" i="9"/>
  <c r="EK196" i="9"/>
  <c r="DZ196" i="9"/>
  <c r="EG196" i="9"/>
  <c r="EC196" i="9"/>
  <c r="EK90" i="9"/>
  <c r="DZ90" i="9"/>
  <c r="EB90" i="9"/>
  <c r="EG90" i="9"/>
  <c r="EC90" i="9"/>
  <c r="EE90" i="9"/>
  <c r="EB98" i="9"/>
  <c r="EK98" i="9"/>
  <c r="DZ98" i="9"/>
  <c r="EG98" i="9"/>
  <c r="EC98" i="9"/>
  <c r="EB106" i="9"/>
  <c r="EK106" i="9"/>
  <c r="DZ106" i="9"/>
  <c r="EG106" i="9"/>
  <c r="EC106" i="9"/>
  <c r="DZ12" i="9"/>
  <c r="EB12" i="9"/>
  <c r="EK12" i="9"/>
  <c r="EC12" i="9"/>
  <c r="EG12" i="9"/>
  <c r="EE12" i="9"/>
  <c r="DZ52" i="9"/>
  <c r="EB52" i="9"/>
  <c r="EK52" i="9"/>
  <c r="EG52" i="9"/>
  <c r="EC52" i="9"/>
  <c r="EE52" i="9"/>
  <c r="EK110" i="9"/>
  <c r="DZ110" i="9"/>
  <c r="EB110" i="9"/>
  <c r="EC110" i="9"/>
  <c r="EG110" i="9"/>
  <c r="EK314" i="9"/>
  <c r="EB314" i="9"/>
  <c r="DZ314" i="9"/>
  <c r="EC314" i="9"/>
  <c r="EG314" i="9"/>
  <c r="EB217" i="9"/>
  <c r="EK217" i="9"/>
  <c r="DZ217" i="9"/>
  <c r="EC217" i="9"/>
  <c r="EG217" i="9"/>
  <c r="EE217" i="9"/>
  <c r="EE196" i="9"/>
  <c r="EB207" i="9"/>
  <c r="EK207" i="9"/>
  <c r="DZ207" i="9"/>
  <c r="EC207" i="9"/>
  <c r="EG207" i="9"/>
  <c r="EE165" i="9"/>
  <c r="EE294" i="9"/>
  <c r="EK294" i="9"/>
  <c r="DZ294" i="9"/>
  <c r="EB294" i="9"/>
  <c r="EC294" i="9"/>
  <c r="EG294" i="9"/>
  <c r="EB94" i="9"/>
  <c r="EK94" i="9"/>
  <c r="DZ94" i="9"/>
  <c r="EG94" i="9"/>
  <c r="EC94" i="9"/>
  <c r="EK182" i="9"/>
  <c r="DZ182" i="9"/>
  <c r="EB182" i="9"/>
  <c r="EC182" i="9"/>
  <c r="EG182" i="9"/>
  <c r="EE255" i="9"/>
  <c r="EK92" i="9"/>
  <c r="DZ92" i="9"/>
  <c r="EB92" i="9"/>
  <c r="EG92" i="9"/>
  <c r="EC92" i="9"/>
  <c r="EE92" i="9"/>
  <c r="DZ265" i="9"/>
  <c r="EB265" i="9"/>
  <c r="EK265" i="9"/>
  <c r="EG265" i="9"/>
  <c r="EC265" i="9"/>
  <c r="EE83" i="9"/>
  <c r="EB5" i="9"/>
  <c r="EK5" i="9"/>
  <c r="DZ5" i="9"/>
  <c r="EA433" i="9"/>
  <c r="EA320" i="9"/>
  <c r="EC5" i="9"/>
  <c r="EG5" i="9"/>
  <c r="EK281" i="9"/>
  <c r="DZ281" i="9"/>
  <c r="EB281" i="9"/>
  <c r="EG281" i="9"/>
  <c r="EC281" i="9"/>
  <c r="EE281" i="9"/>
  <c r="EB301" i="9"/>
  <c r="EK301" i="9"/>
  <c r="DZ301" i="9"/>
  <c r="EC301" i="9"/>
  <c r="EG301" i="9"/>
  <c r="EB146" i="9"/>
  <c r="EK146" i="9"/>
  <c r="DZ146" i="9"/>
  <c r="EG146" i="9"/>
  <c r="EC146" i="9"/>
  <c r="EE146" i="9"/>
  <c r="EB164" i="9"/>
  <c r="EK164" i="9"/>
  <c r="DZ164" i="9"/>
  <c r="EG164" i="9"/>
  <c r="EC164" i="9"/>
  <c r="DZ154" i="9"/>
  <c r="EB154" i="9"/>
  <c r="EK154" i="9"/>
  <c r="EC154" i="9"/>
  <c r="EG154" i="9"/>
  <c r="DZ28" i="9"/>
  <c r="EB28" i="9"/>
  <c r="EK28" i="9"/>
  <c r="EC28" i="9"/>
  <c r="EG28" i="9"/>
  <c r="DR338" i="9"/>
  <c r="EK75" i="9"/>
  <c r="DZ75" i="9"/>
  <c r="EA336" i="9"/>
  <c r="EB75" i="9"/>
  <c r="EG75" i="9"/>
  <c r="EC75" i="9"/>
  <c r="EK173" i="9"/>
  <c r="DZ173" i="9"/>
  <c r="EB173" i="9"/>
  <c r="EG173" i="9"/>
  <c r="EC173" i="9"/>
  <c r="EE173" i="9"/>
  <c r="EB194" i="9"/>
  <c r="EK194" i="9"/>
  <c r="DZ194" i="9"/>
  <c r="EG194" i="9"/>
  <c r="EC194" i="9"/>
  <c r="EE194" i="9"/>
  <c r="EB296" i="9"/>
  <c r="EK296" i="9"/>
  <c r="DZ296" i="9"/>
  <c r="EG296" i="9"/>
  <c r="EC296" i="9"/>
  <c r="EE296" i="9"/>
  <c r="EE184" i="9"/>
  <c r="EK184" i="9"/>
  <c r="DZ184" i="9"/>
  <c r="EB184" i="9"/>
  <c r="EC184" i="9"/>
  <c r="EG184" i="9"/>
  <c r="EE17" i="9"/>
  <c r="DZ134" i="9"/>
  <c r="EB134" i="9"/>
  <c r="EK134" i="9"/>
  <c r="EC134" i="9"/>
  <c r="EG134" i="9"/>
  <c r="EE134" i="9"/>
  <c r="EE212" i="9"/>
  <c r="EE227" i="9"/>
  <c r="EE222" i="9"/>
  <c r="DZ41" i="9"/>
  <c r="EB41" i="9"/>
  <c r="EK41" i="9"/>
  <c r="EC41" i="9"/>
  <c r="EG41" i="9"/>
  <c r="EB135" i="9"/>
  <c r="EK135" i="9"/>
  <c r="DZ135" i="9"/>
  <c r="EC135" i="9"/>
  <c r="EG135" i="9"/>
  <c r="EE135" i="9"/>
  <c r="EE28" i="9"/>
  <c r="EB20" i="9"/>
  <c r="EK20" i="9"/>
  <c r="DZ20" i="9"/>
  <c r="EG20" i="9"/>
  <c r="EC20" i="9"/>
  <c r="EE202" i="9"/>
  <c r="EK117" i="9"/>
  <c r="DZ117" i="9"/>
  <c r="EB117" i="9"/>
  <c r="EC117" i="9"/>
  <c r="EG117" i="9"/>
  <c r="EB116" i="9"/>
  <c r="EK116" i="9"/>
  <c r="DZ116" i="9"/>
  <c r="EC116" i="9"/>
  <c r="EG116" i="9"/>
  <c r="EB195" i="9"/>
  <c r="EK195" i="9"/>
  <c r="DZ195" i="9"/>
  <c r="EC195" i="9"/>
  <c r="EG195" i="9"/>
  <c r="DZ141" i="9"/>
  <c r="EB141" i="9"/>
  <c r="EK141" i="9"/>
  <c r="EG141" i="9"/>
  <c r="EC141" i="9"/>
  <c r="EB13" i="9"/>
  <c r="EK13" i="9"/>
  <c r="DZ13" i="9"/>
  <c r="EC13" i="9"/>
  <c r="EG13" i="9"/>
  <c r="DZ214" i="9"/>
  <c r="EB214" i="9"/>
  <c r="EK214" i="9"/>
  <c r="EC214" i="9"/>
  <c r="EG214" i="9"/>
  <c r="DZ33" i="9"/>
  <c r="EB33" i="9"/>
  <c r="EK33" i="9"/>
  <c r="EG33" i="9"/>
  <c r="EC33" i="9"/>
  <c r="DZ7" i="9"/>
  <c r="EB7" i="9"/>
  <c r="EK7" i="9"/>
  <c r="EG7" i="9"/>
  <c r="EC7" i="9"/>
  <c r="EE7" i="9"/>
  <c r="DZ60" i="9"/>
  <c r="EB60" i="9"/>
  <c r="EK60" i="9"/>
  <c r="EC60" i="9"/>
  <c r="EG60" i="9"/>
  <c r="EB130" i="9"/>
  <c r="EK130" i="9"/>
  <c r="DZ130" i="9"/>
  <c r="EG130" i="9"/>
  <c r="EC130" i="9"/>
  <c r="EB96" i="9"/>
  <c r="EK96" i="9"/>
  <c r="DZ96" i="9"/>
  <c r="EC96" i="9"/>
  <c r="EG96" i="9"/>
  <c r="EB22" i="9"/>
  <c r="EK22" i="9"/>
  <c r="DZ22" i="9"/>
  <c r="EG22" i="9"/>
  <c r="EC22" i="9"/>
  <c r="EK240" i="9"/>
  <c r="DZ240" i="9"/>
  <c r="EB240" i="9"/>
  <c r="EC240" i="9"/>
  <c r="EG240" i="9"/>
  <c r="EK82" i="9"/>
  <c r="DZ82" i="9"/>
  <c r="EB82" i="9"/>
  <c r="EG82" i="9"/>
  <c r="EC82" i="9"/>
  <c r="DZ276" i="9"/>
  <c r="EB276" i="9"/>
  <c r="EK276" i="9"/>
  <c r="EG276" i="9"/>
  <c r="EC276" i="9"/>
  <c r="EE276" i="9"/>
  <c r="EB118" i="9"/>
  <c r="EK118" i="9"/>
  <c r="DZ118" i="9"/>
  <c r="EG118" i="9"/>
  <c r="EC118" i="9"/>
  <c r="EE118" i="9"/>
  <c r="DZ156" i="9"/>
  <c r="EB156" i="9"/>
  <c r="EK156" i="9"/>
  <c r="EC156" i="9"/>
  <c r="EG156" i="9"/>
  <c r="DZ153" i="9"/>
  <c r="EB153" i="9"/>
  <c r="EK153" i="9"/>
  <c r="EG153" i="9"/>
  <c r="EC153" i="9"/>
  <c r="EE153" i="9"/>
  <c r="EE141" i="9"/>
  <c r="DZ206" i="9"/>
  <c r="EB206" i="9"/>
  <c r="EK206" i="9"/>
  <c r="EG206" i="9"/>
  <c r="EC206" i="9"/>
  <c r="EE206" i="9"/>
  <c r="EK157" i="9"/>
  <c r="DZ157" i="9"/>
  <c r="EB157" i="9"/>
  <c r="EG157" i="9"/>
  <c r="EC157" i="9"/>
  <c r="EB277" i="9"/>
  <c r="EK277" i="9"/>
  <c r="DZ277" i="9"/>
  <c r="EG277" i="9"/>
  <c r="EC277" i="9"/>
  <c r="EE156" i="9"/>
  <c r="EE63" i="9"/>
  <c r="DZ247" i="9"/>
  <c r="EB247" i="9"/>
  <c r="EK247" i="9"/>
  <c r="EC247" i="9"/>
  <c r="EG247" i="9"/>
  <c r="EE247" i="9"/>
  <c r="EE159" i="9"/>
  <c r="EB159" i="9"/>
  <c r="EK159" i="9"/>
  <c r="DZ159" i="9"/>
  <c r="EC159" i="9"/>
  <c r="EG159" i="9"/>
  <c r="DZ46" i="9"/>
  <c r="EB46" i="9"/>
  <c r="EK46" i="9"/>
  <c r="EC46" i="9"/>
  <c r="EG46" i="9"/>
  <c r="EE46" i="9"/>
  <c r="EB290" i="9"/>
  <c r="EK290" i="9"/>
  <c r="DZ290" i="9"/>
  <c r="EG290" i="9"/>
  <c r="EC290" i="9"/>
  <c r="DZ257" i="9"/>
  <c r="EB257" i="9"/>
  <c r="EK257" i="9"/>
  <c r="EC257" i="9"/>
  <c r="EG257" i="9"/>
  <c r="EB272" i="9"/>
  <c r="EK272" i="9"/>
  <c r="DZ272" i="9"/>
  <c r="EC272" i="9"/>
  <c r="EG272" i="9"/>
  <c r="EE272" i="9"/>
  <c r="DZ319" i="9"/>
  <c r="EK319" i="9"/>
  <c r="EB319" i="9"/>
  <c r="EG319" i="9"/>
  <c r="EC319" i="9"/>
  <c r="EE319" i="9"/>
  <c r="EB304" i="9"/>
  <c r="EK304" i="9"/>
  <c r="DZ304" i="9"/>
  <c r="EG304" i="9"/>
  <c r="EC304" i="9"/>
  <c r="EE304" i="9"/>
  <c r="EB236" i="9"/>
  <c r="EK236" i="9"/>
  <c r="DZ236" i="9"/>
  <c r="EC236" i="9"/>
  <c r="EG236" i="9"/>
  <c r="EE236" i="9"/>
  <c r="EB263" i="9"/>
  <c r="EK263" i="9"/>
  <c r="DZ263" i="9"/>
  <c r="EG263" i="9"/>
  <c r="EC263" i="9"/>
  <c r="EK318" i="9"/>
  <c r="EB318" i="9"/>
  <c r="DZ318" i="9"/>
  <c r="EC318" i="9"/>
  <c r="EG318" i="9"/>
  <c r="EE318" i="9"/>
  <c r="EB68" i="9"/>
  <c r="EK68" i="9"/>
  <c r="DZ68" i="9"/>
  <c r="EG68" i="9"/>
  <c r="EC68" i="9"/>
  <c r="EE68" i="9"/>
  <c r="EB29" i="9"/>
  <c r="EK29" i="9"/>
  <c r="DZ29" i="9"/>
  <c r="EC29" i="9"/>
  <c r="EG29" i="9"/>
  <c r="EE29" i="9"/>
  <c r="EB99" i="9"/>
  <c r="EK99" i="9"/>
  <c r="DZ99" i="9"/>
  <c r="EG99" i="9"/>
  <c r="EC99" i="9"/>
  <c r="EE99" i="9"/>
  <c r="EB200" i="9"/>
  <c r="EK200" i="9"/>
  <c r="DZ200" i="9"/>
  <c r="EG200" i="9"/>
  <c r="EC200" i="9"/>
  <c r="EK169" i="9"/>
  <c r="DZ169" i="9"/>
  <c r="EB169" i="9"/>
  <c r="EG169" i="9"/>
  <c r="EC169" i="9"/>
  <c r="EK241" i="9"/>
  <c r="DZ241" i="9"/>
  <c r="EB241" i="9"/>
  <c r="EG241" i="9"/>
  <c r="EC241" i="9"/>
  <c r="EB239" i="9"/>
  <c r="EK239" i="9"/>
  <c r="DZ239" i="9"/>
  <c r="EC239" i="9"/>
  <c r="EG239" i="9"/>
  <c r="EE239" i="9"/>
  <c r="EB127" i="9"/>
  <c r="EK127" i="9"/>
  <c r="DZ127" i="9"/>
  <c r="EC127" i="9"/>
  <c r="EG127" i="9"/>
  <c r="EB81" i="9"/>
  <c r="EK81" i="9"/>
  <c r="DZ81" i="9"/>
  <c r="EC81" i="9"/>
  <c r="EG81" i="9"/>
  <c r="EE81" i="9"/>
  <c r="CU394" i="9"/>
  <c r="EK76" i="9"/>
  <c r="DZ76" i="9"/>
  <c r="EB76" i="9"/>
  <c r="EC76" i="9"/>
  <c r="EG76" i="9"/>
  <c r="EE160" i="9"/>
  <c r="DZ25" i="9"/>
  <c r="EB25" i="9"/>
  <c r="EK25" i="9"/>
  <c r="EG25" i="9"/>
  <c r="EC25" i="9"/>
  <c r="EE25" i="9"/>
  <c r="EB274" i="9"/>
  <c r="EK274" i="9"/>
  <c r="DZ274" i="9"/>
  <c r="EC274" i="9"/>
  <c r="EG274" i="9"/>
  <c r="EE274" i="9"/>
  <c r="DZ150" i="9"/>
  <c r="EB150" i="9"/>
  <c r="EK150" i="9"/>
  <c r="EC150" i="9"/>
  <c r="EG150" i="9"/>
  <c r="DZ313" i="9"/>
  <c r="EK313" i="9"/>
  <c r="EB313" i="9"/>
  <c r="EG313" i="9"/>
  <c r="EC313" i="9"/>
  <c r="EE313" i="9"/>
  <c r="EE195" i="9"/>
  <c r="DZ151" i="9"/>
  <c r="EB151" i="9"/>
  <c r="EK151" i="9"/>
  <c r="EG151" i="9"/>
  <c r="EC151" i="9"/>
  <c r="EE151" i="9"/>
  <c r="EK291" i="9"/>
  <c r="DZ291" i="9"/>
  <c r="EB291" i="9"/>
  <c r="EG291" i="9"/>
  <c r="EC291" i="9"/>
  <c r="EE291" i="9"/>
  <c r="DZ213" i="9"/>
  <c r="EB213" i="9"/>
  <c r="EK213" i="9"/>
  <c r="EG213" i="9"/>
  <c r="EC213" i="9"/>
  <c r="EB122" i="9"/>
  <c r="EK122" i="9"/>
  <c r="DZ122" i="9"/>
  <c r="EG122" i="9"/>
  <c r="EC122" i="9"/>
  <c r="EE122" i="9"/>
  <c r="EK172" i="9"/>
  <c r="DZ172" i="9"/>
  <c r="EB172" i="9"/>
  <c r="EC172" i="9"/>
  <c r="EG172" i="9"/>
  <c r="EE172" i="9"/>
  <c r="EK115" i="9"/>
  <c r="DZ115" i="9"/>
  <c r="EB115" i="9"/>
  <c r="EG115" i="9"/>
  <c r="EC115" i="9"/>
  <c r="EE115" i="9"/>
  <c r="EB166" i="9"/>
  <c r="EK166" i="9"/>
  <c r="DZ166" i="9"/>
  <c r="EG166" i="9"/>
  <c r="EC166" i="9"/>
  <c r="EE166" i="9"/>
  <c r="DZ23" i="9"/>
  <c r="EB23" i="9"/>
  <c r="EK23" i="9"/>
  <c r="EG23" i="9"/>
  <c r="EC23" i="9"/>
  <c r="EB67" i="9"/>
  <c r="EK67" i="9"/>
  <c r="DZ67" i="9"/>
  <c r="EG67" i="9"/>
  <c r="EC67" i="9"/>
  <c r="EB66" i="9"/>
  <c r="EK66" i="9"/>
  <c r="DZ66" i="9"/>
  <c r="EG66" i="9"/>
  <c r="EC66" i="9"/>
  <c r="EE152" i="9"/>
  <c r="EB302" i="9"/>
  <c r="EK302" i="9"/>
  <c r="DZ302" i="9"/>
  <c r="EG302" i="9"/>
  <c r="EC302" i="9"/>
  <c r="EE47" i="9"/>
  <c r="EE13" i="9"/>
  <c r="EE108" i="9"/>
  <c r="EB108" i="9"/>
  <c r="EK108" i="9"/>
  <c r="DZ108" i="9"/>
  <c r="EC108" i="9"/>
  <c r="EG108" i="9"/>
  <c r="DZ14" i="9"/>
  <c r="EB14" i="9"/>
  <c r="EK14" i="9"/>
  <c r="EC14" i="9"/>
  <c r="EG14" i="9"/>
  <c r="EE14" i="9"/>
  <c r="DZ278" i="9"/>
  <c r="EB278" i="9"/>
  <c r="EK278" i="9"/>
  <c r="EG278" i="9"/>
  <c r="EC278" i="9"/>
  <c r="EK232" i="9"/>
  <c r="DZ232" i="9"/>
  <c r="EB232" i="9"/>
  <c r="EC232" i="9"/>
  <c r="EG232" i="9"/>
  <c r="EK224" i="9"/>
  <c r="DZ224" i="9"/>
  <c r="EB224" i="9"/>
  <c r="EC224" i="9"/>
  <c r="EG224" i="9"/>
  <c r="EB238" i="9"/>
  <c r="EK238" i="9"/>
  <c r="DZ238" i="9"/>
  <c r="EG238" i="9"/>
  <c r="EC238" i="9"/>
  <c r="EE238" i="9"/>
  <c r="DK394" i="9"/>
  <c r="DM370" i="9"/>
  <c r="DM371" i="9"/>
  <c r="DL371" i="9" s="1"/>
  <c r="EE192" i="9"/>
  <c r="EK192" i="9"/>
  <c r="DZ192" i="9"/>
  <c r="EB192" i="9"/>
  <c r="EC192" i="9"/>
  <c r="EG192" i="9"/>
  <c r="EK128" i="9"/>
  <c r="DZ128" i="9"/>
  <c r="EB128" i="9"/>
  <c r="EC128" i="9"/>
  <c r="EG128" i="9"/>
  <c r="EE128" i="9"/>
  <c r="EE22" i="9"/>
  <c r="EB147" i="9"/>
  <c r="EK147" i="9"/>
  <c r="DZ147" i="9"/>
  <c r="EC147" i="9"/>
  <c r="EG147" i="9"/>
  <c r="EB284" i="9"/>
  <c r="EK284" i="9"/>
  <c r="DZ284" i="9"/>
  <c r="EG284" i="9"/>
  <c r="EC284" i="9"/>
  <c r="EE284" i="9"/>
  <c r="EK310" i="9"/>
  <c r="DZ310" i="9"/>
  <c r="EB310" i="9"/>
  <c r="EC310" i="9"/>
  <c r="EG310" i="9"/>
  <c r="EB288" i="9"/>
  <c r="EK288" i="9"/>
  <c r="DZ288" i="9"/>
  <c r="EG288" i="9"/>
  <c r="EC288" i="9"/>
  <c r="EE147" i="9"/>
  <c r="DZ9" i="9"/>
  <c r="EB9" i="9"/>
  <c r="EB378" i="9" s="1"/>
  <c r="EK9" i="9"/>
  <c r="EK332" i="9" s="1"/>
  <c r="EG9" i="9"/>
  <c r="EG407" i="9" s="1"/>
  <c r="EC9" i="9"/>
  <c r="EA332" i="9"/>
  <c r="EE317" i="9"/>
  <c r="EB57" i="9"/>
  <c r="EK57" i="9"/>
  <c r="DZ57" i="9"/>
  <c r="EC57" i="9"/>
  <c r="EG57" i="9"/>
  <c r="EE157" i="9"/>
  <c r="EK312" i="9"/>
  <c r="DZ312" i="9"/>
  <c r="EB312" i="9"/>
  <c r="EC312" i="9"/>
  <c r="EG312" i="9"/>
  <c r="EE312" i="9"/>
  <c r="EB34" i="9"/>
  <c r="EK34" i="9"/>
  <c r="DZ34" i="9"/>
  <c r="EG34" i="9"/>
  <c r="EC34" i="9"/>
  <c r="EE34" i="9"/>
  <c r="EB226" i="9"/>
  <c r="EK226" i="9"/>
  <c r="DZ226" i="9"/>
  <c r="EC226" i="9"/>
  <c r="EG226" i="9"/>
  <c r="EE226" i="9"/>
  <c r="EE290" i="9"/>
  <c r="EK71" i="9"/>
  <c r="DZ71" i="9"/>
  <c r="EB71" i="9"/>
  <c r="EG71" i="9"/>
  <c r="EC71" i="9"/>
  <c r="EE71" i="9"/>
  <c r="EE214" i="9"/>
  <c r="EK299" i="9"/>
  <c r="DZ299" i="9"/>
  <c r="EB299" i="9"/>
  <c r="EC299" i="9"/>
  <c r="EG299" i="9"/>
  <c r="EE299" i="9"/>
  <c r="EE82" i="9"/>
  <c r="EB86" i="9"/>
  <c r="EK86" i="9"/>
  <c r="DZ86" i="9"/>
  <c r="EG86" i="9"/>
  <c r="EC86" i="9"/>
  <c r="EK297" i="9"/>
  <c r="DZ297" i="9"/>
  <c r="EB297" i="9"/>
  <c r="EG297" i="9"/>
  <c r="EC297" i="9"/>
  <c r="EK162" i="9"/>
  <c r="DZ162" i="9"/>
  <c r="EB162" i="9"/>
  <c r="EC162" i="9"/>
  <c r="EG162" i="9"/>
  <c r="EB148" i="9"/>
  <c r="EK148" i="9"/>
  <c r="DZ148" i="9"/>
  <c r="EG148" i="9"/>
  <c r="EC148" i="9"/>
  <c r="EK121" i="9"/>
  <c r="DZ121" i="9"/>
  <c r="EB121" i="9"/>
  <c r="EC121" i="9"/>
  <c r="EG121" i="9"/>
  <c r="EE191" i="9"/>
  <c r="EK191" i="9"/>
  <c r="DZ191" i="9"/>
  <c r="EB191" i="9"/>
  <c r="EG191" i="9"/>
  <c r="EC191" i="9"/>
  <c r="EE178" i="9"/>
  <c r="EB139" i="9"/>
  <c r="EK139" i="9"/>
  <c r="DZ139" i="9"/>
  <c r="EC139" i="9"/>
  <c r="EG139" i="9"/>
  <c r="EE139" i="9"/>
  <c r="EK123" i="9"/>
  <c r="DZ123" i="9"/>
  <c r="EB123" i="9"/>
  <c r="EG123" i="9"/>
  <c r="EC123" i="9"/>
  <c r="EE241" i="9"/>
  <c r="EB305" i="9"/>
  <c r="EK305" i="9"/>
  <c r="DZ305" i="9"/>
  <c r="EC305" i="9"/>
  <c r="EG305" i="9"/>
  <c r="EE305" i="9"/>
  <c r="EB221" i="9"/>
  <c r="EK221" i="9"/>
  <c r="DZ221" i="9"/>
  <c r="EC221" i="9"/>
  <c r="EG221" i="9"/>
  <c r="EB185" i="9"/>
  <c r="EK185" i="9"/>
  <c r="DZ185" i="9"/>
  <c r="EC185" i="9"/>
  <c r="EG185" i="9"/>
  <c r="EE185" i="9"/>
  <c r="EE279" i="9"/>
  <c r="EB279" i="9"/>
  <c r="EK279" i="9"/>
  <c r="DZ279" i="9"/>
  <c r="EC279" i="9"/>
  <c r="EG279" i="9"/>
  <c r="EK190" i="9"/>
  <c r="DZ190" i="9"/>
  <c r="EB190" i="9"/>
  <c r="EC190" i="9"/>
  <c r="EG190" i="9"/>
  <c r="EE78" i="9"/>
  <c r="EB193" i="9"/>
  <c r="EK193" i="9"/>
  <c r="DZ193" i="9"/>
  <c r="EC193" i="9"/>
  <c r="EG193" i="9"/>
  <c r="EB174" i="9"/>
  <c r="EK174" i="9"/>
  <c r="DZ174" i="9"/>
  <c r="EC174" i="9"/>
  <c r="EG174" i="9"/>
  <c r="EE174" i="9"/>
  <c r="EE252" i="9"/>
  <c r="EE148" i="9"/>
  <c r="DM382" i="9"/>
  <c r="DM384" i="9"/>
  <c r="DL384" i="9" s="1"/>
  <c r="EE245" i="9"/>
  <c r="EE162" i="9"/>
  <c r="EE123" i="9"/>
  <c r="DZ251" i="9"/>
  <c r="EB251" i="9"/>
  <c r="EK251" i="9"/>
  <c r="EC251" i="9"/>
  <c r="EG251" i="9"/>
  <c r="EE251" i="9"/>
  <c r="EE154" i="9"/>
  <c r="EK175" i="9"/>
  <c r="DZ175" i="9"/>
  <c r="EB175" i="9"/>
  <c r="EG175" i="9"/>
  <c r="EC175" i="9"/>
  <c r="EB18" i="9"/>
  <c r="EK18" i="9"/>
  <c r="DZ18" i="9"/>
  <c r="EG18" i="9"/>
  <c r="EC18" i="9"/>
  <c r="EE18" i="9"/>
  <c r="EE127" i="9"/>
  <c r="EE130" i="9"/>
  <c r="DM320" i="9"/>
  <c r="FN423" i="9"/>
  <c r="FI457" i="9"/>
  <c r="FI452" i="9"/>
  <c r="EE117" i="9"/>
  <c r="EE200" i="9"/>
  <c r="C85" i="4"/>
  <c r="AE383" i="9"/>
  <c r="AC383" i="9" s="1"/>
  <c r="AB383" i="9" s="1"/>
  <c r="AL333" i="9"/>
  <c r="AF379" i="9"/>
  <c r="AH408" i="9"/>
  <c r="Z379" i="9"/>
  <c r="AA333" i="9"/>
  <c r="AB333" i="9" s="1"/>
  <c r="AM333" i="9"/>
  <c r="AK333" i="9" s="1"/>
  <c r="AC333" i="9"/>
  <c r="AD333" i="9" s="1"/>
  <c r="AI408" i="9"/>
  <c r="X379" i="9"/>
  <c r="AD379" i="9"/>
  <c r="X373" i="9"/>
  <c r="AC327" i="9"/>
  <c r="AA327" i="9"/>
  <c r="AL327" i="9"/>
  <c r="AH402" i="9"/>
  <c r="AM327" i="9"/>
  <c r="AD373" i="9"/>
  <c r="AF373" i="9"/>
  <c r="AI402" i="9"/>
  <c r="Z373" i="9"/>
  <c r="AA335" i="9"/>
  <c r="AB335" i="9" s="1"/>
  <c r="AF381" i="9"/>
  <c r="AL335" i="9"/>
  <c r="X381" i="9"/>
  <c r="AH410" i="9"/>
  <c r="AD381" i="9"/>
  <c r="Z381" i="9"/>
  <c r="AM335" i="9"/>
  <c r="AK335" i="9" s="1"/>
  <c r="AC335" i="9"/>
  <c r="AD335" i="9" s="1"/>
  <c r="AI410" i="9"/>
  <c r="AC385" i="9"/>
  <c r="AB385" i="9" s="1"/>
  <c r="AB403" i="9"/>
  <c r="AB415" i="9"/>
  <c r="AC449" i="9"/>
  <c r="H13" i="2" s="1"/>
  <c r="AC448" i="9"/>
  <c r="G13" i="2" s="1"/>
  <c r="AC459" i="9"/>
  <c r="ED175" i="9" l="1"/>
  <c r="ER175" i="9"/>
  <c r="ED251" i="9"/>
  <c r="ER251" i="9"/>
  <c r="ED174" i="9"/>
  <c r="ER174" i="9"/>
  <c r="ED279" i="9"/>
  <c r="ER279" i="9"/>
  <c r="ED221" i="9"/>
  <c r="ER221" i="9"/>
  <c r="ED305" i="9"/>
  <c r="ER305" i="9"/>
  <c r="ED139" i="9"/>
  <c r="ER139" i="9"/>
  <c r="ED121" i="9"/>
  <c r="ER121" i="9"/>
  <c r="ED148" i="9"/>
  <c r="ER148" i="9"/>
  <c r="ED162" i="9"/>
  <c r="ER162" i="9"/>
  <c r="ED297" i="9"/>
  <c r="ER297" i="9"/>
  <c r="ED34" i="9"/>
  <c r="ER34" i="9"/>
  <c r="EB334" i="9"/>
  <c r="EB335" i="9"/>
  <c r="EB333" i="9"/>
  <c r="ED284" i="9"/>
  <c r="ER284" i="9"/>
  <c r="ED147" i="9"/>
  <c r="ER147" i="9"/>
  <c r="ED192" i="9"/>
  <c r="ER192" i="9"/>
  <c r="EV192" i="9" s="1"/>
  <c r="DM394" i="9"/>
  <c r="DL370" i="9"/>
  <c r="DN371" i="9"/>
  <c r="ED232" i="9"/>
  <c r="ER232" i="9"/>
  <c r="ED278" i="9"/>
  <c r="ER278" i="9"/>
  <c r="ED108" i="9"/>
  <c r="ER108" i="9"/>
  <c r="ED67" i="9"/>
  <c r="ER67" i="9"/>
  <c r="ED166" i="9"/>
  <c r="ER166" i="9"/>
  <c r="ED172" i="9"/>
  <c r="ER172" i="9"/>
  <c r="ED213" i="9"/>
  <c r="ER213" i="9"/>
  <c r="ED150" i="9"/>
  <c r="ER150" i="9"/>
  <c r="ED274" i="9"/>
  <c r="ER274" i="9"/>
  <c r="ED76" i="9"/>
  <c r="ER76" i="9"/>
  <c r="ED81" i="9"/>
  <c r="ER81" i="9"/>
  <c r="ED200" i="9"/>
  <c r="ER200" i="9"/>
  <c r="ED99" i="9"/>
  <c r="ER99" i="9"/>
  <c r="EV99" i="9" s="1"/>
  <c r="ED318" i="9"/>
  <c r="ER318" i="9"/>
  <c r="ED263" i="9"/>
  <c r="ER263" i="9"/>
  <c r="ED304" i="9"/>
  <c r="ER304" i="9"/>
  <c r="ED272" i="9"/>
  <c r="ER272" i="9"/>
  <c r="ED46" i="9"/>
  <c r="ER46" i="9"/>
  <c r="ED247" i="9"/>
  <c r="ER247" i="9"/>
  <c r="ED277" i="9"/>
  <c r="ER277" i="9"/>
  <c r="ED153" i="9"/>
  <c r="ER153" i="9"/>
  <c r="ED156" i="9"/>
  <c r="ER156" i="9"/>
  <c r="EV156" i="9" s="1"/>
  <c r="ED96" i="9"/>
  <c r="ER96" i="9"/>
  <c r="ED130" i="9"/>
  <c r="ER130" i="9"/>
  <c r="ED60" i="9"/>
  <c r="ER60" i="9"/>
  <c r="ED7" i="9"/>
  <c r="ER7" i="9"/>
  <c r="EV7" i="9" s="1"/>
  <c r="ED13" i="9"/>
  <c r="ER13" i="9"/>
  <c r="EV13" i="9" s="1"/>
  <c r="EB320" i="9"/>
  <c r="ED116" i="9"/>
  <c r="ER116" i="9"/>
  <c r="ED20" i="9"/>
  <c r="ER20" i="9"/>
  <c r="ED135" i="9"/>
  <c r="ER135" i="9"/>
  <c r="ED134" i="9"/>
  <c r="ER134" i="9"/>
  <c r="ED184" i="9"/>
  <c r="ER184" i="9"/>
  <c r="ED296" i="9"/>
  <c r="ER296" i="9"/>
  <c r="ED194" i="9"/>
  <c r="ER194" i="9"/>
  <c r="ED173" i="9"/>
  <c r="ER173" i="9"/>
  <c r="EG411" i="9"/>
  <c r="EG414" i="9"/>
  <c r="EK336" i="9"/>
  <c r="EK339" i="9"/>
  <c r="ED154" i="9"/>
  <c r="ER154" i="9"/>
  <c r="ED164" i="9"/>
  <c r="ER164" i="9"/>
  <c r="ED146" i="9"/>
  <c r="ER146" i="9"/>
  <c r="ED301" i="9"/>
  <c r="ER301" i="9"/>
  <c r="EA436" i="9"/>
  <c r="EA441" i="9"/>
  <c r="DZ320" i="9"/>
  <c r="EA435" i="9" s="1"/>
  <c r="ED265" i="9"/>
  <c r="ER265" i="9"/>
  <c r="ED92" i="9"/>
  <c r="ER92" i="9"/>
  <c r="EV92" i="9" s="1"/>
  <c r="ED207" i="9"/>
  <c r="ER207" i="9"/>
  <c r="ED314" i="9"/>
  <c r="ER314" i="9"/>
  <c r="ED52" i="9"/>
  <c r="ER52" i="9"/>
  <c r="EV52" i="9" s="1"/>
  <c r="ED98" i="9"/>
  <c r="ER98" i="9"/>
  <c r="ED90" i="9"/>
  <c r="ER90" i="9"/>
  <c r="EV90" i="9" s="1"/>
  <c r="ED259" i="9"/>
  <c r="ER259" i="9"/>
  <c r="ED222" i="9"/>
  <c r="ER222" i="9"/>
  <c r="ED74" i="9"/>
  <c r="ER74" i="9"/>
  <c r="DL378" i="9"/>
  <c r="DN381" i="9"/>
  <c r="DN380" i="9"/>
  <c r="DN379" i="9"/>
  <c r="ED203" i="9"/>
  <c r="ER203" i="9"/>
  <c r="ED10" i="9"/>
  <c r="ER10" i="9"/>
  <c r="EK324" i="9"/>
  <c r="ED233" i="9"/>
  <c r="ER233" i="9"/>
  <c r="ED120" i="9"/>
  <c r="ER120" i="9"/>
  <c r="ED228" i="9"/>
  <c r="ER228" i="9"/>
  <c r="ED245" i="9"/>
  <c r="ER245" i="9"/>
  <c r="ED144" i="9"/>
  <c r="ER144" i="9"/>
  <c r="ED26" i="9"/>
  <c r="ER26" i="9"/>
  <c r="ED254" i="9"/>
  <c r="ER254" i="9"/>
  <c r="ED171" i="9"/>
  <c r="ER171" i="9"/>
  <c r="ED55" i="9"/>
  <c r="ER55" i="9"/>
  <c r="ED227" i="9"/>
  <c r="ER227" i="9"/>
  <c r="ED188" i="9"/>
  <c r="ER188" i="9"/>
  <c r="ED37" i="9"/>
  <c r="ER37" i="9"/>
  <c r="ED234" i="9"/>
  <c r="ER234" i="9"/>
  <c r="ED84" i="9"/>
  <c r="ER84" i="9"/>
  <c r="ED78" i="9"/>
  <c r="ER78" i="9"/>
  <c r="EV78" i="9" s="1"/>
  <c r="ED105" i="9"/>
  <c r="ER105" i="9"/>
  <c r="ED255" i="9"/>
  <c r="ER255" i="9"/>
  <c r="ED44" i="9"/>
  <c r="ER44" i="9"/>
  <c r="ED178" i="9"/>
  <c r="ER178" i="9"/>
  <c r="ED246" i="9"/>
  <c r="ER246" i="9"/>
  <c r="ED202" i="9"/>
  <c r="ER202" i="9"/>
  <c r="ED282" i="9"/>
  <c r="ER282" i="9"/>
  <c r="ED102" i="9"/>
  <c r="ER102" i="9"/>
  <c r="ED244" i="9"/>
  <c r="ER244" i="9"/>
  <c r="ED30" i="9"/>
  <c r="ER30" i="9"/>
  <c r="ED138" i="9"/>
  <c r="ER138" i="9"/>
  <c r="ED63" i="9"/>
  <c r="ER63" i="9"/>
  <c r="ED36" i="9"/>
  <c r="ER36" i="9"/>
  <c r="ED160" i="9"/>
  <c r="ER160" i="9"/>
  <c r="EV160" i="9" s="1"/>
  <c r="EV200" i="9"/>
  <c r="ED18" i="9"/>
  <c r="ER18" i="9"/>
  <c r="EG320" i="9"/>
  <c r="EV154" i="9"/>
  <c r="EV245" i="9"/>
  <c r="DL382" i="9"/>
  <c r="DN384" i="9"/>
  <c r="ED193" i="9"/>
  <c r="ER193" i="9"/>
  <c r="ED190" i="9"/>
  <c r="ER190" i="9"/>
  <c r="ED185" i="9"/>
  <c r="ER185" i="9"/>
  <c r="ED123" i="9"/>
  <c r="ER123" i="9"/>
  <c r="ED191" i="9"/>
  <c r="ER191" i="9"/>
  <c r="ED86" i="9"/>
  <c r="ER86" i="9"/>
  <c r="ED299" i="9"/>
  <c r="ER299" i="9"/>
  <c r="ED71" i="9"/>
  <c r="ER71" i="9"/>
  <c r="ED226" i="9"/>
  <c r="ER226" i="9"/>
  <c r="EV34" i="9"/>
  <c r="ED312" i="9"/>
  <c r="ER312" i="9"/>
  <c r="ED57" i="9"/>
  <c r="ER57" i="9"/>
  <c r="ED9" i="9"/>
  <c r="ER9" i="9"/>
  <c r="EI334" i="9"/>
  <c r="EI335" i="9"/>
  <c r="EI333" i="9"/>
  <c r="ED288" i="9"/>
  <c r="ER288" i="9"/>
  <c r="ED310" i="9"/>
  <c r="ER310" i="9"/>
  <c r="EV284" i="9"/>
  <c r="ED128" i="9"/>
  <c r="ER128" i="9"/>
  <c r="ED238" i="9"/>
  <c r="ER238" i="9"/>
  <c r="ED224" i="9"/>
  <c r="ER224" i="9"/>
  <c r="ED14" i="9"/>
  <c r="ER14" i="9"/>
  <c r="ED302" i="9"/>
  <c r="ER302" i="9"/>
  <c r="ED66" i="9"/>
  <c r="ER66" i="9"/>
  <c r="ED23" i="9"/>
  <c r="ER23" i="9"/>
  <c r="EV166" i="9"/>
  <c r="ED115" i="9"/>
  <c r="ER115" i="9"/>
  <c r="EV115" i="9" s="1"/>
  <c r="ED122" i="9"/>
  <c r="ER122" i="9"/>
  <c r="EV122" i="9" s="1"/>
  <c r="ED291" i="9"/>
  <c r="ER291" i="9"/>
  <c r="ED151" i="9"/>
  <c r="ER151" i="9"/>
  <c r="EV151" i="9" s="1"/>
  <c r="ED313" i="9"/>
  <c r="ER313" i="9"/>
  <c r="ED25" i="9"/>
  <c r="ER25" i="9"/>
  <c r="ED127" i="9"/>
  <c r="ER127" i="9"/>
  <c r="EV127" i="9" s="1"/>
  <c r="ED239" i="9"/>
  <c r="ER239" i="9"/>
  <c r="ED241" i="9"/>
  <c r="ER241" i="9"/>
  <c r="ED169" i="9"/>
  <c r="ER169" i="9"/>
  <c r="ED29" i="9"/>
  <c r="ER29" i="9"/>
  <c r="ED68" i="9"/>
  <c r="ER68" i="9"/>
  <c r="ED236" i="9"/>
  <c r="ER236" i="9"/>
  <c r="EV304" i="9"/>
  <c r="ED319" i="9"/>
  <c r="ER319" i="9"/>
  <c r="ED257" i="9"/>
  <c r="ER257" i="9"/>
  <c r="ED290" i="9"/>
  <c r="ER290" i="9"/>
  <c r="ED159" i="9"/>
  <c r="ER159" i="9"/>
  <c r="ED157" i="9"/>
  <c r="ER157" i="9"/>
  <c r="ED206" i="9"/>
  <c r="ER206" i="9"/>
  <c r="EV153" i="9"/>
  <c r="ED118" i="9"/>
  <c r="ER118" i="9"/>
  <c r="ED276" i="9"/>
  <c r="ER276" i="9"/>
  <c r="EV276" i="9" s="1"/>
  <c r="ED82" i="9"/>
  <c r="ER82" i="9"/>
  <c r="ED240" i="9"/>
  <c r="ER240" i="9"/>
  <c r="ED22" i="9"/>
  <c r="ER22" i="9"/>
  <c r="ED33" i="9"/>
  <c r="ER33" i="9"/>
  <c r="ED214" i="9"/>
  <c r="ER214" i="9"/>
  <c r="ED141" i="9"/>
  <c r="ER141" i="9"/>
  <c r="EK320" i="9"/>
  <c r="ED195" i="9"/>
  <c r="ER195" i="9"/>
  <c r="ED117" i="9"/>
  <c r="ER117" i="9"/>
  <c r="EV202" i="9"/>
  <c r="ED41" i="9"/>
  <c r="ER41" i="9"/>
  <c r="EV222" i="9"/>
  <c r="EV296" i="9"/>
  <c r="EV194" i="9"/>
  <c r="EV173" i="9"/>
  <c r="ED75" i="9"/>
  <c r="ER75" i="9"/>
  <c r="EB382" i="9"/>
  <c r="EB385" i="9"/>
  <c r="ED28" i="9"/>
  <c r="ER28" i="9"/>
  <c r="EV146" i="9"/>
  <c r="ED281" i="9"/>
  <c r="ER281" i="9"/>
  <c r="EV281" i="9" s="1"/>
  <c r="ED5" i="9"/>
  <c r="EC320" i="9"/>
  <c r="ER5" i="9"/>
  <c r="EA434" i="9"/>
  <c r="ED182" i="9"/>
  <c r="ER182" i="9"/>
  <c r="ED94" i="9"/>
  <c r="ER94" i="9"/>
  <c r="ED294" i="9"/>
  <c r="ER294" i="9"/>
  <c r="EV294" i="9" s="1"/>
  <c r="ED217" i="9"/>
  <c r="ER217" i="9"/>
  <c r="ED110" i="9"/>
  <c r="ER110" i="9"/>
  <c r="ED12" i="9"/>
  <c r="ER12" i="9"/>
  <c r="ED106" i="9"/>
  <c r="ER106" i="9"/>
  <c r="ED196" i="9"/>
  <c r="ER196" i="9"/>
  <c r="EV259" i="9"/>
  <c r="ED189" i="9"/>
  <c r="ER189" i="9"/>
  <c r="ED145" i="9"/>
  <c r="ER145" i="9"/>
  <c r="ED165" i="9"/>
  <c r="ER165" i="9"/>
  <c r="ED181" i="9"/>
  <c r="ER181" i="9"/>
  <c r="ED248" i="9"/>
  <c r="ER248" i="9"/>
  <c r="EV30" i="9"/>
  <c r="ED316" i="9"/>
  <c r="ER316" i="9"/>
  <c r="ED264" i="9"/>
  <c r="ER264" i="9"/>
  <c r="EG399" i="9"/>
  <c r="EB370" i="9"/>
  <c r="EA348" i="9"/>
  <c r="ED100" i="9"/>
  <c r="ER100" i="9"/>
  <c r="EV36" i="9"/>
  <c r="EV233" i="9"/>
  <c r="ED161" i="9"/>
  <c r="ER161" i="9"/>
  <c r="ED250" i="9"/>
  <c r="ER250" i="9"/>
  <c r="ED286" i="9"/>
  <c r="ER286" i="9"/>
  <c r="EV26" i="9"/>
  <c r="ED309" i="9"/>
  <c r="ER309" i="9"/>
  <c r="ED111" i="9"/>
  <c r="ER111" i="9"/>
  <c r="ED79" i="9"/>
  <c r="ER79" i="9"/>
  <c r="ED49" i="9"/>
  <c r="ER49" i="9"/>
  <c r="EV55" i="9"/>
  <c r="ED15" i="9"/>
  <c r="ER15" i="9"/>
  <c r="ED231" i="9"/>
  <c r="ER231" i="9"/>
  <c r="ED183" i="9"/>
  <c r="ER183" i="9"/>
  <c r="EV37" i="9"/>
  <c r="ED252" i="9"/>
  <c r="ER252" i="9"/>
  <c r="EV252" i="9" s="1"/>
  <c r="EV84" i="9"/>
  <c r="EE320" i="9"/>
  <c r="ED83" i="9"/>
  <c r="ER83" i="9"/>
  <c r="EV83" i="9" s="1"/>
  <c r="ED140" i="9"/>
  <c r="ER140" i="9"/>
  <c r="EV140" i="9" s="1"/>
  <c r="ED229" i="9"/>
  <c r="ER229" i="9"/>
  <c r="EV44" i="9"/>
  <c r="ED208" i="9"/>
  <c r="ER208" i="9"/>
  <c r="ED176" i="9"/>
  <c r="ER176" i="9"/>
  <c r="ED42" i="9"/>
  <c r="ER42" i="9"/>
  <c r="ED21" i="9"/>
  <c r="ER21" i="9"/>
  <c r="ED50" i="9"/>
  <c r="ER50" i="9"/>
  <c r="EV282" i="9"/>
  <c r="ED317" i="9"/>
  <c r="ER317" i="9"/>
  <c r="ED170" i="9"/>
  <c r="ER170" i="9"/>
  <c r="EV170" i="9" s="1"/>
  <c r="ED212" i="9"/>
  <c r="ER212" i="9"/>
  <c r="DR332" i="9"/>
  <c r="ED53" i="9"/>
  <c r="ER53" i="9"/>
  <c r="EV53" i="9" s="1"/>
  <c r="ED17" i="9"/>
  <c r="ER17" i="9"/>
  <c r="ED47" i="9"/>
  <c r="ER47" i="9"/>
  <c r="EV47" i="9" s="1"/>
  <c r="ED152" i="9"/>
  <c r="ER152" i="9"/>
  <c r="H9" i="17"/>
  <c r="H10" i="17" s="1"/>
  <c r="I8" i="17"/>
  <c r="AC457" i="9"/>
  <c r="H24" i="2"/>
  <c r="AL325" i="9"/>
  <c r="AM325" i="9"/>
  <c r="AA325" i="9"/>
  <c r="AI400" i="9"/>
  <c r="J13" i="2"/>
  <c r="AD371" i="9"/>
  <c r="AF371" i="9"/>
  <c r="AH400" i="9"/>
  <c r="AC325" i="9"/>
  <c r="X371" i="9"/>
  <c r="Z371" i="9"/>
  <c r="AA326" i="9"/>
  <c r="AI401" i="9"/>
  <c r="X372" i="9"/>
  <c r="AC326" i="9"/>
  <c r="AL326" i="9"/>
  <c r="AF372" i="9"/>
  <c r="Z372" i="9"/>
  <c r="AM326" i="9"/>
  <c r="AH401" i="9"/>
  <c r="AD372" i="9"/>
  <c r="AE381" i="9"/>
  <c r="AC381" i="9" s="1"/>
  <c r="AB381" i="9" s="1"/>
  <c r="AG381" i="9"/>
  <c r="AG373" i="9"/>
  <c r="AE373" i="9"/>
  <c r="AK327" i="9"/>
  <c r="AD327" i="9"/>
  <c r="AC410" i="9"/>
  <c r="AB410" i="9" s="1"/>
  <c r="AC402" i="9"/>
  <c r="AB327" i="9"/>
  <c r="AC408" i="9"/>
  <c r="AB408" i="9" s="1"/>
  <c r="AG379" i="9"/>
  <c r="AE379" i="9"/>
  <c r="AC379" i="9" s="1"/>
  <c r="AB379" i="9" s="1"/>
  <c r="AC447" i="9"/>
  <c r="EK348" i="9" l="1"/>
  <c r="EK353" i="9" s="1"/>
  <c r="EA353" i="9" s="1"/>
  <c r="EA357" i="9" s="1"/>
  <c r="EB394" i="9"/>
  <c r="EI332" i="9"/>
  <c r="DN378" i="9"/>
  <c r="EB332" i="9"/>
  <c r="FB212" i="9"/>
  <c r="ES212" i="9"/>
  <c r="EQ212" i="9"/>
  <c r="EX212" i="9"/>
  <c r="ET212" i="9"/>
  <c r="EQ50" i="9"/>
  <c r="FB50" i="9"/>
  <c r="ES50" i="9"/>
  <c r="ET50" i="9"/>
  <c r="EX50" i="9"/>
  <c r="EV50" i="9"/>
  <c r="FB42" i="9"/>
  <c r="ES42" i="9"/>
  <c r="EQ42" i="9"/>
  <c r="ET42" i="9"/>
  <c r="EX42" i="9"/>
  <c r="EV42" i="9"/>
  <c r="EQ208" i="9"/>
  <c r="FB208" i="9"/>
  <c r="ES208" i="9"/>
  <c r="EX208" i="9"/>
  <c r="ET208" i="9"/>
  <c r="EV208" i="9"/>
  <c r="EQ229" i="9"/>
  <c r="ES229" i="9"/>
  <c r="FB229" i="9"/>
  <c r="ET229" i="9"/>
  <c r="EX229" i="9"/>
  <c r="EV229" i="9"/>
  <c r="EQ183" i="9"/>
  <c r="ES183" i="9"/>
  <c r="FB183" i="9"/>
  <c r="ET183" i="9"/>
  <c r="EX183" i="9"/>
  <c r="EQ231" i="9"/>
  <c r="ES231" i="9"/>
  <c r="FB231" i="9"/>
  <c r="ET231" i="9"/>
  <c r="EX231" i="9"/>
  <c r="EQ15" i="9"/>
  <c r="FB15" i="9"/>
  <c r="ES15" i="9"/>
  <c r="ET15" i="9"/>
  <c r="EX15" i="9"/>
  <c r="ES309" i="9"/>
  <c r="FB309" i="9"/>
  <c r="EQ309" i="9"/>
  <c r="EX309" i="9"/>
  <c r="ET309" i="9"/>
  <c r="EV309" i="9"/>
  <c r="ES286" i="9"/>
  <c r="FB286" i="9"/>
  <c r="EQ286" i="9"/>
  <c r="ET286" i="9"/>
  <c r="EX286" i="9"/>
  <c r="EV286" i="9"/>
  <c r="FB250" i="9"/>
  <c r="EQ250" i="9"/>
  <c r="ES250" i="9"/>
  <c r="EX250" i="9"/>
  <c r="ET250" i="9"/>
  <c r="EV250" i="9"/>
  <c r="EA442" i="9"/>
  <c r="DY478" i="9"/>
  <c r="EG423" i="9"/>
  <c r="FB248" i="9"/>
  <c r="EQ248" i="9"/>
  <c r="ES248" i="9"/>
  <c r="EX248" i="9"/>
  <c r="ET248" i="9"/>
  <c r="EV248" i="9"/>
  <c r="ES165" i="9"/>
  <c r="FB165" i="9"/>
  <c r="EQ165" i="9"/>
  <c r="EX165" i="9"/>
  <c r="ET165" i="9"/>
  <c r="EQ145" i="9"/>
  <c r="FB145" i="9"/>
  <c r="ES145" i="9"/>
  <c r="ET145" i="9"/>
  <c r="EX145" i="9"/>
  <c r="EV145" i="9"/>
  <c r="EQ189" i="9"/>
  <c r="ES189" i="9"/>
  <c r="FB189" i="9"/>
  <c r="ET189" i="9"/>
  <c r="EX189" i="9"/>
  <c r="EV189" i="9"/>
  <c r="EQ196" i="9"/>
  <c r="ES196" i="9"/>
  <c r="FB196" i="9"/>
  <c r="ET196" i="9"/>
  <c r="EX196" i="9"/>
  <c r="EQ5" i="9"/>
  <c r="FB5" i="9"/>
  <c r="ES5" i="9"/>
  <c r="ER320" i="9"/>
  <c r="ET5" i="9"/>
  <c r="EX5" i="9"/>
  <c r="EV5" i="9"/>
  <c r="EQ28" i="9"/>
  <c r="FB28" i="9"/>
  <c r="ES28" i="9"/>
  <c r="EX28" i="9"/>
  <c r="ET28" i="9"/>
  <c r="ES75" i="9"/>
  <c r="FB75" i="9"/>
  <c r="ER336" i="9"/>
  <c r="EQ75" i="9"/>
  <c r="ET75" i="9"/>
  <c r="EX75" i="9"/>
  <c r="EV75" i="9"/>
  <c r="FB141" i="9"/>
  <c r="ES141" i="9"/>
  <c r="EQ141" i="9"/>
  <c r="EX141" i="9"/>
  <c r="ET141" i="9"/>
  <c r="FB214" i="9"/>
  <c r="ES214" i="9"/>
  <c r="EQ214" i="9"/>
  <c r="EX214" i="9"/>
  <c r="ET214" i="9"/>
  <c r="FB33" i="9"/>
  <c r="ES33" i="9"/>
  <c r="EQ33" i="9"/>
  <c r="EX33" i="9"/>
  <c r="ET33" i="9"/>
  <c r="EV33" i="9"/>
  <c r="EQ206" i="9"/>
  <c r="FB206" i="9"/>
  <c r="ES206" i="9"/>
  <c r="ET206" i="9"/>
  <c r="EX206" i="9"/>
  <c r="EQ157" i="9"/>
  <c r="ES157" i="9"/>
  <c r="FB157" i="9"/>
  <c r="ET157" i="9"/>
  <c r="EX157" i="9"/>
  <c r="ES159" i="9"/>
  <c r="FB159" i="9"/>
  <c r="EQ159" i="9"/>
  <c r="EX159" i="9"/>
  <c r="ET159" i="9"/>
  <c r="ES290" i="9"/>
  <c r="FB290" i="9"/>
  <c r="EQ290" i="9"/>
  <c r="ET290" i="9"/>
  <c r="EX290" i="9"/>
  <c r="ES257" i="9"/>
  <c r="FB257" i="9"/>
  <c r="EQ257" i="9"/>
  <c r="EX257" i="9"/>
  <c r="ET257" i="9"/>
  <c r="EV257" i="9"/>
  <c r="ES319" i="9"/>
  <c r="FB319" i="9"/>
  <c r="EQ319" i="9"/>
  <c r="ET319" i="9"/>
  <c r="EX319" i="9"/>
  <c r="ES68" i="9"/>
  <c r="FB68" i="9"/>
  <c r="EQ68" i="9"/>
  <c r="ET68" i="9"/>
  <c r="EX68" i="9"/>
  <c r="FB29" i="9"/>
  <c r="ES29" i="9"/>
  <c r="EQ29" i="9"/>
  <c r="EX29" i="9"/>
  <c r="ET29" i="9"/>
  <c r="EV29" i="9"/>
  <c r="EQ169" i="9"/>
  <c r="ES169" i="9"/>
  <c r="FB169" i="9"/>
  <c r="ET169" i="9"/>
  <c r="EX169" i="9"/>
  <c r="EV169" i="9"/>
  <c r="EQ241" i="9"/>
  <c r="ES241" i="9"/>
  <c r="FB241" i="9"/>
  <c r="ET241" i="9"/>
  <c r="EX241" i="9"/>
  <c r="EQ239" i="9"/>
  <c r="ES239" i="9"/>
  <c r="FB239" i="9"/>
  <c r="ET239" i="9"/>
  <c r="EX239" i="9"/>
  <c r="EV239" i="9"/>
  <c r="FB23" i="9"/>
  <c r="ES23" i="9"/>
  <c r="EQ23" i="9"/>
  <c r="EX23" i="9"/>
  <c r="ET23" i="9"/>
  <c r="EV23" i="9"/>
  <c r="ES66" i="9"/>
  <c r="FB66" i="9"/>
  <c r="EQ66" i="9"/>
  <c r="EX66" i="9"/>
  <c r="ET66" i="9"/>
  <c r="EV66" i="9"/>
  <c r="EV302" i="9"/>
  <c r="EQ302" i="9"/>
  <c r="ES302" i="9"/>
  <c r="FB302" i="9"/>
  <c r="EX302" i="9"/>
  <c r="ET302" i="9"/>
  <c r="EQ224" i="9"/>
  <c r="ES224" i="9"/>
  <c r="FB224" i="9"/>
  <c r="EX224" i="9"/>
  <c r="ET224" i="9"/>
  <c r="EV224" i="9"/>
  <c r="ES238" i="9"/>
  <c r="FB238" i="9"/>
  <c r="EQ238" i="9"/>
  <c r="EX238" i="9"/>
  <c r="ET238" i="9"/>
  <c r="EV128" i="9"/>
  <c r="ES128" i="9"/>
  <c r="FB128" i="9"/>
  <c r="EQ128" i="9"/>
  <c r="ET128" i="9"/>
  <c r="EX128" i="9"/>
  <c r="EV9" i="9"/>
  <c r="EQ9" i="9"/>
  <c r="FB9" i="9"/>
  <c r="ES9" i="9"/>
  <c r="EX9" i="9"/>
  <c r="ET9" i="9"/>
  <c r="ER332" i="9"/>
  <c r="FB57" i="9"/>
  <c r="ES57" i="9"/>
  <c r="EQ57" i="9"/>
  <c r="EX57" i="9"/>
  <c r="ET57" i="9"/>
  <c r="EV57" i="9"/>
  <c r="EV157" i="9"/>
  <c r="ES71" i="9"/>
  <c r="FB71" i="9"/>
  <c r="EQ71" i="9"/>
  <c r="EX71" i="9"/>
  <c r="ET71" i="9"/>
  <c r="EV214" i="9"/>
  <c r="ES86" i="9"/>
  <c r="FB86" i="9"/>
  <c r="EQ86" i="9"/>
  <c r="EX86" i="9"/>
  <c r="ET86" i="9"/>
  <c r="EV86" i="9"/>
  <c r="EQ191" i="9"/>
  <c r="ES191" i="9"/>
  <c r="FB191" i="9"/>
  <c r="ET191" i="9"/>
  <c r="EX191" i="9"/>
  <c r="EV123" i="9"/>
  <c r="ES123" i="9"/>
  <c r="FB123" i="9"/>
  <c r="EQ123" i="9"/>
  <c r="EX123" i="9"/>
  <c r="ET123" i="9"/>
  <c r="ES185" i="9"/>
  <c r="FB185" i="9"/>
  <c r="EQ185" i="9"/>
  <c r="EX185" i="9"/>
  <c r="ET185" i="9"/>
  <c r="EV185" i="9"/>
  <c r="ES193" i="9"/>
  <c r="FB193" i="9"/>
  <c r="EQ193" i="9"/>
  <c r="EX193" i="9"/>
  <c r="ET193" i="9"/>
  <c r="EV193" i="9"/>
  <c r="EQ18" i="9"/>
  <c r="FB18" i="9"/>
  <c r="ES18" i="9"/>
  <c r="EX18" i="9"/>
  <c r="ET18" i="9"/>
  <c r="ES102" i="9"/>
  <c r="FB102" i="9"/>
  <c r="EQ102" i="9"/>
  <c r="ET102" i="9"/>
  <c r="EX102" i="9"/>
  <c r="EV102" i="9"/>
  <c r="EQ78" i="9"/>
  <c r="ES78" i="9"/>
  <c r="FB78" i="9"/>
  <c r="EX78" i="9"/>
  <c r="ET78" i="9"/>
  <c r="ES84" i="9"/>
  <c r="FB84" i="9"/>
  <c r="EQ84" i="9"/>
  <c r="EX84" i="9"/>
  <c r="ET84" i="9"/>
  <c r="EQ234" i="9"/>
  <c r="ES234" i="9"/>
  <c r="FB234" i="9"/>
  <c r="EX234" i="9"/>
  <c r="ET234" i="9"/>
  <c r="EV234" i="9"/>
  <c r="ES188" i="9"/>
  <c r="FB188" i="9"/>
  <c r="EQ188" i="9"/>
  <c r="EX188" i="9"/>
  <c r="ET188" i="9"/>
  <c r="EV188" i="9"/>
  <c r="EV15" i="9"/>
  <c r="FB254" i="9"/>
  <c r="EQ254" i="9"/>
  <c r="ES254" i="9"/>
  <c r="EX254" i="9"/>
  <c r="ET254" i="9"/>
  <c r="EV254" i="9"/>
  <c r="ES245" i="9"/>
  <c r="FB245" i="9"/>
  <c r="EQ245" i="9"/>
  <c r="EX245" i="9"/>
  <c r="ET245" i="9"/>
  <c r="EQ228" i="9"/>
  <c r="ES228" i="9"/>
  <c r="FB228" i="9"/>
  <c r="EX228" i="9"/>
  <c r="ET228" i="9"/>
  <c r="EV228" i="9"/>
  <c r="ES120" i="9"/>
  <c r="FB120" i="9"/>
  <c r="EQ120" i="9"/>
  <c r="ET120" i="9"/>
  <c r="EX120" i="9"/>
  <c r="EV120" i="9"/>
  <c r="ED370" i="9"/>
  <c r="ES74" i="9"/>
  <c r="FB74" i="9"/>
  <c r="EQ74" i="9"/>
  <c r="ET74" i="9"/>
  <c r="EX74" i="9"/>
  <c r="EV74" i="9"/>
  <c r="EV207" i="9"/>
  <c r="EQ207" i="9"/>
  <c r="FB207" i="9"/>
  <c r="ES207" i="9"/>
  <c r="ET207" i="9"/>
  <c r="EX207" i="9"/>
  <c r="EV165" i="9"/>
  <c r="DZ442" i="9"/>
  <c r="EQ184" i="9"/>
  <c r="ES184" i="9"/>
  <c r="FB184" i="9"/>
  <c r="EX184" i="9"/>
  <c r="ET184" i="9"/>
  <c r="FB134" i="9"/>
  <c r="ES134" i="9"/>
  <c r="EQ134" i="9"/>
  <c r="ET134" i="9"/>
  <c r="EX134" i="9"/>
  <c r="EV134" i="9"/>
  <c r="ER433" i="9"/>
  <c r="EQ135" i="9"/>
  <c r="FB135" i="9"/>
  <c r="ES135" i="9"/>
  <c r="ET135" i="9"/>
  <c r="EX135" i="9"/>
  <c r="EV135" i="9"/>
  <c r="FB13" i="9"/>
  <c r="ES13" i="9"/>
  <c r="EQ13" i="9"/>
  <c r="EX13" i="9"/>
  <c r="ET13" i="9"/>
  <c r="EQ7" i="9"/>
  <c r="FB7" i="9"/>
  <c r="ES7" i="9"/>
  <c r="ET7" i="9"/>
  <c r="EX7" i="9"/>
  <c r="FB60" i="9"/>
  <c r="ES60" i="9"/>
  <c r="EQ60" i="9"/>
  <c r="ET60" i="9"/>
  <c r="EX60" i="9"/>
  <c r="EV60" i="9"/>
  <c r="EV130" i="9"/>
  <c r="EQ130" i="9"/>
  <c r="ES130" i="9"/>
  <c r="FB130" i="9"/>
  <c r="EX130" i="9"/>
  <c r="ET130" i="9"/>
  <c r="ES96" i="9"/>
  <c r="FB96" i="9"/>
  <c r="EQ96" i="9"/>
  <c r="ET96" i="9"/>
  <c r="EX96" i="9"/>
  <c r="EV96" i="9"/>
  <c r="EQ156" i="9"/>
  <c r="FB156" i="9"/>
  <c r="ES156" i="9"/>
  <c r="EX156" i="9"/>
  <c r="ET156" i="9"/>
  <c r="EQ153" i="9"/>
  <c r="FB153" i="9"/>
  <c r="ES153" i="9"/>
  <c r="ET153" i="9"/>
  <c r="EX153" i="9"/>
  <c r="EV141" i="9"/>
  <c r="FB277" i="9"/>
  <c r="EQ277" i="9"/>
  <c r="ES277" i="9"/>
  <c r="ET277" i="9"/>
  <c r="EX277" i="9"/>
  <c r="EV277" i="9"/>
  <c r="FB247" i="9"/>
  <c r="EQ247" i="9"/>
  <c r="ES247" i="9"/>
  <c r="ET247" i="9"/>
  <c r="EX247" i="9"/>
  <c r="EV247" i="9"/>
  <c r="EV272" i="9"/>
  <c r="ES272" i="9"/>
  <c r="FB272" i="9"/>
  <c r="EQ272" i="9"/>
  <c r="ET272" i="9"/>
  <c r="EX272" i="9"/>
  <c r="EV319" i="9"/>
  <c r="EV68" i="9"/>
  <c r="EQ76" i="9"/>
  <c r="ES76" i="9"/>
  <c r="FB76" i="9"/>
  <c r="EX76" i="9"/>
  <c r="ET76" i="9"/>
  <c r="EV76" i="9"/>
  <c r="FB274" i="9"/>
  <c r="EQ274" i="9"/>
  <c r="ES274" i="9"/>
  <c r="EX274" i="9"/>
  <c r="ET274" i="9"/>
  <c r="EV274" i="9"/>
  <c r="EV213" i="9"/>
  <c r="EQ213" i="9"/>
  <c r="FB213" i="9"/>
  <c r="ES213" i="9"/>
  <c r="ET213" i="9"/>
  <c r="EX213" i="9"/>
  <c r="ES108" i="9"/>
  <c r="FB108" i="9"/>
  <c r="EQ108" i="9"/>
  <c r="ET108" i="9"/>
  <c r="EX108" i="9"/>
  <c r="ES278" i="9"/>
  <c r="FB278" i="9"/>
  <c r="EQ278" i="9"/>
  <c r="EX278" i="9"/>
  <c r="ET278" i="9"/>
  <c r="EV278" i="9"/>
  <c r="ES232" i="9"/>
  <c r="FB232" i="9"/>
  <c r="EQ232" i="9"/>
  <c r="ET232" i="9"/>
  <c r="EX232" i="9"/>
  <c r="EV232" i="9"/>
  <c r="EV238" i="9"/>
  <c r="DL394" i="9"/>
  <c r="FB147" i="9"/>
  <c r="ES147" i="9"/>
  <c r="EQ147" i="9"/>
  <c r="EX147" i="9"/>
  <c r="ET147" i="9"/>
  <c r="ES284" i="9"/>
  <c r="FB284" i="9"/>
  <c r="EQ284" i="9"/>
  <c r="ET284" i="9"/>
  <c r="EX284" i="9"/>
  <c r="EV147" i="9"/>
  <c r="EV71" i="9"/>
  <c r="ES297" i="9"/>
  <c r="FB297" i="9"/>
  <c r="EQ297" i="9"/>
  <c r="EX297" i="9"/>
  <c r="ET297" i="9"/>
  <c r="EV297" i="9"/>
  <c r="EV162" i="9"/>
  <c r="EQ162" i="9"/>
  <c r="ES162" i="9"/>
  <c r="FB162" i="9"/>
  <c r="EX162" i="9"/>
  <c r="ET162" i="9"/>
  <c r="EQ148" i="9"/>
  <c r="FB148" i="9"/>
  <c r="ES148" i="9"/>
  <c r="EX148" i="9"/>
  <c r="ET148" i="9"/>
  <c r="ES121" i="9"/>
  <c r="FB121" i="9"/>
  <c r="EQ121" i="9"/>
  <c r="EX121" i="9"/>
  <c r="ET121" i="9"/>
  <c r="EV121" i="9"/>
  <c r="EV191" i="9"/>
  <c r="FB139" i="9"/>
  <c r="ES139" i="9"/>
  <c r="EQ139" i="9"/>
  <c r="EX139" i="9"/>
  <c r="ET139" i="9"/>
  <c r="EV139" i="9"/>
  <c r="ES305" i="9"/>
  <c r="FB305" i="9"/>
  <c r="EQ305" i="9"/>
  <c r="EX305" i="9"/>
  <c r="ET305" i="9"/>
  <c r="EV305" i="9"/>
  <c r="EQ279" i="9"/>
  <c r="ES279" i="9"/>
  <c r="FB279" i="9"/>
  <c r="ET279" i="9"/>
  <c r="EX279" i="9"/>
  <c r="ES174" i="9"/>
  <c r="FB174" i="9"/>
  <c r="EQ174" i="9"/>
  <c r="ET174" i="9"/>
  <c r="EX174" i="9"/>
  <c r="EV174" i="9"/>
  <c r="EQ175" i="9"/>
  <c r="ES175" i="9"/>
  <c r="FB175" i="9"/>
  <c r="ET175" i="9"/>
  <c r="EX175" i="9"/>
  <c r="EV175" i="9"/>
  <c r="EV18" i="9"/>
  <c r="FB152" i="9"/>
  <c r="ES152" i="9"/>
  <c r="EQ152" i="9"/>
  <c r="ET152" i="9"/>
  <c r="EX152" i="9"/>
  <c r="EQ47" i="9"/>
  <c r="FB47" i="9"/>
  <c r="ES47" i="9"/>
  <c r="EX47" i="9"/>
  <c r="ET47" i="9"/>
  <c r="EV17" i="9"/>
  <c r="EQ17" i="9"/>
  <c r="FB17" i="9"/>
  <c r="ES17" i="9"/>
  <c r="ET17" i="9"/>
  <c r="EX17" i="9"/>
  <c r="EQ53" i="9"/>
  <c r="FB53" i="9"/>
  <c r="ES53" i="9"/>
  <c r="ET53" i="9"/>
  <c r="EX53" i="9"/>
  <c r="ES170" i="9"/>
  <c r="FB170" i="9"/>
  <c r="EQ170" i="9"/>
  <c r="ET170" i="9"/>
  <c r="EX170" i="9"/>
  <c r="EV317" i="9"/>
  <c r="ES317" i="9"/>
  <c r="FB317" i="9"/>
  <c r="EQ317" i="9"/>
  <c r="ET317" i="9"/>
  <c r="EX317" i="9"/>
  <c r="FB21" i="9"/>
  <c r="ES21" i="9"/>
  <c r="EQ21" i="9"/>
  <c r="EX21" i="9"/>
  <c r="ET21" i="9"/>
  <c r="EV21" i="9"/>
  <c r="ES176" i="9"/>
  <c r="FB176" i="9"/>
  <c r="EQ176" i="9"/>
  <c r="ET176" i="9"/>
  <c r="EX176" i="9"/>
  <c r="EV176" i="9"/>
  <c r="FB140" i="9"/>
  <c r="ES140" i="9"/>
  <c r="EQ140" i="9"/>
  <c r="ET140" i="9"/>
  <c r="EX140" i="9"/>
  <c r="EQ83" i="9"/>
  <c r="ES83" i="9"/>
  <c r="FB83" i="9"/>
  <c r="ET83" i="9"/>
  <c r="EX83" i="9"/>
  <c r="FB252" i="9"/>
  <c r="EQ252" i="9"/>
  <c r="ES252" i="9"/>
  <c r="EX252" i="9"/>
  <c r="ET252" i="9"/>
  <c r="EQ49" i="9"/>
  <c r="FB49" i="9"/>
  <c r="ES49" i="9"/>
  <c r="ET49" i="9"/>
  <c r="EX49" i="9"/>
  <c r="EV49" i="9"/>
  <c r="EV79" i="9"/>
  <c r="EQ79" i="9"/>
  <c r="ES79" i="9"/>
  <c r="FB79" i="9"/>
  <c r="ET79" i="9"/>
  <c r="EX79" i="9"/>
  <c r="ES111" i="9"/>
  <c r="FB111" i="9"/>
  <c r="EQ111" i="9"/>
  <c r="EX111" i="9"/>
  <c r="ET111" i="9"/>
  <c r="EV111" i="9"/>
  <c r="ES161" i="9"/>
  <c r="FB161" i="9"/>
  <c r="EQ161" i="9"/>
  <c r="EX161" i="9"/>
  <c r="ET161" i="9"/>
  <c r="ES100" i="9"/>
  <c r="FB100" i="9"/>
  <c r="EQ100" i="9"/>
  <c r="ET100" i="9"/>
  <c r="EX100" i="9"/>
  <c r="FB264" i="9"/>
  <c r="EQ264" i="9"/>
  <c r="ES264" i="9"/>
  <c r="EX264" i="9"/>
  <c r="ET264" i="9"/>
  <c r="EV264" i="9"/>
  <c r="ES316" i="9"/>
  <c r="FB316" i="9"/>
  <c r="EQ316" i="9"/>
  <c r="EX316" i="9"/>
  <c r="ET316" i="9"/>
  <c r="EV316" i="9"/>
  <c r="EQ181" i="9"/>
  <c r="ES181" i="9"/>
  <c r="FB181" i="9"/>
  <c r="ET181" i="9"/>
  <c r="EX181" i="9"/>
  <c r="EV181" i="9"/>
  <c r="EQ106" i="9"/>
  <c r="ES106" i="9"/>
  <c r="FB106" i="9"/>
  <c r="EX106" i="9"/>
  <c r="ET106" i="9"/>
  <c r="EV106" i="9"/>
  <c r="FB12" i="9"/>
  <c r="ES12" i="9"/>
  <c r="EQ12" i="9"/>
  <c r="ET12" i="9"/>
  <c r="EX12" i="9"/>
  <c r="EV12" i="9"/>
  <c r="ES110" i="9"/>
  <c r="FB110" i="9"/>
  <c r="EQ110" i="9"/>
  <c r="ET110" i="9"/>
  <c r="EX110" i="9"/>
  <c r="EV110" i="9"/>
  <c r="EQ217" i="9"/>
  <c r="FB217" i="9"/>
  <c r="ES217" i="9"/>
  <c r="ET217" i="9"/>
  <c r="EX217" i="9"/>
  <c r="EV217" i="9"/>
  <c r="EQ294" i="9"/>
  <c r="ES294" i="9"/>
  <c r="FB294" i="9"/>
  <c r="EX294" i="9"/>
  <c r="ET294" i="9"/>
  <c r="ES94" i="9"/>
  <c r="FB94" i="9"/>
  <c r="EQ94" i="9"/>
  <c r="ET94" i="9"/>
  <c r="EX94" i="9"/>
  <c r="EV94" i="9"/>
  <c r="ES182" i="9"/>
  <c r="FB182" i="9"/>
  <c r="EQ182" i="9"/>
  <c r="EX182" i="9"/>
  <c r="ET182" i="9"/>
  <c r="EV182" i="9"/>
  <c r="ES281" i="9"/>
  <c r="FB281" i="9"/>
  <c r="EQ281" i="9"/>
  <c r="EX281" i="9"/>
  <c r="ET281" i="9"/>
  <c r="ED382" i="9"/>
  <c r="ED385" i="9"/>
  <c r="EC385" i="9" s="1"/>
  <c r="EV212" i="9"/>
  <c r="EQ41" i="9"/>
  <c r="FB41" i="9"/>
  <c r="ES41" i="9"/>
  <c r="EX41" i="9"/>
  <c r="ET41" i="9"/>
  <c r="EV41" i="9"/>
  <c r="EV28" i="9"/>
  <c r="ES117" i="9"/>
  <c r="FB117" i="9"/>
  <c r="EQ117" i="9"/>
  <c r="ET117" i="9"/>
  <c r="EX117" i="9"/>
  <c r="EV195" i="9"/>
  <c r="EQ195" i="9"/>
  <c r="ES195" i="9"/>
  <c r="FB195" i="9"/>
  <c r="ET195" i="9"/>
  <c r="EX195" i="9"/>
  <c r="EQ22" i="9"/>
  <c r="FB22" i="9"/>
  <c r="ES22" i="9"/>
  <c r="ET22" i="9"/>
  <c r="EX22" i="9"/>
  <c r="ES240" i="9"/>
  <c r="FB240" i="9"/>
  <c r="EQ240" i="9"/>
  <c r="ET240" i="9"/>
  <c r="EX240" i="9"/>
  <c r="EV240" i="9"/>
  <c r="ES82" i="9"/>
  <c r="FB82" i="9"/>
  <c r="EQ82" i="9"/>
  <c r="EX82" i="9"/>
  <c r="ET82" i="9"/>
  <c r="FB276" i="9"/>
  <c r="EQ276" i="9"/>
  <c r="ES276" i="9"/>
  <c r="EX276" i="9"/>
  <c r="ET276" i="9"/>
  <c r="EQ118" i="9"/>
  <c r="ES118" i="9"/>
  <c r="FB118" i="9"/>
  <c r="EX118" i="9"/>
  <c r="ET118" i="9"/>
  <c r="EV159" i="9"/>
  <c r="EQ236" i="9"/>
  <c r="ES236" i="9"/>
  <c r="FB236" i="9"/>
  <c r="EX236" i="9"/>
  <c r="ET236" i="9"/>
  <c r="EV236" i="9"/>
  <c r="ES127" i="9"/>
  <c r="FB127" i="9"/>
  <c r="EQ127" i="9"/>
  <c r="EX127" i="9"/>
  <c r="ET127" i="9"/>
  <c r="FB25" i="9"/>
  <c r="ES25" i="9"/>
  <c r="EQ25" i="9"/>
  <c r="EX25" i="9"/>
  <c r="ET25" i="9"/>
  <c r="ES313" i="9"/>
  <c r="FB313" i="9"/>
  <c r="EQ313" i="9"/>
  <c r="ET313" i="9"/>
  <c r="EX313" i="9"/>
  <c r="EQ151" i="9"/>
  <c r="FB151" i="9"/>
  <c r="ES151" i="9"/>
  <c r="ET151" i="9"/>
  <c r="EX151" i="9"/>
  <c r="EQ291" i="9"/>
  <c r="ES291" i="9"/>
  <c r="FB291" i="9"/>
  <c r="ET291" i="9"/>
  <c r="EX291" i="9"/>
  <c r="ES122" i="9"/>
  <c r="FB122" i="9"/>
  <c r="EQ122" i="9"/>
  <c r="ET122" i="9"/>
  <c r="EX122" i="9"/>
  <c r="EQ115" i="9"/>
  <c r="ES115" i="9"/>
  <c r="FB115" i="9"/>
  <c r="ET115" i="9"/>
  <c r="EX115" i="9"/>
  <c r="EQ14" i="9"/>
  <c r="FB14" i="9"/>
  <c r="ES14" i="9"/>
  <c r="EX14" i="9"/>
  <c r="ET14" i="9"/>
  <c r="EV14" i="9"/>
  <c r="EQ310" i="9"/>
  <c r="ES310" i="9"/>
  <c r="FB310" i="9"/>
  <c r="EX310" i="9"/>
  <c r="ET310" i="9"/>
  <c r="EV310" i="9"/>
  <c r="ES288" i="9"/>
  <c r="FB288" i="9"/>
  <c r="EQ288" i="9"/>
  <c r="ET288" i="9"/>
  <c r="EX288" i="9"/>
  <c r="EV288" i="9"/>
  <c r="ED378" i="9"/>
  <c r="EC378" i="9" s="1"/>
  <c r="ES312" i="9"/>
  <c r="FB312" i="9"/>
  <c r="EQ312" i="9"/>
  <c r="ET312" i="9"/>
  <c r="EX312" i="9"/>
  <c r="EV312" i="9"/>
  <c r="ES226" i="9"/>
  <c r="FB226" i="9"/>
  <c r="EQ226" i="9"/>
  <c r="EX226" i="9"/>
  <c r="ET226" i="9"/>
  <c r="EV226" i="9"/>
  <c r="ES299" i="9"/>
  <c r="FB299" i="9"/>
  <c r="EQ299" i="9"/>
  <c r="EX299" i="9"/>
  <c r="ET299" i="9"/>
  <c r="EV299" i="9"/>
  <c r="ES190" i="9"/>
  <c r="FB190" i="9"/>
  <c r="EQ190" i="9"/>
  <c r="EX190" i="9"/>
  <c r="ET190" i="9"/>
  <c r="EV190" i="9"/>
  <c r="EQ160" i="9"/>
  <c r="ES160" i="9"/>
  <c r="FB160" i="9"/>
  <c r="EX160" i="9"/>
  <c r="ET160" i="9"/>
  <c r="FB36" i="9"/>
  <c r="ES36" i="9"/>
  <c r="EQ36" i="9"/>
  <c r="ET36" i="9"/>
  <c r="EX36" i="9"/>
  <c r="EV63" i="9"/>
  <c r="FB63" i="9"/>
  <c r="ES63" i="9"/>
  <c r="EQ63" i="9"/>
  <c r="EX63" i="9"/>
  <c r="ET63" i="9"/>
  <c r="FB138" i="9"/>
  <c r="ES138" i="9"/>
  <c r="EQ138" i="9"/>
  <c r="ET138" i="9"/>
  <c r="EX138" i="9"/>
  <c r="EV138" i="9"/>
  <c r="FB30" i="9"/>
  <c r="ES30" i="9"/>
  <c r="EQ30" i="9"/>
  <c r="ET30" i="9"/>
  <c r="EX30" i="9"/>
  <c r="FB244" i="9"/>
  <c r="EQ244" i="9"/>
  <c r="ES244" i="9"/>
  <c r="ET244" i="9"/>
  <c r="EX244" i="9"/>
  <c r="EV244" i="9"/>
  <c r="EQ282" i="9"/>
  <c r="ES282" i="9"/>
  <c r="FB282" i="9"/>
  <c r="EX282" i="9"/>
  <c r="ET282" i="9"/>
  <c r="EQ202" i="9"/>
  <c r="ES202" i="9"/>
  <c r="FB202" i="9"/>
  <c r="EX202" i="9"/>
  <c r="ET202" i="9"/>
  <c r="EV246" i="9"/>
  <c r="FB246" i="9"/>
  <c r="EQ246" i="9"/>
  <c r="ES246" i="9"/>
  <c r="EX246" i="9"/>
  <c r="ET246" i="9"/>
  <c r="EQ178" i="9"/>
  <c r="ES178" i="9"/>
  <c r="FB178" i="9"/>
  <c r="EX178" i="9"/>
  <c r="ET178" i="9"/>
  <c r="FB44" i="9"/>
  <c r="ES44" i="9"/>
  <c r="EQ44" i="9"/>
  <c r="ET44" i="9"/>
  <c r="EX44" i="9"/>
  <c r="EV255" i="9"/>
  <c r="FB255" i="9"/>
  <c r="EQ255" i="9"/>
  <c r="ES255" i="9"/>
  <c r="ET255" i="9"/>
  <c r="EX255" i="9"/>
  <c r="ES105" i="9"/>
  <c r="FB105" i="9"/>
  <c r="EQ105" i="9"/>
  <c r="ET105" i="9"/>
  <c r="EX105" i="9"/>
  <c r="EV105" i="9"/>
  <c r="FB37" i="9"/>
  <c r="ES37" i="9"/>
  <c r="EQ37" i="9"/>
  <c r="EX37" i="9"/>
  <c r="ET37" i="9"/>
  <c r="EV183" i="9"/>
  <c r="EV231" i="9"/>
  <c r="EQ227" i="9"/>
  <c r="ES227" i="9"/>
  <c r="FB227" i="9"/>
  <c r="ET227" i="9"/>
  <c r="EX227" i="9"/>
  <c r="FB55" i="9"/>
  <c r="ES55" i="9"/>
  <c r="EQ55" i="9"/>
  <c r="EX55" i="9"/>
  <c r="ET55" i="9"/>
  <c r="ES171" i="9"/>
  <c r="FB171" i="9"/>
  <c r="EQ171" i="9"/>
  <c r="EX171" i="9"/>
  <c r="ET171" i="9"/>
  <c r="EV171" i="9"/>
  <c r="EQ26" i="9"/>
  <c r="FB26" i="9"/>
  <c r="ES26" i="9"/>
  <c r="EX26" i="9"/>
  <c r="ET26" i="9"/>
  <c r="EQ144" i="9"/>
  <c r="FB144" i="9"/>
  <c r="ES144" i="9"/>
  <c r="ET144" i="9"/>
  <c r="EX144" i="9"/>
  <c r="EV144" i="9"/>
  <c r="EV161" i="9"/>
  <c r="EQ233" i="9"/>
  <c r="ES233" i="9"/>
  <c r="FB233" i="9"/>
  <c r="ET233" i="9"/>
  <c r="EX233" i="9"/>
  <c r="EV100" i="9"/>
  <c r="FB10" i="9"/>
  <c r="ES10" i="9"/>
  <c r="ER324" i="9"/>
  <c r="EQ10" i="9"/>
  <c r="EX10" i="9"/>
  <c r="ET10" i="9"/>
  <c r="EV10" i="9"/>
  <c r="ES203" i="9"/>
  <c r="FB203" i="9"/>
  <c r="EQ203" i="9"/>
  <c r="EX203" i="9"/>
  <c r="ET203" i="9"/>
  <c r="EV203" i="9"/>
  <c r="ES222" i="9"/>
  <c r="FB222" i="9"/>
  <c r="EQ222" i="9"/>
  <c r="EX222" i="9"/>
  <c r="ET222" i="9"/>
  <c r="FB259" i="9"/>
  <c r="EQ259" i="9"/>
  <c r="ES259" i="9"/>
  <c r="ET259" i="9"/>
  <c r="EX259" i="9"/>
  <c r="EQ90" i="9"/>
  <c r="ES90" i="9"/>
  <c r="FB90" i="9"/>
  <c r="EX90" i="9"/>
  <c r="ET90" i="9"/>
  <c r="EQ98" i="9"/>
  <c r="ES98" i="9"/>
  <c r="FB98" i="9"/>
  <c r="EX98" i="9"/>
  <c r="ET98" i="9"/>
  <c r="EV98" i="9"/>
  <c r="FB52" i="9"/>
  <c r="ES52" i="9"/>
  <c r="EQ52" i="9"/>
  <c r="ET52" i="9"/>
  <c r="EX52" i="9"/>
  <c r="EQ314" i="9"/>
  <c r="ES314" i="9"/>
  <c r="FB314" i="9"/>
  <c r="ET314" i="9"/>
  <c r="EX314" i="9"/>
  <c r="EV314" i="9"/>
  <c r="EV196" i="9"/>
  <c r="EQ92" i="9"/>
  <c r="ES92" i="9"/>
  <c r="FB92" i="9"/>
  <c r="ET92" i="9"/>
  <c r="EX92" i="9"/>
  <c r="FB265" i="9"/>
  <c r="EQ265" i="9"/>
  <c r="ES265" i="9"/>
  <c r="ET265" i="9"/>
  <c r="EX265" i="9"/>
  <c r="EV265" i="9"/>
  <c r="EA437" i="9"/>
  <c r="EQ301" i="9"/>
  <c r="ES301" i="9"/>
  <c r="FB301" i="9"/>
  <c r="ET301" i="9"/>
  <c r="EX301" i="9"/>
  <c r="EV301" i="9"/>
  <c r="EQ146" i="9"/>
  <c r="FB146" i="9"/>
  <c r="ES146" i="9"/>
  <c r="EX146" i="9"/>
  <c r="ET146" i="9"/>
  <c r="EQ164" i="9"/>
  <c r="ES164" i="9"/>
  <c r="FB164" i="9"/>
  <c r="ET164" i="9"/>
  <c r="EX164" i="9"/>
  <c r="EV164" i="9"/>
  <c r="FB154" i="9"/>
  <c r="ES154" i="9"/>
  <c r="EQ154" i="9"/>
  <c r="ET154" i="9"/>
  <c r="EX154" i="9"/>
  <c r="EI339" i="9"/>
  <c r="ES173" i="9"/>
  <c r="FB173" i="9"/>
  <c r="EQ173" i="9"/>
  <c r="EX173" i="9"/>
  <c r="ET173" i="9"/>
  <c r="ES194" i="9"/>
  <c r="FB194" i="9"/>
  <c r="EQ194" i="9"/>
  <c r="ET194" i="9"/>
  <c r="EX194" i="9"/>
  <c r="ES296" i="9"/>
  <c r="FB296" i="9"/>
  <c r="EQ296" i="9"/>
  <c r="ET296" i="9"/>
  <c r="EX296" i="9"/>
  <c r="EV184" i="9"/>
  <c r="EV227" i="9"/>
  <c r="ED320" i="9"/>
  <c r="FB20" i="9"/>
  <c r="ES20" i="9"/>
  <c r="EQ20" i="9"/>
  <c r="EX20" i="9"/>
  <c r="ET20" i="9"/>
  <c r="EV20" i="9"/>
  <c r="ES116" i="9"/>
  <c r="FB116" i="9"/>
  <c r="EQ116" i="9"/>
  <c r="ET116" i="9"/>
  <c r="EX116" i="9"/>
  <c r="EV116" i="9"/>
  <c r="EV118" i="9"/>
  <c r="EV206" i="9"/>
  <c r="EQ46" i="9"/>
  <c r="FB46" i="9"/>
  <c r="ES46" i="9"/>
  <c r="EX46" i="9"/>
  <c r="ET46" i="9"/>
  <c r="EV46" i="9"/>
  <c r="EQ304" i="9"/>
  <c r="ES304" i="9"/>
  <c r="FB304" i="9"/>
  <c r="EX304" i="9"/>
  <c r="ET304" i="9"/>
  <c r="FB263" i="9"/>
  <c r="EQ263" i="9"/>
  <c r="ES263" i="9"/>
  <c r="ET263" i="9"/>
  <c r="EX263" i="9"/>
  <c r="EV263" i="9"/>
  <c r="ES318" i="9"/>
  <c r="FB318" i="9"/>
  <c r="EQ318" i="9"/>
  <c r="EX318" i="9"/>
  <c r="ET318" i="9"/>
  <c r="EV318" i="9"/>
  <c r="EQ99" i="9"/>
  <c r="ES99" i="9"/>
  <c r="FB99" i="9"/>
  <c r="ET99" i="9"/>
  <c r="EX99" i="9"/>
  <c r="EQ200" i="9"/>
  <c r="ES200" i="9"/>
  <c r="FB200" i="9"/>
  <c r="EX200" i="9"/>
  <c r="ET200" i="9"/>
  <c r="EQ81" i="9"/>
  <c r="ES81" i="9"/>
  <c r="FB81" i="9"/>
  <c r="EX81" i="9"/>
  <c r="ET81" i="9"/>
  <c r="EV81" i="9"/>
  <c r="EV25" i="9"/>
  <c r="EQ150" i="9"/>
  <c r="FB150" i="9"/>
  <c r="ES150" i="9"/>
  <c r="EX150" i="9"/>
  <c r="ET150" i="9"/>
  <c r="EV150" i="9"/>
  <c r="EV313" i="9"/>
  <c r="EV291" i="9"/>
  <c r="EQ172" i="9"/>
  <c r="ES172" i="9"/>
  <c r="FB172" i="9"/>
  <c r="EX172" i="9"/>
  <c r="ET172" i="9"/>
  <c r="EV172" i="9"/>
  <c r="ES166" i="9"/>
  <c r="FB166" i="9"/>
  <c r="EQ166" i="9"/>
  <c r="ET166" i="9"/>
  <c r="EX166" i="9"/>
  <c r="EQ67" i="9"/>
  <c r="ES67" i="9"/>
  <c r="FB67" i="9"/>
  <c r="EX67" i="9"/>
  <c r="ET67" i="9"/>
  <c r="EV67" i="9"/>
  <c r="EV152" i="9"/>
  <c r="EV108" i="9"/>
  <c r="EQ192" i="9"/>
  <c r="ES192" i="9"/>
  <c r="FB192" i="9"/>
  <c r="EX192" i="9"/>
  <c r="ET192" i="9"/>
  <c r="EV22" i="9"/>
  <c r="EQ34" i="9"/>
  <c r="FB34" i="9"/>
  <c r="ES34" i="9"/>
  <c r="EX34" i="9"/>
  <c r="ET34" i="9"/>
  <c r="EV290" i="9"/>
  <c r="EV82" i="9"/>
  <c r="EV178" i="9"/>
  <c r="EV241" i="9"/>
  <c r="EQ221" i="9"/>
  <c r="ES221" i="9"/>
  <c r="FB221" i="9"/>
  <c r="ET221" i="9"/>
  <c r="EX221" i="9"/>
  <c r="EV221" i="9"/>
  <c r="EV279" i="9"/>
  <c r="EV148" i="9"/>
  <c r="ES251" i="9"/>
  <c r="FB251" i="9"/>
  <c r="EQ251" i="9"/>
  <c r="EX251" i="9"/>
  <c r="ET251" i="9"/>
  <c r="EV251" i="9"/>
  <c r="EV117" i="9"/>
  <c r="AB402" i="9"/>
  <c r="E85" i="4"/>
  <c r="AC401" i="9"/>
  <c r="AB326" i="9"/>
  <c r="AC400" i="9"/>
  <c r="AK325" i="9"/>
  <c r="AH409" i="9"/>
  <c r="AC334" i="9"/>
  <c r="AD334" i="9" s="1"/>
  <c r="AD332" i="9" s="1"/>
  <c r="AD380" i="9"/>
  <c r="AF380" i="9"/>
  <c r="AA334" i="9"/>
  <c r="AB334" i="9" s="1"/>
  <c r="AB332" i="9" s="1"/>
  <c r="AL334" i="9"/>
  <c r="X380" i="9"/>
  <c r="AM334" i="9"/>
  <c r="AK334" i="9" s="1"/>
  <c r="AK332" i="9" s="1"/>
  <c r="AI409" i="9"/>
  <c r="AC409" i="9" s="1"/>
  <c r="AB409" i="9" s="1"/>
  <c r="AB407" i="9" s="1"/>
  <c r="Z380" i="9"/>
  <c r="J24" i="2"/>
  <c r="AC373" i="9"/>
  <c r="AA493" i="9" s="1"/>
  <c r="AK326" i="9"/>
  <c r="AG372" i="9"/>
  <c r="AE372" i="9"/>
  <c r="AD326" i="9"/>
  <c r="AD325" i="9"/>
  <c r="AG371" i="9"/>
  <c r="AE371" i="9"/>
  <c r="AB325" i="9"/>
  <c r="AB324" i="9" s="1"/>
  <c r="EU251" i="9" l="1"/>
  <c r="FI251" i="9"/>
  <c r="EU172" i="9"/>
  <c r="FI172" i="9"/>
  <c r="EU150" i="9"/>
  <c r="FI150" i="9"/>
  <c r="EU200" i="9"/>
  <c r="FI200" i="9"/>
  <c r="EU99" i="9"/>
  <c r="FI99" i="9"/>
  <c r="EU263" i="9"/>
  <c r="FI263" i="9"/>
  <c r="EU304" i="9"/>
  <c r="FI304" i="9"/>
  <c r="EU46" i="9"/>
  <c r="FI46" i="9"/>
  <c r="EU20" i="9"/>
  <c r="FI20" i="9"/>
  <c r="EU194" i="9"/>
  <c r="FI194" i="9"/>
  <c r="EU173" i="9"/>
  <c r="FI173" i="9"/>
  <c r="EU154" i="9"/>
  <c r="FI154" i="9"/>
  <c r="EU164" i="9"/>
  <c r="FI164" i="9"/>
  <c r="EU146" i="9"/>
  <c r="FI146" i="9"/>
  <c r="EU265" i="9"/>
  <c r="FI265" i="9"/>
  <c r="EU314" i="9"/>
  <c r="FI314" i="9"/>
  <c r="EU98" i="9"/>
  <c r="FI98" i="9"/>
  <c r="EX399" i="9"/>
  <c r="ER348" i="9"/>
  <c r="FB324" i="9"/>
  <c r="EU144" i="9"/>
  <c r="FI144" i="9"/>
  <c r="EU26" i="9"/>
  <c r="FI26" i="9"/>
  <c r="EU171" i="9"/>
  <c r="FI171" i="9"/>
  <c r="FM171" i="9" s="1"/>
  <c r="EU105" i="9"/>
  <c r="FI105" i="9"/>
  <c r="EU246" i="9"/>
  <c r="FI246" i="9"/>
  <c r="FM246" i="9" s="1"/>
  <c r="EU202" i="9"/>
  <c r="FI202" i="9"/>
  <c r="EU244" i="9"/>
  <c r="FI244" i="9"/>
  <c r="EU36" i="9"/>
  <c r="FI36" i="9"/>
  <c r="EU160" i="9"/>
  <c r="FI160" i="9"/>
  <c r="EU312" i="9"/>
  <c r="FI312" i="9"/>
  <c r="EU310" i="9"/>
  <c r="FI310" i="9"/>
  <c r="EU14" i="9"/>
  <c r="FI14" i="9"/>
  <c r="FM14" i="9" s="1"/>
  <c r="EU122" i="9"/>
  <c r="FI122" i="9"/>
  <c r="EU151" i="9"/>
  <c r="FI151" i="9"/>
  <c r="EU127" i="9"/>
  <c r="FI127" i="9"/>
  <c r="EU236" i="9"/>
  <c r="FI236" i="9"/>
  <c r="EU276" i="9"/>
  <c r="FI276" i="9"/>
  <c r="EU240" i="9"/>
  <c r="FI240" i="9"/>
  <c r="EU195" i="9"/>
  <c r="FI195" i="9"/>
  <c r="FM195" i="9" s="1"/>
  <c r="EU117" i="9"/>
  <c r="FI117" i="9"/>
  <c r="EU41" i="9"/>
  <c r="FI41" i="9"/>
  <c r="FM41" i="9" s="1"/>
  <c r="EC382" i="9"/>
  <c r="EE385" i="9"/>
  <c r="EU281" i="9"/>
  <c r="FI281" i="9"/>
  <c r="EU94" i="9"/>
  <c r="FI94" i="9"/>
  <c r="EU294" i="9"/>
  <c r="FI294" i="9"/>
  <c r="EU106" i="9"/>
  <c r="FI106" i="9"/>
  <c r="FM106" i="9" s="1"/>
  <c r="EU181" i="9"/>
  <c r="FI181" i="9"/>
  <c r="EU316" i="9"/>
  <c r="FI316" i="9"/>
  <c r="EU264" i="9"/>
  <c r="FI264" i="9"/>
  <c r="FM264" i="9" s="1"/>
  <c r="EU100" i="9"/>
  <c r="FI100" i="9"/>
  <c r="EU111" i="9"/>
  <c r="FI111" i="9"/>
  <c r="EU79" i="9"/>
  <c r="FI79" i="9"/>
  <c r="FM79" i="9" s="1"/>
  <c r="EU252" i="9"/>
  <c r="FI252" i="9"/>
  <c r="EU83" i="9"/>
  <c r="FI83" i="9"/>
  <c r="EU176" i="9"/>
  <c r="FI176" i="9"/>
  <c r="EU317" i="9"/>
  <c r="FI317" i="9"/>
  <c r="FM317" i="9" s="1"/>
  <c r="EU170" i="9"/>
  <c r="FI170" i="9"/>
  <c r="EU17" i="9"/>
  <c r="FI17" i="9"/>
  <c r="FM17" i="9" s="1"/>
  <c r="EU175" i="9"/>
  <c r="FI175" i="9"/>
  <c r="EU174" i="9"/>
  <c r="FI174" i="9"/>
  <c r="EU305" i="9"/>
  <c r="FI305" i="9"/>
  <c r="EU139" i="9"/>
  <c r="FI139" i="9"/>
  <c r="EU148" i="9"/>
  <c r="FI148" i="9"/>
  <c r="FM148" i="9" s="1"/>
  <c r="EU297" i="9"/>
  <c r="FI297" i="9"/>
  <c r="EU284" i="9"/>
  <c r="FI284" i="9"/>
  <c r="EU147" i="9"/>
  <c r="FI147" i="9"/>
  <c r="EU278" i="9"/>
  <c r="FI278" i="9"/>
  <c r="EU108" i="9"/>
  <c r="FI108" i="9"/>
  <c r="FM108" i="9" s="1"/>
  <c r="EU247" i="9"/>
  <c r="FI247" i="9"/>
  <c r="EU277" i="9"/>
  <c r="FI277" i="9"/>
  <c r="EU153" i="9"/>
  <c r="FI153" i="9"/>
  <c r="EU156" i="9"/>
  <c r="FI156" i="9"/>
  <c r="EU7" i="9"/>
  <c r="FI7" i="9"/>
  <c r="EU13" i="9"/>
  <c r="FI13" i="9"/>
  <c r="ES320" i="9"/>
  <c r="EU134" i="9"/>
  <c r="FI134" i="9"/>
  <c r="EU184" i="9"/>
  <c r="FI184" i="9"/>
  <c r="FM184" i="9" s="1"/>
  <c r="EU74" i="9"/>
  <c r="FI74" i="9"/>
  <c r="EU228" i="9"/>
  <c r="FI228" i="9"/>
  <c r="EU188" i="9"/>
  <c r="FI188" i="9"/>
  <c r="FM188" i="9" s="1"/>
  <c r="EU234" i="9"/>
  <c r="FI234" i="9"/>
  <c r="EU78" i="9"/>
  <c r="FI78" i="9"/>
  <c r="EU18" i="9"/>
  <c r="FI18" i="9"/>
  <c r="FM18" i="9" s="1"/>
  <c r="EU193" i="9"/>
  <c r="FI193" i="9"/>
  <c r="FM193" i="9" s="1"/>
  <c r="EU185" i="9"/>
  <c r="FI185" i="9"/>
  <c r="EU191" i="9"/>
  <c r="FI191" i="9"/>
  <c r="FM191" i="9" s="1"/>
  <c r="ES335" i="9"/>
  <c r="ES333" i="9"/>
  <c r="ES334" i="9"/>
  <c r="EX407" i="9"/>
  <c r="FB332" i="9"/>
  <c r="EU238" i="9"/>
  <c r="FI238" i="9"/>
  <c r="EU224" i="9"/>
  <c r="FI224" i="9"/>
  <c r="EU302" i="9"/>
  <c r="FI302" i="9"/>
  <c r="EU239" i="9"/>
  <c r="FI239" i="9"/>
  <c r="EU29" i="9"/>
  <c r="FI29" i="9"/>
  <c r="EU68" i="9"/>
  <c r="FI68" i="9"/>
  <c r="EU319" i="9"/>
  <c r="FI319" i="9"/>
  <c r="FM319" i="9" s="1"/>
  <c r="EU157" i="9"/>
  <c r="FI157" i="9"/>
  <c r="EU33" i="9"/>
  <c r="FI33" i="9"/>
  <c r="EU141" i="9"/>
  <c r="FI141" i="9"/>
  <c r="FB320" i="9"/>
  <c r="EX411" i="9"/>
  <c r="FB336" i="9"/>
  <c r="EU28" i="9"/>
  <c r="FI28" i="9"/>
  <c r="ER441" i="9"/>
  <c r="ER436" i="9"/>
  <c r="EU250" i="9"/>
  <c r="FI250" i="9"/>
  <c r="FM250" i="9" s="1"/>
  <c r="EU309" i="9"/>
  <c r="FI309" i="9"/>
  <c r="EU231" i="9"/>
  <c r="FI231" i="9"/>
  <c r="EU229" i="9"/>
  <c r="FI229" i="9"/>
  <c r="EU42" i="9"/>
  <c r="FI42" i="9"/>
  <c r="EU50" i="9"/>
  <c r="FI50" i="9"/>
  <c r="EU212" i="9"/>
  <c r="FI212" i="9"/>
  <c r="FM251" i="9"/>
  <c r="EU221" i="9"/>
  <c r="FI221" i="9"/>
  <c r="EU34" i="9"/>
  <c r="FI34" i="9"/>
  <c r="EU192" i="9"/>
  <c r="FI192" i="9"/>
  <c r="EU67" i="9"/>
  <c r="FI67" i="9"/>
  <c r="EU166" i="9"/>
  <c r="FI166" i="9"/>
  <c r="FM150" i="9"/>
  <c r="EU81" i="9"/>
  <c r="FI81" i="9"/>
  <c r="EU318" i="9"/>
  <c r="FI318" i="9"/>
  <c r="FM46" i="9"/>
  <c r="EU116" i="9"/>
  <c r="FI116" i="9"/>
  <c r="EU296" i="9"/>
  <c r="FI296" i="9"/>
  <c r="EU301" i="9"/>
  <c r="FI301" i="9"/>
  <c r="EU92" i="9"/>
  <c r="FI92" i="9"/>
  <c r="EU52" i="9"/>
  <c r="FI52" i="9"/>
  <c r="FM98" i="9"/>
  <c r="EU90" i="9"/>
  <c r="FI90" i="9"/>
  <c r="EU259" i="9"/>
  <c r="FI259" i="9"/>
  <c r="EU222" i="9"/>
  <c r="FI222" i="9"/>
  <c r="EU203" i="9"/>
  <c r="FI203" i="9"/>
  <c r="EU10" i="9"/>
  <c r="FI10" i="9"/>
  <c r="FM10" i="9" s="1"/>
  <c r="ES370" i="9"/>
  <c r="FM100" i="9"/>
  <c r="EU233" i="9"/>
  <c r="FI233" i="9"/>
  <c r="EU55" i="9"/>
  <c r="FI55" i="9"/>
  <c r="EU227" i="9"/>
  <c r="FI227" i="9"/>
  <c r="FM231" i="9"/>
  <c r="EU37" i="9"/>
  <c r="FI37" i="9"/>
  <c r="EU255" i="9"/>
  <c r="FI255" i="9"/>
  <c r="EU44" i="9"/>
  <c r="FI44" i="9"/>
  <c r="EU178" i="9"/>
  <c r="FI178" i="9"/>
  <c r="EU282" i="9"/>
  <c r="FI282" i="9"/>
  <c r="EU30" i="9"/>
  <c r="FI30" i="9"/>
  <c r="EU138" i="9"/>
  <c r="FI138" i="9"/>
  <c r="EU63" i="9"/>
  <c r="FI63" i="9"/>
  <c r="EU190" i="9"/>
  <c r="FI190" i="9"/>
  <c r="EU299" i="9"/>
  <c r="FI299" i="9"/>
  <c r="EU226" i="9"/>
  <c r="FI226" i="9"/>
  <c r="EU288" i="9"/>
  <c r="FI288" i="9"/>
  <c r="FM310" i="9"/>
  <c r="EU115" i="9"/>
  <c r="FI115" i="9"/>
  <c r="EU291" i="9"/>
  <c r="FI291" i="9"/>
  <c r="FM291" i="9" s="1"/>
  <c r="EU313" i="9"/>
  <c r="FI313" i="9"/>
  <c r="FM313" i="9" s="1"/>
  <c r="EU25" i="9"/>
  <c r="FI25" i="9"/>
  <c r="FM25" i="9" s="1"/>
  <c r="FM236" i="9"/>
  <c r="EU118" i="9"/>
  <c r="FI118" i="9"/>
  <c r="FM118" i="9" s="1"/>
  <c r="EU82" i="9"/>
  <c r="FI82" i="9"/>
  <c r="FM82" i="9" s="1"/>
  <c r="EU22" i="9"/>
  <c r="FI22" i="9"/>
  <c r="FM212" i="9"/>
  <c r="EU182" i="9"/>
  <c r="FI182" i="9"/>
  <c r="EU217" i="9"/>
  <c r="FI217" i="9"/>
  <c r="EU110" i="9"/>
  <c r="FI110" i="9"/>
  <c r="EU12" i="9"/>
  <c r="FI12" i="9"/>
  <c r="FM316" i="9"/>
  <c r="EU161" i="9"/>
  <c r="FI161" i="9"/>
  <c r="FM161" i="9" s="1"/>
  <c r="FM111" i="9"/>
  <c r="EU49" i="9"/>
  <c r="FI49" i="9"/>
  <c r="EU140" i="9"/>
  <c r="FI140" i="9"/>
  <c r="EU21" i="9"/>
  <c r="FI21" i="9"/>
  <c r="EU53" i="9"/>
  <c r="FI53" i="9"/>
  <c r="EU47" i="9"/>
  <c r="FI47" i="9"/>
  <c r="EU152" i="9"/>
  <c r="FI152" i="9"/>
  <c r="EQ320" i="9"/>
  <c r="ER435" i="9" s="1"/>
  <c r="ER434" i="9" s="1"/>
  <c r="EU279" i="9"/>
  <c r="FI279" i="9"/>
  <c r="FM279" i="9" s="1"/>
  <c r="FM305" i="9"/>
  <c r="FM139" i="9"/>
  <c r="EU121" i="9"/>
  <c r="FI121" i="9"/>
  <c r="EU162" i="9"/>
  <c r="FI162" i="9"/>
  <c r="FM297" i="9"/>
  <c r="EU232" i="9"/>
  <c r="FI232" i="9"/>
  <c r="FM278" i="9"/>
  <c r="EU213" i="9"/>
  <c r="FI213" i="9"/>
  <c r="FM213" i="9" s="1"/>
  <c r="EU274" i="9"/>
  <c r="FI274" i="9"/>
  <c r="FM274" i="9" s="1"/>
  <c r="EU76" i="9"/>
  <c r="FI76" i="9"/>
  <c r="EU272" i="9"/>
  <c r="FI272" i="9"/>
  <c r="FM272" i="9" s="1"/>
  <c r="EU96" i="9"/>
  <c r="FI96" i="9"/>
  <c r="EU130" i="9"/>
  <c r="FI130" i="9"/>
  <c r="EU60" i="9"/>
  <c r="FI60" i="9"/>
  <c r="EU135" i="9"/>
  <c r="FI135" i="9"/>
  <c r="EU207" i="9"/>
  <c r="FI207" i="9"/>
  <c r="FM207" i="9" s="1"/>
  <c r="EC370" i="9"/>
  <c r="ED394" i="9"/>
  <c r="EU120" i="9"/>
  <c r="FI120" i="9"/>
  <c r="FM228" i="9"/>
  <c r="EU245" i="9"/>
  <c r="FI245" i="9"/>
  <c r="EU254" i="9"/>
  <c r="FI254" i="9"/>
  <c r="FM234" i="9"/>
  <c r="EU84" i="9"/>
  <c r="FI84" i="9"/>
  <c r="EU102" i="9"/>
  <c r="FI102" i="9"/>
  <c r="FM185" i="9"/>
  <c r="EU123" i="9"/>
  <c r="FI123" i="9"/>
  <c r="EU86" i="9"/>
  <c r="FI86" i="9"/>
  <c r="EU71" i="9"/>
  <c r="FI71" i="9"/>
  <c r="FM71" i="9" s="1"/>
  <c r="FM157" i="9"/>
  <c r="EU57" i="9"/>
  <c r="FI57" i="9"/>
  <c r="EU9" i="9"/>
  <c r="FI9" i="9"/>
  <c r="ES378" i="9"/>
  <c r="EU128" i="9"/>
  <c r="FI128" i="9"/>
  <c r="FM128" i="9" s="1"/>
  <c r="FM224" i="9"/>
  <c r="FM302" i="9"/>
  <c r="EU66" i="9"/>
  <c r="FI66" i="9"/>
  <c r="EU23" i="9"/>
  <c r="FI23" i="9"/>
  <c r="EU241" i="9"/>
  <c r="FI241" i="9"/>
  <c r="EU169" i="9"/>
  <c r="FI169" i="9"/>
  <c r="FM29" i="9"/>
  <c r="EU257" i="9"/>
  <c r="FI257" i="9"/>
  <c r="EU290" i="9"/>
  <c r="FI290" i="9"/>
  <c r="EU159" i="9"/>
  <c r="FI159" i="9"/>
  <c r="EU206" i="9"/>
  <c r="FI206" i="9"/>
  <c r="FM33" i="9"/>
  <c r="EU214" i="9"/>
  <c r="FI214" i="9"/>
  <c r="FM214" i="9" s="1"/>
  <c r="EX320" i="9"/>
  <c r="EU75" i="9"/>
  <c r="FI75" i="9"/>
  <c r="ES382" i="9"/>
  <c r="EV320" i="9"/>
  <c r="EU5" i="9"/>
  <c r="ET320" i="9"/>
  <c r="FI5" i="9"/>
  <c r="FM5" i="9" s="1"/>
  <c r="EU196" i="9"/>
  <c r="FI196" i="9"/>
  <c r="FM196" i="9" s="1"/>
  <c r="EU189" i="9"/>
  <c r="FI189" i="9"/>
  <c r="EU145" i="9"/>
  <c r="FI145" i="9"/>
  <c r="EU165" i="9"/>
  <c r="FI165" i="9"/>
  <c r="EU248" i="9"/>
  <c r="FI248" i="9"/>
  <c r="EU286" i="9"/>
  <c r="FI286" i="9"/>
  <c r="FM309" i="9"/>
  <c r="EU15" i="9"/>
  <c r="FI15" i="9"/>
  <c r="EU183" i="9"/>
  <c r="FI183" i="9"/>
  <c r="EU208" i="9"/>
  <c r="FI208" i="9"/>
  <c r="I9" i="17"/>
  <c r="I10" i="17" s="1"/>
  <c r="AB401" i="9"/>
  <c r="AB400" i="9"/>
  <c r="AG370" i="9"/>
  <c r="AD324" i="9"/>
  <c r="AC371" i="9"/>
  <c r="AA491" i="9" s="1"/>
  <c r="AC372" i="9"/>
  <c r="AB373" i="9"/>
  <c r="AG380" i="9"/>
  <c r="AG378" i="9" s="1"/>
  <c r="AE380" i="9"/>
  <c r="AC380" i="9" s="1"/>
  <c r="AB380" i="9" s="1"/>
  <c r="AB378" i="9" s="1"/>
  <c r="AK324" i="9"/>
  <c r="EU378" i="9" l="1"/>
  <c r="ES332" i="9"/>
  <c r="FH286" i="9"/>
  <c r="FS286" i="9"/>
  <c r="FJ286" i="9"/>
  <c r="FO286" i="9"/>
  <c r="FK286" i="9"/>
  <c r="FL286" i="9" s="1"/>
  <c r="FM286" i="9"/>
  <c r="FS165" i="9"/>
  <c r="FH165" i="9"/>
  <c r="FJ165" i="9"/>
  <c r="FK165" i="9"/>
  <c r="FL165" i="9" s="1"/>
  <c r="FO165" i="9"/>
  <c r="FJ208" i="9"/>
  <c r="FS208" i="9"/>
  <c r="FH208" i="9"/>
  <c r="FK208" i="9"/>
  <c r="FL208" i="9" s="1"/>
  <c r="FO208" i="9"/>
  <c r="FS183" i="9"/>
  <c r="FH183" i="9"/>
  <c r="FJ183" i="9"/>
  <c r="FK183" i="9"/>
  <c r="FL183" i="9" s="1"/>
  <c r="FO183" i="9"/>
  <c r="FJ15" i="9"/>
  <c r="FS15" i="9"/>
  <c r="FH15" i="9"/>
  <c r="FO15" i="9"/>
  <c r="FK15" i="9"/>
  <c r="FL15" i="9" s="1"/>
  <c r="FS189" i="9"/>
  <c r="FH189" i="9"/>
  <c r="FJ189" i="9"/>
  <c r="FK189" i="9"/>
  <c r="FL189" i="9" s="1"/>
  <c r="FO189" i="9"/>
  <c r="FM189" i="9"/>
  <c r="EU382" i="9"/>
  <c r="ET382" i="9" s="1"/>
  <c r="FM206" i="9"/>
  <c r="FJ206" i="9"/>
  <c r="FS206" i="9"/>
  <c r="FH206" i="9"/>
  <c r="FO206" i="9"/>
  <c r="FK206" i="9"/>
  <c r="FL206" i="9" s="1"/>
  <c r="FJ159" i="9"/>
  <c r="FS159" i="9"/>
  <c r="FH159" i="9"/>
  <c r="FO159" i="9"/>
  <c r="FK159" i="9"/>
  <c r="FL159" i="9" s="1"/>
  <c r="FH290" i="9"/>
  <c r="FS290" i="9"/>
  <c r="FJ290" i="9"/>
  <c r="FO290" i="9"/>
  <c r="FK290" i="9"/>
  <c r="FL290" i="9" s="1"/>
  <c r="FJ257" i="9"/>
  <c r="FS257" i="9"/>
  <c r="FH257" i="9"/>
  <c r="FO257" i="9"/>
  <c r="FK257" i="9"/>
  <c r="FL257" i="9" s="1"/>
  <c r="FJ241" i="9"/>
  <c r="FS241" i="9"/>
  <c r="FH241" i="9"/>
  <c r="FK241" i="9"/>
  <c r="FL241" i="9" s="1"/>
  <c r="FO241" i="9"/>
  <c r="FJ23" i="9"/>
  <c r="FS23" i="9"/>
  <c r="FH23" i="9"/>
  <c r="FO23" i="9"/>
  <c r="FK23" i="9"/>
  <c r="FL23" i="9" s="1"/>
  <c r="FJ66" i="9"/>
  <c r="FH66" i="9"/>
  <c r="FS66" i="9"/>
  <c r="FK66" i="9"/>
  <c r="FL66" i="9" s="1"/>
  <c r="FO66" i="9"/>
  <c r="FJ9" i="9"/>
  <c r="FS9" i="9"/>
  <c r="FH9" i="9"/>
  <c r="FO9" i="9"/>
  <c r="FK9" i="9"/>
  <c r="FL9" i="9" s="1"/>
  <c r="FI332" i="9"/>
  <c r="FJ57" i="9"/>
  <c r="FS57" i="9"/>
  <c r="FH57" i="9"/>
  <c r="FO57" i="9"/>
  <c r="FK57" i="9"/>
  <c r="FL57" i="9" s="1"/>
  <c r="FJ84" i="9"/>
  <c r="FH84" i="9"/>
  <c r="FS84" i="9"/>
  <c r="FK84" i="9"/>
  <c r="FL84" i="9" s="1"/>
  <c r="FO84" i="9"/>
  <c r="FM84" i="9"/>
  <c r="FJ254" i="9"/>
  <c r="FS254" i="9"/>
  <c r="FH254" i="9"/>
  <c r="FK254" i="9"/>
  <c r="FL254" i="9" s="1"/>
  <c r="FO254" i="9"/>
  <c r="FJ245" i="9"/>
  <c r="FS245" i="9"/>
  <c r="FH245" i="9"/>
  <c r="FO245" i="9"/>
  <c r="FK245" i="9"/>
  <c r="FL245" i="9" s="1"/>
  <c r="FM245" i="9"/>
  <c r="EU320" i="9"/>
  <c r="FM60" i="9"/>
  <c r="FJ60" i="9"/>
  <c r="FS60" i="9"/>
  <c r="FH60" i="9"/>
  <c r="FK60" i="9"/>
  <c r="FL60" i="9" s="1"/>
  <c r="FO60" i="9"/>
  <c r="FJ130" i="9"/>
  <c r="FH130" i="9"/>
  <c r="FS130" i="9"/>
  <c r="FK130" i="9"/>
  <c r="FL130" i="9" s="1"/>
  <c r="FO130" i="9"/>
  <c r="FS96" i="9"/>
  <c r="FH96" i="9"/>
  <c r="FJ96" i="9"/>
  <c r="FO96" i="9"/>
  <c r="FK96" i="9"/>
  <c r="FL96" i="9" s="1"/>
  <c r="FM96" i="9"/>
  <c r="FH272" i="9"/>
  <c r="FJ272" i="9"/>
  <c r="FS272" i="9"/>
  <c r="FO272" i="9"/>
  <c r="FK272" i="9"/>
  <c r="FL272" i="9" s="1"/>
  <c r="FH213" i="9"/>
  <c r="FJ213" i="9"/>
  <c r="FS213" i="9"/>
  <c r="FK213" i="9"/>
  <c r="FL213" i="9" s="1"/>
  <c r="FO213" i="9"/>
  <c r="FS162" i="9"/>
  <c r="FH162" i="9"/>
  <c r="FJ162" i="9"/>
  <c r="FK162" i="9"/>
  <c r="FL162" i="9" s="1"/>
  <c r="FO162" i="9"/>
  <c r="FS121" i="9"/>
  <c r="FH121" i="9"/>
  <c r="FJ121" i="9"/>
  <c r="FK121" i="9"/>
  <c r="FL121" i="9" s="1"/>
  <c r="FO121" i="9"/>
  <c r="FJ12" i="9"/>
  <c r="FS12" i="9"/>
  <c r="FH12" i="9"/>
  <c r="FO12" i="9"/>
  <c r="FK12" i="9"/>
  <c r="FL12" i="9" s="1"/>
  <c r="FM12" i="9"/>
  <c r="FS182" i="9"/>
  <c r="FH182" i="9"/>
  <c r="FJ182" i="9"/>
  <c r="FO182" i="9"/>
  <c r="FK182" i="9"/>
  <c r="FL182" i="9" s="1"/>
  <c r="FS226" i="9"/>
  <c r="FH226" i="9"/>
  <c r="FJ226" i="9"/>
  <c r="FO226" i="9"/>
  <c r="FK226" i="9"/>
  <c r="FL226" i="9" s="1"/>
  <c r="FS299" i="9"/>
  <c r="FJ299" i="9"/>
  <c r="FH299" i="9"/>
  <c r="FO299" i="9"/>
  <c r="FK299" i="9"/>
  <c r="FL299" i="9" s="1"/>
  <c r="FJ190" i="9"/>
  <c r="FS190" i="9"/>
  <c r="FH190" i="9"/>
  <c r="FK190" i="9"/>
  <c r="FL190" i="9" s="1"/>
  <c r="FO190" i="9"/>
  <c r="FJ63" i="9"/>
  <c r="FS63" i="9"/>
  <c r="FH63" i="9"/>
  <c r="FK63" i="9"/>
  <c r="FL63" i="9" s="1"/>
  <c r="FO63" i="9"/>
  <c r="FM138" i="9"/>
  <c r="FJ138" i="9"/>
  <c r="FS138" i="9"/>
  <c r="FH138" i="9"/>
  <c r="FO138" i="9"/>
  <c r="FK138" i="9"/>
  <c r="FL138" i="9" s="1"/>
  <c r="FH30" i="9"/>
  <c r="FJ30" i="9"/>
  <c r="FS30" i="9"/>
  <c r="FO30" i="9"/>
  <c r="FK30" i="9"/>
  <c r="FL30" i="9" s="1"/>
  <c r="FM30" i="9"/>
  <c r="FS282" i="9"/>
  <c r="FJ282" i="9"/>
  <c r="FH282" i="9"/>
  <c r="FK282" i="9"/>
  <c r="FL282" i="9" s="1"/>
  <c r="FO282" i="9"/>
  <c r="FM282" i="9"/>
  <c r="FH255" i="9"/>
  <c r="FJ255" i="9"/>
  <c r="FS255" i="9"/>
  <c r="FK255" i="9"/>
  <c r="FL255" i="9" s="1"/>
  <c r="FO255" i="9"/>
  <c r="FJ37" i="9"/>
  <c r="FS37" i="9"/>
  <c r="FH37" i="9"/>
  <c r="FO37" i="9"/>
  <c r="FK37" i="9"/>
  <c r="FL37" i="9" s="1"/>
  <c r="FM37" i="9"/>
  <c r="ES394" i="9"/>
  <c r="EU370" i="9"/>
  <c r="FJ52" i="9"/>
  <c r="FS52" i="9"/>
  <c r="FH52" i="9"/>
  <c r="FK52" i="9"/>
  <c r="FL52" i="9" s="1"/>
  <c r="FO52" i="9"/>
  <c r="FM52" i="9"/>
  <c r="FH296" i="9"/>
  <c r="FS296" i="9"/>
  <c r="FJ296" i="9"/>
  <c r="FO296" i="9"/>
  <c r="FK296" i="9"/>
  <c r="FL296" i="9" s="1"/>
  <c r="FM296" i="9"/>
  <c r="FS116" i="9"/>
  <c r="FH116" i="9"/>
  <c r="FJ116" i="9"/>
  <c r="FK116" i="9"/>
  <c r="FL116" i="9" s="1"/>
  <c r="FO116" i="9"/>
  <c r="FM116" i="9"/>
  <c r="FS318" i="9"/>
  <c r="FH318" i="9"/>
  <c r="FJ318" i="9"/>
  <c r="FK318" i="9"/>
  <c r="FL318" i="9" s="1"/>
  <c r="FO318" i="9"/>
  <c r="FJ81" i="9"/>
  <c r="FS81" i="9"/>
  <c r="FH81" i="9"/>
  <c r="FO81" i="9"/>
  <c r="FK81" i="9"/>
  <c r="FL81" i="9" s="1"/>
  <c r="FJ192" i="9"/>
  <c r="FS192" i="9"/>
  <c r="FH192" i="9"/>
  <c r="FK192" i="9"/>
  <c r="FL192" i="9" s="1"/>
  <c r="FO192" i="9"/>
  <c r="FM192" i="9"/>
  <c r="FJ34" i="9"/>
  <c r="FS34" i="9"/>
  <c r="FH34" i="9"/>
  <c r="FK34" i="9"/>
  <c r="FL34" i="9" s="1"/>
  <c r="FO34" i="9"/>
  <c r="FM34" i="9"/>
  <c r="FS221" i="9"/>
  <c r="FH221" i="9"/>
  <c r="FJ221" i="9"/>
  <c r="FO221" i="9"/>
  <c r="FK221" i="9"/>
  <c r="FL221" i="9" s="1"/>
  <c r="FM221" i="9"/>
  <c r="FH42" i="9"/>
  <c r="FJ42" i="9"/>
  <c r="FS42" i="9"/>
  <c r="FO42" i="9"/>
  <c r="FK42" i="9"/>
  <c r="FL42" i="9" s="1"/>
  <c r="FM42" i="9"/>
  <c r="FJ229" i="9"/>
  <c r="FS229" i="9"/>
  <c r="FH229" i="9"/>
  <c r="FK229" i="9"/>
  <c r="FL229" i="9" s="1"/>
  <c r="FO229" i="9"/>
  <c r="FM229" i="9"/>
  <c r="ER437" i="9"/>
  <c r="FH28" i="9"/>
  <c r="FS28" i="9"/>
  <c r="FJ28" i="9"/>
  <c r="FO28" i="9"/>
  <c r="FK28" i="9"/>
  <c r="FL28" i="9" s="1"/>
  <c r="FS319" i="9"/>
  <c r="FH319" i="9"/>
  <c r="FJ319" i="9"/>
  <c r="FO319" i="9"/>
  <c r="FK319" i="9"/>
  <c r="FL319" i="9" s="1"/>
  <c r="FS68" i="9"/>
  <c r="FH68" i="9"/>
  <c r="FJ68" i="9"/>
  <c r="FO68" i="9"/>
  <c r="FK68" i="9"/>
  <c r="FL68" i="9" s="1"/>
  <c r="FH29" i="9"/>
  <c r="FS29" i="9"/>
  <c r="FJ29" i="9"/>
  <c r="FO29" i="9"/>
  <c r="FK29" i="9"/>
  <c r="FL29" i="9" s="1"/>
  <c r="FJ239" i="9"/>
  <c r="FS239" i="9"/>
  <c r="FH239" i="9"/>
  <c r="FK239" i="9"/>
  <c r="FL239" i="9" s="1"/>
  <c r="FO239" i="9"/>
  <c r="FM239" i="9"/>
  <c r="FM66" i="9"/>
  <c r="EZ335" i="9"/>
  <c r="EZ333" i="9"/>
  <c r="EZ334" i="9"/>
  <c r="FJ185" i="9"/>
  <c r="FS185" i="9"/>
  <c r="FH185" i="9"/>
  <c r="FO185" i="9"/>
  <c r="FK185" i="9"/>
  <c r="FL185" i="9" s="1"/>
  <c r="FJ193" i="9"/>
  <c r="FS193" i="9"/>
  <c r="FH193" i="9"/>
  <c r="FO193" i="9"/>
  <c r="FK193" i="9"/>
  <c r="FL193" i="9" s="1"/>
  <c r="FH18" i="9"/>
  <c r="FJ18" i="9"/>
  <c r="FS18" i="9"/>
  <c r="FO18" i="9"/>
  <c r="FK18" i="9"/>
  <c r="FL18" i="9" s="1"/>
  <c r="FM78" i="9"/>
  <c r="FS78" i="9"/>
  <c r="FH78" i="9"/>
  <c r="FJ78" i="9"/>
  <c r="FK78" i="9"/>
  <c r="FL78" i="9" s="1"/>
  <c r="FO78" i="9"/>
  <c r="FS234" i="9"/>
  <c r="FH234" i="9"/>
  <c r="FJ234" i="9"/>
  <c r="FK234" i="9"/>
  <c r="FL234" i="9" s="1"/>
  <c r="FO234" i="9"/>
  <c r="FJ188" i="9"/>
  <c r="FH188" i="9"/>
  <c r="FS188" i="9"/>
  <c r="FK188" i="9"/>
  <c r="FL188" i="9" s="1"/>
  <c r="FO188" i="9"/>
  <c r="FM15" i="9"/>
  <c r="FJ228" i="9"/>
  <c r="FS228" i="9"/>
  <c r="FH228" i="9"/>
  <c r="FO228" i="9"/>
  <c r="FK228" i="9"/>
  <c r="FL228" i="9" s="1"/>
  <c r="FJ184" i="9"/>
  <c r="FS184" i="9"/>
  <c r="FH184" i="9"/>
  <c r="FO184" i="9"/>
  <c r="FK184" i="9"/>
  <c r="FL184" i="9" s="1"/>
  <c r="FJ134" i="9"/>
  <c r="FS134" i="9"/>
  <c r="FH134" i="9"/>
  <c r="FO134" i="9"/>
  <c r="FK134" i="9"/>
  <c r="FL134" i="9" s="1"/>
  <c r="FM134" i="9"/>
  <c r="FH13" i="9"/>
  <c r="FJ13" i="9"/>
  <c r="FS13" i="9"/>
  <c r="FK13" i="9"/>
  <c r="FL13" i="9" s="1"/>
  <c r="FO13" i="9"/>
  <c r="FM13" i="9"/>
  <c r="FM7" i="9"/>
  <c r="FH7" i="9"/>
  <c r="FS7" i="9"/>
  <c r="FJ7" i="9"/>
  <c r="FK7" i="9"/>
  <c r="FL7" i="9" s="1"/>
  <c r="FO7" i="9"/>
  <c r="FM130" i="9"/>
  <c r="FJ277" i="9"/>
  <c r="FS277" i="9"/>
  <c r="FH277" i="9"/>
  <c r="FK277" i="9"/>
  <c r="FL277" i="9" s="1"/>
  <c r="FO277" i="9"/>
  <c r="FM277" i="9"/>
  <c r="FM68" i="9"/>
  <c r="FJ147" i="9"/>
  <c r="FS147" i="9"/>
  <c r="FH147" i="9"/>
  <c r="FO147" i="9"/>
  <c r="FK147" i="9"/>
  <c r="FL147" i="9" s="1"/>
  <c r="FH284" i="9"/>
  <c r="FS284" i="9"/>
  <c r="FJ284" i="9"/>
  <c r="FO284" i="9"/>
  <c r="FK284" i="9"/>
  <c r="FL284" i="9" s="1"/>
  <c r="FM284" i="9"/>
  <c r="FM147" i="9"/>
  <c r="FH148" i="9"/>
  <c r="FJ148" i="9"/>
  <c r="FS148" i="9"/>
  <c r="FK148" i="9"/>
  <c r="FL148" i="9" s="1"/>
  <c r="FO148" i="9"/>
  <c r="FM121" i="9"/>
  <c r="FS175" i="9"/>
  <c r="FH175" i="9"/>
  <c r="FJ175" i="9"/>
  <c r="FK175" i="9"/>
  <c r="FL175" i="9" s="1"/>
  <c r="FO175" i="9"/>
  <c r="FM175" i="9"/>
  <c r="FH17" i="9"/>
  <c r="FS17" i="9"/>
  <c r="FJ17" i="9"/>
  <c r="FK17" i="9"/>
  <c r="FL17" i="9" s="1"/>
  <c r="FO17" i="9"/>
  <c r="FS170" i="9"/>
  <c r="FH170" i="9"/>
  <c r="FJ170" i="9"/>
  <c r="FO170" i="9"/>
  <c r="FK170" i="9"/>
  <c r="FL170" i="9" s="1"/>
  <c r="FM170" i="9"/>
  <c r="FJ176" i="9"/>
  <c r="FS176" i="9"/>
  <c r="FH176" i="9"/>
  <c r="FO176" i="9"/>
  <c r="FK176" i="9"/>
  <c r="FL176" i="9" s="1"/>
  <c r="FM176" i="9"/>
  <c r="FJ79" i="9"/>
  <c r="FS79" i="9"/>
  <c r="FH79" i="9"/>
  <c r="FO79" i="9"/>
  <c r="FK79" i="9"/>
  <c r="FL79" i="9" s="1"/>
  <c r="FJ111" i="9"/>
  <c r="FS111" i="9"/>
  <c r="FH111" i="9"/>
  <c r="FO111" i="9"/>
  <c r="FK111" i="9"/>
  <c r="FL111" i="9" s="1"/>
  <c r="FJ100" i="9"/>
  <c r="FH100" i="9"/>
  <c r="FS100" i="9"/>
  <c r="FK100" i="9"/>
  <c r="FL100" i="9" s="1"/>
  <c r="FO100" i="9"/>
  <c r="FH264" i="9"/>
  <c r="FJ264" i="9"/>
  <c r="FS264" i="9"/>
  <c r="FO264" i="9"/>
  <c r="FK264" i="9"/>
  <c r="FL264" i="9" s="1"/>
  <c r="FJ316" i="9"/>
  <c r="FS316" i="9"/>
  <c r="FH316" i="9"/>
  <c r="FO316" i="9"/>
  <c r="FK316" i="9"/>
  <c r="FL316" i="9" s="1"/>
  <c r="FJ181" i="9"/>
  <c r="FS181" i="9"/>
  <c r="FH181" i="9"/>
  <c r="FO181" i="9"/>
  <c r="FK181" i="9"/>
  <c r="FL181" i="9" s="1"/>
  <c r="FM181" i="9"/>
  <c r="FM182" i="9"/>
  <c r="FS117" i="9"/>
  <c r="FH117" i="9"/>
  <c r="FJ117" i="9"/>
  <c r="FO117" i="9"/>
  <c r="FK117" i="9"/>
  <c r="FL117" i="9" s="1"/>
  <c r="FH276" i="9"/>
  <c r="FJ276" i="9"/>
  <c r="FS276" i="9"/>
  <c r="FO276" i="9"/>
  <c r="FK276" i="9"/>
  <c r="FL276" i="9" s="1"/>
  <c r="FM276" i="9"/>
  <c r="FJ236" i="9"/>
  <c r="FH236" i="9"/>
  <c r="FS236" i="9"/>
  <c r="FO236" i="9"/>
  <c r="FK236" i="9"/>
  <c r="FL236" i="9" s="1"/>
  <c r="FJ127" i="9"/>
  <c r="FS127" i="9"/>
  <c r="FH127" i="9"/>
  <c r="FO127" i="9"/>
  <c r="FK127" i="9"/>
  <c r="FL127" i="9" s="1"/>
  <c r="FM127" i="9"/>
  <c r="FH151" i="9"/>
  <c r="FJ151" i="9"/>
  <c r="FS151" i="9"/>
  <c r="FK151" i="9"/>
  <c r="FL151" i="9" s="1"/>
  <c r="FO151" i="9"/>
  <c r="FM151" i="9"/>
  <c r="FJ122" i="9"/>
  <c r="FS122" i="9"/>
  <c r="FH122" i="9"/>
  <c r="FK122" i="9"/>
  <c r="FL122" i="9" s="1"/>
  <c r="FO122" i="9"/>
  <c r="FM122" i="9"/>
  <c r="FJ14" i="9"/>
  <c r="FS14" i="9"/>
  <c r="FH14" i="9"/>
  <c r="FK14" i="9"/>
  <c r="FL14" i="9" s="1"/>
  <c r="FO14" i="9"/>
  <c r="FS310" i="9"/>
  <c r="FJ310" i="9"/>
  <c r="FH310" i="9"/>
  <c r="FK310" i="9"/>
  <c r="FL310" i="9" s="1"/>
  <c r="FO310" i="9"/>
  <c r="FM226" i="9"/>
  <c r="FM190" i="9"/>
  <c r="FH244" i="9"/>
  <c r="FJ244" i="9"/>
  <c r="FS244" i="9"/>
  <c r="FO244" i="9"/>
  <c r="FK244" i="9"/>
  <c r="FL244" i="9" s="1"/>
  <c r="FM244" i="9"/>
  <c r="FM183" i="9"/>
  <c r="FB348" i="9"/>
  <c r="FB353" i="9" s="1"/>
  <c r="ER353" i="9" s="1"/>
  <c r="ER357" i="9" s="1"/>
  <c r="ER442" i="9"/>
  <c r="EP478" i="9"/>
  <c r="FS98" i="9"/>
  <c r="FH98" i="9"/>
  <c r="FJ98" i="9"/>
  <c r="FO98" i="9"/>
  <c r="FK98" i="9"/>
  <c r="FL98" i="9" s="1"/>
  <c r="FJ314" i="9"/>
  <c r="FH314" i="9"/>
  <c r="FS314" i="9"/>
  <c r="FO314" i="9"/>
  <c r="FK314" i="9"/>
  <c r="FL314" i="9" s="1"/>
  <c r="FM314" i="9"/>
  <c r="FJ146" i="9"/>
  <c r="FS146" i="9"/>
  <c r="FH146" i="9"/>
  <c r="FK146" i="9"/>
  <c r="FL146" i="9" s="1"/>
  <c r="FO146" i="9"/>
  <c r="FM146" i="9"/>
  <c r="FJ164" i="9"/>
  <c r="FS164" i="9"/>
  <c r="FH164" i="9"/>
  <c r="FO164" i="9"/>
  <c r="FK164" i="9"/>
  <c r="FL164" i="9" s="1"/>
  <c r="FM164" i="9"/>
  <c r="FM20" i="9"/>
  <c r="FH20" i="9"/>
  <c r="FJ20" i="9"/>
  <c r="FS20" i="9"/>
  <c r="FO20" i="9"/>
  <c r="FK20" i="9"/>
  <c r="FL20" i="9" s="1"/>
  <c r="FM318" i="9"/>
  <c r="FJ150" i="9"/>
  <c r="FS150" i="9"/>
  <c r="FH150" i="9"/>
  <c r="FK150" i="9"/>
  <c r="FL150" i="9" s="1"/>
  <c r="FO150" i="9"/>
  <c r="FM290" i="9"/>
  <c r="FJ248" i="9"/>
  <c r="FS248" i="9"/>
  <c r="FH248" i="9"/>
  <c r="FK248" i="9"/>
  <c r="FL248" i="9" s="1"/>
  <c r="FO248" i="9"/>
  <c r="FH145" i="9"/>
  <c r="FJ145" i="9"/>
  <c r="FS145" i="9"/>
  <c r="FK145" i="9"/>
  <c r="FL145" i="9" s="1"/>
  <c r="FO145" i="9"/>
  <c r="FM145" i="9"/>
  <c r="FS196" i="9"/>
  <c r="FH196" i="9"/>
  <c r="FJ196" i="9"/>
  <c r="FO196" i="9"/>
  <c r="FK196" i="9"/>
  <c r="FL196" i="9" s="1"/>
  <c r="FJ5" i="9"/>
  <c r="FS5" i="9"/>
  <c r="FH5" i="9"/>
  <c r="FI433" i="9"/>
  <c r="FK5" i="9"/>
  <c r="FO5" i="9"/>
  <c r="FI336" i="9"/>
  <c r="FJ75" i="9"/>
  <c r="FS75" i="9"/>
  <c r="FH75" i="9"/>
  <c r="FO75" i="9"/>
  <c r="FK75" i="9"/>
  <c r="FL75" i="9" s="1"/>
  <c r="FM75" i="9"/>
  <c r="FJ214" i="9"/>
  <c r="FS214" i="9"/>
  <c r="FH214" i="9"/>
  <c r="FO214" i="9"/>
  <c r="FK214" i="9"/>
  <c r="FL214" i="9" s="1"/>
  <c r="FS169" i="9"/>
  <c r="FH169" i="9"/>
  <c r="FJ169" i="9"/>
  <c r="FK169" i="9"/>
  <c r="FL169" i="9" s="1"/>
  <c r="FO169" i="9"/>
  <c r="FM169" i="9"/>
  <c r="FJ128" i="9"/>
  <c r="FS128" i="9"/>
  <c r="FH128" i="9"/>
  <c r="FO128" i="9"/>
  <c r="FK128" i="9"/>
  <c r="FL128" i="9" s="1"/>
  <c r="ET378" i="9"/>
  <c r="FJ71" i="9"/>
  <c r="FS71" i="9"/>
  <c r="FH71" i="9"/>
  <c r="FO71" i="9"/>
  <c r="FK71" i="9"/>
  <c r="FL71" i="9" s="1"/>
  <c r="FM86" i="9"/>
  <c r="FS86" i="9"/>
  <c r="FH86" i="9"/>
  <c r="FJ86" i="9"/>
  <c r="FO86" i="9"/>
  <c r="FK86" i="9"/>
  <c r="FL86" i="9" s="1"/>
  <c r="FS123" i="9"/>
  <c r="FH123" i="9"/>
  <c r="FJ123" i="9"/>
  <c r="FK123" i="9"/>
  <c r="FL123" i="9" s="1"/>
  <c r="FO123" i="9"/>
  <c r="FJ102" i="9"/>
  <c r="FS102" i="9"/>
  <c r="FH102" i="9"/>
  <c r="FK102" i="9"/>
  <c r="FL102" i="9" s="1"/>
  <c r="FO102" i="9"/>
  <c r="FM102" i="9"/>
  <c r="FS120" i="9"/>
  <c r="FH120" i="9"/>
  <c r="FJ120" i="9"/>
  <c r="FO120" i="9"/>
  <c r="FK120" i="9"/>
  <c r="FL120" i="9" s="1"/>
  <c r="FM120" i="9"/>
  <c r="EC394" i="9"/>
  <c r="FJ207" i="9"/>
  <c r="FS207" i="9"/>
  <c r="FH207" i="9"/>
  <c r="FO207" i="9"/>
  <c r="FK207" i="9"/>
  <c r="FL207" i="9" s="1"/>
  <c r="FM165" i="9"/>
  <c r="FI320" i="9"/>
  <c r="FJ135" i="9"/>
  <c r="FS135" i="9"/>
  <c r="FH135" i="9"/>
  <c r="FO135" i="9"/>
  <c r="FK135" i="9"/>
  <c r="FL135" i="9" s="1"/>
  <c r="FM135" i="9"/>
  <c r="FS76" i="9"/>
  <c r="FH76" i="9"/>
  <c r="FJ76" i="9"/>
  <c r="FO76" i="9"/>
  <c r="FK76" i="9"/>
  <c r="FL76" i="9" s="1"/>
  <c r="FH274" i="9"/>
  <c r="FJ274" i="9"/>
  <c r="FS274" i="9"/>
  <c r="FO274" i="9"/>
  <c r="FK274" i="9"/>
  <c r="FL274" i="9" s="1"/>
  <c r="FS232" i="9"/>
  <c r="FH232" i="9"/>
  <c r="FJ232" i="9"/>
  <c r="FO232" i="9"/>
  <c r="FK232" i="9"/>
  <c r="FL232" i="9" s="1"/>
  <c r="FM232" i="9"/>
  <c r="FH279" i="9"/>
  <c r="FS279" i="9"/>
  <c r="FJ279" i="9"/>
  <c r="FO279" i="9"/>
  <c r="FK279" i="9"/>
  <c r="FL279" i="9" s="1"/>
  <c r="FJ152" i="9"/>
  <c r="FS152" i="9"/>
  <c r="FH152" i="9"/>
  <c r="FK152" i="9"/>
  <c r="FL152" i="9" s="1"/>
  <c r="FO152" i="9"/>
  <c r="FJ47" i="9"/>
  <c r="FS47" i="9"/>
  <c r="FH47" i="9"/>
  <c r="FO47" i="9"/>
  <c r="FK47" i="9"/>
  <c r="FL47" i="9" s="1"/>
  <c r="FM47" i="9"/>
  <c r="FJ53" i="9"/>
  <c r="FS53" i="9"/>
  <c r="FH53" i="9"/>
  <c r="FK53" i="9"/>
  <c r="FL53" i="9" s="1"/>
  <c r="FO53" i="9"/>
  <c r="FM53" i="9"/>
  <c r="FJ21" i="9"/>
  <c r="FS21" i="9"/>
  <c r="FH21" i="9"/>
  <c r="FK21" i="9"/>
  <c r="FL21" i="9" s="1"/>
  <c r="FO21" i="9"/>
  <c r="FJ140" i="9"/>
  <c r="FS140" i="9"/>
  <c r="FH140" i="9"/>
  <c r="FK140" i="9"/>
  <c r="FL140" i="9" s="1"/>
  <c r="FO140" i="9"/>
  <c r="FM140" i="9"/>
  <c r="FJ49" i="9"/>
  <c r="FS49" i="9"/>
  <c r="FH49" i="9"/>
  <c r="FK49" i="9"/>
  <c r="FL49" i="9" s="1"/>
  <c r="FO49" i="9"/>
  <c r="FM49" i="9"/>
  <c r="FS161" i="9"/>
  <c r="FH161" i="9"/>
  <c r="FJ161" i="9"/>
  <c r="FK161" i="9"/>
  <c r="FL161" i="9" s="1"/>
  <c r="FO161" i="9"/>
  <c r="FM110" i="9"/>
  <c r="FS110" i="9"/>
  <c r="FH110" i="9"/>
  <c r="FJ110" i="9"/>
  <c r="FO110" i="9"/>
  <c r="FK110" i="9"/>
  <c r="FL110" i="9" s="1"/>
  <c r="FH217" i="9"/>
  <c r="FJ217" i="9"/>
  <c r="FS217" i="9"/>
  <c r="FK217" i="9"/>
  <c r="FL217" i="9" s="1"/>
  <c r="FO217" i="9"/>
  <c r="FM217" i="9"/>
  <c r="FH22" i="9"/>
  <c r="FJ22" i="9"/>
  <c r="FS22" i="9"/>
  <c r="FO22" i="9"/>
  <c r="FK22" i="9"/>
  <c r="FL22" i="9" s="1"/>
  <c r="FS82" i="9"/>
  <c r="FH82" i="9"/>
  <c r="FJ82" i="9"/>
  <c r="FO82" i="9"/>
  <c r="FK82" i="9"/>
  <c r="FL82" i="9" s="1"/>
  <c r="FJ118" i="9"/>
  <c r="FH118" i="9"/>
  <c r="FS118" i="9"/>
  <c r="FK118" i="9"/>
  <c r="FL118" i="9" s="1"/>
  <c r="FO118" i="9"/>
  <c r="FM159" i="9"/>
  <c r="FJ25" i="9"/>
  <c r="FS25" i="9"/>
  <c r="FH25" i="9"/>
  <c r="FO25" i="9"/>
  <c r="FK25" i="9"/>
  <c r="FL25" i="9" s="1"/>
  <c r="FJ313" i="9"/>
  <c r="FS313" i="9"/>
  <c r="FH313" i="9"/>
  <c r="FK313" i="9"/>
  <c r="FL313" i="9" s="1"/>
  <c r="FO313" i="9"/>
  <c r="FH291" i="9"/>
  <c r="FS291" i="9"/>
  <c r="FJ291" i="9"/>
  <c r="FK291" i="9"/>
  <c r="FL291" i="9" s="1"/>
  <c r="FO291" i="9"/>
  <c r="FS115" i="9"/>
  <c r="FH115" i="9"/>
  <c r="FJ115" i="9"/>
  <c r="FK115" i="9"/>
  <c r="FL115" i="9" s="1"/>
  <c r="FO115" i="9"/>
  <c r="FM115" i="9"/>
  <c r="FS288" i="9"/>
  <c r="FJ288" i="9"/>
  <c r="FH288" i="9"/>
  <c r="FK288" i="9"/>
  <c r="FL288" i="9" s="1"/>
  <c r="FO288" i="9"/>
  <c r="FM288" i="9"/>
  <c r="FS178" i="9"/>
  <c r="FH178" i="9"/>
  <c r="FJ178" i="9"/>
  <c r="FO178" i="9"/>
  <c r="FK178" i="9"/>
  <c r="FL178" i="9" s="1"/>
  <c r="FJ44" i="9"/>
  <c r="FS44" i="9"/>
  <c r="FH44" i="9"/>
  <c r="FO44" i="9"/>
  <c r="FK44" i="9"/>
  <c r="FL44" i="9" s="1"/>
  <c r="FM44" i="9"/>
  <c r="FM255" i="9"/>
  <c r="FS227" i="9"/>
  <c r="FH227" i="9"/>
  <c r="FJ227" i="9"/>
  <c r="FO227" i="9"/>
  <c r="FK227" i="9"/>
  <c r="FL227" i="9" s="1"/>
  <c r="FJ55" i="9"/>
  <c r="FS55" i="9"/>
  <c r="FH55" i="9"/>
  <c r="FO55" i="9"/>
  <c r="FK55" i="9"/>
  <c r="FL55" i="9" s="1"/>
  <c r="FM55" i="9"/>
  <c r="FS233" i="9"/>
  <c r="FH233" i="9"/>
  <c r="FJ233" i="9"/>
  <c r="FO233" i="9"/>
  <c r="FK233" i="9"/>
  <c r="FL233" i="9" s="1"/>
  <c r="FM233" i="9"/>
  <c r="FJ10" i="9"/>
  <c r="FS10" i="9"/>
  <c r="FI324" i="9"/>
  <c r="FH10" i="9"/>
  <c r="FK10" i="9"/>
  <c r="FL10" i="9" s="1"/>
  <c r="FO10" i="9"/>
  <c r="FJ203" i="9"/>
  <c r="FS203" i="9"/>
  <c r="FH203" i="9"/>
  <c r="FO203" i="9"/>
  <c r="FK203" i="9"/>
  <c r="FL203" i="9" s="1"/>
  <c r="FJ222" i="9"/>
  <c r="FS222" i="9"/>
  <c r="FH222" i="9"/>
  <c r="FO222" i="9"/>
  <c r="FK222" i="9"/>
  <c r="FL222" i="9" s="1"/>
  <c r="FM222" i="9"/>
  <c r="FJ259" i="9"/>
  <c r="FS259" i="9"/>
  <c r="FH259" i="9"/>
  <c r="FO259" i="9"/>
  <c r="FK259" i="9"/>
  <c r="FL259" i="9" s="1"/>
  <c r="FM259" i="9"/>
  <c r="FJ90" i="9"/>
  <c r="FH90" i="9"/>
  <c r="FS90" i="9"/>
  <c r="FO90" i="9"/>
  <c r="FK90" i="9"/>
  <c r="FL90" i="9" s="1"/>
  <c r="FM90" i="9"/>
  <c r="FS92" i="9"/>
  <c r="FH92" i="9"/>
  <c r="FJ92" i="9"/>
  <c r="FO92" i="9"/>
  <c r="FK92" i="9"/>
  <c r="FL92" i="9" s="1"/>
  <c r="FM92" i="9"/>
  <c r="FS301" i="9"/>
  <c r="FJ301" i="9"/>
  <c r="FH301" i="9"/>
  <c r="FO301" i="9"/>
  <c r="FK301" i="9"/>
  <c r="FL301" i="9" s="1"/>
  <c r="FM301" i="9"/>
  <c r="FJ166" i="9"/>
  <c r="FS166" i="9"/>
  <c r="FH166" i="9"/>
  <c r="FK166" i="9"/>
  <c r="FL166" i="9" s="1"/>
  <c r="FO166" i="9"/>
  <c r="FM166" i="9"/>
  <c r="FS67" i="9"/>
  <c r="FH67" i="9"/>
  <c r="FJ67" i="9"/>
  <c r="FK67" i="9"/>
  <c r="FL67" i="9" s="1"/>
  <c r="FO67" i="9"/>
  <c r="FM152" i="9"/>
  <c r="FM241" i="9"/>
  <c r="FH212" i="9"/>
  <c r="FJ212" i="9"/>
  <c r="FS212" i="9"/>
  <c r="FO212" i="9"/>
  <c r="FK212" i="9"/>
  <c r="FL212" i="9" s="1"/>
  <c r="FH50" i="9"/>
  <c r="FJ50" i="9"/>
  <c r="FS50" i="9"/>
  <c r="FO50" i="9"/>
  <c r="FK50" i="9"/>
  <c r="FL50" i="9" s="1"/>
  <c r="FM50" i="9"/>
  <c r="FM208" i="9"/>
  <c r="FJ231" i="9"/>
  <c r="FS231" i="9"/>
  <c r="FH231" i="9"/>
  <c r="FK231" i="9"/>
  <c r="FL231" i="9" s="1"/>
  <c r="FO231" i="9"/>
  <c r="FH309" i="9"/>
  <c r="FS309" i="9"/>
  <c r="FJ309" i="9"/>
  <c r="FK309" i="9"/>
  <c r="FL309" i="9" s="1"/>
  <c r="FO309" i="9"/>
  <c r="FJ250" i="9"/>
  <c r="FS250" i="9"/>
  <c r="FH250" i="9"/>
  <c r="FK250" i="9"/>
  <c r="FL250" i="9" s="1"/>
  <c r="FO250" i="9"/>
  <c r="FM248" i="9"/>
  <c r="EQ442" i="9"/>
  <c r="FH141" i="9"/>
  <c r="FJ141" i="9"/>
  <c r="FS141" i="9"/>
  <c r="FK141" i="9"/>
  <c r="FL141" i="9" s="1"/>
  <c r="FO141" i="9"/>
  <c r="FJ33" i="9"/>
  <c r="FS33" i="9"/>
  <c r="FH33" i="9"/>
  <c r="FO33" i="9"/>
  <c r="FK33" i="9"/>
  <c r="FL33" i="9" s="1"/>
  <c r="FJ157" i="9"/>
  <c r="FS157" i="9"/>
  <c r="FH157" i="9"/>
  <c r="FO157" i="9"/>
  <c r="FK157" i="9"/>
  <c r="FL157" i="9" s="1"/>
  <c r="FM257" i="9"/>
  <c r="FM23" i="9"/>
  <c r="FH302" i="9"/>
  <c r="FS302" i="9"/>
  <c r="FJ302" i="9"/>
  <c r="FO302" i="9"/>
  <c r="FK302" i="9"/>
  <c r="FL302" i="9" s="1"/>
  <c r="FJ224" i="9"/>
  <c r="FS224" i="9"/>
  <c r="FH224" i="9"/>
  <c r="FK224" i="9"/>
  <c r="FL224" i="9" s="1"/>
  <c r="FO224" i="9"/>
  <c r="FJ238" i="9"/>
  <c r="FS238" i="9"/>
  <c r="FH238" i="9"/>
  <c r="FO238" i="9"/>
  <c r="FK238" i="9"/>
  <c r="FL238" i="9" s="1"/>
  <c r="FM9" i="9"/>
  <c r="FM57" i="9"/>
  <c r="FS191" i="9"/>
  <c r="FH191" i="9"/>
  <c r="FJ191" i="9"/>
  <c r="FK191" i="9"/>
  <c r="FL191" i="9" s="1"/>
  <c r="FO191" i="9"/>
  <c r="FM123" i="9"/>
  <c r="FM254" i="9"/>
  <c r="FS74" i="9"/>
  <c r="FH74" i="9"/>
  <c r="FJ74" i="9"/>
  <c r="FK74" i="9"/>
  <c r="FL74" i="9" s="1"/>
  <c r="FO74" i="9"/>
  <c r="FM74" i="9"/>
  <c r="FH156" i="9"/>
  <c r="FS156" i="9"/>
  <c r="FJ156" i="9"/>
  <c r="FO156" i="9"/>
  <c r="FK156" i="9"/>
  <c r="FL156" i="9" s="1"/>
  <c r="FM156" i="9"/>
  <c r="FJ153" i="9"/>
  <c r="FS153" i="9"/>
  <c r="FH153" i="9"/>
  <c r="FO153" i="9"/>
  <c r="FK153" i="9"/>
  <c r="FL153" i="9" s="1"/>
  <c r="FM153" i="9"/>
  <c r="FM141" i="9"/>
  <c r="FJ247" i="9"/>
  <c r="FS247" i="9"/>
  <c r="FH247" i="9"/>
  <c r="FO247" i="9"/>
  <c r="FK247" i="9"/>
  <c r="FL247" i="9" s="1"/>
  <c r="FM247" i="9"/>
  <c r="FM76" i="9"/>
  <c r="FS108" i="9"/>
  <c r="FH108" i="9"/>
  <c r="FJ108" i="9"/>
  <c r="FK108" i="9"/>
  <c r="FL108" i="9" s="1"/>
  <c r="FO108" i="9"/>
  <c r="FJ278" i="9"/>
  <c r="FS278" i="9"/>
  <c r="FH278" i="9"/>
  <c r="FO278" i="9"/>
  <c r="FK278" i="9"/>
  <c r="FL278" i="9" s="1"/>
  <c r="FM238" i="9"/>
  <c r="FS297" i="9"/>
  <c r="FJ297" i="9"/>
  <c r="FH297" i="9"/>
  <c r="FO297" i="9"/>
  <c r="FK297" i="9"/>
  <c r="FL297" i="9" s="1"/>
  <c r="FM162" i="9"/>
  <c r="FH139" i="9"/>
  <c r="FJ139" i="9"/>
  <c r="FS139" i="9"/>
  <c r="FK139" i="9"/>
  <c r="FL139" i="9" s="1"/>
  <c r="FO139" i="9"/>
  <c r="FH305" i="9"/>
  <c r="FS305" i="9"/>
  <c r="FJ305" i="9"/>
  <c r="FO305" i="9"/>
  <c r="FK305" i="9"/>
  <c r="FL305" i="9" s="1"/>
  <c r="FS174" i="9"/>
  <c r="FH174" i="9"/>
  <c r="FJ174" i="9"/>
  <c r="FO174" i="9"/>
  <c r="FK174" i="9"/>
  <c r="FL174" i="9" s="1"/>
  <c r="FM174" i="9"/>
  <c r="FJ317" i="9"/>
  <c r="FS317" i="9"/>
  <c r="FH317" i="9"/>
  <c r="FK317" i="9"/>
  <c r="FL317" i="9" s="1"/>
  <c r="FO317" i="9"/>
  <c r="FM21" i="9"/>
  <c r="FM83" i="9"/>
  <c r="FJ83" i="9"/>
  <c r="FS83" i="9"/>
  <c r="FH83" i="9"/>
  <c r="FK83" i="9"/>
  <c r="FL83" i="9" s="1"/>
  <c r="FO83" i="9"/>
  <c r="FJ252" i="9"/>
  <c r="FS252" i="9"/>
  <c r="FH252" i="9"/>
  <c r="FK252" i="9"/>
  <c r="FL252" i="9" s="1"/>
  <c r="FO252" i="9"/>
  <c r="FM252" i="9"/>
  <c r="FJ106" i="9"/>
  <c r="FS106" i="9"/>
  <c r="FH106" i="9"/>
  <c r="FK106" i="9"/>
  <c r="FL106" i="9" s="1"/>
  <c r="FO106" i="9"/>
  <c r="FS294" i="9"/>
  <c r="FJ294" i="9"/>
  <c r="FH294" i="9"/>
  <c r="FK294" i="9"/>
  <c r="FL294" i="9" s="1"/>
  <c r="FO294" i="9"/>
  <c r="FM294" i="9"/>
  <c r="FS94" i="9"/>
  <c r="FH94" i="9"/>
  <c r="FJ94" i="9"/>
  <c r="FO94" i="9"/>
  <c r="FK94" i="9"/>
  <c r="FL94" i="9" s="1"/>
  <c r="FM94" i="9"/>
  <c r="FH281" i="9"/>
  <c r="FS281" i="9"/>
  <c r="FJ281" i="9"/>
  <c r="FK281" i="9"/>
  <c r="FL281" i="9" s="1"/>
  <c r="FO281" i="9"/>
  <c r="FM281" i="9"/>
  <c r="FJ41" i="9"/>
  <c r="FS41" i="9"/>
  <c r="FH41" i="9"/>
  <c r="FO41" i="9"/>
  <c r="FK41" i="9"/>
  <c r="FL41" i="9" s="1"/>
  <c r="FM28" i="9"/>
  <c r="FJ195" i="9"/>
  <c r="FS195" i="9"/>
  <c r="FH195" i="9"/>
  <c r="FO195" i="9"/>
  <c r="FK195" i="9"/>
  <c r="FL195" i="9" s="1"/>
  <c r="FJ240" i="9"/>
  <c r="FH240" i="9"/>
  <c r="FS240" i="9"/>
  <c r="FO240" i="9"/>
  <c r="FK240" i="9"/>
  <c r="FL240" i="9" s="1"/>
  <c r="FM240" i="9"/>
  <c r="FH312" i="9"/>
  <c r="FS312" i="9"/>
  <c r="FJ312" i="9"/>
  <c r="FO312" i="9"/>
  <c r="FK312" i="9"/>
  <c r="FL312" i="9" s="1"/>
  <c r="FM312" i="9"/>
  <c r="FM299" i="9"/>
  <c r="FJ160" i="9"/>
  <c r="FS160" i="9"/>
  <c r="FH160" i="9"/>
  <c r="FK160" i="9"/>
  <c r="FL160" i="9" s="1"/>
  <c r="FO160" i="9"/>
  <c r="FM160" i="9"/>
  <c r="FH36" i="9"/>
  <c r="FJ36" i="9"/>
  <c r="FS36" i="9"/>
  <c r="FO36" i="9"/>
  <c r="FK36" i="9"/>
  <c r="FL36" i="9" s="1"/>
  <c r="FM36" i="9"/>
  <c r="FM63" i="9"/>
  <c r="FS202" i="9"/>
  <c r="FH202" i="9"/>
  <c r="FJ202" i="9"/>
  <c r="FO202" i="9"/>
  <c r="FK202" i="9"/>
  <c r="FL202" i="9" s="1"/>
  <c r="FM202" i="9"/>
  <c r="FH246" i="9"/>
  <c r="FJ246" i="9"/>
  <c r="FS246" i="9"/>
  <c r="FO246" i="9"/>
  <c r="FK246" i="9"/>
  <c r="FL246" i="9" s="1"/>
  <c r="FS105" i="9"/>
  <c r="FH105" i="9"/>
  <c r="FJ105" i="9"/>
  <c r="FK105" i="9"/>
  <c r="FL105" i="9" s="1"/>
  <c r="FO105" i="9"/>
  <c r="FM105" i="9"/>
  <c r="FS171" i="9"/>
  <c r="FH171" i="9"/>
  <c r="FJ171" i="9"/>
  <c r="FK171" i="9"/>
  <c r="FL171" i="9" s="1"/>
  <c r="FO171" i="9"/>
  <c r="FH26" i="9"/>
  <c r="FJ26" i="9"/>
  <c r="FS26" i="9"/>
  <c r="FO26" i="9"/>
  <c r="FK26" i="9"/>
  <c r="FL26" i="9" s="1"/>
  <c r="FM26" i="9"/>
  <c r="FH144" i="9"/>
  <c r="FJ144" i="9"/>
  <c r="FS144" i="9"/>
  <c r="FO144" i="9"/>
  <c r="FK144" i="9"/>
  <c r="FL144" i="9" s="1"/>
  <c r="FM144" i="9"/>
  <c r="EX423" i="9"/>
  <c r="FM203" i="9"/>
  <c r="FH265" i="9"/>
  <c r="FJ265" i="9"/>
  <c r="FS265" i="9"/>
  <c r="FK265" i="9"/>
  <c r="FL265" i="9" s="1"/>
  <c r="FO265" i="9"/>
  <c r="FM265" i="9"/>
  <c r="FH154" i="9"/>
  <c r="FS154" i="9"/>
  <c r="FJ154" i="9"/>
  <c r="FK154" i="9"/>
  <c r="FL154" i="9" s="1"/>
  <c r="FO154" i="9"/>
  <c r="FM154" i="9"/>
  <c r="FJ173" i="9"/>
  <c r="FS173" i="9"/>
  <c r="FH173" i="9"/>
  <c r="FO173" i="9"/>
  <c r="FK173" i="9"/>
  <c r="FL173" i="9" s="1"/>
  <c r="FM173" i="9"/>
  <c r="FS194" i="9"/>
  <c r="FH194" i="9"/>
  <c r="FJ194" i="9"/>
  <c r="FO194" i="9"/>
  <c r="FK194" i="9"/>
  <c r="FL194" i="9" s="1"/>
  <c r="FM194" i="9"/>
  <c r="FM227" i="9"/>
  <c r="FH46" i="9"/>
  <c r="FJ46" i="9"/>
  <c r="FS46" i="9"/>
  <c r="FO46" i="9"/>
  <c r="FK46" i="9"/>
  <c r="FL46" i="9" s="1"/>
  <c r="FH304" i="9"/>
  <c r="FS304" i="9"/>
  <c r="FJ304" i="9"/>
  <c r="FO304" i="9"/>
  <c r="FK304" i="9"/>
  <c r="FL304" i="9" s="1"/>
  <c r="FM304" i="9"/>
  <c r="FJ263" i="9"/>
  <c r="FS263" i="9"/>
  <c r="FH263" i="9"/>
  <c r="FO263" i="9"/>
  <c r="FK263" i="9"/>
  <c r="FL263" i="9" s="1"/>
  <c r="FM263" i="9"/>
  <c r="FM99" i="9"/>
  <c r="FJ99" i="9"/>
  <c r="FS99" i="9"/>
  <c r="FH99" i="9"/>
  <c r="FO99" i="9"/>
  <c r="FK99" i="9"/>
  <c r="FL99" i="9" s="1"/>
  <c r="FJ200" i="9"/>
  <c r="FS200" i="9"/>
  <c r="FH200" i="9"/>
  <c r="FO200" i="9"/>
  <c r="FK200" i="9"/>
  <c r="FL200" i="9" s="1"/>
  <c r="FM200" i="9"/>
  <c r="FM81" i="9"/>
  <c r="FM172" i="9"/>
  <c r="FS172" i="9"/>
  <c r="FH172" i="9"/>
  <c r="FJ172" i="9"/>
  <c r="FK172" i="9"/>
  <c r="FL172" i="9" s="1"/>
  <c r="FO172" i="9"/>
  <c r="FM67" i="9"/>
  <c r="FM22" i="9"/>
  <c r="FM178" i="9"/>
  <c r="FH251" i="9"/>
  <c r="FJ251" i="9"/>
  <c r="FS251" i="9"/>
  <c r="FO251" i="9"/>
  <c r="FK251" i="9"/>
  <c r="FL251" i="9" s="1"/>
  <c r="FM117" i="9"/>
  <c r="G85" i="4"/>
  <c r="AB399" i="9"/>
  <c r="AB372" i="9"/>
  <c r="AB371" i="9"/>
  <c r="EZ332" i="9" l="1"/>
  <c r="FO399" i="9"/>
  <c r="FS324" i="9"/>
  <c r="FI436" i="9"/>
  <c r="FI441" i="9"/>
  <c r="FO411" i="9"/>
  <c r="FS336" i="9"/>
  <c r="FM320" i="9"/>
  <c r="FL370" i="9"/>
  <c r="FI348" i="9"/>
  <c r="FJ370" i="9"/>
  <c r="FH320" i="9"/>
  <c r="FI435" i="9" s="1"/>
  <c r="FL382" i="9"/>
  <c r="FJ382" i="9"/>
  <c r="FO320" i="9"/>
  <c r="FI434" i="9"/>
  <c r="FS320" i="9"/>
  <c r="FL378" i="9"/>
  <c r="FJ378" i="9"/>
  <c r="FL5" i="9"/>
  <c r="FL320" i="9" s="1"/>
  <c r="FK320" i="9"/>
  <c r="FJ320" i="9"/>
  <c r="ET370" i="9"/>
  <c r="EU394" i="9"/>
  <c r="FJ334" i="9"/>
  <c r="FJ335" i="9"/>
  <c r="FJ333" i="9"/>
  <c r="FO407" i="9"/>
  <c r="FS332" i="9"/>
  <c r="J9" i="17"/>
  <c r="AB370" i="9"/>
  <c r="FK378" i="9" l="1"/>
  <c r="FQ334" i="9"/>
  <c r="FQ335" i="9"/>
  <c r="FQ333" i="9"/>
  <c r="FJ332" i="9"/>
  <c r="ET394" i="9"/>
  <c r="FK382" i="9"/>
  <c r="FI437" i="9"/>
  <c r="I85" i="4" s="1"/>
  <c r="FL394" i="9"/>
  <c r="FK370" i="9"/>
  <c r="FS348" i="9"/>
  <c r="FS353" i="9" s="1"/>
  <c r="FI353" i="9" s="1"/>
  <c r="FI357" i="9" s="1"/>
  <c r="FJ394" i="9"/>
  <c r="FG478" i="9"/>
  <c r="FI442" i="9"/>
  <c r="FH442" i="9" s="1"/>
  <c r="FO423" i="9"/>
  <c r="K9" i="17"/>
  <c r="AC491" i="9"/>
  <c r="FQ332" i="9" l="1"/>
  <c r="FK394" i="9"/>
  <c r="G55" i="2"/>
  <c r="AI420" i="9" l="1"/>
  <c r="AI424" i="9" s="1"/>
  <c r="Z391" i="9"/>
  <c r="Z395" i="9" s="1"/>
  <c r="AD391" i="9"/>
  <c r="AD395" i="9" s="1"/>
  <c r="AM345" i="9"/>
  <c r="AF391" i="9"/>
  <c r="AG391" i="9" s="1"/>
  <c r="X391" i="9"/>
  <c r="X395" i="9" s="1"/>
  <c r="AH420" i="9"/>
  <c r="AL345" i="9"/>
  <c r="AL349" i="9" s="1"/>
  <c r="AA345" i="9"/>
  <c r="AC345" i="9"/>
  <c r="AC464" i="9"/>
  <c r="AA349" i="9" l="1"/>
  <c r="AB345" i="9"/>
  <c r="AC349" i="9"/>
  <c r="AB442" i="9" s="1"/>
  <c r="AD345" i="9"/>
  <c r="AM349" i="9"/>
  <c r="AK349" i="9" s="1"/>
  <c r="AK345" i="9"/>
  <c r="AC420" i="9"/>
  <c r="AH424" i="9"/>
  <c r="AE391" i="9"/>
  <c r="AF395" i="9"/>
  <c r="AG395" i="9" s="1"/>
  <c r="AD349" i="9"/>
  <c r="AC462" i="9"/>
  <c r="H29" i="2"/>
  <c r="AM354" i="9" l="1"/>
  <c r="AC354" i="9" s="1"/>
  <c r="AA481" i="9"/>
  <c r="AB349" i="9"/>
  <c r="AB440" i="9"/>
  <c r="AB420" i="9"/>
  <c r="AC424" i="9"/>
  <c r="C19" i="10" s="1"/>
  <c r="AC391" i="9"/>
  <c r="AE395" i="9"/>
  <c r="AL354" i="9"/>
  <c r="AB424" i="9"/>
  <c r="J29" i="2"/>
  <c r="Z384" i="9"/>
  <c r="AC338" i="9"/>
  <c r="AM338" i="9"/>
  <c r="X384" i="9"/>
  <c r="AD384" i="9"/>
  <c r="AA338" i="9"/>
  <c r="AI413" i="9"/>
  <c r="AF384" i="9"/>
  <c r="AH413" i="9"/>
  <c r="AL338" i="9"/>
  <c r="AC395" i="9" l="1"/>
  <c r="C14" i="10" s="1"/>
  <c r="AB391" i="9"/>
  <c r="AC358" i="9"/>
  <c r="C86" i="10" s="1"/>
  <c r="AD354" i="9"/>
  <c r="AC413" i="9"/>
  <c r="AK338" i="9"/>
  <c r="AK336" i="9" s="1"/>
  <c r="AG384" i="9"/>
  <c r="AG382" i="9" s="1"/>
  <c r="AE384" i="9"/>
  <c r="AB338" i="9"/>
  <c r="AB336" i="9" s="1"/>
  <c r="AD338" i="9"/>
  <c r="AD336" i="9" s="1"/>
  <c r="AB395" i="9" l="1"/>
  <c r="AC429" i="9"/>
  <c r="AB429" i="9" s="1"/>
  <c r="AB413" i="9"/>
  <c r="AB411" i="9" s="1"/>
  <c r="AD358" i="9"/>
  <c r="AC362" i="9"/>
  <c r="C87" i="10" s="1"/>
  <c r="AC384" i="9"/>
  <c r="AA492" i="9" s="1"/>
  <c r="AA487" i="9" l="1"/>
  <c r="AD362" i="9"/>
  <c r="AC366" i="9"/>
  <c r="AB384" i="9"/>
  <c r="AB382" i="9" s="1"/>
  <c r="AD366" i="9" l="1"/>
  <c r="C9" i="10"/>
  <c r="W143" i="14" l="1"/>
  <c r="AC492" i="9"/>
  <c r="AC493" i="9"/>
  <c r="I55" i="2" s="1"/>
  <c r="AF393" i="9" l="1"/>
  <c r="AG393" i="9" s="1"/>
  <c r="X393" i="9"/>
  <c r="X397" i="9" s="1"/>
  <c r="Z393" i="9"/>
  <c r="Z397" i="9" s="1"/>
  <c r="AL347" i="9"/>
  <c r="AL351" i="9" s="1"/>
  <c r="AA347" i="9"/>
  <c r="AI422" i="9"/>
  <c r="AI426" i="9" s="1"/>
  <c r="AH422" i="9"/>
  <c r="AD393" i="9"/>
  <c r="AD397" i="9" s="1"/>
  <c r="AM347" i="9"/>
  <c r="AC347" i="9"/>
  <c r="X172" i="14"/>
  <c r="W172" i="14" s="1"/>
  <c r="AC490" i="9"/>
  <c r="H55" i="2"/>
  <c r="AC351" i="9" l="1"/>
  <c r="AD347" i="9"/>
  <c r="AM351" i="9"/>
  <c r="AK351" i="9" s="1"/>
  <c r="AK347" i="9"/>
  <c r="AA351" i="9"/>
  <c r="AB351" i="9" s="1"/>
  <c r="AB347" i="9"/>
  <c r="J55" i="2"/>
  <c r="AH421" i="9"/>
  <c r="AF392" i="9"/>
  <c r="AG392" i="9" s="1"/>
  <c r="AG390" i="9" s="1"/>
  <c r="Z392" i="9"/>
  <c r="Z396" i="9" s="1"/>
  <c r="AD392" i="9"/>
  <c r="AD396" i="9" s="1"/>
  <c r="AA346" i="9"/>
  <c r="X392" i="9"/>
  <c r="X396" i="9" s="1"/>
  <c r="AM346" i="9"/>
  <c r="AI421" i="9"/>
  <c r="AI425" i="9" s="1"/>
  <c r="AL346" i="9"/>
  <c r="AL350" i="9" s="1"/>
  <c r="AC346" i="9"/>
  <c r="AC422" i="9"/>
  <c r="AC426" i="9" s="1"/>
  <c r="AH426" i="9"/>
  <c r="AE393" i="9"/>
  <c r="AF397" i="9"/>
  <c r="AG397" i="9" s="1"/>
  <c r="AA479" i="9" l="1"/>
  <c r="AA480" i="9" s="1"/>
  <c r="AC481" i="9" s="1"/>
  <c r="AM356" i="9"/>
  <c r="AC356" i="9" s="1"/>
  <c r="AD351" i="9"/>
  <c r="AB422" i="9"/>
  <c r="AB426" i="9"/>
  <c r="AC350" i="9"/>
  <c r="AA482" i="9" s="1"/>
  <c r="AC482" i="9" s="1"/>
  <c r="AC480" i="9" s="1"/>
  <c r="AD346" i="9"/>
  <c r="AD344" i="9" s="1"/>
  <c r="AM350" i="9"/>
  <c r="AM355" i="9" s="1"/>
  <c r="AK346" i="9"/>
  <c r="AK344" i="9" s="1"/>
  <c r="AA350" i="9"/>
  <c r="AB350" i="9" s="1"/>
  <c r="AB348" i="9" s="1"/>
  <c r="AB346" i="9"/>
  <c r="AB344" i="9" s="1"/>
  <c r="AC393" i="9"/>
  <c r="AE397" i="9"/>
  <c r="AL356" i="9"/>
  <c r="AE392" i="9"/>
  <c r="AF396" i="9"/>
  <c r="AG396" i="9" s="1"/>
  <c r="AG394" i="9" s="1"/>
  <c r="AC421" i="9"/>
  <c r="AH425" i="9"/>
  <c r="G40" i="2"/>
  <c r="G47" i="2"/>
  <c r="AK350" i="9" l="1"/>
  <c r="AK348" i="9" s="1"/>
  <c r="AD350" i="9"/>
  <c r="AD348" i="9" s="1"/>
  <c r="AB421" i="9"/>
  <c r="AB419" i="9" s="1"/>
  <c r="AC425" i="9"/>
  <c r="AB425" i="9" s="1"/>
  <c r="AB423" i="9" s="1"/>
  <c r="AC397" i="9"/>
  <c r="AB397" i="9" s="1"/>
  <c r="AB393" i="9"/>
  <c r="X135" i="14"/>
  <c r="V135" i="14"/>
  <c r="AC392" i="9"/>
  <c r="AE396" i="9"/>
  <c r="H40" i="2"/>
  <c r="J40" i="2" s="1"/>
  <c r="H47" i="2"/>
  <c r="AD356" i="9"/>
  <c r="AC360" i="9"/>
  <c r="X135" i="12"/>
  <c r="V135" i="12"/>
  <c r="AL355" i="9"/>
  <c r="AL353" i="9" s="1"/>
  <c r="AC355" i="9"/>
  <c r="AC431" i="9"/>
  <c r="C66" i="10" s="1"/>
  <c r="D19" i="10" l="1"/>
  <c r="AC396" i="9"/>
  <c r="AB396" i="9" s="1"/>
  <c r="AB394" i="9" s="1"/>
  <c r="AB392" i="9"/>
  <c r="AB390" i="9" s="1"/>
  <c r="AD355" i="9"/>
  <c r="AD353" i="9" s="1"/>
  <c r="AC359" i="9"/>
  <c r="D86" i="10" s="1"/>
  <c r="X139" i="12"/>
  <c r="Y135" i="12"/>
  <c r="X136" i="12"/>
  <c r="V136" i="12"/>
  <c r="D14" i="10"/>
  <c r="W135" i="14"/>
  <c r="V139" i="14"/>
  <c r="AA485" i="9"/>
  <c r="AA486" i="9" s="1"/>
  <c r="AC487" i="9" s="1"/>
  <c r="AB431" i="9"/>
  <c r="W135" i="12"/>
  <c r="V139" i="12"/>
  <c r="W139" i="12" s="1"/>
  <c r="AC364" i="9"/>
  <c r="AD360" i="9"/>
  <c r="X136" i="14"/>
  <c r="V136" i="14"/>
  <c r="J47" i="2"/>
  <c r="X139" i="14"/>
  <c r="Y135" i="14"/>
  <c r="AC430" i="9" l="1"/>
  <c r="Y139" i="14"/>
  <c r="W139" i="14"/>
  <c r="X189" i="14"/>
  <c r="W136" i="14"/>
  <c r="W134" i="14" s="1"/>
  <c r="V140" i="14"/>
  <c r="W136" i="12"/>
  <c r="W134" i="12" s="1"/>
  <c r="V140" i="12"/>
  <c r="W140" i="12" s="1"/>
  <c r="W138" i="12" s="1"/>
  <c r="AD359" i="9"/>
  <c r="AD357" i="9" s="1"/>
  <c r="AC363" i="9"/>
  <c r="D87" i="10" s="1"/>
  <c r="C89" i="10" s="1"/>
  <c r="X140" i="14"/>
  <c r="Y136" i="14"/>
  <c r="Y134" i="14" s="1"/>
  <c r="AC368" i="9"/>
  <c r="C65" i="10" s="1"/>
  <c r="AD364" i="9"/>
  <c r="G41" i="2"/>
  <c r="G48" i="2"/>
  <c r="AA488" i="9"/>
  <c r="AC488" i="9" s="1"/>
  <c r="AB430" i="9"/>
  <c r="AB428" i="9" s="1"/>
  <c r="X140" i="12"/>
  <c r="Y136" i="12"/>
  <c r="Y134" i="12" s="1"/>
  <c r="C10" i="10"/>
  <c r="Y139" i="12"/>
  <c r="DV161" i="14" l="1"/>
  <c r="CV161" i="14"/>
  <c r="BV161" i="14"/>
  <c r="BV165" i="14" s="1"/>
  <c r="AV161" i="14"/>
  <c r="AV165" i="14" s="1"/>
  <c r="CI161" i="14"/>
  <c r="AI161" i="14"/>
  <c r="AI165" i="14" s="1"/>
  <c r="BI161" i="14"/>
  <c r="BI165" i="14" s="1"/>
  <c r="DI161" i="14"/>
  <c r="AD368" i="9"/>
  <c r="C68" i="10"/>
  <c r="D10" i="10"/>
  <c r="Y140" i="12"/>
  <c r="Y138" i="12" s="1"/>
  <c r="H41" i="2"/>
  <c r="J41" i="2" s="1"/>
  <c r="H48" i="2"/>
  <c r="V161" i="14"/>
  <c r="V165" i="14" s="1"/>
  <c r="U148" i="14"/>
  <c r="U152" i="14" s="1"/>
  <c r="Y148" i="14"/>
  <c r="Y152" i="14" s="1"/>
  <c r="AD161" i="14"/>
  <c r="AD165" i="14" s="1"/>
  <c r="AA148" i="14"/>
  <c r="AC161" i="14"/>
  <c r="S148" i="14"/>
  <c r="S152" i="14" s="1"/>
  <c r="J48" i="2"/>
  <c r="AD363" i="9"/>
  <c r="AD361" i="9" s="1"/>
  <c r="AC367" i="9"/>
  <c r="AC486" i="9"/>
  <c r="S148" i="12"/>
  <c r="S152" i="12" s="1"/>
  <c r="Y148" i="12"/>
  <c r="Y152" i="12" s="1"/>
  <c r="AD161" i="12"/>
  <c r="AD165" i="12" s="1"/>
  <c r="U148" i="12"/>
  <c r="U152" i="12" s="1"/>
  <c r="AC161" i="12"/>
  <c r="AA148" i="12"/>
  <c r="Y140" i="14"/>
  <c r="Y138" i="14" s="1"/>
  <c r="W140" i="14"/>
  <c r="W138" i="14" s="1"/>
  <c r="X190" i="14"/>
  <c r="C79" i="10"/>
  <c r="X193" i="14"/>
  <c r="X197" i="14" s="1"/>
  <c r="W189" i="14"/>
  <c r="DV162" i="14" l="1"/>
  <c r="CV162" i="14"/>
  <c r="BV162" i="14"/>
  <c r="BV166" i="14" s="1"/>
  <c r="AV162" i="14"/>
  <c r="AV166" i="14" s="1"/>
  <c r="CI162" i="14"/>
  <c r="CI166" i="14" s="1"/>
  <c r="AI162" i="14"/>
  <c r="AI166" i="14" s="1"/>
  <c r="DI162" i="14"/>
  <c r="BI162" i="14"/>
  <c r="BI166" i="14" s="1"/>
  <c r="W197" i="14"/>
  <c r="C11" i="10"/>
  <c r="C13" i="10" s="1"/>
  <c r="AD367" i="9"/>
  <c r="AD365" i="9" s="1"/>
  <c r="D9" i="10"/>
  <c r="C80" i="10"/>
  <c r="W193" i="14"/>
  <c r="D79" i="10"/>
  <c r="X194" i="14"/>
  <c r="W190" i="14"/>
  <c r="W188" i="14" s="1"/>
  <c r="X198" i="14"/>
  <c r="AA152" i="12"/>
  <c r="Z148" i="12"/>
  <c r="X161" i="14"/>
  <c r="X165" i="14" s="1"/>
  <c r="AC165" i="14"/>
  <c r="AC162" i="14"/>
  <c r="U149" i="14"/>
  <c r="U153" i="14" s="1"/>
  <c r="V162" i="14"/>
  <c r="V166" i="14" s="1"/>
  <c r="AA149" i="14"/>
  <c r="AD162" i="14"/>
  <c r="AD166" i="14" s="1"/>
  <c r="Y149" i="14"/>
  <c r="Y153" i="14" s="1"/>
  <c r="S149" i="14"/>
  <c r="S153" i="14" s="1"/>
  <c r="AC165" i="12"/>
  <c r="X161" i="12"/>
  <c r="X165" i="12" s="1"/>
  <c r="C20" i="10" s="1"/>
  <c r="Z148" i="14"/>
  <c r="AA152" i="14"/>
  <c r="Y149" i="12"/>
  <c r="Y153" i="12" s="1"/>
  <c r="AD162" i="12"/>
  <c r="AD166" i="12" s="1"/>
  <c r="U149" i="12"/>
  <c r="U153" i="12" s="1"/>
  <c r="AC162" i="12"/>
  <c r="S149" i="12"/>
  <c r="S153" i="12" s="1"/>
  <c r="AA149" i="12"/>
  <c r="W198" i="14" l="1"/>
  <c r="W196" i="14" s="1"/>
  <c r="D11" i="10"/>
  <c r="D13" i="10" s="1"/>
  <c r="X148" i="14"/>
  <c r="Z152" i="14"/>
  <c r="AC166" i="14"/>
  <c r="X162" i="14"/>
  <c r="X166" i="14" s="1"/>
  <c r="W165" i="14"/>
  <c r="C21" i="10"/>
  <c r="C22" i="10" s="1"/>
  <c r="Z149" i="12"/>
  <c r="AA153" i="12"/>
  <c r="AC166" i="12"/>
  <c r="X162" i="12"/>
  <c r="X166" i="12" s="1"/>
  <c r="D20" i="10" s="1"/>
  <c r="Z149" i="14"/>
  <c r="AA153" i="14"/>
  <c r="X148" i="12"/>
  <c r="Z152" i="12"/>
  <c r="D80" i="10"/>
  <c r="C82" i="10" s="1"/>
  <c r="W194" i="14"/>
  <c r="W192" i="14" s="1"/>
  <c r="W13" i="2"/>
  <c r="AA29" i="2"/>
  <c r="AC29" i="2"/>
  <c r="AK29" i="2"/>
  <c r="AO29" i="2"/>
  <c r="AE34" i="2"/>
  <c r="AI34" i="2"/>
  <c r="AM34" i="2"/>
  <c r="AA46" i="2"/>
  <c r="EX416" i="9" l="1"/>
  <c r="EW416" i="9"/>
  <c r="ES387" i="9"/>
  <c r="FB341" i="9"/>
  <c r="EP341" i="9"/>
  <c r="FA341" i="9"/>
  <c r="EO387" i="9"/>
  <c r="EU387" i="9"/>
  <c r="EM387" i="9"/>
  <c r="ER341" i="9"/>
  <c r="FN416" i="9"/>
  <c r="FO416" i="9"/>
  <c r="FJ387" i="9"/>
  <c r="FI341" i="9"/>
  <c r="FF387" i="9"/>
  <c r="FL387" i="9"/>
  <c r="FD387" i="9"/>
  <c r="FR341" i="9"/>
  <c r="FS341" i="9"/>
  <c r="FG341" i="9"/>
  <c r="EG416" i="9"/>
  <c r="DX387" i="9"/>
  <c r="ED387" i="9"/>
  <c r="DV387" i="9"/>
  <c r="EJ341" i="9"/>
  <c r="EK341" i="9"/>
  <c r="DY341" i="9"/>
  <c r="EF416" i="9"/>
  <c r="EB387" i="9"/>
  <c r="EA341" i="9"/>
  <c r="FA339" i="9"/>
  <c r="EM385" i="9"/>
  <c r="EW414" i="9"/>
  <c r="EO385" i="9"/>
  <c r="EX414" i="9"/>
  <c r="FB339" i="9"/>
  <c r="EZ339" i="9" s="1"/>
  <c r="ES385" i="9"/>
  <c r="EU385" i="9"/>
  <c r="DH337" i="9"/>
  <c r="DS337" i="9"/>
  <c r="DE383" i="9"/>
  <c r="DO412" i="9"/>
  <c r="DG383" i="9"/>
  <c r="DJ337" i="9"/>
  <c r="DT337" i="9"/>
  <c r="DK383" i="9"/>
  <c r="DP412" i="9"/>
  <c r="DM383" i="9"/>
  <c r="CI157" i="14"/>
  <c r="CI165" i="14" s="1"/>
  <c r="CI131" i="14"/>
  <c r="CF144" i="14"/>
  <c r="CP157" i="14"/>
  <c r="CH144" i="14"/>
  <c r="CQ157" i="14"/>
  <c r="CL144" i="14"/>
  <c r="CK131" i="14"/>
  <c r="CN144" i="14"/>
  <c r="FR339" i="9"/>
  <c r="FD385" i="9"/>
  <c r="FF385" i="9"/>
  <c r="FN414" i="9"/>
  <c r="FO414" i="9"/>
  <c r="FL385" i="9"/>
  <c r="FS339" i="9"/>
  <c r="FQ339" i="9" s="1"/>
  <c r="FJ385" i="9"/>
  <c r="DS339" i="9"/>
  <c r="DO414" i="9"/>
  <c r="DE385" i="9"/>
  <c r="DG385" i="9"/>
  <c r="DP414" i="9"/>
  <c r="DT339" i="9"/>
  <c r="DR339" i="9" s="1"/>
  <c r="DK385" i="9"/>
  <c r="DM385" i="9"/>
  <c r="CQ325" i="9"/>
  <c r="DB325" i="9"/>
  <c r="CN371" i="9"/>
  <c r="CS325" i="9"/>
  <c r="CP371" i="9"/>
  <c r="CX400" i="9"/>
  <c r="CY400" i="9"/>
  <c r="DC325" i="9"/>
  <c r="CT371" i="9"/>
  <c r="CV371" i="9"/>
  <c r="AD46" i="2"/>
  <c r="Z13" i="2"/>
  <c r="X152" i="12"/>
  <c r="W148" i="12"/>
  <c r="X149" i="14"/>
  <c r="Z153" i="14"/>
  <c r="X149" i="12"/>
  <c r="Z153" i="12"/>
  <c r="D21" i="10"/>
  <c r="D22" i="10" s="1"/>
  <c r="W166" i="14"/>
  <c r="W164" i="14" s="1"/>
  <c r="X152" i="14"/>
  <c r="W148" i="14"/>
  <c r="AD29" i="2"/>
  <c r="CU371" i="9" l="1"/>
  <c r="CW371" i="9"/>
  <c r="CW370" i="9" s="1"/>
  <c r="DA325" i="9"/>
  <c r="DA324" i="9" s="1"/>
  <c r="CT325" i="9"/>
  <c r="CT324" i="9" s="1"/>
  <c r="DL385" i="9"/>
  <c r="DN385" i="9"/>
  <c r="FK385" i="9"/>
  <c r="FM385" i="9"/>
  <c r="CR325" i="9"/>
  <c r="CR324" i="9" s="1"/>
  <c r="CL131" i="14"/>
  <c r="CJ131" i="14"/>
  <c r="CJ130" i="14" s="1"/>
  <c r="DL383" i="9"/>
  <c r="DN383" i="9"/>
  <c r="DK337" i="9"/>
  <c r="DK336" i="9" s="1"/>
  <c r="ET385" i="9"/>
  <c r="EV385" i="9"/>
  <c r="FK387" i="9"/>
  <c r="ET387" i="9"/>
  <c r="CM144" i="14"/>
  <c r="DR337" i="9"/>
  <c r="DR336" i="9" s="1"/>
  <c r="DI337" i="9"/>
  <c r="DI336" i="9" s="1"/>
  <c r="EC387" i="9"/>
  <c r="W152" i="14"/>
  <c r="C16" i="10"/>
  <c r="X170" i="14"/>
  <c r="W170" i="14" s="1"/>
  <c r="X153" i="12"/>
  <c r="W149" i="12"/>
  <c r="W147" i="12" s="1"/>
  <c r="X153" i="14"/>
  <c r="W149" i="14"/>
  <c r="W147" i="14" s="1"/>
  <c r="C15" i="10"/>
  <c r="W152" i="12"/>
  <c r="X170" i="12"/>
  <c r="W170" i="12" s="1"/>
  <c r="DN382" i="9" l="1"/>
  <c r="C18" i="10"/>
  <c r="C23" i="10" s="1"/>
  <c r="W153" i="14"/>
  <c r="W151" i="14" s="1"/>
  <c r="D16" i="10"/>
  <c r="X171" i="14"/>
  <c r="W171" i="14" s="1"/>
  <c r="W169" i="14" s="1"/>
  <c r="D15" i="10"/>
  <c r="X171" i="12"/>
  <c r="W171" i="12" s="1"/>
  <c r="W169" i="12" s="1"/>
  <c r="W153" i="12"/>
  <c r="W151" i="12" s="1"/>
  <c r="D101" i="7" l="1"/>
  <c r="D18" i="10"/>
  <c r="D23" i="10" s="1"/>
  <c r="D102" i="7" s="1"/>
  <c r="B5" i="11"/>
  <c r="C32" i="10"/>
  <c r="C34" i="10" s="1"/>
  <c r="C36" i="10" s="1"/>
  <c r="D103" i="7" l="1"/>
  <c r="C39" i="10"/>
  <c r="C69" i="10"/>
  <c r="H5" i="11"/>
  <c r="C44" i="10"/>
  <c r="C46" i="10" s="1"/>
  <c r="C48" i="10" s="1"/>
  <c r="C51" i="10" s="1"/>
  <c r="B36" i="11"/>
  <c r="D58" i="10"/>
  <c r="C58" i="10"/>
  <c r="B67" i="11"/>
  <c r="B8" i="11"/>
  <c r="B9" i="11" s="1"/>
  <c r="B10" i="11" s="1"/>
  <c r="D32" i="10"/>
  <c r="D34" i="10" s="1"/>
  <c r="D36" i="10" s="1"/>
  <c r="D39" i="10" s="1"/>
  <c r="B70" i="11" l="1"/>
  <c r="B39" i="11"/>
  <c r="B40" i="11" s="1"/>
  <c r="B41" i="11" s="1"/>
  <c r="B68" i="11"/>
  <c r="H8" i="11"/>
  <c r="H9" i="11" s="1"/>
  <c r="H10" i="11" s="1"/>
  <c r="B81" i="10" l="1"/>
  <c r="B88" i="10"/>
  <c r="AI13" i="2" l="1"/>
  <c r="AI19" i="2"/>
  <c r="AI24" i="2"/>
  <c r="AI29" i="2"/>
  <c r="AE13" i="2"/>
  <c r="AE19" i="2"/>
  <c r="AE24" i="2"/>
  <c r="AE29" i="2"/>
  <c r="AI39" i="2"/>
  <c r="AO34" i="2"/>
  <c r="AN19" i="2"/>
  <c r="AM24" i="2"/>
  <c r="AM29" i="2"/>
  <c r="AN34" i="2"/>
  <c r="AP34" i="2" s="1"/>
  <c r="AM19" i="2"/>
  <c r="AF13" i="2"/>
  <c r="AG19" i="2"/>
  <c r="AG34" i="2"/>
  <c r="AF19" i="2"/>
  <c r="AF29" i="2"/>
  <c r="AF34" i="2"/>
  <c r="AC13" i="2"/>
  <c r="AK19" i="2"/>
  <c r="AJ24" i="2"/>
  <c r="AK34" i="2"/>
  <c r="AJ13" i="2"/>
  <c r="AJ19" i="2"/>
  <c r="AJ29" i="2"/>
  <c r="AJ34" i="2"/>
  <c r="AH29" i="2"/>
  <c r="EW417" i="9" l="1"/>
  <c r="EO388" i="9"/>
  <c r="EU388" i="9"/>
  <c r="EM388" i="9"/>
  <c r="ER342" i="9"/>
  <c r="EX417" i="9"/>
  <c r="ES388" i="9"/>
  <c r="FB342" i="9"/>
  <c r="EP342" i="9"/>
  <c r="FA342" i="9"/>
  <c r="AL19" i="2"/>
  <c r="EW405" i="9"/>
  <c r="ES376" i="9"/>
  <c r="FA330" i="9"/>
  <c r="FB330" i="9"/>
  <c r="EP330" i="9"/>
  <c r="EX405" i="9"/>
  <c r="EO376" i="9"/>
  <c r="EU376" i="9"/>
  <c r="EM376" i="9"/>
  <c r="ER330" i="9"/>
  <c r="EX406" i="9"/>
  <c r="EO377" i="9"/>
  <c r="EU377" i="9"/>
  <c r="EM377" i="9"/>
  <c r="FB331" i="9"/>
  <c r="EW406" i="9"/>
  <c r="ES377" i="9"/>
  <c r="FA331" i="9"/>
  <c r="ER331" i="9"/>
  <c r="EP331" i="9"/>
  <c r="EG405" i="9"/>
  <c r="DX376" i="9"/>
  <c r="ED376" i="9"/>
  <c r="EB376" i="9"/>
  <c r="EK330" i="9"/>
  <c r="EF405" i="9"/>
  <c r="DV376" i="9"/>
  <c r="EA330" i="9"/>
  <c r="DY330" i="9"/>
  <c r="EJ330" i="9"/>
  <c r="AL29" i="2"/>
  <c r="EP338" i="9"/>
  <c r="EQ338" i="9" s="1"/>
  <c r="FA338" i="9"/>
  <c r="EW413" i="9"/>
  <c r="EO384" i="9"/>
  <c r="EM384" i="9"/>
  <c r="ER338" i="9"/>
  <c r="ES338" i="9" s="1"/>
  <c r="EX413" i="9"/>
  <c r="FB338" i="9"/>
  <c r="EZ338" i="9" s="1"/>
  <c r="ES384" i="9"/>
  <c r="EU384" i="9"/>
  <c r="EP326" i="9"/>
  <c r="FA326" i="9"/>
  <c r="EW401" i="9"/>
  <c r="EO372" i="9"/>
  <c r="EM372" i="9"/>
  <c r="ER326" i="9"/>
  <c r="ES372" i="9"/>
  <c r="FB326" i="9"/>
  <c r="EX401" i="9"/>
  <c r="EU372" i="9"/>
  <c r="FA334" i="9"/>
  <c r="EP334" i="9"/>
  <c r="EQ334" i="9" s="1"/>
  <c r="EM380" i="9"/>
  <c r="EW409" i="9"/>
  <c r="EO380" i="9"/>
  <c r="ER334" i="9"/>
  <c r="EX409" i="9"/>
  <c r="FB334" i="9"/>
  <c r="ES380" i="9"/>
  <c r="EU380" i="9"/>
  <c r="DH327" i="9"/>
  <c r="DS327" i="9"/>
  <c r="DE373" i="9"/>
  <c r="DG373" i="9"/>
  <c r="DO402" i="9"/>
  <c r="DJ327" i="9"/>
  <c r="DT327" i="9"/>
  <c r="DP402" i="9"/>
  <c r="DK373" i="9"/>
  <c r="DM373" i="9"/>
  <c r="DY338" i="9"/>
  <c r="DZ338" i="9" s="1"/>
  <c r="EJ338" i="9"/>
  <c r="DX384" i="9"/>
  <c r="DV384" i="9"/>
  <c r="EF413" i="9"/>
  <c r="EA338" i="9"/>
  <c r="EB338" i="9" s="1"/>
  <c r="EB384" i="9"/>
  <c r="EG413" i="9"/>
  <c r="EK338" i="9"/>
  <c r="EI338" i="9" s="1"/>
  <c r="ED384" i="9"/>
  <c r="DX389" i="9"/>
  <c r="ED389" i="9"/>
  <c r="DV389" i="9"/>
  <c r="EJ343" i="9"/>
  <c r="EK343" i="9"/>
  <c r="DY343" i="9"/>
  <c r="EF418" i="9"/>
  <c r="EG418" i="9"/>
  <c r="EB389" i="9"/>
  <c r="EA343" i="9"/>
  <c r="DY326" i="9"/>
  <c r="EJ326" i="9"/>
  <c r="DX372" i="9"/>
  <c r="EF401" i="9"/>
  <c r="DV372" i="9"/>
  <c r="EA326" i="9"/>
  <c r="EK326" i="9"/>
  <c r="EG401" i="9"/>
  <c r="EB372" i="9"/>
  <c r="ED372" i="9"/>
  <c r="FF388" i="9"/>
  <c r="FL388" i="9"/>
  <c r="FD388" i="9"/>
  <c r="FR342" i="9"/>
  <c r="FS342" i="9"/>
  <c r="FG342" i="9"/>
  <c r="FN417" i="9"/>
  <c r="FO417" i="9"/>
  <c r="FJ388" i="9"/>
  <c r="FI342" i="9"/>
  <c r="FG333" i="9"/>
  <c r="FH333" i="9" s="1"/>
  <c r="FR333" i="9"/>
  <c r="FF379" i="9"/>
  <c r="FD379" i="9"/>
  <c r="FN408" i="9"/>
  <c r="FI333" i="9"/>
  <c r="FL379" i="9"/>
  <c r="FS333" i="9"/>
  <c r="FJ379" i="9"/>
  <c r="FO408" i="9"/>
  <c r="FN418" i="9"/>
  <c r="FO418" i="9"/>
  <c r="FJ389" i="9"/>
  <c r="FI343" i="9"/>
  <c r="FF389" i="9"/>
  <c r="FL389" i="9"/>
  <c r="FD389" i="9"/>
  <c r="FR343" i="9"/>
  <c r="FS343" i="9"/>
  <c r="FG343" i="9"/>
  <c r="DY337" i="9"/>
  <c r="DZ337" i="9" s="1"/>
  <c r="DZ336" i="9" s="1"/>
  <c r="EJ337" i="9"/>
  <c r="DV383" i="9"/>
  <c r="DX383" i="9"/>
  <c r="EF412" i="9"/>
  <c r="EA337" i="9"/>
  <c r="EB337" i="9" s="1"/>
  <c r="EB336" i="9" s="1"/>
  <c r="EB383" i="9"/>
  <c r="EG412" i="9"/>
  <c r="EK337" i="9"/>
  <c r="EI337" i="9" s="1"/>
  <c r="EI336" i="9" s="1"/>
  <c r="ED383" i="9"/>
  <c r="EF404" i="9"/>
  <c r="DV375" i="9"/>
  <c r="EG404" i="9"/>
  <c r="DX375" i="9"/>
  <c r="ED375" i="9"/>
  <c r="EB375" i="9"/>
  <c r="EK329" i="9"/>
  <c r="DY329" i="9"/>
  <c r="EJ329" i="9"/>
  <c r="EA329" i="9"/>
  <c r="EP337" i="9"/>
  <c r="EQ337" i="9" s="1"/>
  <c r="EQ336" i="9" s="1"/>
  <c r="FA337" i="9"/>
  <c r="EO383" i="9"/>
  <c r="EM383" i="9"/>
  <c r="EW412" i="9"/>
  <c r="ER337" i="9"/>
  <c r="ES337" i="9" s="1"/>
  <c r="ES336" i="9" s="1"/>
  <c r="EX412" i="9"/>
  <c r="FB337" i="9"/>
  <c r="EZ337" i="9" s="1"/>
  <c r="EZ336" i="9" s="1"/>
  <c r="ES383" i="9"/>
  <c r="EU383" i="9"/>
  <c r="EX404" i="9"/>
  <c r="EO375" i="9"/>
  <c r="EU375" i="9"/>
  <c r="EM375" i="9"/>
  <c r="FB329" i="9"/>
  <c r="EW404" i="9"/>
  <c r="ES375" i="9"/>
  <c r="FA329" i="9"/>
  <c r="ER329" i="9"/>
  <c r="EP329" i="9"/>
  <c r="AL34" i="2"/>
  <c r="EX418" i="9"/>
  <c r="ES389" i="9"/>
  <c r="FB343" i="9"/>
  <c r="EP343" i="9"/>
  <c r="FA343" i="9"/>
  <c r="EW418" i="9"/>
  <c r="EO389" i="9"/>
  <c r="EU389" i="9"/>
  <c r="EM389" i="9"/>
  <c r="ER343" i="9"/>
  <c r="EF417" i="9"/>
  <c r="EG417" i="9"/>
  <c r="EB388" i="9"/>
  <c r="EA342" i="9"/>
  <c r="DX388" i="9"/>
  <c r="ED388" i="9"/>
  <c r="DV388" i="9"/>
  <c r="EJ342" i="9"/>
  <c r="EK342" i="9"/>
  <c r="DY342" i="9"/>
  <c r="EF406" i="9"/>
  <c r="DV377" i="9"/>
  <c r="EG406" i="9"/>
  <c r="DX377" i="9"/>
  <c r="ED377" i="9"/>
  <c r="EB377" i="9"/>
  <c r="EK331" i="9"/>
  <c r="DY331" i="9"/>
  <c r="EJ331" i="9"/>
  <c r="EA331" i="9"/>
  <c r="FO404" i="9"/>
  <c r="FF375" i="9"/>
  <c r="FL375" i="9"/>
  <c r="FJ375" i="9"/>
  <c r="FS329" i="9"/>
  <c r="FG329" i="9"/>
  <c r="FR329" i="9"/>
  <c r="FN404" i="9"/>
  <c r="FD375" i="9"/>
  <c r="FI329" i="9"/>
  <c r="FG337" i="9"/>
  <c r="FH337" i="9" s="1"/>
  <c r="FR337" i="9"/>
  <c r="FD383" i="9"/>
  <c r="FN412" i="9"/>
  <c r="FF383" i="9"/>
  <c r="FI337" i="9"/>
  <c r="FJ337" i="9" s="1"/>
  <c r="FL383" i="9"/>
  <c r="FS337" i="9"/>
  <c r="FQ337" i="9" s="1"/>
  <c r="FJ383" i="9"/>
  <c r="FO412" i="9"/>
  <c r="FN405" i="9"/>
  <c r="FD376" i="9"/>
  <c r="FI330" i="9"/>
  <c r="FO405" i="9"/>
  <c r="FF376" i="9"/>
  <c r="FL376" i="9"/>
  <c r="FJ376" i="9"/>
  <c r="FS330" i="9"/>
  <c r="FG330" i="9"/>
  <c r="FR330" i="9"/>
  <c r="DL144" i="12"/>
  <c r="DP157" i="12"/>
  <c r="DQ157" i="12"/>
  <c r="DH144" i="12"/>
  <c r="DF144" i="12"/>
  <c r="DK131" i="12"/>
  <c r="DN144" i="12"/>
  <c r="DI131" i="12"/>
  <c r="DY333" i="9"/>
  <c r="DZ333" i="9" s="1"/>
  <c r="EJ333" i="9"/>
  <c r="DV379" i="9"/>
  <c r="EF408" i="9"/>
  <c r="DX379" i="9"/>
  <c r="EA333" i="9"/>
  <c r="EK333" i="9"/>
  <c r="EG408" i="9"/>
  <c r="EB379" i="9"/>
  <c r="ED379" i="9"/>
  <c r="DY325" i="9"/>
  <c r="EJ325" i="9"/>
  <c r="DX371" i="9"/>
  <c r="EF400" i="9"/>
  <c r="DV371" i="9"/>
  <c r="EA325" i="9"/>
  <c r="EG400" i="9"/>
  <c r="EK325" i="9"/>
  <c r="EB371" i="9"/>
  <c r="ED371" i="9"/>
  <c r="FA333" i="9"/>
  <c r="EP333" i="9"/>
  <c r="EQ333" i="9" s="1"/>
  <c r="EW408" i="9"/>
  <c r="EM379" i="9"/>
  <c r="EO379" i="9"/>
  <c r="ER333" i="9"/>
  <c r="FB333" i="9"/>
  <c r="EX408" i="9"/>
  <c r="ES379" i="9"/>
  <c r="EU379" i="9"/>
  <c r="EP325" i="9"/>
  <c r="FA325" i="9"/>
  <c r="EW400" i="9"/>
  <c r="EO371" i="9"/>
  <c r="EM371" i="9"/>
  <c r="ER325" i="9"/>
  <c r="FB325" i="9"/>
  <c r="ES371" i="9"/>
  <c r="EX400" i="9"/>
  <c r="EU371" i="9"/>
  <c r="AH34" i="2"/>
  <c r="AN13" i="2"/>
  <c r="AF24" i="2"/>
  <c r="AH19" i="2"/>
  <c r="AI46" i="2"/>
  <c r="AN24" i="2"/>
  <c r="AK13" i="2"/>
  <c r="AM13" i="2"/>
  <c r="AN46" i="2"/>
  <c r="AN39" i="2"/>
  <c r="EC375" i="9" l="1"/>
  <c r="FK376" i="9"/>
  <c r="EC388" i="9"/>
  <c r="ET389" i="9"/>
  <c r="ET376" i="9"/>
  <c r="ET371" i="9"/>
  <c r="EV371" i="9"/>
  <c r="ES325" i="9"/>
  <c r="DV158" i="14"/>
  <c r="DV166" i="14" s="1"/>
  <c r="DV132" i="14"/>
  <c r="EC158" i="14"/>
  <c r="DS145" i="14"/>
  <c r="DU145" i="14"/>
  <c r="ED158" i="14"/>
  <c r="DX132" i="14"/>
  <c r="DY145" i="14"/>
  <c r="EA145" i="14"/>
  <c r="EP327" i="9"/>
  <c r="FA327" i="9"/>
  <c r="EM373" i="9"/>
  <c r="EO373" i="9"/>
  <c r="EW402" i="9"/>
  <c r="ER327" i="9"/>
  <c r="ES373" i="9"/>
  <c r="EX402" i="9"/>
  <c r="FB327" i="9"/>
  <c r="EU373" i="9"/>
  <c r="DI157" i="14"/>
  <c r="DI165" i="14" s="1"/>
  <c r="DI131" i="14"/>
  <c r="DP157" i="14"/>
  <c r="DH144" i="14"/>
  <c r="DF144" i="14"/>
  <c r="DL144" i="14"/>
  <c r="DQ157" i="14"/>
  <c r="DK131" i="14"/>
  <c r="DN144" i="14"/>
  <c r="DY334" i="9"/>
  <c r="DZ334" i="9" s="1"/>
  <c r="EJ334" i="9"/>
  <c r="DV380" i="9"/>
  <c r="DX380" i="9"/>
  <c r="EF409" i="9"/>
  <c r="EA334" i="9"/>
  <c r="EG409" i="9"/>
  <c r="EB380" i="9"/>
  <c r="EK334" i="9"/>
  <c r="ED380" i="9"/>
  <c r="EZ325" i="9"/>
  <c r="EQ325" i="9"/>
  <c r="DZ325" i="9"/>
  <c r="DM144" i="12"/>
  <c r="FK383" i="9"/>
  <c r="FM383" i="9"/>
  <c r="FK375" i="9"/>
  <c r="EC377" i="9"/>
  <c r="ET383" i="9"/>
  <c r="EV383" i="9"/>
  <c r="EC383" i="9"/>
  <c r="EE383" i="9"/>
  <c r="FK389" i="9"/>
  <c r="FK388" i="9"/>
  <c r="EC372" i="9"/>
  <c r="EE372" i="9"/>
  <c r="EB326" i="9"/>
  <c r="EC389" i="9"/>
  <c r="EC384" i="9"/>
  <c r="EE384" i="9"/>
  <c r="DL373" i="9"/>
  <c r="DN373" i="9"/>
  <c r="DK327" i="9"/>
  <c r="ET380" i="9"/>
  <c r="EV380" i="9"/>
  <c r="ET372" i="9"/>
  <c r="EV372" i="9"/>
  <c r="EZ326" i="9"/>
  <c r="ES326" i="9"/>
  <c r="ET384" i="9"/>
  <c r="EV384" i="9"/>
  <c r="EC376" i="9"/>
  <c r="ET377" i="9"/>
  <c r="EC158" i="12"/>
  <c r="ED158" i="12"/>
  <c r="DY145" i="12"/>
  <c r="DV132" i="12"/>
  <c r="EA145" i="12"/>
  <c r="DU145" i="12"/>
  <c r="DS145" i="12"/>
  <c r="DX132" i="12"/>
  <c r="FG325" i="9"/>
  <c r="FR325" i="9"/>
  <c r="FD371" i="9"/>
  <c r="FF371" i="9"/>
  <c r="FN400" i="9"/>
  <c r="FI325" i="9"/>
  <c r="FJ371" i="9"/>
  <c r="FO400" i="9"/>
  <c r="FL371" i="9"/>
  <c r="FS325" i="9"/>
  <c r="FG334" i="9"/>
  <c r="FH334" i="9" s="1"/>
  <c r="FR334" i="9"/>
  <c r="FD380" i="9"/>
  <c r="FF380" i="9"/>
  <c r="FN409" i="9"/>
  <c r="FI334" i="9"/>
  <c r="FL380" i="9"/>
  <c r="FS334" i="9"/>
  <c r="FJ380" i="9"/>
  <c r="FO409" i="9"/>
  <c r="FG326" i="9"/>
  <c r="FR326" i="9"/>
  <c r="FD372" i="9"/>
  <c r="FF372" i="9"/>
  <c r="FN401" i="9"/>
  <c r="FI326" i="9"/>
  <c r="FO401" i="9"/>
  <c r="FL372" i="9"/>
  <c r="FS326" i="9"/>
  <c r="FJ372" i="9"/>
  <c r="ET379" i="9"/>
  <c r="EV379" i="9"/>
  <c r="EC371" i="9"/>
  <c r="EE371" i="9"/>
  <c r="EI325" i="9"/>
  <c r="EB325" i="9"/>
  <c r="EC379" i="9"/>
  <c r="EE379" i="9"/>
  <c r="ET375" i="9"/>
  <c r="FK379" i="9"/>
  <c r="FM379" i="9"/>
  <c r="EI326" i="9"/>
  <c r="DZ326" i="9"/>
  <c r="DR327" i="9"/>
  <c r="DI327" i="9"/>
  <c r="EQ326" i="9"/>
  <c r="ET388" i="9"/>
  <c r="AO19" i="2"/>
  <c r="AK24" i="2"/>
  <c r="AG24" i="2"/>
  <c r="AL13" i="2"/>
  <c r="AN29" i="2"/>
  <c r="AG13" i="2"/>
  <c r="AB13" i="2"/>
  <c r="AO13" i="2"/>
  <c r="AM46" i="2"/>
  <c r="AM39" i="2"/>
  <c r="AO24" i="2"/>
  <c r="AJ39" i="2"/>
  <c r="AJ46" i="2"/>
  <c r="AF46" i="2"/>
  <c r="AF39" i="2"/>
  <c r="AE46" i="2"/>
  <c r="AE39" i="2"/>
  <c r="CV157" i="14" l="1"/>
  <c r="CV165" i="14" s="1"/>
  <c r="CV131" i="14"/>
  <c r="CS144" i="14"/>
  <c r="CU144" i="14"/>
  <c r="DC157" i="14"/>
  <c r="CX131" i="14"/>
  <c r="CY144" i="14"/>
  <c r="DA144" i="14"/>
  <c r="DD157" i="14"/>
  <c r="CV158" i="14"/>
  <c r="CV166" i="14" s="1"/>
  <c r="CV132" i="14"/>
  <c r="DC158" i="14"/>
  <c r="CS145" i="14"/>
  <c r="CU145" i="14"/>
  <c r="CX132" i="14"/>
  <c r="DD158" i="14"/>
  <c r="CY145" i="14"/>
  <c r="DA145" i="14"/>
  <c r="AP39" i="2"/>
  <c r="EA144" i="12"/>
  <c r="DS144" i="12"/>
  <c r="DU144" i="12"/>
  <c r="DX131" i="12"/>
  <c r="ED157" i="12"/>
  <c r="DY144" i="12"/>
  <c r="DV131" i="12"/>
  <c r="EC157" i="12"/>
  <c r="FG327" i="9"/>
  <c r="FR327" i="9"/>
  <c r="FN402" i="9"/>
  <c r="FD373" i="9"/>
  <c r="FF373" i="9"/>
  <c r="FI327" i="9"/>
  <c r="FL373" i="9"/>
  <c r="FS327" i="9"/>
  <c r="FJ373" i="9"/>
  <c r="FO402" i="9"/>
  <c r="FA335" i="9"/>
  <c r="EP335" i="9"/>
  <c r="EQ335" i="9" s="1"/>
  <c r="EQ332" i="9" s="1"/>
  <c r="EO381" i="9"/>
  <c r="EM381" i="9"/>
  <c r="EW410" i="9"/>
  <c r="ER335" i="9"/>
  <c r="EX410" i="9"/>
  <c r="ES381" i="9"/>
  <c r="FB335" i="9"/>
  <c r="EU381" i="9"/>
  <c r="FQ326" i="9"/>
  <c r="DD157" i="12"/>
  <c r="CY144" i="12"/>
  <c r="CU144" i="12"/>
  <c r="DC157" i="12"/>
  <c r="DA144" i="12"/>
  <c r="CS144" i="12"/>
  <c r="CX131" i="12"/>
  <c r="CV131" i="12"/>
  <c r="DC158" i="12"/>
  <c r="DD158" i="12"/>
  <c r="CY145" i="12"/>
  <c r="CU145" i="12"/>
  <c r="CV132" i="12"/>
  <c r="DA145" i="12"/>
  <c r="CS145" i="12"/>
  <c r="CX132" i="12"/>
  <c r="DI158" i="14"/>
  <c r="DI166" i="14" s="1"/>
  <c r="DI132" i="14"/>
  <c r="DF145" i="14"/>
  <c r="DH145" i="14"/>
  <c r="DP158" i="14"/>
  <c r="DQ158" i="14"/>
  <c r="DK132" i="14"/>
  <c r="DL145" i="14"/>
  <c r="DN145" i="14"/>
  <c r="FG335" i="9"/>
  <c r="FH335" i="9" s="1"/>
  <c r="FH332" i="9" s="1"/>
  <c r="FR335" i="9"/>
  <c r="FD381" i="9"/>
  <c r="FN410" i="9"/>
  <c r="FF381" i="9"/>
  <c r="FI335" i="9"/>
  <c r="FL381" i="9"/>
  <c r="FS335" i="9"/>
  <c r="FJ381" i="9"/>
  <c r="FO410" i="9"/>
  <c r="AP46" i="2"/>
  <c r="DV157" i="14"/>
  <c r="DV165" i="14" s="1"/>
  <c r="DV131" i="14"/>
  <c r="DS144" i="14"/>
  <c r="DU144" i="14"/>
  <c r="EC157" i="14"/>
  <c r="DX131" i="14"/>
  <c r="ED157" i="14"/>
  <c r="DY144" i="14"/>
  <c r="EA144" i="14"/>
  <c r="DH326" i="9"/>
  <c r="DS326" i="9"/>
  <c r="DE372" i="9"/>
  <c r="DG372" i="9"/>
  <c r="DO401" i="9"/>
  <c r="DJ326" i="9"/>
  <c r="DP401" i="9"/>
  <c r="DT326" i="9"/>
  <c r="DK372" i="9"/>
  <c r="DM372" i="9"/>
  <c r="FG338" i="9"/>
  <c r="FH338" i="9" s="1"/>
  <c r="FH336" i="9" s="1"/>
  <c r="FR338" i="9"/>
  <c r="FF384" i="9"/>
  <c r="FD384" i="9"/>
  <c r="FN413" i="9"/>
  <c r="FI338" i="9"/>
  <c r="FJ338" i="9" s="1"/>
  <c r="FJ336" i="9" s="1"/>
  <c r="FL384" i="9"/>
  <c r="FS338" i="9"/>
  <c r="FQ338" i="9" s="1"/>
  <c r="FQ336" i="9" s="1"/>
  <c r="FJ384" i="9"/>
  <c r="FO413" i="9"/>
  <c r="DY335" i="9"/>
  <c r="DZ335" i="9" s="1"/>
  <c r="DZ332" i="9" s="1"/>
  <c r="EJ335" i="9"/>
  <c r="DV381" i="9"/>
  <c r="DX381" i="9"/>
  <c r="EF410" i="9"/>
  <c r="EA335" i="9"/>
  <c r="EG410" i="9"/>
  <c r="EK335" i="9"/>
  <c r="EB381" i="9"/>
  <c r="ED381" i="9"/>
  <c r="FO406" i="9"/>
  <c r="FF377" i="9"/>
  <c r="FL377" i="9"/>
  <c r="FJ377" i="9"/>
  <c r="FS331" i="9"/>
  <c r="FG331" i="9"/>
  <c r="FR331" i="9"/>
  <c r="FN406" i="9"/>
  <c r="FD377" i="9"/>
  <c r="FI331" i="9"/>
  <c r="FK372" i="9"/>
  <c r="FM372" i="9"/>
  <c r="FJ326" i="9"/>
  <c r="FQ325" i="9"/>
  <c r="FJ325" i="9"/>
  <c r="EE382" i="9"/>
  <c r="EV382" i="9"/>
  <c r="EC380" i="9"/>
  <c r="EE380" i="9"/>
  <c r="DM144" i="14"/>
  <c r="EZ327" i="9"/>
  <c r="EQ327" i="9"/>
  <c r="EQ324" i="9" s="1"/>
  <c r="DW132" i="14"/>
  <c r="DP158" i="12"/>
  <c r="DQ158" i="12"/>
  <c r="DH145" i="12"/>
  <c r="DL145" i="12"/>
  <c r="DK132" i="12"/>
  <c r="DN145" i="12"/>
  <c r="DI132" i="12"/>
  <c r="DF145" i="12"/>
  <c r="DY327" i="9"/>
  <c r="EJ327" i="9"/>
  <c r="DX373" i="9"/>
  <c r="EF402" i="9"/>
  <c r="DV373" i="9"/>
  <c r="EA327" i="9"/>
  <c r="EB373" i="9"/>
  <c r="EG402" i="9"/>
  <c r="EK327" i="9"/>
  <c r="ED373" i="9"/>
  <c r="FH326" i="9"/>
  <c r="FK380" i="9"/>
  <c r="FM380" i="9"/>
  <c r="FK371" i="9"/>
  <c r="FM371" i="9"/>
  <c r="FH325" i="9"/>
  <c r="DZ145" i="12"/>
  <c r="EZ324" i="9"/>
  <c r="DL131" i="14"/>
  <c r="DJ131" i="14"/>
  <c r="ET373" i="9"/>
  <c r="EV373" i="9"/>
  <c r="EV370" i="9" s="1"/>
  <c r="ES327" i="9"/>
  <c r="ES324" i="9" s="1"/>
  <c r="DZ145" i="14"/>
  <c r="DY132" i="14"/>
  <c r="AP19" i="2"/>
  <c r="AL24" i="2"/>
  <c r="AH13" i="2"/>
  <c r="AP29" i="2"/>
  <c r="AH24" i="2"/>
  <c r="AP24" i="2"/>
  <c r="AP13" i="2"/>
  <c r="AD13" i="2"/>
  <c r="AH39" i="2"/>
  <c r="AL39" i="2"/>
  <c r="AH46" i="2"/>
  <c r="AL46" i="2"/>
  <c r="DZ327" i="9" l="1"/>
  <c r="DZ324" i="9" s="1"/>
  <c r="EC373" i="9"/>
  <c r="EE373" i="9"/>
  <c r="EE370" i="9" s="1"/>
  <c r="EB327" i="9"/>
  <c r="EB324" i="9" s="1"/>
  <c r="DM145" i="12"/>
  <c r="FK377" i="9"/>
  <c r="FK384" i="9"/>
  <c r="FM384" i="9"/>
  <c r="FM382" i="9" s="1"/>
  <c r="DI326" i="9"/>
  <c r="DI324" i="9" s="1"/>
  <c r="DY131" i="14"/>
  <c r="DW131" i="14"/>
  <c r="DW130" i="14" s="1"/>
  <c r="FK381" i="9"/>
  <c r="FM381" i="9"/>
  <c r="FM378" i="9" s="1"/>
  <c r="DJ132" i="14"/>
  <c r="DJ130" i="14" s="1"/>
  <c r="CZ145" i="12"/>
  <c r="FK373" i="9"/>
  <c r="FM373" i="9"/>
  <c r="FM370" i="9" s="1"/>
  <c r="FH327" i="9"/>
  <c r="FH324" i="9" s="1"/>
  <c r="DZ144" i="12"/>
  <c r="CZ145" i="14"/>
  <c r="CZ144" i="14"/>
  <c r="CY131" i="14"/>
  <c r="CW131" i="14"/>
  <c r="EI327" i="9"/>
  <c r="EI324" i="9" s="1"/>
  <c r="EC381" i="9"/>
  <c r="EE381" i="9"/>
  <c r="EE378" i="9" s="1"/>
  <c r="DL372" i="9"/>
  <c r="DN372" i="9"/>
  <c r="DN370" i="9" s="1"/>
  <c r="DR326" i="9"/>
  <c r="DR324" i="9" s="1"/>
  <c r="DK326" i="9"/>
  <c r="DK324" i="9" s="1"/>
  <c r="DZ144" i="14"/>
  <c r="DM145" i="14"/>
  <c r="DL132" i="14"/>
  <c r="CZ144" i="12"/>
  <c r="ET381" i="9"/>
  <c r="EV381" i="9"/>
  <c r="EV378" i="9" s="1"/>
  <c r="FQ327" i="9"/>
  <c r="FQ324" i="9" s="1"/>
  <c r="FJ327" i="9"/>
  <c r="FJ324" i="9" s="1"/>
  <c r="CY132" i="14"/>
  <c r="CW132" i="14"/>
  <c r="J24" i="17"/>
  <c r="J25" i="17" s="1"/>
  <c r="K23" i="17"/>
  <c r="K25" i="17" s="1"/>
  <c r="I26" i="17"/>
  <c r="I28" i="17" s="1"/>
  <c r="K26" i="17"/>
  <c r="K28" i="17" s="1"/>
  <c r="CW130" i="14" l="1"/>
  <c r="J6" i="17"/>
  <c r="J7" i="17" s="1"/>
  <c r="J8" i="17"/>
  <c r="J10" i="17" s="1"/>
  <c r="K6" i="17"/>
  <c r="K7" i="17" s="1"/>
  <c r="K8" i="17"/>
  <c r="K10" i="17" s="1"/>
  <c r="BQ34" i="13" l="1"/>
  <c r="BR35" i="13"/>
  <c r="BQ40" i="13"/>
  <c r="BP37" i="13"/>
  <c r="BQ38" i="13"/>
  <c r="BP36" i="13"/>
  <c r="BR33" i="13"/>
  <c r="BQ32" i="13"/>
  <c r="BP10" i="13"/>
  <c r="BP35" i="13"/>
  <c r="BR42" i="13"/>
  <c r="BQ31" i="13"/>
  <c r="BP38" i="13"/>
  <c r="BR31" i="13"/>
  <c r="BR41" i="13"/>
  <c r="BQ37" i="13"/>
  <c r="BR45" i="13"/>
  <c r="BR40" i="13"/>
  <c r="BQ36" i="13"/>
  <c r="BP44" i="13"/>
  <c r="BR39" i="13"/>
  <c r="BQ44" i="13"/>
  <c r="BP40" i="13"/>
  <c r="BQ45" i="13"/>
  <c r="BP31" i="13"/>
  <c r="BR36" i="13"/>
  <c r="BQ35" i="13"/>
  <c r="BP34" i="13"/>
  <c r="BR32" i="13"/>
  <c r="BQ39" i="13"/>
  <c r="BP39" i="13"/>
  <c r="BR44" i="13"/>
  <c r="BP45" i="13"/>
  <c r="BR10" i="13"/>
  <c r="BR27" i="13" s="1"/>
  <c r="BL108" i="13" s="1"/>
  <c r="BM108" i="13" s="1"/>
  <c r="BQ10" i="13"/>
  <c r="BQ27" i="13" s="1"/>
  <c r="BL107" i="13" s="1"/>
  <c r="BP42" i="13"/>
  <c r="BR37" i="13"/>
  <c r="BQ41" i="13"/>
  <c r="BP33" i="13"/>
  <c r="BR38" i="13"/>
  <c r="BQ42" i="13"/>
  <c r="BP32" i="13"/>
  <c r="BR34" i="13"/>
  <c r="BQ33" i="13"/>
  <c r="BP41" i="13"/>
  <c r="BK27" i="13"/>
  <c r="BE108" i="13" s="1"/>
  <c r="BF108" i="13" s="1"/>
  <c r="AW27" i="13"/>
  <c r="AQ108" i="13" s="1"/>
  <c r="AR108" i="13" s="1"/>
  <c r="BD27" i="13"/>
  <c r="AX108" i="13" s="1"/>
  <c r="AY108" i="13" s="1"/>
  <c r="AV27" i="13"/>
  <c r="AQ107" i="13" s="1"/>
  <c r="BC27" i="13"/>
  <c r="AX107" i="13" s="1"/>
  <c r="BB27" i="13"/>
  <c r="AX106" i="13" s="1"/>
  <c r="BB101" i="13"/>
  <c r="AX111" i="13" s="1"/>
  <c r="BJ27" i="13"/>
  <c r="BE107" i="13" s="1"/>
  <c r="BI27" i="13"/>
  <c r="BE106" i="13" s="1"/>
  <c r="BP27" i="13"/>
  <c r="BL106" i="13" s="1"/>
  <c r="AU27" i="13"/>
  <c r="AQ106" i="13" s="1"/>
  <c r="J27" i="18"/>
  <c r="L27" i="18"/>
  <c r="K27" i="18"/>
  <c r="BK101" i="13" l="1"/>
  <c r="BE113" i="13" s="1"/>
  <c r="AY106" i="13"/>
  <c r="AY107" i="13"/>
  <c r="BI101" i="13"/>
  <c r="BE111" i="13" s="1"/>
  <c r="BQ101" i="13"/>
  <c r="BL112" i="13" s="1"/>
  <c r="BC101" i="13"/>
  <c r="AX112" i="13" s="1"/>
  <c r="BM106" i="13"/>
  <c r="BP101" i="13"/>
  <c r="BL111" i="13" s="1"/>
  <c r="AY111" i="13"/>
  <c r="BD101" i="13"/>
  <c r="AX113" i="13" s="1"/>
  <c r="BR101" i="13"/>
  <c r="BL113" i="13" s="1"/>
  <c r="BJ101" i="13"/>
  <c r="BE112" i="13" s="1"/>
  <c r="AR106" i="13"/>
  <c r="AW101" i="13"/>
  <c r="AQ113" i="13" s="1"/>
  <c r="BF107" i="13"/>
  <c r="AR107" i="13"/>
  <c r="AV101" i="13"/>
  <c r="AQ112" i="13" s="1"/>
  <c r="AU101" i="13"/>
  <c r="AQ111" i="13" s="1"/>
  <c r="BF106" i="13"/>
  <c r="BF105" i="13" s="1"/>
  <c r="BM107" i="13"/>
  <c r="AY105" i="13" l="1"/>
  <c r="BF112" i="13"/>
  <c r="AY113" i="13"/>
  <c r="AY112" i="13"/>
  <c r="BF111" i="13"/>
  <c r="BM113" i="13"/>
  <c r="BM111" i="13"/>
  <c r="BM105" i="13"/>
  <c r="BM112" i="13"/>
  <c r="BF113" i="13"/>
  <c r="AR105" i="13"/>
  <c r="AR111" i="13"/>
  <c r="AR112" i="13"/>
  <c r="AR113" i="13"/>
  <c r="BF110" i="13" l="1"/>
  <c r="AY110" i="13"/>
  <c r="BM110" i="13"/>
  <c r="AR110" i="13"/>
  <c r="E64" i="10" l="1"/>
  <c r="E57" i="10"/>
  <c r="E30" i="10"/>
  <c r="E43" i="10"/>
  <c r="F38" i="10"/>
  <c r="E42" i="10"/>
  <c r="F31" i="10"/>
  <c r="E31" i="10"/>
  <c r="E73" i="10"/>
  <c r="E70" i="10"/>
  <c r="E72" i="10"/>
  <c r="F57" i="10"/>
  <c r="E38" i="10"/>
  <c r="E71" i="10"/>
  <c r="E56" i="10"/>
  <c r="E78" i="7"/>
  <c r="E97" i="7" s="1"/>
  <c r="E5" i="18"/>
  <c r="E91" i="7"/>
  <c r="C4" i="11"/>
  <c r="I4" i="11"/>
  <c r="C35" i="11"/>
  <c r="D20" i="7"/>
  <c r="O2" i="13"/>
  <c r="S30" i="13" s="1"/>
  <c r="E30" i="7"/>
  <c r="AM192" i="14" l="1"/>
  <c r="AK192" i="14"/>
  <c r="AV361" i="9"/>
  <c r="AT361" i="9"/>
  <c r="AT365" i="9" s="1"/>
  <c r="AK195" i="14"/>
  <c r="AK199" i="14" s="1"/>
  <c r="U8" i="13"/>
  <c r="S8" i="13"/>
  <c r="G73" i="10"/>
  <c r="G72" i="10"/>
  <c r="H31" i="10"/>
  <c r="E20" i="7"/>
  <c r="AX192" i="14" s="1"/>
  <c r="G56" i="10"/>
  <c r="G31" i="10"/>
  <c r="G30" i="10"/>
  <c r="G57" i="10"/>
  <c r="G42" i="10"/>
  <c r="G43" i="10"/>
  <c r="G38" i="10"/>
  <c r="G70" i="10"/>
  <c r="H57" i="10"/>
  <c r="G64" i="10"/>
  <c r="G71" i="10"/>
  <c r="H38" i="10"/>
  <c r="D35" i="11"/>
  <c r="F91" i="7"/>
  <c r="D4" i="11"/>
  <c r="G77" i="10"/>
  <c r="F78" i="7"/>
  <c r="F5" i="18"/>
  <c r="J4" i="11"/>
  <c r="C38" i="11"/>
  <c r="E33" i="7"/>
  <c r="U38" i="13"/>
  <c r="T33" i="13"/>
  <c r="U44" i="13"/>
  <c r="S12" i="13"/>
  <c r="S26" i="13"/>
  <c r="S21" i="13"/>
  <c r="T55" i="13"/>
  <c r="U76" i="13"/>
  <c r="T54" i="13"/>
  <c r="U75" i="13"/>
  <c r="U96" i="13"/>
  <c r="T49" i="13"/>
  <c r="U70" i="13"/>
  <c r="U49" i="13"/>
  <c r="S71" i="13"/>
  <c r="S92" i="13"/>
  <c r="T32" i="13"/>
  <c r="S33" i="13"/>
  <c r="U31" i="13"/>
  <c r="S24" i="13"/>
  <c r="S19" i="13"/>
  <c r="U16" i="13"/>
  <c r="U11" i="13"/>
  <c r="U64" i="13"/>
  <c r="S86" i="13"/>
  <c r="U63" i="13"/>
  <c r="S85" i="13"/>
  <c r="S93" i="13"/>
  <c r="U58" i="13"/>
  <c r="S80" i="13"/>
  <c r="S59" i="13"/>
  <c r="T80" i="13"/>
  <c r="T88" i="13"/>
  <c r="U40" i="13"/>
  <c r="T35" i="13"/>
  <c r="S40" i="13"/>
  <c r="U14" i="13"/>
  <c r="S9" i="13"/>
  <c r="U23" i="13"/>
  <c r="U52" i="13"/>
  <c r="S74" i="13"/>
  <c r="U51" i="13"/>
  <c r="S73" i="13"/>
  <c r="S94" i="13"/>
  <c r="U46" i="13"/>
  <c r="S68" i="13"/>
  <c r="S47" i="13"/>
  <c r="T68" i="13"/>
  <c r="T89" i="13"/>
  <c r="U97" i="13"/>
  <c r="S35" i="13"/>
  <c r="U33" i="13"/>
  <c r="U26" i="13"/>
  <c r="U21" i="13"/>
  <c r="T19" i="13"/>
  <c r="T14" i="13"/>
  <c r="S62" i="13"/>
  <c r="T83" i="13"/>
  <c r="S61" i="13"/>
  <c r="T82" i="13"/>
  <c r="T90" i="13"/>
  <c r="S56" i="13"/>
  <c r="T77" i="13"/>
  <c r="T56" i="13"/>
  <c r="U77" i="13"/>
  <c r="U98" i="13"/>
  <c r="S37" i="13"/>
  <c r="U34" i="13"/>
  <c r="S42" i="13"/>
  <c r="T17" i="13"/>
  <c r="T12" i="13"/>
  <c r="T26" i="13"/>
  <c r="S50" i="13"/>
  <c r="T71" i="13"/>
  <c r="S49" i="13"/>
  <c r="T70" i="13"/>
  <c r="T91" i="13"/>
  <c r="U99" i="13"/>
  <c r="T65" i="13"/>
  <c r="U86" i="13"/>
  <c r="U65" i="13"/>
  <c r="S87" i="13"/>
  <c r="S95" i="13"/>
  <c r="T45" i="13"/>
  <c r="S44" i="13"/>
  <c r="U41" i="13"/>
  <c r="T24" i="13"/>
  <c r="S22" i="13"/>
  <c r="S17" i="13"/>
  <c r="T59" i="13"/>
  <c r="U80" i="13"/>
  <c r="T58" i="13"/>
  <c r="U79" i="13"/>
  <c r="U100" i="13"/>
  <c r="T53" i="13"/>
  <c r="U74" i="13"/>
  <c r="U53" i="13"/>
  <c r="S75" i="13"/>
  <c r="S96" i="13"/>
  <c r="S39" i="13"/>
  <c r="U36" i="13"/>
  <c r="T38" i="13"/>
  <c r="S20" i="13"/>
  <c r="S15" i="13"/>
  <c r="U12" i="13"/>
  <c r="T47" i="13"/>
  <c r="U68" i="13"/>
  <c r="T46" i="13"/>
  <c r="U67" i="13"/>
  <c r="U88" i="13"/>
  <c r="S97" i="13"/>
  <c r="U62" i="13"/>
  <c r="T52" i="13"/>
  <c r="U94" i="13"/>
  <c r="U37" i="13"/>
  <c r="T21" i="13"/>
  <c r="S14" i="13"/>
  <c r="T67" i="13"/>
  <c r="T66" i="13"/>
  <c r="U95" i="13"/>
  <c r="U82" i="13"/>
  <c r="S83" i="13"/>
  <c r="S84" i="13"/>
  <c r="T84" i="13"/>
  <c r="T36" i="13"/>
  <c r="U10" i="13"/>
  <c r="U24" i="13"/>
  <c r="U56" i="13"/>
  <c r="U55" i="13"/>
  <c r="S98" i="13"/>
  <c r="S72" i="13"/>
  <c r="T72" i="13"/>
  <c r="T100" i="13"/>
  <c r="T42" i="13"/>
  <c r="S32" i="13"/>
  <c r="T44" i="13"/>
  <c r="U22" i="13"/>
  <c r="U17" i="13"/>
  <c r="T15" i="13"/>
  <c r="U9" i="13"/>
  <c r="S66" i="13"/>
  <c r="T87" i="13"/>
  <c r="S65" i="13"/>
  <c r="T86" i="13"/>
  <c r="T94" i="13"/>
  <c r="S60" i="13"/>
  <c r="T81" i="13"/>
  <c r="T60" i="13"/>
  <c r="U81" i="13"/>
  <c r="U89" i="13"/>
  <c r="U39" i="13"/>
  <c r="T34" i="13"/>
  <c r="U45" i="13"/>
  <c r="T13" i="13"/>
  <c r="O29" i="13"/>
  <c r="T22" i="13"/>
  <c r="S54" i="13"/>
  <c r="T75" i="13"/>
  <c r="S53" i="13"/>
  <c r="T74" i="13"/>
  <c r="T95" i="13"/>
  <c r="S48" i="13"/>
  <c r="T69" i="13"/>
  <c r="T48" i="13"/>
  <c r="U69" i="13"/>
  <c r="U90" i="13"/>
  <c r="S99" i="13"/>
  <c r="S34" i="13"/>
  <c r="U32" i="13"/>
  <c r="T25" i="13"/>
  <c r="T20" i="13"/>
  <c r="S18" i="13"/>
  <c r="S13" i="13"/>
  <c r="T63" i="13"/>
  <c r="U84" i="13"/>
  <c r="T62" i="13"/>
  <c r="U83" i="13"/>
  <c r="U91" i="13"/>
  <c r="T57" i="13"/>
  <c r="U78" i="13"/>
  <c r="U57" i="13"/>
  <c r="S79" i="13"/>
  <c r="S100" i="13"/>
  <c r="S36" i="13"/>
  <c r="T40" i="13"/>
  <c r="S41" i="13"/>
  <c r="S16" i="13"/>
  <c r="S11" i="13"/>
  <c r="S25" i="13"/>
  <c r="T51" i="13"/>
  <c r="U72" i="13"/>
  <c r="T50" i="13"/>
  <c r="U71" i="13"/>
  <c r="U92" i="13"/>
  <c r="T43" i="13"/>
  <c r="U66" i="13"/>
  <c r="U43" i="13"/>
  <c r="S67" i="13"/>
  <c r="S88" i="13"/>
  <c r="T96" i="13"/>
  <c r="T10" i="13"/>
  <c r="S10" i="13"/>
  <c r="O4" i="13"/>
  <c r="S23" i="13"/>
  <c r="U20" i="13"/>
  <c r="U15" i="13"/>
  <c r="U60" i="13"/>
  <c r="S82" i="13"/>
  <c r="U59" i="13"/>
  <c r="S81" i="13"/>
  <c r="S89" i="13"/>
  <c r="U54" i="13"/>
  <c r="S76" i="13"/>
  <c r="S55" i="13"/>
  <c r="T76" i="13"/>
  <c r="T97" i="13"/>
  <c r="S38" i="13"/>
  <c r="U35" i="13"/>
  <c r="T37" i="13"/>
  <c r="U18" i="13"/>
  <c r="U13" i="13"/>
  <c r="T11" i="13"/>
  <c r="U48" i="13"/>
  <c r="S70" i="13"/>
  <c r="U47" i="13"/>
  <c r="S69" i="13"/>
  <c r="S90" i="13"/>
  <c r="T98" i="13"/>
  <c r="S64" i="13"/>
  <c r="T85" i="13"/>
  <c r="T64" i="13"/>
  <c r="U85" i="13"/>
  <c r="U93" i="13"/>
  <c r="T31" i="13"/>
  <c r="S45" i="13"/>
  <c r="U42" i="13"/>
  <c r="U25" i="13"/>
  <c r="T23" i="13"/>
  <c r="T18" i="13"/>
  <c r="S58" i="13"/>
  <c r="T79" i="13"/>
  <c r="S57" i="13"/>
  <c r="T78" i="13"/>
  <c r="T99" i="13"/>
  <c r="S52" i="13"/>
  <c r="T73" i="13"/>
  <c r="U73" i="13"/>
  <c r="T41" i="13"/>
  <c r="T39" i="13"/>
  <c r="T16" i="13"/>
  <c r="S46" i="13"/>
  <c r="S43" i="13"/>
  <c r="U87" i="13"/>
  <c r="T61" i="13"/>
  <c r="U61" i="13"/>
  <c r="S91" i="13"/>
  <c r="S63" i="13"/>
  <c r="T92" i="13"/>
  <c r="S31" i="13"/>
  <c r="T9" i="13"/>
  <c r="U19" i="13"/>
  <c r="S78" i="13"/>
  <c r="S77" i="13"/>
  <c r="U50" i="13"/>
  <c r="S51" i="13"/>
  <c r="T93" i="13"/>
  <c r="O103" i="13"/>
  <c r="T8" i="13"/>
  <c r="E84" i="10"/>
  <c r="E32" i="7"/>
  <c r="E35" i="7" s="1"/>
  <c r="I6" i="11" s="1"/>
  <c r="I7" i="11"/>
  <c r="E77" i="10"/>
  <c r="E94" i="7"/>
  <c r="V2" i="13"/>
  <c r="E31" i="7"/>
  <c r="E34" i="7" s="1"/>
  <c r="E19" i="18" s="1"/>
  <c r="E22" i="18" s="1"/>
  <c r="E30" i="18" s="1"/>
  <c r="E31" i="18" s="1"/>
  <c r="C6" i="11"/>
  <c r="C65" i="11"/>
  <c r="C7" i="11"/>
  <c r="U30" i="13"/>
  <c r="T30" i="13"/>
  <c r="F30" i="7"/>
  <c r="E24" i="18"/>
  <c r="E27" i="18"/>
  <c r="E98" i="7"/>
  <c r="E99" i="7"/>
  <c r="E100" i="7"/>
  <c r="E85" i="7"/>
  <c r="G84" i="10" l="1"/>
  <c r="AX195" i="14"/>
  <c r="AX199" i="14" s="1"/>
  <c r="BK361" i="9"/>
  <c r="BK365" i="9" s="1"/>
  <c r="AW195" i="14"/>
  <c r="AX196" i="14"/>
  <c r="AK160" i="14"/>
  <c r="AK185" i="14"/>
  <c r="AK143" i="14"/>
  <c r="AK163" i="12"/>
  <c r="AK146" i="12"/>
  <c r="AK150" i="12"/>
  <c r="AK159" i="12"/>
  <c r="AK147" i="12"/>
  <c r="AJ150" i="12" s="1"/>
  <c r="AK147" i="14"/>
  <c r="AK156" i="14"/>
  <c r="AK156" i="12"/>
  <c r="AK143" i="12"/>
  <c r="AK160" i="12"/>
  <c r="AK185" i="12"/>
  <c r="AT386" i="9"/>
  <c r="AT374" i="9"/>
  <c r="AT403" i="9"/>
  <c r="AT415" i="9"/>
  <c r="AT390" i="9"/>
  <c r="AT419" i="9"/>
  <c r="AK159" i="14"/>
  <c r="AK167" i="14" s="1"/>
  <c r="AT407" i="9"/>
  <c r="AT443" i="9"/>
  <c r="AT414" i="9"/>
  <c r="AT399" i="9"/>
  <c r="AT411" i="9"/>
  <c r="AT378" i="9"/>
  <c r="AT370" i="9"/>
  <c r="AT385" i="9"/>
  <c r="AK146" i="14"/>
  <c r="AK154" i="14" s="1"/>
  <c r="AK172" i="14" s="1"/>
  <c r="AT417" i="9"/>
  <c r="AT416" i="9"/>
  <c r="AT418" i="9"/>
  <c r="AT382" i="9"/>
  <c r="AT410" i="9"/>
  <c r="AT388" i="9"/>
  <c r="AT387" i="9"/>
  <c r="AT409" i="9"/>
  <c r="AT389" i="9"/>
  <c r="AT406" i="9"/>
  <c r="AT402" i="9"/>
  <c r="AT405" i="9"/>
  <c r="AT412" i="9"/>
  <c r="AT401" i="9"/>
  <c r="AT380" i="9"/>
  <c r="AS380" i="9" s="1"/>
  <c r="AT376" i="9"/>
  <c r="AT408" i="9"/>
  <c r="AK157" i="14"/>
  <c r="AT373" i="9"/>
  <c r="AT383" i="9"/>
  <c r="AS383" i="9" s="1"/>
  <c r="AT377" i="9"/>
  <c r="AT381" i="9"/>
  <c r="AS381" i="9" s="1"/>
  <c r="AT413" i="9"/>
  <c r="AT404" i="9"/>
  <c r="AT372" i="9"/>
  <c r="AT400" i="9"/>
  <c r="AT375" i="9"/>
  <c r="AT384" i="9"/>
  <c r="AS384" i="9" s="1"/>
  <c r="AT371" i="9"/>
  <c r="AK144" i="14"/>
  <c r="AT379" i="9"/>
  <c r="AS379" i="9" s="1"/>
  <c r="AS378" i="9" s="1"/>
  <c r="AK157" i="12"/>
  <c r="AK158" i="14"/>
  <c r="AK158" i="12"/>
  <c r="AK145" i="14"/>
  <c r="AK144" i="12"/>
  <c r="AK145" i="12"/>
  <c r="BM361" i="9"/>
  <c r="AZ192" i="14"/>
  <c r="AK196" i="14"/>
  <c r="AJ195" i="14"/>
  <c r="T101" i="13"/>
  <c r="O112" i="13" s="1"/>
  <c r="P112" i="13" s="1"/>
  <c r="U101" i="13"/>
  <c r="O113" i="13" s="1"/>
  <c r="P113" i="13" s="1"/>
  <c r="T27" i="13"/>
  <c r="O107" i="13" s="1"/>
  <c r="P107" i="13" s="1"/>
  <c r="S101" i="13"/>
  <c r="O111" i="13" s="1"/>
  <c r="P111" i="13" s="1"/>
  <c r="U27" i="13"/>
  <c r="O108" i="13" s="1"/>
  <c r="P108" i="13" s="1"/>
  <c r="S27" i="13"/>
  <c r="O106" i="13" s="1"/>
  <c r="P106" i="13" s="1"/>
  <c r="E50" i="10"/>
  <c r="Z37" i="13"/>
  <c r="AB41" i="13"/>
  <c r="Z42" i="13"/>
  <c r="Z20" i="13"/>
  <c r="Z23" i="13"/>
  <c r="Z26" i="13"/>
  <c r="AA46" i="13"/>
  <c r="AB67" i="13"/>
  <c r="Z89" i="13"/>
  <c r="AB54" i="13"/>
  <c r="Z76" i="13"/>
  <c r="AA97" i="13"/>
  <c r="AA64" i="13"/>
  <c r="AB85" i="13"/>
  <c r="AA51" i="13"/>
  <c r="AB72" i="13"/>
  <c r="Z94" i="13"/>
  <c r="AB36" i="13"/>
  <c r="AA44" i="13"/>
  <c r="Z39" i="13"/>
  <c r="Z24" i="13"/>
  <c r="V4" i="13"/>
  <c r="Z13" i="13"/>
  <c r="AA50" i="13"/>
  <c r="AB71" i="13"/>
  <c r="Z93" i="13"/>
  <c r="AB58" i="13"/>
  <c r="Z80" i="13"/>
  <c r="Z47" i="13"/>
  <c r="AA68" i="13"/>
  <c r="AB89" i="13"/>
  <c r="AA55" i="13"/>
  <c r="AB76" i="13"/>
  <c r="Z98" i="13"/>
  <c r="Z34" i="13"/>
  <c r="AB38" i="13"/>
  <c r="Z12" i="13"/>
  <c r="Z15" i="13"/>
  <c r="Z18" i="13"/>
  <c r="AA22" i="13"/>
  <c r="AB59" i="13"/>
  <c r="Z81" i="13"/>
  <c r="AB46" i="13"/>
  <c r="Z68" i="13"/>
  <c r="AA89" i="13"/>
  <c r="AA56" i="13"/>
  <c r="AB77" i="13"/>
  <c r="Z99" i="13"/>
  <c r="AB64" i="13"/>
  <c r="Z86" i="13"/>
  <c r="AA37" i="13"/>
  <c r="Z31" i="13"/>
  <c r="AA34" i="13"/>
  <c r="Z16" i="13"/>
  <c r="Z19" i="13"/>
  <c r="Z22" i="13"/>
  <c r="AA26" i="13"/>
  <c r="AB63" i="13"/>
  <c r="Z85" i="13"/>
  <c r="AB50" i="13"/>
  <c r="Z72" i="13"/>
  <c r="AA93" i="13"/>
  <c r="AA60" i="13"/>
  <c r="AB81" i="13"/>
  <c r="AA47" i="13"/>
  <c r="AB68" i="13"/>
  <c r="Z90" i="13"/>
  <c r="AB31" i="13"/>
  <c r="AA10" i="13"/>
  <c r="AB40" i="13"/>
  <c r="AA25" i="13"/>
  <c r="V29" i="13"/>
  <c r="AA14" i="13"/>
  <c r="AB51" i="13"/>
  <c r="Z73" i="13"/>
  <c r="AA94" i="13"/>
  <c r="Z60" i="13"/>
  <c r="AA81" i="13"/>
  <c r="AA48" i="13"/>
  <c r="AB69" i="13"/>
  <c r="Z91" i="13"/>
  <c r="AB56" i="13"/>
  <c r="Z78" i="13"/>
  <c r="AA99" i="13"/>
  <c r="AA42" i="13"/>
  <c r="Z32" i="13"/>
  <c r="AB33" i="13"/>
  <c r="Z11" i="13"/>
  <c r="Z14" i="13"/>
  <c r="AA18" i="13"/>
  <c r="AB55" i="13"/>
  <c r="Z77" i="13"/>
  <c r="AA98" i="13"/>
  <c r="Z64" i="13"/>
  <c r="AA85" i="13"/>
  <c r="AA52" i="13"/>
  <c r="AB73" i="13"/>
  <c r="Z95" i="13"/>
  <c r="AB60" i="13"/>
  <c r="Z82" i="13"/>
  <c r="AA36" i="13"/>
  <c r="AB32" i="13"/>
  <c r="AA33" i="13"/>
  <c r="AA17" i="13"/>
  <c r="AA20" i="13"/>
  <c r="AA23" i="13"/>
  <c r="AB43" i="13"/>
  <c r="Z65" i="13"/>
  <c r="AA86" i="13"/>
  <c r="Z52" i="13"/>
  <c r="AA73" i="13"/>
  <c r="AB94" i="13"/>
  <c r="AB61" i="13"/>
  <c r="Z83" i="13"/>
  <c r="AB48" i="13"/>
  <c r="Z70" i="13"/>
  <c r="AA91" i="13"/>
  <c r="Z40" i="13"/>
  <c r="AA31" i="13"/>
  <c r="Z41" i="13"/>
  <c r="AA21" i="13"/>
  <c r="AA24" i="13"/>
  <c r="AB9" i="13"/>
  <c r="AB47" i="13"/>
  <c r="Z69" i="13"/>
  <c r="AA90" i="13"/>
  <c r="Z56" i="13"/>
  <c r="AA77" i="13"/>
  <c r="AB98" i="13"/>
  <c r="AB65" i="13"/>
  <c r="Z87" i="13"/>
  <c r="AB52" i="13"/>
  <c r="Z74" i="13"/>
  <c r="AA95" i="13"/>
  <c r="AA30" i="13"/>
  <c r="AB8" i="13"/>
  <c r="AA41" i="13"/>
  <c r="AB44" i="13"/>
  <c r="V103" i="13"/>
  <c r="AA12" i="13"/>
  <c r="AA15" i="13"/>
  <c r="AB19" i="13"/>
  <c r="Z57" i="13"/>
  <c r="AA78" i="13"/>
  <c r="AB99" i="13"/>
  <c r="AA65" i="13"/>
  <c r="AB86" i="13"/>
  <c r="AB53" i="13"/>
  <c r="Z75" i="13"/>
  <c r="AA96" i="13"/>
  <c r="Z62" i="13"/>
  <c r="AA83" i="13"/>
  <c r="AA39" i="13"/>
  <c r="Z33" i="13"/>
  <c r="AB37" i="13"/>
  <c r="AA13" i="13"/>
  <c r="AA16" i="13"/>
  <c r="AA19" i="13"/>
  <c r="AB23" i="13"/>
  <c r="Z61" i="13"/>
  <c r="AA82" i="13"/>
  <c r="Z48" i="13"/>
  <c r="AA69" i="13"/>
  <c r="AB90" i="13"/>
  <c r="AB57" i="13"/>
  <c r="Z79" i="13"/>
  <c r="AA100" i="13"/>
  <c r="Z66" i="13"/>
  <c r="AA87" i="13"/>
  <c r="Z35" i="13"/>
  <c r="AA45" i="13"/>
  <c r="Z44" i="13"/>
  <c r="AB22" i="13"/>
  <c r="AB25" i="13"/>
  <c r="AB11" i="13"/>
  <c r="Z49" i="13"/>
  <c r="AA70" i="13"/>
  <c r="AB91" i="13"/>
  <c r="AA57" i="13"/>
  <c r="AB78" i="13"/>
  <c r="Z100" i="13"/>
  <c r="Z67" i="13"/>
  <c r="AA88" i="13"/>
  <c r="Z54" i="13"/>
  <c r="AA75" i="13"/>
  <c r="AB96" i="13"/>
  <c r="AB45" i="13"/>
  <c r="Z45" i="13"/>
  <c r="AB35" i="13"/>
  <c r="AB26" i="13"/>
  <c r="AA11" i="13"/>
  <c r="AB15" i="13"/>
  <c r="Z53" i="13"/>
  <c r="AA74" i="13"/>
  <c r="AB95" i="13"/>
  <c r="AA61" i="13"/>
  <c r="AB82" i="13"/>
  <c r="AB49" i="13"/>
  <c r="Z71" i="13"/>
  <c r="AA92" i="13"/>
  <c r="Z58" i="13"/>
  <c r="AA79" i="13"/>
  <c r="AA38" i="13"/>
  <c r="Z36" i="13"/>
  <c r="AA35" i="13"/>
  <c r="AB14" i="13"/>
  <c r="AB17" i="13"/>
  <c r="AB20" i="13"/>
  <c r="Z25" i="13"/>
  <c r="AA62" i="13"/>
  <c r="AB83" i="13"/>
  <c r="AA49" i="13"/>
  <c r="AB70" i="13"/>
  <c r="Z92" i="13"/>
  <c r="Z59" i="13"/>
  <c r="AA80" i="13"/>
  <c r="Z46" i="13"/>
  <c r="AA67" i="13"/>
  <c r="AB88" i="13"/>
  <c r="Z38" i="13"/>
  <c r="AB42" i="13"/>
  <c r="AA32" i="13"/>
  <c r="AB18" i="13"/>
  <c r="AB21" i="13"/>
  <c r="AB24" i="13"/>
  <c r="Z43" i="13"/>
  <c r="AA66" i="13"/>
  <c r="AB87" i="13"/>
  <c r="AA53" i="13"/>
  <c r="AB74" i="13"/>
  <c r="Z96" i="13"/>
  <c r="Z63" i="13"/>
  <c r="AA84" i="13"/>
  <c r="Z50" i="13"/>
  <c r="AA71" i="13"/>
  <c r="AB92" i="13"/>
  <c r="AB10" i="13"/>
  <c r="Z10" i="13"/>
  <c r="AB34" i="13"/>
  <c r="Z9" i="13"/>
  <c r="AB12" i="13"/>
  <c r="Z17" i="13"/>
  <c r="AA54" i="13"/>
  <c r="AB75" i="13"/>
  <c r="Z97" i="13"/>
  <c r="AB62" i="13"/>
  <c r="Z84" i="13"/>
  <c r="Z51" i="13"/>
  <c r="AA72" i="13"/>
  <c r="AB93" i="13"/>
  <c r="AA59" i="13"/>
  <c r="AB80" i="13"/>
  <c r="AB100" i="13"/>
  <c r="AA40" i="13"/>
  <c r="AB39" i="13"/>
  <c r="AA9" i="13"/>
  <c r="AB13" i="13"/>
  <c r="AB16" i="13"/>
  <c r="Z21" i="13"/>
  <c r="AA58" i="13"/>
  <c r="AB79" i="13"/>
  <c r="AA43" i="13"/>
  <c r="AB66" i="13"/>
  <c r="Z88" i="13"/>
  <c r="Z55" i="13"/>
  <c r="AA76" i="13"/>
  <c r="AB97" i="13"/>
  <c r="AA63" i="13"/>
  <c r="AB84" i="13"/>
  <c r="Z30" i="13"/>
  <c r="Z8" i="13"/>
  <c r="AB30" i="13"/>
  <c r="AA8" i="13"/>
  <c r="B76" i="10"/>
  <c r="E78" i="10"/>
  <c r="F78" i="10"/>
  <c r="E85" i="10"/>
  <c r="F85" i="10"/>
  <c r="E74" i="10"/>
  <c r="C37" i="11"/>
  <c r="F80" i="7"/>
  <c r="E81" i="7"/>
  <c r="F84" i="7"/>
  <c r="F97" i="7"/>
  <c r="H78" i="10"/>
  <c r="G78" i="10"/>
  <c r="F12" i="10"/>
  <c r="E12" i="10"/>
  <c r="E17" i="10"/>
  <c r="F17" i="10"/>
  <c r="F31" i="7"/>
  <c r="F34" i="7" s="1"/>
  <c r="F33" i="7"/>
  <c r="F19" i="18" s="1"/>
  <c r="F22" i="18" s="1"/>
  <c r="F30" i="18" s="1"/>
  <c r="F31" i="18" s="1"/>
  <c r="F32" i="7"/>
  <c r="F35" i="7" s="1"/>
  <c r="E26" i="10"/>
  <c r="F26" i="10"/>
  <c r="E67" i="10"/>
  <c r="E25" i="10"/>
  <c r="I30" i="10"/>
  <c r="I72" i="10"/>
  <c r="I31" i="10"/>
  <c r="I64" i="10"/>
  <c r="F20" i="7"/>
  <c r="G91" i="7"/>
  <c r="J38" i="10"/>
  <c r="I42" i="10"/>
  <c r="I43" i="10"/>
  <c r="J57" i="10"/>
  <c r="J31" i="10"/>
  <c r="I73" i="10"/>
  <c r="K4" i="11"/>
  <c r="I71" i="10"/>
  <c r="I70" i="10"/>
  <c r="I38" i="10"/>
  <c r="E35" i="11"/>
  <c r="I57" i="10"/>
  <c r="I56" i="10"/>
  <c r="I77" i="10"/>
  <c r="G5" i="18"/>
  <c r="AC2" i="13"/>
  <c r="G30" i="7"/>
  <c r="G78" i="7"/>
  <c r="E4" i="11"/>
  <c r="F27" i="18"/>
  <c r="F24" i="18"/>
  <c r="H12" i="10" s="1"/>
  <c r="H85" i="10"/>
  <c r="G85" i="10"/>
  <c r="D65" i="11"/>
  <c r="D6" i="11"/>
  <c r="F94" i="7"/>
  <c r="F93" i="7"/>
  <c r="P110" i="13" l="1"/>
  <c r="F25" i="10"/>
  <c r="AR492" i="9"/>
  <c r="AJ198" i="14"/>
  <c r="AJ199" i="14"/>
  <c r="AJ197" i="14"/>
  <c r="CB361" i="9"/>
  <c r="CB365" i="9" s="1"/>
  <c r="AX144" i="14"/>
  <c r="BK379" i="9"/>
  <c r="BK371" i="9"/>
  <c r="AR491" i="9"/>
  <c r="BK383" i="9"/>
  <c r="BK381" i="9"/>
  <c r="BK408" i="9"/>
  <c r="BK372" i="9"/>
  <c r="AR493" i="9"/>
  <c r="BK375" i="9"/>
  <c r="BK413" i="9"/>
  <c r="BK401" i="9"/>
  <c r="BK389" i="9"/>
  <c r="BK406" i="9"/>
  <c r="BK410" i="9"/>
  <c r="BK378" i="9"/>
  <c r="BK414" i="9"/>
  <c r="AX146" i="14"/>
  <c r="AX154" i="14" s="1"/>
  <c r="BK399" i="9"/>
  <c r="AT394" i="9"/>
  <c r="AR490" i="9"/>
  <c r="AS372" i="9"/>
  <c r="AS373" i="9"/>
  <c r="AS371" i="9"/>
  <c r="BK387" i="9"/>
  <c r="BK407" i="9"/>
  <c r="AS402" i="9"/>
  <c r="AS400" i="9"/>
  <c r="AT423" i="9"/>
  <c r="AS401" i="9"/>
  <c r="BK416" i="9"/>
  <c r="AS410" i="9"/>
  <c r="AS408" i="9"/>
  <c r="AS409" i="9"/>
  <c r="BK386" i="9"/>
  <c r="BK374" i="9"/>
  <c r="BK403" i="9"/>
  <c r="AS421" i="9"/>
  <c r="AS422" i="9"/>
  <c r="AS420" i="9"/>
  <c r="AS418" i="9"/>
  <c r="AS416" i="9"/>
  <c r="AS417" i="9"/>
  <c r="AS377" i="9"/>
  <c r="AS375" i="9"/>
  <c r="AS376" i="9"/>
  <c r="AJ163" i="12"/>
  <c r="AJ161" i="12"/>
  <c r="AJ162" i="12"/>
  <c r="AX150" i="12"/>
  <c r="AX163" i="12"/>
  <c r="AJ145" i="12"/>
  <c r="AJ146" i="12"/>
  <c r="AJ144" i="12"/>
  <c r="AK151" i="12"/>
  <c r="AJ159" i="12"/>
  <c r="AJ157" i="12"/>
  <c r="AJ158" i="12"/>
  <c r="AK164" i="12"/>
  <c r="AX156" i="14"/>
  <c r="AJ159" i="14"/>
  <c r="AJ157" i="14"/>
  <c r="AK164" i="14"/>
  <c r="AJ158" i="14"/>
  <c r="AX160" i="14"/>
  <c r="AX147" i="12"/>
  <c r="AW150" i="12" s="1"/>
  <c r="AK167" i="12"/>
  <c r="AK154" i="12"/>
  <c r="AJ146" i="14"/>
  <c r="AK151" i="14"/>
  <c r="AJ144" i="14"/>
  <c r="AJ145" i="14"/>
  <c r="AJ161" i="14"/>
  <c r="AJ162" i="14"/>
  <c r="AJ163" i="14"/>
  <c r="AW199" i="14"/>
  <c r="AW198" i="14"/>
  <c r="AW197" i="14"/>
  <c r="I84" i="10"/>
  <c r="CD361" i="9"/>
  <c r="BK195" i="14"/>
  <c r="BK199" i="14" s="1"/>
  <c r="BM192" i="14"/>
  <c r="BK192" i="14"/>
  <c r="AX144" i="12"/>
  <c r="AX145" i="12"/>
  <c r="AX145" i="14"/>
  <c r="AX157" i="12"/>
  <c r="AX158" i="14"/>
  <c r="BK384" i="9"/>
  <c r="AX157" i="14"/>
  <c r="AX158" i="12"/>
  <c r="AT493" i="9"/>
  <c r="BK376" i="9"/>
  <c r="BK377" i="9"/>
  <c r="BK370" i="9"/>
  <c r="BK400" i="9"/>
  <c r="BK373" i="9"/>
  <c r="BK380" i="9"/>
  <c r="BJ380" i="9" s="1"/>
  <c r="BK412" i="9"/>
  <c r="BK405" i="9"/>
  <c r="BK402" i="9"/>
  <c r="BK385" i="9"/>
  <c r="BK382" i="9"/>
  <c r="BK404" i="9"/>
  <c r="BK388" i="9"/>
  <c r="BK443" i="9"/>
  <c r="BK409" i="9"/>
  <c r="BK417" i="9"/>
  <c r="BK411" i="9"/>
  <c r="BK418" i="9"/>
  <c r="AS385" i="9"/>
  <c r="AS382" i="9" s="1"/>
  <c r="AS413" i="9"/>
  <c r="AS414" i="9"/>
  <c r="AS412" i="9"/>
  <c r="AX159" i="14"/>
  <c r="AX167" i="14" s="1"/>
  <c r="BK419" i="9"/>
  <c r="BK390" i="9"/>
  <c r="BK415" i="9"/>
  <c r="AS392" i="9"/>
  <c r="AS393" i="9"/>
  <c r="AS391" i="9"/>
  <c r="AS406" i="9"/>
  <c r="AS404" i="9"/>
  <c r="AS405" i="9"/>
  <c r="AS388" i="9"/>
  <c r="AS389" i="9"/>
  <c r="AS387" i="9"/>
  <c r="AX160" i="12"/>
  <c r="AX156" i="12"/>
  <c r="AX146" i="12"/>
  <c r="AX154" i="12" s="1"/>
  <c r="AX143" i="14"/>
  <c r="AJ148" i="14"/>
  <c r="AJ149" i="14"/>
  <c r="AX185" i="12"/>
  <c r="AX143" i="12"/>
  <c r="AX159" i="12"/>
  <c r="AX167" i="12" s="1"/>
  <c r="AX185" i="14"/>
  <c r="AX147" i="14"/>
  <c r="Z27" i="13"/>
  <c r="V106" i="13" s="1"/>
  <c r="W106" i="13" s="1"/>
  <c r="G12" i="10"/>
  <c r="F27" i="10"/>
  <c r="F33" i="10" s="1"/>
  <c r="AA27" i="13"/>
  <c r="V107" i="13" s="1"/>
  <c r="E27" i="10"/>
  <c r="P105" i="13"/>
  <c r="E65" i="11"/>
  <c r="J85" i="10"/>
  <c r="I85" i="10"/>
  <c r="G27" i="18"/>
  <c r="G24" i="18"/>
  <c r="J17" i="10" s="1"/>
  <c r="G74" i="10"/>
  <c r="F100" i="7"/>
  <c r="G50" i="10" s="1"/>
  <c r="F99" i="7"/>
  <c r="F98" i="7"/>
  <c r="J6" i="11"/>
  <c r="AB101" i="13"/>
  <c r="V113" i="13" s="1"/>
  <c r="W113" i="13" s="1"/>
  <c r="Z101" i="13"/>
  <c r="V111" i="13" s="1"/>
  <c r="AB27" i="13"/>
  <c r="V108" i="13" s="1"/>
  <c r="W108" i="13" s="1"/>
  <c r="L57" i="10"/>
  <c r="K31" i="10"/>
  <c r="K73" i="10"/>
  <c r="G20" i="7"/>
  <c r="CK192" i="14" s="1"/>
  <c r="L38" i="10"/>
  <c r="K57" i="10"/>
  <c r="L31" i="10"/>
  <c r="K70" i="10"/>
  <c r="K72" i="10"/>
  <c r="K38" i="10"/>
  <c r="K64" i="10"/>
  <c r="K71" i="10"/>
  <c r="K42" i="10"/>
  <c r="K56" i="10"/>
  <c r="K30" i="10"/>
  <c r="K43" i="10"/>
  <c r="H91" i="7"/>
  <c r="H78" i="7"/>
  <c r="G81" i="7" s="1"/>
  <c r="H5" i="18"/>
  <c r="F4" i="11"/>
  <c r="H30" i="7"/>
  <c r="AJ2" i="13"/>
  <c r="F35" i="11"/>
  <c r="L4" i="11"/>
  <c r="G84" i="7"/>
  <c r="G80" i="7"/>
  <c r="G97" i="7"/>
  <c r="G33" i="7"/>
  <c r="G32" i="7"/>
  <c r="G35" i="7" s="1"/>
  <c r="G31" i="7"/>
  <c r="G34" i="7" s="1"/>
  <c r="AI44" i="13"/>
  <c r="AI33" i="13"/>
  <c r="AH42" i="13"/>
  <c r="AI11" i="13"/>
  <c r="AH51" i="13"/>
  <c r="AI59" i="13"/>
  <c r="AH79" i="13"/>
  <c r="AI100" i="13"/>
  <c r="AG81" i="13"/>
  <c r="AH9" i="13"/>
  <c r="AI13" i="13"/>
  <c r="AH53" i="13"/>
  <c r="AI58" i="13"/>
  <c r="AG80" i="13"/>
  <c r="AH60" i="13"/>
  <c r="AI81" i="13"/>
  <c r="AH33" i="13"/>
  <c r="AG34" i="13"/>
  <c r="AG36" i="13"/>
  <c r="AI16" i="13"/>
  <c r="AG21" i="13"/>
  <c r="AG47" i="13"/>
  <c r="AH67" i="13"/>
  <c r="AI88" i="13"/>
  <c r="AG69" i="13"/>
  <c r="AH90" i="13"/>
  <c r="AG20" i="13"/>
  <c r="AG23" i="13"/>
  <c r="AI47" i="13"/>
  <c r="AG68" i="13"/>
  <c r="AH89" i="13"/>
  <c r="AI69" i="13"/>
  <c r="AG91" i="13"/>
  <c r="AI32" i="13"/>
  <c r="AI34" i="13"/>
  <c r="AH39" i="13"/>
  <c r="AI20" i="13"/>
  <c r="AG25" i="13"/>
  <c r="AG51" i="13"/>
  <c r="AH71" i="13"/>
  <c r="AI92" i="13"/>
  <c r="AG73" i="13"/>
  <c r="AH94" i="13"/>
  <c r="AG24" i="13"/>
  <c r="AH43" i="13"/>
  <c r="AI51" i="13"/>
  <c r="AG72" i="13"/>
  <c r="AH93" i="13"/>
  <c r="AI73" i="13"/>
  <c r="AG95" i="13"/>
  <c r="AG35" i="13"/>
  <c r="AI31" i="13"/>
  <c r="AC4" i="13"/>
  <c r="AG13" i="13"/>
  <c r="AI52" i="13"/>
  <c r="AH59" i="13"/>
  <c r="AI80" i="13"/>
  <c r="AG61" i="13"/>
  <c r="AH82" i="13"/>
  <c r="AG12" i="13"/>
  <c r="AG15" i="13"/>
  <c r="AI54" i="13"/>
  <c r="AG60" i="13"/>
  <c r="AH81" i="13"/>
  <c r="AI61" i="13"/>
  <c r="AG83" i="13"/>
  <c r="AI37" i="13"/>
  <c r="AI38" i="13"/>
  <c r="AH45" i="13"/>
  <c r="AI12" i="13"/>
  <c r="AG17" i="13"/>
  <c r="AI56" i="13"/>
  <c r="AH63" i="13"/>
  <c r="AI84" i="13"/>
  <c r="AG65" i="13"/>
  <c r="AH86" i="13"/>
  <c r="AG16" i="13"/>
  <c r="AG19" i="13"/>
  <c r="AG59" i="13"/>
  <c r="AG64" i="13"/>
  <c r="AH85" i="13"/>
  <c r="AI65" i="13"/>
  <c r="AG87" i="13"/>
  <c r="AG40" i="13"/>
  <c r="AI36" i="13"/>
  <c r="AI41" i="13"/>
  <c r="AG22" i="13"/>
  <c r="AH26" i="13"/>
  <c r="AH52" i="13"/>
  <c r="AI72" i="13"/>
  <c r="AG94" i="13"/>
  <c r="AH74" i="13"/>
  <c r="AI95" i="13"/>
  <c r="AH25" i="13"/>
  <c r="AI46" i="13"/>
  <c r="AG53" i="13"/>
  <c r="AH73" i="13"/>
  <c r="AI94" i="13"/>
  <c r="AG75" i="13"/>
  <c r="AH96" i="13"/>
  <c r="AH44" i="13"/>
  <c r="AH32" i="13"/>
  <c r="AG37" i="13"/>
  <c r="AG26" i="13"/>
  <c r="AI48" i="13"/>
  <c r="AH56" i="13"/>
  <c r="AI76" i="13"/>
  <c r="AG98" i="13"/>
  <c r="AH78" i="13"/>
  <c r="AI99" i="13"/>
  <c r="AG11" i="13"/>
  <c r="AI50" i="13"/>
  <c r="AG57" i="13"/>
  <c r="AH77" i="13"/>
  <c r="AI98" i="13"/>
  <c r="AG79" i="13"/>
  <c r="AI35" i="13"/>
  <c r="AI40" i="13"/>
  <c r="AH34" i="13"/>
  <c r="AG14" i="13"/>
  <c r="AH18" i="13"/>
  <c r="AG58" i="13"/>
  <c r="AI64" i="13"/>
  <c r="AG86" i="13"/>
  <c r="AH66" i="13"/>
  <c r="AI87" i="13"/>
  <c r="AH17" i="13"/>
  <c r="AH20" i="13"/>
  <c r="AG43" i="13"/>
  <c r="AH65" i="13"/>
  <c r="AI86" i="13"/>
  <c r="AG67" i="13"/>
  <c r="AH88" i="13"/>
  <c r="AH31" i="13"/>
  <c r="AH37" i="13"/>
  <c r="AG38" i="13"/>
  <c r="AG18" i="13"/>
  <c r="AH22" i="13"/>
  <c r="AH48" i="13"/>
  <c r="AI68" i="13"/>
  <c r="AG90" i="13"/>
  <c r="AH70" i="13"/>
  <c r="AI91" i="13"/>
  <c r="AH21" i="13"/>
  <c r="AH24" i="13"/>
  <c r="AG49" i="13"/>
  <c r="AH69" i="13"/>
  <c r="AI90" i="13"/>
  <c r="AG71" i="13"/>
  <c r="AH92" i="13"/>
  <c r="AI42" i="13"/>
  <c r="AH38" i="13"/>
  <c r="AH36" i="13"/>
  <c r="AI9" i="13"/>
  <c r="AG50" i="13"/>
  <c r="AI57" i="13"/>
  <c r="AG78" i="13"/>
  <c r="AH99" i="13"/>
  <c r="AI79" i="13"/>
  <c r="AC29" i="13"/>
  <c r="AH12" i="13"/>
  <c r="AG52" i="13"/>
  <c r="AH58" i="13"/>
  <c r="AI78" i="13"/>
  <c r="AG100" i="13"/>
  <c r="AH80" i="13"/>
  <c r="AH100" i="13"/>
  <c r="AG41" i="13"/>
  <c r="AG39" i="13"/>
  <c r="AC103" i="13"/>
  <c r="AH14" i="13"/>
  <c r="AG54" i="13"/>
  <c r="AI60" i="13"/>
  <c r="AG82" i="13"/>
  <c r="AH62" i="13"/>
  <c r="AI83" i="13"/>
  <c r="AH13" i="13"/>
  <c r="AH16" i="13"/>
  <c r="AG56" i="13"/>
  <c r="AH61" i="13"/>
  <c r="AI82" i="13"/>
  <c r="AG63" i="13"/>
  <c r="AH84" i="13"/>
  <c r="AI10" i="13"/>
  <c r="AH35" i="13"/>
  <c r="AH41" i="13"/>
  <c r="AH19" i="13"/>
  <c r="AI23" i="13"/>
  <c r="AI49" i="13"/>
  <c r="AG70" i="13"/>
  <c r="AH91" i="13"/>
  <c r="AI71" i="13"/>
  <c r="AG93" i="13"/>
  <c r="AI22" i="13"/>
  <c r="AI25" i="13"/>
  <c r="AH50" i="13"/>
  <c r="AI70" i="13"/>
  <c r="AG92" i="13"/>
  <c r="AH72" i="13"/>
  <c r="AI93" i="13"/>
  <c r="AG42" i="13"/>
  <c r="AG44" i="13"/>
  <c r="AI39" i="13"/>
  <c r="AH23" i="13"/>
  <c r="AG46" i="13"/>
  <c r="AI53" i="13"/>
  <c r="AG74" i="13"/>
  <c r="AH95" i="13"/>
  <c r="AI75" i="13"/>
  <c r="AG97" i="13"/>
  <c r="AI26" i="13"/>
  <c r="AG48" i="13"/>
  <c r="AH54" i="13"/>
  <c r="AI74" i="13"/>
  <c r="AG96" i="13"/>
  <c r="AH76" i="13"/>
  <c r="AI97" i="13"/>
  <c r="AH40" i="13"/>
  <c r="AG45" i="13"/>
  <c r="AH11" i="13"/>
  <c r="AI15" i="13"/>
  <c r="AH55" i="13"/>
  <c r="AG62" i="13"/>
  <c r="AH83" i="13"/>
  <c r="AI63" i="13"/>
  <c r="AG85" i="13"/>
  <c r="AI14" i="13"/>
  <c r="AI17" i="13"/>
  <c r="AH57" i="13"/>
  <c r="AI62" i="13"/>
  <c r="AG84" i="13"/>
  <c r="AH64" i="13"/>
  <c r="AI85" i="13"/>
  <c r="AG10" i="13"/>
  <c r="AG32" i="13"/>
  <c r="AI45" i="13"/>
  <c r="AH15" i="13"/>
  <c r="AI19" i="13"/>
  <c r="AI43" i="13"/>
  <c r="AG66" i="13"/>
  <c r="AH87" i="13"/>
  <c r="AI67" i="13"/>
  <c r="AG89" i="13"/>
  <c r="AI18" i="13"/>
  <c r="AI21" i="13"/>
  <c r="AH46" i="13"/>
  <c r="AI66" i="13"/>
  <c r="AG88" i="13"/>
  <c r="AH68" i="13"/>
  <c r="AI89" i="13"/>
  <c r="AH10" i="13"/>
  <c r="AG33" i="13"/>
  <c r="AG31" i="13"/>
  <c r="AI24" i="13"/>
  <c r="AH47" i="13"/>
  <c r="AG55" i="13"/>
  <c r="AH75" i="13"/>
  <c r="AI96" i="13"/>
  <c r="AG77" i="13"/>
  <c r="AH98" i="13"/>
  <c r="AG9" i="13"/>
  <c r="AH49" i="13"/>
  <c r="AI55" i="13"/>
  <c r="AG76" i="13"/>
  <c r="AH97" i="13"/>
  <c r="AI77" i="13"/>
  <c r="AG99" i="13"/>
  <c r="AG30" i="13"/>
  <c r="AH8" i="13"/>
  <c r="AI8" i="13"/>
  <c r="AI30" i="13"/>
  <c r="AH30" i="13"/>
  <c r="AG8" i="13"/>
  <c r="I78" i="10"/>
  <c r="J78" i="10"/>
  <c r="G93" i="7"/>
  <c r="C97" i="4"/>
  <c r="E97" i="4"/>
  <c r="C91" i="4"/>
  <c r="G91" i="4"/>
  <c r="G97" i="4"/>
  <c r="H17" i="10"/>
  <c r="G17" i="10"/>
  <c r="D37" i="11"/>
  <c r="F85" i="7"/>
  <c r="F81" i="7"/>
  <c r="AA101" i="13"/>
  <c r="V112" i="13" s="1"/>
  <c r="E45" i="10" l="1"/>
  <c r="E33" i="10"/>
  <c r="AT491" i="9"/>
  <c r="G85" i="7"/>
  <c r="AS386" i="9"/>
  <c r="AS403" i="9"/>
  <c r="AS390" i="9"/>
  <c r="AS407" i="9"/>
  <c r="AX172" i="12"/>
  <c r="AJ143" i="12"/>
  <c r="AJ160" i="12"/>
  <c r="AS415" i="9"/>
  <c r="AS419" i="9"/>
  <c r="AS370" i="9"/>
  <c r="CK196" i="14"/>
  <c r="AW145" i="12"/>
  <c r="AW146" i="12"/>
  <c r="AW144" i="12"/>
  <c r="AX151" i="12"/>
  <c r="BK163" i="12"/>
  <c r="BK160" i="14"/>
  <c r="BK185" i="14"/>
  <c r="BK143" i="12"/>
  <c r="AW163" i="12"/>
  <c r="AW161" i="12"/>
  <c r="AW162" i="12"/>
  <c r="BJ393" i="9"/>
  <c r="BJ391" i="9"/>
  <c r="BJ392" i="9"/>
  <c r="CB415" i="9"/>
  <c r="CB403" i="9"/>
  <c r="BJ385" i="9"/>
  <c r="CB378" i="9"/>
  <c r="CB401" i="9"/>
  <c r="BK394" i="9"/>
  <c r="BI490" i="9"/>
  <c r="BJ373" i="9"/>
  <c r="BJ372" i="9"/>
  <c r="BJ371" i="9"/>
  <c r="CB379" i="9"/>
  <c r="CB385" i="9"/>
  <c r="BJ384" i="9"/>
  <c r="CB388" i="9"/>
  <c r="BK158" i="12"/>
  <c r="BK145" i="14"/>
  <c r="FI361" i="9"/>
  <c r="FI365" i="9" s="1"/>
  <c r="ET361" i="9"/>
  <c r="DX192" i="14"/>
  <c r="DK192" i="14"/>
  <c r="CX192" i="14"/>
  <c r="DM192" i="14"/>
  <c r="DJ361" i="9"/>
  <c r="DJ365" i="9" s="1"/>
  <c r="BX195" i="14"/>
  <c r="BX199" i="14" s="1"/>
  <c r="CU361" i="9"/>
  <c r="AJ160" i="14"/>
  <c r="BK146" i="12"/>
  <c r="AJ156" i="14"/>
  <c r="AX164" i="14"/>
  <c r="AW158" i="14"/>
  <c r="AW159" i="14"/>
  <c r="AW157" i="14"/>
  <c r="BK150" i="12"/>
  <c r="BK185" i="12"/>
  <c r="BJ377" i="9"/>
  <c r="BJ375" i="9"/>
  <c r="BJ376" i="9"/>
  <c r="CB390" i="9"/>
  <c r="CB374" i="9"/>
  <c r="AS425" i="9"/>
  <c r="AS426" i="9"/>
  <c r="AS424" i="9"/>
  <c r="BJ409" i="9"/>
  <c r="BJ410" i="9"/>
  <c r="BJ408" i="9"/>
  <c r="AT428" i="9"/>
  <c r="BK159" i="14"/>
  <c r="BK167" i="14" s="1"/>
  <c r="BJ402" i="9"/>
  <c r="BJ400" i="9"/>
  <c r="BK423" i="9"/>
  <c r="BJ401" i="9"/>
  <c r="CB418" i="9"/>
  <c r="CB389" i="9"/>
  <c r="CB410" i="9"/>
  <c r="CB405" i="9"/>
  <c r="CB402" i="9"/>
  <c r="CB409" i="9"/>
  <c r="BI491" i="9"/>
  <c r="BK157" i="12"/>
  <c r="CB372" i="9"/>
  <c r="BJ379" i="9"/>
  <c r="CB373" i="9"/>
  <c r="BK144" i="12"/>
  <c r="BK158" i="14"/>
  <c r="BX192" i="14"/>
  <c r="CM192" i="14"/>
  <c r="AJ196" i="14"/>
  <c r="EA361" i="9"/>
  <c r="EA365" i="9" s="1"/>
  <c r="K84" i="10"/>
  <c r="L85" i="10" s="1"/>
  <c r="AW148" i="14"/>
  <c r="AW149" i="14"/>
  <c r="BK159" i="12"/>
  <c r="BK167" i="12" s="1"/>
  <c r="AJ147" i="14"/>
  <c r="AW146" i="14"/>
  <c r="AX151" i="14"/>
  <c r="AW144" i="14"/>
  <c r="AW145" i="14"/>
  <c r="AW158" i="12"/>
  <c r="AW159" i="12"/>
  <c r="AW157" i="12"/>
  <c r="AX164" i="12"/>
  <c r="BK156" i="12"/>
  <c r="BK147" i="12"/>
  <c r="BJ150" i="12" s="1"/>
  <c r="BJ417" i="9"/>
  <c r="BJ418" i="9"/>
  <c r="BJ416" i="9"/>
  <c r="BJ421" i="9"/>
  <c r="BJ422" i="9"/>
  <c r="BJ420" i="9"/>
  <c r="CB419" i="9"/>
  <c r="AS411" i="9"/>
  <c r="BJ414" i="9"/>
  <c r="BJ412" i="9"/>
  <c r="BJ413" i="9"/>
  <c r="CB411" i="9"/>
  <c r="CB387" i="9"/>
  <c r="BK146" i="14"/>
  <c r="BK154" i="14" s="1"/>
  <c r="BK172" i="14" s="1"/>
  <c r="CB412" i="9"/>
  <c r="CB406" i="9"/>
  <c r="BI493" i="9"/>
  <c r="CB377" i="9"/>
  <c r="CB376" i="9"/>
  <c r="CB383" i="9"/>
  <c r="CB380" i="9"/>
  <c r="CA380" i="9" s="1"/>
  <c r="CB381" i="9"/>
  <c r="CB404" i="9"/>
  <c r="CB375" i="9"/>
  <c r="CB382" i="9"/>
  <c r="BK145" i="12"/>
  <c r="CS361" i="9"/>
  <c r="CS365" i="9" s="1"/>
  <c r="DL361" i="9"/>
  <c r="BJ195" i="14"/>
  <c r="BK196" i="14"/>
  <c r="CZ192" i="14"/>
  <c r="ER361" i="9"/>
  <c r="ER365" i="9" s="1"/>
  <c r="FK361" i="9"/>
  <c r="AW196" i="14"/>
  <c r="BK147" i="14"/>
  <c r="AJ143" i="14"/>
  <c r="AK169" i="14"/>
  <c r="AJ154" i="14"/>
  <c r="BK143" i="14"/>
  <c r="AK172" i="12"/>
  <c r="AW163" i="14"/>
  <c r="AW161" i="14"/>
  <c r="AW162" i="14"/>
  <c r="AJ167" i="14"/>
  <c r="AJ165" i="14"/>
  <c r="AJ166" i="14"/>
  <c r="AJ166" i="12"/>
  <c r="AJ167" i="12"/>
  <c r="AJ165" i="12"/>
  <c r="AJ156" i="12"/>
  <c r="AK169" i="12"/>
  <c r="AJ154" i="12"/>
  <c r="AS374" i="9"/>
  <c r="BJ406" i="9"/>
  <c r="BJ404" i="9"/>
  <c r="BJ405" i="9"/>
  <c r="BJ389" i="9"/>
  <c r="BJ387" i="9"/>
  <c r="BJ388" i="9"/>
  <c r="CB386" i="9"/>
  <c r="AS399" i="9"/>
  <c r="CB416" i="9"/>
  <c r="AX172" i="14"/>
  <c r="CB399" i="9"/>
  <c r="CB414" i="9"/>
  <c r="CB408" i="9"/>
  <c r="CB417" i="9"/>
  <c r="BI492" i="9"/>
  <c r="BJ381" i="9"/>
  <c r="BJ383" i="9"/>
  <c r="BJ382" i="9" s="1"/>
  <c r="AT492" i="9"/>
  <c r="AT490" i="9" s="1"/>
  <c r="CB413" i="9"/>
  <c r="CB443" i="9"/>
  <c r="CB400" i="9"/>
  <c r="CB384" i="9"/>
  <c r="CA384" i="9" s="1"/>
  <c r="CB370" i="9"/>
  <c r="BK157" i="14"/>
  <c r="CB371" i="9"/>
  <c r="BK144" i="14"/>
  <c r="EC361" i="9"/>
  <c r="DZ192" i="14"/>
  <c r="BZ192" i="14"/>
  <c r="G26" i="10"/>
  <c r="W107" i="13"/>
  <c r="H26" i="10"/>
  <c r="W105" i="13"/>
  <c r="AH101" i="13"/>
  <c r="AC112" i="13" s="1"/>
  <c r="AD112" i="13" s="1"/>
  <c r="AI27" i="13"/>
  <c r="AC108" i="13" s="1"/>
  <c r="AD108" i="13" s="1"/>
  <c r="AG101" i="13"/>
  <c r="AC111" i="13" s="1"/>
  <c r="AD111" i="13" s="1"/>
  <c r="K6" i="11"/>
  <c r="I12" i="10"/>
  <c r="F98" i="4"/>
  <c r="E98" i="4"/>
  <c r="E37" i="11"/>
  <c r="E6" i="11"/>
  <c r="E91" i="4"/>
  <c r="I97" i="4"/>
  <c r="I91" i="4"/>
  <c r="J12" i="10"/>
  <c r="AG27" i="13"/>
  <c r="AC106" i="13" s="1"/>
  <c r="AD106" i="13" s="1"/>
  <c r="AI101" i="13"/>
  <c r="AC113" i="13" s="1"/>
  <c r="AD113" i="13" s="1"/>
  <c r="AH27" i="13"/>
  <c r="AC107" i="13" s="1"/>
  <c r="AD107" i="13" s="1"/>
  <c r="I74" i="10"/>
  <c r="AP35" i="13"/>
  <c r="AN35" i="13"/>
  <c r="AP42" i="13"/>
  <c r="AN15" i="13"/>
  <c r="AN20" i="13"/>
  <c r="AP57" i="13"/>
  <c r="AN44" i="13"/>
  <c r="AN12" i="13"/>
  <c r="AP65" i="13"/>
  <c r="AN87" i="13"/>
  <c r="AO53" i="13"/>
  <c r="AN36" i="13"/>
  <c r="AO31" i="13"/>
  <c r="AO36" i="13"/>
  <c r="AP13" i="13"/>
  <c r="AP18" i="13"/>
  <c r="AP31" i="13"/>
  <c r="AN10" i="13"/>
  <c r="AN47" i="13"/>
  <c r="AO32" i="13"/>
  <c r="AO76" i="13"/>
  <c r="AN64" i="13"/>
  <c r="AO44" i="13"/>
  <c r="AO24" i="13"/>
  <c r="AO56" i="13"/>
  <c r="AP77" i="13"/>
  <c r="AN99" i="13"/>
  <c r="AO65" i="13"/>
  <c r="AP86" i="13"/>
  <c r="AP15" i="13"/>
  <c r="AP20" i="13"/>
  <c r="AP59" i="13"/>
  <c r="AP90" i="13"/>
  <c r="AP24" i="13"/>
  <c r="AO78" i="13"/>
  <c r="AP99" i="13"/>
  <c r="AN66" i="13"/>
  <c r="AO87" i="13"/>
  <c r="AP82" i="13"/>
  <c r="AP16" i="13"/>
  <c r="AO74" i="13"/>
  <c r="AP95" i="13"/>
  <c r="AN62" i="13"/>
  <c r="AO83" i="13"/>
  <c r="AO37" i="13"/>
  <c r="AP10" i="13"/>
  <c r="AO17" i="13"/>
  <c r="AO68" i="13"/>
  <c r="AP89" i="13"/>
  <c r="AN56" i="13"/>
  <c r="AO41" i="13"/>
  <c r="AO33" i="13"/>
  <c r="AO38" i="13"/>
  <c r="AO16" i="13"/>
  <c r="AO21" i="13"/>
  <c r="AN59" i="13"/>
  <c r="AO80" i="13"/>
  <c r="AP46" i="13"/>
  <c r="AN68" i="13"/>
  <c r="AO89" i="13"/>
  <c r="AO18" i="13"/>
  <c r="AO23" i="13"/>
  <c r="AO62" i="13"/>
  <c r="AN96" i="13"/>
  <c r="AP47" i="13"/>
  <c r="AN81" i="13"/>
  <c r="AO47" i="13"/>
  <c r="AP68" i="13"/>
  <c r="AN90" i="13"/>
  <c r="AN88" i="13"/>
  <c r="AN22" i="13"/>
  <c r="AN77" i="13"/>
  <c r="AO98" i="13"/>
  <c r="AP64" i="13"/>
  <c r="AN86" i="13"/>
  <c r="AO45" i="13"/>
  <c r="AO39" i="13"/>
  <c r="AO42" i="13"/>
  <c r="AO20" i="13"/>
  <c r="AO25" i="13"/>
  <c r="AN40" i="13"/>
  <c r="AN37" i="13"/>
  <c r="AP22" i="13"/>
  <c r="AN71" i="13"/>
  <c r="AO92" i="13"/>
  <c r="AP58" i="13"/>
  <c r="AP39" i="13"/>
  <c r="AP38" i="13"/>
  <c r="AP44" i="13"/>
  <c r="AN19" i="13"/>
  <c r="AN24" i="13"/>
  <c r="AP61" i="13"/>
  <c r="AN83" i="13"/>
  <c r="AO49" i="13"/>
  <c r="AP70" i="13"/>
  <c r="AN92" i="13"/>
  <c r="AN21" i="13"/>
  <c r="AN26" i="13"/>
  <c r="AN65" i="13"/>
  <c r="AJ4" i="13"/>
  <c r="AN53" i="13"/>
  <c r="AP83" i="13"/>
  <c r="AN50" i="13"/>
  <c r="AO71" i="13"/>
  <c r="AP92" i="13"/>
  <c r="AO93" i="13"/>
  <c r="AP43" i="13"/>
  <c r="AP79" i="13"/>
  <c r="AN46" i="13"/>
  <c r="AO67" i="13"/>
  <c r="AP88" i="13"/>
  <c r="AP41" i="13"/>
  <c r="AP45" i="13"/>
  <c r="AN43" i="13"/>
  <c r="AP73" i="13"/>
  <c r="AN95" i="13"/>
  <c r="AO61" i="13"/>
  <c r="AN42" i="13"/>
  <c r="AN34" i="13"/>
  <c r="AN41" i="13"/>
  <c r="AP21" i="13"/>
  <c r="AP26" i="13"/>
  <c r="AO64" i="13"/>
  <c r="AP85" i="13"/>
  <c r="AN52" i="13"/>
  <c r="AO73" i="13"/>
  <c r="AP94" i="13"/>
  <c r="AP23" i="13"/>
  <c r="AO46" i="13"/>
  <c r="AP67" i="13"/>
  <c r="AO14" i="13"/>
  <c r="AO58" i="13"/>
  <c r="AO86" i="13"/>
  <c r="AP52" i="13"/>
  <c r="AN74" i="13"/>
  <c r="AO95" i="13"/>
  <c r="AP98" i="13"/>
  <c r="AO50" i="13"/>
  <c r="AO82" i="13"/>
  <c r="AP48" i="13"/>
  <c r="AN70" i="13"/>
  <c r="AO91" i="13"/>
  <c r="AN38" i="13"/>
  <c r="AP25" i="13"/>
  <c r="AN33" i="13"/>
  <c r="AP49" i="13"/>
  <c r="AP97" i="13"/>
  <c r="AN32" i="13"/>
  <c r="AO35" i="13"/>
  <c r="AO43" i="13"/>
  <c r="AN67" i="13"/>
  <c r="AO88" i="13"/>
  <c r="AP54" i="13"/>
  <c r="AN76" i="13"/>
  <c r="AO97" i="13"/>
  <c r="AO26" i="13"/>
  <c r="AN49" i="13"/>
  <c r="AO70" i="13"/>
  <c r="AP19" i="13"/>
  <c r="AP63" i="13"/>
  <c r="AN89" i="13"/>
  <c r="AO55" i="13"/>
  <c r="AP76" i="13"/>
  <c r="AN98" i="13"/>
  <c r="AP11" i="13"/>
  <c r="AP55" i="13"/>
  <c r="AN85" i="13"/>
  <c r="AO51" i="13"/>
  <c r="AP72" i="13"/>
  <c r="AN94" i="13"/>
  <c r="AP40" i="13"/>
  <c r="AO12" i="13"/>
  <c r="AN55" i="13"/>
  <c r="AN79" i="13"/>
  <c r="AO100" i="13"/>
  <c r="AP66" i="13"/>
  <c r="AO34" i="13"/>
  <c r="AP37" i="13"/>
  <c r="AP32" i="13"/>
  <c r="AO9" i="13"/>
  <c r="AO48" i="13"/>
  <c r="AP69" i="13"/>
  <c r="AN91" i="13"/>
  <c r="AO57" i="13"/>
  <c r="AP78" i="13"/>
  <c r="AN100" i="13"/>
  <c r="AP12" i="13"/>
  <c r="AP51" i="13"/>
  <c r="AP74" i="13"/>
  <c r="AN25" i="13"/>
  <c r="AN69" i="13"/>
  <c r="AP91" i="13"/>
  <c r="AN58" i="13"/>
  <c r="AO79" i="13"/>
  <c r="AP100" i="13"/>
  <c r="AN17" i="13"/>
  <c r="AN61" i="13"/>
  <c r="AP87" i="13"/>
  <c r="AN54" i="13"/>
  <c r="AO75" i="13"/>
  <c r="AP96" i="13"/>
  <c r="AO40" i="13"/>
  <c r="AO10" i="13"/>
  <c r="AN9" i="13"/>
  <c r="AP14" i="13"/>
  <c r="AO52" i="13"/>
  <c r="AN45" i="13"/>
  <c r="AP17" i="13"/>
  <c r="AO60" i="13"/>
  <c r="AP81" i="13"/>
  <c r="AN48" i="13"/>
  <c r="AO69" i="13"/>
  <c r="AP36" i="13"/>
  <c r="AP34" i="13"/>
  <c r="AJ29" i="13"/>
  <c r="AO13" i="13"/>
  <c r="AN51" i="13"/>
  <c r="AO72" i="13"/>
  <c r="AP93" i="13"/>
  <c r="AN60" i="13"/>
  <c r="AO81" i="13"/>
  <c r="AP9" i="13"/>
  <c r="AO15" i="13"/>
  <c r="AO54" i="13"/>
  <c r="AN80" i="13"/>
  <c r="AN14" i="13"/>
  <c r="AN73" i="13"/>
  <c r="AO94" i="13"/>
  <c r="AP60" i="13"/>
  <c r="AN82" i="13"/>
  <c r="AJ103" i="13"/>
  <c r="AO22" i="13"/>
  <c r="AO66" i="13"/>
  <c r="AO90" i="13"/>
  <c r="AP56" i="13"/>
  <c r="AN78" i="13"/>
  <c r="AO99" i="13"/>
  <c r="AP33" i="13"/>
  <c r="AN23" i="13"/>
  <c r="AN63" i="13"/>
  <c r="AO84" i="13"/>
  <c r="AP50" i="13"/>
  <c r="AN72" i="13"/>
  <c r="AN31" i="13"/>
  <c r="AN39" i="13"/>
  <c r="AN11" i="13"/>
  <c r="AN16" i="13"/>
  <c r="AP53" i="13"/>
  <c r="AN75" i="13"/>
  <c r="AO96" i="13"/>
  <c r="AP62" i="13"/>
  <c r="AN84" i="13"/>
  <c r="AN13" i="13"/>
  <c r="AN18" i="13"/>
  <c r="AN57" i="13"/>
  <c r="AO85" i="13"/>
  <c r="AO19" i="13"/>
  <c r="AP75" i="13"/>
  <c r="AN97" i="13"/>
  <c r="AO63" i="13"/>
  <c r="AP84" i="13"/>
  <c r="AO77" i="13"/>
  <c r="AO11" i="13"/>
  <c r="AP71" i="13"/>
  <c r="AN93" i="13"/>
  <c r="AO59" i="13"/>
  <c r="AP80" i="13"/>
  <c r="AO30" i="13"/>
  <c r="AN30" i="13"/>
  <c r="AP8" i="13"/>
  <c r="AN8" i="13"/>
  <c r="AP30" i="13"/>
  <c r="AO8" i="13"/>
  <c r="F65" i="11"/>
  <c r="H27" i="18"/>
  <c r="H24" i="18"/>
  <c r="H17" i="4" s="1"/>
  <c r="K77" i="10"/>
  <c r="H93" i="7"/>
  <c r="W111" i="13"/>
  <c r="G25" i="10"/>
  <c r="G27" i="10" s="1"/>
  <c r="G33" i="10" s="1"/>
  <c r="G19" i="18"/>
  <c r="G22" i="18" s="1"/>
  <c r="G30" i="18" s="1"/>
  <c r="G31" i="18" s="1"/>
  <c r="I17" i="10" s="1"/>
  <c r="W112" i="13"/>
  <c r="H25" i="10"/>
  <c r="H98" i="4"/>
  <c r="G98" i="4"/>
  <c r="G92" i="4"/>
  <c r="H92" i="4"/>
  <c r="B90" i="4"/>
  <c r="C92" i="4"/>
  <c r="D92" i="4"/>
  <c r="C98" i="4"/>
  <c r="D98" i="4"/>
  <c r="I81" i="4"/>
  <c r="C26" i="4"/>
  <c r="E26" i="4"/>
  <c r="G81" i="4"/>
  <c r="D26" i="4"/>
  <c r="G26" i="4"/>
  <c r="G25" i="4"/>
  <c r="I25" i="4"/>
  <c r="E25" i="4"/>
  <c r="E27" i="4" s="1"/>
  <c r="E33" i="4" s="1"/>
  <c r="H25" i="4"/>
  <c r="J26" i="10"/>
  <c r="I26" i="4"/>
  <c r="H26" i="4"/>
  <c r="C81" i="4"/>
  <c r="E81" i="4"/>
  <c r="J26" i="4"/>
  <c r="F26" i="4"/>
  <c r="C25" i="4"/>
  <c r="J25" i="4"/>
  <c r="D25" i="4"/>
  <c r="F25" i="4"/>
  <c r="F27" i="4" s="1"/>
  <c r="F33" i="4" s="1"/>
  <c r="I26" i="10"/>
  <c r="G98" i="7"/>
  <c r="G99" i="7"/>
  <c r="G100" i="7"/>
  <c r="I50" i="10" s="1"/>
  <c r="H31" i="7"/>
  <c r="H34" i="7" s="1"/>
  <c r="H32" i="7"/>
  <c r="H35" i="7" s="1"/>
  <c r="H33" i="7"/>
  <c r="L6" i="11" s="1"/>
  <c r="K85" i="10"/>
  <c r="H84" i="7"/>
  <c r="H97" i="7"/>
  <c r="H80" i="7"/>
  <c r="I25" i="10" l="1"/>
  <c r="BK493" i="9"/>
  <c r="CA381" i="9"/>
  <c r="D27" i="4"/>
  <c r="D33" i="4" s="1"/>
  <c r="J17" i="4"/>
  <c r="I67" i="10"/>
  <c r="CA379" i="9"/>
  <c r="BJ390" i="9"/>
  <c r="AW143" i="12"/>
  <c r="BJ403" i="9"/>
  <c r="J25" i="10"/>
  <c r="J27" i="10" s="1"/>
  <c r="J33" i="10" s="1"/>
  <c r="H27" i="10"/>
  <c r="BJ407" i="9"/>
  <c r="AW160" i="14"/>
  <c r="CA383" i="9"/>
  <c r="BJ411" i="9"/>
  <c r="BJ415" i="9"/>
  <c r="BJ374" i="9"/>
  <c r="AW156" i="14"/>
  <c r="BJ370" i="9"/>
  <c r="AW160" i="12"/>
  <c r="DJ410" i="9"/>
  <c r="CX147" i="12"/>
  <c r="CK160" i="12"/>
  <c r="DX185" i="14"/>
  <c r="DK156" i="14"/>
  <c r="CX156" i="14"/>
  <c r="BX156" i="14"/>
  <c r="CX160" i="12"/>
  <c r="DX156" i="14"/>
  <c r="CK156" i="14"/>
  <c r="BK156" i="14"/>
  <c r="DK160" i="12"/>
  <c r="BX160" i="12"/>
  <c r="BK160" i="12"/>
  <c r="CB407" i="9"/>
  <c r="CB423" i="9" s="1"/>
  <c r="BX185" i="14"/>
  <c r="CX145" i="12"/>
  <c r="CX157" i="14"/>
  <c r="EA402" i="9"/>
  <c r="CX158" i="12"/>
  <c r="DX158" i="14"/>
  <c r="EA372" i="9"/>
  <c r="EA377" i="9"/>
  <c r="FI401" i="9"/>
  <c r="ER383" i="9"/>
  <c r="ER409" i="9"/>
  <c r="ER418" i="9"/>
  <c r="EA401" i="9"/>
  <c r="EA405" i="9"/>
  <c r="EA387" i="9"/>
  <c r="ER416" i="9"/>
  <c r="ER370" i="9"/>
  <c r="ER411" i="9"/>
  <c r="DJ382" i="9"/>
  <c r="DJ443" i="9"/>
  <c r="CS382" i="9"/>
  <c r="BX158" i="14"/>
  <c r="DJ376" i="9"/>
  <c r="BZ491" i="9"/>
  <c r="CS377" i="9"/>
  <c r="CS413" i="9"/>
  <c r="CS405" i="9"/>
  <c r="CS406" i="9"/>
  <c r="FI403" i="9"/>
  <c r="CS418" i="9"/>
  <c r="BX146" i="14"/>
  <c r="BX154" i="14" s="1"/>
  <c r="EA390" i="9"/>
  <c r="CA402" i="9"/>
  <c r="CA400" i="9"/>
  <c r="CA401" i="9"/>
  <c r="CA389" i="9"/>
  <c r="CA387" i="9"/>
  <c r="CA388" i="9"/>
  <c r="BJ386" i="9"/>
  <c r="DX147" i="12"/>
  <c r="DX150" i="12"/>
  <c r="CX156" i="12"/>
  <c r="BX146" i="12"/>
  <c r="AJ172" i="12"/>
  <c r="AK184" i="12"/>
  <c r="AJ185" i="12" s="1"/>
  <c r="AJ164" i="12"/>
  <c r="CX160" i="14"/>
  <c r="AJ164" i="14"/>
  <c r="DX156" i="12"/>
  <c r="DK185" i="14"/>
  <c r="J30" i="17" s="1"/>
  <c r="CK143" i="14"/>
  <c r="BK151" i="14"/>
  <c r="BJ146" i="14"/>
  <c r="BJ144" i="14"/>
  <c r="BJ145" i="14"/>
  <c r="BJ199" i="14"/>
  <c r="BJ198" i="14"/>
  <c r="BJ197" i="14"/>
  <c r="FI373" i="9"/>
  <c r="CX145" i="14"/>
  <c r="DK158" i="14"/>
  <c r="FI371" i="9"/>
  <c r="FI410" i="9"/>
  <c r="EA409" i="9"/>
  <c r="FI409" i="9"/>
  <c r="EA383" i="9"/>
  <c r="EA375" i="9"/>
  <c r="FI389" i="9"/>
  <c r="EA417" i="9"/>
  <c r="ER417" i="9"/>
  <c r="ER404" i="9"/>
  <c r="FI404" i="9"/>
  <c r="FI385" i="9"/>
  <c r="DJ412" i="9"/>
  <c r="FI411" i="9"/>
  <c r="ER399" i="9"/>
  <c r="EA399" i="9"/>
  <c r="DJ380" i="9"/>
  <c r="DJ413" i="9"/>
  <c r="CK158" i="14"/>
  <c r="CS381" i="9"/>
  <c r="DJ400" i="9"/>
  <c r="CS408" i="9"/>
  <c r="CS411" i="9"/>
  <c r="DJ418" i="9"/>
  <c r="ER415" i="9"/>
  <c r="EA419" i="9"/>
  <c r="CA413" i="9"/>
  <c r="CA414" i="9"/>
  <c r="CA412" i="9"/>
  <c r="DJ374" i="9"/>
  <c r="CS386" i="9"/>
  <c r="BJ419" i="9"/>
  <c r="DX185" i="12"/>
  <c r="K21" i="17" s="1"/>
  <c r="DK150" i="12"/>
  <c r="CK163" i="12"/>
  <c r="BJ158" i="12"/>
  <c r="BJ159" i="12"/>
  <c r="BJ157" i="12"/>
  <c r="BK164" i="12"/>
  <c r="AW156" i="12"/>
  <c r="AW143" i="14"/>
  <c r="DK143" i="12"/>
  <c r="BX163" i="12"/>
  <c r="DX147" i="14"/>
  <c r="AW147" i="14"/>
  <c r="DX144" i="12"/>
  <c r="CX144" i="12"/>
  <c r="CX158" i="14"/>
  <c r="ER373" i="9"/>
  <c r="ER410" i="9"/>
  <c r="DK144" i="12"/>
  <c r="FI376" i="9"/>
  <c r="EA389" i="9"/>
  <c r="ER389" i="9"/>
  <c r="ER380" i="9"/>
  <c r="FI405" i="9"/>
  <c r="ER413" i="9"/>
  <c r="EA406" i="9"/>
  <c r="CS371" i="9"/>
  <c r="ER387" i="9"/>
  <c r="FI414" i="9"/>
  <c r="FI378" i="9"/>
  <c r="EA370" i="9"/>
  <c r="EA414" i="9"/>
  <c r="EA407" i="9"/>
  <c r="DJ409" i="9"/>
  <c r="BX158" i="12"/>
  <c r="CS379" i="9"/>
  <c r="CS375" i="9"/>
  <c r="DJ405" i="9"/>
  <c r="BX157" i="14"/>
  <c r="CS407" i="9"/>
  <c r="CS410" i="9"/>
  <c r="CS388" i="9"/>
  <c r="FI419" i="9"/>
  <c r="CS389" i="9"/>
  <c r="ER390" i="9"/>
  <c r="EA374" i="9"/>
  <c r="DJ390" i="9"/>
  <c r="BJ426" i="9"/>
  <c r="BJ424" i="9"/>
  <c r="BJ425" i="9"/>
  <c r="AT444" i="9"/>
  <c r="AS444" i="9" s="1"/>
  <c r="AR484" i="9"/>
  <c r="AS423" i="9"/>
  <c r="CA376" i="9"/>
  <c r="CA377" i="9"/>
  <c r="CA375" i="9"/>
  <c r="CK147" i="12"/>
  <c r="DK156" i="12"/>
  <c r="DK143" i="14"/>
  <c r="AW166" i="14"/>
  <c r="AW167" i="14"/>
  <c r="AW165" i="14"/>
  <c r="CX146" i="12"/>
  <c r="CX143" i="14"/>
  <c r="BX143" i="14"/>
  <c r="BX160" i="14"/>
  <c r="CX196" i="14"/>
  <c r="DX196" i="14"/>
  <c r="DK145" i="12"/>
  <c r="FI381" i="9"/>
  <c r="FH381" i="9" s="1"/>
  <c r="DK144" i="14"/>
  <c r="DX157" i="12"/>
  <c r="FI380" i="9"/>
  <c r="DK157" i="14"/>
  <c r="ER375" i="9"/>
  <c r="ER371" i="9"/>
  <c r="EA388" i="9"/>
  <c r="EA400" i="9"/>
  <c r="ER406" i="9"/>
  <c r="ER405" i="9"/>
  <c r="FI417" i="9"/>
  <c r="DJ383" i="9"/>
  <c r="DJ414" i="9"/>
  <c r="FI407" i="9"/>
  <c r="ER407" i="9"/>
  <c r="DJ378" i="9"/>
  <c r="DJ381" i="9"/>
  <c r="CS370" i="9"/>
  <c r="DJ407" i="9"/>
  <c r="CK144" i="12"/>
  <c r="CS384" i="9"/>
  <c r="CR384" i="9" s="1"/>
  <c r="CS412" i="9"/>
  <c r="DJ404" i="9"/>
  <c r="CA385" i="9"/>
  <c r="CS409" i="9"/>
  <c r="DJ416" i="9"/>
  <c r="FI415" i="9"/>
  <c r="BK491" i="9"/>
  <c r="CS416" i="9"/>
  <c r="CS374" i="9"/>
  <c r="CA406" i="9"/>
  <c r="CA404" i="9"/>
  <c r="CA405" i="9"/>
  <c r="CK185" i="12"/>
  <c r="DK159" i="12"/>
  <c r="BX150" i="12"/>
  <c r="CK185" i="14"/>
  <c r="CK147" i="14"/>
  <c r="BX185" i="12"/>
  <c r="G21" i="17" s="1"/>
  <c r="DK163" i="12"/>
  <c r="CK150" i="12"/>
  <c r="CK160" i="14"/>
  <c r="DJ372" i="9"/>
  <c r="FI377" i="9"/>
  <c r="CX157" i="12"/>
  <c r="DX145" i="14"/>
  <c r="DX145" i="12"/>
  <c r="FI400" i="9"/>
  <c r="FI375" i="9"/>
  <c r="FI379" i="9"/>
  <c r="FH379" i="9" s="1"/>
  <c r="FI388" i="9"/>
  <c r="ER388" i="9"/>
  <c r="EA412" i="9"/>
  <c r="DJ402" i="9"/>
  <c r="ER400" i="9"/>
  <c r="FI387" i="9"/>
  <c r="CS400" i="9"/>
  <c r="FI382" i="9"/>
  <c r="ER382" i="9"/>
  <c r="EA385" i="9"/>
  <c r="EA411" i="9"/>
  <c r="DJ371" i="9"/>
  <c r="BX145" i="12"/>
  <c r="BX144" i="14"/>
  <c r="CS443" i="9"/>
  <c r="CS383" i="9"/>
  <c r="CS376" i="9"/>
  <c r="CK157" i="12"/>
  <c r="CB394" i="9"/>
  <c r="BZ490" i="9"/>
  <c r="CB491" i="9" s="1"/>
  <c r="CA373" i="9"/>
  <c r="CA372" i="9"/>
  <c r="CA371" i="9"/>
  <c r="DJ406" i="9"/>
  <c r="FI390" i="9"/>
  <c r="CS402" i="9"/>
  <c r="ER374" i="9"/>
  <c r="ER403" i="9"/>
  <c r="BX159" i="14"/>
  <c r="BX167" i="14" s="1"/>
  <c r="EA403" i="9"/>
  <c r="DJ403" i="9"/>
  <c r="DJ386" i="9"/>
  <c r="CS403" i="9"/>
  <c r="CS419" i="9"/>
  <c r="DK185" i="12"/>
  <c r="J21" i="17" s="1"/>
  <c r="DK146" i="12"/>
  <c r="DK154" i="12" s="1"/>
  <c r="CK146" i="12"/>
  <c r="CK154" i="12" s="1"/>
  <c r="DX160" i="14"/>
  <c r="BX147" i="12"/>
  <c r="BW150" i="12" s="1"/>
  <c r="CX143" i="12"/>
  <c r="CX185" i="14"/>
  <c r="I30" i="17" s="1"/>
  <c r="CX147" i="14"/>
  <c r="AJ172" i="14"/>
  <c r="AK184" i="14"/>
  <c r="AJ185" i="14" s="1"/>
  <c r="BJ148" i="14"/>
  <c r="BJ149" i="14"/>
  <c r="DX144" i="14"/>
  <c r="EA381" i="9"/>
  <c r="DJ401" i="9"/>
  <c r="FI406" i="9"/>
  <c r="FI372" i="9"/>
  <c r="EA371" i="9"/>
  <c r="EA384" i="9"/>
  <c r="DJ373" i="9"/>
  <c r="ER384" i="9"/>
  <c r="EQ384" i="9" s="1"/>
  <c r="ER412" i="9"/>
  <c r="EA418" i="9"/>
  <c r="EA404" i="9"/>
  <c r="DK157" i="12"/>
  <c r="DJ385" i="9"/>
  <c r="EA416" i="9"/>
  <c r="FI370" i="9"/>
  <c r="ER378" i="9"/>
  <c r="EA378" i="9"/>
  <c r="DJ379" i="9"/>
  <c r="DJ411" i="9"/>
  <c r="BX145" i="14"/>
  <c r="DJ388" i="9"/>
  <c r="DJ377" i="9"/>
  <c r="BX157" i="12"/>
  <c r="CS399" i="9"/>
  <c r="FI386" i="9"/>
  <c r="ER386" i="9"/>
  <c r="EA386" i="9"/>
  <c r="DJ419" i="9"/>
  <c r="CA422" i="9"/>
  <c r="CA420" i="9"/>
  <c r="CA421" i="9"/>
  <c r="CX185" i="12"/>
  <c r="DX163" i="12"/>
  <c r="CX159" i="12"/>
  <c r="BX143" i="12"/>
  <c r="AW167" i="12"/>
  <c r="AW165" i="12"/>
  <c r="AW166" i="12"/>
  <c r="AX169" i="14"/>
  <c r="AW154" i="14"/>
  <c r="BX147" i="14"/>
  <c r="DX143" i="12"/>
  <c r="CK159" i="12"/>
  <c r="BX196" i="14"/>
  <c r="BW195" i="14"/>
  <c r="FI384" i="9"/>
  <c r="FH384" i="9" s="1"/>
  <c r="ER381" i="9"/>
  <c r="EA410" i="9"/>
  <c r="DX157" i="14"/>
  <c r="EA380" i="9"/>
  <c r="ER402" i="9"/>
  <c r="EA376" i="9"/>
  <c r="DX158" i="12"/>
  <c r="EA379" i="9"/>
  <c r="FI412" i="9"/>
  <c r="FI418" i="9"/>
  <c r="EA408" i="9"/>
  <c r="FI408" i="9"/>
  <c r="ER385" i="9"/>
  <c r="CK157" i="14"/>
  <c r="FI399" i="9"/>
  <c r="ER443" i="9"/>
  <c r="EA443" i="9"/>
  <c r="DJ384" i="9"/>
  <c r="DI384" i="9" s="1"/>
  <c r="CS378" i="9"/>
  <c r="CK145" i="14"/>
  <c r="CS385" i="9"/>
  <c r="CK158" i="12"/>
  <c r="CS380" i="9"/>
  <c r="CR380" i="9" s="1"/>
  <c r="CS414" i="9"/>
  <c r="CS372" i="9"/>
  <c r="CS404" i="9"/>
  <c r="BZ493" i="9"/>
  <c r="BJ378" i="9"/>
  <c r="BZ492" i="9"/>
  <c r="CB493" i="9" s="1"/>
  <c r="BK492" i="9"/>
  <c r="FI374" i="9"/>
  <c r="ER419" i="9"/>
  <c r="EA415" i="9"/>
  <c r="BJ399" i="9"/>
  <c r="CS415" i="9"/>
  <c r="CA392" i="9"/>
  <c r="CA393" i="9"/>
  <c r="CA391" i="9"/>
  <c r="DX160" i="12"/>
  <c r="DX143" i="14"/>
  <c r="CK143" i="12"/>
  <c r="BX159" i="12"/>
  <c r="BX167" i="12" s="1"/>
  <c r="BK154" i="12"/>
  <c r="BK172" i="12" s="1"/>
  <c r="DK160" i="14"/>
  <c r="DK196" i="14"/>
  <c r="CX144" i="14"/>
  <c r="DK145" i="14"/>
  <c r="FI402" i="9"/>
  <c r="DK158" i="12"/>
  <c r="FI413" i="9"/>
  <c r="ER372" i="9"/>
  <c r="ER376" i="9"/>
  <c r="ER377" i="9"/>
  <c r="FI383" i="9"/>
  <c r="FH383" i="9" s="1"/>
  <c r="ER379" i="9"/>
  <c r="EA413" i="9"/>
  <c r="ER401" i="9"/>
  <c r="ER408" i="9"/>
  <c r="CK144" i="14"/>
  <c r="ER414" i="9"/>
  <c r="FI416" i="9"/>
  <c r="FI443" i="9"/>
  <c r="EA382" i="9"/>
  <c r="DJ370" i="9"/>
  <c r="CK145" i="12"/>
  <c r="DJ399" i="9"/>
  <c r="DJ408" i="9"/>
  <c r="DJ375" i="9"/>
  <c r="BX144" i="12"/>
  <c r="DJ387" i="9"/>
  <c r="CS373" i="9"/>
  <c r="DJ417" i="9"/>
  <c r="DJ389" i="9"/>
  <c r="CS387" i="9"/>
  <c r="CS401" i="9"/>
  <c r="CA378" i="9"/>
  <c r="BK428" i="9"/>
  <c r="CS417" i="9"/>
  <c r="DJ415" i="9"/>
  <c r="CS390" i="9"/>
  <c r="CA417" i="9"/>
  <c r="CA418" i="9"/>
  <c r="CA416" i="9"/>
  <c r="DK147" i="12"/>
  <c r="DJ150" i="12" s="1"/>
  <c r="DX159" i="12"/>
  <c r="DX167" i="12" s="1"/>
  <c r="CX150" i="12"/>
  <c r="CK156" i="12"/>
  <c r="BJ145" i="12"/>
  <c r="BJ146" i="12"/>
  <c r="BJ144" i="12"/>
  <c r="BK151" i="12"/>
  <c r="BJ161" i="14"/>
  <c r="BJ162" i="14"/>
  <c r="BJ163" i="14"/>
  <c r="DX146" i="12"/>
  <c r="DX154" i="12" s="1"/>
  <c r="DX172" i="12" s="1"/>
  <c r="CX163" i="12"/>
  <c r="BX156" i="12"/>
  <c r="AW154" i="12"/>
  <c r="AX169" i="12"/>
  <c r="DK147" i="14"/>
  <c r="EA373" i="9"/>
  <c r="CJ199" i="14"/>
  <c r="CJ197" i="14"/>
  <c r="CJ198" i="14"/>
  <c r="C27" i="4"/>
  <c r="C33" i="4" s="1"/>
  <c r="AP27" i="13"/>
  <c r="AJ108" i="13" s="1"/>
  <c r="AK108" i="13" s="1"/>
  <c r="AO101" i="13"/>
  <c r="AJ112" i="13" s="1"/>
  <c r="AK112" i="13" s="1"/>
  <c r="AO27" i="13"/>
  <c r="AJ107" i="13" s="1"/>
  <c r="AK107" i="13" s="1"/>
  <c r="G27" i="4"/>
  <c r="G33" i="4" s="1"/>
  <c r="J12" i="4"/>
  <c r="AN27" i="13"/>
  <c r="AJ106" i="13" s="1"/>
  <c r="AK106" i="13" s="1"/>
  <c r="I12" i="4"/>
  <c r="L12" i="10"/>
  <c r="L17" i="10"/>
  <c r="AP101" i="13"/>
  <c r="AJ113" i="13" s="1"/>
  <c r="E49" i="4"/>
  <c r="I27" i="10"/>
  <c r="F37" i="11"/>
  <c r="C49" i="4"/>
  <c r="AD105" i="13"/>
  <c r="AD110" i="13"/>
  <c r="H21" i="17"/>
  <c r="E19" i="11"/>
  <c r="L78" i="10"/>
  <c r="K78" i="10"/>
  <c r="H19" i="18"/>
  <c r="H22" i="18" s="1"/>
  <c r="H30" i="18" s="1"/>
  <c r="H31" i="18" s="1"/>
  <c r="K17" i="10" s="1"/>
  <c r="F92" i="4"/>
  <c r="E92" i="4"/>
  <c r="D12" i="4"/>
  <c r="H100" i="7"/>
  <c r="K50" i="10" s="1"/>
  <c r="H99" i="7"/>
  <c r="H98" i="7"/>
  <c r="E88" i="4"/>
  <c r="H19" i="11"/>
  <c r="K74" i="10"/>
  <c r="D19" i="11"/>
  <c r="D50" i="11"/>
  <c r="D30" i="17"/>
  <c r="F21" i="17"/>
  <c r="H30" i="17"/>
  <c r="E21" i="17"/>
  <c r="I88" i="4"/>
  <c r="C50" i="11"/>
  <c r="C19" i="11"/>
  <c r="C88" i="4"/>
  <c r="G88" i="4"/>
  <c r="K19" i="11"/>
  <c r="J19" i="18"/>
  <c r="J22" i="18" s="1"/>
  <c r="J30" i="18" s="1"/>
  <c r="J31" i="18" s="1"/>
  <c r="K30" i="17"/>
  <c r="L19" i="18"/>
  <c r="L22" i="18" s="1"/>
  <c r="L30" i="18" s="1"/>
  <c r="L31" i="18" s="1"/>
  <c r="I17" i="4" s="1"/>
  <c r="B19" i="11"/>
  <c r="B50" i="11"/>
  <c r="J19" i="11"/>
  <c r="E30" i="17"/>
  <c r="D21" i="17"/>
  <c r="G30" i="17"/>
  <c r="K19" i="18"/>
  <c r="K22" i="18" s="1"/>
  <c r="K30" i="18" s="1"/>
  <c r="K31" i="18" s="1"/>
  <c r="G17" i="4" s="1"/>
  <c r="E50" i="11"/>
  <c r="J27" i="4"/>
  <c r="J33" i="4" s="1"/>
  <c r="H27" i="4"/>
  <c r="I27" i="4"/>
  <c r="I19" i="18"/>
  <c r="I22" i="18" s="1"/>
  <c r="I30" i="18" s="1"/>
  <c r="I31" i="18" s="1"/>
  <c r="C17" i="4" s="1"/>
  <c r="I21" i="17"/>
  <c r="F30" i="17"/>
  <c r="I19" i="11"/>
  <c r="W110" i="13"/>
  <c r="G12" i="4"/>
  <c r="F12" i="4"/>
  <c r="D17" i="4"/>
  <c r="E12" i="4"/>
  <c r="F17" i="4"/>
  <c r="H12" i="4"/>
  <c r="C12" i="4"/>
  <c r="K12" i="10"/>
  <c r="F6" i="11"/>
  <c r="AN101" i="13"/>
  <c r="AJ111" i="13" s="1"/>
  <c r="J92" i="4"/>
  <c r="I92" i="4"/>
  <c r="I98" i="4"/>
  <c r="J98" i="4"/>
  <c r="E17" i="4"/>
  <c r="DZ379" i="9" l="1"/>
  <c r="DZ380" i="9"/>
  <c r="DI379" i="9"/>
  <c r="CB428" i="9"/>
  <c r="FH380" i="9"/>
  <c r="EQ379" i="9"/>
  <c r="CR385" i="9"/>
  <c r="EQ385" i="9"/>
  <c r="CK167" i="12"/>
  <c r="CK172" i="12" s="1"/>
  <c r="DI385" i="9"/>
  <c r="CR383" i="9"/>
  <c r="CA382" i="9"/>
  <c r="L26" i="10"/>
  <c r="L25" i="10"/>
  <c r="G49" i="4"/>
  <c r="H33" i="4"/>
  <c r="I45" i="10"/>
  <c r="I33" i="10"/>
  <c r="I49" i="4"/>
  <c r="I33" i="4"/>
  <c r="G45" i="10"/>
  <c r="H33" i="10"/>
  <c r="L27" i="10"/>
  <c r="L33" i="10" s="1"/>
  <c r="AK105" i="13"/>
  <c r="CJ196" i="14"/>
  <c r="DY493" i="9"/>
  <c r="CQ493" i="9"/>
  <c r="CA390" i="9"/>
  <c r="CA419" i="9"/>
  <c r="BJ147" i="14"/>
  <c r="CA370" i="9"/>
  <c r="DI381" i="9"/>
  <c r="CA415" i="9"/>
  <c r="DK167" i="12"/>
  <c r="DK172" i="12" s="1"/>
  <c r="BJ423" i="9"/>
  <c r="CA411" i="9"/>
  <c r="BJ196" i="14"/>
  <c r="BJ143" i="14"/>
  <c r="DW150" i="12"/>
  <c r="AW172" i="12"/>
  <c r="AX184" i="12"/>
  <c r="AW185" i="12" s="1"/>
  <c r="BW159" i="12"/>
  <c r="BW157" i="12"/>
  <c r="BW158" i="12"/>
  <c r="BX164" i="12"/>
  <c r="BJ154" i="12"/>
  <c r="BK169" i="12"/>
  <c r="CJ158" i="12"/>
  <c r="CJ159" i="12"/>
  <c r="CJ157" i="12"/>
  <c r="CK164" i="12"/>
  <c r="DI418" i="9"/>
  <c r="DI416" i="9"/>
  <c r="DI417" i="9"/>
  <c r="BK444" i="9"/>
  <c r="BJ444" i="9" s="1"/>
  <c r="BI484" i="9"/>
  <c r="EP492" i="9"/>
  <c r="DJ199" i="14"/>
  <c r="DJ198" i="14"/>
  <c r="DJ197" i="14"/>
  <c r="DJ162" i="14"/>
  <c r="DJ163" i="14"/>
  <c r="DJ161" i="14"/>
  <c r="DJ160" i="14" s="1"/>
  <c r="DX151" i="14"/>
  <c r="DW145" i="14"/>
  <c r="DW144" i="14"/>
  <c r="EQ421" i="9"/>
  <c r="EQ422" i="9"/>
  <c r="EQ420" i="9"/>
  <c r="BW198" i="14"/>
  <c r="BW197" i="14"/>
  <c r="BW196" i="14" s="1"/>
  <c r="BW199" i="14"/>
  <c r="DW146" i="12"/>
  <c r="DW144" i="12"/>
  <c r="DW145" i="12"/>
  <c r="DX151" i="12"/>
  <c r="CX167" i="12"/>
  <c r="DI421" i="9"/>
  <c r="DI422" i="9"/>
  <c r="DI420" i="9"/>
  <c r="EQ388" i="9"/>
  <c r="EQ389" i="9"/>
  <c r="EQ387" i="9"/>
  <c r="EQ386" i="9" s="1"/>
  <c r="CR402" i="9"/>
  <c r="CR400" i="9"/>
  <c r="CS423" i="9"/>
  <c r="CR401" i="9"/>
  <c r="DZ384" i="9"/>
  <c r="FG492" i="9"/>
  <c r="CR405" i="9"/>
  <c r="CR406" i="9"/>
  <c r="CR404" i="9"/>
  <c r="DI405" i="9"/>
  <c r="DI406" i="9"/>
  <c r="DI404" i="9"/>
  <c r="EQ377" i="9"/>
  <c r="EQ375" i="9"/>
  <c r="EQ376" i="9"/>
  <c r="FH393" i="9"/>
  <c r="FH391" i="9"/>
  <c r="FH392" i="9"/>
  <c r="BZ484" i="9"/>
  <c r="CB444" i="9"/>
  <c r="CA444" i="9" s="1"/>
  <c r="DZ414" i="9"/>
  <c r="DZ412" i="9"/>
  <c r="DZ413" i="9"/>
  <c r="DH492" i="9"/>
  <c r="FH417" i="9"/>
  <c r="FH418" i="9"/>
  <c r="FH416" i="9"/>
  <c r="DI410" i="9"/>
  <c r="DI408" i="9"/>
  <c r="DI409" i="9"/>
  <c r="EQ409" i="9"/>
  <c r="EQ410" i="9"/>
  <c r="EQ408" i="9"/>
  <c r="BX151" i="14"/>
  <c r="BW146" i="14"/>
  <c r="BW144" i="14"/>
  <c r="BW145" i="14"/>
  <c r="CX154" i="12"/>
  <c r="DK151" i="14"/>
  <c r="DJ144" i="14"/>
  <c r="DJ145" i="14"/>
  <c r="CJ150" i="12"/>
  <c r="DI393" i="9"/>
  <c r="DI391" i="9"/>
  <c r="DI392" i="9"/>
  <c r="EQ393" i="9"/>
  <c r="EQ391" i="9"/>
  <c r="EQ392" i="9"/>
  <c r="FH422" i="9"/>
  <c r="FH420" i="9"/>
  <c r="FH421" i="9"/>
  <c r="DZ410" i="9"/>
  <c r="DZ408" i="9"/>
  <c r="DZ409" i="9"/>
  <c r="EA394" i="9"/>
  <c r="DY490" i="9"/>
  <c r="DZ372" i="9"/>
  <c r="DZ371" i="9"/>
  <c r="DZ373" i="9"/>
  <c r="CQ491" i="9"/>
  <c r="EQ380" i="9"/>
  <c r="EP493" i="9"/>
  <c r="BJ166" i="12"/>
  <c r="BJ167" i="12"/>
  <c r="BJ165" i="12"/>
  <c r="CR389" i="9"/>
  <c r="CR387" i="9"/>
  <c r="CR388" i="9"/>
  <c r="EQ418" i="9"/>
  <c r="EQ416" i="9"/>
  <c r="EQ417" i="9"/>
  <c r="CR414" i="9"/>
  <c r="CR412" i="9"/>
  <c r="CR413" i="9"/>
  <c r="DI380" i="9"/>
  <c r="DI378" i="9" s="1"/>
  <c r="ER423" i="9"/>
  <c r="EQ401" i="9"/>
  <c r="EQ402" i="9"/>
  <c r="EQ400" i="9"/>
  <c r="DZ383" i="9"/>
  <c r="FG491" i="9"/>
  <c r="BJ154" i="14"/>
  <c r="CW159" i="12"/>
  <c r="CW157" i="12"/>
  <c r="CW158" i="12"/>
  <c r="CX164" i="12"/>
  <c r="CA426" i="9"/>
  <c r="CA424" i="9"/>
  <c r="CA425" i="9"/>
  <c r="BX172" i="14"/>
  <c r="FH405" i="9"/>
  <c r="FH406" i="9"/>
  <c r="FH404" i="9"/>
  <c r="CB492" i="9"/>
  <c r="EQ413" i="9"/>
  <c r="EQ414" i="9"/>
  <c r="EQ412" i="9"/>
  <c r="EQ383" i="9"/>
  <c r="EQ382" i="9" s="1"/>
  <c r="BJ162" i="12"/>
  <c r="BJ163" i="12"/>
  <c r="BJ161" i="12"/>
  <c r="DJ163" i="12"/>
  <c r="DJ161" i="12"/>
  <c r="DJ162" i="12"/>
  <c r="CK164" i="14"/>
  <c r="CJ158" i="14"/>
  <c r="CJ159" i="14"/>
  <c r="CJ157" i="14"/>
  <c r="CW162" i="12"/>
  <c r="CW163" i="12"/>
  <c r="CW161" i="12"/>
  <c r="CX164" i="14"/>
  <c r="CW158" i="14"/>
  <c r="CW159" i="14"/>
  <c r="CW157" i="14"/>
  <c r="CW150" i="12"/>
  <c r="DJ148" i="14"/>
  <c r="DJ149" i="14"/>
  <c r="BJ160" i="14"/>
  <c r="BJ143" i="12"/>
  <c r="CR393" i="9"/>
  <c r="CR391" i="9"/>
  <c r="CR392" i="9"/>
  <c r="DJ423" i="9"/>
  <c r="DI401" i="9"/>
  <c r="DI402" i="9"/>
  <c r="DI400" i="9"/>
  <c r="DJ394" i="9"/>
  <c r="DJ428" i="9" s="1"/>
  <c r="DH490" i="9"/>
  <c r="DI371" i="9"/>
  <c r="DI373" i="9"/>
  <c r="DI372" i="9"/>
  <c r="CJ145" i="12"/>
  <c r="CJ146" i="12"/>
  <c r="CJ144" i="12"/>
  <c r="CK151" i="12"/>
  <c r="DW162" i="12"/>
  <c r="DW163" i="12"/>
  <c r="DW161" i="12"/>
  <c r="CR418" i="9"/>
  <c r="CR416" i="9"/>
  <c r="CR417" i="9"/>
  <c r="DZ418" i="9"/>
  <c r="DZ416" i="9"/>
  <c r="DZ417" i="9"/>
  <c r="FH376" i="9"/>
  <c r="FH377" i="9"/>
  <c r="FH375" i="9"/>
  <c r="CQ492" i="9"/>
  <c r="FH402" i="9"/>
  <c r="FH400" i="9"/>
  <c r="FI423" i="9"/>
  <c r="FH401" i="9"/>
  <c r="EQ381" i="9"/>
  <c r="BW149" i="14"/>
  <c r="BW148" i="14"/>
  <c r="AW172" i="14"/>
  <c r="AX184" i="14"/>
  <c r="AW185" i="14" s="1"/>
  <c r="AW164" i="12"/>
  <c r="BW144" i="12"/>
  <c r="BW145" i="12"/>
  <c r="BW146" i="12"/>
  <c r="BX151" i="12"/>
  <c r="DZ389" i="9"/>
  <c r="DZ387" i="9"/>
  <c r="DZ388" i="9"/>
  <c r="FH389" i="9"/>
  <c r="FH387" i="9"/>
  <c r="FH388" i="9"/>
  <c r="DI413" i="9"/>
  <c r="DI414" i="9"/>
  <c r="DI412" i="9"/>
  <c r="FI394" i="9"/>
  <c r="FG490" i="9"/>
  <c r="FH371" i="9"/>
  <c r="FH372" i="9"/>
  <c r="FH373" i="9"/>
  <c r="DH493" i="9"/>
  <c r="DY491" i="9"/>
  <c r="DZ381" i="9"/>
  <c r="DZ378" i="9" s="1"/>
  <c r="CW148" i="14"/>
  <c r="CW149" i="14"/>
  <c r="CW146" i="12"/>
  <c r="CW144" i="12"/>
  <c r="CW145" i="12"/>
  <c r="CX151" i="12"/>
  <c r="DW162" i="14"/>
  <c r="DW163" i="14"/>
  <c r="DW161" i="14"/>
  <c r="CR422" i="9"/>
  <c r="CR420" i="9"/>
  <c r="CR421" i="9"/>
  <c r="DI389" i="9"/>
  <c r="DI387" i="9"/>
  <c r="DI388" i="9"/>
  <c r="DZ405" i="9"/>
  <c r="DZ406" i="9"/>
  <c r="DZ404" i="9"/>
  <c r="EQ405" i="9"/>
  <c r="EQ406" i="9"/>
  <c r="EQ404" i="9"/>
  <c r="CB490" i="9"/>
  <c r="CR382" i="9"/>
  <c r="DH491" i="9"/>
  <c r="DZ385" i="9"/>
  <c r="CJ161" i="14"/>
  <c r="CJ162" i="14"/>
  <c r="CJ163" i="14"/>
  <c r="CJ148" i="14"/>
  <c r="CJ149" i="14"/>
  <c r="CA403" i="9"/>
  <c r="CR376" i="9"/>
  <c r="CR377" i="9"/>
  <c r="CR375" i="9"/>
  <c r="BK490" i="9"/>
  <c r="CS394" i="9"/>
  <c r="CS428" i="9" s="1"/>
  <c r="CQ490" i="9"/>
  <c r="CS491" i="9" s="1"/>
  <c r="CR373" i="9"/>
  <c r="CR372" i="9"/>
  <c r="CR371" i="9"/>
  <c r="FH409" i="9"/>
  <c r="FH410" i="9"/>
  <c r="FH408" i="9"/>
  <c r="EP491" i="9"/>
  <c r="FH378" i="9"/>
  <c r="DW197" i="14"/>
  <c r="DW199" i="14"/>
  <c r="DW198" i="14"/>
  <c r="CW199" i="14"/>
  <c r="CW198" i="14"/>
  <c r="CW197" i="14"/>
  <c r="BW163" i="14"/>
  <c r="BW161" i="14"/>
  <c r="BW162" i="14"/>
  <c r="CX151" i="14"/>
  <c r="CW144" i="14"/>
  <c r="CW145" i="14"/>
  <c r="AW164" i="14"/>
  <c r="DJ159" i="12"/>
  <c r="DJ157" i="12"/>
  <c r="DJ158" i="12"/>
  <c r="DK164" i="12"/>
  <c r="CA374" i="9"/>
  <c r="DZ376" i="9"/>
  <c r="DZ377" i="9"/>
  <c r="DZ375" i="9"/>
  <c r="CR409" i="9"/>
  <c r="CR410" i="9"/>
  <c r="CR408" i="9"/>
  <c r="CR379" i="9"/>
  <c r="DW148" i="14"/>
  <c r="DW149" i="14"/>
  <c r="DJ146" i="12"/>
  <c r="DJ144" i="12"/>
  <c r="DJ145" i="12"/>
  <c r="DK151" i="12"/>
  <c r="BJ156" i="12"/>
  <c r="DI376" i="9"/>
  <c r="DI377" i="9"/>
  <c r="DI375" i="9"/>
  <c r="DZ422" i="9"/>
  <c r="DZ420" i="9"/>
  <c r="DZ421" i="9"/>
  <c r="CR381" i="9"/>
  <c r="EA423" i="9"/>
  <c r="DZ401" i="9"/>
  <c r="DZ402" i="9"/>
  <c r="DZ400" i="9"/>
  <c r="FH414" i="9"/>
  <c r="FH412" i="9"/>
  <c r="FH413" i="9"/>
  <c r="FH385" i="9"/>
  <c r="FH382" i="9" s="1"/>
  <c r="FG493" i="9"/>
  <c r="FI493" i="9" s="1"/>
  <c r="CK151" i="14"/>
  <c r="CJ145" i="14"/>
  <c r="CJ144" i="14"/>
  <c r="DW159" i="12"/>
  <c r="DW157" i="12"/>
  <c r="DW158" i="12"/>
  <c r="DX164" i="12"/>
  <c r="CW163" i="14"/>
  <c r="CW161" i="14"/>
  <c r="CW162" i="14"/>
  <c r="BX154" i="12"/>
  <c r="BX172" i="12" s="1"/>
  <c r="CA386" i="9"/>
  <c r="CA399" i="9"/>
  <c r="DZ393" i="9"/>
  <c r="DZ391" i="9"/>
  <c r="DZ392" i="9"/>
  <c r="DI383" i="9"/>
  <c r="DI382" i="9" s="1"/>
  <c r="ER394" i="9"/>
  <c r="ER428" i="9" s="1"/>
  <c r="EP490" i="9"/>
  <c r="ER491" i="9" s="1"/>
  <c r="EQ372" i="9"/>
  <c r="EQ371" i="9"/>
  <c r="EQ373" i="9"/>
  <c r="DY492" i="9"/>
  <c r="EA493" i="9" s="1"/>
  <c r="CA409" i="9"/>
  <c r="CA410" i="9"/>
  <c r="CA408" i="9"/>
  <c r="BW163" i="12"/>
  <c r="BW161" i="12"/>
  <c r="BW162" i="12"/>
  <c r="BJ157" i="14"/>
  <c r="BJ158" i="14"/>
  <c r="BK164" i="14"/>
  <c r="BJ159" i="14"/>
  <c r="DX164" i="14"/>
  <c r="DW158" i="14"/>
  <c r="DW159" i="14"/>
  <c r="DW157" i="14"/>
  <c r="BW159" i="14"/>
  <c r="BW157" i="14"/>
  <c r="BX164" i="14"/>
  <c r="BW158" i="14"/>
  <c r="DJ157" i="14"/>
  <c r="DK164" i="14"/>
  <c r="DJ158" i="14"/>
  <c r="DJ159" i="14"/>
  <c r="CJ163" i="12"/>
  <c r="CJ161" i="12"/>
  <c r="CJ162" i="12"/>
  <c r="K26" i="10"/>
  <c r="AK113" i="13"/>
  <c r="G67" i="10" s="1"/>
  <c r="K67" i="10"/>
  <c r="AK111" i="13"/>
  <c r="AK110" i="13" s="1"/>
  <c r="K25" i="10"/>
  <c r="H11" i="17"/>
  <c r="D11" i="17"/>
  <c r="J11" i="17"/>
  <c r="E11" i="17"/>
  <c r="K11" i="17"/>
  <c r="F11" i="17"/>
  <c r="I11" i="17"/>
  <c r="P55" i="2"/>
  <c r="U55" i="2"/>
  <c r="M55" i="2"/>
  <c r="G11" i="17"/>
  <c r="T55" i="2"/>
  <c r="DJ492" i="9" l="1"/>
  <c r="CX172" i="12"/>
  <c r="DZ370" i="9"/>
  <c r="DZ407" i="9"/>
  <c r="EQ390" i="9"/>
  <c r="CJ160" i="12"/>
  <c r="DW156" i="14"/>
  <c r="DZ390" i="9"/>
  <c r="CW160" i="14"/>
  <c r="CR374" i="9"/>
  <c r="FI491" i="9"/>
  <c r="EQ378" i="9"/>
  <c r="DW156" i="12"/>
  <c r="CR370" i="9"/>
  <c r="DI415" i="9"/>
  <c r="DZ403" i="9"/>
  <c r="DI386" i="9"/>
  <c r="CW143" i="12"/>
  <c r="DI411" i="9"/>
  <c r="FH386" i="9"/>
  <c r="BW147" i="14"/>
  <c r="FH374" i="9"/>
  <c r="DZ415" i="9"/>
  <c r="DI370" i="9"/>
  <c r="CR390" i="9"/>
  <c r="CJ156" i="14"/>
  <c r="DW147" i="14"/>
  <c r="CR407" i="9"/>
  <c r="EQ399" i="9"/>
  <c r="CR411" i="9"/>
  <c r="CR386" i="9"/>
  <c r="BJ164" i="12"/>
  <c r="CA423" i="9"/>
  <c r="CW156" i="12"/>
  <c r="BW143" i="14"/>
  <c r="DZ411" i="9"/>
  <c r="EQ374" i="9"/>
  <c r="DI403" i="9"/>
  <c r="K27" i="10"/>
  <c r="DJ156" i="14"/>
  <c r="BW166" i="14"/>
  <c r="BW167" i="14"/>
  <c r="BW165" i="14"/>
  <c r="DW166" i="14"/>
  <c r="DW167" i="14"/>
  <c r="DW165" i="14"/>
  <c r="BJ167" i="14"/>
  <c r="BJ165" i="14"/>
  <c r="BJ166" i="14"/>
  <c r="BJ156" i="14"/>
  <c r="BW160" i="12"/>
  <c r="CA407" i="9"/>
  <c r="EQ370" i="9"/>
  <c r="ER444" i="9"/>
  <c r="EQ444" i="9" s="1"/>
  <c r="EP484" i="9"/>
  <c r="CK169" i="14"/>
  <c r="FH411" i="9"/>
  <c r="DZ399" i="9"/>
  <c r="DZ419" i="9"/>
  <c r="DI374" i="9"/>
  <c r="DK169" i="12"/>
  <c r="DJ154" i="12"/>
  <c r="DJ143" i="12"/>
  <c r="CR378" i="9"/>
  <c r="DZ374" i="9"/>
  <c r="DJ166" i="12"/>
  <c r="DJ167" i="12"/>
  <c r="DJ165" i="12"/>
  <c r="DJ156" i="12"/>
  <c r="CX169" i="14"/>
  <c r="BW160" i="14"/>
  <c r="CW196" i="14"/>
  <c r="FH407" i="9"/>
  <c r="CJ147" i="14"/>
  <c r="EQ403" i="9"/>
  <c r="CR419" i="9"/>
  <c r="DW160" i="14"/>
  <c r="CW147" i="14"/>
  <c r="EA492" i="9"/>
  <c r="FH370" i="9"/>
  <c r="FI428" i="9"/>
  <c r="DZ386" i="9"/>
  <c r="BW154" i="12"/>
  <c r="BX169" i="12"/>
  <c r="FH399" i="9"/>
  <c r="CS493" i="9"/>
  <c r="CR415" i="9"/>
  <c r="DW160" i="12"/>
  <c r="CJ143" i="12"/>
  <c r="DJ491" i="9"/>
  <c r="DI399" i="9"/>
  <c r="DJ147" i="14"/>
  <c r="CW156" i="14"/>
  <c r="CW160" i="12"/>
  <c r="CJ167" i="14"/>
  <c r="CJ165" i="14"/>
  <c r="CJ166" i="14"/>
  <c r="DJ160" i="12"/>
  <c r="BJ160" i="12"/>
  <c r="EQ411" i="9"/>
  <c r="FH403" i="9"/>
  <c r="BK169" i="14"/>
  <c r="DZ382" i="9"/>
  <c r="EQ425" i="9"/>
  <c r="EQ426" i="9"/>
  <c r="EQ424" i="9"/>
  <c r="EQ415" i="9"/>
  <c r="ER493" i="9"/>
  <c r="CS492" i="9"/>
  <c r="EA491" i="9"/>
  <c r="EA490" i="9" s="1"/>
  <c r="FH419" i="9"/>
  <c r="DI390" i="9"/>
  <c r="DK169" i="14"/>
  <c r="EQ407" i="9"/>
  <c r="DI407" i="9"/>
  <c r="FH415" i="9"/>
  <c r="FH390" i="9"/>
  <c r="CR403" i="9"/>
  <c r="CR425" i="9"/>
  <c r="CR426" i="9"/>
  <c r="CR424" i="9"/>
  <c r="DI419" i="9"/>
  <c r="DX169" i="12"/>
  <c r="DW154" i="12"/>
  <c r="DW143" i="12"/>
  <c r="EQ419" i="9"/>
  <c r="DJ196" i="14"/>
  <c r="CJ156" i="12"/>
  <c r="DJ166" i="14"/>
  <c r="DJ167" i="14"/>
  <c r="DJ165" i="14"/>
  <c r="BW156" i="14"/>
  <c r="DW167" i="12"/>
  <c r="DW165" i="12"/>
  <c r="DW166" i="12"/>
  <c r="DZ425" i="9"/>
  <c r="DZ426" i="9"/>
  <c r="DZ424" i="9"/>
  <c r="DW196" i="14"/>
  <c r="ER492" i="9"/>
  <c r="ER490" i="9" s="1"/>
  <c r="CQ484" i="9"/>
  <c r="CS444" i="9"/>
  <c r="CR444" i="9" s="1"/>
  <c r="CJ160" i="14"/>
  <c r="CX169" i="12"/>
  <c r="CW154" i="12"/>
  <c r="BW143" i="12"/>
  <c r="FH426" i="9"/>
  <c r="FH424" i="9"/>
  <c r="FH425" i="9"/>
  <c r="CJ154" i="12"/>
  <c r="CK169" i="12"/>
  <c r="DH484" i="9"/>
  <c r="DJ444" i="9"/>
  <c r="DI444" i="9" s="1"/>
  <c r="DI425" i="9"/>
  <c r="DI426" i="9"/>
  <c r="DI424" i="9"/>
  <c r="CW166" i="14"/>
  <c r="CW167" i="14"/>
  <c r="CW165" i="14"/>
  <c r="CW166" i="12"/>
  <c r="CW167" i="12"/>
  <c r="CW165" i="12"/>
  <c r="FI492" i="9"/>
  <c r="AN55" i="2" s="1"/>
  <c r="EA428" i="9"/>
  <c r="BX169" i="14"/>
  <c r="BW154" i="14"/>
  <c r="DJ493" i="9"/>
  <c r="CR399" i="9"/>
  <c r="DX169" i="14"/>
  <c r="CJ166" i="12"/>
  <c r="CJ167" i="12"/>
  <c r="CJ165" i="12"/>
  <c r="BK184" i="12"/>
  <c r="BJ185" i="12" s="1"/>
  <c r="BJ172" i="12"/>
  <c r="BW167" i="12"/>
  <c r="BW165" i="12"/>
  <c r="BW166" i="12"/>
  <c r="BW156" i="12"/>
  <c r="CH421" i="9"/>
  <c r="CH425" i="9" s="1"/>
  <c r="BY392" i="9"/>
  <c r="BY396" i="9" s="1"/>
  <c r="CE392" i="9"/>
  <c r="BW392" i="9"/>
  <c r="BW396" i="9" s="1"/>
  <c r="CB346" i="9"/>
  <c r="CB350" i="9" s="1"/>
  <c r="CG421" i="9"/>
  <c r="CC392" i="9"/>
  <c r="CC396" i="9" s="1"/>
  <c r="CL346" i="9"/>
  <c r="CL350" i="9" s="1"/>
  <c r="BZ346" i="9"/>
  <c r="BZ350" i="9" s="1"/>
  <c r="CA350" i="9" s="1"/>
  <c r="CK346" i="9"/>
  <c r="CK350" i="9" s="1"/>
  <c r="AY422" i="9"/>
  <c r="AU393" i="9"/>
  <c r="AU397" i="9" s="1"/>
  <c r="BD347" i="9"/>
  <c r="BD351" i="9" s="1"/>
  <c r="AR347" i="9"/>
  <c r="AR351" i="9" s="1"/>
  <c r="AS351" i="9" s="1"/>
  <c r="AZ422" i="9"/>
  <c r="AZ426" i="9" s="1"/>
  <c r="AQ393" i="9"/>
  <c r="AQ397" i="9" s="1"/>
  <c r="AW393" i="9"/>
  <c r="AO393" i="9"/>
  <c r="AO397" i="9" s="1"/>
  <c r="AT347" i="9"/>
  <c r="AT351" i="9" s="1"/>
  <c r="BC347" i="9"/>
  <c r="BC351" i="9" s="1"/>
  <c r="FN421" i="9"/>
  <c r="FO421" i="9"/>
  <c r="FO425" i="9" s="1"/>
  <c r="FJ392" i="9"/>
  <c r="FJ396" i="9" s="1"/>
  <c r="FI346" i="9"/>
  <c r="FI350" i="9" s="1"/>
  <c r="FF392" i="9"/>
  <c r="FF396" i="9" s="1"/>
  <c r="FL392" i="9"/>
  <c r="FD392" i="9"/>
  <c r="FD396" i="9" s="1"/>
  <c r="FR346" i="9"/>
  <c r="FR350" i="9" s="1"/>
  <c r="FG346" i="9"/>
  <c r="FG350" i="9" s="1"/>
  <c r="FH350" i="9" s="1"/>
  <c r="FS346" i="9"/>
  <c r="FS350" i="9" s="1"/>
  <c r="CG422" i="9"/>
  <c r="CC393" i="9"/>
  <c r="CC397" i="9" s="1"/>
  <c r="CL347" i="9"/>
  <c r="CL351" i="9" s="1"/>
  <c r="BZ347" i="9"/>
  <c r="BZ351" i="9" s="1"/>
  <c r="CA351" i="9" s="1"/>
  <c r="CK347" i="9"/>
  <c r="CK351" i="9" s="1"/>
  <c r="CH422" i="9"/>
  <c r="CH426" i="9" s="1"/>
  <c r="BY393" i="9"/>
  <c r="BY397" i="9" s="1"/>
  <c r="CE393" i="9"/>
  <c r="BW393" i="9"/>
  <c r="BW397" i="9" s="1"/>
  <c r="CB347" i="9"/>
  <c r="CB351" i="9" s="1"/>
  <c r="BQ421" i="9"/>
  <c r="BQ425" i="9" s="1"/>
  <c r="BH392" i="9"/>
  <c r="BH396" i="9" s="1"/>
  <c r="BN392" i="9"/>
  <c r="BF392" i="9"/>
  <c r="BF396" i="9" s="1"/>
  <c r="BT346" i="9"/>
  <c r="BT350" i="9" s="1"/>
  <c r="BU346" i="9"/>
  <c r="BU350" i="9" s="1"/>
  <c r="BI346" i="9"/>
  <c r="BI350" i="9" s="1"/>
  <c r="BJ350" i="9" s="1"/>
  <c r="BP421" i="9"/>
  <c r="BL392" i="9"/>
  <c r="BL396" i="9" s="1"/>
  <c r="BK346" i="9"/>
  <c r="BK350" i="9" s="1"/>
  <c r="AA55" i="2"/>
  <c r="Y55" i="2"/>
  <c r="AF55" i="2"/>
  <c r="AC55" i="2"/>
  <c r="Q55" i="2"/>
  <c r="X55" i="2"/>
  <c r="L55" i="2"/>
  <c r="AB55" i="2"/>
  <c r="AJ55" i="2"/>
  <c r="AG55" i="2"/>
  <c r="O55" i="2"/>
  <c r="AO55" i="2"/>
  <c r="AK55" i="2"/>
  <c r="S55" i="2"/>
  <c r="K55" i="2"/>
  <c r="W55" i="2"/>
  <c r="K45" i="10" l="1"/>
  <c r="K33" i="10"/>
  <c r="CS490" i="9"/>
  <c r="BW164" i="14"/>
  <c r="DZ423" i="9"/>
  <c r="BW164" i="12"/>
  <c r="CJ164" i="12"/>
  <c r="DJ164" i="12"/>
  <c r="CW164" i="14"/>
  <c r="DX184" i="14"/>
  <c r="DW185" i="14" s="1"/>
  <c r="CJ172" i="12"/>
  <c r="CK184" i="12"/>
  <c r="CJ185" i="12" s="1"/>
  <c r="FI490" i="9"/>
  <c r="CW172" i="12"/>
  <c r="CX184" i="12"/>
  <c r="CW185" i="12" s="1"/>
  <c r="FG484" i="9"/>
  <c r="FI444" i="9"/>
  <c r="FH444" i="9" s="1"/>
  <c r="CX184" i="14"/>
  <c r="CW185" i="14" s="1"/>
  <c r="BW172" i="14"/>
  <c r="BX184" i="14"/>
  <c r="BW185" i="14" s="1"/>
  <c r="DY484" i="9"/>
  <c r="EA444" i="9"/>
  <c r="DZ444" i="9" s="1"/>
  <c r="CW164" i="12"/>
  <c r="DI423" i="9"/>
  <c r="FH423" i="9"/>
  <c r="DW164" i="12"/>
  <c r="DJ164" i="14"/>
  <c r="DW172" i="12"/>
  <c r="DX184" i="12"/>
  <c r="DW185" i="12" s="1"/>
  <c r="CR423" i="9"/>
  <c r="DK184" i="14"/>
  <c r="DJ185" i="14" s="1"/>
  <c r="EQ423" i="9"/>
  <c r="BK184" i="14"/>
  <c r="BJ185" i="14" s="1"/>
  <c r="BJ172" i="14"/>
  <c r="CJ164" i="14"/>
  <c r="DJ490" i="9"/>
  <c r="BW172" i="12"/>
  <c r="BX184" i="12"/>
  <c r="BW185" i="12" s="1"/>
  <c r="DJ172" i="12"/>
  <c r="DK184" i="12"/>
  <c r="DJ185" i="12" s="1"/>
  <c r="CK184" i="14"/>
  <c r="CJ185" i="14" s="1"/>
  <c r="BJ164" i="14"/>
  <c r="DW164" i="14"/>
  <c r="AY420" i="9"/>
  <c r="AU391" i="9"/>
  <c r="AU395" i="9" s="1"/>
  <c r="BD345" i="9"/>
  <c r="BD349" i="9" s="1"/>
  <c r="AR345" i="9"/>
  <c r="AR349" i="9" s="1"/>
  <c r="AS349" i="9" s="1"/>
  <c r="AZ420" i="9"/>
  <c r="AZ424" i="9" s="1"/>
  <c r="AQ391" i="9"/>
  <c r="AQ395" i="9" s="1"/>
  <c r="AW391" i="9"/>
  <c r="AO391" i="9"/>
  <c r="AO395" i="9" s="1"/>
  <c r="AT345" i="9"/>
  <c r="AT349" i="9" s="1"/>
  <c r="BC345" i="9"/>
  <c r="BC349" i="9" s="1"/>
  <c r="EW422" i="9"/>
  <c r="EX422" i="9"/>
  <c r="EX426" i="9" s="1"/>
  <c r="EO393" i="9"/>
  <c r="EO397" i="9" s="1"/>
  <c r="EM393" i="9"/>
  <c r="EM397" i="9" s="1"/>
  <c r="EU393" i="9"/>
  <c r="ER347" i="9"/>
  <c r="ER351" i="9" s="1"/>
  <c r="ES393" i="9"/>
  <c r="ES397" i="9" s="1"/>
  <c r="FB347" i="9"/>
  <c r="FB351" i="9" s="1"/>
  <c r="EP347" i="9"/>
  <c r="EP351" i="9" s="1"/>
  <c r="EQ351" i="9" s="1"/>
  <c r="FA347" i="9"/>
  <c r="FA351" i="9" s="1"/>
  <c r="FF393" i="9"/>
  <c r="FF397" i="9" s="1"/>
  <c r="FD393" i="9"/>
  <c r="FD397" i="9" s="1"/>
  <c r="FL393" i="9"/>
  <c r="FR347" i="9"/>
  <c r="FR351" i="9" s="1"/>
  <c r="FG347" i="9"/>
  <c r="FG351" i="9" s="1"/>
  <c r="FH351" i="9" s="1"/>
  <c r="FI347" i="9"/>
  <c r="FI351" i="9" s="1"/>
  <c r="FN422" i="9"/>
  <c r="FO422" i="9"/>
  <c r="FO426" i="9" s="1"/>
  <c r="FJ393" i="9"/>
  <c r="FJ397" i="9" s="1"/>
  <c r="FS347" i="9"/>
  <c r="FS351" i="9" s="1"/>
  <c r="EF422" i="9"/>
  <c r="EB393" i="9"/>
  <c r="EB397" i="9" s="1"/>
  <c r="EK347" i="9"/>
  <c r="EK351" i="9" s="1"/>
  <c r="EG422" i="9"/>
  <c r="EG426" i="9" s="1"/>
  <c r="DX393" i="9"/>
  <c r="DX397" i="9" s="1"/>
  <c r="DV393" i="9"/>
  <c r="DV397" i="9" s="1"/>
  <c r="ED393" i="9"/>
  <c r="EJ347" i="9"/>
  <c r="EJ351" i="9" s="1"/>
  <c r="EA347" i="9"/>
  <c r="EA351" i="9" s="1"/>
  <c r="DY347" i="9"/>
  <c r="DY351" i="9" s="1"/>
  <c r="DZ351" i="9" s="1"/>
  <c r="DO421" i="9"/>
  <c r="DK392" i="9"/>
  <c r="DK396" i="9" s="1"/>
  <c r="DT346" i="9"/>
  <c r="DT350" i="9" s="1"/>
  <c r="DH346" i="9"/>
  <c r="DH350" i="9" s="1"/>
  <c r="DI350" i="9" s="1"/>
  <c r="DP421" i="9"/>
  <c r="DP425" i="9" s="1"/>
  <c r="DG392" i="9"/>
  <c r="DG396" i="9" s="1"/>
  <c r="DM392" i="9"/>
  <c r="DE392" i="9"/>
  <c r="DE396" i="9" s="1"/>
  <c r="DJ346" i="9"/>
  <c r="DJ350" i="9" s="1"/>
  <c r="DS346" i="9"/>
  <c r="DS350" i="9" s="1"/>
  <c r="AZ421" i="9"/>
  <c r="AZ425" i="9" s="1"/>
  <c r="AQ392" i="9"/>
  <c r="AQ396" i="9" s="1"/>
  <c r="AW392" i="9"/>
  <c r="AO392" i="9"/>
  <c r="AO396" i="9" s="1"/>
  <c r="AT346" i="9"/>
  <c r="AT350" i="9" s="1"/>
  <c r="BC346" i="9"/>
  <c r="BC350" i="9" s="1"/>
  <c r="AY421" i="9"/>
  <c r="AU392" i="9"/>
  <c r="AU396" i="9" s="1"/>
  <c r="BD346" i="9"/>
  <c r="BD350" i="9" s="1"/>
  <c r="AR346" i="9"/>
  <c r="AR350" i="9" s="1"/>
  <c r="AS350" i="9" s="1"/>
  <c r="BP422" i="9"/>
  <c r="BL393" i="9"/>
  <c r="BL397" i="9" s="1"/>
  <c r="BU347" i="9"/>
  <c r="BU351" i="9" s="1"/>
  <c r="BQ422" i="9"/>
  <c r="BQ426" i="9" s="1"/>
  <c r="BH393" i="9"/>
  <c r="BH397" i="9" s="1"/>
  <c r="BN393" i="9"/>
  <c r="BF393" i="9"/>
  <c r="BF397" i="9" s="1"/>
  <c r="BT347" i="9"/>
  <c r="BT351" i="9" s="1"/>
  <c r="BK347" i="9"/>
  <c r="BK351" i="9" s="1"/>
  <c r="BI347" i="9"/>
  <c r="BI351" i="9" s="1"/>
  <c r="BJ351" i="9" s="1"/>
  <c r="EG421" i="9"/>
  <c r="EG425" i="9" s="1"/>
  <c r="DX392" i="9"/>
  <c r="DX396" i="9" s="1"/>
  <c r="ED392" i="9"/>
  <c r="DV392" i="9"/>
  <c r="DV396" i="9" s="1"/>
  <c r="EJ346" i="9"/>
  <c r="EJ350" i="9" s="1"/>
  <c r="EK346" i="9"/>
  <c r="EK350" i="9" s="1"/>
  <c r="DY346" i="9"/>
  <c r="DY350" i="9" s="1"/>
  <c r="DZ350" i="9" s="1"/>
  <c r="EF421" i="9"/>
  <c r="EB392" i="9"/>
  <c r="EB396" i="9" s="1"/>
  <c r="EA346" i="9"/>
  <c r="EA350" i="9" s="1"/>
  <c r="DP420" i="9"/>
  <c r="DP424" i="9" s="1"/>
  <c r="DG391" i="9"/>
  <c r="DG395" i="9" s="1"/>
  <c r="DM391" i="9"/>
  <c r="DE391" i="9"/>
  <c r="DE395" i="9" s="1"/>
  <c r="DJ345" i="9"/>
  <c r="DJ349" i="9" s="1"/>
  <c r="DS345" i="9"/>
  <c r="DS349" i="9" s="1"/>
  <c r="DO420" i="9"/>
  <c r="DK391" i="9"/>
  <c r="DK395" i="9" s="1"/>
  <c r="DT345" i="9"/>
  <c r="DT349" i="9" s="1"/>
  <c r="DH345" i="9"/>
  <c r="DH349" i="9" s="1"/>
  <c r="DI349" i="9" s="1"/>
  <c r="BM392" i="9"/>
  <c r="BN396" i="9"/>
  <c r="BO396" i="9" s="1"/>
  <c r="CY420" i="9"/>
  <c r="CY424" i="9" s="1"/>
  <c r="CP391" i="9"/>
  <c r="CP395" i="9" s="1"/>
  <c r="CV391" i="9"/>
  <c r="CN391" i="9"/>
  <c r="CN395" i="9" s="1"/>
  <c r="DB345" i="9"/>
  <c r="DB349" i="9" s="1"/>
  <c r="CQ345" i="9"/>
  <c r="CQ349" i="9" s="1"/>
  <c r="CR349" i="9" s="1"/>
  <c r="CS345" i="9"/>
  <c r="CS349" i="9" s="1"/>
  <c r="CX420" i="9"/>
  <c r="CT391" i="9"/>
  <c r="CT395" i="9" s="1"/>
  <c r="DC345" i="9"/>
  <c r="DC349" i="9" s="1"/>
  <c r="CG420" i="9"/>
  <c r="CC391" i="9"/>
  <c r="CC395" i="9" s="1"/>
  <c r="CL345" i="9"/>
  <c r="CL349" i="9" s="1"/>
  <c r="BZ345" i="9"/>
  <c r="BZ349" i="9" s="1"/>
  <c r="CA349" i="9" s="1"/>
  <c r="CA348" i="9" s="1"/>
  <c r="CK345" i="9"/>
  <c r="CK349" i="9" s="1"/>
  <c r="CH420" i="9"/>
  <c r="CH424" i="9" s="1"/>
  <c r="BY391" i="9"/>
  <c r="BY395" i="9" s="1"/>
  <c r="CE391" i="9"/>
  <c r="BW391" i="9"/>
  <c r="BW395" i="9" s="1"/>
  <c r="CB345" i="9"/>
  <c r="CB349" i="9" s="1"/>
  <c r="BP420" i="9"/>
  <c r="BL391" i="9"/>
  <c r="BL395" i="9" s="1"/>
  <c r="BU345" i="9"/>
  <c r="BU349" i="9" s="1"/>
  <c r="BQ420" i="9"/>
  <c r="BQ424" i="9" s="1"/>
  <c r="BH391" i="9"/>
  <c r="BH395" i="9" s="1"/>
  <c r="BN391" i="9"/>
  <c r="BF391" i="9"/>
  <c r="BF395" i="9" s="1"/>
  <c r="BT345" i="9"/>
  <c r="BT349" i="9" s="1"/>
  <c r="BK345" i="9"/>
  <c r="BK349" i="9" s="1"/>
  <c r="BI345" i="9"/>
  <c r="BI349" i="9" s="1"/>
  <c r="BJ349" i="9" s="1"/>
  <c r="BJ348" i="9" s="1"/>
  <c r="ES392" i="9"/>
  <c r="ES396" i="9" s="1"/>
  <c r="FB346" i="9"/>
  <c r="FB350" i="9" s="1"/>
  <c r="EP346" i="9"/>
  <c r="EP350" i="9" s="1"/>
  <c r="EQ350" i="9" s="1"/>
  <c r="FA346" i="9"/>
  <c r="FA350" i="9" s="1"/>
  <c r="EW421" i="9"/>
  <c r="EX421" i="9"/>
  <c r="EX425" i="9" s="1"/>
  <c r="EO392" i="9"/>
  <c r="EO396" i="9" s="1"/>
  <c r="EU392" i="9"/>
  <c r="EM392" i="9"/>
  <c r="EM396" i="9" s="1"/>
  <c r="ER346" i="9"/>
  <c r="ER350" i="9" s="1"/>
  <c r="CX421" i="9"/>
  <c r="CT392" i="9"/>
  <c r="CT396" i="9" s="1"/>
  <c r="CS346" i="9"/>
  <c r="CS350" i="9" s="1"/>
  <c r="CY421" i="9"/>
  <c r="CY425" i="9" s="1"/>
  <c r="CP392" i="9"/>
  <c r="CP396" i="9" s="1"/>
  <c r="CV392" i="9"/>
  <c r="CN392" i="9"/>
  <c r="CN396" i="9" s="1"/>
  <c r="DB346" i="9"/>
  <c r="DB350" i="9" s="1"/>
  <c r="CQ346" i="9"/>
  <c r="CQ350" i="9" s="1"/>
  <c r="CR350" i="9" s="1"/>
  <c r="DC346" i="9"/>
  <c r="DC350" i="9" s="1"/>
  <c r="DP422" i="9"/>
  <c r="DP426" i="9" s="1"/>
  <c r="DG393" i="9"/>
  <c r="DG397" i="9" s="1"/>
  <c r="DE393" i="9"/>
  <c r="DE397" i="9" s="1"/>
  <c r="DM393" i="9"/>
  <c r="DJ347" i="9"/>
  <c r="DJ351" i="9" s="1"/>
  <c r="DS347" i="9"/>
  <c r="DS351" i="9" s="1"/>
  <c r="DO422" i="9"/>
  <c r="DK393" i="9"/>
  <c r="DK397" i="9" s="1"/>
  <c r="DT347" i="9"/>
  <c r="DT351" i="9" s="1"/>
  <c r="DH347" i="9"/>
  <c r="DH351" i="9" s="1"/>
  <c r="DI351" i="9" s="1"/>
  <c r="CY422" i="9"/>
  <c r="CY426" i="9" s="1"/>
  <c r="CP393" i="9"/>
  <c r="CP397" i="9" s="1"/>
  <c r="CV393" i="9"/>
  <c r="CN393" i="9"/>
  <c r="CN397" i="9" s="1"/>
  <c r="DB347" i="9"/>
  <c r="DB351" i="9" s="1"/>
  <c r="CQ347" i="9"/>
  <c r="CQ351" i="9" s="1"/>
  <c r="CR351" i="9" s="1"/>
  <c r="CS347" i="9"/>
  <c r="CS351" i="9" s="1"/>
  <c r="CX422" i="9"/>
  <c r="CT393" i="9"/>
  <c r="CT397" i="9" s="1"/>
  <c r="DC347" i="9"/>
  <c r="DC351" i="9" s="1"/>
  <c r="BI482" i="9"/>
  <c r="BL350" i="9"/>
  <c r="BK421" i="9"/>
  <c r="BK425" i="9" s="1"/>
  <c r="H19" i="10" s="1"/>
  <c r="BP425" i="9"/>
  <c r="BU355" i="9"/>
  <c r="BS350" i="9"/>
  <c r="BZ479" i="9"/>
  <c r="BZ480" i="9" s="1"/>
  <c r="CC351" i="9"/>
  <c r="CD393" i="9"/>
  <c r="CE397" i="9"/>
  <c r="CF397" i="9" s="1"/>
  <c r="FS355" i="9"/>
  <c r="FQ350" i="9"/>
  <c r="FK392" i="9"/>
  <c r="FL396" i="9"/>
  <c r="FM396" i="9" s="1"/>
  <c r="FG482" i="9"/>
  <c r="FJ350" i="9"/>
  <c r="CL355" i="9"/>
  <c r="CJ350" i="9"/>
  <c r="CB421" i="9"/>
  <c r="CB425" i="9" s="1"/>
  <c r="J19" i="10" s="1"/>
  <c r="CG425" i="9"/>
  <c r="CL356" i="9"/>
  <c r="CJ351" i="9"/>
  <c r="CB422" i="9"/>
  <c r="CB426" i="9" s="1"/>
  <c r="CG426" i="9"/>
  <c r="FI421" i="9"/>
  <c r="FI425" i="9" s="1"/>
  <c r="FN425" i="9"/>
  <c r="AR479" i="9"/>
  <c r="AR480" i="9" s="1"/>
  <c r="AU351" i="9"/>
  <c r="AV393" i="9"/>
  <c r="AW397" i="9"/>
  <c r="AX397" i="9" s="1"/>
  <c r="BD356" i="9"/>
  <c r="BB351" i="9"/>
  <c r="AT422" i="9"/>
  <c r="AT426" i="9" s="1"/>
  <c r="AY426" i="9"/>
  <c r="BZ482" i="9"/>
  <c r="CC350" i="9"/>
  <c r="CD392" i="9"/>
  <c r="CE396" i="9"/>
  <c r="CF396" i="9" s="1"/>
  <c r="Z55" i="2"/>
  <c r="G20" i="17"/>
  <c r="G22" i="17" s="1"/>
  <c r="N55" i="2"/>
  <c r="F20" i="17"/>
  <c r="F22" i="17" s="1"/>
  <c r="J20" i="17"/>
  <c r="J22" i="17" s="1"/>
  <c r="E20" i="17"/>
  <c r="E22" i="17" s="1"/>
  <c r="AD55" i="2"/>
  <c r="I20" i="17"/>
  <c r="I22" i="17" s="1"/>
  <c r="AE55" i="2"/>
  <c r="H20" i="17"/>
  <c r="H22" i="17" s="1"/>
  <c r="V55" i="2"/>
  <c r="D20" i="17"/>
  <c r="D22" i="17" s="1"/>
  <c r="R55" i="2"/>
  <c r="AI55" i="2"/>
  <c r="AM55" i="2"/>
  <c r="K20" i="17"/>
  <c r="K22" i="17" s="1"/>
  <c r="EW420" i="9" l="1"/>
  <c r="EX420" i="9"/>
  <c r="EX424" i="9" s="1"/>
  <c r="EO391" i="9"/>
  <c r="EO395" i="9" s="1"/>
  <c r="EU391" i="9"/>
  <c r="EM391" i="9"/>
  <c r="EM395" i="9" s="1"/>
  <c r="ER345" i="9"/>
  <c r="ER349" i="9" s="1"/>
  <c r="ES391" i="9"/>
  <c r="ES395" i="9" s="1"/>
  <c r="FB345" i="9"/>
  <c r="FB349" i="9" s="1"/>
  <c r="EP345" i="9"/>
  <c r="EP349" i="9" s="1"/>
  <c r="EQ349" i="9" s="1"/>
  <c r="EQ348" i="9" s="1"/>
  <c r="FA345" i="9"/>
  <c r="FA349" i="9" s="1"/>
  <c r="CB392" i="9"/>
  <c r="CB396" i="9" s="1"/>
  <c r="CD396" i="9"/>
  <c r="AT356" i="9"/>
  <c r="BC356" i="9"/>
  <c r="CB356" i="9"/>
  <c r="CK356" i="9"/>
  <c r="CB355" i="9"/>
  <c r="CK355" i="9"/>
  <c r="FI392" i="9"/>
  <c r="FI396" i="9" s="1"/>
  <c r="FK396" i="9"/>
  <c r="FI355" i="9"/>
  <c r="FR355" i="9"/>
  <c r="CB393" i="9"/>
  <c r="CB397" i="9" s="1"/>
  <c r="CD397" i="9"/>
  <c r="BK355" i="9"/>
  <c r="BT355" i="9"/>
  <c r="CQ479" i="9"/>
  <c r="CQ480" i="9" s="1"/>
  <c r="CT351" i="9"/>
  <c r="DJ422" i="9"/>
  <c r="DJ426" i="9" s="1"/>
  <c r="DO426" i="9"/>
  <c r="DH479" i="9"/>
  <c r="DH480" i="9" s="1"/>
  <c r="DK351" i="9"/>
  <c r="CS421" i="9"/>
  <c r="CS425" i="9" s="1"/>
  <c r="L19" i="10" s="1"/>
  <c r="CX425" i="9"/>
  <c r="ER421" i="9"/>
  <c r="ER425" i="9" s="1"/>
  <c r="EW425" i="9"/>
  <c r="BI481" i="9"/>
  <c r="BL349" i="9"/>
  <c r="BK420" i="9"/>
  <c r="BK424" i="9" s="1"/>
  <c r="G19" i="10" s="1"/>
  <c r="BP424" i="9"/>
  <c r="FF391" i="9"/>
  <c r="FF395" i="9" s="1"/>
  <c r="FL391" i="9"/>
  <c r="FD391" i="9"/>
  <c r="FD395" i="9" s="1"/>
  <c r="FR345" i="9"/>
  <c r="FR349" i="9" s="1"/>
  <c r="FG345" i="9"/>
  <c r="FG349" i="9" s="1"/>
  <c r="FH349" i="9" s="1"/>
  <c r="FH348" i="9" s="1"/>
  <c r="FI345" i="9"/>
  <c r="FI349" i="9" s="1"/>
  <c r="FN420" i="9"/>
  <c r="FO420" i="9"/>
  <c r="FO424" i="9" s="1"/>
  <c r="FJ391" i="9"/>
  <c r="FJ395" i="9" s="1"/>
  <c r="FS345" i="9"/>
  <c r="FS349" i="9" s="1"/>
  <c r="EF420" i="9"/>
  <c r="EB391" i="9"/>
  <c r="EB395" i="9" s="1"/>
  <c r="EK345" i="9"/>
  <c r="EK349" i="9" s="1"/>
  <c r="EG420" i="9"/>
  <c r="EG424" i="9" s="1"/>
  <c r="DX391" i="9"/>
  <c r="DX395" i="9" s="1"/>
  <c r="ED391" i="9"/>
  <c r="DV391" i="9"/>
  <c r="DV395" i="9" s="1"/>
  <c r="EJ345" i="9"/>
  <c r="EJ349" i="9" s="1"/>
  <c r="EA345" i="9"/>
  <c r="EA349" i="9" s="1"/>
  <c r="DY345" i="9"/>
  <c r="DY349" i="9" s="1"/>
  <c r="DZ349" i="9" s="1"/>
  <c r="DZ348" i="9" s="1"/>
  <c r="DC356" i="9"/>
  <c r="DA351" i="9"/>
  <c r="CS422" i="9"/>
  <c r="CS426" i="9" s="1"/>
  <c r="CX426" i="9"/>
  <c r="DL393" i="9"/>
  <c r="DM397" i="9"/>
  <c r="DN397" i="9" s="1"/>
  <c r="DC355" i="9"/>
  <c r="DA350" i="9"/>
  <c r="CU392" i="9"/>
  <c r="CV396" i="9"/>
  <c r="CW396" i="9" s="1"/>
  <c r="EP482" i="9"/>
  <c r="ES350" i="9"/>
  <c r="ET392" i="9"/>
  <c r="EU396" i="9"/>
  <c r="EV396" i="9" s="1"/>
  <c r="FB355" i="9"/>
  <c r="EZ350" i="9"/>
  <c r="BM391" i="9"/>
  <c r="BN395" i="9"/>
  <c r="BO395" i="9" s="1"/>
  <c r="BZ481" i="9"/>
  <c r="CB482" i="9" s="1"/>
  <c r="CC349" i="9"/>
  <c r="CC348" i="9" s="1"/>
  <c r="CD391" i="9"/>
  <c r="CE395" i="9"/>
  <c r="CF395" i="9" s="1"/>
  <c r="CF394" i="9" s="1"/>
  <c r="DC354" i="9"/>
  <c r="DA349" i="9"/>
  <c r="DA348" i="9" s="1"/>
  <c r="CS420" i="9"/>
  <c r="CS424" i="9" s="1"/>
  <c r="K19" i="10" s="1"/>
  <c r="CX424" i="9"/>
  <c r="CR348" i="9"/>
  <c r="DI348" i="9"/>
  <c r="DY482" i="9"/>
  <c r="EB350" i="9"/>
  <c r="EA421" i="9"/>
  <c r="EA425" i="9" s="1"/>
  <c r="EF425" i="9"/>
  <c r="EK355" i="9"/>
  <c r="EI350" i="9"/>
  <c r="BM393" i="9"/>
  <c r="BN397" i="9"/>
  <c r="BO397" i="9" s="1"/>
  <c r="FS356" i="9"/>
  <c r="FQ351" i="9"/>
  <c r="FG479" i="9"/>
  <c r="FG480" i="9" s="1"/>
  <c r="FJ351" i="9"/>
  <c r="FB356" i="9"/>
  <c r="EZ351" i="9"/>
  <c r="EP479" i="9"/>
  <c r="EP480" i="9" s="1"/>
  <c r="ES351" i="9"/>
  <c r="AS348" i="9"/>
  <c r="AT393" i="9"/>
  <c r="AT397" i="9" s="1"/>
  <c r="AV397" i="9"/>
  <c r="CU393" i="9"/>
  <c r="CV397" i="9"/>
  <c r="CW397" i="9" s="1"/>
  <c r="DT356" i="9"/>
  <c r="DR351" i="9"/>
  <c r="CQ482" i="9"/>
  <c r="CT350" i="9"/>
  <c r="BU354" i="9"/>
  <c r="BS349" i="9"/>
  <c r="CL354" i="9"/>
  <c r="CJ349" i="9"/>
  <c r="CJ348" i="9" s="1"/>
  <c r="CB420" i="9"/>
  <c r="CB424" i="9" s="1"/>
  <c r="I19" i="10" s="1"/>
  <c r="CG424" i="9"/>
  <c r="CQ481" i="9"/>
  <c r="CT349" i="9"/>
  <c r="CU391" i="9"/>
  <c r="CV395" i="9"/>
  <c r="CW395" i="9" s="1"/>
  <c r="BK392" i="9"/>
  <c r="BK396" i="9" s="1"/>
  <c r="BM396" i="9"/>
  <c r="DT354" i="9"/>
  <c r="DR349" i="9"/>
  <c r="DJ420" i="9"/>
  <c r="DJ424" i="9" s="1"/>
  <c r="DO424" i="9"/>
  <c r="DH481" i="9"/>
  <c r="DK349" i="9"/>
  <c r="DL391" i="9"/>
  <c r="DM395" i="9"/>
  <c r="DN395" i="9" s="1"/>
  <c r="EC392" i="9"/>
  <c r="ED396" i="9"/>
  <c r="EE396" i="9" s="1"/>
  <c r="BI479" i="9"/>
  <c r="BI480" i="9" s="1"/>
  <c r="BL351" i="9"/>
  <c r="BU356" i="9"/>
  <c r="BS351" i="9"/>
  <c r="BK422" i="9"/>
  <c r="BK426" i="9" s="1"/>
  <c r="BP426" i="9"/>
  <c r="BD355" i="9"/>
  <c r="BB350" i="9"/>
  <c r="AT421" i="9"/>
  <c r="AT425" i="9" s="1"/>
  <c r="F19" i="10" s="1"/>
  <c r="AY425" i="9"/>
  <c r="AR482" i="9"/>
  <c r="AU350" i="9"/>
  <c r="AV392" i="9"/>
  <c r="AW396" i="9"/>
  <c r="AX396" i="9" s="1"/>
  <c r="DH482" i="9"/>
  <c r="DK350" i="9"/>
  <c r="DL392" i="9"/>
  <c r="DM396" i="9"/>
  <c r="DN396" i="9" s="1"/>
  <c r="DT355" i="9"/>
  <c r="DR350" i="9"/>
  <c r="DJ421" i="9"/>
  <c r="DJ425" i="9" s="1"/>
  <c r="D19" i="4" s="1"/>
  <c r="DO425" i="9"/>
  <c r="DY479" i="9"/>
  <c r="DY480" i="9" s="1"/>
  <c r="EB351" i="9"/>
  <c r="EC393" i="9"/>
  <c r="ED397" i="9"/>
  <c r="EE397" i="9" s="1"/>
  <c r="EK356" i="9"/>
  <c r="EI351" i="9"/>
  <c r="EA422" i="9"/>
  <c r="EA426" i="9" s="1"/>
  <c r="EF426" i="9"/>
  <c r="FI422" i="9"/>
  <c r="FI426" i="9" s="1"/>
  <c r="FN426" i="9"/>
  <c r="FK393" i="9"/>
  <c r="FL397" i="9"/>
  <c r="FM397" i="9" s="1"/>
  <c r="ET393" i="9"/>
  <c r="EU397" i="9"/>
  <c r="EV397" i="9" s="1"/>
  <c r="ER422" i="9"/>
  <c r="ER426" i="9" s="1"/>
  <c r="EW426" i="9"/>
  <c r="AR481" i="9"/>
  <c r="AT482" i="9" s="1"/>
  <c r="AU349" i="9"/>
  <c r="AV391" i="9"/>
  <c r="AW395" i="9"/>
  <c r="AX395" i="9" s="1"/>
  <c r="AX394" i="9" s="1"/>
  <c r="BD354" i="9"/>
  <c r="BB349" i="9"/>
  <c r="AT420" i="9"/>
  <c r="AT424" i="9" s="1"/>
  <c r="E19" i="10" s="1"/>
  <c r="AY424" i="9"/>
  <c r="J19" i="4"/>
  <c r="G29" i="17"/>
  <c r="G31" i="17" s="1"/>
  <c r="AP55" i="2"/>
  <c r="AL55" i="2"/>
  <c r="E29" i="17"/>
  <c r="E31" i="17" s="1"/>
  <c r="H29" i="17"/>
  <c r="H31" i="17" s="1"/>
  <c r="J12" i="17"/>
  <c r="J13" i="17" s="1"/>
  <c r="I12" i="17"/>
  <c r="I13" i="17" s="1"/>
  <c r="K29" i="17"/>
  <c r="K31" i="17" s="1"/>
  <c r="I29" i="17"/>
  <c r="I31" i="17" s="1"/>
  <c r="D29" i="17"/>
  <c r="D31" i="17" s="1"/>
  <c r="E12" i="17"/>
  <c r="E13" i="17" s="1"/>
  <c r="J29" i="17"/>
  <c r="J31" i="17" s="1"/>
  <c r="F12" i="17"/>
  <c r="F13" i="17" s="1"/>
  <c r="AH55" i="2"/>
  <c r="H19" i="4"/>
  <c r="D12" i="17"/>
  <c r="D13" i="17" s="1"/>
  <c r="F29" i="17"/>
  <c r="F31" i="17" s="1"/>
  <c r="H12" i="17"/>
  <c r="H13" i="17" s="1"/>
  <c r="G12" i="17"/>
  <c r="G13" i="17" s="1"/>
  <c r="K12" i="17"/>
  <c r="K13" i="17" s="1"/>
  <c r="BK481" i="9" l="1"/>
  <c r="CN146" i="14"/>
  <c r="DA146" i="14"/>
  <c r="CQ159" i="14"/>
  <c r="CQ167" i="14" s="1"/>
  <c r="DI159" i="14"/>
  <c r="DI167" i="14" s="1"/>
  <c r="DY146" i="14"/>
  <c r="DY154" i="14" s="1"/>
  <c r="CL146" i="14"/>
  <c r="CL154" i="14" s="1"/>
  <c r="DV159" i="14"/>
  <c r="DV167" i="14" s="1"/>
  <c r="EC159" i="14"/>
  <c r="CK133" i="14"/>
  <c r="DS146" i="14"/>
  <c r="CH146" i="14"/>
  <c r="CP159" i="14"/>
  <c r="DK133" i="14"/>
  <c r="CU146" i="14"/>
  <c r="DD159" i="14"/>
  <c r="DD167" i="14" s="1"/>
  <c r="EA146" i="14"/>
  <c r="CV159" i="14"/>
  <c r="CV167" i="14" s="1"/>
  <c r="DN146" i="14"/>
  <c r="CS146" i="14"/>
  <c r="DL146" i="14"/>
  <c r="DL154" i="14" s="1"/>
  <c r="DP159" i="14"/>
  <c r="DX133" i="14"/>
  <c r="DH146" i="14"/>
  <c r="DF146" i="14"/>
  <c r="DC159" i="14"/>
  <c r="DU146" i="14"/>
  <c r="ED159" i="14"/>
  <c r="ED167" i="14" s="1"/>
  <c r="DQ159" i="14"/>
  <c r="DQ167" i="14" s="1"/>
  <c r="CY146" i="14"/>
  <c r="CY154" i="14" s="1"/>
  <c r="CX133" i="14"/>
  <c r="CS482" i="9"/>
  <c r="AT354" i="9"/>
  <c r="BC354" i="9"/>
  <c r="AT391" i="9"/>
  <c r="AT395" i="9" s="1"/>
  <c r="AV395" i="9"/>
  <c r="ER393" i="9"/>
  <c r="ER397" i="9" s="1"/>
  <c r="ET397" i="9"/>
  <c r="FI393" i="9"/>
  <c r="FI397" i="9" s="1"/>
  <c r="FK397" i="9"/>
  <c r="EA356" i="9"/>
  <c r="EJ356" i="9"/>
  <c r="EA393" i="9"/>
  <c r="EA397" i="9" s="1"/>
  <c r="EC397" i="9"/>
  <c r="DJ392" i="9"/>
  <c r="DJ396" i="9" s="1"/>
  <c r="DL396" i="9"/>
  <c r="AT392" i="9"/>
  <c r="AT396" i="9" s="1"/>
  <c r="F14" i="10" s="1"/>
  <c r="AV396" i="9"/>
  <c r="EA392" i="9"/>
  <c r="EA396" i="9" s="1"/>
  <c r="EC396" i="9"/>
  <c r="DJ391" i="9"/>
  <c r="DJ395" i="9" s="1"/>
  <c r="DL395" i="9"/>
  <c r="DJ482" i="9"/>
  <c r="BK430" i="9"/>
  <c r="BJ396" i="9"/>
  <c r="CS391" i="9"/>
  <c r="CS395" i="9" s="1"/>
  <c r="CU395" i="9"/>
  <c r="CB354" i="9"/>
  <c r="CK354" i="9"/>
  <c r="CK353" i="9" s="1"/>
  <c r="BK354" i="9"/>
  <c r="BT354" i="9"/>
  <c r="ER356" i="9"/>
  <c r="FA356" i="9"/>
  <c r="FI356" i="9"/>
  <c r="FR356" i="9"/>
  <c r="BK393" i="9"/>
  <c r="BK397" i="9" s="1"/>
  <c r="BM397" i="9"/>
  <c r="EA355" i="9"/>
  <c r="EJ355" i="9"/>
  <c r="CS354" i="9"/>
  <c r="DB354" i="9"/>
  <c r="CB391" i="9"/>
  <c r="CB395" i="9" s="1"/>
  <c r="CD395" i="9"/>
  <c r="BK391" i="9"/>
  <c r="BK395" i="9" s="1"/>
  <c r="BM395" i="9"/>
  <c r="ER355" i="9"/>
  <c r="FA355" i="9"/>
  <c r="ER392" i="9"/>
  <c r="ER396" i="9" s="1"/>
  <c r="ET396" i="9"/>
  <c r="CS392" i="9"/>
  <c r="CS396" i="9" s="1"/>
  <c r="CU396" i="9"/>
  <c r="CS355" i="9"/>
  <c r="DB355" i="9"/>
  <c r="DJ393" i="9"/>
  <c r="DJ397" i="9" s="1"/>
  <c r="DL397" i="9"/>
  <c r="CS356" i="9"/>
  <c r="DB356" i="9"/>
  <c r="BB348" i="9"/>
  <c r="AU348" i="9"/>
  <c r="AT355" i="9"/>
  <c r="BC355" i="9"/>
  <c r="BK356" i="9"/>
  <c r="BT356" i="9"/>
  <c r="DN394" i="9"/>
  <c r="DK348" i="9"/>
  <c r="DR348" i="9"/>
  <c r="CW394" i="9"/>
  <c r="CT348" i="9"/>
  <c r="BS348" i="9"/>
  <c r="DJ356" i="9"/>
  <c r="DS356" i="9"/>
  <c r="CS393" i="9"/>
  <c r="CS397" i="9" s="1"/>
  <c r="CU397" i="9"/>
  <c r="AT431" i="9"/>
  <c r="E66" i="10" s="1"/>
  <c r="AS397" i="9"/>
  <c r="BO394" i="9"/>
  <c r="EC391" i="9"/>
  <c r="ED395" i="9"/>
  <c r="EE395" i="9" s="1"/>
  <c r="EE394" i="9" s="1"/>
  <c r="FI420" i="9"/>
  <c r="FI424" i="9" s="1"/>
  <c r="I19" i="4" s="1"/>
  <c r="FN424" i="9"/>
  <c r="BK482" i="9"/>
  <c r="BK480" i="9" s="1"/>
  <c r="DJ481" i="9"/>
  <c r="CB481" i="9"/>
  <c r="CB480" i="9" s="1"/>
  <c r="CB431" i="9"/>
  <c r="I66" i="10" s="1"/>
  <c r="CA397" i="9"/>
  <c r="FI359" i="9"/>
  <c r="J99" i="4" s="1"/>
  <c r="FJ355" i="9"/>
  <c r="FI430" i="9"/>
  <c r="FH396" i="9"/>
  <c r="CB359" i="9"/>
  <c r="J86" i="10" s="1"/>
  <c r="CC355" i="9"/>
  <c r="CB360" i="9"/>
  <c r="CC356" i="9"/>
  <c r="FB354" i="9"/>
  <c r="EZ349" i="9"/>
  <c r="EZ348" i="9" s="1"/>
  <c r="EP481" i="9"/>
  <c r="ER482" i="9" s="1"/>
  <c r="ES349" i="9"/>
  <c r="ES348" i="9" s="1"/>
  <c r="ET391" i="9"/>
  <c r="EU395" i="9"/>
  <c r="EV395" i="9" s="1"/>
  <c r="EV394" i="9" s="1"/>
  <c r="DJ355" i="9"/>
  <c r="DS355" i="9"/>
  <c r="DJ354" i="9"/>
  <c r="DS354" i="9"/>
  <c r="DY481" i="9"/>
  <c r="EA482" i="9" s="1"/>
  <c r="EB349" i="9"/>
  <c r="EB348" i="9" s="1"/>
  <c r="EK354" i="9"/>
  <c r="EI349" i="9"/>
  <c r="EI348" i="9" s="1"/>
  <c r="EA420" i="9"/>
  <c r="EA424" i="9" s="1"/>
  <c r="E19" i="4" s="1"/>
  <c r="EF424" i="9"/>
  <c r="FS354" i="9"/>
  <c r="FQ349" i="9"/>
  <c r="FQ348" i="9" s="1"/>
  <c r="FG481" i="9"/>
  <c r="FI482" i="9" s="1"/>
  <c r="FJ349" i="9"/>
  <c r="FJ348" i="9" s="1"/>
  <c r="FK391" i="9"/>
  <c r="FL395" i="9"/>
  <c r="FM395" i="9" s="1"/>
  <c r="FM394" i="9" s="1"/>
  <c r="BL348" i="9"/>
  <c r="CS481" i="9"/>
  <c r="CS480" i="9" s="1"/>
  <c r="BK359" i="9"/>
  <c r="H86" i="10" s="1"/>
  <c r="BL355" i="9"/>
  <c r="AT481" i="9"/>
  <c r="AT480" i="9" s="1"/>
  <c r="AT360" i="9"/>
  <c r="AU356" i="9"/>
  <c r="CB430" i="9"/>
  <c r="CA396" i="9"/>
  <c r="ER420" i="9"/>
  <c r="ER424" i="9" s="1"/>
  <c r="G19" i="4" s="1"/>
  <c r="EW424" i="9"/>
  <c r="F19" i="4"/>
  <c r="C19" i="4"/>
  <c r="H14" i="10"/>
  <c r="J14" i="10"/>
  <c r="L14" i="10"/>
  <c r="X47" i="2"/>
  <c r="X40" i="2"/>
  <c r="AA47" i="2"/>
  <c r="AA40" i="2"/>
  <c r="L47" i="2"/>
  <c r="L40" i="2"/>
  <c r="J14" i="4"/>
  <c r="T40" i="2"/>
  <c r="T47" i="2"/>
  <c r="F14" i="4"/>
  <c r="P47" i="2" l="1"/>
  <c r="AX136" i="14" s="1"/>
  <c r="AX140" i="14" s="1"/>
  <c r="CX141" i="14"/>
  <c r="CY133" i="14"/>
  <c r="CY130" i="14" s="1"/>
  <c r="DX141" i="14"/>
  <c r="DY133" i="14"/>
  <c r="DY130" i="14" s="1"/>
  <c r="DM146" i="14"/>
  <c r="DN154" i="14"/>
  <c r="EA154" i="14"/>
  <c r="DZ146" i="14"/>
  <c r="CP167" i="14"/>
  <c r="CK159" i="14"/>
  <c r="CK167" i="14" s="1"/>
  <c r="EC167" i="14"/>
  <c r="DX159" i="14"/>
  <c r="DX167" i="14" s="1"/>
  <c r="DA154" i="14"/>
  <c r="CZ146" i="14"/>
  <c r="DC167" i="14"/>
  <c r="CX159" i="14"/>
  <c r="CX167" i="14" s="1"/>
  <c r="DP167" i="14"/>
  <c r="DK159" i="14"/>
  <c r="DK167" i="14" s="1"/>
  <c r="DK141" i="14"/>
  <c r="DL133" i="14"/>
  <c r="DL130" i="14" s="1"/>
  <c r="CK141" i="14"/>
  <c r="CL133" i="14"/>
  <c r="CL130" i="14" s="1"/>
  <c r="CM146" i="14"/>
  <c r="CN154" i="14"/>
  <c r="EA354" i="9"/>
  <c r="EJ354" i="9"/>
  <c r="EJ353" i="9" s="1"/>
  <c r="DJ358" i="9"/>
  <c r="C99" i="4" s="1"/>
  <c r="DK354" i="9"/>
  <c r="DJ359" i="9"/>
  <c r="D99" i="4" s="1"/>
  <c r="DK355" i="9"/>
  <c r="EA391" i="9"/>
  <c r="EA395" i="9" s="1"/>
  <c r="EC395" i="9"/>
  <c r="DB353" i="9"/>
  <c r="FI481" i="9"/>
  <c r="FI480" i="9" s="1"/>
  <c r="ER360" i="9"/>
  <c r="ES356" i="9"/>
  <c r="BT353" i="9"/>
  <c r="DJ429" i="9"/>
  <c r="DI395" i="9"/>
  <c r="EA430" i="9"/>
  <c r="DZ396" i="9"/>
  <c r="BC353" i="9"/>
  <c r="BI136" i="14"/>
  <c r="BI140" i="14" s="1"/>
  <c r="BK136" i="14"/>
  <c r="BK140" i="14" s="1"/>
  <c r="AV136" i="14"/>
  <c r="AV140" i="14" s="1"/>
  <c r="AK136" i="14"/>
  <c r="AK140" i="14" s="1"/>
  <c r="AI136" i="14"/>
  <c r="AI140" i="14" s="1"/>
  <c r="CI135" i="14"/>
  <c r="CI139" i="14" s="1"/>
  <c r="CK135" i="14"/>
  <c r="CK139" i="14" s="1"/>
  <c r="BV136" i="12"/>
  <c r="BX136" i="12"/>
  <c r="BK363" i="9"/>
  <c r="H87" i="10" s="1"/>
  <c r="BL359" i="9"/>
  <c r="FI391" i="9"/>
  <c r="FI395" i="9" s="1"/>
  <c r="FK395" i="9"/>
  <c r="FI354" i="9"/>
  <c r="FR354" i="9"/>
  <c r="FR353" i="9" s="1"/>
  <c r="BK136" i="12"/>
  <c r="BI136" i="12"/>
  <c r="P40" i="2"/>
  <c r="AI136" i="12"/>
  <c r="AK136" i="12"/>
  <c r="CI135" i="12"/>
  <c r="CK135" i="12"/>
  <c r="BV136" i="14"/>
  <c r="BV140" i="14" s="1"/>
  <c r="BX136" i="14"/>
  <c r="BX140" i="14" s="1"/>
  <c r="BZ488" i="9"/>
  <c r="CA430" i="9"/>
  <c r="AT364" i="9"/>
  <c r="AU360" i="9"/>
  <c r="DS353" i="9"/>
  <c r="EA481" i="9"/>
  <c r="EA480" i="9" s="1"/>
  <c r="ER391" i="9"/>
  <c r="ER395" i="9" s="1"/>
  <c r="ET395" i="9"/>
  <c r="ER354" i="9"/>
  <c r="FA354" i="9"/>
  <c r="FA353" i="9" s="1"/>
  <c r="CB364" i="9"/>
  <c r="CC360" i="9"/>
  <c r="CB363" i="9"/>
  <c r="J87" i="10" s="1"/>
  <c r="CC359" i="9"/>
  <c r="FG488" i="9"/>
  <c r="FH430" i="9"/>
  <c r="FI363" i="9"/>
  <c r="J100" i="4" s="1"/>
  <c r="FJ359" i="9"/>
  <c r="BZ485" i="9"/>
  <c r="BZ486" i="9" s="1"/>
  <c r="CA431" i="9"/>
  <c r="DJ480" i="9"/>
  <c r="AR485" i="9"/>
  <c r="AR486" i="9" s="1"/>
  <c r="AS431" i="9"/>
  <c r="CS431" i="9"/>
  <c r="K66" i="10" s="1"/>
  <c r="CR397" i="9"/>
  <c r="DJ360" i="9"/>
  <c r="DK356" i="9"/>
  <c r="BK360" i="9"/>
  <c r="BL356" i="9"/>
  <c r="AT359" i="9"/>
  <c r="F86" i="10" s="1"/>
  <c r="AU355" i="9"/>
  <c r="CS360" i="9"/>
  <c r="CT356" i="9"/>
  <c r="DJ431" i="9"/>
  <c r="DI397" i="9"/>
  <c r="CS359" i="9"/>
  <c r="L86" i="10" s="1"/>
  <c r="CT355" i="9"/>
  <c r="CS430" i="9"/>
  <c r="CR396" i="9"/>
  <c r="ER430" i="9"/>
  <c r="EQ396" i="9"/>
  <c r="ER359" i="9"/>
  <c r="H99" i="4" s="1"/>
  <c r="ES355" i="9"/>
  <c r="BK429" i="9"/>
  <c r="BJ395" i="9"/>
  <c r="CB429" i="9"/>
  <c r="CA395" i="9"/>
  <c r="CA394" i="9" s="1"/>
  <c r="CS358" i="9"/>
  <c r="K86" i="10" s="1"/>
  <c r="CT354" i="9"/>
  <c r="CT353" i="9" s="1"/>
  <c r="EA359" i="9"/>
  <c r="F99" i="4" s="1"/>
  <c r="EB355" i="9"/>
  <c r="BK431" i="9"/>
  <c r="G66" i="10" s="1"/>
  <c r="BJ397" i="9"/>
  <c r="FI360" i="9"/>
  <c r="FJ356" i="9"/>
  <c r="ER481" i="9"/>
  <c r="ER480" i="9" s="1"/>
  <c r="BK358" i="9"/>
  <c r="G86" i="10" s="1"/>
  <c r="BL354" i="9"/>
  <c r="CB358" i="9"/>
  <c r="I86" i="10" s="1"/>
  <c r="CC354" i="9"/>
  <c r="CC353" i="9" s="1"/>
  <c r="CS429" i="9"/>
  <c r="CR395" i="9"/>
  <c r="BI488" i="9"/>
  <c r="BJ430" i="9"/>
  <c r="AT430" i="9"/>
  <c r="AS396" i="9"/>
  <c r="DJ430" i="9"/>
  <c r="DI396" i="9"/>
  <c r="EA431" i="9"/>
  <c r="DZ397" i="9"/>
  <c r="EA360" i="9"/>
  <c r="EB356" i="9"/>
  <c r="FI431" i="9"/>
  <c r="FH397" i="9"/>
  <c r="ER431" i="9"/>
  <c r="EQ397" i="9"/>
  <c r="AT429" i="9"/>
  <c r="AS395" i="9"/>
  <c r="AS394" i="9" s="1"/>
  <c r="AT358" i="9"/>
  <c r="E86" i="10" s="1"/>
  <c r="AU354" i="9"/>
  <c r="I14" i="10"/>
  <c r="O47" i="2"/>
  <c r="O40" i="2"/>
  <c r="K47" i="2"/>
  <c r="K40" i="2"/>
  <c r="N40" i="2" s="1"/>
  <c r="G14" i="10"/>
  <c r="E14" i="10"/>
  <c r="K14" i="10"/>
  <c r="W40" i="2"/>
  <c r="W47" i="2"/>
  <c r="S40" i="2"/>
  <c r="S47" i="2"/>
  <c r="AF47" i="2"/>
  <c r="AF40" i="2"/>
  <c r="C14" i="4"/>
  <c r="AI47" i="2"/>
  <c r="N47" i="2"/>
  <c r="D14" i="4"/>
  <c r="AN47" i="2"/>
  <c r="AN40" i="2"/>
  <c r="AJ40" i="2"/>
  <c r="AJ47" i="2"/>
  <c r="AB47" i="2"/>
  <c r="AB40" i="2"/>
  <c r="AD40" i="2" s="1"/>
  <c r="H14" i="4"/>
  <c r="AI40" i="2" l="1"/>
  <c r="CX146" i="14"/>
  <c r="CZ154" i="14"/>
  <c r="DX146" i="14"/>
  <c r="DZ154" i="14"/>
  <c r="CK146" i="14"/>
  <c r="CM154" i="14"/>
  <c r="CK191" i="14"/>
  <c r="CL141" i="14"/>
  <c r="CJ141" i="14"/>
  <c r="DK191" i="14"/>
  <c r="DL141" i="14"/>
  <c r="DJ141" i="14"/>
  <c r="DM154" i="14"/>
  <c r="DK146" i="14"/>
  <c r="DX191" i="14"/>
  <c r="DY141" i="14"/>
  <c r="DW141" i="14"/>
  <c r="CX191" i="14"/>
  <c r="CW141" i="14"/>
  <c r="CY141" i="14"/>
  <c r="CI136" i="12"/>
  <c r="CK136" i="12"/>
  <c r="DX136" i="14"/>
  <c r="DX140" i="14" s="1"/>
  <c r="DV136" i="14"/>
  <c r="DV140" i="14" s="1"/>
  <c r="BK135" i="12"/>
  <c r="BI135" i="12"/>
  <c r="AK135" i="14"/>
  <c r="AK139" i="14" s="1"/>
  <c r="AI135" i="14"/>
  <c r="AI139" i="14" s="1"/>
  <c r="AT362" i="9"/>
  <c r="E87" i="10" s="1"/>
  <c r="AU358" i="9"/>
  <c r="DY485" i="9"/>
  <c r="DY486" i="9" s="1"/>
  <c r="DZ431" i="9"/>
  <c r="CB367" i="9"/>
  <c r="CC363" i="9"/>
  <c r="CB368" i="9"/>
  <c r="I65" i="10" s="1"/>
  <c r="CC364" i="9"/>
  <c r="ER358" i="9"/>
  <c r="G99" i="4" s="1"/>
  <c r="ES354" i="9"/>
  <c r="ES353" i="9" s="1"/>
  <c r="ER429" i="9"/>
  <c r="EQ395" i="9"/>
  <c r="EQ394" i="9" s="1"/>
  <c r="AT368" i="9"/>
  <c r="E65" i="10" s="1"/>
  <c r="AU364" i="9"/>
  <c r="CJ135" i="12"/>
  <c r="CI139" i="12"/>
  <c r="CJ139" i="12" s="1"/>
  <c r="AJ136" i="12"/>
  <c r="AI140" i="12"/>
  <c r="AJ140" i="12" s="1"/>
  <c r="BJ136" i="12"/>
  <c r="BI140" i="12"/>
  <c r="BJ140" i="12" s="1"/>
  <c r="BY136" i="12"/>
  <c r="BX140" i="12"/>
  <c r="BY140" i="12" s="1"/>
  <c r="CK189" i="14"/>
  <c r="C93" i="4" s="1"/>
  <c r="CJ139" i="14"/>
  <c r="CL139" i="14"/>
  <c r="BK190" i="14"/>
  <c r="J79" i="10" s="1"/>
  <c r="BL140" i="14"/>
  <c r="BJ140" i="14"/>
  <c r="DY488" i="9"/>
  <c r="DZ430" i="9"/>
  <c r="DH487" i="9"/>
  <c r="DI429" i="9"/>
  <c r="DK353" i="9"/>
  <c r="DI136" i="12"/>
  <c r="DK136" i="12"/>
  <c r="DK135" i="14"/>
  <c r="DK139" i="14" s="1"/>
  <c r="DI135" i="14"/>
  <c r="DI139" i="14" s="1"/>
  <c r="CV136" i="14"/>
  <c r="CV140" i="14" s="1"/>
  <c r="CX136" i="14"/>
  <c r="CX140" i="14" s="1"/>
  <c r="BV135" i="12"/>
  <c r="BX135" i="12"/>
  <c r="AX135" i="14"/>
  <c r="AX139" i="14" s="1"/>
  <c r="AV135" i="14"/>
  <c r="AV139" i="14" s="1"/>
  <c r="AR487" i="9"/>
  <c r="AT487" i="9" s="1"/>
  <c r="AS429" i="9"/>
  <c r="EP485" i="9"/>
  <c r="EP486" i="9" s="1"/>
  <c r="EQ431" i="9"/>
  <c r="FG485" i="9"/>
  <c r="FG486" i="9" s="1"/>
  <c r="FH431" i="9"/>
  <c r="EA364" i="9"/>
  <c r="EB360" i="9"/>
  <c r="DH488" i="9"/>
  <c r="DI430" i="9"/>
  <c r="AR488" i="9"/>
  <c r="AS430" i="9"/>
  <c r="CQ487" i="9"/>
  <c r="CR429" i="9"/>
  <c r="CB362" i="9"/>
  <c r="I87" i="10" s="1"/>
  <c r="I89" i="10" s="1"/>
  <c r="CC358" i="9"/>
  <c r="CC357" i="9" s="1"/>
  <c r="BK362" i="9"/>
  <c r="G87" i="10" s="1"/>
  <c r="G89" i="10" s="1"/>
  <c r="BL358" i="9"/>
  <c r="BJ394" i="9"/>
  <c r="FI367" i="9"/>
  <c r="FJ363" i="9"/>
  <c r="V40" i="2"/>
  <c r="AD47" i="2"/>
  <c r="CI136" i="14"/>
  <c r="CI140" i="14" s="1"/>
  <c r="CK136" i="14"/>
  <c r="CK140" i="14" s="1"/>
  <c r="DI136" i="14"/>
  <c r="DI140" i="14" s="1"/>
  <c r="DK136" i="14"/>
  <c r="DK140" i="14" s="1"/>
  <c r="DV136" i="12"/>
  <c r="DX136" i="12"/>
  <c r="DI135" i="12"/>
  <c r="DK135" i="12"/>
  <c r="R47" i="2"/>
  <c r="CV136" i="12"/>
  <c r="CX136" i="12"/>
  <c r="BI135" i="14"/>
  <c r="BI139" i="14" s="1"/>
  <c r="BK135" i="14"/>
  <c r="BK139" i="14" s="1"/>
  <c r="BV135" i="14"/>
  <c r="BV139" i="14" s="1"/>
  <c r="BX135" i="14"/>
  <c r="BX139" i="14" s="1"/>
  <c r="AK135" i="12"/>
  <c r="AI135" i="12"/>
  <c r="AX135" i="12"/>
  <c r="AV135" i="12"/>
  <c r="AU353" i="9"/>
  <c r="CR394" i="9"/>
  <c r="BL353" i="9"/>
  <c r="FI364" i="9"/>
  <c r="FJ360" i="9"/>
  <c r="BI485" i="9"/>
  <c r="BI486" i="9" s="1"/>
  <c r="BJ431" i="9"/>
  <c r="EA363" i="9"/>
  <c r="F100" i="4" s="1"/>
  <c r="EB359" i="9"/>
  <c r="CS362" i="9"/>
  <c r="K87" i="10" s="1"/>
  <c r="CT358" i="9"/>
  <c r="BZ487" i="9"/>
  <c r="CB488" i="9" s="1"/>
  <c r="CA429" i="9"/>
  <c r="CA428" i="9" s="1"/>
  <c r="BI487" i="9"/>
  <c r="BK488" i="9" s="1"/>
  <c r="BJ429" i="9"/>
  <c r="BJ428" i="9" s="1"/>
  <c r="ER363" i="9"/>
  <c r="H100" i="4" s="1"/>
  <c r="ES359" i="9"/>
  <c r="EP488" i="9"/>
  <c r="EQ430" i="9"/>
  <c r="CQ488" i="9"/>
  <c r="CR430" i="9"/>
  <c r="CS363" i="9"/>
  <c r="L87" i="10" s="1"/>
  <c r="CT359" i="9"/>
  <c r="DH485" i="9"/>
  <c r="DH486" i="9" s="1"/>
  <c r="DJ487" i="9" s="1"/>
  <c r="DI431" i="9"/>
  <c r="CS364" i="9"/>
  <c r="CT360" i="9"/>
  <c r="AT363" i="9"/>
  <c r="F87" i="10" s="1"/>
  <c r="AU359" i="9"/>
  <c r="BK364" i="9"/>
  <c r="BL360" i="9"/>
  <c r="DJ364" i="9"/>
  <c r="DK360" i="9"/>
  <c r="CQ485" i="9"/>
  <c r="CQ486" i="9" s="1"/>
  <c r="CR431" i="9"/>
  <c r="BX190" i="14"/>
  <c r="L79" i="10" s="1"/>
  <c r="BW140" i="14"/>
  <c r="BY140" i="14"/>
  <c r="CK139" i="12"/>
  <c r="CL139" i="12" s="1"/>
  <c r="CL135" i="12"/>
  <c r="AL136" i="12"/>
  <c r="AK140" i="12"/>
  <c r="AL140" i="12" s="1"/>
  <c r="AX136" i="12"/>
  <c r="AV136" i="12"/>
  <c r="BL136" i="12"/>
  <c r="BK140" i="12"/>
  <c r="BL140" i="12" s="1"/>
  <c r="FI358" i="9"/>
  <c r="I99" i="4" s="1"/>
  <c r="FJ354" i="9"/>
  <c r="FJ353" i="9" s="1"/>
  <c r="FI429" i="9"/>
  <c r="FH395" i="9"/>
  <c r="FH394" i="9" s="1"/>
  <c r="BK367" i="9"/>
  <c r="BL363" i="9"/>
  <c r="BW136" i="12"/>
  <c r="BV140" i="12"/>
  <c r="BW140" i="12" s="1"/>
  <c r="AK190" i="14"/>
  <c r="F79" i="10" s="1"/>
  <c r="AJ140" i="14"/>
  <c r="AL140" i="14"/>
  <c r="AX190" i="14"/>
  <c r="H79" i="10" s="1"/>
  <c r="AW140" i="14"/>
  <c r="AY140" i="14"/>
  <c r="DI394" i="9"/>
  <c r="ER364" i="9"/>
  <c r="ES360" i="9"/>
  <c r="EA429" i="9"/>
  <c r="DZ395" i="9"/>
  <c r="DZ394" i="9" s="1"/>
  <c r="DJ363" i="9"/>
  <c r="D100" i="4" s="1"/>
  <c r="DK359" i="9"/>
  <c r="DJ362" i="9"/>
  <c r="C100" i="4" s="1"/>
  <c r="C101" i="4" s="1"/>
  <c r="DK358" i="9"/>
  <c r="EA358" i="9"/>
  <c r="E99" i="4" s="1"/>
  <c r="EB354" i="9"/>
  <c r="EB353" i="9" s="1"/>
  <c r="V47" i="2"/>
  <c r="Z40" i="2"/>
  <c r="Z47" i="2"/>
  <c r="R40" i="2"/>
  <c r="AE47" i="2"/>
  <c r="AE40" i="2"/>
  <c r="I14" i="4"/>
  <c r="AM40" i="2"/>
  <c r="AM47" i="2"/>
  <c r="E14" i="4"/>
  <c r="AL40" i="2"/>
  <c r="G14" i="4"/>
  <c r="AL47" i="2"/>
  <c r="CS487" i="9" l="1"/>
  <c r="CX195" i="14"/>
  <c r="CW191" i="14"/>
  <c r="DK154" i="14"/>
  <c r="DJ146" i="14"/>
  <c r="DJ143" i="14" s="1"/>
  <c r="DK195" i="14"/>
  <c r="DJ191" i="14"/>
  <c r="DX154" i="14"/>
  <c r="DW146" i="14"/>
  <c r="DW143" i="14" s="1"/>
  <c r="CX154" i="14"/>
  <c r="CW146" i="14"/>
  <c r="CW143" i="14" s="1"/>
  <c r="DK357" i="9"/>
  <c r="DX195" i="14"/>
  <c r="DW191" i="14"/>
  <c r="CK195" i="14"/>
  <c r="CJ191" i="14"/>
  <c r="CK154" i="14"/>
  <c r="CJ146" i="14"/>
  <c r="CJ143" i="14" s="1"/>
  <c r="FJ367" i="9"/>
  <c r="J9" i="4"/>
  <c r="BL367" i="9"/>
  <c r="H9" i="10"/>
  <c r="K89" i="10"/>
  <c r="AU368" i="9"/>
  <c r="E68" i="10"/>
  <c r="CC368" i="9"/>
  <c r="I68" i="10"/>
  <c r="CC367" i="9"/>
  <c r="J9" i="10"/>
  <c r="E89" i="10"/>
  <c r="DX135" i="14"/>
  <c r="DX139" i="14" s="1"/>
  <c r="DV135" i="14"/>
  <c r="DV139" i="14" s="1"/>
  <c r="AK194" i="14"/>
  <c r="F80" i="10" s="1"/>
  <c r="AJ190" i="14"/>
  <c r="FG487" i="9"/>
  <c r="FI488" i="9" s="1"/>
  <c r="FH429" i="9"/>
  <c r="FH428" i="9" s="1"/>
  <c r="FI362" i="9"/>
  <c r="I100" i="4" s="1"/>
  <c r="I101" i="4" s="1"/>
  <c r="FJ358" i="9"/>
  <c r="FJ357" i="9" s="1"/>
  <c r="AT367" i="9"/>
  <c r="AU363" i="9"/>
  <c r="CS367" i="9"/>
  <c r="CT363" i="9"/>
  <c r="AW135" i="12"/>
  <c r="AV139" i="12"/>
  <c r="AW139" i="12" s="1"/>
  <c r="BX189" i="14"/>
  <c r="K79" i="10" s="1"/>
  <c r="BW139" i="14"/>
  <c r="BW138" i="14" s="1"/>
  <c r="BY139" i="14"/>
  <c r="BY138" i="14" s="1"/>
  <c r="BK189" i="14"/>
  <c r="I79" i="10" s="1"/>
  <c r="BL139" i="14"/>
  <c r="BL138" i="14" s="1"/>
  <c r="BJ139" i="14"/>
  <c r="BJ138" i="14" s="1"/>
  <c r="CY136" i="12"/>
  <c r="CX140" i="12"/>
  <c r="CY140" i="12" s="1"/>
  <c r="DJ135" i="12"/>
  <c r="DI139" i="12"/>
  <c r="DJ139" i="12" s="1"/>
  <c r="DW136" i="12"/>
  <c r="DV140" i="12"/>
  <c r="DW140" i="12" s="1"/>
  <c r="BL357" i="9"/>
  <c r="CR428" i="9"/>
  <c r="AS428" i="9"/>
  <c r="BX139" i="12"/>
  <c r="BY139" i="12" s="1"/>
  <c r="BY138" i="12" s="1"/>
  <c r="BY135" i="12"/>
  <c r="BY134" i="12" s="1"/>
  <c r="CX190" i="14"/>
  <c r="F93" i="4" s="1"/>
  <c r="CW140" i="14"/>
  <c r="CY140" i="14"/>
  <c r="DL136" i="12"/>
  <c r="DK140" i="12"/>
  <c r="DL140" i="12" s="1"/>
  <c r="DJ488" i="9"/>
  <c r="CK193" i="14"/>
  <c r="CJ189" i="14"/>
  <c r="EP487" i="9"/>
  <c r="ER488" i="9" s="1"/>
  <c r="EQ429" i="9"/>
  <c r="EQ428" i="9" s="1"/>
  <c r="ER362" i="9"/>
  <c r="G100" i="4" s="1"/>
  <c r="G101" i="4" s="1"/>
  <c r="ES358" i="9"/>
  <c r="ES357" i="9" s="1"/>
  <c r="AU357" i="9"/>
  <c r="BJ135" i="12"/>
  <c r="BJ134" i="12" s="1"/>
  <c r="BI139" i="12"/>
  <c r="BJ139" i="12" s="1"/>
  <c r="BJ138" i="12" s="1"/>
  <c r="CL136" i="12"/>
  <c r="CK140" i="12"/>
  <c r="CL140" i="12" s="1"/>
  <c r="CL138" i="12" s="1"/>
  <c r="CX135" i="14"/>
  <c r="CX139" i="14" s="1"/>
  <c r="CV135" i="14"/>
  <c r="CV139" i="14" s="1"/>
  <c r="AY136" i="12"/>
  <c r="AX140" i="12"/>
  <c r="AY140" i="12" s="1"/>
  <c r="DJ368" i="9"/>
  <c r="DK364" i="9"/>
  <c r="BK368" i="9"/>
  <c r="G65" i="10" s="1"/>
  <c r="BL364" i="9"/>
  <c r="CS368" i="9"/>
  <c r="K65" i="10" s="1"/>
  <c r="CT364" i="9"/>
  <c r="DJ486" i="9"/>
  <c r="ER367" i="9"/>
  <c r="ES363" i="9"/>
  <c r="CS366" i="9"/>
  <c r="CT362" i="9"/>
  <c r="EA367" i="9"/>
  <c r="EB363" i="9"/>
  <c r="BK487" i="9"/>
  <c r="BK486" i="9" s="1"/>
  <c r="FI368" i="9"/>
  <c r="FJ364" i="9"/>
  <c r="AJ135" i="12"/>
  <c r="AJ134" i="12" s="1"/>
  <c r="AI139" i="12"/>
  <c r="AJ139" i="12" s="1"/>
  <c r="AJ138" i="12" s="1"/>
  <c r="DV135" i="12"/>
  <c r="DX135" i="12"/>
  <c r="CV135" i="12"/>
  <c r="CX135" i="12"/>
  <c r="EA362" i="9"/>
  <c r="E100" i="4" s="1"/>
  <c r="E101" i="4" s="1"/>
  <c r="EB358" i="9"/>
  <c r="EB357" i="9" s="1"/>
  <c r="DJ366" i="9"/>
  <c r="DK362" i="9"/>
  <c r="DJ367" i="9"/>
  <c r="DK363" i="9"/>
  <c r="DY487" i="9"/>
  <c r="EA488" i="9" s="1"/>
  <c r="DZ429" i="9"/>
  <c r="DZ428" i="9" s="1"/>
  <c r="ER368" i="9"/>
  <c r="ES364" i="9"/>
  <c r="AX194" i="14"/>
  <c r="AW190" i="14"/>
  <c r="AW136" i="12"/>
  <c r="AV140" i="12"/>
  <c r="AW140" i="12" s="1"/>
  <c r="CL134" i="12"/>
  <c r="BX194" i="14"/>
  <c r="BW190" i="14"/>
  <c r="CT357" i="9"/>
  <c r="AY135" i="12"/>
  <c r="AY134" i="12" s="1"/>
  <c r="AX139" i="12"/>
  <c r="AY139" i="12" s="1"/>
  <c r="AY138" i="12" s="1"/>
  <c r="AL135" i="12"/>
  <c r="AL134" i="12" s="1"/>
  <c r="AK139" i="12"/>
  <c r="AL139" i="12" s="1"/>
  <c r="AL138" i="12" s="1"/>
  <c r="CW136" i="12"/>
  <c r="CV140" i="12"/>
  <c r="CW140" i="12" s="1"/>
  <c r="DK139" i="12"/>
  <c r="DL139" i="12" s="1"/>
  <c r="DL135" i="12"/>
  <c r="DL134" i="12" s="1"/>
  <c r="DY136" i="12"/>
  <c r="DX140" i="12"/>
  <c r="DY140" i="12" s="1"/>
  <c r="DK190" i="14"/>
  <c r="H93" i="4" s="1"/>
  <c r="DJ140" i="14"/>
  <c r="DL140" i="14"/>
  <c r="CK190" i="14"/>
  <c r="D93" i="4" s="1"/>
  <c r="CJ140" i="14"/>
  <c r="CJ138" i="14" s="1"/>
  <c r="CL140" i="14"/>
  <c r="CL138" i="14" s="1"/>
  <c r="BK366" i="9"/>
  <c r="BL362" i="9"/>
  <c r="BL361" i="9" s="1"/>
  <c r="CB366" i="9"/>
  <c r="CC362" i="9"/>
  <c r="CC361" i="9" s="1"/>
  <c r="CS488" i="9"/>
  <c r="CS486" i="9" s="1"/>
  <c r="EA368" i="9"/>
  <c r="EB364" i="9"/>
  <c r="FI487" i="9"/>
  <c r="FI486" i="9" s="1"/>
  <c r="AT488" i="9"/>
  <c r="L41" i="2" s="1"/>
  <c r="AX189" i="14"/>
  <c r="G79" i="10" s="1"/>
  <c r="AW139" i="14"/>
  <c r="AW138" i="14" s="1"/>
  <c r="AY139" i="14"/>
  <c r="AY138" i="14" s="1"/>
  <c r="BW135" i="12"/>
  <c r="BW134" i="12" s="1"/>
  <c r="BV139" i="12"/>
  <c r="BW139" i="12" s="1"/>
  <c r="BW138" i="12" s="1"/>
  <c r="DK189" i="14"/>
  <c r="G93" i="4" s="1"/>
  <c r="DJ139" i="14"/>
  <c r="DL139" i="14"/>
  <c r="DJ136" i="12"/>
  <c r="DI140" i="12"/>
  <c r="DJ140" i="12" s="1"/>
  <c r="DI428" i="9"/>
  <c r="BK194" i="14"/>
  <c r="BJ190" i="14"/>
  <c r="CB487" i="9"/>
  <c r="CB486" i="9" s="1"/>
  <c r="AT366" i="9"/>
  <c r="AU362" i="9"/>
  <c r="AU361" i="9" s="1"/>
  <c r="AK189" i="14"/>
  <c r="E79" i="10" s="1"/>
  <c r="AJ139" i="14"/>
  <c r="AJ138" i="14" s="1"/>
  <c r="AL139" i="14"/>
  <c r="AL138" i="14" s="1"/>
  <c r="BL135" i="12"/>
  <c r="BL134" i="12" s="1"/>
  <c r="BK139" i="12"/>
  <c r="BL139" i="12" s="1"/>
  <c r="BL138" i="12" s="1"/>
  <c r="DX190" i="14"/>
  <c r="J93" i="4" s="1"/>
  <c r="DW140" i="14"/>
  <c r="DY140" i="14"/>
  <c r="CJ136" i="12"/>
  <c r="CJ134" i="12" s="1"/>
  <c r="CI140" i="12"/>
  <c r="CJ140" i="12" s="1"/>
  <c r="CJ138" i="12" s="1"/>
  <c r="F10" i="10"/>
  <c r="J10" i="10"/>
  <c r="L10" i="10"/>
  <c r="X41" i="2"/>
  <c r="H10" i="10"/>
  <c r="T48" i="2"/>
  <c r="T41" i="2"/>
  <c r="P41" i="2"/>
  <c r="P48" i="2"/>
  <c r="C10" i="4"/>
  <c r="AP47" i="2"/>
  <c r="AP40" i="2"/>
  <c r="AB48" i="2"/>
  <c r="AB41" i="2"/>
  <c r="AH40" i="2"/>
  <c r="AH47" i="2"/>
  <c r="L48" i="2" l="1"/>
  <c r="ER487" i="9"/>
  <c r="ER486" i="9" s="1"/>
  <c r="DL138" i="12"/>
  <c r="AW194" i="14"/>
  <c r="H80" i="10"/>
  <c r="BJ194" i="14"/>
  <c r="J80" i="10"/>
  <c r="BW194" i="14"/>
  <c r="L80" i="10"/>
  <c r="CJ193" i="14"/>
  <c r="C94" i="4"/>
  <c r="CK172" i="14"/>
  <c r="CJ154" i="14"/>
  <c r="CK199" i="14"/>
  <c r="CJ195" i="14"/>
  <c r="DX199" i="14"/>
  <c r="DW195" i="14"/>
  <c r="CX172" i="14"/>
  <c r="CW154" i="14"/>
  <c r="DX172" i="14"/>
  <c r="DW154" i="14"/>
  <c r="DK199" i="14"/>
  <c r="DJ195" i="14"/>
  <c r="DK172" i="14"/>
  <c r="DJ154" i="14"/>
  <c r="CX199" i="14"/>
  <c r="CW195" i="14"/>
  <c r="X48" i="2"/>
  <c r="EA487" i="9"/>
  <c r="EA486" i="9" s="1"/>
  <c r="DL138" i="14"/>
  <c r="EB368" i="9"/>
  <c r="E79" i="4"/>
  <c r="EB367" i="9"/>
  <c r="F9" i="4"/>
  <c r="ES367" i="9"/>
  <c r="H9" i="4"/>
  <c r="ES368" i="9"/>
  <c r="G79" i="4"/>
  <c r="DK367" i="9"/>
  <c r="D9" i="4"/>
  <c r="DK366" i="9"/>
  <c r="C9" i="4"/>
  <c r="FJ368" i="9"/>
  <c r="I79" i="4"/>
  <c r="DK368" i="9"/>
  <c r="C79" i="4"/>
  <c r="C102" i="4"/>
  <c r="BX198" i="14"/>
  <c r="L11" i="10" s="1"/>
  <c r="AX198" i="14"/>
  <c r="H11" i="10" s="1"/>
  <c r="H13" i="10" s="1"/>
  <c r="CT366" i="9"/>
  <c r="K9" i="10"/>
  <c r="AU366" i="9"/>
  <c r="E9" i="10"/>
  <c r="CC366" i="9"/>
  <c r="CC365" i="9" s="1"/>
  <c r="I9" i="10"/>
  <c r="BL366" i="9"/>
  <c r="G9" i="10"/>
  <c r="CT368" i="9"/>
  <c r="K68" i="10"/>
  <c r="BL368" i="9"/>
  <c r="G68" i="10"/>
  <c r="CT367" i="9"/>
  <c r="L9" i="10"/>
  <c r="AU367" i="9"/>
  <c r="F9" i="10"/>
  <c r="C90" i="10"/>
  <c r="CK197" i="14"/>
  <c r="C11" i="4" s="1"/>
  <c r="AN149" i="12"/>
  <c r="AL149" i="12"/>
  <c r="AL153" i="12" s="1"/>
  <c r="AQ162" i="12"/>
  <c r="AQ166" i="12" s="1"/>
  <c r="AH149" i="12"/>
  <c r="AH153" i="12" s="1"/>
  <c r="AF149" i="12"/>
  <c r="AF153" i="12" s="1"/>
  <c r="AP162" i="12"/>
  <c r="BD162" i="12"/>
  <c r="BD166" i="12" s="1"/>
  <c r="AY149" i="12"/>
  <c r="AY153" i="12" s="1"/>
  <c r="BC162" i="12"/>
  <c r="BA149" i="12"/>
  <c r="AS149" i="12"/>
  <c r="AS153" i="12" s="1"/>
  <c r="AU149" i="12"/>
  <c r="AU153" i="12" s="1"/>
  <c r="DX194" i="14"/>
  <c r="J94" i="4" s="1"/>
  <c r="DW190" i="14"/>
  <c r="CK194" i="14"/>
  <c r="CJ190" i="14"/>
  <c r="CJ188" i="14" s="1"/>
  <c r="DK361" i="9"/>
  <c r="CX139" i="12"/>
  <c r="CY139" i="12" s="1"/>
  <c r="CY138" i="12" s="1"/>
  <c r="CY135" i="12"/>
  <c r="CY134" i="12" s="1"/>
  <c r="DX139" i="12"/>
  <c r="DY139" i="12" s="1"/>
  <c r="DY138" i="12" s="1"/>
  <c r="DY135" i="12"/>
  <c r="DY134" i="12" s="1"/>
  <c r="AT486" i="9"/>
  <c r="ER366" i="9"/>
  <c r="ES362" i="9"/>
  <c r="ES361" i="9" s="1"/>
  <c r="DJ134" i="12"/>
  <c r="BX193" i="14"/>
  <c r="BW189" i="14"/>
  <c r="BW188" i="14" s="1"/>
  <c r="AW134" i="12"/>
  <c r="CP162" i="14"/>
  <c r="CQ162" i="14"/>
  <c r="CQ166" i="14" s="1"/>
  <c r="CH149" i="14"/>
  <c r="CH153" i="14" s="1"/>
  <c r="CL149" i="14"/>
  <c r="CL153" i="14" s="1"/>
  <c r="CN149" i="14"/>
  <c r="CF149" i="14"/>
  <c r="CF153" i="14" s="1"/>
  <c r="AQ162" i="14"/>
  <c r="AQ166" i="14" s="1"/>
  <c r="AH149" i="14"/>
  <c r="AH153" i="14" s="1"/>
  <c r="AL149" i="14"/>
  <c r="AL153" i="14" s="1"/>
  <c r="AP162" i="14"/>
  <c r="AN149" i="14"/>
  <c r="AF149" i="14"/>
  <c r="AF153" i="14" s="1"/>
  <c r="BL149" i="12"/>
  <c r="BL153" i="12" s="1"/>
  <c r="BP162" i="12"/>
  <c r="BQ162" i="12"/>
  <c r="BQ166" i="12" s="1"/>
  <c r="BF149" i="12"/>
  <c r="BF153" i="12" s="1"/>
  <c r="BH149" i="12"/>
  <c r="BH153" i="12" s="1"/>
  <c r="BN149" i="12"/>
  <c r="BS149" i="14"/>
  <c r="BS153" i="14" s="1"/>
  <c r="CD162" i="14"/>
  <c r="CD166" i="14" s="1"/>
  <c r="CC162" i="14"/>
  <c r="BY149" i="14"/>
  <c r="BY153" i="14" s="1"/>
  <c r="BU149" i="14"/>
  <c r="BU153" i="14" s="1"/>
  <c r="CA149" i="14"/>
  <c r="DK193" i="14"/>
  <c r="DJ189" i="14"/>
  <c r="CF149" i="12"/>
  <c r="CF153" i="12" s="1"/>
  <c r="CH149" i="12"/>
  <c r="CH153" i="12" s="1"/>
  <c r="CP162" i="12"/>
  <c r="CP166" i="12" s="1"/>
  <c r="CQ162" i="12"/>
  <c r="CL149" i="12"/>
  <c r="CL153" i="12" s="1"/>
  <c r="CN149" i="12"/>
  <c r="BD162" i="14"/>
  <c r="BD166" i="14" s="1"/>
  <c r="BC162" i="14"/>
  <c r="AY149" i="14"/>
  <c r="AY153" i="14" s="1"/>
  <c r="AU149" i="14"/>
  <c r="AU153" i="14" s="1"/>
  <c r="BA149" i="14"/>
  <c r="AS149" i="14"/>
  <c r="AS153" i="14" s="1"/>
  <c r="BP162" i="14"/>
  <c r="BQ162" i="14"/>
  <c r="BQ166" i="14" s="1"/>
  <c r="BH149" i="14"/>
  <c r="BH153" i="14" s="1"/>
  <c r="BL149" i="14"/>
  <c r="BL153" i="14" s="1"/>
  <c r="BN149" i="14"/>
  <c r="BF149" i="14"/>
  <c r="BF153" i="14" s="1"/>
  <c r="CC162" i="12"/>
  <c r="BU149" i="12"/>
  <c r="BU153" i="12" s="1"/>
  <c r="BS149" i="12"/>
  <c r="BS153" i="12" s="1"/>
  <c r="BY149" i="12"/>
  <c r="BY153" i="12" s="1"/>
  <c r="CD162" i="12"/>
  <c r="CD166" i="12" s="1"/>
  <c r="CA149" i="12"/>
  <c r="AK193" i="14"/>
  <c r="E80" i="10" s="1"/>
  <c r="E82" i="10" s="1"/>
  <c r="AJ189" i="14"/>
  <c r="AJ188" i="14" s="1"/>
  <c r="BK198" i="14"/>
  <c r="J11" i="10" s="1"/>
  <c r="J13" i="10" s="1"/>
  <c r="DJ138" i="14"/>
  <c r="AX193" i="14"/>
  <c r="G80" i="10" s="1"/>
  <c r="G82" i="10" s="1"/>
  <c r="AW189" i="14"/>
  <c r="AW188" i="14" s="1"/>
  <c r="DK194" i="14"/>
  <c r="DJ190" i="14"/>
  <c r="DK365" i="9"/>
  <c r="EA366" i="9"/>
  <c r="EB362" i="9"/>
  <c r="EB361" i="9" s="1"/>
  <c r="CW135" i="12"/>
  <c r="CW134" i="12" s="1"/>
  <c r="CV139" i="12"/>
  <c r="CW139" i="12" s="1"/>
  <c r="CW138" i="12" s="1"/>
  <c r="DW135" i="12"/>
  <c r="DW134" i="12" s="1"/>
  <c r="DV139" i="12"/>
  <c r="DW139" i="12" s="1"/>
  <c r="DW138" i="12" s="1"/>
  <c r="CT361" i="9"/>
  <c r="CX189" i="14"/>
  <c r="E93" i="4" s="1"/>
  <c r="CW139" i="14"/>
  <c r="CW138" i="14" s="1"/>
  <c r="CY139" i="14"/>
  <c r="CY138" i="14" s="1"/>
  <c r="CX194" i="14"/>
  <c r="CW190" i="14"/>
  <c r="DJ138" i="12"/>
  <c r="BK193" i="14"/>
  <c r="BJ189" i="14"/>
  <c r="BJ188" i="14" s="1"/>
  <c r="AW138" i="12"/>
  <c r="FI366" i="9"/>
  <c r="FJ362" i="9"/>
  <c r="FJ361" i="9" s="1"/>
  <c r="AK198" i="14"/>
  <c r="F11" i="10" s="1"/>
  <c r="AJ194" i="14"/>
  <c r="DX189" i="14"/>
  <c r="I93" i="4" s="1"/>
  <c r="DW139" i="14"/>
  <c r="DW138" i="14" s="1"/>
  <c r="DY139" i="14"/>
  <c r="DY138" i="14" s="1"/>
  <c r="K41" i="2"/>
  <c r="K48" i="2"/>
  <c r="S48" i="2"/>
  <c r="S41" i="2"/>
  <c r="K10" i="10"/>
  <c r="W48" i="2"/>
  <c r="W41" i="2"/>
  <c r="I10" i="10"/>
  <c r="G10" i="10"/>
  <c r="E10" i="10"/>
  <c r="O48" i="2"/>
  <c r="O41" i="2"/>
  <c r="AN48" i="2"/>
  <c r="AN41" i="2"/>
  <c r="D10" i="4"/>
  <c r="AE48" i="2"/>
  <c r="AE41" i="2"/>
  <c r="AF48" i="2"/>
  <c r="AF41" i="2"/>
  <c r="J10" i="4"/>
  <c r="F10" i="4"/>
  <c r="G10" i="4"/>
  <c r="AJ41" i="2"/>
  <c r="AJ48" i="2"/>
  <c r="AA48" i="2"/>
  <c r="AA41" i="2"/>
  <c r="H10" i="4"/>
  <c r="CW194" i="14" l="1"/>
  <c r="F94" i="4"/>
  <c r="BW193" i="14"/>
  <c r="BW192" i="14" s="1"/>
  <c r="K80" i="10"/>
  <c r="K82" i="10" s="1"/>
  <c r="F13" i="10"/>
  <c r="L13" i="10"/>
  <c r="BJ193" i="14"/>
  <c r="BJ192" i="14" s="1"/>
  <c r="I80" i="10"/>
  <c r="I82" i="10" s="1"/>
  <c r="DJ194" i="14"/>
  <c r="H94" i="4"/>
  <c r="DJ193" i="14"/>
  <c r="G94" i="4"/>
  <c r="G95" i="4" s="1"/>
  <c r="CJ194" i="14"/>
  <c r="CJ192" i="14" s="1"/>
  <c r="D94" i="4"/>
  <c r="C95" i="4" s="1"/>
  <c r="C13" i="4"/>
  <c r="DJ172" i="14"/>
  <c r="G80" i="4"/>
  <c r="G82" i="4" s="1"/>
  <c r="DW172" i="14"/>
  <c r="I80" i="4"/>
  <c r="I82" i="4" s="1"/>
  <c r="CW172" i="14"/>
  <c r="E80" i="4"/>
  <c r="E82" i="4" s="1"/>
  <c r="CJ172" i="14"/>
  <c r="C80" i="4"/>
  <c r="C82" i="4" s="1"/>
  <c r="ES366" i="9"/>
  <c r="ES365" i="9" s="1"/>
  <c r="G9" i="4"/>
  <c r="FJ366" i="9"/>
  <c r="FJ365" i="9" s="1"/>
  <c r="I9" i="4"/>
  <c r="EB366" i="9"/>
  <c r="EB365" i="9" s="1"/>
  <c r="E9" i="4"/>
  <c r="BK197" i="14"/>
  <c r="I11" i="10" s="1"/>
  <c r="I13" i="10" s="1"/>
  <c r="CK198" i="14"/>
  <c r="D11" i="4" s="1"/>
  <c r="D13" i="4" s="1"/>
  <c r="BL365" i="9"/>
  <c r="AU365" i="9"/>
  <c r="CT365" i="9"/>
  <c r="BX197" i="14"/>
  <c r="K11" i="10" s="1"/>
  <c r="K13" i="10" s="1"/>
  <c r="DF149" i="12"/>
  <c r="DF153" i="12" s="1"/>
  <c r="DH149" i="12"/>
  <c r="DH153" i="12" s="1"/>
  <c r="DP162" i="12"/>
  <c r="DP166" i="12" s="1"/>
  <c r="DL149" i="12"/>
  <c r="DL153" i="12" s="1"/>
  <c r="DQ162" i="12"/>
  <c r="DN149" i="12"/>
  <c r="CS149" i="12"/>
  <c r="CS153" i="12" s="1"/>
  <c r="CU149" i="12"/>
  <c r="CU153" i="12" s="1"/>
  <c r="DC162" i="12"/>
  <c r="DC166" i="12" s="1"/>
  <c r="CY149" i="12"/>
  <c r="CY153" i="12" s="1"/>
  <c r="DD162" i="12"/>
  <c r="DA149" i="12"/>
  <c r="DC161" i="14"/>
  <c r="CY148" i="14"/>
  <c r="CY152" i="14" s="1"/>
  <c r="DD161" i="14"/>
  <c r="DD165" i="14" s="1"/>
  <c r="DA148" i="14"/>
  <c r="CS148" i="14"/>
  <c r="CS152" i="14" s="1"/>
  <c r="CU148" i="14"/>
  <c r="CU152" i="14" s="1"/>
  <c r="BN148" i="14"/>
  <c r="BF148" i="14"/>
  <c r="BF152" i="14" s="1"/>
  <c r="BP161" i="14"/>
  <c r="BQ161" i="14"/>
  <c r="BQ165" i="14" s="1"/>
  <c r="BH148" i="14"/>
  <c r="BH152" i="14" s="1"/>
  <c r="BL148" i="14"/>
  <c r="BL152" i="14" s="1"/>
  <c r="BM149" i="14"/>
  <c r="BN153" i="14"/>
  <c r="AZ149" i="14"/>
  <c r="BA153" i="14"/>
  <c r="CH148" i="12"/>
  <c r="CH152" i="12" s="1"/>
  <c r="CP161" i="12"/>
  <c r="CF148" i="12"/>
  <c r="CF152" i="12" s="1"/>
  <c r="CL148" i="12"/>
  <c r="CL152" i="12" s="1"/>
  <c r="CQ161" i="12"/>
  <c r="CQ165" i="12" s="1"/>
  <c r="CN148" i="12"/>
  <c r="DH149" i="14"/>
  <c r="DH153" i="14" s="1"/>
  <c r="DN149" i="14"/>
  <c r="DP162" i="14"/>
  <c r="DQ162" i="14"/>
  <c r="DQ166" i="14" s="1"/>
  <c r="DL149" i="14"/>
  <c r="DL153" i="14" s="1"/>
  <c r="DF149" i="14"/>
  <c r="DF153" i="14" s="1"/>
  <c r="DA149" i="14"/>
  <c r="CS149" i="14"/>
  <c r="CS153" i="14" s="1"/>
  <c r="DC162" i="14"/>
  <c r="CY149" i="14"/>
  <c r="CY153" i="14" s="1"/>
  <c r="DD162" i="14"/>
  <c r="DD166" i="14" s="1"/>
  <c r="CU149" i="14"/>
  <c r="CU153" i="14" s="1"/>
  <c r="DC161" i="12"/>
  <c r="CU148" i="12"/>
  <c r="CU152" i="12" s="1"/>
  <c r="CS148" i="12"/>
  <c r="CS152" i="12" s="1"/>
  <c r="CY148" i="12"/>
  <c r="CY152" i="12" s="1"/>
  <c r="DD161" i="12"/>
  <c r="DD165" i="12" s="1"/>
  <c r="DA148" i="12"/>
  <c r="ED162" i="14"/>
  <c r="ED166" i="14" s="1"/>
  <c r="DU149" i="14"/>
  <c r="DU153" i="14" s="1"/>
  <c r="EC162" i="14"/>
  <c r="EA149" i="14"/>
  <c r="DS149" i="14"/>
  <c r="DS153" i="14" s="1"/>
  <c r="DY149" i="14"/>
  <c r="DY153" i="14" s="1"/>
  <c r="BD161" i="12"/>
  <c r="BD165" i="12" s="1"/>
  <c r="AY148" i="12"/>
  <c r="AY152" i="12" s="1"/>
  <c r="AS148" i="12"/>
  <c r="AS152" i="12" s="1"/>
  <c r="AU148" i="12"/>
  <c r="AU152" i="12" s="1"/>
  <c r="BA148" i="12"/>
  <c r="BC161" i="12"/>
  <c r="CC161" i="14"/>
  <c r="BU148" i="14"/>
  <c r="BU152" i="14" s="1"/>
  <c r="CA148" i="14"/>
  <c r="BS148" i="14"/>
  <c r="BS152" i="14" s="1"/>
  <c r="CD161" i="14"/>
  <c r="CD165" i="14" s="1"/>
  <c r="BY148" i="14"/>
  <c r="BY152" i="14" s="1"/>
  <c r="BP161" i="12"/>
  <c r="BF148" i="12"/>
  <c r="BF152" i="12" s="1"/>
  <c r="BL148" i="12"/>
  <c r="BL152" i="12" s="1"/>
  <c r="BQ161" i="12"/>
  <c r="BQ165" i="12" s="1"/>
  <c r="BH148" i="12"/>
  <c r="BH152" i="12" s="1"/>
  <c r="BN148" i="12"/>
  <c r="AL148" i="14"/>
  <c r="AL152" i="14" s="1"/>
  <c r="AP161" i="14"/>
  <c r="AQ161" i="14"/>
  <c r="AQ165" i="14" s="1"/>
  <c r="AH148" i="14"/>
  <c r="AH152" i="14" s="1"/>
  <c r="AN148" i="14"/>
  <c r="AF148" i="14"/>
  <c r="AF152" i="14" s="1"/>
  <c r="DX193" i="14"/>
  <c r="DW189" i="14"/>
  <c r="DW188" i="14" s="1"/>
  <c r="CX198" i="14"/>
  <c r="F11" i="4" s="1"/>
  <c r="F13" i="4" s="1"/>
  <c r="CX193" i="14"/>
  <c r="CW189" i="14"/>
  <c r="CW188" i="14" s="1"/>
  <c r="DK198" i="14"/>
  <c r="H11" i="4" s="1"/>
  <c r="H13" i="4" s="1"/>
  <c r="BZ149" i="12"/>
  <c r="CA153" i="12"/>
  <c r="AX162" i="14"/>
  <c r="AX166" i="14" s="1"/>
  <c r="BC166" i="14"/>
  <c r="CM149" i="12"/>
  <c r="CN153" i="12"/>
  <c r="CK162" i="12"/>
  <c r="CK166" i="12" s="1"/>
  <c r="D20" i="4" s="1"/>
  <c r="CQ166" i="12"/>
  <c r="DJ188" i="14"/>
  <c r="DK197" i="14"/>
  <c r="G11" i="4" s="1"/>
  <c r="BX162" i="14"/>
  <c r="BX166" i="14" s="1"/>
  <c r="CC166" i="14"/>
  <c r="AM149" i="14"/>
  <c r="AN153" i="14"/>
  <c r="CM149" i="14"/>
  <c r="CN153" i="14"/>
  <c r="CK162" i="14"/>
  <c r="CK166" i="14" s="1"/>
  <c r="CP166" i="14"/>
  <c r="AZ149" i="12"/>
  <c r="BA153" i="12"/>
  <c r="AK162" i="12"/>
  <c r="AK166" i="12" s="1"/>
  <c r="F20" i="10" s="1"/>
  <c r="AP166" i="12"/>
  <c r="CN148" i="14"/>
  <c r="CF148" i="14"/>
  <c r="CF152" i="14" s="1"/>
  <c r="CP161" i="14"/>
  <c r="CQ161" i="14"/>
  <c r="CQ165" i="14" s="1"/>
  <c r="CH148" i="14"/>
  <c r="CH152" i="14" s="1"/>
  <c r="CL148" i="14"/>
  <c r="CL152" i="14" s="1"/>
  <c r="EC162" i="12"/>
  <c r="EC166" i="12" s="1"/>
  <c r="DS149" i="12"/>
  <c r="DS153" i="12" s="1"/>
  <c r="DU149" i="12"/>
  <c r="DU153" i="12" s="1"/>
  <c r="EA149" i="12"/>
  <c r="EA153" i="12" s="1"/>
  <c r="ED162" i="12"/>
  <c r="DY149" i="12"/>
  <c r="BA148" i="14"/>
  <c r="AS148" i="14"/>
  <c r="AS152" i="14" s="1"/>
  <c r="BC161" i="14"/>
  <c r="AU148" i="14"/>
  <c r="AU152" i="14" s="1"/>
  <c r="BD161" i="14"/>
  <c r="BD165" i="14" s="1"/>
  <c r="AY148" i="14"/>
  <c r="AY152" i="14" s="1"/>
  <c r="CC161" i="12"/>
  <c r="BS148" i="12"/>
  <c r="BS152" i="12" s="1"/>
  <c r="CD161" i="12"/>
  <c r="CD165" i="12" s="1"/>
  <c r="BU148" i="12"/>
  <c r="BU152" i="12" s="1"/>
  <c r="BY148" i="12"/>
  <c r="BY152" i="12" s="1"/>
  <c r="CA148" i="12"/>
  <c r="AN148" i="12"/>
  <c r="AQ161" i="12"/>
  <c r="AQ165" i="12" s="1"/>
  <c r="AL148" i="12"/>
  <c r="AL152" i="12" s="1"/>
  <c r="AF148" i="12"/>
  <c r="AF152" i="12" s="1"/>
  <c r="AH148" i="12"/>
  <c r="AH152" i="12" s="1"/>
  <c r="AP161" i="12"/>
  <c r="AX197" i="14"/>
  <c r="G11" i="10" s="1"/>
  <c r="G13" i="10" s="1"/>
  <c r="AW193" i="14"/>
  <c r="AW192" i="14" s="1"/>
  <c r="AK197" i="14"/>
  <c r="E11" i="10" s="1"/>
  <c r="E13" i="10" s="1"/>
  <c r="AJ193" i="14"/>
  <c r="AJ192" i="14" s="1"/>
  <c r="BX162" i="12"/>
  <c r="BX166" i="12" s="1"/>
  <c r="L20" i="10" s="1"/>
  <c r="CC166" i="12"/>
  <c r="BK162" i="14"/>
  <c r="BK166" i="14" s="1"/>
  <c r="J21" i="10" s="1"/>
  <c r="BP166" i="14"/>
  <c r="DJ192" i="14"/>
  <c r="BZ149" i="14"/>
  <c r="CA153" i="14"/>
  <c r="BM149" i="12"/>
  <c r="BN153" i="12"/>
  <c r="BK162" i="12"/>
  <c r="BK166" i="12" s="1"/>
  <c r="J20" i="10" s="1"/>
  <c r="BP166" i="12"/>
  <c r="AK162" i="14"/>
  <c r="AK166" i="14" s="1"/>
  <c r="F21" i="10" s="1"/>
  <c r="AP166" i="14"/>
  <c r="DX198" i="14"/>
  <c r="J11" i="4" s="1"/>
  <c r="J13" i="4" s="1"/>
  <c r="DW194" i="14"/>
  <c r="AX162" i="12"/>
  <c r="AX166" i="12" s="1"/>
  <c r="BC166" i="12"/>
  <c r="AM149" i="12"/>
  <c r="AN153" i="12"/>
  <c r="R41" i="2"/>
  <c r="R48" i="2"/>
  <c r="H20" i="10"/>
  <c r="Z48" i="2"/>
  <c r="V48" i="2"/>
  <c r="N48" i="2"/>
  <c r="Z41" i="2"/>
  <c r="L21" i="10"/>
  <c r="V41" i="2"/>
  <c r="H21" i="10"/>
  <c r="N41" i="2"/>
  <c r="AH48" i="2"/>
  <c r="I10" i="4"/>
  <c r="AD48" i="2"/>
  <c r="AI48" i="2"/>
  <c r="AI41" i="2"/>
  <c r="AD41" i="2"/>
  <c r="E10" i="4"/>
  <c r="AM48" i="2"/>
  <c r="AM41" i="2"/>
  <c r="AH41" i="2"/>
  <c r="CW193" i="14" l="1"/>
  <c r="CW192" i="14" s="1"/>
  <c r="E94" i="4"/>
  <c r="E95" i="4" s="1"/>
  <c r="G13" i="4"/>
  <c r="C83" i="10"/>
  <c r="C91" i="10" s="1"/>
  <c r="DW193" i="14"/>
  <c r="DW192" i="14" s="1"/>
  <c r="I94" i="4"/>
  <c r="I95" i="4" s="1"/>
  <c r="CX197" i="14"/>
  <c r="E11" i="4" s="1"/>
  <c r="E13" i="4" s="1"/>
  <c r="AM148" i="12"/>
  <c r="AN152" i="12"/>
  <c r="BX161" i="12"/>
  <c r="BX165" i="12" s="1"/>
  <c r="CC165" i="12"/>
  <c r="AX161" i="14"/>
  <c r="AX165" i="14" s="1"/>
  <c r="BC165" i="14"/>
  <c r="DX162" i="12"/>
  <c r="DX166" i="12" s="1"/>
  <c r="ED166" i="12"/>
  <c r="CK161" i="14"/>
  <c r="CK165" i="14" s="1"/>
  <c r="CP165" i="14"/>
  <c r="AX149" i="12"/>
  <c r="AZ153" i="12"/>
  <c r="CK149" i="14"/>
  <c r="CK153" i="14" s="1"/>
  <c r="CM153" i="14"/>
  <c r="AK149" i="14"/>
  <c r="AK153" i="14" s="1"/>
  <c r="AM153" i="14"/>
  <c r="CK149" i="12"/>
  <c r="CM153" i="12"/>
  <c r="BX149" i="12"/>
  <c r="BZ153" i="12"/>
  <c r="EA148" i="14"/>
  <c r="ED161" i="14"/>
  <c r="ED165" i="14" s="1"/>
  <c r="DY148" i="14"/>
  <c r="DY152" i="14" s="1"/>
  <c r="DU148" i="14"/>
  <c r="DU152" i="14" s="1"/>
  <c r="EC161" i="14"/>
  <c r="DS148" i="14"/>
  <c r="DS152" i="14" s="1"/>
  <c r="DF148" i="12"/>
  <c r="DF152" i="12" s="1"/>
  <c r="DH148" i="12"/>
  <c r="DH152" i="12" s="1"/>
  <c r="DP161" i="12"/>
  <c r="DL148" i="12"/>
  <c r="DL152" i="12" s="1"/>
  <c r="DQ161" i="12"/>
  <c r="DQ165" i="12" s="1"/>
  <c r="DN148" i="12"/>
  <c r="AK149" i="12"/>
  <c r="AM153" i="12"/>
  <c r="BK149" i="12"/>
  <c r="BM153" i="12"/>
  <c r="BX149" i="14"/>
  <c r="BX153" i="14" s="1"/>
  <c r="BZ153" i="14"/>
  <c r="AK161" i="12"/>
  <c r="AK165" i="12" s="1"/>
  <c r="AP165" i="12"/>
  <c r="BZ148" i="12"/>
  <c r="CA152" i="12"/>
  <c r="DZ149" i="12"/>
  <c r="DY153" i="12"/>
  <c r="DX197" i="14"/>
  <c r="I11" i="4" s="1"/>
  <c r="I13" i="4" s="1"/>
  <c r="AK161" i="14"/>
  <c r="AK165" i="14" s="1"/>
  <c r="AP165" i="14"/>
  <c r="BM148" i="12"/>
  <c r="BN152" i="12"/>
  <c r="AX161" i="12"/>
  <c r="AX165" i="12" s="1"/>
  <c r="BC165" i="12"/>
  <c r="DZ149" i="14"/>
  <c r="EA153" i="14"/>
  <c r="CZ148" i="12"/>
  <c r="DA152" i="12"/>
  <c r="DM149" i="14"/>
  <c r="DN153" i="14"/>
  <c r="CM148" i="12"/>
  <c r="CN152" i="12"/>
  <c r="CK161" i="12"/>
  <c r="CK165" i="12" s="1"/>
  <c r="CP165" i="12"/>
  <c r="CZ148" i="14"/>
  <c r="DA152" i="14"/>
  <c r="CZ149" i="12"/>
  <c r="DA153" i="12"/>
  <c r="DM149" i="12"/>
  <c r="DN153" i="12"/>
  <c r="EC161" i="12"/>
  <c r="DS148" i="12"/>
  <c r="DS152" i="12" s="1"/>
  <c r="DU148" i="12"/>
  <c r="DU152" i="12" s="1"/>
  <c r="EA148" i="12"/>
  <c r="ED161" i="12"/>
  <c r="ED165" i="12" s="1"/>
  <c r="DY148" i="12"/>
  <c r="DY152" i="12" s="1"/>
  <c r="DQ161" i="14"/>
  <c r="DQ165" i="14" s="1"/>
  <c r="DL148" i="14"/>
  <c r="DL152" i="14" s="1"/>
  <c r="DH148" i="14"/>
  <c r="DH152" i="14" s="1"/>
  <c r="DN148" i="14"/>
  <c r="DF148" i="14"/>
  <c r="DF152" i="14" s="1"/>
  <c r="DP161" i="14"/>
  <c r="AZ148" i="14"/>
  <c r="BA152" i="14"/>
  <c r="CM148" i="14"/>
  <c r="CN152" i="14"/>
  <c r="AM148" i="14"/>
  <c r="AN152" i="14"/>
  <c r="BK161" i="12"/>
  <c r="BK165" i="12" s="1"/>
  <c r="BP165" i="12"/>
  <c r="BZ148" i="14"/>
  <c r="CA152" i="14"/>
  <c r="BX161" i="14"/>
  <c r="BX165" i="14" s="1"/>
  <c r="K21" i="10" s="1"/>
  <c r="CC165" i="14"/>
  <c r="AZ148" i="12"/>
  <c r="BA152" i="12"/>
  <c r="DX162" i="14"/>
  <c r="DX166" i="14" s="1"/>
  <c r="J21" i="4" s="1"/>
  <c r="EC166" i="14"/>
  <c r="CX161" i="12"/>
  <c r="CX165" i="12" s="1"/>
  <c r="DC165" i="12"/>
  <c r="CX162" i="14"/>
  <c r="CX166" i="14" s="1"/>
  <c r="F21" i="4" s="1"/>
  <c r="DC166" i="14"/>
  <c r="CZ149" i="14"/>
  <c r="DA153" i="14"/>
  <c r="DK162" i="14"/>
  <c r="DK166" i="14" s="1"/>
  <c r="DP166" i="14"/>
  <c r="AX149" i="14"/>
  <c r="AX153" i="14" s="1"/>
  <c r="AZ153" i="14"/>
  <c r="BK149" i="14"/>
  <c r="BK153" i="14" s="1"/>
  <c r="BM153" i="14"/>
  <c r="BK161" i="14"/>
  <c r="BK165" i="14" s="1"/>
  <c r="I21" i="10" s="1"/>
  <c r="BP165" i="14"/>
  <c r="BM148" i="14"/>
  <c r="BN152" i="14"/>
  <c r="CX161" i="14"/>
  <c r="CX165" i="14" s="1"/>
  <c r="DC165" i="14"/>
  <c r="CX162" i="12"/>
  <c r="CX166" i="12" s="1"/>
  <c r="F20" i="4" s="1"/>
  <c r="DD166" i="12"/>
  <c r="DK162" i="12"/>
  <c r="DK166" i="12" s="1"/>
  <c r="DQ166" i="12"/>
  <c r="J22" i="10"/>
  <c r="D21" i="4"/>
  <c r="D22" i="4" s="1"/>
  <c r="I20" i="10"/>
  <c r="L22" i="10"/>
  <c r="E21" i="10"/>
  <c r="G21" i="10"/>
  <c r="E20" i="10"/>
  <c r="F22" i="10"/>
  <c r="K20" i="10"/>
  <c r="H22" i="10"/>
  <c r="G20" i="10"/>
  <c r="AP48" i="2"/>
  <c r="AL48" i="2"/>
  <c r="J20" i="4"/>
  <c r="AP41" i="2"/>
  <c r="C20" i="4"/>
  <c r="AL41" i="2"/>
  <c r="C21" i="4"/>
  <c r="C96" i="4" l="1"/>
  <c r="C103" i="4" s="1"/>
  <c r="DK161" i="14"/>
  <c r="DK165" i="14" s="1"/>
  <c r="DP165" i="14"/>
  <c r="DZ148" i="12"/>
  <c r="EA152" i="12"/>
  <c r="DX149" i="12"/>
  <c r="DZ153" i="12"/>
  <c r="BX148" i="12"/>
  <c r="BZ152" i="12"/>
  <c r="BX171" i="14"/>
  <c r="BW171" i="14" s="1"/>
  <c r="BW153" i="14"/>
  <c r="BJ149" i="12"/>
  <c r="BK153" i="12"/>
  <c r="AJ149" i="12"/>
  <c r="AK153" i="12"/>
  <c r="DK161" i="12"/>
  <c r="DK165" i="12" s="1"/>
  <c r="G20" i="4" s="1"/>
  <c r="DP165" i="12"/>
  <c r="DX161" i="14"/>
  <c r="DX165" i="14" s="1"/>
  <c r="EC165" i="14"/>
  <c r="DZ148" i="14"/>
  <c r="EA152" i="14"/>
  <c r="DM148" i="14"/>
  <c r="DN152" i="14"/>
  <c r="J22" i="4"/>
  <c r="BK148" i="14"/>
  <c r="BK152" i="14" s="1"/>
  <c r="BM152" i="14"/>
  <c r="BK171" i="14"/>
  <c r="BJ171" i="14" s="1"/>
  <c r="BJ153" i="14"/>
  <c r="AX171" i="14"/>
  <c r="AW171" i="14" s="1"/>
  <c r="AW153" i="14"/>
  <c r="CX149" i="14"/>
  <c r="CX153" i="14" s="1"/>
  <c r="CZ153" i="14"/>
  <c r="AX148" i="12"/>
  <c r="AZ152" i="12"/>
  <c r="BX148" i="14"/>
  <c r="BX152" i="14" s="1"/>
  <c r="BZ152" i="14"/>
  <c r="AK148" i="14"/>
  <c r="AK152" i="14" s="1"/>
  <c r="AM152" i="14"/>
  <c r="CK148" i="14"/>
  <c r="CK152" i="14" s="1"/>
  <c r="CM152" i="14"/>
  <c r="AX148" i="14"/>
  <c r="AX152" i="14" s="1"/>
  <c r="AZ152" i="14"/>
  <c r="DX161" i="12"/>
  <c r="DX165" i="12" s="1"/>
  <c r="I20" i="4" s="1"/>
  <c r="EC165" i="12"/>
  <c r="DK149" i="12"/>
  <c r="DM153" i="12"/>
  <c r="CX149" i="12"/>
  <c r="CZ153" i="12"/>
  <c r="CX148" i="14"/>
  <c r="CX152" i="14" s="1"/>
  <c r="CZ152" i="14"/>
  <c r="CK148" i="12"/>
  <c r="CM152" i="12"/>
  <c r="DK149" i="14"/>
  <c r="DK153" i="14" s="1"/>
  <c r="DM153" i="14"/>
  <c r="CX148" i="12"/>
  <c r="CZ152" i="12"/>
  <c r="DX149" i="14"/>
  <c r="DX153" i="14" s="1"/>
  <c r="DZ153" i="14"/>
  <c r="BK148" i="12"/>
  <c r="BM152" i="12"/>
  <c r="DM148" i="12"/>
  <c r="DN152" i="12"/>
  <c r="BW149" i="12"/>
  <c r="BX153" i="12"/>
  <c r="CJ149" i="12"/>
  <c r="CK153" i="12"/>
  <c r="AK171" i="14"/>
  <c r="AJ171" i="14" s="1"/>
  <c r="AJ153" i="14"/>
  <c r="CK171" i="14"/>
  <c r="CJ171" i="14" s="1"/>
  <c r="CJ153" i="14"/>
  <c r="AW149" i="12"/>
  <c r="AX153" i="12"/>
  <c r="AK148" i="12"/>
  <c r="AM152" i="12"/>
  <c r="G22" i="10"/>
  <c r="K22" i="10"/>
  <c r="E22" i="10"/>
  <c r="F22" i="4"/>
  <c r="H20" i="4"/>
  <c r="H21" i="4"/>
  <c r="E20" i="4"/>
  <c r="E21" i="4"/>
  <c r="F16" i="10"/>
  <c r="J16" i="10"/>
  <c r="L16" i="10"/>
  <c r="H16" i="10"/>
  <c r="I22" i="10"/>
  <c r="G21" i="4"/>
  <c r="C22" i="4"/>
  <c r="D16" i="4"/>
  <c r="I21" i="4"/>
  <c r="AK152" i="12" l="1"/>
  <c r="AJ148" i="12"/>
  <c r="AJ147" i="12" s="1"/>
  <c r="DK148" i="12"/>
  <c r="DM152" i="12"/>
  <c r="BK152" i="12"/>
  <c r="BJ148" i="12"/>
  <c r="BJ147" i="12" s="1"/>
  <c r="DX171" i="14"/>
  <c r="DW171" i="14" s="1"/>
  <c r="DW153" i="14"/>
  <c r="CX152" i="12"/>
  <c r="CW148" i="12"/>
  <c r="DK171" i="14"/>
  <c r="DJ171" i="14" s="1"/>
  <c r="DJ153" i="14"/>
  <c r="CK152" i="12"/>
  <c r="CJ148" i="12"/>
  <c r="CJ147" i="12" s="1"/>
  <c r="CX170" i="14"/>
  <c r="CW170" i="14" s="1"/>
  <c r="CW152" i="14"/>
  <c r="CW149" i="12"/>
  <c r="CX153" i="12"/>
  <c r="DJ149" i="12"/>
  <c r="DK153" i="12"/>
  <c r="AX170" i="14"/>
  <c r="AW170" i="14" s="1"/>
  <c r="AW169" i="14" s="1"/>
  <c r="AW152" i="14"/>
  <c r="AW151" i="14" s="1"/>
  <c r="CK170" i="14"/>
  <c r="CJ170" i="14" s="1"/>
  <c r="CJ169" i="14" s="1"/>
  <c r="CJ152" i="14"/>
  <c r="CJ151" i="14" s="1"/>
  <c r="AK170" i="14"/>
  <c r="AJ170" i="14" s="1"/>
  <c r="AJ169" i="14" s="1"/>
  <c r="AJ152" i="14"/>
  <c r="AJ151" i="14" s="1"/>
  <c r="BX170" i="14"/>
  <c r="BW170" i="14" s="1"/>
  <c r="BW169" i="14" s="1"/>
  <c r="BW152" i="14"/>
  <c r="BW151" i="14" s="1"/>
  <c r="AX152" i="12"/>
  <c r="AW148" i="12"/>
  <c r="AW147" i="12" s="1"/>
  <c r="CX171" i="14"/>
  <c r="CW171" i="14" s="1"/>
  <c r="CW153" i="14"/>
  <c r="BK170" i="14"/>
  <c r="BJ170" i="14" s="1"/>
  <c r="BJ169" i="14" s="1"/>
  <c r="BJ152" i="14"/>
  <c r="BJ151" i="14" s="1"/>
  <c r="AK171" i="12"/>
  <c r="AJ171" i="12" s="1"/>
  <c r="AJ153" i="12"/>
  <c r="BK171" i="12"/>
  <c r="BJ171" i="12" s="1"/>
  <c r="BJ153" i="12"/>
  <c r="AX171" i="12"/>
  <c r="AW171" i="12" s="1"/>
  <c r="AW153" i="12"/>
  <c r="CK171" i="12"/>
  <c r="CJ171" i="12" s="1"/>
  <c r="CJ153" i="12"/>
  <c r="BX171" i="12"/>
  <c r="BW171" i="12" s="1"/>
  <c r="BW153" i="12"/>
  <c r="DK148" i="14"/>
  <c r="DK152" i="14" s="1"/>
  <c r="DM152" i="14"/>
  <c r="DX148" i="14"/>
  <c r="DX152" i="14" s="1"/>
  <c r="DZ152" i="14"/>
  <c r="BX152" i="12"/>
  <c r="BW148" i="12"/>
  <c r="BW147" i="12" s="1"/>
  <c r="DW149" i="12"/>
  <c r="DX153" i="12"/>
  <c r="DX148" i="12"/>
  <c r="DZ152" i="12"/>
  <c r="G22" i="4"/>
  <c r="E22" i="4"/>
  <c r="H22" i="4"/>
  <c r="F15" i="10"/>
  <c r="F18" i="10" s="1"/>
  <c r="F23" i="10" s="1"/>
  <c r="E16" i="10"/>
  <c r="I16" i="10"/>
  <c r="J15" i="10"/>
  <c r="J18" i="10" s="1"/>
  <c r="J23" i="10" s="1"/>
  <c r="L15" i="10"/>
  <c r="L18" i="10" s="1"/>
  <c r="L23" i="10" s="1"/>
  <c r="K16" i="10"/>
  <c r="H15" i="10"/>
  <c r="H18" i="10" s="1"/>
  <c r="H23" i="10" s="1"/>
  <c r="G16" i="10"/>
  <c r="H16" i="4"/>
  <c r="F16" i="4"/>
  <c r="I22" i="4"/>
  <c r="J16" i="4"/>
  <c r="D15" i="4"/>
  <c r="D18" i="4" s="1"/>
  <c r="D23" i="4" s="1"/>
  <c r="D32" i="4" s="1"/>
  <c r="D34" i="4" s="1"/>
  <c r="D36" i="4" s="1"/>
  <c r="D74" i="4" s="1"/>
  <c r="C16" i="4"/>
  <c r="E16" i="4"/>
  <c r="F102" i="7" l="1"/>
  <c r="J5" i="11" s="1"/>
  <c r="H32" i="10"/>
  <c r="H34" i="10" s="1"/>
  <c r="H36" i="10" s="1"/>
  <c r="H39" i="10" s="1"/>
  <c r="H102" i="7"/>
  <c r="L5" i="11" s="1"/>
  <c r="L32" i="10"/>
  <c r="L34" i="10" s="1"/>
  <c r="L36" i="10" s="1"/>
  <c r="L39" i="10" s="1"/>
  <c r="E102" i="7"/>
  <c r="I5" i="11" s="1"/>
  <c r="F32" i="10"/>
  <c r="F34" i="10" s="1"/>
  <c r="F36" i="10" s="1"/>
  <c r="F39" i="10" s="1"/>
  <c r="G102" i="7"/>
  <c r="K5" i="11" s="1"/>
  <c r="J32" i="10"/>
  <c r="J34" i="10" s="1"/>
  <c r="J36" i="10" s="1"/>
  <c r="J39" i="10" s="1"/>
  <c r="DX171" i="12"/>
  <c r="DW171" i="12" s="1"/>
  <c r="DW153" i="12"/>
  <c r="DK171" i="12"/>
  <c r="DJ171" i="12" s="1"/>
  <c r="DJ153" i="12"/>
  <c r="CX171" i="12"/>
  <c r="CW171" i="12" s="1"/>
  <c r="CW153" i="12"/>
  <c r="CW151" i="14"/>
  <c r="CW147" i="12"/>
  <c r="DX152" i="12"/>
  <c r="DW148" i="12"/>
  <c r="DW147" i="12" s="1"/>
  <c r="BX170" i="12"/>
  <c r="BW170" i="12" s="1"/>
  <c r="BW169" i="12" s="1"/>
  <c r="BW152" i="12"/>
  <c r="BW151" i="12" s="1"/>
  <c r="DX170" i="14"/>
  <c r="DW170" i="14" s="1"/>
  <c r="DW169" i="14" s="1"/>
  <c r="DW152" i="14"/>
  <c r="DW151" i="14" s="1"/>
  <c r="DK170" i="14"/>
  <c r="DJ170" i="14" s="1"/>
  <c r="DJ169" i="14" s="1"/>
  <c r="DJ152" i="14"/>
  <c r="DJ151" i="14" s="1"/>
  <c r="AX170" i="12"/>
  <c r="AW170" i="12" s="1"/>
  <c r="AW169" i="12" s="1"/>
  <c r="AW152" i="12"/>
  <c r="AW151" i="12" s="1"/>
  <c r="CW169" i="14"/>
  <c r="CK170" i="12"/>
  <c r="CJ170" i="12" s="1"/>
  <c r="CJ169" i="12" s="1"/>
  <c r="CJ152" i="12"/>
  <c r="CJ151" i="12" s="1"/>
  <c r="CX170" i="12"/>
  <c r="CW170" i="12" s="1"/>
  <c r="CW169" i="12" s="1"/>
  <c r="CW152" i="12"/>
  <c r="CW151" i="12" s="1"/>
  <c r="BK170" i="12"/>
  <c r="BJ170" i="12" s="1"/>
  <c r="BJ169" i="12" s="1"/>
  <c r="BJ152" i="12"/>
  <c r="BJ151" i="12" s="1"/>
  <c r="DK152" i="12"/>
  <c r="DJ148" i="12"/>
  <c r="DJ147" i="12" s="1"/>
  <c r="AK170" i="12"/>
  <c r="AJ170" i="12" s="1"/>
  <c r="AJ169" i="12" s="1"/>
  <c r="AJ152" i="12"/>
  <c r="AJ151" i="12" s="1"/>
  <c r="I15" i="10"/>
  <c r="I18" i="10" s="1"/>
  <c r="I23" i="10" s="1"/>
  <c r="I32" i="10" s="1"/>
  <c r="I34" i="10" s="1"/>
  <c r="I36" i="10" s="1"/>
  <c r="I39" i="10" s="1"/>
  <c r="E15" i="10"/>
  <c r="E18" i="10" s="1"/>
  <c r="E23" i="10" s="1"/>
  <c r="E32" i="10" s="1"/>
  <c r="E34" i="10" s="1"/>
  <c r="E36" i="10" s="1"/>
  <c r="E39" i="10" s="1"/>
  <c r="G15" i="10"/>
  <c r="G18" i="10" s="1"/>
  <c r="G23" i="10" s="1"/>
  <c r="G32" i="10" s="1"/>
  <c r="G34" i="10" s="1"/>
  <c r="G36" i="10" s="1"/>
  <c r="G39" i="10" s="1"/>
  <c r="K15" i="10"/>
  <c r="K18" i="10" s="1"/>
  <c r="K23" i="10" s="1"/>
  <c r="K32" i="10" s="1"/>
  <c r="K34" i="10" s="1"/>
  <c r="K36" i="10" s="1"/>
  <c r="K39" i="10" s="1"/>
  <c r="G16" i="4"/>
  <c r="I16" i="4"/>
  <c r="E15" i="4"/>
  <c r="E18" i="4" s="1"/>
  <c r="E23" i="4" s="1"/>
  <c r="E32" i="4" s="1"/>
  <c r="E34" i="4" s="1"/>
  <c r="E36" i="4" s="1"/>
  <c r="E74" i="4" s="1"/>
  <c r="C15" i="4"/>
  <c r="C18" i="4" s="1"/>
  <c r="C23" i="4" s="1"/>
  <c r="C32" i="4" s="1"/>
  <c r="C34" i="4" s="1"/>
  <c r="C36" i="4" s="1"/>
  <c r="C74" i="4" s="1"/>
  <c r="F15" i="4"/>
  <c r="F18" i="4" s="1"/>
  <c r="F23" i="4" s="1"/>
  <c r="F32" i="4" s="1"/>
  <c r="F34" i="4" s="1"/>
  <c r="F36" i="4" s="1"/>
  <c r="F74" i="4" s="1"/>
  <c r="H15" i="4"/>
  <c r="H18" i="4" s="1"/>
  <c r="H23" i="4" s="1"/>
  <c r="H32" i="4" s="1"/>
  <c r="H34" i="4" s="1"/>
  <c r="H36" i="4" s="1"/>
  <c r="H74" i="4" s="1"/>
  <c r="J15" i="4"/>
  <c r="J18" i="4" s="1"/>
  <c r="J23" i="4" s="1"/>
  <c r="J32" i="4" s="1"/>
  <c r="J34" i="4" s="1"/>
  <c r="J36" i="4" s="1"/>
  <c r="J74" i="4" s="1"/>
  <c r="E68" i="11" l="1"/>
  <c r="C68" i="11"/>
  <c r="I8" i="11"/>
  <c r="I9" i="11" s="1"/>
  <c r="I10" i="11" s="1"/>
  <c r="J7" i="11" s="1"/>
  <c r="J8" i="11" s="1"/>
  <c r="J9" i="11" s="1"/>
  <c r="J10" i="11" s="1"/>
  <c r="K7" i="11" s="1"/>
  <c r="H11" i="11"/>
  <c r="F68" i="11"/>
  <c r="D68" i="11"/>
  <c r="F103" i="7"/>
  <c r="F101" i="7"/>
  <c r="D5" i="11" s="1"/>
  <c r="G103" i="7"/>
  <c r="E36" i="11" s="1"/>
  <c r="G101" i="7"/>
  <c r="E5" i="11" s="1"/>
  <c r="H103" i="7"/>
  <c r="H101" i="7"/>
  <c r="F5" i="11" s="1"/>
  <c r="E103" i="7"/>
  <c r="E101" i="7"/>
  <c r="C5" i="11" s="1"/>
  <c r="DK170" i="12"/>
  <c r="DJ170" i="12" s="1"/>
  <c r="DJ169" i="12" s="1"/>
  <c r="DJ152" i="12"/>
  <c r="DJ151" i="12" s="1"/>
  <c r="DX170" i="12"/>
  <c r="DW170" i="12" s="1"/>
  <c r="DW169" i="12" s="1"/>
  <c r="DW152" i="12"/>
  <c r="DW151" i="12" s="1"/>
  <c r="I44" i="10"/>
  <c r="I46" i="10" s="1"/>
  <c r="I48" i="10" s="1"/>
  <c r="I51" i="10" s="1"/>
  <c r="I69" i="10"/>
  <c r="J58" i="10"/>
  <c r="I58" i="10"/>
  <c r="L58" i="10"/>
  <c r="K44" i="10"/>
  <c r="K46" i="10" s="1"/>
  <c r="K48" i="10" s="1"/>
  <c r="K51" i="10" s="1"/>
  <c r="K58" i="10"/>
  <c r="F36" i="11"/>
  <c r="K69" i="10"/>
  <c r="C60" i="10"/>
  <c r="G58" i="10"/>
  <c r="G44" i="10"/>
  <c r="G46" i="10" s="1"/>
  <c r="G48" i="10" s="1"/>
  <c r="G51" i="10" s="1"/>
  <c r="H58" i="10"/>
  <c r="D36" i="11"/>
  <c r="G69" i="10"/>
  <c r="C36" i="11"/>
  <c r="C59" i="10"/>
  <c r="E44" i="10"/>
  <c r="E46" i="10" s="1"/>
  <c r="E48" i="10" s="1"/>
  <c r="E51" i="10" s="1"/>
  <c r="E69" i="10"/>
  <c r="F58" i="10"/>
  <c r="E58" i="10"/>
  <c r="C48" i="4"/>
  <c r="C50" i="4" s="1"/>
  <c r="C52" i="4" s="1"/>
  <c r="D65" i="4"/>
  <c r="C65" i="4"/>
  <c r="C83" i="4"/>
  <c r="G15" i="4"/>
  <c r="G18" i="4" s="1"/>
  <c r="G23" i="4" s="1"/>
  <c r="G32" i="4" s="1"/>
  <c r="G34" i="4" s="1"/>
  <c r="G36" i="4" s="1"/>
  <c r="G74" i="4" s="1"/>
  <c r="I15" i="4"/>
  <c r="I18" i="4" s="1"/>
  <c r="I23" i="4" s="1"/>
  <c r="I32" i="4" s="1"/>
  <c r="I34" i="4" s="1"/>
  <c r="I36" i="4" s="1"/>
  <c r="I74" i="4" s="1"/>
  <c r="F65" i="4"/>
  <c r="E83" i="4"/>
  <c r="E65" i="4"/>
  <c r="E48" i="4"/>
  <c r="E50" i="4" s="1"/>
  <c r="E52" i="4" s="1"/>
  <c r="K8" i="11" l="1"/>
  <c r="K9" i="11" s="1"/>
  <c r="K10" i="11" s="1"/>
  <c r="L7" i="11" s="1"/>
  <c r="C67" i="11"/>
  <c r="C8" i="11"/>
  <c r="C9" i="11" s="1"/>
  <c r="B11" i="11"/>
  <c r="F67" i="11"/>
  <c r="E67" i="11"/>
  <c r="D67" i="11"/>
  <c r="H27" i="11"/>
  <c r="K53" i="10"/>
  <c r="C70" i="11"/>
  <c r="C39" i="11"/>
  <c r="C40" i="11" s="1"/>
  <c r="C41" i="11" s="1"/>
  <c r="D38" i="11" s="1"/>
  <c r="D39" i="11" s="1"/>
  <c r="D40" i="11" s="1"/>
  <c r="B42" i="11"/>
  <c r="D70" i="11"/>
  <c r="E70" i="11"/>
  <c r="G94" i="7" s="1"/>
  <c r="E77" i="4"/>
  <c r="F77" i="4" s="1"/>
  <c r="C66" i="4"/>
  <c r="F70" i="11"/>
  <c r="H94" i="7" s="1"/>
  <c r="I65" i="4"/>
  <c r="I48" i="4"/>
  <c r="I50" i="4" s="1"/>
  <c r="I52" i="4" s="1"/>
  <c r="J65" i="4"/>
  <c r="I83" i="4"/>
  <c r="G65" i="4"/>
  <c r="G48" i="4"/>
  <c r="G50" i="4" s="1"/>
  <c r="G52" i="4" s="1"/>
  <c r="H65" i="4"/>
  <c r="G83" i="4"/>
  <c r="C77" i="4"/>
  <c r="D77" i="4" s="1"/>
  <c r="C67" i="4"/>
  <c r="H81" i="7" l="1"/>
  <c r="H85" i="7"/>
  <c r="L8" i="11"/>
  <c r="L9" i="11" s="1"/>
  <c r="H12" i="11" s="1"/>
  <c r="B27" i="11"/>
  <c r="C10" i="11"/>
  <c r="D7" i="11" s="1"/>
  <c r="G77" i="4"/>
  <c r="H77" i="4" s="1"/>
  <c r="I77" i="4"/>
  <c r="J77" i="4" s="1"/>
  <c r="D41" i="11"/>
  <c r="E38" i="11" s="1"/>
  <c r="E39" i="11" s="1"/>
  <c r="E40" i="11" s="1"/>
  <c r="E41" i="11" s="1"/>
  <c r="F38" i="11" s="1"/>
  <c r="B58" i="11"/>
  <c r="L10" i="11" l="1"/>
  <c r="D8" i="11"/>
  <c r="D9" i="11" s="1"/>
  <c r="H28" i="11"/>
  <c r="H13" i="11"/>
  <c r="H17" i="11"/>
  <c r="F39" i="11"/>
  <c r="F40" i="11" s="1"/>
  <c r="B43" i="11" s="1"/>
  <c r="H20" i="11" l="1"/>
  <c r="J21" i="11"/>
  <c r="I21" i="11"/>
  <c r="H21" i="11"/>
  <c r="K21" i="11"/>
  <c r="D10" i="11"/>
  <c r="E7" i="11" s="1"/>
  <c r="B59" i="11"/>
  <c r="B44" i="11"/>
  <c r="B48" i="11"/>
  <c r="F41" i="11"/>
  <c r="K22" i="11" l="1"/>
  <c r="K24" i="11" s="1"/>
  <c r="I22" i="11"/>
  <c r="I24" i="11" s="1"/>
  <c r="E8" i="11"/>
  <c r="E9" i="11" s="1"/>
  <c r="E10" i="11" s="1"/>
  <c r="F7" i="11" s="1"/>
  <c r="H23" i="11"/>
  <c r="H22" i="11"/>
  <c r="H24" i="11" s="1"/>
  <c r="J22" i="11"/>
  <c r="J24" i="11" s="1"/>
  <c r="B51" i="11"/>
  <c r="C52" i="11"/>
  <c r="B52" i="11"/>
  <c r="D52" i="11"/>
  <c r="E52" i="11"/>
  <c r="F8" i="11" l="1"/>
  <c r="F9" i="11" s="1"/>
  <c r="F10" i="11" s="1"/>
  <c r="H25" i="11"/>
  <c r="B12" i="11"/>
  <c r="D53" i="11"/>
  <c r="D55" i="11" s="1"/>
  <c r="C53" i="11"/>
  <c r="C55" i="11" s="1"/>
  <c r="E53" i="11"/>
  <c r="E55" i="11" s="1"/>
  <c r="B54" i="11"/>
  <c r="B53" i="11"/>
  <c r="B55" i="11" s="1"/>
  <c r="B28" i="11" l="1"/>
  <c r="B13" i="11"/>
  <c r="B17" i="11"/>
  <c r="H26" i="11"/>
  <c r="I20" i="11" s="1"/>
  <c r="I23" i="11" s="1"/>
  <c r="I25" i="11" s="1"/>
  <c r="I26" i="11" s="1"/>
  <c r="J20" i="11" s="1"/>
  <c r="J23" i="11" s="1"/>
  <c r="J25" i="11" s="1"/>
  <c r="J26" i="11" s="1"/>
  <c r="K20" i="11" s="1"/>
  <c r="K23" i="11" s="1"/>
  <c r="K25" i="11" s="1"/>
  <c r="K26" i="11" s="1"/>
  <c r="B56" i="11"/>
  <c r="B57" i="11" s="1"/>
  <c r="C51" i="11" s="1"/>
  <c r="C54" i="11" s="1"/>
  <c r="C21" i="11" l="1"/>
  <c r="E21" i="11"/>
  <c r="B20" i="11"/>
  <c r="B21" i="11"/>
  <c r="D21" i="11"/>
  <c r="H29" i="11"/>
  <c r="H30" i="11" s="1"/>
  <c r="C56" i="11"/>
  <c r="B22" i="11" l="1"/>
  <c r="B24" i="11" s="1"/>
  <c r="B23" i="11"/>
  <c r="E22" i="11"/>
  <c r="E24" i="11" s="1"/>
  <c r="J31" i="11"/>
  <c r="H31" i="11"/>
  <c r="I31" i="11"/>
  <c r="K31" i="11"/>
  <c r="D22" i="11"/>
  <c r="D24" i="11" s="1"/>
  <c r="C22" i="11"/>
  <c r="C24" i="11" s="1"/>
  <c r="C57" i="11"/>
  <c r="D51" i="11" s="1"/>
  <c r="D54" i="11" s="1"/>
  <c r="D56" i="11" s="1"/>
  <c r="D57" i="11" s="1"/>
  <c r="E51" i="11" s="1"/>
  <c r="E54" i="11" s="1"/>
  <c r="E56" i="11" s="1"/>
  <c r="E57" i="11" s="1"/>
  <c r="B25" i="11" l="1"/>
  <c r="B26" i="11" s="1"/>
  <c r="C20" i="11" s="1"/>
  <c r="C23" i="11" s="1"/>
  <c r="C25" i="11" s="1"/>
  <c r="C26" i="11" s="1"/>
  <c r="D20" i="11" s="1"/>
  <c r="D23" i="11" s="1"/>
  <c r="D25" i="11" s="1"/>
  <c r="D26" i="11" s="1"/>
  <c r="E20" i="11" s="1"/>
  <c r="E23" i="11" s="1"/>
  <c r="E25" i="11" s="1"/>
  <c r="E26" i="11" s="1"/>
  <c r="B60" i="11"/>
  <c r="B61" i="11" s="1"/>
  <c r="B29" i="11" l="1"/>
  <c r="B30" i="11" s="1"/>
  <c r="C62" i="11"/>
  <c r="B62" i="11"/>
  <c r="E62" i="11"/>
  <c r="D62" i="11"/>
  <c r="K70" i="11" l="1"/>
  <c r="L100" i="7" s="1"/>
  <c r="I53" i="4" s="1"/>
  <c r="I54" i="4" s="1"/>
  <c r="I76" i="4" s="1"/>
  <c r="J76" i="4" s="1"/>
  <c r="K68" i="11"/>
  <c r="I70" i="11"/>
  <c r="J95" i="7" s="1"/>
  <c r="I68" i="11"/>
  <c r="J70" i="11"/>
  <c r="K100" i="7" s="1"/>
  <c r="G53" i="4" s="1"/>
  <c r="G54" i="4" s="1"/>
  <c r="G76" i="4" s="1"/>
  <c r="H76" i="4" s="1"/>
  <c r="J68" i="11"/>
  <c r="H70" i="11"/>
  <c r="I100" i="7" s="1"/>
  <c r="C53" i="4" s="1"/>
  <c r="C54" i="4" s="1"/>
  <c r="H68" i="11"/>
  <c r="E31" i="11"/>
  <c r="K67" i="11" s="1"/>
  <c r="C31" i="11"/>
  <c r="I67" i="11" s="1"/>
  <c r="D31" i="11"/>
  <c r="J67" i="11" s="1"/>
  <c r="B31" i="11"/>
  <c r="H67" i="11" s="1"/>
  <c r="K95" i="7"/>
  <c r="L95" i="7"/>
  <c r="J100" i="7"/>
  <c r="E53" i="4" s="1"/>
  <c r="E54" i="4" s="1"/>
  <c r="E76" i="4" s="1"/>
  <c r="F76" i="4" s="1"/>
  <c r="I95" i="7" l="1"/>
  <c r="I86" i="7"/>
  <c r="I99" i="7"/>
  <c r="D37" i="4" s="1"/>
  <c r="D38" i="4" s="1"/>
  <c r="K99" i="7"/>
  <c r="H37" i="4" s="1"/>
  <c r="H38" i="4" s="1"/>
  <c r="H73" i="4" s="1"/>
  <c r="K86" i="7"/>
  <c r="J86" i="7"/>
  <c r="J99" i="7"/>
  <c r="F37" i="4" s="1"/>
  <c r="F38" i="4" s="1"/>
  <c r="F73" i="4" s="1"/>
  <c r="L86" i="7"/>
  <c r="L99" i="7"/>
  <c r="J37" i="4" s="1"/>
  <c r="J38" i="4" s="1"/>
  <c r="J73" i="4" s="1"/>
  <c r="I82" i="7"/>
  <c r="I98" i="7"/>
  <c r="C37" i="4" s="1"/>
  <c r="C38" i="4" s="1"/>
  <c r="J82" i="7"/>
  <c r="J98" i="7"/>
  <c r="E37" i="4" s="1"/>
  <c r="E38" i="4" s="1"/>
  <c r="E73" i="4" s="1"/>
  <c r="K82" i="7"/>
  <c r="K98" i="7"/>
  <c r="G37" i="4" s="1"/>
  <c r="G38" i="4" s="1"/>
  <c r="G73" i="4" s="1"/>
  <c r="L82" i="7"/>
  <c r="L98" i="7"/>
  <c r="I37" i="4" s="1"/>
  <c r="I38" i="4" s="1"/>
  <c r="I73" i="4" s="1"/>
  <c r="C55" i="4"/>
  <c r="C60" i="4" s="1"/>
  <c r="G60" i="4" s="1"/>
  <c r="C76" i="4"/>
  <c r="D76" i="4" s="1"/>
  <c r="D73" i="4" l="1"/>
  <c r="G39" i="4"/>
  <c r="G43" i="4" s="1"/>
  <c r="C73" i="4"/>
  <c r="C39" i="4"/>
  <c r="C43" i="4" s="1"/>
</calcChain>
</file>

<file path=xl/sharedStrings.xml><?xml version="1.0" encoding="utf-8"?>
<sst xmlns="http://schemas.openxmlformats.org/spreadsheetml/2006/main" count="5448" uniqueCount="1003">
  <si>
    <t>Nr.</t>
  </si>
  <si>
    <t xml:space="preserve">Bezeichnung </t>
  </si>
  <si>
    <t>Zeile</t>
  </si>
  <si>
    <t>Kostenaufteilungsschlüssel 
auf Kostenträger in %</t>
  </si>
  <si>
    <t>Schmutz-
wasser-
beseitigung</t>
  </si>
  <si>
    <t>Regenwasserbeseitigung</t>
  </si>
  <si>
    <t>Summe in %
(muss stets
100% sein)</t>
  </si>
  <si>
    <t>Grundstücks-flächen</t>
  </si>
  <si>
    <t>Straßen-
flächen</t>
  </si>
  <si>
    <t>1</t>
  </si>
  <si>
    <t>Anlagevermögen</t>
  </si>
  <si>
    <t>1.1</t>
  </si>
  <si>
    <t>Kanalsystem</t>
  </si>
  <si>
    <t>1.2</t>
  </si>
  <si>
    <t>Kanal - Schmutzwasser</t>
  </si>
  <si>
    <t>kas</t>
  </si>
  <si>
    <t>1.3</t>
  </si>
  <si>
    <t>Kanal - Mischwasser</t>
  </si>
  <si>
    <t>kam</t>
  </si>
  <si>
    <t>1.4</t>
  </si>
  <si>
    <t>Kanal - Regenwasser</t>
  </si>
  <si>
    <t>kar</t>
  </si>
  <si>
    <t>1.5</t>
  </si>
  <si>
    <t>Kanal - nicht zuordenbar</t>
  </si>
  <si>
    <t>kaz</t>
  </si>
  <si>
    <t>1.6</t>
  </si>
  <si>
    <t>Kläranlage</t>
  </si>
  <si>
    <t>1.7</t>
  </si>
  <si>
    <t>Kläranlage - Schmutzwasser (z.B.Schlammbehandlung)</t>
  </si>
  <si>
    <t>kls</t>
  </si>
  <si>
    <t>1.8</t>
  </si>
  <si>
    <t>Kläranlage - Mech.-hydraul.Teil - Schmutzwasser</t>
  </si>
  <si>
    <t>klm</t>
  </si>
  <si>
    <t>1.9</t>
  </si>
  <si>
    <t>Kläranlage - Mech.-hydraul.Teil - Regenwasser</t>
  </si>
  <si>
    <t>klr</t>
  </si>
  <si>
    <t>1.10</t>
  </si>
  <si>
    <t>Kläranlage - allgemein (= Regelzuordnung)</t>
  </si>
  <si>
    <t>klk</t>
  </si>
  <si>
    <t>1.11</t>
  </si>
  <si>
    <t>Kläranlage - nicht zuordenbar</t>
  </si>
  <si>
    <t>klz</t>
  </si>
  <si>
    <t>1.12</t>
  </si>
  <si>
    <t>Sonderbauwerke</t>
  </si>
  <si>
    <t>1.13</t>
  </si>
  <si>
    <t>Sonderbauwerke -Schmutzwasser</t>
  </si>
  <si>
    <t>sos</t>
  </si>
  <si>
    <t>1.14</t>
  </si>
  <si>
    <t>Sonderbauwerke - Mischwasser</t>
  </si>
  <si>
    <t>som</t>
  </si>
  <si>
    <t>1.15</t>
  </si>
  <si>
    <t>Sonderbauwerke - Regenwasser</t>
  </si>
  <si>
    <t>sor</t>
  </si>
  <si>
    <t>1.16</t>
  </si>
  <si>
    <t>Sonderbauwerke - nicht zuordenbar</t>
  </si>
  <si>
    <t>soz</t>
  </si>
  <si>
    <t>1.17</t>
  </si>
  <si>
    <t>Hausanschlüsse</t>
  </si>
  <si>
    <t>1.18</t>
  </si>
  <si>
    <t>Hausanschlüsse - Schmutzwasser</t>
  </si>
  <si>
    <t>has</t>
  </si>
  <si>
    <t>1.19</t>
  </si>
  <si>
    <t>Hausanschlüsse - Mischwasser</t>
  </si>
  <si>
    <t>ham</t>
  </si>
  <si>
    <t>1.20</t>
  </si>
  <si>
    <t>Hausanschlüsse - Regenwasser (Grundstücke)</t>
  </si>
  <si>
    <t>har</t>
  </si>
  <si>
    <t>1.21</t>
  </si>
  <si>
    <t>Hausanschlüsse - nicht zuordenbar</t>
  </si>
  <si>
    <t>haz</t>
  </si>
  <si>
    <t>1.22</t>
  </si>
  <si>
    <t xml:space="preserve">Sonstige Anlagegüter </t>
  </si>
  <si>
    <t>1.23</t>
  </si>
  <si>
    <t>Sonstige Anlagegüter -Schmutzwasser</t>
  </si>
  <si>
    <t>sas</t>
  </si>
  <si>
    <t>1.24</t>
  </si>
  <si>
    <t>Sonstige Anlagegüter - Mischwasser</t>
  </si>
  <si>
    <t>sam</t>
  </si>
  <si>
    <t>1.25</t>
  </si>
  <si>
    <t>Sonstige Anlagegüter - Regenwasser</t>
  </si>
  <si>
    <t>sar</t>
  </si>
  <si>
    <t>1.26</t>
  </si>
  <si>
    <t>Sonstige Anlagegüter - nicht zuordenbar</t>
  </si>
  <si>
    <t>saz</t>
  </si>
  <si>
    <t>2</t>
  </si>
  <si>
    <t>Beiträge</t>
  </si>
  <si>
    <t>2.1</t>
  </si>
  <si>
    <t xml:space="preserve">Verbesserungsbeitr "bes" </t>
  </si>
  <si>
    <t>bes</t>
  </si>
  <si>
    <t>2.2</t>
  </si>
  <si>
    <t xml:space="preserve">Verbesserungsbeitr "bem" </t>
  </si>
  <si>
    <t>bem</t>
  </si>
  <si>
    <t>2.3</t>
  </si>
  <si>
    <t xml:space="preserve">Verbesserungsbeitr "ber" </t>
  </si>
  <si>
    <t>ber</t>
  </si>
  <si>
    <t>2.4</t>
  </si>
  <si>
    <t>Verbesserungsbeitr. "bek" (Kläranlage)</t>
  </si>
  <si>
    <t>bek</t>
  </si>
  <si>
    <t>2.5</t>
  </si>
  <si>
    <t>Herstellungbeiträge -Verteil. Auflösung-</t>
  </si>
  <si>
    <t>bez</t>
  </si>
  <si>
    <t>2.6</t>
  </si>
  <si>
    <t>Herstellungsbeiträge -Verteil. Zinsen-</t>
  </si>
  <si>
    <t>3</t>
  </si>
  <si>
    <t>Zuwendungen</t>
  </si>
  <si>
    <t>3.1</t>
  </si>
  <si>
    <t>Zuwendungen für Schmutzwasser</t>
  </si>
  <si>
    <t>zus</t>
  </si>
  <si>
    <t>3.2</t>
  </si>
  <si>
    <t>Zuwendungen für Mischwasser</t>
  </si>
  <si>
    <t>zum</t>
  </si>
  <si>
    <t>3.3</t>
  </si>
  <si>
    <t>Zuwendungen für Regenwasser</t>
  </si>
  <si>
    <t>zur</t>
  </si>
  <si>
    <t>3.4</t>
  </si>
  <si>
    <t xml:space="preserve">Zuwendungen für Kläranlage </t>
  </si>
  <si>
    <t>zuk</t>
  </si>
  <si>
    <t>3.5</t>
  </si>
  <si>
    <t>Zuw.-nicht zuordenbar -Verteil.Auflösung</t>
  </si>
  <si>
    <t>zuz</t>
  </si>
  <si>
    <t>3.6</t>
  </si>
  <si>
    <t>Zuw.-nicht zuordenbar -Verteil.Zinsen</t>
  </si>
  <si>
    <t>4</t>
  </si>
  <si>
    <t xml:space="preserve">Unterhalt und Betrieb </t>
  </si>
  <si>
    <t>4.1</t>
  </si>
  <si>
    <t>Schmutzwasserbeseitigung</t>
  </si>
  <si>
    <t>uns</t>
  </si>
  <si>
    <t>4.2</t>
  </si>
  <si>
    <t>Mischwasserbeseitigung</t>
  </si>
  <si>
    <t>unm</t>
  </si>
  <si>
    <t>4.3</t>
  </si>
  <si>
    <t>Regenwasserbeseitigung - Grundst. u. Straßen</t>
  </si>
  <si>
    <t>unr</t>
  </si>
  <si>
    <t>4.4</t>
  </si>
  <si>
    <t>unk</t>
  </si>
  <si>
    <t>5</t>
  </si>
  <si>
    <t>alz</t>
  </si>
  <si>
    <t>5.2</t>
  </si>
  <si>
    <t>Preisindizes für die Ermittlung des Wiederbeschaffngszeitwertes</t>
  </si>
  <si>
    <t xml:space="preserve">Preisindex für </t>
  </si>
  <si>
    <t>Jahr</t>
  </si>
  <si>
    <t>Wasserleitungen, Schmutz-, Misch-, Regenwasserkanäle, Hausanschlüsse</t>
  </si>
  <si>
    <t>Betriebsgebäude 
(auch Wohngebäude), 
Gelände</t>
  </si>
  <si>
    <t>Sonstiges
(z.B. Prozessleittechnik, Elektro/Elektronik, Fuhrpark, Betriebs- und Gesachäfts-ausstattung</t>
  </si>
  <si>
    <t>Gruppenzu-ordnung zur Berechnung des Wieder-beschaffungs-zeitwertes
k=Leitung
b=Bauwerke
g=Betr-Geb..
a=allg.Index</t>
  </si>
  <si>
    <t>Abschreibungen</t>
  </si>
  <si>
    <t>Restbuchwerte und 
bisherige Abschreibungen</t>
  </si>
  <si>
    <t>Abschreibungs-
satz 
in %</t>
  </si>
  <si>
    <t>Abschreibungs.
betrag linear 
jährlich</t>
  </si>
  <si>
    <t>Herstellungs-/ Anschaffungs-kosten 
in €  
bis zum</t>
  </si>
  <si>
    <t xml:space="preserve">Anlagevermögen  (Zugänge, Abschreibungen, Restbuchwerte) </t>
  </si>
  <si>
    <t>Werte für Zinsberech. Halbwertmethode</t>
  </si>
  <si>
    <t>Werte und Abschreibungen aus Wiederbeschaffungszeitwert</t>
  </si>
  <si>
    <t>Anl.
Nr.</t>
  </si>
  <si>
    <t>Bezeichnung 1</t>
  </si>
  <si>
    <t>Bezeichnung 2</t>
  </si>
  <si>
    <t>Zuord-nungs- Schlüssel</t>
  </si>
  <si>
    <t>Herstellungs-/ Anschaffungs-kosten 
in €</t>
  </si>
  <si>
    <t>Reswert
in € (optional)</t>
  </si>
  <si>
    <t>Leerspalte nicht löschen</t>
  </si>
  <si>
    <t>Zugang/
Abgang(-) 
in €
im Jahr</t>
  </si>
  <si>
    <t>Zugang/ Abgang(-) f. Restbuchw-Berechnung</t>
  </si>
  <si>
    <t>Jahresmittel-wert aus Zugang/
Abgang(-)
im Jahr</t>
  </si>
  <si>
    <t>Mittelwert aus Zugang /Abg(-) f. Restbuchw.-Berechnung</t>
  </si>
  <si>
    <t>Berichtigte An-sch-Kost zur Berechn. des mittleren Abschr-satzes</t>
  </si>
  <si>
    <t>Abschrei-bungen 
in € 
im Jahr</t>
  </si>
  <si>
    <t>Abschrei-bungen f.Restbuchw.-Berechnung</t>
  </si>
  <si>
    <t>Restbuch-
werte 
in € 
zum</t>
  </si>
  <si>
    <t>Restbuch wert f. Restbuchw--Berechnung</t>
  </si>
  <si>
    <t>Abschrei-bungen insgesamt 
in € 
bis zum</t>
  </si>
  <si>
    <t>Grund-
stücks-
werte 
in €
zum</t>
  </si>
  <si>
    <t>Abschreib-bares Anlage-vermögen 
in € 
zum</t>
  </si>
  <si>
    <t>Wieder-beschaf-fungs-faktor 1 
im Jahr</t>
  </si>
  <si>
    <t>Wieder-beschaf-fungs-faktor 2 
im Jahr</t>
  </si>
  <si>
    <t>Wiederbeschaf-fungszeitwert 
im €
im Jahr</t>
  </si>
  <si>
    <t>Jahre</t>
  </si>
  <si>
    <t>%</t>
  </si>
  <si>
    <t>Summe</t>
  </si>
  <si>
    <t>Herstellungs-/ Anschaffungs-Datum
(Inbetrieb-nahme)</t>
  </si>
  <si>
    <t>Kanalsystem (Summe Schl: kas, kam, kar, kaz)</t>
  </si>
  <si>
    <t xml:space="preserve"> - hiervon Schmutzwasser</t>
  </si>
  <si>
    <t xml:space="preserve"> - hiervon Regenw.-Grundst.</t>
  </si>
  <si>
    <t xml:space="preserve"> - hiervon Regenw.-Straßen</t>
  </si>
  <si>
    <t>Kläranlage (Summe Schl: kls, klm, klr, klk, klz)</t>
  </si>
  <si>
    <t>Sonderbauwerke  (Summe Schl: sos, som, soz)</t>
  </si>
  <si>
    <t>Hausanschlüsse  (Summe Schl: has, ham, har,haz)</t>
  </si>
  <si>
    <t xml:space="preserve"> - hiervon Regenw.-Straßen (entfällt)</t>
  </si>
  <si>
    <t xml:space="preserve">Sonstige Anlagegüter (Summe Schl: sas, sam, sar, saz) </t>
  </si>
  <si>
    <t>Anlagegüter mit Sonderschlüssel "alz"</t>
  </si>
  <si>
    <t>Abschreibungen AHK insgesamt</t>
  </si>
  <si>
    <t>Abschreibungen von den Wiederbeschaffungszeitwerten</t>
  </si>
  <si>
    <t>Abschr.Wiederbeschaffungswerte insgesamt</t>
  </si>
  <si>
    <t>Differenz Abschreibungen; Wiederbeschaffungszeitwert ./. Herst./Ansch. Kost.</t>
  </si>
  <si>
    <t xml:space="preserve"> - hiervon RW Grundstücke</t>
  </si>
  <si>
    <t xml:space="preserve"> - hiervon RW Straßen</t>
  </si>
  <si>
    <t>Abschreibungen aus Anschaff./Herstellungskosten + umzulegend Differenz aus WBZW</t>
  </si>
  <si>
    <t>Abschr.in €</t>
  </si>
  <si>
    <t xml:space="preserve">Mustereinträge </t>
  </si>
  <si>
    <t>Grundstücke</t>
  </si>
  <si>
    <t>Grundstück RÜB 1 und 2</t>
  </si>
  <si>
    <t>Grundstück RÜB 3 und 4</t>
  </si>
  <si>
    <t>Grundstück SW-Pumpwerk</t>
  </si>
  <si>
    <t>Dingliche Sicherung Leitungsrechte MW-Kanal</t>
  </si>
  <si>
    <t>Grundstück RÜB 5</t>
  </si>
  <si>
    <t>Kanäle Mischwasser</t>
  </si>
  <si>
    <t>Ortskanäle 1960 bis 1975 - Teil</t>
  </si>
  <si>
    <t>Ortskanäle 1</t>
  </si>
  <si>
    <t>Ortskanäle 2</t>
  </si>
  <si>
    <t>Ortskanäle 3</t>
  </si>
  <si>
    <t>Ortskanäle 4</t>
  </si>
  <si>
    <t>Ortskanäle 5</t>
  </si>
  <si>
    <t>Ortskanäle 6</t>
  </si>
  <si>
    <t>Ortskanäle A-Straße</t>
  </si>
  <si>
    <t>Ortskanäle B-Straße</t>
  </si>
  <si>
    <t>Ortskanäle C-Straße</t>
  </si>
  <si>
    <t>Ortskanäle D-Straße</t>
  </si>
  <si>
    <t>Ortskanäle E-Straße</t>
  </si>
  <si>
    <t>Ortskanäle F-Straße</t>
  </si>
  <si>
    <t>Ortskanäle G-Straße</t>
  </si>
  <si>
    <t>Kanäle Regenwasser</t>
  </si>
  <si>
    <t>Regenwasserkanäle Straße 21</t>
  </si>
  <si>
    <t>Regenwasserkanäle Straße 22</t>
  </si>
  <si>
    <t>Regenwasserkanäle Straße 23</t>
  </si>
  <si>
    <t>Regenwasserkanäle Straße 24</t>
  </si>
  <si>
    <t>Regenwasserkanäle Straße 25</t>
  </si>
  <si>
    <t>Regenwasserkanäle Straße 26</t>
  </si>
  <si>
    <t>Regenwasserkanäle Straße 27</t>
  </si>
  <si>
    <t>Kanäle Schmutzwasser</t>
  </si>
  <si>
    <t>Schmutzwasserkanäle Straße 21</t>
  </si>
  <si>
    <t>Schmutzwasserkanäle Straße 22</t>
  </si>
  <si>
    <t>Schmutzwasserkanäle Straße 23</t>
  </si>
  <si>
    <t>Schmutzwasserkanäle Straße 24</t>
  </si>
  <si>
    <t>Schmutzwasserkanäle Straße 25</t>
  </si>
  <si>
    <t>Schmutzwasserkanäle Straße 26</t>
  </si>
  <si>
    <t>Schmutzwasserkanäle Straße 27</t>
  </si>
  <si>
    <t>Hausanschlüsse/öffentlicher Teil - Mischwasser</t>
  </si>
  <si>
    <t>Hausanschlüsse Ortskanäle 1960 - 1975</t>
  </si>
  <si>
    <t>Hausanschlüsse Ortskanäle - 1</t>
  </si>
  <si>
    <t>Hausanschlüsse Ortskanäle - 2</t>
  </si>
  <si>
    <t>Hausanschlüsse Ortskanäle - 3</t>
  </si>
  <si>
    <t>Hausanschlüsse Ortskanäle - 4</t>
  </si>
  <si>
    <t>Hausanschlüsse Ortskanäle - 5</t>
  </si>
  <si>
    <t>Hausanschlüsse Ortskanäle - 6</t>
  </si>
  <si>
    <t>Hausanschlüsse Ortskanäle Straße A</t>
  </si>
  <si>
    <t>Hausanschlüsse Ortskanäle Straße B</t>
  </si>
  <si>
    <t>Hausanschlüsse Ortskanäle Straße C</t>
  </si>
  <si>
    <t>Hausanschlüsse Ortskanäle Straße D</t>
  </si>
  <si>
    <t>Hausanschlüsse Ortskanäle Straße E</t>
  </si>
  <si>
    <t>Hausanschlüsse Ortskanäle Straße F</t>
  </si>
  <si>
    <t>Hausanschlüsse Ortskanäle Straße G</t>
  </si>
  <si>
    <t>Hausanschlüsse/öffentlicher Teil - Regenwasser</t>
  </si>
  <si>
    <t>Hausanschlüsse Regenwasserkanäle Straße 21</t>
  </si>
  <si>
    <t>Hausanschlüsse Regenwasserkanäle Straße 22</t>
  </si>
  <si>
    <t>Hausanschlüsse Regenwasserkanäle Straße 23</t>
  </si>
  <si>
    <t>Hausanschlüsse Regenwasserkanäle Straße 24</t>
  </si>
  <si>
    <t>Hausanschlüsse Regenwasserkanäle Straße 25</t>
  </si>
  <si>
    <t>Hausanschlüsse Regenwasserkanäle Straße 26</t>
  </si>
  <si>
    <t>Hausanschlüsse Regenwasserkanäle Straße 27</t>
  </si>
  <si>
    <t>Hausanschlüsse/öffentlicher Teil - Schmutzwasser</t>
  </si>
  <si>
    <t>Hausanschlüsse Schmutzwasserkanäle Straße 21</t>
  </si>
  <si>
    <t>Hausanschlüsse Schmutzwasserkanäle Straße 22</t>
  </si>
  <si>
    <t>Hausanschlüsse Schmutzwasserkanäle Straße 23</t>
  </si>
  <si>
    <t>Hausanschlüsse Schmutzwasserkanäle Straße 24</t>
  </si>
  <si>
    <t>Hausanschlüsse Schmutzwasserkanäle Straße 25</t>
  </si>
  <si>
    <t>Hausanschlüsse Schmutzwasserkanäle Straße 26</t>
  </si>
  <si>
    <t>Hausanschlüsse Schmutzwasserkanäle Straße 27</t>
  </si>
  <si>
    <t>k</t>
  </si>
  <si>
    <t>AHK in €</t>
  </si>
  <si>
    <t>AHK in%</t>
  </si>
  <si>
    <t>Abschr. in %</t>
  </si>
  <si>
    <t>WBZw in €</t>
  </si>
  <si>
    <t>Abschr.in %</t>
  </si>
  <si>
    <t>Zinsen Kanalsystem (RBW)</t>
  </si>
  <si>
    <t>Zinsen Kläranlage (RBW)</t>
  </si>
  <si>
    <t>Zinsen Sonderbauwerke (RBW)</t>
  </si>
  <si>
    <t>Zinsen Hausanschlüsse (RBW)</t>
  </si>
  <si>
    <t>Zinsen sonstige Anlagegüter (RBW)</t>
  </si>
  <si>
    <t>Zinsen für Anlagegüter mit Sonderschlüssel "alz" (RBW)</t>
  </si>
  <si>
    <t>Zinsen Insgesamt (RBW)</t>
  </si>
  <si>
    <t>Zinsen in €</t>
  </si>
  <si>
    <t>Abschr.f.
RBW</t>
  </si>
  <si>
    <t>Jahresmittel</t>
  </si>
  <si>
    <t>Restw.f.RBW-B</t>
  </si>
  <si>
    <t>RBW in %</t>
  </si>
  <si>
    <t>Zugang RBW</t>
  </si>
  <si>
    <t>Zinsen in %</t>
  </si>
  <si>
    <t>Zinsen 
Halbwertm,</t>
  </si>
  <si>
    <t>Halbwerte
in %</t>
  </si>
  <si>
    <t>Anl.Güt. ohne Grundstücke</t>
  </si>
  <si>
    <t>Zinsen Kanalsystem (HW)</t>
  </si>
  <si>
    <t xml:space="preserve"> - hiervon NW Grundstücke</t>
  </si>
  <si>
    <t xml:space="preserve"> - hiervon NW Straßen</t>
  </si>
  <si>
    <t>Zinsen Kläranlage  (HW)</t>
  </si>
  <si>
    <t>Zinsen Sonderbauwerke (HW)</t>
  </si>
  <si>
    <t>Zinsen Hausanschlüsse (HW)</t>
  </si>
  <si>
    <t>Zinsen sonst.Anlagegüter (HW)</t>
  </si>
  <si>
    <t>Zinsen Anlagegüter mit Sonderschlüssel "alz" (HW)</t>
  </si>
  <si>
    <t>Zinsen Insgesamt (HW)</t>
  </si>
  <si>
    <t>Zinsen insgesamt (Restbuchw.+Halbwert)</t>
  </si>
  <si>
    <t>Berechnung der Verteilungsschlüssel der nicht zuordenbaren Anlagegüter</t>
  </si>
  <si>
    <t>Summe Herstellungskosten Kanäle (kas, kam, kar)</t>
  </si>
  <si>
    <t xml:space="preserve"> - hiervon Schmutzwasserbeseitigung </t>
  </si>
  <si>
    <t xml:space="preserve"> - hiervon Niederschlagswasserbeseitigung von Grundstücken </t>
  </si>
  <si>
    <t xml:space="preserve"> - hiervon Niederschlagswasserbeseitigung von Straßen </t>
  </si>
  <si>
    <t>Summe Herstellungskosten Kläranlage ohne klz (kls, klm, klr, klk)</t>
  </si>
  <si>
    <t>Summe Herstellungskosten Sonderbauwerke ohne soz (sos, som, sor)</t>
  </si>
  <si>
    <t>Summe Herstellungskosten Hausanschlüsse ohne haz (has, ham, har)</t>
  </si>
  <si>
    <t>Summe Herstellungskosten sonstige Anlagegüter ohne saz (sas, sam, sar)</t>
  </si>
  <si>
    <t>Summe Kosten Kläranlage ohne "klz" (kls, klm, klr, klk)</t>
  </si>
  <si>
    <t xml:space="preserve"> - hiervon ab Niederschlagswasserbeseitigung von Straßen </t>
  </si>
  <si>
    <t>Kosten ohne Niederschlagswasser von Straßen</t>
  </si>
  <si>
    <t>Summe Gesamtabschreibungen</t>
  </si>
  <si>
    <t>Zinsen ohne Niederschlagswasser von Straßen</t>
  </si>
  <si>
    <t>Summe Gesamtzinsen</t>
  </si>
  <si>
    <t>Verteilungsschlüssel "kaz" (Kanäle)</t>
  </si>
  <si>
    <t>Verteilungsschlüssel "klz" (Kläranlage)</t>
  </si>
  <si>
    <t>Verteilungsschlüssel "soz" (Sonderbauwerke)</t>
  </si>
  <si>
    <t>Verteilungsschlüssel "haz" (Hausanschlüsse)</t>
  </si>
  <si>
    <t>Verteilungsschlüssel "saz" (Sonstige Anlagegüter)</t>
  </si>
  <si>
    <t>Verteilungsschlüssel  "bek" und "zuk" (für Beiträge und Zuschüsse Kläranlage)</t>
  </si>
  <si>
    <t>Verteilungsschlüssel "bez" und "zuz" -Zinsen-  (nicht zuordenbare Beiträge (z.B. Herstellungsbeiträg) und Zuwendungen)</t>
  </si>
  <si>
    <t>Sonderschlüssel "alz" (Anlagegüter, die obigen Verteilungsschlüsseln nicht zugeordnet werden können)</t>
  </si>
  <si>
    <t>Verteilungsschlüssel "bez"  und "zuz"-Abschreibung- (nicht zuordenbare Beiträge -z.B. Herstellungsbeiträg- und Zuwendungen)</t>
  </si>
  <si>
    <t>Kalkulatorische Abschreibungen und und Zinsen auf alle Anlagegüter insgesamt</t>
  </si>
  <si>
    <t xml:space="preserve"> - hiervon Niederschlagswasserbeseitigung von Straßen (entfällt)</t>
  </si>
  <si>
    <t>Ermittlung des mittleren (gewichteten) Abschreibungssatzes</t>
  </si>
  <si>
    <t>Kalkulatorische Kosten</t>
  </si>
  <si>
    <t xml:space="preserve">Kürzung um Auflösungen aus Beiträgen </t>
  </si>
  <si>
    <t>Kurzung um Auflösungen aus Zuwendungen</t>
  </si>
  <si>
    <t>Sa: Gebührenfähige kalkulatorische Abschreibungen (1.1 + 1.2 + 1.3)</t>
  </si>
  <si>
    <t>Kürzung um Zinsen aus Beiträgen</t>
  </si>
  <si>
    <t>Kürzung um Zinsen aus Zuwendungen</t>
  </si>
  <si>
    <t>Gebührenfähige kalkulatorische Zinsen aus den Restbuchwerten  (1.5 + 1.6 + 1.7)</t>
  </si>
  <si>
    <t>Gebührenfähige kalkulatorische Zinsen nach Halbwertmethode (1.9 + 1.10 + 1.11)</t>
  </si>
  <si>
    <t>Sa: Gebührenfäh.kalkul.Zinsen (1.8+1.12)</t>
  </si>
  <si>
    <t>Kosten für Betrieb und Unterhalt</t>
  </si>
  <si>
    <t>Bezeichnung</t>
  </si>
  <si>
    <t>Schmutz-wasser</t>
  </si>
  <si>
    <t>Regenwasser Grundstücke</t>
  </si>
  <si>
    <t xml:space="preserve">Beträge in € für die Jahre </t>
  </si>
  <si>
    <t>Überdeckungen bzw. Unterdeckungen(-) 
-ohne Vorjahre- (3a.3 + 3a.4)</t>
  </si>
  <si>
    <t>Berechnung des Regenwasseranteils (Niederschlagswasseranteils) im Verhältnis zu den gebührenfähigen Kosten (in %)</t>
  </si>
  <si>
    <t>SW=Schmutzwasser / RW=Regenwasser</t>
  </si>
  <si>
    <t>Anteil SW bzw. RW am Gesamtgebühren-bedarf je Jahr in %</t>
  </si>
  <si>
    <t>Nachrichtlich - weitere Angaben</t>
  </si>
  <si>
    <t>Straßenentw.-kalkulat. Abschreibungen</t>
  </si>
  <si>
    <t>Straßenenwässerung -kalkulat. Zinsen-</t>
  </si>
  <si>
    <t>Straßenentwässerung -Betriebskosten-</t>
  </si>
  <si>
    <t>Straßenentwässerungsanteil insgesamt</t>
  </si>
  <si>
    <t>Anteil Straßenentwässer. an Gesamtkosten</t>
  </si>
  <si>
    <t>Mittl. Abschreibungssatz Anlagevermögen</t>
  </si>
  <si>
    <t>Mittlerer Auflösungssatz Beiträge</t>
  </si>
  <si>
    <t>Mitterer Auflösungssatz Zuwendungen</t>
  </si>
  <si>
    <t xml:space="preserve">Angewandter kalkulatorischer Zinssatz </t>
  </si>
  <si>
    <t>Schmutzwasser=SW, Regenwasser =RW</t>
  </si>
  <si>
    <t>Abschreibungen vom zuwendungsfinanan-zierten Anlagevermögen insgesamt</t>
  </si>
  <si>
    <t>Kürzung um Grundgebühren</t>
  </si>
  <si>
    <t>Sa: Umlegungsfähige Kosten (3a.3 + 3a.4)</t>
  </si>
  <si>
    <t>Gebührenbedarf je Jahr (3a.5 - 4a)</t>
  </si>
  <si>
    <t>Gesplittete Abwassergebühren</t>
  </si>
  <si>
    <t>Sa: Umlegungsfähige Kosten (3b.3 + 3b.4)</t>
  </si>
  <si>
    <t>Gebührenbedarf je Jahr (3b.5 - 4b)</t>
  </si>
  <si>
    <t>Einleitungsmengen SW+RW</t>
  </si>
  <si>
    <t>Einleitungsmengen nur SW</t>
  </si>
  <si>
    <t>Gebühren nach dem modifizierten Frischwassermaßstab</t>
  </si>
  <si>
    <t>Berechnung des Regenwasseranteils (Niederschlagswasseranteils) im Verhältnis  zu den gebührenfähigen Kosten (in %)</t>
  </si>
  <si>
    <t>Gebühren je Jahr</t>
  </si>
  <si>
    <t>Straßenentwässerung -kalkulat.Zinsen-</t>
  </si>
  <si>
    <t xml:space="preserve">Sa: Straßenentwässerungsanteil </t>
  </si>
  <si>
    <t xml:space="preserve">Anteil Straßenentwässerung an Gesamtkosten </t>
  </si>
  <si>
    <t>Mittlerer Abschreibungssatz Anlagevermögen</t>
  </si>
  <si>
    <t>Mittlerer Auflösungssatz Zuwendungen</t>
  </si>
  <si>
    <t>"Schmutzwasser=SW, Regenwasser =RW</t>
  </si>
  <si>
    <t>Hiervon wird auf die Gebühren umgelegt</t>
  </si>
  <si>
    <t>Sa: Voraussichtliche Rücklagenzuführungen insgesamt</t>
  </si>
  <si>
    <r>
      <t xml:space="preserve">Berechnung der Abwassergebühren  </t>
    </r>
    <r>
      <rPr>
        <b/>
        <sz val="12"/>
        <rFont val="Calibri"/>
        <family val="2"/>
        <scheme val="minor"/>
      </rPr>
      <t>(gesplittete bzw.nach dem modifizierten Frischwassermaßstab)</t>
    </r>
  </si>
  <si>
    <t>Grunddaten</t>
  </si>
  <si>
    <t>vom</t>
  </si>
  <si>
    <t>Berechnungszeitraum für Vorkalkulation</t>
  </si>
  <si>
    <t>Berechnungszeiträume</t>
  </si>
  <si>
    <t>Festlegung der Berechnungsarten</t>
  </si>
  <si>
    <t>Falls 2, dann Angabe des Anteils in %</t>
  </si>
  <si>
    <t>Nach-Nach-Kalkul.-Jahr</t>
  </si>
  <si>
    <t>Nachkalkulation</t>
  </si>
  <si>
    <t>Vorkalkulation</t>
  </si>
  <si>
    <t>Festlegung der kalkulatorischen Zinssätze für die Berechnungszeiträume sowie für die Verzinsung der Über-/Unterdeckungen</t>
  </si>
  <si>
    <t>Zinssätze</t>
  </si>
  <si>
    <t>Zinssätze für die Nachkalkulations- und Vorkalkulationsjahre</t>
  </si>
  <si>
    <t>Zinssätze für die Verzinsung der Über-/Unterdeckungen</t>
  </si>
  <si>
    <t>Einleitungsmenge jährlich in cbm (gesplittete Abwassergebühren)</t>
  </si>
  <si>
    <t>Befestigte Flächen  in qm (gesplittete Abwassergebühren)</t>
  </si>
  <si>
    <t>Einleitungsmenge jährlich in cbm -SW + RW- (nach modifizierten Frischwassermaßstab)</t>
  </si>
  <si>
    <t>Einleitungsmenge jährlich in cbm -nur SW- (nach modifizierten Frischwassermaßstab)</t>
  </si>
  <si>
    <t>Über- /Unterdeckungen(-) in €</t>
  </si>
  <si>
    <t>Angabe der Gebührenart</t>
  </si>
  <si>
    <t>Nachkalkulationszeitraum</t>
  </si>
  <si>
    <t>Vorkalkulationszeitraum</t>
  </si>
  <si>
    <t>Berechnung gesplitteter Abwassergebühren</t>
  </si>
  <si>
    <t>Jahre Nachkalkulation</t>
  </si>
  <si>
    <t>Überdeckung(+) /
Unterdeckung(-)</t>
  </si>
  <si>
    <t>Zu verzinsender Betrag
(Zeile 5 * 0,5 + Zeile 7)</t>
  </si>
  <si>
    <t>Zinsen</t>
  </si>
  <si>
    <t>Übertrag auf das Folgejahr</t>
  </si>
  <si>
    <t>Sa: Über-/Unterdeckung
ohne Verzinsung SW</t>
  </si>
  <si>
    <t>Sa: Zinsen: Nachkalkulation</t>
  </si>
  <si>
    <t>Sa: Insgesamt</t>
  </si>
  <si>
    <t>Jahre Vorkalkulation</t>
  </si>
  <si>
    <t>Über- / Unterdeckung(-) aus
den Vorjahren insgesamt
(einschl.Zinsen)</t>
  </si>
  <si>
    <t>Verteilung - Anzahl Jahre</t>
  </si>
  <si>
    <t>Restbetrag
Überdeckung/Unterdeckung</t>
  </si>
  <si>
    <t>Zu verzinsender Ausgleichs-betrag (Zeile 21 * 0,5)</t>
  </si>
  <si>
    <t>Zu verzinsender Restbetrag
(Zeile 20 - Zeile 21)</t>
  </si>
  <si>
    <t>Zinsen Ausgleichsbetrag</t>
  </si>
  <si>
    <t>Zinsen Restbetrag</t>
  </si>
  <si>
    <t>Verbleibende Über- / Unter-deckung(-) -einschl.Verzinsung-</t>
  </si>
  <si>
    <t>Zinsen: Nachkalk.Zeitraum</t>
  </si>
  <si>
    <t>Zinsen: Vorkalkul.Zeitraum</t>
  </si>
  <si>
    <t>Sa. Einschl. Zinsen
Nach-/Vorkalkul.Zeitraum</t>
  </si>
  <si>
    <t>Berechnung von Abwassergebühren
nach dem modifizierten Frischwassermaßstab</t>
  </si>
  <si>
    <t>Auflösungen
Beiträge</t>
  </si>
  <si>
    <t>Restwerte und 
bisherige Auflösungen</t>
  </si>
  <si>
    <t>Auflösungs-
satz 
in %</t>
  </si>
  <si>
    <t>Auflösungs-
betrag linear 
jährlich</t>
  </si>
  <si>
    <t>Beiträge Restwerte 
in € 
zum</t>
  </si>
  <si>
    <t>Beiträge Auflösungen insgesamt 
in € 
bis zum</t>
  </si>
  <si>
    <t>Eingegange-ne Beiträge 
in € 
bis zum</t>
  </si>
  <si>
    <t>Beiträge (Zugänge, Auflösungen, Restwerte)</t>
  </si>
  <si>
    <t>Bez 1</t>
  </si>
  <si>
    <t>Bezeichnung 3</t>
  </si>
  <si>
    <t>Beiträge
in €</t>
  </si>
  <si>
    <t>Auflösungs-zeitpunkt 
ab</t>
  </si>
  <si>
    <t>Reswert
in €  (optional)</t>
  </si>
  <si>
    <t>Leerspalte
nicht löschen</t>
  </si>
  <si>
    <t>Zugang/
Abgang(-) 
f.Restbuchw-Berechnung</t>
  </si>
  <si>
    <t>Mittelwert aus Zug./Abg (-) 
f.Restbuchw.-Berechnung</t>
  </si>
  <si>
    <t>Eingegange-ne Beiträge
 in € 
bis zum</t>
  </si>
  <si>
    <t>Berichtigte Beiträge. zur Berechnung des mittleren Auflös.-satzes</t>
  </si>
  <si>
    <t>Auflösungen Beiträge 
in € 
im Jahr</t>
  </si>
  <si>
    <t>Auflösungen Beiträge f.Restbuchw.-Berechnung</t>
  </si>
  <si>
    <t>Restwerte Beiträge 
in € 
zum</t>
  </si>
  <si>
    <t>Restbuchwert f.Restbuchw--Berechnung</t>
  </si>
  <si>
    <t>Auflösungen Beiträge insgesamt 
in € 
bis zum</t>
  </si>
  <si>
    <t>Beiträge 
den Grund-stücken zuge-ordnet 
zum</t>
  </si>
  <si>
    <t>Beiträge Abschreibfäh. Anlagevermö-gen zugeordn.  zum</t>
  </si>
  <si>
    <r>
      <t xml:space="preserve">Nachweis des Anlagevermögens </t>
    </r>
    <r>
      <rPr>
        <sz val="12"/>
        <rFont val="Calibri"/>
        <family val="2"/>
        <scheme val="minor"/>
      </rPr>
      <t>-zur Ermittlung der kalk. Abschreibungen -linear- und der kalk. Zinsen-</t>
    </r>
    <r>
      <rPr>
        <b/>
        <sz val="14"/>
        <rFont val="Calibri"/>
        <family val="2"/>
        <scheme val="minor"/>
      </rPr>
      <t xml:space="preserve">
</t>
    </r>
    <r>
      <rPr>
        <sz val="10"/>
        <rFont val="Calibri"/>
        <family val="2"/>
        <scheme val="minor"/>
      </rPr>
      <t>(Einträge nur in orange Felder vornehmen. Pflchtfelder = Spalten D, E und F sowie bei abschreibbaren Anlagegütern Spalte G bzw. H. 
Anlagegüter ohne Angabe des Abschreibungssatzes -Sp.G bzw.H- werden als Grundstücke behandelt)</t>
    </r>
  </si>
  <si>
    <t>Abschreibungen AHK</t>
  </si>
  <si>
    <t>Auflösungen Beiträge</t>
  </si>
  <si>
    <t>Beiträge in €</t>
  </si>
  <si>
    <t>Beiträg in %</t>
  </si>
  <si>
    <t>Auflös. in %</t>
  </si>
  <si>
    <t>Auflösung in €</t>
  </si>
  <si>
    <t>Mustereinträge</t>
  </si>
  <si>
    <t>Beiträge u. ähnliche Einnahmen</t>
  </si>
  <si>
    <t>Verbesserungsbeiträge (Summe Schl: bes, bem, ber und bek)</t>
  </si>
  <si>
    <t>Uml.Anteil Abschr.Art</t>
  </si>
  <si>
    <t>Abschr.Zuwendungen</t>
  </si>
  <si>
    <t>Uml.Anteil Zuwend.</t>
  </si>
  <si>
    <t>Berechnart "gesplitt.Geb"</t>
  </si>
  <si>
    <t>Abschreibungsart (AHK-WBZW)</t>
  </si>
  <si>
    <t>Herstellungsbeiträge (Summe Schl: bez)</t>
  </si>
  <si>
    <t>Summe der Beitragsauflösungen insgesamt</t>
  </si>
  <si>
    <t>Aufteilung der Auflösungen auf Schmutzwasser- (SW) u. Regenwasser- (RW) -Anteil</t>
  </si>
  <si>
    <t>Zinsen Restbuchwert</t>
  </si>
  <si>
    <t>Zug./Abgang</t>
  </si>
  <si>
    <t>Mittelw.Zu/Ab</t>
  </si>
  <si>
    <t>Restbuchw</t>
  </si>
  <si>
    <t>Zinsen Restbuchwertmethode</t>
  </si>
  <si>
    <t>Auflös. In €</t>
  </si>
  <si>
    <t>Mittel Zugang</t>
  </si>
  <si>
    <t>Summe: Zinsen aus Beiträgen (Restbuchwert + Halbwert)</t>
  </si>
  <si>
    <t>Zinsen Halbwert</t>
  </si>
  <si>
    <t>Ermittlung des mittleren (gewichteten) Auflösungssatzes und der Restbuchwerte</t>
  </si>
  <si>
    <t>Zuwendung</t>
  </si>
  <si>
    <t>Regenwasserkanäle</t>
  </si>
  <si>
    <t>Schmutzwasserkanäle</t>
  </si>
  <si>
    <t>Auflösungen
Zuwendungen</t>
  </si>
  <si>
    <t>Zuwendungen Restwerte 
in € 
zum</t>
  </si>
  <si>
    <t>Zuwendungen Auflösungen insgesamt 
in € 
bis zum</t>
  </si>
  <si>
    <t>Eingegange-ne Zuwendungen 
in € 
bis zum</t>
  </si>
  <si>
    <t>Zuwendungen (Zugänge, Auflösungen, Restwerte)</t>
  </si>
  <si>
    <t>Zuwendungen
in €</t>
  </si>
  <si>
    <t>Eingegange-ne Zuwendungen
 in € 
bis zum</t>
  </si>
  <si>
    <t>Berichtigte Zuwendungen. zur Berechnung des mittleren Auflös.-satzes</t>
  </si>
  <si>
    <t>Auflösungen Zuwendungen 
in € 
im Jahr</t>
  </si>
  <si>
    <t>Auflösungen Zuwendungen f.Restbuchw.-Berechnung</t>
  </si>
  <si>
    <t>Restwerte Zuwendungen 
in € 
zum</t>
  </si>
  <si>
    <t>Auflösungen Zuwendungen insgesamt 
in € 
bis zum</t>
  </si>
  <si>
    <t>Zuwendungen 
den Grund-stücken zuge-ordnet 
zum</t>
  </si>
  <si>
    <t>Zuwendungen Abschreibfäh. Anlagevermö-gen zugeordn.  zum</t>
  </si>
  <si>
    <t>Auflösungen Zuwendungen</t>
  </si>
  <si>
    <t>VerzusserungsZuwendungen (Summe Schl: zus, zum, zur und zuk)</t>
  </si>
  <si>
    <t>HerstellungsZuwendungen (Summe Schl: zuz)</t>
  </si>
  <si>
    <t>Summe der Zuwendungsauflösungen insgesamt</t>
  </si>
  <si>
    <t>Zinsen Halbwertmethode</t>
  </si>
  <si>
    <t>Berechnung des Umlegungsanteils des zuwendungsfinanzierten Anlagevermögens</t>
  </si>
  <si>
    <t>Auflösungen aus Zuwendungen insgesamt</t>
  </si>
  <si>
    <t>Verbleibender Absetzungsbetrag</t>
  </si>
  <si>
    <t xml:space="preserve"> - hiervon Regenw.-Straßen (entfällt).</t>
  </si>
  <si>
    <t>Summe Zinsen Halbwert insgesamt</t>
  </si>
  <si>
    <t>Summe der Zinsen RBW insgesamt</t>
  </si>
  <si>
    <t>Schmutz-
wasser</t>
  </si>
  <si>
    <t>Kosten für Unterhalt und Betrieb ab dem Jahr</t>
  </si>
  <si>
    <t>Nach-Nachkalkulationsjahr</t>
  </si>
  <si>
    <t>HHSt.</t>
  </si>
  <si>
    <t>Zuord-nung</t>
  </si>
  <si>
    <t>Alternativ:
 Aufteilung in %</t>
  </si>
  <si>
    <t>Betrag in € im Jahr</t>
  </si>
  <si>
    <t>Erträge/Auf-wendungen
Gesamt</t>
  </si>
  <si>
    <t>Ausglie-derung</t>
  </si>
  <si>
    <t>Einglie-derung</t>
  </si>
  <si>
    <t>Ansetzbare
Erträge/Auf-wendungen</t>
  </si>
  <si>
    <t xml:space="preserve">davon für Beseitigung von </t>
  </si>
  <si>
    <t>SW</t>
  </si>
  <si>
    <t>RW- GrSt</t>
  </si>
  <si>
    <t>RW- Str</t>
  </si>
  <si>
    <t>RW-Grundstück</t>
  </si>
  <si>
    <t>RW-
Straßen</t>
  </si>
  <si>
    <t>1.</t>
  </si>
  <si>
    <t>Ausgaben/Aufwendungen</t>
  </si>
  <si>
    <t>Haltung von Fahrzeugen</t>
  </si>
  <si>
    <t>Summe Ausgaben/Aufwendungen</t>
  </si>
  <si>
    <t>Einnahmen/Erträge (ohne Gebührenerlöse)</t>
  </si>
  <si>
    <t>in €</t>
  </si>
  <si>
    <t>in %</t>
  </si>
  <si>
    <t>Ansetzbare Erträge</t>
  </si>
  <si>
    <t xml:space="preserve"> -hiervon Schmutzwasser</t>
  </si>
  <si>
    <t xml:space="preserve"> -hiervon Regenwasser Grundstücke</t>
  </si>
  <si>
    <t xml:space="preserve"> -hiervon Regenwasser Straßen</t>
  </si>
  <si>
    <t>Ansetzbare Aufwendungen</t>
  </si>
  <si>
    <t>Nachkalkulationsjahr</t>
  </si>
  <si>
    <t>Vorkalkulationsjahr</t>
  </si>
  <si>
    <t xml:space="preserve"> - hiervon Regenw.-Straßen </t>
  </si>
  <si>
    <t>Zuw. in %</t>
  </si>
  <si>
    <t>Zuwend in €</t>
  </si>
  <si>
    <t>Eingegangene Beiträge, von denen im Bezugshjahr noch abgeschrieben wird</t>
  </si>
  <si>
    <t>Maßgebliches Beitragsaufkommen zur Berechnung des gewichteten Auflösungssatzes im Bezugsjahr</t>
  </si>
  <si>
    <t>Eingegangene Zuwendungen, von denen im Bezugshjahr noch abgeschrieben wird</t>
  </si>
  <si>
    <t>Maßgebliches Zuwendungenaufkommen zur Berechnung des gewichteten Auflösungssatzes im Bezugsjahr</t>
  </si>
  <si>
    <t xml:space="preserve">  - Anteilige Kürzung, soweit im Bezugsjahr nicht der volle Jahresbetrag abgeschrieben wird </t>
  </si>
  <si>
    <t>Durchschnittlicher Auflösungssatz der Zuwendungen im Bezugsjahr</t>
  </si>
  <si>
    <t>Summe der Auflösungsbeträge im Bezugsjahr</t>
  </si>
  <si>
    <t>Durchschnittlicher Auflösungssatz der Beiträge im Bezugsjahr</t>
  </si>
  <si>
    <t>Jährliche Ab-schreib. aus WBZW
im Jahr</t>
  </si>
  <si>
    <t>Anteil SW bzw. RW am Gesamtgebühren-
bedarf je Jahr in %</t>
  </si>
  <si>
    <r>
      <t>Grundgebühren für Wasserzähler mit Nenndurchfluss (Q</t>
    </r>
    <r>
      <rPr>
        <b/>
        <sz val="8"/>
        <rFont val="Calibri"/>
        <family val="2"/>
      </rPr>
      <t>n</t>
    </r>
    <r>
      <rPr>
        <b/>
        <sz val="11"/>
        <rFont val="Arial"/>
        <family val="2"/>
      </rPr>
      <t>)</t>
    </r>
  </si>
  <si>
    <t xml:space="preserve">bis
über </t>
  </si>
  <si>
    <t>m³/h</t>
  </si>
  <si>
    <t>Gebühr in €</t>
  </si>
  <si>
    <t>Anzahl für die Jahre</t>
  </si>
  <si>
    <t>Grundgebühr für die Jahre</t>
  </si>
  <si>
    <t>bis</t>
  </si>
  <si>
    <t>über</t>
  </si>
  <si>
    <t>Summe Nenndurchfluss</t>
  </si>
  <si>
    <r>
      <t>Grundgebühren für Wasserzähler mit Dauerdurchfluss (Q</t>
    </r>
    <r>
      <rPr>
        <b/>
        <sz val="11"/>
        <rFont val="Calibri"/>
        <family val="2"/>
      </rPr>
      <t>₃</t>
    </r>
    <r>
      <rPr>
        <b/>
        <sz val="11"/>
        <rFont val="Arial"/>
        <family val="2"/>
      </rPr>
      <t>)</t>
    </r>
  </si>
  <si>
    <t>Summe Dauerdurchfluss</t>
  </si>
  <si>
    <t xml:space="preserve">Gesamtsumme </t>
  </si>
  <si>
    <t>2.</t>
  </si>
  <si>
    <t>2,1</t>
  </si>
  <si>
    <t>2,2</t>
  </si>
  <si>
    <t>2,3</t>
  </si>
  <si>
    <t>3a</t>
  </si>
  <si>
    <t>3a.1</t>
  </si>
  <si>
    <t>3a.2</t>
  </si>
  <si>
    <t>3a.3</t>
  </si>
  <si>
    <t>3a.4</t>
  </si>
  <si>
    <t>4a</t>
  </si>
  <si>
    <t>3a.5</t>
  </si>
  <si>
    <t>4a.1</t>
  </si>
  <si>
    <t>4a.2</t>
  </si>
  <si>
    <t>5a</t>
  </si>
  <si>
    <t>3b</t>
  </si>
  <si>
    <t>3b.1</t>
  </si>
  <si>
    <t>3b.2</t>
  </si>
  <si>
    <t>3b.3</t>
  </si>
  <si>
    <t>3b.4</t>
  </si>
  <si>
    <t>4b</t>
  </si>
  <si>
    <t>4b.1</t>
  </si>
  <si>
    <t>4b.2</t>
  </si>
  <si>
    <t>5b</t>
  </si>
  <si>
    <t>6.</t>
  </si>
  <si>
    <t>7.</t>
  </si>
  <si>
    <t>7.1</t>
  </si>
  <si>
    <t>7.2</t>
  </si>
  <si>
    <t>7.3</t>
  </si>
  <si>
    <t>7.4</t>
  </si>
  <si>
    <t>1)</t>
  </si>
  <si>
    <t>8.</t>
  </si>
  <si>
    <t>8.1</t>
  </si>
  <si>
    <t>8.2</t>
  </si>
  <si>
    <t>8.3</t>
  </si>
  <si>
    <t>8.4</t>
  </si>
  <si>
    <t>8.5</t>
  </si>
  <si>
    <t>8.6</t>
  </si>
  <si>
    <t>8.7</t>
  </si>
  <si>
    <t>8.8</t>
  </si>
  <si>
    <t>8.9</t>
  </si>
  <si>
    <t>8.10</t>
  </si>
  <si>
    <t>8.11</t>
  </si>
  <si>
    <t>9/11</t>
  </si>
  <si>
    <t>9.1</t>
  </si>
  <si>
    <t>9.2</t>
  </si>
  <si>
    <t>9.3</t>
  </si>
  <si>
    <t>9.4</t>
  </si>
  <si>
    <t>9.5</t>
  </si>
  <si>
    <t>9.6</t>
  </si>
  <si>
    <t>9.</t>
  </si>
  <si>
    <t>10.</t>
  </si>
  <si>
    <t>10.1</t>
  </si>
  <si>
    <t>10.2</t>
  </si>
  <si>
    <t>10.3</t>
  </si>
  <si>
    <t>10.4</t>
  </si>
  <si>
    <t>10.5</t>
  </si>
  <si>
    <t>10.6</t>
  </si>
  <si>
    <t>11.</t>
  </si>
  <si>
    <t>5a,1</t>
  </si>
  <si>
    <t>5a.2</t>
  </si>
  <si>
    <t>6a.1</t>
  </si>
  <si>
    <t>6a.2</t>
  </si>
  <si>
    <t>7a.1</t>
  </si>
  <si>
    <t>7a.2</t>
  </si>
  <si>
    <t>5b.1</t>
  </si>
  <si>
    <t>3b.5</t>
  </si>
  <si>
    <t>5b.2</t>
  </si>
  <si>
    <t>6b.1</t>
  </si>
  <si>
    <t>6b.2</t>
  </si>
  <si>
    <t>6b.3</t>
  </si>
  <si>
    <t>7b.1</t>
  </si>
  <si>
    <t>7b.2</t>
  </si>
  <si>
    <t>8.12</t>
  </si>
  <si>
    <t>8.13</t>
  </si>
  <si>
    <t>8.14</t>
  </si>
  <si>
    <t>8.15</t>
  </si>
  <si>
    <t>8.16</t>
  </si>
  <si>
    <t>8.17</t>
  </si>
  <si>
    <t>8.18</t>
  </si>
  <si>
    <t>8.19</t>
  </si>
  <si>
    <t>8.20</t>
  </si>
  <si>
    <t>8.21</t>
  </si>
  <si>
    <t>8.22</t>
  </si>
  <si>
    <t>8.23</t>
  </si>
  <si>
    <t>8.24</t>
  </si>
  <si>
    <t xml:space="preserve">Kosten der Straßenentwässerung </t>
  </si>
  <si>
    <t>Gemeinde A</t>
  </si>
  <si>
    <t>Abwasserbeseitigungseinrichtung</t>
  </si>
  <si>
    <t>Kürzung um Erträge Betrieb/Unterhalt</t>
  </si>
  <si>
    <t>Sa: Geb.-fäh.Kosten Betrieb/Unterhalt</t>
  </si>
  <si>
    <t>Schmutzwasser (SW) Regenwasser (RW)</t>
  </si>
  <si>
    <t>Gebührenfähige kalkulator. Kosten (1.4 + 1.13)</t>
  </si>
  <si>
    <t>Gebührenfäh. Kosten Betrieb u. Unterhalt (2.3)</t>
  </si>
  <si>
    <t>Sa: Gebührenfä. Kosten Betrieb/Unterhalt</t>
  </si>
  <si>
    <t>2.7</t>
  </si>
  <si>
    <t>3.</t>
  </si>
  <si>
    <t>4a.</t>
  </si>
  <si>
    <t>4a.3</t>
  </si>
  <si>
    <t>4b.</t>
  </si>
  <si>
    <t>4b.3</t>
  </si>
  <si>
    <t>4-6</t>
  </si>
  <si>
    <t>4-7</t>
  </si>
  <si>
    <t>4-8</t>
  </si>
  <si>
    <t>4-9</t>
  </si>
  <si>
    <t>4-10</t>
  </si>
  <si>
    <t>5.</t>
  </si>
  <si>
    <r>
      <t xml:space="preserve">Einleitungsmengen in cbm -für </t>
    </r>
    <r>
      <rPr>
        <b/>
        <sz val="11"/>
        <rFont val="Calibri"/>
        <family val="2"/>
        <scheme val="minor"/>
      </rPr>
      <t>Einleiter</t>
    </r>
    <r>
      <rPr>
        <sz val="11"/>
        <rFont val="Calibri"/>
        <family val="2"/>
        <scheme val="minor"/>
      </rPr>
      <t xml:space="preserve"> von Schmutzwasser + Regenwasser- </t>
    </r>
    <r>
      <rPr>
        <b/>
        <sz val="11"/>
        <rFont val="Calibri"/>
        <family val="2"/>
        <scheme val="minor"/>
      </rPr>
      <t>(nur bei modifiziertem Frischwassermaßstab)</t>
    </r>
  </si>
  <si>
    <r>
      <t xml:space="preserve">Einleitungsmengen in cbm -für </t>
    </r>
    <r>
      <rPr>
        <b/>
        <sz val="11"/>
        <rFont val="Calibri"/>
        <family val="2"/>
        <scheme val="minor"/>
      </rPr>
      <t>Einleiter nur</t>
    </r>
    <r>
      <rPr>
        <sz val="11"/>
        <rFont val="Calibri"/>
        <family val="2"/>
        <scheme val="minor"/>
      </rPr>
      <t xml:space="preserve"> von Schmutzwasser- </t>
    </r>
    <r>
      <rPr>
        <b/>
        <sz val="11"/>
        <rFont val="Calibri"/>
        <family val="2"/>
        <scheme val="minor"/>
      </rPr>
      <t>(nur bei modifiziertem Frischwassermaßstab)</t>
    </r>
  </si>
  <si>
    <t xml:space="preserve">Summe Herstellungskosten Kläranlage (kls, klm, klr, klk) ohne klz </t>
  </si>
  <si>
    <t>Summe Herstellungskosten Kanäle (kas, kam, kar) ohne kaz</t>
  </si>
  <si>
    <t>Summe Herstellungskosten Sonderbauwerke  (sos, som, sor) ohne soz</t>
  </si>
  <si>
    <t>Summe Herstellungskosten Hausanschlüsse (has, ham, har) ohne haz</t>
  </si>
  <si>
    <t>Summe Herstellungskosten sonstige Anlagegüter (sas, sam, sar) ohne saz</t>
  </si>
  <si>
    <t xml:space="preserve">Verzinsung der Überdeckungen bzw. Unterdeckungen(-) "Schmutzwasser" 
für den Nachkalkulationszeitraum </t>
  </si>
  <si>
    <t xml:space="preserve">Verzinsung der Überdeckungen bzw. Unterdeckungen(-) "Regenwasser" 
für den Nachkalkulationszeitraum </t>
  </si>
  <si>
    <t xml:space="preserve">Verzinsung der Über- / Unterdeckungen(-) "Schmutzwasser" 
für den Vorkalkulationszeitraum </t>
  </si>
  <si>
    <t xml:space="preserve">Verzinsung der Überdeckungen bzw. Unterdeckungen(-)
"Schmutzwasser+Regenwasser"
für den Nachkalkulationszeitraum </t>
  </si>
  <si>
    <r>
      <t xml:space="preserve">Übertrag aus dem Vorjahr
</t>
    </r>
    <r>
      <rPr>
        <b/>
        <sz val="11"/>
        <rFont val="Calibri"/>
        <family val="2"/>
        <scheme val="minor"/>
      </rPr>
      <t>einschl.</t>
    </r>
    <r>
      <rPr>
        <sz val="11"/>
        <rFont val="Calibri"/>
        <family val="2"/>
        <scheme val="minor"/>
      </rPr>
      <t xml:space="preserve"> Zinsen</t>
    </r>
  </si>
  <si>
    <r>
      <t xml:space="preserve">Ausgleichsbetrag je Jahr im Vorkalkulationszeitraum </t>
    </r>
    <r>
      <rPr>
        <b/>
        <sz val="11"/>
        <rFont val="Calibri"/>
        <family val="2"/>
        <scheme val="minor"/>
      </rPr>
      <t>ohne</t>
    </r>
    <r>
      <rPr>
        <sz val="11"/>
        <rFont val="Calibri"/>
        <family val="2"/>
        <scheme val="minor"/>
      </rPr>
      <t xml:space="preserve"> Verzinsung (Zeile17 / Zeile 18) </t>
    </r>
  </si>
  <si>
    <r>
      <t>Verteilung auf Vorkalkula-tionszeitraum (</t>
    </r>
    <r>
      <rPr>
        <b/>
        <sz val="11"/>
        <rFont val="Calibri"/>
        <family val="2"/>
        <scheme val="minor"/>
      </rPr>
      <t>einschl.</t>
    </r>
    <r>
      <rPr>
        <sz val="11"/>
        <rFont val="Calibri"/>
        <family val="2"/>
        <scheme val="minor"/>
      </rPr>
      <t xml:space="preserve"> Verzinsung</t>
    </r>
    <r>
      <rPr>
        <b/>
        <sz val="11"/>
        <rFont val="Calibri"/>
        <family val="2"/>
        <scheme val="minor"/>
      </rPr>
      <t>)</t>
    </r>
    <r>
      <rPr>
        <sz val="11"/>
        <rFont val="Calibri"/>
        <family val="2"/>
        <scheme val="minor"/>
      </rPr>
      <t xml:space="preserve"> </t>
    </r>
  </si>
  <si>
    <r>
      <t xml:space="preserve">Über-/Unterdeckung(-)  </t>
    </r>
    <r>
      <rPr>
        <b/>
        <sz val="11"/>
        <rFont val="Calibri"/>
        <family val="2"/>
        <scheme val="minor"/>
      </rPr>
      <t>SW</t>
    </r>
    <r>
      <rPr>
        <sz val="11"/>
        <rFont val="Calibri"/>
        <family val="2"/>
        <scheme val="minor"/>
      </rPr>
      <t xml:space="preserve">
-ohne Verzinsung-</t>
    </r>
  </si>
  <si>
    <r>
      <t xml:space="preserve">Gesplittete Abwassergeb.
</t>
    </r>
    <r>
      <rPr>
        <b/>
        <sz val="11"/>
        <rFont val="Calibri"/>
        <family val="2"/>
        <scheme val="minor"/>
      </rPr>
      <t>-SW- einschl. Verzinsung</t>
    </r>
  </si>
  <si>
    <r>
      <t xml:space="preserve">Über-/Unterdeckung(-)  </t>
    </r>
    <r>
      <rPr>
        <b/>
        <sz val="11"/>
        <rFont val="Calibri"/>
        <family val="2"/>
        <scheme val="minor"/>
      </rPr>
      <t>RW</t>
    </r>
    <r>
      <rPr>
        <sz val="11"/>
        <rFont val="Calibri"/>
        <family val="2"/>
        <scheme val="minor"/>
      </rPr>
      <t xml:space="preserve">
-ohne Verzinsung-</t>
    </r>
  </si>
  <si>
    <r>
      <t xml:space="preserve">Gesplittete Abwassergeb.
</t>
    </r>
    <r>
      <rPr>
        <b/>
        <sz val="11"/>
        <rFont val="Calibri"/>
        <family val="2"/>
        <scheme val="minor"/>
      </rPr>
      <t>-RW- einschl. Verzinsung</t>
    </r>
  </si>
  <si>
    <r>
      <t xml:space="preserve">Geb.modif.Frischwassermaßst.
</t>
    </r>
    <r>
      <rPr>
        <b/>
        <sz val="11"/>
        <rFont val="Calibri"/>
        <family val="2"/>
        <scheme val="minor"/>
      </rPr>
      <t>-SW+RW- einschl. Verzinsung</t>
    </r>
  </si>
  <si>
    <r>
      <t>Schmutzwasser - gesplittete Gebühr</t>
    </r>
    <r>
      <rPr>
        <sz val="11"/>
        <rFont val="Calibri"/>
        <family val="2"/>
        <scheme val="minor"/>
      </rPr>
      <t xml:space="preserve">
Angesetzte Überdeckung/Unterdeckung(-) in den entspr. Kalkulationszeiträumen (</t>
    </r>
    <r>
      <rPr>
        <b/>
        <sz val="11"/>
        <rFont val="Calibri"/>
        <family val="2"/>
        <scheme val="minor"/>
      </rPr>
      <t>einschl</t>
    </r>
    <r>
      <rPr>
        <sz val="11"/>
        <rFont val="Calibri"/>
        <family val="2"/>
        <scheme val="minor"/>
      </rPr>
      <t>.Zinsen)</t>
    </r>
  </si>
  <si>
    <r>
      <t>Regenwasser - gesplittette Gebühr</t>
    </r>
    <r>
      <rPr>
        <sz val="11"/>
        <rFont val="Calibri"/>
        <family val="2"/>
        <scheme val="minor"/>
      </rPr>
      <t xml:space="preserve">
Angesetzte Überdeckung/Unterdeckung(-) in den entspr. Kalkulationszeiträumen (</t>
    </r>
    <r>
      <rPr>
        <b/>
        <sz val="11"/>
        <rFont val="Calibri"/>
        <family val="2"/>
        <scheme val="minor"/>
      </rPr>
      <t>einschl</t>
    </r>
    <r>
      <rPr>
        <sz val="11"/>
        <rFont val="Calibri"/>
        <family val="2"/>
        <scheme val="minor"/>
      </rPr>
      <t>.Zinsen)</t>
    </r>
  </si>
  <si>
    <r>
      <t>Schmutzwasser und Regenwasser - mod.Frischw</t>
    </r>
    <r>
      <rPr>
        <sz val="11"/>
        <rFont val="Calibri"/>
        <family val="2"/>
        <scheme val="minor"/>
      </rPr>
      <t xml:space="preserve">
Angesetzte Überdeckung/Unterdeckung(-) in den entspr. Kalkulationszeiträumen (</t>
    </r>
    <r>
      <rPr>
        <b/>
        <sz val="11"/>
        <rFont val="Calibri"/>
        <family val="2"/>
        <scheme val="minor"/>
      </rPr>
      <t>einschl</t>
    </r>
    <r>
      <rPr>
        <sz val="11"/>
        <rFont val="Calibri"/>
        <family val="2"/>
        <scheme val="minor"/>
      </rPr>
      <t>.Zinsen)</t>
    </r>
  </si>
  <si>
    <r>
      <t>Schmutzwasser - gesplittete Gebühr</t>
    </r>
    <r>
      <rPr>
        <sz val="11"/>
        <rFont val="Calibri"/>
        <family val="2"/>
        <scheme val="minor"/>
      </rPr>
      <t xml:space="preserve">
Tatsächliche Über-/Unterdeckung </t>
    </r>
    <r>
      <rPr>
        <b/>
        <sz val="11"/>
        <rFont val="Calibri"/>
        <family val="2"/>
        <scheme val="minor"/>
      </rPr>
      <t>ohne</t>
    </r>
    <r>
      <rPr>
        <sz val="11"/>
        <rFont val="Calibri"/>
        <family val="2"/>
        <scheme val="minor"/>
      </rPr>
      <t xml:space="preserve"> Verzinsung</t>
    </r>
  </si>
  <si>
    <r>
      <t>Regenwasser - gesplittette Gebühr</t>
    </r>
    <r>
      <rPr>
        <sz val="11"/>
        <rFont val="Calibri"/>
        <family val="2"/>
        <scheme val="minor"/>
      </rPr>
      <t xml:space="preserve">
Tatsächliche Über-/Unterdeckung </t>
    </r>
    <r>
      <rPr>
        <b/>
        <sz val="11"/>
        <rFont val="Calibri"/>
        <family val="2"/>
        <scheme val="minor"/>
      </rPr>
      <t>ohne</t>
    </r>
    <r>
      <rPr>
        <sz val="11"/>
        <rFont val="Calibri"/>
        <family val="2"/>
        <scheme val="minor"/>
      </rPr>
      <t xml:space="preserve"> Verzinsung</t>
    </r>
  </si>
  <si>
    <r>
      <t>Schmutzwasser und Regenwasser - mod. Frischw</t>
    </r>
    <r>
      <rPr>
        <sz val="11"/>
        <rFont val="Calibri"/>
        <family val="2"/>
        <scheme val="minor"/>
      </rPr>
      <t xml:space="preserve">
Tatsächliche Über-/Unterdeckung </t>
    </r>
    <r>
      <rPr>
        <b/>
        <sz val="11"/>
        <rFont val="Calibri"/>
        <family val="2"/>
        <scheme val="minor"/>
      </rPr>
      <t>ohne</t>
    </r>
    <r>
      <rPr>
        <sz val="11"/>
        <rFont val="Calibri"/>
        <family val="2"/>
        <scheme val="minor"/>
      </rPr>
      <t xml:space="preserve"> Verzinsung</t>
    </r>
  </si>
  <si>
    <t>Einleitungsmengen bei modifizierten Frischwassermaßstab für Vorkalkulationszeitraum</t>
  </si>
  <si>
    <r>
      <t xml:space="preserve">Zinssätze für die Verzinsung der </t>
    </r>
    <r>
      <rPr>
        <b/>
        <sz val="11"/>
        <rFont val="Calibri"/>
        <family val="2"/>
        <scheme val="minor"/>
      </rPr>
      <t>Über-/Unterdeckungen</t>
    </r>
  </si>
  <si>
    <r>
      <t xml:space="preserve">Berechnungszeitraum für Nachkalkulation </t>
    </r>
    <r>
      <rPr>
        <sz val="11"/>
        <rFont val="Calibri"/>
        <family val="2"/>
        <scheme val="minor"/>
      </rPr>
      <t>(einschl. Nach-Nach-Kalkulationsjahr)</t>
    </r>
  </si>
  <si>
    <t>Einleitungsmengen bzw. befestigte Flächen bei gesplitteten Gebühren für Vorkalkulationszeitraum</t>
  </si>
  <si>
    <r>
      <rPr>
        <b/>
        <sz val="14"/>
        <rFont val="Calibri"/>
        <family val="2"/>
        <scheme val="minor"/>
      </rPr>
      <t>Eingabe (Übernahme) der Überdeckungen bzw. Unterdeckungen(-) aus der vorherigen Kalkulation</t>
    </r>
    <r>
      <rPr>
        <b/>
        <sz val="13"/>
        <rFont val="Calibri"/>
        <family val="2"/>
        <scheme val="minor"/>
      </rPr>
      <t xml:space="preserve">
</t>
    </r>
    <r>
      <rPr>
        <sz val="10"/>
        <rFont val="Calibri"/>
        <family val="2"/>
        <scheme val="minor"/>
      </rPr>
      <t xml:space="preserve">(Einträge nur in orange Felder vornehmen - Unterdeckungen mit Minuszeichen vortragen - keine Einträge in blaue Felder - Beträge in blauen Feldern werden automatisch berechnet) </t>
    </r>
  </si>
  <si>
    <r>
      <rPr>
        <b/>
        <sz val="14"/>
        <rFont val="Calibri"/>
        <family val="2"/>
        <scheme val="minor"/>
      </rPr>
      <t>Bereits erfolgte Rücklagenzuführungen aus den Abschreibungen von zuwendungsfin. Anlagevermögen bzw. von Wiederbeschaffungszeitwerten in €</t>
    </r>
    <r>
      <rPr>
        <b/>
        <sz val="11"/>
        <rFont val="Calibri"/>
        <family val="2"/>
        <scheme val="minor"/>
      </rPr>
      <t xml:space="preserve">
</t>
    </r>
    <r>
      <rPr>
        <sz val="11"/>
        <rFont val="Calibri"/>
        <family val="2"/>
        <scheme val="minor"/>
      </rPr>
      <t>(Angaben nur erforderlich, wenn von den Wiederbeschaffungswerten bzw. von den Zuwendungen abgeschrieben wird)</t>
    </r>
  </si>
  <si>
    <r>
      <t xml:space="preserve">Angaben bei Berechnung gesplitteter Abwassergebühren 
</t>
    </r>
    <r>
      <rPr>
        <sz val="10"/>
        <rFont val="Calibri"/>
        <family val="2"/>
        <scheme val="minor"/>
      </rPr>
      <t xml:space="preserve"> Überdeckungen bzw. Unterdeckungen(-) nach Schmutzwasser und Regenwasser getrennt je Jahr in orange Zellen eingeben. Zahlen der vorausgegangenen Kalkulation entnehmen. Keine Einträge in blaue Zellen!!</t>
    </r>
  </si>
  <si>
    <r>
      <t xml:space="preserve">Angaben bei Berechnung von Abwassergebühren nach modifiziertem Frischwassermaßstab 
</t>
    </r>
    <r>
      <rPr>
        <sz val="10"/>
        <rFont val="Calibri"/>
        <family val="2"/>
        <scheme val="minor"/>
      </rPr>
      <t>Überdeckungen bzw. Unterdeckungen(-)  insgesamt (Schmutzwasser + Regenwasser) je Jahr in orange Zellen eingeben. Zahlen der vorausgegangenen Kalkulation entnehmen. Keine Einträge in blaue Zellen!!</t>
    </r>
  </si>
  <si>
    <r>
      <t>Abschreibung Zuwendungen</t>
    </r>
    <r>
      <rPr>
        <sz val="10"/>
        <rFont val="Calibri"/>
        <family val="2"/>
        <scheme val="minor"/>
      </rPr>
      <t xml:space="preserve"> 
(</t>
    </r>
    <r>
      <rPr>
        <b/>
        <sz val="11"/>
        <rFont val="Calibri"/>
        <family val="2"/>
        <scheme val="minor"/>
      </rPr>
      <t>2</t>
    </r>
    <r>
      <rPr>
        <sz val="10"/>
        <rFont val="Calibri"/>
        <family val="2"/>
        <scheme val="minor"/>
      </rPr>
      <t>=Abschreibung auf Zuwend.; sonst keine Abschr.auf Zuwendungen)</t>
    </r>
  </si>
  <si>
    <r>
      <t xml:space="preserve">Schmutzwasser </t>
    </r>
    <r>
      <rPr>
        <sz val="11"/>
        <rFont val="Calibri"/>
        <family val="2"/>
        <scheme val="minor"/>
      </rPr>
      <t xml:space="preserve"> 
Eingabe der Überdeckung/Unterdeckung(-) im</t>
    </r>
    <r>
      <rPr>
        <b/>
        <sz val="11"/>
        <rFont val="Calibri"/>
        <family val="2"/>
        <scheme val="minor"/>
      </rPr>
      <t xml:space="preserve"> letzten Jahr der vorherigen Nachkalkulation</t>
    </r>
    <r>
      <rPr>
        <sz val="11"/>
        <rFont val="Calibri"/>
        <family val="2"/>
        <scheme val="minor"/>
      </rPr>
      <t xml:space="preserve"> (ohne Verzinsung)</t>
    </r>
  </si>
  <si>
    <r>
      <t xml:space="preserve">Schmutzwasser </t>
    </r>
    <r>
      <rPr>
        <sz val="11"/>
        <rFont val="Calibri"/>
        <family val="2"/>
        <scheme val="minor"/>
      </rPr>
      <t xml:space="preserve">
Eingabe der bei der</t>
    </r>
    <r>
      <rPr>
        <b/>
        <sz val="11"/>
        <rFont val="Calibri"/>
        <family val="2"/>
        <scheme val="minor"/>
      </rPr>
      <t xml:space="preserve"> vorherigen Vor</t>
    </r>
    <r>
      <rPr>
        <sz val="11"/>
        <rFont val="Calibri"/>
        <family val="2"/>
        <scheme val="minor"/>
      </rPr>
      <t>kalkulation angesetzten Überdeckungen/Unterdeckungen(-) (einschl. Verzinsung)</t>
    </r>
  </si>
  <si>
    <r>
      <t xml:space="preserve">Regenwasser </t>
    </r>
    <r>
      <rPr>
        <sz val="11"/>
        <rFont val="Calibri"/>
        <family val="2"/>
        <scheme val="minor"/>
      </rPr>
      <t xml:space="preserve"> 
Eingabe der Überdeckung/Unterdeckung(-) im</t>
    </r>
    <r>
      <rPr>
        <b/>
        <sz val="11"/>
        <rFont val="Calibri"/>
        <family val="2"/>
        <scheme val="minor"/>
      </rPr>
      <t xml:space="preserve"> letzten Jahr der vorherigen Nachkalkulation</t>
    </r>
    <r>
      <rPr>
        <sz val="11"/>
        <rFont val="Calibri"/>
        <family val="2"/>
        <scheme val="minor"/>
      </rPr>
      <t xml:space="preserve"> (ohne Verzinsung)</t>
    </r>
  </si>
  <si>
    <r>
      <t xml:space="preserve">Regenwasser </t>
    </r>
    <r>
      <rPr>
        <sz val="11"/>
        <rFont val="Calibri"/>
        <family val="2"/>
        <scheme val="minor"/>
      </rPr>
      <t xml:space="preserve">
Eingabe der angesetzten Überdeckungen/Unterdeckungen(-) bei der </t>
    </r>
    <r>
      <rPr>
        <b/>
        <sz val="11"/>
        <rFont val="Calibri"/>
        <family val="2"/>
        <scheme val="minor"/>
      </rPr>
      <t>vorherigen Vor</t>
    </r>
    <r>
      <rPr>
        <sz val="11"/>
        <rFont val="Calibri"/>
        <family val="2"/>
        <scheme val="minor"/>
      </rPr>
      <t>kalkulation (einschl. Verzinsung)</t>
    </r>
  </si>
  <si>
    <r>
      <t>Schmutzwasser und Regenwasser</t>
    </r>
    <r>
      <rPr>
        <sz val="11"/>
        <rFont val="Calibri"/>
        <family val="2"/>
        <scheme val="minor"/>
      </rPr>
      <t xml:space="preserve">
Eingabe der Überdeckung/Unterdeckung(-) im</t>
    </r>
    <r>
      <rPr>
        <b/>
        <sz val="11"/>
        <rFont val="Calibri"/>
        <family val="2"/>
        <scheme val="minor"/>
      </rPr>
      <t xml:space="preserve"> letzten Jahr der vorherigen Nach</t>
    </r>
    <r>
      <rPr>
        <sz val="11"/>
        <rFont val="Calibri"/>
        <family val="2"/>
        <scheme val="minor"/>
      </rPr>
      <t>kalkulation (ohne Verzinsung)</t>
    </r>
  </si>
  <si>
    <r>
      <t xml:space="preserve">Schmutzwasser und Regenwasser </t>
    </r>
    <r>
      <rPr>
        <sz val="11"/>
        <rFont val="Calibri"/>
        <family val="2"/>
        <scheme val="minor"/>
      </rPr>
      <t xml:space="preserve">
Eingabe der angesetzten Überdeckungen/Unterdeckungen(-) bei der </t>
    </r>
    <r>
      <rPr>
        <b/>
        <sz val="11"/>
        <rFont val="Calibri"/>
        <family val="2"/>
        <scheme val="minor"/>
      </rPr>
      <t>vorherigen Vor</t>
    </r>
    <r>
      <rPr>
        <sz val="11"/>
        <rFont val="Calibri"/>
        <family val="2"/>
        <scheme val="minor"/>
      </rPr>
      <t>kalkulation (einschl. Verzinsung)</t>
    </r>
  </si>
  <si>
    <t>Zinsen von AHK nach Restbuchwert-Methode</t>
  </si>
  <si>
    <t xml:space="preserve">Gesamtbeitragsaufkommen bis Ende des Jahres </t>
  </si>
  <si>
    <t xml:space="preserve">Umlegungsanteil auf Gebühren </t>
  </si>
  <si>
    <t xml:space="preserve">GesamtZuwendungsaufkommen bis Ende des Jahres </t>
  </si>
  <si>
    <t>Summe: Zinsen insgesamt aus Zuwendungenn (Restbuchwert + Halbwert)</t>
  </si>
  <si>
    <t>Zinsen RBW</t>
  </si>
  <si>
    <t>Zinsen nach Halbwertmethode</t>
  </si>
  <si>
    <t>Summe: Zinsen insgesamt aus Beiträgen (Restbuchwert + Halbwert)</t>
  </si>
  <si>
    <t>Zinsen von AHK Restbuchwert</t>
  </si>
  <si>
    <t>Zinsen nach der Halbwertmethode</t>
  </si>
  <si>
    <t>Sa: Zinsen insgesamt RBW + Halbwert</t>
  </si>
  <si>
    <t xml:space="preserve">Maßgebliche Anschaffungs-/Herstellungskosten zur Berechnung des gewichteten Abschreibungssatzes je Jahr </t>
  </si>
  <si>
    <t xml:space="preserve"> - Anteilige Kürzung, soweit im entsprechenden Jahr  nicht der volle Jahresbetrag abgeschrieben wird </t>
  </si>
  <si>
    <t>Anschaffungs-/Herstellungskosten, von denen im entsprechendem Jahr  noch abgeschrieben wird</t>
  </si>
  <si>
    <t>Durchschnittlicher Abschreibungssatz im Jahr</t>
  </si>
  <si>
    <t>Einleitungsmenge bzw. befestigte Flächen</t>
  </si>
  <si>
    <t xml:space="preserve">Ist der Regenwasseranteil größer als 12%, sind getrennte Abwassergebühren für Schmutzwasser- und Regenwasserbeseitigung festzusetzen -gesplittete Abwassergebühren- 
(vgl. BayVGH, Urteile vom 16.12.1998 Nr.23 N 94.3201, BayVBl. 1999 S.463 und vom 31.03.2003 Nr.23 B 02.1936, GK 182/2003, </t>
  </si>
  <si>
    <t xml:space="preserve">Ist der Regenwasseranteil größer als 12%, sind getrennte Abwassergebühren für Schmutzwasser- und Regenwasserbeseitigung festzusetzen -gesplittete Abwassergebühren- 
(vgl. BayVGH, Urteil vom 16.12.1998 Nr.23 N 94.3201, BayVBl. 1999 S.463 und Urteil vom 31.03.2003 Nr.23 B 02.1936, GK 182/2003, BayVBl. 2004 S.20). </t>
  </si>
  <si>
    <r>
      <t xml:space="preserve">Festlegung der Berechnungszeiträume </t>
    </r>
    <r>
      <rPr>
        <sz val="11"/>
        <rFont val="Calibri"/>
        <family val="2"/>
        <scheme val="minor"/>
      </rPr>
      <t>(Zeitraum stets mit 1.1.???? beginnen und mit 31.12.???? enden)</t>
    </r>
  </si>
  <si>
    <r>
      <t xml:space="preserve">Einleitungsmengen in cbm (Angabe nur für </t>
    </r>
    <r>
      <rPr>
        <b/>
        <sz val="11"/>
        <rFont val="Calibri"/>
        <family val="2"/>
        <scheme val="minor"/>
      </rPr>
      <t>gesplittete</t>
    </r>
    <r>
      <rPr>
        <sz val="11"/>
        <rFont val="Calibri"/>
        <family val="2"/>
        <scheme val="minor"/>
      </rPr>
      <t xml:space="preserve"> Abwassergebühren)</t>
    </r>
  </si>
  <si>
    <r>
      <t xml:space="preserve">Befestigte Flächen  in qm (Angabe nur für </t>
    </r>
    <r>
      <rPr>
        <b/>
        <sz val="11"/>
        <rFont val="Calibri"/>
        <family val="2"/>
        <scheme val="minor"/>
      </rPr>
      <t>gesplittete</t>
    </r>
    <r>
      <rPr>
        <sz val="11"/>
        <rFont val="Calibri"/>
        <family val="2"/>
        <scheme val="minor"/>
      </rPr>
      <t xml:space="preserve"> Abwassergebühren)</t>
    </r>
  </si>
  <si>
    <r>
      <t xml:space="preserve">Eingabe der vorgenommenen Rücklagenzuführung aus Ab-schreibungen vom zuwendungsfinanzierten Anlagevermögen lt. </t>
    </r>
    <r>
      <rPr>
        <b/>
        <sz val="11"/>
        <rFont val="Calibri"/>
        <family val="2"/>
        <scheme val="minor"/>
      </rPr>
      <t>vorheriger</t>
    </r>
    <r>
      <rPr>
        <sz val="11"/>
        <rFont val="Calibri"/>
        <family val="2"/>
        <scheme val="minor"/>
      </rPr>
      <t xml:space="preserve"> Nachkalkulation </t>
    </r>
  </si>
  <si>
    <r>
      <t xml:space="preserve">Eingabe der vorgenommenen Rücklagenzuführung aus Abschreibungen von den Wiederbeschaffungszeitwerten lt. </t>
    </r>
    <r>
      <rPr>
        <b/>
        <sz val="11"/>
        <rFont val="Calibri"/>
        <family val="2"/>
        <scheme val="minor"/>
      </rPr>
      <t>vorheriger</t>
    </r>
    <r>
      <rPr>
        <sz val="11"/>
        <rFont val="Calibri"/>
        <family val="2"/>
        <scheme val="minor"/>
      </rPr>
      <t xml:space="preserve"> Nachkalkulation</t>
    </r>
  </si>
  <si>
    <t>Mittlere Abschreibungs- bzw. Auflösungs-sätze (gewichtet) u. angew. kalk. Zinssatz</t>
  </si>
  <si>
    <t>Herstellungskosten mit Zuordnungsschlüssel</t>
  </si>
  <si>
    <t>Gesamtabschreibungen</t>
  </si>
  <si>
    <t>Abschreibungen mit Zuordnungsschlüssel</t>
  </si>
  <si>
    <t>Differenz</t>
  </si>
  <si>
    <t>Gesamtzinsen Restbuchwertmethode + Halbwertmethode</t>
  </si>
  <si>
    <t>Zinsen mit Zuordnungsschlüssel</t>
  </si>
  <si>
    <t>Mittlerer (gewichteter) Abschreibungssatz für alle Anlagegüter</t>
  </si>
  <si>
    <t>Kontrolle Zuordnung</t>
  </si>
  <si>
    <t>Beitragsaufkommen mit Zuordnungsschlüssel</t>
  </si>
  <si>
    <t>Gesamtauflösungen</t>
  </si>
  <si>
    <t>Auflösungen mit Zuordnungsschlüssel</t>
  </si>
  <si>
    <t>Mittlerer (gewichteter) Auflösungssatz</t>
  </si>
  <si>
    <t>Zuwendungen (Summe Schl: zus, zum, zur und zuk)</t>
  </si>
  <si>
    <t>Zuwendungen (Summe Schl: zuz)</t>
  </si>
  <si>
    <t>Summe: Zinsen aus Zuwendungen (Restbuchwert + Halbwert)</t>
  </si>
  <si>
    <t>Zuwendungsaufkommen mit Zuordnungsschlüssel</t>
  </si>
  <si>
    <t>Kontrolle Zuordnung Zuwendungen</t>
  </si>
  <si>
    <t>Kontrolle Zuordnung Beiträge</t>
  </si>
  <si>
    <t>Kontrolle Zuordnung Anlagevermögen</t>
  </si>
  <si>
    <t>Zinsen insgesamt</t>
  </si>
  <si>
    <t>Betrag in €</t>
  </si>
  <si>
    <t>Nr</t>
  </si>
  <si>
    <t>Abschreibungen Anlagegüter insgesamt</t>
  </si>
  <si>
    <t>Abschreibungen Anlagegüter mit Zuordnungsschlüssel</t>
  </si>
  <si>
    <t>Herstellungskosten Anlagegüter insgesamt</t>
  </si>
  <si>
    <t>Beitragsaufkommen insgesamt</t>
  </si>
  <si>
    <t>Zuwendungen insgesamt</t>
  </si>
  <si>
    <t>Zuwendungen mit Zuordnungsschlüssel</t>
  </si>
  <si>
    <t>Auflösungen Beiträge insgesamt</t>
  </si>
  <si>
    <t>Auflösung Beiträge mit Zuordnungsschlüssel</t>
  </si>
  <si>
    <t>Zinsen Beiträge insgesamt</t>
  </si>
  <si>
    <t>Zinsen Beiträge mit Zuordnungsschlüssel</t>
  </si>
  <si>
    <t>Zinsen Zuwendungen insgesamt</t>
  </si>
  <si>
    <t>Zinsen Zuwendungen mit Zuordnungsschlüssel</t>
  </si>
  <si>
    <t>Auflösungen Zuwendungen insgesamt</t>
  </si>
  <si>
    <t>Auflösung Zuwendungen mit Zuordnungsschlüssel</t>
  </si>
  <si>
    <r>
      <t xml:space="preserve">Kontrolle, ob sämtlichen Anlagegütern, Beiträgen und Zuwendungen Zuordnungsschlüssel zugewiesen wurden </t>
    </r>
    <r>
      <rPr>
        <sz val="10"/>
        <rFont val="Arial"/>
        <family val="2"/>
      </rPr>
      <t>(Differenz muss stets 0 sein)</t>
    </r>
  </si>
  <si>
    <t>Gesamtherstellungskosten bis Ende des Jahres</t>
  </si>
  <si>
    <t>Verteil_sw</t>
  </si>
  <si>
    <t>Verteil_rwgr</t>
  </si>
  <si>
    <t>Verteil_rwst</t>
  </si>
  <si>
    <t>Mehrabschreibungen von Wiederbeschaf-fungszeitwerten gegenüber Anschaffungs-/Herstellungskosten (gekürzt um die Auflösungen aus Beiträgen u.Zuwend.)</t>
  </si>
  <si>
    <t>Von den Mehrabschreibungen wird auf die Gebühren umgelegt (=Voraussichtliche Zuführung zur Sonderrücklage)</t>
  </si>
  <si>
    <t>Nach- Nach-Kalkulationsjahr</t>
  </si>
  <si>
    <r>
      <t>Kalkulat.</t>
    </r>
    <r>
      <rPr>
        <b/>
        <i/>
        <sz val="11"/>
        <rFont val="Calibri"/>
        <family val="2"/>
        <scheme val="minor"/>
      </rPr>
      <t>Zinsen</t>
    </r>
    <r>
      <rPr>
        <b/>
        <sz val="11"/>
        <rFont val="Calibri"/>
        <family val="2"/>
        <scheme val="minor"/>
      </rPr>
      <t xml:space="preserve"> aus den </t>
    </r>
    <r>
      <rPr>
        <b/>
        <i/>
        <sz val="11"/>
        <rFont val="Calibri"/>
        <family val="2"/>
        <scheme val="minor"/>
      </rPr>
      <t>Restbuchwerten</t>
    </r>
  </si>
  <si>
    <r>
      <t xml:space="preserve">Kalkulat. </t>
    </r>
    <r>
      <rPr>
        <b/>
        <i/>
        <sz val="11"/>
        <rFont val="Calibri"/>
        <family val="2"/>
        <scheme val="minor"/>
      </rPr>
      <t>Zinsen</t>
    </r>
    <r>
      <rPr>
        <b/>
        <sz val="11"/>
        <rFont val="Calibri"/>
        <family val="2"/>
        <scheme val="minor"/>
      </rPr>
      <t xml:space="preserve"> nach </t>
    </r>
    <r>
      <rPr>
        <b/>
        <i/>
        <sz val="11"/>
        <rFont val="Calibri"/>
        <family val="2"/>
        <scheme val="minor"/>
      </rPr>
      <t>Halbwertmethode</t>
    </r>
  </si>
  <si>
    <t>Einleitungsmengen in</t>
  </si>
  <si>
    <r>
      <t xml:space="preserve">Gebühr/Jahr n. modifiziertem </t>
    </r>
    <r>
      <rPr>
        <b/>
        <sz val="11"/>
        <rFont val="Calibri"/>
        <family val="2"/>
        <scheme val="minor"/>
      </rPr>
      <t>Frischwasser-maßstab</t>
    </r>
    <r>
      <rPr>
        <sz val="11"/>
        <rFont val="Calibri"/>
        <family val="2"/>
        <scheme val="minor"/>
      </rPr>
      <t xml:space="preserve"> (einschl. Über-/Unterdeckung)</t>
    </r>
  </si>
  <si>
    <r>
      <t xml:space="preserve">Gebühr/Jahr n. modifiziertem </t>
    </r>
    <r>
      <rPr>
        <b/>
        <sz val="11"/>
        <rFont val="Calibri"/>
        <family val="2"/>
        <scheme val="minor"/>
      </rPr>
      <t>Frischwasser-maßstab</t>
    </r>
    <r>
      <rPr>
        <sz val="11"/>
        <rFont val="Calibri"/>
        <family val="2"/>
        <scheme val="minor"/>
      </rPr>
      <t xml:space="preserve"> (ohne. Über-/Unterdeckung)</t>
    </r>
  </si>
  <si>
    <t>Angabe in cbm bzw qm</t>
  </si>
  <si>
    <t>Gebührenfäh,kalkulator. Kosten (1.4 + 1.13)</t>
  </si>
  <si>
    <t>Gebührenf. Kosten Betrieb/Unterhalt (2.3)</t>
  </si>
  <si>
    <t>Über-/Unterdeckungen(-) aus der aktuellen Nachkalkulation (einschl. Verzinsung)</t>
  </si>
  <si>
    <t>Überd-/Unterdeckungen(-) aus der akt. Nachkalkulation (einschl. Verzinsung)</t>
  </si>
  <si>
    <r>
      <rPr>
        <b/>
        <sz val="12"/>
        <rFont val="Calibri"/>
        <family val="2"/>
        <scheme val="minor"/>
      </rPr>
      <t>Sa: Gebührenbedarf (SW bzw. RW)</t>
    </r>
    <r>
      <rPr>
        <b/>
        <sz val="11"/>
        <rFont val="Calibri"/>
        <family val="2"/>
        <scheme val="minor"/>
      </rPr>
      <t xml:space="preserve">
 </t>
    </r>
    <r>
      <rPr>
        <sz val="11"/>
        <rFont val="Calibri"/>
        <family val="2"/>
        <scheme val="minor"/>
      </rPr>
      <t>(einschl. Über-/Unterdeckungen)</t>
    </r>
  </si>
  <si>
    <r>
      <rPr>
        <b/>
        <sz val="11"/>
        <rFont val="Calibri"/>
        <family val="2"/>
        <scheme val="minor"/>
      </rPr>
      <t>Gesplittete</t>
    </r>
    <r>
      <rPr>
        <sz val="11"/>
        <rFont val="Calibri"/>
        <family val="2"/>
        <scheme val="minor"/>
      </rPr>
      <t xml:space="preserve"> Gebühren je Jahr 
(einschl. Über-/Unterdeckung)</t>
    </r>
  </si>
  <si>
    <r>
      <rPr>
        <b/>
        <sz val="11"/>
        <rFont val="Calibri"/>
        <family val="2"/>
        <scheme val="minor"/>
      </rPr>
      <t xml:space="preserve">Gesplittete </t>
    </r>
    <r>
      <rPr>
        <sz val="11"/>
        <rFont val="Calibri"/>
        <family val="2"/>
        <scheme val="minor"/>
      </rPr>
      <t>Gebühr je Jahr 
(ohne Über-/Unterdeckung)</t>
    </r>
  </si>
  <si>
    <t>Mittlere Abschreibungs- bzw. Auflösungs-sätze (gewichtet) u. akt. kalkulat. Zinssatz</t>
  </si>
  <si>
    <t>Rücklagenzuführungen aus den Abschrei-bung vom zuwendungs-finanzierten An-lagevermögen für die Jahre</t>
  </si>
  <si>
    <r>
      <rPr>
        <b/>
        <i/>
        <sz val="11"/>
        <rFont val="Calibri"/>
        <family val="2"/>
        <scheme val="minor"/>
      </rPr>
      <t>Voraussichtliche Rücklagenzuführungen</t>
    </r>
    <r>
      <rPr>
        <i/>
        <sz val="11"/>
        <rFont val="Calibri"/>
        <family val="2"/>
        <scheme val="minor"/>
      </rPr>
      <t xml:space="preserve"> aus Abschreibungen vom zuwenduns-finanzierten Anlagevermögen</t>
    </r>
  </si>
  <si>
    <t>Rücklagenzuführungen aus den Ab-schreibung von den Wiederbeschaffungs-zeitwerten für die Jahre</t>
  </si>
  <si>
    <r>
      <t xml:space="preserve">Ansatz der Über-/ Unterdeckungen(-) in der </t>
    </r>
    <r>
      <rPr>
        <b/>
        <i/>
        <sz val="11"/>
        <rFont val="Calibri"/>
        <family val="2"/>
        <scheme val="minor"/>
      </rPr>
      <t>vorherigen Vor</t>
    </r>
    <r>
      <rPr>
        <i/>
        <sz val="11"/>
        <rFont val="Calibri"/>
        <family val="2"/>
        <scheme val="minor"/>
      </rPr>
      <t>kalkulation</t>
    </r>
  </si>
  <si>
    <r>
      <rPr>
        <b/>
        <sz val="14"/>
        <rFont val="Calibri"/>
        <family val="2"/>
        <scheme val="minor"/>
      </rPr>
      <t xml:space="preserve">Vorkalkulation der Abwassergebühren </t>
    </r>
    <r>
      <rPr>
        <b/>
        <sz val="11"/>
        <rFont val="Calibri"/>
        <family val="2"/>
        <scheme val="minor"/>
      </rPr>
      <t xml:space="preserve">
(gesplittete bzw.nach mod.Frischwassermaßstab)</t>
    </r>
  </si>
  <si>
    <r>
      <rPr>
        <b/>
        <sz val="14"/>
        <rFont val="Calibri"/>
        <family val="2"/>
        <scheme val="minor"/>
      </rPr>
      <t xml:space="preserve">Nachkalkulation der Abwassergebühren </t>
    </r>
    <r>
      <rPr>
        <b/>
        <sz val="11"/>
        <rFont val="Calibri"/>
        <family val="2"/>
        <scheme val="minor"/>
      </rPr>
      <t xml:space="preserve">
(gesplittete bzw.nach mod.Frischwassermaßstab)</t>
    </r>
  </si>
  <si>
    <r>
      <rPr>
        <b/>
        <sz val="12"/>
        <rFont val="Calibri"/>
        <family val="2"/>
        <scheme val="minor"/>
      </rPr>
      <t xml:space="preserve">Sa: Gebührenbedarf (SW + RW) </t>
    </r>
    <r>
      <rPr>
        <b/>
        <sz val="11"/>
        <rFont val="Calibri"/>
        <family val="2"/>
        <scheme val="minor"/>
      </rPr>
      <t xml:space="preserve">
</t>
    </r>
    <r>
      <rPr>
        <sz val="11"/>
        <rFont val="Calibri"/>
        <family val="2"/>
        <scheme val="minor"/>
      </rPr>
      <t>(einschl. Über-/Unterdeckungen)</t>
    </r>
  </si>
  <si>
    <r>
      <t xml:space="preserve">Sa: Gebührenfähige Kosten 
</t>
    </r>
    <r>
      <rPr>
        <i/>
        <sz val="11"/>
        <rFont val="Calibri"/>
        <family val="2"/>
        <scheme val="minor"/>
      </rPr>
      <t>(3a.1 + 3a.2)</t>
    </r>
  </si>
  <si>
    <r>
      <t xml:space="preserve">Sa: Gebührenfähige Kosten </t>
    </r>
    <r>
      <rPr>
        <i/>
        <sz val="11"/>
        <rFont val="Calibri"/>
        <family val="2"/>
        <scheme val="minor"/>
      </rPr>
      <t>(3b.1 + 3b.2)</t>
    </r>
  </si>
  <si>
    <t>Kurzung um Auflösung. aus Zuwendung.</t>
  </si>
  <si>
    <r>
      <t xml:space="preserve">Sa: Gebührenfähige kalkulat. Zinsen 
</t>
    </r>
    <r>
      <rPr>
        <i/>
        <sz val="11"/>
        <rFont val="Calibri"/>
        <family val="2"/>
        <scheme val="minor"/>
      </rPr>
      <t>(1.8+1.12)</t>
    </r>
  </si>
  <si>
    <t>Gebührenfähige kalkulat. Kosten 
(1.4+1.13)*-1</t>
  </si>
  <si>
    <t>Gebührenfähige Kosten für Betrieb und Unterhalt (2.3*-1)</t>
  </si>
  <si>
    <t>Gesamtgebühreneinnahmen 
(inkl. Grundgebühren)</t>
  </si>
  <si>
    <r>
      <t xml:space="preserve">Davon bereits bei der </t>
    </r>
    <r>
      <rPr>
        <b/>
        <i/>
        <sz val="11"/>
        <rFont val="Calibri"/>
        <family val="2"/>
        <scheme val="minor"/>
      </rPr>
      <t>vorherigen Vor-</t>
    </r>
    <r>
      <rPr>
        <i/>
        <sz val="11"/>
        <rFont val="Calibri"/>
        <family val="2"/>
        <scheme val="minor"/>
      </rPr>
      <t>kalkulation berücksichtigte Über-/Unterdeckung</t>
    </r>
  </si>
  <si>
    <t>Gesamtgebühreneinnahmen
(inkl. Grundgebühren)</t>
  </si>
  <si>
    <t>Überdeckungen bzw. Unterdeckungen(-) 
-ohne Vorjahre- (3b.3 + 3b.4)</t>
  </si>
  <si>
    <r>
      <t>Abwassergeb. mod.Frischwasserm.
Über-/Unterdeckungen(-)</t>
    </r>
    <r>
      <rPr>
        <sz val="12"/>
        <rFont val="Calibri"/>
        <family val="2"/>
        <scheme val="minor"/>
      </rPr>
      <t xml:space="preserve"> je Jahr 
(4b - 4b.1 + 4b.2)</t>
    </r>
  </si>
  <si>
    <r>
      <t>Gesplittete Abwassergebühren
Über-/Unterdeckungen(-)</t>
    </r>
    <r>
      <rPr>
        <sz val="12"/>
        <rFont val="Calibri"/>
        <family val="2"/>
        <scheme val="minor"/>
      </rPr>
      <t xml:space="preserve"> </t>
    </r>
    <r>
      <rPr>
        <sz val="11"/>
        <rFont val="Calibri"/>
        <family val="2"/>
        <scheme val="minor"/>
      </rPr>
      <t>je Jahr</t>
    </r>
    <r>
      <rPr>
        <sz val="12"/>
        <rFont val="Calibri"/>
        <family val="2"/>
        <scheme val="minor"/>
      </rPr>
      <t xml:space="preserve">
(4a - 4a.1 + 4a.2)</t>
    </r>
  </si>
  <si>
    <r>
      <rPr>
        <b/>
        <i/>
        <sz val="12"/>
        <rFont val="Calibri"/>
        <family val="2"/>
        <scheme val="minor"/>
      </rPr>
      <t xml:space="preserve">Sa: Gebührenfähige Kosten </t>
    </r>
    <r>
      <rPr>
        <i/>
        <sz val="12"/>
        <rFont val="Calibri"/>
        <family val="2"/>
        <scheme val="minor"/>
      </rPr>
      <t xml:space="preserve">
</t>
    </r>
    <r>
      <rPr>
        <i/>
        <sz val="11"/>
        <rFont val="Calibri"/>
        <family val="2"/>
        <scheme val="minor"/>
      </rPr>
      <t>(3b.1 + 3b.2)</t>
    </r>
  </si>
  <si>
    <t>Die unter Nr. 5a bzw. 5b ermittelten Überdeckungen bzw. Unterdeckungen(-) werden in das Blatt "Verzinsung" übernommen und mit den im Blatt "Grunddaten" festgelegten Zinssätzen (siehe dort Nr.3.3) verzinst und dann  in die aktuelle Vorkalkulation eingestellt (siehe Blatt "Vorkalkulation"  Nr. 4a bzw. 4b).</t>
  </si>
  <si>
    <r>
      <rPr>
        <b/>
        <i/>
        <sz val="11"/>
        <rFont val="Calibri"/>
        <family val="2"/>
        <scheme val="minor"/>
      </rPr>
      <t>Endgültige Rücklagenzuführungen</t>
    </r>
    <r>
      <rPr>
        <i/>
        <sz val="11"/>
        <rFont val="Calibri"/>
        <family val="2"/>
        <scheme val="minor"/>
      </rPr>
      <t xml:space="preserve"> aus Abschreibungen vom zuwenduns-finanzierten Anlagevermögen</t>
    </r>
  </si>
  <si>
    <t>Abschreibungen vom zuwendungsfina-nanzierten Anlagevermögen insgesamt</t>
  </si>
  <si>
    <t>Rücklagenzuführungen aus den Ab-schreibung von den Wiederbeschaf-fungszeitwerten für die Jahre</t>
  </si>
  <si>
    <t>Mehrabschreibungen von Wiederbe-schaffungszeitwerten gegenüber Anschaffungs-/Herstellungskosten (gekürzt um die Auflösungen aus Beiträgen und Zuwendungen)</t>
  </si>
  <si>
    <t>Von den Mehrabschreibungen wird auf die Gebühren umgelegt (=Endgültige Zuführung zur Sonderrücklage)</t>
  </si>
  <si>
    <r>
      <rPr>
        <b/>
        <i/>
        <sz val="11"/>
        <rFont val="Calibri"/>
        <family val="2"/>
        <scheme val="minor"/>
      </rPr>
      <t>Voraussichtliche Rücklagenzuführungen</t>
    </r>
    <r>
      <rPr>
        <i/>
        <sz val="11"/>
        <rFont val="Calibri"/>
        <family val="2"/>
        <scheme val="minor"/>
      </rPr>
      <t xml:space="preserve"> aus Abschreibungen von den Wieder-beschaffungszeitwerten (SW+RW)</t>
    </r>
  </si>
  <si>
    <r>
      <rPr>
        <b/>
        <i/>
        <sz val="11"/>
        <rFont val="Calibri"/>
        <family val="2"/>
        <scheme val="minor"/>
      </rPr>
      <t>Endgültige Rücklagenzuführungen</t>
    </r>
    <r>
      <rPr>
        <i/>
        <sz val="11"/>
        <rFont val="Calibri"/>
        <family val="2"/>
        <scheme val="minor"/>
      </rPr>
      <t xml:space="preserve"> aus Abschreibungen von den Wiederbe-schaffungszeitwerten (SW+RW)</t>
    </r>
  </si>
  <si>
    <t>Rücklagenzuführungen aus Abschreibun-gen vom zuwendungsfinanzierten Anlagevermögen je Jahr</t>
  </si>
  <si>
    <t>Rücklagenzuführungen aus Abschreibun-gen von Wiederbeschaffungszeitwerten (SW+RW) je Jahr</t>
  </si>
  <si>
    <t>Sa: Endgültige Rücklagenzuführungen insgesamt</t>
  </si>
  <si>
    <t>Rücklagenzuführungen aus Abschrei-bungen von Wiederbeschaffungszeit-werten (SW+RW) je Jahr</t>
  </si>
  <si>
    <r>
      <t xml:space="preserve">Sonderschlüssel </t>
    </r>
    <r>
      <rPr>
        <sz val="11"/>
        <rFont val="Calibri"/>
        <family val="2"/>
        <scheme val="minor"/>
      </rPr>
      <t xml:space="preserve">für </t>
    </r>
    <r>
      <rPr>
        <b/>
        <sz val="11"/>
        <rFont val="Calibri"/>
        <family val="2"/>
        <scheme val="minor"/>
      </rPr>
      <t>Anlagegüter</t>
    </r>
    <r>
      <rPr>
        <sz val="11"/>
        <rFont val="Calibri"/>
        <family val="2"/>
        <scheme val="minor"/>
      </rPr>
      <t xml:space="preserve"> sowie die </t>
    </r>
    <r>
      <rPr>
        <b/>
        <sz val="11"/>
        <rFont val="Calibri"/>
        <family val="2"/>
        <scheme val="minor"/>
      </rPr>
      <t>Kosten für Unterhalt und Betrieb</t>
    </r>
    <r>
      <rPr>
        <sz val="11"/>
        <rFont val="Calibri"/>
        <family val="2"/>
        <scheme val="minor"/>
      </rPr>
      <t>, die anderen Schlüsseln nicht zugeordnet werden können</t>
    </r>
  </si>
  <si>
    <r>
      <rPr>
        <b/>
        <sz val="14"/>
        <rFont val="Calibri"/>
        <family val="2"/>
        <scheme val="minor"/>
      </rPr>
      <t>Festlegung der Zuordnungsschlüssel und der Kostenaufteilungsschlüssel</t>
    </r>
    <r>
      <rPr>
        <b/>
        <sz val="12"/>
        <rFont val="Calibri"/>
        <family val="2"/>
        <scheme val="minor"/>
      </rPr>
      <t xml:space="preserve">
</t>
    </r>
    <r>
      <rPr>
        <sz val="9"/>
        <rFont val="Calibri"/>
        <family val="2"/>
        <scheme val="minor"/>
      </rPr>
      <t xml:space="preserve">Die in den grauen Zellen stehenden Kostenaufteilungsschlüssel werden </t>
    </r>
    <r>
      <rPr>
        <b/>
        <sz val="9"/>
        <rFont val="Calibri"/>
        <family val="2"/>
        <scheme val="minor"/>
      </rPr>
      <t>je Jahr berechnet.</t>
    </r>
  </si>
  <si>
    <t>Errechneter Sonderschlüssel ("alz")</t>
  </si>
  <si>
    <r>
      <t>Kosten-
zuordnungs-
schlüssel</t>
    </r>
    <r>
      <rPr>
        <sz val="10"/>
        <rFont val="Calibri"/>
        <family val="2"/>
        <scheme val="minor"/>
      </rPr>
      <t xml:space="preserve">
</t>
    </r>
    <r>
      <rPr>
        <sz val="9"/>
        <rFont val="Calibri"/>
        <family val="2"/>
        <scheme val="minor"/>
      </rPr>
      <t>(keine Änderungen vornehmen)</t>
    </r>
  </si>
  <si>
    <t xml:space="preserve">Jahr </t>
  </si>
  <si>
    <r>
      <rPr>
        <b/>
        <sz val="14"/>
        <rFont val="Calibri"/>
        <family val="2"/>
        <scheme val="minor"/>
      </rPr>
      <t xml:space="preserve">Gebührenaufkommen </t>
    </r>
    <r>
      <rPr>
        <b/>
        <sz val="11"/>
        <rFont val="Calibri"/>
        <family val="2"/>
        <scheme val="minor"/>
      </rPr>
      <t xml:space="preserve">
</t>
    </r>
    <r>
      <rPr>
        <sz val="11"/>
        <rFont val="Calibri"/>
        <family val="2"/>
        <scheme val="minor"/>
      </rPr>
      <t>(Grundgebühren für Vorkalkulationszeitraum und Gesamtgebühreneinnahmen für Nachkalkulationszeitraum)</t>
    </r>
  </si>
  <si>
    <t>5.1</t>
  </si>
  <si>
    <t>5.3</t>
  </si>
  <si>
    <t>5.4</t>
  </si>
  <si>
    <t>5.5</t>
  </si>
  <si>
    <t>5.6</t>
  </si>
  <si>
    <t>5.7</t>
  </si>
  <si>
    <t>5.8</t>
  </si>
  <si>
    <t>5.9</t>
  </si>
  <si>
    <t>5.10</t>
  </si>
  <si>
    <r>
      <t xml:space="preserve">Sa: </t>
    </r>
    <r>
      <rPr>
        <b/>
        <sz val="12"/>
        <color theme="1"/>
        <rFont val="Calibri"/>
        <family val="2"/>
        <scheme val="minor"/>
      </rPr>
      <t>Grundgebühren</t>
    </r>
    <r>
      <rPr>
        <sz val="11"/>
        <color theme="1"/>
        <rFont val="Calibri"/>
        <family val="2"/>
        <scheme val="minor"/>
      </rPr>
      <t xml:space="preserve"> bei </t>
    </r>
    <r>
      <rPr>
        <b/>
        <sz val="11"/>
        <color theme="1"/>
        <rFont val="Calibri"/>
        <family val="2"/>
        <scheme val="minor"/>
      </rPr>
      <t>gesplitteten</t>
    </r>
    <r>
      <rPr>
        <sz val="11"/>
        <color theme="1"/>
        <rFont val="Calibri"/>
        <family val="2"/>
        <scheme val="minor"/>
      </rPr>
      <t xml:space="preserve"> Abwassergebühren</t>
    </r>
  </si>
  <si>
    <r>
      <t xml:space="preserve">Sa: </t>
    </r>
    <r>
      <rPr>
        <b/>
        <sz val="12"/>
        <color theme="1"/>
        <rFont val="Calibri"/>
        <family val="2"/>
        <scheme val="minor"/>
      </rPr>
      <t>Grundgebühren</t>
    </r>
    <r>
      <rPr>
        <sz val="11"/>
        <color theme="1"/>
        <rFont val="Calibri"/>
        <family val="2"/>
        <scheme val="minor"/>
      </rPr>
      <t xml:space="preserve"> bei </t>
    </r>
    <r>
      <rPr>
        <b/>
        <sz val="11"/>
        <color theme="1"/>
        <rFont val="Calibri"/>
        <family val="2"/>
        <scheme val="minor"/>
      </rPr>
      <t>modif. Frischwassermaßstab</t>
    </r>
  </si>
  <si>
    <r>
      <t xml:space="preserve">Über-/Unterdeckung(-) </t>
    </r>
    <r>
      <rPr>
        <b/>
        <sz val="11"/>
        <rFont val="Calibri"/>
        <family val="2"/>
        <scheme val="minor"/>
      </rPr>
      <t>SW+RW</t>
    </r>
    <r>
      <rPr>
        <sz val="11"/>
        <rFont val="Calibri"/>
        <family val="2"/>
        <scheme val="minor"/>
      </rPr>
      <t xml:space="preserve">
-ohne Verzinsung- </t>
    </r>
  </si>
  <si>
    <t>6a</t>
  </si>
  <si>
    <t>6a.3</t>
  </si>
  <si>
    <t>6a.4</t>
  </si>
  <si>
    <t>6a.5</t>
  </si>
  <si>
    <t>6a.6</t>
  </si>
  <si>
    <t>6a.7</t>
  </si>
  <si>
    <t>6a.8</t>
  </si>
  <si>
    <t>6a.9</t>
  </si>
  <si>
    <t>6a.10</t>
  </si>
  <si>
    <t>6b</t>
  </si>
  <si>
    <t>6b.4</t>
  </si>
  <si>
    <t>6b.5</t>
  </si>
  <si>
    <t>6b.6</t>
  </si>
  <si>
    <t>6c.1</t>
  </si>
  <si>
    <t>6c.2</t>
  </si>
  <si>
    <t>6c.3</t>
  </si>
  <si>
    <t>6c.4</t>
  </si>
  <si>
    <t>6c.5</t>
  </si>
  <si>
    <t>6c.6</t>
  </si>
  <si>
    <t>6c.7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</si>
  <si>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</si>
  <si>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</si>
  <si>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</si>
  <si>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</si>
  <si>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</si>
  <si>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</si>
  <si>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</si>
  <si>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</si>
  <si>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</si>
  <si>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</si>
  <si>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</si>
  <si>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</si>
  <si>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</si>
  <si>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</si>
  <si>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</si>
  <si>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</si>
  <si>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</si>
  <si>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</si>
  <si>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</si>
  <si>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</si>
  <si>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</si>
  <si>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</si>
  <si>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</si>
  <si>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</si>
  <si>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</si>
  <si>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</si>
  <si>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</si>
  <si>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</si>
  <si>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</si>
  <si>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</si>
  <si>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</si>
  <si>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</si>
  <si>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</si>
  <si>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</si>
  <si>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</si>
  <si>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</si>
  <si>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</si>
  <si>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</si>
  <si>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</si>
  <si>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</si>
  <si>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</si>
  <si>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</si>
  <si>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</si>
  <si>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</si>
  <si>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</si>
  <si>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</si>
  <si>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</si>
  <si>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</si>
  <si>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</si>
  <si>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</si>
  <si>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</si>
  <si>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</si>
  <si>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</si>
  <si>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</si>
  <si>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</si>
  <si>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</si>
  <si>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</si>
  <si>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</si>
  <si>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</si>
  <si>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</si>
  <si>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</si>
  <si>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</si>
  <si>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</si>
  <si>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</si>
  <si>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 xml:space="preserve"> - hiervon Regenwasser</t>
  </si>
  <si>
    <r>
      <t xml:space="preserve">Sa: </t>
    </r>
    <r>
      <rPr>
        <b/>
        <sz val="12"/>
        <color theme="1"/>
        <rFont val="Calibri"/>
        <family val="2"/>
        <scheme val="minor"/>
      </rPr>
      <t>Gesamtgebühreneinnahmen</t>
    </r>
    <r>
      <rPr>
        <sz val="11"/>
        <color theme="1"/>
        <rFont val="Calibri"/>
        <family val="2"/>
        <scheme val="minor"/>
      </rPr>
      <t xml:space="preserve"> 
</t>
    </r>
    <r>
      <rPr>
        <b/>
        <sz val="11"/>
        <color theme="1"/>
        <rFont val="Calibri"/>
        <family val="2"/>
        <scheme val="minor"/>
      </rPr>
      <t>gesplitteten</t>
    </r>
    <r>
      <rPr>
        <sz val="11"/>
        <color theme="1"/>
        <rFont val="Calibri"/>
        <family val="2"/>
        <scheme val="minor"/>
      </rPr>
      <t xml:space="preserve"> Abwassergebühren (einschl. Grundgebühren)</t>
    </r>
  </si>
  <si>
    <r>
      <t xml:space="preserve">Sa: </t>
    </r>
    <r>
      <rPr>
        <b/>
        <sz val="12"/>
        <color theme="1"/>
        <rFont val="Calibri"/>
        <family val="2"/>
        <scheme val="minor"/>
      </rPr>
      <t>Gesamtgebühreneinnahmen</t>
    </r>
    <r>
      <rPr>
        <sz val="11"/>
        <color theme="1"/>
        <rFont val="Calibri"/>
        <family val="2"/>
        <scheme val="minor"/>
      </rPr>
      <t xml:space="preserve"> 
</t>
    </r>
    <r>
      <rPr>
        <b/>
        <sz val="11"/>
        <color theme="1"/>
        <rFont val="Calibri"/>
        <family val="2"/>
        <scheme val="minor"/>
      </rPr>
      <t>modif. Frischwassermaßstab</t>
    </r>
    <r>
      <rPr>
        <sz val="11"/>
        <color theme="1"/>
        <rFont val="Calibri"/>
        <family val="2"/>
        <scheme val="minor"/>
      </rPr>
      <t xml:space="preserve"> (einschl. Grundgebühren)</t>
    </r>
  </si>
  <si>
    <r>
      <t xml:space="preserve">Nachweis der Beiträge </t>
    </r>
    <r>
      <rPr>
        <sz val="10"/>
        <rFont val="Calibri"/>
        <family val="2"/>
        <scheme val="minor"/>
      </rPr>
      <t>-</t>
    </r>
    <r>
      <rPr>
        <sz val="12"/>
        <rFont val="Calibri"/>
        <family val="2"/>
        <scheme val="minor"/>
      </rPr>
      <t xml:space="preserve">zur Ermittlung der Auflösungsbeträge -linear- und der kalk. Zinsen- </t>
    </r>
    <r>
      <rPr>
        <sz val="10"/>
        <rFont val="Calibri"/>
        <family val="2"/>
        <scheme val="minor"/>
      </rPr>
      <t xml:space="preserve">
(Einträge nur in orange Felder vornehmen. Pflchtfelder = Spalten D, E und F sowie Spalte G bzw. H. )</t>
    </r>
  </si>
  <si>
    <r>
      <t xml:space="preserve">Nachweis der Zuwendungen </t>
    </r>
    <r>
      <rPr>
        <sz val="12"/>
        <rFont val="Calibri"/>
        <family val="2"/>
        <scheme val="minor"/>
      </rPr>
      <t xml:space="preserve">-zur Ermittlung der Auflösungsbeträge -linear- und der kalk. Zinsen- </t>
    </r>
    <r>
      <rPr>
        <b/>
        <sz val="14"/>
        <rFont val="Calibri"/>
        <family val="2"/>
        <scheme val="minor"/>
      </rPr>
      <t xml:space="preserve">
</t>
    </r>
    <r>
      <rPr>
        <sz val="10"/>
        <rFont val="Calibri"/>
        <family val="2"/>
        <scheme val="minor"/>
      </rPr>
      <t>(Einträge nur in orange Felder vornehmen. Pflchtfelder = Spalten D, E und F sowie Spalte G bzw. H. )</t>
    </r>
  </si>
  <si>
    <t>Kalkulatorische Kosten des Abwasserzweckverbandes (AZV) und anteilig kalkulatorische Kosten der Gemeinde A</t>
  </si>
  <si>
    <r>
      <t>Zuord-nungs-schlüs-sel</t>
    </r>
    <r>
      <rPr>
        <vertAlign val="superscript"/>
        <sz val="11"/>
        <rFont val="Calibri"/>
        <family val="2"/>
        <scheme val="minor"/>
      </rPr>
      <t xml:space="preserve"> 1)</t>
    </r>
  </si>
  <si>
    <r>
      <rPr>
        <vertAlign val="superscript"/>
        <sz val="11"/>
        <rFont val="Calibri"/>
        <family val="2"/>
        <scheme val="minor"/>
      </rPr>
      <t>1)</t>
    </r>
    <r>
      <rPr>
        <sz val="11"/>
        <rFont val="Calibri"/>
        <family val="2"/>
        <scheme val="minor"/>
      </rPr>
      <t xml:space="preserve">  Es sind nur die Zuordnungsschlüssel  "kls" und "klk" zulässig</t>
    </r>
  </si>
  <si>
    <t>Kalkulatorische Abschreibungen</t>
  </si>
  <si>
    <t>Kalkulatorische Abschreibungen des AZV insgesamt</t>
  </si>
  <si>
    <t xml:space="preserve"> - abzüglich Auflösungen Beiträge/Zuwendungen des AZV</t>
  </si>
  <si>
    <t>Kalkulatorische Abschreibungen des AZV (ohne Beiträge/Zuwendungen)</t>
  </si>
  <si>
    <t>Kalkulatorische Zinsen (Restbuchwert)</t>
  </si>
  <si>
    <t>Restwerte des AZV insgesamt</t>
  </si>
  <si>
    <t>2.2.</t>
  </si>
  <si>
    <t xml:space="preserve"> - abzüglich Restwerte Beiträge/Zuwendungen des AZV</t>
  </si>
  <si>
    <t>Restwerte des AZV (ohne Beiträge/Zuwendungen)</t>
  </si>
  <si>
    <t>Kalkulatorischer Zinssatz</t>
  </si>
  <si>
    <t xml:space="preserve">Kalk. Zinsen des AZV </t>
  </si>
  <si>
    <t>Anteil der Gemeinde am AZV</t>
  </si>
  <si>
    <t>3.1.</t>
  </si>
  <si>
    <t>Kalkulatorischer Zinssatz der Gemeinde</t>
  </si>
  <si>
    <t xml:space="preserve">Anteilige kalkulatorische Abschreibungen der Gemeinde </t>
  </si>
  <si>
    <t>Anteilige Restwerte der Gemeinde</t>
  </si>
  <si>
    <t xml:space="preserve">Anteilige kalkulatorische Zinsen der Gemeinde </t>
  </si>
  <si>
    <t>Aufteilung der Kosten auf SW, RW-GrSt u. RW-Str</t>
  </si>
  <si>
    <t>Jährliche Abschreibungen - Anteil der Gemeinde</t>
  </si>
  <si>
    <t>Jährliche Zinsen - Anteil der Gemeinde</t>
  </si>
  <si>
    <t>Abwasserbeseitigungseinrichtung - Gemeinde A</t>
  </si>
  <si>
    <t>von den kalk. Abschreibungen des AZV</t>
  </si>
  <si>
    <t>Anteilige kalk. Abschreib. Gemeinde
von den kalk. Abschreibungen des AZV</t>
  </si>
  <si>
    <t>Anteilige kalkulat. Zinsen Gemeinde
von den kalkulat. Zinsen des AZV</t>
  </si>
  <si>
    <t>Abwasserabgabe für Kleineinleiter</t>
  </si>
  <si>
    <t>Erstattungen von Betriebsausgaben von der Gemeinde A für Ortsteil B</t>
  </si>
  <si>
    <t>Entgelte für tariflich Beschäftigte</t>
  </si>
  <si>
    <t>Umlage zur Zusatzversorgung der tariflich Beschäftigten</t>
  </si>
  <si>
    <t>Beiträge zur gesetzlichen Sozialversicherung der tariflich Beschäftigten</t>
  </si>
  <si>
    <t>Unterhalt Grundstücke u. bauliche Anlagen</t>
  </si>
  <si>
    <t>Unterhalt Kanalnetz (TV-Untersuchungen, Sanierung, Spülung usw.)</t>
  </si>
  <si>
    <t>Geräte, Ausstattungs- und Ausrüstungsgegenstände (einschl. Unterhaltung)</t>
  </si>
  <si>
    <t>Leasing von Fahrzeugen</t>
  </si>
  <si>
    <t>Weitere Sachausgaben (Energieverbrauch)</t>
  </si>
  <si>
    <t>Abwasserabgabe nach § 9 Abs.2 AbwG, Versicherungen, Schadensfälle</t>
  </si>
  <si>
    <t>Geschäftsausgaben (Bürobedarf, Bücher, Zeitschriften usw.)</t>
  </si>
  <si>
    <t>Organisationsuntersuchung, Gebührenkalkulation</t>
  </si>
  <si>
    <t>Innere Verrechnungen (Verwaltungskostenbeitrag)</t>
  </si>
  <si>
    <t>Innere Verrechnungen (Leistungen Bauhof)</t>
  </si>
  <si>
    <t>Verwaltungs- und Betriebskostenumlage an Abwasser- und Umweltverband Chiemsee</t>
  </si>
  <si>
    <t>Mischwasserkanäle</t>
  </si>
  <si>
    <r>
      <rPr>
        <b/>
        <sz val="14"/>
        <rFont val="Calibri"/>
        <family val="2"/>
        <scheme val="minor"/>
      </rPr>
      <t>Einnahmen/Erträge</t>
    </r>
    <r>
      <rPr>
        <b/>
        <sz val="11"/>
        <rFont val="Calibri"/>
        <family val="2"/>
        <scheme val="minor"/>
      </rPr>
      <t xml:space="preserve"> </t>
    </r>
    <r>
      <rPr>
        <sz val="11"/>
        <rFont val="Calibri"/>
        <family val="2"/>
        <scheme val="minor"/>
      </rPr>
      <t>(ohne Gebührenaufkommen/Gebührenerlöse)</t>
    </r>
  </si>
  <si>
    <t>Schmutzwasser
Die hier ausgewiesene Überdeckung/Unterdeckung(-) ist in der nächsten Folgekalkulation unter Nr.6a.2 vorzutragen</t>
  </si>
  <si>
    <t>Schmutzwasser 
Angesetzte Überdeckungen/Unterdeckungen(-) für die aktuelle Vorkalkulation (einschl.Zinsen). 
Diese Beträge sind in der nächsten Folgekalulation unter Nr.6a.3 vorzutragen</t>
  </si>
  <si>
    <t>Regenwasser
Die hier ausgewiesene Überdeckung/Unterdeckung(-) ist in der nächsten Folgekalkulation unter Nr.6a.6 vorzutragen</t>
  </si>
  <si>
    <t>Regenwasser 
Angesetzte Überdeckungen/Unterdeckungen(-) für die aktuelle Vorkalkulation (einschl.Zinsen). 
Diese Beträge sind in der nächsten Folgekalulation unter Nr.6a.7 vorzutragen</t>
  </si>
  <si>
    <t>Schmutzwasser und Regenwasser
Die hier ausgewiesene Überdeckung/Unterdeckung(-) ist in der nächsten Folgekalkulation unter Nr.6b.2 vorzutragen</t>
  </si>
  <si>
    <t>Schmutzwasser und Regenwasser 
Angesetzte Überdeckungen/Unterdeckungen(-) für die aktuelle Vorkalkulation (einschl.Zinsen). 
Diese Beträge sind in der nächsten Folgekalulation unter Nr.6b.3 vorzutragen</t>
  </si>
  <si>
    <r>
      <t xml:space="preserve">Angabe der Abschreibungsart
</t>
    </r>
    <r>
      <rPr>
        <sz val="10"/>
        <rFont val="Calibri"/>
        <family val="2"/>
        <scheme val="minor"/>
      </rPr>
      <t>(</t>
    </r>
    <r>
      <rPr>
        <b/>
        <sz val="11"/>
        <rFont val="Calibri"/>
        <family val="2"/>
        <scheme val="minor"/>
      </rPr>
      <t>2</t>
    </r>
    <r>
      <rPr>
        <sz val="10"/>
        <rFont val="Calibri"/>
        <family val="2"/>
        <scheme val="minor"/>
      </rPr>
      <t>=Abschr. aus Wiederbeschaffungszeitwerten; sonst Abschr. von AHK)</t>
    </r>
  </si>
  <si>
    <r>
      <t>Berechnung: "Gesplittete" Gebühren oder 
modifizierter Frischwassermaßstab</t>
    </r>
    <r>
      <rPr>
        <sz val="10"/>
        <rFont val="Calibri"/>
        <family val="2"/>
        <scheme val="minor"/>
      </rPr>
      <t xml:space="preserve">
(</t>
    </r>
    <r>
      <rPr>
        <b/>
        <sz val="11"/>
        <rFont val="Calibri"/>
        <family val="2"/>
        <scheme val="minor"/>
      </rPr>
      <t>2</t>
    </r>
    <r>
      <rPr>
        <sz val="10"/>
        <rFont val="Calibri"/>
        <family val="2"/>
        <scheme val="minor"/>
      </rPr>
      <t>=gesplittete Gebühr; sonst Gebühr nach Frischwassermaßstab)</t>
    </r>
  </si>
  <si>
    <t>Werden vom Blatt "Grundgebühren" übernommen</t>
  </si>
  <si>
    <t>Summe Zinsen Restbuchwert insgesamt</t>
  </si>
  <si>
    <t>Von der Differenz werden auf die Gebühren umgelegt</t>
  </si>
  <si>
    <t>Abschreibungen von den Anschaffungs-/Herstellungskosten</t>
  </si>
  <si>
    <t>Aufteilung auf Schmutzwasser- (SW) u. Regenwasser- (RW) -Anteil</t>
  </si>
  <si>
    <r>
      <t xml:space="preserve">Zinssätze für die </t>
    </r>
    <r>
      <rPr>
        <b/>
        <sz val="11"/>
        <rFont val="Calibri"/>
        <family val="2"/>
        <scheme val="minor"/>
      </rPr>
      <t>Nachkalkulation</t>
    </r>
    <r>
      <rPr>
        <sz val="11"/>
        <rFont val="Calibri"/>
        <family val="2"/>
        <scheme val="minor"/>
      </rPr>
      <t xml:space="preserve"> und </t>
    </r>
    <r>
      <rPr>
        <b/>
        <sz val="11"/>
        <rFont val="Calibri"/>
        <family val="2"/>
        <scheme val="minor"/>
      </rPr>
      <t>Vorkalkulation</t>
    </r>
  </si>
  <si>
    <t>Berechnung der Grundgebühren</t>
  </si>
  <si>
    <r>
      <rPr>
        <sz val="11"/>
        <rFont val="Calibri"/>
        <family val="2"/>
        <scheme val="minor"/>
      </rPr>
      <t xml:space="preserve">Vortrag der Über-/Unterdeckungen aufgrund der Nachkalkulation  </t>
    </r>
    <r>
      <rPr>
        <b/>
        <sz val="11"/>
        <rFont val="Calibri"/>
        <family val="2"/>
        <scheme val="minor"/>
      </rPr>
      <t xml:space="preserve">
Gesplittete Abwassergebühren</t>
    </r>
  </si>
  <si>
    <r>
      <rPr>
        <sz val="11"/>
        <rFont val="Calibri"/>
        <family val="2"/>
        <scheme val="minor"/>
      </rPr>
      <t xml:space="preserve">Vortrag der Über-/Unterdeckungen aufgrund der Nachkalkulation  </t>
    </r>
    <r>
      <rPr>
        <b/>
        <sz val="11"/>
        <rFont val="Calibri"/>
        <family val="2"/>
        <scheme val="minor"/>
      </rPr>
      <t xml:space="preserve">
Modifiz. Frischwassermaßstab</t>
    </r>
  </si>
  <si>
    <r>
      <rPr>
        <sz val="11"/>
        <rFont val="Calibri"/>
        <family val="2"/>
        <scheme val="minor"/>
      </rPr>
      <t>Vortrag der verzinsten Beträge der Über-/Unterdeckungen aus der Nachkalkulation auf Vorkalkulation</t>
    </r>
    <r>
      <rPr>
        <b/>
        <sz val="11"/>
        <rFont val="Calibri"/>
        <family val="2"/>
        <scheme val="minor"/>
      </rPr>
      <t xml:space="preserve">  -Gesplittete Abwassergebühren-</t>
    </r>
  </si>
  <si>
    <r>
      <rPr>
        <sz val="11"/>
        <rFont val="Calibri"/>
        <family val="2"/>
        <scheme val="minor"/>
      </rPr>
      <t xml:space="preserve">Vortrag der verzinsten Beträge der Über-/Unterdeckungen aus der Nachkalkulation auf Vorkalkulation </t>
    </r>
    <r>
      <rPr>
        <b/>
        <sz val="11"/>
        <rFont val="Calibri"/>
        <family val="2"/>
        <scheme val="minor"/>
      </rPr>
      <t xml:space="preserve">  -Modifiz. Frischwassermaßstab-</t>
    </r>
  </si>
  <si>
    <r>
      <rPr>
        <b/>
        <sz val="11"/>
        <rFont val="Calibri"/>
        <family val="2"/>
        <scheme val="minor"/>
      </rPr>
      <t>Ent-weder</t>
    </r>
    <r>
      <rPr>
        <sz val="11"/>
        <rFont val="Calibri"/>
        <family val="2"/>
        <scheme val="minor"/>
      </rPr>
      <t xml:space="preserve"> Nut-zungs-dauer </t>
    </r>
  </si>
  <si>
    <r>
      <rPr>
        <b/>
        <sz val="11"/>
        <rFont val="Calibri"/>
        <family val="2"/>
        <scheme val="minor"/>
      </rPr>
      <t>oder</t>
    </r>
    <r>
      <rPr>
        <sz val="11"/>
        <rFont val="Calibri"/>
        <family val="2"/>
        <scheme val="minor"/>
      </rPr>
      <t xml:space="preserve"> 
Ab-
schrei-bungs-satz in</t>
    </r>
  </si>
  <si>
    <r>
      <t xml:space="preserve">Zins-berech-nungs.- Meth.
</t>
    </r>
    <r>
      <rPr>
        <b/>
        <sz val="11"/>
        <rFont val="Calibri"/>
        <family val="2"/>
        <scheme val="minor"/>
      </rPr>
      <t>Halb-wert
= H</t>
    </r>
  </si>
  <si>
    <r>
      <rPr>
        <b/>
        <sz val="11"/>
        <rFont val="Calibri"/>
        <family val="2"/>
        <scheme val="minor"/>
      </rPr>
      <t>Ent-weder</t>
    </r>
    <r>
      <rPr>
        <sz val="11"/>
        <rFont val="Calibri"/>
        <family val="2"/>
        <scheme val="minor"/>
      </rPr>
      <t xml:space="preserve"> Auflö-sungs-dauer </t>
    </r>
  </si>
  <si>
    <r>
      <rPr>
        <b/>
        <sz val="11"/>
        <rFont val="Calibri"/>
        <family val="2"/>
        <scheme val="minor"/>
      </rPr>
      <t xml:space="preserve">Oder </t>
    </r>
    <r>
      <rPr>
        <sz val="11"/>
        <rFont val="Calibri"/>
        <family val="2"/>
        <scheme val="minor"/>
      </rPr>
      <t xml:space="preserve"> Auflö-sungs-satz 
in </t>
    </r>
  </si>
  <si>
    <t>Grundgebühren - Schmutzwasser</t>
  </si>
  <si>
    <t>Grundgebühren - Regenwasser</t>
  </si>
  <si>
    <t>Grundgebühren - Schmutzwasser+Regenwasser</t>
  </si>
  <si>
    <t>Gesamtgebühren - Schmutzwasser</t>
  </si>
  <si>
    <t>Gesamtgebühren - Regenwasser</t>
  </si>
  <si>
    <t>Gesamtgebühren - Schmutzwasser+Regenwasser</t>
  </si>
  <si>
    <t>Allgemeiner Verbraucher-preisindex
= a
2015 = 100</t>
  </si>
  <si>
    <t>Gewerbliche Betriebsgebäude
= g
2015 = 100</t>
  </si>
  <si>
    <t>Brücken im  Stra0enbau
= b
2015 = 100</t>
  </si>
  <si>
    <t>Ortskanäle
= k
2015 = 100</t>
  </si>
  <si>
    <t>Wasserhochbehälter, Quell-fassungen, Entsäuerungsanlagen, mechanische und bio-logische Klärung, Schlammbehandlung, Sonderbauwerke wie Pumpwerke, Düker, Regenüberlaufbecken, Regenrückhal-tebecken 
(= Massiv-bauwerke)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</si>
</sst>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7" formatCode="#,##0.00\ &quot;€&quot;;\-#,##0.00\ &quot;€&quot;"/>
    <numFmt numFmtId="44" formatCode="_-* #,##0.00\ &quot;€&quot;_-;\-* #,##0.00\ &quot;€&quot;_-;_-* &quot;-&quot;??\ &quot;€&quot;_-;_-@_-"/>
    <numFmt numFmtId="164" formatCode="0.0"/>
    <numFmt numFmtId="165" formatCode="#,##0.00\ &quot;€&quot;"/>
    <numFmt numFmtId="166" formatCode="#,##0.00\ &quot;€&quot;&quot; / cbm&quot;"/>
    <numFmt numFmtId="167" formatCode="#,##0.00\ &quot;€&quot;&quot; / qm&quot;"/>
    <numFmt numFmtId="168" formatCode="#,##0\ &quot;cbm&quot;"/>
    <numFmt numFmtId="169" formatCode="#,##0\ &quot;qm&quot;"/>
    <numFmt numFmtId="170" formatCode="#,##0.00_ ;\-#,##0.00\ "/>
    <numFmt numFmtId="171" formatCode="_-* #,##0.00\ [$€-1]_-;\-* #,##0.00\ [$€-1]_-;_-* &quot;-&quot;??\ [$€-1]_-"/>
    <numFmt numFmtId="172" formatCode="0.0%"/>
  </numFmts>
  <fonts count="40" x14ac:knownFonts="1">
    <font>
      <sz val="11"/>
      <color theme="1"/>
      <name val="Calibri"/>
      <family val="2"/>
      <scheme val="minor"/>
    </font>
    <font>
      <sz val="11"/>
      <color theme="1"/>
      <name val="Calibri"/>
      <family val="2"/>
      <scheme val="minor"/>
    </font>
    <font>
      <b/>
      <sz val="11"/>
      <name val="Calibri"/>
      <family val="2"/>
      <scheme val="minor"/>
    </font>
    <font>
      <b/>
      <sz val="12"/>
      <name val="Calibri"/>
      <family val="2"/>
      <scheme val="minor"/>
    </font>
    <font>
      <sz val="9"/>
      <name val="Calibri"/>
      <family val="2"/>
      <scheme val="minor"/>
    </font>
    <font>
      <b/>
      <sz val="9"/>
      <name val="Calibri"/>
      <family val="2"/>
      <scheme val="minor"/>
    </font>
    <font>
      <sz val="12"/>
      <name val="Calibri"/>
      <family val="2"/>
      <scheme val="minor"/>
    </font>
    <font>
      <b/>
      <sz val="10"/>
      <name val="Calibri"/>
      <family val="2"/>
      <scheme val="minor"/>
    </font>
    <font>
      <sz val="10"/>
      <name val="Calibri"/>
      <family val="2"/>
      <scheme val="minor"/>
    </font>
    <font>
      <sz val="11"/>
      <name val="Calibri"/>
      <family val="2"/>
      <scheme val="minor"/>
    </font>
    <font>
      <sz val="10"/>
      <name val="Arial"/>
      <family val="2"/>
    </font>
    <font>
      <b/>
      <sz val="14"/>
      <name val="Calibri"/>
      <family val="2"/>
      <scheme val="minor"/>
    </font>
    <font>
      <sz val="14"/>
      <name val="Calibri"/>
      <family val="2"/>
      <scheme val="minor"/>
    </font>
    <font>
      <b/>
      <sz val="16"/>
      <name val="Calibri"/>
      <family val="2"/>
      <scheme val="minor"/>
    </font>
    <font>
      <sz val="12"/>
      <name val="Times New Roman"/>
      <family val="1"/>
    </font>
    <font>
      <sz val="10"/>
      <color theme="1"/>
      <name val="Calibri"/>
      <family val="2"/>
      <scheme val="minor"/>
    </font>
    <font>
      <b/>
      <sz val="11"/>
      <color theme="1"/>
      <name val="Calibri"/>
      <family val="2"/>
      <scheme val="minor"/>
    </font>
    <font>
      <i/>
      <sz val="11"/>
      <name val="Calibri"/>
      <family val="2"/>
      <scheme val="minor"/>
    </font>
    <font>
      <b/>
      <sz val="14"/>
      <color theme="1"/>
      <name val="Calibri"/>
      <family val="2"/>
      <scheme val="minor"/>
    </font>
    <font>
      <b/>
      <sz val="11"/>
      <color indexed="8"/>
      <name val="Calibri"/>
      <family val="2"/>
      <scheme val="minor"/>
    </font>
    <font>
      <b/>
      <sz val="13"/>
      <name val="Calibri"/>
      <family val="2"/>
      <scheme val="minor"/>
    </font>
    <font>
      <sz val="13"/>
      <name val="Calibri"/>
      <family val="2"/>
      <scheme val="minor"/>
    </font>
    <font>
      <b/>
      <sz val="11"/>
      <name val="Arial"/>
      <family val="2"/>
    </font>
    <font>
      <b/>
      <i/>
      <sz val="11"/>
      <name val="Calibri"/>
      <family val="2"/>
      <scheme val="minor"/>
    </font>
    <font>
      <sz val="14"/>
      <color theme="1"/>
      <name val="Calibri"/>
      <family val="2"/>
      <scheme val="minor"/>
    </font>
    <font>
      <b/>
      <sz val="16"/>
      <color rgb="FFFF0000"/>
      <name val="Calibri"/>
      <family val="2"/>
      <scheme val="minor"/>
    </font>
    <font>
      <b/>
      <sz val="14"/>
      <name val="Arial"/>
      <family val="2"/>
    </font>
    <font>
      <b/>
      <sz val="8"/>
      <name val="Calibri"/>
      <family val="2"/>
    </font>
    <font>
      <b/>
      <sz val="10"/>
      <name val="Arial"/>
      <family val="2"/>
    </font>
    <font>
      <b/>
      <sz val="11"/>
      <name val="Calibri"/>
      <family val="2"/>
    </font>
    <font>
      <sz val="12"/>
      <color theme="1"/>
      <name val="Calibri"/>
      <family val="2"/>
      <scheme val="minor"/>
    </font>
    <font>
      <b/>
      <sz val="10"/>
      <color theme="1"/>
      <name val="Calibri"/>
      <family val="2"/>
      <scheme val="minor"/>
    </font>
    <font>
      <vertAlign val="superscript"/>
      <sz val="11"/>
      <name val="Arial"/>
      <family val="2"/>
    </font>
    <font>
      <b/>
      <i/>
      <sz val="12"/>
      <name val="Calibri"/>
      <family val="2"/>
      <scheme val="minor"/>
    </font>
    <font>
      <i/>
      <sz val="12"/>
      <name val="Calibri"/>
      <family val="2"/>
      <scheme val="minor"/>
    </font>
    <font>
      <b/>
      <sz val="12"/>
      <color theme="1"/>
      <name val="Calibri"/>
      <family val="2"/>
      <scheme val="minor"/>
    </font>
    <font>
      <vertAlign val="superscript"/>
      <sz val="11"/>
      <name val="Calibri"/>
      <family val="2"/>
      <scheme val="minor"/>
    </font>
    <font>
      <b/>
      <sz val="12"/>
      <color rgb="FFFF0000"/>
      <name val="Calibri"/>
      <family val="2"/>
      <scheme val="minor"/>
    </font>
    <font>
      <b/>
      <sz val="11"/>
      <color rgb="FFFF0000"/>
      <name val="Calibri"/>
      <family val="2"/>
      <scheme val="minor"/>
    </font>
    <font>
      <b/>
      <sz val="14"/>
      <color rgb="FFFF0000"/>
      <name val="Calibri"/>
      <family val="2"/>
      <scheme val="minor"/>
    </font>
  </fonts>
  <fills count="9">
    <fill>
      <patternFill patternType="none"/>
    </fill>
    <fill>
      <patternFill patternType="gray125"/>
    </fill>
    <fill>
      <patternFill patternType="solid">
        <fgColor indexed="22"/>
        <bgColor indexed="64"/>
      </patternFill>
    </fill>
    <fill>
      <patternFill patternType="solid">
        <fgColor rgb="FFFFC000"/>
        <bgColor indexed="64"/>
      </patternFill>
    </fill>
    <fill>
      <patternFill patternType="lightGray"/>
    </fill>
    <fill>
      <patternFill patternType="gray0625">
        <bgColor indexed="9"/>
      </patternFill>
    </fill>
    <fill>
      <patternFill patternType="gray0625"/>
    </fill>
    <fill>
      <patternFill patternType="solid">
        <fgColor theme="3" tint="0.79998168889431442"/>
        <bgColor indexed="64"/>
      </patternFill>
    </fill>
    <fill>
      <patternFill patternType="lightTrellis"/>
    </fill>
  </fills>
  <borders count="158">
    <border>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thick">
        <color indexed="64"/>
      </right>
      <top/>
      <bottom style="thin">
        <color indexed="64"/>
      </bottom>
      <diagonal/>
    </border>
    <border>
      <left style="thick">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Dashed">
        <color indexed="64"/>
      </bottom>
      <diagonal/>
    </border>
    <border>
      <left style="thin">
        <color indexed="64"/>
      </left>
      <right style="thin">
        <color indexed="64"/>
      </right>
      <top/>
      <bottom style="mediumDashed">
        <color indexed="64"/>
      </bottom>
      <diagonal/>
    </border>
    <border>
      <left style="thin">
        <color indexed="64"/>
      </left>
      <right/>
      <top/>
      <bottom style="mediumDashed">
        <color indexed="64"/>
      </bottom>
      <diagonal/>
    </border>
    <border>
      <left/>
      <right style="thin">
        <color indexed="64"/>
      </right>
      <top/>
      <bottom style="mediumDashed">
        <color indexed="64"/>
      </bottom>
      <diagonal/>
    </border>
    <border>
      <left/>
      <right/>
      <top/>
      <bottom style="dashDot">
        <color indexed="64"/>
      </bottom>
      <diagonal/>
    </border>
    <border>
      <left style="thin">
        <color indexed="64"/>
      </left>
      <right style="thin">
        <color indexed="64"/>
      </right>
      <top/>
      <bottom style="dashDot">
        <color indexed="64"/>
      </bottom>
      <diagonal/>
    </border>
    <border>
      <left style="thin">
        <color indexed="64"/>
      </left>
      <right/>
      <top/>
      <bottom style="dashDot">
        <color indexed="64"/>
      </bottom>
      <diagonal/>
    </border>
    <border>
      <left/>
      <right style="thin">
        <color indexed="64"/>
      </right>
      <top/>
      <bottom style="dashDot">
        <color indexed="64"/>
      </bottom>
      <diagonal/>
    </border>
    <border>
      <left/>
      <right/>
      <top style="dashDot">
        <color indexed="64"/>
      </top>
      <bottom style="mediumDashed">
        <color indexed="64"/>
      </bottom>
      <diagonal/>
    </border>
    <border>
      <left style="thin">
        <color indexed="64"/>
      </left>
      <right style="thin">
        <color indexed="64"/>
      </right>
      <top style="dashDot">
        <color indexed="64"/>
      </top>
      <bottom style="mediumDashed">
        <color indexed="64"/>
      </bottom>
      <diagonal/>
    </border>
    <border>
      <left style="thin">
        <color indexed="64"/>
      </left>
      <right/>
      <top style="dashDot">
        <color indexed="64"/>
      </top>
      <bottom style="mediumDashed">
        <color indexed="64"/>
      </bottom>
      <diagonal/>
    </border>
    <border>
      <left/>
      <right style="thin">
        <color indexed="64"/>
      </right>
      <top style="dashDot">
        <color indexed="64"/>
      </top>
      <bottom style="mediumDashed">
        <color indexed="64"/>
      </bottom>
      <diagonal/>
    </border>
    <border>
      <left style="thin">
        <color indexed="64"/>
      </left>
      <right/>
      <top style="mediumDashed">
        <color indexed="64"/>
      </top>
      <bottom/>
      <diagonal/>
    </border>
    <border>
      <left/>
      <right style="thin">
        <color indexed="64"/>
      </right>
      <top style="mediumDashed">
        <color indexed="64"/>
      </top>
      <bottom/>
      <diagonal/>
    </border>
    <border>
      <left/>
      <right/>
      <top style="mediumDashed">
        <color indexed="64"/>
      </top>
      <bottom/>
      <diagonal/>
    </border>
    <border>
      <left style="thin">
        <color indexed="64"/>
      </left>
      <right/>
      <top/>
      <bottom style="thin">
        <color indexed="64"/>
      </bottom>
      <diagonal/>
    </border>
    <border>
      <left style="thin">
        <color indexed="64"/>
      </left>
      <right style="thin">
        <color indexed="64"/>
      </right>
      <top style="dashDot">
        <color indexed="64"/>
      </top>
      <bottom/>
      <diagonal/>
    </border>
    <border>
      <left style="thin">
        <color indexed="64"/>
      </left>
      <right/>
      <top style="dashDot">
        <color indexed="64"/>
      </top>
      <bottom/>
      <diagonal/>
    </border>
    <border>
      <left/>
      <right style="thin">
        <color indexed="64"/>
      </right>
      <top style="dashDot">
        <color indexed="64"/>
      </top>
      <bottom/>
      <diagonal/>
    </border>
    <border>
      <left style="thin">
        <color indexed="64"/>
      </left>
      <right style="thin">
        <color indexed="64"/>
      </right>
      <top style="dashDot">
        <color indexed="64"/>
      </top>
      <bottom style="dashDot">
        <color indexed="64"/>
      </bottom>
      <diagonal/>
    </border>
    <border>
      <left style="thin">
        <color indexed="64"/>
      </left>
      <right/>
      <top style="dashDot">
        <color indexed="64"/>
      </top>
      <bottom style="dashDot">
        <color indexed="64"/>
      </bottom>
      <diagonal/>
    </border>
    <border>
      <left/>
      <right/>
      <top style="dashDot">
        <color indexed="64"/>
      </top>
      <bottom style="dashDot">
        <color indexed="64"/>
      </bottom>
      <diagonal/>
    </border>
    <border>
      <left/>
      <right style="thin">
        <color indexed="64"/>
      </right>
      <top style="dashDot">
        <color indexed="64"/>
      </top>
      <bottom style="dashDot">
        <color indexed="64"/>
      </bottom>
      <diagonal/>
    </border>
    <border>
      <left style="thin">
        <color indexed="64"/>
      </left>
      <right style="thin">
        <color indexed="64"/>
      </right>
      <top style="mediumDashed">
        <color indexed="64"/>
      </top>
      <bottom style="thin">
        <color indexed="64"/>
      </bottom>
      <diagonal/>
    </border>
    <border>
      <left/>
      <right/>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mediumDashDot">
        <color indexed="64"/>
      </bottom>
      <diagonal/>
    </border>
    <border>
      <left style="thin">
        <color indexed="64"/>
      </left>
      <right style="thin">
        <color indexed="64"/>
      </right>
      <top/>
      <bottom style="mediumDashDot">
        <color indexed="64"/>
      </bottom>
      <diagonal/>
    </border>
    <border>
      <left style="thin">
        <color indexed="64"/>
      </left>
      <right/>
      <top/>
      <bottom style="mediumDashDot">
        <color indexed="64"/>
      </bottom>
      <diagonal/>
    </border>
    <border>
      <left/>
      <right style="thin">
        <color indexed="64"/>
      </right>
      <top/>
      <bottom style="mediumDashDot">
        <color indexed="64"/>
      </bottom>
      <diagonal/>
    </border>
    <border>
      <left/>
      <right style="thin">
        <color indexed="64"/>
      </right>
      <top style="mediumDashed">
        <color indexed="64"/>
      </top>
      <bottom style="dashDot">
        <color indexed="64"/>
      </bottom>
      <diagonal/>
    </border>
    <border>
      <left style="thin">
        <color indexed="64"/>
      </left>
      <right style="thin">
        <color indexed="64"/>
      </right>
      <top style="mediumDashed">
        <color indexed="64"/>
      </top>
      <bottom style="dashDot">
        <color indexed="64"/>
      </bottom>
      <diagonal/>
    </border>
    <border>
      <left style="thin">
        <color indexed="64"/>
      </left>
      <right/>
      <top style="mediumDashed">
        <color indexed="64"/>
      </top>
      <bottom style="dashDot">
        <color indexed="64"/>
      </bottom>
      <diagonal/>
    </border>
    <border>
      <left/>
      <right/>
      <top style="mediumDashed">
        <color indexed="64"/>
      </top>
      <bottom style="dashDot">
        <color indexed="64"/>
      </bottom>
      <diagonal/>
    </border>
    <border>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ck">
        <color indexed="64"/>
      </top>
      <bottom style="thick">
        <color indexed="64"/>
      </bottom>
      <diagonal/>
    </border>
    <border>
      <left style="medium">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medium">
        <color indexed="64"/>
      </right>
      <top/>
      <bottom style="dashed">
        <color indexed="64"/>
      </bottom>
      <diagonal/>
    </border>
    <border>
      <left style="thin">
        <color indexed="64"/>
      </left>
      <right style="medium">
        <color indexed="64"/>
      </right>
      <top/>
      <bottom/>
      <diagonal/>
    </border>
    <border>
      <left/>
      <right style="medium">
        <color indexed="64"/>
      </right>
      <top/>
      <bottom style="mediumDashed">
        <color indexed="64"/>
      </bottom>
      <diagonal/>
    </border>
    <border>
      <left style="thick">
        <color indexed="64"/>
      </left>
      <right/>
      <top/>
      <bottom/>
      <diagonal/>
    </border>
    <border>
      <left style="thick">
        <color indexed="64"/>
      </left>
      <right/>
      <top/>
      <bottom style="medium">
        <color indexed="64"/>
      </bottom>
      <diagonal/>
    </border>
    <border>
      <left style="thin">
        <color indexed="64"/>
      </left>
      <right style="thin">
        <color indexed="64"/>
      </right>
      <top style="mediumDashed">
        <color indexed="64"/>
      </top>
      <bottom/>
      <diagonal/>
    </border>
    <border>
      <left/>
      <right style="medium">
        <color indexed="64"/>
      </right>
      <top style="medium">
        <color indexed="64"/>
      </top>
      <bottom style="medium">
        <color indexed="64"/>
      </bottom>
      <diagonal/>
    </border>
    <border>
      <left style="thin">
        <color indexed="64"/>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thick">
        <color indexed="64"/>
      </right>
      <top style="thin">
        <color indexed="64"/>
      </top>
      <bottom style="mediumDashed">
        <color indexed="64"/>
      </bottom>
      <diagonal/>
    </border>
    <border>
      <left/>
      <right style="thin">
        <color indexed="64"/>
      </right>
      <top style="thin">
        <color indexed="64"/>
      </top>
      <bottom style="mediumDashed">
        <color indexed="64"/>
      </bottom>
      <diagonal/>
    </border>
    <border>
      <left/>
      <right style="thick">
        <color indexed="64"/>
      </right>
      <top style="mediumDashed">
        <color indexed="64"/>
      </top>
      <bottom/>
      <diagonal/>
    </border>
    <border>
      <left/>
      <right/>
      <top style="medium">
        <color indexed="64"/>
      </top>
      <bottom style="mediumDashed">
        <color indexed="64"/>
      </bottom>
      <diagonal/>
    </border>
    <border>
      <left style="thin">
        <color indexed="64"/>
      </left>
      <right/>
      <top style="medium">
        <color indexed="64"/>
      </top>
      <bottom style="mediumDashed">
        <color indexed="64"/>
      </bottom>
      <diagonal/>
    </border>
    <border>
      <left/>
      <right style="thick">
        <color auto="1"/>
      </right>
      <top style="medium">
        <color indexed="64"/>
      </top>
      <bottom style="mediumDashed">
        <color indexed="64"/>
      </bottom>
      <diagonal/>
    </border>
    <border>
      <left/>
      <right style="thin">
        <color indexed="64"/>
      </right>
      <top style="medium">
        <color indexed="64"/>
      </top>
      <bottom style="mediumDashed">
        <color indexed="64"/>
      </bottom>
      <diagonal/>
    </border>
    <border>
      <left style="thin">
        <color indexed="64"/>
      </left>
      <right style="thick">
        <color indexed="64"/>
      </right>
      <top style="medium">
        <color indexed="64"/>
      </top>
      <bottom style="mediumDashed">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Dashed">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mediumDashDot">
        <color indexed="64"/>
      </bottom>
      <diagonal/>
    </border>
    <border>
      <left/>
      <right/>
      <top style="thin">
        <color indexed="64"/>
      </top>
      <bottom style="mediumDashDot">
        <color indexed="64"/>
      </bottom>
      <diagonal/>
    </border>
    <border>
      <left/>
      <right style="thin">
        <color indexed="64"/>
      </right>
      <top style="thin">
        <color indexed="64"/>
      </top>
      <bottom style="mediumDashDot">
        <color indexed="64"/>
      </bottom>
      <diagonal/>
    </border>
    <border>
      <left style="thin">
        <color indexed="64"/>
      </left>
      <right style="thin">
        <color indexed="64"/>
      </right>
      <top style="thin">
        <color indexed="64"/>
      </top>
      <bottom style="dashDot">
        <color indexed="64"/>
      </bottom>
      <diagonal/>
    </border>
    <border>
      <left/>
      <right style="thick">
        <color indexed="64"/>
      </right>
      <top style="thin">
        <color indexed="64"/>
      </top>
      <bottom/>
      <diagonal/>
    </border>
    <border>
      <left style="thin">
        <color indexed="64"/>
      </left>
      <right style="medium">
        <color indexed="64"/>
      </right>
      <top/>
      <bottom style="mediumDashDot">
        <color indexed="64"/>
      </bottom>
      <diagonal/>
    </border>
    <border>
      <left/>
      <right style="thick">
        <color indexed="64"/>
      </right>
      <top/>
      <bottom style="mediumDashDot">
        <color indexed="64"/>
      </bottom>
      <diagonal/>
    </border>
    <border>
      <left/>
      <right style="thin">
        <color indexed="64"/>
      </right>
      <top style="mediumDashed">
        <color indexed="64"/>
      </top>
      <bottom style="thin">
        <color indexed="64"/>
      </bottom>
      <diagonal/>
    </border>
    <border>
      <left style="thin">
        <color indexed="64"/>
      </left>
      <right style="thin">
        <color indexed="64"/>
      </right>
      <top style="mediumDashDot">
        <color indexed="64"/>
      </top>
      <bottom style="medium">
        <color indexed="64"/>
      </bottom>
      <diagonal/>
    </border>
    <border>
      <left style="thin">
        <color indexed="64"/>
      </left>
      <right/>
      <top style="mediumDashDot">
        <color indexed="64"/>
      </top>
      <bottom style="medium">
        <color indexed="64"/>
      </bottom>
      <diagonal/>
    </border>
    <border>
      <left/>
      <right/>
      <top style="mediumDashDot">
        <color indexed="64"/>
      </top>
      <bottom style="medium">
        <color indexed="64"/>
      </bottom>
      <diagonal/>
    </border>
    <border>
      <left/>
      <right style="thin">
        <color indexed="64"/>
      </right>
      <top style="mediumDashDot">
        <color indexed="64"/>
      </top>
      <bottom style="medium">
        <color indexed="64"/>
      </bottom>
      <diagonal/>
    </border>
    <border>
      <left style="medium">
        <color indexed="64"/>
      </left>
      <right/>
      <top style="mediumDashDot">
        <color indexed="64"/>
      </top>
      <bottom/>
      <diagonal/>
    </border>
    <border>
      <left/>
      <right/>
      <top style="mediumDashDot">
        <color indexed="64"/>
      </top>
      <bottom/>
      <diagonal/>
    </border>
    <border>
      <left/>
      <right style="thick">
        <color indexed="64"/>
      </right>
      <top style="mediumDashDot">
        <color indexed="64"/>
      </top>
      <bottom/>
      <diagonal/>
    </border>
    <border>
      <left/>
      <right style="medium">
        <color indexed="64"/>
      </right>
      <top style="medium">
        <color indexed="64"/>
      </top>
      <bottom/>
      <diagonal/>
    </border>
    <border>
      <left/>
      <right style="thin">
        <color indexed="64"/>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Dashed">
        <color indexed="64"/>
      </bottom>
      <diagonal/>
    </border>
    <border>
      <left style="thin">
        <color indexed="64"/>
      </left>
      <right style="medium">
        <color indexed="64"/>
      </right>
      <top style="mediumDashed">
        <color indexed="64"/>
      </top>
      <bottom style="thin">
        <color indexed="64"/>
      </bottom>
      <diagonal/>
    </border>
    <border>
      <left style="thick">
        <color indexed="64"/>
      </left>
      <right/>
      <top style="mediumDashDot">
        <color indexed="64"/>
      </top>
      <bottom/>
      <diagonal/>
    </border>
    <border>
      <left/>
      <right style="thin">
        <color indexed="64"/>
      </right>
      <top style="mediumDashDot">
        <color indexed="64"/>
      </top>
      <bottom/>
      <diagonal/>
    </border>
    <border>
      <left/>
      <right style="thin">
        <color indexed="64"/>
      </right>
      <top style="medium">
        <color indexed="64"/>
      </top>
      <bottom/>
      <diagonal/>
    </border>
  </borders>
  <cellStyleXfs count="5">
    <xf numFmtId="0" fontId="0" fillId="0" borderId="0"/>
    <xf numFmtId="9" fontId="1" fillId="0" borderId="0" applyFont="0" applyFill="0" applyBorder="0" applyAlignment="0" applyProtection="0"/>
    <xf numFmtId="44" fontId="10" fillId="0" borderId="0" applyFont="0" applyFill="0" applyBorder="0" applyAlignment="0" applyProtection="0"/>
    <xf numFmtId="0" fontId="14" fillId="0" borderId="0"/>
    <xf numFmtId="171" fontId="14" fillId="0" borderId="0" applyFont="0" applyFill="0" applyBorder="0" applyAlignment="0" applyProtection="0"/>
  </cellStyleXfs>
  <cellXfs count="1183">
    <xf numFmtId="0" fontId="0" fillId="0" borderId="0" xfId="0"/>
    <xf numFmtId="0" fontId="8" fillId="0" borderId="9" xfId="0" applyFont="1" applyBorder="1" applyAlignment="1">
      <alignment horizontal="center" vertical="top" textRotation="180"/>
    </xf>
    <xf numFmtId="0" fontId="0" fillId="0" borderId="16" xfId="0" applyNumberFormat="1" applyFont="1" applyBorder="1" applyAlignment="1">
      <alignment horizontal="center" vertical="center" wrapText="1"/>
    </xf>
    <xf numFmtId="0" fontId="7" fillId="0" borderId="0" xfId="0" applyFont="1" applyBorder="1" applyAlignment="1">
      <alignment horizontal="center" vertical="center"/>
    </xf>
    <xf numFmtId="0" fontId="7" fillId="0" borderId="18" xfId="0" applyFont="1" applyFill="1" applyBorder="1" applyAlignment="1"/>
    <xf numFmtId="0" fontId="0" fillId="0" borderId="9" xfId="0" applyFont="1" applyFill="1" applyBorder="1" applyAlignment="1"/>
    <xf numFmtId="0" fontId="8" fillId="0" borderId="21" xfId="0" applyNumberFormat="1" applyFont="1" applyFill="1" applyBorder="1" applyAlignment="1">
      <alignment horizontal="center"/>
    </xf>
    <xf numFmtId="0" fontId="8" fillId="0" borderId="22" xfId="0" applyNumberFormat="1" applyFont="1" applyFill="1" applyBorder="1" applyAlignment="1">
      <alignment horizontal="center"/>
    </xf>
    <xf numFmtId="0" fontId="8" fillId="0" borderId="22" xfId="0" applyNumberFormat="1" applyFont="1" applyFill="1" applyBorder="1" applyAlignment="1"/>
    <xf numFmtId="0" fontId="8" fillId="0" borderId="23" xfId="0" applyNumberFormat="1" applyFont="1" applyFill="1" applyBorder="1" applyAlignment="1"/>
    <xf numFmtId="0" fontId="0" fillId="0" borderId="0" xfId="0" applyFont="1"/>
    <xf numFmtId="0" fontId="8" fillId="0" borderId="18" xfId="0" applyFont="1" applyBorder="1" applyAlignment="1">
      <alignment horizontal="center"/>
    </xf>
    <xf numFmtId="0" fontId="8" fillId="0" borderId="0" xfId="0" applyNumberFormat="1" applyFont="1" applyFill="1" applyBorder="1" applyAlignment="1">
      <alignment horizontal="center"/>
    </xf>
    <xf numFmtId="0" fontId="8" fillId="0" borderId="0" xfId="0" applyNumberFormat="1" applyFont="1" applyFill="1" applyBorder="1" applyAlignment="1"/>
    <xf numFmtId="0" fontId="8" fillId="0" borderId="24" xfId="0" applyNumberFormat="1" applyFont="1" applyFill="1" applyBorder="1" applyAlignment="1"/>
    <xf numFmtId="0" fontId="8" fillId="0" borderId="0" xfId="0" applyFont="1" applyBorder="1" applyAlignment="1">
      <alignment horizontal="center"/>
    </xf>
    <xf numFmtId="49" fontId="7" fillId="0" borderId="0" xfId="0" applyNumberFormat="1" applyFont="1" applyAlignment="1">
      <alignment horizontal="center"/>
    </xf>
    <xf numFmtId="0" fontId="2" fillId="0" borderId="18" xfId="0" applyNumberFormat="1" applyFont="1" applyBorder="1" applyAlignment="1"/>
    <xf numFmtId="0" fontId="0" fillId="0" borderId="9" xfId="0" applyNumberFormat="1" applyFont="1" applyBorder="1" applyAlignment="1">
      <alignment horizontal="center"/>
    </xf>
    <xf numFmtId="49" fontId="8" fillId="0" borderId="0" xfId="0" applyNumberFormat="1" applyFont="1" applyAlignment="1">
      <alignment horizontal="center"/>
    </xf>
    <xf numFmtId="0" fontId="0" fillId="2" borderId="18" xfId="0" applyNumberFormat="1" applyFont="1" applyFill="1" applyBorder="1" applyAlignment="1"/>
    <xf numFmtId="0" fontId="0" fillId="2" borderId="0" xfId="0" applyNumberFormat="1" applyFont="1" applyFill="1" applyBorder="1" applyAlignment="1"/>
    <xf numFmtId="10" fontId="0" fillId="2" borderId="24" xfId="0" applyNumberFormat="1" applyFont="1" applyFill="1" applyBorder="1" applyAlignment="1" applyProtection="1"/>
    <xf numFmtId="10" fontId="0" fillId="0" borderId="25" xfId="1" applyNumberFormat="1" applyFont="1" applyBorder="1" applyAlignment="1" applyProtection="1">
      <alignment horizontal="center"/>
    </xf>
    <xf numFmtId="0" fontId="0" fillId="0" borderId="18" xfId="0" applyFont="1" applyBorder="1"/>
    <xf numFmtId="0" fontId="0" fillId="0" borderId="9" xfId="0" applyFont="1" applyBorder="1" applyAlignment="1">
      <alignment horizontal="center"/>
    </xf>
    <xf numFmtId="10" fontId="0" fillId="2" borderId="16" xfId="0" applyNumberFormat="1" applyFont="1" applyFill="1" applyBorder="1" applyAlignment="1">
      <alignment horizontal="center"/>
    </xf>
    <xf numFmtId="10" fontId="0" fillId="2" borderId="25" xfId="0" applyNumberFormat="1" applyFont="1" applyFill="1" applyBorder="1" applyAlignment="1">
      <alignment horizontal="center"/>
    </xf>
    <xf numFmtId="0" fontId="0" fillId="2" borderId="24" xfId="0" applyNumberFormat="1" applyFont="1" applyFill="1" applyBorder="1" applyAlignment="1"/>
    <xf numFmtId="0" fontId="0" fillId="0" borderId="18" xfId="0" applyNumberFormat="1" applyFont="1" applyBorder="1" applyAlignment="1"/>
    <xf numFmtId="0" fontId="2" fillId="0" borderId="18" xfId="0" applyNumberFormat="1" applyFont="1" applyBorder="1" applyAlignment="1">
      <alignment wrapText="1"/>
    </xf>
    <xf numFmtId="0" fontId="9" fillId="4" borderId="0" xfId="0" applyFont="1" applyFill="1" applyBorder="1" applyAlignment="1" applyProtection="1">
      <alignment horizontal="center"/>
      <protection locked="0"/>
    </xf>
    <xf numFmtId="0" fontId="0" fillId="4" borderId="0" xfId="0" applyFont="1" applyFill="1" applyBorder="1" applyProtection="1">
      <protection locked="0"/>
    </xf>
    <xf numFmtId="0" fontId="0" fillId="4" borderId="23" xfId="0" applyFont="1" applyFill="1" applyBorder="1" applyProtection="1">
      <protection locked="0"/>
    </xf>
    <xf numFmtId="0" fontId="0" fillId="0" borderId="0" xfId="0" applyFont="1" applyAlignment="1"/>
    <xf numFmtId="0" fontId="0" fillId="0" borderId="0" xfId="0" applyFont="1" applyBorder="1" applyAlignment="1" applyProtection="1">
      <alignment horizontal="center"/>
      <protection locked="0"/>
    </xf>
    <xf numFmtId="0" fontId="0" fillId="0" borderId="0" xfId="0" applyFont="1" applyAlignment="1" applyProtection="1">
      <alignment horizontal="center"/>
      <protection locked="0"/>
    </xf>
    <xf numFmtId="164" fontId="0" fillId="3" borderId="9" xfId="0" applyNumberFormat="1" applyFont="1" applyFill="1" applyBorder="1" applyAlignment="1" applyProtection="1">
      <alignment horizontal="center"/>
      <protection locked="0"/>
    </xf>
    <xf numFmtId="0" fontId="0" fillId="0" borderId="0" xfId="0" applyFont="1" applyAlignment="1" applyProtection="1">
      <alignment wrapText="1"/>
      <protection locked="0"/>
    </xf>
    <xf numFmtId="0" fontId="8" fillId="0" borderId="12" xfId="0" applyFont="1" applyBorder="1" applyAlignment="1">
      <alignment horizontal="center" vertical="center" wrapText="1"/>
    </xf>
    <xf numFmtId="0" fontId="0" fillId="0" borderId="16" xfId="0" applyFont="1" applyBorder="1" applyAlignment="1">
      <alignment horizontal="center" vertical="center" wrapText="1"/>
    </xf>
    <xf numFmtId="0" fontId="6" fillId="0" borderId="16" xfId="0" applyFont="1" applyBorder="1" applyAlignment="1">
      <alignment horizontal="center"/>
    </xf>
    <xf numFmtId="0" fontId="8" fillId="0" borderId="41" xfId="0" applyFont="1" applyBorder="1" applyAlignment="1" applyProtection="1">
      <alignment horizontal="center" vertical="center" wrapText="1"/>
    </xf>
    <xf numFmtId="0" fontId="0" fillId="0" borderId="16"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xf>
    <xf numFmtId="14" fontId="0" fillId="0" borderId="16" xfId="0" applyNumberFormat="1" applyFont="1" applyBorder="1" applyAlignment="1">
      <alignment horizontal="center"/>
    </xf>
    <xf numFmtId="10" fontId="15" fillId="0" borderId="30" xfId="1" applyNumberFormat="1" applyFont="1" applyBorder="1" applyProtection="1">
      <protection locked="0"/>
    </xf>
    <xf numFmtId="4" fontId="15" fillId="0" borderId="29" xfId="0" applyNumberFormat="1" applyFont="1" applyBorder="1"/>
    <xf numFmtId="4" fontId="15" fillId="0" borderId="0" xfId="0" applyNumberFormat="1" applyFont="1" applyBorder="1"/>
    <xf numFmtId="0" fontId="15" fillId="0" borderId="0" xfId="0" applyNumberFormat="1" applyFont="1" applyBorder="1"/>
    <xf numFmtId="4" fontId="15" fillId="0" borderId="24" xfId="0" applyNumberFormat="1" applyFont="1" applyBorder="1"/>
    <xf numFmtId="4" fontId="15" fillId="0" borderId="18" xfId="0" applyNumberFormat="1" applyFont="1" applyBorder="1"/>
    <xf numFmtId="4" fontId="15" fillId="0" borderId="1" xfId="0" applyNumberFormat="1" applyFont="1" applyBorder="1"/>
    <xf numFmtId="2" fontId="15" fillId="0" borderId="0" xfId="0" applyNumberFormat="1" applyFont="1" applyBorder="1"/>
    <xf numFmtId="10" fontId="15" fillId="0" borderId="47" xfId="1" applyNumberFormat="1" applyFont="1" applyBorder="1" applyProtection="1">
      <protection locked="0"/>
    </xf>
    <xf numFmtId="4" fontId="15" fillId="0" borderId="48" xfId="0" applyNumberFormat="1" applyFont="1" applyBorder="1"/>
    <xf numFmtId="4" fontId="15" fillId="0" borderId="3" xfId="0" applyNumberFormat="1" applyFont="1" applyBorder="1"/>
    <xf numFmtId="0" fontId="15" fillId="0" borderId="3" xfId="0" applyNumberFormat="1" applyFont="1" applyBorder="1"/>
    <xf numFmtId="4" fontId="15" fillId="0" borderId="49" xfId="0" applyNumberFormat="1" applyFont="1" applyBorder="1"/>
    <xf numFmtId="4" fontId="15" fillId="0" borderId="2" xfId="0" applyNumberFormat="1" applyFont="1" applyBorder="1"/>
    <xf numFmtId="4" fontId="15" fillId="0" borderId="50" xfId="0" applyNumberFormat="1" applyFont="1" applyBorder="1"/>
    <xf numFmtId="2" fontId="15" fillId="0" borderId="3" xfId="0" applyNumberFormat="1" applyFont="1" applyBorder="1"/>
    <xf numFmtId="4" fontId="16" fillId="0" borderId="0" xfId="0" applyNumberFormat="1" applyFont="1"/>
    <xf numFmtId="0" fontId="3" fillId="0" borderId="9" xfId="0" applyFont="1" applyBorder="1" applyAlignment="1" applyProtection="1">
      <alignment vertical="center" wrapText="1"/>
    </xf>
    <xf numFmtId="4" fontId="0" fillId="5" borderId="0" xfId="0" applyNumberFormat="1" applyFont="1" applyFill="1" applyBorder="1" applyProtection="1"/>
    <xf numFmtId="4" fontId="0" fillId="5" borderId="18" xfId="0" applyNumberFormat="1" applyFont="1" applyFill="1" applyBorder="1" applyProtection="1"/>
    <xf numFmtId="4" fontId="0" fillId="5" borderId="1" xfId="0" applyNumberFormat="1" applyFont="1" applyFill="1" applyBorder="1" applyProtection="1"/>
    <xf numFmtId="4" fontId="0" fillId="0" borderId="1" xfId="0" applyNumberFormat="1" applyFont="1" applyBorder="1" applyProtection="1"/>
    <xf numFmtId="4" fontId="0" fillId="0" borderId="1" xfId="0" applyNumberFormat="1" applyFont="1" applyFill="1" applyBorder="1" applyProtection="1"/>
    <xf numFmtId="4" fontId="0" fillId="5" borderId="65" xfId="0" applyNumberFormat="1" applyFont="1" applyFill="1" applyBorder="1" applyProtection="1"/>
    <xf numFmtId="4" fontId="0" fillId="5" borderId="66" xfId="0" applyNumberFormat="1" applyFont="1" applyFill="1" applyBorder="1" applyProtection="1"/>
    <xf numFmtId="4" fontId="0" fillId="5" borderId="67" xfId="0" applyNumberFormat="1" applyFont="1" applyFill="1" applyBorder="1" applyProtection="1"/>
    <xf numFmtId="49" fontId="0" fillId="0" borderId="53" xfId="0" applyNumberFormat="1" applyFont="1" applyFill="1" applyBorder="1" applyAlignment="1" applyProtection="1">
      <alignment horizontal="center" vertical="center"/>
    </xf>
    <xf numFmtId="10" fontId="0" fillId="0" borderId="59" xfId="1" applyNumberFormat="1" applyFont="1" applyBorder="1" applyAlignment="1" applyProtection="1">
      <alignment horizontal="center"/>
    </xf>
    <xf numFmtId="10" fontId="0" fillId="0" borderId="60" xfId="1" applyNumberFormat="1" applyFont="1" applyBorder="1" applyAlignment="1" applyProtection="1">
      <alignment horizontal="center"/>
    </xf>
    <xf numFmtId="0" fontId="17" fillId="0" borderId="18" xfId="0" applyFont="1" applyBorder="1" applyAlignment="1" applyProtection="1">
      <alignment horizontal="center" vertical="center"/>
    </xf>
    <xf numFmtId="0" fontId="17" fillId="0" borderId="1" xfId="0" applyFont="1" applyBorder="1" applyAlignment="1" applyProtection="1">
      <alignment horizontal="center" vertical="center"/>
    </xf>
    <xf numFmtId="165" fontId="0" fillId="0" borderId="1" xfId="0" applyNumberFormat="1" applyFont="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0" fontId="0" fillId="0" borderId="0" xfId="0" applyFont="1" applyProtection="1"/>
    <xf numFmtId="0" fontId="0" fillId="0" borderId="0" xfId="0" applyFont="1" applyBorder="1" applyProtection="1"/>
    <xf numFmtId="0" fontId="0" fillId="0" borderId="0" xfId="0" applyNumberFormat="1" applyFont="1" applyFill="1" applyBorder="1" applyAlignment="1" applyProtection="1"/>
    <xf numFmtId="0" fontId="8" fillId="0" borderId="0" xfId="0" applyNumberFormat="1" applyFont="1" applyFill="1" applyBorder="1" applyAlignment="1" applyProtection="1"/>
    <xf numFmtId="4" fontId="0" fillId="0" borderId="0" xfId="0" applyNumberFormat="1" applyFont="1" applyBorder="1" applyProtection="1"/>
    <xf numFmtId="0" fontId="2" fillId="0" borderId="85" xfId="2" applyNumberFormat="1" applyFont="1" applyBorder="1" applyAlignment="1" applyProtection="1">
      <alignment vertical="center" wrapText="1"/>
    </xf>
    <xf numFmtId="0" fontId="2" fillId="0" borderId="85" xfId="0" applyFont="1" applyBorder="1" applyAlignment="1" applyProtection="1">
      <alignment vertical="center" wrapText="1"/>
    </xf>
    <xf numFmtId="0" fontId="0" fillId="4" borderId="0" xfId="0" applyFill="1" applyBorder="1"/>
    <xf numFmtId="0" fontId="0" fillId="4" borderId="24" xfId="0" applyFill="1" applyBorder="1"/>
    <xf numFmtId="0" fontId="2" fillId="0" borderId="0" xfId="0" applyNumberFormat="1" applyFont="1" applyFill="1" applyBorder="1" applyAlignment="1"/>
    <xf numFmtId="0" fontId="16" fillId="0" borderId="0" xfId="0" applyFont="1" applyAlignment="1">
      <alignment horizontal="center"/>
    </xf>
    <xf numFmtId="0" fontId="0" fillId="3" borderId="12" xfId="0" applyFont="1" applyFill="1" applyBorder="1" applyProtection="1">
      <protection locked="0"/>
    </xf>
    <xf numFmtId="0" fontId="0" fillId="3" borderId="16" xfId="0" applyFont="1" applyFill="1" applyBorder="1" applyProtection="1">
      <protection locked="0"/>
    </xf>
    <xf numFmtId="0" fontId="0" fillId="3" borderId="16" xfId="0" applyFont="1" applyFill="1" applyBorder="1" applyAlignment="1" applyProtection="1">
      <alignment horizontal="center"/>
      <protection locked="0"/>
    </xf>
    <xf numFmtId="4" fontId="0" fillId="3" borderId="16" xfId="0" applyNumberFormat="1" applyFont="1" applyFill="1" applyBorder="1" applyProtection="1">
      <protection locked="0"/>
    </xf>
    <xf numFmtId="14" fontId="0" fillId="3" borderId="16" xfId="0" applyNumberFormat="1" applyFont="1" applyFill="1" applyBorder="1" applyProtection="1">
      <protection locked="0"/>
    </xf>
    <xf numFmtId="2" fontId="0" fillId="3" borderId="16" xfId="0" applyNumberFormat="1" applyFont="1" applyFill="1" applyBorder="1" applyAlignment="1" applyProtection="1">
      <alignment horizontal="center"/>
      <protection locked="0"/>
    </xf>
    <xf numFmtId="4" fontId="0" fillId="3" borderId="15" xfId="0" applyNumberFormat="1" applyFont="1" applyFill="1" applyBorder="1" applyProtection="1">
      <protection locked="0"/>
    </xf>
    <xf numFmtId="2" fontId="0" fillId="3" borderId="15" xfId="0" applyNumberFormat="1" applyFont="1" applyFill="1" applyBorder="1" applyAlignment="1" applyProtection="1">
      <alignment horizontal="center"/>
      <protection locked="0"/>
    </xf>
    <xf numFmtId="4" fontId="0" fillId="0" borderId="0" xfId="0" applyNumberFormat="1"/>
    <xf numFmtId="10" fontId="0" fillId="0" borderId="0" xfId="1" applyNumberFormat="1" applyFont="1"/>
    <xf numFmtId="0" fontId="0" fillId="3" borderId="45" xfId="0" applyFont="1" applyFill="1" applyBorder="1" applyAlignment="1" applyProtection="1">
      <alignment horizontal="center"/>
      <protection locked="0"/>
    </xf>
    <xf numFmtId="0" fontId="2" fillId="0" borderId="0" xfId="0" applyNumberFormat="1" applyFont="1" applyFill="1" applyBorder="1" applyAlignment="1" applyProtection="1"/>
    <xf numFmtId="0" fontId="18" fillId="0" borderId="0" xfId="0" applyFont="1"/>
    <xf numFmtId="0" fontId="0" fillId="0" borderId="0" xfId="0" applyNumberFormat="1" applyFont="1" applyFill="1" applyBorder="1" applyAlignment="1"/>
    <xf numFmtId="10" fontId="16" fillId="0" borderId="0" xfId="1" applyNumberFormat="1" applyFont="1"/>
    <xf numFmtId="0" fontId="11" fillId="0" borderId="0" xfId="0" applyNumberFormat="1" applyFont="1" applyFill="1" applyBorder="1" applyAlignment="1"/>
    <xf numFmtId="49" fontId="2" fillId="0" borderId="0" xfId="0" applyNumberFormat="1" applyFont="1" applyBorder="1" applyAlignment="1" applyProtection="1">
      <alignment horizontal="center" vertical="center"/>
    </xf>
    <xf numFmtId="49" fontId="9" fillId="0" borderId="0" xfId="0" applyNumberFormat="1" applyFont="1" applyBorder="1" applyAlignment="1" applyProtection="1">
      <alignment horizontal="center" vertical="center"/>
    </xf>
    <xf numFmtId="0" fontId="16" fillId="0" borderId="16" xfId="0" applyFont="1" applyBorder="1" applyAlignment="1" applyProtection="1">
      <alignment horizontal="center"/>
    </xf>
    <xf numFmtId="0" fontId="9" fillId="0" borderId="0" xfId="0" applyNumberFormat="1" applyFont="1" applyFill="1" applyBorder="1" applyAlignment="1" applyProtection="1"/>
    <xf numFmtId="0" fontId="9" fillId="4" borderId="0" xfId="0" applyFont="1" applyFill="1" applyBorder="1" applyProtection="1">
      <protection locked="0"/>
    </xf>
    <xf numFmtId="0" fontId="2" fillId="0" borderId="19" xfId="0" applyFont="1" applyBorder="1" applyAlignment="1" applyProtection="1">
      <alignment horizontal="center" vertical="center" wrapText="1"/>
    </xf>
    <xf numFmtId="0" fontId="0" fillId="0" borderId="0" xfId="0" applyFont="1" applyFill="1" applyBorder="1" applyProtection="1"/>
    <xf numFmtId="0" fontId="8" fillId="0" borderId="0" xfId="0" applyFont="1" applyFill="1" applyBorder="1" applyProtection="1"/>
    <xf numFmtId="0" fontId="2" fillId="0" borderId="19" xfId="0" applyFont="1" applyBorder="1" applyAlignment="1" applyProtection="1">
      <alignment horizontal="center" wrapText="1"/>
    </xf>
    <xf numFmtId="170" fontId="0" fillId="3" borderId="42" xfId="0" applyNumberFormat="1" applyFont="1" applyFill="1" applyBorder="1" applyAlignment="1" applyProtection="1">
      <alignment vertical="center"/>
      <protection locked="0"/>
    </xf>
    <xf numFmtId="0" fontId="0" fillId="6" borderId="0" xfId="0" applyNumberFormat="1" applyFont="1" applyFill="1" applyBorder="1" applyProtection="1"/>
    <xf numFmtId="0" fontId="0" fillId="6" borderId="1" xfId="0" applyNumberFormat="1" applyFont="1" applyFill="1" applyBorder="1" applyProtection="1"/>
    <xf numFmtId="170" fontId="0" fillId="6" borderId="42" xfId="0" applyNumberFormat="1" applyFont="1" applyFill="1" applyBorder="1" applyProtection="1"/>
    <xf numFmtId="170" fontId="0" fillId="3" borderId="34" xfId="0" applyNumberFormat="1" applyFont="1" applyFill="1" applyBorder="1" applyAlignment="1" applyProtection="1">
      <alignment vertical="center"/>
      <protection locked="0"/>
    </xf>
    <xf numFmtId="170" fontId="0" fillId="7" borderId="101" xfId="0" applyNumberFormat="1" applyFont="1" applyFill="1" applyBorder="1" applyAlignment="1" applyProtection="1">
      <alignment vertical="center"/>
    </xf>
    <xf numFmtId="170" fontId="0" fillId="6" borderId="37" xfId="0" applyNumberFormat="1" applyFont="1" applyFill="1" applyBorder="1" applyProtection="1"/>
    <xf numFmtId="170" fontId="0" fillId="6" borderId="26" xfId="0" applyNumberFormat="1" applyFont="1" applyFill="1" applyBorder="1" applyProtection="1"/>
    <xf numFmtId="170" fontId="0" fillId="7" borderId="105" xfId="0" applyNumberFormat="1" applyFont="1" applyFill="1" applyBorder="1" applyAlignment="1" applyProtection="1">
      <alignment vertical="center"/>
    </xf>
    <xf numFmtId="0" fontId="0" fillId="6" borderId="30" xfId="0" applyNumberFormat="1" applyFont="1" applyFill="1" applyBorder="1" applyProtection="1"/>
    <xf numFmtId="170" fontId="0" fillId="6" borderId="106" xfId="0" applyNumberFormat="1" applyFont="1" applyFill="1" applyBorder="1" applyProtection="1"/>
    <xf numFmtId="0" fontId="0" fillId="6" borderId="77" xfId="0" applyNumberFormat="1" applyFont="1" applyFill="1" applyBorder="1" applyProtection="1"/>
    <xf numFmtId="1" fontId="0" fillId="0" borderId="42" xfId="0" applyNumberFormat="1" applyFont="1" applyFill="1" applyBorder="1" applyAlignment="1" applyProtection="1">
      <alignment horizontal="center"/>
    </xf>
    <xf numFmtId="4" fontId="0" fillId="0" borderId="107" xfId="0" applyNumberFormat="1" applyFont="1" applyFill="1" applyBorder="1" applyProtection="1"/>
    <xf numFmtId="4" fontId="0" fillId="0" borderId="0" xfId="0" applyNumberFormat="1" applyFont="1" applyFill="1" applyBorder="1" applyProtection="1"/>
    <xf numFmtId="4" fontId="0" fillId="0" borderId="24" xfId="0" applyNumberFormat="1" applyFont="1" applyFill="1" applyBorder="1" applyProtection="1"/>
    <xf numFmtId="14" fontId="3" fillId="3" borderId="15" xfId="0" applyNumberFormat="1" applyFont="1" applyFill="1" applyBorder="1" applyAlignment="1" applyProtection="1">
      <alignment horizontal="center"/>
      <protection locked="0"/>
    </xf>
    <xf numFmtId="14" fontId="3" fillId="0" borderId="16" xfId="0" applyNumberFormat="1" applyFont="1" applyFill="1" applyBorder="1" applyAlignment="1" applyProtection="1">
      <alignment horizontal="center"/>
    </xf>
    <xf numFmtId="14" fontId="3" fillId="3" borderId="16" xfId="0" applyNumberFormat="1" applyFont="1" applyFill="1" applyBorder="1" applyAlignment="1" applyProtection="1">
      <alignment horizontal="center"/>
      <protection locked="0"/>
    </xf>
    <xf numFmtId="0" fontId="0" fillId="0" borderId="16" xfId="0" applyFont="1" applyBorder="1" applyAlignment="1" applyProtection="1">
      <alignment wrapText="1"/>
    </xf>
    <xf numFmtId="0" fontId="0" fillId="0" borderId="16" xfId="0" applyFont="1" applyFill="1" applyBorder="1" applyAlignment="1" applyProtection="1">
      <alignment wrapText="1"/>
    </xf>
    <xf numFmtId="0" fontId="0" fillId="6" borderId="10" xfId="0" applyFont="1" applyFill="1" applyBorder="1" applyAlignment="1" applyProtection="1">
      <alignment horizontal="center" wrapText="1"/>
    </xf>
    <xf numFmtId="4" fontId="0" fillId="6" borderId="0" xfId="0" applyNumberFormat="1" applyFont="1" applyFill="1" applyBorder="1" applyAlignment="1" applyProtection="1"/>
    <xf numFmtId="4" fontId="0" fillId="6" borderId="29" xfId="0" applyNumberFormat="1" applyFont="1" applyFill="1" applyBorder="1" applyAlignment="1" applyProtection="1"/>
    <xf numFmtId="0" fontId="0" fillId="0" borderId="39" xfId="0" applyFont="1" applyBorder="1" applyProtection="1"/>
    <xf numFmtId="0" fontId="0" fillId="0" borderId="15" xfId="0" applyFont="1" applyBorder="1" applyAlignment="1" applyProtection="1">
      <alignment wrapText="1"/>
    </xf>
    <xf numFmtId="0" fontId="0" fillId="0" borderId="29" xfId="0" applyFont="1" applyBorder="1" applyProtection="1"/>
    <xf numFmtId="0" fontId="0" fillId="0" borderId="16" xfId="0" applyFont="1" applyFill="1" applyBorder="1" applyAlignment="1" applyProtection="1"/>
    <xf numFmtId="4" fontId="0" fillId="0" borderId="16" xfId="0" applyNumberFormat="1" applyFont="1" applyBorder="1" applyProtection="1"/>
    <xf numFmtId="4" fontId="0" fillId="0" borderId="29" xfId="0" applyNumberFormat="1" applyFont="1" applyBorder="1" applyProtection="1"/>
    <xf numFmtId="0" fontId="0" fillId="4" borderId="0" xfId="0" applyFont="1" applyFill="1" applyBorder="1" applyProtection="1"/>
    <xf numFmtId="0" fontId="0" fillId="4" borderId="29" xfId="0" applyFont="1" applyFill="1" applyBorder="1" applyProtection="1"/>
    <xf numFmtId="0" fontId="0" fillId="0" borderId="0" xfId="0" applyFont="1" applyFill="1" applyProtection="1"/>
    <xf numFmtId="0" fontId="8" fillId="0" borderId="12" xfId="0" applyFont="1" applyBorder="1" applyAlignment="1">
      <alignment horizontal="center" vertical="center" wrapText="1"/>
    </xf>
    <xf numFmtId="0" fontId="8" fillId="0" borderId="11" xfId="0" applyNumberFormat="1" applyFont="1" applyBorder="1" applyAlignment="1"/>
    <xf numFmtId="0" fontId="8" fillId="0" borderId="16" xfId="0" applyNumberFormat="1" applyFont="1" applyBorder="1" applyAlignment="1">
      <alignment horizontal="center" vertical="center" wrapText="1"/>
    </xf>
    <xf numFmtId="0" fontId="8" fillId="0" borderId="4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6" xfId="0" applyFont="1" applyFill="1" applyBorder="1" applyAlignment="1" applyProtection="1">
      <alignment horizontal="center" vertical="center" wrapText="1"/>
      <protection locked="0"/>
    </xf>
    <xf numFmtId="0" fontId="8" fillId="0" borderId="25" xfId="0" applyFont="1" applyBorder="1" applyAlignment="1">
      <alignment horizontal="center" vertical="center" wrapText="1"/>
    </xf>
    <xf numFmtId="14" fontId="8" fillId="0" borderId="12" xfId="0" applyNumberFormat="1" applyFont="1" applyBorder="1" applyAlignment="1">
      <alignment horizontal="center"/>
    </xf>
    <xf numFmtId="14" fontId="8" fillId="0" borderId="16" xfId="0" applyNumberFormat="1" applyFont="1" applyBorder="1" applyAlignment="1">
      <alignment horizontal="center"/>
    </xf>
    <xf numFmtId="14" fontId="8" fillId="0" borderId="11" xfId="0" applyNumberFormat="1" applyFont="1" applyBorder="1" applyAlignment="1">
      <alignment horizontal="center"/>
    </xf>
    <xf numFmtId="0" fontId="8" fillId="0" borderId="41" xfId="0" applyFont="1" applyBorder="1" applyAlignment="1">
      <alignment horizontal="center"/>
    </xf>
    <xf numFmtId="0" fontId="0" fillId="0" borderId="16" xfId="0" applyFont="1" applyBorder="1" applyAlignment="1">
      <alignment horizontal="center"/>
    </xf>
    <xf numFmtId="0" fontId="8" fillId="0" borderId="16" xfId="0" applyFont="1" applyBorder="1" applyAlignment="1">
      <alignment horizontal="center"/>
    </xf>
    <xf numFmtId="14" fontId="0" fillId="0" borderId="25" xfId="0" applyNumberFormat="1" applyFont="1" applyBorder="1" applyAlignment="1">
      <alignment horizontal="center"/>
    </xf>
    <xf numFmtId="10" fontId="8" fillId="0" borderId="30" xfId="1" applyNumberFormat="1" applyFont="1" applyBorder="1" applyProtection="1">
      <protection locked="0"/>
    </xf>
    <xf numFmtId="4" fontId="8" fillId="0" borderId="29" xfId="0" applyNumberFormat="1" applyFont="1" applyBorder="1"/>
    <xf numFmtId="4" fontId="8" fillId="0" borderId="0" xfId="0" applyNumberFormat="1" applyFont="1" applyBorder="1"/>
    <xf numFmtId="0" fontId="8" fillId="0" borderId="0" xfId="0" applyNumberFormat="1" applyFont="1" applyBorder="1" applyAlignment="1"/>
    <xf numFmtId="4" fontId="8" fillId="0" borderId="109" xfId="0" applyNumberFormat="1" applyFont="1" applyBorder="1"/>
    <xf numFmtId="4" fontId="8" fillId="0" borderId="1" xfId="0" applyNumberFormat="1" applyFont="1" applyBorder="1"/>
    <xf numFmtId="4" fontId="8" fillId="0" borderId="24" xfId="0" applyNumberFormat="1" applyFont="1" applyBorder="1"/>
    <xf numFmtId="10" fontId="8" fillId="0" borderId="47" xfId="1" applyNumberFormat="1" applyFont="1" applyBorder="1" applyProtection="1">
      <protection locked="0"/>
    </xf>
    <xf numFmtId="4" fontId="8" fillId="0" borderId="48" xfId="0" applyNumberFormat="1" applyFont="1" applyBorder="1"/>
    <xf numFmtId="4" fontId="8" fillId="0" borderId="3" xfId="0" applyNumberFormat="1" applyFont="1" applyBorder="1"/>
    <xf numFmtId="0" fontId="8" fillId="0" borderId="3" xfId="0" applyNumberFormat="1" applyFont="1" applyBorder="1" applyAlignment="1"/>
    <xf numFmtId="4" fontId="8" fillId="0" borderId="110" xfId="0" applyNumberFormat="1" applyFont="1" applyBorder="1"/>
    <xf numFmtId="4" fontId="8" fillId="0" borderId="50" xfId="0" applyNumberFormat="1" applyFont="1" applyBorder="1"/>
    <xf numFmtId="4" fontId="8" fillId="0" borderId="49" xfId="0" applyNumberFormat="1" applyFont="1" applyBorder="1"/>
    <xf numFmtId="4" fontId="0" fillId="0" borderId="0" xfId="0" applyNumberFormat="1" applyFont="1"/>
    <xf numFmtId="0" fontId="0" fillId="4" borderId="0" xfId="0" applyFont="1" applyFill="1"/>
    <xf numFmtId="4" fontId="0" fillId="0" borderId="23" xfId="0" applyNumberFormat="1" applyFont="1" applyBorder="1"/>
    <xf numFmtId="0" fontId="0" fillId="4" borderId="24" xfId="0" applyFont="1" applyFill="1" applyBorder="1"/>
    <xf numFmtId="0" fontId="7" fillId="0" borderId="0" xfId="0" applyNumberFormat="1" applyFont="1" applyFill="1" applyBorder="1" applyAlignment="1" applyProtection="1"/>
    <xf numFmtId="0" fontId="11" fillId="0" borderId="0" xfId="0" applyNumberFormat="1" applyFont="1" applyFill="1" applyBorder="1" applyAlignment="1" applyProtection="1"/>
    <xf numFmtId="0" fontId="9" fillId="3" borderId="15" xfId="0" applyFont="1" applyFill="1" applyBorder="1" applyProtection="1">
      <protection locked="0"/>
    </xf>
    <xf numFmtId="0" fontId="9" fillId="3" borderId="15" xfId="3" applyFont="1" applyFill="1" applyBorder="1" applyProtection="1">
      <protection locked="0"/>
    </xf>
    <xf numFmtId="4" fontId="9" fillId="3" borderId="15" xfId="3" applyNumberFormat="1" applyFont="1" applyFill="1" applyBorder="1" applyProtection="1">
      <protection locked="0"/>
    </xf>
    <xf numFmtId="0" fontId="9" fillId="3" borderId="16" xfId="0" applyFont="1" applyFill="1" applyBorder="1" applyAlignment="1" applyProtection="1">
      <alignment horizontal="center"/>
      <protection locked="0"/>
    </xf>
    <xf numFmtId="4" fontId="9" fillId="3" borderId="15" xfId="0" applyNumberFormat="1" applyFont="1" applyFill="1" applyBorder="1" applyProtection="1">
      <protection locked="0"/>
    </xf>
    <xf numFmtId="14" fontId="9" fillId="3" borderId="16" xfId="0" applyNumberFormat="1" applyFont="1" applyFill="1" applyBorder="1" applyProtection="1">
      <protection locked="0"/>
    </xf>
    <xf numFmtId="2" fontId="9" fillId="3" borderId="15" xfId="0" applyNumberFormat="1" applyFont="1" applyFill="1" applyBorder="1" applyAlignment="1" applyProtection="1">
      <alignment horizontal="center"/>
      <protection locked="0"/>
    </xf>
    <xf numFmtId="10" fontId="9" fillId="3" borderId="15" xfId="0" applyNumberFormat="1" applyFont="1" applyFill="1" applyBorder="1" applyAlignment="1" applyProtection="1">
      <alignment horizontal="center"/>
      <protection locked="0"/>
    </xf>
    <xf numFmtId="4" fontId="9" fillId="3" borderId="16" xfId="0" applyNumberFormat="1" applyFont="1" applyFill="1" applyBorder="1" applyAlignment="1" applyProtection="1">
      <alignment horizontal="center"/>
      <protection locked="0"/>
    </xf>
    <xf numFmtId="0" fontId="9" fillId="3" borderId="45" xfId="0" applyFont="1" applyFill="1" applyBorder="1" applyAlignment="1" applyProtection="1">
      <alignment horizontal="center"/>
      <protection locked="0"/>
    </xf>
    <xf numFmtId="0" fontId="9" fillId="3" borderId="12" xfId="0" applyFont="1" applyFill="1" applyBorder="1" applyProtection="1">
      <protection locked="0"/>
    </xf>
    <xf numFmtId="0" fontId="9" fillId="3" borderId="16" xfId="0" applyFont="1" applyFill="1" applyBorder="1" applyProtection="1">
      <protection locked="0"/>
    </xf>
    <xf numFmtId="0" fontId="9" fillId="3" borderId="16" xfId="0" applyNumberFormat="1" applyFont="1" applyFill="1" applyBorder="1" applyAlignment="1" applyProtection="1">
      <alignment horizontal="center"/>
      <protection locked="0"/>
    </xf>
    <xf numFmtId="0" fontId="9" fillId="3" borderId="14" xfId="0" applyFont="1" applyFill="1" applyBorder="1" applyProtection="1">
      <protection locked="0"/>
    </xf>
    <xf numFmtId="0" fontId="9" fillId="3" borderId="14" xfId="3" applyFont="1" applyFill="1" applyBorder="1" applyProtection="1">
      <protection locked="0"/>
    </xf>
    <xf numFmtId="4" fontId="9" fillId="3" borderId="14" xfId="3" applyNumberFormat="1" applyFont="1" applyFill="1" applyBorder="1" applyProtection="1">
      <protection locked="0"/>
    </xf>
    <xf numFmtId="0" fontId="9" fillId="3" borderId="27" xfId="0" applyFont="1" applyFill="1" applyBorder="1" applyAlignment="1" applyProtection="1">
      <alignment horizontal="center"/>
      <protection locked="0"/>
    </xf>
    <xf numFmtId="4" fontId="9" fillId="3" borderId="14" xfId="0" applyNumberFormat="1" applyFont="1" applyFill="1" applyBorder="1" applyProtection="1">
      <protection locked="0"/>
    </xf>
    <xf numFmtId="14" fontId="9" fillId="3" borderId="27" xfId="0" applyNumberFormat="1" applyFont="1" applyFill="1" applyBorder="1" applyProtection="1">
      <protection locked="0"/>
    </xf>
    <xf numFmtId="2" fontId="9" fillId="3" borderId="14" xfId="0" applyNumberFormat="1" applyFont="1" applyFill="1" applyBorder="1" applyAlignment="1" applyProtection="1">
      <alignment horizontal="center"/>
      <protection locked="0"/>
    </xf>
    <xf numFmtId="10" fontId="9" fillId="3" borderId="14" xfId="0" applyNumberFormat="1" applyFont="1" applyFill="1" applyBorder="1" applyAlignment="1" applyProtection="1">
      <alignment horizontal="center"/>
      <protection locked="0"/>
    </xf>
    <xf numFmtId="4" fontId="9" fillId="3" borderId="27" xfId="0" applyNumberFormat="1" applyFont="1" applyFill="1" applyBorder="1" applyAlignment="1" applyProtection="1">
      <alignment horizontal="center"/>
      <protection locked="0"/>
    </xf>
    <xf numFmtId="0" fontId="9" fillId="3" borderId="46" xfId="0" applyFont="1" applyFill="1" applyBorder="1" applyAlignment="1" applyProtection="1">
      <alignment horizontal="center"/>
      <protection locked="0"/>
    </xf>
    <xf numFmtId="0" fontId="0" fillId="0" borderId="1" xfId="0" applyNumberFormat="1" applyFont="1" applyFill="1" applyBorder="1" applyAlignment="1" applyProtection="1"/>
    <xf numFmtId="0" fontId="7" fillId="0" borderId="0" xfId="0" applyNumberFormat="1" applyFont="1" applyFill="1" applyBorder="1" applyAlignment="1" applyProtection="1"/>
    <xf numFmtId="10" fontId="0" fillId="0" borderId="0" xfId="1" applyNumberFormat="1" applyFont="1" applyFill="1" applyBorder="1" applyAlignment="1" applyProtection="1"/>
    <xf numFmtId="10" fontId="0" fillId="0" borderId="0" xfId="0" applyNumberFormat="1" applyFont="1" applyFill="1" applyBorder="1" applyAlignment="1" applyProtection="1"/>
    <xf numFmtId="10" fontId="0" fillId="0" borderId="1" xfId="1" applyNumberFormat="1" applyFont="1" applyFill="1" applyBorder="1" applyAlignment="1" applyProtection="1"/>
    <xf numFmtId="0" fontId="0" fillId="0" borderId="0" xfId="0" applyNumberFormat="1" applyFont="1" applyFill="1" applyBorder="1" applyAlignment="1" applyProtection="1">
      <alignment horizontal="center"/>
    </xf>
    <xf numFmtId="0" fontId="3" fillId="0" borderId="0" xfId="0" applyNumberFormat="1" applyFont="1" applyFill="1" applyBorder="1" applyAlignment="1" applyProtection="1"/>
    <xf numFmtId="0" fontId="2" fillId="0" borderId="0" xfId="0" applyNumberFormat="1" applyFont="1" applyFill="1" applyBorder="1" applyAlignment="1" applyProtection="1">
      <alignment horizontal="center"/>
    </xf>
    <xf numFmtId="0" fontId="23" fillId="0" borderId="0" xfId="0" applyNumberFormat="1" applyFont="1" applyFill="1" applyBorder="1" applyAlignment="1" applyProtection="1"/>
    <xf numFmtId="0" fontId="0" fillId="0" borderId="24" xfId="0" applyFont="1" applyBorder="1"/>
    <xf numFmtId="0" fontId="24" fillId="0" borderId="0" xfId="0" applyNumberFormat="1" applyFont="1" applyFill="1" applyBorder="1" applyAlignment="1"/>
    <xf numFmtId="0" fontId="7" fillId="0" borderId="0" xfId="0" applyNumberFormat="1" applyFont="1" applyFill="1" applyBorder="1" applyAlignment="1" applyProtection="1"/>
    <xf numFmtId="0" fontId="8" fillId="0" borderId="16" xfId="0" applyFont="1" applyFill="1" applyBorder="1" applyAlignment="1" applyProtection="1">
      <alignment horizontal="center" vertical="center" wrapText="1"/>
      <protection locked="0"/>
    </xf>
    <xf numFmtId="0" fontId="8" fillId="0" borderId="12" xfId="0" applyFont="1" applyBorder="1" applyAlignment="1">
      <alignment horizontal="center" vertical="center" wrapText="1"/>
    </xf>
    <xf numFmtId="0" fontId="8" fillId="0" borderId="16" xfId="0" applyFont="1" applyBorder="1" applyAlignment="1">
      <alignment horizontal="center" vertical="center" wrapText="1"/>
    </xf>
    <xf numFmtId="0" fontId="9" fillId="0" borderId="0" xfId="0" applyNumberFormat="1" applyFont="1" applyFill="1" applyBorder="1" applyAlignment="1"/>
    <xf numFmtId="0" fontId="9" fillId="3" borderId="15" xfId="0" applyFont="1" applyFill="1" applyBorder="1" applyAlignment="1" applyProtection="1">
      <alignment horizontal="center"/>
      <protection locked="0"/>
    </xf>
    <xf numFmtId="14" fontId="9" fillId="3" borderId="15" xfId="0" applyNumberFormat="1" applyFont="1" applyFill="1" applyBorder="1" applyProtection="1">
      <protection locked="0"/>
    </xf>
    <xf numFmtId="14" fontId="0" fillId="0" borderId="35" xfId="0" applyNumberFormat="1" applyFont="1" applyBorder="1" applyAlignment="1">
      <alignment horizontal="center"/>
    </xf>
    <xf numFmtId="14" fontId="0" fillId="0" borderId="51" xfId="0" applyNumberFormat="1" applyFont="1" applyBorder="1" applyAlignment="1">
      <alignment horizontal="center"/>
    </xf>
    <xf numFmtId="14" fontId="0" fillId="0" borderId="10" xfId="0" applyNumberFormat="1" applyFont="1" applyBorder="1" applyAlignment="1">
      <alignment horizontal="center"/>
    </xf>
    <xf numFmtId="14" fontId="0" fillId="0" borderId="13" xfId="0" applyNumberFormat="1" applyFont="1" applyFill="1" applyBorder="1" applyAlignment="1" applyProtection="1">
      <alignment horizontal="center" vertical="center" wrapText="1"/>
      <protection locked="0"/>
    </xf>
    <xf numFmtId="0" fontId="0" fillId="0" borderId="51" xfId="0" applyFont="1" applyBorder="1" applyAlignment="1" applyProtection="1">
      <alignment horizontal="center"/>
    </xf>
    <xf numFmtId="0" fontId="0" fillId="0" borderId="10" xfId="0" applyFont="1" applyBorder="1" applyAlignment="1" applyProtection="1">
      <alignment horizontal="center"/>
    </xf>
    <xf numFmtId="14" fontId="0" fillId="0" borderId="10" xfId="0" applyNumberFormat="1" applyFont="1" applyFill="1" applyBorder="1" applyAlignment="1" applyProtection="1">
      <alignment horizontal="center" vertical="center" wrapText="1"/>
    </xf>
    <xf numFmtId="14" fontId="0" fillId="0" borderId="10" xfId="0" applyNumberFormat="1" applyFont="1" applyBorder="1" applyAlignment="1" applyProtection="1">
      <alignment horizontal="center"/>
    </xf>
    <xf numFmtId="0" fontId="0" fillId="0" borderId="13" xfId="0" applyFont="1" applyBorder="1" applyAlignment="1" applyProtection="1">
      <alignment horizontal="center"/>
    </xf>
    <xf numFmtId="0" fontId="0" fillId="0" borderId="0" xfId="0" applyBorder="1"/>
    <xf numFmtId="4" fontId="0" fillId="0" borderId="24" xfId="0" applyNumberFormat="1" applyBorder="1"/>
    <xf numFmtId="4" fontId="0" fillId="0" borderId="24" xfId="0" applyNumberFormat="1" applyFont="1" applyBorder="1"/>
    <xf numFmtId="0" fontId="0" fillId="0" borderId="0" xfId="0" applyFont="1" applyBorder="1"/>
    <xf numFmtId="49" fontId="2" fillId="0" borderId="26" xfId="0" applyNumberFormat="1" applyFont="1" applyBorder="1" applyAlignment="1" applyProtection="1">
      <alignment horizontal="center"/>
      <protection locked="0"/>
    </xf>
    <xf numFmtId="4" fontId="0" fillId="1" borderId="26" xfId="0" applyNumberFormat="1" applyFont="1" applyFill="1" applyBorder="1" applyProtection="1">
      <protection locked="0"/>
    </xf>
    <xf numFmtId="4" fontId="0" fillId="1" borderId="26" xfId="0" applyNumberFormat="1" applyFont="1" applyFill="1" applyBorder="1"/>
    <xf numFmtId="4" fontId="0" fillId="1" borderId="32" xfId="0" applyNumberFormat="1" applyFont="1" applyFill="1" applyBorder="1"/>
    <xf numFmtId="172" fontId="0" fillId="3" borderId="16" xfId="0" applyNumberFormat="1" applyFont="1" applyFill="1" applyBorder="1" applyAlignment="1" applyProtection="1">
      <alignment horizontal="center"/>
      <protection locked="0"/>
    </xf>
    <xf numFmtId="172" fontId="0" fillId="3" borderId="25" xfId="0" applyNumberFormat="1" applyFont="1" applyFill="1" applyBorder="1" applyAlignment="1" applyProtection="1">
      <alignment horizontal="center"/>
      <protection locked="0"/>
    </xf>
    <xf numFmtId="4" fontId="0" fillId="0" borderId="0" xfId="0" applyNumberFormat="1" applyFont="1" applyBorder="1"/>
    <xf numFmtId="0" fontId="0" fillId="3" borderId="16" xfId="0" applyFont="1" applyFill="1" applyBorder="1" applyAlignment="1" applyProtection="1">
      <alignment wrapText="1"/>
      <protection locked="0"/>
    </xf>
    <xf numFmtId="4" fontId="0" fillId="3" borderId="12" xfId="0" applyNumberFormat="1" applyFont="1" applyFill="1" applyBorder="1" applyProtection="1">
      <protection locked="0"/>
    </xf>
    <xf numFmtId="0" fontId="0" fillId="0" borderId="116" xfId="0" applyFont="1" applyFill="1" applyBorder="1" applyAlignment="1" applyProtection="1">
      <alignment horizontal="center"/>
    </xf>
    <xf numFmtId="0" fontId="0" fillId="0" borderId="117" xfId="0" applyFont="1" applyFill="1" applyBorder="1" applyAlignment="1" applyProtection="1">
      <alignment horizontal="center"/>
    </xf>
    <xf numFmtId="0" fontId="0" fillId="0" borderId="118" xfId="0" applyFont="1" applyFill="1" applyBorder="1" applyProtection="1"/>
    <xf numFmtId="172" fontId="0" fillId="0" borderId="117" xfId="0" applyNumberFormat="1" applyFont="1" applyFill="1" applyBorder="1" applyAlignment="1" applyProtection="1">
      <alignment horizontal="center"/>
    </xf>
    <xf numFmtId="172" fontId="0" fillId="0" borderId="119" xfId="0" applyNumberFormat="1" applyFont="1" applyFill="1" applyBorder="1" applyAlignment="1" applyProtection="1">
      <alignment horizontal="center"/>
    </xf>
    <xf numFmtId="4" fontId="0" fillId="0" borderId="120" xfId="0" applyNumberFormat="1" applyFont="1" applyFill="1" applyBorder="1" applyProtection="1"/>
    <xf numFmtId="4" fontId="0" fillId="0" borderId="117" xfId="0" applyNumberFormat="1" applyFont="1" applyFill="1" applyBorder="1" applyProtection="1"/>
    <xf numFmtId="4" fontId="0" fillId="0" borderId="118" xfId="0" applyNumberFormat="1" applyFont="1" applyFill="1" applyBorder="1" applyProtection="1"/>
    <xf numFmtId="4" fontId="0" fillId="0" borderId="116" xfId="0" applyNumberFormat="1" applyFont="1" applyFill="1" applyBorder="1" applyProtection="1"/>
    <xf numFmtId="4" fontId="0" fillId="0" borderId="119" xfId="0" applyNumberFormat="1" applyFont="1" applyFill="1" applyBorder="1" applyProtection="1"/>
    <xf numFmtId="0" fontId="0" fillId="8" borderId="0" xfId="0" applyFont="1" applyFill="1" applyBorder="1" applyAlignment="1" applyProtection="1">
      <alignment horizontal="center"/>
      <protection locked="0"/>
    </xf>
    <xf numFmtId="0" fontId="0" fillId="8" borderId="18" xfId="0" applyFont="1" applyFill="1" applyBorder="1" applyProtection="1"/>
    <xf numFmtId="172" fontId="0" fillId="8" borderId="0" xfId="0" applyNumberFormat="1" applyFont="1" applyFill="1" applyBorder="1" applyAlignment="1" applyProtection="1">
      <alignment horizontal="center"/>
      <protection locked="0"/>
    </xf>
    <xf numFmtId="172" fontId="0" fillId="8" borderId="24" xfId="0" applyNumberFormat="1" applyFont="1" applyFill="1" applyBorder="1" applyAlignment="1" applyProtection="1">
      <alignment horizontal="center"/>
      <protection locked="0"/>
    </xf>
    <xf numFmtId="4" fontId="0" fillId="8" borderId="0" xfId="0" applyNumberFormat="1" applyFont="1" applyFill="1" applyBorder="1" applyProtection="1">
      <protection locked="0"/>
    </xf>
    <xf numFmtId="4" fontId="0" fillId="8" borderId="24" xfId="0" applyNumberFormat="1" applyFont="1" applyFill="1" applyBorder="1" applyProtection="1">
      <protection locked="0"/>
    </xf>
    <xf numFmtId="49" fontId="2" fillId="0" borderId="0" xfId="0" applyNumberFormat="1" applyFont="1" applyBorder="1" applyAlignment="1" applyProtection="1">
      <alignment horizontal="center"/>
      <protection locked="0"/>
    </xf>
    <xf numFmtId="0" fontId="0" fillId="3" borderId="10" xfId="0" applyFont="1" applyFill="1" applyBorder="1" applyAlignment="1" applyProtection="1">
      <alignment horizontal="center"/>
      <protection locked="0"/>
    </xf>
    <xf numFmtId="0" fontId="0" fillId="3" borderId="10" xfId="0" applyFont="1" applyFill="1" applyBorder="1" applyAlignment="1" applyProtection="1">
      <alignment wrapText="1"/>
      <protection locked="0"/>
    </xf>
    <xf numFmtId="172" fontId="0" fillId="3" borderId="10" xfId="0" applyNumberFormat="1" applyFont="1" applyFill="1" applyBorder="1" applyAlignment="1" applyProtection="1">
      <alignment horizontal="center"/>
      <protection locked="0"/>
    </xf>
    <xf numFmtId="172" fontId="0" fillId="3" borderId="13" xfId="0" applyNumberFormat="1" applyFont="1" applyFill="1" applyBorder="1" applyAlignment="1" applyProtection="1">
      <alignment horizontal="center"/>
      <protection locked="0"/>
    </xf>
    <xf numFmtId="4" fontId="0" fillId="3" borderId="51" xfId="0" applyNumberFormat="1" applyFont="1" applyFill="1" applyBorder="1" applyProtection="1">
      <protection locked="0"/>
    </xf>
    <xf numFmtId="4" fontId="0" fillId="3" borderId="10" xfId="0" applyNumberFormat="1" applyFont="1" applyFill="1" applyBorder="1" applyProtection="1">
      <protection locked="0"/>
    </xf>
    <xf numFmtId="0" fontId="0" fillId="0" borderId="122" xfId="0" applyFont="1" applyFill="1" applyBorder="1" applyAlignment="1" applyProtection="1">
      <alignment horizontal="center"/>
    </xf>
    <xf numFmtId="172" fontId="0" fillId="0" borderId="122" xfId="0" applyNumberFormat="1" applyFont="1" applyFill="1" applyBorder="1" applyAlignment="1" applyProtection="1">
      <alignment horizontal="center"/>
    </xf>
    <xf numFmtId="172" fontId="0" fillId="0" borderId="124" xfId="0" applyNumberFormat="1" applyFont="1" applyFill="1" applyBorder="1" applyAlignment="1" applyProtection="1">
      <alignment horizontal="center"/>
    </xf>
    <xf numFmtId="4" fontId="0" fillId="0" borderId="125" xfId="0" applyNumberFormat="1" applyFont="1" applyFill="1" applyBorder="1" applyProtection="1"/>
    <xf numFmtId="4" fontId="0" fillId="0" borderId="123" xfId="0" applyNumberFormat="1" applyFont="1" applyFill="1" applyBorder="1" applyProtection="1"/>
    <xf numFmtId="4" fontId="0" fillId="0" borderId="126" xfId="0" applyNumberFormat="1" applyFont="1" applyFill="1" applyBorder="1" applyProtection="1"/>
    <xf numFmtId="0" fontId="0" fillId="4" borderId="0" xfId="0" applyFont="1" applyFill="1" applyBorder="1" applyAlignment="1" applyProtection="1">
      <alignment horizontal="center"/>
    </xf>
    <xf numFmtId="172" fontId="0" fillId="4" borderId="0" xfId="0" applyNumberFormat="1" applyFont="1" applyFill="1" applyBorder="1" applyAlignment="1" applyProtection="1">
      <alignment horizontal="center"/>
    </xf>
    <xf numFmtId="172" fontId="0" fillId="4" borderId="24" xfId="0" applyNumberFormat="1" applyFont="1" applyFill="1" applyBorder="1" applyAlignment="1" applyProtection="1">
      <alignment horizontal="center"/>
    </xf>
    <xf numFmtId="4" fontId="0" fillId="4" borderId="67" xfId="0" applyNumberFormat="1" applyFont="1" applyFill="1" applyBorder="1" applyProtection="1"/>
    <xf numFmtId="4" fontId="0" fillId="4" borderId="0" xfId="0" applyNumberFormat="1" applyFont="1" applyFill="1" applyBorder="1" applyProtection="1"/>
    <xf numFmtId="4" fontId="0" fillId="4" borderId="121" xfId="0" applyNumberFormat="1" applyFont="1" applyFill="1" applyBorder="1" applyProtection="1"/>
    <xf numFmtId="0" fontId="0" fillId="0" borderId="1" xfId="0" applyFont="1" applyFill="1" applyBorder="1" applyProtection="1"/>
    <xf numFmtId="0" fontId="0" fillId="0" borderId="0" xfId="0" applyFont="1" applyFill="1" applyBorder="1" applyAlignment="1" applyProtection="1">
      <alignment horizontal="center"/>
    </xf>
    <xf numFmtId="0" fontId="0" fillId="0" borderId="24" xfId="0" applyFont="1" applyBorder="1" applyAlignment="1" applyProtection="1"/>
    <xf numFmtId="0" fontId="0" fillId="0" borderId="0" xfId="0" applyFont="1" applyBorder="1" applyAlignment="1" applyProtection="1">
      <alignment horizontal="center"/>
    </xf>
    <xf numFmtId="0" fontId="0" fillId="0" borderId="24" xfId="0" applyFont="1" applyBorder="1" applyProtection="1"/>
    <xf numFmtId="0" fontId="0" fillId="0" borderId="1" xfId="0" applyFont="1" applyBorder="1" applyProtection="1"/>
    <xf numFmtId="0" fontId="0" fillId="0" borderId="0" xfId="0" applyFont="1" applyFill="1" applyBorder="1" applyAlignment="1" applyProtection="1">
      <alignment horizontal="left"/>
    </xf>
    <xf numFmtId="10" fontId="0" fillId="0" borderId="0" xfId="1" applyNumberFormat="1" applyFont="1" applyBorder="1" applyProtection="1"/>
    <xf numFmtId="0" fontId="0" fillId="0" borderId="0" xfId="0" applyFont="1" applyFill="1"/>
    <xf numFmtId="4" fontId="0" fillId="3" borderId="41" xfId="0" applyNumberFormat="1" applyFont="1" applyFill="1" applyBorder="1" applyProtection="1">
      <protection locked="0"/>
    </xf>
    <xf numFmtId="1" fontId="0" fillId="0" borderId="15" xfId="0" applyNumberFormat="1" applyFont="1" applyFill="1" applyBorder="1" applyAlignment="1" applyProtection="1">
      <alignment horizontal="center"/>
    </xf>
    <xf numFmtId="4" fontId="0" fillId="0" borderId="45" xfId="0" applyNumberFormat="1" applyFont="1" applyBorder="1" applyAlignment="1" applyProtection="1">
      <alignment horizontal="center"/>
    </xf>
    <xf numFmtId="0" fontId="0" fillId="0" borderId="44" xfId="0" applyFont="1" applyBorder="1" applyAlignment="1" applyProtection="1">
      <alignment wrapText="1"/>
    </xf>
    <xf numFmtId="0" fontId="0" fillId="0" borderId="44" xfId="0" applyFont="1" applyFill="1" applyBorder="1" applyAlignment="1" applyProtection="1">
      <alignment wrapText="1"/>
    </xf>
    <xf numFmtId="0" fontId="0" fillId="6" borderId="35" xfId="0" applyFont="1" applyFill="1" applyBorder="1" applyAlignment="1" applyProtection="1">
      <alignment horizontal="center" wrapText="1"/>
    </xf>
    <xf numFmtId="0" fontId="0" fillId="0" borderId="40" xfId="0" applyFont="1" applyBorder="1" applyAlignment="1" applyProtection="1">
      <alignment wrapText="1"/>
    </xf>
    <xf numFmtId="0" fontId="0" fillId="0" borderId="44" xfId="0" applyFont="1" applyFill="1" applyBorder="1" applyAlignment="1" applyProtection="1"/>
    <xf numFmtId="0" fontId="0" fillId="4" borderId="30" xfId="0" applyFont="1" applyFill="1" applyBorder="1" applyProtection="1"/>
    <xf numFmtId="0" fontId="25" fillId="0" borderId="0" xfId="0" applyFont="1"/>
    <xf numFmtId="0" fontId="7" fillId="0" borderId="0" xfId="0" applyNumberFormat="1" applyFont="1" applyFill="1" applyBorder="1" applyAlignment="1" applyProtection="1"/>
    <xf numFmtId="0" fontId="6" fillId="0" borderId="3" xfId="0" applyFont="1" applyBorder="1" applyAlignment="1"/>
    <xf numFmtId="1" fontId="0" fillId="0" borderId="34" xfId="0" applyNumberFormat="1" applyFont="1" applyFill="1" applyBorder="1" applyAlignment="1" applyProtection="1">
      <alignment horizontal="center"/>
    </xf>
    <xf numFmtId="1" fontId="28" fillId="0" borderId="16" xfId="0" applyNumberFormat="1" applyFont="1" applyBorder="1" applyAlignment="1">
      <alignment horizontal="center"/>
    </xf>
    <xf numFmtId="0" fontId="10" fillId="0" borderId="16" xfId="0" applyFont="1" applyBorder="1" applyAlignment="1" applyProtection="1">
      <alignment horizontal="center" wrapText="1"/>
      <protection locked="0"/>
    </xf>
    <xf numFmtId="0" fontId="0" fillId="0" borderId="16" xfId="0" applyBorder="1" applyAlignment="1" applyProtection="1">
      <alignment horizontal="center"/>
      <protection locked="0"/>
    </xf>
    <xf numFmtId="165" fontId="0" fillId="0" borderId="16" xfId="0" applyNumberFormat="1" applyBorder="1" applyAlignment="1" applyProtection="1">
      <alignment horizontal="center"/>
      <protection locked="0"/>
    </xf>
    <xf numFmtId="3" fontId="0" fillId="3" borderId="16" xfId="0" applyNumberFormat="1" applyFill="1" applyBorder="1" applyProtection="1">
      <protection locked="0"/>
    </xf>
    <xf numFmtId="165" fontId="0" fillId="0" borderId="16" xfId="0" applyNumberFormat="1" applyBorder="1"/>
    <xf numFmtId="0" fontId="10" fillId="0" borderId="16" xfId="0" applyFont="1" applyBorder="1" applyAlignment="1" applyProtection="1">
      <alignment horizontal="center"/>
      <protection locked="0"/>
    </xf>
    <xf numFmtId="3" fontId="28" fillId="0" borderId="16" xfId="0" applyNumberFormat="1" applyFont="1" applyBorder="1"/>
    <xf numFmtId="165" fontId="28" fillId="0" borderId="16" xfId="0" applyNumberFormat="1" applyFont="1" applyBorder="1"/>
    <xf numFmtId="0" fontId="0" fillId="4" borderId="0" xfId="0" applyFill="1"/>
    <xf numFmtId="0" fontId="28" fillId="4" borderId="131" xfId="0" applyFont="1" applyFill="1" applyBorder="1" applyAlignment="1">
      <alignment horizontal="right"/>
    </xf>
    <xf numFmtId="3" fontId="28" fillId="4" borderId="0" xfId="0" applyNumberFormat="1" applyFont="1" applyFill="1" applyBorder="1" applyAlignment="1"/>
    <xf numFmtId="165" fontId="28" fillId="4" borderId="0" xfId="0" applyNumberFormat="1" applyFont="1" applyFill="1" applyBorder="1" applyAlignment="1"/>
    <xf numFmtId="3" fontId="28" fillId="0" borderId="132" xfId="0" applyNumberFormat="1" applyFont="1" applyBorder="1"/>
    <xf numFmtId="165" fontId="28" fillId="0" borderId="132" xfId="0" applyNumberFormat="1" applyFont="1" applyBorder="1"/>
    <xf numFmtId="49" fontId="0" fillId="0" borderId="56" xfId="0" applyNumberFormat="1" applyFont="1" applyBorder="1" applyAlignment="1" applyProtection="1">
      <alignment horizontal="center" vertical="center"/>
    </xf>
    <xf numFmtId="4" fontId="9" fillId="0" borderId="18" xfId="0" applyNumberFormat="1" applyFont="1" applyBorder="1" applyProtection="1"/>
    <xf numFmtId="4" fontId="9" fillId="0" borderId="1" xfId="0" applyNumberFormat="1" applyFont="1" applyBorder="1" applyProtection="1"/>
    <xf numFmtId="4" fontId="9" fillId="0" borderId="0" xfId="0" applyNumberFormat="1" applyFont="1" applyBorder="1" applyProtection="1"/>
    <xf numFmtId="4" fontId="23" fillId="0" borderId="18" xfId="0" applyNumberFormat="1" applyFont="1" applyBorder="1" applyProtection="1"/>
    <xf numFmtId="4" fontId="23" fillId="0" borderId="1" xfId="0" applyNumberFormat="1" applyFont="1" applyBorder="1" applyProtection="1"/>
    <xf numFmtId="4" fontId="9" fillId="0" borderId="59" xfId="0" applyNumberFormat="1" applyFont="1" applyBorder="1" applyProtection="1"/>
    <xf numFmtId="4" fontId="9" fillId="0" borderId="60" xfId="0" applyNumberFormat="1" applyFont="1" applyBorder="1" applyProtection="1"/>
    <xf numFmtId="4" fontId="17" fillId="0" borderId="18" xfId="0" applyNumberFormat="1" applyFont="1" applyFill="1" applyBorder="1" applyProtection="1"/>
    <xf numFmtId="4" fontId="17" fillId="0" borderId="1" xfId="0" applyNumberFormat="1" applyFont="1" applyFill="1" applyBorder="1" applyProtection="1"/>
    <xf numFmtId="4" fontId="17" fillId="6" borderId="0" xfId="0" applyNumberFormat="1" applyFont="1" applyFill="1" applyBorder="1" applyProtection="1"/>
    <xf numFmtId="4" fontId="17" fillId="6" borderId="18" xfId="0" applyNumberFormat="1" applyFont="1" applyFill="1" applyBorder="1" applyProtection="1"/>
    <xf numFmtId="4" fontId="17" fillId="6" borderId="1" xfId="0" applyNumberFormat="1" applyFont="1" applyFill="1" applyBorder="1" applyProtection="1"/>
    <xf numFmtId="4" fontId="17" fillId="0" borderId="57" xfId="0" applyNumberFormat="1" applyFont="1" applyFill="1" applyBorder="1" applyProtection="1"/>
    <xf numFmtId="4" fontId="17" fillId="0" borderId="60" xfId="0" applyNumberFormat="1" applyFont="1" applyFill="1" applyBorder="1" applyProtection="1"/>
    <xf numFmtId="4" fontId="23" fillId="0" borderId="0" xfId="0" applyNumberFormat="1" applyFont="1" applyBorder="1" applyProtection="1"/>
    <xf numFmtId="4" fontId="17" fillId="0" borderId="0" xfId="0" applyNumberFormat="1" applyFont="1" applyFill="1" applyBorder="1" applyProtection="1"/>
    <xf numFmtId="0" fontId="9" fillId="0" borderId="1" xfId="0" applyNumberFormat="1" applyFont="1" applyBorder="1" applyAlignment="1" applyProtection="1">
      <alignment horizontal="center" vertical="center"/>
    </xf>
    <xf numFmtId="3" fontId="9" fillId="0" borderId="55" xfId="0" applyNumberFormat="1" applyFont="1" applyBorder="1" applyAlignment="1" applyProtection="1">
      <alignment horizontal="center" wrapText="1"/>
    </xf>
    <xf numFmtId="3" fontId="9" fillId="0" borderId="56" xfId="0" applyNumberFormat="1" applyFont="1" applyBorder="1" applyAlignment="1" applyProtection="1">
      <alignment horizontal="center" wrapText="1"/>
    </xf>
    <xf numFmtId="4" fontId="0" fillId="0" borderId="137" xfId="0" applyNumberFormat="1" applyFont="1" applyFill="1" applyBorder="1" applyProtection="1"/>
    <xf numFmtId="4" fontId="0" fillId="0" borderId="51" xfId="0" applyNumberFormat="1" applyFont="1" applyFill="1" applyBorder="1" applyProtection="1"/>
    <xf numFmtId="4" fontId="0" fillId="0" borderId="138" xfId="0" applyNumberFormat="1" applyFont="1" applyFill="1" applyBorder="1" applyProtection="1"/>
    <xf numFmtId="4" fontId="0" fillId="0" borderId="80" xfId="0" applyNumberFormat="1" applyFont="1" applyFill="1" applyBorder="1" applyProtection="1"/>
    <xf numFmtId="4" fontId="0" fillId="0" borderId="139" xfId="0" applyNumberFormat="1" applyFont="1" applyFill="1" applyBorder="1" applyProtection="1"/>
    <xf numFmtId="4" fontId="0" fillId="0" borderId="83" xfId="0" applyNumberFormat="1" applyFont="1" applyFill="1" applyBorder="1" applyProtection="1"/>
    <xf numFmtId="0" fontId="0" fillId="0" borderId="0" xfId="0" applyFont="1" applyBorder="1" applyAlignment="1" applyProtection="1">
      <alignment horizontal="left"/>
    </xf>
    <xf numFmtId="0" fontId="2" fillId="0" borderId="27" xfId="0" applyFont="1" applyBorder="1" applyAlignment="1" applyProtection="1"/>
    <xf numFmtId="0" fontId="2" fillId="0" borderId="27" xfId="0" applyFont="1" applyFill="1" applyBorder="1" applyAlignment="1" applyProtection="1">
      <alignment horizontal="center"/>
    </xf>
    <xf numFmtId="0" fontId="2" fillId="0" borderId="46" xfId="0" applyFont="1" applyFill="1" applyBorder="1" applyAlignment="1" applyProtection="1">
      <alignment horizontal="center"/>
    </xf>
    <xf numFmtId="0" fontId="2" fillId="0" borderId="127" xfId="0" applyFont="1" applyBorder="1" applyAlignment="1" applyProtection="1"/>
    <xf numFmtId="0" fontId="2" fillId="0" borderId="15" xfId="0" applyFont="1" applyBorder="1" applyAlignment="1" applyProtection="1">
      <alignment wrapText="1"/>
    </xf>
    <xf numFmtId="4" fontId="2" fillId="0" borderId="15" xfId="0" applyNumberFormat="1" applyFont="1" applyFill="1" applyBorder="1" applyProtection="1"/>
    <xf numFmtId="0" fontId="2" fillId="0" borderId="40" xfId="0" applyFont="1" applyBorder="1" applyAlignment="1" applyProtection="1">
      <alignment wrapText="1"/>
    </xf>
    <xf numFmtId="10" fontId="9" fillId="0" borderId="15" xfId="0" applyNumberFormat="1" applyFont="1" applyFill="1" applyBorder="1" applyAlignment="1" applyProtection="1">
      <alignment horizontal="center"/>
    </xf>
    <xf numFmtId="10" fontId="9" fillId="0" borderId="42" xfId="0" applyNumberFormat="1" applyFont="1" applyFill="1" applyBorder="1" applyAlignment="1" applyProtection="1">
      <alignment horizontal="center"/>
    </xf>
    <xf numFmtId="0" fontId="9" fillId="0" borderId="16" xfId="0" applyFont="1" applyBorder="1" applyAlignment="1" applyProtection="1">
      <alignment wrapText="1"/>
    </xf>
    <xf numFmtId="0" fontId="9" fillId="0" borderId="44" xfId="0" applyFont="1" applyBorder="1" applyAlignment="1" applyProtection="1">
      <alignment wrapText="1"/>
    </xf>
    <xf numFmtId="10" fontId="9" fillId="0" borderId="28" xfId="0" applyNumberFormat="1" applyFont="1" applyFill="1" applyBorder="1" applyAlignment="1" applyProtection="1">
      <alignment horizontal="center"/>
    </xf>
    <xf numFmtId="0" fontId="9" fillId="0" borderId="16" xfId="0" applyFont="1" applyFill="1" applyBorder="1" applyAlignment="1" applyProtection="1">
      <alignment wrapText="1"/>
    </xf>
    <xf numFmtId="4" fontId="9" fillId="0" borderId="15" xfId="0" applyNumberFormat="1" applyFont="1" applyFill="1" applyBorder="1" applyAlignment="1" applyProtection="1">
      <alignment horizontal="center"/>
    </xf>
    <xf numFmtId="4" fontId="9" fillId="0" borderId="16" xfId="0" applyNumberFormat="1" applyFont="1" applyBorder="1" applyProtection="1"/>
    <xf numFmtId="0" fontId="9" fillId="0" borderId="44" xfId="0" applyFont="1" applyFill="1" applyBorder="1" applyAlignment="1" applyProtection="1">
      <alignment wrapText="1"/>
    </xf>
    <xf numFmtId="4" fontId="2" fillId="0" borderId="16" xfId="0" applyNumberFormat="1" applyFont="1" applyBorder="1" applyProtection="1"/>
    <xf numFmtId="0" fontId="9" fillId="0" borderId="0" xfId="0" applyFont="1" applyBorder="1" applyAlignment="1" applyProtection="1">
      <alignment horizontal="center"/>
    </xf>
    <xf numFmtId="4" fontId="2" fillId="0" borderId="128" xfId="0" applyNumberFormat="1" applyFont="1" applyFill="1" applyBorder="1" applyProtection="1"/>
    <xf numFmtId="0" fontId="9" fillId="0" borderId="26" xfId="0" applyFont="1" applyFill="1" applyBorder="1" applyAlignment="1" applyProtection="1">
      <alignment wrapText="1"/>
    </xf>
    <xf numFmtId="0" fontId="2" fillId="0" borderId="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20" xfId="0" applyNumberFormat="1" applyFont="1" applyBorder="1" applyAlignment="1" applyProtection="1">
      <alignment horizontal="center"/>
    </xf>
    <xf numFmtId="0" fontId="9" fillId="0" borderId="27" xfId="0" applyNumberFormat="1" applyFont="1" applyBorder="1" applyAlignment="1" applyProtection="1">
      <alignment horizontal="center"/>
    </xf>
    <xf numFmtId="1" fontId="2" fillId="0" borderId="99" xfId="0" applyNumberFormat="1" applyFont="1" applyFill="1" applyBorder="1" applyAlignment="1" applyProtection="1">
      <alignment horizontal="center"/>
    </xf>
    <xf numFmtId="1" fontId="2" fillId="0" borderId="50" xfId="0" applyNumberFormat="1" applyFont="1" applyFill="1" applyBorder="1" applyAlignment="1" applyProtection="1">
      <alignment horizontal="center"/>
    </xf>
    <xf numFmtId="1" fontId="2" fillId="0" borderId="14" xfId="0" applyNumberFormat="1" applyFont="1" applyFill="1" applyBorder="1" applyAlignment="1" applyProtection="1">
      <alignment horizontal="center"/>
    </xf>
    <xf numFmtId="0" fontId="2" fillId="0" borderId="100" xfId="0" applyFont="1" applyFill="1" applyBorder="1" applyAlignment="1" applyProtection="1">
      <alignment horizontal="center"/>
    </xf>
    <xf numFmtId="165" fontId="9" fillId="3" borderId="28" xfId="0" applyNumberFormat="1" applyFont="1" applyFill="1" applyBorder="1" applyAlignment="1" applyProtection="1">
      <alignment horizontal="center" vertical="center"/>
      <protection locked="0"/>
    </xf>
    <xf numFmtId="165" fontId="9" fillId="3" borderId="9" xfId="0" applyNumberFormat="1" applyFont="1" applyFill="1" applyBorder="1" applyAlignment="1" applyProtection="1">
      <alignment horizontal="center" vertical="center"/>
      <protection locked="0"/>
    </xf>
    <xf numFmtId="1" fontId="2" fillId="0" borderId="97" xfId="0" applyNumberFormat="1" applyFont="1" applyFill="1" applyBorder="1" applyAlignment="1" applyProtection="1">
      <alignment horizontal="center"/>
    </xf>
    <xf numFmtId="1" fontId="2" fillId="0" borderId="95" xfId="0" applyNumberFormat="1" applyFont="1" applyFill="1" applyBorder="1" applyAlignment="1" applyProtection="1">
      <alignment horizontal="center"/>
    </xf>
    <xf numFmtId="1" fontId="2" fillId="0" borderId="96" xfId="0" applyNumberFormat="1" applyFont="1" applyFill="1" applyBorder="1" applyAlignment="1" applyProtection="1">
      <alignment horizontal="center"/>
    </xf>
    <xf numFmtId="10" fontId="9" fillId="3" borderId="28" xfId="0" applyNumberFormat="1" applyFont="1" applyFill="1" applyBorder="1" applyAlignment="1" applyProtection="1">
      <alignment horizontal="center"/>
      <protection locked="0"/>
    </xf>
    <xf numFmtId="10" fontId="9" fillId="3" borderId="98" xfId="0" applyNumberFormat="1" applyFont="1" applyFill="1" applyBorder="1" applyAlignment="1" applyProtection="1">
      <alignment horizontal="center"/>
      <protection locked="0"/>
    </xf>
    <xf numFmtId="10" fontId="9" fillId="0" borderId="0" xfId="0" applyNumberFormat="1" applyFont="1" applyFill="1" applyBorder="1" applyAlignment="1" applyProtection="1"/>
    <xf numFmtId="0" fontId="0" fillId="0" borderId="0" xfId="0" applyNumberFormat="1" applyFont="1" applyFill="1" applyBorder="1" applyAlignment="1" applyProtection="1">
      <alignment horizontal="left"/>
    </xf>
    <xf numFmtId="168" fontId="9" fillId="3" borderId="98" xfId="0" applyNumberFormat="1" applyFont="1" applyFill="1" applyBorder="1" applyAlignment="1" applyProtection="1">
      <alignment horizontal="center"/>
      <protection locked="0"/>
    </xf>
    <xf numFmtId="168" fontId="9" fillId="3" borderId="28" xfId="0" applyNumberFormat="1" applyFont="1" applyFill="1" applyBorder="1" applyAlignment="1" applyProtection="1">
      <alignment horizontal="center"/>
      <protection locked="0"/>
    </xf>
    <xf numFmtId="169" fontId="9" fillId="3" borderId="44" xfId="0" applyNumberFormat="1" applyFont="1" applyFill="1" applyBorder="1" applyAlignment="1" applyProtection="1">
      <alignment horizontal="center"/>
      <protection locked="0"/>
    </xf>
    <xf numFmtId="169" fontId="9" fillId="3" borderId="16" xfId="0" applyNumberFormat="1" applyFont="1" applyFill="1" applyBorder="1" applyAlignment="1" applyProtection="1">
      <alignment horizontal="center"/>
      <protection locked="0"/>
    </xf>
    <xf numFmtId="4" fontId="0" fillId="0" borderId="16" xfId="0" applyNumberFormat="1" applyBorder="1"/>
    <xf numFmtId="1" fontId="28" fillId="0" borderId="15" xfId="0" applyNumberFormat="1" applyFont="1" applyBorder="1" applyAlignment="1">
      <alignment horizontal="center"/>
    </xf>
    <xf numFmtId="4" fontId="31" fillId="0" borderId="0" xfId="0" applyNumberFormat="1" applyFont="1"/>
    <xf numFmtId="4" fontId="31" fillId="0" borderId="23" xfId="0" applyNumberFormat="1" applyFont="1" applyBorder="1"/>
    <xf numFmtId="0" fontId="15" fillId="0" borderId="0" xfId="0" applyFont="1"/>
    <xf numFmtId="4" fontId="15" fillId="0" borderId="0" xfId="0" applyNumberFormat="1" applyFont="1"/>
    <xf numFmtId="0" fontId="18" fillId="1" borderId="16" xfId="0" applyFont="1" applyFill="1" applyBorder="1" applyAlignment="1">
      <alignment horizontal="center"/>
    </xf>
    <xf numFmtId="0" fontId="9" fillId="0" borderId="120" xfId="0" applyFont="1" applyBorder="1" applyAlignment="1" applyProtection="1">
      <alignment wrapText="1"/>
    </xf>
    <xf numFmtId="4" fontId="0" fillId="0" borderId="117" xfId="0" applyNumberFormat="1" applyFont="1" applyBorder="1" applyProtection="1"/>
    <xf numFmtId="4" fontId="15" fillId="0" borderId="0" xfId="0" applyNumberFormat="1" applyFont="1" applyAlignment="1">
      <alignment horizontal="center"/>
    </xf>
    <xf numFmtId="0" fontId="16" fillId="0" borderId="0" xfId="0" applyNumberFormat="1" applyFont="1" applyFill="1" applyBorder="1" applyAlignment="1" applyProtection="1"/>
    <xf numFmtId="0" fontId="16" fillId="0" borderId="0" xfId="0" applyNumberFormat="1" applyFont="1" applyFill="1" applyBorder="1" applyAlignment="1"/>
    <xf numFmtId="0" fontId="0" fillId="0" borderId="109" xfId="0" applyFont="1" applyBorder="1"/>
    <xf numFmtId="0" fontId="11" fillId="0" borderId="109" xfId="0" applyNumberFormat="1" applyFont="1" applyFill="1" applyBorder="1" applyAlignment="1" applyProtection="1"/>
    <xf numFmtId="0" fontId="9" fillId="0" borderId="109" xfId="0" applyNumberFormat="1" applyFont="1" applyFill="1" applyBorder="1" applyAlignment="1" applyProtection="1"/>
    <xf numFmtId="0" fontId="0" fillId="0" borderId="0" xfId="0" applyProtection="1">
      <protection locked="0"/>
    </xf>
    <xf numFmtId="0" fontId="16" fillId="0" borderId="0" xfId="0" applyFont="1"/>
    <xf numFmtId="49" fontId="0" fillId="0" borderId="0" xfId="0" applyNumberFormat="1" applyAlignment="1">
      <alignment horizontal="center"/>
    </xf>
    <xf numFmtId="0" fontId="0" fillId="0" borderId="0" xfId="0" applyAlignment="1">
      <alignment horizontal="left"/>
    </xf>
    <xf numFmtId="0" fontId="0" fillId="0" borderId="16" xfId="0" applyNumberFormat="1" applyBorder="1" applyAlignment="1">
      <alignment horizontal="center" vertical="center"/>
    </xf>
    <xf numFmtId="4" fontId="0" fillId="0" borderId="9" xfId="0" applyNumberFormat="1" applyBorder="1"/>
    <xf numFmtId="49" fontId="0" fillId="0" borderId="57" xfId="0" applyNumberFormat="1" applyBorder="1" applyAlignment="1">
      <alignment horizontal="center"/>
    </xf>
    <xf numFmtId="0" fontId="16" fillId="0" borderId="57" xfId="0" applyFont="1" applyBorder="1"/>
    <xf numFmtId="4" fontId="16" fillId="0" borderId="58" xfId="0" applyNumberFormat="1" applyFont="1" applyBorder="1"/>
    <xf numFmtId="0" fontId="22" fillId="0" borderId="0" xfId="0" applyFont="1" applyAlignment="1">
      <alignment horizontal="left"/>
    </xf>
    <xf numFmtId="1" fontId="0" fillId="0" borderId="40" xfId="0" applyNumberFormat="1" applyFont="1" applyFill="1" applyBorder="1" applyAlignment="1" applyProtection="1">
      <alignment horizontal="center"/>
    </xf>
    <xf numFmtId="1" fontId="0" fillId="0" borderId="17" xfId="0" applyNumberFormat="1" applyFont="1" applyFill="1" applyBorder="1" applyAlignment="1" applyProtection="1">
      <alignment horizontal="center"/>
    </xf>
    <xf numFmtId="0" fontId="18" fillId="0" borderId="0" xfId="0" applyNumberFormat="1" applyFont="1" applyFill="1" applyBorder="1" applyAlignment="1"/>
    <xf numFmtId="4" fontId="17" fillId="6" borderId="18" xfId="0" applyNumberFormat="1" applyFont="1" applyFill="1" applyBorder="1" applyAlignment="1" applyProtection="1">
      <alignment vertical="center"/>
    </xf>
    <xf numFmtId="4" fontId="17" fillId="6" borderId="1" xfId="0" applyNumberFormat="1" applyFont="1" applyFill="1" applyBorder="1" applyAlignment="1" applyProtection="1">
      <alignment vertical="center"/>
    </xf>
    <xf numFmtId="165" fontId="9" fillId="0" borderId="18" xfId="0" applyNumberFormat="1" applyFont="1" applyBorder="1" applyAlignment="1" applyProtection="1">
      <alignment horizontal="center" vertical="center"/>
    </xf>
    <xf numFmtId="0" fontId="0" fillId="0" borderId="0" xfId="0" applyFont="1" applyBorder="1" applyAlignment="1" applyProtection="1"/>
    <xf numFmtId="165" fontId="0" fillId="0" borderId="18" xfId="0" applyNumberFormat="1" applyFont="1" applyBorder="1" applyAlignment="1" applyProtection="1">
      <alignment horizontal="center" vertical="center"/>
    </xf>
    <xf numFmtId="0" fontId="9" fillId="0" borderId="18" xfId="0" applyNumberFormat="1" applyFont="1" applyBorder="1" applyAlignment="1" applyProtection="1">
      <alignment horizontal="center" vertical="center"/>
    </xf>
    <xf numFmtId="0" fontId="2" fillId="0" borderId="0" xfId="0" applyNumberFormat="1" applyFont="1" applyFill="1" applyBorder="1" applyAlignment="1" applyProtection="1"/>
    <xf numFmtId="0" fontId="9" fillId="0" borderId="0" xfId="0" applyNumberFormat="1" applyFont="1" applyBorder="1" applyAlignment="1" applyProtection="1"/>
    <xf numFmtId="0" fontId="0" fillId="0" borderId="0" xfId="0" applyFont="1" applyFill="1" applyBorder="1" applyAlignment="1" applyProtection="1"/>
    <xf numFmtId="0" fontId="2" fillId="0" borderId="76" xfId="0" applyFont="1" applyBorder="1" applyAlignment="1" applyProtection="1">
      <alignment wrapText="1"/>
    </xf>
    <xf numFmtId="0" fontId="2" fillId="0" borderId="16" xfId="0" applyNumberFormat="1" applyFont="1" applyBorder="1" applyAlignment="1" applyProtection="1">
      <alignment horizontal="center" vertical="center" wrapText="1"/>
    </xf>
    <xf numFmtId="0" fontId="9" fillId="0" borderId="0" xfId="0" applyNumberFormat="1" applyFont="1" applyBorder="1" applyProtection="1"/>
    <xf numFmtId="0" fontId="2" fillId="0" borderId="9" xfId="0" applyFont="1" applyBorder="1" applyAlignment="1" applyProtection="1">
      <alignment vertical="center" wrapText="1"/>
    </xf>
    <xf numFmtId="0" fontId="2" fillId="0" borderId="9" xfId="0" applyFont="1" applyBorder="1" applyAlignment="1" applyProtection="1">
      <alignment wrapText="1"/>
    </xf>
    <xf numFmtId="0" fontId="0" fillId="0" borderId="9" xfId="0" applyFont="1" applyBorder="1" applyAlignment="1" applyProtection="1">
      <alignment wrapText="1"/>
    </xf>
    <xf numFmtId="0" fontId="9" fillId="0" borderId="9" xfId="0" applyFont="1" applyBorder="1" applyAlignment="1" applyProtection="1">
      <alignment wrapText="1"/>
    </xf>
    <xf numFmtId="0" fontId="23" fillId="0" borderId="54" xfId="0" applyFont="1" applyBorder="1" applyAlignment="1" applyProtection="1">
      <alignment wrapText="1"/>
    </xf>
    <xf numFmtId="4" fontId="23" fillId="0" borderId="56" xfId="0" applyNumberFormat="1" applyFont="1" applyFill="1" applyBorder="1" applyProtection="1"/>
    <xf numFmtId="0" fontId="17" fillId="0" borderId="58" xfId="0" applyFont="1" applyFill="1" applyBorder="1" applyAlignment="1" applyProtection="1">
      <alignment wrapText="1"/>
    </xf>
    <xf numFmtId="0" fontId="23" fillId="0" borderId="62" xfId="0" applyFont="1" applyFill="1" applyBorder="1" applyAlignment="1" applyProtection="1">
      <alignment wrapText="1"/>
    </xf>
    <xf numFmtId="4" fontId="23" fillId="0" borderId="64" xfId="0" applyNumberFormat="1" applyFont="1" applyFill="1" applyBorder="1" applyProtection="1"/>
    <xf numFmtId="0" fontId="2" fillId="4" borderId="0" xfId="0" applyFont="1" applyFill="1" applyBorder="1" applyProtection="1"/>
    <xf numFmtId="0" fontId="2" fillId="4" borderId="66" xfId="0" applyFont="1" applyFill="1" applyBorder="1" applyProtection="1"/>
    <xf numFmtId="0" fontId="2" fillId="0" borderId="16" xfId="0" applyFont="1" applyBorder="1" applyAlignment="1" applyProtection="1">
      <alignment wrapText="1"/>
    </xf>
    <xf numFmtId="49" fontId="9" fillId="0" borderId="1" xfId="0" applyNumberFormat="1" applyFont="1" applyBorder="1" applyAlignment="1" applyProtection="1">
      <alignment horizontal="center" vertical="center"/>
    </xf>
    <xf numFmtId="7" fontId="9" fillId="0" borderId="52" xfId="2" applyNumberFormat="1" applyFont="1" applyBorder="1" applyAlignment="1" applyProtection="1">
      <alignment horizontal="center" vertical="center"/>
    </xf>
    <xf numFmtId="7" fontId="9" fillId="0" borderId="51" xfId="2" applyNumberFormat="1" applyFont="1" applyBorder="1" applyAlignment="1" applyProtection="1">
      <alignment horizontal="center" vertical="center"/>
    </xf>
    <xf numFmtId="0" fontId="17" fillId="0" borderId="72" xfId="0" applyFont="1" applyFill="1" applyBorder="1" applyAlignment="1" applyProtection="1">
      <alignment wrapText="1"/>
    </xf>
    <xf numFmtId="0" fontId="9" fillId="0" borderId="58" xfId="0" applyFont="1" applyBorder="1" applyAlignment="1" applyProtection="1">
      <alignment wrapText="1"/>
    </xf>
    <xf numFmtId="49" fontId="9" fillId="0" borderId="56" xfId="0" applyNumberFormat="1" applyFont="1" applyBorder="1" applyAlignment="1" applyProtection="1">
      <alignment horizontal="center" vertical="center"/>
    </xf>
    <xf numFmtId="0" fontId="2" fillId="0" borderId="62" xfId="0" applyFont="1" applyBorder="1" applyAlignment="1" applyProtection="1">
      <alignment wrapText="1"/>
    </xf>
    <xf numFmtId="0" fontId="9" fillId="0" borderId="54" xfId="0" applyFont="1" applyBorder="1" applyAlignment="1" applyProtection="1">
      <alignment wrapText="1"/>
    </xf>
    <xf numFmtId="0" fontId="9" fillId="0" borderId="72" xfId="0" applyFont="1" applyBorder="1" applyAlignment="1" applyProtection="1">
      <alignment wrapText="1"/>
    </xf>
    <xf numFmtId="49" fontId="9" fillId="0" borderId="66" xfId="0" applyNumberFormat="1" applyFont="1" applyBorder="1" applyAlignment="1" applyProtection="1">
      <alignment horizontal="center" vertical="center"/>
    </xf>
    <xf numFmtId="49" fontId="9" fillId="0" borderId="60" xfId="0" applyNumberFormat="1" applyFont="1" applyBorder="1" applyAlignment="1" applyProtection="1">
      <alignment horizontal="center" vertical="center"/>
    </xf>
    <xf numFmtId="0" fontId="2" fillId="4" borderId="1" xfId="0" applyFont="1" applyFill="1" applyBorder="1" applyProtection="1"/>
    <xf numFmtId="49" fontId="9" fillId="0" borderId="34" xfId="0" applyNumberFormat="1" applyFont="1" applyFill="1" applyBorder="1" applyAlignment="1" applyProtection="1">
      <alignment horizontal="center" vertical="center"/>
    </xf>
    <xf numFmtId="49" fontId="9" fillId="0" borderId="51" xfId="0" applyNumberFormat="1" applyFont="1" applyFill="1" applyBorder="1" applyAlignment="1" applyProtection="1">
      <alignment horizontal="center" vertical="center"/>
    </xf>
    <xf numFmtId="49" fontId="9" fillId="0" borderId="1" xfId="0" applyNumberFormat="1" applyFont="1" applyFill="1" applyBorder="1" applyAlignment="1" applyProtection="1">
      <alignment horizontal="center" vertical="center"/>
    </xf>
    <xf numFmtId="10" fontId="0" fillId="0" borderId="57" xfId="1" applyNumberFormat="1" applyFont="1" applyBorder="1" applyAlignment="1" applyProtection="1">
      <alignment horizontal="center"/>
    </xf>
    <xf numFmtId="49" fontId="32" fillId="0" borderId="56" xfId="0" applyNumberFormat="1" applyFont="1" applyBorder="1" applyAlignment="1" applyProtection="1">
      <alignment horizontal="right" vertical="top"/>
    </xf>
    <xf numFmtId="0" fontId="2" fillId="4" borderId="67" xfId="0" applyFont="1" applyFill="1" applyBorder="1" applyProtection="1"/>
    <xf numFmtId="49" fontId="9" fillId="0" borderId="34" xfId="0" applyNumberFormat="1" applyFont="1" applyBorder="1" applyAlignment="1" applyProtection="1">
      <alignment horizontal="center" vertical="center"/>
    </xf>
    <xf numFmtId="7" fontId="9" fillId="0" borderId="16" xfId="2" applyNumberFormat="1" applyFont="1" applyBorder="1" applyAlignment="1" applyProtection="1">
      <alignment horizontal="center" vertical="center"/>
    </xf>
    <xf numFmtId="166" fontId="9" fillId="0" borderId="16" xfId="0" applyNumberFormat="1" applyFont="1" applyBorder="1" applyAlignment="1" applyProtection="1">
      <alignment horizontal="center" vertical="center"/>
    </xf>
    <xf numFmtId="166" fontId="9" fillId="0" borderId="136" xfId="0" applyNumberFormat="1" applyFont="1" applyBorder="1" applyAlignment="1" applyProtection="1">
      <alignment horizontal="center" vertical="center"/>
    </xf>
    <xf numFmtId="167" fontId="9" fillId="0" borderId="136" xfId="0" applyNumberFormat="1" applyFont="1" applyBorder="1" applyAlignment="1" applyProtection="1">
      <alignment horizontal="center" vertical="center"/>
    </xf>
    <xf numFmtId="7" fontId="9" fillId="0" borderId="9" xfId="2" applyNumberFormat="1" applyFont="1" applyBorder="1" applyAlignment="1" applyProtection="1">
      <alignment horizontal="center" vertical="center"/>
    </xf>
    <xf numFmtId="166" fontId="9" fillId="0" borderId="58" xfId="0" applyNumberFormat="1" applyFont="1" applyBorder="1" applyAlignment="1" applyProtection="1">
      <alignment horizontal="center" vertical="center"/>
    </xf>
    <xf numFmtId="0" fontId="2" fillId="0" borderId="15" xfId="0" applyFont="1" applyBorder="1" applyProtection="1"/>
    <xf numFmtId="0" fontId="9" fillId="0" borderId="9" xfId="0" applyFont="1" applyFill="1" applyBorder="1" applyAlignment="1" applyProtection="1">
      <alignment wrapText="1"/>
    </xf>
    <xf numFmtId="0" fontId="9" fillId="0" borderId="58" xfId="0" applyFont="1" applyFill="1" applyBorder="1" applyAlignment="1" applyProtection="1">
      <alignment wrapText="1"/>
    </xf>
    <xf numFmtId="49" fontId="9" fillId="0" borderId="26" xfId="0" applyNumberFormat="1" applyFont="1" applyBorder="1" applyAlignment="1" applyProtection="1"/>
    <xf numFmtId="49" fontId="9" fillId="0" borderId="26" xfId="0" applyNumberFormat="1" applyFont="1" applyBorder="1" applyAlignment="1" applyProtection="1">
      <alignment horizontal="center" vertical="center"/>
    </xf>
    <xf numFmtId="0" fontId="2" fillId="0" borderId="16" xfId="0" applyFont="1" applyBorder="1" applyAlignment="1" applyProtection="1">
      <alignment vertical="center" wrapText="1"/>
    </xf>
    <xf numFmtId="0" fontId="9" fillId="0" borderId="9" xfId="0" applyFont="1" applyBorder="1" applyAlignment="1" applyProtection="1">
      <alignment vertical="center" wrapText="1"/>
    </xf>
    <xf numFmtId="0" fontId="17" fillId="0" borderId="81" xfId="0" applyFont="1" applyBorder="1" applyAlignment="1" applyProtection="1">
      <alignment vertical="center" wrapText="1"/>
    </xf>
    <xf numFmtId="0" fontId="0" fillId="0" borderId="9" xfId="0" applyFont="1" applyBorder="1" applyAlignment="1" applyProtection="1">
      <alignment vertical="center" wrapText="1"/>
    </xf>
    <xf numFmtId="0" fontId="17" fillId="0" borderId="82" xfId="0" applyFont="1" applyBorder="1" applyAlignment="1" applyProtection="1">
      <alignment vertical="center" wrapText="1"/>
    </xf>
    <xf numFmtId="0" fontId="2" fillId="0" borderId="14" xfId="0" applyFont="1" applyBorder="1" applyAlignment="1" applyProtection="1">
      <alignment vertical="center" wrapText="1"/>
    </xf>
    <xf numFmtId="0" fontId="33" fillId="0" borderId="9" xfId="0" applyFont="1" applyBorder="1" applyAlignment="1" applyProtection="1">
      <alignment wrapText="1"/>
    </xf>
    <xf numFmtId="0" fontId="3" fillId="0" borderId="62" xfId="0" applyFont="1" applyBorder="1" applyAlignment="1" applyProtection="1">
      <alignment vertical="center" wrapText="1"/>
    </xf>
    <xf numFmtId="49" fontId="0" fillId="0" borderId="0" xfId="0" applyNumberFormat="1" applyFont="1" applyBorder="1" applyAlignment="1" applyProtection="1">
      <alignment horizontal="center" vertical="center"/>
    </xf>
    <xf numFmtId="0" fontId="17" fillId="0" borderId="69" xfId="0" applyFont="1" applyFill="1" applyBorder="1" applyAlignment="1" applyProtection="1">
      <alignment wrapText="1"/>
    </xf>
    <xf numFmtId="0" fontId="17" fillId="0" borderId="0" xfId="0" applyFont="1" applyFill="1" applyBorder="1" applyAlignment="1" applyProtection="1">
      <alignment wrapText="1"/>
    </xf>
    <xf numFmtId="49" fontId="0" fillId="0" borderId="1" xfId="0" applyNumberFormat="1" applyFont="1" applyBorder="1" applyAlignment="1" applyProtection="1">
      <alignment horizontal="center" vertical="center"/>
    </xf>
    <xf numFmtId="0" fontId="2" fillId="0" borderId="12" xfId="0" applyFont="1" applyBorder="1" applyAlignment="1" applyProtection="1">
      <alignment wrapText="1"/>
    </xf>
    <xf numFmtId="0" fontId="9" fillId="0" borderId="1" xfId="0" applyFont="1" applyBorder="1" applyAlignment="1" applyProtection="1">
      <alignment wrapText="1"/>
    </xf>
    <xf numFmtId="0" fontId="23" fillId="0" borderId="1" xfId="0" applyFont="1" applyBorder="1" applyAlignment="1" applyProtection="1">
      <alignment wrapText="1"/>
    </xf>
    <xf numFmtId="0" fontId="9" fillId="0" borderId="60" xfId="0" applyFont="1" applyBorder="1" applyAlignment="1" applyProtection="1">
      <alignment wrapText="1"/>
    </xf>
    <xf numFmtId="0" fontId="17" fillId="0" borderId="71" xfId="0" applyFont="1" applyFill="1" applyBorder="1" applyAlignment="1" applyProtection="1">
      <alignment wrapText="1"/>
    </xf>
    <xf numFmtId="0" fontId="17" fillId="0" borderId="60" xfId="0" applyFont="1" applyFill="1" applyBorder="1" applyAlignment="1" applyProtection="1">
      <alignment wrapText="1"/>
    </xf>
    <xf numFmtId="0" fontId="9" fillId="0" borderId="0" xfId="0" applyNumberFormat="1" applyFont="1" applyAlignment="1" applyProtection="1"/>
    <xf numFmtId="0" fontId="9" fillId="0" borderId="26" xfId="0" applyFont="1" applyBorder="1" applyAlignment="1" applyProtection="1">
      <alignment wrapText="1"/>
    </xf>
    <xf numFmtId="0" fontId="9" fillId="0" borderId="34" xfId="0" applyFont="1" applyBorder="1" applyAlignment="1" applyProtection="1">
      <alignment wrapText="1"/>
    </xf>
    <xf numFmtId="0" fontId="2" fillId="0" borderId="16" xfId="0" applyFont="1" applyBorder="1" applyProtection="1"/>
    <xf numFmtId="0" fontId="3" fillId="0" borderId="10" xfId="0" applyFont="1" applyBorder="1" applyAlignment="1" applyProtection="1">
      <alignment vertical="center" wrapText="1"/>
    </xf>
    <xf numFmtId="0" fontId="3" fillId="0" borderId="111" xfId="0" applyFont="1" applyBorder="1" applyAlignment="1" applyProtection="1">
      <alignment vertical="center" wrapText="1"/>
    </xf>
    <xf numFmtId="0" fontId="3" fillId="0" borderId="64" xfId="0" applyFont="1" applyBorder="1" applyAlignment="1" applyProtection="1">
      <alignment vertical="center" wrapText="1"/>
    </xf>
    <xf numFmtId="4" fontId="3" fillId="0" borderId="63" xfId="0" applyNumberFormat="1" applyFont="1" applyBorder="1" applyAlignment="1" applyProtection="1">
      <alignment horizontal="center" vertical="center"/>
    </xf>
    <xf numFmtId="4" fontId="3" fillId="0" borderId="64" xfId="0" applyNumberFormat="1" applyFont="1" applyBorder="1" applyAlignment="1" applyProtection="1">
      <alignment horizontal="center" vertical="center"/>
    </xf>
    <xf numFmtId="0" fontId="2" fillId="0" borderId="141" xfId="0" applyFont="1" applyBorder="1" applyAlignment="1" applyProtection="1">
      <alignment vertical="center" wrapText="1"/>
    </xf>
    <xf numFmtId="49" fontId="9" fillId="0" borderId="50" xfId="0" applyNumberFormat="1" applyFont="1" applyFill="1" applyBorder="1" applyAlignment="1" applyProtection="1">
      <alignment horizontal="center" vertical="center"/>
    </xf>
    <xf numFmtId="0" fontId="2" fillId="0" borderId="15" xfId="0" applyFont="1" applyBorder="1" applyAlignment="1" applyProtection="1">
      <alignment vertical="center" wrapText="1"/>
    </xf>
    <xf numFmtId="0" fontId="0" fillId="0" borderId="0" xfId="0" applyFont="1" applyBorder="1" applyAlignment="1" applyProtection="1"/>
    <xf numFmtId="4" fontId="9" fillId="0" borderId="57" xfId="0" applyNumberFormat="1" applyFont="1" applyBorder="1" applyAlignment="1" applyProtection="1"/>
    <xf numFmtId="4" fontId="9" fillId="0" borderId="60" xfId="0" applyNumberFormat="1" applyFont="1" applyBorder="1" applyAlignment="1" applyProtection="1"/>
    <xf numFmtId="0" fontId="23" fillId="0" borderId="18" xfId="0" applyNumberFormat="1" applyFont="1" applyBorder="1" applyAlignment="1"/>
    <xf numFmtId="0" fontId="9" fillId="0" borderId="18" xfId="0" applyFont="1" applyBorder="1"/>
    <xf numFmtId="0" fontId="9" fillId="0" borderId="9" xfId="0" applyFont="1" applyBorder="1" applyAlignment="1">
      <alignment horizontal="center"/>
    </xf>
    <xf numFmtId="0" fontId="23" fillId="0" borderId="18" xfId="0" applyFont="1" applyBorder="1"/>
    <xf numFmtId="0" fontId="2" fillId="0" borderId="18" xfId="0" applyFont="1" applyBorder="1"/>
    <xf numFmtId="0" fontId="9" fillId="0" borderId="18" xfId="0" applyNumberFormat="1" applyFont="1" applyBorder="1" applyAlignment="1"/>
    <xf numFmtId="0" fontId="9" fillId="0" borderId="9" xfId="0" applyNumberFormat="1" applyFont="1" applyBorder="1" applyAlignment="1">
      <alignment horizontal="center"/>
    </xf>
    <xf numFmtId="0" fontId="9" fillId="0" borderId="18" xfId="0" applyFont="1" applyBorder="1" applyAlignment="1">
      <alignment wrapText="1"/>
    </xf>
    <xf numFmtId="10" fontId="9" fillId="3" borderId="16" xfId="1" applyNumberFormat="1" applyFont="1" applyFill="1" applyBorder="1" applyAlignment="1" applyProtection="1">
      <alignment horizontal="center"/>
      <protection locked="0"/>
    </xf>
    <xf numFmtId="0" fontId="15" fillId="0" borderId="18" xfId="0" applyFont="1" applyFill="1" applyBorder="1" applyAlignment="1">
      <alignment horizontal="center"/>
    </xf>
    <xf numFmtId="0" fontId="15" fillId="0" borderId="9" xfId="0" applyFont="1" applyBorder="1" applyAlignment="1">
      <alignment vertical="top"/>
    </xf>
    <xf numFmtId="0" fontId="15" fillId="0" borderId="9" xfId="0" applyFont="1" applyBorder="1" applyAlignment="1">
      <alignment horizontal="center" vertical="top"/>
    </xf>
    <xf numFmtId="0" fontId="2" fillId="0" borderId="114" xfId="0" applyFont="1" applyBorder="1" applyAlignment="1">
      <alignment horizontal="center" vertical="center" wrapText="1"/>
    </xf>
    <xf numFmtId="0" fontId="2" fillId="0" borderId="115" xfId="0" applyFont="1" applyBorder="1" applyAlignment="1">
      <alignment horizontal="center" vertical="center" wrapText="1"/>
    </xf>
    <xf numFmtId="0" fontId="2" fillId="0" borderId="26" xfId="0" applyFont="1" applyBorder="1" applyAlignment="1" applyProtection="1">
      <alignment horizontal="center"/>
      <protection locked="0"/>
    </xf>
    <xf numFmtId="49" fontId="9" fillId="3" borderId="16" xfId="0" applyNumberFormat="1" applyFont="1" applyFill="1" applyBorder="1" applyAlignment="1" applyProtection="1">
      <alignment horizontal="center"/>
      <protection locked="0"/>
    </xf>
    <xf numFmtId="0" fontId="9" fillId="3" borderId="16" xfId="0" applyFont="1" applyFill="1" applyBorder="1" applyAlignment="1" applyProtection="1">
      <alignment wrapText="1"/>
      <protection locked="0"/>
    </xf>
    <xf numFmtId="0" fontId="2" fillId="0" borderId="0" xfId="0" applyFont="1" applyBorder="1" applyAlignment="1" applyProtection="1">
      <alignment horizontal="center"/>
      <protection locked="0"/>
    </xf>
    <xf numFmtId="0" fontId="2" fillId="0" borderId="123" xfId="0" applyFont="1" applyFill="1" applyBorder="1" applyProtection="1"/>
    <xf numFmtId="0" fontId="2" fillId="4" borderId="18" xfId="0" applyFont="1" applyFill="1" applyBorder="1" applyProtection="1"/>
    <xf numFmtId="0" fontId="2" fillId="0" borderId="0" xfId="0" applyFont="1" applyFill="1" applyBorder="1" applyAlignment="1" applyProtection="1">
      <alignment horizontal="left"/>
    </xf>
    <xf numFmtId="4" fontId="2" fillId="0" borderId="0" xfId="0" applyNumberFormat="1" applyFont="1" applyFill="1" applyBorder="1" applyAlignment="1" applyProtection="1">
      <alignment horizontal="center"/>
    </xf>
    <xf numFmtId="10" fontId="2" fillId="0" borderId="0" xfId="1" applyNumberFormat="1" applyFont="1" applyBorder="1" applyAlignment="1" applyProtection="1">
      <alignment horizontal="center"/>
    </xf>
    <xf numFmtId="0" fontId="9" fillId="0" borderId="0" xfId="0" applyFont="1" applyFill="1" applyBorder="1" applyAlignment="1" applyProtection="1">
      <alignment horizontal="left"/>
    </xf>
    <xf numFmtId="0" fontId="3" fillId="0" borderId="112" xfId="0" applyFont="1" applyFill="1" applyBorder="1" applyAlignment="1" applyProtection="1">
      <alignment horizontal="center" vertical="center"/>
    </xf>
    <xf numFmtId="4" fontId="0" fillId="0" borderId="16" xfId="0" applyNumberFormat="1" applyFont="1" applyBorder="1" applyAlignment="1" applyProtection="1">
      <alignment horizontal="center"/>
    </xf>
    <xf numFmtId="0" fontId="0" fillId="0" borderId="16" xfId="0" applyFont="1" applyBorder="1" applyAlignment="1" applyProtection="1">
      <alignment horizontal="center"/>
    </xf>
    <xf numFmtId="0" fontId="9" fillId="3" borderId="16" xfId="3" applyFont="1" applyFill="1" applyBorder="1" applyProtection="1">
      <protection locked="0"/>
    </xf>
    <xf numFmtId="0" fontId="9" fillId="3" borderId="16" xfId="4" applyNumberFormat="1" applyFont="1" applyFill="1" applyBorder="1" applyProtection="1">
      <protection locked="0"/>
    </xf>
    <xf numFmtId="7" fontId="9" fillId="0" borderId="52" xfId="2" applyNumberFormat="1" applyFont="1" applyBorder="1" applyAlignment="1" applyProtection="1">
      <alignment horizontal="center" vertical="center"/>
    </xf>
    <xf numFmtId="49" fontId="8" fillId="0" borderId="0" xfId="0" applyNumberFormat="1" applyFont="1" applyBorder="1" applyAlignment="1">
      <alignment horizontal="center"/>
    </xf>
    <xf numFmtId="4" fontId="0" fillId="0" borderId="44" xfId="0" applyNumberFormat="1" applyFont="1" applyFill="1" applyBorder="1" applyAlignment="1" applyProtection="1"/>
    <xf numFmtId="4" fontId="0" fillId="3" borderId="44" xfId="0" applyNumberFormat="1" applyFont="1" applyFill="1" applyBorder="1" applyAlignment="1" applyProtection="1">
      <protection locked="0"/>
    </xf>
    <xf numFmtId="4" fontId="0" fillId="0" borderId="127" xfId="0" applyNumberFormat="1" applyFont="1" applyFill="1" applyBorder="1" applyAlignment="1" applyProtection="1"/>
    <xf numFmtId="4" fontId="0" fillId="0" borderId="145" xfId="0" applyNumberFormat="1" applyFont="1" applyFill="1" applyBorder="1" applyProtection="1"/>
    <xf numFmtId="4" fontId="0" fillId="0" borderId="146" xfId="0" applyNumberFormat="1" applyFont="1" applyFill="1" applyBorder="1" applyProtection="1"/>
    <xf numFmtId="4" fontId="0" fillId="0" borderId="30" xfId="0" applyNumberFormat="1" applyFont="1" applyFill="1" applyBorder="1" applyProtection="1"/>
    <xf numFmtId="4" fontId="0" fillId="0" borderId="147" xfId="0" applyNumberFormat="1" applyFont="1" applyFill="1" applyBorder="1" applyProtection="1"/>
    <xf numFmtId="0" fontId="0" fillId="6" borderId="21" xfId="0" applyNumberFormat="1" applyFont="1" applyFill="1" applyBorder="1" applyProtection="1"/>
    <xf numFmtId="0" fontId="0" fillId="6" borderId="22" xfId="0" applyNumberFormat="1" applyFont="1" applyFill="1" applyBorder="1" applyProtection="1"/>
    <xf numFmtId="0" fontId="0" fillId="6" borderId="148" xfId="0" applyNumberFormat="1" applyFont="1" applyFill="1" applyBorder="1" applyProtection="1"/>
    <xf numFmtId="0" fontId="0" fillId="6" borderId="18" xfId="0" applyNumberFormat="1" applyFont="1" applyFill="1" applyBorder="1" applyProtection="1"/>
    <xf numFmtId="0" fontId="0" fillId="6" borderId="29" xfId="0" applyNumberFormat="1" applyFont="1" applyFill="1" applyBorder="1" applyProtection="1"/>
    <xf numFmtId="0" fontId="0" fillId="6" borderId="2" xfId="0" applyNumberFormat="1" applyFont="1" applyFill="1" applyBorder="1" applyProtection="1"/>
    <xf numFmtId="0" fontId="0" fillId="6" borderId="3" xfId="0" applyNumberFormat="1" applyFont="1" applyFill="1" applyBorder="1" applyProtection="1"/>
    <xf numFmtId="0" fontId="0" fillId="6" borderId="48" xfId="0" applyNumberFormat="1" applyFont="1" applyFill="1" applyBorder="1" applyProtection="1"/>
    <xf numFmtId="10" fontId="9" fillId="3" borderId="128" xfId="0" applyNumberFormat="1" applyFont="1" applyFill="1" applyBorder="1" applyAlignment="1" applyProtection="1">
      <alignment horizontal="center"/>
      <protection locked="0"/>
    </xf>
    <xf numFmtId="10" fontId="9" fillId="3" borderId="44" xfId="0" applyNumberFormat="1" applyFont="1" applyFill="1" applyBorder="1" applyAlignment="1" applyProtection="1">
      <alignment horizontal="center"/>
      <protection locked="0"/>
    </xf>
    <xf numFmtId="10" fontId="9" fillId="3" borderId="16" xfId="0" applyNumberFormat="1" applyFont="1" applyFill="1" applyBorder="1" applyAlignment="1" applyProtection="1">
      <alignment horizontal="center"/>
      <protection locked="0"/>
    </xf>
    <xf numFmtId="168" fontId="9" fillId="3" borderId="44" xfId="0" applyNumberFormat="1" applyFont="1" applyFill="1" applyBorder="1" applyAlignment="1" applyProtection="1">
      <alignment horizontal="center"/>
      <protection locked="0"/>
    </xf>
    <xf numFmtId="168" fontId="9" fillId="3" borderId="16" xfId="0" applyNumberFormat="1" applyFont="1" applyFill="1" applyBorder="1" applyAlignment="1" applyProtection="1">
      <alignment horizontal="center"/>
      <protection locked="0"/>
    </xf>
    <xf numFmtId="1" fontId="0" fillId="0" borderId="44" xfId="0" applyNumberFormat="1" applyFont="1" applyFill="1" applyBorder="1" applyAlignment="1" applyProtection="1">
      <alignment horizontal="center"/>
    </xf>
    <xf numFmtId="1" fontId="0" fillId="0" borderId="16" xfId="0" applyNumberFormat="1" applyFont="1" applyFill="1" applyBorder="1" applyAlignment="1" applyProtection="1">
      <alignment horizontal="center"/>
    </xf>
    <xf numFmtId="4" fontId="9" fillId="0" borderId="44" xfId="0" applyNumberFormat="1" applyFont="1" applyFill="1" applyBorder="1" applyAlignment="1" applyProtection="1">
      <alignment horizontal="center"/>
    </xf>
    <xf numFmtId="4" fontId="9" fillId="0" borderId="16" xfId="0" applyNumberFormat="1" applyFont="1" applyFill="1" applyBorder="1" applyAlignment="1" applyProtection="1">
      <alignment horizontal="center"/>
    </xf>
    <xf numFmtId="4" fontId="0" fillId="0" borderId="16" xfId="0" applyNumberFormat="1" applyFont="1" applyFill="1" applyBorder="1" applyAlignment="1" applyProtection="1"/>
    <xf numFmtId="4" fontId="0" fillId="3" borderId="16" xfId="0" applyNumberFormat="1" applyFont="1" applyFill="1" applyBorder="1" applyAlignment="1" applyProtection="1">
      <protection locked="0"/>
    </xf>
    <xf numFmtId="4" fontId="0" fillId="0" borderId="27" xfId="0" applyNumberFormat="1" applyFont="1" applyFill="1" applyBorder="1" applyAlignment="1" applyProtection="1"/>
    <xf numFmtId="4" fontId="0" fillId="0" borderId="45" xfId="0" applyNumberFormat="1" applyFont="1" applyFill="1" applyBorder="1" applyAlignment="1" applyProtection="1"/>
    <xf numFmtId="0" fontId="0" fillId="0" borderId="0" xfId="0" applyNumberFormat="1" applyFont="1" applyFill="1" applyBorder="1" applyAlignment="1" applyProtection="1"/>
    <xf numFmtId="0" fontId="0" fillId="0" borderId="0" xfId="0" applyFont="1" applyAlignment="1" applyProtection="1">
      <protection locked="0"/>
    </xf>
    <xf numFmtId="1" fontId="2" fillId="0" borderId="25" xfId="0" applyNumberFormat="1" applyFont="1" applyFill="1" applyBorder="1" applyAlignment="1" applyProtection="1">
      <alignment horizontal="center" vertical="center"/>
    </xf>
    <xf numFmtId="1" fontId="2" fillId="0" borderId="41" xfId="0" applyNumberFormat="1" applyFont="1" applyBorder="1" applyAlignment="1" applyProtection="1">
      <alignment horizontal="center" vertical="center"/>
    </xf>
    <xf numFmtId="49" fontId="2" fillId="3" borderId="12" xfId="0" applyNumberFormat="1" applyFont="1" applyFill="1" applyBorder="1" applyAlignment="1" applyProtection="1">
      <alignment horizontal="center" vertical="center"/>
      <protection locked="0"/>
    </xf>
    <xf numFmtId="0" fontId="2" fillId="3" borderId="16" xfId="0" applyFont="1" applyFill="1" applyBorder="1" applyAlignment="1" applyProtection="1">
      <alignment wrapText="1"/>
      <protection locked="0"/>
    </xf>
    <xf numFmtId="0" fontId="9" fillId="4" borderId="37" xfId="0" applyNumberFormat="1" applyFont="1" applyFill="1" applyBorder="1" applyAlignment="1" applyProtection="1">
      <protection locked="0"/>
    </xf>
    <xf numFmtId="49" fontId="9" fillId="3" borderId="12" xfId="0" applyNumberFormat="1" applyFont="1" applyFill="1" applyBorder="1" applyAlignment="1" applyProtection="1">
      <alignment horizontal="center" vertical="center"/>
      <protection locked="0"/>
    </xf>
    <xf numFmtId="4" fontId="9" fillId="3" borderId="25" xfId="0" applyNumberFormat="1" applyFont="1" applyFill="1" applyBorder="1" applyAlignment="1" applyProtection="1">
      <protection locked="0"/>
    </xf>
    <xf numFmtId="4" fontId="9" fillId="3" borderId="12" xfId="0" applyNumberFormat="1" applyFont="1" applyFill="1" applyBorder="1" applyAlignment="1" applyProtection="1">
      <protection locked="0"/>
    </xf>
    <xf numFmtId="4" fontId="9" fillId="3" borderId="16" xfId="0" applyNumberFormat="1" applyFont="1" applyFill="1" applyBorder="1" applyAlignment="1" applyProtection="1">
      <protection locked="0"/>
    </xf>
    <xf numFmtId="4" fontId="9" fillId="3" borderId="11" xfId="0" applyNumberFormat="1" applyFont="1" applyFill="1" applyBorder="1" applyAlignment="1" applyProtection="1">
      <protection locked="0"/>
    </xf>
    <xf numFmtId="4" fontId="9" fillId="3" borderId="34" xfId="0" applyNumberFormat="1" applyFont="1" applyFill="1" applyBorder="1" applyAlignment="1" applyProtection="1">
      <protection locked="0"/>
    </xf>
    <xf numFmtId="4" fontId="9" fillId="3" borderId="15" xfId="0" applyNumberFormat="1" applyFont="1" applyFill="1" applyBorder="1" applyAlignment="1" applyProtection="1">
      <protection locked="0"/>
    </xf>
    <xf numFmtId="4" fontId="9" fillId="3" borderId="68" xfId="0" applyNumberFormat="1" applyFont="1" applyFill="1" applyBorder="1" applyAlignment="1" applyProtection="1">
      <protection locked="0"/>
    </xf>
    <xf numFmtId="4" fontId="9" fillId="0" borderId="25" xfId="0" applyNumberFormat="1" applyFont="1" applyFill="1" applyBorder="1" applyAlignment="1" applyProtection="1"/>
    <xf numFmtId="4" fontId="9" fillId="0" borderId="34" xfId="0" applyNumberFormat="1" applyFont="1" applyFill="1" applyBorder="1" applyAlignment="1" applyProtection="1"/>
    <xf numFmtId="4" fontId="9" fillId="0" borderId="15" xfId="0" applyNumberFormat="1" applyFont="1" applyFill="1" applyBorder="1" applyAlignment="1" applyProtection="1"/>
    <xf numFmtId="4" fontId="9" fillId="0" borderId="68" xfId="0" applyNumberFormat="1" applyFont="1" applyFill="1" applyBorder="1" applyAlignment="1" applyProtection="1"/>
    <xf numFmtId="10" fontId="9" fillId="3" borderId="25" xfId="1" applyNumberFormat="1" applyFont="1" applyFill="1" applyBorder="1" applyAlignment="1" applyProtection="1">
      <alignment horizontal="center"/>
      <protection locked="0"/>
    </xf>
    <xf numFmtId="10" fontId="9" fillId="3" borderId="15" xfId="1" applyNumberFormat="1" applyFont="1" applyFill="1" applyBorder="1" applyAlignment="1" applyProtection="1">
      <alignment horizontal="center"/>
      <protection locked="0"/>
    </xf>
    <xf numFmtId="10" fontId="9" fillId="3" borderId="34" xfId="1" applyNumberFormat="1" applyFont="1" applyFill="1" applyBorder="1" applyAlignment="1" applyProtection="1">
      <alignment horizontal="center"/>
      <protection locked="0"/>
    </xf>
    <xf numFmtId="49" fontId="9" fillId="0" borderId="34" xfId="0" applyNumberFormat="1" applyFont="1" applyFill="1" applyBorder="1" applyAlignment="1" applyProtection="1">
      <alignment horizontal="center" vertical="center"/>
      <protection locked="0"/>
    </xf>
    <xf numFmtId="0" fontId="11" fillId="0" borderId="15" xfId="0" applyFont="1" applyFill="1" applyBorder="1" applyAlignment="1" applyProtection="1">
      <alignment wrapText="1"/>
      <protection locked="0"/>
    </xf>
    <xf numFmtId="10" fontId="9" fillId="3" borderId="25" xfId="0" applyNumberFormat="1" applyFont="1" applyFill="1" applyBorder="1" applyAlignment="1" applyProtection="1">
      <alignment horizontal="center"/>
      <protection locked="0"/>
    </xf>
    <xf numFmtId="10" fontId="9" fillId="3" borderId="34" xfId="0" applyNumberFormat="1" applyFont="1" applyFill="1" applyBorder="1" applyAlignment="1" applyProtection="1">
      <alignment horizontal="center"/>
      <protection locked="0"/>
    </xf>
    <xf numFmtId="0" fontId="9" fillId="0" borderId="15" xfId="0" applyFont="1" applyFill="1" applyBorder="1" applyAlignment="1" applyProtection="1">
      <alignment wrapText="1"/>
      <protection locked="0"/>
    </xf>
    <xf numFmtId="10" fontId="9" fillId="0" borderId="25" xfId="0" applyNumberFormat="1" applyFont="1" applyFill="1" applyBorder="1" applyAlignment="1" applyProtection="1">
      <alignment horizontal="center"/>
    </xf>
    <xf numFmtId="10" fontId="9" fillId="0" borderId="41" xfId="0" applyNumberFormat="1" applyFont="1" applyFill="1" applyBorder="1" applyAlignment="1" applyProtection="1">
      <alignment horizontal="center"/>
    </xf>
    <xf numFmtId="10" fontId="9" fillId="0" borderId="16" xfId="0" applyNumberFormat="1" applyFont="1" applyFill="1" applyBorder="1" applyAlignment="1" applyProtection="1">
      <alignment horizontal="center"/>
    </xf>
    <xf numFmtId="49" fontId="9" fillId="0" borderId="12" xfId="0" applyNumberFormat="1" applyFont="1" applyFill="1" applyBorder="1" applyAlignment="1" applyProtection="1">
      <alignment horizontal="center" vertical="center"/>
      <protection locked="0"/>
    </xf>
    <xf numFmtId="0" fontId="2" fillId="0" borderId="16" xfId="0" applyFont="1" applyFill="1" applyBorder="1" applyAlignment="1" applyProtection="1">
      <alignment wrapText="1"/>
      <protection locked="0"/>
    </xf>
    <xf numFmtId="0" fontId="9" fillId="3" borderId="11" xfId="0" applyFont="1" applyFill="1" applyBorder="1" applyAlignment="1" applyProtection="1">
      <alignment horizontal="center" wrapText="1"/>
      <protection locked="0"/>
    </xf>
    <xf numFmtId="4" fontId="9" fillId="0" borderId="16" xfId="0" applyNumberFormat="1" applyFont="1" applyFill="1" applyBorder="1" applyAlignment="1" applyProtection="1"/>
    <xf numFmtId="4" fontId="9" fillId="0" borderId="12" xfId="0" applyNumberFormat="1" applyFont="1" applyFill="1" applyBorder="1" applyAlignment="1" applyProtection="1"/>
    <xf numFmtId="0" fontId="9" fillId="0" borderId="16" xfId="0" applyFont="1" applyFill="1" applyBorder="1" applyAlignment="1" applyProtection="1">
      <alignment wrapText="1"/>
      <protection locked="0"/>
    </xf>
    <xf numFmtId="1" fontId="2" fillId="0" borderId="0" xfId="0" applyNumberFormat="1" applyFont="1" applyAlignment="1">
      <alignment horizontal="center"/>
    </xf>
    <xf numFmtId="49" fontId="3" fillId="0" borderId="0" xfId="0" applyNumberFormat="1" applyFont="1" applyFill="1" applyBorder="1" applyAlignment="1" applyProtection="1">
      <alignment horizontal="left" vertical="center"/>
      <protection locked="0"/>
    </xf>
    <xf numFmtId="0" fontId="2" fillId="0" borderId="0" xfId="0" applyFont="1" applyAlignment="1">
      <alignment horizontal="left"/>
    </xf>
    <xf numFmtId="0" fontId="23" fillId="0" borderId="0" xfId="0" applyFont="1" applyBorder="1" applyAlignment="1" applyProtection="1"/>
    <xf numFmtId="4" fontId="9" fillId="0" borderId="0" xfId="0" applyNumberFormat="1" applyFont="1" applyFill="1" applyBorder="1" applyAlignment="1" applyProtection="1">
      <protection locked="0"/>
    </xf>
    <xf numFmtId="0" fontId="3" fillId="0" borderId="25" xfId="0" applyFont="1" applyBorder="1" applyAlignment="1" applyProtection="1">
      <alignment horizontal="center" vertical="center" wrapText="1"/>
    </xf>
    <xf numFmtId="1" fontId="2" fillId="0" borderId="41" xfId="0" applyNumberFormat="1" applyFont="1" applyFill="1" applyBorder="1" applyAlignment="1" applyProtection="1">
      <alignment horizontal="center" vertical="center"/>
    </xf>
    <xf numFmtId="1" fontId="2" fillId="0" borderId="16" xfId="0" applyNumberFormat="1" applyFont="1" applyFill="1" applyBorder="1" applyAlignment="1" applyProtection="1">
      <alignment horizontal="center" vertical="center"/>
    </xf>
    <xf numFmtId="1" fontId="2" fillId="0" borderId="16" xfId="0" applyNumberFormat="1" applyFont="1" applyBorder="1" applyAlignment="1" applyProtection="1">
      <alignment horizontal="center" vertical="center"/>
    </xf>
    <xf numFmtId="1" fontId="2" fillId="0" borderId="25" xfId="0" applyNumberFormat="1" applyFont="1" applyBorder="1" applyAlignment="1" applyProtection="1">
      <alignment horizontal="center" vertical="center"/>
    </xf>
    <xf numFmtId="0" fontId="9" fillId="4" borderId="38" xfId="0" applyNumberFormat="1" applyFont="1" applyFill="1" applyBorder="1" applyAlignment="1" applyProtection="1">
      <protection locked="0"/>
    </xf>
    <xf numFmtId="172" fontId="9" fillId="3" borderId="16" xfId="0" applyNumberFormat="1" applyFont="1" applyFill="1" applyBorder="1" applyAlignment="1" applyProtection="1">
      <alignment horizontal="center"/>
      <protection locked="0"/>
    </xf>
    <xf numFmtId="172" fontId="9" fillId="3" borderId="11" xfId="0" applyNumberFormat="1" applyFont="1" applyFill="1" applyBorder="1" applyAlignment="1" applyProtection="1">
      <alignment horizontal="center"/>
      <protection locked="0"/>
    </xf>
    <xf numFmtId="4" fontId="9" fillId="3" borderId="150" xfId="0" applyNumberFormat="1" applyFont="1" applyFill="1" applyBorder="1" applyProtection="1">
      <protection locked="0"/>
    </xf>
    <xf numFmtId="4" fontId="9" fillId="3" borderId="41" xfId="0" applyNumberFormat="1" applyFont="1" applyFill="1" applyBorder="1" applyProtection="1">
      <protection locked="0"/>
    </xf>
    <xf numFmtId="4" fontId="9" fillId="3" borderId="16" xfId="0" applyNumberFormat="1" applyFont="1" applyFill="1" applyBorder="1" applyProtection="1">
      <protection locked="0"/>
    </xf>
    <xf numFmtId="0" fontId="2" fillId="3" borderId="16" xfId="0" applyFont="1" applyFill="1" applyBorder="1" applyAlignment="1" applyProtection="1">
      <alignment horizontal="center"/>
      <protection locked="0"/>
    </xf>
    <xf numFmtId="4" fontId="9" fillId="3" borderId="151" xfId="0" applyNumberFormat="1" applyFont="1" applyFill="1" applyBorder="1" applyProtection="1">
      <protection locked="0"/>
    </xf>
    <xf numFmtId="4" fontId="9" fillId="3" borderId="10" xfId="0" applyNumberFormat="1" applyFont="1" applyFill="1" applyBorder="1" applyProtection="1">
      <protection locked="0"/>
    </xf>
    <xf numFmtId="10" fontId="0" fillId="3" borderId="16" xfId="0" applyNumberFormat="1" applyFont="1" applyFill="1" applyBorder="1" applyAlignment="1" applyProtection="1">
      <alignment horizontal="center"/>
      <protection locked="0"/>
    </xf>
    <xf numFmtId="4" fontId="0" fillId="3" borderId="16" xfId="0" applyNumberFormat="1" applyFont="1" applyFill="1" applyBorder="1" applyAlignment="1" applyProtection="1">
      <alignment horizontal="center"/>
      <protection locked="0"/>
    </xf>
    <xf numFmtId="10" fontId="0" fillId="3" borderId="15" xfId="0" applyNumberFormat="1" applyFont="1" applyFill="1" applyBorder="1" applyAlignment="1" applyProtection="1">
      <alignment horizontal="center"/>
      <protection locked="0"/>
    </xf>
    <xf numFmtId="0" fontId="2" fillId="3" borderId="16" xfId="0" applyFont="1" applyFill="1" applyBorder="1" applyProtection="1">
      <protection locked="0"/>
    </xf>
    <xf numFmtId="170" fontId="9" fillId="3" borderId="16" xfId="4" applyNumberFormat="1" applyFont="1" applyFill="1" applyBorder="1" applyProtection="1">
      <protection locked="0"/>
    </xf>
    <xf numFmtId="164" fontId="9" fillId="3" borderId="15" xfId="0" applyNumberFormat="1" applyFont="1" applyFill="1" applyBorder="1" applyAlignment="1" applyProtection="1">
      <alignment horizontal="center"/>
      <protection locked="0"/>
    </xf>
    <xf numFmtId="4" fontId="0" fillId="3" borderId="45" xfId="0" applyNumberFormat="1" applyFont="1" applyFill="1" applyBorder="1" applyAlignment="1" applyProtection="1">
      <protection locked="0"/>
    </xf>
    <xf numFmtId="0" fontId="9" fillId="0" borderId="18" xfId="0" applyNumberFormat="1" applyFont="1" applyBorder="1" applyAlignment="1" applyProtection="1">
      <alignment horizontal="center" vertical="center"/>
    </xf>
    <xf numFmtId="0" fontId="2" fillId="0" borderId="15" xfId="0" applyFont="1" applyBorder="1" applyAlignment="1" applyProtection="1">
      <alignment horizontal="center"/>
    </xf>
    <xf numFmtId="0" fontId="0" fillId="4" borderId="1" xfId="0" applyFont="1" applyFill="1" applyBorder="1" applyProtection="1"/>
    <xf numFmtId="0" fontId="0" fillId="3" borderId="152" xfId="0" applyFont="1" applyFill="1" applyBorder="1" applyAlignment="1" applyProtection="1">
      <alignment horizontal="center"/>
      <protection locked="0"/>
    </xf>
    <xf numFmtId="0" fontId="0" fillId="3" borderId="91" xfId="0" applyFont="1" applyFill="1" applyBorder="1" applyAlignment="1" applyProtection="1">
      <alignment horizontal="center"/>
      <protection locked="0"/>
    </xf>
    <xf numFmtId="0" fontId="2" fillId="0" borderId="0" xfId="0" applyFont="1" applyBorder="1" applyAlignment="1" applyProtection="1">
      <alignment horizontal="center" vertical="center"/>
    </xf>
    <xf numFmtId="0" fontId="2" fillId="0" borderId="16" xfId="0" applyFont="1" applyBorder="1" applyAlignment="1" applyProtection="1">
      <alignment horizontal="center"/>
    </xf>
    <xf numFmtId="0" fontId="2" fillId="0" borderId="68" xfId="0" applyFont="1" applyBorder="1" applyAlignment="1" applyProtection="1">
      <alignment horizontal="center" vertical="center" wrapText="1"/>
    </xf>
    <xf numFmtId="0" fontId="2" fillId="3" borderId="16" xfId="0" applyNumberFormat="1" applyFont="1" applyFill="1" applyBorder="1" applyAlignment="1" applyProtection="1">
      <alignment horizontal="center" vertical="center"/>
      <protection locked="0"/>
    </xf>
    <xf numFmtId="10" fontId="9" fillId="3" borderId="16"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xf numFmtId="0" fontId="0" fillId="0" borderId="29" xfId="0" applyFont="1" applyBorder="1" applyAlignment="1" applyProtection="1">
      <alignment wrapText="1"/>
    </xf>
    <xf numFmtId="0" fontId="0" fillId="0" borderId="0" xfId="0" applyNumberFormat="1" applyFont="1" applyFill="1" applyBorder="1" applyAlignment="1" applyProtection="1"/>
    <xf numFmtId="49" fontId="2" fillId="0" borderId="0" xfId="0" applyNumberFormat="1" applyFont="1" applyAlignment="1" applyProtection="1">
      <alignment horizontal="center" vertical="center"/>
    </xf>
    <xf numFmtId="0" fontId="7" fillId="0" borderId="15" xfId="0" applyFont="1" applyBorder="1" applyAlignment="1" applyProtection="1">
      <alignment horizontal="center"/>
    </xf>
    <xf numFmtId="0" fontId="9" fillId="4" borderId="0" xfId="0" applyFont="1" applyFill="1" applyBorder="1" applyAlignment="1" applyProtection="1">
      <alignment horizontal="center"/>
    </xf>
    <xf numFmtId="0" fontId="7" fillId="0" borderId="16" xfId="0" applyFont="1" applyBorder="1" applyAlignment="1" applyProtection="1">
      <alignment horizontal="center"/>
    </xf>
    <xf numFmtId="0" fontId="0" fillId="4" borderId="88" xfId="0" applyFont="1" applyFill="1" applyBorder="1" applyProtection="1"/>
    <xf numFmtId="49" fontId="9" fillId="0" borderId="0" xfId="0" applyNumberFormat="1" applyFont="1" applyFill="1" applyBorder="1" applyAlignment="1" applyProtection="1">
      <alignment horizontal="center" vertical="center"/>
    </xf>
    <xf numFmtId="0" fontId="0" fillId="0" borderId="0" xfId="0" applyNumberFormat="1" applyFont="1" applyFill="1" applyBorder="1" applyProtection="1"/>
    <xf numFmtId="49" fontId="0" fillId="4" borderId="0" xfId="0" applyNumberFormat="1" applyFont="1" applyFill="1" applyBorder="1" applyAlignment="1" applyProtection="1">
      <alignment horizontal="center" vertical="center"/>
    </xf>
    <xf numFmtId="0" fontId="9" fillId="4" borderId="0" xfId="0" applyFont="1" applyFill="1" applyBorder="1" applyProtection="1"/>
    <xf numFmtId="49" fontId="9" fillId="0" borderId="0"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9" fillId="0" borderId="0" xfId="0" applyNumberFormat="1" applyFont="1" applyAlignment="1" applyProtection="1">
      <alignment horizontal="center" vertical="center"/>
    </xf>
    <xf numFmtId="0" fontId="0" fillId="6" borderId="26" xfId="0" applyNumberFormat="1" applyFont="1" applyFill="1" applyBorder="1" applyProtection="1">
      <protection locked="0"/>
    </xf>
    <xf numFmtId="0" fontId="0" fillId="6" borderId="43" xfId="0" applyNumberFormat="1" applyFont="1" applyFill="1" applyBorder="1" applyProtection="1">
      <protection locked="0"/>
    </xf>
    <xf numFmtId="170" fontId="0" fillId="6" borderId="42" xfId="0" applyNumberFormat="1" applyFont="1" applyFill="1" applyBorder="1" applyProtection="1">
      <protection locked="0"/>
    </xf>
    <xf numFmtId="0" fontId="0" fillId="0" borderId="0" xfId="0" applyNumberFormat="1" applyFont="1" applyFill="1" applyBorder="1" applyAlignment="1" applyProtection="1"/>
    <xf numFmtId="0" fontId="2" fillId="0" borderId="0" xfId="0" applyNumberFormat="1" applyFont="1" applyFill="1" applyBorder="1" applyAlignment="1" applyProtection="1"/>
    <xf numFmtId="0" fontId="2" fillId="0" borderId="0" xfId="0" applyNumberFormat="1" applyFont="1" applyFill="1" applyBorder="1" applyAlignment="1" applyProtection="1"/>
    <xf numFmtId="0" fontId="0" fillId="0" borderId="0" xfId="0" applyNumberFormat="1" applyFont="1" applyFill="1" applyBorder="1" applyAlignment="1" applyProtection="1"/>
    <xf numFmtId="0" fontId="8" fillId="0" borderId="16" xfId="0" applyFont="1" applyBorder="1" applyAlignment="1">
      <alignment horizontal="center" vertical="center" wrapText="1"/>
    </xf>
    <xf numFmtId="0" fontId="8" fillId="0" borderId="16" xfId="0" applyFont="1" applyFill="1" applyBorder="1" applyAlignment="1" applyProtection="1">
      <alignment horizontal="center" vertical="center" wrapText="1"/>
      <protection locked="0"/>
    </xf>
    <xf numFmtId="0" fontId="16" fillId="0" borderId="24" xfId="0" applyFont="1" applyBorder="1" applyAlignment="1">
      <alignment horizontal="center"/>
    </xf>
    <xf numFmtId="4" fontId="16" fillId="0" borderId="0" xfId="0" applyNumberFormat="1" applyFont="1" applyAlignment="1">
      <alignment horizontal="center"/>
    </xf>
    <xf numFmtId="0" fontId="2" fillId="0" borderId="0" xfId="1" applyNumberFormat="1" applyFont="1" applyFill="1" applyBorder="1" applyAlignment="1" applyProtection="1"/>
    <xf numFmtId="0" fontId="9" fillId="0" borderId="0" xfId="1" applyNumberFormat="1" applyFont="1" applyFill="1" applyBorder="1" applyAlignment="1" applyProtection="1"/>
    <xf numFmtId="0" fontId="2" fillId="0" borderId="0" xfId="0" applyNumberFormat="1" applyFont="1" applyFill="1" applyBorder="1" applyAlignment="1">
      <alignment horizontal="center"/>
    </xf>
    <xf numFmtId="4" fontId="0" fillId="0" borderId="0" xfId="0" applyNumberFormat="1" applyFont="1" applyAlignment="1">
      <alignment horizontal="center"/>
    </xf>
    <xf numFmtId="10" fontId="0" fillId="0" borderId="0" xfId="1" applyNumberFormat="1" applyFont="1" applyAlignment="1">
      <alignment horizontal="center"/>
    </xf>
    <xf numFmtId="10" fontId="16" fillId="0" borderId="0" xfId="1" applyNumberFormat="1" applyFont="1" applyAlignment="1">
      <alignment horizontal="center"/>
    </xf>
    <xf numFmtId="0" fontId="9" fillId="0" borderId="26" xfId="0" applyFont="1" applyBorder="1" applyAlignment="1" applyProtection="1">
      <alignment horizontal="center"/>
    </xf>
    <xf numFmtId="0" fontId="9" fillId="0" borderId="16" xfId="0" applyFont="1" applyBorder="1" applyAlignment="1" applyProtection="1">
      <alignment horizontal="center"/>
    </xf>
    <xf numFmtId="4" fontId="0" fillId="0" borderId="15" xfId="0" applyNumberFormat="1" applyFont="1" applyBorder="1" applyProtection="1"/>
    <xf numFmtId="4" fontId="0" fillId="0" borderId="15" xfId="0" applyNumberFormat="1" applyFont="1" applyFill="1" applyBorder="1" applyProtection="1"/>
    <xf numFmtId="0" fontId="0" fillId="0" borderId="0" xfId="0" applyFont="1" applyBorder="1" applyAlignment="1" applyProtection="1">
      <alignment wrapText="1"/>
    </xf>
    <xf numFmtId="0" fontId="0" fillId="0" borderId="0" xfId="0" applyNumberFormat="1" applyFont="1" applyFill="1" applyBorder="1" applyAlignment="1" applyProtection="1"/>
    <xf numFmtId="0" fontId="9" fillId="0" borderId="12" xfId="0" applyFont="1" applyFill="1" applyBorder="1" applyProtection="1"/>
    <xf numFmtId="0" fontId="9" fillId="0" borderId="43" xfId="0" applyFont="1" applyBorder="1" applyAlignment="1" applyProtection="1">
      <alignment horizontal="center"/>
    </xf>
    <xf numFmtId="4" fontId="0" fillId="0" borderId="42" xfId="0" applyNumberFormat="1" applyFont="1" applyBorder="1" applyProtection="1"/>
    <xf numFmtId="4" fontId="0" fillId="0" borderId="153" xfId="0" applyNumberFormat="1" applyFont="1" applyBorder="1" applyProtection="1"/>
    <xf numFmtId="4" fontId="9" fillId="0" borderId="0" xfId="0" applyNumberFormat="1" applyFont="1" applyFill="1" applyBorder="1" applyAlignment="1" applyProtection="1">
      <alignment horizontal="center"/>
    </xf>
    <xf numFmtId="4" fontId="9" fillId="0" borderId="1" xfId="0" applyNumberFormat="1" applyFont="1" applyFill="1" applyBorder="1" applyAlignment="1" applyProtection="1">
      <alignment horizontal="center"/>
    </xf>
    <xf numFmtId="0" fontId="37" fillId="0" borderId="3" xfId="0" applyFont="1" applyBorder="1" applyAlignment="1">
      <alignment vertical="center"/>
    </xf>
    <xf numFmtId="0" fontId="38" fillId="0" borderId="0" xfId="0" applyFont="1"/>
    <xf numFmtId="0" fontId="37" fillId="0" borderId="18" xfId="0" applyFont="1" applyBorder="1" applyAlignment="1">
      <alignment vertical="center"/>
    </xf>
    <xf numFmtId="0" fontId="37" fillId="0" borderId="0" xfId="0" applyFont="1" applyBorder="1" applyAlignment="1">
      <alignment vertical="center"/>
    </xf>
    <xf numFmtId="0" fontId="0" fillId="0" borderId="0" xfId="0" applyNumberFormat="1" applyFont="1" applyFill="1" applyBorder="1" applyAlignment="1" applyProtection="1"/>
    <xf numFmtId="0" fontId="0" fillId="0" borderId="0" xfId="0" applyNumberFormat="1" applyFont="1" applyFill="1" applyBorder="1" applyAlignment="1" applyProtection="1"/>
    <xf numFmtId="0" fontId="9" fillId="0" borderId="16" xfId="0" applyFont="1" applyFill="1" applyBorder="1" applyAlignment="1" applyProtection="1">
      <alignment horizontal="center" wrapText="1"/>
      <protection locked="0"/>
    </xf>
    <xf numFmtId="0" fontId="2" fillId="0" borderId="10" xfId="0" applyFont="1" applyFill="1" applyBorder="1" applyAlignment="1" applyProtection="1">
      <alignment horizontal="center" vertical="center"/>
      <protection locked="0"/>
    </xf>
    <xf numFmtId="0" fontId="2" fillId="0" borderId="16" xfId="0" applyFont="1" applyFill="1" applyBorder="1" applyAlignment="1" applyProtection="1">
      <alignment horizontal="center" vertical="center"/>
      <protection locked="0"/>
    </xf>
    <xf numFmtId="1" fontId="0" fillId="0" borderId="0" xfId="0" applyNumberFormat="1" applyFont="1" applyFill="1" applyBorder="1" applyAlignment="1" applyProtection="1">
      <alignment horizontal="center"/>
    </xf>
    <xf numFmtId="1" fontId="0" fillId="0" borderId="1" xfId="0" applyNumberFormat="1" applyFont="1" applyFill="1" applyBorder="1" applyAlignment="1" applyProtection="1">
      <alignment horizontal="center"/>
    </xf>
    <xf numFmtId="4" fontId="0" fillId="0" borderId="0" xfId="0" applyNumberFormat="1" applyFont="1" applyFill="1" applyBorder="1" applyAlignment="1" applyProtection="1"/>
    <xf numFmtId="0" fontId="15" fillId="0" borderId="0" xfId="0" applyNumberFormat="1" applyFont="1" applyFill="1" applyAlignment="1" applyProtection="1"/>
    <xf numFmtId="0" fontId="0" fillId="6" borderId="157" xfId="0" applyNumberFormat="1" applyFont="1" applyFill="1" applyBorder="1" applyProtection="1"/>
    <xf numFmtId="4" fontId="0" fillId="0" borderId="1" xfId="0" applyNumberFormat="1" applyFont="1" applyFill="1" applyBorder="1" applyAlignment="1" applyProtection="1"/>
    <xf numFmtId="49" fontId="0" fillId="0" borderId="1" xfId="0" applyNumberFormat="1"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1" xfId="0" applyBorder="1" applyAlignment="1">
      <alignment horizontal="center" vertical="center"/>
    </xf>
    <xf numFmtId="49" fontId="9" fillId="0" borderId="1" xfId="0" applyNumberFormat="1" applyFont="1" applyBorder="1" applyAlignment="1" applyProtection="1">
      <alignment horizontal="center" vertical="center"/>
    </xf>
    <xf numFmtId="0" fontId="9" fillId="0" borderId="0" xfId="0" applyFont="1" applyBorder="1" applyAlignment="1" applyProtection="1"/>
    <xf numFmtId="0" fontId="9" fillId="0" borderId="1" xfId="0" applyFont="1" applyBorder="1" applyAlignment="1" applyProtection="1"/>
    <xf numFmtId="0" fontId="0" fillId="0" borderId="0" xfId="0" applyFont="1" applyBorder="1" applyAlignment="1" applyProtection="1"/>
    <xf numFmtId="0" fontId="0" fillId="0" borderId="1" xfId="0" applyFont="1" applyBorder="1" applyAlignment="1" applyProtection="1"/>
    <xf numFmtId="0" fontId="2"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51" xfId="0" applyFont="1" applyBorder="1" applyAlignment="1" applyProtection="1">
      <alignment horizontal="center" vertical="center"/>
    </xf>
    <xf numFmtId="0" fontId="0" fillId="0" borderId="34" xfId="0" applyFont="1" applyBorder="1" applyAlignment="1" applyProtection="1">
      <alignment horizontal="center" vertical="center"/>
    </xf>
    <xf numFmtId="0" fontId="2" fillId="0" borderId="10" xfId="0" applyFont="1" applyBorder="1" applyAlignment="1" applyProtection="1">
      <alignment horizontal="center" vertical="center"/>
    </xf>
    <xf numFmtId="0" fontId="0" fillId="0" borderId="9" xfId="0" applyFont="1" applyBorder="1" applyAlignment="1" applyProtection="1">
      <alignment horizontal="center" vertical="center"/>
    </xf>
    <xf numFmtId="0" fontId="0" fillId="0" borderId="15" xfId="0" applyFont="1" applyBorder="1" applyAlignment="1" applyProtection="1">
      <alignment horizontal="center" vertical="center"/>
    </xf>
    <xf numFmtId="0" fontId="2" fillId="0" borderId="11" xfId="0" applyFont="1" applyBorder="1" applyAlignment="1" applyProtection="1">
      <alignment horizontal="center" vertical="center"/>
    </xf>
    <xf numFmtId="0" fontId="0" fillId="0" borderId="37" xfId="0" applyFont="1" applyBorder="1" applyAlignment="1" applyProtection="1">
      <alignment horizontal="center" vertical="center"/>
    </xf>
    <xf numFmtId="0" fontId="0" fillId="0" borderId="12" xfId="0" applyFont="1" applyBorder="1" applyAlignment="1" applyProtection="1">
      <alignment horizontal="center" vertical="center"/>
    </xf>
    <xf numFmtId="0" fontId="2" fillId="0" borderId="16" xfId="0" applyFont="1" applyBorder="1" applyAlignment="1" applyProtection="1">
      <alignment horizontal="center"/>
    </xf>
    <xf numFmtId="0" fontId="2" fillId="0" borderId="12" xfId="0" applyFont="1" applyBorder="1" applyAlignment="1" applyProtection="1">
      <alignment horizontal="center"/>
    </xf>
    <xf numFmtId="0" fontId="9" fillId="6" borderId="59" xfId="0" applyFont="1" applyFill="1" applyBorder="1" applyAlignment="1" applyProtection="1">
      <alignment horizontal="center"/>
    </xf>
    <xf numFmtId="0" fontId="9" fillId="6" borderId="60" xfId="0" applyFont="1" applyFill="1" applyBorder="1" applyAlignment="1" applyProtection="1">
      <alignment horizontal="center"/>
    </xf>
    <xf numFmtId="0" fontId="3" fillId="0" borderId="26" xfId="0" applyFont="1" applyFill="1" applyBorder="1" applyAlignment="1" applyProtection="1">
      <alignment horizontal="center" wrapText="1"/>
    </xf>
    <xf numFmtId="0" fontId="6" fillId="0" borderId="26" xfId="0" applyFont="1" applyBorder="1" applyAlignment="1" applyProtection="1">
      <alignment horizontal="center" wrapText="1"/>
    </xf>
    <xf numFmtId="0" fontId="6" fillId="0" borderId="34" xfId="0" applyFont="1" applyBorder="1" applyAlignment="1" applyProtection="1">
      <alignment horizontal="center" wrapText="1"/>
    </xf>
    <xf numFmtId="0" fontId="2" fillId="0" borderId="11" xfId="0" applyFont="1" applyBorder="1" applyAlignment="1" applyProtection="1">
      <alignment horizontal="center"/>
    </xf>
    <xf numFmtId="4" fontId="2" fillId="5" borderId="88" xfId="0" applyNumberFormat="1" applyFont="1" applyFill="1" applyBorder="1" applyAlignment="1" applyProtection="1">
      <alignment horizontal="center" vertical="center"/>
    </xf>
    <xf numFmtId="0" fontId="2" fillId="0" borderId="51" xfId="0" applyFont="1" applyBorder="1" applyAlignment="1" applyProtection="1">
      <alignment horizontal="center" vertical="center"/>
    </xf>
    <xf numFmtId="0" fontId="3" fillId="0" borderId="68" xfId="0" applyFont="1" applyFill="1" applyBorder="1" applyAlignment="1" applyProtection="1">
      <alignment horizontal="center" wrapText="1"/>
    </xf>
    <xf numFmtId="4" fontId="9" fillId="0" borderId="18" xfId="0" applyNumberFormat="1" applyFont="1" applyBorder="1" applyAlignment="1" applyProtection="1">
      <alignment horizontal="center"/>
    </xf>
    <xf numFmtId="0" fontId="0" fillId="0" borderId="1" xfId="0" applyFont="1" applyBorder="1" applyAlignment="1" applyProtection="1">
      <alignment horizontal="center"/>
    </xf>
    <xf numFmtId="7" fontId="9" fillId="0" borderId="52" xfId="2" applyNumberFormat="1" applyFont="1" applyBorder="1" applyAlignment="1" applyProtection="1">
      <alignment horizontal="center" vertical="center"/>
    </xf>
    <xf numFmtId="0" fontId="0" fillId="0" borderId="51" xfId="0" applyBorder="1" applyAlignment="1">
      <alignment horizontal="center" vertical="center"/>
    </xf>
    <xf numFmtId="4" fontId="17" fillId="0" borderId="70" xfId="0" applyNumberFormat="1" applyFont="1" applyFill="1" applyBorder="1" applyAlignment="1" applyProtection="1">
      <alignment horizontal="center"/>
    </xf>
    <xf numFmtId="0" fontId="0" fillId="0" borderId="71" xfId="0" applyFont="1" applyBorder="1" applyAlignment="1" applyProtection="1">
      <alignment horizontal="center"/>
    </xf>
    <xf numFmtId="4" fontId="17" fillId="0" borderId="18" xfId="0" applyNumberFormat="1" applyFont="1" applyFill="1" applyBorder="1" applyAlignment="1" applyProtection="1">
      <alignment horizontal="center"/>
    </xf>
    <xf numFmtId="4" fontId="23" fillId="0" borderId="18" xfId="0" applyNumberFormat="1" applyFont="1" applyBorder="1" applyAlignment="1" applyProtection="1">
      <alignment horizontal="center"/>
    </xf>
    <xf numFmtId="0" fontId="23" fillId="0" borderId="1" xfId="0" applyFont="1" applyBorder="1" applyAlignment="1" applyProtection="1">
      <alignment horizontal="center"/>
    </xf>
    <xf numFmtId="4" fontId="9" fillId="0" borderId="59" xfId="0" applyNumberFormat="1" applyFont="1" applyBorder="1" applyAlignment="1" applyProtection="1">
      <alignment horizontal="center"/>
    </xf>
    <xf numFmtId="0" fontId="0" fillId="0" borderId="60" xfId="0" applyFont="1" applyBorder="1" applyAlignment="1" applyProtection="1">
      <alignment horizontal="center"/>
    </xf>
    <xf numFmtId="0" fontId="8" fillId="0" borderId="55" xfId="0" applyNumberFormat="1" applyFont="1" applyBorder="1" applyAlignment="1" applyProtection="1">
      <alignment vertical="center" wrapText="1"/>
    </xf>
    <xf numFmtId="0" fontId="8" fillId="0" borderId="53" xfId="0" applyFont="1" applyBorder="1" applyAlignment="1" applyProtection="1">
      <alignment vertical="center" wrapText="1"/>
    </xf>
    <xf numFmtId="0" fontId="8" fillId="0" borderId="108" xfId="0" applyFont="1" applyBorder="1" applyAlignment="1" applyProtection="1">
      <alignment vertical="center" wrapText="1"/>
    </xf>
    <xf numFmtId="4" fontId="0" fillId="0" borderId="129" xfId="0" applyNumberFormat="1" applyFont="1" applyBorder="1" applyAlignment="1" applyProtection="1">
      <alignment vertical="center" wrapText="1"/>
    </xf>
    <xf numFmtId="4" fontId="0" fillId="0" borderId="56" xfId="0" applyNumberFormat="1" applyFont="1" applyBorder="1" applyAlignment="1" applyProtection="1">
      <alignment vertical="center" wrapText="1"/>
    </xf>
    <xf numFmtId="0" fontId="2" fillId="0" borderId="68" xfId="0" applyFont="1" applyBorder="1" applyAlignment="1" applyProtection="1">
      <alignment horizontal="center"/>
    </xf>
    <xf numFmtId="0" fontId="9" fillId="0" borderId="26" xfId="0" applyFont="1" applyBorder="1" applyAlignment="1" applyProtection="1">
      <alignment horizontal="center"/>
    </xf>
    <xf numFmtId="0" fontId="0" fillId="0" borderId="26" xfId="0" applyFont="1" applyBorder="1" applyAlignment="1" applyProtection="1"/>
    <xf numFmtId="0" fontId="0" fillId="0" borderId="34" xfId="0" applyFont="1" applyBorder="1" applyAlignment="1" applyProtection="1"/>
    <xf numFmtId="4" fontId="17" fillId="0" borderId="59" xfId="0" applyNumberFormat="1" applyFont="1" applyFill="1" applyBorder="1" applyAlignment="1" applyProtection="1">
      <alignment horizontal="center"/>
    </xf>
    <xf numFmtId="4" fontId="3" fillId="0" borderId="63" xfId="0" applyNumberFormat="1" applyFont="1" applyBorder="1" applyAlignment="1" applyProtection="1">
      <alignment horizontal="center" vertical="center"/>
    </xf>
    <xf numFmtId="0" fontId="30" fillId="0" borderId="64" xfId="0" applyFont="1" applyBorder="1" applyAlignment="1" applyProtection="1">
      <alignment horizontal="center" vertical="center"/>
    </xf>
    <xf numFmtId="10" fontId="9" fillId="0" borderId="73" xfId="1" applyNumberFormat="1" applyFont="1" applyBorder="1" applyAlignment="1" applyProtection="1">
      <alignment horizontal="center"/>
    </xf>
    <xf numFmtId="0" fontId="0" fillId="0" borderId="74" xfId="0" applyFont="1" applyBorder="1" applyAlignment="1" applyProtection="1"/>
    <xf numFmtId="0" fontId="0" fillId="0" borderId="75" xfId="0" applyFont="1" applyBorder="1" applyAlignment="1" applyProtection="1"/>
    <xf numFmtId="10" fontId="2" fillId="0" borderId="59" xfId="1" applyNumberFormat="1" applyFont="1" applyBorder="1" applyAlignment="1" applyProtection="1">
      <alignment horizontal="center"/>
    </xf>
    <xf numFmtId="0" fontId="2" fillId="0" borderId="57" xfId="0" applyFont="1" applyBorder="1" applyAlignment="1" applyProtection="1"/>
    <xf numFmtId="0" fontId="2" fillId="0" borderId="60" xfId="0" applyFont="1" applyBorder="1" applyAlignment="1" applyProtection="1"/>
    <xf numFmtId="0" fontId="8" fillId="0" borderId="63" xfId="0" applyFont="1" applyBorder="1" applyAlignment="1" applyProtection="1">
      <alignment wrapText="1"/>
    </xf>
    <xf numFmtId="0" fontId="8" fillId="0" borderId="61" xfId="0" applyFont="1" applyBorder="1" applyAlignment="1" applyProtection="1">
      <alignment wrapText="1"/>
    </xf>
    <xf numFmtId="0" fontId="8" fillId="0" borderId="64" xfId="0" applyFont="1" applyBorder="1" applyAlignment="1" applyProtection="1">
      <alignment wrapText="1"/>
    </xf>
    <xf numFmtId="0" fontId="2" fillId="0" borderId="26" xfId="0" applyFont="1" applyBorder="1" applyAlignment="1" applyProtection="1">
      <alignment horizontal="center"/>
    </xf>
    <xf numFmtId="0" fontId="2" fillId="0" borderId="34" xfId="0" applyFont="1" applyBorder="1" applyAlignment="1" applyProtection="1">
      <alignment horizontal="center"/>
    </xf>
    <xf numFmtId="165" fontId="9" fillId="0" borderId="0" xfId="0" applyNumberFormat="1" applyFont="1" applyBorder="1" applyAlignment="1" applyProtection="1">
      <alignment horizontal="center"/>
    </xf>
    <xf numFmtId="165" fontId="0" fillId="0" borderId="1" xfId="0" applyNumberFormat="1" applyFont="1" applyBorder="1" applyAlignment="1" applyProtection="1">
      <alignment horizontal="center"/>
    </xf>
    <xf numFmtId="10" fontId="9" fillId="0" borderId="57" xfId="0" applyNumberFormat="1" applyFont="1" applyBorder="1" applyAlignment="1" applyProtection="1">
      <alignment horizontal="center"/>
    </xf>
    <xf numFmtId="10" fontId="0" fillId="0" borderId="60" xfId="0" applyNumberFormat="1" applyFont="1" applyBorder="1" applyAlignment="1" applyProtection="1">
      <alignment horizontal="center"/>
    </xf>
    <xf numFmtId="10" fontId="9" fillId="0" borderId="0" xfId="1" applyNumberFormat="1" applyFont="1" applyBorder="1" applyAlignment="1" applyProtection="1">
      <alignment horizontal="center"/>
    </xf>
    <xf numFmtId="165" fontId="0" fillId="0" borderId="68" xfId="0" applyNumberFormat="1" applyFont="1" applyBorder="1" applyAlignment="1" applyProtection="1">
      <alignment horizontal="center" vertical="center"/>
    </xf>
    <xf numFmtId="0" fontId="2" fillId="0" borderId="68" xfId="0" applyFont="1" applyBorder="1" applyAlignment="1" applyProtection="1">
      <alignment horizontal="center" vertical="center" wrapText="1"/>
    </xf>
    <xf numFmtId="0" fontId="2" fillId="0" borderId="2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68" xfId="0" applyFont="1" applyBorder="1" applyAlignment="1" applyProtection="1">
      <alignment horizontal="center" vertical="center"/>
    </xf>
    <xf numFmtId="0" fontId="2" fillId="0" borderId="34" xfId="0" applyFont="1" applyBorder="1" applyAlignment="1" applyProtection="1">
      <alignment horizontal="center" vertical="center"/>
    </xf>
    <xf numFmtId="10" fontId="9" fillId="0" borderId="57" xfId="1" applyNumberFormat="1" applyFont="1" applyBorder="1" applyAlignment="1" applyProtection="1">
      <alignment horizontal="center"/>
    </xf>
    <xf numFmtId="10" fontId="9" fillId="0" borderId="53" xfId="0" applyNumberFormat="1" applyFont="1" applyBorder="1" applyAlignment="1" applyProtection="1">
      <alignment horizontal="center"/>
    </xf>
    <xf numFmtId="10" fontId="0" fillId="0" borderId="56" xfId="0" applyNumberFormat="1" applyFont="1" applyBorder="1" applyAlignment="1" applyProtection="1">
      <alignment horizontal="center"/>
    </xf>
    <xf numFmtId="165" fontId="0" fillId="0" borderId="18" xfId="0" applyNumberFormat="1" applyFont="1" applyBorder="1" applyAlignment="1" applyProtection="1">
      <alignment horizontal="center" vertical="center"/>
    </xf>
    <xf numFmtId="165" fontId="23" fillId="0" borderId="82" xfId="0" applyNumberFormat="1" applyFont="1" applyBorder="1" applyAlignment="1" applyProtection="1">
      <alignment horizontal="center" vertical="center"/>
    </xf>
    <xf numFmtId="0" fontId="0" fillId="0" borderId="80" xfId="0" applyFont="1" applyBorder="1" applyAlignment="1" applyProtection="1">
      <alignment horizontal="center" vertical="center"/>
    </xf>
    <xf numFmtId="0" fontId="0" fillId="0" borderId="80" xfId="0" applyBorder="1" applyAlignment="1"/>
    <xf numFmtId="0" fontId="0" fillId="0" borderId="83" xfId="0" applyBorder="1" applyAlignment="1"/>
    <xf numFmtId="165" fontId="23" fillId="0" borderId="142" xfId="0" applyNumberFormat="1" applyFont="1" applyBorder="1" applyAlignment="1" applyProtection="1">
      <alignment horizontal="center" vertical="center"/>
    </xf>
    <xf numFmtId="0" fontId="0" fillId="0" borderId="143" xfId="0" applyFont="1" applyBorder="1" applyAlignment="1" applyProtection="1">
      <alignment horizontal="center" vertical="center"/>
    </xf>
    <xf numFmtId="0" fontId="0" fillId="0" borderId="143" xfId="0" applyBorder="1" applyAlignment="1"/>
    <xf numFmtId="0" fontId="0" fillId="0" borderId="144" xfId="0" applyBorder="1" applyAlignment="1"/>
    <xf numFmtId="165" fontId="23" fillId="0" borderId="133" xfId="0" applyNumberFormat="1" applyFont="1" applyBorder="1" applyAlignment="1" applyProtection="1">
      <alignment horizontal="center" vertical="center"/>
    </xf>
    <xf numFmtId="0" fontId="0" fillId="0" borderId="134" xfId="0" applyFont="1" applyBorder="1" applyAlignment="1" applyProtection="1">
      <alignment horizontal="center" vertical="center"/>
    </xf>
    <xf numFmtId="0" fontId="0" fillId="0" borderId="134" xfId="0" applyBorder="1" applyAlignment="1"/>
    <xf numFmtId="0" fontId="0" fillId="0" borderId="135" xfId="0" applyBorder="1" applyAlignment="1"/>
    <xf numFmtId="0" fontId="2" fillId="0" borderId="26" xfId="0" applyFont="1" applyBorder="1" applyAlignment="1" applyProtection="1">
      <alignment horizontal="center" vertical="center"/>
    </xf>
    <xf numFmtId="0" fontId="0" fillId="0" borderId="26" xfId="0" applyFont="1" applyBorder="1" applyAlignment="1" applyProtection="1">
      <alignment horizontal="center" vertical="center"/>
    </xf>
    <xf numFmtId="165" fontId="2" fillId="0" borderId="63" xfId="0" applyNumberFormat="1" applyFont="1" applyBorder="1" applyAlignment="1" applyProtection="1">
      <alignment horizontal="center" vertical="center"/>
    </xf>
    <xf numFmtId="165" fontId="2" fillId="0" borderId="61" xfId="0" applyNumberFormat="1" applyFont="1" applyBorder="1" applyAlignment="1" applyProtection="1">
      <alignment horizontal="center" vertical="center"/>
    </xf>
    <xf numFmtId="165" fontId="2" fillId="0" borderId="64" xfId="0" applyNumberFormat="1" applyFont="1" applyBorder="1" applyAlignment="1" applyProtection="1">
      <alignment horizontal="center" vertical="center"/>
    </xf>
    <xf numFmtId="0" fontId="9" fillId="0" borderId="86" xfId="0" applyFont="1" applyBorder="1" applyAlignment="1" applyProtection="1">
      <alignment horizontal="center" vertical="center" wrapText="1"/>
    </xf>
    <xf numFmtId="0" fontId="9" fillId="0" borderId="87" xfId="0" applyFont="1" applyBorder="1" applyAlignment="1" applyProtection="1">
      <alignment horizontal="center" vertical="center" wrapText="1"/>
    </xf>
    <xf numFmtId="0" fontId="9" fillId="0" borderId="84" xfId="0" applyFont="1" applyBorder="1" applyAlignment="1" applyProtection="1">
      <alignment horizontal="center" vertical="center" wrapText="1"/>
    </xf>
    <xf numFmtId="166" fontId="3" fillId="0" borderId="63" xfId="0" applyNumberFormat="1" applyFont="1" applyBorder="1" applyAlignment="1" applyProtection="1">
      <alignment horizontal="center" vertical="center"/>
    </xf>
    <xf numFmtId="166" fontId="3" fillId="0" borderId="61" xfId="0" applyNumberFormat="1" applyFont="1" applyBorder="1" applyAlignment="1" applyProtection="1">
      <alignment horizontal="center" vertical="center"/>
    </xf>
    <xf numFmtId="166" fontId="3" fillId="0" borderId="64" xfId="0" applyNumberFormat="1" applyFont="1" applyBorder="1" applyAlignment="1" applyProtection="1">
      <alignment horizontal="center" vertical="center"/>
    </xf>
    <xf numFmtId="167" fontId="3" fillId="0" borderId="63" xfId="0" applyNumberFormat="1" applyFont="1" applyBorder="1" applyAlignment="1" applyProtection="1">
      <alignment horizontal="center" vertical="center"/>
    </xf>
    <xf numFmtId="167" fontId="3" fillId="0" borderId="61" xfId="0" applyNumberFormat="1" applyFont="1" applyBorder="1" applyAlignment="1" applyProtection="1">
      <alignment horizontal="center" vertical="center"/>
    </xf>
    <xf numFmtId="167" fontId="3" fillId="0" borderId="64" xfId="0" applyNumberFormat="1" applyFont="1" applyBorder="1" applyAlignment="1" applyProtection="1">
      <alignment horizontal="center" vertical="center"/>
    </xf>
    <xf numFmtId="0" fontId="2" fillId="0" borderId="11" xfId="0" applyNumberFormat="1" applyFont="1" applyBorder="1" applyAlignment="1" applyProtection="1">
      <alignment horizontal="center" wrapText="1"/>
    </xf>
    <xf numFmtId="0" fontId="2" fillId="0" borderId="37" xfId="0" applyFont="1" applyBorder="1" applyAlignment="1" applyProtection="1">
      <alignment horizontal="center" wrapText="1"/>
    </xf>
    <xf numFmtId="0" fontId="2" fillId="0" borderId="12" xfId="0" applyFont="1" applyBorder="1" applyAlignment="1" applyProtection="1">
      <alignment horizontal="center" wrapText="1"/>
    </xf>
    <xf numFmtId="0" fontId="3" fillId="0" borderId="68" xfId="0" applyNumberFormat="1" applyFont="1" applyBorder="1" applyAlignment="1" applyProtection="1">
      <alignment horizontal="center" wrapText="1"/>
    </xf>
    <xf numFmtId="0" fontId="3" fillId="0" borderId="26" xfId="0" applyFont="1" applyBorder="1" applyAlignment="1" applyProtection="1">
      <alignment horizontal="center" wrapText="1"/>
    </xf>
    <xf numFmtId="0" fontId="3" fillId="0" borderId="34" xfId="0" applyFont="1" applyBorder="1" applyAlignment="1" applyProtection="1">
      <alignment horizontal="center" wrapText="1"/>
    </xf>
    <xf numFmtId="4" fontId="9" fillId="0" borderId="73" xfId="0" applyNumberFormat="1" applyFont="1" applyFill="1" applyBorder="1" applyAlignment="1" applyProtection="1">
      <alignment horizontal="center"/>
    </xf>
    <xf numFmtId="0" fontId="9" fillId="0" borderId="75" xfId="0" applyFont="1" applyBorder="1" applyAlignment="1" applyProtection="1">
      <alignment horizontal="center"/>
    </xf>
    <xf numFmtId="3" fontId="9" fillId="0" borderId="18" xfId="0" applyNumberFormat="1" applyFont="1" applyBorder="1" applyAlignment="1" applyProtection="1">
      <alignment horizontal="center"/>
    </xf>
    <xf numFmtId="3" fontId="9" fillId="0" borderId="55" xfId="0" applyNumberFormat="1" applyFont="1" applyBorder="1" applyAlignment="1" applyProtection="1">
      <alignment horizontal="center"/>
    </xf>
    <xf numFmtId="0" fontId="0" fillId="0" borderId="56" xfId="0" applyFont="1" applyBorder="1" applyAlignment="1" applyProtection="1">
      <alignment horizontal="center"/>
    </xf>
    <xf numFmtId="4" fontId="9" fillId="0" borderId="73" xfId="0" applyNumberFormat="1" applyFont="1" applyBorder="1" applyAlignment="1" applyProtection="1">
      <alignment horizontal="center"/>
    </xf>
    <xf numFmtId="0" fontId="9" fillId="0" borderId="18" xfId="0" applyNumberFormat="1" applyFont="1" applyBorder="1" applyAlignment="1" applyProtection="1">
      <alignment horizontal="center" vertical="center"/>
    </xf>
    <xf numFmtId="0" fontId="3" fillId="0" borderId="68" xfId="0" applyFont="1" applyBorder="1" applyAlignment="1" applyProtection="1">
      <alignment horizontal="center"/>
    </xf>
    <xf numFmtId="0" fontId="6" fillId="0" borderId="26" xfId="0" applyFont="1" applyBorder="1" applyAlignment="1" applyProtection="1">
      <alignment horizontal="center"/>
    </xf>
    <xf numFmtId="0" fontId="6" fillId="0" borderId="34" xfId="0" applyFont="1" applyBorder="1" applyAlignment="1" applyProtection="1">
      <alignment horizontal="center"/>
    </xf>
    <xf numFmtId="165" fontId="9" fillId="0" borderId="18" xfId="0" applyNumberFormat="1" applyFont="1" applyBorder="1" applyAlignment="1" applyProtection="1">
      <alignment horizontal="center"/>
    </xf>
    <xf numFmtId="10" fontId="9" fillId="0" borderId="73" xfId="0" applyNumberFormat="1" applyFont="1" applyBorder="1" applyAlignment="1" applyProtection="1">
      <alignment horizontal="center"/>
    </xf>
    <xf numFmtId="10" fontId="9" fillId="0" borderId="74" xfId="0" applyNumberFormat="1" applyFont="1" applyBorder="1" applyAlignment="1" applyProtection="1">
      <alignment horizontal="center"/>
    </xf>
    <xf numFmtId="10" fontId="9" fillId="0" borderId="75" xfId="0" applyNumberFormat="1" applyFont="1" applyBorder="1" applyAlignment="1" applyProtection="1">
      <alignment horizontal="center"/>
    </xf>
    <xf numFmtId="10" fontId="2" fillId="0" borderId="73" xfId="0" applyNumberFormat="1" applyFont="1" applyBorder="1" applyAlignment="1" applyProtection="1">
      <alignment horizontal="center"/>
    </xf>
    <xf numFmtId="10" fontId="2" fillId="0" borderId="74" xfId="0" applyNumberFormat="1" applyFont="1" applyBorder="1" applyAlignment="1" applyProtection="1">
      <alignment horizontal="center"/>
    </xf>
    <xf numFmtId="10" fontId="2" fillId="0" borderId="75" xfId="0" applyNumberFormat="1" applyFont="1" applyBorder="1" applyAlignment="1" applyProtection="1">
      <alignment horizontal="center"/>
    </xf>
    <xf numFmtId="0" fontId="4" fillId="0" borderId="63" xfId="0" applyFont="1" applyBorder="1" applyAlignment="1" applyProtection="1">
      <alignment wrapText="1"/>
    </xf>
    <xf numFmtId="0" fontId="4" fillId="0" borderId="61" xfId="0" applyFont="1" applyBorder="1" applyAlignment="1" applyProtection="1">
      <alignment wrapText="1"/>
    </xf>
    <xf numFmtId="0" fontId="4" fillId="0" borderId="64" xfId="0" applyFont="1" applyBorder="1" applyAlignment="1" applyProtection="1">
      <alignment wrapText="1"/>
    </xf>
    <xf numFmtId="0" fontId="9" fillId="0" borderId="34" xfId="0" applyFont="1" applyBorder="1" applyAlignment="1" applyProtection="1">
      <alignment horizontal="center"/>
    </xf>
    <xf numFmtId="10" fontId="9" fillId="0" borderId="59" xfId="0" applyNumberFormat="1" applyFont="1" applyBorder="1" applyAlignment="1" applyProtection="1">
      <alignment horizontal="center"/>
    </xf>
    <xf numFmtId="10" fontId="9" fillId="0" borderId="18" xfId="1" applyNumberFormat="1" applyFont="1" applyBorder="1" applyAlignment="1" applyProtection="1">
      <alignment horizontal="center"/>
    </xf>
    <xf numFmtId="10" fontId="9" fillId="0" borderId="59" xfId="1" applyNumberFormat="1" applyFont="1" applyBorder="1" applyAlignment="1" applyProtection="1">
      <alignment horizontal="center"/>
    </xf>
    <xf numFmtId="10" fontId="9" fillId="0" borderId="55" xfId="0" applyNumberFormat="1" applyFont="1" applyBorder="1" applyAlignment="1" applyProtection="1">
      <alignment horizontal="center"/>
    </xf>
    <xf numFmtId="0" fontId="2" fillId="0" borderId="78" xfId="0" applyFont="1" applyBorder="1" applyAlignment="1" applyProtection="1">
      <alignment horizontal="center" vertical="center"/>
    </xf>
    <xf numFmtId="0" fontId="2" fillId="0" borderId="79" xfId="0" applyFont="1" applyBorder="1" applyAlignment="1" applyProtection="1">
      <alignment horizontal="center" vertical="center"/>
    </xf>
    <xf numFmtId="0" fontId="0" fillId="0" borderId="135" xfId="0" applyFont="1" applyBorder="1" applyAlignment="1" applyProtection="1">
      <alignment horizontal="center" vertical="center"/>
    </xf>
    <xf numFmtId="0" fontId="0" fillId="0" borderId="144" xfId="0" applyFont="1" applyBorder="1" applyAlignment="1" applyProtection="1">
      <alignment horizontal="center" vertical="center"/>
    </xf>
    <xf numFmtId="0" fontId="0" fillId="0" borderId="83" xfId="0" applyFont="1" applyBorder="1" applyAlignment="1" applyProtection="1">
      <alignment horizontal="center" vertical="center"/>
    </xf>
    <xf numFmtId="0" fontId="38" fillId="0" borderId="0" xfId="0" applyNumberFormat="1" applyFont="1" applyFill="1" applyBorder="1" applyAlignment="1" applyProtection="1"/>
    <xf numFmtId="0" fontId="38" fillId="0" borderId="0" xfId="0" applyFont="1" applyAlignment="1"/>
    <xf numFmtId="0" fontId="37" fillId="0" borderId="0" xfId="0" applyNumberFormat="1" applyFont="1" applyFill="1" applyBorder="1" applyAlignment="1" applyProtection="1"/>
    <xf numFmtId="0" fontId="37" fillId="0" borderId="0" xfId="0" applyFont="1" applyAlignment="1"/>
    <xf numFmtId="0" fontId="30" fillId="0" borderId="0" xfId="0" applyFont="1" applyAlignment="1"/>
    <xf numFmtId="4" fontId="37" fillId="0" borderId="155" xfId="0" applyNumberFormat="1" applyFont="1" applyFill="1" applyBorder="1" applyAlignment="1" applyProtection="1">
      <alignment vertical="center" wrapText="1"/>
    </xf>
    <xf numFmtId="0" fontId="37" fillId="0" borderId="146" xfId="0" applyFont="1" applyBorder="1" applyAlignment="1">
      <alignment vertical="center" wrapText="1"/>
    </xf>
    <xf numFmtId="0" fontId="37" fillId="0" borderId="156" xfId="0" applyFont="1" applyBorder="1" applyAlignment="1">
      <alignment vertical="center" wrapText="1"/>
    </xf>
    <xf numFmtId="0" fontId="37" fillId="0" borderId="109" xfId="0" applyFont="1" applyBorder="1" applyAlignment="1">
      <alignment vertical="center" wrapText="1"/>
    </xf>
    <xf numFmtId="0" fontId="37" fillId="0" borderId="0" xfId="0" applyFont="1" applyAlignment="1">
      <alignment vertical="center" wrapText="1"/>
    </xf>
    <xf numFmtId="0" fontId="37" fillId="0" borderId="1" xfId="0" applyFont="1" applyBorder="1" applyAlignment="1">
      <alignment vertical="center" wrapText="1"/>
    </xf>
    <xf numFmtId="0" fontId="9" fillId="3" borderId="0" xfId="0" applyFont="1" applyFill="1" applyAlignment="1" applyProtection="1">
      <protection locked="0"/>
    </xf>
    <xf numFmtId="0" fontId="0" fillId="3" borderId="0" xfId="0" applyFont="1" applyFill="1" applyAlignment="1" applyProtection="1">
      <protection locked="0"/>
    </xf>
    <xf numFmtId="0" fontId="11" fillId="0" borderId="0" xfId="0" applyFont="1" applyAlignment="1" applyProtection="1">
      <alignment horizontal="center" vertical="center"/>
    </xf>
    <xf numFmtId="0" fontId="0" fillId="0" borderId="0" xfId="0" applyFont="1" applyAlignment="1" applyProtection="1"/>
    <xf numFmtId="0" fontId="12" fillId="0" borderId="0" xfId="0" applyFont="1" applyProtection="1"/>
    <xf numFmtId="0" fontId="11" fillId="0" borderId="68" xfId="0" applyFont="1" applyBorder="1" applyAlignment="1" applyProtection="1">
      <alignment vertical="center"/>
    </xf>
    <xf numFmtId="0" fontId="24" fillId="0" borderId="26" xfId="0" applyFont="1" applyBorder="1" applyAlignment="1" applyProtection="1">
      <alignment vertical="center"/>
    </xf>
    <xf numFmtId="0" fontId="2" fillId="0" borderId="20"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0" borderId="93" xfId="0" applyFont="1" applyBorder="1" applyAlignment="1" applyProtection="1">
      <alignment horizontal="center" vertical="center"/>
    </xf>
    <xf numFmtId="0" fontId="7" fillId="0" borderId="68" xfId="0" applyFont="1" applyBorder="1" applyAlignment="1" applyProtection="1"/>
    <xf numFmtId="0" fontId="16" fillId="0" borderId="11" xfId="0" applyFont="1" applyBorder="1" applyAlignment="1" applyProtection="1">
      <alignment horizontal="center"/>
    </xf>
    <xf numFmtId="0" fontId="16" fillId="0" borderId="37" xfId="0" applyFont="1" applyBorder="1" applyAlignment="1" applyProtection="1">
      <alignment horizontal="center"/>
    </xf>
    <xf numFmtId="0" fontId="16" fillId="0" borderId="12" xfId="0" applyFont="1" applyBorder="1" applyAlignment="1" applyProtection="1">
      <alignment horizontal="center"/>
    </xf>
    <xf numFmtId="0" fontId="11" fillId="0" borderId="26" xfId="0" applyNumberFormat="1" applyFont="1" applyFill="1" applyBorder="1" applyAlignment="1" applyProtection="1">
      <alignment vertical="center"/>
    </xf>
    <xf numFmtId="0" fontId="11" fillId="0" borderId="34" xfId="0" applyNumberFormat="1" applyFont="1" applyFill="1" applyBorder="1" applyAlignment="1" applyProtection="1">
      <alignment vertical="center"/>
    </xf>
    <xf numFmtId="0" fontId="19" fillId="0" borderId="11" xfId="0" applyFont="1" applyBorder="1" applyAlignment="1" applyProtection="1">
      <alignment horizontal="center"/>
    </xf>
    <xf numFmtId="0" fontId="19" fillId="0" borderId="37" xfId="0" applyFont="1" applyBorder="1" applyAlignment="1" applyProtection="1">
      <alignment horizontal="center"/>
    </xf>
    <xf numFmtId="0" fontId="19" fillId="0" borderId="12" xfId="0" applyFont="1" applyBorder="1" applyAlignment="1" applyProtection="1">
      <alignment horizontal="center"/>
    </xf>
    <xf numFmtId="0" fontId="2" fillId="0" borderId="88" xfId="0" applyNumberFormat="1" applyFont="1" applyFill="1" applyBorder="1" applyAlignment="1" applyProtection="1">
      <alignment wrapText="1"/>
    </xf>
    <xf numFmtId="0" fontId="0" fillId="0" borderId="88" xfId="0" applyFont="1" applyBorder="1" applyAlignment="1" applyProtection="1">
      <alignment wrapText="1"/>
    </xf>
    <xf numFmtId="0" fontId="2" fillId="3" borderId="11" xfId="0" applyNumberFormat="1" applyFont="1" applyFill="1" applyBorder="1" applyAlignment="1" applyProtection="1">
      <alignment horizontal="center" vertical="center"/>
      <protection locked="0"/>
    </xf>
    <xf numFmtId="0" fontId="2" fillId="3" borderId="37" xfId="0" applyNumberFormat="1" applyFont="1" applyFill="1" applyBorder="1" applyAlignment="1" applyProtection="1">
      <alignment horizontal="center" vertical="center"/>
      <protection locked="0"/>
    </xf>
    <xf numFmtId="0" fontId="2" fillId="3" borderId="12" xfId="0" applyNumberFormat="1" applyFont="1" applyFill="1" applyBorder="1" applyAlignment="1" applyProtection="1">
      <alignment horizontal="center" vertical="center"/>
      <protection locked="0"/>
    </xf>
    <xf numFmtId="0" fontId="2" fillId="3" borderId="16" xfId="0" applyNumberFormat="1" applyFont="1" applyFill="1" applyBorder="1" applyAlignment="1" applyProtection="1">
      <alignment horizontal="center" vertical="center"/>
      <protection locked="0"/>
    </xf>
    <xf numFmtId="0" fontId="2" fillId="0" borderId="18" xfId="0" applyFont="1" applyFill="1" applyBorder="1" applyAlignment="1" applyProtection="1"/>
    <xf numFmtId="0" fontId="24" fillId="0" borderId="34" xfId="0" applyFont="1" applyBorder="1" applyAlignment="1" applyProtection="1">
      <alignment vertical="center"/>
    </xf>
    <xf numFmtId="0" fontId="0" fillId="0" borderId="16" xfId="0" applyFont="1" applyBorder="1" applyAlignment="1" applyProtection="1">
      <alignment horizontal="center" vertical="center"/>
      <protection locked="0"/>
    </xf>
    <xf numFmtId="0" fontId="2" fillId="0" borderId="19" xfId="0" applyFont="1" applyBorder="1" applyAlignment="1" applyProtection="1">
      <alignment horizontal="center" vertical="center"/>
    </xf>
    <xf numFmtId="0" fontId="0" fillId="0" borderId="20" xfId="0" applyFont="1" applyBorder="1" applyAlignment="1" applyProtection="1">
      <alignment horizontal="center" vertical="center"/>
    </xf>
    <xf numFmtId="0" fontId="0" fillId="0" borderId="93" xfId="0" applyFont="1" applyBorder="1" applyAlignment="1" applyProtection="1">
      <alignment horizontal="center" vertical="center"/>
    </xf>
    <xf numFmtId="0" fontId="8" fillId="0" borderId="88" xfId="0" applyNumberFormat="1" applyFont="1" applyFill="1" applyBorder="1" applyAlignment="1" applyProtection="1">
      <alignment wrapText="1"/>
    </xf>
    <xf numFmtId="10" fontId="9" fillId="3" borderId="16"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wrapText="1"/>
    </xf>
    <xf numFmtId="0" fontId="0" fillId="0" borderId="0" xfId="0" applyAlignment="1" applyProtection="1">
      <alignment wrapText="1"/>
    </xf>
    <xf numFmtId="0" fontId="2" fillId="0" borderId="2" xfId="0" applyNumberFormat="1" applyFont="1" applyFill="1" applyBorder="1" applyAlignment="1" applyProtection="1"/>
    <xf numFmtId="0" fontId="2" fillId="0" borderId="3" xfId="0" applyNumberFormat="1" applyFont="1" applyFill="1" applyBorder="1" applyAlignment="1" applyProtection="1"/>
    <xf numFmtId="0" fontId="0" fillId="0" borderId="3" xfId="0" applyFont="1" applyBorder="1" applyAlignment="1" applyProtection="1"/>
    <xf numFmtId="0" fontId="0" fillId="0" borderId="48" xfId="0" applyFont="1" applyBorder="1" applyAlignment="1" applyProtection="1"/>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2" fillId="0" borderId="0" xfId="0" applyFont="1" applyBorder="1" applyAlignment="1" applyProtection="1">
      <alignment vertical="center"/>
    </xf>
    <xf numFmtId="0" fontId="24" fillId="0" borderId="0" xfId="0" applyFont="1" applyBorder="1" applyAlignment="1" applyProtection="1">
      <alignment vertical="center"/>
    </xf>
    <xf numFmtId="0" fontId="2" fillId="0" borderId="89" xfId="0" applyFont="1" applyBorder="1" applyAlignment="1" applyProtection="1">
      <alignment vertical="center"/>
    </xf>
    <xf numFmtId="0" fontId="9" fillId="0" borderId="90" xfId="0" applyFont="1" applyBorder="1" applyAlignment="1" applyProtection="1">
      <alignment vertical="center"/>
    </xf>
    <xf numFmtId="0" fontId="9" fillId="0" borderId="20" xfId="0" applyFont="1" applyBorder="1" applyAlignment="1" applyProtection="1">
      <alignment horizontal="center" vertical="center"/>
    </xf>
    <xf numFmtId="0" fontId="9" fillId="0" borderId="91" xfId="0" applyFont="1" applyBorder="1" applyAlignment="1" applyProtection="1">
      <alignment horizontal="center" vertical="center"/>
    </xf>
    <xf numFmtId="0" fontId="19" fillId="0" borderId="92" xfId="0" applyFont="1" applyBorder="1" applyAlignment="1" applyProtection="1">
      <alignment horizontal="center" vertical="center"/>
    </xf>
    <xf numFmtId="0" fontId="2" fillId="0" borderId="93" xfId="0" applyFont="1" applyBorder="1" applyAlignment="1" applyProtection="1">
      <alignment horizontal="center" vertical="center"/>
    </xf>
    <xf numFmtId="0" fontId="2" fillId="0" borderId="89" xfId="0" applyFont="1" applyFill="1" applyBorder="1" applyAlignment="1" applyProtection="1"/>
    <xf numFmtId="0" fontId="2" fillId="0" borderId="94" xfId="0" applyFont="1" applyFill="1" applyBorder="1" applyAlignment="1" applyProtection="1"/>
    <xf numFmtId="0" fontId="9" fillId="0" borderId="5" xfId="0" applyFont="1" applyBorder="1" applyAlignment="1" applyProtection="1"/>
    <xf numFmtId="0" fontId="9" fillId="0" borderId="6" xfId="0" applyFont="1" applyBorder="1" applyAlignment="1" applyProtection="1"/>
    <xf numFmtId="0" fontId="9" fillId="0" borderId="52" xfId="0" applyFont="1" applyBorder="1" applyAlignment="1" applyProtection="1"/>
    <xf numFmtId="0" fontId="9" fillId="0" borderId="51" xfId="0" applyFont="1" applyBorder="1" applyAlignment="1" applyProtection="1"/>
    <xf numFmtId="0" fontId="11" fillId="0" borderId="2" xfId="0" applyFont="1" applyFill="1" applyBorder="1" applyAlignment="1" applyProtection="1">
      <alignment vertical="center" wrapText="1"/>
    </xf>
    <xf numFmtId="0" fontId="12" fillId="0" borderId="3" xfId="0" applyFont="1" applyBorder="1" applyAlignment="1" applyProtection="1">
      <alignment vertical="center" wrapText="1"/>
    </xf>
    <xf numFmtId="0" fontId="24" fillId="0" borderId="48" xfId="0" applyFont="1" applyBorder="1" applyAlignment="1" applyProtection="1">
      <alignment vertical="center" wrapText="1"/>
    </xf>
    <xf numFmtId="0" fontId="19" fillId="0" borderId="47" xfId="0" applyFont="1" applyBorder="1" applyAlignment="1" applyProtection="1">
      <alignment horizontal="center"/>
    </xf>
    <xf numFmtId="0" fontId="2" fillId="0" borderId="3" xfId="0" applyFont="1" applyBorder="1" applyAlignment="1" applyProtection="1">
      <alignment horizontal="center"/>
    </xf>
    <xf numFmtId="0" fontId="2" fillId="0" borderId="50" xfId="0" applyFont="1" applyBorder="1" applyAlignment="1" applyProtection="1">
      <alignment horizontal="center"/>
    </xf>
    <xf numFmtId="0" fontId="2" fillId="0" borderId="0" xfId="0" applyNumberFormat="1" applyFont="1" applyFill="1" applyBorder="1" applyAlignment="1" applyProtection="1"/>
    <xf numFmtId="0" fontId="9" fillId="0" borderId="0" xfId="0" applyNumberFormat="1" applyFont="1" applyBorder="1" applyAlignment="1" applyProtection="1"/>
    <xf numFmtId="0" fontId="9" fillId="0" borderId="18" xfId="0" applyFont="1" applyFill="1" applyBorder="1" applyAlignment="1" applyProtection="1">
      <alignment wrapText="1"/>
    </xf>
    <xf numFmtId="0" fontId="9" fillId="0" borderId="0" xfId="0" applyFont="1" applyBorder="1" applyAlignment="1" applyProtection="1">
      <alignment wrapText="1"/>
    </xf>
    <xf numFmtId="0" fontId="0" fillId="0" borderId="0" xfId="0" applyFont="1" applyBorder="1" applyAlignment="1" applyProtection="1">
      <alignment wrapText="1"/>
    </xf>
    <xf numFmtId="0" fontId="0" fillId="0" borderId="29" xfId="0" applyFont="1" applyBorder="1" applyAlignment="1" applyProtection="1">
      <alignment wrapText="1"/>
    </xf>
    <xf numFmtId="0" fontId="19" fillId="0" borderId="3" xfId="0" applyFont="1" applyBorder="1" applyAlignment="1" applyProtection="1">
      <alignment horizontal="center"/>
    </xf>
    <xf numFmtId="0" fontId="19" fillId="0" borderId="50" xfId="0" applyFont="1" applyBorder="1" applyAlignment="1" applyProtection="1">
      <alignment horizontal="center"/>
    </xf>
    <xf numFmtId="0" fontId="3" fillId="0" borderId="68" xfId="0" applyFont="1" applyFill="1" applyBorder="1" applyAlignment="1" applyProtection="1">
      <alignment wrapText="1"/>
    </xf>
    <xf numFmtId="0" fontId="6" fillId="0" borderId="26" xfId="0" applyFont="1" applyBorder="1" applyAlignment="1" applyProtection="1">
      <alignment wrapText="1"/>
    </xf>
    <xf numFmtId="0" fontId="6" fillId="0" borderId="34" xfId="0" applyFont="1" applyBorder="1" applyAlignment="1" applyProtection="1">
      <alignment wrapText="1"/>
    </xf>
    <xf numFmtId="0" fontId="2" fillId="0" borderId="19" xfId="0" applyFont="1" applyFill="1" applyBorder="1" applyAlignment="1" applyProtection="1"/>
    <xf numFmtId="0" fontId="2" fillId="0" borderId="93" xfId="0" applyFont="1" applyBorder="1" applyAlignment="1" applyProtection="1"/>
    <xf numFmtId="0" fontId="2" fillId="0" borderId="92" xfId="0" applyFont="1" applyBorder="1" applyAlignment="1" applyProtection="1">
      <alignment horizontal="center"/>
    </xf>
    <xf numFmtId="0" fontId="9" fillId="0" borderId="20" xfId="0" applyFont="1" applyBorder="1" applyAlignment="1" applyProtection="1">
      <alignment horizontal="center"/>
    </xf>
    <xf numFmtId="0" fontId="9" fillId="0" borderId="91" xfId="0" applyFont="1" applyBorder="1" applyAlignment="1" applyProtection="1">
      <alignment horizontal="center"/>
    </xf>
    <xf numFmtId="0" fontId="2" fillId="0" borderId="20" xfId="0" applyFont="1" applyBorder="1" applyAlignment="1" applyProtection="1">
      <alignment horizontal="center"/>
    </xf>
    <xf numFmtId="0" fontId="2" fillId="0" borderId="93" xfId="0" applyFont="1" applyBorder="1" applyAlignment="1" applyProtection="1">
      <alignment horizontal="center"/>
    </xf>
    <xf numFmtId="0" fontId="2" fillId="0" borderId="2" xfId="0" applyFont="1" applyFill="1" applyBorder="1" applyAlignment="1" applyProtection="1"/>
    <xf numFmtId="0" fontId="2" fillId="0" borderId="50" xfId="0" applyFont="1" applyBorder="1" applyAlignment="1" applyProtection="1"/>
    <xf numFmtId="0" fontId="2" fillId="0" borderId="68" xfId="0" applyFont="1" applyFill="1" applyBorder="1" applyAlignment="1" applyProtection="1">
      <alignment wrapText="1"/>
    </xf>
    <xf numFmtId="0" fontId="0" fillId="0" borderId="34" xfId="0" applyFont="1" applyFill="1" applyBorder="1" applyAlignment="1" applyProtection="1"/>
    <xf numFmtId="0" fontId="20" fillId="0" borderId="68" xfId="0" applyNumberFormat="1" applyFont="1" applyFill="1" applyBorder="1" applyAlignment="1" applyProtection="1">
      <alignment vertical="center" wrapText="1"/>
    </xf>
    <xf numFmtId="0" fontId="20" fillId="0" borderId="26" xfId="0" applyFont="1" applyBorder="1" applyAlignment="1" applyProtection="1">
      <alignment vertical="center" wrapText="1"/>
    </xf>
    <xf numFmtId="0" fontId="21" fillId="0" borderId="26" xfId="0" applyFont="1" applyBorder="1" applyAlignment="1" applyProtection="1">
      <alignment wrapText="1"/>
    </xf>
    <xf numFmtId="0" fontId="21" fillId="0" borderId="34" xfId="0" applyFont="1" applyBorder="1" applyAlignment="1" applyProtection="1">
      <alignment wrapText="1"/>
    </xf>
    <xf numFmtId="0" fontId="9" fillId="0" borderId="50" xfId="0" applyFont="1" applyBorder="1" applyAlignment="1" applyProtection="1"/>
    <xf numFmtId="0" fontId="0" fillId="0" borderId="34" xfId="0" applyFont="1" applyFill="1" applyBorder="1" applyAlignment="1" applyProtection="1">
      <alignment wrapText="1"/>
    </xf>
    <xf numFmtId="0" fontId="0" fillId="6" borderId="30" xfId="0" applyNumberFormat="1" applyFont="1" applyFill="1" applyBorder="1" applyAlignment="1" applyProtection="1">
      <alignment wrapText="1"/>
    </xf>
    <xf numFmtId="0" fontId="0" fillId="0" borderId="0" xfId="0" applyFont="1" applyAlignment="1" applyProtection="1">
      <alignment wrapText="1"/>
    </xf>
    <xf numFmtId="0" fontId="0" fillId="0" borderId="1" xfId="0" applyFont="1" applyBorder="1" applyAlignment="1" applyProtection="1">
      <alignment wrapText="1"/>
    </xf>
    <xf numFmtId="0" fontId="0" fillId="0" borderId="102" xfId="0" applyFont="1" applyBorder="1" applyAlignment="1" applyProtection="1">
      <alignment wrapText="1"/>
    </xf>
    <xf numFmtId="0" fontId="0" fillId="0" borderId="103" xfId="0" applyFont="1" applyBorder="1" applyAlignment="1" applyProtection="1">
      <alignment wrapText="1"/>
    </xf>
    <xf numFmtId="0" fontId="0" fillId="0" borderId="104" xfId="0" applyFont="1" applyBorder="1" applyAlignment="1" applyProtection="1">
      <alignment wrapText="1"/>
    </xf>
    <xf numFmtId="0" fontId="2" fillId="0" borderId="11" xfId="0" applyFont="1" applyFill="1" applyBorder="1" applyAlignment="1" applyProtection="1">
      <alignment wrapText="1"/>
    </xf>
    <xf numFmtId="0" fontId="0" fillId="0" borderId="12" xfId="0" applyFont="1" applyFill="1" applyBorder="1" applyAlignment="1" applyProtection="1"/>
    <xf numFmtId="0" fontId="0" fillId="0" borderId="12" xfId="0" applyFont="1" applyFill="1" applyBorder="1" applyAlignment="1" applyProtection="1">
      <alignment wrapText="1"/>
    </xf>
    <xf numFmtId="0" fontId="2" fillId="0" borderId="19" xfId="0" applyFont="1" applyBorder="1" applyAlignment="1" applyProtection="1">
      <alignment vertical="center" wrapText="1"/>
    </xf>
    <xf numFmtId="0" fontId="9" fillId="0" borderId="93" xfId="0" applyFont="1" applyBorder="1" applyAlignment="1" applyProtection="1">
      <alignment vertical="center"/>
    </xf>
    <xf numFmtId="0" fontId="0" fillId="0" borderId="0" xfId="0" applyNumberFormat="1" applyFont="1" applyFill="1" applyBorder="1" applyAlignment="1" applyProtection="1"/>
    <xf numFmtId="0" fontId="0" fillId="0" borderId="0" xfId="0" applyBorder="1" applyAlignment="1" applyProtection="1"/>
    <xf numFmtId="0" fontId="2" fillId="0" borderId="3" xfId="0" applyFont="1" applyBorder="1" applyAlignment="1" applyProtection="1">
      <alignment wrapText="1"/>
    </xf>
    <xf numFmtId="0" fontId="9" fillId="0" borderId="3" xfId="0" applyFont="1" applyBorder="1" applyAlignment="1" applyProtection="1"/>
    <xf numFmtId="0" fontId="2" fillId="0" borderId="94" xfId="0" applyFont="1" applyBorder="1" applyAlignment="1" applyProtection="1"/>
    <xf numFmtId="0" fontId="9" fillId="0" borderId="90" xfId="0" applyFont="1" applyBorder="1" applyAlignment="1" applyProtection="1"/>
    <xf numFmtId="0" fontId="9" fillId="0" borderId="5" xfId="0" applyFont="1" applyFill="1" applyBorder="1" applyAlignment="1" applyProtection="1">
      <alignment vertical="center" wrapText="1"/>
    </xf>
    <xf numFmtId="0" fontId="0" fillId="0" borderId="7" xfId="0" applyFont="1" applyFill="1" applyBorder="1" applyAlignment="1" applyProtection="1">
      <alignment vertical="center" wrapText="1"/>
    </xf>
    <xf numFmtId="0" fontId="9" fillId="0" borderId="18" xfId="0" applyFont="1" applyFill="1" applyBorder="1" applyAlignment="1" applyProtection="1">
      <alignment vertical="center" wrapText="1"/>
    </xf>
    <xf numFmtId="0" fontId="0" fillId="0" borderId="1" xfId="0" applyFont="1" applyFill="1" applyBorder="1" applyAlignment="1" applyProtection="1">
      <alignment vertical="center" wrapText="1"/>
    </xf>
    <xf numFmtId="0" fontId="8" fillId="0" borderId="18" xfId="0" applyNumberFormat="1" applyFont="1" applyFill="1" applyBorder="1" applyAlignment="1" applyProtection="1">
      <alignment wrapText="1"/>
    </xf>
    <xf numFmtId="0" fontId="8" fillId="0" borderId="0" xfId="0" applyFont="1" applyBorder="1" applyAlignment="1" applyProtection="1">
      <alignment wrapText="1"/>
    </xf>
    <xf numFmtId="0" fontId="8" fillId="0" borderId="1" xfId="0" applyFont="1" applyBorder="1" applyAlignment="1" applyProtection="1">
      <alignment wrapText="1"/>
    </xf>
    <xf numFmtId="0" fontId="0" fillId="0" borderId="18" xfId="0" applyFont="1" applyFill="1" applyBorder="1" applyAlignment="1" applyProtection="1"/>
    <xf numFmtId="0" fontId="0" fillId="0" borderId="0" xfId="0" applyFont="1" applyFill="1" applyBorder="1" applyAlignment="1" applyProtection="1"/>
    <xf numFmtId="0" fontId="2" fillId="0" borderId="133" xfId="0" applyFont="1" applyFill="1" applyBorder="1" applyAlignment="1" applyProtection="1">
      <alignment wrapText="1"/>
    </xf>
    <xf numFmtId="0" fontId="0" fillId="0" borderId="135" xfId="0" applyFont="1" applyFill="1" applyBorder="1" applyAlignment="1" applyProtection="1">
      <alignment wrapText="1"/>
    </xf>
    <xf numFmtId="0" fontId="0" fillId="0" borderId="0" xfId="0" applyAlignment="1" applyProtection="1"/>
    <xf numFmtId="0" fontId="0" fillId="0" borderId="22" xfId="0" applyNumberFormat="1" applyFont="1" applyFill="1" applyBorder="1" applyAlignment="1" applyProtection="1"/>
    <xf numFmtId="0" fontId="0" fillId="0" borderId="22" xfId="0" applyBorder="1" applyAlignment="1" applyProtection="1"/>
    <xf numFmtId="0" fontId="0" fillId="0" borderId="22" xfId="0" applyNumberFormat="1" applyFont="1" applyFill="1" applyBorder="1" applyAlignment="1" applyProtection="1">
      <alignment wrapText="1"/>
    </xf>
    <xf numFmtId="0" fontId="0" fillId="0" borderId="22" xfId="0" applyBorder="1" applyAlignment="1" applyProtection="1">
      <alignment wrapText="1"/>
    </xf>
    <xf numFmtId="0" fontId="0" fillId="0" borderId="0" xfId="0" applyNumberFormat="1" applyFont="1" applyFill="1" applyBorder="1" applyAlignment="1" applyProtection="1">
      <alignment wrapText="1"/>
    </xf>
    <xf numFmtId="0" fontId="0" fillId="0" borderId="0" xfId="0" applyBorder="1" applyAlignment="1" applyProtection="1">
      <alignment wrapText="1"/>
    </xf>
    <xf numFmtId="0" fontId="0" fillId="0" borderId="0" xfId="0" applyAlignment="1"/>
    <xf numFmtId="0" fontId="39" fillId="0" borderId="0" xfId="0" applyNumberFormat="1" applyFont="1" applyFill="1" applyBorder="1" applyAlignment="1" applyProtection="1">
      <alignment horizontal="center"/>
    </xf>
    <xf numFmtId="0" fontId="39" fillId="0" borderId="0" xfId="0" applyFont="1" applyAlignment="1">
      <alignment horizontal="center"/>
    </xf>
    <xf numFmtId="0" fontId="39" fillId="0" borderId="1" xfId="0" applyFont="1" applyBorder="1" applyAlignment="1">
      <alignment horizontal="center"/>
    </xf>
    <xf numFmtId="49" fontId="2" fillId="0" borderId="1" xfId="0" applyNumberFormat="1" applyFont="1" applyFill="1" applyBorder="1" applyAlignment="1" applyProtection="1">
      <alignment horizontal="center" vertical="center" wrapText="1"/>
      <protection locked="0"/>
    </xf>
    <xf numFmtId="49" fontId="2" fillId="0" borderId="34"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wrapText="1"/>
      <protection locked="0"/>
    </xf>
    <xf numFmtId="0" fontId="3" fillId="0" borderId="3" xfId="0" applyFont="1" applyFill="1" applyBorder="1" applyAlignment="1" applyProtection="1">
      <alignment wrapText="1"/>
      <protection locked="0"/>
    </xf>
    <xf numFmtId="0" fontId="2" fillId="0" borderId="4" xfId="0" applyFont="1" applyBorder="1" applyAlignment="1">
      <alignment horizontal="center" vertical="center"/>
    </xf>
    <xf numFmtId="0" fontId="2" fillId="0" borderId="9" xfId="0" applyFont="1" applyBorder="1" applyAlignment="1">
      <alignment horizontal="center" vertical="center"/>
    </xf>
    <xf numFmtId="0" fontId="2" fillId="0" borderId="15" xfId="0" applyFont="1" applyBorder="1" applyAlignment="1">
      <alignment horizontal="center" vertical="center"/>
    </xf>
    <xf numFmtId="0" fontId="7" fillId="0" borderId="4"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5"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wrapText="1"/>
    </xf>
    <xf numFmtId="0" fontId="2" fillId="0" borderId="8" xfId="0" applyFont="1" applyBorder="1" applyAlignment="1">
      <alignment horizontal="center" vertical="center"/>
    </xf>
    <xf numFmtId="0" fontId="2" fillId="0" borderId="18" xfId="0" applyFont="1" applyBorder="1" applyAlignment="1">
      <alignment horizontal="center"/>
    </xf>
    <xf numFmtId="0" fontId="2" fillId="0" borderId="0" xfId="0" applyFont="1" applyBorder="1" applyAlignment="1">
      <alignment horizontal="center"/>
    </xf>
    <xf numFmtId="0" fontId="2" fillId="0" borderId="24" xfId="0" applyFont="1" applyBorder="1" applyAlignment="1">
      <alignment horizontal="center"/>
    </xf>
    <xf numFmtId="0" fontId="0" fillId="0" borderId="10" xfId="0" applyNumberFormat="1" applyFont="1" applyBorder="1" applyAlignment="1">
      <alignment horizontal="center" vertical="center" wrapText="1"/>
    </xf>
    <xf numFmtId="0" fontId="0" fillId="0" borderId="15" xfId="0"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12" xfId="0"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17" xfId="0" applyNumberFormat="1" applyFont="1" applyBorder="1" applyAlignment="1">
      <alignment horizontal="center" vertical="center" wrapText="1"/>
    </xf>
    <xf numFmtId="0" fontId="26"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28" fillId="0" borderId="16" xfId="0" applyFont="1" applyBorder="1" applyAlignment="1">
      <alignment horizontal="center" vertical="center" wrapText="1"/>
    </xf>
    <xf numFmtId="0" fontId="28" fillId="0" borderId="16" xfId="0" applyFont="1" applyBorder="1" applyAlignment="1">
      <alignment vertical="center"/>
    </xf>
    <xf numFmtId="0" fontId="28" fillId="0" borderId="16" xfId="0" applyFont="1" applyBorder="1" applyAlignment="1">
      <alignment horizontal="center"/>
    </xf>
    <xf numFmtId="0" fontId="28" fillId="0" borderId="130" xfId="0" applyFont="1" applyBorder="1" applyAlignment="1">
      <alignment horizontal="right"/>
    </xf>
    <xf numFmtId="0" fontId="28" fillId="0" borderId="132" xfId="0" applyFont="1" applyBorder="1" applyAlignment="1">
      <alignment horizontal="right"/>
    </xf>
    <xf numFmtId="0" fontId="11" fillId="0" borderId="68" xfId="0" applyFont="1" applyFill="1" applyBorder="1" applyAlignment="1" applyProtection="1">
      <protection locked="0"/>
    </xf>
    <xf numFmtId="0" fontId="12" fillId="0" borderId="26" xfId="0" applyFont="1" applyBorder="1" applyAlignment="1" applyProtection="1">
      <protection locked="0"/>
    </xf>
    <xf numFmtId="0" fontId="12" fillId="0" borderId="32" xfId="0" applyFont="1" applyBorder="1" applyAlignment="1" applyProtection="1">
      <protection locked="0"/>
    </xf>
    <xf numFmtId="0" fontId="3" fillId="0" borderId="31" xfId="0" applyFont="1" applyBorder="1" applyAlignment="1">
      <alignment horizontal="center" vertical="center"/>
    </xf>
    <xf numFmtId="0" fontId="3" fillId="0" borderId="26" xfId="0" applyFont="1" applyBorder="1" applyAlignment="1">
      <alignment horizontal="center" vertical="center"/>
    </xf>
    <xf numFmtId="0" fontId="3" fillId="0" borderId="32" xfId="0" applyFont="1" applyBorder="1" applyAlignment="1">
      <alignment horizontal="center" vertical="center"/>
    </xf>
    <xf numFmtId="0" fontId="2" fillId="0" borderId="68" xfId="0" applyFont="1" applyFill="1" applyBorder="1" applyAlignment="1" applyProtection="1">
      <protection locked="0"/>
    </xf>
    <xf numFmtId="0" fontId="9" fillId="0" borderId="26" xfId="0" applyFont="1" applyBorder="1" applyAlignment="1" applyProtection="1">
      <protection locked="0"/>
    </xf>
    <xf numFmtId="0" fontId="9" fillId="0" borderId="32" xfId="0" applyFont="1" applyBorder="1" applyAlignment="1" applyProtection="1">
      <protection locked="0"/>
    </xf>
    <xf numFmtId="0" fontId="6" fillId="0" borderId="0" xfId="0" applyFont="1" applyBorder="1" applyAlignment="1" applyProtection="1">
      <alignment horizontal="left" vertical="center"/>
      <protection locked="0"/>
    </xf>
    <xf numFmtId="0" fontId="30" fillId="0" borderId="0" xfId="0" applyFont="1" applyBorder="1" applyAlignment="1" applyProtection="1">
      <alignment vertical="center"/>
      <protection locked="0"/>
    </xf>
    <xf numFmtId="0" fontId="30" fillId="0" borderId="24" xfId="0" applyFont="1" applyBorder="1" applyAlignment="1" applyProtection="1">
      <alignment vertical="center"/>
      <protection locked="0"/>
    </xf>
    <xf numFmtId="0" fontId="6" fillId="0" borderId="26" xfId="0" applyFont="1" applyBorder="1" applyAlignment="1">
      <alignment horizontal="center" vertical="center"/>
    </xf>
    <xf numFmtId="0" fontId="30" fillId="0" borderId="26" xfId="0" applyFont="1" applyBorder="1" applyAlignment="1">
      <alignment horizontal="center" vertical="center"/>
    </xf>
    <xf numFmtId="0" fontId="30" fillId="0" borderId="32" xfId="0" applyFont="1" applyBorder="1" applyAlignment="1">
      <alignment horizontal="center" vertical="center"/>
    </xf>
    <xf numFmtId="0" fontId="3" fillId="0" borderId="31" xfId="0" applyNumberFormat="1" applyFont="1" applyBorder="1" applyAlignment="1">
      <alignment horizontal="center" vertical="center"/>
    </xf>
    <xf numFmtId="0" fontId="3" fillId="0" borderId="26" xfId="0" applyNumberFormat="1" applyFont="1" applyBorder="1" applyAlignment="1">
      <alignment horizontal="center" vertical="center"/>
    </xf>
    <xf numFmtId="0" fontId="3" fillId="0" borderId="32" xfId="0" applyNumberFormat="1" applyFont="1" applyBorder="1" applyAlignment="1">
      <alignment horizontal="center" vertical="center"/>
    </xf>
    <xf numFmtId="0" fontId="2" fillId="0" borderId="12"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0" fillId="0" borderId="149"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0" fillId="0" borderId="114" xfId="0" applyFont="1" applyBorder="1" applyAlignment="1" applyProtection="1">
      <alignment horizontal="center" vertical="center"/>
      <protection locked="0"/>
    </xf>
    <xf numFmtId="0" fontId="2" fillId="0" borderId="16"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4" xfId="0" applyFont="1" applyBorder="1" applyAlignment="1">
      <alignment horizontal="center" vertical="center" wrapText="1"/>
    </xf>
    <xf numFmtId="0" fontId="2" fillId="0" borderId="25" xfId="0" applyFont="1" applyBorder="1" applyAlignment="1">
      <alignment horizontal="center" vertical="center" wrapText="1"/>
    </xf>
    <xf numFmtId="0" fontId="0" fillId="0" borderId="25" xfId="0" applyFont="1" applyBorder="1" applyAlignment="1">
      <alignment horizontal="center" vertical="center" wrapText="1"/>
    </xf>
    <xf numFmtId="0" fontId="2" fillId="0" borderId="26" xfId="0" applyFont="1" applyBorder="1" applyAlignment="1">
      <alignment horizontal="center" vertical="center"/>
    </xf>
    <xf numFmtId="0" fontId="0" fillId="0" borderId="37" xfId="0" applyFont="1" applyBorder="1" applyAlignment="1">
      <alignment horizontal="center" vertical="center"/>
    </xf>
    <xf numFmtId="0" fontId="0" fillId="0" borderId="38" xfId="0" applyFont="1" applyBorder="1" applyAlignment="1">
      <alignment horizontal="center" vertical="center"/>
    </xf>
    <xf numFmtId="0" fontId="2" fillId="0" borderId="37" xfId="0" applyFont="1" applyBorder="1" applyAlignment="1">
      <alignment horizontal="center" vertical="center"/>
    </xf>
    <xf numFmtId="0" fontId="2" fillId="0" borderId="1" xfId="0" applyFont="1" applyBorder="1" applyAlignment="1">
      <alignment horizontal="center" vertical="center" wrapText="1"/>
    </xf>
    <xf numFmtId="0" fontId="2" fillId="0" borderId="10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16" xfId="0" applyFont="1" applyBorder="1" applyAlignment="1">
      <alignment horizontal="center" vertical="center"/>
    </xf>
    <xf numFmtId="0" fontId="2" fillId="0" borderId="25" xfId="0" applyFont="1" applyBorder="1" applyAlignment="1">
      <alignment horizontal="center" vertical="center"/>
    </xf>
    <xf numFmtId="0" fontId="3" fillId="0" borderId="11"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12"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32" xfId="0" applyFont="1" applyBorder="1" applyAlignment="1">
      <alignment horizontal="center" vertical="center" wrapText="1"/>
    </xf>
    <xf numFmtId="0" fontId="9" fillId="0" borderId="10" xfId="0" applyFont="1" applyFill="1" applyBorder="1" applyAlignment="1" applyProtection="1">
      <alignment horizontal="center" vertical="center" wrapText="1"/>
      <protection locked="0"/>
    </xf>
    <xf numFmtId="0" fontId="9" fillId="0" borderId="15"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textRotation="90" wrapText="1"/>
      <protection locked="0"/>
    </xf>
    <xf numFmtId="0" fontId="9" fillId="0" borderId="15" xfId="0" applyFont="1" applyFill="1" applyBorder="1" applyAlignment="1" applyProtection="1">
      <alignment horizontal="center" textRotation="90" wrapText="1"/>
      <protection locked="0"/>
    </xf>
    <xf numFmtId="0" fontId="9" fillId="0" borderId="39" xfId="0" applyNumberFormat="1" applyFont="1" applyFill="1" applyBorder="1" applyAlignment="1" applyProtection="1">
      <alignment horizontal="center" wrapText="1"/>
      <protection locked="0"/>
    </xf>
    <xf numFmtId="0" fontId="9" fillId="0" borderId="42" xfId="0" applyNumberFormat="1" applyFont="1" applyFill="1" applyBorder="1" applyAlignment="1" applyProtection="1">
      <alignment horizontal="center" wrapText="1"/>
      <protection locked="0"/>
    </xf>
    <xf numFmtId="0" fontId="8" fillId="0" borderId="13"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0" fontId="6" fillId="0" borderId="0" xfId="0" applyFont="1" applyBorder="1" applyAlignment="1" applyProtection="1">
      <alignment vertical="center" wrapText="1"/>
      <protection locked="0"/>
    </xf>
    <xf numFmtId="0" fontId="6" fillId="0" borderId="29" xfId="0" applyFont="1" applyBorder="1" applyAlignment="1" applyProtection="1">
      <alignment vertical="center" wrapText="1"/>
      <protection locked="0"/>
    </xf>
    <xf numFmtId="0" fontId="9" fillId="0" borderId="29" xfId="0" applyNumberFormat="1" applyFont="1" applyFill="1" applyBorder="1" applyAlignment="1" applyProtection="1">
      <alignment horizontal="center" vertical="center" wrapText="1"/>
    </xf>
    <xf numFmtId="0" fontId="9" fillId="0" borderId="43" xfId="0" applyNumberFormat="1" applyFont="1" applyFill="1" applyBorder="1" applyAlignment="1" applyProtection="1">
      <alignment horizontal="center" vertical="center" wrapText="1"/>
    </xf>
    <xf numFmtId="0" fontId="3" fillId="0" borderId="30"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32" xfId="0" applyFont="1" applyBorder="1" applyAlignment="1">
      <alignment horizontal="center" vertical="center" wrapText="1"/>
    </xf>
    <xf numFmtId="0" fontId="11" fillId="0" borderId="26" xfId="0" applyFont="1" applyBorder="1" applyAlignment="1">
      <alignment vertical="center" wrapText="1"/>
    </xf>
    <xf numFmtId="0" fontId="11" fillId="0" borderId="43" xfId="0" applyFont="1" applyBorder="1" applyAlignment="1">
      <alignment vertical="center" wrapText="1"/>
    </xf>
    <xf numFmtId="0" fontId="0" fillId="0" borderId="30" xfId="0" applyFont="1" applyBorder="1" applyAlignment="1" applyProtection="1">
      <alignment horizontal="center" vertical="center" textRotation="90" wrapText="1"/>
      <protection locked="0"/>
    </xf>
    <xf numFmtId="0" fontId="0" fillId="0" borderId="31" xfId="0" applyFont="1" applyBorder="1" applyAlignment="1" applyProtection="1">
      <alignment horizontal="center" vertical="center" textRotation="90" wrapText="1"/>
      <protection locked="0"/>
    </xf>
    <xf numFmtId="0" fontId="0" fillId="0" borderId="29" xfId="0" applyFont="1" applyBorder="1" applyAlignment="1" applyProtection="1">
      <alignment horizontal="center" vertical="center" textRotation="90" wrapText="1"/>
      <protection locked="0"/>
    </xf>
    <xf numFmtId="0" fontId="0" fillId="0" borderId="43" xfId="0" applyFont="1" applyBorder="1" applyAlignment="1" applyProtection="1">
      <alignment horizontal="center" vertical="center" textRotation="90" wrapText="1"/>
      <protection locked="0"/>
    </xf>
    <xf numFmtId="0" fontId="8" fillId="0" borderId="35"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0"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3" fillId="0" borderId="16"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1"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5"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68" xfId="0" applyFont="1" applyBorder="1" applyAlignment="1">
      <alignment horizontal="center" vertical="center" wrapText="1"/>
    </xf>
    <xf numFmtId="0" fontId="11" fillId="0" borderId="34" xfId="0" applyFont="1" applyBorder="1" applyAlignment="1">
      <alignment vertical="center" wrapText="1"/>
    </xf>
    <xf numFmtId="0" fontId="8" fillId="0" borderId="44" xfId="0" applyFont="1" applyBorder="1" applyAlignment="1" applyProtection="1">
      <alignment horizontal="center" vertical="center" textRotation="90" wrapText="1"/>
      <protection locked="0"/>
    </xf>
    <xf numFmtId="0" fontId="0" fillId="0" borderId="44" xfId="0" applyFont="1" applyBorder="1" applyAlignment="1">
      <alignment horizontal="center" vertical="center" wrapText="1"/>
    </xf>
    <xf numFmtId="0" fontId="8" fillId="0" borderId="45" xfId="0" applyFont="1" applyBorder="1" applyAlignment="1" applyProtection="1">
      <alignment horizontal="center" vertical="center" textRotation="90" wrapText="1"/>
      <protection locked="0"/>
    </xf>
    <xf numFmtId="0" fontId="0" fillId="0" borderId="45" xfId="0" applyFont="1" applyBorder="1" applyAlignment="1">
      <alignment horizontal="center" vertical="center" wrapText="1"/>
    </xf>
    <xf numFmtId="0" fontId="8" fillId="0" borderId="12" xfId="0" applyFont="1" applyBorder="1" applyAlignment="1">
      <alignment horizontal="center" vertical="center" wrapText="1"/>
    </xf>
    <xf numFmtId="0" fontId="9" fillId="0" borderId="16" xfId="0" applyFont="1" applyFill="1" applyBorder="1" applyAlignment="1" applyProtection="1">
      <alignment horizontal="center" vertical="center" wrapText="1"/>
      <protection locked="0"/>
    </xf>
    <xf numFmtId="0" fontId="8" fillId="0" borderId="16" xfId="0" applyFont="1" applyBorder="1" applyAlignment="1">
      <alignment horizontal="center" vertical="center" wrapText="1"/>
    </xf>
    <xf numFmtId="0" fontId="8" fillId="0" borderId="11" xfId="0" applyFont="1" applyFill="1" applyBorder="1" applyAlignment="1" applyProtection="1">
      <alignment horizontal="center" vertical="center" wrapText="1"/>
      <protection locked="0"/>
    </xf>
    <xf numFmtId="0" fontId="0" fillId="0" borderId="11" xfId="0" applyFont="1" applyBorder="1" applyAlignment="1">
      <alignment horizontal="center" vertical="center" wrapText="1"/>
    </xf>
    <xf numFmtId="0" fontId="9" fillId="0" borderId="16" xfId="0" applyFont="1" applyFill="1" applyBorder="1" applyAlignment="1" applyProtection="1">
      <alignment horizontal="center" textRotation="90" wrapText="1"/>
      <protection locked="0"/>
    </xf>
    <xf numFmtId="0" fontId="0" fillId="0" borderId="16" xfId="0" applyFont="1" applyFill="1" applyBorder="1" applyAlignment="1" applyProtection="1">
      <alignment horizontal="center" vertical="center" wrapText="1"/>
      <protection locked="0"/>
    </xf>
    <xf numFmtId="0" fontId="2" fillId="0" borderId="0" xfId="0" applyFont="1" applyAlignment="1" applyProtection="1">
      <protection locked="0"/>
    </xf>
    <xf numFmtId="0" fontId="0" fillId="0" borderId="0" xfId="0" applyFont="1" applyAlignment="1" applyProtection="1">
      <protection locked="0"/>
    </xf>
    <xf numFmtId="0" fontId="11" fillId="0" borderId="0"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0" xfId="0" applyFont="1" applyBorder="1" applyAlignment="1">
      <alignment horizontal="left" vertical="center"/>
    </xf>
    <xf numFmtId="0" fontId="9" fillId="0" borderId="51" xfId="0" applyFont="1" applyBorder="1" applyAlignment="1">
      <alignment horizontal="center" vertical="center"/>
    </xf>
    <xf numFmtId="0" fontId="9" fillId="0" borderId="1" xfId="0" applyFont="1" applyBorder="1" applyAlignment="1">
      <alignment horizontal="center" vertical="center"/>
    </xf>
    <xf numFmtId="0" fontId="9" fillId="0" borderId="34" xfId="0" applyFont="1" applyBorder="1" applyAlignment="1">
      <alignment vertical="center"/>
    </xf>
    <xf numFmtId="0" fontId="9" fillId="0" borderId="10" xfId="0" applyFont="1" applyBorder="1" applyAlignment="1">
      <alignment horizontal="center" vertical="center"/>
    </xf>
    <xf numFmtId="0" fontId="9" fillId="0" borderId="9" xfId="0" applyFont="1" applyBorder="1" applyAlignment="1">
      <alignment horizontal="center" vertical="center"/>
    </xf>
    <xf numFmtId="0" fontId="9" fillId="0" borderId="15" xfId="0" applyFont="1" applyBorder="1" applyAlignment="1">
      <alignment vertical="center"/>
    </xf>
    <xf numFmtId="0" fontId="9" fillId="0" borderId="12" xfId="0" applyFont="1" applyBorder="1" applyAlignment="1">
      <alignment horizontal="center" vertical="center" wrapText="1"/>
    </xf>
    <xf numFmtId="0" fontId="3" fillId="0" borderId="12"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3" fillId="0" borderId="25"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0" fontId="2" fillId="0" borderId="41" xfId="0" applyFont="1" applyBorder="1" applyAlignment="1" applyProtection="1">
      <alignment horizontal="center" vertical="center" wrapText="1"/>
    </xf>
    <xf numFmtId="0" fontId="9" fillId="0" borderId="37" xfId="0" applyNumberFormat="1" applyFont="1" applyBorder="1" applyAlignment="1">
      <alignment vertical="center"/>
    </xf>
    <xf numFmtId="0" fontId="0" fillId="0" borderId="37" xfId="0" applyNumberFormat="1" applyFont="1" applyBorder="1" applyAlignment="1">
      <alignment vertical="center"/>
    </xf>
    <xf numFmtId="0" fontId="0" fillId="0" borderId="38" xfId="0" applyNumberFormat="1" applyFont="1" applyBorder="1" applyAlignment="1">
      <alignment vertical="center"/>
    </xf>
    <xf numFmtId="0" fontId="9" fillId="0" borderId="0" xfId="0" applyFont="1" applyAlignment="1" applyProtection="1">
      <alignment wrapText="1"/>
      <protection locked="0"/>
    </xf>
    <xf numFmtId="0" fontId="9" fillId="0" borderId="26" xfId="0" applyFont="1" applyBorder="1" applyAlignment="1" applyProtection="1">
      <alignment horizontal="center" vertical="center" wrapText="1"/>
    </xf>
    <xf numFmtId="0" fontId="37" fillId="0" borderId="67" xfId="0" applyFont="1" applyBorder="1" applyAlignment="1" applyProtection="1"/>
    <xf numFmtId="0" fontId="37" fillId="0" borderId="67" xfId="0" applyFont="1" applyBorder="1" applyAlignment="1"/>
    <xf numFmtId="0" fontId="2" fillId="0" borderId="140" xfId="0" applyFont="1" applyFill="1" applyBorder="1" applyAlignment="1" applyProtection="1">
      <alignment horizontal="center" wrapText="1"/>
    </xf>
    <xf numFmtId="0" fontId="2" fillId="0" borderId="76" xfId="0" applyFont="1" applyBorder="1" applyAlignment="1" applyProtection="1">
      <alignment horizontal="center" wrapText="1"/>
    </xf>
    <xf numFmtId="0" fontId="0" fillId="0" borderId="154" xfId="0" applyFont="1" applyBorder="1" applyAlignment="1" applyProtection="1">
      <alignment horizontal="center" wrapText="1"/>
    </xf>
    <xf numFmtId="0" fontId="2" fillId="0" borderId="140" xfId="0" applyFont="1" applyFill="1" applyBorder="1" applyAlignment="1" applyProtection="1">
      <alignment wrapText="1"/>
    </xf>
    <xf numFmtId="0" fontId="2" fillId="0" borderId="76" xfId="0" applyFont="1" applyBorder="1" applyAlignment="1" applyProtection="1">
      <alignment wrapText="1"/>
    </xf>
    <xf numFmtId="4" fontId="0" fillId="0" borderId="16" xfId="0" applyNumberFormat="1" applyFont="1" applyBorder="1" applyAlignment="1" applyProtection="1">
      <alignment horizontal="center"/>
    </xf>
    <xf numFmtId="4" fontId="0" fillId="0" borderId="11" xfId="0" applyNumberFormat="1" applyFont="1" applyBorder="1" applyAlignment="1" applyProtection="1">
      <alignment horizontal="center" vertical="center"/>
    </xf>
    <xf numFmtId="4" fontId="0" fillId="0" borderId="37" xfId="0" applyNumberFormat="1" applyFont="1" applyBorder="1" applyAlignment="1" applyProtection="1">
      <alignment horizontal="center" vertical="center"/>
    </xf>
    <xf numFmtId="4" fontId="0" fillId="0" borderId="12" xfId="0" applyNumberFormat="1" applyFont="1" applyBorder="1" applyAlignment="1" applyProtection="1">
      <alignment horizontal="center" vertical="center"/>
    </xf>
    <xf numFmtId="0" fontId="2" fillId="0" borderId="26" xfId="0" applyFont="1" applyFill="1" applyBorder="1" applyAlignment="1" applyProtection="1">
      <alignment horizontal="center" wrapText="1"/>
    </xf>
    <xf numFmtId="0" fontId="2" fillId="0" borderId="26" xfId="0" applyFont="1" applyBorder="1" applyAlignment="1" applyProtection="1">
      <alignment horizontal="center" wrapText="1"/>
    </xf>
    <xf numFmtId="0" fontId="2" fillId="0" borderId="43" xfId="0" applyFont="1" applyBorder="1" applyAlignment="1" applyProtection="1">
      <alignment horizontal="center" wrapText="1"/>
    </xf>
    <xf numFmtId="0" fontId="2" fillId="0" borderId="0" xfId="0" applyFont="1" applyFill="1" applyBorder="1" applyAlignment="1" applyProtection="1">
      <alignment horizontal="center" wrapText="1"/>
    </xf>
    <xf numFmtId="0" fontId="2" fillId="0" borderId="0" xfId="0" applyFont="1" applyBorder="1" applyAlignment="1" applyProtection="1">
      <alignment horizontal="center" wrapText="1"/>
    </xf>
    <xf numFmtId="0" fontId="2" fillId="0" borderId="1" xfId="0" applyFont="1" applyBorder="1" applyAlignment="1" applyProtection="1">
      <alignment horizontal="center" wrapText="1"/>
    </xf>
    <xf numFmtId="0" fontId="2" fillId="0" borderId="37" xfId="0" applyFont="1" applyFill="1" applyBorder="1" applyAlignment="1" applyProtection="1">
      <alignment horizontal="center" wrapText="1"/>
    </xf>
    <xf numFmtId="0" fontId="0" fillId="0" borderId="152" xfId="0" applyFont="1" applyBorder="1" applyAlignment="1" applyProtection="1">
      <alignment horizontal="center" wrapText="1"/>
    </xf>
    <xf numFmtId="0" fontId="2" fillId="0" borderId="37" xfId="0" applyFont="1" applyFill="1" applyBorder="1" applyAlignment="1" applyProtection="1">
      <alignment wrapText="1"/>
    </xf>
    <xf numFmtId="0" fontId="2" fillId="0" borderId="37" xfId="0" applyFont="1" applyBorder="1" applyAlignment="1" applyProtection="1">
      <alignment wrapText="1"/>
    </xf>
    <xf numFmtId="0" fontId="2" fillId="0" borderId="12" xfId="0" applyFont="1" applyBorder="1" applyAlignment="1" applyProtection="1">
      <alignment wrapText="1"/>
    </xf>
    <xf numFmtId="0" fontId="0" fillId="0" borderId="0" xfId="0" applyFont="1" applyBorder="1" applyAlignment="1" applyProtection="1">
      <alignment horizontal="center" vertical="center" wrapText="1"/>
    </xf>
    <xf numFmtId="0" fontId="0" fillId="0" borderId="29" xfId="0" applyFont="1" applyBorder="1" applyAlignment="1" applyProtection="1">
      <alignment horizontal="center" vertical="center" wrapText="1"/>
    </xf>
    <xf numFmtId="0" fontId="2" fillId="0" borderId="43" xfId="0" applyFont="1" applyBorder="1" applyAlignment="1" applyProtection="1">
      <alignment horizontal="center" vertical="center" wrapText="1"/>
    </xf>
    <xf numFmtId="0" fontId="0" fillId="0" borderId="16" xfId="0" applyFont="1" applyBorder="1" applyAlignment="1" applyProtection="1">
      <alignment horizontal="center"/>
    </xf>
    <xf numFmtId="0" fontId="0" fillId="0" borderId="45" xfId="0" applyFont="1" applyBorder="1" applyAlignment="1" applyProtection="1">
      <alignment horizontal="center"/>
    </xf>
    <xf numFmtId="4" fontId="0" fillId="0" borderId="15" xfId="0" applyNumberFormat="1" applyFont="1" applyFill="1" applyBorder="1" applyAlignment="1" applyProtection="1">
      <alignment horizontal="center" vertical="center"/>
    </xf>
    <xf numFmtId="1" fontId="0" fillId="0" borderId="11" xfId="0" applyNumberFormat="1" applyFont="1" applyFill="1" applyBorder="1" applyAlignment="1" applyProtection="1">
      <alignment horizontal="center" vertical="center"/>
    </xf>
    <xf numFmtId="1" fontId="0" fillId="0" borderId="37" xfId="0" applyNumberFormat="1" applyFont="1" applyFill="1" applyBorder="1" applyAlignment="1" applyProtection="1">
      <alignment horizontal="center" vertical="center"/>
    </xf>
    <xf numFmtId="1" fontId="0" fillId="0" borderId="12" xfId="0" applyNumberFormat="1" applyFont="1" applyFill="1" applyBorder="1" applyAlignment="1" applyProtection="1">
      <alignment horizontal="center" vertical="center"/>
    </xf>
    <xf numFmtId="0" fontId="2" fillId="0" borderId="31" xfId="0" applyFont="1" applyBorder="1" applyAlignment="1" applyProtection="1">
      <alignment horizontal="center" vertical="center" wrapText="1"/>
    </xf>
    <xf numFmtId="0" fontId="2" fillId="0" borderId="0" xfId="0" applyFont="1" applyBorder="1" applyAlignment="1" applyProtection="1"/>
    <xf numFmtId="0" fontId="2" fillId="0" borderId="0" xfId="0" applyNumberFormat="1"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29" xfId="0" applyFont="1" applyBorder="1" applyAlignment="1" applyProtection="1">
      <alignment horizontal="center" vertical="center"/>
    </xf>
    <xf numFmtId="0" fontId="0" fillId="0" borderId="88" xfId="0" applyNumberFormat="1" applyBorder="1" applyAlignment="1">
      <alignment horizontal="center" vertical="center"/>
    </xf>
    <xf numFmtId="0" fontId="0" fillId="0" borderId="0" xfId="0" applyAlignment="1">
      <alignment horizontal="center" vertical="center"/>
    </xf>
    <xf numFmtId="164" fontId="0" fillId="3" borderId="15" xfId="0" applyNumberFormat="1" applyFill="1" applyBorder="1" applyAlignment="1" applyProtection="1">
      <alignment horizontal="center"/>
    </xf>
    <xf numFmtId="164" fontId="0" fillId="0" borderId="9" xfId="0" applyNumberFormat="1" applyBorder="1" applyAlignment="1" applyProtection="1">
      <alignment horizontal="center"/>
    </xf>
    <xf numFmtId="0" fontId="0" fillId="0" borderId="0" xfId="0" applyNumberFormat="1" applyAlignment="1"/>
    <xf numFmtId="164" fontId="0" fillId="3" borderId="16" xfId="0" applyNumberFormat="1" applyFill="1" applyBorder="1" applyAlignment="1" applyProtection="1">
      <alignment horizontal="center"/>
    </xf>
    <xf numFmtId="0" fontId="0" fillId="0" borderId="0" xfId="0" applyNumberFormat="1" applyBorder="1" applyAlignment="1"/>
    <xf numFmtId="164" fontId="0" fillId="0" borderId="9" xfId="0" applyNumberFormat="1" applyFill="1" applyBorder="1" applyAlignment="1" applyProtection="1">
      <alignment horizontal="center"/>
    </xf>
    <xf numFmtId="164" fontId="0" fillId="0" borderId="0" xfId="0" applyNumberFormat="1" applyBorder="1" applyAlignment="1" applyProtection="1">
      <alignment horizontal="center"/>
    </xf>
    <xf numFmtId="164" fontId="0" fillId="0" borderId="18" xfId="0" applyNumberFormat="1" applyFill="1" applyBorder="1" applyAlignment="1" applyProtection="1">
      <alignment horizontal="center"/>
    </xf>
    <xf numFmtId="164" fontId="0" fillId="0" borderId="0" xfId="0" applyNumberFormat="1" applyFill="1" applyBorder="1" applyAlignment="1" applyProtection="1">
      <alignment horizontal="center"/>
    </xf>
    <xf numFmtId="164" fontId="10" fillId="0" borderId="0" xfId="0" applyNumberFormat="1" applyFont="1" applyAlignment="1">
      <alignment horizontal="center"/>
    </xf>
    <xf numFmtId="164" fontId="10" fillId="0" borderId="9" xfId="0" applyNumberFormat="1" applyFont="1" applyBorder="1" applyAlignment="1">
      <alignment horizontal="center"/>
    </xf>
    <xf numFmtId="0" fontId="10" fillId="0" borderId="0" xfId="0" applyNumberFormat="1" applyFont="1" applyAlignment="1"/>
    <xf numFmtId="0" fontId="10" fillId="0" borderId="0" xfId="0" applyNumberFormat="1" applyFont="1" applyBorder="1" applyAlignment="1"/>
    <xf numFmtId="164" fontId="0" fillId="3" borderId="9" xfId="0" applyNumberFormat="1" applyFill="1" applyBorder="1" applyAlignment="1" applyProtection="1">
      <alignment horizontal="center"/>
    </xf>
  </cellXfs>
  <cellStyles count="5">
    <cellStyle name="Euro" xfId="2"/>
    <cellStyle name="Euro_Herstellungsbeitrag 2004" xfId="4"/>
    <cellStyle name="Prozent" xfId="1" builtinId="5"/>
    <cellStyle name="Standard" xfId="0" builtinId="0"/>
    <cellStyle name="Standard_Herstellungsbeitrag 2004" xfId="3"/>
  </cellStyles>
  <dxfs count="5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1"/>
  <sheetViews>
    <sheetView zoomScaleNormal="100" workbookViewId="0">
      <pane ySplit="7" topLeftCell="A40" activePane="bottomLeft" state="frozen"/>
      <selection pane="bottomLeft" activeCell="A5" sqref="A5:A7"/>
    </sheetView>
  </sheetViews>
  <sheetFormatPr baseColWidth="10" defaultColWidth="11.44140625" defaultRowHeight="14.4" x14ac:dyDescent="0.3"/>
  <cols>
    <col min="1" max="1" width="4.88671875" style="82" customWidth="1"/>
    <col min="2" max="2" width="37" style="82" customWidth="1"/>
    <col min="3" max="11" width="12.6640625" style="82" customWidth="1"/>
    <col min="12" max="12" width="12.6640625" style="83" customWidth="1"/>
    <col min="13" max="16384" width="11.44140625" style="10"/>
  </cols>
  <sheetData>
    <row r="1" spans="1:13" s="82" customFormat="1" ht="18" customHeight="1" x14ac:dyDescent="0.3">
      <c r="A1" s="701" t="str">
        <f>Grunddaten!A1</f>
        <v>Gemeinde A</v>
      </c>
      <c r="B1" s="701"/>
      <c r="C1" s="701"/>
      <c r="D1" s="701"/>
      <c r="E1" s="701"/>
      <c r="F1" s="701"/>
      <c r="G1" s="701"/>
      <c r="H1" s="701"/>
      <c r="I1" s="701"/>
      <c r="J1" s="701"/>
      <c r="K1" s="701"/>
      <c r="L1" s="702"/>
      <c r="M1" s="83"/>
    </row>
    <row r="2" spans="1:13" s="82" customFormat="1" ht="15" customHeight="1" x14ac:dyDescent="0.3">
      <c r="A2" s="703" t="str">
        <f>Grunddaten!A2</f>
        <v>Abwasserbeseitigungseinrichtung</v>
      </c>
      <c r="B2" s="703"/>
      <c r="C2" s="703"/>
      <c r="D2" s="703"/>
      <c r="E2" s="703"/>
      <c r="F2" s="703"/>
      <c r="G2" s="703"/>
      <c r="H2" s="703"/>
      <c r="I2" s="703"/>
      <c r="J2" s="703"/>
      <c r="K2" s="703"/>
      <c r="L2" s="704"/>
      <c r="M2" s="83"/>
    </row>
    <row r="3" spans="1:13" s="82" customFormat="1" ht="41.25" customHeight="1" x14ac:dyDescent="0.3">
      <c r="A3" s="705" t="s">
        <v>789</v>
      </c>
      <c r="B3" s="706"/>
      <c r="C3" s="706"/>
      <c r="D3" s="706"/>
      <c r="E3" s="706"/>
      <c r="F3" s="706"/>
      <c r="G3" s="706"/>
      <c r="H3" s="706"/>
      <c r="I3" s="706"/>
      <c r="J3" s="706"/>
      <c r="K3" s="707"/>
      <c r="L3" s="698"/>
      <c r="M3" s="83"/>
    </row>
    <row r="4" spans="1:13" s="82" customFormat="1" ht="20.25" customHeight="1" x14ac:dyDescent="0.3">
      <c r="A4" s="706" t="str">
        <f xml:space="preserve"> "für den Zeitraum vom "&amp; TEXT(Grunddaten!H6,"TT.MM.JJJJ") &amp; " bis " &amp; TEXT(Grunddaten!H8-1,"TT.MM.JJJJ")</f>
        <v>für den Zeitraum vom 01.01.2012 bis 31.12.2016</v>
      </c>
      <c r="B4" s="706"/>
      <c r="C4" s="706"/>
      <c r="D4" s="706"/>
      <c r="E4" s="706"/>
      <c r="F4" s="706"/>
      <c r="G4" s="706"/>
      <c r="H4" s="706"/>
      <c r="I4" s="706"/>
      <c r="J4" s="706"/>
      <c r="K4" s="706"/>
      <c r="L4" s="698"/>
      <c r="M4" s="83"/>
    </row>
    <row r="5" spans="1:13" s="82" customFormat="1" ht="16.5" customHeight="1" x14ac:dyDescent="0.3">
      <c r="A5" s="708" t="s">
        <v>0</v>
      </c>
      <c r="B5" s="710" t="s">
        <v>336</v>
      </c>
      <c r="C5" s="713" t="s">
        <v>339</v>
      </c>
      <c r="D5" s="714"/>
      <c r="E5" s="714"/>
      <c r="F5" s="714"/>
      <c r="G5" s="714"/>
      <c r="H5" s="714"/>
      <c r="I5" s="714"/>
      <c r="J5" s="714"/>
      <c r="K5" s="714"/>
      <c r="L5" s="715"/>
      <c r="M5" s="83"/>
    </row>
    <row r="6" spans="1:13" s="82" customFormat="1" ht="16.5" customHeight="1" x14ac:dyDescent="0.3">
      <c r="A6" s="698"/>
      <c r="B6" s="711"/>
      <c r="C6" s="716">
        <f>IF(YEAR(Grunddaten!$J$6)&lt;YEAR(Grunddaten!$H$6),"-",YEAR(Grunddaten!H6))</f>
        <v>2012</v>
      </c>
      <c r="D6" s="716"/>
      <c r="E6" s="717">
        <f>IF(C6="-","-",IF((C6+1)&lt;YEAR(Grunddaten!$H$8),C6+1,"-"))</f>
        <v>2013</v>
      </c>
      <c r="F6" s="716"/>
      <c r="G6" s="717">
        <f>IF(E6="-","-",IF((E6+1)&lt;YEAR(Grunddaten!$H$8),E6+1,"-"))</f>
        <v>2014</v>
      </c>
      <c r="H6" s="716"/>
      <c r="I6" s="717">
        <f>IF(G6="-","-",IF((G6+1)&lt;YEAR(Grunddaten!$H$8),G6+1,"-"))</f>
        <v>2015</v>
      </c>
      <c r="J6" s="716"/>
      <c r="K6" s="717">
        <f>IF(I6="-","-",IF((I6+1)&lt;YEAR(Grunddaten!$H$8),I6+1,"-"))</f>
        <v>2016</v>
      </c>
      <c r="L6" s="716"/>
      <c r="M6" s="83"/>
    </row>
    <row r="7" spans="1:13" s="430" customFormat="1" ht="26.25" customHeight="1" x14ac:dyDescent="0.3">
      <c r="A7" s="709"/>
      <c r="B7" s="712"/>
      <c r="C7" s="429" t="s">
        <v>500</v>
      </c>
      <c r="D7" s="429" t="s">
        <v>338</v>
      </c>
      <c r="E7" s="429" t="s">
        <v>500</v>
      </c>
      <c r="F7" s="429" t="s">
        <v>338</v>
      </c>
      <c r="G7" s="429" t="s">
        <v>500</v>
      </c>
      <c r="H7" s="429" t="s">
        <v>338</v>
      </c>
      <c r="I7" s="429" t="s">
        <v>500</v>
      </c>
      <c r="J7" s="429" t="s">
        <v>338</v>
      </c>
      <c r="K7" s="429" t="s">
        <v>500</v>
      </c>
      <c r="L7" s="429" t="s">
        <v>338</v>
      </c>
    </row>
    <row r="8" spans="1:13" s="83" customFormat="1" ht="21" customHeight="1" x14ac:dyDescent="0.3">
      <c r="A8" s="481" t="s">
        <v>517</v>
      </c>
      <c r="B8" s="495" t="s">
        <v>326</v>
      </c>
      <c r="C8" s="724" t="s">
        <v>769</v>
      </c>
      <c r="D8" s="725"/>
      <c r="E8" s="67"/>
      <c r="F8" s="67"/>
      <c r="G8" s="68"/>
      <c r="H8" s="67"/>
      <c r="I8" s="68"/>
      <c r="J8" s="67"/>
      <c r="K8" s="68"/>
      <c r="L8" s="69"/>
    </row>
    <row r="9" spans="1:13" s="82" customFormat="1" ht="30" customHeight="1" x14ac:dyDescent="0.3">
      <c r="A9" s="481" t="s">
        <v>11</v>
      </c>
      <c r="B9" s="432" t="str">
        <f>IF(AND(Grunddaten!D12=2,Grunddaten!E12=2),"Kalkulatorische Abschreibungen von den Wiederbeschaffungszeitwerten",IF(AND(Grunddaten!D12=2,Grunddaten!E12&lt;&gt;2),"Abschreibungen im Jahr "&amp;C6 &amp;" von den WBZW, sonst von den AHK",IF(AND(Grunddaten!D12&lt;&gt;2,Grunddaten!E12=2),"Abschreibungen im Jahr "&amp;C6 &amp;" von den AHK, sonst von den WBZW","Kalkulatorische Abschreibungen von den Anschaffungs-/Herstellungskosten")))</f>
        <v>Kalkulatorische Abschreibungen von den Anschaffungs-/Herstellungskosten</v>
      </c>
      <c r="C9" s="70">
        <f>IF(C6="-","-",IF(HLOOKUP(C6,Grund_be,2,FALSE)=2,HLOOKUP(C6,Anlageg,45,FALSE),HLOOKUP(C6,Anlageg,28,FALSE)))</f>
        <v>211100</v>
      </c>
      <c r="D9" s="70">
        <f>IF(C6="-","-",IF(HLOOKUP(C6,Grund_be,2,FALSE)=2,HLOOKUP(C6,Anlageg,46,FALSE),HLOOKUP(C6,Anlageg,29,FALSE)))</f>
        <v>76740</v>
      </c>
      <c r="E9" s="70">
        <f>IF(E6="-","-",IF(HLOOKUP(E6,Grund_be,2,FALSE)=2,HLOOKUP(E6,Anlageg,45,FALSE),HLOOKUP(E6,Anlageg,28,FALSE)))</f>
        <v>211100</v>
      </c>
      <c r="F9" s="70">
        <f>IF(E6="-","-",IF(HLOOKUP(E6,Grund_be,2,FALSE)=2,HLOOKUP(E6,Anlageg,46,FALSE),HLOOKUP(E6,Anlageg,29,FALSE)))</f>
        <v>76740</v>
      </c>
      <c r="G9" s="70">
        <f>IF(G6="-","-",IF(HLOOKUP(G6,Grund_be,2,FALSE)=2,HLOOKUP(G6,Anlageg,45,FALSE),HLOOKUP(G6,Anlageg,28,FALSE)))</f>
        <v>211100</v>
      </c>
      <c r="H9" s="70">
        <f>IF(G6="-","-",IF(HLOOKUP(G6,Grund_be,2,FALSE)=2,HLOOKUP(G6,Anlageg,46,FALSE),HLOOKUP(G6,Anlageg,29,FALSE)))</f>
        <v>76740</v>
      </c>
      <c r="I9" s="70">
        <f>IF(I6="-","-",IF(HLOOKUP(I6,Grund_be,2,FALSE)=2,HLOOKUP(I6,Anlageg,45,FALSE),HLOOKUP(I6,Anlageg,28,FALSE)))</f>
        <v>211100</v>
      </c>
      <c r="J9" s="70">
        <f>IF(I6="-","-",IF(HLOOKUP(I6,Grund_be,2,FALSE)=2,HLOOKUP(I6,Anlageg,46,FALSE),HLOOKUP(I6,Anlageg,29,FALSE)))</f>
        <v>76740</v>
      </c>
      <c r="K9" s="70">
        <f>IF(K6="-","-",IF(HLOOKUP(K6,Grund_be,2,FALSE)=2,HLOOKUP(K6,Anlageg,45,FALSE),HLOOKUP(K6,Anlageg,28,FALSE)))</f>
        <v>211100</v>
      </c>
      <c r="L9" s="70">
        <f>IF(K6="-","-",IF(HLOOKUP(K6,Grund_be,2,FALSE)=2,HLOOKUP(K6,Anlageg,46,FALSE),HLOOKUP(K6,Anlageg,29,FALSE)))</f>
        <v>76740</v>
      </c>
      <c r="M9" s="83"/>
    </row>
    <row r="10" spans="1:13" s="82" customFormat="1" ht="21" customHeight="1" x14ac:dyDescent="0.3">
      <c r="A10" s="481" t="s">
        <v>13</v>
      </c>
      <c r="B10" s="433" t="s">
        <v>327</v>
      </c>
      <c r="C10" s="70">
        <f>IF(C6="-","-",HLOOKUP(C6,Beitr,12,FALSE)*-1)</f>
        <v>-154763.28</v>
      </c>
      <c r="D10" s="70">
        <f>IF(C6="-","-",HLOOKUP(C6,Beitr,13,FALSE)*-1)</f>
        <v>-56261.25</v>
      </c>
      <c r="E10" s="70">
        <f>IF(E6="-","-",HLOOKUP(E6,Beitr,12,FALSE)*-1)</f>
        <v>-154763.28</v>
      </c>
      <c r="F10" s="70">
        <f>IF(E6="-","-",HLOOKUP(E6,Beitr,13,FALSE)*-1)</f>
        <v>-56261.25</v>
      </c>
      <c r="G10" s="70">
        <f>IF(G6="-","-",HLOOKUP(G6,Beitr,12,FALSE)*-1)</f>
        <v>-140300.82999999999</v>
      </c>
      <c r="H10" s="70">
        <f>IF(G6="-","-",HLOOKUP(G6,Beitr,13,FALSE)*-1)</f>
        <v>-51003.7</v>
      </c>
      <c r="I10" s="70">
        <f>IF(I6="-","-",HLOOKUP(I6,Beitr,12,FALSE)*-1)</f>
        <v>-131228.79</v>
      </c>
      <c r="J10" s="70">
        <f>IF(I6="-","-",HLOOKUP(I6,Beitr,13,FALSE)*-1)</f>
        <v>-47705.74</v>
      </c>
      <c r="K10" s="70">
        <f>IF(K6="-","-",HLOOKUP(K6,Beitr,12,FALSE)*-1)</f>
        <v>-118823.5</v>
      </c>
      <c r="L10" s="70">
        <f>IF(K6="-","-",HLOOKUP(K6,Beitr,13,FALSE)*-1)</f>
        <v>-43196.03</v>
      </c>
      <c r="M10" s="83"/>
    </row>
    <row r="11" spans="1:13" s="82" customFormat="1" ht="21" customHeight="1" x14ac:dyDescent="0.3">
      <c r="A11" s="481" t="s">
        <v>16</v>
      </c>
      <c r="B11" s="434" t="s">
        <v>793</v>
      </c>
      <c r="C11" s="70">
        <f>IF(C6="-","-",IF(HLOOKUP(C6,Grund_be,4,FALSE)=2,HLOOKUP(C6,Zuwend,70,FALSE)*-1,HLOOKUP(C6,Zuwend,12,FALSE)*-1))</f>
        <v>-27420</v>
      </c>
      <c r="D11" s="70">
        <f>IF(C6="-","-",IF(HLOOKUP(C6,Grund_be,4,FALSE)=2,HLOOKUP(C6,Zuwend,71,FALSE)*-1,HLOOKUP(C6,Zuwend,13,FALSE)*-1))</f>
        <v>-26600</v>
      </c>
      <c r="E11" s="70">
        <f>IF(E6="-","-",IF(HLOOKUP(E6,Grund_be,4,FALSE)=2,HLOOKUP(E6,Zuwend,70,FALSE)*-1,HLOOKUP(E6,Zuwend,12,FALSE)*-1))</f>
        <v>-26420</v>
      </c>
      <c r="F11" s="70">
        <f>IF(E6="-","-",IF(HLOOKUP(E6,Grund_be,4,FALSE)=2,HLOOKUP(E6,Zuwend,71,FALSE)*-1,HLOOKUP(E6,Zuwend,13,FALSE)*-1))</f>
        <v>-25600</v>
      </c>
      <c r="G11" s="70">
        <f>IF(G6="-","-",IF(HLOOKUP(G6,Grund_be,4,FALSE)=2,HLOOKUP(G6,Zuwend,70,FALSE)*-1,HLOOKUP(G6,Zuwend,12,FALSE)*-1))</f>
        <v>-25420</v>
      </c>
      <c r="H11" s="70">
        <f>IF(G6="-","-",IF(HLOOKUP(G6,Grund_be,4,FALSE)=2,HLOOKUP(G6,Zuwend,71,FALSE)*-1,HLOOKUP(G6,Zuwend,13,FALSE)*-1))</f>
        <v>-24600</v>
      </c>
      <c r="I11" s="70">
        <f>IF(I6="-","-",IF(HLOOKUP(I6,Grund_be,4,FALSE)=2,HLOOKUP(I6,Zuwend,70,FALSE)*-1,HLOOKUP(I6,Zuwend,12,FALSE)*-1))</f>
        <v>-25420</v>
      </c>
      <c r="J11" s="70">
        <f>IF(I6="-","-",IF(HLOOKUP(I6,Grund_be,4,FALSE)=2,HLOOKUP(I6,Zuwend,71,FALSE)*-1,HLOOKUP(I6,Zuwend,13,FALSE)*-1))</f>
        <v>-24600</v>
      </c>
      <c r="K11" s="70">
        <f>IF(K6="-","-",IF(HLOOKUP(K6,Grund_be,4,FALSE)=2,HLOOKUP(K6,Zuwend,70,FALSE)*-1,HLOOKUP(K6,Zuwend,12,FALSE)*-1))</f>
        <v>-25420</v>
      </c>
      <c r="L11" s="70">
        <f>IF(K6="-","-",IF(HLOOKUP(K6,Grund_be,4,FALSE)=2,HLOOKUP(K6,Zuwend,71,FALSE)*-1,HLOOKUP(K6,Zuwend,13,FALSE)*-1))</f>
        <v>-24600</v>
      </c>
      <c r="M11" s="83"/>
    </row>
    <row r="12" spans="1:13" s="82" customFormat="1" ht="30" customHeight="1" x14ac:dyDescent="0.3">
      <c r="A12" s="481" t="s">
        <v>19</v>
      </c>
      <c r="B12" s="434" t="s">
        <v>948</v>
      </c>
      <c r="C12" s="70">
        <f>IF(C6="-","-",HLOOKUP(C6,AZV_g,4,FALSE))</f>
        <v>118326.14</v>
      </c>
      <c r="D12" s="70">
        <f>IF(C6="-","-",HLOOKUP(C6,AZV_g,5,FALSE))</f>
        <v>0</v>
      </c>
      <c r="E12" s="70">
        <f>IF(E6="-","-",HLOOKUP(E6,AZV_g,4,FALSE))</f>
        <v>118334.18</v>
      </c>
      <c r="F12" s="70">
        <f>IF(E6="-","-",HLOOKUP(E6,AZV_g,5,FALSE))</f>
        <v>0</v>
      </c>
      <c r="G12" s="70">
        <f>IF(G6="-","-",HLOOKUP(G6,AZV_g,4,FALSE))</f>
        <v>105031.72</v>
      </c>
      <c r="H12" s="70">
        <f>IF(G6="-","-",HLOOKUP(G6,AZV_g,5,FALSE))</f>
        <v>0</v>
      </c>
      <c r="I12" s="70">
        <f>IF(I6="-","-",HLOOKUP(I6,AZV_g,4,FALSE))</f>
        <v>60994.37</v>
      </c>
      <c r="J12" s="70">
        <f>IF(I6="-","-",HLOOKUP(I6,AZV_g,5,FALSE))</f>
        <v>0</v>
      </c>
      <c r="K12" s="70">
        <f>IF(K6="-","-",HLOOKUP(K6,AZV_g,4,FALSE))</f>
        <v>59290.21</v>
      </c>
      <c r="L12" s="70">
        <f>IF(K6="-","-",HLOOKUP(K6,AZV_g,5,FALSE))</f>
        <v>0</v>
      </c>
      <c r="M12" s="83"/>
    </row>
    <row r="13" spans="1:13" s="82" customFormat="1" ht="30" customHeight="1" thickBot="1" x14ac:dyDescent="0.35">
      <c r="A13" s="481" t="s">
        <v>22</v>
      </c>
      <c r="B13" s="435" t="s">
        <v>947</v>
      </c>
      <c r="C13" s="436">
        <f>IF(C6="-","-",SUM(C9,C10,C11,C12))</f>
        <v>147242.85999999999</v>
      </c>
      <c r="D13" s="436">
        <f>IF(C6="-","-",SUM(D9,D10,D11,D12))</f>
        <v>-6121.25</v>
      </c>
      <c r="E13" s="436">
        <f t="shared" ref="E13" si="0">IF(E6="-","-",SUM(E9,E10,E11,E12))</f>
        <v>148250.9</v>
      </c>
      <c r="F13" s="436">
        <f t="shared" ref="F13" si="1">IF(E6="-","-",SUM(F9,F10,F11,F12))</f>
        <v>-5121.25</v>
      </c>
      <c r="G13" s="436">
        <f t="shared" ref="G13" si="2">IF(G6="-","-",SUM(G9,G10,G11,G12))</f>
        <v>150410.89000000001</v>
      </c>
      <c r="H13" s="436">
        <f t="shared" ref="H13" si="3">IF(G6="-","-",SUM(H9,H10,H11,H12))</f>
        <v>1136.3000000000029</v>
      </c>
      <c r="I13" s="436">
        <f t="shared" ref="I13" si="4">IF(I6="-","-",SUM(I9,I10,I11,I12))</f>
        <v>115445.57999999999</v>
      </c>
      <c r="J13" s="436">
        <f t="shared" ref="J13" si="5">IF(I6="-","-",SUM(J9,J10,J11,J12))</f>
        <v>4434.260000000002</v>
      </c>
      <c r="K13" s="436">
        <f t="shared" ref="K13" si="6">IF(K6="-","-",SUM(K9,K10,K11,K12))</f>
        <v>126146.70999999999</v>
      </c>
      <c r="L13" s="436">
        <f t="shared" ref="L13" si="7">IF(K6="-","-",SUM(L9,L10,L11,L12))</f>
        <v>8943.9700000000012</v>
      </c>
      <c r="M13" s="83"/>
    </row>
    <row r="14" spans="1:13" s="82" customFormat="1" ht="21.75" customHeight="1" x14ac:dyDescent="0.3">
      <c r="A14" s="481" t="s">
        <v>25</v>
      </c>
      <c r="B14" s="432" t="s">
        <v>770</v>
      </c>
      <c r="C14" s="70">
        <f>IF(C6="-","-",HLOOKUP(C6,Anlageg,74,FALSE))</f>
        <v>216109.08</v>
      </c>
      <c r="D14" s="70">
        <f>IF(C6="-","-",HLOOKUP(C6,Anlageg,75,FALSE))</f>
        <v>68456.06</v>
      </c>
      <c r="E14" s="70">
        <f>IF(E6="-","-",HLOOKUP(E6,Anlageg,74,FALSE))</f>
        <v>208720.58</v>
      </c>
      <c r="F14" s="70">
        <f>IF(E6="-","-",HLOOKUP(E6,Anlageg,75,FALSE))</f>
        <v>65770.16</v>
      </c>
      <c r="G14" s="70">
        <f>IF(G6="-","-",HLOOKUP(G6,Anlageg,74,FALSE))</f>
        <v>201332.08</v>
      </c>
      <c r="H14" s="70">
        <f>IF(G6="-","-",HLOOKUP(G6,Anlageg,75,FALSE))</f>
        <v>63084.26</v>
      </c>
      <c r="I14" s="70">
        <f>IF(I6="-","-",HLOOKUP(I6,Anlageg,74,FALSE))</f>
        <v>193943.58</v>
      </c>
      <c r="J14" s="70">
        <f>IF(I6="-","-",HLOOKUP(I6,Anlageg,75,FALSE))</f>
        <v>60398.36</v>
      </c>
      <c r="K14" s="70">
        <f>IF(K6="-","-",HLOOKUP(K6,Anlageg,74,FALSE))</f>
        <v>186555.08</v>
      </c>
      <c r="L14" s="70">
        <f>IF(K6="-","-",HLOOKUP(K6,Anlageg,75,FALSE))</f>
        <v>57712.46</v>
      </c>
      <c r="M14" s="83"/>
    </row>
    <row r="15" spans="1:13" s="82" customFormat="1" ht="21" customHeight="1" x14ac:dyDescent="0.3">
      <c r="A15" s="481" t="s">
        <v>27</v>
      </c>
      <c r="B15" s="433" t="s">
        <v>330</v>
      </c>
      <c r="C15" s="70">
        <f>IF(C6="-","-",HLOOKUP(C6,Beitr,25,FALSE)*-1)</f>
        <v>-83336.66</v>
      </c>
      <c r="D15" s="70">
        <f>IF(C6="-","-",HLOOKUP(C6,Beitr,26,FALSE)*-1)</f>
        <v>-26397.7</v>
      </c>
      <c r="E15" s="70">
        <f>IF(E6="-","-",HLOOKUP(E6,Beitr,25,FALSE)*-1)</f>
        <v>-77824.77</v>
      </c>
      <c r="F15" s="70">
        <f>IF(E6="-","-",HLOOKUP(E6,Beitr,26,FALSE)*-1)</f>
        <v>-24523.72</v>
      </c>
      <c r="G15" s="70">
        <f>IF(G6="-","-",HLOOKUP(G6,Beitr,25,FALSE)*-1)</f>
        <v>-72569.22</v>
      </c>
      <c r="H15" s="70">
        <f>IF(G6="-","-",HLOOKUP(G6,Beitr,26,FALSE)*-1)</f>
        <v>-22738.52</v>
      </c>
      <c r="I15" s="70">
        <f>IF(I6="-","-",HLOOKUP(I6,Beitr,25,FALSE)*-1)</f>
        <v>-67734.44</v>
      </c>
      <c r="J15" s="70">
        <f>IF(I6="-","-",HLOOKUP(I6,Beitr,26,FALSE)*-1)</f>
        <v>-21094.12</v>
      </c>
      <c r="K15" s="70">
        <f>IF(K6="-","-",HLOOKUP(K6,Beitr,25,FALSE)*-1)</f>
        <v>-63284.09</v>
      </c>
      <c r="L15" s="70">
        <f>IF(K6="-","-",HLOOKUP(K6,Beitr,26,FALSE)*-1)</f>
        <v>-19577.77</v>
      </c>
      <c r="M15" s="83"/>
    </row>
    <row r="16" spans="1:13" s="82" customFormat="1" ht="21" customHeight="1" x14ac:dyDescent="0.3">
      <c r="A16" s="481" t="s">
        <v>30</v>
      </c>
      <c r="B16" s="433" t="s">
        <v>331</v>
      </c>
      <c r="C16" s="71">
        <f>IF(C6="-","-",HLOOKUP(C6,Zuwend,25,FALSE)*-1)</f>
        <v>-25168.03</v>
      </c>
      <c r="D16" s="71">
        <f>IF(C6="-","-",HLOOKUP(C6,Zuwend,26,FALSE)*-1)</f>
        <v>-24019.33</v>
      </c>
      <c r="E16" s="71">
        <f>IF(E6="-","-",HLOOKUP(E6,Zuwend,25,FALSE)*-1)</f>
        <v>-24225.83</v>
      </c>
      <c r="F16" s="71">
        <f>IF(E6="-","-",HLOOKUP(E6,Zuwend,26,FALSE)*-1)</f>
        <v>-23105.83</v>
      </c>
      <c r="G16" s="71">
        <f>IF(G6="-","-",HLOOKUP(G6,Zuwend,25,FALSE)*-1)</f>
        <v>-23318.63</v>
      </c>
      <c r="H16" s="71">
        <f>IF(G6="-","-",HLOOKUP(G6,Zuwend,26,FALSE)*-1)</f>
        <v>-22227.33</v>
      </c>
      <c r="I16" s="71">
        <f>IF(I6="-","-",HLOOKUP(I6,Zuwend,25,FALSE)*-1)</f>
        <v>-22428.93</v>
      </c>
      <c r="J16" s="71">
        <f>IF(I6="-","-",HLOOKUP(I6,Zuwend,26,FALSE)*-1)</f>
        <v>-21366.33</v>
      </c>
      <c r="K16" s="71">
        <f>IF(K6="-","-",HLOOKUP(K6,Zuwend,25,FALSE)*-1)</f>
        <v>-21539.23</v>
      </c>
      <c r="L16" s="71">
        <f>IF(K6="-","-",HLOOKUP(K6,Zuwend,26,FALSE)*-1)</f>
        <v>-20505.330000000002</v>
      </c>
      <c r="M16" s="83"/>
    </row>
    <row r="17" spans="1:13" s="82" customFormat="1" ht="30" customHeight="1" x14ac:dyDescent="0.3">
      <c r="A17" s="481" t="s">
        <v>33</v>
      </c>
      <c r="B17" s="433" t="s">
        <v>949</v>
      </c>
      <c r="C17" s="71">
        <f>IF(C6="-","-",HLOOKUP(C6,AZV_g,8,FALSE))</f>
        <v>92058.77</v>
      </c>
      <c r="D17" s="71">
        <f>IF(C6="-","-",HLOOKUP(C6,AZV_g,9,FALSE))</f>
        <v>0</v>
      </c>
      <c r="E17" s="71">
        <f>IF(E6="-","-",HLOOKUP(E6,AZV_g,8,FALSE))</f>
        <v>89094.25</v>
      </c>
      <c r="F17" s="71">
        <f>IF(E6="-","-",HLOOKUP(E6,AZV_g,9,FALSE))</f>
        <v>0</v>
      </c>
      <c r="G17" s="71">
        <f>IF(G6="-","-",HLOOKUP(G6,AZV_g,8,FALSE))</f>
        <v>85993.29</v>
      </c>
      <c r="H17" s="71">
        <f>IF(G6="-","-",HLOOKUP(G6,AZV_g,9,FALSE))</f>
        <v>0</v>
      </c>
      <c r="I17" s="71">
        <f>IF(I6="-","-",HLOOKUP(I6,AZV_g,8,FALSE))</f>
        <v>88072.83</v>
      </c>
      <c r="J17" s="71">
        <f>IF(I6="-","-",HLOOKUP(I6,AZV_g,9,FALSE))</f>
        <v>0</v>
      </c>
      <c r="K17" s="71">
        <f>IF(K6="-","-",HLOOKUP(K6,AZV_g,8,FALSE))</f>
        <v>94876.31</v>
      </c>
      <c r="L17" s="71">
        <f>IF(K6="-","-",HLOOKUP(K6,AZV_g,9,FALSE))</f>
        <v>0</v>
      </c>
      <c r="M17" s="83"/>
    </row>
    <row r="18" spans="1:13" s="82" customFormat="1" ht="30" customHeight="1" x14ac:dyDescent="0.3">
      <c r="A18" s="481" t="s">
        <v>36</v>
      </c>
      <c r="B18" s="437" t="s">
        <v>332</v>
      </c>
      <c r="C18" s="334">
        <f>IF(C6="-","-",SUM(C14,C15,C16,C17))</f>
        <v>199663.15999999997</v>
      </c>
      <c r="D18" s="334">
        <f>IF(C6="-","-",SUM(D14,D15,D16,D17))</f>
        <v>18039.03</v>
      </c>
      <c r="E18" s="334">
        <f t="shared" ref="E18" si="8">IF(E6="-","-",SUM(E14,E15,E16,E17))</f>
        <v>195764.22999999998</v>
      </c>
      <c r="F18" s="334">
        <f t="shared" ref="F18" si="9">IF(E6="-","-",SUM(F14,F15,F16,F17))</f>
        <v>18140.61</v>
      </c>
      <c r="G18" s="334">
        <f t="shared" ref="G18" si="10">IF(G6="-","-",SUM(G14,G15,G16,G17))</f>
        <v>191437.51999999996</v>
      </c>
      <c r="H18" s="334">
        <f t="shared" ref="H18" si="11">IF(G6="-","-",SUM(H14,H15,H16,H17))</f>
        <v>18118.410000000003</v>
      </c>
      <c r="I18" s="334">
        <f t="shared" ref="I18" si="12">IF(I6="-","-",SUM(I14,I15,I16,I17))</f>
        <v>191853.03999999998</v>
      </c>
      <c r="J18" s="334">
        <f t="shared" ref="J18" si="13">IF(I6="-","-",SUM(J14,J15,J16,J17))</f>
        <v>17937.910000000003</v>
      </c>
      <c r="K18" s="334">
        <f t="shared" ref="K18" si="14">IF(K6="-","-",SUM(K14,K15,K16,K17))</f>
        <v>196608.07</v>
      </c>
      <c r="L18" s="334">
        <f t="shared" ref="L18" si="15">IF(K6="-","-",SUM(L14,L15,L16,L17))</f>
        <v>17629.36</v>
      </c>
      <c r="M18" s="83"/>
    </row>
    <row r="19" spans="1:13" s="82" customFormat="1" ht="21" customHeight="1" x14ac:dyDescent="0.3">
      <c r="A19" s="481" t="s">
        <v>39</v>
      </c>
      <c r="B19" s="432" t="s">
        <v>771</v>
      </c>
      <c r="C19" s="70">
        <f>IF(C6="-","-",HLOOKUP(C6,Anlageg,103,FALSE))</f>
        <v>0</v>
      </c>
      <c r="D19" s="70">
        <f>IF(C6="-","-",HLOOKUP(C6,Anlageg,104,FALSE))</f>
        <v>0</v>
      </c>
      <c r="E19" s="70">
        <f>IF(E6="-","-",HLOOKUP(E6,Anlageg,103,FALSE))</f>
        <v>0</v>
      </c>
      <c r="F19" s="70">
        <f>IF(E6="-","-",HLOOKUP(E6,Anlageg,104,FALSE))</f>
        <v>0</v>
      </c>
      <c r="G19" s="70">
        <f>IF(G6="-","-",HLOOKUP(G6,Anlageg,103,FALSE))</f>
        <v>0</v>
      </c>
      <c r="H19" s="70">
        <f>IF(G6="-","-",HLOOKUP(G6,Anlageg,104,FALSE))</f>
        <v>0</v>
      </c>
      <c r="I19" s="70">
        <f>IF(I6="-","-",HLOOKUP(I6,Anlageg,103,FALSE))</f>
        <v>0</v>
      </c>
      <c r="J19" s="70">
        <f>IF(I6="-","-",HLOOKUP(I6,Anlageg,104,FALSE))</f>
        <v>0</v>
      </c>
      <c r="K19" s="70">
        <f>IF(K6="-","-",HLOOKUP(K6,Anlageg,103,FALSE))</f>
        <v>0</v>
      </c>
      <c r="L19" s="70">
        <f>IF(K6="-","-",HLOOKUP(K6,Anlageg,104,FALSE))</f>
        <v>0</v>
      </c>
      <c r="M19" s="83"/>
    </row>
    <row r="20" spans="1:13" s="82" customFormat="1" ht="21" customHeight="1" x14ac:dyDescent="0.3">
      <c r="A20" s="481" t="s">
        <v>42</v>
      </c>
      <c r="B20" s="433" t="s">
        <v>330</v>
      </c>
      <c r="C20" s="70">
        <f>IF(C6="-","-",HLOOKUP(C6,Beitr,38,FALSE)*-1)</f>
        <v>0</v>
      </c>
      <c r="D20" s="70">
        <f>IF(C6="-","-",HLOOKUP(C6,Beitr,39,FALSE)*-1)</f>
        <v>0</v>
      </c>
      <c r="E20" s="70">
        <f>IF(E6="-","-",HLOOKUP(E6,Beitr,38,FALSE)*-1)</f>
        <v>0</v>
      </c>
      <c r="F20" s="70">
        <f>IF(E6="-","-",HLOOKUP(E6,Beitr,39,FALSE)*-1)</f>
        <v>0</v>
      </c>
      <c r="G20" s="70">
        <f>IF(G6="-","-",HLOOKUP(G6,Beitr,38,FALSE)*-1)</f>
        <v>0</v>
      </c>
      <c r="H20" s="70">
        <f>IF(G6="-","-",HLOOKUP(G6,Beitr,39,FALSE)*-1)</f>
        <v>0</v>
      </c>
      <c r="I20" s="70">
        <f>IF(I6="-","-",HLOOKUP(I6,Beitr,38,FALSE)*-1)</f>
        <v>0</v>
      </c>
      <c r="J20" s="70">
        <f>IF(I6="-","-",HLOOKUP(I6,Beitr,39,FALSE)*-1)</f>
        <v>0</v>
      </c>
      <c r="K20" s="70">
        <f>IF(K6="-","-",HLOOKUP(K6,Beitr,38,FALSE)*-1)</f>
        <v>0</v>
      </c>
      <c r="L20" s="70">
        <f>IF(K6="-","-",HLOOKUP(K6,Beitr,39,FALSE)*-1)</f>
        <v>0</v>
      </c>
      <c r="M20" s="83"/>
    </row>
    <row r="21" spans="1:13" s="82" customFormat="1" ht="21" customHeight="1" x14ac:dyDescent="0.3">
      <c r="A21" s="481" t="s">
        <v>44</v>
      </c>
      <c r="B21" s="433" t="s">
        <v>331</v>
      </c>
      <c r="C21" s="71">
        <f>IF(C6="-","-",HLOOKUP(C6,Zuwend,38,FALSE)*-1)</f>
        <v>0</v>
      </c>
      <c r="D21" s="71">
        <f>IF(C6="-","-",HLOOKUP(C6,Zuwend,39,FALSE)*-1)</f>
        <v>0</v>
      </c>
      <c r="E21" s="71">
        <f>IF(E6="-","-",HLOOKUP(E6,Zuwend,38,FALSE)*-1)</f>
        <v>0</v>
      </c>
      <c r="F21" s="71">
        <f>IF(E6="-","-",HLOOKUP(E6,Zuwend,39,FALSE)*-1)</f>
        <v>0</v>
      </c>
      <c r="G21" s="71">
        <f>IF(G6="-","-",HLOOKUP(G6,Zuwend,38,FALSE)*-1)</f>
        <v>0</v>
      </c>
      <c r="H21" s="71">
        <f>IF(G6="-","-",HLOOKUP(G6,Zuwend,39,FALSE)*-1)</f>
        <v>0</v>
      </c>
      <c r="I21" s="71">
        <f>IF(I6="-","-",HLOOKUP(I6,Zuwend,38,FALSE)*-1)</f>
        <v>0</v>
      </c>
      <c r="J21" s="71">
        <f>IF(I6="-","-",HLOOKUP(I6,Zuwend,39,FALSE)*-1)</f>
        <v>0</v>
      </c>
      <c r="K21" s="71">
        <f>IF(K6="-","-",HLOOKUP(K6,Zuwend,38,FALSE)*-1)</f>
        <v>0</v>
      </c>
      <c r="L21" s="71">
        <f>IF(K6="-","-",HLOOKUP(K6,Zuwend,39,FALSE)*-1)</f>
        <v>0</v>
      </c>
      <c r="M21" s="83"/>
    </row>
    <row r="22" spans="1:13" s="82" customFormat="1" ht="30" customHeight="1" x14ac:dyDescent="0.3">
      <c r="A22" s="481" t="s">
        <v>47</v>
      </c>
      <c r="B22" s="437" t="s">
        <v>333</v>
      </c>
      <c r="C22" s="334">
        <f>IF(C6="-","-",SUM(C19,C20,C21))</f>
        <v>0</v>
      </c>
      <c r="D22" s="334">
        <f>IF(C6="-","-",SUM(D19,D20,D21))</f>
        <v>0</v>
      </c>
      <c r="E22" s="334">
        <f t="shared" ref="E22" si="16">IF(E6="-","-",SUM(E19,E20,E21))</f>
        <v>0</v>
      </c>
      <c r="F22" s="334">
        <f t="shared" ref="F22" si="17">IF(E6="-","-",SUM(F19,F20,F21))</f>
        <v>0</v>
      </c>
      <c r="G22" s="334">
        <f t="shared" ref="G22" si="18">IF(G6="-","-",SUM(G19,G20,G21))</f>
        <v>0</v>
      </c>
      <c r="H22" s="334">
        <f t="shared" ref="H22" si="19">IF(G6="-","-",SUM(H19,H20,H21))</f>
        <v>0</v>
      </c>
      <c r="I22" s="334">
        <f t="shared" ref="I22" si="20">IF(I6="-","-",SUM(I19,I20,I21))</f>
        <v>0</v>
      </c>
      <c r="J22" s="334">
        <f t="shared" ref="J22" si="21">IF(I6="-","-",SUM(J19,J20,J21))</f>
        <v>0</v>
      </c>
      <c r="K22" s="334">
        <f t="shared" ref="K22" si="22">IF(K6="-","-",SUM(K19,K20,K21))</f>
        <v>0</v>
      </c>
      <c r="L22" s="334">
        <f t="shared" ref="L22" si="23">IF(K6="-","-",SUM(L19,L20,L21))</f>
        <v>0</v>
      </c>
      <c r="M22" s="83"/>
    </row>
    <row r="23" spans="1:13" s="82" customFormat="1" ht="30" customHeight="1" thickBot="1" x14ac:dyDescent="0.35">
      <c r="A23" s="481" t="s">
        <v>50</v>
      </c>
      <c r="B23" s="438" t="s">
        <v>794</v>
      </c>
      <c r="C23" s="439">
        <f>IF(C6="-","-",SUM(C18,C22))</f>
        <v>199663.15999999997</v>
      </c>
      <c r="D23" s="439">
        <f>IF(C6="-","-",SUM(D18,D22))</f>
        <v>18039.03</v>
      </c>
      <c r="E23" s="439">
        <f t="shared" ref="E23" si="24">IF(E6="-","-",SUM(E18,E22))</f>
        <v>195764.22999999998</v>
      </c>
      <c r="F23" s="439">
        <f t="shared" ref="F23" si="25">IF(E6="-","-",SUM(F18,F22))</f>
        <v>18140.61</v>
      </c>
      <c r="G23" s="439">
        <f t="shared" ref="G23" si="26">IF(G6="-","-",SUM(G18,G22))</f>
        <v>191437.51999999996</v>
      </c>
      <c r="H23" s="439">
        <f t="shared" ref="H23" si="27">IF(G6="-","-",SUM(H18,H22))</f>
        <v>18118.410000000003</v>
      </c>
      <c r="I23" s="439">
        <f t="shared" ref="I23" si="28">IF(I6="-","-",SUM(I18,I22))</f>
        <v>191853.03999999998</v>
      </c>
      <c r="J23" s="439">
        <f t="shared" ref="J23" si="29">IF(I6="-","-",SUM(J18,J22))</f>
        <v>17937.910000000003</v>
      </c>
      <c r="K23" s="439">
        <f t="shared" ref="K23" si="30">IF(K6="-","-",SUM(K18,K22))</f>
        <v>196608.07</v>
      </c>
      <c r="L23" s="439">
        <f t="shared" ref="L23" si="31">IF(K6="-","-",SUM(L18,L22))</f>
        <v>17629.36</v>
      </c>
      <c r="M23" s="83"/>
    </row>
    <row r="24" spans="1:13" s="83" customFormat="1" ht="21" customHeight="1" x14ac:dyDescent="0.3">
      <c r="A24" s="481" t="s">
        <v>556</v>
      </c>
      <c r="B24" s="496" t="s">
        <v>335</v>
      </c>
      <c r="C24" s="74"/>
      <c r="D24" s="73"/>
      <c r="E24" s="74"/>
      <c r="F24" s="74"/>
      <c r="G24" s="72"/>
      <c r="H24" s="74"/>
      <c r="I24" s="72"/>
      <c r="J24" s="74"/>
      <c r="K24" s="72"/>
      <c r="L24" s="73"/>
    </row>
    <row r="25" spans="1:13" s="82" customFormat="1" ht="21" customHeight="1" x14ac:dyDescent="0.3">
      <c r="A25" s="481" t="s">
        <v>557</v>
      </c>
      <c r="B25" s="434" t="s">
        <v>335</v>
      </c>
      <c r="C25" s="70">
        <f>IF(C6&lt;&gt;"-",HLOOKUP(C6,Betriebsko,9,FALSE),"-")</f>
        <v>675326.16</v>
      </c>
      <c r="D25" s="70">
        <f>IF(C6&lt;&gt;"-",HLOOKUP(C6,Betriebsko,10,FALSE),"-")</f>
        <v>48474.14</v>
      </c>
      <c r="E25" s="70">
        <f>IF(E6&lt;&gt;"-",HLOOKUP(E6,Betriebsko,9,FALSE),"-")</f>
        <v>679946.23999999999</v>
      </c>
      <c r="F25" s="70">
        <f>IF(E6&lt;&gt;"-",HLOOKUP(E6,Betriebsko,10,FALSE),"-")</f>
        <v>50271.8</v>
      </c>
      <c r="G25" s="70">
        <f>IF(G6&lt;&gt;"-",HLOOKUP(G6,Betriebsko,9,FALSE),"-")</f>
        <v>712732.53</v>
      </c>
      <c r="H25" s="70">
        <f>IF(G6&lt;&gt;"-",HLOOKUP(G6,Betriebsko,10,FALSE),"-")</f>
        <v>59906.34</v>
      </c>
      <c r="I25" s="70">
        <f>IF(I6&lt;&gt;"-",HLOOKUP(I6,Betriebsko,9,FALSE),"-")</f>
        <v>701993.3</v>
      </c>
      <c r="J25" s="70">
        <f>IF(I6&lt;&gt;"-",HLOOKUP(I6,Betriebsko,10,FALSE),"-")</f>
        <v>62254.91</v>
      </c>
      <c r="K25" s="70">
        <f>IF(K6&lt;&gt;"-",HLOOKUP(K6,Betriebsko,9,FALSE),"-")</f>
        <v>705500</v>
      </c>
      <c r="L25" s="70">
        <f>IF(K6&lt;&gt;"-",HLOOKUP(K6,Betriebsko,10,FALSE),"-")</f>
        <v>65375</v>
      </c>
      <c r="M25" s="83"/>
    </row>
    <row r="26" spans="1:13" s="82" customFormat="1" ht="21" customHeight="1" x14ac:dyDescent="0.3">
      <c r="A26" s="481" t="s">
        <v>558</v>
      </c>
      <c r="B26" s="433" t="s">
        <v>644</v>
      </c>
      <c r="C26" s="70">
        <f>IF(C6&lt;&gt;"-",HLOOKUP(C6,Betriebsko,4,FALSE)*-1,"-")</f>
        <v>-879.45</v>
      </c>
      <c r="D26" s="70">
        <f>IF(C6&lt;&gt;"-",HLOOKUP(C6,Betriebsko,5,FALSE)*-1,"-")</f>
        <v>-439.72</v>
      </c>
      <c r="E26" s="70">
        <f>IF(E6&lt;&gt;"-",HLOOKUP(E6,Betriebsko,4,FALSE)*-1,"-")</f>
        <v>-4095.17</v>
      </c>
      <c r="F26" s="70">
        <f>IF(E6&lt;&gt;"-",HLOOKUP(E6,Betriebsko,5,FALSE)*-1,"-")</f>
        <v>-2047.59</v>
      </c>
      <c r="G26" s="70">
        <f>IF(G6&lt;&gt;"-",HLOOKUP(G6,Betriebsko,4,FALSE)*-1,"-")</f>
        <v>-5454.65</v>
      </c>
      <c r="H26" s="70">
        <f>IF(G6&lt;&gt;"-",HLOOKUP(G6,Betriebsko,5,FALSE)*-1,"-")</f>
        <v>-2727.32</v>
      </c>
      <c r="I26" s="70">
        <f>IF(I6&lt;&gt;"-",HLOOKUP(I6,Betriebsko,4,FALSE)*-1,"-")</f>
        <v>-5454.65</v>
      </c>
      <c r="J26" s="70">
        <f>IF(I6&lt;&gt;"-",HLOOKUP(I6,Betriebsko,5,FALSE)*-1,"-")</f>
        <v>-2727.32</v>
      </c>
      <c r="K26" s="70">
        <f>IF(K6&lt;&gt;"-",HLOOKUP(K6,Betriebsko,4,FALSE)*-1,"-")</f>
        <v>-3500</v>
      </c>
      <c r="L26" s="70">
        <f>IF(K6&lt;&gt;"-",HLOOKUP(K6,Betriebsko,5,FALSE)*-1,"-")</f>
        <v>-1750</v>
      </c>
      <c r="M26" s="83"/>
    </row>
    <row r="27" spans="1:13" s="82" customFormat="1" ht="21.75" customHeight="1" thickBot="1" x14ac:dyDescent="0.35">
      <c r="A27" s="481" t="s">
        <v>559</v>
      </c>
      <c r="B27" s="438" t="s">
        <v>645</v>
      </c>
      <c r="C27" s="439">
        <f>IF(C6="-","-",SUM(C25,C26))</f>
        <v>674446.71000000008</v>
      </c>
      <c r="D27" s="439">
        <f>IF(C6="-","-",SUM(D25,D26))</f>
        <v>48034.42</v>
      </c>
      <c r="E27" s="439">
        <f t="shared" ref="E27" si="32">IF(E6="-","-",SUM(E25,E26))</f>
        <v>675851.07</v>
      </c>
      <c r="F27" s="439">
        <f t="shared" ref="F27" si="33">IF(E6="-","-",SUM(F25,F26))</f>
        <v>48224.210000000006</v>
      </c>
      <c r="G27" s="439">
        <f t="shared" ref="G27" si="34">IF(G6="-","-",SUM(G25,G26))</f>
        <v>707277.88</v>
      </c>
      <c r="H27" s="439">
        <f t="shared" ref="H27" si="35">IF(G6="-","-",SUM(H25,H26))</f>
        <v>57179.02</v>
      </c>
      <c r="I27" s="439">
        <f t="shared" ref="I27" si="36">IF(I6="-","-",SUM(I25,I26))</f>
        <v>696538.65</v>
      </c>
      <c r="J27" s="439">
        <f t="shared" ref="J27" si="37">IF(I6="-","-",SUM(J25,J26))</f>
        <v>59527.590000000004</v>
      </c>
      <c r="K27" s="439">
        <f t="shared" ref="K27" si="38">IF(K6="-","-",SUM(K25,K26))</f>
        <v>702000</v>
      </c>
      <c r="L27" s="439">
        <f t="shared" ref="L27" si="39">IF(K6="-","-",SUM(L25,L26))</f>
        <v>63625</v>
      </c>
      <c r="M27" s="83"/>
    </row>
    <row r="28" spans="1:13" s="84" customFormat="1" ht="6.75" customHeight="1" x14ac:dyDescent="0.3">
      <c r="A28" s="440"/>
      <c r="B28" s="460"/>
      <c r="C28" s="460"/>
      <c r="D28" s="460"/>
      <c r="E28" s="460"/>
      <c r="F28" s="460"/>
      <c r="G28" s="460"/>
      <c r="H28" s="460"/>
      <c r="I28" s="460"/>
      <c r="J28" s="460"/>
      <c r="K28" s="460"/>
      <c r="L28" s="441"/>
    </row>
    <row r="29" spans="1:13" s="83" customFormat="1" ht="28.5" customHeight="1" x14ac:dyDescent="0.3">
      <c r="A29" s="697" t="s">
        <v>560</v>
      </c>
      <c r="B29" s="726" t="str">
        <f>IF(Grunddaten!$D$19=2,"Gesplittete Gebühren -Berechnung der Überdeckungen bzw. Unterdeckungen-","Gesplittete Gebühren - keine Berechnung, da Gebühren nach dem modifizierten Frischwassermaßstab berechnet werden - siehe Nr. 3b")</f>
        <v>Gesplittete Gebühren - keine Berechnung, da Gebühren nach dem modifizierten Frischwassermaßstab berechnet werden - siehe Nr. 3b</v>
      </c>
      <c r="C29" s="721"/>
      <c r="D29" s="721"/>
      <c r="E29" s="721"/>
      <c r="F29" s="721"/>
      <c r="G29" s="721"/>
      <c r="H29" s="721"/>
      <c r="I29" s="721"/>
      <c r="J29" s="721"/>
      <c r="K29" s="721"/>
      <c r="L29" s="722"/>
    </row>
    <row r="30" spans="1:13" s="82" customFormat="1" ht="16.5" customHeight="1" x14ac:dyDescent="0.3">
      <c r="A30" s="698"/>
      <c r="B30" s="442" t="s">
        <v>140</v>
      </c>
      <c r="C30" s="723">
        <f>C6</f>
        <v>2012</v>
      </c>
      <c r="D30" s="717"/>
      <c r="E30" s="723">
        <f t="shared" ref="E30" si="40">E6</f>
        <v>2013</v>
      </c>
      <c r="F30" s="717"/>
      <c r="G30" s="723">
        <f t="shared" ref="G30" si="41">G6</f>
        <v>2014</v>
      </c>
      <c r="H30" s="717"/>
      <c r="I30" s="723">
        <f t="shared" ref="I30" si="42">I6</f>
        <v>2015</v>
      </c>
      <c r="J30" s="717"/>
      <c r="K30" s="723">
        <f t="shared" ref="K30" si="43">K6</f>
        <v>2016</v>
      </c>
      <c r="L30" s="717"/>
      <c r="M30" s="83"/>
    </row>
    <row r="31" spans="1:13" s="82" customFormat="1" ht="14.1" customHeight="1" x14ac:dyDescent="0.3">
      <c r="A31" s="699"/>
      <c r="B31" s="434" t="s">
        <v>342</v>
      </c>
      <c r="C31" s="444" t="str">
        <f>IF(OR(Grunddaten!$D$19&lt;&gt;2,C6="-"),"-","SW")</f>
        <v>-</v>
      </c>
      <c r="D31" s="445" t="str">
        <f>IF(OR(Grunddaten!$D$19&lt;&gt;2,C6="-"),"-","RW")</f>
        <v>-</v>
      </c>
      <c r="E31" s="535" t="str">
        <f>IF(OR(Grunddaten!$D$19&lt;&gt;2,E6="-"),"-","SW")</f>
        <v>-</v>
      </c>
      <c r="F31" s="445" t="str">
        <f>IF(OR(Grunddaten!$D$19&lt;&gt;2,E6="-"),"-","RW")</f>
        <v>-</v>
      </c>
      <c r="G31" s="535" t="str">
        <f>IF(OR(Grunddaten!$D$19&lt;&gt;2,G6="-"),"-","SW")</f>
        <v>-</v>
      </c>
      <c r="H31" s="445" t="str">
        <f>IF(OR(Grunddaten!$D$19&lt;&gt;2,G6="-"),"-","RW")</f>
        <v>-</v>
      </c>
      <c r="I31" s="535" t="str">
        <f>IF(OR(Grunddaten!$D$19&lt;&gt;2,I6="-"),"-","SW")</f>
        <v>-</v>
      </c>
      <c r="J31" s="445" t="str">
        <f>IF(OR(Grunddaten!$D$19&lt;&gt;2,I6="-"),"-","RW")</f>
        <v>-</v>
      </c>
      <c r="K31" s="535" t="str">
        <f>IF(OR(Grunddaten!$D$19&lt;&gt;2,K6="-"),"-","SW")</f>
        <v>-</v>
      </c>
      <c r="L31" s="445" t="str">
        <f>IF(OR(Grunddaten!$D$19&lt;&gt;2,K6="-"),"-","RW")</f>
        <v>-</v>
      </c>
      <c r="M31" s="83"/>
    </row>
    <row r="32" spans="1:13" s="82" customFormat="1" ht="27" customHeight="1" x14ac:dyDescent="0.3">
      <c r="A32" s="481" t="s">
        <v>561</v>
      </c>
      <c r="B32" s="434" t="s">
        <v>795</v>
      </c>
      <c r="C32" s="321" t="str">
        <f>IF(OR(Grunddaten!$D$19&lt;&gt;2,C6="-"),"-",SUM(C13,C23)*-1)</f>
        <v>-</v>
      </c>
      <c r="D32" s="322" t="str">
        <f>IF(OR(Grunddaten!$D$19&lt;&gt;2,C6="-"),"-",SUM(D13,D23)*-1)</f>
        <v>-</v>
      </c>
      <c r="E32" s="321" t="str">
        <f>IF(OR(Grunddaten!$D$19&lt;&gt;2,E6="-"),"-",SUM(E13,E23)*-1)</f>
        <v>-</v>
      </c>
      <c r="F32" s="323" t="str">
        <f>IF(OR(Grunddaten!$D$19&lt;&gt;2,E6="-"),"-",SUM(F13,F23)*-1)</f>
        <v>-</v>
      </c>
      <c r="G32" s="321" t="str">
        <f>IF(OR(Grunddaten!$D$19&lt;&gt;2,G6="-"),"-",SUM(G13,G23)*-1)</f>
        <v>-</v>
      </c>
      <c r="H32" s="323" t="str">
        <f>IF(OR(Grunddaten!$D$19&lt;&gt;2,G6="-"),"-",SUM(H13,H23)*-1)</f>
        <v>-</v>
      </c>
      <c r="I32" s="321" t="str">
        <f>IF(OR(Grunddaten!$D$19&lt;&gt;2,I6="-"),"-",SUM(I13,I23)*-1)</f>
        <v>-</v>
      </c>
      <c r="J32" s="323" t="str">
        <f>IF(OR(Grunddaten!$D$19&lt;&gt;2,I6="-"),"-",SUM(J13,J23)*-1)</f>
        <v>-</v>
      </c>
      <c r="K32" s="321" t="str">
        <f>IF(OR(Grunddaten!$D$19&lt;&gt;2,K6="-"),"-",SUM(K13,K23)*-1)</f>
        <v>-</v>
      </c>
      <c r="L32" s="322" t="str">
        <f>IF(OR(Grunddaten!$D$19&lt;&gt;2,K6="-"),"-",SUM(L13,L23)*-1)</f>
        <v>-</v>
      </c>
      <c r="M32" s="83"/>
    </row>
    <row r="33" spans="1:13" s="82" customFormat="1" ht="27" customHeight="1" x14ac:dyDescent="0.3">
      <c r="A33" s="481" t="s">
        <v>562</v>
      </c>
      <c r="B33" s="434" t="s">
        <v>796</v>
      </c>
      <c r="C33" s="321" t="str">
        <f>IF(OR(Grunddaten!$D$19&lt;&gt;2,C6="-"),"-",C27*-1)</f>
        <v>-</v>
      </c>
      <c r="D33" s="322" t="str">
        <f>IF(OR(Grunddaten!$D$19&lt;&gt;2,C6="-"),"-",D27*-1)</f>
        <v>-</v>
      </c>
      <c r="E33" s="321" t="str">
        <f>IF(OR(Grunddaten!$D$19&lt;&gt;2,E6="-"),"-",E27*-1)</f>
        <v>-</v>
      </c>
      <c r="F33" s="322" t="str">
        <f>IF(OR(Grunddaten!$D$19&lt;&gt;2,E6="-"),"-",F27*-1)</f>
        <v>-</v>
      </c>
      <c r="G33" s="321" t="str">
        <f>IF(OR(Grunddaten!$D$19&lt;&gt;2,G6="-"),"-",G27*-1)</f>
        <v>-</v>
      </c>
      <c r="H33" s="322" t="str">
        <f>IF(OR(Grunddaten!$D$19&lt;&gt;2,G6="-"),"-",H27*-1)</f>
        <v>-</v>
      </c>
      <c r="I33" s="321" t="str">
        <f>IF(OR(Grunddaten!$D$19&lt;&gt;2,I6="-"),"-",I27*-1)</f>
        <v>-</v>
      </c>
      <c r="J33" s="322" t="str">
        <f>IF(OR(Grunddaten!$D$19&lt;&gt;2,I6="-"),"-",J27*-1)</f>
        <v>-</v>
      </c>
      <c r="K33" s="321" t="str">
        <f>IF(OR(Grunddaten!$D$19&lt;&gt;2,K6="-"),"-",K27*-1)</f>
        <v>-</v>
      </c>
      <c r="L33" s="322" t="str">
        <f>IF(OR(Grunddaten!$D$19&lt;&gt;2,K6="-"),"-",L27*-1)</f>
        <v>-</v>
      </c>
      <c r="M33" s="83"/>
    </row>
    <row r="34" spans="1:13" s="82" customFormat="1" ht="28.5" customHeight="1" x14ac:dyDescent="0.3">
      <c r="A34" s="481" t="s">
        <v>563</v>
      </c>
      <c r="B34" s="479" t="s">
        <v>791</v>
      </c>
      <c r="C34" s="324" t="str">
        <f>IF(OR(Grunddaten!$D$19&lt;&gt;2,C6="-"),"-",SUM(C32,C33))</f>
        <v>-</v>
      </c>
      <c r="D34" s="325" t="str">
        <f>IF(OR(Grunddaten!$D$19&lt;&gt;2,C6="-"),"-",SUM(D32,D33))</f>
        <v>-</v>
      </c>
      <c r="E34" s="324" t="str">
        <f>IF(OR(Grunddaten!$D$19&lt;&gt;2,E6="-"),"-",SUM(E32,E33))</f>
        <v>-</v>
      </c>
      <c r="F34" s="325" t="str">
        <f>IF(OR(Grunddaten!$D$19&lt;&gt;2,E6="-"),"-",SUM(F32,F33))</f>
        <v>-</v>
      </c>
      <c r="G34" s="324" t="str">
        <f>IF(OR(Grunddaten!$D$19&lt;&gt;2,G6="-"),"-",SUM(G32,G33))</f>
        <v>-</v>
      </c>
      <c r="H34" s="325" t="str">
        <f>IF(OR(Grunddaten!$D$19&lt;&gt;2,G6="-"),"-",SUM(H32,H33))</f>
        <v>-</v>
      </c>
      <c r="I34" s="324" t="str">
        <f>IF(OR(Grunddaten!$D$19&lt;&gt;2,I6="-"),"-",SUM(I32,I33))</f>
        <v>-</v>
      </c>
      <c r="J34" s="325" t="str">
        <f>IF(OR(Grunddaten!$D$19&lt;&gt;2,I6="-"),"-",SUM(J32,J33))</f>
        <v>-</v>
      </c>
      <c r="K34" s="324" t="str">
        <f>IF(OR(Grunddaten!$D$19&lt;&gt;2,K6="-"),"-",SUM(K32,K33))</f>
        <v>-</v>
      </c>
      <c r="L34" s="325" t="str">
        <f>IF(OR(Grunddaten!$D$19&lt;&gt;2,K6="-"),"-",SUM(L32,L33))</f>
        <v>-</v>
      </c>
      <c r="M34" s="83"/>
    </row>
    <row r="35" spans="1:13" s="82" customFormat="1" ht="27" customHeight="1" x14ac:dyDescent="0.3">
      <c r="A35" s="481" t="s">
        <v>564</v>
      </c>
      <c r="B35" s="447" t="s">
        <v>797</v>
      </c>
      <c r="C35" s="326" t="str">
        <f>IF(OR(Grunddaten!$D$19&lt;&gt;2,C6="-"),"-",HLOOKUP(C6,Grund_geb_ein,5,FALSE))</f>
        <v>-</v>
      </c>
      <c r="D35" s="327" t="str">
        <f>IF(OR(Grunddaten!$D$19&lt;&gt;2,C6="-"),"-",HLOOKUP(C6,Grund_geb_ein,6,FALSE))</f>
        <v>-</v>
      </c>
      <c r="E35" s="326" t="str">
        <f>IF(OR(Grunddaten!$D$19&lt;&gt;2,E6="-"),"-",HLOOKUP(E6,Grund_geb_ein,5,FALSE))</f>
        <v>-</v>
      </c>
      <c r="F35" s="327" t="str">
        <f>IF(OR(Grunddaten!$D$19&lt;&gt;2,E6="-"),"-",HLOOKUP(E6,Grund_geb_ein,6,FALSE))</f>
        <v>-</v>
      </c>
      <c r="G35" s="326" t="str">
        <f>IF(OR(Grunddaten!$D$19&lt;&gt;2,G6="-"),"-",HLOOKUP(G6,Grund_geb_ein,5,FALSE))</f>
        <v>-</v>
      </c>
      <c r="H35" s="327" t="str">
        <f>IF(OR(Grunddaten!$D$19&lt;&gt;2,G6="-"),"-",HLOOKUP(G6,Grund_geb_ein,6,FALSE))</f>
        <v>-</v>
      </c>
      <c r="I35" s="326" t="str">
        <f>IF(OR(Grunddaten!$D$19&lt;&gt;2,I6="-"),"-",HLOOKUP(I6,Grund_geb_ein,5,FALSE))</f>
        <v>-</v>
      </c>
      <c r="J35" s="327" t="str">
        <f>IF(OR(Grunddaten!$D$19&lt;&gt;2,I6="-"),"-",HLOOKUP(I6,Grund_geb_ein,6,FALSE))</f>
        <v>-</v>
      </c>
      <c r="K35" s="326" t="str">
        <f>IF(OR(Grunddaten!$D$19&lt;&gt;2,K6="-"),"-",HLOOKUP(K6,Grund_geb_ein,5,FALSE))</f>
        <v>-</v>
      </c>
      <c r="L35" s="327" t="str">
        <f>IF(OR(Grunddaten!$D$19&lt;&gt;2,K6="-"),"-",HLOOKUP(K6,Grund_geb_ein,6,FALSE))</f>
        <v>-</v>
      </c>
      <c r="M35" s="83"/>
    </row>
    <row r="36" spans="1:13" s="82" customFormat="1" ht="27" customHeight="1" x14ac:dyDescent="0.3">
      <c r="A36" s="481" t="s">
        <v>565</v>
      </c>
      <c r="B36" s="482" t="s">
        <v>340</v>
      </c>
      <c r="C36" s="328" t="str">
        <f>IF(OR(Grunddaten!$D$19&lt;&gt;2,C6="-"),"-",SUM(C34,C35))</f>
        <v>-</v>
      </c>
      <c r="D36" s="329" t="str">
        <f>IF(OR(Grunddaten!$D$19&lt;&gt;2,C6="-"),"-",SUM(D34,D35))</f>
        <v>-</v>
      </c>
      <c r="E36" s="328" t="str">
        <f>IF(OR(Grunddaten!$D$19&lt;&gt;2,E6="-"),"-",SUM(E34,E35))</f>
        <v>-</v>
      </c>
      <c r="F36" s="329" t="str">
        <f>IF(OR(Grunddaten!$D$19&lt;&gt;2,E6="-"),"-",SUM(F34,F35))</f>
        <v>-</v>
      </c>
      <c r="G36" s="328" t="str">
        <f>IF(OR(Grunddaten!$D$19&lt;&gt;2,G6="-"),"-",SUM(G34,G35))</f>
        <v>-</v>
      </c>
      <c r="H36" s="329" t="str">
        <f>IF(OR(Grunddaten!$D$19&lt;&gt;2,G6="-"),"-",SUM(H34,H35))</f>
        <v>-</v>
      </c>
      <c r="I36" s="328" t="str">
        <f>IF(OR(Grunddaten!$D$19&lt;&gt;2,I6="-"),"-",SUM(I34,I35))</f>
        <v>-</v>
      </c>
      <c r="J36" s="329" t="str">
        <f>IF(OR(Grunddaten!$D$19&lt;&gt;2,I6="-"),"-",SUM(J34,J35))</f>
        <v>-</v>
      </c>
      <c r="K36" s="328" t="str">
        <f>IF(OR(Grunddaten!$D$19&lt;&gt;2,K6="-"),"-",SUM(K34,K35))</f>
        <v>-</v>
      </c>
      <c r="L36" s="329" t="str">
        <f>IF(OR(Grunddaten!$D$19&lt;&gt;2,K6="-"),"-",SUM(L34,L35))</f>
        <v>-</v>
      </c>
      <c r="M36" s="83"/>
    </row>
    <row r="37" spans="1:13" s="82" customFormat="1" ht="27" customHeight="1" x14ac:dyDescent="0.3">
      <c r="A37" s="481" t="s">
        <v>567</v>
      </c>
      <c r="B37" s="483" t="s">
        <v>798</v>
      </c>
      <c r="C37" s="328" t="str">
        <f>IF(OR(Grunddaten!$D$19&lt;&gt;2,C6="-"),"-",HLOOKUP(C6,Grund_ue_u,2,FALSE))</f>
        <v>-</v>
      </c>
      <c r="D37" s="329" t="str">
        <f>IF(OR(Grunddaten!$D$19&lt;&gt;2,C6="-"),"-",HLOOKUP(C6,Grund_ue_u,3,FALSE))</f>
        <v>-</v>
      </c>
      <c r="E37" s="330"/>
      <c r="F37" s="330"/>
      <c r="G37" s="331"/>
      <c r="H37" s="330"/>
      <c r="I37" s="331"/>
      <c r="J37" s="330"/>
      <c r="K37" s="331"/>
      <c r="L37" s="332"/>
      <c r="M37" s="83"/>
    </row>
    <row r="38" spans="1:13" s="82" customFormat="1" ht="27" customHeight="1" x14ac:dyDescent="0.3">
      <c r="A38" s="484" t="s">
        <v>568</v>
      </c>
      <c r="B38" s="437" t="s">
        <v>787</v>
      </c>
      <c r="C38" s="718"/>
      <c r="D38" s="719"/>
      <c r="E38" s="333" t="str">
        <f>IF(OR(Grunddaten!$D$19&lt;&gt;2,E6="-"),"-",HLOOKUP(E6,Grund_ue_u,2,FALSE))</f>
        <v>-</v>
      </c>
      <c r="F38" s="334" t="str">
        <f>IF(OR(Grunddaten!$D$19&lt;&gt;2,E6="-"),"-",HLOOKUP(E6,Grund_ue_u,3,FALSE))</f>
        <v>-</v>
      </c>
      <c r="G38" s="333" t="str">
        <f>IF(OR(Grunddaten!$D$19&lt;&gt;2,G6="-"),"-",HLOOKUP(G6,Grund_ue_u,2,FALSE))</f>
        <v>-</v>
      </c>
      <c r="H38" s="334" t="str">
        <f>IF(OR(Grunddaten!$D$19&lt;&gt;2,G6="-"),"-",HLOOKUP(G6,Grund_ue_u,3,FALSE))</f>
        <v>-</v>
      </c>
      <c r="I38" s="333" t="str">
        <f>IF(OR(Grunddaten!$D$19&lt;&gt;2,I6="-"),"-",HLOOKUP(I6,Grund_ue_u,2,FALSE))</f>
        <v>-</v>
      </c>
      <c r="J38" s="334" t="str">
        <f>IF(OR(Grunddaten!$D$19&lt;&gt;2,I6="-"),"-",HLOOKUP(I6,Grund_ue_u,3,FALSE))</f>
        <v>-</v>
      </c>
      <c r="K38" s="333" t="str">
        <f>IF(OR(Grunddaten!$D$19&lt;&gt;2,K6="-"),"-",HLOOKUP(K6,Grund_ue_u,2,FALSE))</f>
        <v>-</v>
      </c>
      <c r="L38" s="334" t="str">
        <f>IF(OR(Grunddaten!$D$19&lt;&gt;2,K6="-"),"-",HLOOKUP(K6,Grund_ue_u,3,FALSE))</f>
        <v>-</v>
      </c>
      <c r="M38" s="83"/>
    </row>
    <row r="39" spans="1:13" s="82" customFormat="1" ht="45" customHeight="1" thickBot="1" x14ac:dyDescent="0.35">
      <c r="A39" s="320" t="s">
        <v>569</v>
      </c>
      <c r="B39" s="480" t="s">
        <v>802</v>
      </c>
      <c r="C39" s="498" t="str">
        <f>IF(OR(Grunddaten!$D$19&lt;&gt;2,C6="-"),"-",ROUND(SUM(C36,-C37,C38),2))</f>
        <v>-</v>
      </c>
      <c r="D39" s="499" t="str">
        <f>IF(OR(Grunddaten!$D$19&lt;&gt;2,C6="-"),"-",ROUND(SUM(D36,-D37,D38),2))</f>
        <v>-</v>
      </c>
      <c r="E39" s="498" t="str">
        <f>IF(OR(Grunddaten!$D$19&lt;&gt;2,E6="-"),"-",ROUND(SUM(E36,-E37,E38),2))</f>
        <v>-</v>
      </c>
      <c r="F39" s="499" t="str">
        <f>IF(OR(Grunddaten!$D$19&lt;&gt;2,E6="-"),"-",ROUND(SUM(F36,-F37,F38),2))</f>
        <v>-</v>
      </c>
      <c r="G39" s="498" t="str">
        <f>IF(OR(Grunddaten!$D$19&lt;&gt;2,G6="-"),"-",ROUND(SUM(G36,-G37,G38),2))</f>
        <v>-</v>
      </c>
      <c r="H39" s="499" t="str">
        <f>IF(OR(Grunddaten!$D$19&lt;&gt;2,G6="-"),"-",ROUND(SUM(H36,-H37,H38),2))</f>
        <v>-</v>
      </c>
      <c r="I39" s="498" t="str">
        <f>IF(OR(Grunddaten!$D$19&lt;&gt;2,I6="-"),"-",ROUND(SUM(I36,-I37,I38),2))</f>
        <v>-</v>
      </c>
      <c r="J39" s="499" t="str">
        <f>IF(OR(Grunddaten!$D$19&lt;&gt;2,I6="-"),"-",ROUND(SUM(J36,-J37,J38),2))</f>
        <v>-</v>
      </c>
      <c r="K39" s="498" t="str">
        <f>IF(OR(Grunddaten!$D$19&lt;&gt;2,K6="-"),"-",ROUND(SUM(K36,-K37,K38),2))</f>
        <v>-</v>
      </c>
      <c r="L39" s="499" t="str">
        <f>IF(OR(Grunddaten!$D$19&lt;&gt;2,K6="-"),"-",ROUND(SUM(L36,-L37,L38),2))</f>
        <v>-</v>
      </c>
      <c r="M39" s="83"/>
    </row>
    <row r="40" spans="1:13" s="84" customFormat="1" ht="6.75" customHeight="1" x14ac:dyDescent="0.3">
      <c r="A40" s="440"/>
      <c r="B40" s="440"/>
      <c r="C40" s="440"/>
      <c r="D40" s="440"/>
      <c r="E40" s="440"/>
      <c r="F40" s="440"/>
      <c r="G40" s="440"/>
      <c r="H40" s="440"/>
      <c r="I40" s="440"/>
      <c r="J40" s="440"/>
      <c r="K40" s="440"/>
      <c r="L40" s="454"/>
    </row>
    <row r="41" spans="1:13" s="83" customFormat="1" ht="28.5" customHeight="1" x14ac:dyDescent="0.3">
      <c r="A41" s="700" t="s">
        <v>570</v>
      </c>
      <c r="B41" s="720" t="str">
        <f>IF(Grunddaten!$D$19&lt;&gt;2,"Gebühren nach dem modifizierten Frischwassermaßstab -Berechnung der Überdeckungen bzw. Unterdeckungen-","Gebühren nach dem modifizierten Frischwassermaßstab - keine Berechnung, da gesplittete Gebühren berechnet werden - siehe Nr. 3a")</f>
        <v>Gebühren nach dem modifizierten Frischwassermaßstab -Berechnung der Überdeckungen bzw. Unterdeckungen-</v>
      </c>
      <c r="C41" s="721"/>
      <c r="D41" s="721"/>
      <c r="E41" s="721"/>
      <c r="F41" s="721"/>
      <c r="G41" s="721"/>
      <c r="H41" s="721"/>
      <c r="I41" s="721"/>
      <c r="J41" s="721"/>
      <c r="K41" s="721"/>
      <c r="L41" s="722"/>
    </row>
    <row r="42" spans="1:13" s="82" customFormat="1" ht="16.5" customHeight="1" x14ac:dyDescent="0.3">
      <c r="A42" s="698"/>
      <c r="B42" s="485" t="s">
        <v>140</v>
      </c>
      <c r="C42" s="723">
        <f>C6</f>
        <v>2012</v>
      </c>
      <c r="D42" s="717"/>
      <c r="E42" s="723">
        <f t="shared" ref="E42" si="44">E6</f>
        <v>2013</v>
      </c>
      <c r="F42" s="717"/>
      <c r="G42" s="723">
        <f t="shared" ref="G42" si="45">G6</f>
        <v>2014</v>
      </c>
      <c r="H42" s="717"/>
      <c r="I42" s="723">
        <f t="shared" ref="I42" si="46">I6</f>
        <v>2015</v>
      </c>
      <c r="J42" s="717"/>
      <c r="K42" s="723">
        <f t="shared" ref="K42" si="47">K6</f>
        <v>2016</v>
      </c>
      <c r="L42" s="717"/>
      <c r="M42" s="83"/>
    </row>
    <row r="43" spans="1:13" s="82" customFormat="1" ht="14.1" customHeight="1" x14ac:dyDescent="0.3">
      <c r="A43" s="699"/>
      <c r="B43" s="434" t="s">
        <v>342</v>
      </c>
      <c r="C43" s="729" t="str">
        <f>IF(OR(Grunddaten!$D$19=2,C6="-"),"-","SW + RW")</f>
        <v>SW + RW</v>
      </c>
      <c r="D43" s="730"/>
      <c r="E43" s="729" t="str">
        <f>IF(OR(Grunddaten!$D$19=2,E6="-"),"-","SW + RW")</f>
        <v>SW + RW</v>
      </c>
      <c r="F43" s="730"/>
      <c r="G43" s="729" t="str">
        <f>IF(OR(Grunddaten!$D$19=2,G6="-"),"-","SW + RW")</f>
        <v>SW + RW</v>
      </c>
      <c r="H43" s="730"/>
      <c r="I43" s="729" t="str">
        <f>IF(OR(Grunddaten!$D$19=2,I6="-"),"-","SW + RW")</f>
        <v>SW + RW</v>
      </c>
      <c r="J43" s="730"/>
      <c r="K43" s="729" t="str">
        <f>IF(OR(Grunddaten!$D$19=2,K6="-"),"-","SW + RW")</f>
        <v>SW + RW</v>
      </c>
      <c r="L43" s="730"/>
      <c r="M43" s="83"/>
    </row>
    <row r="44" spans="1:13" s="82" customFormat="1" ht="27" customHeight="1" x14ac:dyDescent="0.3">
      <c r="A44" s="443" t="s">
        <v>571</v>
      </c>
      <c r="B44" s="434" t="s">
        <v>795</v>
      </c>
      <c r="C44" s="727">
        <f>IF(OR(Grunddaten!$D$19=2,C6="-"),"-",SUM(C13,D13,C23,D23)*-1)</f>
        <v>-358823.79999999993</v>
      </c>
      <c r="D44" s="728"/>
      <c r="E44" s="727">
        <f>IF(OR(Grunddaten!$D$19=2,E6="-"),"-",SUM(E13,F13,E23,F23)*-1)</f>
        <v>-357034.49</v>
      </c>
      <c r="F44" s="728"/>
      <c r="G44" s="727">
        <f>IF(OR(Grunddaten!$D$19=2,G6="-"),"-",SUM(G13,H13,G23,H23)*-1)</f>
        <v>-361103.12</v>
      </c>
      <c r="H44" s="728"/>
      <c r="I44" s="727">
        <f>IF(OR(Grunddaten!$D$19=2,I6="-"),"-",SUM(I13,J13,I23,J23)*-1)</f>
        <v>-329670.79000000004</v>
      </c>
      <c r="J44" s="728"/>
      <c r="K44" s="727">
        <f>IF(OR(Grunddaten!$D$19=2,K6="-"),"-",SUM(K13,L13,K23,L23)*-1)</f>
        <v>-349328.11</v>
      </c>
      <c r="L44" s="728"/>
      <c r="M44" s="83"/>
    </row>
    <row r="45" spans="1:13" s="82" customFormat="1" ht="26.25" customHeight="1" x14ac:dyDescent="0.3">
      <c r="A45" s="443" t="s">
        <v>572</v>
      </c>
      <c r="B45" s="486" t="s">
        <v>796</v>
      </c>
      <c r="C45" s="727">
        <f>IF(OR(Grunddaten!$D$19=2,C6="-"),"-",SUM(C27,D27)*-1)</f>
        <v>-722481.13000000012</v>
      </c>
      <c r="D45" s="728"/>
      <c r="E45" s="727">
        <f>IF(OR(Grunddaten!$D$19=2,E6="-"),"-",SUM(E27,F27)*-1)</f>
        <v>-724075.27999999991</v>
      </c>
      <c r="F45" s="728"/>
      <c r="G45" s="727">
        <f>IF(OR(Grunddaten!$D$19=2,G6="-"),"-",SUM(G27,H27)*-1)</f>
        <v>-764456.9</v>
      </c>
      <c r="H45" s="728"/>
      <c r="I45" s="727">
        <f>IF(OR(Grunddaten!$D$19=2,I6="-"),"-",SUM(I27,J27)*-1)</f>
        <v>-756066.24</v>
      </c>
      <c r="J45" s="728"/>
      <c r="K45" s="727">
        <f>IF(OR(Grunddaten!$D$19=2,K6="-"),"-",SUM(K27,L27)*-1)</f>
        <v>-765625</v>
      </c>
      <c r="L45" s="728"/>
      <c r="M45" s="83"/>
    </row>
    <row r="46" spans="1:13" s="82" customFormat="1" ht="28.5" customHeight="1" x14ac:dyDescent="0.3">
      <c r="A46" s="443" t="s">
        <v>573</v>
      </c>
      <c r="B46" s="487" t="s">
        <v>803</v>
      </c>
      <c r="C46" s="734">
        <f>IF(OR(Grunddaten!$D$19=2,C6="-"),"-",SUM(C44,C45))</f>
        <v>-1081304.9300000002</v>
      </c>
      <c r="D46" s="735"/>
      <c r="E46" s="734">
        <f>IF(OR(Grunddaten!$D$19=2,E6="-"),"-",SUM(E44,E45))</f>
        <v>-1081109.77</v>
      </c>
      <c r="F46" s="735"/>
      <c r="G46" s="734">
        <f>IF(OR(Grunddaten!$D$19=2,G6="-"),"-",SUM(G44,G45))</f>
        <v>-1125560.02</v>
      </c>
      <c r="H46" s="735"/>
      <c r="I46" s="734">
        <f>IF(OR(Grunddaten!$D$19=2,I6="-"),"-",SUM(I44,I45))</f>
        <v>-1085737.03</v>
      </c>
      <c r="J46" s="735"/>
      <c r="K46" s="734">
        <f>IF(OR(Grunddaten!$D$19=2,K6="-"),"-",SUM(K44,K45))</f>
        <v>-1114953.1099999999</v>
      </c>
      <c r="L46" s="735"/>
      <c r="M46" s="83"/>
    </row>
    <row r="47" spans="1:13" s="82" customFormat="1" ht="27" customHeight="1" x14ac:dyDescent="0.3">
      <c r="A47" s="443" t="s">
        <v>574</v>
      </c>
      <c r="B47" s="488" t="s">
        <v>799</v>
      </c>
      <c r="C47" s="736">
        <f>IF(OR(Grunddaten!$D$19=2,C6="-"),"-",HLOOKUP(C6,Grund_geb_ein,7,FALSE))</f>
        <v>920111</v>
      </c>
      <c r="D47" s="737"/>
      <c r="E47" s="736">
        <f>IF(OR(Grunddaten!$D$19=2,E6="-"),"-",HLOOKUP(E6,Grund_geb_ein,7,FALSE))</f>
        <v>942513</v>
      </c>
      <c r="F47" s="737"/>
      <c r="G47" s="736">
        <f>IF(OR(Grunddaten!$D$19=2,G6="-"),"-",HLOOKUP(G6,Grund_geb_ein,7,FALSE))</f>
        <v>965363</v>
      </c>
      <c r="H47" s="737"/>
      <c r="I47" s="736">
        <f>IF(OR(Grunddaten!$D$19=2,I6="-"),"-",HLOOKUP(I6,Grund_geb_ein,7,FALSE))</f>
        <v>968671</v>
      </c>
      <c r="J47" s="737"/>
      <c r="K47" s="736">
        <f>IF(OR(Grunddaten!$D$19=2,K6="-"),"-",HLOOKUP(K6,Grund_geb_ein,7,FALSE))</f>
        <v>962444</v>
      </c>
      <c r="L47" s="737"/>
      <c r="M47" s="83"/>
    </row>
    <row r="48" spans="1:13" s="82" customFormat="1" ht="27" customHeight="1" x14ac:dyDescent="0.3">
      <c r="A48" s="443" t="s">
        <v>575</v>
      </c>
      <c r="B48" s="489" t="s">
        <v>800</v>
      </c>
      <c r="C48" s="731">
        <f>IF(OR(Grunddaten!$D$19=2,C6="-"),"-",SUM(C46,C47))</f>
        <v>-161193.93000000017</v>
      </c>
      <c r="D48" s="732"/>
      <c r="E48" s="731">
        <f>IF(OR(Grunddaten!$D$19=2,E6="-"),"-",SUM(E46,E47))</f>
        <v>-138596.77000000002</v>
      </c>
      <c r="F48" s="732"/>
      <c r="G48" s="731">
        <f>IF(OR(Grunddaten!$D$19=2,G6="-"),"-",SUM(G46,G47))</f>
        <v>-160197.02000000002</v>
      </c>
      <c r="H48" s="732"/>
      <c r="I48" s="731">
        <f>IF(OR(Grunddaten!$D$19=2,I6="-"),"-",SUM(I46,I47))</f>
        <v>-117066.03000000003</v>
      </c>
      <c r="J48" s="732"/>
      <c r="K48" s="731">
        <f>IF(OR(Grunddaten!$D$19=2,K6="-"),"-",SUM(K46,K47))</f>
        <v>-152509.10999999987</v>
      </c>
      <c r="L48" s="732"/>
      <c r="M48" s="83"/>
    </row>
    <row r="49" spans="1:13" s="82" customFormat="1" ht="45" customHeight="1" x14ac:dyDescent="0.3">
      <c r="A49" s="443" t="s">
        <v>576</v>
      </c>
      <c r="B49" s="483" t="s">
        <v>798</v>
      </c>
      <c r="C49" s="733">
        <f>IF(OR(Grunddaten!$D$19=2,C6="-"),"-",HLOOKUP(C6,Grund_ue_u,4,FALSE))</f>
        <v>-43456</v>
      </c>
      <c r="D49" s="728"/>
      <c r="E49" s="330"/>
      <c r="F49" s="330"/>
      <c r="G49" s="331"/>
      <c r="H49" s="330"/>
      <c r="I49" s="331"/>
      <c r="J49" s="330"/>
      <c r="K49" s="331"/>
      <c r="L49" s="332"/>
      <c r="M49" s="83"/>
    </row>
    <row r="50" spans="1:13" s="82" customFormat="1" ht="27" customHeight="1" x14ac:dyDescent="0.3">
      <c r="A50" s="443" t="s">
        <v>577</v>
      </c>
      <c r="B50" s="490" t="s">
        <v>787</v>
      </c>
      <c r="C50" s="718"/>
      <c r="D50" s="719"/>
      <c r="E50" s="747">
        <f>IF(OR(Grunddaten!$D$19=2,E6="-"),"-",HLOOKUP(E6,Grund_ue_u,4,FALSE))</f>
        <v>15665</v>
      </c>
      <c r="F50" s="737"/>
      <c r="G50" s="747">
        <f>IF(OR(Grunddaten!$D$19=2,G6="-"),"-",HLOOKUP(G6,Grund_ue_u,4,FALSE))</f>
        <v>15665</v>
      </c>
      <c r="H50" s="737"/>
      <c r="I50" s="747">
        <f>IF(OR(Grunddaten!$D$19=2,I6="-"),"-",HLOOKUP(I6,Grund_ue_u,4,FALSE))</f>
        <v>15665</v>
      </c>
      <c r="J50" s="737"/>
      <c r="K50" s="747">
        <f>IF(OR(Grunddaten!$D$19=2,K6="-"),"-",HLOOKUP(K6,Grund_ue_u,4,FALSE))</f>
        <v>15665</v>
      </c>
      <c r="L50" s="737"/>
      <c r="M50" s="83"/>
    </row>
    <row r="51" spans="1:13" s="82" customFormat="1" ht="45" customHeight="1" thickBot="1" x14ac:dyDescent="0.35">
      <c r="A51" s="320" t="s">
        <v>578</v>
      </c>
      <c r="B51" s="497" t="s">
        <v>801</v>
      </c>
      <c r="C51" s="748">
        <f>IF(OR(Grunddaten!$D$19=2,C6="-"),"-",ROUND(SUM(C48,-C49,C50),2))</f>
        <v>-117737.93</v>
      </c>
      <c r="D51" s="749"/>
      <c r="E51" s="748">
        <f>IF(OR(Grunddaten!$D$19=2,E6="-"),"-",ROUND(SUM(E48,-E49,E50),2))</f>
        <v>-122931.77</v>
      </c>
      <c r="F51" s="749"/>
      <c r="G51" s="748">
        <f>IF(OR(Grunddaten!$D$19=2,G6="-"),"-",ROUND(SUM(G48,-G49,G50),2))</f>
        <v>-144532.01999999999</v>
      </c>
      <c r="H51" s="749"/>
      <c r="I51" s="748">
        <f>IF(OR(Grunddaten!$D$19=2,I6="-"),"-",ROUND(SUM(I48,-I49,I50),2))</f>
        <v>-101401.03</v>
      </c>
      <c r="J51" s="749"/>
      <c r="K51" s="748">
        <f>IF(OR(Grunddaten!$D$19=2,K6="-"),"-",ROUND(SUM(K48,-K49,K50),2))</f>
        <v>-136844.10999999999</v>
      </c>
      <c r="L51" s="749"/>
      <c r="M51" s="83"/>
    </row>
    <row r="52" spans="1:13" s="84" customFormat="1" ht="6.75" customHeight="1" x14ac:dyDescent="0.3">
      <c r="A52" s="440"/>
      <c r="B52" s="440"/>
      <c r="C52" s="440"/>
      <c r="D52" s="440"/>
      <c r="E52" s="440"/>
      <c r="F52" s="440"/>
      <c r="G52" s="440"/>
      <c r="H52" s="440"/>
      <c r="I52" s="440"/>
      <c r="J52" s="440"/>
      <c r="K52" s="440"/>
      <c r="L52" s="454"/>
    </row>
    <row r="53" spans="1:13" s="491" customFormat="1" ht="26.25" customHeight="1" thickBot="1" x14ac:dyDescent="0.35">
      <c r="A53" s="75" t="s">
        <v>579</v>
      </c>
      <c r="B53" s="738" t="s">
        <v>804</v>
      </c>
      <c r="C53" s="739"/>
      <c r="D53" s="739"/>
      <c r="E53" s="739"/>
      <c r="F53" s="739"/>
      <c r="G53" s="739"/>
      <c r="H53" s="739"/>
      <c r="I53" s="739"/>
      <c r="J53" s="740"/>
      <c r="K53" s="741" t="str">
        <f>IF(Grunddaten!$D$19=2,"Summe Unterdeckung(-)-/Überdeck. =  "&amp;TEXT(SUM(C39:L39),"0.000,00 €"),"Summe Unterdeckung(-)-/Überdeck. =  "&amp;TEXT(SUM(C51:L51),"0.000,00 €"))</f>
        <v>Summe Unterdeckung(-)-/Überdeck. =  -623.446,86 €</v>
      </c>
      <c r="L53" s="742"/>
      <c r="M53" s="426"/>
    </row>
    <row r="54" spans="1:13" s="84" customFormat="1" ht="6.75" customHeight="1" x14ac:dyDescent="0.3">
      <c r="A54" s="440"/>
      <c r="B54" s="440"/>
      <c r="C54" s="440"/>
      <c r="D54" s="440"/>
      <c r="E54" s="440"/>
      <c r="F54" s="440"/>
      <c r="G54" s="440"/>
      <c r="H54" s="440"/>
      <c r="I54" s="440"/>
      <c r="J54" s="440"/>
      <c r="K54" s="440"/>
      <c r="L54" s="454"/>
    </row>
    <row r="55" spans="1:13" s="112" customFormat="1" ht="33" customHeight="1" x14ac:dyDescent="0.3">
      <c r="A55" s="425"/>
      <c r="B55" s="743" t="s">
        <v>341</v>
      </c>
      <c r="C55" s="744"/>
      <c r="D55" s="744"/>
      <c r="E55" s="744"/>
      <c r="F55" s="744"/>
      <c r="G55" s="744"/>
      <c r="H55" s="744"/>
      <c r="I55" s="744"/>
      <c r="J55" s="744"/>
      <c r="K55" s="745"/>
      <c r="L55" s="746"/>
    </row>
    <row r="56" spans="1:13" s="82" customFormat="1" ht="18" customHeight="1" x14ac:dyDescent="0.3">
      <c r="A56" s="443" t="s">
        <v>580</v>
      </c>
      <c r="B56" s="442" t="s">
        <v>140</v>
      </c>
      <c r="C56" s="723">
        <f>C6</f>
        <v>2012</v>
      </c>
      <c r="D56" s="717"/>
      <c r="E56" s="723">
        <f t="shared" ref="E56" si="48">E6</f>
        <v>2013</v>
      </c>
      <c r="F56" s="717"/>
      <c r="G56" s="723">
        <f t="shared" ref="G56" si="49">G6</f>
        <v>2014</v>
      </c>
      <c r="H56" s="717"/>
      <c r="I56" s="723">
        <f t="shared" ref="I56" si="50">I6</f>
        <v>2015</v>
      </c>
      <c r="J56" s="717"/>
      <c r="K56" s="723">
        <f t="shared" ref="K56" si="51">K6</f>
        <v>2016</v>
      </c>
      <c r="L56" s="717"/>
      <c r="M56" s="83"/>
    </row>
    <row r="57" spans="1:13" s="82" customFormat="1" ht="15" customHeight="1" x14ac:dyDescent="0.3">
      <c r="A57" s="443" t="s">
        <v>581</v>
      </c>
      <c r="B57" s="434" t="s">
        <v>342</v>
      </c>
      <c r="C57" s="444" t="str">
        <f>IF(C6="-","-","SW")</f>
        <v>SW</v>
      </c>
      <c r="D57" s="445" t="str">
        <f>IF(C6="-","-","RW")</f>
        <v>RW</v>
      </c>
      <c r="E57" s="535" t="str">
        <f t="shared" ref="E57" si="52">IF(E6="-","-","SW")</f>
        <v>SW</v>
      </c>
      <c r="F57" s="445" t="str">
        <f t="shared" ref="F57" si="53">IF(E6="-","-","RW")</f>
        <v>RW</v>
      </c>
      <c r="G57" s="535" t="str">
        <f t="shared" ref="G57" si="54">IF(G6="-","-","SW")</f>
        <v>SW</v>
      </c>
      <c r="H57" s="445" t="str">
        <f t="shared" ref="H57" si="55">IF(G6="-","-","RW")</f>
        <v>RW</v>
      </c>
      <c r="I57" s="535" t="str">
        <f t="shared" ref="I57" si="56">IF(I6="-","-","SW")</f>
        <v>SW</v>
      </c>
      <c r="J57" s="445" t="str">
        <f t="shared" ref="J57" si="57">IF(I6="-","-","RW")</f>
        <v>RW</v>
      </c>
      <c r="K57" s="535" t="str">
        <f t="shared" ref="K57" si="58">IF(K6="-","-","SW")</f>
        <v>SW</v>
      </c>
      <c r="L57" s="445" t="str">
        <f t="shared" ref="L57" si="59">IF(K6="-","-","RW")</f>
        <v>RW</v>
      </c>
      <c r="M57" s="83"/>
    </row>
    <row r="58" spans="1:13" s="82" customFormat="1" ht="30" customHeight="1" x14ac:dyDescent="0.3">
      <c r="A58" s="443" t="s">
        <v>582</v>
      </c>
      <c r="B58" s="447" t="s">
        <v>343</v>
      </c>
      <c r="C58" s="76">
        <f>IF(SUM(C13,C23,C27,D13,D23,D27)&lt;&gt;0,SUM(C13,C23,C27)/(SUM(C13,C23,C27,D13,D23,D27)),"-")</f>
        <v>0.94455569531158989</v>
      </c>
      <c r="D58" s="77">
        <f>IF(SUM(C13,C23,C27,D13,D23,D27)&lt;&gt;0,SUM(D13,D23,D27)/(SUM(C13,C23,C27,D13,D23,D27)),"-")</f>
        <v>5.5444304688410141E-2</v>
      </c>
      <c r="E58" s="76">
        <f>IF(SUM(E13,E23,E27,F13,F23,F27)&lt;&gt;0,SUM(E13,E23,E27)/(SUM(E13,E23,E27,F13,F23,F27)),"-")</f>
        <v>0.94335120105333981</v>
      </c>
      <c r="F58" s="77">
        <f>IF(SUM(E13,E23,E27,F13,F23,F27)&lt;&gt;0,SUM(F13,F23,F27)/(SUM(E13,E23,E27,F13,F23,F27)),"-")</f>
        <v>5.664879894666016E-2</v>
      </c>
      <c r="G58" s="76">
        <f t="shared" ref="G58" si="60">IF(SUM(G13,G23,G27,H13,H23,H27)&lt;&gt;0,SUM(G13,G23,G27)/(SUM(G13,G23,G27,H13,H23,H27)),"-")</f>
        <v>0.93209271061351306</v>
      </c>
      <c r="H58" s="77">
        <f t="shared" ref="H58" si="61">IF(SUM(G13,G23,G27,H13,H23,H27)&lt;&gt;0,SUM(H13,H23,H27)/(SUM(G13,G23,G27,H13,H23,H27)),"-")</f>
        <v>6.7907289386486921E-2</v>
      </c>
      <c r="I58" s="76">
        <f t="shared" ref="I58" si="62">IF(SUM(I13,I23,I27,J13,J23,J27)&lt;&gt;0,SUM(I13,I23,I27)/(SUM(I13,I23,I27,J13,J23,J27)),"-")</f>
        <v>0.92456759073603667</v>
      </c>
      <c r="J58" s="77">
        <f t="shared" ref="J58" si="63">IF(SUM(I13,I23,I27,J13,J23,J27)&lt;&gt;0,SUM(J13,J23,J27)/(SUM(I13,I23,I27,J13,J23,J27)),"-")</f>
        <v>7.5432409263963301E-2</v>
      </c>
      <c r="K58" s="76">
        <f t="shared" ref="K58" si="64">IF(SUM(K13,K23,K27,L13,L23,L27)&lt;&gt;0,SUM(K13,K23,K27)/(SUM(K13,K23,K27,L13,L23,L27)),"-")</f>
        <v>0.91910123466985971</v>
      </c>
      <c r="L58" s="77">
        <f t="shared" ref="L58" si="65">IF(SUM(K13,K23,K27,L13,L23,L27)&lt;&gt;0,SUM(L13,L23,L27)/(SUM(K13,K23,K27,L13,L23,L27)),"-")</f>
        <v>8.0898765330140204E-2</v>
      </c>
      <c r="M58" s="83"/>
    </row>
    <row r="59" spans="1:13" s="82" customFormat="1" ht="30" customHeight="1" x14ac:dyDescent="0.3">
      <c r="A59" s="443" t="s">
        <v>583</v>
      </c>
      <c r="B59" s="451" t="str">
        <f>"Anteil Schmutzwasserbeseitigung in %  "
&amp; "Durchschnitt von "&amp;C42 &amp; " bis "&amp;C42+4</f>
        <v>Anteil Schmutzwasserbeseitigung in %  Durchschnitt von 2012 bis 2016</v>
      </c>
      <c r="C59" s="750">
        <f>IF(SUM(C13,C23,C27,E13,E23,E27,G13,G23,G27,I13,I23,I27,K13,K23,K27)&lt;&gt;0,ROUND(SUM(C13,C23,C27,E13,E23,E27,G13,G23,G27,I13,I23,I27,K13,K23,K27)/SUM(C13,C23,C27,E13,E23,E27,G13,G23,G27,I13,I23,I27,K13,K23,K27,D13,D23,D27,F13,F23,F27,H13,H23,H27,J13,J23,J27,L13,L23,L27),4),"-")</f>
        <v>0.93259999999999998</v>
      </c>
      <c r="D59" s="751"/>
      <c r="E59" s="751"/>
      <c r="F59" s="751"/>
      <c r="G59" s="751"/>
      <c r="H59" s="751"/>
      <c r="I59" s="751"/>
      <c r="J59" s="751"/>
      <c r="K59" s="751"/>
      <c r="L59" s="752"/>
      <c r="M59" s="83"/>
    </row>
    <row r="60" spans="1:13" s="82" customFormat="1" ht="30" customHeight="1" x14ac:dyDescent="0.3">
      <c r="A60" s="443" t="s">
        <v>584</v>
      </c>
      <c r="B60" s="447" t="str">
        <f>"Anteil Regenwasserbeseit. aus GrSt in %  "
&amp; "Durchschnitt von "&amp;C42 &amp; " bis "&amp;C42+4&amp;"   1)"</f>
        <v>Anteil Regenwasserbeseit. aus GrSt in %  Durchschnitt von 2012 bis 2016   1)</v>
      </c>
      <c r="C60" s="753">
        <f>IF(SUM(D13,D23,D27,F13,F23,F27,H13,H23,H27,J13,J23,J27,L13,L23,L27)&lt;&gt;0,ROUND(SUM(D13,D23,D27,F13,F23,F27,H13,H23,H27,J13,J23,J27,L13,L23,L27)/SUM(C13,C23,C27,E13,E23,E27,G13,G23,G27,I13,I23,I27,K13,K23,K27,D13,D23,D27,F13,F23,F27,H13,H23,H27,J13,J23,J27,L13,L23,L27),4),"-")</f>
        <v>6.7400000000000002E-2</v>
      </c>
      <c r="D60" s="754"/>
      <c r="E60" s="754"/>
      <c r="F60" s="754"/>
      <c r="G60" s="754"/>
      <c r="H60" s="754"/>
      <c r="I60" s="754"/>
      <c r="J60" s="754"/>
      <c r="K60" s="754"/>
      <c r="L60" s="755"/>
      <c r="M60" s="83"/>
    </row>
    <row r="61" spans="1:13" s="82" customFormat="1" ht="28.5" customHeight="1" thickBot="1" x14ac:dyDescent="0.35">
      <c r="A61" s="459" t="s">
        <v>585</v>
      </c>
      <c r="B61" s="756" t="s">
        <v>719</v>
      </c>
      <c r="C61" s="757"/>
      <c r="D61" s="757"/>
      <c r="E61" s="757"/>
      <c r="F61" s="757"/>
      <c r="G61" s="757"/>
      <c r="H61" s="757"/>
      <c r="I61" s="757"/>
      <c r="J61" s="757"/>
      <c r="K61" s="757"/>
      <c r="L61" s="758"/>
      <c r="M61" s="83"/>
    </row>
    <row r="62" spans="1:13" s="84" customFormat="1" ht="6.75" customHeight="1" x14ac:dyDescent="0.3">
      <c r="A62" s="460"/>
      <c r="B62" s="440"/>
      <c r="C62" s="440"/>
      <c r="D62" s="440"/>
      <c r="E62" s="440"/>
      <c r="F62" s="440"/>
      <c r="G62" s="440"/>
      <c r="H62" s="440"/>
      <c r="I62" s="440"/>
      <c r="J62" s="440"/>
      <c r="K62" s="440"/>
      <c r="L62" s="454"/>
    </row>
    <row r="63" spans="1:13" s="82" customFormat="1" ht="33" customHeight="1" x14ac:dyDescent="0.3">
      <c r="A63" s="443" t="s">
        <v>586</v>
      </c>
      <c r="B63" s="743" t="s">
        <v>344</v>
      </c>
      <c r="C63" s="744"/>
      <c r="D63" s="744"/>
      <c r="E63" s="744"/>
      <c r="F63" s="744"/>
      <c r="G63" s="744"/>
      <c r="H63" s="744"/>
      <c r="I63" s="744"/>
      <c r="J63" s="744"/>
      <c r="K63" s="492"/>
      <c r="L63" s="493"/>
      <c r="M63" s="83"/>
    </row>
    <row r="64" spans="1:13" s="82" customFormat="1" ht="19.5" customHeight="1" x14ac:dyDescent="0.3">
      <c r="A64" s="443" t="s">
        <v>587</v>
      </c>
      <c r="B64" s="494" t="s">
        <v>641</v>
      </c>
      <c r="C64" s="759">
        <f>C6</f>
        <v>2012</v>
      </c>
      <c r="D64" s="760"/>
      <c r="E64" s="759">
        <f>E6</f>
        <v>2013</v>
      </c>
      <c r="F64" s="760"/>
      <c r="G64" s="759">
        <f t="shared" ref="G64" si="66">G6</f>
        <v>2014</v>
      </c>
      <c r="H64" s="760"/>
      <c r="I64" s="759">
        <f t="shared" ref="I64" si="67">I6</f>
        <v>2015</v>
      </c>
      <c r="J64" s="760"/>
      <c r="K64" s="759">
        <f t="shared" ref="K64" si="68">K6</f>
        <v>2016</v>
      </c>
      <c r="L64" s="760"/>
      <c r="M64" s="83"/>
    </row>
    <row r="65" spans="1:13" s="82" customFormat="1" ht="21" customHeight="1" x14ac:dyDescent="0.3">
      <c r="A65" s="443" t="s">
        <v>588</v>
      </c>
      <c r="B65" s="434" t="s">
        <v>345</v>
      </c>
      <c r="C65" s="761">
        <f>IF(C6="-","-",IF(HLOOKUP(C6,Grund_be,2,FALSE)=2,ROUND(HLOOKUP(C6,Anlageg,47,FALSE)-HLOOKUP(C6,Zuwend,14,FALSE),2),ROUND(HLOOKUP(C6,Anlageg,30,FALSE)-HLOOKUP(C6,Zuwend,14,FALSE),2)))</f>
        <v>66300</v>
      </c>
      <c r="D65" s="762"/>
      <c r="E65" s="761">
        <f>IF(E6="-","-",IF(HLOOKUP(E6,Grund_be,2,FALSE)=2,ROUND(HLOOKUP(E6,Anlageg,47,FALSE)-HLOOKUP(E6,Zuwend,14,FALSE),2),ROUND(HLOOKUP(E6,Anlageg,30,FALSE)-HLOOKUP(E6,Zuwend,14,FALSE),2)))</f>
        <v>66300</v>
      </c>
      <c r="F65" s="762"/>
      <c r="G65" s="761">
        <f>IF(G6="-","-",IF(HLOOKUP(G6,Grund_be,2,FALSE)=2,ROUND(HLOOKUP(G6,Anlageg,47,FALSE)-HLOOKUP(G6,Zuwend,14,FALSE),2),ROUND(HLOOKUP(G6,Anlageg,30,FALSE)-HLOOKUP(G6,Zuwend,14,FALSE),2)))</f>
        <v>66300</v>
      </c>
      <c r="H65" s="762"/>
      <c r="I65" s="761">
        <f>IF(I6="-","-",IF(HLOOKUP(I6,Grund_be,2,FALSE)=2,ROUND(HLOOKUP(I6,Anlageg,47,FALSE)-HLOOKUP(I6,Zuwend,14,FALSE),2),ROUND(HLOOKUP(I6,Anlageg,30,FALSE)-HLOOKUP(I6,Zuwend,14,FALSE),2)))</f>
        <v>66300</v>
      </c>
      <c r="J65" s="762"/>
      <c r="K65" s="761">
        <f>IF(K6="-","-",IF(HLOOKUP(K6,Grund_be,2,FALSE)=2,ROUND(HLOOKUP(K6,Anlageg,47,FALSE)-HLOOKUP(K6,Zuwend,14,FALSE),2),ROUND(HLOOKUP(K6,Anlageg,30,FALSE)-HLOOKUP(K6,Zuwend,14,FALSE),2)))</f>
        <v>66300</v>
      </c>
      <c r="L65" s="762"/>
      <c r="M65" s="83"/>
    </row>
    <row r="66" spans="1:13" s="82" customFormat="1" ht="21" customHeight="1" x14ac:dyDescent="0.3">
      <c r="A66" s="443" t="s">
        <v>589</v>
      </c>
      <c r="B66" s="434" t="s">
        <v>346</v>
      </c>
      <c r="C66" s="761">
        <f>IF(C6&lt;&gt;"-",ROUND(HLOOKUP(C6,Anlageg,110,FALSE)-HLOOKUP(C6,Zuwend,45,FALSE),2),"-")</f>
        <v>54947.81</v>
      </c>
      <c r="D66" s="762"/>
      <c r="E66" s="761">
        <f>IF(E6&lt;&gt;"-",ROUND(HLOOKUP(E6,Anlageg,110,FALSE)-HLOOKUP(E6,Zuwend,45,FALSE),2),"-")</f>
        <v>52627.31</v>
      </c>
      <c r="F66" s="762"/>
      <c r="G66" s="761">
        <f>IF(G6&lt;&gt;"-",ROUND(HLOOKUP(G6,Anlageg,110,FALSE)-HLOOKUP(G6,Zuwend,45,FALSE),2),"-")</f>
        <v>50306.81</v>
      </c>
      <c r="H66" s="762"/>
      <c r="I66" s="761">
        <f>IF(I6&lt;&gt;"-",ROUND(HLOOKUP(I6,Anlageg,110,FALSE)-HLOOKUP(I6,Zuwend,45,FALSE),2),"-")</f>
        <v>47986.31</v>
      </c>
      <c r="J66" s="762"/>
      <c r="K66" s="761">
        <f>IF(K6&lt;&gt;"-",ROUND(HLOOKUP(K6,Anlageg,110,FALSE)-HLOOKUP(K6,Zuwend,45,FALSE),2),"-")</f>
        <v>45665.81</v>
      </c>
      <c r="L66" s="762"/>
      <c r="M66" s="83"/>
    </row>
    <row r="67" spans="1:13" s="82" customFormat="1" ht="21" customHeight="1" x14ac:dyDescent="0.3">
      <c r="A67" s="443" t="s">
        <v>590</v>
      </c>
      <c r="B67" s="469" t="s">
        <v>347</v>
      </c>
      <c r="C67" s="761">
        <f>IF(C6&lt;&gt;"-",ROUND(HLOOKUP(C6,Betriebsko,11,FALSE),2)-ROUND(HLOOKUP(C6,Betriebsko,6,FALSE),2),"-")</f>
        <v>39632.79</v>
      </c>
      <c r="D67" s="762"/>
      <c r="E67" s="761">
        <f>IF(E6&lt;&gt;"-",ROUND(HLOOKUP(E6,Betriebsko,11,FALSE),2)-ROUND(HLOOKUP(E6,Betriebsko,6,FALSE),2),"-")</f>
        <v>39849.280000000006</v>
      </c>
      <c r="F67" s="762"/>
      <c r="G67" s="761">
        <f>IF(G6&lt;&gt;"-",ROUND(HLOOKUP(G6,Betriebsko,11,FALSE),2)-ROUND(HLOOKUP(G6,Betriebsko,6,FALSE),2),"-")</f>
        <v>47908.47</v>
      </c>
      <c r="H67" s="762"/>
      <c r="I67" s="761">
        <f>IF(I6&lt;&gt;"-",ROUND(HLOOKUP(I6,Betriebsko,11,FALSE),2)-ROUND(HLOOKUP(I6,Betriebsko,6,FALSE),2),"-")</f>
        <v>49502.16</v>
      </c>
      <c r="J67" s="762"/>
      <c r="K67" s="761">
        <f>IF(K6&lt;&gt;"-",ROUND(HLOOKUP(K6,Betriebsko,11,FALSE),2)-ROUND(HLOOKUP(K6,Betriebsko,6,FALSE),2),"-")</f>
        <v>53875</v>
      </c>
      <c r="L67" s="762"/>
      <c r="M67" s="83"/>
    </row>
    <row r="68" spans="1:13" s="82" customFormat="1" ht="21" customHeight="1" x14ac:dyDescent="0.3">
      <c r="A68" s="443" t="s">
        <v>591</v>
      </c>
      <c r="B68" s="469" t="s">
        <v>348</v>
      </c>
      <c r="C68" s="761">
        <f>IF(SUM(C65:C67)&gt;0,SUM(C65:C67),"-")</f>
        <v>160880.6</v>
      </c>
      <c r="D68" s="762"/>
      <c r="E68" s="761">
        <f t="shared" ref="E68" si="69">IF(SUM(E65:E67)&gt;0,SUM(E65:E67),"-")</f>
        <v>158776.59</v>
      </c>
      <c r="F68" s="762"/>
      <c r="G68" s="761">
        <f t="shared" ref="G68" si="70">IF(SUM(G65:G67)&gt;0,SUM(G65:G67),"-")</f>
        <v>164515.28</v>
      </c>
      <c r="H68" s="762"/>
      <c r="I68" s="761">
        <f t="shared" ref="I68" si="71">IF(SUM(I65:I67)&gt;0,SUM(I65:I67),"-")</f>
        <v>163788.47</v>
      </c>
      <c r="J68" s="762"/>
      <c r="K68" s="761">
        <f t="shared" ref="K68" si="72">IF(SUM(K65:K67)&gt;0,SUM(K65:K67),"-")</f>
        <v>165840.81</v>
      </c>
      <c r="L68" s="762"/>
      <c r="M68" s="83"/>
    </row>
    <row r="69" spans="1:13" s="82" customFormat="1" ht="21" customHeight="1" thickBot="1" x14ac:dyDescent="0.35">
      <c r="A69" s="443" t="s">
        <v>592</v>
      </c>
      <c r="B69" s="470" t="s">
        <v>349</v>
      </c>
      <c r="C69" s="763">
        <f>IF(C6&lt;&gt;"-",ROUND(C68/(C68+SUM(C13,C23,C27,D13,D23,D27)),4),"-")</f>
        <v>0.1295</v>
      </c>
      <c r="D69" s="764"/>
      <c r="E69" s="763">
        <f>IF(E6&lt;&gt;"-",ROUND(E68/(E68+SUM(E13,E23,E27,F13,F23,F27)),4),"-")</f>
        <v>0.12809999999999999</v>
      </c>
      <c r="F69" s="764"/>
      <c r="G69" s="763">
        <f>IF(G6&lt;&gt;"-",ROUND(G68/(G68+SUM(G13,G23,G27,H13,H23,H27)),4),"-")</f>
        <v>0.1275</v>
      </c>
      <c r="H69" s="764"/>
      <c r="I69" s="763">
        <f>IF(I6&lt;&gt;"-",ROUND(I68/(I68+SUM(I13,I23,I27,J13,J23,J27)),4),"-")</f>
        <v>0.13109999999999999</v>
      </c>
      <c r="J69" s="764"/>
      <c r="K69" s="763">
        <f>IF(K6&lt;&gt;"-",ROUND(K68/(K68+SUM(K13,K23,K27,L13,L23,L27)),4),"-")</f>
        <v>0.1295</v>
      </c>
      <c r="L69" s="764"/>
      <c r="M69" s="83"/>
    </row>
    <row r="70" spans="1:13" s="82" customFormat="1" ht="30" customHeight="1" x14ac:dyDescent="0.3">
      <c r="A70" s="443" t="s">
        <v>593</v>
      </c>
      <c r="B70" s="428" t="s">
        <v>725</v>
      </c>
      <c r="C70" s="759">
        <f>C6</f>
        <v>2012</v>
      </c>
      <c r="D70" s="760"/>
      <c r="E70" s="759">
        <f t="shared" ref="E70" si="73">E6</f>
        <v>2013</v>
      </c>
      <c r="F70" s="760"/>
      <c r="G70" s="759">
        <f t="shared" ref="G70" si="74">G6</f>
        <v>2014</v>
      </c>
      <c r="H70" s="760"/>
      <c r="I70" s="759">
        <f t="shared" ref="I70" si="75">I6</f>
        <v>2015</v>
      </c>
      <c r="J70" s="760"/>
      <c r="K70" s="759">
        <f t="shared" ref="K70" si="76">K6</f>
        <v>2016</v>
      </c>
      <c r="L70" s="760"/>
    </row>
    <row r="71" spans="1:13" s="82" customFormat="1" ht="21" customHeight="1" x14ac:dyDescent="0.3">
      <c r="A71" s="443" t="s">
        <v>594</v>
      </c>
      <c r="B71" s="434" t="s">
        <v>350</v>
      </c>
      <c r="C71" s="765">
        <f>IF(C6&lt;&gt;"-",HLOOKUP(C6,Anlageg,116,FALSE),"-")</f>
        <v>0.02</v>
      </c>
      <c r="D71" s="728"/>
      <c r="E71" s="765">
        <f>IF(E6&lt;&gt;"-",HLOOKUP(E6,Anlageg,116,FALSE),"-")</f>
        <v>0.02</v>
      </c>
      <c r="F71" s="728"/>
      <c r="G71" s="765">
        <f>IF(G6&lt;&gt;"-",HLOOKUP(G6,Anlageg,116,FALSE),"-")</f>
        <v>0.02</v>
      </c>
      <c r="H71" s="728"/>
      <c r="I71" s="765">
        <f>IF(I6&lt;&gt;"-",HLOOKUP(I6,Anlageg,116,FALSE),"-")</f>
        <v>0.02</v>
      </c>
      <c r="J71" s="728"/>
      <c r="K71" s="765">
        <f>IF(K6&lt;&gt;"-",HLOOKUP(K6,Anlageg,116,FALSE),"-")</f>
        <v>0.02</v>
      </c>
      <c r="L71" s="728"/>
      <c r="M71" s="83"/>
    </row>
    <row r="72" spans="1:13" s="82" customFormat="1" ht="21" customHeight="1" x14ac:dyDescent="0.3">
      <c r="A72" s="443" t="s">
        <v>595</v>
      </c>
      <c r="B72" s="434" t="s">
        <v>351</v>
      </c>
      <c r="C72" s="765">
        <f>IF(C6&lt;&gt;"-",HLOOKUP(C6,Beitr,51,FALSE),"-")</f>
        <v>2.9700000000000001E-2</v>
      </c>
      <c r="D72" s="728"/>
      <c r="E72" s="765">
        <f>IF(E6&lt;&gt;"-",HLOOKUP(E6,Beitr,51,FALSE),"-")</f>
        <v>2.9700000000000001E-2</v>
      </c>
      <c r="F72" s="728"/>
      <c r="G72" s="765">
        <f>IF(G6&lt;&gt;"-",HLOOKUP(G6,Beitr,51,FALSE),"-")</f>
        <v>2.9700000000000001E-2</v>
      </c>
      <c r="H72" s="728"/>
      <c r="I72" s="765">
        <f>IF(I6&lt;&gt;"-",HLOOKUP(I6,Beitr,51,FALSE),"-")</f>
        <v>2.9700000000000001E-2</v>
      </c>
      <c r="J72" s="728"/>
      <c r="K72" s="765">
        <f>IF(K6&lt;&gt;"-",HLOOKUP(K6,Beitr,51,FALSE),"-")</f>
        <v>2.9700000000000001E-2</v>
      </c>
      <c r="L72" s="728"/>
      <c r="M72" s="83"/>
    </row>
    <row r="73" spans="1:13" s="82" customFormat="1" ht="21" customHeight="1" x14ac:dyDescent="0.3">
      <c r="A73" s="443" t="s">
        <v>596</v>
      </c>
      <c r="B73" s="447" t="s">
        <v>352</v>
      </c>
      <c r="C73" s="772">
        <f>IF(C6&lt;&gt;"-",HLOOKUP(C6,Zuwend,51,FALSE),"-")</f>
        <v>0.02</v>
      </c>
      <c r="D73" s="737"/>
      <c r="E73" s="772">
        <f>IF(E6&lt;&gt;"-",HLOOKUP(E6,Zuwend,51,FALSE),"-")</f>
        <v>0.02</v>
      </c>
      <c r="F73" s="737"/>
      <c r="G73" s="772">
        <f>IF(G6&lt;&gt;"-",HLOOKUP(G6,Zuwend,51,FALSE),"-")</f>
        <v>0.02</v>
      </c>
      <c r="H73" s="737"/>
      <c r="I73" s="772">
        <f>IF(I6&lt;&gt;"-",HLOOKUP(I6,Zuwend,51,FALSE),"-")</f>
        <v>0.02</v>
      </c>
      <c r="J73" s="737"/>
      <c r="K73" s="772">
        <f>IF(K6&lt;&gt;"-",HLOOKUP(K6,Zuwend,51,FALSE),"-")</f>
        <v>0.02</v>
      </c>
      <c r="L73" s="737"/>
      <c r="M73" s="83"/>
    </row>
    <row r="74" spans="1:13" s="82" customFormat="1" ht="21" customHeight="1" thickBot="1" x14ac:dyDescent="0.35">
      <c r="A74" s="448" t="s">
        <v>597</v>
      </c>
      <c r="B74" s="450" t="s">
        <v>353</v>
      </c>
      <c r="C74" s="773">
        <f>IF(C6&lt;&gt;"-",HLOOKUP(C6,Grund_zins,2,FALSE),"-")</f>
        <v>3.5000000000000003E-2</v>
      </c>
      <c r="D74" s="774"/>
      <c r="E74" s="773">
        <f>IF(E6&lt;&gt;"-",HLOOKUP(E6,Grund_zins,2,FALSE),"-")</f>
        <v>3.5000000000000003E-2</v>
      </c>
      <c r="F74" s="774"/>
      <c r="G74" s="773">
        <f>IF(G6&lt;&gt;"-",HLOOKUP(G6,Grund_zins,2,FALSE),"-")</f>
        <v>3.5000000000000003E-2</v>
      </c>
      <c r="H74" s="774"/>
      <c r="I74" s="773">
        <f>IF(I6&lt;&gt;"-",HLOOKUP(I6,Grund_zins,2,FALSE),"-")</f>
        <v>3.5000000000000003E-2</v>
      </c>
      <c r="J74" s="774"/>
      <c r="K74" s="773">
        <f>IF(K6&lt;&gt;"-",HLOOKUP(K6,Grund_zins,2,FALSE),"-")</f>
        <v>3.5000000000000003E-2</v>
      </c>
      <c r="L74" s="774"/>
      <c r="M74" s="83"/>
    </row>
    <row r="75" spans="1:13" s="84" customFormat="1" ht="6.75" customHeight="1" x14ac:dyDescent="0.3">
      <c r="A75" s="440"/>
      <c r="B75" s="440"/>
      <c r="C75" s="440"/>
      <c r="D75" s="440"/>
      <c r="E75" s="440"/>
      <c r="F75" s="440"/>
      <c r="G75" s="440"/>
      <c r="H75" s="440"/>
      <c r="I75" s="440"/>
      <c r="J75" s="440"/>
      <c r="K75" s="440"/>
      <c r="L75" s="454"/>
    </row>
    <row r="76" spans="1:13" s="82" customFormat="1" ht="40.5" customHeight="1" x14ac:dyDescent="0.3">
      <c r="A76" s="443" t="s">
        <v>598</v>
      </c>
      <c r="B76" s="767" t="str">
        <f>IF(OR(C77&lt;&gt;"-",E77&lt;&gt;"-",C84&lt;&gt;"-",E84&lt;&gt;"-"),"Berechnung der endgültigen Rücklagenzuführungen aus Abschreibungen vom zuwendungsfinanzierten Anlagevermögen bzw. von den Wiederbeschaffungszeitwerten aufgrund der Nachkalkulation "&amp;MIN(C6:L6)&amp;" bis "&amp;MAX(C6:L6),"Keine Rücklagenzuführungen aus Abschreibungen vom zuwendungsfinanzierten Anlagevermögen bzw. von den Wiederbeschaffungszeitwerten")</f>
        <v>Keine Rücklagenzuführungen aus Abschreibungen vom zuwendungsfinanzierten Anlagevermögen bzw. von den Wiederbeschaffungszeitwerten</v>
      </c>
      <c r="C76" s="768"/>
      <c r="D76" s="768"/>
      <c r="E76" s="768"/>
      <c r="F76" s="768"/>
      <c r="G76" s="768"/>
      <c r="H76" s="768"/>
      <c r="I76" s="768"/>
      <c r="J76" s="768"/>
      <c r="K76" s="768"/>
      <c r="L76" s="769"/>
      <c r="M76" s="83"/>
    </row>
    <row r="77" spans="1:13" s="82" customFormat="1" ht="45" customHeight="1" x14ac:dyDescent="0.3">
      <c r="A77" s="472" t="s">
        <v>605</v>
      </c>
      <c r="B77" s="502" t="s">
        <v>784</v>
      </c>
      <c r="C77" s="770" t="str">
        <f>IF(C6="-","-", IF(HLOOKUP(C6,Grund_be,4,FALSE)=2,C6,"-"))</f>
        <v>-</v>
      </c>
      <c r="D77" s="771"/>
      <c r="E77" s="770" t="str">
        <f>IF(E6="-","-", IF(HLOOKUP(E6,Grund_be,4,FALSE)=2,E6,"-"))</f>
        <v>-</v>
      </c>
      <c r="F77" s="771"/>
      <c r="G77" s="770" t="str">
        <f>IF(G6="-","-", IF(HLOOKUP(G6,Grund_be,4,FALSE)=2,G6,"-"))</f>
        <v>-</v>
      </c>
      <c r="H77" s="771"/>
      <c r="I77" s="770" t="str">
        <f>IF(I6="-","-", IF(HLOOKUP(I6,Grund_be,4,FALSE)=2,I6,"-"))</f>
        <v>-</v>
      </c>
      <c r="J77" s="771"/>
      <c r="K77" s="770" t="str">
        <f>IF(K6="-","-", IF(HLOOKUP(K6,Grund_be,4,FALSE)=2,K6,"-"))</f>
        <v>-</v>
      </c>
      <c r="L77" s="771"/>
    </row>
    <row r="78" spans="1:13" s="82" customFormat="1" ht="21" customHeight="1" x14ac:dyDescent="0.3">
      <c r="A78" s="110" t="s">
        <v>599</v>
      </c>
      <c r="B78" s="474" t="s">
        <v>372</v>
      </c>
      <c r="C78" s="78" t="str">
        <f>IF(C77="-","-", IF(HLOOKUP(C77,Grund_be,4,FALSE)=2,"SW","-"))</f>
        <v>-</v>
      </c>
      <c r="D78" s="79" t="str">
        <f>IF(C77="-","-", IF(HLOOKUP(C77,Grund_be,4,FALSE)=2,"RW-GrSt","-"))</f>
        <v>-</v>
      </c>
      <c r="E78" s="78" t="str">
        <f>IF(E77="-","-", IF(HLOOKUP(E77,Grund_be,4,FALSE)=2,"SW","-"))</f>
        <v>-</v>
      </c>
      <c r="F78" s="79" t="str">
        <f>IF(E77="-","-", IF(HLOOKUP(E77,Grund_be,4,FALSE)=2,"RW-GrSt","-"))</f>
        <v>-</v>
      </c>
      <c r="G78" s="78" t="str">
        <f>IF(G77="-","-", IF(HLOOKUP(G77,Grund_be,4,FALSE)=2,"SW","-"))</f>
        <v>-</v>
      </c>
      <c r="H78" s="79" t="str">
        <f>IF(G77="-","-", IF(HLOOKUP(G77,Grund_be,4,FALSE)=2,"RW-GrSt","-"))</f>
        <v>-</v>
      </c>
      <c r="I78" s="78" t="str">
        <f>IF(I77="-","-", IF(HLOOKUP(I77,Grund_be,4,FALSE)=2,"SW","-"))</f>
        <v>-</v>
      </c>
      <c r="J78" s="79" t="str">
        <f>IF(I77="-","-", IF(HLOOKUP(I77,Grund_be,4,FALSE)=2,"RW-GrSt","-"))</f>
        <v>-</v>
      </c>
      <c r="K78" s="78" t="str">
        <f>IF(K77="-","-", IF(HLOOKUP(K77,Grund_be,4,FALSE)=2,"SW","-"))</f>
        <v>-</v>
      </c>
      <c r="L78" s="79" t="str">
        <f>IF(K77="-","-", IF(HLOOKUP(K77,Grund_be,4,FALSE)=2,"RW-GrSt","-"))</f>
        <v>-</v>
      </c>
    </row>
    <row r="79" spans="1:13" s="82" customFormat="1" ht="30" customHeight="1" x14ac:dyDescent="0.3">
      <c r="A79" s="443" t="s">
        <v>600</v>
      </c>
      <c r="B79" s="474" t="s">
        <v>806</v>
      </c>
      <c r="C79" s="423" t="str">
        <f>IF(C77="-","-", IF(HLOOKUP(C77,Grund_be,4,FALSE)=2,HLOOKUP(C77,Zuwend,62,FALSE),"-"))</f>
        <v>-</v>
      </c>
      <c r="D79" s="80" t="str">
        <f>IF(C77="-","-", IF(HLOOKUP(C77,Grund_be,4,FALSE)=2,HLOOKUP(C77,Zuwend,63,FALSE),"-"))</f>
        <v>-</v>
      </c>
      <c r="E79" s="423" t="str">
        <f>IF(E77="-","-", IF(HLOOKUP(E77,Grund_be,4,FALSE)=2,HLOOKUP(E77,Zuwend,62,FALSE),"-"))</f>
        <v>-</v>
      </c>
      <c r="F79" s="80" t="str">
        <f>IF(E77="-","-", IF(HLOOKUP(E77,Grund_be,4,FALSE)=2,HLOOKUP(E77,Zuwend,63,FALSE),"-"))</f>
        <v>-</v>
      </c>
      <c r="G79" s="423" t="str">
        <f>IF(G77="-","-", IF(HLOOKUP(G77,Grund_be,4,FALSE)=2,HLOOKUP(G77,Zuwend,62,FALSE),"-"))</f>
        <v>-</v>
      </c>
      <c r="H79" s="80" t="str">
        <f>IF(G77="-","-", IF(HLOOKUP(G77,Grund_be,4,FALSE)=2,HLOOKUP(G77,Zuwend,63,FALSE),"-"))</f>
        <v>-</v>
      </c>
      <c r="I79" s="423" t="str">
        <f>IF(I77="-","-", IF(HLOOKUP(I77,Grund_be,4,FALSE)=2,HLOOKUP(I77,Zuwend,62,FALSE),"-"))</f>
        <v>-</v>
      </c>
      <c r="J79" s="80" t="str">
        <f>IF(I77="-","-", IF(HLOOKUP(I77,Grund_be,4,FALSE)=2,HLOOKUP(I77,Zuwend,63,FALSE),"-"))</f>
        <v>-</v>
      </c>
      <c r="K79" s="423" t="str">
        <f>IF(K77="-","-", IF(HLOOKUP(K77,Grund_be,4,FALSE)=2,HLOOKUP(K77,Zuwend,62,FALSE),"-"))</f>
        <v>-</v>
      </c>
      <c r="L79" s="80" t="str">
        <f>IF(K77="-","-", IF(HLOOKUP(K77,Grund_be,4,FALSE)=2,HLOOKUP(K77,Zuwend,63,FALSE),"-"))</f>
        <v>-</v>
      </c>
    </row>
    <row r="80" spans="1:13" s="82" customFormat="1" ht="21" customHeight="1" x14ac:dyDescent="0.3">
      <c r="A80" s="443" t="s">
        <v>601</v>
      </c>
      <c r="B80" s="474" t="s">
        <v>373</v>
      </c>
      <c r="C80" s="423" t="str">
        <f>IF(C77="-","-", IF(HLOOKUP(C77,Grund_be,4,FALSE)=2,HLOOKUP(C77,Zuwend,66,FALSE),"-"))</f>
        <v>-</v>
      </c>
      <c r="D80" s="80" t="str">
        <f>IF(C77="-","-", IF(HLOOKUP(C77,Grund_be,4,FALSE)=2,HLOOKUP(C77,Zuwend,67,FALSE),"-"))</f>
        <v>-</v>
      </c>
      <c r="E80" s="423" t="str">
        <f>IF(E77="-","-", IF(HLOOKUP(E77,Grund_be,4,FALSE)=2,HLOOKUP(E77,Zuwend,66,FALSE),"-"))</f>
        <v>-</v>
      </c>
      <c r="F80" s="80" t="str">
        <f>IF(E77="-","-", IF(HLOOKUP(E77,Grund_be,4,FALSE)=2,HLOOKUP(E77,Zuwend,67,FALSE),"-"))</f>
        <v>-</v>
      </c>
      <c r="G80" s="423" t="str">
        <f>IF(G77="-","-", IF(HLOOKUP(G77,Grund_be,4,FALSE)=2,HLOOKUP(G77,Zuwend,66,FALSE),"-"))</f>
        <v>-</v>
      </c>
      <c r="H80" s="80" t="str">
        <f>IF(G77="-","-", IF(HLOOKUP(G77,Grund_be,4,FALSE)=2,HLOOKUP(G77,Zuwend,67,FALSE),"-"))</f>
        <v>-</v>
      </c>
      <c r="I80" s="423" t="str">
        <f>IF(I77="-","-", IF(HLOOKUP(I77,Grund_be,4,FALSE)=2,HLOOKUP(I77,Zuwend,66,FALSE),"-"))</f>
        <v>-</v>
      </c>
      <c r="J80" s="80" t="str">
        <f>IF(I77="-","-", IF(HLOOKUP(I77,Grund_be,4,FALSE)=2,HLOOKUP(I77,Zuwend,67,FALSE),"-"))</f>
        <v>-</v>
      </c>
      <c r="K80" s="423" t="str">
        <f>IF(K77="-","-", IF(HLOOKUP(K77,Grund_be,4,FALSE)=2,HLOOKUP(K77,Zuwend,66,FALSE),"-"))</f>
        <v>-</v>
      </c>
      <c r="L80" s="80" t="str">
        <f>IF(K77="-","-", IF(HLOOKUP(K77,Grund_be,4,FALSE)=2,HLOOKUP(K77,Zuwend,67,FALSE),"-"))</f>
        <v>-</v>
      </c>
    </row>
    <row r="81" spans="1:13" s="82" customFormat="1" ht="21" customHeight="1" x14ac:dyDescent="0.3">
      <c r="A81" s="443" t="s">
        <v>602</v>
      </c>
      <c r="B81" s="474" t="str">
        <f>"Bereits zugeführte Rücklage im Jahr "&amp;C77</f>
        <v>Bereits zugeführte Rücklage im Jahr -</v>
      </c>
      <c r="C81" s="775" t="str">
        <f>IF(C77="-","-", IF(HLOOKUP(C77,Grund_be,4,FALSE)=2,Grunddaten!D107,"-"))</f>
        <v>-</v>
      </c>
      <c r="D81" s="698"/>
      <c r="E81" s="419"/>
      <c r="F81" s="420"/>
      <c r="G81" s="419"/>
      <c r="H81" s="420"/>
      <c r="I81" s="419"/>
      <c r="J81" s="420"/>
      <c r="K81" s="419"/>
      <c r="L81" s="420"/>
      <c r="M81" s="83"/>
    </row>
    <row r="82" spans="1:13" s="82" customFormat="1" ht="45" customHeight="1" x14ac:dyDescent="0.3">
      <c r="A82" s="443" t="s">
        <v>603</v>
      </c>
      <c r="B82" s="474" t="s">
        <v>812</v>
      </c>
      <c r="C82" s="766" t="str">
        <f>IF(C77="-","-", IF(HLOOKUP(C77,Grund_be,4,FALSE)=2,SUM(C80,D80,-C81),"-"))</f>
        <v>-</v>
      </c>
      <c r="D82" s="709"/>
      <c r="E82" s="766" t="str">
        <f>IF(E77="-","-", IF(HLOOKUP(E77,Grund_be,4,FALSE)=2,SUM(E80,F80,-E81),"-"))</f>
        <v>-</v>
      </c>
      <c r="F82" s="709"/>
      <c r="G82" s="766" t="str">
        <f>IF(G77="-","-", IF(HLOOKUP(G77,Grund_be,4,FALSE)=2,SUM(G80,H80,-G81),"-"))</f>
        <v>-</v>
      </c>
      <c r="H82" s="709"/>
      <c r="I82" s="766" t="str">
        <f>IF(I77="-","-", IF(HLOOKUP(I77,Grund_be,4,FALSE)=2,SUM(I80,J80,-I81),"-"))</f>
        <v>-</v>
      </c>
      <c r="J82" s="709"/>
      <c r="K82" s="766" t="str">
        <f>IF(K77="-","-", IF(HLOOKUP(K77,Grund_be,4,FALSE)=2,SUM(K80,L80,-K81),"-"))</f>
        <v>-</v>
      </c>
      <c r="L82" s="709"/>
    </row>
    <row r="83" spans="1:13" s="82" customFormat="1" ht="47.25" customHeight="1" thickBot="1" x14ac:dyDescent="0.35">
      <c r="A83" s="443" t="s">
        <v>604</v>
      </c>
      <c r="B83" s="475" t="s">
        <v>805</v>
      </c>
      <c r="C83" s="784" t="str">
        <f>IF(SUM(C82,E82,G82,I82,K82)&lt;&gt;0,SUM(C82,E82,G82,I82,K82),"-")</f>
        <v>-</v>
      </c>
      <c r="D83" s="785"/>
      <c r="E83" s="785"/>
      <c r="F83" s="785"/>
      <c r="G83" s="785"/>
      <c r="H83" s="785"/>
      <c r="I83" s="785"/>
      <c r="J83" s="785"/>
      <c r="K83" s="786"/>
      <c r="L83" s="787"/>
    </row>
    <row r="84" spans="1:13" s="82" customFormat="1" ht="47.25" customHeight="1" x14ac:dyDescent="0.3">
      <c r="A84" s="457" t="s">
        <v>606</v>
      </c>
      <c r="B84" s="431" t="s">
        <v>807</v>
      </c>
      <c r="C84" s="770" t="str">
        <f>IF(C6="-","-", IF(HLOOKUP(C6,Grund_be,2,FALSE)=2,C6,"-"))</f>
        <v>-</v>
      </c>
      <c r="D84" s="771"/>
      <c r="E84" s="770" t="str">
        <f>IF(E6="-","-", IF(HLOOKUP(E6,Grund_be,2,FALSE)=2,E6,"-"))</f>
        <v>-</v>
      </c>
      <c r="F84" s="771"/>
      <c r="G84" s="770" t="str">
        <f>IF(G6="-","-", IF(HLOOKUP(G6,Grund_be,2,FALSE)=2,G6,"-"))</f>
        <v>-</v>
      </c>
      <c r="H84" s="771"/>
      <c r="I84" s="770" t="str">
        <f>IF(I6="-","-", IF(HLOOKUP(I6,Grund_be,2,FALSE)=2,I6,"-"))</f>
        <v>-</v>
      </c>
      <c r="J84" s="771"/>
      <c r="K84" s="770" t="str">
        <f>IF(K6="-","-", IF(HLOOKUP(K6,Grund_be,2,FALSE)=2,K6,"-"))</f>
        <v>-</v>
      </c>
      <c r="L84" s="771"/>
    </row>
    <row r="85" spans="1:13" s="82" customFormat="1" ht="21" customHeight="1" x14ac:dyDescent="0.3">
      <c r="A85" s="443" t="s">
        <v>607</v>
      </c>
      <c r="B85" s="474" t="s">
        <v>354</v>
      </c>
      <c r="C85" s="78" t="str">
        <f>IF(C84="-","-", IF(HLOOKUP(C84,Grund_be,2,FALSE)=2,"SW","-"))</f>
        <v>-</v>
      </c>
      <c r="D85" s="79" t="str">
        <f>IF(C84="-","-", IF(HLOOKUP(C84,Grund_be,2,FALSE)=2,"RW","-"))</f>
        <v>-</v>
      </c>
      <c r="E85" s="78" t="str">
        <f>IF(E84="-","-", IF(HLOOKUP(E84,Grund_be,2,FALSE)=2,"SW","-"))</f>
        <v>-</v>
      </c>
      <c r="F85" s="79" t="str">
        <f>IF(E84="-","-", IF(HLOOKUP(E84,Grund_be,2,FALSE)=2,"RW","-"))</f>
        <v>-</v>
      </c>
      <c r="G85" s="78" t="str">
        <f>IF(G84="-","-", IF(HLOOKUP(G84,Grund_be,2,FALSE)=2,"SW","-"))</f>
        <v>-</v>
      </c>
      <c r="H85" s="79" t="str">
        <f>IF(G84="-","-", IF(HLOOKUP(G84,Grund_be,2,FALSE)=2,"RW","-"))</f>
        <v>-</v>
      </c>
      <c r="I85" s="78" t="str">
        <f>IF(I84="-","-", IF(HLOOKUP(I84,Grund_be,2,FALSE)=2,"SW","-"))</f>
        <v>-</v>
      </c>
      <c r="J85" s="79" t="str">
        <f>IF(I84="-","-", IF(HLOOKUP(I84,Grund_be,2,FALSE)=2,"RW","-"))</f>
        <v>-</v>
      </c>
      <c r="K85" s="78" t="str">
        <f>IF(K84="-","-", IF(HLOOKUP(K84,Grund_be,2,FALSE)=2,"SW","-"))</f>
        <v>-</v>
      </c>
      <c r="L85" s="79" t="str">
        <f>IF(K84="-","-", IF(HLOOKUP(K84,Grund_be,2,FALSE)=2,"RW","-"))</f>
        <v>-</v>
      </c>
    </row>
    <row r="86" spans="1:13" s="82" customFormat="1" ht="75" customHeight="1" x14ac:dyDescent="0.3">
      <c r="A86" s="443" t="s">
        <v>608</v>
      </c>
      <c r="B86" s="476" t="s">
        <v>808</v>
      </c>
      <c r="C86" s="421" t="str">
        <f>IF(C84="-","-", IF(HLOOKUP(C84,Grund_be,2,FALSE)=2,HLOOKUP(C84,Anlageg,37,FALSE),"-"))</f>
        <v>-</v>
      </c>
      <c r="D86" s="80" t="str">
        <f>IF(C84="-","-", IF(HLOOKUP(C84,Grund_be,2,FALSE)=2,HLOOKUP(C84,Anlageg,38,FALSE),"-"))</f>
        <v>-</v>
      </c>
      <c r="E86" s="421" t="str">
        <f>IF(E84="-","-", IF(HLOOKUP(E84,Grund_be,2,FALSE)=2,HLOOKUP(E84,Anlageg,37,FALSE),"-"))</f>
        <v>-</v>
      </c>
      <c r="F86" s="80" t="str">
        <f>IF(E84="-","-", IF(HLOOKUP(E84,Grund_be,2,FALSE)=2,HLOOKUP(E84,Anlageg,38,FALSE),"-"))</f>
        <v>-</v>
      </c>
      <c r="G86" s="421" t="str">
        <f>IF(G84="-","-", IF(HLOOKUP(G84,Grund_be,2,FALSE)=2,HLOOKUP(G84,Anlageg,37,FALSE),"-"))</f>
        <v>-</v>
      </c>
      <c r="H86" s="80" t="str">
        <f>IF(G84="-","-", IF(HLOOKUP(G84,Grund_be,2,FALSE)=2,HLOOKUP(G84,Anlageg,38,FALSE),"-"))</f>
        <v>-</v>
      </c>
      <c r="I86" s="421" t="str">
        <f>IF(I84="-","-", IF(HLOOKUP(I84,Grund_be,2,FALSE)=2,HLOOKUP(I84,Anlageg,37,FALSE),"-"))</f>
        <v>-</v>
      </c>
      <c r="J86" s="80" t="str">
        <f>IF(I84="-","-", IF(HLOOKUP(I84,Grund_be,2,FALSE)=2,HLOOKUP(I84,Anlageg,38,FALSE),"-"))</f>
        <v>-</v>
      </c>
      <c r="K86" s="421" t="str">
        <f>IF(K84="-","-", IF(HLOOKUP(K84,Grund_be,2,FALSE)=2,HLOOKUP(K84,Anlageg,37,FALSE),"-"))</f>
        <v>-</v>
      </c>
      <c r="L86" s="80" t="str">
        <f>IF(K84="-","-", IF(HLOOKUP(K84,Grund_be,2,FALSE)=2,HLOOKUP(K84,Anlageg,38,FALSE),"-"))</f>
        <v>-</v>
      </c>
    </row>
    <row r="87" spans="1:13" s="82" customFormat="1" ht="45" customHeight="1" x14ac:dyDescent="0.3">
      <c r="A87" s="443" t="s">
        <v>609</v>
      </c>
      <c r="B87" s="476" t="s">
        <v>809</v>
      </c>
      <c r="C87" s="421" t="str">
        <f>IF(C84="-","-", IF(HLOOKUP(C84,Grund_be,2,FALSE)=2,HLOOKUP(C84,Anlageg,41,FALSE),"-"))</f>
        <v>-</v>
      </c>
      <c r="D87" s="80" t="str">
        <f>IF(C84="-","-", IF(HLOOKUP(C84,Grund_be,2,FALSE)=2,HLOOKUP(C84,Anlageg,42,FALSE),"-"))</f>
        <v>-</v>
      </c>
      <c r="E87" s="421" t="str">
        <f>IF(E84="-","-", IF(HLOOKUP(E84,Grund_be,2,FALSE)=2,HLOOKUP(E84,Anlageg,41,FALSE),"-"))</f>
        <v>-</v>
      </c>
      <c r="F87" s="80" t="str">
        <f>IF(E84="-","-", IF(HLOOKUP(E84,Grund_be,2,FALSE)=2,HLOOKUP(E84,Anlageg,42,FALSE),"-"))</f>
        <v>-</v>
      </c>
      <c r="G87" s="421" t="str">
        <f>IF(G84="-","-", IF(HLOOKUP(G84,Grund_be,2,FALSE)=2,HLOOKUP(G84,Anlageg,41,FALSE),"-"))</f>
        <v>-</v>
      </c>
      <c r="H87" s="80" t="str">
        <f>IF(G84="-","-", IF(HLOOKUP(G84,Grund_be,2,FALSE)=2,HLOOKUP(G84,Anlageg,42,FALSE),"-"))</f>
        <v>-</v>
      </c>
      <c r="I87" s="421" t="str">
        <f>IF(I84="-","-", IF(HLOOKUP(I84,Grund_be,2,FALSE)=2,HLOOKUP(I84,Anlageg,41,FALSE),"-"))</f>
        <v>-</v>
      </c>
      <c r="J87" s="80" t="str">
        <f>IF(I84="-","-", IF(HLOOKUP(I84,Grund_be,2,FALSE)=2,HLOOKUP(I84,Anlageg,42,FALSE),"-"))</f>
        <v>-</v>
      </c>
      <c r="K87" s="421" t="str">
        <f>IF(K84="-","-", IF(HLOOKUP(K84,Grund_be,2,FALSE)=2,HLOOKUP(K84,Anlageg,41,FALSE),"-"))</f>
        <v>-</v>
      </c>
      <c r="L87" s="80" t="str">
        <f>IF(K84="-","-", IF(HLOOKUP(K84,Grund_be,2,FALSE)=2,HLOOKUP(K84,Anlageg,42,FALSE),"-"))</f>
        <v>-</v>
      </c>
    </row>
    <row r="88" spans="1:13" s="82" customFormat="1" ht="21" customHeight="1" x14ac:dyDescent="0.3">
      <c r="A88" s="443" t="s">
        <v>610</v>
      </c>
      <c r="B88" s="476" t="str">
        <f>"Bereits zugeführte Rücklage im Jahr "&amp;C84</f>
        <v>Bereits zugeführte Rücklage im Jahr -</v>
      </c>
      <c r="C88" s="775" t="str">
        <f>IF(C84="-","-", IF(HLOOKUP(C84,Grund_be,2,FALSE)=2,Grunddaten!D108,"-"))</f>
        <v>-</v>
      </c>
      <c r="D88" s="698"/>
      <c r="E88" s="419"/>
      <c r="F88" s="420"/>
      <c r="G88" s="419"/>
      <c r="H88" s="420"/>
      <c r="I88" s="419"/>
      <c r="J88" s="420"/>
      <c r="K88" s="419"/>
      <c r="L88" s="420"/>
      <c r="M88" s="83"/>
    </row>
    <row r="89" spans="1:13" s="82" customFormat="1" ht="43.5" customHeight="1" x14ac:dyDescent="0.3">
      <c r="A89" s="443" t="s">
        <v>611</v>
      </c>
      <c r="B89" s="474" t="s">
        <v>813</v>
      </c>
      <c r="C89" s="766" t="str">
        <f>IF(C84="-","-", IF(HLOOKUP(C84,Grund_be,2,FALSE)=2,SUM(C87,D87,-C88),"-"))</f>
        <v>-</v>
      </c>
      <c r="D89" s="709"/>
      <c r="E89" s="766" t="str">
        <f>IF(E84="-","-", IF(HLOOKUP(E84,Grund_be,2,FALSE)=2,SUM(E87,F87,-E88),"-"))</f>
        <v>-</v>
      </c>
      <c r="F89" s="709"/>
      <c r="G89" s="766" t="str">
        <f>IF(G84="-","-", IF(HLOOKUP(G84,Grund_be,2,FALSE)=2,SUM(G87,H87,-G88),"-"))</f>
        <v>-</v>
      </c>
      <c r="H89" s="709"/>
      <c r="I89" s="766" t="str">
        <f>IF(I84="-","-", IF(HLOOKUP(I84,Grund_be,2,FALSE)=2,SUM(I87,J87,-I88),"-"))</f>
        <v>-</v>
      </c>
      <c r="J89" s="709"/>
      <c r="K89" s="766" t="str">
        <f>IF(K84="-","-", IF(HLOOKUP(K84,Grund_be,2,FALSE)=2,SUM(K87,L87,-K88),"-"))</f>
        <v>-</v>
      </c>
      <c r="L89" s="709"/>
    </row>
    <row r="90" spans="1:13" s="82" customFormat="1" ht="48.75" customHeight="1" thickBot="1" x14ac:dyDescent="0.35">
      <c r="A90" s="443" t="s">
        <v>612</v>
      </c>
      <c r="B90" s="477" t="s">
        <v>811</v>
      </c>
      <c r="C90" s="776" t="str">
        <f>IF(SUM(C89,E89,G89,I89,K89)&gt;0,SUM(C89,E89,G89,I89,K89),"-")</f>
        <v>-</v>
      </c>
      <c r="D90" s="777"/>
      <c r="E90" s="777"/>
      <c r="F90" s="777"/>
      <c r="G90" s="777"/>
      <c r="H90" s="777"/>
      <c r="I90" s="777"/>
      <c r="J90" s="777"/>
      <c r="K90" s="778"/>
      <c r="L90" s="779"/>
    </row>
    <row r="91" spans="1:13" s="82" customFormat="1" ht="47.25" customHeight="1" thickBot="1" x14ac:dyDescent="0.35">
      <c r="A91" s="501" t="s">
        <v>613</v>
      </c>
      <c r="B91" s="478" t="s">
        <v>814</v>
      </c>
      <c r="C91" s="780" t="str">
        <f>IF(OR(C83&lt;&gt;"-",C90&lt;&gt;"-"),SUM(C83,C90),"-")</f>
        <v>-</v>
      </c>
      <c r="D91" s="781"/>
      <c r="E91" s="781"/>
      <c r="F91" s="781"/>
      <c r="G91" s="781"/>
      <c r="H91" s="781"/>
      <c r="I91" s="781"/>
      <c r="J91" s="781"/>
      <c r="K91" s="782"/>
      <c r="L91" s="783"/>
    </row>
  </sheetData>
  <sheetProtection sheet="1" objects="1" scenarios="1"/>
  <mergeCells count="162">
    <mergeCell ref="C90:L90"/>
    <mergeCell ref="C91:L91"/>
    <mergeCell ref="C88:D88"/>
    <mergeCell ref="C89:D89"/>
    <mergeCell ref="E89:F89"/>
    <mergeCell ref="G89:H89"/>
    <mergeCell ref="I89:J89"/>
    <mergeCell ref="K89:L89"/>
    <mergeCell ref="C83:L83"/>
    <mergeCell ref="C84:D84"/>
    <mergeCell ref="E84:F84"/>
    <mergeCell ref="G84:H84"/>
    <mergeCell ref="I84:J84"/>
    <mergeCell ref="K84:L84"/>
    <mergeCell ref="K82:L82"/>
    <mergeCell ref="B76:L76"/>
    <mergeCell ref="C77:D77"/>
    <mergeCell ref="E77:F77"/>
    <mergeCell ref="G77:H77"/>
    <mergeCell ref="I77:J77"/>
    <mergeCell ref="K77:L77"/>
    <mergeCell ref="C73:D73"/>
    <mergeCell ref="E73:F73"/>
    <mergeCell ref="G73:H73"/>
    <mergeCell ref="I73:J73"/>
    <mergeCell ref="K73:L73"/>
    <mergeCell ref="C74:D74"/>
    <mergeCell ref="E74:F74"/>
    <mergeCell ref="G74:H74"/>
    <mergeCell ref="I74:J74"/>
    <mergeCell ref="K74:L74"/>
    <mergeCell ref="C81:D81"/>
    <mergeCell ref="C82:D82"/>
    <mergeCell ref="E82:F82"/>
    <mergeCell ref="G82:H82"/>
    <mergeCell ref="I82:J82"/>
    <mergeCell ref="C71:D71"/>
    <mergeCell ref="E71:F71"/>
    <mergeCell ref="G71:H71"/>
    <mergeCell ref="I71:J71"/>
    <mergeCell ref="K71:L71"/>
    <mergeCell ref="C72:D72"/>
    <mergeCell ref="E72:F72"/>
    <mergeCell ref="G72:H72"/>
    <mergeCell ref="I72:J72"/>
    <mergeCell ref="K72:L72"/>
    <mergeCell ref="C69:D69"/>
    <mergeCell ref="E69:F69"/>
    <mergeCell ref="G69:H69"/>
    <mergeCell ref="I69:J69"/>
    <mergeCell ref="K69:L69"/>
    <mergeCell ref="C70:D70"/>
    <mergeCell ref="E70:F70"/>
    <mergeCell ref="G70:H70"/>
    <mergeCell ref="I70:J70"/>
    <mergeCell ref="K70:L70"/>
    <mergeCell ref="C67:D67"/>
    <mergeCell ref="E67:F67"/>
    <mergeCell ref="G67:H67"/>
    <mergeCell ref="I67:J67"/>
    <mergeCell ref="K67:L67"/>
    <mergeCell ref="C68:D68"/>
    <mergeCell ref="E68:F68"/>
    <mergeCell ref="G68:H68"/>
    <mergeCell ref="I68:J68"/>
    <mergeCell ref="K68:L68"/>
    <mergeCell ref="C65:D65"/>
    <mergeCell ref="E65:F65"/>
    <mergeCell ref="G65:H65"/>
    <mergeCell ref="I65:J65"/>
    <mergeCell ref="K65:L65"/>
    <mergeCell ref="C66:D66"/>
    <mergeCell ref="E66:F66"/>
    <mergeCell ref="G66:H66"/>
    <mergeCell ref="I66:J66"/>
    <mergeCell ref="K66:L66"/>
    <mergeCell ref="C59:L59"/>
    <mergeCell ref="C60:L60"/>
    <mergeCell ref="B61:L61"/>
    <mergeCell ref="B63:J63"/>
    <mergeCell ref="C64:D64"/>
    <mergeCell ref="E64:F64"/>
    <mergeCell ref="G64:H64"/>
    <mergeCell ref="I64:J64"/>
    <mergeCell ref="K64:L64"/>
    <mergeCell ref="B53:J53"/>
    <mergeCell ref="K53:L53"/>
    <mergeCell ref="B55:L55"/>
    <mergeCell ref="C56:D56"/>
    <mergeCell ref="E56:F56"/>
    <mergeCell ref="G56:H56"/>
    <mergeCell ref="I56:J56"/>
    <mergeCell ref="K56:L56"/>
    <mergeCell ref="C50:D50"/>
    <mergeCell ref="E50:F50"/>
    <mergeCell ref="G50:H50"/>
    <mergeCell ref="I50:J50"/>
    <mergeCell ref="K50:L50"/>
    <mergeCell ref="C51:D51"/>
    <mergeCell ref="E51:F51"/>
    <mergeCell ref="G51:H51"/>
    <mergeCell ref="I51:J51"/>
    <mergeCell ref="K51:L51"/>
    <mergeCell ref="C49:D49"/>
    <mergeCell ref="C46:D46"/>
    <mergeCell ref="E46:F46"/>
    <mergeCell ref="G46:H46"/>
    <mergeCell ref="I46:J46"/>
    <mergeCell ref="K46:L46"/>
    <mergeCell ref="C47:D47"/>
    <mergeCell ref="E47:F47"/>
    <mergeCell ref="G47:H47"/>
    <mergeCell ref="I47:J47"/>
    <mergeCell ref="K47:L47"/>
    <mergeCell ref="C45:D45"/>
    <mergeCell ref="E45:F45"/>
    <mergeCell ref="G45:H45"/>
    <mergeCell ref="I45:J45"/>
    <mergeCell ref="K45:L45"/>
    <mergeCell ref="C48:D48"/>
    <mergeCell ref="E48:F48"/>
    <mergeCell ref="G48:H48"/>
    <mergeCell ref="I48:J48"/>
    <mergeCell ref="K48:L48"/>
    <mergeCell ref="E30:F30"/>
    <mergeCell ref="G30:H30"/>
    <mergeCell ref="I30:J30"/>
    <mergeCell ref="K30:L30"/>
    <mergeCell ref="C44:D44"/>
    <mergeCell ref="E44:F44"/>
    <mergeCell ref="G44:H44"/>
    <mergeCell ref="I44:J44"/>
    <mergeCell ref="K44:L44"/>
    <mergeCell ref="C43:D43"/>
    <mergeCell ref="E43:F43"/>
    <mergeCell ref="G43:H43"/>
    <mergeCell ref="I43:J43"/>
    <mergeCell ref="K43:L43"/>
    <mergeCell ref="A29:A31"/>
    <mergeCell ref="A41:A43"/>
    <mergeCell ref="A1:L1"/>
    <mergeCell ref="A2:L2"/>
    <mergeCell ref="A3:L3"/>
    <mergeCell ref="A4:L4"/>
    <mergeCell ref="A5:A7"/>
    <mergeCell ref="B5:B7"/>
    <mergeCell ref="C5:L5"/>
    <mergeCell ref="C6:D6"/>
    <mergeCell ref="E6:F6"/>
    <mergeCell ref="G6:H6"/>
    <mergeCell ref="C38:D38"/>
    <mergeCell ref="B41:L41"/>
    <mergeCell ref="C42:D42"/>
    <mergeCell ref="E42:F42"/>
    <mergeCell ref="G42:H42"/>
    <mergeCell ref="I42:J42"/>
    <mergeCell ref="K42:L42"/>
    <mergeCell ref="I6:J6"/>
    <mergeCell ref="K6:L6"/>
    <mergeCell ref="C8:D8"/>
    <mergeCell ref="B29:L29"/>
    <mergeCell ref="C30:D30"/>
  </mergeCells>
  <printOptions gridLines="1"/>
  <pageMargins left="0.19685039370078741" right="0.19685039370078741" top="0.39370078740157483" bottom="0.39370078740157483" header="0.11811023622047245" footer="0.11811023622047245"/>
  <pageSetup paperSize="9" scale="85" fitToHeight="0" orientation="landscape" r:id="rId1"/>
  <headerFooter>
    <oddFooter>&amp;L&amp;6
Verfasser: Josef Beer
Geschützt (§ 69a UrhG)</oddFooter>
  </headerFooter>
  <rowBreaks count="3" manualBreakCount="3">
    <brk id="28" max="16383" man="1"/>
    <brk id="54" max="16383" man="1"/>
    <brk id="7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4"/>
  <sheetViews>
    <sheetView workbookViewId="0">
      <selection sqref="A1:B1"/>
    </sheetView>
  </sheetViews>
  <sheetFormatPr baseColWidth="10" defaultRowHeight="14.4" x14ac:dyDescent="0.3"/>
  <cols>
    <col min="1" max="1" width="4" style="10" customWidth="1"/>
    <col min="2" max="2" width="53" style="10" customWidth="1"/>
    <col min="3" max="3" width="6.33203125" style="10" customWidth="1"/>
    <col min="4" max="12" width="14.33203125" style="10" customWidth="1"/>
  </cols>
  <sheetData>
    <row r="1" spans="1:12" s="10" customFormat="1" ht="19.5" customHeight="1" x14ac:dyDescent="0.3">
      <c r="A1" s="1107" t="s">
        <v>946</v>
      </c>
      <c r="B1" s="1108"/>
      <c r="C1" s="566"/>
    </row>
    <row r="2" spans="1:12" s="10" customFormat="1" ht="36" customHeight="1" x14ac:dyDescent="0.3">
      <c r="A2" s="1109" t="s">
        <v>923</v>
      </c>
      <c r="B2" s="1110"/>
      <c r="C2" s="1110"/>
      <c r="D2" s="1111"/>
      <c r="E2" s="1111"/>
      <c r="F2" s="1111"/>
      <c r="G2" s="1111"/>
      <c r="H2" s="1111"/>
      <c r="I2" s="1111"/>
      <c r="J2" s="1111"/>
      <c r="K2" s="1111"/>
      <c r="L2" s="1111"/>
    </row>
    <row r="3" spans="1:12" s="10" customFormat="1" ht="31.2" x14ac:dyDescent="0.3">
      <c r="A3" s="1112" t="s">
        <v>0</v>
      </c>
      <c r="B3" s="1115" t="s">
        <v>336</v>
      </c>
      <c r="C3" s="1118" t="s">
        <v>924</v>
      </c>
      <c r="D3" s="606" t="s">
        <v>382</v>
      </c>
      <c r="E3" s="1119" t="s">
        <v>383</v>
      </c>
      <c r="F3" s="1120"/>
      <c r="G3" s="1120"/>
      <c r="H3" s="1121"/>
      <c r="I3" s="1122" t="s">
        <v>384</v>
      </c>
      <c r="J3" s="1120"/>
      <c r="K3" s="1120"/>
      <c r="L3" s="1121"/>
    </row>
    <row r="4" spans="1:12" s="10" customFormat="1" ht="12.75" customHeight="1" x14ac:dyDescent="0.3">
      <c r="A4" s="1113"/>
      <c r="B4" s="1116"/>
      <c r="C4" s="998"/>
      <c r="D4" s="1123" t="s">
        <v>506</v>
      </c>
      <c r="E4" s="1123"/>
      <c r="F4" s="1123"/>
      <c r="G4" s="1123"/>
      <c r="H4" s="1124"/>
      <c r="I4" s="1125" t="s">
        <v>506</v>
      </c>
      <c r="J4" s="1123"/>
      <c r="K4" s="1123"/>
      <c r="L4" s="1124"/>
    </row>
    <row r="5" spans="1:12" s="10" customFormat="1" x14ac:dyDescent="0.3">
      <c r="A5" s="1113"/>
      <c r="B5" s="1116"/>
      <c r="C5" s="998"/>
      <c r="D5" s="567">
        <f>Nachkalkulation!C6</f>
        <v>2012</v>
      </c>
      <c r="E5" s="607">
        <f>Nachkalkulation!E6</f>
        <v>2013</v>
      </c>
      <c r="F5" s="608">
        <f>Nachkalkulation!G6</f>
        <v>2014</v>
      </c>
      <c r="G5" s="608">
        <f>Nachkalkulation!I6</f>
        <v>2015</v>
      </c>
      <c r="H5" s="567">
        <f>Nachkalkulation!K6</f>
        <v>2016</v>
      </c>
      <c r="I5" s="568">
        <f>Vorkalkulation!C6</f>
        <v>2017</v>
      </c>
      <c r="J5" s="609">
        <f>Vorkalkulation!E6</f>
        <v>2018</v>
      </c>
      <c r="K5" s="609">
        <f>Vorkalkulation!G6</f>
        <v>2019</v>
      </c>
      <c r="L5" s="610">
        <f>Vorkalkulation!I6</f>
        <v>2020</v>
      </c>
    </row>
    <row r="6" spans="1:12" s="10" customFormat="1" ht="16.2" x14ac:dyDescent="0.3">
      <c r="A6" s="1114"/>
      <c r="B6" s="1117"/>
      <c r="C6" s="1126" t="s">
        <v>925</v>
      </c>
      <c r="D6" s="1127"/>
      <c r="E6" s="1127"/>
      <c r="F6" s="1127"/>
      <c r="G6" s="1127"/>
      <c r="H6" s="1127"/>
      <c r="I6" s="1127"/>
      <c r="J6" s="1127"/>
      <c r="K6" s="1127"/>
      <c r="L6" s="1128"/>
    </row>
    <row r="7" spans="1:12" s="10" customFormat="1" x14ac:dyDescent="0.3">
      <c r="A7" s="569" t="s">
        <v>517</v>
      </c>
      <c r="B7" s="570" t="s">
        <v>926</v>
      </c>
      <c r="C7" s="571"/>
      <c r="D7" s="571"/>
      <c r="E7" s="571"/>
      <c r="F7" s="571"/>
      <c r="G7" s="571"/>
      <c r="H7" s="571"/>
      <c r="I7" s="571"/>
      <c r="J7" s="571"/>
      <c r="K7" s="571"/>
      <c r="L7" s="611"/>
    </row>
    <row r="8" spans="1:12" s="10" customFormat="1" ht="18.75" customHeight="1" x14ac:dyDescent="0.3">
      <c r="A8" s="572" t="s">
        <v>11</v>
      </c>
      <c r="B8" s="522" t="s">
        <v>927</v>
      </c>
      <c r="C8" s="571"/>
      <c r="D8" s="573">
        <v>2328856</v>
      </c>
      <c r="E8" s="574">
        <v>2327739</v>
      </c>
      <c r="F8" s="575">
        <v>2216194</v>
      </c>
      <c r="G8" s="575">
        <v>1854442</v>
      </c>
      <c r="H8" s="573">
        <v>1834986</v>
      </c>
      <c r="I8" s="575">
        <v>1850000</v>
      </c>
      <c r="J8" s="576">
        <v>1850000</v>
      </c>
      <c r="K8" s="576">
        <v>1850000</v>
      </c>
      <c r="L8" s="573">
        <v>1850000</v>
      </c>
    </row>
    <row r="9" spans="1:12" s="10" customFormat="1" ht="18.75" customHeight="1" x14ac:dyDescent="0.3">
      <c r="A9" s="572" t="s">
        <v>13</v>
      </c>
      <c r="B9" s="522" t="s">
        <v>928</v>
      </c>
      <c r="C9" s="571"/>
      <c r="D9" s="573">
        <v>1358174</v>
      </c>
      <c r="E9" s="577">
        <v>1356991</v>
      </c>
      <c r="F9" s="578">
        <v>1354572</v>
      </c>
      <c r="G9" s="578">
        <v>1354078</v>
      </c>
      <c r="H9" s="573">
        <v>1348602</v>
      </c>
      <c r="I9" s="578">
        <v>1350000</v>
      </c>
      <c r="J9" s="579">
        <v>1350000</v>
      </c>
      <c r="K9" s="579">
        <v>1350000</v>
      </c>
      <c r="L9" s="573">
        <v>1350000</v>
      </c>
    </row>
    <row r="10" spans="1:12" s="10" customFormat="1" ht="28.8" x14ac:dyDescent="0.3">
      <c r="A10" s="572" t="s">
        <v>16</v>
      </c>
      <c r="B10" s="522" t="s">
        <v>929</v>
      </c>
      <c r="C10" s="571"/>
      <c r="D10" s="580">
        <f>D8-D9</f>
        <v>970682</v>
      </c>
      <c r="E10" s="581">
        <f t="shared" ref="E10:L10" si="0">E8-E9</f>
        <v>970748</v>
      </c>
      <c r="F10" s="582">
        <f t="shared" si="0"/>
        <v>861622</v>
      </c>
      <c r="G10" s="582">
        <f t="shared" si="0"/>
        <v>500364</v>
      </c>
      <c r="H10" s="580">
        <f t="shared" si="0"/>
        <v>486384</v>
      </c>
      <c r="I10" s="581">
        <f t="shared" si="0"/>
        <v>500000</v>
      </c>
      <c r="J10" s="582">
        <f t="shared" si="0"/>
        <v>500000</v>
      </c>
      <c r="K10" s="583">
        <f t="shared" si="0"/>
        <v>500000</v>
      </c>
      <c r="L10" s="580">
        <f t="shared" si="0"/>
        <v>500000</v>
      </c>
    </row>
    <row r="11" spans="1:12" s="10" customFormat="1" ht="18.75" customHeight="1" x14ac:dyDescent="0.3">
      <c r="A11" s="569" t="s">
        <v>556</v>
      </c>
      <c r="B11" s="570" t="s">
        <v>930</v>
      </c>
      <c r="C11" s="571"/>
      <c r="D11" s="571"/>
      <c r="E11" s="571"/>
      <c r="F11" s="571"/>
      <c r="G11" s="571"/>
      <c r="H11" s="571"/>
      <c r="I11" s="571"/>
      <c r="J11" s="571"/>
      <c r="K11" s="571"/>
      <c r="L11" s="611"/>
    </row>
    <row r="12" spans="1:12" s="10" customFormat="1" ht="18.75" customHeight="1" x14ac:dyDescent="0.3">
      <c r="A12" s="572" t="s">
        <v>86</v>
      </c>
      <c r="B12" s="522" t="s">
        <v>931</v>
      </c>
      <c r="C12" s="571"/>
      <c r="D12" s="573">
        <v>50330703</v>
      </c>
      <c r="E12" s="578">
        <v>48278875</v>
      </c>
      <c r="F12" s="578">
        <v>46197487</v>
      </c>
      <c r="G12" s="578">
        <v>45330822</v>
      </c>
      <c r="H12" s="573">
        <v>45576848</v>
      </c>
      <c r="I12" s="578">
        <v>45600000</v>
      </c>
      <c r="J12" s="578">
        <v>45600000</v>
      </c>
      <c r="K12" s="578">
        <v>45600000</v>
      </c>
      <c r="L12" s="573">
        <v>45600000</v>
      </c>
    </row>
    <row r="13" spans="1:12" s="10" customFormat="1" ht="18.75" customHeight="1" x14ac:dyDescent="0.3">
      <c r="A13" s="572" t="s">
        <v>932</v>
      </c>
      <c r="B13" s="522" t="s">
        <v>933</v>
      </c>
      <c r="C13" s="571"/>
      <c r="D13" s="573">
        <v>28753586</v>
      </c>
      <c r="E13" s="578">
        <v>27396595</v>
      </c>
      <c r="F13" s="578">
        <v>26042023</v>
      </c>
      <c r="G13" s="578">
        <v>24687946</v>
      </c>
      <c r="H13" s="573">
        <v>23339344</v>
      </c>
      <c r="I13" s="578">
        <f>ROUND(H13-1334000,-3)</f>
        <v>22005000</v>
      </c>
      <c r="J13" s="578">
        <f>ROUND(I13-1334000,-3)</f>
        <v>20671000</v>
      </c>
      <c r="K13" s="578">
        <f>ROUND(J13-1334000,-3)</f>
        <v>19337000</v>
      </c>
      <c r="L13" s="573">
        <f>ROUND(K13-1334000,-3)</f>
        <v>18003000</v>
      </c>
    </row>
    <row r="14" spans="1:12" s="10" customFormat="1" ht="25.5" customHeight="1" x14ac:dyDescent="0.3">
      <c r="A14" s="572" t="s">
        <v>92</v>
      </c>
      <c r="B14" s="522" t="s">
        <v>934</v>
      </c>
      <c r="C14" s="571"/>
      <c r="D14" s="580">
        <f>D12-D13</f>
        <v>21577117</v>
      </c>
      <c r="E14" s="582">
        <f t="shared" ref="E14:L14" si="1">E12-E13</f>
        <v>20882280</v>
      </c>
      <c r="F14" s="582">
        <f t="shared" si="1"/>
        <v>20155464</v>
      </c>
      <c r="G14" s="582">
        <f t="shared" si="1"/>
        <v>20642876</v>
      </c>
      <c r="H14" s="580">
        <f t="shared" si="1"/>
        <v>22237504</v>
      </c>
      <c r="I14" s="582">
        <f t="shared" si="1"/>
        <v>23595000</v>
      </c>
      <c r="J14" s="582">
        <f t="shared" si="1"/>
        <v>24929000</v>
      </c>
      <c r="K14" s="582">
        <f t="shared" si="1"/>
        <v>26263000</v>
      </c>
      <c r="L14" s="580">
        <f t="shared" si="1"/>
        <v>27597000</v>
      </c>
    </row>
    <row r="15" spans="1:12" s="10" customFormat="1" ht="18.75" customHeight="1" x14ac:dyDescent="0.3">
      <c r="A15" s="572" t="s">
        <v>95</v>
      </c>
      <c r="B15" s="522" t="s">
        <v>935</v>
      </c>
      <c r="C15" s="571"/>
      <c r="D15" s="584">
        <v>0.05</v>
      </c>
      <c r="E15" s="585">
        <v>0.05</v>
      </c>
      <c r="F15" s="585">
        <v>0.05</v>
      </c>
      <c r="G15" s="585">
        <v>0.05</v>
      </c>
      <c r="H15" s="584">
        <v>0.05</v>
      </c>
      <c r="I15" s="586">
        <v>0.05</v>
      </c>
      <c r="J15" s="585">
        <v>0.05</v>
      </c>
      <c r="K15" s="585">
        <v>0.05</v>
      </c>
      <c r="L15" s="584">
        <v>0.05</v>
      </c>
    </row>
    <row r="16" spans="1:12" s="10" customFormat="1" ht="25.5" customHeight="1" x14ac:dyDescent="0.3">
      <c r="A16" s="572" t="s">
        <v>98</v>
      </c>
      <c r="B16" s="522" t="s">
        <v>936</v>
      </c>
      <c r="C16" s="571"/>
      <c r="D16" s="580">
        <f>ROUND(D14*D15,2)</f>
        <v>1078855.8500000001</v>
      </c>
      <c r="E16" s="582">
        <f t="shared" ref="E16:L16" si="2">ROUND(E14*E15,2)</f>
        <v>1044114</v>
      </c>
      <c r="F16" s="582">
        <f t="shared" si="2"/>
        <v>1007773.2</v>
      </c>
      <c r="G16" s="582">
        <f t="shared" si="2"/>
        <v>1032143.8</v>
      </c>
      <c r="H16" s="580">
        <f t="shared" si="2"/>
        <v>1111875.2</v>
      </c>
      <c r="I16" s="582">
        <f t="shared" si="2"/>
        <v>1179750</v>
      </c>
      <c r="J16" s="582">
        <f t="shared" si="2"/>
        <v>1246450</v>
      </c>
      <c r="K16" s="582">
        <f t="shared" si="2"/>
        <v>1313150</v>
      </c>
      <c r="L16" s="580">
        <f t="shared" si="2"/>
        <v>1379850</v>
      </c>
    </row>
    <row r="17" spans="1:12" s="10" customFormat="1" x14ac:dyDescent="0.3">
      <c r="A17" s="571"/>
      <c r="B17" s="571"/>
      <c r="C17" s="571"/>
      <c r="D17" s="571"/>
      <c r="E17" s="571"/>
      <c r="F17" s="571"/>
      <c r="G17" s="571"/>
      <c r="H17" s="571"/>
      <c r="I17" s="571"/>
      <c r="J17" s="571"/>
      <c r="K17" s="571"/>
      <c r="L17" s="611"/>
    </row>
    <row r="18" spans="1:12" s="10" customFormat="1" ht="20.25" customHeight="1" x14ac:dyDescent="0.35">
      <c r="A18" s="587" t="s">
        <v>651</v>
      </c>
      <c r="B18" s="588" t="s">
        <v>937</v>
      </c>
      <c r="C18" s="571"/>
      <c r="D18" s="589">
        <v>0.12189999999999999</v>
      </c>
      <c r="E18" s="192">
        <v>0.12189999999999999</v>
      </c>
      <c r="F18" s="192">
        <v>0.12189999999999999</v>
      </c>
      <c r="G18" s="192">
        <v>0.12189999999999999</v>
      </c>
      <c r="H18" s="589">
        <v>0.12189999999999999</v>
      </c>
      <c r="I18" s="590">
        <v>0.12189999999999999</v>
      </c>
      <c r="J18" s="192">
        <v>0.12189999999999999</v>
      </c>
      <c r="K18" s="192">
        <v>0.12189999999999999</v>
      </c>
      <c r="L18" s="589">
        <v>0.12189999999999999</v>
      </c>
    </row>
    <row r="19" spans="1:12" s="10" customFormat="1" ht="20.25" customHeight="1" x14ac:dyDescent="0.3">
      <c r="A19" s="587" t="s">
        <v>938</v>
      </c>
      <c r="B19" s="591" t="s">
        <v>939</v>
      </c>
      <c r="C19" s="571"/>
      <c r="D19" s="592">
        <f t="shared" ref="D19:L19" si="3">HLOOKUP(D5,Grund_zins,2,FALSE)</f>
        <v>3.5000000000000003E-2</v>
      </c>
      <c r="E19" s="593">
        <f t="shared" si="3"/>
        <v>3.5000000000000003E-2</v>
      </c>
      <c r="F19" s="594">
        <f t="shared" si="3"/>
        <v>3.5000000000000003E-2</v>
      </c>
      <c r="G19" s="594">
        <f t="shared" si="3"/>
        <v>3.5000000000000003E-2</v>
      </c>
      <c r="H19" s="592">
        <f t="shared" si="3"/>
        <v>3.5000000000000003E-2</v>
      </c>
      <c r="I19" s="593">
        <f t="shared" si="3"/>
        <v>0.03</v>
      </c>
      <c r="J19" s="594">
        <f t="shared" si="3"/>
        <v>0.03</v>
      </c>
      <c r="K19" s="594">
        <f t="shared" si="3"/>
        <v>0.03</v>
      </c>
      <c r="L19" s="592">
        <f t="shared" si="3"/>
        <v>0.03</v>
      </c>
    </row>
    <row r="20" spans="1:12" s="10" customFormat="1" ht="20.25" customHeight="1" x14ac:dyDescent="0.3">
      <c r="A20" s="595" t="s">
        <v>108</v>
      </c>
      <c r="B20" s="596" t="s">
        <v>940</v>
      </c>
      <c r="C20" s="597" t="s">
        <v>29</v>
      </c>
      <c r="D20" s="580">
        <f t="shared" ref="D20:L20" si="4">ROUND(D10*D18,2)</f>
        <v>118326.14</v>
      </c>
      <c r="E20" s="598">
        <f t="shared" si="4"/>
        <v>118334.18</v>
      </c>
      <c r="F20" s="598">
        <f t="shared" si="4"/>
        <v>105031.72</v>
      </c>
      <c r="G20" s="598">
        <f t="shared" si="4"/>
        <v>60994.37</v>
      </c>
      <c r="H20" s="580">
        <f t="shared" si="4"/>
        <v>59290.21</v>
      </c>
      <c r="I20" s="599">
        <f t="shared" si="4"/>
        <v>60950</v>
      </c>
      <c r="J20" s="598">
        <f t="shared" si="4"/>
        <v>60950</v>
      </c>
      <c r="K20" s="598">
        <f t="shared" si="4"/>
        <v>60950</v>
      </c>
      <c r="L20" s="580">
        <f t="shared" si="4"/>
        <v>60950</v>
      </c>
    </row>
    <row r="21" spans="1:12" s="10" customFormat="1" ht="20.25" customHeight="1" x14ac:dyDescent="0.3">
      <c r="A21" s="595"/>
      <c r="B21" s="600" t="s">
        <v>941</v>
      </c>
      <c r="C21" s="571"/>
      <c r="D21" s="580">
        <f>ROUND(D14*D18,2)</f>
        <v>2630250.56</v>
      </c>
      <c r="E21" s="598">
        <f t="shared" ref="E21:L21" si="5">ROUND(E14*E18,2)</f>
        <v>2545549.9300000002</v>
      </c>
      <c r="F21" s="598">
        <f t="shared" si="5"/>
        <v>2456951.06</v>
      </c>
      <c r="G21" s="598">
        <f t="shared" si="5"/>
        <v>2516366.58</v>
      </c>
      <c r="H21" s="580">
        <f t="shared" si="5"/>
        <v>2710751.74</v>
      </c>
      <c r="I21" s="598">
        <f t="shared" si="5"/>
        <v>2876230.5</v>
      </c>
      <c r="J21" s="598">
        <f t="shared" si="5"/>
        <v>3038845.1</v>
      </c>
      <c r="K21" s="598">
        <f t="shared" si="5"/>
        <v>3201459.7</v>
      </c>
      <c r="L21" s="580">
        <f t="shared" si="5"/>
        <v>3364074.3</v>
      </c>
    </row>
    <row r="22" spans="1:12" s="10" customFormat="1" ht="20.25" customHeight="1" x14ac:dyDescent="0.3">
      <c r="A22" s="595" t="s">
        <v>111</v>
      </c>
      <c r="B22" s="596" t="s">
        <v>942</v>
      </c>
      <c r="C22" s="597" t="s">
        <v>29</v>
      </c>
      <c r="D22" s="580">
        <f>ROUND(D21*D19,2)</f>
        <v>92058.77</v>
      </c>
      <c r="E22" s="598">
        <f t="shared" ref="E22:L22" si="6">ROUND(E21*E19,2)</f>
        <v>89094.25</v>
      </c>
      <c r="F22" s="598">
        <f t="shared" si="6"/>
        <v>85993.29</v>
      </c>
      <c r="G22" s="598">
        <f t="shared" si="6"/>
        <v>88072.83</v>
      </c>
      <c r="H22" s="580">
        <f t="shared" si="6"/>
        <v>94876.31</v>
      </c>
      <c r="I22" s="598">
        <f t="shared" si="6"/>
        <v>86286.92</v>
      </c>
      <c r="J22" s="598">
        <f t="shared" si="6"/>
        <v>91165.35</v>
      </c>
      <c r="K22" s="598">
        <f t="shared" si="6"/>
        <v>96043.79</v>
      </c>
      <c r="L22" s="580">
        <f t="shared" si="6"/>
        <v>100922.23</v>
      </c>
    </row>
    <row r="23" spans="1:12" s="10" customFormat="1" x14ac:dyDescent="0.3">
      <c r="A23" s="571"/>
      <c r="B23" s="571"/>
      <c r="C23" s="571"/>
      <c r="D23" s="571"/>
      <c r="E23" s="571"/>
      <c r="F23" s="571"/>
      <c r="G23" s="571"/>
      <c r="H23" s="571"/>
      <c r="I23" s="571"/>
      <c r="J23" s="571"/>
      <c r="K23" s="571"/>
      <c r="L23" s="571"/>
    </row>
    <row r="24" spans="1:12" s="10" customFormat="1" hidden="1" x14ac:dyDescent="0.3">
      <c r="D24" s="601">
        <f t="shared" ref="D24:L24" si="7">D5</f>
        <v>2012</v>
      </c>
      <c r="E24" s="601">
        <f t="shared" si="7"/>
        <v>2013</v>
      </c>
      <c r="F24" s="601">
        <f t="shared" si="7"/>
        <v>2014</v>
      </c>
      <c r="G24" s="601">
        <f t="shared" si="7"/>
        <v>2015</v>
      </c>
      <c r="H24" s="601">
        <f t="shared" si="7"/>
        <v>2016</v>
      </c>
      <c r="I24" s="601">
        <f t="shared" si="7"/>
        <v>2017</v>
      </c>
      <c r="J24" s="601">
        <f t="shared" si="7"/>
        <v>2018</v>
      </c>
      <c r="K24" s="601">
        <f t="shared" si="7"/>
        <v>2019</v>
      </c>
      <c r="L24" s="601">
        <f t="shared" si="7"/>
        <v>2020</v>
      </c>
    </row>
    <row r="25" spans="1:12" s="10" customFormat="1" ht="15.6" hidden="1" x14ac:dyDescent="0.3">
      <c r="A25" s="602" t="s">
        <v>943</v>
      </c>
      <c r="B25" s="603"/>
      <c r="C25" s="10">
        <v>2</v>
      </c>
    </row>
    <row r="26" spans="1:12" s="10" customFormat="1" hidden="1" x14ac:dyDescent="0.3">
      <c r="A26" s="604" t="s">
        <v>944</v>
      </c>
      <c r="C26" s="10">
        <v>3</v>
      </c>
      <c r="D26" s="605">
        <f t="shared" ref="D26:L26" si="8">D20</f>
        <v>118326.14</v>
      </c>
      <c r="E26" s="605">
        <f t="shared" si="8"/>
        <v>118334.18</v>
      </c>
      <c r="F26" s="605">
        <f t="shared" si="8"/>
        <v>105031.72</v>
      </c>
      <c r="G26" s="605">
        <f t="shared" si="8"/>
        <v>60994.37</v>
      </c>
      <c r="H26" s="605">
        <f t="shared" si="8"/>
        <v>59290.21</v>
      </c>
      <c r="I26" s="605">
        <f t="shared" si="8"/>
        <v>60950</v>
      </c>
      <c r="J26" s="605">
        <f t="shared" si="8"/>
        <v>60950</v>
      </c>
      <c r="K26" s="605">
        <f t="shared" si="8"/>
        <v>60950</v>
      </c>
      <c r="L26" s="605">
        <f t="shared" si="8"/>
        <v>60950</v>
      </c>
    </row>
    <row r="27" spans="1:12" s="10" customFormat="1" hidden="1" x14ac:dyDescent="0.3">
      <c r="A27" s="565" t="s">
        <v>301</v>
      </c>
      <c r="C27" s="10">
        <v>4</v>
      </c>
      <c r="D27" s="605">
        <f t="shared" ref="D27:L27" si="9">IF($C$20="kls",ROUND(D26*HLOOKUP(D5,Verteil_sw,11,FALSE),2),IF($C$20="klk",ROUND(D26*HLOOKUP(D5,Verteil_sw,14,FALSE),2),0))</f>
        <v>118326.14</v>
      </c>
      <c r="E27" s="605">
        <f t="shared" si="9"/>
        <v>118334.18</v>
      </c>
      <c r="F27" s="605">
        <f t="shared" si="9"/>
        <v>105031.72</v>
      </c>
      <c r="G27" s="605">
        <f t="shared" si="9"/>
        <v>60994.37</v>
      </c>
      <c r="H27" s="605">
        <f t="shared" si="9"/>
        <v>59290.21</v>
      </c>
      <c r="I27" s="605">
        <f t="shared" si="9"/>
        <v>60950</v>
      </c>
      <c r="J27" s="605">
        <f t="shared" si="9"/>
        <v>60950</v>
      </c>
      <c r="K27" s="605">
        <f t="shared" si="9"/>
        <v>60950</v>
      </c>
      <c r="L27" s="605">
        <f t="shared" si="9"/>
        <v>60950</v>
      </c>
    </row>
    <row r="28" spans="1:12" s="10" customFormat="1" hidden="1" x14ac:dyDescent="0.3">
      <c r="A28" s="565" t="s">
        <v>302</v>
      </c>
      <c r="C28" s="10">
        <v>5</v>
      </c>
      <c r="D28" s="605">
        <f t="shared" ref="D28:L28" si="10">IF($C$20="klk",ROUND(D26*HLOOKUP(D5,Verteil_rwgr,13,FALSE),2),0)</f>
        <v>0</v>
      </c>
      <c r="E28" s="605">
        <f t="shared" si="10"/>
        <v>0</v>
      </c>
      <c r="F28" s="605">
        <f t="shared" si="10"/>
        <v>0</v>
      </c>
      <c r="G28" s="605">
        <f t="shared" si="10"/>
        <v>0</v>
      </c>
      <c r="H28" s="605">
        <f t="shared" si="10"/>
        <v>0</v>
      </c>
      <c r="I28" s="605">
        <f t="shared" si="10"/>
        <v>0</v>
      </c>
      <c r="J28" s="605">
        <f t="shared" si="10"/>
        <v>0</v>
      </c>
      <c r="K28" s="605">
        <f t="shared" si="10"/>
        <v>0</v>
      </c>
      <c r="L28" s="605">
        <f t="shared" si="10"/>
        <v>0</v>
      </c>
    </row>
    <row r="29" spans="1:12" s="10" customFormat="1" hidden="1" x14ac:dyDescent="0.3">
      <c r="A29" s="565" t="s">
        <v>303</v>
      </c>
      <c r="C29" s="10">
        <v>6</v>
      </c>
      <c r="D29" s="605">
        <f t="shared" ref="D29:L29" si="11">IF($C$20="klk",ROUND(D26*HLOOKUP(D5,Verteil_rwst,12,FALSE),2),0)</f>
        <v>0</v>
      </c>
      <c r="E29" s="605">
        <f t="shared" si="11"/>
        <v>0</v>
      </c>
      <c r="F29" s="605">
        <f t="shared" si="11"/>
        <v>0</v>
      </c>
      <c r="G29" s="605">
        <f t="shared" si="11"/>
        <v>0</v>
      </c>
      <c r="H29" s="605">
        <f t="shared" si="11"/>
        <v>0</v>
      </c>
      <c r="I29" s="605">
        <f t="shared" si="11"/>
        <v>0</v>
      </c>
      <c r="J29" s="605">
        <f t="shared" si="11"/>
        <v>0</v>
      </c>
      <c r="K29" s="605">
        <f t="shared" si="11"/>
        <v>0</v>
      </c>
      <c r="L29" s="605">
        <f t="shared" si="11"/>
        <v>0</v>
      </c>
    </row>
    <row r="30" spans="1:12" s="10" customFormat="1" hidden="1" x14ac:dyDescent="0.3">
      <c r="A30" s="604" t="s">
        <v>945</v>
      </c>
      <c r="C30" s="10">
        <v>7</v>
      </c>
      <c r="D30" s="605">
        <f t="shared" ref="D30:L30" si="12">D22</f>
        <v>92058.77</v>
      </c>
      <c r="E30" s="605">
        <f t="shared" si="12"/>
        <v>89094.25</v>
      </c>
      <c r="F30" s="605">
        <f t="shared" si="12"/>
        <v>85993.29</v>
      </c>
      <c r="G30" s="605">
        <f t="shared" si="12"/>
        <v>88072.83</v>
      </c>
      <c r="H30" s="605">
        <f t="shared" si="12"/>
        <v>94876.31</v>
      </c>
      <c r="I30" s="605">
        <f t="shared" si="12"/>
        <v>86286.92</v>
      </c>
      <c r="J30" s="605">
        <f t="shared" si="12"/>
        <v>91165.35</v>
      </c>
      <c r="K30" s="605">
        <f t="shared" si="12"/>
        <v>96043.79</v>
      </c>
      <c r="L30" s="605">
        <f t="shared" si="12"/>
        <v>100922.23</v>
      </c>
    </row>
    <row r="31" spans="1:12" s="10" customFormat="1" hidden="1" x14ac:dyDescent="0.3">
      <c r="A31" s="565" t="s">
        <v>301</v>
      </c>
      <c r="C31" s="10">
        <v>8</v>
      </c>
      <c r="D31" s="605">
        <f t="shared" ref="D31:L31" si="13">IF($C$22="kls",ROUND(D30*HLOOKUP(D5,Verteil_sw,11,FALSE),2),IF($C$20="klk",ROUND(D30*HLOOKUP(D5,Verteil_sw,14,FALSE),2),0))</f>
        <v>92058.77</v>
      </c>
      <c r="E31" s="605">
        <f t="shared" si="13"/>
        <v>89094.25</v>
      </c>
      <c r="F31" s="605">
        <f t="shared" si="13"/>
        <v>85993.29</v>
      </c>
      <c r="G31" s="605">
        <f t="shared" si="13"/>
        <v>88072.83</v>
      </c>
      <c r="H31" s="605">
        <f t="shared" si="13"/>
        <v>94876.31</v>
      </c>
      <c r="I31" s="605">
        <f t="shared" si="13"/>
        <v>86286.92</v>
      </c>
      <c r="J31" s="605">
        <f t="shared" si="13"/>
        <v>91165.35</v>
      </c>
      <c r="K31" s="605">
        <f t="shared" si="13"/>
        <v>96043.79</v>
      </c>
      <c r="L31" s="605">
        <f t="shared" si="13"/>
        <v>100922.23</v>
      </c>
    </row>
    <row r="32" spans="1:12" s="10" customFormat="1" hidden="1" x14ac:dyDescent="0.3">
      <c r="A32" s="565" t="s">
        <v>302</v>
      </c>
      <c r="C32" s="10">
        <v>9</v>
      </c>
      <c r="D32" s="605">
        <f t="shared" ref="D32:L32" si="14">IF($C$22="klk",ROUND(D30*HLOOKUP(D5,Verteil_rwgr,13,FALSE),2),0)</f>
        <v>0</v>
      </c>
      <c r="E32" s="605">
        <f t="shared" si="14"/>
        <v>0</v>
      </c>
      <c r="F32" s="605">
        <f t="shared" si="14"/>
        <v>0</v>
      </c>
      <c r="G32" s="605">
        <f t="shared" si="14"/>
        <v>0</v>
      </c>
      <c r="H32" s="605">
        <f t="shared" si="14"/>
        <v>0</v>
      </c>
      <c r="I32" s="605">
        <f t="shared" si="14"/>
        <v>0</v>
      </c>
      <c r="J32" s="605">
        <f t="shared" si="14"/>
        <v>0</v>
      </c>
      <c r="K32" s="605">
        <f t="shared" si="14"/>
        <v>0</v>
      </c>
      <c r="L32" s="605">
        <f t="shared" si="14"/>
        <v>0</v>
      </c>
    </row>
    <row r="33" spans="1:12" s="10" customFormat="1" hidden="1" x14ac:dyDescent="0.3">
      <c r="A33" s="565" t="s">
        <v>303</v>
      </c>
      <c r="C33" s="10">
        <v>10</v>
      </c>
      <c r="D33" s="605">
        <f t="shared" ref="D33:L33" si="15">IF($C$22="klk",ROUND(D30*HLOOKUP(D5,Verteil_rwst,12,FALSE),2),0)</f>
        <v>0</v>
      </c>
      <c r="E33" s="605">
        <f t="shared" si="15"/>
        <v>0</v>
      </c>
      <c r="F33" s="605">
        <f t="shared" si="15"/>
        <v>0</v>
      </c>
      <c r="G33" s="605">
        <f t="shared" si="15"/>
        <v>0</v>
      </c>
      <c r="H33" s="605">
        <f t="shared" si="15"/>
        <v>0</v>
      </c>
      <c r="I33" s="605">
        <f t="shared" si="15"/>
        <v>0</v>
      </c>
      <c r="J33" s="605">
        <f t="shared" si="15"/>
        <v>0</v>
      </c>
      <c r="K33" s="605">
        <f t="shared" si="15"/>
        <v>0</v>
      </c>
      <c r="L33" s="605">
        <f t="shared" si="15"/>
        <v>0</v>
      </c>
    </row>
    <row r="34" spans="1:12" ht="15.6" hidden="1" x14ac:dyDescent="0.3">
      <c r="B34" s="685" t="str">
        <f>"Zwischen Zeile "&amp;ROW(24:24)&amp;" und Zeile "&amp;ROW(34:34)&amp;" weder eine Zeile einfügen noch löschen!!!"</f>
        <v>Zwischen Zeile 24 und Zeile 34 weder eine Zeile einfügen noch löschen!!!</v>
      </c>
    </row>
  </sheetData>
  <sheetProtection sheet="1" objects="1" scenarios="1"/>
  <mergeCells count="10">
    <mergeCell ref="A1:B1"/>
    <mergeCell ref="A2:L2"/>
    <mergeCell ref="A3:A6"/>
    <mergeCell ref="B3:B6"/>
    <mergeCell ref="C3:C5"/>
    <mergeCell ref="E3:H3"/>
    <mergeCell ref="I3:L3"/>
    <mergeCell ref="D4:H4"/>
    <mergeCell ref="I4:L4"/>
    <mergeCell ref="C6:L6"/>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
  <sheetViews>
    <sheetView workbookViewId="0">
      <selection activeCell="B6" sqref="B6"/>
    </sheetView>
  </sheetViews>
  <sheetFormatPr baseColWidth="10" defaultColWidth="11.44140625" defaultRowHeight="14.4" x14ac:dyDescent="0.3"/>
  <cols>
    <col min="1" max="1" width="9" style="10" customWidth="1"/>
    <col min="2" max="5" width="29.88671875" style="10" customWidth="1"/>
    <col min="6" max="8" width="0" style="10" hidden="1" customWidth="1"/>
    <col min="9" max="16384" width="11.44140625" style="10"/>
  </cols>
  <sheetData>
    <row r="1" spans="1:8" ht="17.25" customHeight="1" x14ac:dyDescent="0.3">
      <c r="A1" s="1129" t="str">
        <f>Grunddaten!A1 &amp; "   " &amp; Grunddaten!A2</f>
        <v>Gemeinde A   Abwasserbeseitigungseinrichtung</v>
      </c>
      <c r="B1" s="1129"/>
      <c r="C1" s="1129"/>
      <c r="D1" s="1129"/>
      <c r="E1" s="1129"/>
    </row>
    <row r="2" spans="1:8" x14ac:dyDescent="0.3">
      <c r="A2" s="768" t="s">
        <v>138</v>
      </c>
      <c r="B2" s="1130"/>
      <c r="C2" s="1130"/>
      <c r="D2" s="1130"/>
      <c r="E2" s="1130"/>
    </row>
    <row r="3" spans="1:8" ht="58.2" thickBot="1" x14ac:dyDescent="0.35">
      <c r="A3" s="367" t="s">
        <v>139</v>
      </c>
      <c r="B3" s="368" t="s">
        <v>1001</v>
      </c>
      <c r="C3" s="368" t="s">
        <v>1000</v>
      </c>
      <c r="D3" s="368" t="s">
        <v>999</v>
      </c>
      <c r="E3" s="368" t="s">
        <v>998</v>
      </c>
    </row>
    <row r="4" spans="1:8" ht="115.2" x14ac:dyDescent="0.3">
      <c r="A4" s="369" t="s">
        <v>140</v>
      </c>
      <c r="B4" s="370" t="s">
        <v>141</v>
      </c>
      <c r="C4" s="371" t="s">
        <v>1002</v>
      </c>
      <c r="D4" s="371" t="s">
        <v>142</v>
      </c>
      <c r="E4" s="371" t="s">
        <v>143</v>
      </c>
    </row>
    <row r="5" spans="1:8" ht="15" thickBot="1" x14ac:dyDescent="0.35">
      <c r="A5" s="372">
        <v>1</v>
      </c>
      <c r="B5" s="373">
        <v>2</v>
      </c>
      <c r="C5" s="373">
        <v>3</v>
      </c>
      <c r="D5" s="373">
        <v>4</v>
      </c>
      <c r="E5" s="373">
        <v>5</v>
      </c>
    </row>
    <row r="6" spans="1:8" x14ac:dyDescent="0.3">
      <c r="A6" s="35">
        <v>1958</v>
      </c>
      <c r="B6" s="1169">
        <f t="shared" ref="B6:B14" si="0">ROUND(B7-B7*((D7-D6)/D7),1)</f>
        <v>19.399999999999999</v>
      </c>
      <c r="C6" s="1169">
        <f t="shared" ref="C6:C14" si="1">ROUND(C7-C7*((D7-D6)/D7),1)</f>
        <v>17.2</v>
      </c>
      <c r="D6" s="1170">
        <v>13.8</v>
      </c>
      <c r="E6" s="1169">
        <f t="shared" ref="E6:E16" si="2">ROUND(E7-E7*((D7-D6)/D7),1)</f>
        <v>17</v>
      </c>
      <c r="F6" s="1171"/>
      <c r="G6" s="1171"/>
      <c r="H6" s="1171"/>
    </row>
    <row r="7" spans="1:8" x14ac:dyDescent="0.3">
      <c r="A7" s="36">
        <v>1959</v>
      </c>
      <c r="B7" s="1172">
        <f t="shared" si="0"/>
        <v>20.5</v>
      </c>
      <c r="C7" s="1172">
        <f t="shared" si="1"/>
        <v>18.2</v>
      </c>
      <c r="D7" s="1170">
        <v>14.6</v>
      </c>
      <c r="E7" s="1172">
        <f t="shared" si="2"/>
        <v>18</v>
      </c>
      <c r="F7" s="1171"/>
      <c r="G7" s="1171"/>
      <c r="H7" s="1171"/>
    </row>
    <row r="8" spans="1:8" x14ac:dyDescent="0.3">
      <c r="A8" s="36">
        <v>1960</v>
      </c>
      <c r="B8" s="1172">
        <f t="shared" si="0"/>
        <v>22</v>
      </c>
      <c r="C8" s="1172">
        <f t="shared" si="1"/>
        <v>19.600000000000001</v>
      </c>
      <c r="D8" s="1170">
        <v>15.7</v>
      </c>
      <c r="E8" s="1172">
        <f t="shared" si="2"/>
        <v>19.399999999999999</v>
      </c>
      <c r="F8" s="1171"/>
      <c r="G8" s="1171"/>
      <c r="H8" s="1171"/>
    </row>
    <row r="9" spans="1:8" x14ac:dyDescent="0.3">
      <c r="A9" s="36">
        <v>1961</v>
      </c>
      <c r="B9" s="1172">
        <f t="shared" si="0"/>
        <v>23.5</v>
      </c>
      <c r="C9" s="1172">
        <f t="shared" si="1"/>
        <v>21</v>
      </c>
      <c r="D9" s="1170">
        <v>16.8</v>
      </c>
      <c r="E9" s="1172">
        <f t="shared" si="2"/>
        <v>20.8</v>
      </c>
      <c r="F9" s="1171"/>
      <c r="G9" s="1173"/>
      <c r="H9" s="1173"/>
    </row>
    <row r="10" spans="1:8" x14ac:dyDescent="0.3">
      <c r="A10" s="36">
        <v>1962</v>
      </c>
      <c r="B10" s="1172">
        <f t="shared" si="0"/>
        <v>25.5</v>
      </c>
      <c r="C10" s="1172">
        <f t="shared" si="1"/>
        <v>22.8</v>
      </c>
      <c r="D10" s="1170">
        <v>18.2</v>
      </c>
      <c r="E10" s="1172">
        <f t="shared" si="2"/>
        <v>22.5</v>
      </c>
      <c r="F10" s="1171"/>
      <c r="G10" s="1173"/>
      <c r="H10" s="1173"/>
    </row>
    <row r="11" spans="1:8" x14ac:dyDescent="0.3">
      <c r="A11" s="36">
        <v>1963</v>
      </c>
      <c r="B11" s="1172">
        <f t="shared" si="0"/>
        <v>24</v>
      </c>
      <c r="C11" s="1172">
        <f t="shared" si="1"/>
        <v>21.4</v>
      </c>
      <c r="D11" s="1174">
        <f t="shared" ref="D11:D15" si="3">ROUND(H11/111.2*100,1)</f>
        <v>17.100000000000001</v>
      </c>
      <c r="E11" s="1172">
        <f t="shared" si="2"/>
        <v>21.1</v>
      </c>
      <c r="F11" s="1171"/>
      <c r="G11" s="1173"/>
      <c r="H11" s="1175">
        <v>19</v>
      </c>
    </row>
    <row r="12" spans="1:8" x14ac:dyDescent="0.3">
      <c r="A12" s="36">
        <v>1964</v>
      </c>
      <c r="B12" s="1172">
        <f t="shared" si="0"/>
        <v>24.8</v>
      </c>
      <c r="C12" s="1172">
        <f t="shared" si="1"/>
        <v>22.1</v>
      </c>
      <c r="D12" s="1174">
        <f t="shared" si="3"/>
        <v>17.7</v>
      </c>
      <c r="E12" s="1172">
        <f t="shared" si="2"/>
        <v>21.8</v>
      </c>
      <c r="F12" s="1171"/>
      <c r="G12" s="1173"/>
      <c r="H12" s="1175">
        <v>19.7</v>
      </c>
    </row>
    <row r="13" spans="1:8" x14ac:dyDescent="0.3">
      <c r="A13" s="36">
        <v>1965</v>
      </c>
      <c r="B13" s="1172">
        <f t="shared" si="0"/>
        <v>25.6</v>
      </c>
      <c r="C13" s="1172">
        <f t="shared" si="1"/>
        <v>22.9</v>
      </c>
      <c r="D13" s="1174">
        <f t="shared" si="3"/>
        <v>18.3</v>
      </c>
      <c r="E13" s="1172">
        <f t="shared" si="2"/>
        <v>22.5</v>
      </c>
      <c r="F13" s="1171"/>
      <c r="G13" s="1173"/>
      <c r="H13" s="1175">
        <v>20.3</v>
      </c>
    </row>
    <row r="14" spans="1:8" x14ac:dyDescent="0.3">
      <c r="A14" s="36">
        <v>1966</v>
      </c>
      <c r="B14" s="1172">
        <f t="shared" si="0"/>
        <v>26.3</v>
      </c>
      <c r="C14" s="1172">
        <f t="shared" si="1"/>
        <v>23.5</v>
      </c>
      <c r="D14" s="1174">
        <f t="shared" si="3"/>
        <v>18.8</v>
      </c>
      <c r="E14" s="1172">
        <f t="shared" si="2"/>
        <v>23.1</v>
      </c>
      <c r="F14" s="1171"/>
      <c r="G14" s="1173"/>
      <c r="H14" s="1175">
        <v>20.9</v>
      </c>
    </row>
    <row r="15" spans="1:8" x14ac:dyDescent="0.3">
      <c r="A15" s="36">
        <v>1967</v>
      </c>
      <c r="B15" s="1172">
        <f>ROUND(B16-B16*((D16-D15)/D16),1)</f>
        <v>25</v>
      </c>
      <c r="C15" s="1172">
        <f>ROUND(C16-C16*((D16-D15)/D16),1)</f>
        <v>22.4</v>
      </c>
      <c r="D15" s="1174">
        <f t="shared" si="3"/>
        <v>17.899999999999999</v>
      </c>
      <c r="E15" s="1172">
        <f t="shared" si="2"/>
        <v>22</v>
      </c>
      <c r="F15" s="1171"/>
      <c r="G15" s="1173"/>
      <c r="H15" s="1175">
        <v>19.899999999999999</v>
      </c>
    </row>
    <row r="16" spans="1:8" x14ac:dyDescent="0.3">
      <c r="A16" s="36">
        <v>1968</v>
      </c>
      <c r="B16" s="1174">
        <f>ROUND(F16/109.6*100,1)</f>
        <v>26.5</v>
      </c>
      <c r="C16" s="1174">
        <f>ROUND(G16/106.3*100,1)</f>
        <v>23.8</v>
      </c>
      <c r="D16" s="1174">
        <f>ROUND(H16/111.2*100,1)</f>
        <v>19</v>
      </c>
      <c r="E16" s="1172">
        <f t="shared" si="2"/>
        <v>23.4</v>
      </c>
      <c r="F16" s="1176">
        <v>29</v>
      </c>
      <c r="G16" s="1177">
        <v>25.3</v>
      </c>
      <c r="H16" s="1177">
        <v>21.1</v>
      </c>
    </row>
    <row r="17" spans="1:8" x14ac:dyDescent="0.3">
      <c r="A17" s="36">
        <v>1969</v>
      </c>
      <c r="B17" s="1174">
        <f t="shared" ref="B17:B37" si="4">ROUND(F17/109.6*100,1)</f>
        <v>27.6</v>
      </c>
      <c r="C17" s="1174">
        <f t="shared" ref="C17:C37" si="5">ROUND(G17/106.3*100,1)</f>
        <v>25.8</v>
      </c>
      <c r="D17" s="1174">
        <f t="shared" ref="D17:D37" si="6">ROUND(H17/111.2*100,1)</f>
        <v>20.6</v>
      </c>
      <c r="E17" s="1172">
        <f>ROUND(E18-E18*((D18-D17)/D18),1)</f>
        <v>25.4</v>
      </c>
      <c r="F17" s="1176">
        <v>30.3</v>
      </c>
      <c r="G17" s="1177">
        <v>27.4</v>
      </c>
      <c r="H17" s="1177">
        <v>22.9</v>
      </c>
    </row>
    <row r="18" spans="1:8" x14ac:dyDescent="0.3">
      <c r="A18" s="36">
        <v>1970</v>
      </c>
      <c r="B18" s="1174">
        <f t="shared" si="4"/>
        <v>31.5</v>
      </c>
      <c r="C18" s="1174">
        <f t="shared" si="5"/>
        <v>30.5</v>
      </c>
      <c r="D18" s="1174">
        <f t="shared" si="6"/>
        <v>24.3</v>
      </c>
      <c r="E18" s="1178">
        <v>30</v>
      </c>
      <c r="F18" s="1176">
        <v>34.5</v>
      </c>
      <c r="G18" s="1177">
        <v>32.4</v>
      </c>
      <c r="H18" s="1177">
        <v>27</v>
      </c>
    </row>
    <row r="19" spans="1:8" x14ac:dyDescent="0.3">
      <c r="A19" s="36">
        <v>1971</v>
      </c>
      <c r="B19" s="1174">
        <f t="shared" si="4"/>
        <v>34.1</v>
      </c>
      <c r="C19" s="1174">
        <f t="shared" si="5"/>
        <v>32.9</v>
      </c>
      <c r="D19" s="1174">
        <f t="shared" si="6"/>
        <v>27</v>
      </c>
      <c r="E19" s="1178">
        <v>31.6</v>
      </c>
      <c r="F19" s="1176">
        <v>37.4</v>
      </c>
      <c r="G19" s="1177">
        <v>35</v>
      </c>
      <c r="H19" s="1177">
        <v>30</v>
      </c>
    </row>
    <row r="20" spans="1:8" x14ac:dyDescent="0.3">
      <c r="A20" s="36">
        <v>1972</v>
      </c>
      <c r="B20" s="1174">
        <f t="shared" si="4"/>
        <v>34.9</v>
      </c>
      <c r="C20" s="1174">
        <f t="shared" si="5"/>
        <v>33.9</v>
      </c>
      <c r="D20" s="1174">
        <f t="shared" si="6"/>
        <v>28</v>
      </c>
      <c r="E20" s="1178">
        <v>33.200000000000003</v>
      </c>
      <c r="F20" s="1176">
        <v>38.200000000000003</v>
      </c>
      <c r="G20" s="1177">
        <v>36</v>
      </c>
      <c r="H20" s="1177">
        <v>31.1</v>
      </c>
    </row>
    <row r="21" spans="1:8" x14ac:dyDescent="0.3">
      <c r="A21" s="36">
        <v>1973</v>
      </c>
      <c r="B21" s="1174">
        <f t="shared" si="4"/>
        <v>35.200000000000003</v>
      </c>
      <c r="C21" s="1174">
        <f t="shared" si="5"/>
        <v>35.299999999999997</v>
      </c>
      <c r="D21" s="1174">
        <f t="shared" si="6"/>
        <v>29.3</v>
      </c>
      <c r="E21" s="1178">
        <v>35.6</v>
      </c>
      <c r="F21" s="1176">
        <v>38.6</v>
      </c>
      <c r="G21" s="1177">
        <v>37.5</v>
      </c>
      <c r="H21" s="1177">
        <v>32.6</v>
      </c>
    </row>
    <row r="22" spans="1:8" x14ac:dyDescent="0.3">
      <c r="A22" s="36">
        <v>1974</v>
      </c>
      <c r="B22" s="1174">
        <f t="shared" si="4"/>
        <v>36.700000000000003</v>
      </c>
      <c r="C22" s="1174">
        <f t="shared" si="5"/>
        <v>36.9</v>
      </c>
      <c r="D22" s="1174">
        <f t="shared" si="6"/>
        <v>30.7</v>
      </c>
      <c r="E22" s="1178">
        <v>38.200000000000003</v>
      </c>
      <c r="F22" s="1176">
        <v>40.200000000000003</v>
      </c>
      <c r="G22" s="1177">
        <v>39.200000000000003</v>
      </c>
      <c r="H22" s="1177">
        <v>34.1</v>
      </c>
    </row>
    <row r="23" spans="1:8" x14ac:dyDescent="0.3">
      <c r="A23" s="36">
        <v>1975</v>
      </c>
      <c r="B23" s="1174">
        <f t="shared" si="4"/>
        <v>37.6</v>
      </c>
      <c r="C23" s="1174">
        <f t="shared" si="5"/>
        <v>37.200000000000003</v>
      </c>
      <c r="D23" s="1174">
        <f t="shared" si="6"/>
        <v>31.2</v>
      </c>
      <c r="E23" s="1178">
        <v>40.299999999999997</v>
      </c>
      <c r="F23" s="1176">
        <v>41.2</v>
      </c>
      <c r="G23" s="1177">
        <v>39.5</v>
      </c>
      <c r="H23" s="1177">
        <v>34.700000000000003</v>
      </c>
    </row>
    <row r="24" spans="1:8" x14ac:dyDescent="0.3">
      <c r="A24" s="36">
        <v>1976</v>
      </c>
      <c r="B24" s="1174">
        <f t="shared" si="4"/>
        <v>38.700000000000003</v>
      </c>
      <c r="C24" s="1174">
        <f t="shared" si="5"/>
        <v>38.1</v>
      </c>
      <c r="D24" s="1174">
        <f t="shared" si="6"/>
        <v>32.4</v>
      </c>
      <c r="E24" s="1178">
        <v>41.9</v>
      </c>
      <c r="F24" s="1176">
        <v>42.4</v>
      </c>
      <c r="G24" s="1177">
        <v>40.5</v>
      </c>
      <c r="H24" s="1177">
        <v>36</v>
      </c>
    </row>
    <row r="25" spans="1:8" x14ac:dyDescent="0.3">
      <c r="A25" s="36">
        <v>1977</v>
      </c>
      <c r="B25" s="1174">
        <f t="shared" si="4"/>
        <v>40.200000000000003</v>
      </c>
      <c r="C25" s="1174">
        <f t="shared" si="5"/>
        <v>39.9</v>
      </c>
      <c r="D25" s="1174">
        <f t="shared" si="6"/>
        <v>33.9</v>
      </c>
      <c r="E25" s="1178">
        <v>43.3</v>
      </c>
      <c r="F25" s="1176">
        <v>44.1</v>
      </c>
      <c r="G25" s="1177">
        <v>42.4</v>
      </c>
      <c r="H25" s="1177">
        <v>37.700000000000003</v>
      </c>
    </row>
    <row r="26" spans="1:8" x14ac:dyDescent="0.3">
      <c r="A26" s="36">
        <v>1978</v>
      </c>
      <c r="B26" s="1174">
        <f t="shared" si="4"/>
        <v>42.8</v>
      </c>
      <c r="C26" s="1174">
        <f t="shared" si="5"/>
        <v>43</v>
      </c>
      <c r="D26" s="1174">
        <f t="shared" si="6"/>
        <v>35.799999999999997</v>
      </c>
      <c r="E26" s="1178">
        <v>44.4</v>
      </c>
      <c r="F26" s="1176">
        <v>46.9</v>
      </c>
      <c r="G26" s="1177">
        <v>45.7</v>
      </c>
      <c r="H26" s="1177">
        <v>39.799999999999997</v>
      </c>
    </row>
    <row r="27" spans="1:8" x14ac:dyDescent="0.3">
      <c r="A27" s="36">
        <v>1979</v>
      </c>
      <c r="B27" s="1174">
        <f t="shared" si="4"/>
        <v>47.3</v>
      </c>
      <c r="C27" s="1174">
        <f t="shared" si="5"/>
        <v>47.1</v>
      </c>
      <c r="D27" s="1174">
        <f t="shared" si="6"/>
        <v>38.799999999999997</v>
      </c>
      <c r="E27" s="1178">
        <v>46.2</v>
      </c>
      <c r="F27" s="1176">
        <v>51.8</v>
      </c>
      <c r="G27" s="1177">
        <v>50.1</v>
      </c>
      <c r="H27" s="1177">
        <v>43.1</v>
      </c>
    </row>
    <row r="28" spans="1:8" x14ac:dyDescent="0.3">
      <c r="A28" s="36">
        <v>1980</v>
      </c>
      <c r="B28" s="1174">
        <f t="shared" si="4"/>
        <v>53.3</v>
      </c>
      <c r="C28" s="1174">
        <f t="shared" si="5"/>
        <v>52.2</v>
      </c>
      <c r="D28" s="1174">
        <f t="shared" si="6"/>
        <v>42.8</v>
      </c>
      <c r="E28" s="1178">
        <v>48.8</v>
      </c>
      <c r="F28" s="1176">
        <v>58.4</v>
      </c>
      <c r="G28" s="1177">
        <v>55.5</v>
      </c>
      <c r="H28" s="1177">
        <v>47.6</v>
      </c>
    </row>
    <row r="29" spans="1:8" x14ac:dyDescent="0.3">
      <c r="A29" s="36">
        <v>1981</v>
      </c>
      <c r="B29" s="1174">
        <f t="shared" si="4"/>
        <v>55.5</v>
      </c>
      <c r="C29" s="1174">
        <f t="shared" si="5"/>
        <v>54.3</v>
      </c>
      <c r="D29" s="1174">
        <f t="shared" si="6"/>
        <v>45.6</v>
      </c>
      <c r="E29" s="1178">
        <v>52</v>
      </c>
      <c r="F29" s="1176">
        <v>60.8</v>
      </c>
      <c r="G29" s="1177">
        <v>57.7</v>
      </c>
      <c r="H29" s="1177">
        <v>50.7</v>
      </c>
    </row>
    <row r="30" spans="1:8" x14ac:dyDescent="0.3">
      <c r="A30" s="36">
        <v>1982</v>
      </c>
      <c r="B30" s="1174">
        <f t="shared" si="4"/>
        <v>53.9</v>
      </c>
      <c r="C30" s="1174">
        <f t="shared" si="5"/>
        <v>55.4</v>
      </c>
      <c r="D30" s="1174">
        <f t="shared" si="6"/>
        <v>47.7</v>
      </c>
      <c r="E30" s="1178">
        <v>54.7</v>
      </c>
      <c r="F30" s="1176">
        <v>59.1</v>
      </c>
      <c r="G30" s="1177">
        <v>58.9</v>
      </c>
      <c r="H30" s="1177">
        <v>53</v>
      </c>
    </row>
    <row r="31" spans="1:8" x14ac:dyDescent="0.3">
      <c r="A31" s="36">
        <v>1983</v>
      </c>
      <c r="B31" s="1174">
        <f t="shared" si="4"/>
        <v>53.8</v>
      </c>
      <c r="C31" s="1174">
        <f t="shared" si="5"/>
        <v>56</v>
      </c>
      <c r="D31" s="1174">
        <f t="shared" si="6"/>
        <v>49</v>
      </c>
      <c r="E31" s="1178">
        <v>56.5</v>
      </c>
      <c r="F31" s="1176">
        <v>59</v>
      </c>
      <c r="G31" s="1177">
        <v>59.5</v>
      </c>
      <c r="H31" s="1177">
        <v>54.5</v>
      </c>
    </row>
    <row r="32" spans="1:8" x14ac:dyDescent="0.3">
      <c r="A32" s="36">
        <v>1984</v>
      </c>
      <c r="B32" s="1174">
        <f t="shared" si="4"/>
        <v>55</v>
      </c>
      <c r="C32" s="1174">
        <f t="shared" si="5"/>
        <v>57.2</v>
      </c>
      <c r="D32" s="1174">
        <f t="shared" si="6"/>
        <v>50.5</v>
      </c>
      <c r="E32" s="1178">
        <v>58</v>
      </c>
      <c r="F32" s="1176">
        <v>60.3</v>
      </c>
      <c r="G32" s="1177">
        <v>60.8</v>
      </c>
      <c r="H32" s="1177">
        <v>56.2</v>
      </c>
    </row>
    <row r="33" spans="1:8" x14ac:dyDescent="0.3">
      <c r="A33" s="36">
        <v>1985</v>
      </c>
      <c r="B33" s="1174">
        <f t="shared" si="4"/>
        <v>55.2</v>
      </c>
      <c r="C33" s="1174">
        <f t="shared" si="5"/>
        <v>57.5</v>
      </c>
      <c r="D33" s="1174">
        <f t="shared" si="6"/>
        <v>51.3</v>
      </c>
      <c r="E33" s="1178">
        <v>59.1</v>
      </c>
      <c r="F33" s="1176">
        <v>60.5</v>
      </c>
      <c r="G33" s="1177">
        <v>61.1</v>
      </c>
      <c r="H33" s="1177">
        <v>57.1</v>
      </c>
    </row>
    <row r="34" spans="1:8" x14ac:dyDescent="0.3">
      <c r="A34" s="36">
        <v>1986</v>
      </c>
      <c r="B34" s="1174">
        <f t="shared" si="4"/>
        <v>56.7</v>
      </c>
      <c r="C34" s="1174">
        <f t="shared" si="5"/>
        <v>59.1</v>
      </c>
      <c r="D34" s="1174">
        <f t="shared" si="6"/>
        <v>52.8</v>
      </c>
      <c r="E34" s="1178">
        <v>59.1</v>
      </c>
      <c r="F34" s="1176">
        <v>62.1</v>
      </c>
      <c r="G34" s="1177">
        <v>62.8</v>
      </c>
      <c r="H34" s="1177">
        <v>58.7</v>
      </c>
    </row>
    <row r="35" spans="1:8" x14ac:dyDescent="0.3">
      <c r="A35" s="36">
        <v>1987</v>
      </c>
      <c r="B35" s="1174">
        <f t="shared" si="4"/>
        <v>58</v>
      </c>
      <c r="C35" s="1174">
        <f t="shared" si="5"/>
        <v>60.3</v>
      </c>
      <c r="D35" s="1174">
        <f t="shared" si="6"/>
        <v>54</v>
      </c>
      <c r="E35" s="1179">
        <v>59.3</v>
      </c>
      <c r="F35" s="1177">
        <v>63.6</v>
      </c>
      <c r="G35" s="1177">
        <v>64.099999999999994</v>
      </c>
      <c r="H35" s="1177">
        <v>60.1</v>
      </c>
    </row>
    <row r="36" spans="1:8" x14ac:dyDescent="0.3">
      <c r="A36" s="36">
        <v>1988</v>
      </c>
      <c r="B36" s="1174">
        <f t="shared" si="4"/>
        <v>59.2</v>
      </c>
      <c r="C36" s="1174">
        <f t="shared" si="5"/>
        <v>61.5</v>
      </c>
      <c r="D36" s="1174">
        <f t="shared" si="6"/>
        <v>55.1</v>
      </c>
      <c r="E36" s="1179">
        <v>59.9</v>
      </c>
      <c r="F36" s="1177">
        <v>64.900000000000006</v>
      </c>
      <c r="G36" s="1177">
        <v>65.400000000000006</v>
      </c>
      <c r="H36" s="1177">
        <v>61.3</v>
      </c>
    </row>
    <row r="37" spans="1:8" x14ac:dyDescent="0.3">
      <c r="A37" s="36">
        <v>1989</v>
      </c>
      <c r="B37" s="1174">
        <f t="shared" si="4"/>
        <v>61.3</v>
      </c>
      <c r="C37" s="1174">
        <f t="shared" si="5"/>
        <v>64.099999999999994</v>
      </c>
      <c r="D37" s="1174">
        <f t="shared" si="6"/>
        <v>57.5</v>
      </c>
      <c r="E37" s="1179">
        <v>61.6</v>
      </c>
      <c r="F37" s="1177">
        <v>67.2</v>
      </c>
      <c r="G37" s="1177">
        <v>68.099999999999994</v>
      </c>
      <c r="H37" s="1177">
        <v>63.9</v>
      </c>
    </row>
    <row r="38" spans="1:8" x14ac:dyDescent="0.3">
      <c r="A38" s="36">
        <v>1990</v>
      </c>
      <c r="B38" s="1179">
        <v>65.400000000000006</v>
      </c>
      <c r="C38" s="1179">
        <v>68.3</v>
      </c>
      <c r="D38" s="1179">
        <v>61</v>
      </c>
      <c r="E38" s="1179">
        <v>63.3</v>
      </c>
      <c r="F38" s="1180"/>
      <c r="G38" s="1181"/>
      <c r="H38" s="1173"/>
    </row>
    <row r="39" spans="1:8" x14ac:dyDescent="0.3">
      <c r="A39" s="36">
        <v>1991</v>
      </c>
      <c r="B39" s="1179">
        <v>70.2</v>
      </c>
      <c r="C39" s="1179">
        <v>72.3</v>
      </c>
      <c r="D39" s="1179">
        <v>65</v>
      </c>
      <c r="E39" s="1179">
        <v>65.7</v>
      </c>
      <c r="F39" s="1180"/>
      <c r="G39" s="1181"/>
      <c r="H39" s="1173"/>
    </row>
    <row r="40" spans="1:8" x14ac:dyDescent="0.3">
      <c r="A40" s="36">
        <v>1992</v>
      </c>
      <c r="B40" s="1179">
        <v>74.5</v>
      </c>
      <c r="C40" s="1179">
        <v>75.400000000000006</v>
      </c>
      <c r="D40" s="1179">
        <v>68.400000000000006</v>
      </c>
      <c r="E40" s="1179">
        <v>68.5</v>
      </c>
      <c r="F40" s="1180"/>
      <c r="G40" s="1181"/>
      <c r="H40" s="1173"/>
    </row>
    <row r="41" spans="1:8" x14ac:dyDescent="0.3">
      <c r="A41" s="36">
        <v>1993</v>
      </c>
      <c r="B41" s="1179">
        <v>77.599999999999994</v>
      </c>
      <c r="C41" s="1179">
        <v>78.099999999999994</v>
      </c>
      <c r="D41" s="1179">
        <v>71.3</v>
      </c>
      <c r="E41" s="1179">
        <v>70.900000000000006</v>
      </c>
      <c r="F41" s="1180"/>
      <c r="G41" s="1181"/>
      <c r="H41" s="1173"/>
    </row>
    <row r="42" spans="1:8" x14ac:dyDescent="0.3">
      <c r="A42" s="36">
        <v>1994</v>
      </c>
      <c r="B42" s="1179">
        <v>78.5</v>
      </c>
      <c r="C42" s="1179">
        <v>79</v>
      </c>
      <c r="D42" s="1179">
        <v>72.400000000000006</v>
      </c>
      <c r="E42" s="1179">
        <v>72.599999999999994</v>
      </c>
      <c r="F42" s="1180"/>
      <c r="G42" s="1181"/>
      <c r="H42" s="1173"/>
    </row>
    <row r="43" spans="1:8" x14ac:dyDescent="0.3">
      <c r="A43" s="36">
        <v>1995</v>
      </c>
      <c r="B43" s="1179">
        <v>79.900000000000006</v>
      </c>
      <c r="C43" s="1179">
        <v>80</v>
      </c>
      <c r="D43" s="1179">
        <v>73.900000000000006</v>
      </c>
      <c r="E43" s="1179">
        <v>73.900000000000006</v>
      </c>
      <c r="F43" s="1180"/>
      <c r="G43" s="1181"/>
      <c r="H43" s="1173"/>
    </row>
    <row r="44" spans="1:8" x14ac:dyDescent="0.3">
      <c r="A44" s="36">
        <v>1996</v>
      </c>
      <c r="B44" s="1179">
        <v>78.400000000000006</v>
      </c>
      <c r="C44" s="1179">
        <v>79.400000000000006</v>
      </c>
      <c r="D44" s="1179">
        <v>73.599999999999994</v>
      </c>
      <c r="E44" s="1179">
        <v>74.900000000000006</v>
      </c>
      <c r="F44" s="1180"/>
      <c r="G44" s="1181"/>
      <c r="H44" s="1173"/>
    </row>
    <row r="45" spans="1:8" x14ac:dyDescent="0.3">
      <c r="A45" s="36">
        <v>1997</v>
      </c>
      <c r="B45" s="1179">
        <v>76.7</v>
      </c>
      <c r="C45" s="1179">
        <v>78.400000000000006</v>
      </c>
      <c r="D45" s="1179">
        <v>73.400000000000006</v>
      </c>
      <c r="E45" s="1179">
        <v>76.2</v>
      </c>
      <c r="F45" s="1180"/>
      <c r="G45" s="1181"/>
      <c r="H45" s="1173"/>
    </row>
    <row r="46" spans="1:8" x14ac:dyDescent="0.3">
      <c r="A46" s="36">
        <v>1998</v>
      </c>
      <c r="B46" s="1179">
        <v>76.099999999999994</v>
      </c>
      <c r="C46" s="1179">
        <v>78.3</v>
      </c>
      <c r="D46" s="1179">
        <v>73.5</v>
      </c>
      <c r="E46" s="1179">
        <v>77</v>
      </c>
      <c r="F46" s="1180"/>
      <c r="G46" s="1181"/>
      <c r="H46" s="1173"/>
    </row>
    <row r="47" spans="1:8" x14ac:dyDescent="0.3">
      <c r="A47" s="36">
        <v>1999</v>
      </c>
      <c r="B47" s="1179">
        <v>76.400000000000006</v>
      </c>
      <c r="C47" s="1179">
        <v>78.400000000000006</v>
      </c>
      <c r="D47" s="1179">
        <v>73.599999999999994</v>
      </c>
      <c r="E47" s="1179">
        <v>77.5</v>
      </c>
      <c r="F47" s="1180"/>
      <c r="G47" s="1181"/>
      <c r="H47" s="1173"/>
    </row>
    <row r="48" spans="1:8" x14ac:dyDescent="0.3">
      <c r="A48" s="36">
        <v>2000</v>
      </c>
      <c r="B48" s="1179">
        <v>77.900000000000006</v>
      </c>
      <c r="C48" s="1179">
        <v>79.599999999999994</v>
      </c>
      <c r="D48" s="1179">
        <v>74.7</v>
      </c>
      <c r="E48" s="1179">
        <v>78.599999999999994</v>
      </c>
      <c r="F48" s="1180"/>
      <c r="G48" s="1181"/>
      <c r="H48" s="1173"/>
    </row>
    <row r="49" spans="1:8" x14ac:dyDescent="0.3">
      <c r="A49" s="36">
        <v>2001</v>
      </c>
      <c r="B49" s="1179">
        <v>78.599999999999994</v>
      </c>
      <c r="C49" s="1179">
        <v>79.900000000000006</v>
      </c>
      <c r="D49" s="1179">
        <v>75.400000000000006</v>
      </c>
      <c r="E49" s="1179">
        <v>80.2</v>
      </c>
      <c r="F49" s="1180"/>
      <c r="G49" s="1181"/>
      <c r="H49" s="1173"/>
    </row>
    <row r="50" spans="1:8" x14ac:dyDescent="0.3">
      <c r="A50" s="36">
        <v>2002</v>
      </c>
      <c r="B50" s="1179">
        <v>78.400000000000006</v>
      </c>
      <c r="C50" s="1179">
        <v>79.7</v>
      </c>
      <c r="D50" s="1179">
        <v>75.599999999999994</v>
      </c>
      <c r="E50" s="1179">
        <v>81.5</v>
      </c>
      <c r="F50" s="1180"/>
      <c r="G50" s="1181"/>
      <c r="H50" s="1173"/>
    </row>
    <row r="51" spans="1:8" x14ac:dyDescent="0.3">
      <c r="A51" s="36">
        <v>2003</v>
      </c>
      <c r="B51" s="1179">
        <v>77.900000000000006</v>
      </c>
      <c r="C51" s="1179">
        <v>79.5</v>
      </c>
      <c r="D51" s="1179">
        <v>75.7</v>
      </c>
      <c r="E51" s="1179">
        <v>82.6</v>
      </c>
      <c r="F51" s="1180"/>
      <c r="G51" s="1181"/>
      <c r="H51" s="1173"/>
    </row>
    <row r="52" spans="1:8" x14ac:dyDescent="0.3">
      <c r="A52" s="36">
        <v>2004</v>
      </c>
      <c r="B52" s="1179">
        <v>77.3</v>
      </c>
      <c r="C52" s="1179">
        <v>80.3</v>
      </c>
      <c r="D52" s="1179">
        <v>76.7</v>
      </c>
      <c r="E52" s="1179">
        <v>84.2</v>
      </c>
      <c r="F52" s="1180"/>
      <c r="G52" s="1181"/>
      <c r="H52" s="1173"/>
    </row>
    <row r="53" spans="1:8" x14ac:dyDescent="0.3">
      <c r="A53" s="36">
        <v>2005</v>
      </c>
      <c r="B53" s="1179">
        <v>77.3</v>
      </c>
      <c r="C53" s="1179">
        <v>81.8</v>
      </c>
      <c r="D53" s="1179">
        <v>78</v>
      </c>
      <c r="E53" s="1179">
        <v>85.7</v>
      </c>
      <c r="F53" s="1180"/>
      <c r="G53" s="1181"/>
      <c r="H53" s="1173"/>
    </row>
    <row r="54" spans="1:8" x14ac:dyDescent="0.3">
      <c r="A54" s="36">
        <v>2006</v>
      </c>
      <c r="B54" s="1179">
        <v>79.5</v>
      </c>
      <c r="C54" s="1179">
        <v>83.2</v>
      </c>
      <c r="D54" s="1179">
        <v>79.900000000000006</v>
      </c>
      <c r="E54" s="1179">
        <v>87.3</v>
      </c>
      <c r="F54" s="1180"/>
      <c r="G54" s="1181"/>
      <c r="H54" s="1173"/>
    </row>
    <row r="55" spans="1:8" x14ac:dyDescent="0.3">
      <c r="A55" s="36">
        <v>2007</v>
      </c>
      <c r="B55" s="1179">
        <v>85.5</v>
      </c>
      <c r="C55" s="1179">
        <v>89.2</v>
      </c>
      <c r="D55" s="1179">
        <v>85.8</v>
      </c>
      <c r="E55" s="1179">
        <v>89.3</v>
      </c>
      <c r="F55" s="1180"/>
      <c r="G55" s="1181"/>
      <c r="H55" s="1173"/>
    </row>
    <row r="56" spans="1:8" x14ac:dyDescent="0.3">
      <c r="A56" s="36">
        <v>2008</v>
      </c>
      <c r="B56" s="1179">
        <v>89.4</v>
      </c>
      <c r="C56" s="1179">
        <v>93.7</v>
      </c>
      <c r="D56" s="1179">
        <v>88.7</v>
      </c>
      <c r="E56" s="1179">
        <v>91.7</v>
      </c>
      <c r="F56" s="1180"/>
      <c r="G56" s="1181"/>
      <c r="H56" s="1173"/>
    </row>
    <row r="57" spans="1:8" x14ac:dyDescent="0.3">
      <c r="A57" s="36">
        <v>2009</v>
      </c>
      <c r="B57" s="1179">
        <v>90.6</v>
      </c>
      <c r="C57" s="1179">
        <v>94.8</v>
      </c>
      <c r="D57" s="1179">
        <v>89.4</v>
      </c>
      <c r="E57" s="1179">
        <v>92.1</v>
      </c>
      <c r="F57" s="1180"/>
      <c r="G57" s="1181"/>
      <c r="H57" s="1173"/>
    </row>
    <row r="58" spans="1:8" x14ac:dyDescent="0.3">
      <c r="A58" s="36">
        <v>2010</v>
      </c>
      <c r="B58" s="1179">
        <v>91.3</v>
      </c>
      <c r="C58" s="1179">
        <v>94.1</v>
      </c>
      <c r="D58" s="1179">
        <v>89.9</v>
      </c>
      <c r="E58" s="1179">
        <v>93.2</v>
      </c>
      <c r="F58" s="1180"/>
      <c r="G58" s="1181"/>
      <c r="H58" s="1173"/>
    </row>
    <row r="59" spans="1:8" x14ac:dyDescent="0.3">
      <c r="A59" s="36">
        <v>2011</v>
      </c>
      <c r="B59" s="1179">
        <v>92.9</v>
      </c>
      <c r="C59" s="1179">
        <v>96.8</v>
      </c>
      <c r="D59" s="1179">
        <v>92.7</v>
      </c>
      <c r="E59" s="1179">
        <v>95.1</v>
      </c>
      <c r="F59" s="1180"/>
      <c r="G59" s="1181"/>
      <c r="H59" s="1173"/>
    </row>
    <row r="60" spans="1:8" x14ac:dyDescent="0.3">
      <c r="A60" s="36">
        <v>2012</v>
      </c>
      <c r="B60" s="1179">
        <v>95.5</v>
      </c>
      <c r="C60" s="1179">
        <v>98.5</v>
      </c>
      <c r="D60" s="1179">
        <v>95</v>
      </c>
      <c r="E60" s="1179">
        <v>97.2</v>
      </c>
      <c r="F60" s="1180"/>
      <c r="G60" s="1181"/>
      <c r="H60" s="1173"/>
    </row>
    <row r="61" spans="1:8" x14ac:dyDescent="0.3">
      <c r="A61" s="36">
        <v>2013</v>
      </c>
      <c r="B61" s="1179">
        <v>97.2</v>
      </c>
      <c r="C61" s="1179">
        <v>100</v>
      </c>
      <c r="D61" s="1179">
        <v>96.7</v>
      </c>
      <c r="E61" s="1179">
        <v>98.6</v>
      </c>
      <c r="F61" s="1180"/>
      <c r="G61" s="1181"/>
      <c r="H61" s="1173"/>
    </row>
    <row r="62" spans="1:8" x14ac:dyDescent="0.3">
      <c r="A62" s="36">
        <v>2014</v>
      </c>
      <c r="B62" s="1179">
        <v>98.9</v>
      </c>
      <c r="C62" s="1179">
        <v>100.1</v>
      </c>
      <c r="D62" s="1179">
        <v>98.6</v>
      </c>
      <c r="E62" s="1179">
        <v>99.3</v>
      </c>
      <c r="F62" s="1171"/>
      <c r="G62" s="1173"/>
      <c r="H62" s="1173"/>
    </row>
    <row r="63" spans="1:8" x14ac:dyDescent="0.3">
      <c r="A63" s="36">
        <v>2015</v>
      </c>
      <c r="B63" s="1179">
        <v>100</v>
      </c>
      <c r="C63" s="1179">
        <v>100</v>
      </c>
      <c r="D63" s="1179">
        <v>100</v>
      </c>
      <c r="E63" s="1179">
        <v>100</v>
      </c>
      <c r="F63" s="1171"/>
      <c r="G63" s="1173"/>
      <c r="H63" s="1173"/>
    </row>
    <row r="64" spans="1:8" x14ac:dyDescent="0.3">
      <c r="A64" s="36">
        <v>2016</v>
      </c>
      <c r="B64" s="1179">
        <v>101.7</v>
      </c>
      <c r="C64" s="1179">
        <v>101.3</v>
      </c>
      <c r="D64" s="1179">
        <v>102</v>
      </c>
      <c r="E64" s="1179">
        <v>100.6</v>
      </c>
      <c r="F64" s="1171"/>
      <c r="G64" s="1173"/>
      <c r="H64" s="1173"/>
    </row>
    <row r="65" spans="1:8" x14ac:dyDescent="0.3">
      <c r="A65" s="36">
        <v>2017</v>
      </c>
      <c r="B65" s="1179">
        <v>105</v>
      </c>
      <c r="C65" s="1179">
        <v>106.5</v>
      </c>
      <c r="D65" s="1179">
        <v>105.5</v>
      </c>
      <c r="E65" s="1179">
        <v>102.2</v>
      </c>
      <c r="F65" s="1171"/>
      <c r="G65" s="1173"/>
      <c r="H65" s="1173"/>
    </row>
    <row r="66" spans="1:8" x14ac:dyDescent="0.3">
      <c r="A66" s="36">
        <v>2018</v>
      </c>
      <c r="B66" s="1179">
        <v>110.3</v>
      </c>
      <c r="C66" s="1179">
        <v>112.7</v>
      </c>
      <c r="D66" s="1179">
        <v>110.3</v>
      </c>
      <c r="E66" s="1179">
        <v>104.2</v>
      </c>
      <c r="F66" s="1171"/>
      <c r="G66" s="1173"/>
      <c r="H66" s="1173"/>
    </row>
    <row r="67" spans="1:8" x14ac:dyDescent="0.3">
      <c r="A67" s="36">
        <v>2019</v>
      </c>
      <c r="B67" s="1182">
        <f t="shared" ref="B67:E68" si="7">B66</f>
        <v>110.3</v>
      </c>
      <c r="C67" s="1182">
        <f t="shared" si="7"/>
        <v>112.7</v>
      </c>
      <c r="D67" s="1182">
        <f t="shared" si="7"/>
        <v>110.3</v>
      </c>
      <c r="E67" s="1182">
        <f t="shared" si="7"/>
        <v>104.2</v>
      </c>
      <c r="F67" s="1171"/>
      <c r="G67" s="1171"/>
      <c r="H67" s="1171"/>
    </row>
    <row r="68" spans="1:8" x14ac:dyDescent="0.3">
      <c r="A68" s="36">
        <v>2020</v>
      </c>
      <c r="B68" s="1182">
        <f t="shared" si="7"/>
        <v>110.3</v>
      </c>
      <c r="C68" s="1182">
        <f t="shared" si="7"/>
        <v>112.7</v>
      </c>
      <c r="D68" s="1182">
        <f t="shared" si="7"/>
        <v>110.3</v>
      </c>
      <c r="E68" s="1182">
        <f t="shared" si="7"/>
        <v>104.2</v>
      </c>
      <c r="F68" s="1171"/>
      <c r="G68" s="1171"/>
      <c r="H68" s="1171"/>
    </row>
    <row r="69" spans="1:8" x14ac:dyDescent="0.3">
      <c r="A69" s="36">
        <v>2021</v>
      </c>
      <c r="B69" s="37">
        <f t="shared" ref="B66:E78" si="8">B68</f>
        <v>110.3</v>
      </c>
      <c r="C69" s="37">
        <f t="shared" si="8"/>
        <v>112.7</v>
      </c>
      <c r="D69" s="37">
        <f t="shared" si="8"/>
        <v>110.3</v>
      </c>
      <c r="E69" s="37">
        <f t="shared" si="8"/>
        <v>104.2</v>
      </c>
    </row>
    <row r="70" spans="1:8" x14ac:dyDescent="0.3">
      <c r="A70" s="36">
        <v>2022</v>
      </c>
      <c r="B70" s="37">
        <f t="shared" si="8"/>
        <v>110.3</v>
      </c>
      <c r="C70" s="37">
        <f t="shared" si="8"/>
        <v>112.7</v>
      </c>
      <c r="D70" s="37">
        <f t="shared" si="8"/>
        <v>110.3</v>
      </c>
      <c r="E70" s="37">
        <f t="shared" si="8"/>
        <v>104.2</v>
      </c>
    </row>
    <row r="71" spans="1:8" x14ac:dyDescent="0.3">
      <c r="A71" s="36">
        <v>2023</v>
      </c>
      <c r="B71" s="37">
        <f t="shared" si="8"/>
        <v>110.3</v>
      </c>
      <c r="C71" s="37">
        <f t="shared" si="8"/>
        <v>112.7</v>
      </c>
      <c r="D71" s="37">
        <f t="shared" si="8"/>
        <v>110.3</v>
      </c>
      <c r="E71" s="37">
        <f t="shared" si="8"/>
        <v>104.2</v>
      </c>
    </row>
    <row r="72" spans="1:8" x14ac:dyDescent="0.3">
      <c r="A72" s="36">
        <v>2024</v>
      </c>
      <c r="B72" s="37">
        <f t="shared" si="8"/>
        <v>110.3</v>
      </c>
      <c r="C72" s="37">
        <f t="shared" si="8"/>
        <v>112.7</v>
      </c>
      <c r="D72" s="37">
        <f t="shared" si="8"/>
        <v>110.3</v>
      </c>
      <c r="E72" s="37">
        <f t="shared" si="8"/>
        <v>104.2</v>
      </c>
    </row>
    <row r="73" spans="1:8" x14ac:dyDescent="0.3">
      <c r="A73" s="36">
        <v>2025</v>
      </c>
      <c r="B73" s="37">
        <f t="shared" si="8"/>
        <v>110.3</v>
      </c>
      <c r="C73" s="37">
        <f t="shared" si="8"/>
        <v>112.7</v>
      </c>
      <c r="D73" s="37">
        <f t="shared" si="8"/>
        <v>110.3</v>
      </c>
      <c r="E73" s="37">
        <f t="shared" si="8"/>
        <v>104.2</v>
      </c>
    </row>
    <row r="74" spans="1:8" x14ac:dyDescent="0.3">
      <c r="A74" s="36">
        <v>2026</v>
      </c>
      <c r="B74" s="37">
        <f t="shared" si="8"/>
        <v>110.3</v>
      </c>
      <c r="C74" s="37">
        <f t="shared" si="8"/>
        <v>112.7</v>
      </c>
      <c r="D74" s="37">
        <f t="shared" si="8"/>
        <v>110.3</v>
      </c>
      <c r="E74" s="37">
        <f t="shared" si="8"/>
        <v>104.2</v>
      </c>
    </row>
    <row r="75" spans="1:8" x14ac:dyDescent="0.3">
      <c r="A75" s="36">
        <v>2027</v>
      </c>
      <c r="B75" s="37">
        <f t="shared" si="8"/>
        <v>110.3</v>
      </c>
      <c r="C75" s="37">
        <f t="shared" si="8"/>
        <v>112.7</v>
      </c>
      <c r="D75" s="37">
        <f t="shared" si="8"/>
        <v>110.3</v>
      </c>
      <c r="E75" s="37">
        <f t="shared" si="8"/>
        <v>104.2</v>
      </c>
    </row>
    <row r="76" spans="1:8" x14ac:dyDescent="0.3">
      <c r="A76" s="36">
        <v>2028</v>
      </c>
      <c r="B76" s="37">
        <f t="shared" si="8"/>
        <v>110.3</v>
      </c>
      <c r="C76" s="37">
        <f t="shared" si="8"/>
        <v>112.7</v>
      </c>
      <c r="D76" s="37">
        <f t="shared" si="8"/>
        <v>110.3</v>
      </c>
      <c r="E76" s="37">
        <f t="shared" si="8"/>
        <v>104.2</v>
      </c>
    </row>
    <row r="77" spans="1:8" x14ac:dyDescent="0.3">
      <c r="A77" s="36">
        <v>2029</v>
      </c>
      <c r="B77" s="37">
        <f t="shared" si="8"/>
        <v>110.3</v>
      </c>
      <c r="C77" s="37">
        <f t="shared" si="8"/>
        <v>112.7</v>
      </c>
      <c r="D77" s="37">
        <f t="shared" si="8"/>
        <v>110.3</v>
      </c>
      <c r="E77" s="37">
        <f t="shared" si="8"/>
        <v>104.2</v>
      </c>
    </row>
    <row r="78" spans="1:8" x14ac:dyDescent="0.3">
      <c r="A78" s="36">
        <v>2030</v>
      </c>
      <c r="B78" s="37">
        <f t="shared" si="8"/>
        <v>110.3</v>
      </c>
      <c r="C78" s="37">
        <f t="shared" si="8"/>
        <v>112.7</v>
      </c>
      <c r="D78" s="37">
        <f t="shared" si="8"/>
        <v>110.3</v>
      </c>
      <c r="E78" s="37">
        <f t="shared" si="8"/>
        <v>104.2</v>
      </c>
    </row>
    <row r="79" spans="1:8" x14ac:dyDescent="0.3">
      <c r="A79" s="36"/>
      <c r="B79" s="38"/>
      <c r="C79" s="38"/>
      <c r="D79" s="38"/>
      <c r="E79" s="38"/>
    </row>
    <row r="80" spans="1:8" x14ac:dyDescent="0.3">
      <c r="A80" s="36"/>
      <c r="B80" s="38"/>
      <c r="C80" s="38"/>
      <c r="D80" s="38"/>
      <c r="E80" s="38"/>
    </row>
    <row r="81" spans="1:5" x14ac:dyDescent="0.3">
      <c r="A81" s="36"/>
      <c r="B81" s="38"/>
      <c r="C81" s="38"/>
      <c r="D81" s="38"/>
      <c r="E81" s="38"/>
    </row>
  </sheetData>
  <sheetProtection sheet="1" objects="1" scenarios="1"/>
  <mergeCells count="2">
    <mergeCell ref="A1:E1"/>
    <mergeCell ref="A2:E2"/>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workbookViewId="0">
      <selection sqref="A1:F1"/>
    </sheetView>
  </sheetViews>
  <sheetFormatPr baseColWidth="10" defaultColWidth="11.44140625" defaultRowHeight="14.4" x14ac:dyDescent="0.3"/>
  <cols>
    <col min="1" max="1" width="30.5546875" style="82" customWidth="1"/>
    <col min="2" max="5" width="11.6640625" style="82" customWidth="1"/>
    <col min="6" max="6" width="12.88671875" style="82" customWidth="1"/>
    <col min="7" max="7" width="28.5546875" style="82" customWidth="1"/>
    <col min="8" max="12" width="11.6640625" style="82" customWidth="1"/>
    <col min="13" max="16384" width="11.44140625" style="10"/>
  </cols>
  <sheetData>
    <row r="1" spans="1:12" s="82" customFormat="1" ht="22.5" customHeight="1" x14ac:dyDescent="0.3">
      <c r="A1" s="701" t="str">
        <f>Grunddaten!A1 &amp; "   " &amp; Grunddaten!A2</f>
        <v>Gemeinde A   Abwasserbeseitigungseinrichtung</v>
      </c>
      <c r="B1" s="701"/>
      <c r="C1" s="701"/>
      <c r="D1" s="701"/>
      <c r="E1" s="701"/>
      <c r="F1" s="701"/>
      <c r="G1" s="1163"/>
      <c r="H1" s="1163"/>
      <c r="I1" s="1163"/>
      <c r="J1" s="1163"/>
      <c r="K1" s="1163"/>
      <c r="L1" s="1163"/>
    </row>
    <row r="2" spans="1:12" s="82" customFormat="1" ht="24" customHeight="1" x14ac:dyDescent="0.3">
      <c r="A2" s="1164" t="s">
        <v>397</v>
      </c>
      <c r="B2" s="1165"/>
      <c r="C2" s="1165"/>
      <c r="D2" s="1165"/>
      <c r="E2" s="1165"/>
      <c r="F2" s="1166"/>
      <c r="G2" s="1164" t="s">
        <v>397</v>
      </c>
      <c r="H2" s="1165"/>
      <c r="I2" s="1165"/>
      <c r="J2" s="1165"/>
      <c r="K2" s="1165"/>
      <c r="L2" s="1165"/>
    </row>
    <row r="3" spans="1:12" s="82" customFormat="1" ht="35.25" customHeight="1" x14ac:dyDescent="0.3">
      <c r="A3" s="768" t="s">
        <v>669</v>
      </c>
      <c r="B3" s="768"/>
      <c r="C3" s="768"/>
      <c r="D3" s="768"/>
      <c r="E3" s="768"/>
      <c r="F3" s="1155"/>
      <c r="G3" s="768" t="s">
        <v>670</v>
      </c>
      <c r="H3" s="768"/>
      <c r="I3" s="768"/>
      <c r="J3" s="768"/>
      <c r="K3" s="768"/>
      <c r="L3" s="768"/>
    </row>
    <row r="4" spans="1:12" s="82" customFormat="1" ht="15" thickBot="1" x14ac:dyDescent="0.35">
      <c r="A4" s="347" t="s">
        <v>398</v>
      </c>
      <c r="B4" s="348">
        <f>Nachkalkulation!$C$6</f>
        <v>2012</v>
      </c>
      <c r="C4" s="348">
        <f>Nachkalkulation!$E$6</f>
        <v>2013</v>
      </c>
      <c r="D4" s="348">
        <f>Nachkalkulation!$G$6</f>
        <v>2014</v>
      </c>
      <c r="E4" s="348">
        <f>Nachkalkulation!$I$6</f>
        <v>2015</v>
      </c>
      <c r="F4" s="349">
        <f>Nachkalkulation!$K$6</f>
        <v>2016</v>
      </c>
      <c r="G4" s="350" t="s">
        <v>398</v>
      </c>
      <c r="H4" s="348">
        <f>Nachkalkulation!$C$6</f>
        <v>2012</v>
      </c>
      <c r="I4" s="348">
        <f>Nachkalkulation!$E$6</f>
        <v>2013</v>
      </c>
      <c r="J4" s="348">
        <f>Nachkalkulation!$G$6</f>
        <v>2014</v>
      </c>
      <c r="K4" s="348">
        <f>Nachkalkulation!$I$6</f>
        <v>2015</v>
      </c>
      <c r="L4" s="349">
        <f>Nachkalkulation!$K$6</f>
        <v>2016</v>
      </c>
    </row>
    <row r="5" spans="1:12" s="82" customFormat="1" ht="28.8" x14ac:dyDescent="0.3">
      <c r="A5" s="351" t="s">
        <v>399</v>
      </c>
      <c r="B5" s="352">
        <f>IF(AND(Grunddaten!$D$19=2,B4&lt;&gt;"-"),HLOOKUP(B4,Grund_ue_u,5,FALSE),0)</f>
        <v>0</v>
      </c>
      <c r="C5" s="352">
        <f>IF(AND(Grunddaten!$D$19=2,C4&lt;&gt;"-"),HLOOKUP(C4,Grund_ue_u,5,FALSE),0)</f>
        <v>0</v>
      </c>
      <c r="D5" s="352">
        <f>IF(AND(Grunddaten!$D$19=2,D4&lt;&gt;"-"),HLOOKUP(D4,Grund_ue_u,5,FALSE),0)</f>
        <v>0</v>
      </c>
      <c r="E5" s="352">
        <f>IF(AND(Grunddaten!$D$19=2,E4&lt;&gt;"-"),HLOOKUP(E4,Grund_ue_u,5,FALSE),0)</f>
        <v>0</v>
      </c>
      <c r="F5" s="352">
        <f>IF(AND(Grunddaten!$D$19=2,F4&lt;&gt;"-"),HLOOKUP(F4,Grund_ue_u,5,FALSE),0)</f>
        <v>0</v>
      </c>
      <c r="G5" s="353" t="s">
        <v>399</v>
      </c>
      <c r="H5" s="352">
        <f>IF(AND(Grunddaten!$D$19=2,H4&lt;&gt;"-"),HLOOKUP(H4,Grund_ue_u,6,FALSE),0)</f>
        <v>0</v>
      </c>
      <c r="I5" s="352">
        <f>IF(AND(Grunddaten!$D$19=2,I4&lt;&gt;"-"),HLOOKUP(I4,Grund_ue_u,6,FALSE),0)</f>
        <v>0</v>
      </c>
      <c r="J5" s="352">
        <f>IF(AND(Grunddaten!$D$19=2,J4&lt;&gt;"-"),HLOOKUP(J4,Grund_ue_u,6,FALSE),0)</f>
        <v>0</v>
      </c>
      <c r="K5" s="352">
        <f>IF(AND(Grunddaten!$D$19=2,K4&lt;&gt;"-"),HLOOKUP(K4,Grund_ue_u,6,FALSE),0)</f>
        <v>0</v>
      </c>
      <c r="L5" s="365">
        <f>IF(AND(Grunddaten!$D$19=2,L4&lt;&gt;"-"),HLOOKUP(L4,Grund_ue_u,6,FALSE),0)</f>
        <v>0</v>
      </c>
    </row>
    <row r="6" spans="1:12" s="82" customFormat="1" x14ac:dyDescent="0.3">
      <c r="A6" s="137" t="s">
        <v>386</v>
      </c>
      <c r="B6" s="354">
        <f>IF(B4&lt;&gt;"-",HLOOKUP(B4,Grund_zins,3,FALSE),0)</f>
        <v>2.2499999999999999E-2</v>
      </c>
      <c r="C6" s="354">
        <f>IF(C4&lt;&gt;"-",HLOOKUP(C4,Grund_zins,3,FALSE),0)</f>
        <v>2.2499999999999999E-2</v>
      </c>
      <c r="D6" s="354">
        <f>IF(D4&lt;&gt;"-",HLOOKUP(D4,Grund_zins,3,FALSE),0)</f>
        <v>2.2499999999999999E-2</v>
      </c>
      <c r="E6" s="354">
        <f>IF(E4&lt;&gt;"-",HLOOKUP(E4,Grund_zins,3,FALSE),0)</f>
        <v>2.2499999999999999E-2</v>
      </c>
      <c r="F6" s="355">
        <f>IF(F4&lt;&gt;"-",HLOOKUP(F4,Grund_zins,3,FALSE),0)</f>
        <v>2.2499999999999999E-2</v>
      </c>
      <c r="G6" s="295" t="s">
        <v>386</v>
      </c>
      <c r="H6" s="354">
        <f>IF(H4&lt;&gt;"-",HLOOKUP(H4,Grund_zins,3,FALSE),0)</f>
        <v>2.2499999999999999E-2</v>
      </c>
      <c r="I6" s="354">
        <f>IF(I4&lt;&gt;"-",HLOOKUP(I4,Grund_zins,3,FALSE),0)</f>
        <v>2.2499999999999999E-2</v>
      </c>
      <c r="J6" s="354">
        <f>IF(J4&lt;&gt;"-",HLOOKUP(J4,Grund_zins,3,FALSE),0)</f>
        <v>2.2499999999999999E-2</v>
      </c>
      <c r="K6" s="354">
        <f>IF(K4&lt;&gt;"-",HLOOKUP(K4,Grund_zins,3,FALSE),0)</f>
        <v>2.2499999999999999E-2</v>
      </c>
      <c r="L6" s="355">
        <f>IF(L4&lt;&gt;"-",HLOOKUP(L4,Grund_zins,3,FALSE),0)</f>
        <v>2.2499999999999999E-2</v>
      </c>
    </row>
    <row r="7" spans="1:12" s="82" customFormat="1" ht="25.5" customHeight="1" x14ac:dyDescent="0.3">
      <c r="A7" s="356" t="s">
        <v>673</v>
      </c>
      <c r="B7" s="532"/>
      <c r="C7" s="531">
        <f>IF(C4&lt;&gt;"-",B10,0)</f>
        <v>0</v>
      </c>
      <c r="D7" s="531">
        <f>IF(D4&lt;&gt;"-",C10,0)</f>
        <v>0</v>
      </c>
      <c r="E7" s="531">
        <f>IF(E4&lt;&gt;"-",D10,0)</f>
        <v>0</v>
      </c>
      <c r="F7" s="294">
        <f>IF(F4&lt;&gt;"-",E10,0)</f>
        <v>0</v>
      </c>
      <c r="G7" s="357" t="s">
        <v>673</v>
      </c>
      <c r="H7" s="532"/>
      <c r="I7" s="531">
        <f>IF(I4&lt;&gt;"-",H10,0)</f>
        <v>0</v>
      </c>
      <c r="J7" s="531">
        <f>IF(J4&lt;&gt;"-",I10,0)</f>
        <v>0</v>
      </c>
      <c r="K7" s="531">
        <f>IF(K4&lt;&gt;"-",J10,0)</f>
        <v>0</v>
      </c>
      <c r="L7" s="294">
        <f>IF(L4&lt;&gt;"-",K10,0)</f>
        <v>0</v>
      </c>
    </row>
    <row r="8" spans="1:12" s="82" customFormat="1" ht="28.8" x14ac:dyDescent="0.3">
      <c r="A8" s="356" t="s">
        <v>400</v>
      </c>
      <c r="B8" s="531">
        <f>IF(B4&lt;&gt;"-",ROUND(B5*0.5,2)+B7,0)</f>
        <v>0</v>
      </c>
      <c r="C8" s="531">
        <f>IF(C4&lt;&gt;"-",ROUND(C5*0.5,2)+C7,0)</f>
        <v>0</v>
      </c>
      <c r="D8" s="531">
        <f>IF(D4&lt;&gt;"-",ROUND(D5*0.5,2)+D7,0)</f>
        <v>0</v>
      </c>
      <c r="E8" s="531">
        <f>IF(E4&lt;&gt;"-",ROUND(E5*0.5,2)+E7,0)</f>
        <v>0</v>
      </c>
      <c r="F8" s="294">
        <f>IF(F4&lt;&gt;"-",ROUND(F5*0.5,2)+F7,0)</f>
        <v>0</v>
      </c>
      <c r="G8" s="357" t="s">
        <v>400</v>
      </c>
      <c r="H8" s="531">
        <f>IF(H4&lt;&gt;"-",ROUND(H5*0.5,2)+H7,0)</f>
        <v>0</v>
      </c>
      <c r="I8" s="531">
        <f>IF(I4&lt;&gt;"-",ROUND(I5*0.5,2)+I7,0)</f>
        <v>0</v>
      </c>
      <c r="J8" s="531">
        <f>IF(J4&lt;&gt;"-",ROUND(J5*0.5,2)+J7,0)</f>
        <v>0</v>
      </c>
      <c r="K8" s="531">
        <f>IF(K4&lt;&gt;"-",ROUND(K5*0.5,2)+K7,0)</f>
        <v>0</v>
      </c>
      <c r="L8" s="294">
        <f>IF(L4&lt;&gt;"-",ROUND(L5*0.5,2)+L7,0)</f>
        <v>0</v>
      </c>
    </row>
    <row r="9" spans="1:12" s="82" customFormat="1" x14ac:dyDescent="0.3">
      <c r="A9" s="137" t="s">
        <v>401</v>
      </c>
      <c r="B9" s="531">
        <f>IF(B4&lt;&gt;"-",ROUND(B8*B6,2),0)</f>
        <v>0</v>
      </c>
      <c r="C9" s="531">
        <f>IF(C4&lt;&gt;"-",ROUND(C8*C6,2),0)</f>
        <v>0</v>
      </c>
      <c r="D9" s="531">
        <f>IF(D4&lt;&gt;"-",ROUND(D8*D6,2),0)</f>
        <v>0</v>
      </c>
      <c r="E9" s="531">
        <f>IF(E4&lt;&gt;"-",ROUND(E8*E6,2),0)</f>
        <v>0</v>
      </c>
      <c r="F9" s="294">
        <f>IF(F4&lt;&gt;"-",ROUND(F8*F6,2),0)</f>
        <v>0</v>
      </c>
      <c r="G9" s="295" t="s">
        <v>401</v>
      </c>
      <c r="H9" s="531">
        <f>IF(H4&lt;&gt;"-",ROUND(H8*H6,2),0)</f>
        <v>0</v>
      </c>
      <c r="I9" s="531">
        <f>IF(I4&lt;&gt;"-",ROUND(I8*I6,2),0)</f>
        <v>0</v>
      </c>
      <c r="J9" s="531">
        <f>IF(J4&lt;&gt;"-",ROUND(J8*J6,2),0)</f>
        <v>0</v>
      </c>
      <c r="K9" s="531">
        <f>IF(K4&lt;&gt;"-",ROUND(K8*K6,2),0)</f>
        <v>0</v>
      </c>
      <c r="L9" s="294">
        <f>IF(L4&lt;&gt;"-",ROUND(L8*L6,2),0)</f>
        <v>0</v>
      </c>
    </row>
    <row r="10" spans="1:12" s="82" customFormat="1" x14ac:dyDescent="0.3">
      <c r="A10" s="137" t="s">
        <v>402</v>
      </c>
      <c r="B10" s="531">
        <f>IF(B4&lt;&gt;"-",B5+B7+B9,0)</f>
        <v>0</v>
      </c>
      <c r="C10" s="531">
        <f>IF(C4&lt;&gt;"-",C5+C7+C9,0)</f>
        <v>0</v>
      </c>
      <c r="D10" s="531">
        <f>IF(D4&lt;&gt;"-",D5+D7+D9,0)</f>
        <v>0</v>
      </c>
      <c r="E10" s="531">
        <f>IF(E4&lt;&gt;"-",E5+E7+E9,0)</f>
        <v>0</v>
      </c>
      <c r="F10" s="294">
        <f>IF(F4&lt;&gt;"-",F5+F7+F9,0)</f>
        <v>0</v>
      </c>
      <c r="G10" s="295" t="s">
        <v>402</v>
      </c>
      <c r="H10" s="531">
        <f>IF(H4&lt;&gt;"-",H5+H7+H9,0)</f>
        <v>0</v>
      </c>
      <c r="I10" s="531">
        <f>IF(I4&lt;&gt;"-",I5+I7+I9,0)</f>
        <v>0</v>
      </c>
      <c r="J10" s="531">
        <f>IF(J4&lt;&gt;"-",J5+J7+J9,0)</f>
        <v>0</v>
      </c>
      <c r="K10" s="531">
        <f>IF(K4&lt;&gt;"-",K5+K7+K9,0)</f>
        <v>0</v>
      </c>
      <c r="L10" s="294">
        <f>IF(L4&lt;&gt;"-",L5+L7+L9,0)</f>
        <v>0</v>
      </c>
    </row>
    <row r="11" spans="1:12" s="82" customFormat="1" ht="28.8" x14ac:dyDescent="0.3">
      <c r="A11" s="137" t="s">
        <v>403</v>
      </c>
      <c r="B11" s="1138">
        <f>SUM(B5:F5)</f>
        <v>0</v>
      </c>
      <c r="C11" s="1156"/>
      <c r="D11" s="1156"/>
      <c r="E11" s="1156"/>
      <c r="F11" s="1157"/>
      <c r="G11" s="295" t="s">
        <v>403</v>
      </c>
      <c r="H11" s="1138">
        <f>SUM(H5:L5)</f>
        <v>0</v>
      </c>
      <c r="I11" s="1156"/>
      <c r="J11" s="1156"/>
      <c r="K11" s="1156"/>
      <c r="L11" s="1157"/>
    </row>
    <row r="12" spans="1:12" s="82" customFormat="1" x14ac:dyDescent="0.3">
      <c r="A12" s="137" t="s">
        <v>404</v>
      </c>
      <c r="B12" s="1138">
        <f>SUM(B9:F9)</f>
        <v>0</v>
      </c>
      <c r="C12" s="1156"/>
      <c r="D12" s="1156"/>
      <c r="E12" s="1156"/>
      <c r="F12" s="1157"/>
      <c r="G12" s="295" t="s">
        <v>404</v>
      </c>
      <c r="H12" s="1138">
        <f>SUM(H9:L9)</f>
        <v>0</v>
      </c>
      <c r="I12" s="1156"/>
      <c r="J12" s="1156"/>
      <c r="K12" s="1156"/>
      <c r="L12" s="1157"/>
    </row>
    <row r="13" spans="1:12" s="82" customFormat="1" x14ac:dyDescent="0.3">
      <c r="A13" s="138" t="s">
        <v>405</v>
      </c>
      <c r="B13" s="1138">
        <f>SUM(B11,B12)</f>
        <v>0</v>
      </c>
      <c r="C13" s="1156"/>
      <c r="D13" s="1156"/>
      <c r="E13" s="1156"/>
      <c r="F13" s="1157"/>
      <c r="G13" s="296" t="s">
        <v>405</v>
      </c>
      <c r="H13" s="1138">
        <f>SUM(H11,H12)</f>
        <v>0</v>
      </c>
      <c r="I13" s="1156"/>
      <c r="J13" s="1156"/>
      <c r="K13" s="1156"/>
      <c r="L13" s="1157"/>
    </row>
    <row r="14" spans="1:12" s="82" customFormat="1" x14ac:dyDescent="0.3">
      <c r="A14" s="139"/>
      <c r="B14" s="140"/>
      <c r="C14" s="140"/>
      <c r="D14" s="140"/>
      <c r="E14" s="140"/>
      <c r="F14" s="141"/>
      <c r="G14" s="297"/>
      <c r="H14" s="140"/>
      <c r="I14" s="140"/>
      <c r="J14" s="140"/>
      <c r="K14" s="140"/>
      <c r="L14" s="141"/>
    </row>
    <row r="15" spans="1:12" s="82" customFormat="1" ht="35.25" customHeight="1" x14ac:dyDescent="0.3">
      <c r="A15" s="768" t="s">
        <v>671</v>
      </c>
      <c r="B15" s="768"/>
      <c r="C15" s="768"/>
      <c r="D15" s="768"/>
      <c r="E15" s="768"/>
      <c r="F15" s="1155"/>
      <c r="G15" s="1162" t="s">
        <v>671</v>
      </c>
      <c r="H15" s="768"/>
      <c r="I15" s="768"/>
      <c r="J15" s="768"/>
      <c r="K15" s="768"/>
      <c r="L15" s="1155"/>
    </row>
    <row r="16" spans="1:12" s="82" customFormat="1" ht="15" thickBot="1" x14ac:dyDescent="0.35">
      <c r="A16" s="347" t="s">
        <v>406</v>
      </c>
      <c r="B16" s="348">
        <f>Vorkalkulation!$C$6</f>
        <v>2017</v>
      </c>
      <c r="C16" s="348">
        <f>Vorkalkulation!$E$6</f>
        <v>2018</v>
      </c>
      <c r="D16" s="348">
        <f>Vorkalkulation!$G$6</f>
        <v>2019</v>
      </c>
      <c r="E16" s="348">
        <f>Vorkalkulation!$I$6</f>
        <v>2020</v>
      </c>
      <c r="F16" s="142"/>
      <c r="G16" s="350" t="s">
        <v>406</v>
      </c>
      <c r="H16" s="348">
        <f>Vorkalkulation!$C$6</f>
        <v>2017</v>
      </c>
      <c r="I16" s="348">
        <f>Vorkalkulation!$E$6</f>
        <v>2018</v>
      </c>
      <c r="J16" s="348">
        <f>Vorkalkulation!$G$6</f>
        <v>2019</v>
      </c>
      <c r="K16" s="348">
        <f>Vorkalkulation!$I$6</f>
        <v>2020</v>
      </c>
      <c r="L16" s="142"/>
    </row>
    <row r="17" spans="1:12" s="82" customFormat="1" ht="43.2" x14ac:dyDescent="0.3">
      <c r="A17" s="143" t="s">
        <v>407</v>
      </c>
      <c r="B17" s="1158">
        <f>SUM(B11,B12)</f>
        <v>0</v>
      </c>
      <c r="C17" s="1158"/>
      <c r="D17" s="1158"/>
      <c r="E17" s="1158"/>
      <c r="F17" s="144"/>
      <c r="G17" s="298" t="s">
        <v>407</v>
      </c>
      <c r="H17" s="1158">
        <f>SUM(H11,H12)</f>
        <v>0</v>
      </c>
      <c r="I17" s="1158"/>
      <c r="J17" s="1158"/>
      <c r="K17" s="1158"/>
      <c r="L17" s="144"/>
    </row>
    <row r="18" spans="1:12" s="82" customFormat="1" ht="15" thickBot="1" x14ac:dyDescent="0.35">
      <c r="A18" s="138" t="s">
        <v>408</v>
      </c>
      <c r="B18" s="1159">
        <f>COUNT(B16:E16)</f>
        <v>4</v>
      </c>
      <c r="C18" s="1160"/>
      <c r="D18" s="1160"/>
      <c r="E18" s="1161"/>
      <c r="F18" s="144"/>
      <c r="G18" s="296" t="s">
        <v>408</v>
      </c>
      <c r="H18" s="1159">
        <f>COUNT(H16:K16)</f>
        <v>4</v>
      </c>
      <c r="I18" s="1160"/>
      <c r="J18" s="1160"/>
      <c r="K18" s="1161"/>
      <c r="L18" s="144"/>
    </row>
    <row r="19" spans="1:12" s="82" customFormat="1" x14ac:dyDescent="0.3">
      <c r="A19" s="145" t="s">
        <v>386</v>
      </c>
      <c r="B19" s="358">
        <f>IF(B16&lt;&gt;"-",HLOOKUP(B16,Grund_zins,3,FALSE),0)</f>
        <v>0.02</v>
      </c>
      <c r="C19" s="358">
        <f>IF(C16&lt;&gt;"-",HLOOKUP(C16,Grund_zins,3,FALSE),0)</f>
        <v>0.02</v>
      </c>
      <c r="D19" s="358">
        <f>IF(D16&lt;&gt;"-",HLOOKUP(D16,Grund_zins,3,FALSE),0)</f>
        <v>0.02</v>
      </c>
      <c r="E19" s="358">
        <f>IF(E16&lt;&gt;"-",HLOOKUP(E16,Grund_zins,3,FALSE),0)</f>
        <v>0.02</v>
      </c>
      <c r="F19" s="144"/>
      <c r="G19" s="299" t="s">
        <v>386</v>
      </c>
      <c r="H19" s="358">
        <f>IF(H16&lt;&gt;"-",HLOOKUP(H16,Grund_zins,3,FALSE),0)</f>
        <v>0.02</v>
      </c>
      <c r="I19" s="358">
        <f>IF(I16&lt;&gt;"-",HLOOKUP(I16,Grund_zins,3,FALSE),0)</f>
        <v>0.02</v>
      </c>
      <c r="J19" s="358">
        <f>IF(J16&lt;&gt;"-",HLOOKUP(J16,Grund_zins,3,FALSE),0)</f>
        <v>0.02</v>
      </c>
      <c r="K19" s="358">
        <f>IF(K16&lt;&gt;"-",HLOOKUP(K16,Grund_zins,3,FALSE),0)</f>
        <v>0.02</v>
      </c>
      <c r="L19" s="144"/>
    </row>
    <row r="20" spans="1:12" s="82" customFormat="1" ht="28.8" x14ac:dyDescent="0.3">
      <c r="A20" s="359" t="s">
        <v>409</v>
      </c>
      <c r="B20" s="360">
        <f>B17</f>
        <v>0</v>
      </c>
      <c r="C20" s="361">
        <f>IF(OR($B$18=2,$B$18=3,$B$18=4),B26,0)</f>
        <v>0</v>
      </c>
      <c r="D20" s="361">
        <f>IF(OR($B$18=3,$B$18=4),C26,0)</f>
        <v>0</v>
      </c>
      <c r="E20" s="361">
        <f>IF($B$18=4,D26,0)</f>
        <v>0</v>
      </c>
      <c r="F20" s="144"/>
      <c r="G20" s="362" t="s">
        <v>409</v>
      </c>
      <c r="H20" s="360">
        <f>H17</f>
        <v>0</v>
      </c>
      <c r="I20" s="361">
        <f>IF(OR($B$18=2,$B$18=3,$B$18=4),H26,0)</f>
        <v>0</v>
      </c>
      <c r="J20" s="361">
        <f>IF(OR($B$18=3,$B$18=4),I26,0)</f>
        <v>0</v>
      </c>
      <c r="K20" s="361">
        <f>IF($B$18=4,J26,0)</f>
        <v>0</v>
      </c>
      <c r="L20" s="144"/>
    </row>
    <row r="21" spans="1:12" s="82" customFormat="1" ht="43.2" x14ac:dyDescent="0.3">
      <c r="A21" s="356" t="s">
        <v>674</v>
      </c>
      <c r="B21" s="361">
        <f>IF($B$18=1,B17,IF($B$18=2,ROUND(B17/2,2),IF($B$18=3,ROUND(B17/3,2),IF($B$18=4,ROUND(B17/4,2),0))))</f>
        <v>0</v>
      </c>
      <c r="C21" s="361">
        <f>IF($B$18=2,ROUND(B17/2,2),IF($B$18=3,ROUND(B17/3,2),IF($B$18=4,ROUND(B17/4,2),0)))</f>
        <v>0</v>
      </c>
      <c r="D21" s="361">
        <f>IF($B$18=3,ROUND(B17/3,2),IF($B$18=4,ROUND(B17/4,2),0))</f>
        <v>0</v>
      </c>
      <c r="E21" s="361">
        <f>IF($B$18=4,ROUND(B17/4,2),0)</f>
        <v>0</v>
      </c>
      <c r="F21" s="144"/>
      <c r="G21" s="357" t="s">
        <v>674</v>
      </c>
      <c r="H21" s="361">
        <f>IF($B$18=1,H17,IF($B$18=2,ROUND(H17/2,2),IF($B$18=3,ROUND(H17/3,2),IF($B$18=4,ROUND(H17/4,2),0))))</f>
        <v>0</v>
      </c>
      <c r="I21" s="361">
        <f>IF($B$18=2,ROUND(H17/2,2),IF($B$18=3,ROUND(H17/3,2),IF($B$18=4,ROUND(H17/4,2),0)))</f>
        <v>0</v>
      </c>
      <c r="J21" s="361">
        <f>IF($B$18=3,ROUND(H17/3,2),IF($B$18=4,ROUND(H17/4,2),0))</f>
        <v>0</v>
      </c>
      <c r="K21" s="361">
        <f>IF($B$18=4,ROUND(H17/4,2),0)</f>
        <v>0</v>
      </c>
      <c r="L21" s="144"/>
    </row>
    <row r="22" spans="1:12" s="82" customFormat="1" ht="28.8" x14ac:dyDescent="0.3">
      <c r="A22" s="356" t="s">
        <v>410</v>
      </c>
      <c r="B22" s="146">
        <f>ROUND(B21*0.5,2)</f>
        <v>0</v>
      </c>
      <c r="C22" s="146">
        <f t="shared" ref="C22:D22" si="0">ROUND(C21*0.5,2)</f>
        <v>0</v>
      </c>
      <c r="D22" s="146">
        <f t="shared" si="0"/>
        <v>0</v>
      </c>
      <c r="E22" s="146">
        <f t="shared" ref="E22" si="1">ROUND(E21*0.5,2)</f>
        <v>0</v>
      </c>
      <c r="F22" s="144"/>
      <c r="G22" s="357" t="s">
        <v>410</v>
      </c>
      <c r="H22" s="146">
        <f>ROUND(H21*0.5,2)</f>
        <v>0</v>
      </c>
      <c r="I22" s="146">
        <f t="shared" ref="I22" si="2">ROUND(I21*0.5,2)</f>
        <v>0</v>
      </c>
      <c r="J22" s="146">
        <f t="shared" ref="J22:K22" si="3">ROUND(J21*0.5,2)</f>
        <v>0</v>
      </c>
      <c r="K22" s="146">
        <f t="shared" si="3"/>
        <v>0</v>
      </c>
      <c r="L22" s="144"/>
    </row>
    <row r="23" spans="1:12" s="82" customFormat="1" ht="25.5" customHeight="1" x14ac:dyDescent="0.3">
      <c r="A23" s="356" t="s">
        <v>411</v>
      </c>
      <c r="B23" s="146">
        <f>IF(B21&lt;&gt;0,B20-B21,0)</f>
        <v>0</v>
      </c>
      <c r="C23" s="146">
        <f t="shared" ref="C23:E23" si="4">IF(C21&lt;&gt;0,C20-C21,0)</f>
        <v>0</v>
      </c>
      <c r="D23" s="146">
        <f t="shared" si="4"/>
        <v>0</v>
      </c>
      <c r="E23" s="146">
        <f t="shared" si="4"/>
        <v>0</v>
      </c>
      <c r="F23" s="144"/>
      <c r="G23" s="357" t="s">
        <v>411</v>
      </c>
      <c r="H23" s="146">
        <f>IF(H21&lt;&gt;0,H20-H21,0)</f>
        <v>0</v>
      </c>
      <c r="I23" s="146">
        <f t="shared" ref="I23:K23" si="5">IF(I21&lt;&gt;0,I20-I21,0)</f>
        <v>0</v>
      </c>
      <c r="J23" s="146">
        <f t="shared" si="5"/>
        <v>0</v>
      </c>
      <c r="K23" s="146">
        <f t="shared" si="5"/>
        <v>0</v>
      </c>
      <c r="L23" s="144"/>
    </row>
    <row r="24" spans="1:12" s="82" customFormat="1" x14ac:dyDescent="0.3">
      <c r="A24" s="356" t="s">
        <v>412</v>
      </c>
      <c r="B24" s="146">
        <f>ROUND(B22*B19,2)</f>
        <v>0</v>
      </c>
      <c r="C24" s="146">
        <f t="shared" ref="C24:E24" si="6">ROUND(C22*C19,2)</f>
        <v>0</v>
      </c>
      <c r="D24" s="146">
        <f t="shared" si="6"/>
        <v>0</v>
      </c>
      <c r="E24" s="146">
        <f t="shared" si="6"/>
        <v>0</v>
      </c>
      <c r="F24" s="144"/>
      <c r="G24" s="357" t="s">
        <v>412</v>
      </c>
      <c r="H24" s="146">
        <f>ROUND(H22*H19,2)</f>
        <v>0</v>
      </c>
      <c r="I24" s="146">
        <f t="shared" ref="I24:K24" si="7">ROUND(I22*I19,2)</f>
        <v>0</v>
      </c>
      <c r="J24" s="146">
        <f t="shared" si="7"/>
        <v>0</v>
      </c>
      <c r="K24" s="146">
        <f t="shared" si="7"/>
        <v>0</v>
      </c>
      <c r="L24" s="144"/>
    </row>
    <row r="25" spans="1:12" s="82" customFormat="1" x14ac:dyDescent="0.3">
      <c r="A25" s="137" t="s">
        <v>413</v>
      </c>
      <c r="B25" s="146">
        <f>ROUND(B23*B19,2)</f>
        <v>0</v>
      </c>
      <c r="C25" s="146">
        <f t="shared" ref="C25:E25" si="8">ROUND(C23*C19,2)</f>
        <v>0</v>
      </c>
      <c r="D25" s="146">
        <f t="shared" si="8"/>
        <v>0</v>
      </c>
      <c r="E25" s="146">
        <f t="shared" si="8"/>
        <v>0</v>
      </c>
      <c r="F25" s="144"/>
      <c r="G25" s="295" t="s">
        <v>413</v>
      </c>
      <c r="H25" s="146">
        <f>ROUND(H23*H19,2)</f>
        <v>0</v>
      </c>
      <c r="I25" s="146">
        <f t="shared" ref="I25:K25" si="9">ROUND(I23*I19,2)</f>
        <v>0</v>
      </c>
      <c r="J25" s="146">
        <f t="shared" si="9"/>
        <v>0</v>
      </c>
      <c r="K25" s="146">
        <f t="shared" si="9"/>
        <v>0</v>
      </c>
      <c r="L25" s="144"/>
    </row>
    <row r="26" spans="1:12" s="82" customFormat="1" ht="28.8" x14ac:dyDescent="0.3">
      <c r="A26" s="356" t="s">
        <v>414</v>
      </c>
      <c r="B26" s="146">
        <f>B23+B24+B25</f>
        <v>0</v>
      </c>
      <c r="C26" s="146">
        <f t="shared" ref="C26:E26" si="10">C23+C24+C25</f>
        <v>0</v>
      </c>
      <c r="D26" s="146">
        <f>D23+D24+D25</f>
        <v>0</v>
      </c>
      <c r="E26" s="146">
        <f t="shared" si="10"/>
        <v>0</v>
      </c>
      <c r="F26" s="147"/>
      <c r="G26" s="357" t="s">
        <v>414</v>
      </c>
      <c r="H26" s="146">
        <f>H23+H24+H25</f>
        <v>0</v>
      </c>
      <c r="I26" s="146">
        <f t="shared" ref="I26" si="11">I23+I24+I25</f>
        <v>0</v>
      </c>
      <c r="J26" s="146">
        <f>J23+J24+J25</f>
        <v>0</v>
      </c>
      <c r="K26" s="146">
        <f t="shared" ref="K26" si="12">K23+K24+K25</f>
        <v>0</v>
      </c>
      <c r="L26" s="147"/>
    </row>
    <row r="27" spans="1:12" s="82" customFormat="1" ht="28.8" x14ac:dyDescent="0.3">
      <c r="A27" s="137" t="s">
        <v>403</v>
      </c>
      <c r="B27" s="1138">
        <f>B11</f>
        <v>0</v>
      </c>
      <c r="C27" s="1138"/>
      <c r="D27" s="1138"/>
      <c r="E27" s="1138"/>
      <c r="F27" s="144"/>
      <c r="G27" s="295" t="s">
        <v>403</v>
      </c>
      <c r="H27" s="1138">
        <f>H11</f>
        <v>0</v>
      </c>
      <c r="I27" s="1138"/>
      <c r="J27" s="1138"/>
      <c r="K27" s="1138"/>
      <c r="L27" s="144"/>
    </row>
    <row r="28" spans="1:12" s="82" customFormat="1" x14ac:dyDescent="0.3">
      <c r="A28" s="138" t="s">
        <v>415</v>
      </c>
      <c r="B28" s="1138">
        <f>B12</f>
        <v>0</v>
      </c>
      <c r="C28" s="1138"/>
      <c r="D28" s="1138"/>
      <c r="E28" s="1138"/>
      <c r="F28" s="144"/>
      <c r="G28" s="296" t="s">
        <v>415</v>
      </c>
      <c r="H28" s="1138">
        <f>H12</f>
        <v>0</v>
      </c>
      <c r="I28" s="1138"/>
      <c r="J28" s="1138"/>
      <c r="K28" s="1138"/>
      <c r="L28" s="144"/>
    </row>
    <row r="29" spans="1:12" s="82" customFormat="1" x14ac:dyDescent="0.3">
      <c r="A29" s="356" t="s">
        <v>416</v>
      </c>
      <c r="B29" s="1138">
        <f>B24+C24+D24+E24+B25+C25+D25+E25</f>
        <v>0</v>
      </c>
      <c r="C29" s="1138"/>
      <c r="D29" s="1138"/>
      <c r="E29" s="1138"/>
      <c r="F29" s="144"/>
      <c r="G29" s="357" t="s">
        <v>416</v>
      </c>
      <c r="H29" s="1138">
        <f>H24+I24+J24+K24+H25+I25+J25+K25</f>
        <v>0</v>
      </c>
      <c r="I29" s="1138"/>
      <c r="J29" s="1138"/>
      <c r="K29" s="1138"/>
      <c r="L29" s="144"/>
    </row>
    <row r="30" spans="1:12" s="82" customFormat="1" ht="28.8" x14ac:dyDescent="0.3">
      <c r="A30" s="138" t="s">
        <v>417</v>
      </c>
      <c r="B30" s="1139">
        <f>B27+B28+B29</f>
        <v>0</v>
      </c>
      <c r="C30" s="1140"/>
      <c r="D30" s="1140"/>
      <c r="E30" s="1141"/>
      <c r="F30" s="144"/>
      <c r="G30" s="296" t="s">
        <v>417</v>
      </c>
      <c r="H30" s="1139">
        <f>H27+H28+H29</f>
        <v>0</v>
      </c>
      <c r="I30" s="1140"/>
      <c r="J30" s="1140"/>
      <c r="K30" s="1141"/>
      <c r="L30" s="144"/>
    </row>
    <row r="31" spans="1:12" s="82" customFormat="1" ht="43.2" x14ac:dyDescent="0.3">
      <c r="A31" s="356" t="s">
        <v>675</v>
      </c>
      <c r="B31" s="363">
        <f>IF($B$18=1,B30,IF($B$18=2,ROUND(B30/2,2),IF($B$18=3,ROUND(B30/3,2),IF($B$18=4,ROUND(B30/4,2),0))))</f>
        <v>0</v>
      </c>
      <c r="C31" s="363">
        <f>IF($B$18=2,ROUND(B30/2,2),IF($B$18=3,ROUND(B30/3,2),IF($B$18=4,ROUND(B30/4,2),0)))</f>
        <v>0</v>
      </c>
      <c r="D31" s="363">
        <f>IF($B$18=3,ROUND(B30/3,2),IF($B$18=4,ROUND(B30/4,2),0))</f>
        <v>0</v>
      </c>
      <c r="E31" s="363">
        <f>IF($B$18=4,ROUND(B30/4,2),0)</f>
        <v>0</v>
      </c>
      <c r="F31" s="144"/>
      <c r="G31" s="357" t="s">
        <v>675</v>
      </c>
      <c r="H31" s="363">
        <f>IF($B$18=1,H30,IF($B$18=2,ROUND(H30/2,2),IF($B$18=3,ROUND(H30/3,2),IF($B$18=4,ROUND(H30/4,2),0))))</f>
        <v>0</v>
      </c>
      <c r="I31" s="363">
        <f>IF($B$18=2,ROUND(H30/2,2),IF($B$18=3,ROUND(H30/3,2),IF($B$18=4,ROUND(H30/4,2),0)))</f>
        <v>0</v>
      </c>
      <c r="J31" s="363">
        <f>IF($B$18=3,ROUND(H30/3,2),IF($B$18=4,ROUND(H30/4,2),0))</f>
        <v>0</v>
      </c>
      <c r="K31" s="363">
        <f>IF($B$18=4,ROUND(H30/4,2),0)</f>
        <v>0</v>
      </c>
      <c r="L31" s="144"/>
    </row>
    <row r="32" spans="1:12" s="82" customFormat="1" x14ac:dyDescent="0.3">
      <c r="A32" s="148"/>
      <c r="B32" s="148"/>
      <c r="C32" s="148"/>
      <c r="D32" s="148"/>
      <c r="E32" s="148"/>
      <c r="F32" s="149"/>
      <c r="G32" s="300"/>
      <c r="H32" s="148"/>
      <c r="I32" s="148"/>
      <c r="J32" s="148"/>
      <c r="K32" s="148"/>
      <c r="L32" s="149"/>
    </row>
    <row r="33" spans="1:12" s="150" customFormat="1" ht="44.25" customHeight="1" x14ac:dyDescent="0.3">
      <c r="A33" s="705" t="s">
        <v>418</v>
      </c>
      <c r="B33" s="1153"/>
      <c r="C33" s="1153"/>
      <c r="D33" s="1153"/>
      <c r="E33" s="1153"/>
      <c r="F33" s="1154"/>
      <c r="G33" s="364"/>
      <c r="H33" s="364"/>
      <c r="I33" s="364"/>
      <c r="J33" s="364"/>
      <c r="K33" s="364"/>
      <c r="L33" s="364"/>
    </row>
    <row r="34" spans="1:12" s="150" customFormat="1" ht="48" customHeight="1" x14ac:dyDescent="0.3">
      <c r="A34" s="768" t="s">
        <v>672</v>
      </c>
      <c r="B34" s="768"/>
      <c r="C34" s="768"/>
      <c r="D34" s="768"/>
      <c r="E34" s="768"/>
      <c r="F34" s="1155"/>
      <c r="G34" s="115"/>
      <c r="H34" s="115"/>
      <c r="I34" s="115"/>
      <c r="J34" s="115"/>
      <c r="K34" s="115"/>
      <c r="L34" s="115"/>
    </row>
    <row r="35" spans="1:12" s="150" customFormat="1" ht="15" thickBot="1" x14ac:dyDescent="0.35">
      <c r="A35" s="347" t="s">
        <v>398</v>
      </c>
      <c r="B35" s="348">
        <f>Nachkalkulation!$C$6</f>
        <v>2012</v>
      </c>
      <c r="C35" s="348">
        <f>Nachkalkulation!$E$6</f>
        <v>2013</v>
      </c>
      <c r="D35" s="348">
        <f>Nachkalkulation!$G$6</f>
        <v>2014</v>
      </c>
      <c r="E35" s="348">
        <f>Nachkalkulation!$I$6</f>
        <v>2015</v>
      </c>
      <c r="F35" s="349">
        <f>Nachkalkulation!$K$6</f>
        <v>2016</v>
      </c>
      <c r="G35" s="115"/>
      <c r="H35" s="115"/>
      <c r="I35" s="115"/>
      <c r="J35" s="115"/>
      <c r="K35" s="115"/>
      <c r="L35" s="115"/>
    </row>
    <row r="36" spans="1:12" s="150" customFormat="1" ht="28.8" x14ac:dyDescent="0.3">
      <c r="A36" s="351" t="s">
        <v>399</v>
      </c>
      <c r="B36" s="352">
        <f>IF(AND(Grunddaten!$D$19&lt;&gt;2,B35&lt;&gt;"-"),HLOOKUP(B35,Grund_ue_u,7,FALSE),0)</f>
        <v>-117737.92999999993</v>
      </c>
      <c r="C36" s="352">
        <f>IF(AND(Grunddaten!$D$19&lt;&gt;2,C35&lt;&gt;"-"),HLOOKUP(C35,Grund_ue_u,7,FALSE),0)</f>
        <v>-122931.77000000002</v>
      </c>
      <c r="D36" s="352">
        <f>IF(AND(Grunddaten!$D$19&lt;&gt;2,D35&lt;&gt;"-"),HLOOKUP(D35,Grund_ue_u,7,FALSE),0)</f>
        <v>-144532.02000000002</v>
      </c>
      <c r="E36" s="352">
        <f>IF(AND(Grunddaten!$D$19&lt;&gt;2,E35&lt;&gt;"-"),HLOOKUP(E35,Grund_ue_u,7,FALSE),0)</f>
        <v>-101401.03000000003</v>
      </c>
      <c r="F36" s="365">
        <f>IF(AND(Grunddaten!$D$19&lt;&gt;2,F35&lt;&gt;"-"),HLOOKUP(F35,Grund_ue_u,7,FALSE),0)</f>
        <v>-136844.1100000001</v>
      </c>
      <c r="G36" s="115"/>
      <c r="H36" s="115"/>
      <c r="I36" s="115"/>
      <c r="J36" s="115"/>
      <c r="K36" s="115"/>
      <c r="L36" s="115"/>
    </row>
    <row r="37" spans="1:12" s="150" customFormat="1" x14ac:dyDescent="0.3">
      <c r="A37" s="137" t="s">
        <v>386</v>
      </c>
      <c r="B37" s="354">
        <f>IF(B35&lt;&gt;"-",HLOOKUP(B35,Grund_zins,3,FALSE),0)</f>
        <v>2.2499999999999999E-2</v>
      </c>
      <c r="C37" s="354">
        <f>IF(C35&lt;&gt;"-",HLOOKUP(C35,Grund_zins,3,FALSE),0)</f>
        <v>2.2499999999999999E-2</v>
      </c>
      <c r="D37" s="354">
        <f>IF(D35&lt;&gt;"-",HLOOKUP(D35,Grund_zins,3,FALSE),0)</f>
        <v>2.2499999999999999E-2</v>
      </c>
      <c r="E37" s="354">
        <f>IF(E35&lt;&gt;"-",HLOOKUP(E35,Grund_zins,3,FALSE),0)</f>
        <v>2.2499999999999999E-2</v>
      </c>
      <c r="F37" s="355">
        <f>IF(F35&lt;&gt;"-",HLOOKUP(F35,Grund_zins,3,FALSE),0)</f>
        <v>2.2499999999999999E-2</v>
      </c>
      <c r="G37" s="115"/>
      <c r="H37" s="115"/>
      <c r="I37" s="115"/>
      <c r="J37" s="115"/>
      <c r="K37" s="115"/>
      <c r="L37" s="115"/>
    </row>
    <row r="38" spans="1:12" s="150" customFormat="1" ht="28.8" x14ac:dyDescent="0.3">
      <c r="A38" s="356" t="s">
        <v>673</v>
      </c>
      <c r="B38" s="532"/>
      <c r="C38" s="531">
        <f>IF(C35&lt;&gt;"-",B41,0)</f>
        <v>-119062.47999999994</v>
      </c>
      <c r="D38" s="531">
        <f>IF(D35&lt;&gt;"-",C41,0)</f>
        <v>-246056.13999999996</v>
      </c>
      <c r="E38" s="531">
        <f>IF(E35&lt;&gt;"-",D41,0)</f>
        <v>-397750.41</v>
      </c>
      <c r="F38" s="294">
        <f>IF(F35&lt;&gt;"-",E41,0)</f>
        <v>-509241.59</v>
      </c>
      <c r="G38" s="115"/>
      <c r="H38" s="115"/>
      <c r="I38" s="115"/>
      <c r="J38" s="115"/>
      <c r="K38" s="115"/>
      <c r="L38" s="115"/>
    </row>
    <row r="39" spans="1:12" s="150" customFormat="1" ht="28.8" x14ac:dyDescent="0.3">
      <c r="A39" s="356" t="s">
        <v>400</v>
      </c>
      <c r="B39" s="531">
        <f>IF(B35&lt;&gt;"-",ROUND(B36*0.5,2)+B38,0)</f>
        <v>-58868.97</v>
      </c>
      <c r="C39" s="531">
        <f>IF(C35&lt;&gt;"-",ROUND(C36*0.5,2)+C38,0)</f>
        <v>-180528.36999999994</v>
      </c>
      <c r="D39" s="531">
        <f>IF(D35&lt;&gt;"-",ROUND(D36*0.5,2)+D38,0)</f>
        <v>-318322.14999999997</v>
      </c>
      <c r="E39" s="531">
        <f>IF(E35&lt;&gt;"-",ROUND(E36*0.5,2)+E38,0)</f>
        <v>-448450.93</v>
      </c>
      <c r="F39" s="294">
        <f>IF(F35&lt;&gt;"-",ROUND(F36*0.5,2)+F38,0)</f>
        <v>-577663.65</v>
      </c>
      <c r="G39" s="115"/>
      <c r="H39" s="115"/>
      <c r="I39" s="115"/>
      <c r="J39" s="115"/>
      <c r="K39" s="115"/>
      <c r="L39" s="115"/>
    </row>
    <row r="40" spans="1:12" s="150" customFormat="1" x14ac:dyDescent="0.3">
      <c r="A40" s="137" t="s">
        <v>401</v>
      </c>
      <c r="B40" s="531">
        <f>IF(B35&lt;&gt;"-",ROUND(B39*B37,2),0)</f>
        <v>-1324.55</v>
      </c>
      <c r="C40" s="531">
        <f>IF(C35&lt;&gt;"-",ROUND(C39*C37,2),0)</f>
        <v>-4061.89</v>
      </c>
      <c r="D40" s="531">
        <f>IF(D35&lt;&gt;"-",ROUND(D39*D37,2),0)</f>
        <v>-7162.25</v>
      </c>
      <c r="E40" s="531">
        <f>IF(E35&lt;&gt;"-",ROUND(E39*E37,2),0)</f>
        <v>-10090.15</v>
      </c>
      <c r="F40" s="294">
        <f>IF(F35&lt;&gt;"-",ROUND(F39*F37,2),0)</f>
        <v>-12997.43</v>
      </c>
      <c r="G40" s="115"/>
      <c r="H40" s="115"/>
      <c r="I40" s="115"/>
      <c r="J40" s="115"/>
      <c r="K40" s="115"/>
      <c r="L40" s="115"/>
    </row>
    <row r="41" spans="1:12" s="150" customFormat="1" x14ac:dyDescent="0.3">
      <c r="A41" s="137" t="s">
        <v>402</v>
      </c>
      <c r="B41" s="531">
        <f>IF(B35&lt;&gt;"-",B36+B38+B40,0)</f>
        <v>-119062.47999999994</v>
      </c>
      <c r="C41" s="531">
        <f>IF(C35&lt;&gt;"-",C36+C38+C40,0)</f>
        <v>-246056.13999999996</v>
      </c>
      <c r="D41" s="531">
        <f>IF(D35&lt;&gt;"-",D36+D38+D40,0)</f>
        <v>-397750.41</v>
      </c>
      <c r="E41" s="531">
        <f>IF(E35&lt;&gt;"-",E36+E38+E40,0)</f>
        <v>-509241.59</v>
      </c>
      <c r="F41" s="294">
        <f>IF(F35&lt;&gt;"-",F36+F38+F40,0)</f>
        <v>-659083.13000000024</v>
      </c>
      <c r="G41" s="115"/>
      <c r="H41" s="115"/>
      <c r="I41" s="115"/>
      <c r="J41" s="115"/>
      <c r="K41" s="115"/>
      <c r="L41" s="115"/>
    </row>
    <row r="42" spans="1:12" s="150" customFormat="1" ht="28.8" x14ac:dyDescent="0.3">
      <c r="A42" s="137" t="s">
        <v>403</v>
      </c>
      <c r="B42" s="1138">
        <f>SUM(B36:F36)</f>
        <v>-623446.8600000001</v>
      </c>
      <c r="C42" s="1156"/>
      <c r="D42" s="1156"/>
      <c r="E42" s="1156"/>
      <c r="F42" s="1157"/>
      <c r="G42" s="115"/>
      <c r="H42" s="115"/>
      <c r="I42" s="115"/>
      <c r="J42" s="115"/>
      <c r="K42" s="115"/>
      <c r="L42" s="115"/>
    </row>
    <row r="43" spans="1:12" s="150" customFormat="1" x14ac:dyDescent="0.3">
      <c r="A43" s="137" t="s">
        <v>404</v>
      </c>
      <c r="B43" s="1138">
        <f>SUM(B40:F40)</f>
        <v>-35636.269999999997</v>
      </c>
      <c r="C43" s="1156"/>
      <c r="D43" s="1156"/>
      <c r="E43" s="1156"/>
      <c r="F43" s="1157"/>
      <c r="G43" s="115"/>
      <c r="H43" s="115"/>
      <c r="I43" s="115"/>
      <c r="J43" s="115"/>
      <c r="K43" s="115"/>
      <c r="L43" s="115"/>
    </row>
    <row r="44" spans="1:12" s="150" customFormat="1" x14ac:dyDescent="0.3">
      <c r="A44" s="138" t="s">
        <v>405</v>
      </c>
      <c r="B44" s="1138">
        <f>SUM(B42,B43)</f>
        <v>-659083.13000000012</v>
      </c>
      <c r="C44" s="1156"/>
      <c r="D44" s="1156"/>
      <c r="E44" s="1156"/>
      <c r="F44" s="1157"/>
      <c r="G44" s="115"/>
      <c r="H44" s="115"/>
      <c r="I44" s="115"/>
      <c r="J44" s="115"/>
      <c r="K44" s="115"/>
      <c r="L44" s="115"/>
    </row>
    <row r="45" spans="1:12" s="150" customFormat="1" x14ac:dyDescent="0.3">
      <c r="A45" s="139"/>
      <c r="B45" s="140"/>
      <c r="C45" s="140"/>
      <c r="D45" s="140"/>
      <c r="E45" s="140"/>
      <c r="F45" s="141"/>
      <c r="G45" s="115"/>
      <c r="H45" s="115"/>
      <c r="I45" s="115"/>
      <c r="J45" s="115"/>
      <c r="K45" s="115"/>
      <c r="L45" s="115"/>
    </row>
    <row r="46" spans="1:12" s="150" customFormat="1" ht="48" customHeight="1" x14ac:dyDescent="0.3">
      <c r="A46" s="768" t="s">
        <v>671</v>
      </c>
      <c r="B46" s="768"/>
      <c r="C46" s="768"/>
      <c r="D46" s="768"/>
      <c r="E46" s="768"/>
      <c r="F46" s="1155"/>
      <c r="G46" s="115"/>
      <c r="H46" s="115"/>
      <c r="I46" s="115"/>
      <c r="J46" s="115"/>
      <c r="K46" s="115"/>
      <c r="L46" s="115"/>
    </row>
    <row r="47" spans="1:12" s="150" customFormat="1" ht="15" thickBot="1" x14ac:dyDescent="0.35">
      <c r="A47" s="347" t="s">
        <v>406</v>
      </c>
      <c r="B47" s="348">
        <f>Vorkalkulation!$C$6</f>
        <v>2017</v>
      </c>
      <c r="C47" s="348">
        <f>Vorkalkulation!$E$6</f>
        <v>2018</v>
      </c>
      <c r="D47" s="348">
        <f>Vorkalkulation!$G$6</f>
        <v>2019</v>
      </c>
      <c r="E47" s="348">
        <f>Vorkalkulation!$I$6</f>
        <v>2020</v>
      </c>
      <c r="F47" s="142"/>
      <c r="G47" s="115"/>
      <c r="H47" s="115"/>
      <c r="I47" s="115"/>
      <c r="J47" s="115"/>
      <c r="K47" s="115"/>
      <c r="L47" s="115"/>
    </row>
    <row r="48" spans="1:12" s="150" customFormat="1" ht="43.2" x14ac:dyDescent="0.3">
      <c r="A48" s="143" t="s">
        <v>407</v>
      </c>
      <c r="B48" s="1158">
        <f>SUM(B42,B43)</f>
        <v>-659083.13000000012</v>
      </c>
      <c r="C48" s="1158"/>
      <c r="D48" s="1158"/>
      <c r="E48" s="1158"/>
      <c r="F48" s="144"/>
      <c r="G48" s="115"/>
      <c r="H48" s="115"/>
      <c r="I48" s="115"/>
      <c r="J48" s="115"/>
      <c r="K48" s="115"/>
      <c r="L48" s="115"/>
    </row>
    <row r="49" spans="1:12" s="150" customFormat="1" ht="15" thickBot="1" x14ac:dyDescent="0.35">
      <c r="A49" s="138" t="s">
        <v>408</v>
      </c>
      <c r="B49" s="1159">
        <f>COUNT(B47:E47)</f>
        <v>4</v>
      </c>
      <c r="C49" s="1160"/>
      <c r="D49" s="1160"/>
      <c r="E49" s="1161"/>
      <c r="F49" s="144"/>
      <c r="G49" s="115"/>
      <c r="H49" s="115"/>
      <c r="I49" s="115"/>
      <c r="J49" s="115"/>
      <c r="K49" s="115"/>
      <c r="L49" s="115"/>
    </row>
    <row r="50" spans="1:12" s="150" customFormat="1" x14ac:dyDescent="0.3">
      <c r="A50" s="145" t="s">
        <v>386</v>
      </c>
      <c r="B50" s="358">
        <f>IF(B47&lt;&gt;"-",HLOOKUP(B47,Grund_zins,3,FALSE),0)</f>
        <v>0.02</v>
      </c>
      <c r="C50" s="358">
        <f>IF(C47&lt;&gt;"-",HLOOKUP(C47,Grund_zins,3,FALSE),0)</f>
        <v>0.02</v>
      </c>
      <c r="D50" s="358">
        <f>IF(D47&lt;&gt;"-",HLOOKUP(D47,Grund_zins,3,FALSE),0)</f>
        <v>0.02</v>
      </c>
      <c r="E50" s="358">
        <f>IF(E47&lt;&gt;"-",HLOOKUP(E47,Grund_zins,3,FALSE),0)</f>
        <v>0.02</v>
      </c>
      <c r="F50" s="144"/>
      <c r="G50" s="115"/>
      <c r="H50" s="115"/>
      <c r="I50" s="115"/>
      <c r="J50" s="115"/>
      <c r="K50" s="115"/>
      <c r="L50" s="115"/>
    </row>
    <row r="51" spans="1:12" s="150" customFormat="1" ht="28.8" x14ac:dyDescent="0.3">
      <c r="A51" s="359" t="s">
        <v>409</v>
      </c>
      <c r="B51" s="360">
        <f>B48</f>
        <v>-659083.13000000012</v>
      </c>
      <c r="C51" s="361">
        <f>IF(OR($B$18=2,$B$18=3,$B$18=4),B57,0)</f>
        <v>-505846.31000000011</v>
      </c>
      <c r="D51" s="361">
        <f>IF(OR($B$18=3,$B$18=4),C57,0)</f>
        <v>-349544.75000000017</v>
      </c>
      <c r="E51" s="361">
        <f>IF($B$18=4,D57,0)</f>
        <v>-190117.16000000018</v>
      </c>
      <c r="F51" s="144"/>
      <c r="G51" s="115"/>
      <c r="H51" s="115"/>
      <c r="I51" s="115"/>
      <c r="J51" s="115"/>
      <c r="K51" s="115"/>
      <c r="L51" s="115"/>
    </row>
    <row r="52" spans="1:12" s="150" customFormat="1" ht="43.2" x14ac:dyDescent="0.3">
      <c r="A52" s="356" t="s">
        <v>674</v>
      </c>
      <c r="B52" s="361">
        <f>IF($B$18=1,B48,IF($B$18=2,ROUND(B48/2,2),IF($B$18=3,ROUND(B48/3,2),IF($B$18=4,ROUND(B48/4,2),0))))</f>
        <v>-164770.78</v>
      </c>
      <c r="C52" s="361">
        <f>IF($B$18=2,ROUND(B48/2,2),IF($B$18=3,ROUND(B48/3,2),IF($B$18=4,ROUND(B48/4,2),0)))</f>
        <v>-164770.78</v>
      </c>
      <c r="D52" s="361">
        <f>IF($B$18=3,ROUND(B48/3,2),IF($B$18=4,ROUND(B48/4,2),0))</f>
        <v>-164770.78</v>
      </c>
      <c r="E52" s="361">
        <f>IF($B$18=4,ROUND(B48/4,2),0)</f>
        <v>-164770.78</v>
      </c>
      <c r="F52" s="144"/>
      <c r="G52" s="115"/>
      <c r="H52" s="115"/>
      <c r="I52" s="115"/>
      <c r="J52" s="115"/>
      <c r="K52" s="115"/>
      <c r="L52" s="115"/>
    </row>
    <row r="53" spans="1:12" s="150" customFormat="1" ht="28.8" x14ac:dyDescent="0.3">
      <c r="A53" s="356" t="s">
        <v>410</v>
      </c>
      <c r="B53" s="146">
        <f>ROUND(B52*0.5,2)</f>
        <v>-82385.39</v>
      </c>
      <c r="C53" s="146">
        <f t="shared" ref="C53" si="13">ROUND(C52*0.5,2)</f>
        <v>-82385.39</v>
      </c>
      <c r="D53" s="146">
        <f t="shared" ref="D53:E53" si="14">ROUND(D52*0.5,2)</f>
        <v>-82385.39</v>
      </c>
      <c r="E53" s="146">
        <f t="shared" si="14"/>
        <v>-82385.39</v>
      </c>
      <c r="F53" s="144"/>
      <c r="G53" s="115"/>
      <c r="H53" s="115"/>
      <c r="I53" s="115"/>
      <c r="J53" s="115"/>
      <c r="K53" s="115"/>
      <c r="L53" s="115"/>
    </row>
    <row r="54" spans="1:12" s="150" customFormat="1" ht="28.8" x14ac:dyDescent="0.3">
      <c r="A54" s="356" t="s">
        <v>411</v>
      </c>
      <c r="B54" s="146">
        <f>IF(B52&lt;&gt;0,B51-B52,0)</f>
        <v>-494312.35000000009</v>
      </c>
      <c r="C54" s="146">
        <f t="shared" ref="C54:E54" si="15">IF(C52&lt;&gt;0,C51-C52,0)</f>
        <v>-341075.53000000014</v>
      </c>
      <c r="D54" s="146">
        <f t="shared" si="15"/>
        <v>-184773.97000000018</v>
      </c>
      <c r="E54" s="146">
        <f t="shared" si="15"/>
        <v>-25346.380000000179</v>
      </c>
      <c r="F54" s="144"/>
      <c r="G54" s="115"/>
      <c r="H54" s="115"/>
      <c r="I54" s="115"/>
      <c r="J54" s="115"/>
      <c r="K54" s="115"/>
      <c r="L54" s="115"/>
    </row>
    <row r="55" spans="1:12" s="150" customFormat="1" x14ac:dyDescent="0.3">
      <c r="A55" s="356" t="s">
        <v>412</v>
      </c>
      <c r="B55" s="146">
        <f>ROUND(B53*B50,2)</f>
        <v>-1647.71</v>
      </c>
      <c r="C55" s="146">
        <f t="shared" ref="C55:E55" si="16">ROUND(C53*C50,2)</f>
        <v>-1647.71</v>
      </c>
      <c r="D55" s="146">
        <f t="shared" si="16"/>
        <v>-1647.71</v>
      </c>
      <c r="E55" s="146">
        <f t="shared" si="16"/>
        <v>-1647.71</v>
      </c>
      <c r="F55" s="144"/>
      <c r="G55" s="115"/>
      <c r="H55" s="115"/>
      <c r="I55" s="115"/>
      <c r="J55" s="115"/>
      <c r="K55" s="115"/>
      <c r="L55" s="115"/>
    </row>
    <row r="56" spans="1:12" s="150" customFormat="1" x14ac:dyDescent="0.3">
      <c r="A56" s="137" t="s">
        <v>413</v>
      </c>
      <c r="B56" s="146">
        <f>ROUND(B54*B50,2)</f>
        <v>-9886.25</v>
      </c>
      <c r="C56" s="146">
        <f t="shared" ref="C56:E56" si="17">ROUND(C54*C50,2)</f>
        <v>-6821.51</v>
      </c>
      <c r="D56" s="146">
        <f t="shared" si="17"/>
        <v>-3695.48</v>
      </c>
      <c r="E56" s="146">
        <f t="shared" si="17"/>
        <v>-506.93</v>
      </c>
      <c r="F56" s="144"/>
      <c r="G56" s="115"/>
      <c r="H56" s="115"/>
      <c r="I56" s="115"/>
      <c r="J56" s="115"/>
      <c r="K56" s="115"/>
      <c r="L56" s="115"/>
    </row>
    <row r="57" spans="1:12" s="150" customFormat="1" ht="28.8" x14ac:dyDescent="0.3">
      <c r="A57" s="356" t="s">
        <v>414</v>
      </c>
      <c r="B57" s="146">
        <f>B54+B55+B56</f>
        <v>-505846.31000000011</v>
      </c>
      <c r="C57" s="146">
        <f t="shared" ref="C57" si="18">C54+C55+C56</f>
        <v>-349544.75000000017</v>
      </c>
      <c r="D57" s="146">
        <f>D54+D55+D56</f>
        <v>-190117.16000000018</v>
      </c>
      <c r="E57" s="146">
        <f t="shared" ref="E57" si="19">E54+E55+E56</f>
        <v>-27501.020000000179</v>
      </c>
      <c r="F57" s="147"/>
      <c r="G57" s="115"/>
      <c r="H57" s="115"/>
      <c r="I57" s="115"/>
      <c r="J57" s="115"/>
      <c r="K57" s="115"/>
      <c r="L57" s="115"/>
    </row>
    <row r="58" spans="1:12" s="150" customFormat="1" ht="28.8" x14ac:dyDescent="0.3">
      <c r="A58" s="137" t="s">
        <v>403</v>
      </c>
      <c r="B58" s="1138">
        <f>B42</f>
        <v>-623446.8600000001</v>
      </c>
      <c r="C58" s="1138"/>
      <c r="D58" s="1138"/>
      <c r="E58" s="1138"/>
      <c r="F58" s="144"/>
      <c r="G58" s="115"/>
      <c r="H58" s="115"/>
      <c r="I58" s="115"/>
      <c r="J58" s="115"/>
      <c r="K58" s="115"/>
      <c r="L58" s="115"/>
    </row>
    <row r="59" spans="1:12" s="150" customFormat="1" x14ac:dyDescent="0.3">
      <c r="A59" s="138" t="s">
        <v>415</v>
      </c>
      <c r="B59" s="1138">
        <f>B43</f>
        <v>-35636.269999999997</v>
      </c>
      <c r="C59" s="1138"/>
      <c r="D59" s="1138"/>
      <c r="E59" s="1138"/>
      <c r="F59" s="144"/>
      <c r="G59" s="115"/>
      <c r="H59" s="115"/>
      <c r="I59" s="115"/>
      <c r="J59" s="115"/>
      <c r="K59" s="115"/>
      <c r="L59" s="115"/>
    </row>
    <row r="60" spans="1:12" s="150" customFormat="1" x14ac:dyDescent="0.3">
      <c r="A60" s="356" t="s">
        <v>416</v>
      </c>
      <c r="B60" s="1138">
        <f>B55+C55+D55+E55+B56+C56+D56+E56</f>
        <v>-27501.01</v>
      </c>
      <c r="C60" s="1138"/>
      <c r="D60" s="1138"/>
      <c r="E60" s="1138"/>
      <c r="F60" s="144"/>
      <c r="G60" s="115"/>
      <c r="H60" s="115"/>
      <c r="I60" s="115"/>
      <c r="J60" s="115"/>
      <c r="K60" s="115"/>
      <c r="L60" s="115"/>
    </row>
    <row r="61" spans="1:12" s="150" customFormat="1" ht="28.8" x14ac:dyDescent="0.3">
      <c r="A61" s="138" t="s">
        <v>417</v>
      </c>
      <c r="B61" s="1139">
        <f>B58+B59+B60</f>
        <v>-686584.14000000013</v>
      </c>
      <c r="C61" s="1140"/>
      <c r="D61" s="1140"/>
      <c r="E61" s="1141"/>
      <c r="F61" s="144"/>
      <c r="G61" s="115"/>
      <c r="H61" s="115"/>
      <c r="I61" s="115"/>
      <c r="J61" s="115"/>
      <c r="K61" s="115"/>
      <c r="L61" s="115"/>
    </row>
    <row r="62" spans="1:12" s="150" customFormat="1" ht="28.8" x14ac:dyDescent="0.3">
      <c r="A62" s="356" t="s">
        <v>675</v>
      </c>
      <c r="B62" s="363">
        <f>IF($B$18=1,B61,IF($B$18=2,ROUND(B61/2,2),IF($B$18=3,ROUND(B61/3,2),IF($B$18=4,ROUND(B61/4,2),0))))</f>
        <v>-171646.04</v>
      </c>
      <c r="C62" s="363">
        <f>IF($B$18=2,ROUND(B61/2,2),IF($B$18=3,ROUND(B61/3,2),IF($B$18=4,ROUND(B61/4,2),0)))</f>
        <v>-171646.04</v>
      </c>
      <c r="D62" s="363">
        <f>IF($B$18=3,ROUND(B61/3,2),IF($B$18=4,ROUND(B61/4,2),0))</f>
        <v>-171646.04</v>
      </c>
      <c r="E62" s="363">
        <f>IF($B$18=4,ROUND(B61/4,2),0)</f>
        <v>-171646.04</v>
      </c>
      <c r="F62" s="144"/>
      <c r="G62" s="115"/>
      <c r="H62" s="115"/>
      <c r="I62" s="115"/>
      <c r="J62" s="115"/>
      <c r="K62" s="115"/>
      <c r="L62" s="115"/>
    </row>
    <row r="63" spans="1:12" s="150" customFormat="1" x14ac:dyDescent="0.3">
      <c r="A63" s="148"/>
      <c r="B63" s="148"/>
      <c r="C63" s="148"/>
      <c r="D63" s="148"/>
      <c r="E63" s="148"/>
      <c r="F63" s="149"/>
      <c r="G63" s="148"/>
      <c r="H63" s="148"/>
      <c r="I63" s="148"/>
      <c r="J63" s="148"/>
      <c r="K63" s="148"/>
      <c r="L63" s="115"/>
    </row>
    <row r="64" spans="1:12" s="82" customFormat="1" ht="27.75" customHeight="1" x14ac:dyDescent="0.3">
      <c r="A64" s="1142" t="s">
        <v>383</v>
      </c>
      <c r="B64" s="1143"/>
      <c r="C64" s="1143"/>
      <c r="D64" s="1143"/>
      <c r="E64" s="1143"/>
      <c r="F64" s="1144"/>
      <c r="G64" s="1145" t="s">
        <v>384</v>
      </c>
      <c r="H64" s="1146"/>
      <c r="I64" s="1146"/>
      <c r="J64" s="1146"/>
      <c r="K64" s="1147"/>
      <c r="L64" s="83"/>
    </row>
    <row r="65" spans="1:12" s="82" customFormat="1" ht="15" customHeight="1" x14ac:dyDescent="0.3">
      <c r="A65" s="366" t="s">
        <v>140</v>
      </c>
      <c r="B65" s="670">
        <f>B4</f>
        <v>2012</v>
      </c>
      <c r="C65" s="670">
        <f>C4</f>
        <v>2013</v>
      </c>
      <c r="D65" s="670">
        <f>D4</f>
        <v>2014</v>
      </c>
      <c r="E65" s="670">
        <f>E4</f>
        <v>2015</v>
      </c>
      <c r="F65" s="677">
        <f>F4</f>
        <v>2016</v>
      </c>
      <c r="G65" s="676" t="s">
        <v>140</v>
      </c>
      <c r="H65" s="671">
        <f>B16</f>
        <v>2017</v>
      </c>
      <c r="I65" s="671">
        <f>C16</f>
        <v>2018</v>
      </c>
      <c r="J65" s="671">
        <f>D16</f>
        <v>2019</v>
      </c>
      <c r="K65" s="671">
        <f>E16</f>
        <v>2020</v>
      </c>
      <c r="L65" s="83"/>
    </row>
    <row r="66" spans="1:12" s="82" customFormat="1" ht="31.5" customHeight="1" x14ac:dyDescent="0.3">
      <c r="A66" s="1148" t="s">
        <v>983</v>
      </c>
      <c r="B66" s="803"/>
      <c r="C66" s="803"/>
      <c r="D66" s="803"/>
      <c r="E66" s="803"/>
      <c r="F66" s="1149"/>
      <c r="G66" s="1150" t="s">
        <v>985</v>
      </c>
      <c r="H66" s="1151"/>
      <c r="I66" s="1151"/>
      <c r="J66" s="1151"/>
      <c r="K66" s="1152"/>
      <c r="L66" s="346">
        <v>2</v>
      </c>
    </row>
    <row r="67" spans="1:12" s="82" customFormat="1" ht="31.5" customHeight="1" x14ac:dyDescent="0.3">
      <c r="A67" s="493" t="s">
        <v>676</v>
      </c>
      <c r="B67" s="672">
        <f>B5</f>
        <v>0</v>
      </c>
      <c r="C67" s="672">
        <f>C5</f>
        <v>0</v>
      </c>
      <c r="D67" s="672">
        <f>D5</f>
        <v>0</v>
      </c>
      <c r="E67" s="672">
        <f>E5</f>
        <v>0</v>
      </c>
      <c r="F67" s="678">
        <f>F5</f>
        <v>0</v>
      </c>
      <c r="G67" s="493" t="s">
        <v>677</v>
      </c>
      <c r="H67" s="673">
        <f>IF(AND(Grunddaten!$D$19=2,Grunddaten!$H$19=2),B31,IF(AND(Grunddaten!$D$19&lt;&gt;2,Grunddaten!$H$19=2),ROUND(B62*HLOOKUP($H$65,Verteil_sw,36,FALSE),2),0))</f>
        <v>0</v>
      </c>
      <c r="I67" s="673">
        <f>IF(AND(Grunddaten!$D$19=2,Grunddaten!$H$19=2),C31,IF(AND(Grunddaten!$D$19&lt;&gt;2,Grunddaten!$H$19=2),ROUND(C62*HLOOKUP($H$65,Verteil_sw,36,FALSE),2),0))</f>
        <v>0</v>
      </c>
      <c r="J67" s="673">
        <f>IF(AND(Grunddaten!$D$19=2,Grunddaten!$H$19=2),D31,IF(AND(Grunddaten!$D$19&lt;&gt;2,Grunddaten!$H$19=2),ROUND(D62*HLOOKUP($H$65,Verteil_sw,36,FALSE),2),0))</f>
        <v>0</v>
      </c>
      <c r="K67" s="673">
        <f>IF(AND(Grunddaten!$D$19=2,Grunddaten!$H$19=2),E31,IF(AND(Grunddaten!$D$19&lt;&gt;2,Grunddaten!$H$19=2),ROUND(E62*HLOOKUP($H$65,Verteil_sw,36,FALSE),2),0))</f>
        <v>0</v>
      </c>
      <c r="L67" s="346">
        <v>3</v>
      </c>
    </row>
    <row r="68" spans="1:12" s="82" customFormat="1" ht="31.5" customHeight="1" thickBot="1" x14ac:dyDescent="0.35">
      <c r="A68" s="398" t="s">
        <v>678</v>
      </c>
      <c r="B68" s="399">
        <f>H5</f>
        <v>0</v>
      </c>
      <c r="C68" s="399">
        <f>I5</f>
        <v>0</v>
      </c>
      <c r="D68" s="399">
        <f>J5</f>
        <v>0</v>
      </c>
      <c r="E68" s="399">
        <f>K5</f>
        <v>0</v>
      </c>
      <c r="F68" s="679">
        <f>L5</f>
        <v>0</v>
      </c>
      <c r="G68" s="398" t="s">
        <v>679</v>
      </c>
      <c r="H68" s="254">
        <f>IF(AND(Grunddaten!$D$19=2,Grunddaten!$H$19=2),H31,IF(AND(Grunddaten!$D$19&lt;&gt;2,Grunddaten!$H$19=2),ROUND(B62*HLOOKUP($H$65,Verteil_rwgr,35,FALSE),2),0))</f>
        <v>0</v>
      </c>
      <c r="I68" s="254">
        <f>IF(AND(Grunddaten!$D$19=2,Grunddaten!$H$19=2),I31,IF(AND(Grunddaten!$D$19&lt;&gt;2,Grunddaten!$H$19=2),ROUND(C62*HLOOKUP($H$65,Verteil_rwgr,35,FALSE),2),0))</f>
        <v>0</v>
      </c>
      <c r="J68" s="254">
        <f>IF(AND(Grunddaten!$D$19=2,Grunddaten!$H$19=2),J31,IF(AND(Grunddaten!$D$19&lt;&gt;2,Grunddaten!$H$19=2),ROUND(D62*HLOOKUP($H$65,Verteil_rwgr,35,FALSE),2),0))</f>
        <v>0</v>
      </c>
      <c r="K68" s="254">
        <f>IF(AND(Grunddaten!$D$19=2,Grunddaten!$H$19=2),K31,IF(AND(Grunddaten!$D$19&lt;&gt;2,Grunddaten!$H$19=2),ROUND(E62*HLOOKUP($H$65,Verteil_rwgr,35,FALSE),2),0))</f>
        <v>0</v>
      </c>
      <c r="L68" s="346">
        <v>4</v>
      </c>
    </row>
    <row r="69" spans="1:12" s="82" customFormat="1" ht="31.5" customHeight="1" x14ac:dyDescent="0.3">
      <c r="A69" s="1133" t="s">
        <v>984</v>
      </c>
      <c r="B69" s="1134"/>
      <c r="C69" s="1134"/>
      <c r="D69" s="1134"/>
      <c r="E69" s="1134"/>
      <c r="F69" s="1135"/>
      <c r="G69" s="1136" t="s">
        <v>986</v>
      </c>
      <c r="H69" s="1137"/>
      <c r="I69" s="1137"/>
      <c r="J69" s="1137"/>
      <c r="K69" s="1137"/>
      <c r="L69" s="346">
        <v>5</v>
      </c>
    </row>
    <row r="70" spans="1:12" s="82" customFormat="1" ht="31.5" customHeight="1" thickBot="1" x14ac:dyDescent="0.35">
      <c r="A70" s="398" t="s">
        <v>833</v>
      </c>
      <c r="B70" s="399">
        <f>B36</f>
        <v>-117737.92999999993</v>
      </c>
      <c r="C70" s="399">
        <f>C36</f>
        <v>-122931.77000000002</v>
      </c>
      <c r="D70" s="399">
        <f>D36</f>
        <v>-144532.02000000002</v>
      </c>
      <c r="E70" s="399">
        <f>E36</f>
        <v>-101401.03000000003</v>
      </c>
      <c r="F70" s="679">
        <f>F36</f>
        <v>-136844.1100000001</v>
      </c>
      <c r="G70" s="398" t="s">
        <v>680</v>
      </c>
      <c r="H70" s="254">
        <f>IF(AND(Grunddaten!$D$19&lt;&gt;2,Grunddaten!$H$19&lt;&gt;2),B62,IF(AND(Grunddaten!$D$19=2,Grunddaten!$H$19&lt;&gt;2),B31+H31,0))</f>
        <v>-171646.04</v>
      </c>
      <c r="I70" s="254">
        <f>IF(AND(Grunddaten!$D$19&lt;&gt;2,Grunddaten!$H$19&lt;&gt;2),C62,IF(AND(Grunddaten!$D$19=2,Grunddaten!$H$19&lt;&gt;2),C31+I31,0))</f>
        <v>-171646.04</v>
      </c>
      <c r="J70" s="254">
        <f>IF(AND(Grunddaten!$D$19&lt;&gt;2,Grunddaten!$H$19&lt;&gt;2),D62,IF(AND(Grunddaten!$D$19=2,Grunddaten!$H$19&lt;&gt;2),D31+J31,0))</f>
        <v>-171646.04</v>
      </c>
      <c r="K70" s="254">
        <f>IF(AND(Grunddaten!$D$19&lt;&gt;2,Grunddaten!$H$19&lt;&gt;2),E62,IF(AND(Grunddaten!$D$19=2,Grunddaten!$H$19&lt;&gt;2),E31+K31,0))</f>
        <v>-171646.04</v>
      </c>
      <c r="L70" s="346">
        <v>6</v>
      </c>
    </row>
    <row r="71" spans="1:12" s="82" customFormat="1" ht="22.5" customHeight="1" x14ac:dyDescent="0.3">
      <c r="A71" s="1131" t="str">
        <f>"Zwischen Zeile "&amp;ROW(65:65)&amp;" und Zeile "&amp;ROW(71:71)&amp;" weder eine Zeile einfügen noch löschen!!!"</f>
        <v>Zwischen Zeile 65 und Zeile 71 weder eine Zeile einfügen noch löschen!!!</v>
      </c>
      <c r="B71" s="1132"/>
      <c r="C71" s="1132"/>
      <c r="D71" s="1132"/>
      <c r="E71" s="1132"/>
      <c r="F71" s="1132"/>
      <c r="G71" s="86"/>
      <c r="H71" s="86"/>
      <c r="I71" s="86"/>
      <c r="J71" s="86"/>
      <c r="K71" s="83"/>
      <c r="L71" s="346">
        <v>7</v>
      </c>
    </row>
    <row r="72" spans="1:12" x14ac:dyDescent="0.3">
      <c r="G72" s="83"/>
      <c r="H72" s="83"/>
      <c r="I72" s="83"/>
      <c r="J72" s="83"/>
      <c r="K72" s="83"/>
      <c r="L72" s="83"/>
    </row>
  </sheetData>
  <sheetProtection sheet="1" objects="1" scenarios="1"/>
  <mergeCells count="45">
    <mergeCell ref="A1:F1"/>
    <mergeCell ref="G1:L1"/>
    <mergeCell ref="A2:F2"/>
    <mergeCell ref="G2:L2"/>
    <mergeCell ref="A3:F3"/>
    <mergeCell ref="G3:L3"/>
    <mergeCell ref="B11:F11"/>
    <mergeCell ref="H11:L11"/>
    <mergeCell ref="B12:F12"/>
    <mergeCell ref="H12:L12"/>
    <mergeCell ref="B13:F13"/>
    <mergeCell ref="H13:L13"/>
    <mergeCell ref="A15:F15"/>
    <mergeCell ref="G15:L15"/>
    <mergeCell ref="B17:E17"/>
    <mergeCell ref="H17:K17"/>
    <mergeCell ref="B18:E18"/>
    <mergeCell ref="H18:K18"/>
    <mergeCell ref="B27:E27"/>
    <mergeCell ref="H27:K27"/>
    <mergeCell ref="B28:E28"/>
    <mergeCell ref="H28:K28"/>
    <mergeCell ref="B29:E29"/>
    <mergeCell ref="H29:K29"/>
    <mergeCell ref="B59:E59"/>
    <mergeCell ref="B30:E30"/>
    <mergeCell ref="H30:K30"/>
    <mergeCell ref="A33:F33"/>
    <mergeCell ref="A34:F34"/>
    <mergeCell ref="B42:F42"/>
    <mergeCell ref="B43:F43"/>
    <mergeCell ref="B44:F44"/>
    <mergeCell ref="A46:F46"/>
    <mergeCell ref="B48:E48"/>
    <mergeCell ref="B49:E49"/>
    <mergeCell ref="B58:E58"/>
    <mergeCell ref="A71:F71"/>
    <mergeCell ref="A69:F69"/>
    <mergeCell ref="G69:K69"/>
    <mergeCell ref="B60:E60"/>
    <mergeCell ref="B61:E61"/>
    <mergeCell ref="A64:F64"/>
    <mergeCell ref="G64:K64"/>
    <mergeCell ref="A66:F66"/>
    <mergeCell ref="G66:K66"/>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heetViews>
  <sheetFormatPr baseColWidth="10" defaultRowHeight="14.4" x14ac:dyDescent="0.3"/>
  <cols>
    <col min="1" max="1" width="6" customWidth="1"/>
    <col min="2" max="2" width="47.88671875" customWidth="1"/>
    <col min="3" max="11" width="17.33203125" customWidth="1"/>
  </cols>
  <sheetData>
    <row r="1" spans="1:11" ht="23.25" customHeight="1" x14ac:dyDescent="0.3">
      <c r="A1" s="406" t="str">
        <f>Grunddaten!A1 &amp; "   " &amp; Grunddaten!A2</f>
        <v>Gemeinde A   Abwasserbeseitigungseinrichtung</v>
      </c>
      <c r="B1" s="406"/>
      <c r="C1" s="406"/>
    </row>
    <row r="2" spans="1:11" ht="21" customHeight="1" x14ac:dyDescent="0.3">
      <c r="A2" s="415" t="s">
        <v>762</v>
      </c>
      <c r="B2" s="409"/>
      <c r="C2" s="409"/>
    </row>
    <row r="3" spans="1:11" ht="18" customHeight="1" x14ac:dyDescent="0.3">
      <c r="A3" s="1167" t="s">
        <v>747</v>
      </c>
      <c r="B3" s="1167" t="s">
        <v>336</v>
      </c>
      <c r="C3" s="410">
        <f>YEAR(EOMONTH(Grunddaten!H6,0))</f>
        <v>2012</v>
      </c>
      <c r="D3" s="410">
        <f>C3+1</f>
        <v>2013</v>
      </c>
      <c r="E3" s="410">
        <f t="shared" ref="E3:I3" si="0">D3+1</f>
        <v>2014</v>
      </c>
      <c r="F3" s="410">
        <f t="shared" si="0"/>
        <v>2015</v>
      </c>
      <c r="G3" s="410">
        <f t="shared" si="0"/>
        <v>2016</v>
      </c>
      <c r="H3" s="410">
        <f t="shared" si="0"/>
        <v>2017</v>
      </c>
      <c r="I3" s="410">
        <f t="shared" si="0"/>
        <v>2018</v>
      </c>
      <c r="J3" s="410">
        <f t="shared" ref="J3:K3" si="1">I3+1</f>
        <v>2019</v>
      </c>
      <c r="K3" s="410">
        <f t="shared" si="1"/>
        <v>2020</v>
      </c>
    </row>
    <row r="4" spans="1:11" ht="18" customHeight="1" x14ac:dyDescent="0.3">
      <c r="A4" s="1168"/>
      <c r="B4" s="1168"/>
      <c r="C4" s="410" t="s">
        <v>746</v>
      </c>
      <c r="D4" s="410" t="s">
        <v>746</v>
      </c>
      <c r="E4" s="410" t="s">
        <v>746</v>
      </c>
      <c r="F4" s="410" t="s">
        <v>746</v>
      </c>
      <c r="G4" s="410" t="s">
        <v>746</v>
      </c>
      <c r="H4" s="410" t="s">
        <v>746</v>
      </c>
      <c r="I4" s="410" t="s">
        <v>746</v>
      </c>
      <c r="J4" s="410" t="s">
        <v>746</v>
      </c>
      <c r="K4" s="410" t="s">
        <v>746</v>
      </c>
    </row>
    <row r="5" spans="1:11" ht="18" customHeight="1" x14ac:dyDescent="0.3">
      <c r="A5" s="408" t="s">
        <v>11</v>
      </c>
      <c r="B5" s="407" t="s">
        <v>750</v>
      </c>
      <c r="C5" s="411">
        <f t="shared" ref="C5:K5" si="2">HLOOKUP(C3,Anlageg,118,FALSE)</f>
        <v>18783000</v>
      </c>
      <c r="D5" s="411">
        <f t="shared" si="2"/>
        <v>18783000</v>
      </c>
      <c r="E5" s="411">
        <f t="shared" si="2"/>
        <v>18783000</v>
      </c>
      <c r="F5" s="411">
        <f t="shared" si="2"/>
        <v>18783000</v>
      </c>
      <c r="G5" s="411">
        <f t="shared" si="2"/>
        <v>18783000</v>
      </c>
      <c r="H5" s="411">
        <f t="shared" si="2"/>
        <v>18783000</v>
      </c>
      <c r="I5" s="411">
        <f t="shared" si="2"/>
        <v>18783000</v>
      </c>
      <c r="J5" s="411">
        <f t="shared" si="2"/>
        <v>18783000</v>
      </c>
      <c r="K5" s="411">
        <f t="shared" si="2"/>
        <v>18783000</v>
      </c>
    </row>
    <row r="6" spans="1:11" ht="18" customHeight="1" x14ac:dyDescent="0.3">
      <c r="A6" s="408" t="s">
        <v>13</v>
      </c>
      <c r="B6" s="407" t="s">
        <v>726</v>
      </c>
      <c r="C6" s="411">
        <f t="shared" ref="C6:K6" si="3">HLOOKUP(C3,Anlageg,119,FALSE)</f>
        <v>18783000</v>
      </c>
      <c r="D6" s="411">
        <f t="shared" si="3"/>
        <v>18783000</v>
      </c>
      <c r="E6" s="411">
        <f t="shared" si="3"/>
        <v>18783000</v>
      </c>
      <c r="F6" s="411">
        <f t="shared" si="3"/>
        <v>18783000</v>
      </c>
      <c r="G6" s="411">
        <f t="shared" si="3"/>
        <v>18783000</v>
      </c>
      <c r="H6" s="411">
        <f t="shared" si="3"/>
        <v>18783000</v>
      </c>
      <c r="I6" s="411">
        <f t="shared" si="3"/>
        <v>18783000</v>
      </c>
      <c r="J6" s="411">
        <f t="shared" si="3"/>
        <v>18783000</v>
      </c>
      <c r="K6" s="411">
        <f t="shared" si="3"/>
        <v>18783000</v>
      </c>
    </row>
    <row r="7" spans="1:11" ht="18" customHeight="1" x14ac:dyDescent="0.3">
      <c r="A7" s="412" t="s">
        <v>16</v>
      </c>
      <c r="B7" s="413" t="s">
        <v>729</v>
      </c>
      <c r="C7" s="414">
        <f>C5-C6</f>
        <v>0</v>
      </c>
      <c r="D7" s="414">
        <f t="shared" ref="D7:K7" si="4">D5-D6</f>
        <v>0</v>
      </c>
      <c r="E7" s="414">
        <f t="shared" si="4"/>
        <v>0</v>
      </c>
      <c r="F7" s="414">
        <f t="shared" si="4"/>
        <v>0</v>
      </c>
      <c r="G7" s="414">
        <f t="shared" si="4"/>
        <v>0</v>
      </c>
      <c r="H7" s="414">
        <f t="shared" si="4"/>
        <v>0</v>
      </c>
      <c r="I7" s="414">
        <f t="shared" si="4"/>
        <v>0</v>
      </c>
      <c r="J7" s="414">
        <f t="shared" si="4"/>
        <v>0</v>
      </c>
      <c r="K7" s="414">
        <f t="shared" si="4"/>
        <v>0</v>
      </c>
    </row>
    <row r="8" spans="1:11" ht="18" customHeight="1" x14ac:dyDescent="0.3">
      <c r="A8" s="408" t="s">
        <v>86</v>
      </c>
      <c r="B8" s="407" t="s">
        <v>748</v>
      </c>
      <c r="C8" s="411">
        <f t="shared" ref="C8:K8" si="5">HLOOKUP(C3,Anlageg,120,FALSE)</f>
        <v>354140</v>
      </c>
      <c r="D8" s="411">
        <f t="shared" si="5"/>
        <v>354140</v>
      </c>
      <c r="E8" s="411">
        <f t="shared" si="5"/>
        <v>354140</v>
      </c>
      <c r="F8" s="411">
        <f t="shared" si="5"/>
        <v>354140</v>
      </c>
      <c r="G8" s="411">
        <f t="shared" si="5"/>
        <v>354140</v>
      </c>
      <c r="H8" s="411">
        <f t="shared" si="5"/>
        <v>354140</v>
      </c>
      <c r="I8" s="411">
        <f t="shared" si="5"/>
        <v>354140</v>
      </c>
      <c r="J8" s="411">
        <f t="shared" si="5"/>
        <v>354140</v>
      </c>
      <c r="K8" s="411">
        <f t="shared" si="5"/>
        <v>306890</v>
      </c>
    </row>
    <row r="9" spans="1:11" ht="18" customHeight="1" x14ac:dyDescent="0.3">
      <c r="A9" s="408" t="s">
        <v>89</v>
      </c>
      <c r="B9" s="407" t="s">
        <v>749</v>
      </c>
      <c r="C9" s="411">
        <f t="shared" ref="C9:K9" si="6">HLOOKUP(C3,Anlageg,121,FALSE)</f>
        <v>354140</v>
      </c>
      <c r="D9" s="411">
        <f t="shared" si="6"/>
        <v>354140</v>
      </c>
      <c r="E9" s="411">
        <f t="shared" si="6"/>
        <v>354140</v>
      </c>
      <c r="F9" s="411">
        <f t="shared" si="6"/>
        <v>354140</v>
      </c>
      <c r="G9" s="411">
        <f t="shared" si="6"/>
        <v>354140</v>
      </c>
      <c r="H9" s="411">
        <f t="shared" si="6"/>
        <v>354140</v>
      </c>
      <c r="I9" s="411">
        <f t="shared" si="6"/>
        <v>354140</v>
      </c>
      <c r="J9" s="411">
        <f t="shared" si="6"/>
        <v>354140</v>
      </c>
      <c r="K9" s="411">
        <f t="shared" si="6"/>
        <v>306890</v>
      </c>
    </row>
    <row r="10" spans="1:11" ht="18" customHeight="1" x14ac:dyDescent="0.3">
      <c r="A10" s="412" t="s">
        <v>92</v>
      </c>
      <c r="B10" s="413" t="s">
        <v>729</v>
      </c>
      <c r="C10" s="414">
        <f>C8-C9</f>
        <v>0</v>
      </c>
      <c r="D10" s="414">
        <f t="shared" ref="D10:K10" si="7">D8-D9</f>
        <v>0</v>
      </c>
      <c r="E10" s="414">
        <f t="shared" si="7"/>
        <v>0</v>
      </c>
      <c r="F10" s="414">
        <f t="shared" si="7"/>
        <v>0</v>
      </c>
      <c r="G10" s="414">
        <f t="shared" si="7"/>
        <v>0</v>
      </c>
      <c r="H10" s="414">
        <f t="shared" si="7"/>
        <v>0</v>
      </c>
      <c r="I10" s="414">
        <f t="shared" si="7"/>
        <v>0</v>
      </c>
      <c r="J10" s="414">
        <f t="shared" si="7"/>
        <v>0</v>
      </c>
      <c r="K10" s="414">
        <f t="shared" si="7"/>
        <v>0</v>
      </c>
    </row>
    <row r="11" spans="1:11" ht="18" customHeight="1" x14ac:dyDescent="0.3">
      <c r="A11" s="408" t="s">
        <v>105</v>
      </c>
      <c r="B11" s="407" t="s">
        <v>745</v>
      </c>
      <c r="C11" s="411">
        <f t="shared" ref="C11:K11" si="8">HLOOKUP(C3,Anlageg,122,FALSE)</f>
        <v>339512.95</v>
      </c>
      <c r="D11" s="411">
        <f t="shared" si="8"/>
        <v>327118.05</v>
      </c>
      <c r="E11" s="411">
        <f t="shared" si="8"/>
        <v>314723.15000000002</v>
      </c>
      <c r="F11" s="411">
        <f t="shared" si="8"/>
        <v>302328.25</v>
      </c>
      <c r="G11" s="411">
        <f t="shared" si="8"/>
        <v>289933.34999999998</v>
      </c>
      <c r="H11" s="411">
        <f t="shared" si="8"/>
        <v>237890.1</v>
      </c>
      <c r="I11" s="411">
        <f t="shared" si="8"/>
        <v>227265.9</v>
      </c>
      <c r="J11" s="411">
        <f t="shared" si="8"/>
        <v>216641.7</v>
      </c>
      <c r="K11" s="411">
        <f t="shared" si="8"/>
        <v>206726.25</v>
      </c>
    </row>
    <row r="12" spans="1:11" ht="18" customHeight="1" x14ac:dyDescent="0.3">
      <c r="A12" s="408" t="s">
        <v>108</v>
      </c>
      <c r="B12" s="407" t="s">
        <v>731</v>
      </c>
      <c r="C12" s="411">
        <f t="shared" ref="C12:K12" si="9">HLOOKUP(C3,Anlageg,123,FALSE)</f>
        <v>339512.95</v>
      </c>
      <c r="D12" s="411">
        <f t="shared" si="9"/>
        <v>327118.05</v>
      </c>
      <c r="E12" s="411">
        <f t="shared" si="9"/>
        <v>314723.15000000002</v>
      </c>
      <c r="F12" s="411">
        <f t="shared" si="9"/>
        <v>302328.25</v>
      </c>
      <c r="G12" s="411">
        <f t="shared" si="9"/>
        <v>289933.34999999998</v>
      </c>
      <c r="H12" s="411">
        <f t="shared" si="9"/>
        <v>237890.1</v>
      </c>
      <c r="I12" s="411">
        <f t="shared" si="9"/>
        <v>227265.9</v>
      </c>
      <c r="J12" s="411">
        <f t="shared" si="9"/>
        <v>216641.7</v>
      </c>
      <c r="K12" s="411">
        <f t="shared" si="9"/>
        <v>206726.25</v>
      </c>
    </row>
    <row r="13" spans="1:11" ht="18" customHeight="1" x14ac:dyDescent="0.3">
      <c r="A13" s="412" t="s">
        <v>111</v>
      </c>
      <c r="B13" s="413" t="s">
        <v>729</v>
      </c>
      <c r="C13" s="414">
        <f>C11-C12</f>
        <v>0</v>
      </c>
      <c r="D13" s="414">
        <f t="shared" ref="D13:K13" si="10">D11-D12</f>
        <v>0</v>
      </c>
      <c r="E13" s="414">
        <f t="shared" si="10"/>
        <v>0</v>
      </c>
      <c r="F13" s="414">
        <f t="shared" si="10"/>
        <v>0</v>
      </c>
      <c r="G13" s="414">
        <f t="shared" si="10"/>
        <v>0</v>
      </c>
      <c r="H13" s="414">
        <f t="shared" si="10"/>
        <v>0</v>
      </c>
      <c r="I13" s="414">
        <f t="shared" si="10"/>
        <v>0</v>
      </c>
      <c r="J13" s="414">
        <f t="shared" si="10"/>
        <v>0</v>
      </c>
      <c r="K13" s="414">
        <f t="shared" si="10"/>
        <v>0</v>
      </c>
    </row>
    <row r="14" spans="1:11" ht="18" customHeight="1" x14ac:dyDescent="0.3">
      <c r="A14" s="408" t="s">
        <v>105</v>
      </c>
      <c r="B14" s="407" t="s">
        <v>751</v>
      </c>
      <c r="C14" s="411">
        <f t="shared" ref="C14:K14" si="11">HLOOKUP(C3,Beitr,53,FALSE)</f>
        <v>7105203</v>
      </c>
      <c r="D14" s="411">
        <f t="shared" si="11"/>
        <v>7105203</v>
      </c>
      <c r="E14" s="411">
        <f t="shared" si="11"/>
        <v>7105203</v>
      </c>
      <c r="F14" s="411">
        <f t="shared" si="11"/>
        <v>7105203</v>
      </c>
      <c r="G14" s="411">
        <f t="shared" si="11"/>
        <v>7105203</v>
      </c>
      <c r="H14" s="411">
        <f t="shared" si="11"/>
        <v>7105203</v>
      </c>
      <c r="I14" s="411">
        <f t="shared" si="11"/>
        <v>7105203</v>
      </c>
      <c r="J14" s="411">
        <f t="shared" si="11"/>
        <v>7105203</v>
      </c>
      <c r="K14" s="411">
        <f t="shared" si="11"/>
        <v>7105203</v>
      </c>
    </row>
    <row r="15" spans="1:11" ht="18" customHeight="1" x14ac:dyDescent="0.3">
      <c r="A15" s="408" t="s">
        <v>108</v>
      </c>
      <c r="B15" s="407" t="s">
        <v>734</v>
      </c>
      <c r="C15" s="411">
        <f t="shared" ref="C15:K15" si="12">HLOOKUP(C3,Beitr,54,FALSE)</f>
        <v>7105203</v>
      </c>
      <c r="D15" s="411">
        <f t="shared" si="12"/>
        <v>7105203</v>
      </c>
      <c r="E15" s="411">
        <f t="shared" si="12"/>
        <v>7105203</v>
      </c>
      <c r="F15" s="411">
        <f t="shared" si="12"/>
        <v>7105203</v>
      </c>
      <c r="G15" s="411">
        <f t="shared" si="12"/>
        <v>7105203</v>
      </c>
      <c r="H15" s="411">
        <f t="shared" si="12"/>
        <v>7105203</v>
      </c>
      <c r="I15" s="411">
        <f t="shared" si="12"/>
        <v>7105203</v>
      </c>
      <c r="J15" s="411">
        <f t="shared" si="12"/>
        <v>7105203</v>
      </c>
      <c r="K15" s="411">
        <f t="shared" si="12"/>
        <v>7105203</v>
      </c>
    </row>
    <row r="16" spans="1:11" ht="18" customHeight="1" x14ac:dyDescent="0.3">
      <c r="A16" s="412" t="s">
        <v>111</v>
      </c>
      <c r="B16" s="413" t="s">
        <v>729</v>
      </c>
      <c r="C16" s="414">
        <f>C14-C15</f>
        <v>0</v>
      </c>
      <c r="D16" s="414">
        <f t="shared" ref="D16:K16" si="13">D14-D15</f>
        <v>0</v>
      </c>
      <c r="E16" s="414">
        <f t="shared" si="13"/>
        <v>0</v>
      </c>
      <c r="F16" s="414">
        <f t="shared" si="13"/>
        <v>0</v>
      </c>
      <c r="G16" s="414">
        <f t="shared" si="13"/>
        <v>0</v>
      </c>
      <c r="H16" s="414">
        <f t="shared" si="13"/>
        <v>0</v>
      </c>
      <c r="I16" s="414">
        <f t="shared" si="13"/>
        <v>0</v>
      </c>
      <c r="J16" s="414">
        <f t="shared" si="13"/>
        <v>0</v>
      </c>
      <c r="K16" s="414">
        <f t="shared" si="13"/>
        <v>0</v>
      </c>
    </row>
    <row r="17" spans="1:11" ht="18" customHeight="1" x14ac:dyDescent="0.3">
      <c r="A17" s="408" t="s">
        <v>105</v>
      </c>
      <c r="B17" s="407" t="s">
        <v>754</v>
      </c>
      <c r="C17" s="411">
        <f t="shared" ref="C17:K17" si="14">HLOOKUP(C3,Beitr,55,FALSE)</f>
        <v>211024.53</v>
      </c>
      <c r="D17" s="411">
        <f t="shared" si="14"/>
        <v>211024.53</v>
      </c>
      <c r="E17" s="411">
        <f t="shared" si="14"/>
        <v>191304.53</v>
      </c>
      <c r="F17" s="411">
        <f t="shared" si="14"/>
        <v>178934.53</v>
      </c>
      <c r="G17" s="411">
        <f t="shared" si="14"/>
        <v>162019.53</v>
      </c>
      <c r="H17" s="411">
        <f t="shared" si="14"/>
        <v>150790.53</v>
      </c>
      <c r="I17" s="411">
        <f t="shared" si="14"/>
        <v>145090.53</v>
      </c>
      <c r="J17" s="411">
        <f t="shared" si="14"/>
        <v>145090.53</v>
      </c>
      <c r="K17" s="411">
        <f t="shared" si="14"/>
        <v>145090.53</v>
      </c>
    </row>
    <row r="18" spans="1:11" ht="18" customHeight="1" x14ac:dyDescent="0.3">
      <c r="A18" s="408" t="s">
        <v>108</v>
      </c>
      <c r="B18" s="407" t="s">
        <v>755</v>
      </c>
      <c r="C18" s="411">
        <f t="shared" ref="C18:K18" si="15">HLOOKUP(C3,Beitr,56,FALSE)</f>
        <v>211024.53</v>
      </c>
      <c r="D18" s="411">
        <f t="shared" si="15"/>
        <v>211024.53</v>
      </c>
      <c r="E18" s="411">
        <f t="shared" si="15"/>
        <v>191304.53</v>
      </c>
      <c r="F18" s="411">
        <f t="shared" si="15"/>
        <v>178934.53</v>
      </c>
      <c r="G18" s="411">
        <f t="shared" si="15"/>
        <v>162019.53</v>
      </c>
      <c r="H18" s="411">
        <f t="shared" si="15"/>
        <v>150790.53</v>
      </c>
      <c r="I18" s="411">
        <f t="shared" si="15"/>
        <v>145090.53</v>
      </c>
      <c r="J18" s="411">
        <f t="shared" si="15"/>
        <v>145090.53</v>
      </c>
      <c r="K18" s="411">
        <f t="shared" si="15"/>
        <v>145090.53</v>
      </c>
    </row>
    <row r="19" spans="1:11" ht="18" customHeight="1" x14ac:dyDescent="0.3">
      <c r="A19" s="412" t="s">
        <v>111</v>
      </c>
      <c r="B19" s="413" t="s">
        <v>729</v>
      </c>
      <c r="C19" s="414">
        <f>C17-C18</f>
        <v>0</v>
      </c>
      <c r="D19" s="414">
        <f t="shared" ref="D19:K19" si="16">D17-D18</f>
        <v>0</v>
      </c>
      <c r="E19" s="414">
        <f t="shared" si="16"/>
        <v>0</v>
      </c>
      <c r="F19" s="414">
        <f t="shared" si="16"/>
        <v>0</v>
      </c>
      <c r="G19" s="414">
        <f t="shared" si="16"/>
        <v>0</v>
      </c>
      <c r="H19" s="414">
        <f t="shared" si="16"/>
        <v>0</v>
      </c>
      <c r="I19" s="414">
        <f t="shared" si="16"/>
        <v>0</v>
      </c>
      <c r="J19" s="414">
        <f t="shared" si="16"/>
        <v>0</v>
      </c>
      <c r="K19" s="414">
        <f t="shared" si="16"/>
        <v>0</v>
      </c>
    </row>
    <row r="20" spans="1:11" ht="18" customHeight="1" x14ac:dyDescent="0.3">
      <c r="A20" s="408" t="s">
        <v>105</v>
      </c>
      <c r="B20" s="407" t="s">
        <v>756</v>
      </c>
      <c r="C20" s="411">
        <f t="shared" ref="C20:K20" si="17">HLOOKUP(C3,Beitr,57,FALSE)</f>
        <v>109734.35</v>
      </c>
      <c r="D20" s="411">
        <f t="shared" si="17"/>
        <v>102348.5</v>
      </c>
      <c r="E20" s="411">
        <f t="shared" si="17"/>
        <v>95307.74</v>
      </c>
      <c r="F20" s="411">
        <f t="shared" si="17"/>
        <v>88828.55</v>
      </c>
      <c r="G20" s="411">
        <f t="shared" si="17"/>
        <v>82861.86</v>
      </c>
      <c r="H20" s="411">
        <f t="shared" si="17"/>
        <v>66332.3</v>
      </c>
      <c r="I20" s="411">
        <f t="shared" si="17"/>
        <v>61894.080000000002</v>
      </c>
      <c r="J20" s="411">
        <f t="shared" si="17"/>
        <v>57541.37</v>
      </c>
      <c r="K20" s="411">
        <f t="shared" si="17"/>
        <v>53188.65</v>
      </c>
    </row>
    <row r="21" spans="1:11" ht="18" customHeight="1" x14ac:dyDescent="0.3">
      <c r="A21" s="408" t="s">
        <v>108</v>
      </c>
      <c r="B21" s="407" t="s">
        <v>757</v>
      </c>
      <c r="C21" s="411">
        <f t="shared" ref="C21:K21" si="18">HLOOKUP(C3,Beitr,58,FALSE)</f>
        <v>109734.35</v>
      </c>
      <c r="D21" s="411">
        <f t="shared" si="18"/>
        <v>102348.5</v>
      </c>
      <c r="E21" s="411">
        <f t="shared" si="18"/>
        <v>95307.74</v>
      </c>
      <c r="F21" s="411">
        <f t="shared" si="18"/>
        <v>88828.55</v>
      </c>
      <c r="G21" s="411">
        <f t="shared" si="18"/>
        <v>82861.86</v>
      </c>
      <c r="H21" s="411">
        <f t="shared" si="18"/>
        <v>66332.3</v>
      </c>
      <c r="I21" s="411">
        <f t="shared" si="18"/>
        <v>61894.080000000002</v>
      </c>
      <c r="J21" s="411">
        <f t="shared" si="18"/>
        <v>57541.37</v>
      </c>
      <c r="K21" s="411">
        <f t="shared" si="18"/>
        <v>53188.65</v>
      </c>
    </row>
    <row r="22" spans="1:11" ht="18" customHeight="1" x14ac:dyDescent="0.3">
      <c r="A22" s="412" t="s">
        <v>111</v>
      </c>
      <c r="B22" s="413" t="s">
        <v>729</v>
      </c>
      <c r="C22" s="414">
        <f>C20-C21</f>
        <v>0</v>
      </c>
      <c r="D22" s="414">
        <f t="shared" ref="D22:K22" si="19">D20-D21</f>
        <v>0</v>
      </c>
      <c r="E22" s="414">
        <f t="shared" si="19"/>
        <v>0</v>
      </c>
      <c r="F22" s="414">
        <f t="shared" si="19"/>
        <v>0</v>
      </c>
      <c r="G22" s="414">
        <f t="shared" si="19"/>
        <v>0</v>
      </c>
      <c r="H22" s="414">
        <f t="shared" si="19"/>
        <v>0</v>
      </c>
      <c r="I22" s="414">
        <f t="shared" si="19"/>
        <v>0</v>
      </c>
      <c r="J22" s="414">
        <f t="shared" si="19"/>
        <v>0</v>
      </c>
      <c r="K22" s="414">
        <f t="shared" si="19"/>
        <v>0</v>
      </c>
    </row>
    <row r="23" spans="1:11" ht="18" customHeight="1" x14ac:dyDescent="0.3">
      <c r="A23" s="408" t="s">
        <v>105</v>
      </c>
      <c r="B23" s="407" t="s">
        <v>752</v>
      </c>
      <c r="C23" s="411">
        <f t="shared" ref="C23:K23" si="20">HLOOKUP(C3,Zuwend,53,FALSE)</f>
        <v>2701000</v>
      </c>
      <c r="D23" s="411">
        <f t="shared" si="20"/>
        <v>2701000</v>
      </c>
      <c r="E23" s="411">
        <f t="shared" si="20"/>
        <v>2701000</v>
      </c>
      <c r="F23" s="411">
        <f t="shared" si="20"/>
        <v>2701000</v>
      </c>
      <c r="G23" s="411">
        <f t="shared" si="20"/>
        <v>2701000</v>
      </c>
      <c r="H23" s="411">
        <f t="shared" si="20"/>
        <v>2701000</v>
      </c>
      <c r="I23" s="411">
        <f t="shared" si="20"/>
        <v>2701000</v>
      </c>
      <c r="J23" s="411">
        <f t="shared" si="20"/>
        <v>2701000</v>
      </c>
      <c r="K23" s="411">
        <f t="shared" si="20"/>
        <v>2701000</v>
      </c>
    </row>
    <row r="24" spans="1:11" ht="18" customHeight="1" x14ac:dyDescent="0.3">
      <c r="A24" s="408" t="s">
        <v>108</v>
      </c>
      <c r="B24" s="407" t="s">
        <v>753</v>
      </c>
      <c r="C24" s="411">
        <f t="shared" ref="C24:K24" si="21">HLOOKUP(C3,Zuwend,54,FALSE)</f>
        <v>2701000</v>
      </c>
      <c r="D24" s="411">
        <f t="shared" si="21"/>
        <v>2701000</v>
      </c>
      <c r="E24" s="411">
        <f t="shared" si="21"/>
        <v>2701000</v>
      </c>
      <c r="F24" s="411">
        <f t="shared" si="21"/>
        <v>2701000</v>
      </c>
      <c r="G24" s="411">
        <f t="shared" si="21"/>
        <v>2701000</v>
      </c>
      <c r="H24" s="411">
        <f t="shared" si="21"/>
        <v>2701000</v>
      </c>
      <c r="I24" s="411">
        <f t="shared" si="21"/>
        <v>2701000</v>
      </c>
      <c r="J24" s="411">
        <f t="shared" si="21"/>
        <v>2701000</v>
      </c>
      <c r="K24" s="411">
        <f t="shared" si="21"/>
        <v>2701000</v>
      </c>
    </row>
    <row r="25" spans="1:11" ht="18" customHeight="1" x14ac:dyDescent="0.3">
      <c r="A25" s="412" t="s">
        <v>111</v>
      </c>
      <c r="B25" s="413" t="s">
        <v>729</v>
      </c>
      <c r="C25" s="414">
        <f>C23-C24</f>
        <v>0</v>
      </c>
      <c r="D25" s="414">
        <f t="shared" ref="D25:K25" si="22">D23-D24</f>
        <v>0</v>
      </c>
      <c r="E25" s="414">
        <f t="shared" si="22"/>
        <v>0</v>
      </c>
      <c r="F25" s="414">
        <f t="shared" si="22"/>
        <v>0</v>
      </c>
      <c r="G25" s="414">
        <f t="shared" si="22"/>
        <v>0</v>
      </c>
      <c r="H25" s="414">
        <f t="shared" si="22"/>
        <v>0</v>
      </c>
      <c r="I25" s="414">
        <f t="shared" si="22"/>
        <v>0</v>
      </c>
      <c r="J25" s="414">
        <f t="shared" si="22"/>
        <v>0</v>
      </c>
      <c r="K25" s="414">
        <f t="shared" si="22"/>
        <v>0</v>
      </c>
    </row>
    <row r="26" spans="1:11" ht="18" customHeight="1" x14ac:dyDescent="0.3">
      <c r="A26" s="408" t="s">
        <v>105</v>
      </c>
      <c r="B26" s="407" t="s">
        <v>760</v>
      </c>
      <c r="C26" s="411">
        <f t="shared" ref="C26:K26" si="23">HLOOKUP(C3,Zuwend,55,FALSE)</f>
        <v>54020</v>
      </c>
      <c r="D26" s="411">
        <f t="shared" si="23"/>
        <v>52020</v>
      </c>
      <c r="E26" s="411">
        <f t="shared" si="23"/>
        <v>50020</v>
      </c>
      <c r="F26" s="411">
        <f t="shared" si="23"/>
        <v>50020</v>
      </c>
      <c r="G26" s="411">
        <f t="shared" si="23"/>
        <v>50020</v>
      </c>
      <c r="H26" s="411">
        <f t="shared" si="23"/>
        <v>50020</v>
      </c>
      <c r="I26" s="411">
        <f t="shared" si="23"/>
        <v>50020</v>
      </c>
      <c r="J26" s="411">
        <f t="shared" si="23"/>
        <v>50020</v>
      </c>
      <c r="K26" s="411">
        <f t="shared" si="23"/>
        <v>50020</v>
      </c>
    </row>
    <row r="27" spans="1:11" ht="18" customHeight="1" x14ac:dyDescent="0.3">
      <c r="A27" s="408" t="s">
        <v>108</v>
      </c>
      <c r="B27" s="407" t="s">
        <v>761</v>
      </c>
      <c r="C27" s="411">
        <f t="shared" ref="C27:K27" si="24">HLOOKUP(C3,Zuwend,56,FALSE)</f>
        <v>54020</v>
      </c>
      <c r="D27" s="411">
        <f t="shared" si="24"/>
        <v>52020</v>
      </c>
      <c r="E27" s="411">
        <f t="shared" si="24"/>
        <v>50020</v>
      </c>
      <c r="F27" s="411">
        <f t="shared" si="24"/>
        <v>50020</v>
      </c>
      <c r="G27" s="411">
        <f t="shared" si="24"/>
        <v>50020</v>
      </c>
      <c r="H27" s="411">
        <f t="shared" si="24"/>
        <v>50020</v>
      </c>
      <c r="I27" s="411">
        <f t="shared" si="24"/>
        <v>50020</v>
      </c>
      <c r="J27" s="411">
        <f t="shared" si="24"/>
        <v>50020</v>
      </c>
      <c r="K27" s="411">
        <f t="shared" si="24"/>
        <v>50020</v>
      </c>
    </row>
    <row r="28" spans="1:11" ht="18" customHeight="1" x14ac:dyDescent="0.3">
      <c r="A28" s="412" t="s">
        <v>111</v>
      </c>
      <c r="B28" s="413" t="s">
        <v>729</v>
      </c>
      <c r="C28" s="414">
        <f>C26-C27</f>
        <v>0</v>
      </c>
      <c r="D28" s="414">
        <f t="shared" ref="D28:K28" si="25">D26-D27</f>
        <v>0</v>
      </c>
      <c r="E28" s="414">
        <f t="shared" si="25"/>
        <v>0</v>
      </c>
      <c r="F28" s="414">
        <f t="shared" si="25"/>
        <v>0</v>
      </c>
      <c r="G28" s="414">
        <f t="shared" si="25"/>
        <v>0</v>
      </c>
      <c r="H28" s="414">
        <f t="shared" si="25"/>
        <v>0</v>
      </c>
      <c r="I28" s="414">
        <f t="shared" si="25"/>
        <v>0</v>
      </c>
      <c r="J28" s="414">
        <f t="shared" si="25"/>
        <v>0</v>
      </c>
      <c r="K28" s="414">
        <f t="shared" si="25"/>
        <v>0</v>
      </c>
    </row>
    <row r="29" spans="1:11" ht="18" customHeight="1" x14ac:dyDescent="0.3">
      <c r="A29" s="408" t="s">
        <v>105</v>
      </c>
      <c r="B29" s="407" t="s">
        <v>758</v>
      </c>
      <c r="C29" s="411">
        <f t="shared" ref="C29:K29" si="26">HLOOKUP(C3,Zuwend,57,FALSE)</f>
        <v>49187.37</v>
      </c>
      <c r="D29" s="411">
        <f t="shared" si="26"/>
        <v>47331.67</v>
      </c>
      <c r="E29" s="411">
        <f t="shared" si="26"/>
        <v>45545.97</v>
      </c>
      <c r="F29" s="411">
        <f t="shared" si="26"/>
        <v>43795.27</v>
      </c>
      <c r="G29" s="411">
        <f t="shared" si="26"/>
        <v>42044.57</v>
      </c>
      <c r="H29" s="411">
        <f t="shared" si="26"/>
        <v>34537.599999999999</v>
      </c>
      <c r="I29" s="411">
        <f t="shared" si="26"/>
        <v>33037</v>
      </c>
      <c r="J29" s="411">
        <f t="shared" si="26"/>
        <v>31536.400000000001</v>
      </c>
      <c r="K29" s="411">
        <f t="shared" si="26"/>
        <v>30035.8</v>
      </c>
    </row>
    <row r="30" spans="1:11" ht="18" customHeight="1" x14ac:dyDescent="0.3">
      <c r="A30" s="408" t="s">
        <v>108</v>
      </c>
      <c r="B30" s="407" t="s">
        <v>759</v>
      </c>
      <c r="C30" s="411">
        <f t="shared" ref="C30:K30" si="27">HLOOKUP(C3,Zuwend,58,FALSE)</f>
        <v>49187.37</v>
      </c>
      <c r="D30" s="411">
        <f t="shared" si="27"/>
        <v>47331.67</v>
      </c>
      <c r="E30" s="411">
        <f t="shared" si="27"/>
        <v>45545.97</v>
      </c>
      <c r="F30" s="411">
        <f t="shared" si="27"/>
        <v>43795.27</v>
      </c>
      <c r="G30" s="411">
        <f t="shared" si="27"/>
        <v>42044.57</v>
      </c>
      <c r="H30" s="411">
        <f t="shared" si="27"/>
        <v>34537.599999999999</v>
      </c>
      <c r="I30" s="411">
        <f t="shared" si="27"/>
        <v>33037</v>
      </c>
      <c r="J30" s="411">
        <f t="shared" si="27"/>
        <v>31536.400000000001</v>
      </c>
      <c r="K30" s="411">
        <f t="shared" si="27"/>
        <v>30035.8</v>
      </c>
    </row>
    <row r="31" spans="1:11" ht="18" customHeight="1" x14ac:dyDescent="0.3">
      <c r="A31" s="412" t="s">
        <v>111</v>
      </c>
      <c r="B31" s="413" t="s">
        <v>729</v>
      </c>
      <c r="C31" s="414">
        <f>C29-C30</f>
        <v>0</v>
      </c>
      <c r="D31" s="414">
        <f t="shared" ref="D31:K31" si="28">D29-D30</f>
        <v>0</v>
      </c>
      <c r="E31" s="414">
        <f t="shared" si="28"/>
        <v>0</v>
      </c>
      <c r="F31" s="414">
        <f t="shared" si="28"/>
        <v>0</v>
      </c>
      <c r="G31" s="414">
        <f t="shared" si="28"/>
        <v>0</v>
      </c>
      <c r="H31" s="414">
        <f t="shared" si="28"/>
        <v>0</v>
      </c>
      <c r="I31" s="414">
        <f t="shared" si="28"/>
        <v>0</v>
      </c>
      <c r="J31" s="414">
        <f t="shared" si="28"/>
        <v>0</v>
      </c>
      <c r="K31" s="414">
        <f t="shared" si="28"/>
        <v>0</v>
      </c>
    </row>
  </sheetData>
  <sheetProtection sheet="1" objects="1" scenarios="1"/>
  <mergeCells count="2">
    <mergeCell ref="A3:A4"/>
    <mergeCell ref="B3:B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3"/>
  <sheetViews>
    <sheetView tabSelected="1" zoomScaleNormal="100" workbookViewId="0">
      <pane ySplit="7" topLeftCell="A51" activePane="bottomLeft" state="frozen"/>
      <selection activeCell="A3" sqref="A3"/>
      <selection pane="bottomLeft" sqref="A1:J1"/>
    </sheetView>
  </sheetViews>
  <sheetFormatPr baseColWidth="10" defaultColWidth="11.44140625" defaultRowHeight="14.4" x14ac:dyDescent="0.3"/>
  <cols>
    <col min="1" max="1" width="4.109375" style="83" customWidth="1"/>
    <col min="2" max="2" width="39" style="82" customWidth="1"/>
    <col min="3" max="9" width="13.109375" style="82" customWidth="1"/>
    <col min="10" max="10" width="13.109375" style="83" customWidth="1"/>
    <col min="11" max="16384" width="11.44140625" style="10"/>
  </cols>
  <sheetData>
    <row r="1" spans="1:10" s="82" customFormat="1" ht="18" customHeight="1" x14ac:dyDescent="0.3">
      <c r="A1" s="701" t="str">
        <f>Grunddaten!A1</f>
        <v>Gemeinde A</v>
      </c>
      <c r="B1" s="703"/>
      <c r="C1" s="703"/>
      <c r="D1" s="703"/>
      <c r="E1" s="703"/>
      <c r="F1" s="703"/>
      <c r="G1" s="703"/>
      <c r="H1" s="703"/>
      <c r="I1" s="703"/>
      <c r="J1" s="703"/>
    </row>
    <row r="2" spans="1:10" s="82" customFormat="1" ht="15" customHeight="1" x14ac:dyDescent="0.3">
      <c r="A2" s="703" t="str">
        <f>Grunddaten!A2</f>
        <v>Abwasserbeseitigungseinrichtung</v>
      </c>
      <c r="B2" s="703"/>
      <c r="C2" s="703"/>
      <c r="D2" s="703"/>
      <c r="E2" s="703"/>
      <c r="F2" s="703"/>
      <c r="G2" s="703"/>
      <c r="H2" s="703"/>
      <c r="I2" s="703"/>
      <c r="J2" s="703"/>
    </row>
    <row r="3" spans="1:10" s="82" customFormat="1" ht="33.75" customHeight="1" x14ac:dyDescent="0.3">
      <c r="A3" s="705" t="s">
        <v>788</v>
      </c>
      <c r="B3" s="706"/>
      <c r="C3" s="706"/>
      <c r="D3" s="706"/>
      <c r="E3" s="706"/>
      <c r="F3" s="706"/>
      <c r="G3" s="706"/>
      <c r="H3" s="706"/>
      <c r="I3" s="706"/>
      <c r="J3" s="706"/>
    </row>
    <row r="4" spans="1:10" s="82" customFormat="1" ht="18.75" customHeight="1" x14ac:dyDescent="0.3">
      <c r="A4" s="788" t="str">
        <f xml:space="preserve"> "für den Zeitraum vom "&amp; TEXT(Grunddaten!H8,"TT.MM.JJJJ") &amp; " bis " &amp; TEXT(Grunddaten!J8,"TT.MM.JJJJ")</f>
        <v>für den Zeitraum vom 01.01.2017 bis 31.12.2020</v>
      </c>
      <c r="B4" s="788"/>
      <c r="C4" s="788"/>
      <c r="D4" s="788"/>
      <c r="E4" s="788"/>
      <c r="F4" s="788"/>
      <c r="G4" s="788"/>
      <c r="H4" s="788"/>
      <c r="I4" s="788"/>
      <c r="J4" s="789"/>
    </row>
    <row r="5" spans="1:10" s="82" customFormat="1" x14ac:dyDescent="0.3">
      <c r="A5" s="708" t="s">
        <v>0</v>
      </c>
      <c r="B5" s="710" t="s">
        <v>336</v>
      </c>
      <c r="C5" s="713" t="s">
        <v>339</v>
      </c>
      <c r="D5" s="714"/>
      <c r="E5" s="714"/>
      <c r="F5" s="714"/>
      <c r="G5" s="714"/>
      <c r="H5" s="714"/>
      <c r="I5" s="714"/>
      <c r="J5" s="715"/>
    </row>
    <row r="6" spans="1:10" s="82" customFormat="1" ht="15" customHeight="1" x14ac:dyDescent="0.3">
      <c r="A6" s="698"/>
      <c r="B6" s="711"/>
      <c r="C6" s="717">
        <f>YEAR(Grunddaten!H8)</f>
        <v>2017</v>
      </c>
      <c r="D6" s="716"/>
      <c r="E6" s="716">
        <f>IF(C6="-","-",IF(C6&lt;YEAR(Grunddaten!$J$8),C6+1,"-"))</f>
        <v>2018</v>
      </c>
      <c r="F6" s="716"/>
      <c r="G6" s="716">
        <f>IF(E6="-","-",IF(E6&lt;YEAR(Grunddaten!$J$8),E6+1,"-"))</f>
        <v>2019</v>
      </c>
      <c r="H6" s="716"/>
      <c r="I6" s="716">
        <f>IF(G6="-","-",IF(G6&lt;YEAR(Grunddaten!$J$8),G6+1,"-"))</f>
        <v>2020</v>
      </c>
      <c r="J6" s="716"/>
    </row>
    <row r="7" spans="1:10" s="430" customFormat="1" ht="26.25" customHeight="1" x14ac:dyDescent="0.3">
      <c r="A7" s="709"/>
      <c r="B7" s="712"/>
      <c r="C7" s="429" t="s">
        <v>500</v>
      </c>
      <c r="D7" s="429" t="s">
        <v>338</v>
      </c>
      <c r="E7" s="429" t="s">
        <v>500</v>
      </c>
      <c r="F7" s="429" t="s">
        <v>338</v>
      </c>
      <c r="G7" s="429" t="s">
        <v>500</v>
      </c>
      <c r="H7" s="429" t="s">
        <v>338</v>
      </c>
      <c r="I7" s="429" t="s">
        <v>500</v>
      </c>
      <c r="J7" s="429" t="s">
        <v>338</v>
      </c>
    </row>
    <row r="8" spans="1:10" s="83" customFormat="1" ht="17.25" customHeight="1" x14ac:dyDescent="0.3">
      <c r="A8" s="110" t="s">
        <v>517</v>
      </c>
      <c r="B8" s="66" t="s">
        <v>326</v>
      </c>
      <c r="C8" s="67"/>
      <c r="D8" s="67"/>
      <c r="E8" s="68"/>
      <c r="F8" s="67"/>
      <c r="G8" s="68"/>
      <c r="H8" s="67"/>
      <c r="I8" s="68"/>
      <c r="J8" s="69"/>
    </row>
    <row r="9" spans="1:10" s="82" customFormat="1" ht="30" customHeight="1" x14ac:dyDescent="0.3">
      <c r="A9" s="110" t="s">
        <v>11</v>
      </c>
      <c r="B9" s="432" t="str">
        <f>IF(Grunddaten!H12&lt;&gt;2,"Kalkulat. Abschreibungen von den Anschaffungs-/Herstellungskosten","Kalkulat. Abschreibungen von den Wiederbeschaffungszeitwerten")</f>
        <v>Kalkulat. Abschreibungen von den Anschaffungs-/Herstellungskosten</v>
      </c>
      <c r="C9" s="70">
        <f>IF(C6="-","-",IF(HLOOKUP(C6,Grund_be,2,FALSE)=2,HLOOKUP(C6,Anlageg,45,FALSE),HLOOKUP(C6,Anlageg,28,FALSE)))</f>
        <v>211100</v>
      </c>
      <c r="D9" s="70">
        <f>IF(C6="-","-",IF(HLOOKUP(C6,Grund_be,2,FALSE)=2,HLOOKUP(C6,Anlageg,46,FALSE),HLOOKUP(C6,Anlageg,29,FALSE)))</f>
        <v>76740</v>
      </c>
      <c r="E9" s="70">
        <f>IF(E6="-","-",IF(HLOOKUP(E6,Grund_be,2,FALSE)=2,HLOOKUP(E6,Anlageg,45,FALSE),HLOOKUP(E6,Anlageg,28,FALSE)))</f>
        <v>211100</v>
      </c>
      <c r="F9" s="70">
        <f>IF(E6="-","-",IF(HLOOKUP(E6,Grund_be,2,FALSE)=2,HLOOKUP(E6,Anlageg,46,FALSE),HLOOKUP(E6,Anlageg,29,FALSE)))</f>
        <v>76740</v>
      </c>
      <c r="G9" s="70">
        <f>IF(G6="-","-",IF(HLOOKUP(G6,Grund_be,2,FALSE)=2,HLOOKUP(G6,Anlageg,45,FALSE),HLOOKUP(G6,Anlageg,28,FALSE)))</f>
        <v>211100</v>
      </c>
      <c r="H9" s="70">
        <f>IF(G6="-","-",IF(HLOOKUP(G6,Grund_be,2,FALSE)=2,HLOOKUP(G6,Anlageg,46,FALSE),HLOOKUP(G6,Anlageg,29,FALSE)))</f>
        <v>76740</v>
      </c>
      <c r="I9" s="70">
        <f>IF(I6="-","-",IF(HLOOKUP(I6,Grund_be,2,FALSE)=2,HLOOKUP(I6,Anlageg,45,FALSE),HLOOKUP(I6,Anlageg,28,FALSE)))</f>
        <v>187475</v>
      </c>
      <c r="J9" s="70">
        <f>IF(I6="-","-",IF(HLOOKUP(I6,Grund_be,2,FALSE)=2,HLOOKUP(I6,Anlageg,46,FALSE),HLOOKUP(I6,Anlageg,29,FALSE)))</f>
        <v>64927.5</v>
      </c>
    </row>
    <row r="10" spans="1:10" s="82" customFormat="1" ht="17.25" customHeight="1" x14ac:dyDescent="0.3">
      <c r="A10" s="110" t="s">
        <v>13</v>
      </c>
      <c r="B10" s="433" t="s">
        <v>327</v>
      </c>
      <c r="C10" s="70">
        <f>IF(C6="-","-",HLOOKUP(C6,Beitr,12,FALSE)*-1)</f>
        <v>-110588.27</v>
      </c>
      <c r="D10" s="70">
        <f>IF(C6="-","-",HLOOKUP(C6,Beitr,13,FALSE)*-1)</f>
        <v>-40202.26</v>
      </c>
      <c r="E10" s="70">
        <f>IF(E6="-","-",HLOOKUP(E6,Beitr,12,FALSE)*-1)</f>
        <v>-106407.94</v>
      </c>
      <c r="F10" s="70">
        <f>IF(E6="-","-",HLOOKUP(E6,Beitr,13,FALSE)*-1)</f>
        <v>-38682.589999999997</v>
      </c>
      <c r="G10" s="70">
        <f>IF(G6="-","-",HLOOKUP(G6,Beitr,12,FALSE)*-1)</f>
        <v>-106407.94</v>
      </c>
      <c r="H10" s="70">
        <f>IF(G6="-","-",HLOOKUP(G6,Beitr,13,FALSE)*-1)</f>
        <v>-38682.589999999997</v>
      </c>
      <c r="I10" s="70">
        <f>IF(I6="-","-",HLOOKUP(I6,Beitr,12,FALSE)*-1)</f>
        <v>-107767.44</v>
      </c>
      <c r="J10" s="70">
        <f>IF(I6="-","-",HLOOKUP(I6,Beitr,13,FALSE)*-1)</f>
        <v>-37323.089999999997</v>
      </c>
    </row>
    <row r="11" spans="1:10" s="82" customFormat="1" ht="28.5" customHeight="1" x14ac:dyDescent="0.3">
      <c r="A11" s="110" t="s">
        <v>16</v>
      </c>
      <c r="B11" s="434" t="s">
        <v>328</v>
      </c>
      <c r="C11" s="70">
        <f>IF(C6="-","-",IF(HLOOKUP(C6,Grund_be,4,FALSE)=2,HLOOKUP(C6,Zuwend,70,FALSE)*-1,HLOOKUP(C6,Zuwend,12,FALSE)*-1))</f>
        <v>-25420</v>
      </c>
      <c r="D11" s="70">
        <f>IF(C6="-","-",IF(HLOOKUP(C6,Grund_be,4,FALSE)=2,HLOOKUP(C6,Zuwend,71,FALSE)*-1,HLOOKUP(C6,Zuwend,13,FALSE)*-1))</f>
        <v>-24600</v>
      </c>
      <c r="E11" s="70">
        <f>IF(E6="-","-",IF(HLOOKUP(E6,Grund_be,4,FALSE)=2,HLOOKUP(E6,Zuwend,70,FALSE)*-1,HLOOKUP(E6,Zuwend,12,FALSE)*-1))</f>
        <v>-25420</v>
      </c>
      <c r="F11" s="70">
        <f>IF(E6="-","-",IF(HLOOKUP(E6,Grund_be,4,FALSE)=2,HLOOKUP(E6,Zuwend,71,FALSE)*-1,HLOOKUP(E6,Zuwend,13,FALSE)*-1))</f>
        <v>-24600</v>
      </c>
      <c r="G11" s="70">
        <f>IF(G6="-","-",IF(HLOOKUP(G6,Grund_be,4,FALSE)=2,HLOOKUP(G6,Zuwend,70,FALSE)*-1,HLOOKUP(G6,Zuwend,12,FALSE)*-1))</f>
        <v>-25420</v>
      </c>
      <c r="H11" s="70">
        <f>IF(G6="-","-",IF(HLOOKUP(G6,Grund_be,4,FALSE)=2,HLOOKUP(G6,Zuwend,71,FALSE)*-1,HLOOKUP(G6,Zuwend,13,FALSE)*-1))</f>
        <v>-24600</v>
      </c>
      <c r="I11" s="70">
        <f>IF(I6="-","-",IF(HLOOKUP(I6,Grund_be,4,FALSE)=2,HLOOKUP(I6,Zuwend,70,FALSE)*-1,HLOOKUP(I6,Zuwend,12,FALSE)*-1))</f>
        <v>-25420</v>
      </c>
      <c r="J11" s="70">
        <f>IF(I6="-","-",IF(HLOOKUP(I6,Grund_be,4,FALSE)=2,HLOOKUP(I6,Zuwend,71,FALSE)*-1,HLOOKUP(I6,Zuwend,13,FALSE)*-1))</f>
        <v>-24600</v>
      </c>
    </row>
    <row r="12" spans="1:10" s="82" customFormat="1" ht="28.5" customHeight="1" x14ac:dyDescent="0.3">
      <c r="A12" s="110" t="s">
        <v>19</v>
      </c>
      <c r="B12" s="434" t="s">
        <v>948</v>
      </c>
      <c r="C12" s="70">
        <f>IF(C6="-","-",HLOOKUP(C6,AZV_g,4,FALSE))</f>
        <v>60950</v>
      </c>
      <c r="D12" s="70">
        <f>IF(C6="-","-",HLOOKUP(C6,AZV_g,5,FALSE))</f>
        <v>0</v>
      </c>
      <c r="E12" s="70">
        <f>IF(E6="-","-",HLOOKUP(E6,AZV_g,4,FALSE))</f>
        <v>60950</v>
      </c>
      <c r="F12" s="70">
        <f>IF(E6="-","-",HLOOKUP(E6,AZV_g,5,FALSE))</f>
        <v>0</v>
      </c>
      <c r="G12" s="70">
        <f>IF(G6="-","-",HLOOKUP(G6,AZV_g,4,FALSE))</f>
        <v>60950</v>
      </c>
      <c r="H12" s="70">
        <f>IF(G6="-","-",HLOOKUP(G6,AZV_g,5,FALSE))</f>
        <v>0</v>
      </c>
      <c r="I12" s="70">
        <f>IF(I6="-","-",HLOOKUP(I6,AZV_g,4,FALSE))</f>
        <v>60950</v>
      </c>
      <c r="J12" s="70">
        <f>IF(I6="-","-",HLOOKUP(I6,AZV_g,5,FALSE))</f>
        <v>0</v>
      </c>
    </row>
    <row r="13" spans="1:10" s="82" customFormat="1" ht="30" customHeight="1" thickBot="1" x14ac:dyDescent="0.35">
      <c r="A13" s="110" t="s">
        <v>22</v>
      </c>
      <c r="B13" s="435" t="s">
        <v>329</v>
      </c>
      <c r="C13" s="436">
        <f>IF(C6="-","-",SUM(C9,C10,C11,C12))</f>
        <v>136041.72999999998</v>
      </c>
      <c r="D13" s="436">
        <f>IF(C6="-","-",SUM(D9,D10,D11,D12))</f>
        <v>11937.739999999998</v>
      </c>
      <c r="E13" s="436">
        <f t="shared" ref="E13" si="0">IF(E6="-","-",SUM(E9,E10,E11,E12))</f>
        <v>140222.06</v>
      </c>
      <c r="F13" s="436">
        <f t="shared" ref="F13" si="1">IF(E6="-","-",SUM(F9,F10,F11,F12))</f>
        <v>13457.410000000003</v>
      </c>
      <c r="G13" s="436">
        <f t="shared" ref="G13" si="2">IF(G6="-","-",SUM(G9,G10,G11,G12))</f>
        <v>140222.06</v>
      </c>
      <c r="H13" s="436">
        <f t="shared" ref="H13" si="3">IF(G6="-","-",SUM(H9,H10,H11,H12))</f>
        <v>13457.410000000003</v>
      </c>
      <c r="I13" s="436">
        <f t="shared" ref="I13" si="4">IF(I6="-","-",SUM(I9,I10,I11,I12))</f>
        <v>115237.56</v>
      </c>
      <c r="J13" s="436">
        <f t="shared" ref="J13" si="5">IF(I6="-","-",SUM(J9,J10,J11,J12))</f>
        <v>3004.4100000000035</v>
      </c>
    </row>
    <row r="14" spans="1:10" s="82" customFormat="1" ht="17.25" customHeight="1" x14ac:dyDescent="0.3">
      <c r="A14" s="110" t="s">
        <v>25</v>
      </c>
      <c r="B14" s="432" t="s">
        <v>770</v>
      </c>
      <c r="C14" s="70">
        <f>IF(C6="-","-",HLOOKUP(C6,Anlageg,74,FALSE))</f>
        <v>153571.35</v>
      </c>
      <c r="D14" s="70">
        <f>IF(C6="-","-",HLOOKUP(C6,Anlageg,75,FALSE))</f>
        <v>47165.63</v>
      </c>
      <c r="E14" s="70">
        <f>IF(E6="-","-",HLOOKUP(E6,Anlageg,74,FALSE))</f>
        <v>147238.35</v>
      </c>
      <c r="F14" s="70">
        <f>IF(E6="-","-",HLOOKUP(E6,Anlageg,75,FALSE))</f>
        <v>44863.43</v>
      </c>
      <c r="G14" s="70">
        <f>IF(G6="-","-",HLOOKUP(G6,Anlageg,74,FALSE))</f>
        <v>140905.35</v>
      </c>
      <c r="H14" s="70">
        <f>IF(G6="-","-",HLOOKUP(G6,Anlageg,75,FALSE))</f>
        <v>42561.23</v>
      </c>
      <c r="I14" s="70">
        <f>IF(I6="-","-",HLOOKUP(I6,Anlageg,74,FALSE))</f>
        <v>134926.73000000001</v>
      </c>
      <c r="J14" s="70">
        <f>IF(I6="-","-",HLOOKUP(I6,Anlageg,75,FALSE))</f>
        <v>40436.21</v>
      </c>
    </row>
    <row r="15" spans="1:10" s="82" customFormat="1" ht="17.25" customHeight="1" x14ac:dyDescent="0.3">
      <c r="A15" s="110" t="s">
        <v>27</v>
      </c>
      <c r="B15" s="433" t="s">
        <v>330</v>
      </c>
      <c r="C15" s="70">
        <f>IF(C6="-","-",HLOOKUP(C6,Beitr,25,FALSE)*-1)</f>
        <v>-50746.86</v>
      </c>
      <c r="D15" s="70">
        <f>IF(C6="-","-",HLOOKUP(C6,Beitr,26,FALSE)*-1)</f>
        <v>-15585.44</v>
      </c>
      <c r="E15" s="70">
        <f>IF(E6="-","-",HLOOKUP(E6,Beitr,25,FALSE)*-1)</f>
        <v>-47439.34</v>
      </c>
      <c r="F15" s="70">
        <f>IF(E6="-","-",HLOOKUP(E6,Beitr,26,FALSE)*-1)</f>
        <v>-14454.74</v>
      </c>
      <c r="G15" s="70">
        <f>IF(G6="-","-",HLOOKUP(G6,Beitr,25,FALSE)*-1)</f>
        <v>-44192.92</v>
      </c>
      <c r="H15" s="70">
        <f>IF(G6="-","-",HLOOKUP(G6,Beitr,26,FALSE)*-1)</f>
        <v>-13348.45</v>
      </c>
      <c r="I15" s="70">
        <f>IF(I6="-","-",HLOOKUP(I6,Beitr,25,FALSE)*-1)</f>
        <v>-40923.879999999997</v>
      </c>
      <c r="J15" s="70">
        <f>IF(I6="-","-",HLOOKUP(I6,Beitr,26,FALSE)*-1)</f>
        <v>-12264.77</v>
      </c>
    </row>
    <row r="16" spans="1:10" s="82" customFormat="1" ht="17.25" customHeight="1" x14ac:dyDescent="0.3">
      <c r="A16" s="110" t="s">
        <v>30</v>
      </c>
      <c r="B16" s="433" t="s">
        <v>331</v>
      </c>
      <c r="C16" s="71">
        <f>IF(C6="-","-",HLOOKUP(C6,Zuwend,25,FALSE)*-1)</f>
        <v>-17699.599999999999</v>
      </c>
      <c r="D16" s="71">
        <f>IF(C6="-","-",HLOOKUP(C6,Zuwend,26,FALSE)*-1)</f>
        <v>-16838</v>
      </c>
      <c r="E16" s="71">
        <f>IF(E6="-","-",HLOOKUP(E6,Zuwend,25,FALSE)*-1)</f>
        <v>-16937</v>
      </c>
      <c r="F16" s="71">
        <f>IF(E6="-","-",HLOOKUP(E6,Zuwend,26,FALSE)*-1)</f>
        <v>-16100</v>
      </c>
      <c r="G16" s="71">
        <f>IF(G6="-","-",HLOOKUP(G6,Zuwend,25,FALSE)*-1)</f>
        <v>-16174.4</v>
      </c>
      <c r="H16" s="71">
        <f>IF(G6="-","-",HLOOKUP(G6,Zuwend,26,FALSE)*-1)</f>
        <v>-15362</v>
      </c>
      <c r="I16" s="71">
        <f>IF(I6="-","-",HLOOKUP(I6,Zuwend,25,FALSE)*-1)</f>
        <v>-15411.8</v>
      </c>
      <c r="J16" s="71">
        <f>IF(I6="-","-",HLOOKUP(I6,Zuwend,26,FALSE)*-1)</f>
        <v>-14624</v>
      </c>
    </row>
    <row r="17" spans="1:11" s="82" customFormat="1" ht="28.5" customHeight="1" x14ac:dyDescent="0.3">
      <c r="A17" s="110" t="s">
        <v>33</v>
      </c>
      <c r="B17" s="433" t="s">
        <v>949</v>
      </c>
      <c r="C17" s="71">
        <f>IF(C6="-","-",HLOOKUP(C6,AZV_g,8,FALSE))</f>
        <v>86286.92</v>
      </c>
      <c r="D17" s="71">
        <f>IF(C6="-","-",HLOOKUP(C6,AZV_g,9,FALSE))</f>
        <v>0</v>
      </c>
      <c r="E17" s="71">
        <f>IF(E6="-","-",HLOOKUP(E6,AZV_g,8,FALSE))</f>
        <v>91165.35</v>
      </c>
      <c r="F17" s="71">
        <f>IF(E6="-","-",HLOOKUP(E6,AZV_g,9,FALSE))</f>
        <v>0</v>
      </c>
      <c r="G17" s="71">
        <f>IF(G6="-","-",HLOOKUP(G6,AZV_g,8,FALSE))</f>
        <v>96043.79</v>
      </c>
      <c r="H17" s="71">
        <f>IF(G6="-","-",HLOOKUP(G6,AZV_g,9,FALSE))</f>
        <v>0</v>
      </c>
      <c r="I17" s="71">
        <f>IF(I6="-","-",HLOOKUP(I6,AZV_g,8,FALSE))</f>
        <v>100922.23</v>
      </c>
      <c r="J17" s="71">
        <f>IF(I6="-","-",HLOOKUP(I6,AZV_g,9,FALSE))</f>
        <v>0</v>
      </c>
    </row>
    <row r="18" spans="1:11" s="82" customFormat="1" ht="28.5" customHeight="1" x14ac:dyDescent="0.3">
      <c r="A18" s="110" t="s">
        <v>36</v>
      </c>
      <c r="B18" s="437" t="s">
        <v>332</v>
      </c>
      <c r="C18" s="334">
        <f>IF(C6="-","-",SUM(C14,C15,C16,C17))</f>
        <v>171411.81</v>
      </c>
      <c r="D18" s="334">
        <f>IF(C6="-","-",SUM(D14,D15,D16,D17))</f>
        <v>14742.189999999995</v>
      </c>
      <c r="E18" s="334">
        <f t="shared" ref="E18" si="6">IF(E6="-","-",SUM(E14,E15,E16,E17))</f>
        <v>174027.36000000002</v>
      </c>
      <c r="F18" s="334">
        <f t="shared" ref="F18" si="7">IF(E6="-","-",SUM(F14,F15,F16,F17))</f>
        <v>14308.690000000002</v>
      </c>
      <c r="G18" s="334">
        <f t="shared" ref="G18" si="8">IF(G6="-","-",SUM(G14,G15,G16,G17))</f>
        <v>176581.82</v>
      </c>
      <c r="H18" s="334">
        <f t="shared" ref="H18" si="9">IF(G6="-","-",SUM(H14,H15,H16,H17))</f>
        <v>13850.780000000002</v>
      </c>
      <c r="I18" s="334">
        <f t="shared" ref="I18" si="10">IF(I6="-","-",SUM(I14,I15,I16,I17))</f>
        <v>179513.28</v>
      </c>
      <c r="J18" s="334">
        <f t="shared" ref="J18" si="11">IF(I6="-","-",SUM(J14,J15,J16,J17))</f>
        <v>13547.439999999999</v>
      </c>
    </row>
    <row r="19" spans="1:11" s="82" customFormat="1" ht="17.25" customHeight="1" x14ac:dyDescent="0.3">
      <c r="A19" s="110" t="s">
        <v>39</v>
      </c>
      <c r="B19" s="432" t="s">
        <v>771</v>
      </c>
      <c r="C19" s="70">
        <f>IF(C6="-","-",HLOOKUP(C6,Anlageg,103,FALSE))</f>
        <v>0</v>
      </c>
      <c r="D19" s="70">
        <f>IF(C6="-","-",HLOOKUP(C6,Anlageg,104,FALSE))</f>
        <v>0</v>
      </c>
      <c r="E19" s="70">
        <f>IF(E6="-","-",HLOOKUP(E6,Anlageg,103,FALSE))</f>
        <v>0</v>
      </c>
      <c r="F19" s="70">
        <f>IF(E6="-","-",HLOOKUP(E6,Anlageg,104,FALSE))</f>
        <v>0</v>
      </c>
      <c r="G19" s="70">
        <f>IF(G6="-","-",HLOOKUP(G6,Anlageg,103,FALSE))</f>
        <v>0</v>
      </c>
      <c r="H19" s="70">
        <f>IF(G6="-","-",HLOOKUP(G6,Anlageg,104,FALSE))</f>
        <v>0</v>
      </c>
      <c r="I19" s="70">
        <f>IF(I6="-","-",HLOOKUP(I6,Anlageg,103,FALSE))</f>
        <v>0</v>
      </c>
      <c r="J19" s="70">
        <f>IF(I6="-","-",HLOOKUP(I6,Anlageg,104,FALSE))</f>
        <v>0</v>
      </c>
    </row>
    <row r="20" spans="1:11" s="82" customFormat="1" ht="17.25" customHeight="1" x14ac:dyDescent="0.3">
      <c r="A20" s="110" t="s">
        <v>42</v>
      </c>
      <c r="B20" s="433" t="s">
        <v>330</v>
      </c>
      <c r="C20" s="70">
        <f>IF(C6="-","-",HLOOKUP(C6,Beitr,38,FALSE)*-1)</f>
        <v>0</v>
      </c>
      <c r="D20" s="70">
        <f>IF(C6="-","-",HLOOKUP(C6,Beitr,39,FALSE)*-1)</f>
        <v>0</v>
      </c>
      <c r="E20" s="70">
        <f>IF(E6="-","-",HLOOKUP(E6,Beitr,38,FALSE)*-1)</f>
        <v>0</v>
      </c>
      <c r="F20" s="70">
        <f>IF(E6="-","-",HLOOKUP(E6,Beitr,39,FALSE)*-1)</f>
        <v>0</v>
      </c>
      <c r="G20" s="70">
        <f>IF(G6="-","-",HLOOKUP(G6,Beitr,38,FALSE)*-1)</f>
        <v>0</v>
      </c>
      <c r="H20" s="70">
        <f>IF(G6="-","-",HLOOKUP(G6,Beitr,39,FALSE)*-1)</f>
        <v>0</v>
      </c>
      <c r="I20" s="70">
        <f>IF(I6="-","-",HLOOKUP(I6,Beitr,38,FALSE)*-1)</f>
        <v>0</v>
      </c>
      <c r="J20" s="70">
        <f>IF(I6="-","-",HLOOKUP(I6,Beitr,39,FALSE)*-1)</f>
        <v>0</v>
      </c>
    </row>
    <row r="21" spans="1:11" s="82" customFormat="1" ht="17.25" customHeight="1" x14ac:dyDescent="0.3">
      <c r="A21" s="110" t="s">
        <v>44</v>
      </c>
      <c r="B21" s="433" t="s">
        <v>331</v>
      </c>
      <c r="C21" s="71">
        <f>IF(C6="-","-",HLOOKUP(C6,Zuwend,38,FALSE)*-1)</f>
        <v>0</v>
      </c>
      <c r="D21" s="71">
        <f>IF(C6="-","-",HLOOKUP(C6,Zuwend,39,FALSE)*-1)</f>
        <v>0</v>
      </c>
      <c r="E21" s="71">
        <f>IF(E6="-","-",HLOOKUP(E6,Zuwend,38,FALSE)*-1)</f>
        <v>0</v>
      </c>
      <c r="F21" s="71">
        <f>IF(E6="-","-",HLOOKUP(E6,Zuwend,39,FALSE)*-1)</f>
        <v>0</v>
      </c>
      <c r="G21" s="71">
        <f>IF(G6="-","-",HLOOKUP(G6,Zuwend,38,FALSE)*-1)</f>
        <v>0</v>
      </c>
      <c r="H21" s="71">
        <f>IF(G6="-","-",HLOOKUP(G6,Zuwend,39,FALSE)*-1)</f>
        <v>0</v>
      </c>
      <c r="I21" s="71">
        <f>IF(I6="-","-",HLOOKUP(I6,Zuwend,38,FALSE)*-1)</f>
        <v>0</v>
      </c>
      <c r="J21" s="71">
        <f>IF(I6="-","-",HLOOKUP(I6,Zuwend,39,FALSE)*-1)</f>
        <v>0</v>
      </c>
    </row>
    <row r="22" spans="1:11" s="82" customFormat="1" ht="28.5" customHeight="1" x14ac:dyDescent="0.3">
      <c r="A22" s="110" t="s">
        <v>47</v>
      </c>
      <c r="B22" s="437" t="s">
        <v>333</v>
      </c>
      <c r="C22" s="334">
        <f>IF(C6="-","-",SUM(C19,C20,C21))</f>
        <v>0</v>
      </c>
      <c r="D22" s="334">
        <f>IF(C6="-","-",SUM(D19,D20,D21))</f>
        <v>0</v>
      </c>
      <c r="E22" s="334">
        <f t="shared" ref="E22" si="12">IF(E6="-","-",SUM(E19,E20,E21))</f>
        <v>0</v>
      </c>
      <c r="F22" s="334">
        <f t="shared" ref="F22" si="13">IF(E6="-","-",SUM(F19,F20,F21))</f>
        <v>0</v>
      </c>
      <c r="G22" s="334">
        <f t="shared" ref="G22" si="14">IF(G6="-","-",SUM(G19,G20,G21))</f>
        <v>0</v>
      </c>
      <c r="H22" s="334">
        <f t="shared" ref="H22" si="15">IF(G6="-","-",SUM(H19,H20,H21))</f>
        <v>0</v>
      </c>
      <c r="I22" s="334">
        <f t="shared" ref="I22" si="16">IF(I6="-","-",SUM(I19,I20,I21))</f>
        <v>0</v>
      </c>
      <c r="J22" s="334">
        <f t="shared" ref="J22" si="17">IF(I6="-","-",SUM(J19,J20,J21))</f>
        <v>0</v>
      </c>
    </row>
    <row r="23" spans="1:11" s="82" customFormat="1" ht="23.25" customHeight="1" thickBot="1" x14ac:dyDescent="0.35">
      <c r="A23" s="110" t="s">
        <v>50</v>
      </c>
      <c r="B23" s="438" t="s">
        <v>334</v>
      </c>
      <c r="C23" s="439">
        <f>IF(C6="-","-",SUM(C18,C22))</f>
        <v>171411.81</v>
      </c>
      <c r="D23" s="439">
        <f>IF(C6="-","-",SUM(D18,D22))</f>
        <v>14742.189999999995</v>
      </c>
      <c r="E23" s="439">
        <f t="shared" ref="E23" si="18">IF(E6="-","-",SUM(E18,E22))</f>
        <v>174027.36000000002</v>
      </c>
      <c r="F23" s="439">
        <f t="shared" ref="F23" si="19">IF(E6="-","-",SUM(F18,F22))</f>
        <v>14308.690000000002</v>
      </c>
      <c r="G23" s="439">
        <f t="shared" ref="G23" si="20">IF(G6="-","-",SUM(G18,G22))</f>
        <v>176581.82</v>
      </c>
      <c r="H23" s="439">
        <f t="shared" ref="H23" si="21">IF(G6="-","-",SUM(H18,H22))</f>
        <v>13850.780000000002</v>
      </c>
      <c r="I23" s="439">
        <f t="shared" ref="I23" si="22">IF(I6="-","-",SUM(I18,I22))</f>
        <v>179513.28</v>
      </c>
      <c r="J23" s="439">
        <f t="shared" ref="J23" si="23">IF(I6="-","-",SUM(J18,J22))</f>
        <v>13547.439999999999</v>
      </c>
    </row>
    <row r="24" spans="1:11" s="83" customFormat="1" ht="24" customHeight="1" x14ac:dyDescent="0.3">
      <c r="A24" s="110" t="s">
        <v>556</v>
      </c>
      <c r="B24" s="66" t="s">
        <v>335</v>
      </c>
      <c r="C24" s="74"/>
      <c r="D24" s="73"/>
      <c r="E24" s="74"/>
      <c r="F24" s="73"/>
      <c r="G24" s="74"/>
      <c r="H24" s="73"/>
      <c r="I24" s="74"/>
      <c r="J24" s="73"/>
    </row>
    <row r="25" spans="1:11" s="82" customFormat="1" ht="21" customHeight="1" x14ac:dyDescent="0.3">
      <c r="A25" s="110" t="s">
        <v>86</v>
      </c>
      <c r="B25" s="434" t="s">
        <v>335</v>
      </c>
      <c r="C25" s="70">
        <f>IF(C6&lt;&gt;"-",HLOOKUP(C6,Betriebsko,9,FALSE),"-")</f>
        <v>723100</v>
      </c>
      <c r="D25" s="70">
        <f>IF(C6&lt;&gt;"-",HLOOKUP(C6,Betriebsko,10,FALSE),"-")</f>
        <v>60375</v>
      </c>
      <c r="E25" s="70">
        <f>IF(E6&lt;&gt;"-",HLOOKUP(E6,Betriebsko,9,FALSE),"-")</f>
        <v>754100</v>
      </c>
      <c r="F25" s="70">
        <f>IF(E6&lt;&gt;"-",HLOOKUP(E6,Betriebsko,10,FALSE),"-")</f>
        <v>61375</v>
      </c>
      <c r="G25" s="70">
        <f>IF(G6&lt;&gt;"-",HLOOKUP(G6,Betriebsko,9,FALSE),"-")</f>
        <v>776723</v>
      </c>
      <c r="H25" s="70">
        <f>IF(G6&lt;&gt;"-",HLOOKUP(G6,Betriebsko,10,FALSE),"-")</f>
        <v>63216.25</v>
      </c>
      <c r="I25" s="70">
        <f>IF(I6&lt;&gt;"-",HLOOKUP(I6,Betriebsko,9,FALSE),"-")</f>
        <v>800024.69</v>
      </c>
      <c r="J25" s="70">
        <f>IF(I6&lt;&gt;"-",HLOOKUP(I6,Betriebsko,10,FALSE),"-")</f>
        <v>65112.74</v>
      </c>
    </row>
    <row r="26" spans="1:11" s="82" customFormat="1" ht="21" customHeight="1" x14ac:dyDescent="0.3">
      <c r="A26" s="110" t="s">
        <v>89</v>
      </c>
      <c r="B26" s="433" t="s">
        <v>644</v>
      </c>
      <c r="C26" s="70">
        <f>IF(C6&lt;&gt;"-",HLOOKUP(C6,Betriebsko,4,FALSE)*-1,"-")</f>
        <v>-2500</v>
      </c>
      <c r="D26" s="70">
        <f>IF(C6&lt;&gt;"-",HLOOKUP(C6,Betriebsko,5,FALSE)*-1,"-")</f>
        <v>-1250</v>
      </c>
      <c r="E26" s="70">
        <f>IF(E6&lt;&gt;"-",HLOOKUP(E6,Betriebsko,4,FALSE)*-1,"-")</f>
        <v>-2500</v>
      </c>
      <c r="F26" s="70">
        <f>IF(E6&lt;&gt;"-",HLOOKUP(E6,Betriebsko,5,FALSE)*-1,"-")</f>
        <v>-1250</v>
      </c>
      <c r="G26" s="70">
        <f>IF(G6&lt;&gt;"-",HLOOKUP(G6,Betriebsko,4,FALSE)*-1,"-")</f>
        <v>-2500</v>
      </c>
      <c r="H26" s="70">
        <f>IF(G6&lt;&gt;"-",HLOOKUP(G6,Betriebsko,5,FALSE)*-1,"-")</f>
        <v>-1250</v>
      </c>
      <c r="I26" s="70">
        <f>IF(I6&lt;&gt;"-",HLOOKUP(I6,Betriebsko,4,FALSE)*-1,"-")</f>
        <v>-2500</v>
      </c>
      <c r="J26" s="70">
        <f>IF(I6&lt;&gt;"-",HLOOKUP(I6,Betriebsko,5,FALSE)*-1,"-")</f>
        <v>-1250</v>
      </c>
    </row>
    <row r="27" spans="1:11" s="82" customFormat="1" ht="22.5" customHeight="1" thickBot="1" x14ac:dyDescent="0.35">
      <c r="A27" s="110" t="s">
        <v>92</v>
      </c>
      <c r="B27" s="438" t="s">
        <v>649</v>
      </c>
      <c r="C27" s="439">
        <f>IF(C6="-","-",SUM(C25,C26))</f>
        <v>720600</v>
      </c>
      <c r="D27" s="439">
        <f>IF(C6="-","-",SUM(D25,D26))</f>
        <v>59125</v>
      </c>
      <c r="E27" s="439">
        <f t="shared" ref="E27" si="24">IF(E6="-","-",SUM(E25,E26))</f>
        <v>751600</v>
      </c>
      <c r="F27" s="439">
        <f t="shared" ref="F27" si="25">IF(E6="-","-",SUM(F25,F26))</f>
        <v>60125</v>
      </c>
      <c r="G27" s="439">
        <f t="shared" ref="G27" si="26">IF(G6="-","-",SUM(G25,G26))</f>
        <v>774223</v>
      </c>
      <c r="H27" s="439">
        <f t="shared" ref="H27" si="27">IF(G6="-","-",SUM(H25,H26))</f>
        <v>61966.25</v>
      </c>
      <c r="I27" s="439">
        <f t="shared" ref="I27" si="28">IF(I6="-","-",SUM(I25,I26))</f>
        <v>797524.69</v>
      </c>
      <c r="J27" s="439">
        <f t="shared" ref="J27" si="29">IF(I6="-","-",SUM(J25,J26))</f>
        <v>63862.74</v>
      </c>
    </row>
    <row r="28" spans="1:11" s="84" customFormat="1" ht="6.75" customHeight="1" x14ac:dyDescent="0.3">
      <c r="A28" s="440"/>
      <c r="B28" s="440"/>
      <c r="C28" s="440"/>
      <c r="D28" s="440"/>
      <c r="E28" s="440"/>
      <c r="F28" s="440"/>
      <c r="G28" s="440"/>
      <c r="H28" s="440"/>
      <c r="I28" s="440"/>
      <c r="J28" s="441"/>
    </row>
    <row r="29" spans="1:11" s="82" customFormat="1" ht="21" customHeight="1" x14ac:dyDescent="0.3">
      <c r="A29" s="700" t="s">
        <v>560</v>
      </c>
      <c r="B29" s="802" t="str">
        <f>IF(Grunddaten!H19=2,"Gesplittete Gebühren -Berechnung je cbm Einleitungsmenge bzw. je qm befestige Fläche-","Gesplittete Gebühren - keine Berechnung, da Gebühren nach dem modifizierten Frischwassermaßstab berechnet werden - siehe Nr. 3b")</f>
        <v>Gesplittete Gebühren - keine Berechnung, da Gebühren nach dem modifizierten Frischwassermaßstab berechnet werden - siehe Nr. 3b</v>
      </c>
      <c r="C29" s="803"/>
      <c r="D29" s="803"/>
      <c r="E29" s="803"/>
      <c r="F29" s="803"/>
      <c r="G29" s="803"/>
      <c r="H29" s="803"/>
      <c r="I29" s="803"/>
      <c r="J29" s="804"/>
    </row>
    <row r="30" spans="1:11" s="82" customFormat="1" x14ac:dyDescent="0.3">
      <c r="A30" s="698"/>
      <c r="B30" s="442" t="s">
        <v>140</v>
      </c>
      <c r="C30" s="723">
        <f>C6</f>
        <v>2017</v>
      </c>
      <c r="D30" s="717"/>
      <c r="E30" s="723">
        <f t="shared" ref="E30" si="30">E6</f>
        <v>2018</v>
      </c>
      <c r="F30" s="717"/>
      <c r="G30" s="723">
        <f t="shared" ref="G30" si="31">G6</f>
        <v>2019</v>
      </c>
      <c r="H30" s="717"/>
      <c r="I30" s="723">
        <f t="shared" ref="I30" si="32">I6</f>
        <v>2020</v>
      </c>
      <c r="J30" s="717"/>
    </row>
    <row r="31" spans="1:11" s="82" customFormat="1" ht="14.1" customHeight="1" x14ac:dyDescent="0.3">
      <c r="A31" s="699"/>
      <c r="B31" s="434" t="s">
        <v>342</v>
      </c>
      <c r="C31" s="444" t="str">
        <f>IF(AND(Grunddaten!$H$19=2,C6&lt;&gt;"-"),"SW","-")</f>
        <v>-</v>
      </c>
      <c r="D31" s="445" t="str">
        <f>IF(AND(Grunddaten!$H$19=2,C6&lt;&gt;"-"),"RW","-")</f>
        <v>-</v>
      </c>
      <c r="E31" s="535" t="str">
        <f>IF(AND(Grunddaten!$H$19=2,E6&lt;&gt;"-"),"SW","-")</f>
        <v>-</v>
      </c>
      <c r="F31" s="445" t="str">
        <f>IF(AND(Grunddaten!$H$19=2,E6&lt;&gt;"-"),"RW","-")</f>
        <v>-</v>
      </c>
      <c r="G31" s="535" t="str">
        <f>IF(AND(Grunddaten!$H$19=2,G6&lt;&gt;"-"),"SW","-")</f>
        <v>-</v>
      </c>
      <c r="H31" s="445" t="str">
        <f>IF(AND(Grunddaten!$H$19=2,G6&lt;&gt;"-"),"RW","-")</f>
        <v>-</v>
      </c>
      <c r="I31" s="535" t="str">
        <f>IF(AND(Grunddaten!$H$19=2,I6&lt;&gt;"-"),"SW","-")</f>
        <v>-</v>
      </c>
      <c r="J31" s="445" t="str">
        <f>IF(AND(Grunddaten!$H$19=2,I6&lt;&gt;"-"),"RW","-")</f>
        <v>-</v>
      </c>
      <c r="K31" s="83"/>
    </row>
    <row r="32" spans="1:11" s="82" customFormat="1" ht="15" customHeight="1" x14ac:dyDescent="0.3">
      <c r="A32" s="443" t="s">
        <v>561</v>
      </c>
      <c r="B32" s="434" t="s">
        <v>647</v>
      </c>
      <c r="C32" s="321" t="str">
        <f>IF(AND(Grunddaten!$H$19=2,C6&lt;&gt;"-"),SUM(C13,C23),"-")</f>
        <v>-</v>
      </c>
      <c r="D32" s="322" t="str">
        <f>IF(AND(Grunddaten!$H$19=2,C6&lt;&gt;"-"),SUM(D13,D23),"-")</f>
        <v>-</v>
      </c>
      <c r="E32" s="321" t="str">
        <f>IF(AND(Grunddaten!$H$19=2,E6&lt;&gt;"-"),SUM(E13,E23),"-")</f>
        <v>-</v>
      </c>
      <c r="F32" s="322" t="str">
        <f>IF(AND(Grunddaten!$H$19=2,E6&lt;&gt;"-"),SUM(F13,F23),"-")</f>
        <v>-</v>
      </c>
      <c r="G32" s="321" t="str">
        <f>IF(AND(Grunddaten!$H$19=2,G6&lt;&gt;"-"),SUM(G13,G23),"-")</f>
        <v>-</v>
      </c>
      <c r="H32" s="322" t="str">
        <f>IF(AND(Grunddaten!$H$19=2,G6&lt;&gt;"-"),SUM(H13,H23),"-")</f>
        <v>-</v>
      </c>
      <c r="I32" s="321" t="str">
        <f>IF(AND(Grunddaten!$H$19=2,I6&lt;&gt;"-"),SUM(I13,I23),"-")</f>
        <v>-</v>
      </c>
      <c r="J32" s="322" t="str">
        <f>IF(AND(Grunddaten!$H$19=2,I6&lt;&gt;"-"),SUM(J13,J23),"-")</f>
        <v>-</v>
      </c>
    </row>
    <row r="33" spans="1:11" s="82" customFormat="1" ht="15" customHeight="1" x14ac:dyDescent="0.3">
      <c r="A33" s="443" t="s">
        <v>562</v>
      </c>
      <c r="B33" s="434" t="s">
        <v>648</v>
      </c>
      <c r="C33" s="323" t="str">
        <f>IF(AND(Grunddaten!$H$19=2,C6&lt;&gt;"-"),C27,"-")</f>
        <v>-</v>
      </c>
      <c r="D33" s="322" t="str">
        <f>IF(AND(Grunddaten!$H$19=2,C6&lt;&gt;"-"),D27,"-")</f>
        <v>-</v>
      </c>
      <c r="E33" s="323" t="str">
        <f>IF(AND(Grunddaten!$H$19=2,E6&lt;&gt;"-"),E27,"-")</f>
        <v>-</v>
      </c>
      <c r="F33" s="322" t="str">
        <f>IF(AND(Grunddaten!$H$19=2,E6&lt;&gt;"-"),F27,"-")</f>
        <v>-</v>
      </c>
      <c r="G33" s="323" t="str">
        <f>IF(AND(Grunddaten!$H$19=2,G6&lt;&gt;"-"),G27,"-")</f>
        <v>-</v>
      </c>
      <c r="H33" s="322" t="str">
        <f>IF(AND(Grunddaten!$H$19=2,G6&lt;&gt;"-"),H27,"-")</f>
        <v>-</v>
      </c>
      <c r="I33" s="323" t="str">
        <f>IF(AND(Grunddaten!$H$19=2,I6&lt;&gt;"-"),I27,"-")</f>
        <v>-</v>
      </c>
      <c r="J33" s="322" t="str">
        <f>IF(AND(Grunddaten!$H$19=2,I6&lt;&gt;"-"),J27,"-")</f>
        <v>-</v>
      </c>
    </row>
    <row r="34" spans="1:11" s="82" customFormat="1" ht="27" customHeight="1" x14ac:dyDescent="0.3">
      <c r="A34" s="443" t="s">
        <v>563</v>
      </c>
      <c r="B34" s="479" t="s">
        <v>791</v>
      </c>
      <c r="C34" s="335" t="str">
        <f>IF(AND(Grunddaten!$H$19=2,C6&lt;&gt;"-"),SUM(C32,C33),"-")</f>
        <v>-</v>
      </c>
      <c r="D34" s="325" t="str">
        <f>IF(AND(Grunddaten!$H$19=2,C6&lt;&gt;"-"),SUM(D32,D33),"-")</f>
        <v>-</v>
      </c>
      <c r="E34" s="335" t="str">
        <f>IF(AND(Grunddaten!$H$19=2,E6&lt;&gt;"-"),SUM(E32,E33),"-")</f>
        <v>-</v>
      </c>
      <c r="F34" s="325" t="str">
        <f>IF(AND(Grunddaten!$H$19=2,E6&lt;&gt;"-"),SUM(F32,F33),"-")</f>
        <v>-</v>
      </c>
      <c r="G34" s="335" t="str">
        <f>IF(AND(Grunddaten!$H$19=2,G6&lt;&gt;"-"),SUM(G32,G33),"-")</f>
        <v>-</v>
      </c>
      <c r="H34" s="325" t="str">
        <f>IF(AND(Grunddaten!$H$19=2,G6&lt;&gt;"-"),SUM(H32,H33),"-")</f>
        <v>-</v>
      </c>
      <c r="I34" s="335" t="str">
        <f>IF(AND(Grunddaten!$H$19=2,I6&lt;&gt;"-"),SUM(I32,I33),"-")</f>
        <v>-</v>
      </c>
      <c r="J34" s="325" t="str">
        <f>IF(AND(Grunddaten!$H$19=2,I6&lt;&gt;"-"),SUM(J32,J33),"-")</f>
        <v>-</v>
      </c>
    </row>
    <row r="35" spans="1:11" s="82" customFormat="1" ht="15" customHeight="1" x14ac:dyDescent="0.3">
      <c r="A35" s="443" t="s">
        <v>564</v>
      </c>
      <c r="B35" s="434" t="s">
        <v>356</v>
      </c>
      <c r="C35" s="323" t="str">
        <f>IF(AND(Grunddaten!$H$19=2,C6&lt;&gt;"-"),HLOOKUP(C6,Grund_geb_ein,2,FALSE)*-1,"-")</f>
        <v>-</v>
      </c>
      <c r="D35" s="322" t="str">
        <f>IF(AND(Grunddaten!$H$19=2,C6&lt;&gt;"-"),HLOOKUP(C6,Grund_geb_ein,3,FALSE)*-1,"-")</f>
        <v>-</v>
      </c>
      <c r="E35" s="323" t="str">
        <f>IF(AND(Grunddaten!$H$19=2,E6&lt;&gt;"-"),HLOOKUP(E6,Grund_geb_ein,2,FALSE)*-1,"-")</f>
        <v>-</v>
      </c>
      <c r="F35" s="322" t="str">
        <f>IF(AND(Grunddaten!$H$19=2,E6&lt;&gt;"-"),HLOOKUP(E6,Grund_geb_ein,3,FALSE)*-1,"-")</f>
        <v>-</v>
      </c>
      <c r="G35" s="323" t="str">
        <f>IF(AND(Grunddaten!$H$19=2,G6&lt;&gt;"-"),HLOOKUP(G6,Grund_geb_ein,2,FALSE)*-1,"-")</f>
        <v>-</v>
      </c>
      <c r="H35" s="322" t="str">
        <f>IF(AND(Grunddaten!$H$19=2,G6&lt;&gt;"-"),HLOOKUP(G6,Grund_geb_ein,3,FALSE)*-1,"-")</f>
        <v>-</v>
      </c>
      <c r="I35" s="323" t="str">
        <f>IF(AND(Grunddaten!$H$19=2,I6&lt;&gt;"-"),HLOOKUP(I6,Grund_geb_ein,2,FALSE)*-1,"-")</f>
        <v>-</v>
      </c>
      <c r="J35" s="322" t="str">
        <f>IF(AND(Grunddaten!$H$19=2,I6&lt;&gt;"-"),HLOOKUP(I6,Grund_geb_ein,3,FALSE)*-1,"-")</f>
        <v>-</v>
      </c>
    </row>
    <row r="36" spans="1:11" s="82" customFormat="1" ht="15" customHeight="1" x14ac:dyDescent="0.3">
      <c r="A36" s="443" t="s">
        <v>566</v>
      </c>
      <c r="B36" s="437" t="s">
        <v>357</v>
      </c>
      <c r="C36" s="333" t="str">
        <f>IF(AND(Grunddaten!$H$19=2,C6&lt;&gt;"-"),SUM(C34,C35),"-")</f>
        <v>-</v>
      </c>
      <c r="D36" s="334" t="str">
        <f>IF(AND(Grunddaten!$H$19=2,C6&lt;&gt;"-"),SUM(D34,D35),"-")</f>
        <v>-</v>
      </c>
      <c r="E36" s="333" t="str">
        <f>IF(AND(Grunddaten!$H$19=2,E6&lt;&gt;"-"),SUM(E34,E35),"-")</f>
        <v>-</v>
      </c>
      <c r="F36" s="334" t="str">
        <f>IF(AND(Grunddaten!$H$19=2,E6&lt;&gt;"-"),SUM(F34,F35),"-")</f>
        <v>-</v>
      </c>
      <c r="G36" s="333" t="str">
        <f>IF(AND(Grunddaten!$H$19=2,G6&lt;&gt;"-"),SUM(G34,G35),"-")</f>
        <v>-</v>
      </c>
      <c r="H36" s="334" t="str">
        <f>IF(AND(Grunddaten!$H$19=2,G6&lt;&gt;"-"),SUM(H34,H35),"-")</f>
        <v>-</v>
      </c>
      <c r="I36" s="333" t="str">
        <f>IF(AND(Grunddaten!$H$19=2,I6&lt;&gt;"-"),SUM(I34,I35),"-")</f>
        <v>-</v>
      </c>
      <c r="J36" s="334" t="str">
        <f>IF(AND(Grunddaten!$H$19=2,I6&lt;&gt;"-"),SUM(J34,J35),"-")</f>
        <v>-</v>
      </c>
    </row>
    <row r="37" spans="1:11" s="82" customFormat="1" ht="27" customHeight="1" x14ac:dyDescent="0.3">
      <c r="A37" s="443" t="s">
        <v>565</v>
      </c>
      <c r="B37" s="446" t="s">
        <v>779</v>
      </c>
      <c r="C37" s="336" t="str">
        <f>IF(AND(Grunddaten!$H$19=2,C6&lt;&gt;"-"),HLOOKUP(C6,Grund_ue_u,2,FALSE),"-")</f>
        <v>-</v>
      </c>
      <c r="D37" s="329" t="str">
        <f>IF(AND(Grunddaten!$H$19=2,C6&lt;&gt;"-"),HLOOKUP(C6,Grund_ue_u,3,FALSE),"-")</f>
        <v>-</v>
      </c>
      <c r="E37" s="336" t="str">
        <f>IF(AND(Grunddaten!$H$19=2,E6&lt;&gt;"-"),HLOOKUP(E6,Grund_ue_u,2,FALSE),"-")</f>
        <v>-</v>
      </c>
      <c r="F37" s="329" t="str">
        <f>IF(AND(Grunddaten!$H$19=2,E6&lt;&gt;"-"),HLOOKUP(E6,Grund_ue_u,3,FALSE),"-")</f>
        <v>-</v>
      </c>
      <c r="G37" s="336" t="str">
        <f>IF(AND(Grunddaten!$H$19=2,G6&lt;&gt;"-"),HLOOKUP(G6,Grund_ue_u,2,FALSE),"-")</f>
        <v>-</v>
      </c>
      <c r="H37" s="329" t="str">
        <f>IF(AND(Grunddaten!$H$19=2,G6&lt;&gt;"-"),HLOOKUP(G6,Grund_ue_u,3,FALSE),"-")</f>
        <v>-</v>
      </c>
      <c r="I37" s="336" t="str">
        <f>IF(AND(Grunddaten!$H$19=2,I6&lt;&gt;"-"),HLOOKUP(I6,Grund_ue_u,2,FALSE),"-")</f>
        <v>-</v>
      </c>
      <c r="J37" s="329" t="str">
        <f>IF(AND(Grunddaten!$H$19=2,I6&lt;&gt;"-"),HLOOKUP(I6,Grund_ue_u,3,FALSE),"-")</f>
        <v>-</v>
      </c>
    </row>
    <row r="38" spans="1:11" s="82" customFormat="1" ht="15" customHeight="1" x14ac:dyDescent="0.3">
      <c r="A38" s="443" t="s">
        <v>614</v>
      </c>
      <c r="B38" s="447" t="s">
        <v>358</v>
      </c>
      <c r="C38" s="504" t="str">
        <f>IF(AND(Grunddaten!$H$19=2,C6&lt;&gt;"-"),ROUND(SUM(C36,-C37),2),"-")</f>
        <v>-</v>
      </c>
      <c r="D38" s="505" t="str">
        <f>IF(AND(Grunddaten!$H$19=2,C6&lt;&gt;"-"),ROUND(SUM(D36,-D37),2),"-")</f>
        <v>-</v>
      </c>
      <c r="E38" s="504" t="str">
        <f>IF(AND(Grunddaten!$H$19=2,E6&lt;&gt;"-"),ROUND(SUM(E36,-E37),2),"-")</f>
        <v>-</v>
      </c>
      <c r="F38" s="505" t="str">
        <f>IF(AND(Grunddaten!$H$19=2,E6&lt;&gt;"-"),ROUND(SUM(F36,-F37),2),"-")</f>
        <v>-</v>
      </c>
      <c r="G38" s="504" t="str">
        <f>IF(AND(Grunddaten!$H$19=2,G6&lt;&gt;"-"),ROUND(SUM(G36,-G37),2),"-")</f>
        <v>-</v>
      </c>
      <c r="H38" s="505" t="str">
        <f>IF(AND(Grunddaten!$H$19=2,G6&lt;&gt;"-"),ROUND(SUM(H36,-H37),2),"-")</f>
        <v>-</v>
      </c>
      <c r="I38" s="504" t="str">
        <f>IF(AND(Grunddaten!$H$19=2,I6&lt;&gt;"-"),ROUND(SUM(I36,-I37),2),"-")</f>
        <v>-</v>
      </c>
      <c r="J38" s="505" t="str">
        <f>IF(AND(Grunddaten!$H$19=2,I6&lt;&gt;"-"),ROUND(SUM(J36,-J37),2),"-")</f>
        <v>-</v>
      </c>
    </row>
    <row r="39" spans="1:11" s="82" customFormat="1" ht="28.5" customHeight="1" thickBot="1" x14ac:dyDescent="0.35">
      <c r="A39" s="448" t="s">
        <v>615</v>
      </c>
      <c r="B39" s="449" t="s">
        <v>780</v>
      </c>
      <c r="C39" s="790" t="str">
        <f>IF(AND(SUM(C38,E38,G38,I38)&gt;0,SUM(C41,E41,G41,I41)&gt;0),SUM(C38,E38,G38,I38),"-")</f>
        <v>-</v>
      </c>
      <c r="D39" s="791"/>
      <c r="E39" s="791"/>
      <c r="F39" s="792"/>
      <c r="G39" s="790" t="str">
        <f>IF(AND(SUM(D38,F38,H38,J38)&gt;0,SUM(D41,F41,H41,J41)&gt;0),SUM(D38,F38,H38,J38),"-")</f>
        <v>-</v>
      </c>
      <c r="H39" s="791"/>
      <c r="I39" s="791"/>
      <c r="J39" s="792"/>
    </row>
    <row r="40" spans="1:11" s="426" customFormat="1" ht="15" customHeight="1" x14ac:dyDescent="0.3">
      <c r="A40" s="443" t="s">
        <v>616</v>
      </c>
      <c r="B40" s="434" t="s">
        <v>775</v>
      </c>
      <c r="C40" s="424" t="str">
        <f>IF(AND(Grunddaten!$H$19=2,C6&lt;&gt;"-"),"cbm","-")</f>
        <v>-</v>
      </c>
      <c r="D40" s="337" t="str">
        <f>IF(AND(Grunddaten!$H$19=2,C6&lt;&gt;"-"),"qm","-")</f>
        <v>-</v>
      </c>
      <c r="E40" s="627" t="str">
        <f>IF(AND(Grunddaten!$H$19=2,E6&lt;&gt;"-"),"cbm","-")</f>
        <v>-</v>
      </c>
      <c r="F40" s="337" t="str">
        <f>IF(AND(Grunddaten!$H$19=2,E6&lt;&gt;"-"),"qm","-")</f>
        <v>-</v>
      </c>
      <c r="G40" s="627" t="str">
        <f>IF(AND(Grunddaten!$H$19=2,G6&lt;&gt;"-"),"cbm","-")</f>
        <v>-</v>
      </c>
      <c r="H40" s="337" t="str">
        <f>IF(AND(Grunddaten!$H$19=2,G6&lt;&gt;"-"),"qm","-")</f>
        <v>-</v>
      </c>
      <c r="I40" s="627" t="str">
        <f>IF(AND(Grunddaten!$H$19=2,I6&lt;&gt;"-"),"cbm","-")</f>
        <v>-</v>
      </c>
      <c r="J40" s="337" t="str">
        <f>IF(AND(Grunddaten!$H$19=2,I6&lt;&gt;"-"),"qm","-")</f>
        <v>-</v>
      </c>
    </row>
    <row r="41" spans="1:11" s="83" customFormat="1" ht="15" customHeight="1" thickBot="1" x14ac:dyDescent="0.35">
      <c r="A41" s="443" t="s">
        <v>617</v>
      </c>
      <c r="B41" s="450" t="s">
        <v>717</v>
      </c>
      <c r="C41" s="338" t="str">
        <f>IF(AND(Grunddaten!$H$19=2,C6&lt;&gt;"-"),HLOOKUP(C6,Grund_me_fl,2,FALSE),"-")</f>
        <v>-</v>
      </c>
      <c r="D41" s="339" t="str">
        <f>IF(AND(Grunddaten!$H$19=2,C6&lt;&gt;"-"),HLOOKUP(C6,Grund_me_fl,3,FALSE),"-")</f>
        <v>-</v>
      </c>
      <c r="E41" s="338" t="str">
        <f>IF(AND(Grunddaten!$H$19=2,E6&lt;&gt;"-"),HLOOKUP(E6,Grund_me_fl,2,FALSE),"-")</f>
        <v>-</v>
      </c>
      <c r="F41" s="339" t="str">
        <f>IF(AND(Grunddaten!$H$19=2,E6&lt;&gt;"-"),HLOOKUP(E6,Grund_me_fl,3,FALSE),"-")</f>
        <v>-</v>
      </c>
      <c r="G41" s="338" t="str">
        <f>IF(AND(Grunddaten!$H$19=2,G6&lt;&gt;"-"),HLOOKUP(G6,Grund_me_fl,2,FALSE),"-")</f>
        <v>-</v>
      </c>
      <c r="H41" s="339" t="str">
        <f>IF(AND(Grunddaten!$H$19=2,G6&lt;&gt;"-"),HLOOKUP(G6,Grund_me_fl,3,FALSE),"-")</f>
        <v>-</v>
      </c>
      <c r="I41" s="338" t="str">
        <f>IF(AND(Grunddaten!$H$19=2,I6&lt;&gt;"-"),HLOOKUP(I6,Grund_me_fl,2,FALSE),"-")</f>
        <v>-</v>
      </c>
      <c r="J41" s="339" t="str">
        <f>IF(AND(Grunddaten!$H$19=2,I6&lt;&gt;"-"),HLOOKUP(I6,Grund_me_fl,3,FALSE),"-")</f>
        <v>-</v>
      </c>
    </row>
    <row r="42" spans="1:11" s="82" customFormat="1" ht="27" customHeight="1" x14ac:dyDescent="0.3">
      <c r="A42" s="443" t="s">
        <v>618</v>
      </c>
      <c r="B42" s="87" t="s">
        <v>359</v>
      </c>
      <c r="C42" s="793" t="str">
        <f>IF(Grunddaten!$H$19&lt;&gt;2,"-",IF(AND(Grunddaten!$H$19=2,C6&lt;&gt;"-",SUM(C41,E41,G41,I41)&gt;0),"Schmutzwassergebühr 
für den Berechnungszeitraum von "&amp;MIN(C6:I6)&amp;" bis "&amp;MAX(C6:I6), "Keine Berechnung, da keine Angabe der Einleitungsmengen"))</f>
        <v>-</v>
      </c>
      <c r="D42" s="794"/>
      <c r="E42" s="794"/>
      <c r="F42" s="795"/>
      <c r="G42" s="794" t="str">
        <f>IF(Grunddaten!$H$19&lt;&gt;2,"-",IF(AND(Grunddaten!$H$19=2,C6&lt;&gt;"-",SUM(D41,F41,H41,J41)&gt;0),"Regenwassergebühr 
für den Berechnungszeitraum von "&amp;MIN(C6:I6)&amp;" bis "&amp;MAX(C6:I6),"Keine Berechnung, da keine Angabe der befestigten Flächen"))</f>
        <v>-</v>
      </c>
      <c r="H42" s="794"/>
      <c r="I42" s="794"/>
      <c r="J42" s="795"/>
    </row>
    <row r="43" spans="1:11" s="82" customFormat="1" ht="25.5" customHeight="1" thickBot="1" x14ac:dyDescent="0.35">
      <c r="A43" s="448" t="s">
        <v>619</v>
      </c>
      <c r="B43" s="480" t="str">
        <f>IF(Grunddaten!H19=2,"Gebühr für SW bzw. für RW","Keine Berechnung")</f>
        <v>Keine Berechnung</v>
      </c>
      <c r="C43" s="796" t="str">
        <f>IF(SUM(C41,E41,G41,I41)&gt;0,ROUND(C39/SUM(C41,E41,G41,I41),2),"-")</f>
        <v>-</v>
      </c>
      <c r="D43" s="797"/>
      <c r="E43" s="797"/>
      <c r="F43" s="798"/>
      <c r="G43" s="799" t="str">
        <f>IF(SUM(D41,F41,H41,J41)&gt;0,ROUND(G39/SUM(D41,F41,H41,J41),2),"-")</f>
        <v>-</v>
      </c>
      <c r="H43" s="800"/>
      <c r="I43" s="800"/>
      <c r="J43" s="801"/>
    </row>
    <row r="44" spans="1:11" s="84" customFormat="1" ht="6.75" customHeight="1" x14ac:dyDescent="0.3">
      <c r="A44" s="440"/>
      <c r="B44" s="440"/>
      <c r="C44" s="440"/>
      <c r="D44" s="440"/>
      <c r="E44" s="440"/>
      <c r="F44" s="440"/>
      <c r="G44" s="440"/>
      <c r="H44" s="440"/>
      <c r="I44" s="440"/>
      <c r="J44" s="441"/>
    </row>
    <row r="45" spans="1:11" s="82" customFormat="1" ht="21" customHeight="1" x14ac:dyDescent="0.3">
      <c r="A45" s="700" t="s">
        <v>570</v>
      </c>
      <c r="B45" s="805" t="str">
        <f>IF(Grunddaten!H19&lt;&gt;2,"Gebühren nach dem modifizierten Frischwassermaßstab -Berechnung je cbm Einleitungsmenge-","Gebühren nach dem modifizierten Frischwassermaßstab -  keine Berechnung, da gesplittete Gebühren berechnet werden - siehe Nr. 3a")</f>
        <v>Gebühren nach dem modifizierten Frischwassermaßstab -Berechnung je cbm Einleitungsmenge-</v>
      </c>
      <c r="C45" s="806"/>
      <c r="D45" s="806"/>
      <c r="E45" s="806"/>
      <c r="F45" s="806"/>
      <c r="G45" s="806"/>
      <c r="H45" s="806"/>
      <c r="I45" s="806"/>
      <c r="J45" s="807"/>
    </row>
    <row r="46" spans="1:11" s="82" customFormat="1" x14ac:dyDescent="0.3">
      <c r="A46" s="698"/>
      <c r="B46" s="442" t="s">
        <v>140</v>
      </c>
      <c r="C46" s="723">
        <f>C6</f>
        <v>2017</v>
      </c>
      <c r="D46" s="717"/>
      <c r="E46" s="723">
        <f t="shared" ref="E46" si="33">E6</f>
        <v>2018</v>
      </c>
      <c r="F46" s="717"/>
      <c r="G46" s="723">
        <f t="shared" ref="G46" si="34">G6</f>
        <v>2019</v>
      </c>
      <c r="H46" s="717"/>
      <c r="I46" s="723">
        <f t="shared" ref="I46" si="35">I6</f>
        <v>2020</v>
      </c>
      <c r="J46" s="717"/>
    </row>
    <row r="47" spans="1:11" s="82" customFormat="1" ht="14.1" customHeight="1" x14ac:dyDescent="0.3">
      <c r="A47" s="699"/>
      <c r="B47" s="434" t="s">
        <v>342</v>
      </c>
      <c r="C47" s="729" t="str">
        <f>IF(OR(Grunddaten!$H$19=2,C6="-"),"-","SW + RW")</f>
        <v>SW + RW</v>
      </c>
      <c r="D47" s="730"/>
      <c r="E47" s="729" t="str">
        <f>IF(OR(Grunddaten!$H$19=2,E6="-"),"-","SW + RW")</f>
        <v>SW + RW</v>
      </c>
      <c r="F47" s="730"/>
      <c r="G47" s="729" t="str">
        <f>IF(OR(Grunddaten!$H$19=2,G6="-"),"-","SW + RW")</f>
        <v>SW + RW</v>
      </c>
      <c r="H47" s="730"/>
      <c r="I47" s="729" t="str">
        <f>IF(OR(Grunddaten!$H$19=2,I6="-"),"-","SW + RW")</f>
        <v>SW + RW</v>
      </c>
      <c r="J47" s="730"/>
      <c r="K47" s="83"/>
    </row>
    <row r="48" spans="1:11" s="82" customFormat="1" ht="15" customHeight="1" x14ac:dyDescent="0.3">
      <c r="A48" s="110" t="s">
        <v>571</v>
      </c>
      <c r="B48" s="434" t="s">
        <v>776</v>
      </c>
      <c r="C48" s="727">
        <f>IF(OR(Grunddaten!$H$19=2,C6="-"),"-",SUM(C13,D13,C23,D23))</f>
        <v>334133.46999999997</v>
      </c>
      <c r="D48" s="728"/>
      <c r="E48" s="727">
        <f>IF(OR(Grunddaten!$H$19=2,E6="-"),"-",SUM(E13,F13,E23,F23))</f>
        <v>342015.52</v>
      </c>
      <c r="F48" s="728"/>
      <c r="G48" s="727">
        <f>IF(OR(Grunddaten!$H$19=2,G6="-"),"-",SUM(G13,H13,G23,H23))</f>
        <v>344112.07000000007</v>
      </c>
      <c r="H48" s="728"/>
      <c r="I48" s="727">
        <f>IF(OR(Grunddaten!$H$19=2,I6="-"),"-",SUM(I13,J13,I23,J23))</f>
        <v>311302.69</v>
      </c>
      <c r="J48" s="728"/>
    </row>
    <row r="49" spans="1:10" s="82" customFormat="1" ht="15" customHeight="1" x14ac:dyDescent="0.3">
      <c r="A49" s="443" t="s">
        <v>572</v>
      </c>
      <c r="B49" s="434" t="s">
        <v>777</v>
      </c>
      <c r="C49" s="727">
        <f>IF(OR(Grunddaten!$H$19=2,C6="-"),"-",SUM(C27,D27))</f>
        <v>779725</v>
      </c>
      <c r="D49" s="728"/>
      <c r="E49" s="727">
        <f>IF(OR(Grunddaten!$H$19=2,E6="-"),"-",SUM(E27,F27))</f>
        <v>811725</v>
      </c>
      <c r="F49" s="728"/>
      <c r="G49" s="727">
        <f>IF(OR(Grunddaten!$H$19=2,G6="-"),"-",SUM(G27,H27))</f>
        <v>836189.25</v>
      </c>
      <c r="H49" s="728"/>
      <c r="I49" s="727">
        <f>IF(OR(Grunddaten!$H$19=2,I6="-"),"-",SUM(I27,J27))</f>
        <v>861387.42999999993</v>
      </c>
      <c r="J49" s="728"/>
    </row>
    <row r="50" spans="1:10" s="82" customFormat="1" ht="16.5" customHeight="1" x14ac:dyDescent="0.3">
      <c r="A50" s="443" t="s">
        <v>573</v>
      </c>
      <c r="B50" s="479" t="s">
        <v>792</v>
      </c>
      <c r="C50" s="734">
        <f>IF(OR(Grunddaten!$H$19=2,C6="-"),"-",SUM(C48:C49))</f>
        <v>1113858.47</v>
      </c>
      <c r="D50" s="735"/>
      <c r="E50" s="734">
        <f>IF(OR(Grunddaten!$H$19=2,E6="-"),"-",SUM(E48:E49))</f>
        <v>1153740.52</v>
      </c>
      <c r="F50" s="735"/>
      <c r="G50" s="734">
        <f>IF(OR(Grunddaten!$H$19=2,G6="-"),"-",SUM(G48:G49))</f>
        <v>1180301.32</v>
      </c>
      <c r="H50" s="735"/>
      <c r="I50" s="734">
        <f>IF(OR(Grunddaten!$H$19=2,I6="-"),"-",SUM(I48:I49))</f>
        <v>1172690.1199999999</v>
      </c>
      <c r="J50" s="735"/>
    </row>
    <row r="51" spans="1:10" s="82" customFormat="1" ht="15" customHeight="1" x14ac:dyDescent="0.3">
      <c r="A51" s="443" t="s">
        <v>574</v>
      </c>
      <c r="B51" s="434" t="s">
        <v>356</v>
      </c>
      <c r="C51" s="727">
        <f>IF(OR(Grunddaten!$H$19=2,C6="-"),"-",HLOOKUP(C6,Grund_geb_ein,4,FALSE)*-1)</f>
        <v>-74000</v>
      </c>
      <c r="D51" s="728"/>
      <c r="E51" s="727">
        <f>IF(OR(Grunddaten!$H$19=2,E6="-"),"-",HLOOKUP(E6,Grund_geb_ein,4,FALSE)*-1)</f>
        <v>-74850</v>
      </c>
      <c r="F51" s="728"/>
      <c r="G51" s="727">
        <f>IF(OR(Grunddaten!$H$19=2,G6="-"),"-",HLOOKUP(G6,Grund_geb_ein,4,FALSE)*-1)</f>
        <v>-75750</v>
      </c>
      <c r="H51" s="728"/>
      <c r="I51" s="727">
        <f>IF(OR(Grunddaten!$H$19=2,I6="-"),"-",HLOOKUP(I6,Grund_geb_ein,4,FALSE)*-1)</f>
        <v>-78350</v>
      </c>
      <c r="J51" s="728"/>
    </row>
    <row r="52" spans="1:10" s="82" customFormat="1" ht="15" customHeight="1" x14ac:dyDescent="0.3">
      <c r="A52" s="443" t="s">
        <v>621</v>
      </c>
      <c r="B52" s="437" t="s">
        <v>360</v>
      </c>
      <c r="C52" s="747">
        <f>IF(OR(Grunddaten!$H$19=2,C6="-"),"-",SUM(C50,C51))</f>
        <v>1039858.47</v>
      </c>
      <c r="D52" s="737"/>
      <c r="E52" s="747">
        <f>IF(OR(Grunddaten!$H$19=2,E6="-"),"-",SUM(E50,E51))</f>
        <v>1078890.52</v>
      </c>
      <c r="F52" s="737"/>
      <c r="G52" s="747">
        <f>IF(OR(Grunddaten!$H$19=2,G6="-"),"-",SUM(G50,G51))</f>
        <v>1104551.32</v>
      </c>
      <c r="H52" s="737"/>
      <c r="I52" s="747">
        <f>IF(OR(Grunddaten!$H$19=2,I6="-"),"-",SUM(I50,I51))</f>
        <v>1094340.1199999999</v>
      </c>
      <c r="J52" s="737"/>
    </row>
    <row r="53" spans="1:10" s="82" customFormat="1" ht="27" customHeight="1" x14ac:dyDescent="0.3">
      <c r="A53" s="443" t="s">
        <v>575</v>
      </c>
      <c r="B53" s="446" t="s">
        <v>778</v>
      </c>
      <c r="C53" s="808">
        <f>IF(OR(Grunddaten!$H$19=2,C6="-"),"-",HLOOKUP(C6,Grund_ue_u,4,FALSE))</f>
        <v>-171646.04</v>
      </c>
      <c r="D53" s="809"/>
      <c r="E53" s="808">
        <f>IF(OR(Grunddaten!$H$19=2,E6="-"),"-",HLOOKUP(E6,Grund_ue_u,4,FALSE))</f>
        <v>-171646.04</v>
      </c>
      <c r="F53" s="809"/>
      <c r="G53" s="808">
        <f>IF(OR(Grunddaten!$H$19=2,G6="-"),"-",HLOOKUP(G6,Grund_ue_u,4,FALSE))</f>
        <v>-171646.04</v>
      </c>
      <c r="H53" s="809"/>
      <c r="I53" s="808">
        <f>IF(OR(Grunddaten!$H$19=2,I6="-"),"-",HLOOKUP(I6,Grund_ue_u,4,FALSE))</f>
        <v>-171646.04</v>
      </c>
      <c r="J53" s="809"/>
    </row>
    <row r="54" spans="1:10" s="82" customFormat="1" ht="15" customHeight="1" x14ac:dyDescent="0.3">
      <c r="A54" s="443" t="s">
        <v>620</v>
      </c>
      <c r="B54" s="451" t="s">
        <v>361</v>
      </c>
      <c r="C54" s="813">
        <f>IF(OR(Grunddaten!$H$19=2,C6="-"),"-",ROUND(SUM(C52,-C53),2))</f>
        <v>1211504.51</v>
      </c>
      <c r="D54" s="809"/>
      <c r="E54" s="813">
        <f>IF(OR(Grunddaten!$H$19=2,E6="-"),"-",ROUND(SUM(E52,-E53),2))</f>
        <v>1250536.56</v>
      </c>
      <c r="F54" s="809"/>
      <c r="G54" s="813">
        <f>IF(OR(Grunddaten!$H$19=2,G6="-"),"-",ROUND(SUM(G52,-G53),2))</f>
        <v>1276197.3600000001</v>
      </c>
      <c r="H54" s="809"/>
      <c r="I54" s="813">
        <f>IF(OR(Grunddaten!$H$19=2,I6="-"),"-",ROUND(SUM(I52,-I53),2))</f>
        <v>1265986.1599999999</v>
      </c>
      <c r="J54" s="809"/>
    </row>
    <row r="55" spans="1:10" s="82" customFormat="1" ht="28.5" customHeight="1" thickBot="1" x14ac:dyDescent="0.35">
      <c r="A55" s="443" t="s">
        <v>622</v>
      </c>
      <c r="B55" s="449" t="s">
        <v>790</v>
      </c>
      <c r="C55" s="790">
        <f>IF(OR(Grunddaten!$H$19=2,C6="-"),"-",SUM(C54,E54,G54,I54))</f>
        <v>5004224.5900000008</v>
      </c>
      <c r="D55" s="791"/>
      <c r="E55" s="791"/>
      <c r="F55" s="791"/>
      <c r="G55" s="791"/>
      <c r="H55" s="791"/>
      <c r="I55" s="791"/>
      <c r="J55" s="792"/>
    </row>
    <row r="56" spans="1:10" s="426" customFormat="1" ht="15" customHeight="1" x14ac:dyDescent="0.3">
      <c r="A56" s="443" t="s">
        <v>623</v>
      </c>
      <c r="B56" s="434" t="s">
        <v>772</v>
      </c>
      <c r="C56" s="814" t="str">
        <f>IF(OR(Grunddaten!$H$19=2,C6="-"),"-","cbm")</f>
        <v>cbm</v>
      </c>
      <c r="D56" s="698"/>
      <c r="E56" s="814" t="str">
        <f>IF(OR(Grunddaten!$H$19=2,E6="-"),"-","cbm")</f>
        <v>cbm</v>
      </c>
      <c r="F56" s="698"/>
      <c r="G56" s="814" t="str">
        <f>IF(OR(Grunddaten!$H$19=2,G6="-"),"-","cbm")</f>
        <v>cbm</v>
      </c>
      <c r="H56" s="698"/>
      <c r="I56" s="814" t="str">
        <f>IF(OR(Grunddaten!$H$19=2,I6="-"),"-","cbm")</f>
        <v>cbm</v>
      </c>
      <c r="J56" s="698"/>
    </row>
    <row r="57" spans="1:10" s="83" customFormat="1" ht="15" customHeight="1" x14ac:dyDescent="0.3">
      <c r="A57" s="443" t="s">
        <v>624</v>
      </c>
      <c r="B57" s="434" t="s">
        <v>362</v>
      </c>
      <c r="C57" s="810">
        <f>IF(OR(Grunddaten!$H$19=2,C6="-"),"-",HLOOKUP(C6,Grund_me_fl,4,FALSE))</f>
        <v>590000</v>
      </c>
      <c r="D57" s="728"/>
      <c r="E57" s="810">
        <f>IF(OR(Grunddaten!$H$19=2,E6="-"),"-",HLOOKUP(E6,Grund_me_fl,4,FALSE))</f>
        <v>608000</v>
      </c>
      <c r="F57" s="728"/>
      <c r="G57" s="810">
        <f>IF(OR(Grunddaten!$H$19=2,G6="-"),"-",HLOOKUP(G6,Grund_me_fl,4,FALSE))</f>
        <v>636000</v>
      </c>
      <c r="H57" s="728"/>
      <c r="I57" s="810">
        <f>IF(OR(Grunddaten!$H$19=2,I6="-"),"-",HLOOKUP(I6,Grund_me_fl,4,FALSE))</f>
        <v>646000</v>
      </c>
      <c r="J57" s="728"/>
    </row>
    <row r="58" spans="1:10" s="83" customFormat="1" ht="15" customHeight="1" thickBot="1" x14ac:dyDescent="0.35">
      <c r="A58" s="448" t="s">
        <v>625</v>
      </c>
      <c r="B58" s="450" t="s">
        <v>363</v>
      </c>
      <c r="C58" s="811">
        <f>IF(OR(Grunddaten!$H$19=2,C6="-"),"-",HLOOKUP(C6,Grund_me_fl,5,FALSE))</f>
        <v>60000</v>
      </c>
      <c r="D58" s="812"/>
      <c r="E58" s="811">
        <f>IF(OR(Grunddaten!$H$19=2,E6="-"),"-",HLOOKUP(E6,Grund_me_fl,5,FALSE))</f>
        <v>62000</v>
      </c>
      <c r="F58" s="812"/>
      <c r="G58" s="811">
        <f>IF(OR(Grunddaten!$H$19=2,G6="-"),"-",HLOOKUP(G6,Grund_me_fl,5,FALSE))</f>
        <v>64000</v>
      </c>
      <c r="H58" s="812"/>
      <c r="I58" s="811">
        <f>IF(OR(Grunddaten!$H$19=2,I6="-"),"-",HLOOKUP(I6,Grund_me_fl,5,FALSE))</f>
        <v>64000</v>
      </c>
      <c r="J58" s="812"/>
    </row>
    <row r="59" spans="1:10" s="82" customFormat="1" ht="27" customHeight="1" x14ac:dyDescent="0.3">
      <c r="A59" s="452" t="s">
        <v>626</v>
      </c>
      <c r="B59" s="88" t="s">
        <v>364</v>
      </c>
      <c r="C59" s="793" t="str">
        <f>IF(Grunddaten!$H$19=2,"-",IF(SUM(C57,E57,G57,I57)&gt;0,"Einleitungsgebühr für SW + RW 
für den Berechnungszeitraum von "&amp;MIN(C6:J6)&amp;" bis "&amp;MAX(C6:J6),"Keine Berechnung, da keine Angabe der Einleitungsmengen"))</f>
        <v>Einleitungsgebühr für SW + RW 
für den Berechnungszeitraum von 2017 bis 2020</v>
      </c>
      <c r="D59" s="794"/>
      <c r="E59" s="794"/>
      <c r="F59" s="795"/>
      <c r="G59" s="793" t="str">
        <f>IF(OR(Grunddaten!$H$19=2,C6="-"),"-",IF(AND(SUM(C57,E57,G57,I57),SUM(C58,E58,G58,I58)&gt;0),"Einleitungsgebühr nur für SW 
für den Berechnungszeitraum von "&amp;MIN(C6:J6)&amp;" bis "&amp;MAX(C6:J6),"Keine Berechnung "-"nur SW"-", da keine Angabe der Einleitungsmengen"))</f>
        <v>Einleitungsgebühr nur für SW 
für den Berechnungszeitraum von 2017 bis 2020</v>
      </c>
      <c r="H59" s="794"/>
      <c r="I59" s="794"/>
      <c r="J59" s="795"/>
    </row>
    <row r="60" spans="1:10" s="422" customFormat="1" ht="24" customHeight="1" thickBot="1" x14ac:dyDescent="0.35">
      <c r="A60" s="453" t="s">
        <v>627</v>
      </c>
      <c r="B60" s="480" t="str">
        <f>IF(Grunddaten!H19&lt;&gt;2,"Gebühr für SW+RW bzw. nur SW","Keine Berechnung")</f>
        <v>Gebühr für SW+RW bzw. nur SW</v>
      </c>
      <c r="C60" s="796">
        <f>IF(AND(C55&lt;&gt;"-",SUM(C57,E57,G57,I57)&gt;0,C66&lt;&gt;"-"),ROUND(C55/(SUM(C57,E57,G57,I57)+SUM(C58,E58,G58,I58)*C66),2),"-")</f>
        <v>1.85</v>
      </c>
      <c r="D60" s="797"/>
      <c r="E60" s="797"/>
      <c r="F60" s="798"/>
      <c r="G60" s="796">
        <f>IF(AND(C60&lt;&gt;"-",SUM(C58,E58,G58,I58)&gt;0,C66&lt;&gt;"-"),ROUND(C60*C66,2),"-")</f>
        <v>1.71</v>
      </c>
      <c r="H60" s="797"/>
      <c r="I60" s="797"/>
      <c r="J60" s="798"/>
    </row>
    <row r="61" spans="1:10" s="84" customFormat="1" ht="6.75" customHeight="1" x14ac:dyDescent="0.3">
      <c r="A61" s="440"/>
      <c r="B61" s="440"/>
      <c r="C61" s="440"/>
      <c r="D61" s="440"/>
      <c r="E61" s="440"/>
      <c r="F61" s="440"/>
      <c r="G61" s="440"/>
      <c r="H61" s="440"/>
      <c r="I61" s="440"/>
      <c r="J61" s="454"/>
    </row>
    <row r="62" spans="1:10" s="427" customFormat="1" ht="28.5" customHeight="1" x14ac:dyDescent="0.3">
      <c r="A62" s="455" t="s">
        <v>586</v>
      </c>
      <c r="B62" s="815" t="s">
        <v>365</v>
      </c>
      <c r="C62" s="816"/>
      <c r="D62" s="816"/>
      <c r="E62" s="816"/>
      <c r="F62" s="816"/>
      <c r="G62" s="816"/>
      <c r="H62" s="816"/>
      <c r="I62" s="816"/>
      <c r="J62" s="817"/>
    </row>
    <row r="63" spans="1:10" s="82" customFormat="1" ht="15" customHeight="1" x14ac:dyDescent="0.3">
      <c r="A63" s="456" t="s">
        <v>587</v>
      </c>
      <c r="B63" s="351" t="s">
        <v>140</v>
      </c>
      <c r="C63" s="743">
        <f>C6</f>
        <v>2017</v>
      </c>
      <c r="D63" s="760"/>
      <c r="E63" s="743">
        <f t="shared" ref="E63" si="36">E6</f>
        <v>2018</v>
      </c>
      <c r="F63" s="760"/>
      <c r="G63" s="743">
        <f t="shared" ref="G63" si="37">G6</f>
        <v>2019</v>
      </c>
      <c r="H63" s="760"/>
      <c r="I63" s="743">
        <f t="shared" ref="I63" si="38">I6</f>
        <v>2020</v>
      </c>
      <c r="J63" s="760"/>
    </row>
    <row r="64" spans="1:10" s="82" customFormat="1" ht="15" customHeight="1" x14ac:dyDescent="0.3">
      <c r="A64" s="457" t="s">
        <v>588</v>
      </c>
      <c r="B64" s="447" t="s">
        <v>646</v>
      </c>
      <c r="C64" s="458" t="str">
        <f>IF(C63="-","-","SW")</f>
        <v>SW</v>
      </c>
      <c r="D64" s="77" t="str">
        <f>IF(C63="-","-","RW")</f>
        <v>RW</v>
      </c>
      <c r="E64" s="458" t="str">
        <f t="shared" ref="E64" si="39">IF(E63="-","-","SW")</f>
        <v>SW</v>
      </c>
      <c r="F64" s="77" t="str">
        <f t="shared" ref="F64" si="40">IF(E63="-","-","RW")</f>
        <v>RW</v>
      </c>
      <c r="G64" s="458" t="str">
        <f t="shared" ref="G64" si="41">IF(G63="-","-","SW")</f>
        <v>SW</v>
      </c>
      <c r="H64" s="77" t="str">
        <f t="shared" ref="H64" si="42">IF(G63="-","-","RW")</f>
        <v>RW</v>
      </c>
      <c r="I64" s="458" t="str">
        <f t="shared" ref="I64" si="43">IF(I63="-","-","SW")</f>
        <v>SW</v>
      </c>
      <c r="J64" s="77" t="str">
        <f t="shared" ref="J64" si="44">IF(I63="-","-","RW")</f>
        <v>RW</v>
      </c>
    </row>
    <row r="65" spans="1:11" s="82" customFormat="1" ht="27" customHeight="1" x14ac:dyDescent="0.3">
      <c r="A65" s="457" t="s">
        <v>589</v>
      </c>
      <c r="B65" s="447" t="s">
        <v>543</v>
      </c>
      <c r="C65" s="76">
        <f>IF(SUM(C13,C23,C27,D13,D23,D27)&lt;&gt;0,SUM(C13,C23,C27)/(SUM(C13,C23,C27,D13,D23,D27)),"-")</f>
        <v>0.92296603894388851</v>
      </c>
      <c r="D65" s="77">
        <f>IF(SUM(C13,C23,C27,D13,D23,D27)&lt;&gt;0,SUM(D13,D23,D27)/(SUM(C13,C23,C27,D13,D23,D27)),"-")</f>
        <v>7.7033961056111544E-2</v>
      </c>
      <c r="E65" s="76">
        <f t="shared" ref="E65" si="45">IF(SUM(E13,E23,E27,F13,F23,F27)&lt;&gt;0,SUM(E13,E23,E27)/(SUM(E13,E23,E27,F13,F23,F27)),"-")</f>
        <v>0.92382073917279084</v>
      </c>
      <c r="F65" s="77">
        <f t="shared" ref="F65" si="46">IF(SUM(E13,E23,E27,F13,F23,F27)&lt;&gt;0,SUM(F13,F23,F27)/(SUM(E13,E23,E27,F13,F23,F27)),"-")</f>
        <v>7.6179260827209244E-2</v>
      </c>
      <c r="G65" s="76">
        <f t="shared" ref="G65" si="47">IF(SUM(G13,G23,G27,H13,H23,H27)&lt;&gt;0,SUM(G13,G23,G27)/(SUM(G13,G23,G27,H13,H23,H27)),"-")</f>
        <v>0.9243630092695313</v>
      </c>
      <c r="H65" s="77">
        <f t="shared" ref="H65" si="48">IF(SUM(G13,G23,G27,H13,H23,H27)&lt;&gt;0,SUM(H13,H23,H27)/(SUM(G13,G23,G27,H13,H23,H27)),"-")</f>
        <v>7.5636990730468742E-2</v>
      </c>
      <c r="I65" s="76">
        <f t="shared" ref="I65" si="49">IF(SUM(I13,I23,I27,J13,J23,J27)&lt;&gt;0,SUM(I13,I23,I27)/(SUM(I13,I23,I27,J13,J23,J27)),"-")</f>
        <v>0.93142724695250279</v>
      </c>
      <c r="J65" s="77">
        <f t="shared" ref="J65" si="50">IF(SUM(I13,I23,I27,J13,J23,J27)&lt;&gt;0,SUM(J13,J23,J27)/(SUM(I13,I23,I27,J13,J23,J27)),"-")</f>
        <v>6.857275304749734E-2</v>
      </c>
      <c r="K65" s="83"/>
    </row>
    <row r="66" spans="1:11" s="82" customFormat="1" ht="27" customHeight="1" x14ac:dyDescent="0.3">
      <c r="A66" s="457" t="s">
        <v>590</v>
      </c>
      <c r="B66" s="451" t="str">
        <f>"Anteil Schmutzwasserbeseitigung in %  "
&amp; "Durchschnitt von "&amp;C63 &amp; " bis "&amp;C63+3</f>
        <v>Anteil Schmutzwasserbeseitigung in %  Durchschnitt von 2017 bis 2020</v>
      </c>
      <c r="C66" s="819">
        <f>IF(SUM(C13,C23,C27,E13,E23,E27,G13,G23,G27,I13,I23,I27)&lt;&gt;0,ROUND(SUM(C13,C23,C27,E13,E23,E27,G13,G23,G27,I13,I23,I27)/SUM(C13,C23,C27,E13,E23,E27,G13,G23,G27,I13,I23,I27,D13,D23,D27,F13,F23,F27,H13,H23,H27,J13,J23,J27),4),"-")</f>
        <v>0.92569999999999997</v>
      </c>
      <c r="D66" s="820"/>
      <c r="E66" s="820"/>
      <c r="F66" s="820"/>
      <c r="G66" s="820"/>
      <c r="H66" s="820"/>
      <c r="I66" s="820"/>
      <c r="J66" s="821"/>
    </row>
    <row r="67" spans="1:11" s="82" customFormat="1" ht="27" customHeight="1" x14ac:dyDescent="0.3">
      <c r="A67" s="457" t="s">
        <v>591</v>
      </c>
      <c r="B67" s="451" t="str">
        <f>"Anteil Regenwasserbeseitigung aus GrSt in % "
&amp; "Durchschnitt von "&amp;C63 &amp; " bis "&amp;C63+3&amp;"   1)"</f>
        <v>Anteil Regenwasserbeseitigung aus GrSt in % Durchschnitt von 2017 bis 2020   1)</v>
      </c>
      <c r="C67" s="822">
        <f>IF(SUM(D13,D23,D27,F13,F23,F27,H13,H23,H27,J13,J23,J27)&lt;&gt;0,ROUND(SUM(D13,D23,D27,F13,F23,F27,H13,H23,H27,J13,J23,J27)/SUM(C13,C23,C27,E13,E23,E27,G13,G23,G27,I13,I23,I27,D13,D23,D27,F13,F23,F27,H13,H23,H27,J13,J23,J27),4),"-")</f>
        <v>7.4300000000000005E-2</v>
      </c>
      <c r="D67" s="823"/>
      <c r="E67" s="823"/>
      <c r="F67" s="823"/>
      <c r="G67" s="823"/>
      <c r="H67" s="823"/>
      <c r="I67" s="823"/>
      <c r="J67" s="824"/>
    </row>
    <row r="68" spans="1:11" s="82" customFormat="1" ht="25.5" customHeight="1" thickBot="1" x14ac:dyDescent="0.35">
      <c r="A68" s="459" t="s">
        <v>585</v>
      </c>
      <c r="B68" s="825" t="s">
        <v>718</v>
      </c>
      <c r="C68" s="826"/>
      <c r="D68" s="826"/>
      <c r="E68" s="826"/>
      <c r="F68" s="826"/>
      <c r="G68" s="826"/>
      <c r="H68" s="826"/>
      <c r="I68" s="826"/>
      <c r="J68" s="827"/>
    </row>
    <row r="69" spans="1:11" s="84" customFormat="1" ht="6.75" customHeight="1" x14ac:dyDescent="0.3">
      <c r="A69" s="460"/>
      <c r="B69" s="440"/>
      <c r="C69" s="440"/>
      <c r="D69" s="440"/>
      <c r="E69" s="440"/>
      <c r="F69" s="440"/>
      <c r="G69" s="440"/>
      <c r="H69" s="440"/>
      <c r="I69" s="440"/>
      <c r="J69" s="454"/>
    </row>
    <row r="70" spans="1:11" s="112" customFormat="1" ht="28.5" customHeight="1" x14ac:dyDescent="0.3">
      <c r="A70" s="461" t="s">
        <v>592</v>
      </c>
      <c r="B70" s="743" t="s">
        <v>344</v>
      </c>
      <c r="C70" s="744"/>
      <c r="D70" s="744"/>
      <c r="E70" s="744"/>
      <c r="F70" s="744"/>
      <c r="G70" s="744"/>
      <c r="H70" s="744"/>
      <c r="I70" s="744"/>
      <c r="J70" s="828"/>
    </row>
    <row r="71" spans="1:11" s="82" customFormat="1" ht="20.100000000000001" customHeight="1" x14ac:dyDescent="0.3">
      <c r="A71" s="443" t="s">
        <v>593</v>
      </c>
      <c r="B71" s="351" t="s">
        <v>366</v>
      </c>
      <c r="C71" s="723">
        <f>C6</f>
        <v>2017</v>
      </c>
      <c r="D71" s="717"/>
      <c r="E71" s="759">
        <f t="shared" ref="E71" si="51">E6</f>
        <v>2018</v>
      </c>
      <c r="F71" s="760"/>
      <c r="G71" s="759">
        <f t="shared" ref="G71" si="52">G6</f>
        <v>2019</v>
      </c>
      <c r="H71" s="760"/>
      <c r="I71" s="759">
        <f t="shared" ref="I71" si="53">I6</f>
        <v>2020</v>
      </c>
      <c r="J71" s="760"/>
    </row>
    <row r="72" spans="1:11" s="82" customFormat="1" ht="19.5" customHeight="1" x14ac:dyDescent="0.3">
      <c r="A72" s="443" t="s">
        <v>594</v>
      </c>
      <c r="B72" s="434" t="s">
        <v>342</v>
      </c>
      <c r="C72" s="462" t="str">
        <f>IF(C63="-","-","SW")</f>
        <v>SW</v>
      </c>
      <c r="D72" s="462" t="str">
        <f>IF(C63="-","-","RW")</f>
        <v>RW</v>
      </c>
      <c r="E72" s="462" t="str">
        <f t="shared" ref="E72" si="54">IF(E63="-","-","SW")</f>
        <v>SW</v>
      </c>
      <c r="F72" s="462" t="str">
        <f t="shared" ref="F72" si="55">IF(E63="-","-","RW")</f>
        <v>RW</v>
      </c>
      <c r="G72" s="462" t="str">
        <f t="shared" ref="G72" si="56">IF(G63="-","-","SW")</f>
        <v>SW</v>
      </c>
      <c r="H72" s="462" t="str">
        <f t="shared" ref="H72" si="57">IF(G63="-","-","RW")</f>
        <v>RW</v>
      </c>
      <c r="I72" s="462" t="str">
        <f t="shared" ref="I72" si="58">IF(I63="-","-","SW")</f>
        <v>SW</v>
      </c>
      <c r="J72" s="462" t="str">
        <f t="shared" ref="J72" si="59">IF(I63="-","-","RW")</f>
        <v>RW</v>
      </c>
    </row>
    <row r="73" spans="1:11" s="82" customFormat="1" ht="27" customHeight="1" x14ac:dyDescent="0.3">
      <c r="A73" s="443" t="s">
        <v>595</v>
      </c>
      <c r="B73" s="434" t="s">
        <v>781</v>
      </c>
      <c r="C73" s="463" t="str">
        <f>IF(OR(Grunddaten!$H$19&lt;&gt;2,C71="-",C41=0),"-",ROUND(C38/C41,2))</f>
        <v>-</v>
      </c>
      <c r="D73" s="463" t="str">
        <f>IF(OR(Grunddaten!$H$19&lt;&gt;2,C71="-",D41=0),"-",ROUND(D38/D41,2))</f>
        <v>-</v>
      </c>
      <c r="E73" s="463" t="str">
        <f>IF(OR(Grunddaten!$H$19&lt;&gt;2,E71="-",E41=0),"-",ROUND(E38/E41,2))</f>
        <v>-</v>
      </c>
      <c r="F73" s="463" t="str">
        <f>IF(OR(Grunddaten!$H$19&lt;&gt;2,E71="-",F41=0),"-",ROUND(F38/F41,2))</f>
        <v>-</v>
      </c>
      <c r="G73" s="463" t="str">
        <f>IF(OR(Grunddaten!$H$19&lt;&gt;2,G71="-",G41=0),"-",ROUND(G38/G41,2))</f>
        <v>-</v>
      </c>
      <c r="H73" s="463" t="str">
        <f>IF(OR(Grunddaten!$H$19&lt;&gt;2,G71="-",H41=0),"-",ROUND(H38/H41,2))</f>
        <v>-</v>
      </c>
      <c r="I73" s="463" t="str">
        <f>IF(OR(Grunddaten!$H$19&lt;&gt;2,I71="-",I41=0),"-",ROUND(I38/I41,2))</f>
        <v>-</v>
      </c>
      <c r="J73" s="463" t="str">
        <f>IF(OR(Grunddaten!$H$19&lt;&gt;2,I71="-",J41=0),"-",ROUND(J38/J41,2))</f>
        <v>-</v>
      </c>
    </row>
    <row r="74" spans="1:11" s="82" customFormat="1" ht="27" customHeight="1" x14ac:dyDescent="0.3">
      <c r="A74" s="443" t="s">
        <v>596</v>
      </c>
      <c r="B74" s="447" t="s">
        <v>782</v>
      </c>
      <c r="C74" s="464" t="str">
        <f>IF(OR(Grunddaten!$H$19&lt;&gt;2,C71="-",C41=0),"-",ROUND(C36/C41,2))</f>
        <v>-</v>
      </c>
      <c r="D74" s="465" t="str">
        <f>IF(OR(Grunddaten!$H$19&lt;&gt;2,C71="-",D41=0),"-",ROUND(D36/D41,2))</f>
        <v>-</v>
      </c>
      <c r="E74" s="464" t="str">
        <f>IF(OR(Grunddaten!$H$19&lt;&gt;2,E71="-",E41=0),"-",ROUND(E36/E41,2))</f>
        <v>-</v>
      </c>
      <c r="F74" s="465" t="str">
        <f>IF(OR(Grunddaten!$H$19&lt;&gt;2,E71="-",F41=0),"-",ROUND(F36/F41,2))</f>
        <v>-</v>
      </c>
      <c r="G74" s="464" t="str">
        <f>IF(OR(Grunddaten!$H$19&lt;&gt;2,G71="-",G41=0),"-",ROUND(G36/G41,2))</f>
        <v>-</v>
      </c>
      <c r="H74" s="465" t="str">
        <f>IF(OR(Grunddaten!$H$19&lt;&gt;2,G71="-",H41=0),"-",ROUND(H36/H41,2))</f>
        <v>-</v>
      </c>
      <c r="I74" s="464" t="str">
        <f>IF(OR(Grunddaten!$H$19&lt;&gt;2,I71="-",I41=0),"-",ROUND(I36/I41,2))</f>
        <v>-</v>
      </c>
      <c r="J74" s="465" t="str">
        <f>IF(OR(Grunddaten!$H$19&lt;&gt;2,I71="-",J41=0),"-",ROUND(J36/J41,2))</f>
        <v>-</v>
      </c>
    </row>
    <row r="75" spans="1:11" s="82" customFormat="1" ht="15" customHeight="1" x14ac:dyDescent="0.3">
      <c r="A75" s="443" t="s">
        <v>597</v>
      </c>
      <c r="B75" s="434" t="s">
        <v>342</v>
      </c>
      <c r="C75" s="466" t="str">
        <f>IF(C71="-","-","SW+RW")</f>
        <v>SW+RW</v>
      </c>
      <c r="D75" s="466" t="str">
        <f>IF(C71="-","-","nur SW")</f>
        <v>nur SW</v>
      </c>
      <c r="E75" s="466" t="str">
        <f t="shared" ref="E75" si="60">IF(E71="-","-","SW+RW")</f>
        <v>SW+RW</v>
      </c>
      <c r="F75" s="466" t="str">
        <f t="shared" ref="F75" si="61">IF(E71="-","-","nur SW")</f>
        <v>nur SW</v>
      </c>
      <c r="G75" s="466" t="str">
        <f t="shared" ref="G75" si="62">IF(G71="-","-","SW+RW")</f>
        <v>SW+RW</v>
      </c>
      <c r="H75" s="466" t="str">
        <f t="shared" ref="H75" si="63">IF(G71="-","-","nur SW")</f>
        <v>nur SW</v>
      </c>
      <c r="I75" s="466" t="str">
        <f t="shared" ref="I75" si="64">IF(I71="-","-","SW+RW")</f>
        <v>SW+RW</v>
      </c>
      <c r="J75" s="466" t="str">
        <f t="shared" ref="J75" si="65">IF(I71="-","-","nur SW")</f>
        <v>nur SW</v>
      </c>
    </row>
    <row r="76" spans="1:11" s="82" customFormat="1" ht="27" customHeight="1" x14ac:dyDescent="0.3">
      <c r="A76" s="443" t="s">
        <v>628</v>
      </c>
      <c r="B76" s="434" t="s">
        <v>773</v>
      </c>
      <c r="C76" s="463">
        <f>IF(OR(Grunddaten!$H$19=2,C71="-",C57=0),"-",ROUND(C54/(C57+C58*C65),2))</f>
        <v>1.88</v>
      </c>
      <c r="D76" s="463">
        <f>IF(OR(Grunddaten!$H$19=2,C71="-",C58=0),"-",ROUND(C76*C65,2))</f>
        <v>1.74</v>
      </c>
      <c r="E76" s="463">
        <f>IF(OR(Grunddaten!$H$19=2,E71="-",E57=0),"-",ROUND(E54/(E57+E58*E65),2))</f>
        <v>1.88</v>
      </c>
      <c r="F76" s="463">
        <f>IF(OR(Grunddaten!$H$19=2,E71="-",E58=0),"-",ROUND(E76*E65,2))</f>
        <v>1.74</v>
      </c>
      <c r="G76" s="463">
        <f>IF(OR(Grunddaten!$H$19=2,G71="-",G57=0),"-",ROUND(G54/(G57+G58*G65),2))</f>
        <v>1.84</v>
      </c>
      <c r="H76" s="463">
        <f>IF(OR(Grunddaten!$H$19=2,G71="-",G58=0),"-",ROUND(G76*G65,2))</f>
        <v>1.7</v>
      </c>
      <c r="I76" s="463">
        <f>IF(OR(Grunddaten!$H$19=2,I71="-",I57=0),"-",ROUND(I54/(I57+I58*I65),2))</f>
        <v>1.79</v>
      </c>
      <c r="J76" s="463">
        <f>IF(OR(Grunddaten!$H$19=2,I71="-",I58=0),"-",ROUND(I76*I65,2))</f>
        <v>1.67</v>
      </c>
    </row>
    <row r="77" spans="1:11" s="82" customFormat="1" ht="27" customHeight="1" x14ac:dyDescent="0.3">
      <c r="A77" s="443" t="s">
        <v>629</v>
      </c>
      <c r="B77" s="434" t="s">
        <v>774</v>
      </c>
      <c r="C77" s="467">
        <f>IF(OR(Grunddaten!$H$19=2,C71="-",C57=0),"-",ROUND(C52/(C57+C58*C65),2))</f>
        <v>1.61</v>
      </c>
      <c r="D77" s="467">
        <f>IF(OR(Grunddaten!$H$19=2,C71="-",C58=0),"-",ROUND(C77*C65,2))</f>
        <v>1.49</v>
      </c>
      <c r="E77" s="467">
        <f>IF(OR(Grunddaten!$H$19=2,E71="-",E57=0),"-",ROUND(E52/(E57+E58*E65),2))</f>
        <v>1.62</v>
      </c>
      <c r="F77" s="467">
        <f>IF(OR(Grunddaten!$H$19=2,E71="-",E58=0),"-",ROUND(E77*E65,2))</f>
        <v>1.5</v>
      </c>
      <c r="G77" s="467">
        <f>IF(OR(Grunddaten!$H$19=2,G71="-",G57=0),"-",ROUND(G52/(G57+G58*G65),2))</f>
        <v>1.59</v>
      </c>
      <c r="H77" s="467">
        <f>IF(OR(Grunddaten!$H$19=2,G71="-",G58=0),"-",ROUND(G77*G65,2))</f>
        <v>1.47</v>
      </c>
      <c r="I77" s="467">
        <f>IF(OR(Grunddaten!$H$19=2,I71="-",I57=0),"-",ROUND(I52/(I57+I58*I65),2))</f>
        <v>1.55</v>
      </c>
      <c r="J77" s="467">
        <f>IF(OR(Grunddaten!$H$19=2,I71="-",I58=0),"-",ROUND(I77*I65,2))</f>
        <v>1.44</v>
      </c>
    </row>
    <row r="78" spans="1:11" s="82" customFormat="1" ht="20.100000000000001" customHeight="1" x14ac:dyDescent="0.3">
      <c r="A78" s="443" t="s">
        <v>630</v>
      </c>
      <c r="B78" s="468" t="s">
        <v>641</v>
      </c>
      <c r="C78" s="743">
        <f>C6</f>
        <v>2017</v>
      </c>
      <c r="D78" s="760"/>
      <c r="E78" s="759">
        <f t="shared" ref="E78" si="66">E6</f>
        <v>2018</v>
      </c>
      <c r="F78" s="760"/>
      <c r="G78" s="759">
        <f t="shared" ref="G78" si="67">G6</f>
        <v>2019</v>
      </c>
      <c r="H78" s="760"/>
      <c r="I78" s="759">
        <f t="shared" ref="I78" si="68">I6</f>
        <v>2020</v>
      </c>
      <c r="J78" s="760"/>
    </row>
    <row r="79" spans="1:11" s="82" customFormat="1" ht="18" customHeight="1" x14ac:dyDescent="0.3">
      <c r="A79" s="443" t="s">
        <v>631</v>
      </c>
      <c r="B79" s="434" t="s">
        <v>345</v>
      </c>
      <c r="C79" s="818">
        <f>IF(C6="-","-",IF(HLOOKUP(C6,Grund_be,2,FALSE)=2,ROUND(HLOOKUP(C6,Anlageg,47,FALSE)-HLOOKUP(C6,Zuwend,14,FALSE),2),ROUND(HLOOKUP(C6,Anlageg,30,FALSE)-HLOOKUP(C6,Zuwend,14,FALSE),2)))</f>
        <v>66300</v>
      </c>
      <c r="D79" s="762"/>
      <c r="E79" s="818">
        <f>IF(E6="-","-",IF(HLOOKUP(E6,Grund_be,2,FALSE)=2,ROUND(HLOOKUP(E6,Anlageg,47,FALSE)-HLOOKUP(E6,Zuwend,14,FALSE),2),ROUND(HLOOKUP(E6,Anlageg,30,FALSE)-HLOOKUP(E6,Zuwend,14,FALSE),2)))</f>
        <v>66300</v>
      </c>
      <c r="F79" s="762"/>
      <c r="G79" s="818">
        <f>IF(G6="-","-",IF(HLOOKUP(G6,Grund_be,2,FALSE)=2,ROUND(HLOOKUP(G6,Anlageg,47,FALSE)-HLOOKUP(G6,Zuwend,14,FALSE),2),ROUND(HLOOKUP(G6,Anlageg,30,FALSE)-HLOOKUP(G6,Zuwend,14,FALSE),2)))</f>
        <v>66300</v>
      </c>
      <c r="H79" s="762"/>
      <c r="I79" s="818">
        <f>IF(I6="-","-",IF(HLOOKUP(I6,Grund_be,2,FALSE)=2,ROUND(HLOOKUP(I6,Anlageg,47,FALSE)-HLOOKUP(I6,Zuwend,14,FALSE),2),ROUND(HLOOKUP(I6,Anlageg,30,FALSE)-HLOOKUP(I6,Zuwend,14,FALSE),2)))</f>
        <v>54487.5</v>
      </c>
      <c r="J79" s="762"/>
    </row>
    <row r="80" spans="1:11" s="82" customFormat="1" ht="18" customHeight="1" x14ac:dyDescent="0.3">
      <c r="A80" s="443" t="s">
        <v>632</v>
      </c>
      <c r="B80" s="434" t="s">
        <v>367</v>
      </c>
      <c r="C80" s="818">
        <f>IF(C6&lt;&gt;"-",ROUND(HLOOKUP(C6,Anlageg,110,FALSE)-HLOOKUP(C6,Zuwend,45,FALSE),2),"-")</f>
        <v>37153.129999999997</v>
      </c>
      <c r="D80" s="762"/>
      <c r="E80" s="818">
        <f>IF(E6&lt;&gt;"-",ROUND(HLOOKUP(E6,Anlageg,110,FALSE)-HLOOKUP(E6,Zuwend,45,FALSE),2),"-")</f>
        <v>35164.129999999997</v>
      </c>
      <c r="F80" s="762"/>
      <c r="G80" s="818">
        <f>IF(G6&lt;&gt;"-",ROUND(HLOOKUP(G6,Anlageg,110,FALSE)-HLOOKUP(G6,Zuwend,45,FALSE),2),"-")</f>
        <v>33175.129999999997</v>
      </c>
      <c r="H80" s="762"/>
      <c r="I80" s="818">
        <f>IF(I6&lt;&gt;"-",ROUND(HLOOKUP(I6,Anlageg,110,FALSE)-HLOOKUP(I6,Zuwend,45,FALSE),2),"-")</f>
        <v>31363.31</v>
      </c>
      <c r="J80" s="762"/>
    </row>
    <row r="81" spans="1:10" s="82" customFormat="1" ht="18" customHeight="1" x14ac:dyDescent="0.3">
      <c r="A81" s="443" t="s">
        <v>633</v>
      </c>
      <c r="B81" s="469" t="s">
        <v>347</v>
      </c>
      <c r="C81" s="818">
        <f>IF(C6&lt;&gt;"-",ROUND(HLOOKUP(C6,Betriebsko,11,FALSE),2)-ROUND(HLOOKUP(C6,Betriebsko,6,FALSE),2),"-")</f>
        <v>49375</v>
      </c>
      <c r="D81" s="762"/>
      <c r="E81" s="761">
        <f>IF(E6&lt;&gt;"-",ROUND(HLOOKUP(E6,Betriebsko,11,FALSE),2)-ROUND(HLOOKUP(E6,Betriebsko,6,FALSE),2),"-")</f>
        <v>50375</v>
      </c>
      <c r="F81" s="762"/>
      <c r="G81" s="761">
        <f>IF(G6&lt;&gt;"-",ROUND(HLOOKUP(G6,Betriebsko,11,FALSE),2)-ROUND(HLOOKUP(G6,Betriebsko,6,FALSE),2),"-")</f>
        <v>51923.75</v>
      </c>
      <c r="H81" s="762"/>
      <c r="I81" s="761">
        <f>IF(I6&lt;&gt;"-",ROUND(HLOOKUP(I6,Betriebsko,11,FALSE),2)-ROUND(HLOOKUP(I6,Betriebsko,6,FALSE),2),"-")</f>
        <v>53518.96</v>
      </c>
      <c r="J81" s="762"/>
    </row>
    <row r="82" spans="1:10" s="82" customFormat="1" ht="18" customHeight="1" x14ac:dyDescent="0.3">
      <c r="A82" s="443" t="s">
        <v>634</v>
      </c>
      <c r="B82" s="469" t="s">
        <v>368</v>
      </c>
      <c r="C82" s="818">
        <f>IF(SUM(C79:C81)&gt;0,SUM(C80:C81),"-")</f>
        <v>86528.13</v>
      </c>
      <c r="D82" s="762"/>
      <c r="E82" s="761">
        <f t="shared" ref="E82" si="69">IF(SUM(E79:E81)&gt;0,SUM(E80:E81),"-")</f>
        <v>85539.13</v>
      </c>
      <c r="F82" s="762"/>
      <c r="G82" s="761">
        <f t="shared" ref="G82" si="70">IF(SUM(G79:G81)&gt;0,SUM(G80:G81),"-")</f>
        <v>85098.880000000005</v>
      </c>
      <c r="H82" s="762"/>
      <c r="I82" s="761">
        <f t="shared" ref="I82" si="71">IF(SUM(I79:I81)&gt;0,SUM(I80:I81),"-")</f>
        <v>84882.27</v>
      </c>
      <c r="J82" s="762"/>
    </row>
    <row r="83" spans="1:10" s="82" customFormat="1" ht="18" customHeight="1" x14ac:dyDescent="0.3">
      <c r="A83" s="443" t="s">
        <v>635</v>
      </c>
      <c r="B83" s="470" t="s">
        <v>369</v>
      </c>
      <c r="C83" s="829">
        <f>IF(C6&lt;&gt;"-",ROUND(C82/(C82+SUM(C13,C23,C27,D13,D23,D27)),4),"-")</f>
        <v>7.2099999999999997E-2</v>
      </c>
      <c r="D83" s="764"/>
      <c r="E83" s="763">
        <f>IF(E6&lt;&gt;"-",ROUND(E82/(E82+SUM(E13,E23,E27,F13,F23,F27)),4),"-")</f>
        <v>6.9000000000000006E-2</v>
      </c>
      <c r="F83" s="764"/>
      <c r="G83" s="763">
        <f>IF(G6&lt;&gt;"-",ROUND(G82/(G82+SUM(G13,G23,G27,H13,H23,H27)),4),"-")</f>
        <v>6.7299999999999999E-2</v>
      </c>
      <c r="H83" s="764"/>
      <c r="I83" s="763">
        <f>IF(I6&lt;&gt;"-",ROUND(I82/(I82+SUM(I13,I23,I27,J13,J23,J27)),4),"-")</f>
        <v>6.7500000000000004E-2</v>
      </c>
      <c r="J83" s="764"/>
    </row>
    <row r="84" spans="1:10" s="82" customFormat="1" ht="27.75" customHeight="1" x14ac:dyDescent="0.3">
      <c r="A84" s="443" t="s">
        <v>636</v>
      </c>
      <c r="B84" s="351" t="s">
        <v>783</v>
      </c>
      <c r="C84" s="743">
        <f>C6</f>
        <v>2017</v>
      </c>
      <c r="D84" s="760"/>
      <c r="E84" s="759">
        <f t="shared" ref="E84" si="72">E6</f>
        <v>2018</v>
      </c>
      <c r="F84" s="760"/>
      <c r="G84" s="759">
        <f t="shared" ref="G84" si="73">G6</f>
        <v>2019</v>
      </c>
      <c r="H84" s="760"/>
      <c r="I84" s="759">
        <f t="shared" ref="I84" si="74">I6</f>
        <v>2020</v>
      </c>
      <c r="J84" s="760"/>
    </row>
    <row r="85" spans="1:10" s="82" customFormat="1" ht="18" customHeight="1" x14ac:dyDescent="0.3">
      <c r="A85" s="443" t="s">
        <v>637</v>
      </c>
      <c r="B85" s="434" t="s">
        <v>370</v>
      </c>
      <c r="C85" s="830">
        <f>IF(C6&lt;&gt;"-",HLOOKUP(C6,Anlageg,116,FALSE),"-")</f>
        <v>0.02</v>
      </c>
      <c r="D85" s="728"/>
      <c r="E85" s="765">
        <f>IF(E6&lt;&gt;"-",HLOOKUP(E6,Anlageg,116,FALSE),"-")</f>
        <v>0.02</v>
      </c>
      <c r="F85" s="728"/>
      <c r="G85" s="765">
        <f>IF(G6&lt;&gt;"-",HLOOKUP(G6,Anlageg,116,FALSE),"-")</f>
        <v>0.02</v>
      </c>
      <c r="H85" s="728"/>
      <c r="I85" s="765">
        <f>IF(I6&lt;&gt;"-",HLOOKUP(I6,Anlageg,116,FALSE),"-")</f>
        <v>0.02</v>
      </c>
      <c r="J85" s="728"/>
    </row>
    <row r="86" spans="1:10" s="82" customFormat="1" ht="18" customHeight="1" x14ac:dyDescent="0.3">
      <c r="A86" s="443" t="s">
        <v>638</v>
      </c>
      <c r="B86" s="434" t="s">
        <v>351</v>
      </c>
      <c r="C86" s="830">
        <f>IF(C6&lt;&gt;"-",HLOOKUP(C6,Beitr,51,FALSE),"-")</f>
        <v>2.9700000000000001E-2</v>
      </c>
      <c r="D86" s="728"/>
      <c r="E86" s="765">
        <f>IF(E6&lt;&gt;"-",HLOOKUP(E6,Beitr,51,FALSE),"-")</f>
        <v>2.9700000000000001E-2</v>
      </c>
      <c r="F86" s="728"/>
      <c r="G86" s="765">
        <f>IF(G6&lt;&gt;"-",HLOOKUP(G6,Beitr,51,FALSE),"-")</f>
        <v>2.9700000000000001E-2</v>
      </c>
      <c r="H86" s="728"/>
      <c r="I86" s="765">
        <f>IF(I6&lt;&gt;"-",HLOOKUP(I6,Beitr,51,FALSE),"-")</f>
        <v>2.9700000000000001E-2</v>
      </c>
      <c r="J86" s="728"/>
    </row>
    <row r="87" spans="1:10" s="82" customFormat="1" ht="18" customHeight="1" x14ac:dyDescent="0.3">
      <c r="A87" s="443" t="s">
        <v>639</v>
      </c>
      <c r="B87" s="447" t="s">
        <v>371</v>
      </c>
      <c r="C87" s="831">
        <f>IF(C6&lt;&gt;"-",HLOOKUP(C6,Zuwend,51,FALSE),"-")</f>
        <v>0.02</v>
      </c>
      <c r="D87" s="737"/>
      <c r="E87" s="772">
        <f>IF(E6&lt;&gt;"-",HLOOKUP(E6,Zuwend,51,FALSE),"-")</f>
        <v>0.02</v>
      </c>
      <c r="F87" s="737"/>
      <c r="G87" s="772">
        <f>IF(G6&lt;&gt;"-",HLOOKUP(G6,Zuwend,51,FALSE),"-")</f>
        <v>0.02</v>
      </c>
      <c r="H87" s="737"/>
      <c r="I87" s="772">
        <f>IF(I6&lt;&gt;"-",HLOOKUP(I6,Zuwend,51,FALSE),"-")</f>
        <v>0.02</v>
      </c>
      <c r="J87" s="737"/>
    </row>
    <row r="88" spans="1:10" s="82" customFormat="1" ht="18" customHeight="1" thickBot="1" x14ac:dyDescent="0.35">
      <c r="A88" s="448" t="s">
        <v>640</v>
      </c>
      <c r="B88" s="450" t="s">
        <v>353</v>
      </c>
      <c r="C88" s="832">
        <f>IF(C6&lt;&gt;"-",HLOOKUP(C6,Grund_zins,2,FALSE),"-")</f>
        <v>0.03</v>
      </c>
      <c r="D88" s="774"/>
      <c r="E88" s="773">
        <f>IF(E6&lt;&gt;"-",HLOOKUP(E6,Grund_zins,2,FALSE),"-")</f>
        <v>0.03</v>
      </c>
      <c r="F88" s="774"/>
      <c r="G88" s="773">
        <f>IF(G6&lt;&gt;"-",HLOOKUP(G6,Grund_zins,2,FALSE),"-")</f>
        <v>0.03</v>
      </c>
      <c r="H88" s="774"/>
      <c r="I88" s="773">
        <f>IF(I6&lt;&gt;"-",HLOOKUP(I6,Grund_zins,2,FALSE),"-")</f>
        <v>0.03</v>
      </c>
      <c r="J88" s="774"/>
    </row>
    <row r="89" spans="1:10" s="84" customFormat="1" ht="6.75" customHeight="1" x14ac:dyDescent="0.3">
      <c r="A89" s="440"/>
      <c r="B89" s="440"/>
      <c r="C89" s="440"/>
      <c r="D89" s="440"/>
      <c r="E89" s="440"/>
      <c r="F89" s="440"/>
      <c r="G89" s="440"/>
      <c r="H89" s="440"/>
      <c r="I89" s="440"/>
      <c r="J89" s="454"/>
    </row>
    <row r="90" spans="1:10" s="82" customFormat="1" ht="45" customHeight="1" x14ac:dyDescent="0.3">
      <c r="A90" s="471" t="s">
        <v>598</v>
      </c>
      <c r="B90" s="768" t="str">
        <f>IF(OR(C91&lt;&gt;"-",C97&lt;&gt;"-"),"Berechnung der voraussichtlichen Rücklagenzuführungen aus Abschreibungen von vom zuwendungsfinanzierten Anlagevermögen bzw. von den Wiederbeschaffungszeitwerten aufgrund der Vorkalkulation "&amp;MIN(C6:J6)&amp;" bis "&amp;MAX(C6:J6),"Keine Rücklagenzuführungen aus Abschreibungen vom zuwendungsfinanzierten Anlagevermögen bzw. von den Wiederbeschaffungszeitwerten")</f>
        <v>Keine Rücklagenzuführungen aus Abschreibungen vom zuwendungsfinanzierten Anlagevermögen bzw. von den Wiederbeschaffungszeitwerten</v>
      </c>
      <c r="C90" s="768"/>
      <c r="D90" s="768"/>
      <c r="E90" s="768"/>
      <c r="F90" s="768"/>
      <c r="G90" s="768"/>
      <c r="H90" s="768"/>
      <c r="I90" s="768"/>
      <c r="J90" s="769"/>
    </row>
    <row r="91" spans="1:10" s="82" customFormat="1" ht="45" customHeight="1" x14ac:dyDescent="0.3">
      <c r="A91" s="472" t="s">
        <v>605</v>
      </c>
      <c r="B91" s="473" t="s">
        <v>784</v>
      </c>
      <c r="C91" s="833" t="str">
        <f>IF(C6="-","-", IF(HLOOKUP(C6,Grund_be,4,FALSE)=2,C6,"-"))</f>
        <v>-</v>
      </c>
      <c r="D91" s="834"/>
      <c r="E91" s="833" t="str">
        <f>IF(E6="-","-", IF(HLOOKUP(E6,Grund_be,4,FALSE)=2,E6,"-"))</f>
        <v>-</v>
      </c>
      <c r="F91" s="834"/>
      <c r="G91" s="833" t="str">
        <f>IF(G6="-","-", IF(HLOOKUP(G6,Grund_be,4,FALSE)=2,G6,"-"))</f>
        <v>-</v>
      </c>
      <c r="H91" s="834"/>
      <c r="I91" s="833" t="str">
        <f>IF(I6="-","-", IF(HLOOKUP(I6,Grund_be,4,FALSE)=2,I6,"-"))</f>
        <v>-</v>
      </c>
      <c r="J91" s="834"/>
    </row>
    <row r="92" spans="1:10" s="82" customFormat="1" ht="21" customHeight="1" x14ac:dyDescent="0.3">
      <c r="A92" s="110" t="s">
        <v>599</v>
      </c>
      <c r="B92" s="474" t="s">
        <v>372</v>
      </c>
      <c r="C92" s="78" t="str">
        <f>IF(C91="-","-", IF(HLOOKUP(C91,Grund_be,4,FALSE)=2,"SW","-"))</f>
        <v>-</v>
      </c>
      <c r="D92" s="79" t="str">
        <f>IF(C91="-","-", IF(HLOOKUP(C91,Grund_be,4,FALSE)=2,"RW-GrSt","-"))</f>
        <v>-</v>
      </c>
      <c r="E92" s="78" t="str">
        <f>IF(E91="-","-", IF(HLOOKUP(E91,Grund_be,4,FALSE)=2,"SW","-"))</f>
        <v>-</v>
      </c>
      <c r="F92" s="79" t="str">
        <f>IF(E91="-","-", IF(HLOOKUP(E91,Grund_be,4,FALSE)=2,"RW-GrSt","-"))</f>
        <v>-</v>
      </c>
      <c r="G92" s="78" t="str">
        <f>IF(G91="-","-", IF(HLOOKUP(G91,Grund_be,4,FALSE)=2,"SW","-"))</f>
        <v>-</v>
      </c>
      <c r="H92" s="79" t="str">
        <f>IF(G91="-","-", IF(HLOOKUP(G91,Grund_be,4,FALSE)=2,"RW-GrSt","-"))</f>
        <v>-</v>
      </c>
      <c r="I92" s="78" t="str">
        <f>IF(I91="-","-", IF(HLOOKUP(I91,Grund_be,4,FALSE)=2,"SW","-"))</f>
        <v>-</v>
      </c>
      <c r="J92" s="79" t="str">
        <f>IF(I91="-","-", IF(HLOOKUP(I91,Grund_be,4,FALSE)=2,"RW-GrSt","-"))</f>
        <v>-</v>
      </c>
    </row>
    <row r="93" spans="1:10" s="82" customFormat="1" ht="30" customHeight="1" x14ac:dyDescent="0.3">
      <c r="A93" s="443" t="s">
        <v>600</v>
      </c>
      <c r="B93" s="474" t="s">
        <v>355</v>
      </c>
      <c r="C93" s="423" t="str">
        <f>IF(C91="-","-", IF(HLOOKUP(C91,Grund_be,4,FALSE)=2,HLOOKUP(C91,Zuwend,62,FALSE),"-"))</f>
        <v>-</v>
      </c>
      <c r="D93" s="80" t="str">
        <f>IF(C91="-","-", IF(HLOOKUP(C91,Grund_be,4,FALSE)=2,HLOOKUP(C91,Zuwend,63,FALSE),"-"))</f>
        <v>-</v>
      </c>
      <c r="E93" s="423" t="str">
        <f>IF(E91="-","-", IF(HLOOKUP(E91,Grund_be,4,FALSE)=2,HLOOKUP(E91,Zuwend,62,FALSE),"-"))</f>
        <v>-</v>
      </c>
      <c r="F93" s="80" t="str">
        <f>IF(E91="-","-", IF(HLOOKUP(E91,Grund_be,4,FALSE)=2,HLOOKUP(E91,Zuwend,63,FALSE),"-"))</f>
        <v>-</v>
      </c>
      <c r="G93" s="423" t="str">
        <f>IF(G91="-","-", IF(HLOOKUP(G91,Grund_be,4,FALSE)=2,HLOOKUP(G91,Zuwend,62,FALSE),"-"))</f>
        <v>-</v>
      </c>
      <c r="H93" s="80" t="str">
        <f>IF(G91="-","-", IF(HLOOKUP(G91,Grund_be,4,FALSE)=2,HLOOKUP(G91,Zuwend,63,FALSE),"-"))</f>
        <v>-</v>
      </c>
      <c r="I93" s="423" t="str">
        <f>IF(I91="-","-", IF(HLOOKUP(I91,Grund_be,4,FALSE)=2,HLOOKUP(I91,Zuwend,62,FALSE),"-"))</f>
        <v>-</v>
      </c>
      <c r="J93" s="80" t="str">
        <f>IF(I91="-","-", IF(HLOOKUP(I91,Grund_be,4,FALSE)=2,HLOOKUP(I91,Zuwend,63,FALSE),"-"))</f>
        <v>-</v>
      </c>
    </row>
    <row r="94" spans="1:10" s="82" customFormat="1" ht="21" customHeight="1" x14ac:dyDescent="0.3">
      <c r="A94" s="443" t="s">
        <v>601</v>
      </c>
      <c r="B94" s="474" t="s">
        <v>373</v>
      </c>
      <c r="C94" s="423" t="str">
        <f>IF(C91="-","-", IF(HLOOKUP(C91,Grund_be,4,FALSE)=2,HLOOKUP(C91,Zuwend,66,FALSE),"-"))</f>
        <v>-</v>
      </c>
      <c r="D94" s="80" t="str">
        <f>IF(C91="-","-", IF(HLOOKUP(C91,Grund_be,4,FALSE)=2,HLOOKUP(C91,Zuwend,67,FALSE),"-"))</f>
        <v>-</v>
      </c>
      <c r="E94" s="423" t="str">
        <f>IF(E91="-","-", IF(HLOOKUP(E91,Grund_be,4,FALSE)=2,HLOOKUP(E91,Zuwend,66,FALSE),"-"))</f>
        <v>-</v>
      </c>
      <c r="F94" s="80" t="str">
        <f>IF(E91="-","-", IF(HLOOKUP(E91,Grund_be,4,FALSE)=2,HLOOKUP(E91,Zuwend,67,FALSE),"-"))</f>
        <v>-</v>
      </c>
      <c r="G94" s="423" t="str">
        <f>IF(G91="-","-", IF(HLOOKUP(G91,Grund_be,4,FALSE)=2,HLOOKUP(G91,Zuwend,66,FALSE),"-"))</f>
        <v>-</v>
      </c>
      <c r="H94" s="80" t="str">
        <f>IF(G91="-","-", IF(HLOOKUP(G91,Grund_be,4,FALSE)=2,HLOOKUP(G91,Zuwend,67,FALSE),"-"))</f>
        <v>-</v>
      </c>
      <c r="I94" s="423" t="str">
        <f>IF(I91="-","-", IF(HLOOKUP(I91,Grund_be,4,FALSE)=2,HLOOKUP(I91,Zuwend,66,FALSE),"-"))</f>
        <v>-</v>
      </c>
      <c r="J94" s="80" t="str">
        <f>IF(I91="-","-", IF(HLOOKUP(I91,Grund_be,4,FALSE)=2,HLOOKUP(I91,Zuwend,67,FALSE),"-"))</f>
        <v>-</v>
      </c>
    </row>
    <row r="95" spans="1:10" s="82" customFormat="1" ht="45" customHeight="1" x14ac:dyDescent="0.3">
      <c r="A95" s="443" t="s">
        <v>602</v>
      </c>
      <c r="B95" s="474" t="s">
        <v>812</v>
      </c>
      <c r="C95" s="766" t="str">
        <f>IF(C91="-","-", IF(HLOOKUP(C91,Grund_be,4,FALSE)=2,SUM(C94,D94),"-"))</f>
        <v>-</v>
      </c>
      <c r="D95" s="709"/>
      <c r="E95" s="766" t="str">
        <f>IF(E91="-","-", IF(HLOOKUP(E91,Grund_be,4,FALSE)=2,SUM(E94,F94),"-"))</f>
        <v>-</v>
      </c>
      <c r="F95" s="709"/>
      <c r="G95" s="766" t="str">
        <f>IF(G91="-","-", IF(HLOOKUP(G91,Grund_be,4,FALSE)=2,SUM(G94,H94),"-"))</f>
        <v>-</v>
      </c>
      <c r="H95" s="709"/>
      <c r="I95" s="766" t="str">
        <f>IF(I91="-","-", IF(HLOOKUP(I91,Grund_be,4,FALSE)=2,SUM(I94,J94),"-"))</f>
        <v>-</v>
      </c>
      <c r="J95" s="709"/>
    </row>
    <row r="96" spans="1:10" s="82" customFormat="1" ht="47.25" customHeight="1" thickBot="1" x14ac:dyDescent="0.35">
      <c r="A96" s="443" t="s">
        <v>603</v>
      </c>
      <c r="B96" s="475" t="s">
        <v>785</v>
      </c>
      <c r="C96" s="776" t="str">
        <f>IF(SUM(C95,E95,G95,I95)&lt;&gt;0,SUM(C95,E95,G95,I95),"-")</f>
        <v>-</v>
      </c>
      <c r="D96" s="777"/>
      <c r="E96" s="777"/>
      <c r="F96" s="777"/>
      <c r="G96" s="777"/>
      <c r="H96" s="777"/>
      <c r="I96" s="777"/>
      <c r="J96" s="837"/>
    </row>
    <row r="97" spans="1:10" s="82" customFormat="1" ht="47.25" customHeight="1" x14ac:dyDescent="0.3">
      <c r="A97" s="457" t="s">
        <v>606</v>
      </c>
      <c r="B97" s="431" t="s">
        <v>786</v>
      </c>
      <c r="C97" s="833" t="str">
        <f>IF(C6="-","-", IF(HLOOKUP(C6,Grund_be,2,FALSE)=2,C6,"-"))</f>
        <v>-</v>
      </c>
      <c r="D97" s="834"/>
      <c r="E97" s="833" t="str">
        <f>IF(E6="-","-", IF(HLOOKUP(E6,Grund_be,2,FALSE)=2,E6,"-"))</f>
        <v>-</v>
      </c>
      <c r="F97" s="834"/>
      <c r="G97" s="833" t="str">
        <f>IF(G6="-","-", IF(HLOOKUP(G6,Grund_be,2,FALSE)=2,G6,"-"))</f>
        <v>-</v>
      </c>
      <c r="H97" s="834"/>
      <c r="I97" s="833" t="str">
        <f>IF(I6="-","-", IF(HLOOKUP(I6,Grund_be,2,FALSE)=2,I6,"-"))</f>
        <v>-</v>
      </c>
      <c r="J97" s="834"/>
    </row>
    <row r="98" spans="1:10" s="82" customFormat="1" ht="21" customHeight="1" x14ac:dyDescent="0.3">
      <c r="A98" s="443" t="s">
        <v>607</v>
      </c>
      <c r="B98" s="474" t="s">
        <v>354</v>
      </c>
      <c r="C98" s="78" t="str">
        <f>IF(C97="-","-", IF(HLOOKUP(C97,Grund_be,2,FALSE)=2,"SW","-"))</f>
        <v>-</v>
      </c>
      <c r="D98" s="79" t="str">
        <f>IF(C97="-","-", IF(HLOOKUP(C97,Grund_be,2,FALSE)=2,"RW","-"))</f>
        <v>-</v>
      </c>
      <c r="E98" s="78" t="str">
        <f>IF(E97="-","-", IF(HLOOKUP(E97,Grund_be,2,FALSE)=2,"SW","-"))</f>
        <v>-</v>
      </c>
      <c r="F98" s="79" t="str">
        <f>IF(E97="-","-", IF(HLOOKUP(E97,Grund_be,2,FALSE)=2,"RW","-"))</f>
        <v>-</v>
      </c>
      <c r="G98" s="78" t="str">
        <f>IF(G97="-","-", IF(HLOOKUP(G97,Grund_be,2,FALSE)=2,"SW","-"))</f>
        <v>-</v>
      </c>
      <c r="H98" s="79" t="str">
        <f>IF(G97="-","-", IF(HLOOKUP(G97,Grund_be,2,FALSE)=2,"RW","-"))</f>
        <v>-</v>
      </c>
      <c r="I98" s="78" t="str">
        <f>IF(I97="-","-", IF(HLOOKUP(I97,Grund_be,2,FALSE)=2,"SW","-"))</f>
        <v>-</v>
      </c>
      <c r="J98" s="79" t="str">
        <f>IF(I97="-","-", IF(HLOOKUP(I97,Grund_be,2,FALSE)=2,"RW","-"))</f>
        <v>-</v>
      </c>
    </row>
    <row r="99" spans="1:10" s="82" customFormat="1" ht="61.5" customHeight="1" x14ac:dyDescent="0.3">
      <c r="A99" s="443" t="s">
        <v>608</v>
      </c>
      <c r="B99" s="476" t="s">
        <v>767</v>
      </c>
      <c r="C99" s="421" t="str">
        <f>IF(C97="-","-", IF(HLOOKUP(C97,Grund_be,2,FALSE)=2,HLOOKUP(C97,Anlageg,37,FALSE),"-"))</f>
        <v>-</v>
      </c>
      <c r="D99" s="80" t="str">
        <f>IF(C97="-","-", IF(HLOOKUP(C97,Grund_be,2,FALSE)=2,HLOOKUP(C97,Anlageg,38,FALSE),"-"))</f>
        <v>-</v>
      </c>
      <c r="E99" s="421" t="str">
        <f>IF(E97="-","-", IF(HLOOKUP(E97,Grund_be,2,FALSE)=2,HLOOKUP(E97,Anlageg,37,FALSE),"-"))</f>
        <v>-</v>
      </c>
      <c r="F99" s="80" t="str">
        <f>IF(E97="-","-", IF(HLOOKUP(E97,Grund_be,2,FALSE)=2,HLOOKUP(E97,Anlageg,38,FALSE),"-"))</f>
        <v>-</v>
      </c>
      <c r="G99" s="421" t="str">
        <f>IF(G97="-","-", IF(HLOOKUP(G97,Grund_be,2,FALSE)=2,HLOOKUP(G97,Anlageg,37,FALSE),"-"))</f>
        <v>-</v>
      </c>
      <c r="H99" s="80" t="str">
        <f>IF(G97="-","-", IF(HLOOKUP(G97,Grund_be,2,FALSE)=2,HLOOKUP(G97,Anlageg,38,FALSE),"-"))</f>
        <v>-</v>
      </c>
      <c r="I99" s="421" t="str">
        <f>IF(I97="-","-", IF(HLOOKUP(I97,Grund_be,2,FALSE)=2,HLOOKUP(I97,Anlageg,37,FALSE),"-"))</f>
        <v>-</v>
      </c>
      <c r="J99" s="80" t="str">
        <f>IF(I97="-","-", IF(HLOOKUP(I97,Grund_be,2,FALSE)=2,HLOOKUP(I97,Anlageg,38,FALSE),"-"))</f>
        <v>-</v>
      </c>
    </row>
    <row r="100" spans="1:10" s="82" customFormat="1" ht="45" customHeight="1" x14ac:dyDescent="0.3">
      <c r="A100" s="443" t="s">
        <v>609</v>
      </c>
      <c r="B100" s="476" t="s">
        <v>768</v>
      </c>
      <c r="C100" s="421" t="str">
        <f>IF(C97="-","-", IF(HLOOKUP(C97,Grund_be,2,FALSE)=2,HLOOKUP(C97,Anlageg,41,FALSE),"-"))</f>
        <v>-</v>
      </c>
      <c r="D100" s="80" t="str">
        <f>IF(C97="-","-", IF(HLOOKUP(C97,Grund_be,2,FALSE)=2,HLOOKUP(C97,Anlageg,42,FALSE),"-"))</f>
        <v>-</v>
      </c>
      <c r="E100" s="421" t="str">
        <f>IF(E97="-","-", IF(HLOOKUP(E97,Grund_be,2,FALSE)=2,HLOOKUP(E97,Anlageg,41,FALSE),"-"))</f>
        <v>-</v>
      </c>
      <c r="F100" s="80" t="str">
        <f>IF(E97="-","-", IF(HLOOKUP(E97,Grund_be,2,FALSE)=2,HLOOKUP(E97,Anlageg,42,FALSE),"-"))</f>
        <v>-</v>
      </c>
      <c r="G100" s="421" t="str">
        <f>IF(G97="-","-", IF(HLOOKUP(G97,Grund_be,2,FALSE)=2,HLOOKUP(G97,Anlageg,41,FALSE),"-"))</f>
        <v>-</v>
      </c>
      <c r="H100" s="80" t="str">
        <f>IF(G97="-","-", IF(HLOOKUP(G97,Grund_be,2,FALSE)=2,HLOOKUP(G97,Anlageg,42,FALSE),"-"))</f>
        <v>-</v>
      </c>
      <c r="I100" s="421" t="str">
        <f>IF(I97="-","-", IF(HLOOKUP(I97,Grund_be,2,FALSE)=2,HLOOKUP(I97,Anlageg,41,FALSE),"-"))</f>
        <v>-</v>
      </c>
      <c r="J100" s="80" t="str">
        <f>IF(I97="-","-", IF(HLOOKUP(I97,Grund_be,2,FALSE)=2,HLOOKUP(I97,Anlageg,42,FALSE),"-"))</f>
        <v>-</v>
      </c>
    </row>
    <row r="101" spans="1:10" s="82" customFormat="1" ht="43.5" customHeight="1" x14ac:dyDescent="0.3">
      <c r="A101" s="443" t="s">
        <v>610</v>
      </c>
      <c r="B101" s="474" t="s">
        <v>815</v>
      </c>
      <c r="C101" s="775" t="str">
        <f>IF(C97="-","-", IF(HLOOKUP(C97,Grund_be,2,FALSE)=2,SUM(C100,D100),"-"))</f>
        <v>-</v>
      </c>
      <c r="D101" s="698"/>
      <c r="E101" s="775" t="str">
        <f>IF(E97="-","-", IF(HLOOKUP(E97,Grund_be,2,FALSE)=2,SUM(E100,F100),"-"))</f>
        <v>-</v>
      </c>
      <c r="F101" s="698"/>
      <c r="G101" s="775" t="str">
        <f>IF(G97="-","-", IF(HLOOKUP(G97,Grund_be,2,FALSE)=2,SUM(G100,H100),"-"))</f>
        <v>-</v>
      </c>
      <c r="H101" s="698"/>
      <c r="I101" s="775" t="str">
        <f>IF(I97="-","-", IF(HLOOKUP(I97,Grund_be,2,FALSE)=2,SUM(I100,J100),"-"))</f>
        <v>-</v>
      </c>
      <c r="J101" s="698"/>
    </row>
    <row r="102" spans="1:10" s="82" customFormat="1" ht="45" customHeight="1" thickBot="1" x14ac:dyDescent="0.35">
      <c r="A102" s="443" t="s">
        <v>611</v>
      </c>
      <c r="B102" s="477" t="s">
        <v>810</v>
      </c>
      <c r="C102" s="784" t="str">
        <f>IF(SUM(C101,E101,G101,I101)&gt;0,SUM(C101,E101,G101,I101),"-")</f>
        <v>-</v>
      </c>
      <c r="D102" s="785"/>
      <c r="E102" s="785"/>
      <c r="F102" s="785"/>
      <c r="G102" s="785"/>
      <c r="H102" s="785"/>
      <c r="I102" s="785"/>
      <c r="J102" s="835"/>
    </row>
    <row r="103" spans="1:10" s="82" customFormat="1" ht="47.25" customHeight="1" thickBot="1" x14ac:dyDescent="0.35">
      <c r="A103" s="501" t="s">
        <v>613</v>
      </c>
      <c r="B103" s="500" t="s">
        <v>374</v>
      </c>
      <c r="C103" s="780" t="str">
        <f>IF(OR(C95&lt;&gt;"-",C102&lt;&gt;"-"),SUM(C96,C102),"-")</f>
        <v>-</v>
      </c>
      <c r="D103" s="781"/>
      <c r="E103" s="781"/>
      <c r="F103" s="781"/>
      <c r="G103" s="781"/>
      <c r="H103" s="781"/>
      <c r="I103" s="781"/>
      <c r="J103" s="836"/>
    </row>
  </sheetData>
  <sheetProtection sheet="1" objects="1" scenarios="1"/>
  <mergeCells count="155">
    <mergeCell ref="C101:D101"/>
    <mergeCell ref="E101:F101"/>
    <mergeCell ref="G101:H101"/>
    <mergeCell ref="I101:J101"/>
    <mergeCell ref="C102:J102"/>
    <mergeCell ref="C103:J103"/>
    <mergeCell ref="C95:D95"/>
    <mergeCell ref="E95:F95"/>
    <mergeCell ref="G95:H95"/>
    <mergeCell ref="I95:J95"/>
    <mergeCell ref="C96:J96"/>
    <mergeCell ref="C97:D97"/>
    <mergeCell ref="E97:F97"/>
    <mergeCell ref="G97:H97"/>
    <mergeCell ref="I97:J97"/>
    <mergeCell ref="C88:D88"/>
    <mergeCell ref="E88:F88"/>
    <mergeCell ref="G88:H88"/>
    <mergeCell ref="I88:J88"/>
    <mergeCell ref="B90:J90"/>
    <mergeCell ref="C91:D91"/>
    <mergeCell ref="E91:F91"/>
    <mergeCell ref="G91:H91"/>
    <mergeCell ref="I91:J91"/>
    <mergeCell ref="C86:D86"/>
    <mergeCell ref="E86:F86"/>
    <mergeCell ref="G86:H86"/>
    <mergeCell ref="I86:J86"/>
    <mergeCell ref="C87:D87"/>
    <mergeCell ref="E87:F87"/>
    <mergeCell ref="G87:H87"/>
    <mergeCell ref="I87:J87"/>
    <mergeCell ref="C84:D84"/>
    <mergeCell ref="E84:F84"/>
    <mergeCell ref="G84:H84"/>
    <mergeCell ref="I84:J84"/>
    <mergeCell ref="C85:D85"/>
    <mergeCell ref="E85:F85"/>
    <mergeCell ref="G85:H85"/>
    <mergeCell ref="I85:J85"/>
    <mergeCell ref="C82:D82"/>
    <mergeCell ref="E82:F82"/>
    <mergeCell ref="G82:H82"/>
    <mergeCell ref="I82:J82"/>
    <mergeCell ref="C83:D83"/>
    <mergeCell ref="E83:F83"/>
    <mergeCell ref="G83:H83"/>
    <mergeCell ref="I83:J83"/>
    <mergeCell ref="C80:D80"/>
    <mergeCell ref="E80:F80"/>
    <mergeCell ref="G80:H80"/>
    <mergeCell ref="I80:J80"/>
    <mergeCell ref="C81:D81"/>
    <mergeCell ref="E81:F81"/>
    <mergeCell ref="G81:H81"/>
    <mergeCell ref="I81:J81"/>
    <mergeCell ref="C78:D78"/>
    <mergeCell ref="E78:F78"/>
    <mergeCell ref="G78:H78"/>
    <mergeCell ref="I78:J78"/>
    <mergeCell ref="C79:D79"/>
    <mergeCell ref="E79:F79"/>
    <mergeCell ref="G79:H79"/>
    <mergeCell ref="I79:J79"/>
    <mergeCell ref="C66:J66"/>
    <mergeCell ref="C67:J67"/>
    <mergeCell ref="B68:J68"/>
    <mergeCell ref="B70:J70"/>
    <mergeCell ref="C71:D71"/>
    <mergeCell ref="E71:F71"/>
    <mergeCell ref="G71:H71"/>
    <mergeCell ref="I71:J71"/>
    <mergeCell ref="C59:F59"/>
    <mergeCell ref="G59:J59"/>
    <mergeCell ref="C60:F60"/>
    <mergeCell ref="G60:J60"/>
    <mergeCell ref="B62:J62"/>
    <mergeCell ref="C63:D63"/>
    <mergeCell ref="E63:F63"/>
    <mergeCell ref="G63:H63"/>
    <mergeCell ref="I63:J63"/>
    <mergeCell ref="C57:D57"/>
    <mergeCell ref="E57:F57"/>
    <mergeCell ref="G57:H57"/>
    <mergeCell ref="I57:J57"/>
    <mergeCell ref="C58:D58"/>
    <mergeCell ref="E58:F58"/>
    <mergeCell ref="G58:H58"/>
    <mergeCell ref="I58:J58"/>
    <mergeCell ref="C54:D54"/>
    <mergeCell ref="E54:F54"/>
    <mergeCell ref="G54:H54"/>
    <mergeCell ref="I54:J54"/>
    <mergeCell ref="C55:J55"/>
    <mergeCell ref="C56:D56"/>
    <mergeCell ref="E56:F56"/>
    <mergeCell ref="G56:H56"/>
    <mergeCell ref="I56:J56"/>
    <mergeCell ref="C52:D52"/>
    <mergeCell ref="E52:F52"/>
    <mergeCell ref="G52:H52"/>
    <mergeCell ref="I52:J52"/>
    <mergeCell ref="C53:D53"/>
    <mergeCell ref="E53:F53"/>
    <mergeCell ref="G53:H53"/>
    <mergeCell ref="I53:J53"/>
    <mergeCell ref="C50:D50"/>
    <mergeCell ref="E50:F50"/>
    <mergeCell ref="G50:H50"/>
    <mergeCell ref="I50:J50"/>
    <mergeCell ref="C51:D51"/>
    <mergeCell ref="E51:F51"/>
    <mergeCell ref="G51:H51"/>
    <mergeCell ref="I51:J51"/>
    <mergeCell ref="C48:D48"/>
    <mergeCell ref="E48:F48"/>
    <mergeCell ref="G48:H48"/>
    <mergeCell ref="I48:J48"/>
    <mergeCell ref="C49:D49"/>
    <mergeCell ref="E49:F49"/>
    <mergeCell ref="G49:H49"/>
    <mergeCell ref="I49:J49"/>
    <mergeCell ref="B45:J45"/>
    <mergeCell ref="C46:D46"/>
    <mergeCell ref="E46:F46"/>
    <mergeCell ref="G46:H46"/>
    <mergeCell ref="I46:J46"/>
    <mergeCell ref="C47:D47"/>
    <mergeCell ref="E47:F47"/>
    <mergeCell ref="G47:H47"/>
    <mergeCell ref="I47:J47"/>
    <mergeCell ref="A45:A47"/>
    <mergeCell ref="C39:F39"/>
    <mergeCell ref="G39:J39"/>
    <mergeCell ref="C42:F42"/>
    <mergeCell ref="G42:J42"/>
    <mergeCell ref="C43:F43"/>
    <mergeCell ref="G43:J43"/>
    <mergeCell ref="I6:J6"/>
    <mergeCell ref="B29:J29"/>
    <mergeCell ref="C30:D30"/>
    <mergeCell ref="E30:F30"/>
    <mergeCell ref="G30:H30"/>
    <mergeCell ref="I30:J30"/>
    <mergeCell ref="A29:A31"/>
    <mergeCell ref="A1:J1"/>
    <mergeCell ref="A2:J2"/>
    <mergeCell ref="A4:J4"/>
    <mergeCell ref="A5:A7"/>
    <mergeCell ref="B5:B7"/>
    <mergeCell ref="C6:D6"/>
    <mergeCell ref="E6:F6"/>
    <mergeCell ref="G6:H6"/>
    <mergeCell ref="A3:J3"/>
    <mergeCell ref="C5:J5"/>
  </mergeCells>
  <printOptions gridLines="1"/>
  <pageMargins left="0.39370078740157483" right="0.19685039370078741" top="0.31496062992125984" bottom="0.19685039370078741" header="0.11811023622047245" footer="0.11811023622047245"/>
  <pageSetup paperSize="9" scale="95" fitToHeight="0" orientation="landscape" r:id="rId1"/>
  <headerFooter>
    <oddFooter>&amp;L&amp;6
Verfasser: Josef Beer
Geschützt (§ 69a UrhG)</oddFooter>
  </headerFooter>
  <rowBreaks count="3" manualBreakCount="3">
    <brk id="28" max="16383" man="1"/>
    <brk id="61" max="16383" man="1"/>
    <brk id="8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109"/>
  <sheetViews>
    <sheetView workbookViewId="0">
      <selection sqref="A1:H1"/>
    </sheetView>
  </sheetViews>
  <sheetFormatPr baseColWidth="10" defaultColWidth="11.44140625" defaultRowHeight="14.4" x14ac:dyDescent="0.3"/>
  <cols>
    <col min="1" max="1" width="6.33203125" style="82" customWidth="1"/>
    <col min="2" max="2" width="21" style="82" customWidth="1"/>
    <col min="3" max="3" width="35.44140625" style="82" customWidth="1"/>
    <col min="4" max="10" width="13.33203125" style="82" customWidth="1"/>
    <col min="11" max="12" width="12.33203125" style="82" bestFit="1" customWidth="1"/>
    <col min="13" max="16384" width="11.44140625" style="82"/>
  </cols>
  <sheetData>
    <row r="1" spans="1:12" ht="18" customHeight="1" x14ac:dyDescent="0.3">
      <c r="A1" s="849" t="s">
        <v>642</v>
      </c>
      <c r="B1" s="849"/>
      <c r="C1" s="849"/>
      <c r="D1" s="849"/>
      <c r="E1" s="849"/>
      <c r="F1" s="849"/>
      <c r="G1" s="849"/>
      <c r="H1" s="849"/>
    </row>
    <row r="2" spans="1:12" ht="18" customHeight="1" x14ac:dyDescent="0.3">
      <c r="A2" s="850" t="s">
        <v>643</v>
      </c>
      <c r="B2" s="850"/>
      <c r="C2" s="850"/>
      <c r="D2" s="850"/>
      <c r="E2" s="850"/>
      <c r="F2" s="850"/>
      <c r="G2" s="850"/>
      <c r="H2" s="850"/>
    </row>
    <row r="3" spans="1:12" ht="24" customHeight="1" x14ac:dyDescent="0.3">
      <c r="A3" s="851" t="s">
        <v>375</v>
      </c>
      <c r="B3" s="851"/>
      <c r="C3" s="851"/>
      <c r="D3" s="851"/>
      <c r="E3" s="851"/>
      <c r="F3" s="851"/>
      <c r="G3" s="851"/>
      <c r="H3" s="852"/>
    </row>
    <row r="4" spans="1:12" ht="18.75" customHeight="1" x14ac:dyDescent="0.35">
      <c r="A4" s="851" t="s">
        <v>376</v>
      </c>
      <c r="B4" s="853"/>
      <c r="C4" s="853"/>
      <c r="D4" s="853"/>
      <c r="E4" s="853"/>
      <c r="F4" s="853"/>
      <c r="G4" s="853"/>
      <c r="H4" s="853"/>
    </row>
    <row r="5" spans="1:12" ht="21" customHeight="1" x14ac:dyDescent="0.3">
      <c r="A5" s="640" t="s">
        <v>517</v>
      </c>
      <c r="B5" s="854" t="s">
        <v>720</v>
      </c>
      <c r="C5" s="855"/>
      <c r="D5" s="855"/>
      <c r="E5" s="855"/>
      <c r="F5" s="855"/>
      <c r="G5" s="855"/>
      <c r="H5" s="788" t="s">
        <v>379</v>
      </c>
      <c r="I5" s="789"/>
      <c r="J5" s="789"/>
      <c r="L5" s="83"/>
    </row>
    <row r="6" spans="1:12" s="83" customFormat="1" ht="19.5" customHeight="1" x14ac:dyDescent="0.3">
      <c r="A6" s="110" t="s">
        <v>11</v>
      </c>
      <c r="B6" s="874" t="s">
        <v>689</v>
      </c>
      <c r="C6" s="703"/>
      <c r="D6" s="703"/>
      <c r="E6" s="703"/>
      <c r="F6" s="704"/>
      <c r="G6" s="628" t="s">
        <v>377</v>
      </c>
      <c r="H6" s="134">
        <v>40909</v>
      </c>
      <c r="I6" s="641"/>
      <c r="J6" s="134">
        <v>42735</v>
      </c>
      <c r="K6" s="82"/>
    </row>
    <row r="7" spans="1:12" ht="6.9" customHeight="1" x14ac:dyDescent="0.3">
      <c r="A7" s="642"/>
      <c r="B7" s="148"/>
      <c r="C7" s="148"/>
      <c r="D7" s="148"/>
      <c r="E7" s="148"/>
      <c r="F7" s="148"/>
      <c r="G7" s="148"/>
      <c r="H7" s="148"/>
      <c r="I7" s="148"/>
      <c r="J7" s="32"/>
      <c r="L7" s="83"/>
    </row>
    <row r="8" spans="1:12" s="83" customFormat="1" ht="20.25" customHeight="1" x14ac:dyDescent="0.3">
      <c r="A8" s="110" t="s">
        <v>13</v>
      </c>
      <c r="B8" s="874" t="s">
        <v>378</v>
      </c>
      <c r="C8" s="703"/>
      <c r="D8" s="703"/>
      <c r="E8" s="703"/>
      <c r="F8" s="704"/>
      <c r="G8" s="633" t="s">
        <v>377</v>
      </c>
      <c r="H8" s="135">
        <f>IF(J6&gt;EOMONTH(Grunddaten!H6,59)+1,EOMONTH(Grunddaten!H6,59)+1,J6+1)</f>
        <v>42736</v>
      </c>
      <c r="I8" s="643"/>
      <c r="J8" s="136">
        <v>44196</v>
      </c>
      <c r="K8" s="82"/>
    </row>
    <row r="9" spans="1:12" ht="6.75" customHeight="1" x14ac:dyDescent="0.3">
      <c r="A9" s="642"/>
      <c r="B9" s="148"/>
      <c r="C9" s="440"/>
      <c r="D9" s="440"/>
      <c r="E9" s="440"/>
      <c r="F9" s="440"/>
      <c r="G9" s="148"/>
      <c r="H9" s="644"/>
      <c r="I9" s="644"/>
      <c r="J9" s="644"/>
      <c r="L9" s="83"/>
    </row>
    <row r="10" spans="1:12" ht="33.75" customHeight="1" thickBot="1" x14ac:dyDescent="0.35">
      <c r="A10" s="109" t="s">
        <v>556</v>
      </c>
      <c r="B10" s="854" t="s">
        <v>380</v>
      </c>
      <c r="C10" s="875"/>
      <c r="D10" s="634" t="s">
        <v>382</v>
      </c>
      <c r="E10" s="877" t="s">
        <v>395</v>
      </c>
      <c r="F10" s="878"/>
      <c r="G10" s="879"/>
      <c r="H10" s="856" t="s">
        <v>396</v>
      </c>
      <c r="I10" s="857"/>
      <c r="J10" s="858"/>
      <c r="K10" s="632"/>
      <c r="L10" s="632"/>
    </row>
    <row r="11" spans="1:12" ht="15" customHeight="1" x14ac:dyDescent="0.3">
      <c r="A11" s="110" t="s">
        <v>86</v>
      </c>
      <c r="B11" s="859" t="s">
        <v>140</v>
      </c>
      <c r="C11" s="745"/>
      <c r="D11" s="111">
        <f>Nachkalkulation!C6</f>
        <v>2012</v>
      </c>
      <c r="E11" s="860" t="str">
        <f>" der Jahre "&amp;YEAR(H6)+1&amp;" bis " &amp;YEAR(H8)-1</f>
        <v xml:space="preserve"> der Jahre 2013 bis 2016</v>
      </c>
      <c r="F11" s="861"/>
      <c r="G11" s="862"/>
      <c r="H11" s="860" t="str">
        <f>" der Jahre "&amp;YEAR(H8)&amp;" bis " &amp;YEAR(J8)</f>
        <v xml:space="preserve"> der Jahre 2017 bis 2020</v>
      </c>
      <c r="I11" s="861"/>
      <c r="J11" s="862"/>
      <c r="K11" s="639"/>
      <c r="L11" s="639"/>
    </row>
    <row r="12" spans="1:12" s="646" customFormat="1" ht="27" customHeight="1" x14ac:dyDescent="0.3">
      <c r="A12" s="645" t="s">
        <v>89</v>
      </c>
      <c r="B12" s="868" t="s">
        <v>974</v>
      </c>
      <c r="C12" s="869"/>
      <c r="D12" s="635"/>
      <c r="E12" s="873" t="str">
        <f>IF(D12=2,2,"")</f>
        <v/>
      </c>
      <c r="F12" s="876"/>
      <c r="G12" s="876"/>
      <c r="H12" s="873" t="str">
        <f>IF(E12=2,2,"")</f>
        <v/>
      </c>
      <c r="I12" s="873"/>
      <c r="J12" s="873"/>
      <c r="K12" s="637"/>
      <c r="L12" s="637"/>
    </row>
    <row r="13" spans="1:12" s="646" customFormat="1" ht="18" customHeight="1" x14ac:dyDescent="0.3">
      <c r="A13" s="645" t="s">
        <v>92</v>
      </c>
      <c r="B13" s="880" t="s">
        <v>381</v>
      </c>
      <c r="C13" s="869"/>
      <c r="D13" s="636">
        <v>1</v>
      </c>
      <c r="E13" s="881">
        <f>D13</f>
        <v>1</v>
      </c>
      <c r="F13" s="881"/>
      <c r="G13" s="881"/>
      <c r="H13" s="881">
        <f>E13</f>
        <v>1</v>
      </c>
      <c r="I13" s="881"/>
      <c r="J13" s="881"/>
      <c r="K13" s="112"/>
      <c r="L13" s="112"/>
    </row>
    <row r="14" spans="1:12" ht="6.75" customHeight="1" x14ac:dyDescent="0.3">
      <c r="A14" s="647"/>
      <c r="B14" s="148"/>
      <c r="C14" s="148"/>
      <c r="D14" s="113"/>
      <c r="E14" s="113"/>
      <c r="F14" s="113"/>
      <c r="G14" s="113"/>
      <c r="H14" s="113"/>
      <c r="I14" s="113"/>
      <c r="J14" s="113"/>
      <c r="K14" s="112"/>
      <c r="L14" s="112"/>
    </row>
    <row r="15" spans="1:12" s="646" customFormat="1" ht="27" customHeight="1" x14ac:dyDescent="0.3">
      <c r="A15" s="645" t="s">
        <v>95</v>
      </c>
      <c r="B15" s="868" t="s">
        <v>695</v>
      </c>
      <c r="C15" s="869"/>
      <c r="D15" s="635"/>
      <c r="E15" s="873" t="str">
        <f>IF(D15=2,2,"")</f>
        <v/>
      </c>
      <c r="F15" s="876"/>
      <c r="G15" s="876"/>
      <c r="H15" s="873" t="str">
        <f>IF(E15=2,2,"")</f>
        <v/>
      </c>
      <c r="I15" s="873"/>
      <c r="J15" s="873"/>
      <c r="K15" s="637"/>
      <c r="L15" s="637"/>
    </row>
    <row r="16" spans="1:12" s="646" customFormat="1" ht="18" customHeight="1" x14ac:dyDescent="0.3">
      <c r="A16" s="645" t="s">
        <v>98</v>
      </c>
      <c r="B16" s="880" t="s">
        <v>381</v>
      </c>
      <c r="C16" s="869"/>
      <c r="D16" s="636">
        <v>1</v>
      </c>
      <c r="E16" s="881">
        <f>D16</f>
        <v>1</v>
      </c>
      <c r="F16" s="881"/>
      <c r="G16" s="881"/>
      <c r="H16" s="881">
        <f>E16</f>
        <v>1</v>
      </c>
      <c r="I16" s="881"/>
      <c r="J16" s="881"/>
      <c r="K16" s="112"/>
      <c r="L16" s="112"/>
    </row>
    <row r="17" spans="1:12" ht="6.75" customHeight="1" x14ac:dyDescent="0.3">
      <c r="A17" s="647"/>
      <c r="B17" s="148"/>
      <c r="C17" s="148"/>
      <c r="D17" s="648"/>
      <c r="E17" s="648"/>
      <c r="F17" s="648"/>
      <c r="G17" s="648"/>
      <c r="H17" s="648"/>
      <c r="I17" s="648"/>
      <c r="J17" s="648"/>
      <c r="K17" s="112"/>
      <c r="L17" s="112"/>
    </row>
    <row r="18" spans="1:12" s="639" customFormat="1" ht="21" customHeight="1" x14ac:dyDescent="0.3">
      <c r="A18" s="645" t="s">
        <v>101</v>
      </c>
      <c r="B18" s="863" t="s">
        <v>394</v>
      </c>
      <c r="C18" s="864"/>
      <c r="D18" s="860" t="str">
        <f>"Nachkalkulationszeitraum von "&amp;YEAR(H6)  &amp;" bis "&amp;YEAR(H8)-1</f>
        <v>Nachkalkulationszeitraum von 2012 bis 2016</v>
      </c>
      <c r="E18" s="861"/>
      <c r="F18" s="861"/>
      <c r="G18" s="861"/>
      <c r="H18" s="865" t="str">
        <f>"Vorkalkulationszeitraum von "&amp;YEAR(H8)  &amp;" bis "&amp;YEAR(J8)</f>
        <v>Vorkalkulationszeitraum von 2017 bis 2020</v>
      </c>
      <c r="I18" s="866"/>
      <c r="J18" s="867"/>
      <c r="K18" s="112"/>
      <c r="L18" s="112"/>
    </row>
    <row r="19" spans="1:12" s="639" customFormat="1" ht="43.5" customHeight="1" x14ac:dyDescent="0.3">
      <c r="A19" s="645" t="s">
        <v>650</v>
      </c>
      <c r="B19" s="868" t="s">
        <v>975</v>
      </c>
      <c r="C19" s="869"/>
      <c r="D19" s="870"/>
      <c r="E19" s="871"/>
      <c r="F19" s="871"/>
      <c r="G19" s="872"/>
      <c r="H19" s="873" t="str">
        <f>IF(D19=2,2,"")</f>
        <v/>
      </c>
      <c r="I19" s="873"/>
      <c r="J19" s="873"/>
      <c r="K19" s="112"/>
      <c r="L19" s="112"/>
    </row>
    <row r="20" spans="1:12" s="639" customFormat="1" ht="12.75" hidden="1" customHeight="1" x14ac:dyDescent="0.3">
      <c r="A20" s="639" t="s">
        <v>140</v>
      </c>
      <c r="C20" s="639">
        <f>Nachkalkulation!C6</f>
        <v>2012</v>
      </c>
      <c r="D20" s="639">
        <f>Nachkalkulation!E6</f>
        <v>2013</v>
      </c>
      <c r="E20" s="639">
        <f>Nachkalkulation!G6</f>
        <v>2014</v>
      </c>
      <c r="F20" s="639">
        <f>Nachkalkulation!I6</f>
        <v>2015</v>
      </c>
      <c r="G20" s="208">
        <f>Nachkalkulation!K6</f>
        <v>2016</v>
      </c>
      <c r="H20" s="639">
        <f>Vorkalkulation!C6</f>
        <v>2017</v>
      </c>
      <c r="I20" s="639">
        <f>Vorkalkulation!E6</f>
        <v>2018</v>
      </c>
      <c r="J20" s="639">
        <f>Vorkalkulation!G6</f>
        <v>2019</v>
      </c>
      <c r="K20" s="639">
        <f>Vorkalkulation!I6</f>
        <v>2020</v>
      </c>
      <c r="L20" s="213"/>
    </row>
    <row r="21" spans="1:12" s="639" customFormat="1" ht="12.75" hidden="1" customHeight="1" x14ac:dyDescent="0.3">
      <c r="A21" s="639" t="s">
        <v>458</v>
      </c>
      <c r="C21" s="639">
        <f>D12</f>
        <v>0</v>
      </c>
      <c r="D21" s="639" t="str">
        <f>E12</f>
        <v/>
      </c>
      <c r="E21" s="639" t="str">
        <f>D21</f>
        <v/>
      </c>
      <c r="F21" s="639" t="str">
        <f t="shared" ref="F21:G25" si="0">E21</f>
        <v/>
      </c>
      <c r="G21" s="208" t="str">
        <f t="shared" si="0"/>
        <v/>
      </c>
      <c r="H21" s="639" t="str">
        <f>H12</f>
        <v/>
      </c>
      <c r="I21" s="639" t="str">
        <f>H21</f>
        <v/>
      </c>
      <c r="J21" s="639" t="str">
        <f t="shared" ref="J21:K25" si="1">I21</f>
        <v/>
      </c>
      <c r="K21" s="639" t="str">
        <f t="shared" si="1"/>
        <v/>
      </c>
      <c r="L21" s="386">
        <v>2</v>
      </c>
    </row>
    <row r="22" spans="1:12" s="639" customFormat="1" ht="12.75" hidden="1" customHeight="1" x14ac:dyDescent="0.3">
      <c r="A22" s="639" t="s">
        <v>454</v>
      </c>
      <c r="C22" s="210">
        <f>D13</f>
        <v>1</v>
      </c>
      <c r="D22" s="210">
        <f>E13</f>
        <v>1</v>
      </c>
      <c r="E22" s="210">
        <f>D22</f>
        <v>1</v>
      </c>
      <c r="F22" s="210">
        <f t="shared" si="0"/>
        <v>1</v>
      </c>
      <c r="G22" s="212">
        <f t="shared" si="0"/>
        <v>1</v>
      </c>
      <c r="H22" s="210">
        <f>H13</f>
        <v>1</v>
      </c>
      <c r="I22" s="210">
        <f>H22</f>
        <v>1</v>
      </c>
      <c r="J22" s="210">
        <f t="shared" si="1"/>
        <v>1</v>
      </c>
      <c r="K22" s="210">
        <f t="shared" si="1"/>
        <v>1</v>
      </c>
      <c r="L22" s="386">
        <v>3</v>
      </c>
    </row>
    <row r="23" spans="1:12" s="639" customFormat="1" ht="12.75" hidden="1" customHeight="1" x14ac:dyDescent="0.3">
      <c r="A23" s="639" t="s">
        <v>455</v>
      </c>
      <c r="C23" s="639">
        <f>D15</f>
        <v>0</v>
      </c>
      <c r="D23" s="639" t="str">
        <f>E15</f>
        <v/>
      </c>
      <c r="E23" s="639" t="str">
        <f>D23</f>
        <v/>
      </c>
      <c r="F23" s="639" t="str">
        <f t="shared" si="0"/>
        <v/>
      </c>
      <c r="G23" s="208" t="str">
        <f t="shared" si="0"/>
        <v/>
      </c>
      <c r="H23" s="639" t="str">
        <f>H15</f>
        <v/>
      </c>
      <c r="I23" s="639" t="str">
        <f>H23</f>
        <v/>
      </c>
      <c r="J23" s="639" t="str">
        <f t="shared" si="1"/>
        <v/>
      </c>
      <c r="K23" s="639" t="str">
        <f t="shared" si="1"/>
        <v/>
      </c>
      <c r="L23" s="386">
        <v>4</v>
      </c>
    </row>
    <row r="24" spans="1:12" s="639" customFormat="1" ht="12.75" hidden="1" customHeight="1" x14ac:dyDescent="0.3">
      <c r="A24" s="639" t="s">
        <v>456</v>
      </c>
      <c r="C24" s="211">
        <f>D16</f>
        <v>1</v>
      </c>
      <c r="D24" s="211">
        <f>E16</f>
        <v>1</v>
      </c>
      <c r="E24" s="210">
        <f>D24</f>
        <v>1</v>
      </c>
      <c r="F24" s="210">
        <f t="shared" si="0"/>
        <v>1</v>
      </c>
      <c r="G24" s="212">
        <f t="shared" si="0"/>
        <v>1</v>
      </c>
      <c r="H24" s="211">
        <f>H16</f>
        <v>1</v>
      </c>
      <c r="I24" s="210">
        <f>H24</f>
        <v>1</v>
      </c>
      <c r="J24" s="210">
        <f t="shared" si="1"/>
        <v>1</v>
      </c>
      <c r="K24" s="210">
        <f t="shared" si="1"/>
        <v>1</v>
      </c>
      <c r="L24" s="386">
        <v>5</v>
      </c>
    </row>
    <row r="25" spans="1:12" s="639" customFormat="1" ht="12.75" hidden="1" customHeight="1" x14ac:dyDescent="0.3">
      <c r="A25" s="639" t="s">
        <v>457</v>
      </c>
      <c r="C25" s="639">
        <f>D19</f>
        <v>0</v>
      </c>
      <c r="D25" s="639">
        <f>C25</f>
        <v>0</v>
      </c>
      <c r="E25" s="639">
        <f>D25</f>
        <v>0</v>
      </c>
      <c r="F25" s="639">
        <f t="shared" si="0"/>
        <v>0</v>
      </c>
      <c r="G25" s="208">
        <f t="shared" si="0"/>
        <v>0</v>
      </c>
      <c r="H25" s="639" t="str">
        <f>H19</f>
        <v/>
      </c>
      <c r="I25" s="639" t="str">
        <f>H25</f>
        <v/>
      </c>
      <c r="J25" s="639" t="str">
        <f t="shared" si="1"/>
        <v/>
      </c>
      <c r="K25" s="639" t="str">
        <f t="shared" si="1"/>
        <v/>
      </c>
      <c r="L25" s="386">
        <v>6</v>
      </c>
    </row>
    <row r="26" spans="1:12" s="675" customFormat="1" ht="12.75" hidden="1" customHeight="1" x14ac:dyDescent="0.3">
      <c r="A26" s="838" t="str">
        <f>"Zwischen Zeile "&amp;ROW(20:20)&amp;" und Zeile "&amp;ROW(25:25)&amp;" weder eine Zeile einfügen noch löschen!!!"</f>
        <v>Zwischen Zeile 20 und Zeile 25 weder eine Zeile einfügen noch löschen!!!</v>
      </c>
      <c r="B26" s="839"/>
      <c r="C26" s="839"/>
      <c r="L26" s="386"/>
    </row>
    <row r="27" spans="1:12" ht="6.75" customHeight="1" x14ac:dyDescent="0.3">
      <c r="A27" s="148"/>
      <c r="B27" s="148"/>
      <c r="C27" s="148"/>
      <c r="D27" s="148"/>
      <c r="E27" s="148"/>
      <c r="F27" s="148"/>
      <c r="G27" s="148"/>
      <c r="H27" s="148"/>
      <c r="I27" s="148"/>
      <c r="J27" s="148"/>
      <c r="K27" s="148"/>
      <c r="L27" s="148"/>
    </row>
    <row r="28" spans="1:12" ht="20.25" customHeight="1" thickBot="1" x14ac:dyDescent="0.35">
      <c r="A28" s="109" t="s">
        <v>651</v>
      </c>
      <c r="B28" s="888" t="s">
        <v>385</v>
      </c>
      <c r="C28" s="889"/>
      <c r="D28" s="889"/>
      <c r="E28" s="889"/>
      <c r="F28" s="889"/>
      <c r="G28" s="890"/>
      <c r="H28" s="890"/>
      <c r="I28" s="891"/>
      <c r="J28" s="891"/>
      <c r="K28" s="891"/>
      <c r="L28" s="891"/>
    </row>
    <row r="29" spans="1:12" ht="27" customHeight="1" thickBot="1" x14ac:dyDescent="0.35">
      <c r="A29" s="109"/>
      <c r="B29" s="892" t="s">
        <v>386</v>
      </c>
      <c r="C29" s="893"/>
      <c r="D29" s="114" t="s">
        <v>382</v>
      </c>
      <c r="E29" s="877" t="s">
        <v>383</v>
      </c>
      <c r="F29" s="894"/>
      <c r="G29" s="894"/>
      <c r="H29" s="895"/>
      <c r="I29" s="896" t="s">
        <v>384</v>
      </c>
      <c r="J29" s="856"/>
      <c r="K29" s="856"/>
      <c r="L29" s="897"/>
    </row>
    <row r="30" spans="1:12" s="150" customFormat="1" ht="15" customHeight="1" thickBot="1" x14ac:dyDescent="0.35">
      <c r="A30" s="649" t="s">
        <v>105</v>
      </c>
      <c r="B30" s="898" t="s">
        <v>140</v>
      </c>
      <c r="C30" s="899"/>
      <c r="D30" s="381">
        <f>Nachkalkulation!C6</f>
        <v>2012</v>
      </c>
      <c r="E30" s="381">
        <f>Nachkalkulation!E6</f>
        <v>2013</v>
      </c>
      <c r="F30" s="381">
        <f>Nachkalkulation!G6</f>
        <v>2014</v>
      </c>
      <c r="G30" s="381">
        <f>Nachkalkulation!I6</f>
        <v>2015</v>
      </c>
      <c r="H30" s="382">
        <f>Nachkalkulation!K6</f>
        <v>2016</v>
      </c>
      <c r="I30" s="380">
        <f>Vorkalkulation!C6</f>
        <v>2017</v>
      </c>
      <c r="J30" s="381">
        <f>Vorkalkulation!E6</f>
        <v>2018</v>
      </c>
      <c r="K30" s="381">
        <f>Vorkalkulation!G6</f>
        <v>2019</v>
      </c>
      <c r="L30" s="381">
        <f>Vorkalkulation!I6</f>
        <v>2020</v>
      </c>
    </row>
    <row r="31" spans="1:12" ht="17.25" customHeight="1" thickBot="1" x14ac:dyDescent="0.35">
      <c r="A31" s="649" t="s">
        <v>108</v>
      </c>
      <c r="B31" s="900" t="s">
        <v>981</v>
      </c>
      <c r="C31" s="901"/>
      <c r="D31" s="383">
        <v>3.5000000000000003E-2</v>
      </c>
      <c r="E31" s="383">
        <f>IF(E30&lt;&gt;"-",D31,0)</f>
        <v>3.5000000000000003E-2</v>
      </c>
      <c r="F31" s="383">
        <f>IF(F30&lt;&gt;"-",E31,0)</f>
        <v>3.5000000000000003E-2</v>
      </c>
      <c r="G31" s="383">
        <f>IF(G30&lt;&gt;"-",F31,0)</f>
        <v>3.5000000000000003E-2</v>
      </c>
      <c r="H31" s="552">
        <f>IF(H30&lt;&gt;"-",G31,0)</f>
        <v>3.5000000000000003E-2</v>
      </c>
      <c r="I31" s="384">
        <v>0.03</v>
      </c>
      <c r="J31" s="383">
        <f>IF(J30&lt;&gt;"-",I31,0)</f>
        <v>0.03</v>
      </c>
      <c r="K31" s="383">
        <f>IF(K30&lt;&gt;"-",J31,0)</f>
        <v>0.03</v>
      </c>
      <c r="L31" s="383">
        <f>IF(L30&lt;&gt;"-",K31,0)</f>
        <v>0.03</v>
      </c>
    </row>
    <row r="32" spans="1:12" ht="17.25" customHeight="1" x14ac:dyDescent="0.3">
      <c r="A32" s="649" t="s">
        <v>111</v>
      </c>
      <c r="B32" s="902" t="s">
        <v>688</v>
      </c>
      <c r="C32" s="903"/>
      <c r="D32" s="383">
        <v>2.2499999999999999E-2</v>
      </c>
      <c r="E32" s="383">
        <f>IF(E30&lt;&gt;"-",D32,0)</f>
        <v>2.2499999999999999E-2</v>
      </c>
      <c r="F32" s="383">
        <f>IF(F30&lt;&gt;"-",E32,0)</f>
        <v>2.2499999999999999E-2</v>
      </c>
      <c r="G32" s="383">
        <f>IF(G30&lt;&gt;"-",F32,0)</f>
        <v>2.2499999999999999E-2</v>
      </c>
      <c r="H32" s="552">
        <f>IF(H30&lt;&gt;"-",G32,0)</f>
        <v>2.2499999999999999E-2</v>
      </c>
      <c r="I32" s="553">
        <v>0.02</v>
      </c>
      <c r="J32" s="554">
        <f>IF(J30&lt;&gt;"-",I32,0)</f>
        <v>0.02</v>
      </c>
      <c r="K32" s="554">
        <f>IF(K30&lt;&gt;"-",J32,0)</f>
        <v>0.02</v>
      </c>
      <c r="L32" s="554">
        <f>IF(L30&lt;&gt;"-",K32,0)</f>
        <v>0.02</v>
      </c>
    </row>
    <row r="33" spans="1:12" s="639" customFormat="1" ht="17.25" hidden="1" customHeight="1" x14ac:dyDescent="0.3">
      <c r="A33" s="649"/>
      <c r="B33" s="910" t="s">
        <v>140</v>
      </c>
      <c r="C33" s="910"/>
      <c r="D33" s="112">
        <f>D30</f>
        <v>2012</v>
      </c>
      <c r="E33" s="112">
        <f t="shared" ref="E33:L33" si="2">E30</f>
        <v>2013</v>
      </c>
      <c r="F33" s="112">
        <f t="shared" si="2"/>
        <v>2014</v>
      </c>
      <c r="G33" s="112">
        <f t="shared" si="2"/>
        <v>2015</v>
      </c>
      <c r="H33" s="112">
        <f t="shared" si="2"/>
        <v>2016</v>
      </c>
      <c r="I33" s="112">
        <f t="shared" si="2"/>
        <v>2017</v>
      </c>
      <c r="J33" s="112">
        <f t="shared" si="2"/>
        <v>2018</v>
      </c>
      <c r="K33" s="112">
        <f t="shared" si="2"/>
        <v>2019</v>
      </c>
      <c r="L33" s="112">
        <f t="shared" si="2"/>
        <v>2020</v>
      </c>
    </row>
    <row r="34" spans="1:12" s="639" customFormat="1" ht="17.25" hidden="1" customHeight="1" x14ac:dyDescent="0.3">
      <c r="A34" s="649"/>
      <c r="B34" s="911" t="s">
        <v>387</v>
      </c>
      <c r="C34" s="911"/>
      <c r="D34" s="385">
        <f>D31</f>
        <v>3.5000000000000003E-2</v>
      </c>
      <c r="E34" s="385">
        <f t="shared" ref="E34:L34" si="3">E31</f>
        <v>3.5000000000000003E-2</v>
      </c>
      <c r="F34" s="385">
        <f t="shared" si="3"/>
        <v>3.5000000000000003E-2</v>
      </c>
      <c r="G34" s="385">
        <f t="shared" si="3"/>
        <v>3.5000000000000003E-2</v>
      </c>
      <c r="H34" s="385">
        <f t="shared" si="3"/>
        <v>3.5000000000000003E-2</v>
      </c>
      <c r="I34" s="385">
        <f t="shared" si="3"/>
        <v>0.03</v>
      </c>
      <c r="J34" s="385">
        <f t="shared" si="3"/>
        <v>0.03</v>
      </c>
      <c r="K34" s="385">
        <f t="shared" si="3"/>
        <v>0.03</v>
      </c>
      <c r="L34" s="385">
        <f t="shared" si="3"/>
        <v>0.03</v>
      </c>
    </row>
    <row r="35" spans="1:12" s="639" customFormat="1" ht="17.25" hidden="1" customHeight="1" x14ac:dyDescent="0.3">
      <c r="A35" s="649"/>
      <c r="B35" s="911" t="s">
        <v>388</v>
      </c>
      <c r="C35" s="911"/>
      <c r="D35" s="385">
        <f>D32</f>
        <v>2.2499999999999999E-2</v>
      </c>
      <c r="E35" s="385">
        <f t="shared" ref="E35:L35" si="4">E32</f>
        <v>2.2499999999999999E-2</v>
      </c>
      <c r="F35" s="385">
        <f t="shared" si="4"/>
        <v>2.2499999999999999E-2</v>
      </c>
      <c r="G35" s="385">
        <f t="shared" si="4"/>
        <v>2.2499999999999999E-2</v>
      </c>
      <c r="H35" s="385">
        <f t="shared" si="4"/>
        <v>2.2499999999999999E-2</v>
      </c>
      <c r="I35" s="385">
        <f t="shared" si="4"/>
        <v>0.02</v>
      </c>
      <c r="J35" s="385">
        <f t="shared" si="4"/>
        <v>0.02</v>
      </c>
      <c r="K35" s="385">
        <f t="shared" si="4"/>
        <v>0.02</v>
      </c>
      <c r="L35" s="385">
        <f t="shared" si="4"/>
        <v>0.02</v>
      </c>
    </row>
    <row r="36" spans="1:12" s="83" customFormat="1" ht="6.75" customHeight="1" x14ac:dyDescent="0.3">
      <c r="A36" s="148"/>
      <c r="B36" s="148"/>
      <c r="C36" s="148"/>
      <c r="D36" s="148"/>
      <c r="E36" s="148"/>
      <c r="F36" s="148"/>
      <c r="G36" s="148"/>
      <c r="H36" s="149"/>
      <c r="I36" s="300"/>
      <c r="J36" s="148"/>
      <c r="K36" s="148"/>
      <c r="L36" s="629"/>
    </row>
    <row r="37" spans="1:12" s="115" customFormat="1" ht="18" customHeight="1" thickBot="1" x14ac:dyDescent="0.35">
      <c r="A37" s="650" t="s">
        <v>652</v>
      </c>
      <c r="B37" s="904" t="s">
        <v>690</v>
      </c>
      <c r="C37" s="905"/>
      <c r="D37" s="905"/>
      <c r="E37" s="905"/>
      <c r="F37" s="905"/>
      <c r="G37" s="905"/>
      <c r="H37" s="906"/>
      <c r="I37" s="907" t="s">
        <v>384</v>
      </c>
      <c r="J37" s="908"/>
      <c r="K37" s="908"/>
      <c r="L37" s="909"/>
    </row>
    <row r="38" spans="1:12" s="115" customFormat="1" ht="15" customHeight="1" thickBot="1" x14ac:dyDescent="0.35">
      <c r="A38" s="81" t="s">
        <v>567</v>
      </c>
      <c r="B38" s="884" t="s">
        <v>140</v>
      </c>
      <c r="C38" s="885"/>
      <c r="D38" s="886"/>
      <c r="E38" s="886"/>
      <c r="F38" s="886"/>
      <c r="G38" s="886"/>
      <c r="H38" s="887"/>
      <c r="I38" s="380">
        <f>Vorkalkulation!C6</f>
        <v>2017</v>
      </c>
      <c r="J38" s="381">
        <f>Vorkalkulation!E6</f>
        <v>2018</v>
      </c>
      <c r="K38" s="381">
        <f>Vorkalkulation!G6</f>
        <v>2019</v>
      </c>
      <c r="L38" s="381">
        <f>Vorkalkulation!I6</f>
        <v>2020</v>
      </c>
    </row>
    <row r="39" spans="1:12" s="115" customFormat="1" ht="17.25" customHeight="1" x14ac:dyDescent="0.3">
      <c r="A39" s="81" t="s">
        <v>568</v>
      </c>
      <c r="B39" s="912" t="s">
        <v>721</v>
      </c>
      <c r="C39" s="913"/>
      <c r="D39" s="914"/>
      <c r="E39" s="914"/>
      <c r="F39" s="914"/>
      <c r="G39" s="914"/>
      <c r="H39" s="915"/>
      <c r="I39" s="387">
        <v>650000</v>
      </c>
      <c r="J39" s="388">
        <v>670000</v>
      </c>
      <c r="K39" s="388">
        <v>700000</v>
      </c>
      <c r="L39" s="388">
        <v>710000</v>
      </c>
    </row>
    <row r="40" spans="1:12" s="115" customFormat="1" ht="17.25" customHeight="1" x14ac:dyDescent="0.3">
      <c r="A40" s="81" t="s">
        <v>653</v>
      </c>
      <c r="B40" s="912" t="s">
        <v>722</v>
      </c>
      <c r="C40" s="913"/>
      <c r="D40" s="914"/>
      <c r="E40" s="914"/>
      <c r="F40" s="914"/>
      <c r="G40" s="914"/>
      <c r="H40" s="915"/>
      <c r="I40" s="389">
        <v>450000</v>
      </c>
      <c r="J40" s="390">
        <v>465000</v>
      </c>
      <c r="K40" s="390">
        <v>480000</v>
      </c>
      <c r="L40" s="390">
        <v>492000</v>
      </c>
    </row>
    <row r="41" spans="1:12" s="83" customFormat="1" ht="6.75" customHeight="1" x14ac:dyDescent="0.3">
      <c r="A41" s="148"/>
      <c r="B41" s="148"/>
      <c r="C41" s="148"/>
      <c r="D41" s="148"/>
      <c r="E41" s="148"/>
      <c r="F41" s="148"/>
      <c r="G41" s="148"/>
      <c r="H41" s="149"/>
      <c r="I41" s="300"/>
      <c r="J41" s="148"/>
      <c r="K41" s="148"/>
      <c r="L41" s="629"/>
    </row>
    <row r="42" spans="1:12" s="115" customFormat="1" ht="18" customHeight="1" thickBot="1" x14ac:dyDescent="0.35">
      <c r="A42" s="650" t="s">
        <v>654</v>
      </c>
      <c r="B42" s="904" t="s">
        <v>687</v>
      </c>
      <c r="C42" s="905"/>
      <c r="D42" s="905"/>
      <c r="E42" s="905"/>
      <c r="F42" s="905"/>
      <c r="G42" s="905"/>
      <c r="H42" s="906"/>
      <c r="I42" s="907"/>
      <c r="J42" s="916"/>
      <c r="K42" s="916"/>
      <c r="L42" s="917"/>
    </row>
    <row r="43" spans="1:12" s="115" customFormat="1" ht="15" customHeight="1" thickBot="1" x14ac:dyDescent="0.35">
      <c r="A43" s="81" t="s">
        <v>576</v>
      </c>
      <c r="B43" s="884" t="s">
        <v>140</v>
      </c>
      <c r="C43" s="885"/>
      <c r="D43" s="886"/>
      <c r="E43" s="886"/>
      <c r="F43" s="886"/>
      <c r="G43" s="886"/>
      <c r="H43" s="887"/>
      <c r="I43" s="380">
        <f>Vorkalkulation!C6</f>
        <v>2017</v>
      </c>
      <c r="J43" s="381">
        <f>Vorkalkulation!E6</f>
        <v>2018</v>
      </c>
      <c r="K43" s="381">
        <f>Vorkalkulation!G6</f>
        <v>2019</v>
      </c>
      <c r="L43" s="381">
        <f>Vorkalkulation!I6</f>
        <v>2020</v>
      </c>
    </row>
    <row r="44" spans="1:12" s="115" customFormat="1" ht="17.25" customHeight="1" x14ac:dyDescent="0.3">
      <c r="A44" s="81" t="s">
        <v>577</v>
      </c>
      <c r="B44" s="912" t="s">
        <v>662</v>
      </c>
      <c r="C44" s="913"/>
      <c r="D44" s="914"/>
      <c r="E44" s="914"/>
      <c r="F44" s="914"/>
      <c r="G44" s="914"/>
      <c r="H44" s="915"/>
      <c r="I44" s="555">
        <v>590000</v>
      </c>
      <c r="J44" s="556">
        <v>608000</v>
      </c>
      <c r="K44" s="556">
        <v>636000</v>
      </c>
      <c r="L44" s="556">
        <v>646000</v>
      </c>
    </row>
    <row r="45" spans="1:12" s="115" customFormat="1" ht="17.25" customHeight="1" x14ac:dyDescent="0.3">
      <c r="A45" s="81" t="s">
        <v>655</v>
      </c>
      <c r="B45" s="912" t="s">
        <v>663</v>
      </c>
      <c r="C45" s="913"/>
      <c r="D45" s="914"/>
      <c r="E45" s="914"/>
      <c r="F45" s="914"/>
      <c r="G45" s="914"/>
      <c r="H45" s="915"/>
      <c r="I45" s="555">
        <v>60000</v>
      </c>
      <c r="J45" s="556">
        <v>62000</v>
      </c>
      <c r="K45" s="556">
        <v>64000</v>
      </c>
      <c r="L45" s="556">
        <v>64000</v>
      </c>
    </row>
    <row r="46" spans="1:12" s="115" customFormat="1" ht="18" hidden="1" customHeight="1" x14ac:dyDescent="0.3">
      <c r="A46" s="81" t="s">
        <v>656</v>
      </c>
      <c r="B46" s="882" t="str">
        <f>B38</f>
        <v>Jahr</v>
      </c>
      <c r="C46" s="883"/>
      <c r="D46" s="883"/>
      <c r="E46" s="883"/>
      <c r="F46" s="883"/>
      <c r="G46" s="883"/>
      <c r="H46" s="638">
        <v>1</v>
      </c>
      <c r="I46" s="557">
        <f>I30</f>
        <v>2017</v>
      </c>
      <c r="J46" s="558">
        <f t="shared" ref="J46:L46" si="5">J30</f>
        <v>2018</v>
      </c>
      <c r="K46" s="558">
        <f t="shared" si="5"/>
        <v>2019</v>
      </c>
      <c r="L46" s="558">
        <f t="shared" si="5"/>
        <v>2020</v>
      </c>
    </row>
    <row r="47" spans="1:12" s="116" customFormat="1" ht="18" hidden="1" customHeight="1" x14ac:dyDescent="0.3">
      <c r="A47" s="81" t="s">
        <v>657</v>
      </c>
      <c r="B47" s="882" t="s">
        <v>389</v>
      </c>
      <c r="C47" s="883"/>
      <c r="D47" s="883"/>
      <c r="E47" s="883"/>
      <c r="F47" s="883"/>
      <c r="G47" s="883"/>
      <c r="H47" s="638">
        <v>2</v>
      </c>
      <c r="I47" s="559">
        <f>I39</f>
        <v>650000</v>
      </c>
      <c r="J47" s="560">
        <f t="shared" ref="J47:L47" si="6">J39</f>
        <v>670000</v>
      </c>
      <c r="K47" s="560">
        <f t="shared" si="6"/>
        <v>700000</v>
      </c>
      <c r="L47" s="560">
        <f t="shared" si="6"/>
        <v>710000</v>
      </c>
    </row>
    <row r="48" spans="1:12" s="116" customFormat="1" ht="18" hidden="1" customHeight="1" x14ac:dyDescent="0.3">
      <c r="A48" s="81" t="s">
        <v>658</v>
      </c>
      <c r="B48" s="882" t="s">
        <v>390</v>
      </c>
      <c r="C48" s="883"/>
      <c r="D48" s="883"/>
      <c r="E48" s="883"/>
      <c r="F48" s="883"/>
      <c r="G48" s="883"/>
      <c r="H48" s="638">
        <v>3</v>
      </c>
      <c r="I48" s="559">
        <f>I40</f>
        <v>450000</v>
      </c>
      <c r="J48" s="560">
        <f t="shared" ref="J48:L48" si="7">J40</f>
        <v>465000</v>
      </c>
      <c r="K48" s="560">
        <f t="shared" si="7"/>
        <v>480000</v>
      </c>
      <c r="L48" s="560">
        <f t="shared" si="7"/>
        <v>492000</v>
      </c>
    </row>
    <row r="49" spans="1:13" s="116" customFormat="1" ht="18" hidden="1" customHeight="1" x14ac:dyDescent="0.3">
      <c r="A49" s="81" t="s">
        <v>659</v>
      </c>
      <c r="B49" s="882" t="s">
        <v>391</v>
      </c>
      <c r="C49" s="883"/>
      <c r="D49" s="883"/>
      <c r="E49" s="883"/>
      <c r="F49" s="883"/>
      <c r="G49" s="883"/>
      <c r="H49" s="638">
        <v>4</v>
      </c>
      <c r="I49" s="559">
        <f>I44</f>
        <v>590000</v>
      </c>
      <c r="J49" s="560">
        <f t="shared" ref="J49:L49" si="8">J44</f>
        <v>608000</v>
      </c>
      <c r="K49" s="560">
        <f t="shared" si="8"/>
        <v>636000</v>
      </c>
      <c r="L49" s="560">
        <f t="shared" si="8"/>
        <v>646000</v>
      </c>
    </row>
    <row r="50" spans="1:13" s="116" customFormat="1" ht="18" hidden="1" customHeight="1" x14ac:dyDescent="0.3">
      <c r="A50" s="81" t="s">
        <v>660</v>
      </c>
      <c r="B50" s="882" t="s">
        <v>392</v>
      </c>
      <c r="C50" s="883"/>
      <c r="D50" s="883"/>
      <c r="E50" s="883"/>
      <c r="F50" s="883"/>
      <c r="G50" s="883"/>
      <c r="H50" s="638">
        <v>5</v>
      </c>
      <c r="I50" s="559">
        <f>I45</f>
        <v>60000</v>
      </c>
      <c r="J50" s="560">
        <f t="shared" ref="J50:L50" si="9">J45</f>
        <v>62000</v>
      </c>
      <c r="K50" s="560">
        <f t="shared" si="9"/>
        <v>64000</v>
      </c>
      <c r="L50" s="560">
        <f t="shared" si="9"/>
        <v>64000</v>
      </c>
    </row>
    <row r="51" spans="1:13" s="116" customFormat="1" ht="18" hidden="1" customHeight="1" x14ac:dyDescent="0.3">
      <c r="A51" s="81"/>
      <c r="B51" s="840" t="str">
        <f>"Zwischen Zeile "&amp;ROW(46:46)&amp;" und Zeile "&amp;ROW(50:50)&amp;" weder eine Zeile einfügen noch löschen!!!"</f>
        <v>Zwischen Zeile 46 und Zeile 50 weder eine Zeile einfügen noch löschen!!!</v>
      </c>
      <c r="C51" s="841"/>
      <c r="D51" s="841"/>
      <c r="E51" s="842"/>
      <c r="F51" s="842"/>
      <c r="G51" s="842"/>
      <c r="H51" s="674"/>
      <c r="I51" s="680"/>
      <c r="J51" s="680"/>
      <c r="K51" s="680"/>
      <c r="L51" s="681"/>
    </row>
    <row r="52" spans="1:13" s="83" customFormat="1" ht="6.75" customHeight="1" x14ac:dyDescent="0.3">
      <c r="A52" s="642"/>
      <c r="B52" s="148"/>
      <c r="C52" s="148"/>
      <c r="D52" s="148"/>
      <c r="E52" s="148"/>
      <c r="F52" s="148"/>
      <c r="G52" s="148"/>
      <c r="H52" s="148"/>
      <c r="I52" s="148"/>
      <c r="J52" s="148"/>
      <c r="K52" s="148"/>
      <c r="L52" s="629"/>
    </row>
    <row r="53" spans="1:13" s="150" customFormat="1" ht="46.5" customHeight="1" thickBot="1" x14ac:dyDescent="0.35">
      <c r="A53" s="645" t="s">
        <v>661</v>
      </c>
      <c r="B53" s="947" t="s">
        <v>821</v>
      </c>
      <c r="C53" s="948"/>
      <c r="D53" s="114" t="s">
        <v>382</v>
      </c>
      <c r="E53" s="877" t="s">
        <v>383</v>
      </c>
      <c r="F53" s="894"/>
      <c r="G53" s="894"/>
      <c r="H53" s="895"/>
      <c r="I53" s="896" t="s">
        <v>384</v>
      </c>
      <c r="J53" s="856"/>
      <c r="K53" s="856"/>
      <c r="L53" s="897"/>
    </row>
    <row r="54" spans="1:13" s="150" customFormat="1" ht="18" customHeight="1" thickBot="1" x14ac:dyDescent="0.35">
      <c r="A54" s="645" t="s">
        <v>822</v>
      </c>
      <c r="B54" s="898" t="s">
        <v>820</v>
      </c>
      <c r="C54" s="899"/>
      <c r="D54" s="544"/>
      <c r="E54" s="545"/>
      <c r="F54" s="545"/>
      <c r="G54" s="545"/>
      <c r="H54" s="546"/>
      <c r="I54" s="380">
        <f>Vorkalkulation!C6</f>
        <v>2017</v>
      </c>
      <c r="J54" s="381">
        <f>Vorkalkulation!E6</f>
        <v>2018</v>
      </c>
      <c r="K54" s="381">
        <f>Vorkalkulation!G6</f>
        <v>2019</v>
      </c>
      <c r="L54" s="381">
        <f>Vorkalkulation!I6</f>
        <v>2020</v>
      </c>
      <c r="M54" s="694"/>
    </row>
    <row r="55" spans="1:13" s="639" customFormat="1" ht="18" customHeight="1" x14ac:dyDescent="0.3">
      <c r="A55" s="645" t="s">
        <v>137</v>
      </c>
      <c r="B55" s="967" t="s">
        <v>831</v>
      </c>
      <c r="C55" s="968"/>
      <c r="D55" s="547"/>
      <c r="E55" s="119"/>
      <c r="F55" s="119"/>
      <c r="G55" s="119"/>
      <c r="H55" s="548"/>
      <c r="I55" s="537">
        <f t="shared" ref="I55" si="10">I56+I57</f>
        <v>74000</v>
      </c>
      <c r="J55" s="561">
        <f t="shared" ref="J55" si="11">J56+J57</f>
        <v>74850</v>
      </c>
      <c r="K55" s="561">
        <f t="shared" ref="K55" si="12">K56+K57</f>
        <v>75750</v>
      </c>
      <c r="L55" s="561">
        <f t="shared" ref="L55" si="13">L56+L57</f>
        <v>78350</v>
      </c>
      <c r="M55" s="694"/>
    </row>
    <row r="56" spans="1:13" s="639" customFormat="1" ht="18" customHeight="1" x14ac:dyDescent="0.3">
      <c r="A56" s="645" t="s">
        <v>823</v>
      </c>
      <c r="B56" s="949" t="s">
        <v>180</v>
      </c>
      <c r="C56" s="966"/>
      <c r="D56" s="547" t="s">
        <v>976</v>
      </c>
      <c r="E56" s="119"/>
      <c r="F56" s="119"/>
      <c r="G56" s="119"/>
      <c r="H56" s="548"/>
      <c r="I56" s="537">
        <f>HLOOKUP(I54,Grundgeb,2,FALSE)</f>
        <v>74000</v>
      </c>
      <c r="J56" s="561">
        <f>HLOOKUP(J54,Grundgeb,2,FALSE)</f>
        <v>74850</v>
      </c>
      <c r="K56" s="561">
        <f>HLOOKUP(K54,Grundgeb,2,FALSE)</f>
        <v>75750</v>
      </c>
      <c r="L56" s="561">
        <f>HLOOKUP(L54,Grundgeb,2,FALSE)</f>
        <v>78350</v>
      </c>
      <c r="M56" s="694"/>
    </row>
    <row r="57" spans="1:13" s="639" customFormat="1" ht="18" customHeight="1" x14ac:dyDescent="0.3">
      <c r="A57" s="645" t="s">
        <v>824</v>
      </c>
      <c r="B57" s="949" t="s">
        <v>918</v>
      </c>
      <c r="C57" s="950"/>
      <c r="D57" s="547"/>
      <c r="E57" s="119"/>
      <c r="F57" s="119"/>
      <c r="G57" s="119"/>
      <c r="H57" s="548"/>
      <c r="I57" s="538">
        <v>0</v>
      </c>
      <c r="J57" s="562">
        <v>0</v>
      </c>
      <c r="K57" s="562">
        <v>0</v>
      </c>
      <c r="L57" s="562">
        <v>0</v>
      </c>
      <c r="M57" s="694"/>
    </row>
    <row r="58" spans="1:13" s="83" customFormat="1" ht="6.75" customHeight="1" x14ac:dyDescent="0.3">
      <c r="A58" s="148"/>
      <c r="B58" s="148"/>
      <c r="C58" s="148"/>
      <c r="D58" s="148"/>
      <c r="E58" s="148"/>
      <c r="F58" s="148"/>
      <c r="G58" s="148"/>
      <c r="H58" s="149"/>
      <c r="I58" s="300"/>
      <c r="J58" s="148"/>
      <c r="K58" s="148"/>
      <c r="L58" s="629"/>
      <c r="M58" s="687"/>
    </row>
    <row r="59" spans="1:13" s="639" customFormat="1" ht="18" customHeight="1" thickBot="1" x14ac:dyDescent="0.35">
      <c r="A59" s="645" t="s">
        <v>825</v>
      </c>
      <c r="B59" s="949" t="s">
        <v>832</v>
      </c>
      <c r="C59" s="950"/>
      <c r="D59" s="549" t="s">
        <v>976</v>
      </c>
      <c r="E59" s="550"/>
      <c r="F59" s="550"/>
      <c r="G59" s="550"/>
      <c r="H59" s="551"/>
      <c r="I59" s="539">
        <f>HLOOKUP(I54,Grundgeb,2,FALSE)</f>
        <v>74000</v>
      </c>
      <c r="J59" s="563">
        <f>HLOOKUP(J54,Grundgeb,2,FALSE)</f>
        <v>74850</v>
      </c>
      <c r="K59" s="563">
        <f>HLOOKUP(K54,Grundgeb,2,FALSE)</f>
        <v>75750</v>
      </c>
      <c r="L59" s="563">
        <f>HLOOKUP(L54,Grundgeb,2,FALSE)</f>
        <v>78350</v>
      </c>
      <c r="M59" s="694"/>
    </row>
    <row r="60" spans="1:13" s="150" customFormat="1" ht="18" customHeight="1" thickBot="1" x14ac:dyDescent="0.35">
      <c r="A60" s="645" t="s">
        <v>826</v>
      </c>
      <c r="B60" s="898" t="s">
        <v>820</v>
      </c>
      <c r="C60" s="899"/>
      <c r="D60" s="381">
        <f>Nachkalkulation!C6</f>
        <v>2012</v>
      </c>
      <c r="E60" s="381">
        <f>Nachkalkulation!E6</f>
        <v>2013</v>
      </c>
      <c r="F60" s="381">
        <f>Nachkalkulation!G6</f>
        <v>2014</v>
      </c>
      <c r="G60" s="381">
        <f>Nachkalkulation!I6</f>
        <v>2015</v>
      </c>
      <c r="H60" s="382">
        <f>Nachkalkulation!K6</f>
        <v>2016</v>
      </c>
      <c r="I60" s="119"/>
      <c r="J60" s="119"/>
      <c r="K60" s="119"/>
      <c r="L60" s="695"/>
      <c r="M60" s="694"/>
    </row>
    <row r="61" spans="1:13" s="639" customFormat="1" ht="28.5" customHeight="1" x14ac:dyDescent="0.3">
      <c r="A61" s="645" t="s">
        <v>827</v>
      </c>
      <c r="B61" s="969" t="s">
        <v>919</v>
      </c>
      <c r="C61" s="970"/>
      <c r="D61" s="561">
        <f t="shared" ref="D61:H61" si="14">D62+D63</f>
        <v>920111</v>
      </c>
      <c r="E61" s="561">
        <f t="shared" si="14"/>
        <v>942513</v>
      </c>
      <c r="F61" s="561">
        <f t="shared" si="14"/>
        <v>965363</v>
      </c>
      <c r="G61" s="561">
        <f t="shared" si="14"/>
        <v>968671</v>
      </c>
      <c r="H61" s="564">
        <f t="shared" si="14"/>
        <v>962444</v>
      </c>
      <c r="I61" s="119"/>
      <c r="J61" s="119"/>
      <c r="K61" s="119"/>
      <c r="L61" s="120"/>
      <c r="M61" s="694"/>
    </row>
    <row r="62" spans="1:13" s="639" customFormat="1" ht="18" customHeight="1" x14ac:dyDescent="0.3">
      <c r="A62" s="645" t="s">
        <v>828</v>
      </c>
      <c r="B62" s="949" t="s">
        <v>180</v>
      </c>
      <c r="C62" s="966"/>
      <c r="D62" s="562">
        <v>870810</v>
      </c>
      <c r="E62" s="562">
        <v>895345</v>
      </c>
      <c r="F62" s="562">
        <v>916621</v>
      </c>
      <c r="G62" s="562">
        <v>917192</v>
      </c>
      <c r="H62" s="626">
        <v>903876</v>
      </c>
      <c r="I62" s="119"/>
      <c r="J62" s="119"/>
      <c r="K62" s="119"/>
      <c r="L62" s="120"/>
      <c r="M62" s="694"/>
    </row>
    <row r="63" spans="1:13" s="639" customFormat="1" ht="18" customHeight="1" x14ac:dyDescent="0.3">
      <c r="A63" s="645" t="s">
        <v>829</v>
      </c>
      <c r="B63" s="949" t="s">
        <v>918</v>
      </c>
      <c r="C63" s="950"/>
      <c r="D63" s="562">
        <v>49301</v>
      </c>
      <c r="E63" s="562">
        <v>47168</v>
      </c>
      <c r="F63" s="562">
        <v>48742</v>
      </c>
      <c r="G63" s="562">
        <v>51479</v>
      </c>
      <c r="H63" s="626">
        <v>58568</v>
      </c>
      <c r="I63" s="119"/>
      <c r="J63" s="119"/>
      <c r="K63" s="119"/>
      <c r="L63" s="120"/>
      <c r="M63" s="694"/>
    </row>
    <row r="64" spans="1:13" s="83" customFormat="1" ht="6.75" customHeight="1" x14ac:dyDescent="0.3">
      <c r="A64" s="148"/>
      <c r="B64" s="148"/>
      <c r="C64" s="148"/>
      <c r="D64" s="148"/>
      <c r="E64" s="148"/>
      <c r="F64" s="148"/>
      <c r="G64" s="148"/>
      <c r="H64" s="149"/>
      <c r="I64" s="300"/>
      <c r="J64" s="148"/>
      <c r="K64" s="148"/>
      <c r="L64" s="629"/>
      <c r="M64" s="687"/>
    </row>
    <row r="65" spans="1:13" s="639" customFormat="1" ht="28.5" customHeight="1" x14ac:dyDescent="0.3">
      <c r="A65" s="645" t="s">
        <v>830</v>
      </c>
      <c r="B65" s="971" t="s">
        <v>920</v>
      </c>
      <c r="C65" s="972"/>
      <c r="D65" s="562">
        <f>D62+D63</f>
        <v>920111</v>
      </c>
      <c r="E65" s="562">
        <f t="shared" ref="E65:H65" si="15">E62+E63</f>
        <v>942513</v>
      </c>
      <c r="F65" s="562">
        <f t="shared" si="15"/>
        <v>965363</v>
      </c>
      <c r="G65" s="562">
        <f t="shared" si="15"/>
        <v>968671</v>
      </c>
      <c r="H65" s="626">
        <f t="shared" si="15"/>
        <v>962444</v>
      </c>
      <c r="I65" s="119"/>
      <c r="J65" s="119"/>
      <c r="K65" s="119"/>
      <c r="L65" s="120"/>
      <c r="M65" s="694"/>
    </row>
    <row r="66" spans="1:13" s="686" customFormat="1" ht="15" hidden="1" customHeight="1" x14ac:dyDescent="0.3">
      <c r="A66" s="112"/>
      <c r="B66" s="949" t="s">
        <v>140</v>
      </c>
      <c r="C66" s="973"/>
      <c r="D66" s="691">
        <f>D60</f>
        <v>2012</v>
      </c>
      <c r="E66" s="691">
        <f t="shared" ref="E66:H66" si="16">E60</f>
        <v>2013</v>
      </c>
      <c r="F66" s="691">
        <f t="shared" si="16"/>
        <v>2014</v>
      </c>
      <c r="G66" s="691">
        <f t="shared" si="16"/>
        <v>2015</v>
      </c>
      <c r="H66" s="691">
        <f t="shared" si="16"/>
        <v>2016</v>
      </c>
      <c r="I66" s="691">
        <f>I54</f>
        <v>2017</v>
      </c>
      <c r="J66" s="691">
        <f t="shared" ref="J66:L66" si="17">J54</f>
        <v>2018</v>
      </c>
      <c r="K66" s="691">
        <f t="shared" si="17"/>
        <v>2019</v>
      </c>
      <c r="L66" s="692">
        <f t="shared" si="17"/>
        <v>2020</v>
      </c>
      <c r="M66" s="694"/>
    </row>
    <row r="67" spans="1:13" s="686" customFormat="1" ht="15" hidden="1" customHeight="1" x14ac:dyDescent="0.3">
      <c r="A67" s="112">
        <v>2</v>
      </c>
      <c r="B67" s="949" t="s">
        <v>992</v>
      </c>
      <c r="C67" s="949"/>
      <c r="D67" s="687"/>
      <c r="E67" s="687"/>
      <c r="F67" s="687"/>
      <c r="G67" s="687"/>
      <c r="H67" s="687"/>
      <c r="I67" s="693">
        <f>I56</f>
        <v>74000</v>
      </c>
      <c r="J67" s="693">
        <f t="shared" ref="J67:L68" si="18">J56</f>
        <v>74850</v>
      </c>
      <c r="K67" s="693">
        <f t="shared" si="18"/>
        <v>75750</v>
      </c>
      <c r="L67" s="696">
        <f t="shared" si="18"/>
        <v>78350</v>
      </c>
      <c r="M67" s="694"/>
    </row>
    <row r="68" spans="1:13" s="686" customFormat="1" ht="15" hidden="1" customHeight="1" x14ac:dyDescent="0.3">
      <c r="A68" s="112">
        <v>3</v>
      </c>
      <c r="B68" s="949" t="s">
        <v>993</v>
      </c>
      <c r="C68" s="949"/>
      <c r="D68" s="687"/>
      <c r="E68" s="687"/>
      <c r="F68" s="687"/>
      <c r="G68" s="687"/>
      <c r="H68" s="687"/>
      <c r="I68" s="693">
        <f>I57</f>
        <v>0</v>
      </c>
      <c r="J68" s="693">
        <f t="shared" si="18"/>
        <v>0</v>
      </c>
      <c r="K68" s="693">
        <f t="shared" si="18"/>
        <v>0</v>
      </c>
      <c r="L68" s="696">
        <f t="shared" si="18"/>
        <v>0</v>
      </c>
      <c r="M68" s="694"/>
    </row>
    <row r="69" spans="1:13" s="686" customFormat="1" ht="15" hidden="1" customHeight="1" x14ac:dyDescent="0.3">
      <c r="A69" s="112">
        <v>4</v>
      </c>
      <c r="B69" s="949" t="s">
        <v>994</v>
      </c>
      <c r="C69" s="949"/>
      <c r="D69" s="687"/>
      <c r="E69" s="687"/>
      <c r="F69" s="687"/>
      <c r="G69" s="687"/>
      <c r="H69" s="687"/>
      <c r="I69" s="693">
        <f>I59</f>
        <v>74000</v>
      </c>
      <c r="J69" s="693">
        <f t="shared" ref="J69:L69" si="19">J59</f>
        <v>74850</v>
      </c>
      <c r="K69" s="693">
        <f t="shared" si="19"/>
        <v>75750</v>
      </c>
      <c r="L69" s="696">
        <f t="shared" si="19"/>
        <v>78350</v>
      </c>
      <c r="M69" s="694"/>
    </row>
    <row r="70" spans="1:13" s="686" customFormat="1" ht="15" hidden="1" customHeight="1" x14ac:dyDescent="0.3">
      <c r="A70" s="112">
        <v>5</v>
      </c>
      <c r="B70" s="949" t="s">
        <v>995</v>
      </c>
      <c r="C70" s="949"/>
      <c r="D70" s="693">
        <f>D62</f>
        <v>870810</v>
      </c>
      <c r="E70" s="693">
        <f t="shared" ref="E70:H71" si="20">E62</f>
        <v>895345</v>
      </c>
      <c r="F70" s="693">
        <f t="shared" si="20"/>
        <v>916621</v>
      </c>
      <c r="G70" s="693">
        <f t="shared" si="20"/>
        <v>917192</v>
      </c>
      <c r="H70" s="693">
        <f t="shared" si="20"/>
        <v>903876</v>
      </c>
      <c r="I70" s="687"/>
      <c r="J70" s="687"/>
      <c r="K70" s="687"/>
      <c r="L70" s="208"/>
      <c r="M70" s="694"/>
    </row>
    <row r="71" spans="1:13" s="686" customFormat="1" ht="15" hidden="1" customHeight="1" x14ac:dyDescent="0.3">
      <c r="A71" s="112">
        <v>6</v>
      </c>
      <c r="B71" s="949" t="s">
        <v>996</v>
      </c>
      <c r="C71" s="949"/>
      <c r="D71" s="693">
        <f>D63</f>
        <v>49301</v>
      </c>
      <c r="E71" s="693">
        <f t="shared" si="20"/>
        <v>47168</v>
      </c>
      <c r="F71" s="693">
        <f t="shared" si="20"/>
        <v>48742</v>
      </c>
      <c r="G71" s="693">
        <f t="shared" si="20"/>
        <v>51479</v>
      </c>
      <c r="H71" s="693">
        <f t="shared" si="20"/>
        <v>58568</v>
      </c>
      <c r="I71" s="687"/>
      <c r="J71" s="687"/>
      <c r="K71" s="687"/>
      <c r="L71" s="208"/>
      <c r="M71" s="694"/>
    </row>
    <row r="72" spans="1:13" s="686" customFormat="1" ht="15" hidden="1" customHeight="1" x14ac:dyDescent="0.3">
      <c r="A72" s="112">
        <v>7</v>
      </c>
      <c r="B72" s="949" t="s">
        <v>997</v>
      </c>
      <c r="C72" s="949"/>
      <c r="D72" s="693">
        <f>D65</f>
        <v>920111</v>
      </c>
      <c r="E72" s="693">
        <f t="shared" ref="E72:H72" si="21">E65</f>
        <v>942513</v>
      </c>
      <c r="F72" s="693">
        <f t="shared" si="21"/>
        <v>965363</v>
      </c>
      <c r="G72" s="693">
        <f t="shared" si="21"/>
        <v>968671</v>
      </c>
      <c r="H72" s="693">
        <f t="shared" si="21"/>
        <v>962444</v>
      </c>
      <c r="I72" s="687"/>
      <c r="J72" s="687"/>
      <c r="K72" s="687"/>
      <c r="L72" s="208"/>
      <c r="M72" s="694"/>
    </row>
    <row r="73" spans="1:13" s="686" customFormat="1" ht="15" hidden="1" customHeight="1" x14ac:dyDescent="0.35">
      <c r="A73" s="112"/>
      <c r="B73" s="974" t="str">
        <f>"Zwischen Zeile "&amp;ROW(66:66)&amp;" und Zeile "&amp;ROW(72:72)&amp;" weder eine Zeile einfügen noch löschen!!!"</f>
        <v>Zwischen Zeile 66 und Zeile 72 weder eine Zeile einfügen noch löschen!!!</v>
      </c>
      <c r="C73" s="975"/>
      <c r="D73" s="975"/>
      <c r="E73" s="975"/>
      <c r="F73" s="975"/>
      <c r="G73" s="975"/>
      <c r="H73" s="975"/>
      <c r="I73" s="975"/>
      <c r="J73" s="975"/>
      <c r="K73" s="975"/>
      <c r="L73" s="976"/>
      <c r="M73" s="694"/>
    </row>
    <row r="74" spans="1:13" s="83" customFormat="1" ht="6.75" customHeight="1" x14ac:dyDescent="0.3">
      <c r="A74" s="642"/>
      <c r="B74" s="148"/>
      <c r="C74" s="148"/>
      <c r="D74" s="148"/>
      <c r="E74" s="148"/>
      <c r="F74" s="148"/>
      <c r="G74" s="148"/>
      <c r="H74" s="148"/>
      <c r="I74" s="148"/>
      <c r="J74" s="148"/>
      <c r="K74" s="148"/>
      <c r="L74" s="629"/>
    </row>
    <row r="75" spans="1:13" s="115" customFormat="1" ht="30" customHeight="1" x14ac:dyDescent="0.35">
      <c r="A75" s="651" t="s">
        <v>579</v>
      </c>
      <c r="B75" s="932" t="s">
        <v>691</v>
      </c>
      <c r="C75" s="933"/>
      <c r="D75" s="933"/>
      <c r="E75" s="933"/>
      <c r="F75" s="933"/>
      <c r="G75" s="933"/>
      <c r="H75" s="933"/>
      <c r="I75" s="933"/>
      <c r="J75" s="933"/>
      <c r="K75" s="934"/>
      <c r="L75" s="935"/>
    </row>
    <row r="76" spans="1:13" s="115" customFormat="1" ht="30" customHeight="1" x14ac:dyDescent="0.3">
      <c r="A76" s="81" t="s">
        <v>834</v>
      </c>
      <c r="B76" s="918" t="s">
        <v>693</v>
      </c>
      <c r="C76" s="919"/>
      <c r="D76" s="919"/>
      <c r="E76" s="919"/>
      <c r="F76" s="919"/>
      <c r="G76" s="919"/>
      <c r="H76" s="919"/>
      <c r="I76" s="919"/>
      <c r="J76" s="919"/>
      <c r="K76" s="919"/>
      <c r="L76" s="920"/>
    </row>
    <row r="77" spans="1:13" s="115" customFormat="1" ht="21.75" customHeight="1" thickBot="1" x14ac:dyDescent="0.35">
      <c r="A77" s="645"/>
      <c r="B77" s="921" t="s">
        <v>393</v>
      </c>
      <c r="C77" s="922"/>
      <c r="D77" s="117"/>
      <c r="E77" s="923"/>
      <c r="F77" s="924"/>
      <c r="G77" s="924"/>
      <c r="H77" s="925"/>
      <c r="I77" s="923"/>
      <c r="J77" s="926"/>
      <c r="K77" s="926"/>
      <c r="L77" s="927"/>
    </row>
    <row r="78" spans="1:13" s="115" customFormat="1" ht="15" customHeight="1" thickBot="1" x14ac:dyDescent="0.35">
      <c r="A78" s="81" t="s">
        <v>616</v>
      </c>
      <c r="B78" s="928" t="s">
        <v>140</v>
      </c>
      <c r="C78" s="936"/>
      <c r="D78" s="374">
        <f>Nachkalkulation!C6</f>
        <v>2012</v>
      </c>
      <c r="E78" s="375">
        <f>Nachkalkulation!E6</f>
        <v>2013</v>
      </c>
      <c r="F78" s="376">
        <f>Nachkalkulation!G6</f>
        <v>2014</v>
      </c>
      <c r="G78" s="376">
        <f>Nachkalkulation!I6</f>
        <v>2015</v>
      </c>
      <c r="H78" s="374">
        <f>Nachkalkulation!K6</f>
        <v>2016</v>
      </c>
      <c r="I78" s="377">
        <f>Vorkalkulation!C6</f>
        <v>2017</v>
      </c>
      <c r="J78" s="377">
        <f>Vorkalkulation!E6</f>
        <v>2018</v>
      </c>
      <c r="K78" s="377">
        <f>Vorkalkulation!G6</f>
        <v>2019</v>
      </c>
      <c r="L78" s="377">
        <f>Vorkalkulation!I6</f>
        <v>2020</v>
      </c>
    </row>
    <row r="79" spans="1:13" s="115" customFormat="1" ht="45" customHeight="1" x14ac:dyDescent="0.3">
      <c r="A79" s="81" t="s">
        <v>617</v>
      </c>
      <c r="B79" s="930" t="s">
        <v>696</v>
      </c>
      <c r="C79" s="931"/>
      <c r="D79" s="118">
        <v>-39765</v>
      </c>
      <c r="E79" s="653"/>
      <c r="F79" s="653"/>
      <c r="G79" s="653"/>
      <c r="H79" s="654"/>
      <c r="I79" s="119"/>
      <c r="J79" s="119"/>
      <c r="K79" s="119"/>
      <c r="L79" s="120"/>
    </row>
    <row r="80" spans="1:13" s="115" customFormat="1" ht="45" customHeight="1" thickBot="1" x14ac:dyDescent="0.35">
      <c r="A80" s="81" t="s">
        <v>835</v>
      </c>
      <c r="B80" s="930" t="s">
        <v>697</v>
      </c>
      <c r="C80" s="937"/>
      <c r="D80" s="655"/>
      <c r="E80" s="122">
        <v>14334</v>
      </c>
      <c r="F80" s="122">
        <f>IF(F78&lt;&gt;"-",E80,0)</f>
        <v>14334</v>
      </c>
      <c r="G80" s="122">
        <f>IF(G78&lt;&gt;"-",F80,0)</f>
        <v>14334</v>
      </c>
      <c r="H80" s="122">
        <f>IF(H78&lt;&gt;"-",G80,0)</f>
        <v>14334</v>
      </c>
      <c r="I80" s="938"/>
      <c r="J80" s="939"/>
      <c r="K80" s="939"/>
      <c r="L80" s="940"/>
    </row>
    <row r="81" spans="1:12" s="115" customFormat="1" ht="45" customHeight="1" thickTop="1" thickBot="1" x14ac:dyDescent="0.35">
      <c r="A81" s="81" t="s">
        <v>836</v>
      </c>
      <c r="B81" s="944" t="s">
        <v>968</v>
      </c>
      <c r="C81" s="945"/>
      <c r="D81" s="121"/>
      <c r="E81" s="123">
        <f>IF(AND($D$19=2,$H$19=2,E78&lt;&gt;"-",F78="-"),HLOOKUP(E78,Verzins,3,FALSE)-E80,IF(AND($D$19&lt;&gt;2,$H$19=2,E78&lt;&gt;"-",F78="-"),HLOOKUP(E78,Verzins,6,FALSE)*HLOOKUP(E78,Verteil_sw,36,FALSE)-HLOOKUP(E78,Grund_ue_u,4,FALSE)*HLOOKUP(E78,Verteil_sw,36,FALSE),0))</f>
        <v>0</v>
      </c>
      <c r="F81" s="123">
        <f>IF(AND($D$19=2,$H$19=2,F78&lt;&gt;"-",G78="-"),HLOOKUP(F78,Verzins,3,FALSE)-F80,IF(AND($D$19&lt;&gt;2,$H$19=2,F78&lt;&gt;"-",G78="-"),HLOOKUP(F78,Verzins,6,FALSE)*HLOOKUP(F78,Verteil_sw,36,FALSE)-HLOOKUP(F78,Grund_ue_u,4,FALSE)*HLOOKUP(F78,Verteil_sw,36,FALSE),0))</f>
        <v>0</v>
      </c>
      <c r="G81" s="123">
        <f>IF(AND($D$19=2,$H$19=2,G78&lt;&gt;"-",H78="-"),HLOOKUP(G78,Verzins,3,FALSE)-G80,IF(AND($D$19&lt;&gt;2,$H$19=2,G78&lt;&gt;"-",H78="-"),HLOOKUP(G78,Verzins,6,FALSE)*HLOOKUP(G78,Verteil_sw,36,FALSE)-HLOOKUP(G78,Grund_ue_u,4,FALSE)*HLOOKUP(G78,Verteil_sw,36,FALSE),0))</f>
        <v>0</v>
      </c>
      <c r="H81" s="123">
        <f>IF(AND($D$19=2,$H$19=2,H78&lt;&gt;"-"),HLOOKUP(H78,Verzins,3,FALSE)-H80,IF(AND($D$19&lt;&gt;2,$H$19=2,H78&lt;&gt;"-"),HLOOKUP(H78,Verzins,6,FALSE)*HLOOKUP(H78,Verteil_sw,36,FALSE)-HLOOKUP(H78,Grund_ue_u,4,FALSE)*HLOOKUP(H78,Verteil_sw,36,FALSE),0))</f>
        <v>0</v>
      </c>
      <c r="I81" s="941"/>
      <c r="J81" s="942"/>
      <c r="K81" s="942"/>
      <c r="L81" s="943"/>
    </row>
    <row r="82" spans="1:12" s="115" customFormat="1" ht="63" customHeight="1" thickTop="1" thickBot="1" x14ac:dyDescent="0.35">
      <c r="A82" s="81" t="s">
        <v>837</v>
      </c>
      <c r="B82" s="944" t="s">
        <v>969</v>
      </c>
      <c r="C82" s="946"/>
      <c r="D82" s="121"/>
      <c r="E82" s="124"/>
      <c r="F82" s="124"/>
      <c r="G82" s="124"/>
      <c r="H82" s="125"/>
      <c r="I82" s="126">
        <f>IF(AND($D$19=2,$H$19=2,I78&lt;&gt;"-"),HLOOKUP(I78,Verzins,3,FALSE),IF(AND($D$19&lt;&gt;2,$H$19=2,I78&lt;&gt;"-"),HLOOKUP(I78,Verzins,3,FALSE),0))</f>
        <v>0</v>
      </c>
      <c r="J82" s="126">
        <f>IF(AND($D$19=2,$H$19=2,J78&lt;&gt;"-"),HLOOKUP(J78,Verzins,3,FALSE),IF(AND($D$19&lt;&gt;2,$H$19=2,J78&lt;&gt;"-"),HLOOKUP(J78,Verzins,3,FALSE),0))</f>
        <v>0</v>
      </c>
      <c r="K82" s="126">
        <f>IF(AND($D$19=2,$H$19=2,K78&lt;&gt;"-"),HLOOKUP(K78,Verzins,3,FALSE),IF(AND($D$19&lt;&gt;2,$H$19=2,K78&lt;&gt;"-"),HLOOKUP(K78,Verzins,3,FALSE),0))</f>
        <v>0</v>
      </c>
      <c r="L82" s="126">
        <f>IF(AND($D$19=2,$H$19=2,L78&lt;&gt;"-"),HLOOKUP(L78,Verzins,3,FALSE),IF(AND($D$19&lt;&gt;2,$H$19=2,L78&lt;&gt;"-"),HLOOKUP(L78,Verzins,3,FALSE),0))</f>
        <v>0</v>
      </c>
    </row>
    <row r="83" spans="1:12" s="115" customFormat="1" ht="45" customHeight="1" thickTop="1" x14ac:dyDescent="0.3">
      <c r="A83" s="81" t="s">
        <v>838</v>
      </c>
      <c r="B83" s="930" t="s">
        <v>698</v>
      </c>
      <c r="C83" s="931"/>
      <c r="D83" s="118">
        <v>-3691</v>
      </c>
      <c r="E83" s="653"/>
      <c r="F83" s="653"/>
      <c r="G83" s="653"/>
      <c r="H83" s="654"/>
      <c r="I83" s="127"/>
      <c r="J83" s="119"/>
      <c r="K83" s="119"/>
      <c r="L83" s="120"/>
    </row>
    <row r="84" spans="1:12" s="115" customFormat="1" ht="45" customHeight="1" thickBot="1" x14ac:dyDescent="0.35">
      <c r="A84" s="81" t="s">
        <v>839</v>
      </c>
      <c r="B84" s="930" t="s">
        <v>699</v>
      </c>
      <c r="C84" s="937"/>
      <c r="D84" s="655"/>
      <c r="E84" s="122">
        <v>1331</v>
      </c>
      <c r="F84" s="122">
        <f>IF(F78&lt;&gt;"-",E84,0)</f>
        <v>1331</v>
      </c>
      <c r="G84" s="122">
        <f>IF(G78&lt;&gt;"-",F84,0)</f>
        <v>1331</v>
      </c>
      <c r="H84" s="122">
        <f>IF(H78&lt;&gt;"-",G84,0)</f>
        <v>1331</v>
      </c>
      <c r="I84" s="938"/>
      <c r="J84" s="939"/>
      <c r="K84" s="939"/>
      <c r="L84" s="940"/>
    </row>
    <row r="85" spans="1:12" s="115" customFormat="1" ht="45" customHeight="1" thickTop="1" thickBot="1" x14ac:dyDescent="0.35">
      <c r="A85" s="81" t="s">
        <v>840</v>
      </c>
      <c r="B85" s="944" t="s">
        <v>970</v>
      </c>
      <c r="C85" s="945"/>
      <c r="D85" s="121"/>
      <c r="E85" s="123">
        <f>IF(AND($D$19=2,$H$19=2,E78&lt;&gt;"-",F78="-"),HLOOKUP(E78,Verzins,4,FALSE)-E84,IF(AND($D$19&lt;&gt;2,$H$19=2,E78&lt;&gt;"-",F78="-"),HLOOKUP(E78,Verzins,6,FALSE)*HLOOKUP(E78,Verteil_rwgr,35,FALSE)-HLOOKUP(E78,Grund_ue_u,4,FALSE)*HLOOKUP(E78,Verteil_rwgr,35,FALSE),0))</f>
        <v>0</v>
      </c>
      <c r="F85" s="123">
        <f>IF(AND($D$19=2,$H$19=2,F78&lt;&gt;"-",G78="-"),HLOOKUP(F78,Verzins,4,FALSE)-F84,IF(AND($D$19&lt;&gt;2,$H$19=2,F78&lt;&gt;"-",G78="-"),HLOOKUP(F78,Verzins,6,FALSE)*HLOOKUP(F78,Verteil_rwgr,35,FALSE)-HLOOKUP(F78,Grund_ue_u,4,FALSE)*HLOOKUP(F78,Verteil_rwgr,35,FALSE),0))</f>
        <v>0</v>
      </c>
      <c r="G85" s="123">
        <f>IF(AND($D$19=2,$H$19=2,G78&lt;&gt;"-",H78="-"),HLOOKUP(G78,Verzins,4,FALSE)-G84,IF(AND($D$19&lt;&gt;2,$H$19=2,G78&lt;&gt;"-",H78="-"),HLOOKUP(G78,Verzins,6,FALSE)*HLOOKUP(G78,Verteil_rwgr,35,FALSE)-HLOOKUP(G78,Grund_ue_u,4,FALSE)*HLOOKUP(G78,Verteil_rwgr,35,FALSE),0))</f>
        <v>0</v>
      </c>
      <c r="H85" s="123">
        <f>IF(AND($D$19=2,$H$19=2,H78&lt;&gt;"-"),HLOOKUP(H78,Verzins,4,FALSE)-H84,IF(AND($D$19&lt;&gt;2,$H$19=2,H78&lt;&gt;"-"),HLOOKUP(H78,Verzins,6,FALSE)*HLOOKUP(H78,Verteil_rwgr,35,FALSE)-HLOOKUP(H78,Grund_ue_u,4,FALSE)*HLOOKUP(H78,Verteil_rwgr,35,FALSE),0))</f>
        <v>0</v>
      </c>
      <c r="I85" s="941"/>
      <c r="J85" s="942"/>
      <c r="K85" s="942"/>
      <c r="L85" s="943"/>
    </row>
    <row r="86" spans="1:12" s="115" customFormat="1" ht="45" customHeight="1" thickTop="1" thickBot="1" x14ac:dyDescent="0.35">
      <c r="A86" s="81" t="s">
        <v>841</v>
      </c>
      <c r="B86" s="944" t="s">
        <v>971</v>
      </c>
      <c r="C86" s="946"/>
      <c r="D86" s="128"/>
      <c r="E86" s="129"/>
      <c r="F86" s="129"/>
      <c r="G86" s="129"/>
      <c r="H86" s="129"/>
      <c r="I86" s="126">
        <f>IF(AND($D$19=2,$H$19=2,I78&lt;&gt;"-"),HLOOKUP(I78,Verzins,4,FALSE),IF(AND($D$19&lt;&gt;2,$H$19=2,I78&lt;&gt;"-"),HLOOKUP(I78,Verzins,4,FALSE),0))</f>
        <v>0</v>
      </c>
      <c r="J86" s="126">
        <f>IF(AND($D$19=2,$H$19=2,J78&lt;&gt;"-"),HLOOKUP(J78,Verzins,4,FALSE),IF(AND($D$19&lt;&gt;2,$H$19=2,J78&lt;&gt;"-"),HLOOKUP(J78,Verzins,4,FALSE),0))</f>
        <v>0</v>
      </c>
      <c r="K86" s="126">
        <f>IF(AND($D$19=2,$H$19=2,K78&lt;&gt;"-"),HLOOKUP(K78,Verzins,4,FALSE),IF(AND($D$19&lt;&gt;2,$H$19=2,K78&lt;&gt;"-"),HLOOKUP(K78,Verzins,4,FALSE),0))</f>
        <v>0</v>
      </c>
      <c r="L86" s="126">
        <f>IF(AND($D$19=2,$H$19=2,L78&lt;&gt;"-"),HLOOKUP(L78,Verzins,4,FALSE),IF(AND($D$19&lt;&gt;2,$H$19=2,L78&lt;&gt;"-"),HLOOKUP(L78,Verzins,4,FALSE),0))</f>
        <v>0</v>
      </c>
    </row>
    <row r="87" spans="1:12" s="639" customFormat="1" ht="26.25" customHeight="1" thickTop="1" x14ac:dyDescent="0.3">
      <c r="A87" s="81" t="s">
        <v>842</v>
      </c>
      <c r="B87" s="959" t="str">
        <f>IF(AND($H$19=2,I49&lt;&gt;"-"),"Die Überdeckungen bzw. Unterdeckungen(-), die in den blau markierten Feldern (Nr. 6a.4 und 6a.5 bzw. 6a.8 und 6a.9) stehen , "&amp;"sind in der nächsten Folgekalkulation  in die mit oranger Farbe markierten Felder (Nr. 6a.2 und 6a.3 bzw. 6a.6 und 6a.7) zu übernehmen  ","-")</f>
        <v>-</v>
      </c>
      <c r="C87" s="960"/>
      <c r="D87" s="960"/>
      <c r="E87" s="960"/>
      <c r="F87" s="960"/>
      <c r="G87" s="960"/>
      <c r="H87" s="960"/>
      <c r="I87" s="960"/>
      <c r="J87" s="960"/>
      <c r="K87" s="960"/>
      <c r="L87" s="961"/>
    </row>
    <row r="88" spans="1:12" s="83" customFormat="1" ht="6.75" customHeight="1" x14ac:dyDescent="0.3">
      <c r="A88" s="642"/>
      <c r="B88" s="148"/>
      <c r="C88" s="148"/>
      <c r="D88" s="148"/>
      <c r="E88" s="148"/>
      <c r="F88" s="148"/>
      <c r="G88" s="148"/>
      <c r="H88" s="148"/>
      <c r="I88" s="148"/>
      <c r="J88" s="148"/>
      <c r="K88" s="148"/>
      <c r="L88" s="629"/>
    </row>
    <row r="89" spans="1:12" s="115" customFormat="1" ht="30.75" customHeight="1" x14ac:dyDescent="0.3">
      <c r="A89" s="81" t="s">
        <v>843</v>
      </c>
      <c r="B89" s="918" t="s">
        <v>694</v>
      </c>
      <c r="C89" s="919"/>
      <c r="D89" s="919"/>
      <c r="E89" s="919"/>
      <c r="F89" s="919"/>
      <c r="G89" s="919"/>
      <c r="H89" s="919"/>
      <c r="I89" s="919"/>
      <c r="J89" s="919"/>
      <c r="K89" s="919"/>
      <c r="L89" s="920"/>
    </row>
    <row r="90" spans="1:12" s="115" customFormat="1" ht="21.75" customHeight="1" thickBot="1" x14ac:dyDescent="0.35">
      <c r="A90" s="645"/>
      <c r="B90" s="921" t="s">
        <v>393</v>
      </c>
      <c r="C90" s="922"/>
      <c r="D90" s="117" t="s">
        <v>382</v>
      </c>
      <c r="E90" s="923" t="s">
        <v>383</v>
      </c>
      <c r="F90" s="924"/>
      <c r="G90" s="924"/>
      <c r="H90" s="925"/>
      <c r="I90" s="923" t="s">
        <v>384</v>
      </c>
      <c r="J90" s="926"/>
      <c r="K90" s="926"/>
      <c r="L90" s="927"/>
    </row>
    <row r="91" spans="1:12" s="115" customFormat="1" ht="15" customHeight="1" thickBot="1" x14ac:dyDescent="0.35">
      <c r="A91" s="81" t="s">
        <v>623</v>
      </c>
      <c r="B91" s="928" t="s">
        <v>140</v>
      </c>
      <c r="C91" s="929"/>
      <c r="D91" s="374">
        <f>Nachkalkulation!C6</f>
        <v>2012</v>
      </c>
      <c r="E91" s="375">
        <f>Nachkalkulation!E6</f>
        <v>2013</v>
      </c>
      <c r="F91" s="376">
        <f>Nachkalkulation!G6</f>
        <v>2014</v>
      </c>
      <c r="G91" s="376">
        <f>Nachkalkulation!I6</f>
        <v>2015</v>
      </c>
      <c r="H91" s="374">
        <f>Nachkalkulation!K6</f>
        <v>2016</v>
      </c>
      <c r="I91" s="377">
        <f>Vorkalkulation!C6</f>
        <v>2017</v>
      </c>
      <c r="J91" s="377">
        <f>Vorkalkulation!E6</f>
        <v>2018</v>
      </c>
      <c r="K91" s="377">
        <f>Vorkalkulation!G6</f>
        <v>2019</v>
      </c>
      <c r="L91" s="377">
        <f>Vorkalkulation!I6</f>
        <v>2020</v>
      </c>
    </row>
    <row r="92" spans="1:12" s="115" customFormat="1" ht="45" customHeight="1" x14ac:dyDescent="0.3">
      <c r="A92" s="81" t="s">
        <v>624</v>
      </c>
      <c r="B92" s="930" t="s">
        <v>700</v>
      </c>
      <c r="C92" s="931"/>
      <c r="D92" s="118">
        <f>D79+D83</f>
        <v>-43456</v>
      </c>
      <c r="E92" s="653"/>
      <c r="F92" s="653"/>
      <c r="G92" s="653"/>
      <c r="H92" s="654"/>
      <c r="I92" s="119"/>
      <c r="J92" s="119"/>
      <c r="K92" s="119"/>
      <c r="L92" s="120"/>
    </row>
    <row r="93" spans="1:12" s="115" customFormat="1" ht="45" customHeight="1" thickBot="1" x14ac:dyDescent="0.35">
      <c r="A93" s="81" t="s">
        <v>625</v>
      </c>
      <c r="B93" s="930" t="s">
        <v>701</v>
      </c>
      <c r="C93" s="937"/>
      <c r="D93" s="655"/>
      <c r="E93" s="122">
        <f>E80+E84</f>
        <v>15665</v>
      </c>
      <c r="F93" s="122">
        <f>IF(F91&lt;&gt;"-",E93,0)</f>
        <v>15665</v>
      </c>
      <c r="G93" s="122">
        <f>IF(G91&lt;&gt;"-",F93,0)</f>
        <v>15665</v>
      </c>
      <c r="H93" s="122">
        <f>IF(H91&lt;&gt;"-",G93,0)</f>
        <v>15665</v>
      </c>
      <c r="I93" s="938"/>
      <c r="J93" s="939"/>
      <c r="K93" s="939"/>
      <c r="L93" s="940"/>
    </row>
    <row r="94" spans="1:12" s="115" customFormat="1" ht="45" customHeight="1" thickTop="1" thickBot="1" x14ac:dyDescent="0.35">
      <c r="A94" s="81" t="s">
        <v>844</v>
      </c>
      <c r="B94" s="944" t="s">
        <v>972</v>
      </c>
      <c r="C94" s="945"/>
      <c r="D94" s="121"/>
      <c r="E94" s="123">
        <f>IF(AND($D$19&lt;&gt;2,$H$19&lt;&gt;2,E91&lt;&gt;"-",F91="-"),HLOOKUP(E91,Verzins,6,FALSE)-E93,IF(AND($D$19=2,$H$19&lt;&gt;2,E91&lt;&gt;"-",F91="-"),HLOOKUP(E91,Verzins,3,FALSE)+HLOOKUP(E91,Verzins,4,FALSE)-(E80+E84),0))</f>
        <v>0</v>
      </c>
      <c r="F94" s="123">
        <f>IF(AND($D$19&lt;&gt;2,$H$19&lt;&gt;2,F91&lt;&gt;"-",G91="-"),HLOOKUP(F91,Verzins,6,FALSE)-F93,IF(AND($D$19=2,$H$19&lt;&gt;2,F91&lt;&gt;"-",G91="-"),HLOOKUP(F91,Verzins,3,FALSE)+HLOOKUP(F91,Verzins,4,FALSE)-(F80+F84),0))</f>
        <v>0</v>
      </c>
      <c r="G94" s="123">
        <f>IF(AND($D$19&lt;&gt;2,$H$19&lt;&gt;2,G91&lt;&gt;"-",H91="-"),HLOOKUP(G91,Verzins,6,FALSE)-G93,IF(AND($D$19=2,$H$19&lt;&gt;2,G91&lt;&gt;"-",H91="-"),HLOOKUP(G91,Verzins,3,FALSE)+HLOOKUP(G91,Verzins,4,FALSE)-(G80+G84),0))</f>
        <v>0</v>
      </c>
      <c r="H94" s="123">
        <f>IF(AND($D$19&lt;&gt;2,$H$19&lt;&gt;2,H91&lt;&gt;"-"),HLOOKUP(H91,Verzins,6,FALSE)-H93,IF(AND($D$19=2,$H$19&lt;&gt;2,H91&lt;&gt;"-"),HLOOKUP(H91,Verzins,3,FALSE)+HLOOKUP(H91,Verzins,4,FALSE)-(H80+H84),0))</f>
        <v>-152509.1100000001</v>
      </c>
      <c r="I94" s="941"/>
      <c r="J94" s="942"/>
      <c r="K94" s="942"/>
      <c r="L94" s="943"/>
    </row>
    <row r="95" spans="1:12" s="115" customFormat="1" ht="65.25" customHeight="1" thickTop="1" thickBot="1" x14ac:dyDescent="0.35">
      <c r="A95" s="81" t="s">
        <v>845</v>
      </c>
      <c r="B95" s="944" t="s">
        <v>973</v>
      </c>
      <c r="C95" s="946"/>
      <c r="D95" s="128"/>
      <c r="E95" s="129"/>
      <c r="F95" s="129"/>
      <c r="G95" s="129"/>
      <c r="H95" s="129"/>
      <c r="I95" s="126">
        <f>IF(AND($D$19&lt;&gt;2,$H$19&lt;&gt;2,I78&lt;&gt;"-"),HLOOKUP(I91,Verzins,6,FALSE),IF(AND($D$19=2,$H$19&lt;&gt;2,I78&lt;&gt;"-"),HLOOKUP(I91,Verzins,6,FALSE),0))</f>
        <v>-171646.04</v>
      </c>
      <c r="J95" s="126">
        <f>IF(AND($D$19&lt;&gt;2,$H$19&lt;&gt;2,J78&lt;&gt;"-"),HLOOKUP(J91,Verzins,6,FALSE),IF(AND($D$19=2,$H$19&lt;&gt;2,J78&lt;&gt;"-"),HLOOKUP(J91,Verzins,6,FALSE),0))</f>
        <v>-171646.04</v>
      </c>
      <c r="K95" s="126">
        <f>IF(AND($D$19&lt;&gt;2,$H$19&lt;&gt;2,K78&lt;&gt;"-"),HLOOKUP(K91,Verzins,6,FALSE),IF(AND($D$19=2,$H$19&lt;&gt;2,K78&lt;&gt;"-"),HLOOKUP(K91,Verzins,6,FALSE),0))</f>
        <v>-171646.04</v>
      </c>
      <c r="L95" s="126">
        <f>IF(AND($D$19&lt;&gt;2,$H$19&lt;&gt;2,L78&lt;&gt;"-"),HLOOKUP(L91,Verzins,6,FALSE),IF(AND($D$19=2,$H$19&lt;&gt;2,L78&lt;&gt;"-"),HLOOKUP(L91,Verzins,6,FALSE),0))</f>
        <v>-171646.04</v>
      </c>
    </row>
    <row r="96" spans="1:12" s="639" customFormat="1" ht="25.5" customHeight="1" thickTop="1" x14ac:dyDescent="0.3">
      <c r="A96" s="81" t="s">
        <v>846</v>
      </c>
      <c r="B96" s="959" t="str">
        <f>IF(AND($H$19&lt;&gt;2,I49&lt;&gt;"-"),"Die Überdeckungen bzw. Unterdeckungen(-), die in den blau markierten Feldern (Nr. 6b.4 und 6b.5) stehen , "&amp;"sind in der nächsten Folgekalkulation in die mit oranger Farbe markierten Felder  (Nr. 6b.2 und 6b.3) zu übernehmen","-")</f>
        <v>Die Überdeckungen bzw. Unterdeckungen(-), die in den blau markierten Feldern (Nr. 6b.4 und 6b.5) stehen , sind in der nächsten Folgekalkulation in die mit oranger Farbe markierten Felder  (Nr. 6b.2 und 6b.3) zu übernehmen</v>
      </c>
      <c r="C96" s="960"/>
      <c r="D96" s="960"/>
      <c r="E96" s="960"/>
      <c r="F96" s="960"/>
      <c r="G96" s="960"/>
      <c r="H96" s="960"/>
      <c r="I96" s="960"/>
      <c r="J96" s="960"/>
      <c r="K96" s="960"/>
      <c r="L96" s="961"/>
    </row>
    <row r="97" spans="1:13" s="115" customFormat="1" ht="15.75" hidden="1" customHeight="1" x14ac:dyDescent="0.3">
      <c r="A97" s="81" t="s">
        <v>847</v>
      </c>
      <c r="B97" s="962" t="str">
        <f>B78</f>
        <v>Jahr</v>
      </c>
      <c r="C97" s="963"/>
      <c r="D97" s="130">
        <f>D78</f>
        <v>2012</v>
      </c>
      <c r="E97" s="416">
        <f>E78</f>
        <v>2013</v>
      </c>
      <c r="F97" s="293">
        <f t="shared" ref="F97:L97" si="22">F78</f>
        <v>2014</v>
      </c>
      <c r="G97" s="293">
        <f t="shared" si="22"/>
        <v>2015</v>
      </c>
      <c r="H97" s="417">
        <f t="shared" si="22"/>
        <v>2016</v>
      </c>
      <c r="I97" s="304">
        <f t="shared" si="22"/>
        <v>2017</v>
      </c>
      <c r="J97" s="293">
        <f t="shared" si="22"/>
        <v>2018</v>
      </c>
      <c r="K97" s="293">
        <f t="shared" si="22"/>
        <v>2019</v>
      </c>
      <c r="L97" s="293">
        <f t="shared" si="22"/>
        <v>2020</v>
      </c>
    </row>
    <row r="98" spans="1:13" s="115" customFormat="1" ht="42" hidden="1" customHeight="1" x14ac:dyDescent="0.3">
      <c r="A98" s="81" t="s">
        <v>848</v>
      </c>
      <c r="B98" s="944" t="s">
        <v>681</v>
      </c>
      <c r="C98" s="946"/>
      <c r="D98" s="131">
        <f>IF(D97="-",0,D79)</f>
        <v>-39765</v>
      </c>
      <c r="E98" s="132">
        <f>IF(E97="-",0,E80)</f>
        <v>14334</v>
      </c>
      <c r="F98" s="132">
        <f>IF(F97="-",0,F80)</f>
        <v>14334</v>
      </c>
      <c r="G98" s="132">
        <f>IF(G97="-",0,G80)</f>
        <v>14334</v>
      </c>
      <c r="H98" s="340">
        <f>IF(H97="-",0,H80)</f>
        <v>14334</v>
      </c>
      <c r="I98" s="132">
        <f>IF(I97&lt;&gt;"-",HLOOKUP(I97,Verzins,3,FALSE),0)</f>
        <v>0</v>
      </c>
      <c r="J98" s="132">
        <f>IF(J97&lt;&gt;"-",HLOOKUP(J97,Verzins,3,FALSE),0)</f>
        <v>0</v>
      </c>
      <c r="K98" s="132">
        <f>IF(K97&lt;&gt;"-",HLOOKUP(K97,Verzins,3,FALSE),0)</f>
        <v>0</v>
      </c>
      <c r="L98" s="341">
        <f>IF(L97&lt;&gt;"-",HLOOKUP(L97,Verzins,3,FALSE),0)</f>
        <v>0</v>
      </c>
      <c r="M98" s="289">
        <v>2</v>
      </c>
    </row>
    <row r="99" spans="1:13" s="115" customFormat="1" ht="42" hidden="1" customHeight="1" x14ac:dyDescent="0.3">
      <c r="A99" s="81" t="s">
        <v>849</v>
      </c>
      <c r="B99" s="944" t="s">
        <v>682</v>
      </c>
      <c r="C99" s="946"/>
      <c r="D99" s="131">
        <f>IF(D97="-",0,D83)</f>
        <v>-3691</v>
      </c>
      <c r="E99" s="132">
        <f>IF(E97="-",0,E84)</f>
        <v>1331</v>
      </c>
      <c r="F99" s="132">
        <f>IF(F97="-",0,F84)</f>
        <v>1331</v>
      </c>
      <c r="G99" s="132">
        <f>IF(G97="-",0,G84)</f>
        <v>1331</v>
      </c>
      <c r="H99" s="133">
        <f>IF(H97="-",0,H84)</f>
        <v>1331</v>
      </c>
      <c r="I99" s="132">
        <f>IF(I97&lt;&gt;"-",HLOOKUP(I97,Verzins,4,FALSE),0)</f>
        <v>0</v>
      </c>
      <c r="J99" s="132">
        <f>IF(J97&lt;&gt;"-",HLOOKUP(J97,Verzins,4,FALSE),0)</f>
        <v>0</v>
      </c>
      <c r="K99" s="132">
        <f>IF(K97&lt;&gt;"-",HLOOKUP(K97,Verzins,4,FALSE),0)</f>
        <v>0</v>
      </c>
      <c r="L99" s="71">
        <f>IF(L97&lt;&gt;"-",HLOOKUP(L97,Verzins,4,FALSE),0)</f>
        <v>0</v>
      </c>
      <c r="M99" s="289">
        <v>3</v>
      </c>
    </row>
    <row r="100" spans="1:13" s="115" customFormat="1" ht="42" hidden="1" customHeight="1" thickBot="1" x14ac:dyDescent="0.35">
      <c r="A100" s="81" t="s">
        <v>850</v>
      </c>
      <c r="B100" s="964" t="s">
        <v>683</v>
      </c>
      <c r="C100" s="965"/>
      <c r="D100" s="342">
        <f>IF(D97="-",0,D92)</f>
        <v>-43456</v>
      </c>
      <c r="E100" s="343">
        <f>IF(E97="-",0,E93)</f>
        <v>15665</v>
      </c>
      <c r="F100" s="343">
        <f>IF(F97="-",0,F93)</f>
        <v>15665</v>
      </c>
      <c r="G100" s="343">
        <f>IF(G97="-",0,G93)</f>
        <v>15665</v>
      </c>
      <c r="H100" s="344">
        <f>IF(H97="-",0,H93)</f>
        <v>15665</v>
      </c>
      <c r="I100" s="343">
        <f>IF(I97&lt;&gt;"-",HLOOKUP(I97,Verzins,6,FALSE),0)</f>
        <v>-171646.04</v>
      </c>
      <c r="J100" s="343">
        <f>IF(J97&lt;&gt;"-",HLOOKUP(J97,Verzins,6,FALSE),0)</f>
        <v>-171646.04</v>
      </c>
      <c r="K100" s="343">
        <f>IF(K97&lt;&gt;"-",HLOOKUP(K97,Verzins,6,FALSE),0)</f>
        <v>-171646.04</v>
      </c>
      <c r="L100" s="345">
        <f>IF(L97&lt;&gt;"-",HLOOKUP(L97,Verzins,6,FALSE),0)</f>
        <v>-171646.04</v>
      </c>
      <c r="M100" s="289">
        <v>4</v>
      </c>
    </row>
    <row r="101" spans="1:13" s="115" customFormat="1" ht="27" hidden="1" customHeight="1" x14ac:dyDescent="0.3">
      <c r="A101" s="81" t="s">
        <v>851</v>
      </c>
      <c r="B101" s="930" t="s">
        <v>684</v>
      </c>
      <c r="C101" s="937"/>
      <c r="D101" s="131">
        <f>IF(D97="-",0,SUM(Nachkalkulation!C13,Nachkalkulation!C23,Nachkalkulation!C27)*-1+HLOOKUP(D97,Grund_geb_ein,5,FALSE)-D98)</f>
        <v>-110777.72999999998</v>
      </c>
      <c r="E101" s="540">
        <f>IF(E97="-",0,SUM(Nachkalkulation!E13,Nachkalkulation!E23,Nachkalkulation!E27)*-1+HLOOKUP(E97,Grund_geb_ein,5,FALSE)+E98)</f>
        <v>-110187.19999999995</v>
      </c>
      <c r="F101" s="541">
        <f>IF(F97="-",0,SUM(Nachkalkulation!G13,Nachkalkulation!G23,Nachkalkulation!G27)*-1+HLOOKUP(F97,Grund_geb_ein,5,FALSE)+F98)</f>
        <v>-118171.29000000004</v>
      </c>
      <c r="G101" s="541">
        <f>IF(G97="-",0,SUM(Nachkalkulation!I13,Nachkalkulation!I23,Nachkalkulation!I27)*-1+HLOOKUP(G97,Grund_geb_ein,5,FALSE)+G98)</f>
        <v>-72311.270000000019</v>
      </c>
      <c r="H101" s="543">
        <f>IF(H97="-",0,SUM(Nachkalkulation!K13,Nachkalkulation!K23,Nachkalkulation!K27)*-1+HLOOKUP(H97,Grund_geb_ein,5,FALSE)+H98)</f>
        <v>-106544.78000000003</v>
      </c>
      <c r="I101" s="843" t="str">
        <f>"Zwischen Zeile "&amp;ROW(97:97)&amp;" und Zeile "&amp;ROW(103:103)&amp;" weder eine Zeile einfügen noch löschen!!!"</f>
        <v>Zwischen Zeile 97 und Zeile 103 weder eine Zeile einfügen noch löschen!!!</v>
      </c>
      <c r="J101" s="844"/>
      <c r="K101" s="844"/>
      <c r="L101" s="845"/>
      <c r="M101" s="289">
        <v>5</v>
      </c>
    </row>
    <row r="102" spans="1:13" s="115" customFormat="1" ht="27" hidden="1" customHeight="1" x14ac:dyDescent="0.3">
      <c r="A102" s="81" t="s">
        <v>852</v>
      </c>
      <c r="B102" s="944" t="s">
        <v>685</v>
      </c>
      <c r="C102" s="946"/>
      <c r="D102" s="131">
        <f>IF(D97="-",0,IF(D97="-",0,SUM(Nachkalkulation!D13,Nachkalkulation!D23,Nachkalkulation!D27)*-1+HLOOKUP(D97,Grund_geb_ein,6,FALSE)-D99))</f>
        <v>-6960.1999999999971</v>
      </c>
      <c r="E102" s="542">
        <f>IF(E97="-",0,IF(E97="-",0,SUM(Nachkalkulation!F13,Nachkalkulation!F23,Nachkalkulation!F27)*-1+HLOOKUP(E97,Grund_geb_ein,6,FALSE)+E99))</f>
        <v>-12744.570000000007</v>
      </c>
      <c r="F102" s="132">
        <f>IF(F97="-",0,IF(F97="-",0,SUM(Nachkalkulation!H13,Nachkalkulation!H23,Nachkalkulation!H27)*-1+HLOOKUP(F97,Grund_geb_ein,6,FALSE)+F99))</f>
        <v>-26360.73000000001</v>
      </c>
      <c r="G102" s="132">
        <f>IF(G97="-",0,IF(G97="-",0,SUM(Nachkalkulation!J13,Nachkalkulation!J23,Nachkalkulation!J27)*-1+HLOOKUP(G97,Grund_geb_ein,6,FALSE)+G99))</f>
        <v>-29089.760000000009</v>
      </c>
      <c r="H102" s="133">
        <f>IF(H97="-",0,IF(H97="-",0,SUM(Nachkalkulation!L13,Nachkalkulation!L23,Nachkalkulation!L27)*-1+HLOOKUP(H97,Grund_geb_ein,6,FALSE)+H99))</f>
        <v>-30299.33</v>
      </c>
      <c r="I102" s="846"/>
      <c r="J102" s="847"/>
      <c r="K102" s="847"/>
      <c r="L102" s="848"/>
      <c r="M102" s="289">
        <v>6</v>
      </c>
    </row>
    <row r="103" spans="1:13" s="115" customFormat="1" ht="27" hidden="1" customHeight="1" x14ac:dyDescent="0.3">
      <c r="A103" s="81" t="s">
        <v>853</v>
      </c>
      <c r="B103" s="944" t="s">
        <v>686</v>
      </c>
      <c r="C103" s="946"/>
      <c r="D103" s="131">
        <f>IF(D97="-",0,SUM(Nachkalkulation!C13,Nachkalkulation!C23,Nachkalkulation!C27,Nachkalkulation!D13,Nachkalkulation!D23,Nachkalkulation!D27)*-1+HLOOKUP(D97,Grund_geb_ein,7,FALSE)-D100)</f>
        <v>-117737.92999999993</v>
      </c>
      <c r="E103" s="542">
        <f>IF(E97="-",0,SUM(Nachkalkulation!E13,Nachkalkulation!E23,Nachkalkulation!E27,Nachkalkulation!F13,Nachkalkulation!F23,Nachkalkulation!F27)*-1+HLOOKUP(E97,Grund_geb_ein,7,FALSE)+E100)</f>
        <v>-122931.77000000002</v>
      </c>
      <c r="F103" s="132">
        <f>IF(F97="-",0,SUM(Nachkalkulation!G13,Nachkalkulation!G23,Nachkalkulation!G27,Nachkalkulation!H13,Nachkalkulation!H23,Nachkalkulation!H27)*-1+HLOOKUP(F97,Grund_geb_ein,7,FALSE)+F100)</f>
        <v>-144532.02000000002</v>
      </c>
      <c r="G103" s="132">
        <f>IF(G97="-",0,SUM(Nachkalkulation!I13,Nachkalkulation!I23,Nachkalkulation!I27,Nachkalkulation!J13,Nachkalkulation!J23,Nachkalkulation!J27)*-1+HLOOKUP(G97,Grund_geb_ein,7,FALSE)+G100)</f>
        <v>-101401.03000000003</v>
      </c>
      <c r="H103" s="133">
        <f>IF(H97="-",0,SUM(Nachkalkulation!K13,Nachkalkulation!K23,Nachkalkulation!K27,Nachkalkulation!L13,Nachkalkulation!L23,Nachkalkulation!L27)*-1+HLOOKUP(H97,Grund_geb_ein,7,FALSE)+H100)</f>
        <v>-136844.1100000001</v>
      </c>
      <c r="I103" s="846"/>
      <c r="J103" s="847"/>
      <c r="K103" s="847"/>
      <c r="L103" s="848"/>
      <c r="M103" s="289">
        <v>7</v>
      </c>
    </row>
    <row r="104" spans="1:13" s="115" customFormat="1" ht="7.5" customHeight="1" x14ac:dyDescent="0.3">
      <c r="A104" s="642"/>
      <c r="B104" s="148"/>
      <c r="C104" s="148"/>
      <c r="D104" s="148"/>
      <c r="E104" s="148"/>
      <c r="F104" s="148"/>
      <c r="G104" s="148"/>
      <c r="H104" s="148"/>
      <c r="I104" s="148"/>
      <c r="J104" s="148"/>
      <c r="K104" s="148"/>
      <c r="L104" s="629"/>
    </row>
    <row r="105" spans="1:13" s="115" customFormat="1" ht="33" customHeight="1" thickBot="1" x14ac:dyDescent="0.35">
      <c r="A105" s="652" t="s">
        <v>580</v>
      </c>
      <c r="B105" s="951" t="s">
        <v>692</v>
      </c>
      <c r="C105" s="952"/>
      <c r="D105" s="952"/>
      <c r="E105" s="701"/>
      <c r="F105" s="701"/>
      <c r="G105" s="701"/>
      <c r="H105" s="701"/>
      <c r="I105" s="701"/>
      <c r="J105" s="701"/>
      <c r="K105" s="701"/>
      <c r="L105" s="702"/>
    </row>
    <row r="106" spans="1:13" s="115" customFormat="1" ht="15" thickBot="1" x14ac:dyDescent="0.35">
      <c r="A106" s="652" t="s">
        <v>581</v>
      </c>
      <c r="B106" s="953" t="s">
        <v>140</v>
      </c>
      <c r="C106" s="954"/>
      <c r="D106" s="381">
        <f>D97</f>
        <v>2012</v>
      </c>
      <c r="E106" s="119"/>
      <c r="F106" s="119"/>
      <c r="G106" s="119"/>
      <c r="H106" s="119"/>
      <c r="I106" s="119"/>
      <c r="J106" s="119"/>
      <c r="K106" s="119"/>
      <c r="L106" s="120"/>
    </row>
    <row r="107" spans="1:13" s="115" customFormat="1" ht="41.25" customHeight="1" x14ac:dyDescent="0.3">
      <c r="A107" s="652" t="s">
        <v>582</v>
      </c>
      <c r="B107" s="955" t="s">
        <v>723</v>
      </c>
      <c r="C107" s="956"/>
      <c r="D107" s="378"/>
      <c r="E107" s="119"/>
      <c r="F107" s="119"/>
      <c r="G107" s="119"/>
      <c r="H107" s="119"/>
      <c r="I107" s="119"/>
      <c r="J107" s="119"/>
      <c r="K107" s="119"/>
      <c r="L107" s="120"/>
    </row>
    <row r="108" spans="1:13" s="115" customFormat="1" ht="41.25" customHeight="1" x14ac:dyDescent="0.3">
      <c r="A108" s="652" t="s">
        <v>583</v>
      </c>
      <c r="B108" s="957" t="s">
        <v>724</v>
      </c>
      <c r="C108" s="958"/>
      <c r="D108" s="379"/>
      <c r="E108" s="119"/>
      <c r="F108" s="119"/>
      <c r="G108" s="119"/>
      <c r="H108" s="119"/>
      <c r="I108" s="119"/>
      <c r="J108" s="119"/>
      <c r="K108" s="119"/>
      <c r="L108" s="120"/>
    </row>
    <row r="109" spans="1:13" s="115" customFormat="1" ht="15" customHeight="1" x14ac:dyDescent="0.3">
      <c r="A109" s="642"/>
      <c r="B109" s="148"/>
      <c r="C109" s="148"/>
      <c r="D109" s="148"/>
      <c r="E109" s="148"/>
      <c r="F109" s="148"/>
      <c r="G109" s="148"/>
      <c r="H109" s="148"/>
      <c r="I109" s="148"/>
      <c r="J109" s="148"/>
      <c r="K109" s="148"/>
      <c r="L109" s="148"/>
    </row>
  </sheetData>
  <sheetProtection sheet="1" objects="1" scenarios="1"/>
  <mergeCells count="120">
    <mergeCell ref="B59:C59"/>
    <mergeCell ref="B60:C60"/>
    <mergeCell ref="B56:C56"/>
    <mergeCell ref="B55:C55"/>
    <mergeCell ref="B93:C93"/>
    <mergeCell ref="I93:L94"/>
    <mergeCell ref="B94:C94"/>
    <mergeCell ref="B84:C84"/>
    <mergeCell ref="I84:L85"/>
    <mergeCell ref="B85:C85"/>
    <mergeCell ref="B86:C86"/>
    <mergeCell ref="B87:L87"/>
    <mergeCell ref="B61:C61"/>
    <mergeCell ref="B62:C62"/>
    <mergeCell ref="B63:C63"/>
    <mergeCell ref="B65:C65"/>
    <mergeCell ref="B66:C66"/>
    <mergeCell ref="B67:C67"/>
    <mergeCell ref="B68:C68"/>
    <mergeCell ref="B69:C69"/>
    <mergeCell ref="B70:C70"/>
    <mergeCell ref="B71:C71"/>
    <mergeCell ref="B72:C72"/>
    <mergeCell ref="B73:L73"/>
    <mergeCell ref="B105:L105"/>
    <mergeCell ref="B106:C106"/>
    <mergeCell ref="B107:C107"/>
    <mergeCell ref="B108:C108"/>
    <mergeCell ref="B95:C95"/>
    <mergeCell ref="B96:L96"/>
    <mergeCell ref="B97:C97"/>
    <mergeCell ref="B98:C98"/>
    <mergeCell ref="B99:C99"/>
    <mergeCell ref="B101:C101"/>
    <mergeCell ref="B103:C103"/>
    <mergeCell ref="B102:C102"/>
    <mergeCell ref="B100:C100"/>
    <mergeCell ref="B47:G47"/>
    <mergeCell ref="B89:L89"/>
    <mergeCell ref="B90:C90"/>
    <mergeCell ref="E90:H90"/>
    <mergeCell ref="I90:L90"/>
    <mergeCell ref="B91:C91"/>
    <mergeCell ref="B92:C92"/>
    <mergeCell ref="B83:C83"/>
    <mergeCell ref="B75:L75"/>
    <mergeCell ref="B76:L76"/>
    <mergeCell ref="B77:C77"/>
    <mergeCell ref="E77:H77"/>
    <mergeCell ref="I77:L77"/>
    <mergeCell ref="B78:C78"/>
    <mergeCell ref="B79:C79"/>
    <mergeCell ref="B80:C80"/>
    <mergeCell ref="I80:L81"/>
    <mergeCell ref="B81:C81"/>
    <mergeCell ref="B82:C82"/>
    <mergeCell ref="B53:C53"/>
    <mergeCell ref="E53:H53"/>
    <mergeCell ref="I53:L53"/>
    <mergeCell ref="B57:C57"/>
    <mergeCell ref="B54:C54"/>
    <mergeCell ref="B48:G48"/>
    <mergeCell ref="B49:G49"/>
    <mergeCell ref="B50:G50"/>
    <mergeCell ref="B38:H38"/>
    <mergeCell ref="B28:L28"/>
    <mergeCell ref="B29:C29"/>
    <mergeCell ref="E29:H29"/>
    <mergeCell ref="I29:L29"/>
    <mergeCell ref="B30:C30"/>
    <mergeCell ref="B31:C31"/>
    <mergeCell ref="B32:C32"/>
    <mergeCell ref="B37:H37"/>
    <mergeCell ref="I37:L37"/>
    <mergeCell ref="B33:C33"/>
    <mergeCell ref="B34:C34"/>
    <mergeCell ref="B35:C35"/>
    <mergeCell ref="B39:H39"/>
    <mergeCell ref="B40:H40"/>
    <mergeCell ref="B42:H42"/>
    <mergeCell ref="I42:L42"/>
    <mergeCell ref="B43:H43"/>
    <mergeCell ref="B44:H44"/>
    <mergeCell ref="B45:H45"/>
    <mergeCell ref="B46:G46"/>
    <mergeCell ref="E10:G10"/>
    <mergeCell ref="H12:J12"/>
    <mergeCell ref="B16:C16"/>
    <mergeCell ref="E16:G16"/>
    <mergeCell ref="H16:J16"/>
    <mergeCell ref="B13:C13"/>
    <mergeCell ref="E13:G13"/>
    <mergeCell ref="H13:J13"/>
    <mergeCell ref="B15:C15"/>
    <mergeCell ref="E15:G15"/>
    <mergeCell ref="H15:J15"/>
    <mergeCell ref="A26:C26"/>
    <mergeCell ref="B51:G51"/>
    <mergeCell ref="I101:L103"/>
    <mergeCell ref="A1:H1"/>
    <mergeCell ref="A2:H2"/>
    <mergeCell ref="A3:H3"/>
    <mergeCell ref="A4:H4"/>
    <mergeCell ref="B5:G5"/>
    <mergeCell ref="H5:J5"/>
    <mergeCell ref="H10:J10"/>
    <mergeCell ref="B11:C11"/>
    <mergeCell ref="E11:G11"/>
    <mergeCell ref="H11:J11"/>
    <mergeCell ref="B18:C18"/>
    <mergeCell ref="D18:G18"/>
    <mergeCell ref="H18:J18"/>
    <mergeCell ref="B19:C19"/>
    <mergeCell ref="D19:G19"/>
    <mergeCell ref="H19:J19"/>
    <mergeCell ref="B6:F6"/>
    <mergeCell ref="B8:F8"/>
    <mergeCell ref="B10:C10"/>
    <mergeCell ref="B12:C12"/>
    <mergeCell ref="E12:G1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56"/>
  <sheetViews>
    <sheetView workbookViewId="0">
      <pane xSplit="6" ySplit="9" topLeftCell="G10" activePane="bottomRight" state="frozen"/>
      <selection pane="topRight" activeCell="G1" sqref="G1"/>
      <selection pane="bottomLeft" activeCell="A10" sqref="A10"/>
      <selection pane="bottomRight" sqref="A1:A4"/>
    </sheetView>
  </sheetViews>
  <sheetFormatPr baseColWidth="10" defaultColWidth="11.44140625" defaultRowHeight="14.4" x14ac:dyDescent="0.3"/>
  <cols>
    <col min="1" max="1" width="6.5546875" style="10" customWidth="1"/>
    <col min="2" max="2" width="43.109375" style="10" customWidth="1"/>
    <col min="3" max="3" width="11.44140625" style="10"/>
    <col min="4" max="6" width="3.88671875" style="10" customWidth="1"/>
    <col min="7" max="7" width="11.44140625" style="10"/>
    <col min="8" max="8" width="12" style="10" customWidth="1"/>
    <col min="9" max="10" width="11.44140625" style="10"/>
    <col min="11" max="42" width="11.6640625" style="10" customWidth="1"/>
    <col min="43" max="16384" width="11.44140625" style="10"/>
  </cols>
  <sheetData>
    <row r="1" spans="1:42" s="34" customFormat="1" ht="41.25" customHeight="1" thickBot="1" x14ac:dyDescent="0.35">
      <c r="A1" s="977" t="s">
        <v>0</v>
      </c>
      <c r="B1" s="979" t="s">
        <v>817</v>
      </c>
      <c r="C1" s="980"/>
      <c r="D1" s="980"/>
      <c r="E1" s="980"/>
      <c r="F1" s="980"/>
      <c r="G1" s="980"/>
      <c r="H1" s="980"/>
      <c r="I1" s="980"/>
      <c r="J1" s="980"/>
      <c r="K1" s="682" t="str">
        <f>"Zwischen Zeile "&amp;ROW(5:5)&amp;" und Zeile "&amp;ROW(56:56)&amp;" weder eine Zeile einfügen noch löschen!!!"</f>
        <v>Zwischen Zeile 5 und Zeile 56 weder eine Zeile einfügen noch löschen!!!</v>
      </c>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row>
    <row r="2" spans="1:42" ht="31.5" customHeight="1" x14ac:dyDescent="0.3">
      <c r="A2" s="977"/>
      <c r="B2" s="981" t="s">
        <v>1</v>
      </c>
      <c r="C2" s="984" t="s">
        <v>819</v>
      </c>
      <c r="D2" s="987" t="s">
        <v>2</v>
      </c>
      <c r="E2" s="988"/>
      <c r="F2" s="989"/>
      <c r="G2" s="990" t="s">
        <v>3</v>
      </c>
      <c r="H2" s="988"/>
      <c r="I2" s="988"/>
      <c r="J2" s="991"/>
      <c r="K2" s="990" t="s">
        <v>3</v>
      </c>
      <c r="L2" s="988"/>
      <c r="M2" s="988"/>
      <c r="N2" s="991"/>
      <c r="O2" s="990" t="s">
        <v>3</v>
      </c>
      <c r="P2" s="988"/>
      <c r="Q2" s="988"/>
      <c r="R2" s="991"/>
      <c r="S2" s="990" t="s">
        <v>3</v>
      </c>
      <c r="T2" s="988"/>
      <c r="U2" s="988"/>
      <c r="V2" s="991"/>
      <c r="W2" s="990" t="s">
        <v>3</v>
      </c>
      <c r="X2" s="988"/>
      <c r="Y2" s="988"/>
      <c r="Z2" s="991"/>
      <c r="AA2" s="990" t="s">
        <v>3</v>
      </c>
      <c r="AB2" s="988"/>
      <c r="AC2" s="988"/>
      <c r="AD2" s="991"/>
      <c r="AE2" s="990" t="s">
        <v>3</v>
      </c>
      <c r="AF2" s="988"/>
      <c r="AG2" s="988"/>
      <c r="AH2" s="991"/>
      <c r="AI2" s="990" t="s">
        <v>3</v>
      </c>
      <c r="AJ2" s="988"/>
      <c r="AK2" s="988"/>
      <c r="AL2" s="991"/>
      <c r="AM2" s="990" t="s">
        <v>3</v>
      </c>
      <c r="AN2" s="988"/>
      <c r="AO2" s="988"/>
      <c r="AP2" s="991"/>
    </row>
    <row r="3" spans="1:42" ht="48.75" customHeight="1" x14ac:dyDescent="0.3">
      <c r="A3" s="977"/>
      <c r="B3" s="982"/>
      <c r="C3" s="985"/>
      <c r="D3" s="1" t="s">
        <v>764</v>
      </c>
      <c r="E3" s="1" t="s">
        <v>765</v>
      </c>
      <c r="F3" s="1" t="s">
        <v>766</v>
      </c>
      <c r="G3" s="995" t="s">
        <v>4</v>
      </c>
      <c r="H3" s="997" t="s">
        <v>5</v>
      </c>
      <c r="I3" s="998"/>
      <c r="J3" s="999" t="s">
        <v>6</v>
      </c>
      <c r="K3" s="995" t="s">
        <v>4</v>
      </c>
      <c r="L3" s="997" t="s">
        <v>5</v>
      </c>
      <c r="M3" s="998"/>
      <c r="N3" s="999" t="s">
        <v>6</v>
      </c>
      <c r="O3" s="995" t="s">
        <v>4</v>
      </c>
      <c r="P3" s="997" t="s">
        <v>5</v>
      </c>
      <c r="Q3" s="998"/>
      <c r="R3" s="999" t="s">
        <v>6</v>
      </c>
      <c r="S3" s="995" t="s">
        <v>4</v>
      </c>
      <c r="T3" s="997" t="s">
        <v>5</v>
      </c>
      <c r="U3" s="998"/>
      <c r="V3" s="999" t="s">
        <v>6</v>
      </c>
      <c r="W3" s="995" t="s">
        <v>4</v>
      </c>
      <c r="X3" s="997" t="s">
        <v>5</v>
      </c>
      <c r="Y3" s="998"/>
      <c r="Z3" s="999" t="s">
        <v>6</v>
      </c>
      <c r="AA3" s="995" t="s">
        <v>4</v>
      </c>
      <c r="AB3" s="997" t="s">
        <v>5</v>
      </c>
      <c r="AC3" s="998"/>
      <c r="AD3" s="999" t="s">
        <v>6</v>
      </c>
      <c r="AE3" s="995" t="s">
        <v>4</v>
      </c>
      <c r="AF3" s="997" t="s">
        <v>5</v>
      </c>
      <c r="AG3" s="998"/>
      <c r="AH3" s="999" t="s">
        <v>6</v>
      </c>
      <c r="AI3" s="995" t="s">
        <v>4</v>
      </c>
      <c r="AJ3" s="997" t="s">
        <v>5</v>
      </c>
      <c r="AK3" s="998"/>
      <c r="AL3" s="999" t="s">
        <v>6</v>
      </c>
      <c r="AM3" s="995" t="s">
        <v>4</v>
      </c>
      <c r="AN3" s="997" t="s">
        <v>5</v>
      </c>
      <c r="AO3" s="998"/>
      <c r="AP3" s="999" t="s">
        <v>6</v>
      </c>
    </row>
    <row r="4" spans="1:42" ht="29.25" customHeight="1" x14ac:dyDescent="0.3">
      <c r="A4" s="978"/>
      <c r="B4" s="983"/>
      <c r="C4" s="986"/>
      <c r="D4" s="1"/>
      <c r="E4" s="1"/>
      <c r="F4" s="1"/>
      <c r="G4" s="996"/>
      <c r="H4" s="2" t="s">
        <v>7</v>
      </c>
      <c r="I4" s="2" t="s">
        <v>8</v>
      </c>
      <c r="J4" s="1000"/>
      <c r="K4" s="996"/>
      <c r="L4" s="2" t="s">
        <v>7</v>
      </c>
      <c r="M4" s="2" t="s">
        <v>8</v>
      </c>
      <c r="N4" s="1000"/>
      <c r="O4" s="996"/>
      <c r="P4" s="2" t="s">
        <v>7</v>
      </c>
      <c r="Q4" s="2" t="s">
        <v>8</v>
      </c>
      <c r="R4" s="1000"/>
      <c r="S4" s="996"/>
      <c r="T4" s="2" t="s">
        <v>7</v>
      </c>
      <c r="U4" s="2" t="s">
        <v>8</v>
      </c>
      <c r="V4" s="1000"/>
      <c r="W4" s="996"/>
      <c r="X4" s="2" t="s">
        <v>7</v>
      </c>
      <c r="Y4" s="2" t="s">
        <v>8</v>
      </c>
      <c r="Z4" s="1000"/>
      <c r="AA4" s="996"/>
      <c r="AB4" s="2" t="s">
        <v>7</v>
      </c>
      <c r="AC4" s="2" t="s">
        <v>8</v>
      </c>
      <c r="AD4" s="1000"/>
      <c r="AE4" s="996"/>
      <c r="AF4" s="2" t="s">
        <v>7</v>
      </c>
      <c r="AG4" s="2" t="s">
        <v>8</v>
      </c>
      <c r="AH4" s="1000"/>
      <c r="AI4" s="996"/>
      <c r="AJ4" s="2" t="s">
        <v>7</v>
      </c>
      <c r="AK4" s="2" t="s">
        <v>8</v>
      </c>
      <c r="AL4" s="1000"/>
      <c r="AM4" s="996"/>
      <c r="AN4" s="2" t="s">
        <v>7</v>
      </c>
      <c r="AO4" s="2" t="s">
        <v>8</v>
      </c>
      <c r="AP4" s="1000"/>
    </row>
    <row r="5" spans="1:42" ht="15" hidden="1" customHeight="1" x14ac:dyDescent="0.3">
      <c r="A5" s="3"/>
      <c r="B5" s="4"/>
      <c r="C5" s="5"/>
      <c r="D5" s="515">
        <v>1</v>
      </c>
      <c r="E5" s="516"/>
      <c r="F5" s="517"/>
      <c r="G5" s="6">
        <f>G8</f>
        <v>2012</v>
      </c>
      <c r="H5" s="7"/>
      <c r="I5" s="8"/>
      <c r="J5" s="9"/>
      <c r="K5" s="6">
        <f>K8</f>
        <v>2013</v>
      </c>
      <c r="L5" s="7"/>
      <c r="M5" s="8"/>
      <c r="N5" s="9"/>
      <c r="O5" s="6">
        <f>O8</f>
        <v>2014</v>
      </c>
      <c r="P5" s="7"/>
      <c r="Q5" s="8"/>
      <c r="R5" s="9"/>
      <c r="S5" s="6">
        <f>S8</f>
        <v>2015</v>
      </c>
      <c r="T5" s="7"/>
      <c r="U5" s="8"/>
      <c r="V5" s="9"/>
      <c r="W5" s="6">
        <f>W8</f>
        <v>2016</v>
      </c>
      <c r="X5" s="7"/>
      <c r="Y5" s="8"/>
      <c r="Z5" s="9"/>
      <c r="AA5" s="6">
        <f>AA8</f>
        <v>2017</v>
      </c>
      <c r="AB5" s="7"/>
      <c r="AC5" s="8"/>
      <c r="AD5" s="9"/>
      <c r="AE5" s="6">
        <f>AE8</f>
        <v>2018</v>
      </c>
      <c r="AF5" s="7"/>
      <c r="AG5" s="8"/>
      <c r="AH5" s="9"/>
      <c r="AI5" s="6">
        <f>AI8</f>
        <v>2019</v>
      </c>
      <c r="AJ5" s="7"/>
      <c r="AK5" s="8"/>
      <c r="AL5" s="9"/>
      <c r="AM5" s="6">
        <f>AM8</f>
        <v>2020</v>
      </c>
      <c r="AN5" s="7"/>
      <c r="AO5" s="8"/>
      <c r="AP5" s="9"/>
    </row>
    <row r="6" spans="1:42" ht="15" hidden="1" customHeight="1" x14ac:dyDescent="0.3">
      <c r="A6" s="3"/>
      <c r="B6" s="4"/>
      <c r="C6" s="5"/>
      <c r="D6" s="515">
        <v>2</v>
      </c>
      <c r="E6" s="515">
        <v>1</v>
      </c>
      <c r="F6" s="517"/>
      <c r="G6" s="11"/>
      <c r="H6" s="12">
        <f>G8</f>
        <v>2012</v>
      </c>
      <c r="I6" s="13"/>
      <c r="J6" s="14"/>
      <c r="K6" s="11"/>
      <c r="L6" s="12">
        <f>K8</f>
        <v>2013</v>
      </c>
      <c r="M6" s="13"/>
      <c r="N6" s="14"/>
      <c r="O6" s="11"/>
      <c r="P6" s="12">
        <f>O8</f>
        <v>2014</v>
      </c>
      <c r="Q6" s="13"/>
      <c r="R6" s="14"/>
      <c r="S6" s="11"/>
      <c r="T6" s="12">
        <f>S8</f>
        <v>2015</v>
      </c>
      <c r="U6" s="13"/>
      <c r="V6" s="14"/>
      <c r="W6" s="11"/>
      <c r="X6" s="12">
        <f>W8</f>
        <v>2016</v>
      </c>
      <c r="Y6" s="13"/>
      <c r="Z6" s="14"/>
      <c r="AA6" s="11"/>
      <c r="AB6" s="12">
        <f>AA8</f>
        <v>2017</v>
      </c>
      <c r="AC6" s="13"/>
      <c r="AD6" s="14"/>
      <c r="AE6" s="11"/>
      <c r="AF6" s="12">
        <f>AE8</f>
        <v>2018</v>
      </c>
      <c r="AG6" s="13"/>
      <c r="AH6" s="14"/>
      <c r="AI6" s="11"/>
      <c r="AJ6" s="12">
        <f>AI8</f>
        <v>2019</v>
      </c>
      <c r="AK6" s="13"/>
      <c r="AL6" s="14"/>
      <c r="AM6" s="11"/>
      <c r="AN6" s="12">
        <f>AM8</f>
        <v>2020</v>
      </c>
      <c r="AO6" s="13"/>
      <c r="AP6" s="14"/>
    </row>
    <row r="7" spans="1:42" ht="15" hidden="1" customHeight="1" x14ac:dyDescent="0.3">
      <c r="A7" s="3"/>
      <c r="B7" s="4"/>
      <c r="C7" s="5"/>
      <c r="D7" s="515">
        <v>3</v>
      </c>
      <c r="E7" s="515">
        <v>2</v>
      </c>
      <c r="F7" s="515">
        <v>1</v>
      </c>
      <c r="G7" s="11"/>
      <c r="H7" s="15"/>
      <c r="I7" s="12">
        <f>G8</f>
        <v>2012</v>
      </c>
      <c r="J7" s="14"/>
      <c r="K7" s="11"/>
      <c r="L7" s="15"/>
      <c r="M7" s="12">
        <f>K8</f>
        <v>2013</v>
      </c>
      <c r="N7" s="14"/>
      <c r="O7" s="11"/>
      <c r="P7" s="15"/>
      <c r="Q7" s="12">
        <f>O8</f>
        <v>2014</v>
      </c>
      <c r="R7" s="14"/>
      <c r="S7" s="11"/>
      <c r="T7" s="15"/>
      <c r="U7" s="12">
        <f>S8</f>
        <v>2015</v>
      </c>
      <c r="V7" s="14"/>
      <c r="W7" s="11"/>
      <c r="X7" s="15"/>
      <c r="Y7" s="12">
        <f>W8</f>
        <v>2016</v>
      </c>
      <c r="Z7" s="14"/>
      <c r="AA7" s="11"/>
      <c r="AB7" s="15"/>
      <c r="AC7" s="12">
        <f>AA8</f>
        <v>2017</v>
      </c>
      <c r="AD7" s="14"/>
      <c r="AE7" s="11"/>
      <c r="AF7" s="15"/>
      <c r="AG7" s="12">
        <f>AE8</f>
        <v>2018</v>
      </c>
      <c r="AH7" s="14"/>
      <c r="AI7" s="11"/>
      <c r="AJ7" s="15"/>
      <c r="AK7" s="12">
        <f>AI8</f>
        <v>2019</v>
      </c>
      <c r="AL7" s="14"/>
      <c r="AM7" s="11"/>
      <c r="AN7" s="15"/>
      <c r="AO7" s="12">
        <f>AM8</f>
        <v>2020</v>
      </c>
      <c r="AP7" s="14"/>
    </row>
    <row r="8" spans="1:42" x14ac:dyDescent="0.3">
      <c r="A8" s="16" t="s">
        <v>9</v>
      </c>
      <c r="B8" s="17" t="s">
        <v>10</v>
      </c>
      <c r="C8" s="18"/>
      <c r="D8" s="515">
        <v>4</v>
      </c>
      <c r="E8" s="515">
        <v>3</v>
      </c>
      <c r="F8" s="515">
        <v>2</v>
      </c>
      <c r="G8" s="992">
        <f>Nachkalkulation!C6</f>
        <v>2012</v>
      </c>
      <c r="H8" s="993"/>
      <c r="I8" s="993"/>
      <c r="J8" s="994"/>
      <c r="K8" s="992">
        <f>G8+1</f>
        <v>2013</v>
      </c>
      <c r="L8" s="993"/>
      <c r="M8" s="993"/>
      <c r="N8" s="994"/>
      <c r="O8" s="992">
        <f>K8+1</f>
        <v>2014</v>
      </c>
      <c r="P8" s="993"/>
      <c r="Q8" s="993"/>
      <c r="R8" s="994"/>
      <c r="S8" s="992">
        <f>O8+1</f>
        <v>2015</v>
      </c>
      <c r="T8" s="993"/>
      <c r="U8" s="993"/>
      <c r="V8" s="994"/>
      <c r="W8" s="992">
        <f>S8+1</f>
        <v>2016</v>
      </c>
      <c r="X8" s="993"/>
      <c r="Y8" s="993"/>
      <c r="Z8" s="994"/>
      <c r="AA8" s="992">
        <f>W8+1</f>
        <v>2017</v>
      </c>
      <c r="AB8" s="993"/>
      <c r="AC8" s="993"/>
      <c r="AD8" s="994"/>
      <c r="AE8" s="992">
        <f>AA8+1</f>
        <v>2018</v>
      </c>
      <c r="AF8" s="993"/>
      <c r="AG8" s="993"/>
      <c r="AH8" s="994"/>
      <c r="AI8" s="992">
        <f>AE8+1</f>
        <v>2019</v>
      </c>
      <c r="AJ8" s="993"/>
      <c r="AK8" s="993"/>
      <c r="AL8" s="994"/>
      <c r="AM8" s="992">
        <f>AI8+1</f>
        <v>2020</v>
      </c>
      <c r="AN8" s="993"/>
      <c r="AO8" s="993"/>
      <c r="AP8" s="994"/>
    </row>
    <row r="9" spans="1:42" s="238" customFormat="1" x14ac:dyDescent="0.3">
      <c r="A9" s="536" t="s">
        <v>11</v>
      </c>
      <c r="B9" s="506" t="s">
        <v>12</v>
      </c>
      <c r="C9" s="18"/>
      <c r="D9" s="515">
        <v>5</v>
      </c>
      <c r="E9" s="515">
        <v>4</v>
      </c>
      <c r="F9" s="515">
        <v>3</v>
      </c>
      <c r="G9" s="20"/>
      <c r="H9" s="21"/>
      <c r="I9" s="21"/>
      <c r="J9" s="22"/>
      <c r="K9" s="20"/>
      <c r="L9" s="21"/>
      <c r="M9" s="21"/>
      <c r="N9" s="22"/>
      <c r="O9" s="20"/>
      <c r="P9" s="21"/>
      <c r="Q9" s="21"/>
      <c r="R9" s="22"/>
      <c r="S9" s="20"/>
      <c r="T9" s="21"/>
      <c r="U9" s="21"/>
      <c r="V9" s="22"/>
      <c r="W9" s="20"/>
      <c r="X9" s="21"/>
      <c r="Y9" s="21"/>
      <c r="Z9" s="22"/>
      <c r="AA9" s="20"/>
      <c r="AB9" s="21"/>
      <c r="AC9" s="21"/>
      <c r="AD9" s="22"/>
      <c r="AE9" s="20"/>
      <c r="AF9" s="21"/>
      <c r="AG9" s="21"/>
      <c r="AH9" s="22"/>
      <c r="AI9" s="20"/>
      <c r="AJ9" s="21"/>
      <c r="AK9" s="21"/>
      <c r="AL9" s="22"/>
      <c r="AM9" s="20"/>
      <c r="AN9" s="21"/>
      <c r="AO9" s="21"/>
      <c r="AP9" s="22"/>
    </row>
    <row r="10" spans="1:42" ht="12.75" customHeight="1" x14ac:dyDescent="0.3">
      <c r="A10" s="19" t="s">
        <v>13</v>
      </c>
      <c r="B10" s="507" t="s">
        <v>14</v>
      </c>
      <c r="C10" s="508" t="s">
        <v>15</v>
      </c>
      <c r="D10" s="515">
        <v>6</v>
      </c>
      <c r="E10" s="515">
        <v>5</v>
      </c>
      <c r="F10" s="515">
        <v>4</v>
      </c>
      <c r="G10" s="514">
        <v>1</v>
      </c>
      <c r="H10" s="514"/>
      <c r="I10" s="514"/>
      <c r="J10" s="23">
        <f>G10+H10+I10</f>
        <v>1</v>
      </c>
      <c r="K10" s="514">
        <f>G10</f>
        <v>1</v>
      </c>
      <c r="L10" s="514">
        <f t="shared" ref="L10:M12" si="0">H10</f>
        <v>0</v>
      </c>
      <c r="M10" s="514">
        <f t="shared" si="0"/>
        <v>0</v>
      </c>
      <c r="N10" s="23">
        <f>K10+L10+M10</f>
        <v>1</v>
      </c>
      <c r="O10" s="514">
        <f>K10</f>
        <v>1</v>
      </c>
      <c r="P10" s="514">
        <f t="shared" ref="P10:P12" si="1">L10</f>
        <v>0</v>
      </c>
      <c r="Q10" s="514">
        <f t="shared" ref="Q10:Q12" si="2">M10</f>
        <v>0</v>
      </c>
      <c r="R10" s="23">
        <f>O10+P10+Q10</f>
        <v>1</v>
      </c>
      <c r="S10" s="514">
        <f>O10</f>
        <v>1</v>
      </c>
      <c r="T10" s="514">
        <f t="shared" ref="T10:T12" si="3">P10</f>
        <v>0</v>
      </c>
      <c r="U10" s="514">
        <f t="shared" ref="U10:U12" si="4">Q10</f>
        <v>0</v>
      </c>
      <c r="V10" s="23">
        <f>S10+T10+U10</f>
        <v>1</v>
      </c>
      <c r="W10" s="514">
        <f>S10</f>
        <v>1</v>
      </c>
      <c r="X10" s="514">
        <f t="shared" ref="X10:X12" si="5">T10</f>
        <v>0</v>
      </c>
      <c r="Y10" s="514">
        <f t="shared" ref="Y10:Y12" si="6">U10</f>
        <v>0</v>
      </c>
      <c r="Z10" s="23">
        <f>W10+X10+Y10</f>
        <v>1</v>
      </c>
      <c r="AA10" s="514">
        <f>W10</f>
        <v>1</v>
      </c>
      <c r="AB10" s="514">
        <f t="shared" ref="AB10:AB12" si="7">X10</f>
        <v>0</v>
      </c>
      <c r="AC10" s="514">
        <f t="shared" ref="AC10:AC12" si="8">Y10</f>
        <v>0</v>
      </c>
      <c r="AD10" s="23">
        <f>AA10+AB10+AC10</f>
        <v>1</v>
      </c>
      <c r="AE10" s="514">
        <f>AA10</f>
        <v>1</v>
      </c>
      <c r="AF10" s="514">
        <f t="shared" ref="AF10:AF12" si="9">AB10</f>
        <v>0</v>
      </c>
      <c r="AG10" s="514">
        <f t="shared" ref="AG10:AG12" si="10">AC10</f>
        <v>0</v>
      </c>
      <c r="AH10" s="23">
        <f>AE10+AF10+AG10</f>
        <v>1</v>
      </c>
      <c r="AI10" s="514">
        <f>AE10</f>
        <v>1</v>
      </c>
      <c r="AJ10" s="514">
        <f t="shared" ref="AJ10:AJ12" si="11">AF10</f>
        <v>0</v>
      </c>
      <c r="AK10" s="514">
        <f t="shared" ref="AK10:AK12" si="12">AG10</f>
        <v>0</v>
      </c>
      <c r="AL10" s="23">
        <f>AI10+AJ10+AK10</f>
        <v>1</v>
      </c>
      <c r="AM10" s="514">
        <f>AI10</f>
        <v>1</v>
      </c>
      <c r="AN10" s="514">
        <f t="shared" ref="AN10:AN12" si="13">AJ10</f>
        <v>0</v>
      </c>
      <c r="AO10" s="514">
        <f t="shared" ref="AO10:AO12" si="14">AK10</f>
        <v>0</v>
      </c>
      <c r="AP10" s="23">
        <f>AM10+AN10+AO10</f>
        <v>1</v>
      </c>
    </row>
    <row r="11" spans="1:42" x14ac:dyDescent="0.3">
      <c r="A11" s="19" t="s">
        <v>16</v>
      </c>
      <c r="B11" s="507" t="s">
        <v>17</v>
      </c>
      <c r="C11" s="508" t="s">
        <v>18</v>
      </c>
      <c r="D11" s="515">
        <v>7</v>
      </c>
      <c r="E11" s="515">
        <v>6</v>
      </c>
      <c r="F11" s="515">
        <v>5</v>
      </c>
      <c r="G11" s="514">
        <v>0.5</v>
      </c>
      <c r="H11" s="514">
        <v>0.25</v>
      </c>
      <c r="I11" s="514">
        <v>0.25</v>
      </c>
      <c r="J11" s="23">
        <f>G11+H11+I11</f>
        <v>1</v>
      </c>
      <c r="K11" s="514">
        <f>G11</f>
        <v>0.5</v>
      </c>
      <c r="L11" s="514">
        <f t="shared" si="0"/>
        <v>0.25</v>
      </c>
      <c r="M11" s="514">
        <f t="shared" si="0"/>
        <v>0.25</v>
      </c>
      <c r="N11" s="23">
        <f>K11+L11+M11</f>
        <v>1</v>
      </c>
      <c r="O11" s="514">
        <f>K11</f>
        <v>0.5</v>
      </c>
      <c r="P11" s="514">
        <f t="shared" si="1"/>
        <v>0.25</v>
      </c>
      <c r="Q11" s="514">
        <f t="shared" si="2"/>
        <v>0.25</v>
      </c>
      <c r="R11" s="23">
        <f>O11+P11+Q11</f>
        <v>1</v>
      </c>
      <c r="S11" s="514">
        <f>O11</f>
        <v>0.5</v>
      </c>
      <c r="T11" s="514">
        <f t="shared" si="3"/>
        <v>0.25</v>
      </c>
      <c r="U11" s="514">
        <f t="shared" si="4"/>
        <v>0.25</v>
      </c>
      <c r="V11" s="23">
        <f>S11+T11+U11</f>
        <v>1</v>
      </c>
      <c r="W11" s="514">
        <f>S11</f>
        <v>0.5</v>
      </c>
      <c r="X11" s="514">
        <f t="shared" si="5"/>
        <v>0.25</v>
      </c>
      <c r="Y11" s="514">
        <f t="shared" si="6"/>
        <v>0.25</v>
      </c>
      <c r="Z11" s="23">
        <f>W11+X11+Y11</f>
        <v>1</v>
      </c>
      <c r="AA11" s="514">
        <f>W11</f>
        <v>0.5</v>
      </c>
      <c r="AB11" s="514">
        <f t="shared" si="7"/>
        <v>0.25</v>
      </c>
      <c r="AC11" s="514">
        <f t="shared" si="8"/>
        <v>0.25</v>
      </c>
      <c r="AD11" s="23">
        <f>AA11+AB11+AC11</f>
        <v>1</v>
      </c>
      <c r="AE11" s="514">
        <f>AA11</f>
        <v>0.5</v>
      </c>
      <c r="AF11" s="514">
        <f t="shared" si="9"/>
        <v>0.25</v>
      </c>
      <c r="AG11" s="514">
        <f t="shared" si="10"/>
        <v>0.25</v>
      </c>
      <c r="AH11" s="23">
        <f>AE11+AF11+AG11</f>
        <v>1</v>
      </c>
      <c r="AI11" s="514">
        <f>AE11</f>
        <v>0.5</v>
      </c>
      <c r="AJ11" s="514">
        <f t="shared" si="11"/>
        <v>0.25</v>
      </c>
      <c r="AK11" s="514">
        <f t="shared" si="12"/>
        <v>0.25</v>
      </c>
      <c r="AL11" s="23">
        <f>AI11+AJ11+AK11</f>
        <v>1</v>
      </c>
      <c r="AM11" s="514">
        <f>AI11</f>
        <v>0.5</v>
      </c>
      <c r="AN11" s="514">
        <f t="shared" si="13"/>
        <v>0.25</v>
      </c>
      <c r="AO11" s="514">
        <f t="shared" si="14"/>
        <v>0.25</v>
      </c>
      <c r="AP11" s="23">
        <f>AM11+AN11+AO11</f>
        <v>1</v>
      </c>
    </row>
    <row r="12" spans="1:42" x14ac:dyDescent="0.3">
      <c r="A12" s="19" t="s">
        <v>19</v>
      </c>
      <c r="B12" s="24" t="s">
        <v>20</v>
      </c>
      <c r="C12" s="25" t="s">
        <v>21</v>
      </c>
      <c r="D12" s="515">
        <v>8</v>
      </c>
      <c r="E12" s="515">
        <v>7</v>
      </c>
      <c r="F12" s="515">
        <v>6</v>
      </c>
      <c r="G12" s="514"/>
      <c r="H12" s="514">
        <v>0.5</v>
      </c>
      <c r="I12" s="514">
        <v>0.5</v>
      </c>
      <c r="J12" s="23">
        <f>G12+H12+I12</f>
        <v>1</v>
      </c>
      <c r="K12" s="514">
        <f>G12</f>
        <v>0</v>
      </c>
      <c r="L12" s="514">
        <f t="shared" si="0"/>
        <v>0.5</v>
      </c>
      <c r="M12" s="514">
        <f t="shared" si="0"/>
        <v>0.5</v>
      </c>
      <c r="N12" s="23">
        <f>K12+L12+M12</f>
        <v>1</v>
      </c>
      <c r="O12" s="514">
        <f>K12</f>
        <v>0</v>
      </c>
      <c r="P12" s="514">
        <f t="shared" si="1"/>
        <v>0.5</v>
      </c>
      <c r="Q12" s="514">
        <f t="shared" si="2"/>
        <v>0.5</v>
      </c>
      <c r="R12" s="23">
        <f>O12+P12+Q12</f>
        <v>1</v>
      </c>
      <c r="S12" s="514">
        <f>O12</f>
        <v>0</v>
      </c>
      <c r="T12" s="514">
        <f t="shared" si="3"/>
        <v>0.5</v>
      </c>
      <c r="U12" s="514">
        <f t="shared" si="4"/>
        <v>0.5</v>
      </c>
      <c r="V12" s="23">
        <f>S12+T12+U12</f>
        <v>1</v>
      </c>
      <c r="W12" s="514">
        <f>S12</f>
        <v>0</v>
      </c>
      <c r="X12" s="514">
        <f t="shared" si="5"/>
        <v>0.5</v>
      </c>
      <c r="Y12" s="514">
        <f t="shared" si="6"/>
        <v>0.5</v>
      </c>
      <c r="Z12" s="23">
        <f>W12+X12+Y12</f>
        <v>1</v>
      </c>
      <c r="AA12" s="514">
        <f>W12</f>
        <v>0</v>
      </c>
      <c r="AB12" s="514">
        <f t="shared" si="7"/>
        <v>0.5</v>
      </c>
      <c r="AC12" s="514">
        <f t="shared" si="8"/>
        <v>0.5</v>
      </c>
      <c r="AD12" s="23">
        <f>AA12+AB12+AC12</f>
        <v>1</v>
      </c>
      <c r="AE12" s="514">
        <f>AA12</f>
        <v>0</v>
      </c>
      <c r="AF12" s="514">
        <f t="shared" si="9"/>
        <v>0.5</v>
      </c>
      <c r="AG12" s="514">
        <f t="shared" si="10"/>
        <v>0.5</v>
      </c>
      <c r="AH12" s="23">
        <f>AE12+AF12+AG12</f>
        <v>1</v>
      </c>
      <c r="AI12" s="514">
        <f>AE12</f>
        <v>0</v>
      </c>
      <c r="AJ12" s="514">
        <f t="shared" si="11"/>
        <v>0.5</v>
      </c>
      <c r="AK12" s="514">
        <f t="shared" si="12"/>
        <v>0.5</v>
      </c>
      <c r="AL12" s="23">
        <f>AI12+AJ12+AK12</f>
        <v>1</v>
      </c>
      <c r="AM12" s="514">
        <f>AI12</f>
        <v>0</v>
      </c>
      <c r="AN12" s="514">
        <f t="shared" si="13"/>
        <v>0.5</v>
      </c>
      <c r="AO12" s="514">
        <f t="shared" si="14"/>
        <v>0.5</v>
      </c>
      <c r="AP12" s="23">
        <f>AM12+AN12+AO12</f>
        <v>1</v>
      </c>
    </row>
    <row r="13" spans="1:42" x14ac:dyDescent="0.3">
      <c r="A13" s="19" t="s">
        <v>22</v>
      </c>
      <c r="B13" s="507" t="s">
        <v>23</v>
      </c>
      <c r="C13" s="508" t="s">
        <v>24</v>
      </c>
      <c r="D13" s="515">
        <v>9</v>
      </c>
      <c r="E13" s="515">
        <v>8</v>
      </c>
      <c r="F13" s="515">
        <v>7</v>
      </c>
      <c r="G13" s="26">
        <f>HLOOKUP(G5,Anlageg,127,FALSE)</f>
        <v>0.59821000000000002</v>
      </c>
      <c r="H13" s="26">
        <f>HLOOKUP(H6,Anlageg,128,FALSE)</f>
        <v>0.2009</v>
      </c>
      <c r="I13" s="26">
        <f>HLOOKUP(I7,Anlageg,129,FALSE)</f>
        <v>0.2009</v>
      </c>
      <c r="J13" s="27">
        <f>G13+H13+I13</f>
        <v>1.0000100000000001</v>
      </c>
      <c r="K13" s="26">
        <f>HLOOKUP(K5,Anlageg,127,FALSE)</f>
        <v>0.59821000000000002</v>
      </c>
      <c r="L13" s="26">
        <f>HLOOKUP(L6,Anlageg,128,FALSE)</f>
        <v>0.2009</v>
      </c>
      <c r="M13" s="26">
        <f>HLOOKUP(M7,Anlageg,129,FALSE)</f>
        <v>0.2009</v>
      </c>
      <c r="N13" s="27">
        <f>K13+L13+M13</f>
        <v>1.0000100000000001</v>
      </c>
      <c r="O13" s="26">
        <f>HLOOKUP(O5,Anlageg,127,FALSE)</f>
        <v>0.59821000000000002</v>
      </c>
      <c r="P13" s="26">
        <f>HLOOKUP(P6,Anlageg,128,FALSE)</f>
        <v>0.2009</v>
      </c>
      <c r="Q13" s="26">
        <f>HLOOKUP(Q7,Anlageg,129,FALSE)</f>
        <v>0.2009</v>
      </c>
      <c r="R13" s="27">
        <f>O13+P13+Q13</f>
        <v>1.0000100000000001</v>
      </c>
      <c r="S13" s="26">
        <f>HLOOKUP(S5,Anlageg,127,FALSE)</f>
        <v>0.59821000000000002</v>
      </c>
      <c r="T13" s="26">
        <f>HLOOKUP(T6,Anlageg,128,FALSE)</f>
        <v>0.2009</v>
      </c>
      <c r="U13" s="26">
        <f>HLOOKUP(U7,Anlageg,129,FALSE)</f>
        <v>0.2009</v>
      </c>
      <c r="V13" s="27">
        <f>S13+T13+U13</f>
        <v>1.0000100000000001</v>
      </c>
      <c r="W13" s="26">
        <f>HLOOKUP(W5,Anlageg,127,FALSE)</f>
        <v>0.59821000000000002</v>
      </c>
      <c r="X13" s="26">
        <f>HLOOKUP(X6,Anlageg,128,FALSE)</f>
        <v>0.2009</v>
      </c>
      <c r="Y13" s="26">
        <f>HLOOKUP(Y7,Anlageg,129,FALSE)</f>
        <v>0.2009</v>
      </c>
      <c r="Z13" s="27">
        <f>W13+X13+Y13</f>
        <v>1.0000100000000001</v>
      </c>
      <c r="AA13" s="26">
        <f>HLOOKUP(AA5,Anlageg,127,FALSE)</f>
        <v>0.59821000000000002</v>
      </c>
      <c r="AB13" s="26">
        <f>HLOOKUP(AB6,Anlageg,128,FALSE)</f>
        <v>0.2009</v>
      </c>
      <c r="AC13" s="26">
        <f>HLOOKUP(AC7,Anlageg,129,FALSE)</f>
        <v>0.2009</v>
      </c>
      <c r="AD13" s="27">
        <f>AA13+AB13+AC13</f>
        <v>1.0000100000000001</v>
      </c>
      <c r="AE13" s="26">
        <f>HLOOKUP(AE5,Anlageg,127,FALSE)</f>
        <v>0.59821000000000002</v>
      </c>
      <c r="AF13" s="26">
        <f>HLOOKUP(AF6,Anlageg,128,FALSE)</f>
        <v>0.2009</v>
      </c>
      <c r="AG13" s="26">
        <f>HLOOKUP(AG7,Anlageg,129,FALSE)</f>
        <v>0.2009</v>
      </c>
      <c r="AH13" s="27">
        <f>AE13+AF13+AG13</f>
        <v>1.0000100000000001</v>
      </c>
      <c r="AI13" s="26">
        <f>HLOOKUP(AI5,Anlageg,127,FALSE)</f>
        <v>0.59821000000000002</v>
      </c>
      <c r="AJ13" s="26">
        <f>HLOOKUP(AJ6,Anlageg,128,FALSE)</f>
        <v>0.2009</v>
      </c>
      <c r="AK13" s="26">
        <f>HLOOKUP(AK7,Anlageg,129,FALSE)</f>
        <v>0.2009</v>
      </c>
      <c r="AL13" s="27">
        <f>AI13+AJ13+AK13</f>
        <v>1.0000100000000001</v>
      </c>
      <c r="AM13" s="26">
        <f>HLOOKUP(AM5,Anlageg,127,FALSE)</f>
        <v>0.59821000000000002</v>
      </c>
      <c r="AN13" s="26">
        <f>HLOOKUP(AN6,Anlageg,128,FALSE)</f>
        <v>0.2009</v>
      </c>
      <c r="AO13" s="26">
        <f>HLOOKUP(AO7,Anlageg,129,FALSE)</f>
        <v>0.2009</v>
      </c>
      <c r="AP13" s="27">
        <f>AM13+AN13+AO13</f>
        <v>1.0000100000000001</v>
      </c>
    </row>
    <row r="14" spans="1:42" x14ac:dyDescent="0.3">
      <c r="A14" s="19" t="s">
        <v>25</v>
      </c>
      <c r="B14" s="509" t="s">
        <v>26</v>
      </c>
      <c r="C14" s="25"/>
      <c r="D14" s="515">
        <v>10</v>
      </c>
      <c r="E14" s="515">
        <v>9</v>
      </c>
      <c r="F14" s="515">
        <v>8</v>
      </c>
      <c r="G14" s="20"/>
      <c r="H14" s="21"/>
      <c r="I14" s="21"/>
      <c r="J14" s="22"/>
      <c r="K14" s="20"/>
      <c r="L14" s="21"/>
      <c r="M14" s="21"/>
      <c r="N14" s="22"/>
      <c r="O14" s="20"/>
      <c r="P14" s="21"/>
      <c r="Q14" s="21"/>
      <c r="R14" s="22"/>
      <c r="S14" s="20"/>
      <c r="T14" s="21"/>
      <c r="U14" s="21"/>
      <c r="V14" s="22"/>
      <c r="W14" s="20"/>
      <c r="X14" s="21"/>
      <c r="Y14" s="21"/>
      <c r="Z14" s="22"/>
      <c r="AA14" s="20"/>
      <c r="AB14" s="21"/>
      <c r="AC14" s="21"/>
      <c r="AD14" s="22"/>
      <c r="AE14" s="20"/>
      <c r="AF14" s="21"/>
      <c r="AG14" s="21"/>
      <c r="AH14" s="22"/>
      <c r="AI14" s="20"/>
      <c r="AJ14" s="21"/>
      <c r="AK14" s="21"/>
      <c r="AL14" s="22"/>
      <c r="AM14" s="20"/>
      <c r="AN14" s="21"/>
      <c r="AO14" s="21"/>
      <c r="AP14" s="22"/>
    </row>
    <row r="15" spans="1:42" x14ac:dyDescent="0.3">
      <c r="A15" s="19" t="s">
        <v>27</v>
      </c>
      <c r="B15" s="24" t="s">
        <v>28</v>
      </c>
      <c r="C15" s="508" t="s">
        <v>29</v>
      </c>
      <c r="D15" s="515">
        <v>11</v>
      </c>
      <c r="E15" s="515">
        <v>10</v>
      </c>
      <c r="F15" s="515">
        <v>9</v>
      </c>
      <c r="G15" s="514">
        <v>1</v>
      </c>
      <c r="H15" s="514"/>
      <c r="I15" s="514"/>
      <c r="J15" s="23">
        <f>G15+H15+I15</f>
        <v>1</v>
      </c>
      <c r="K15" s="514">
        <f>G15</f>
        <v>1</v>
      </c>
      <c r="L15" s="514">
        <f t="shared" ref="L15:M18" si="15">H15</f>
        <v>0</v>
      </c>
      <c r="M15" s="514">
        <f t="shared" si="15"/>
        <v>0</v>
      </c>
      <c r="N15" s="23">
        <f>K15+L15+M15</f>
        <v>1</v>
      </c>
      <c r="O15" s="514">
        <f>K15</f>
        <v>1</v>
      </c>
      <c r="P15" s="514">
        <f t="shared" ref="P15:P18" si="16">L15</f>
        <v>0</v>
      </c>
      <c r="Q15" s="514">
        <f t="shared" ref="Q15:Q18" si="17">M15</f>
        <v>0</v>
      </c>
      <c r="R15" s="23">
        <f>O15+P15+Q15</f>
        <v>1</v>
      </c>
      <c r="S15" s="514">
        <f>O15</f>
        <v>1</v>
      </c>
      <c r="T15" s="514">
        <f t="shared" ref="T15:T18" si="18">P15</f>
        <v>0</v>
      </c>
      <c r="U15" s="514">
        <f t="shared" ref="U15:U18" si="19">Q15</f>
        <v>0</v>
      </c>
      <c r="V15" s="23">
        <f>S15+T15+U15</f>
        <v>1</v>
      </c>
      <c r="W15" s="514">
        <f>S15</f>
        <v>1</v>
      </c>
      <c r="X15" s="514">
        <f t="shared" ref="X15:X18" si="20">T15</f>
        <v>0</v>
      </c>
      <c r="Y15" s="514">
        <f t="shared" ref="Y15:Y18" si="21">U15</f>
        <v>0</v>
      </c>
      <c r="Z15" s="23">
        <f>W15+X15+Y15</f>
        <v>1</v>
      </c>
      <c r="AA15" s="514">
        <f>W15</f>
        <v>1</v>
      </c>
      <c r="AB15" s="514">
        <f t="shared" ref="AB15:AB18" si="22">X15</f>
        <v>0</v>
      </c>
      <c r="AC15" s="514">
        <f t="shared" ref="AC15:AC18" si="23">Y15</f>
        <v>0</v>
      </c>
      <c r="AD15" s="23">
        <f>AA15+AB15+AC15</f>
        <v>1</v>
      </c>
      <c r="AE15" s="514">
        <f>AA15</f>
        <v>1</v>
      </c>
      <c r="AF15" s="514">
        <f t="shared" ref="AF15:AF18" si="24">AB15</f>
        <v>0</v>
      </c>
      <c r="AG15" s="514">
        <f t="shared" ref="AG15:AG18" si="25">AC15</f>
        <v>0</v>
      </c>
      <c r="AH15" s="23">
        <f>AE15+AF15+AG15</f>
        <v>1</v>
      </c>
      <c r="AI15" s="514">
        <f>AE15</f>
        <v>1</v>
      </c>
      <c r="AJ15" s="514">
        <f t="shared" ref="AJ15:AJ18" si="26">AF15</f>
        <v>0</v>
      </c>
      <c r="AK15" s="514">
        <f t="shared" ref="AK15:AK18" si="27">AG15</f>
        <v>0</v>
      </c>
      <c r="AL15" s="23">
        <f>AI15+AJ15+AK15</f>
        <v>1</v>
      </c>
      <c r="AM15" s="514">
        <f>AI15</f>
        <v>1</v>
      </c>
      <c r="AN15" s="514">
        <f t="shared" ref="AN15:AN18" si="28">AJ15</f>
        <v>0</v>
      </c>
      <c r="AO15" s="514">
        <f t="shared" ref="AO15:AO18" si="29">AK15</f>
        <v>0</v>
      </c>
      <c r="AP15" s="23">
        <f>AM15+AN15+AO15</f>
        <v>1</v>
      </c>
    </row>
    <row r="16" spans="1:42" x14ac:dyDescent="0.3">
      <c r="A16" s="19" t="s">
        <v>30</v>
      </c>
      <c r="B16" s="507" t="s">
        <v>31</v>
      </c>
      <c r="C16" s="508" t="s">
        <v>32</v>
      </c>
      <c r="D16" s="515">
        <v>12</v>
      </c>
      <c r="E16" s="515">
        <v>11</v>
      </c>
      <c r="F16" s="515">
        <v>10</v>
      </c>
      <c r="G16" s="514">
        <v>0.5</v>
      </c>
      <c r="H16" s="514">
        <v>0.25</v>
      </c>
      <c r="I16" s="514">
        <v>0.25</v>
      </c>
      <c r="J16" s="23">
        <f>G16+H16+I16</f>
        <v>1</v>
      </c>
      <c r="K16" s="514">
        <f t="shared" ref="K16:K18" si="30">G16</f>
        <v>0.5</v>
      </c>
      <c r="L16" s="514">
        <f t="shared" si="15"/>
        <v>0.25</v>
      </c>
      <c r="M16" s="514">
        <f t="shared" si="15"/>
        <v>0.25</v>
      </c>
      <c r="N16" s="23">
        <f>K16+L16+M16</f>
        <v>1</v>
      </c>
      <c r="O16" s="514">
        <f t="shared" ref="O16:O18" si="31">K16</f>
        <v>0.5</v>
      </c>
      <c r="P16" s="514">
        <f t="shared" si="16"/>
        <v>0.25</v>
      </c>
      <c r="Q16" s="514">
        <f t="shared" si="17"/>
        <v>0.25</v>
      </c>
      <c r="R16" s="23">
        <f>O16+P16+Q16</f>
        <v>1</v>
      </c>
      <c r="S16" s="514">
        <f t="shared" ref="S16:S18" si="32">O16</f>
        <v>0.5</v>
      </c>
      <c r="T16" s="514">
        <f t="shared" si="18"/>
        <v>0.25</v>
      </c>
      <c r="U16" s="514">
        <f t="shared" si="19"/>
        <v>0.25</v>
      </c>
      <c r="V16" s="23">
        <f>S16+T16+U16</f>
        <v>1</v>
      </c>
      <c r="W16" s="514">
        <f t="shared" ref="W16:W18" si="33">S16</f>
        <v>0.5</v>
      </c>
      <c r="X16" s="514">
        <f t="shared" si="20"/>
        <v>0.25</v>
      </c>
      <c r="Y16" s="514">
        <f t="shared" si="21"/>
        <v>0.25</v>
      </c>
      <c r="Z16" s="23">
        <f>W16+X16+Y16</f>
        <v>1</v>
      </c>
      <c r="AA16" s="514">
        <f t="shared" ref="AA16:AA18" si="34">W16</f>
        <v>0.5</v>
      </c>
      <c r="AB16" s="514">
        <f t="shared" si="22"/>
        <v>0.25</v>
      </c>
      <c r="AC16" s="514">
        <f t="shared" si="23"/>
        <v>0.25</v>
      </c>
      <c r="AD16" s="23">
        <f>AA16+AB16+AC16</f>
        <v>1</v>
      </c>
      <c r="AE16" s="514">
        <f t="shared" ref="AE16:AE18" si="35">AA16</f>
        <v>0.5</v>
      </c>
      <c r="AF16" s="514">
        <f t="shared" si="24"/>
        <v>0.25</v>
      </c>
      <c r="AG16" s="514">
        <f t="shared" si="25"/>
        <v>0.25</v>
      </c>
      <c r="AH16" s="23">
        <f>AE16+AF16+AG16</f>
        <v>1</v>
      </c>
      <c r="AI16" s="514">
        <f t="shared" ref="AI16:AI18" si="36">AE16</f>
        <v>0.5</v>
      </c>
      <c r="AJ16" s="514">
        <f t="shared" si="26"/>
        <v>0.25</v>
      </c>
      <c r="AK16" s="514">
        <f t="shared" si="27"/>
        <v>0.25</v>
      </c>
      <c r="AL16" s="23">
        <f>AI16+AJ16+AK16</f>
        <v>1</v>
      </c>
      <c r="AM16" s="514">
        <f t="shared" ref="AM16:AM18" si="37">AI16</f>
        <v>0.5</v>
      </c>
      <c r="AN16" s="514">
        <f t="shared" si="28"/>
        <v>0.25</v>
      </c>
      <c r="AO16" s="514">
        <f t="shared" si="29"/>
        <v>0.25</v>
      </c>
      <c r="AP16" s="23">
        <f>AM16+AN16+AO16</f>
        <v>1</v>
      </c>
    </row>
    <row r="17" spans="1:42" x14ac:dyDescent="0.3">
      <c r="A17" s="19" t="s">
        <v>33</v>
      </c>
      <c r="B17" s="24" t="s">
        <v>34</v>
      </c>
      <c r="C17" s="25" t="s">
        <v>35</v>
      </c>
      <c r="D17" s="515">
        <v>13</v>
      </c>
      <c r="E17" s="515">
        <v>12</v>
      </c>
      <c r="F17" s="515">
        <v>11</v>
      </c>
      <c r="G17" s="514"/>
      <c r="H17" s="514">
        <v>0.5</v>
      </c>
      <c r="I17" s="514">
        <v>0.5</v>
      </c>
      <c r="J17" s="23">
        <f>G17+H17+I17</f>
        <v>1</v>
      </c>
      <c r="K17" s="514">
        <f t="shared" si="30"/>
        <v>0</v>
      </c>
      <c r="L17" s="514">
        <f t="shared" si="15"/>
        <v>0.5</v>
      </c>
      <c r="M17" s="514">
        <f t="shared" si="15"/>
        <v>0.5</v>
      </c>
      <c r="N17" s="23">
        <f>K17+L17+M17</f>
        <v>1</v>
      </c>
      <c r="O17" s="514">
        <f t="shared" si="31"/>
        <v>0</v>
      </c>
      <c r="P17" s="514">
        <f t="shared" si="16"/>
        <v>0.5</v>
      </c>
      <c r="Q17" s="514">
        <f t="shared" si="17"/>
        <v>0.5</v>
      </c>
      <c r="R17" s="23">
        <f>O17+P17+Q17</f>
        <v>1</v>
      </c>
      <c r="S17" s="514">
        <f t="shared" si="32"/>
        <v>0</v>
      </c>
      <c r="T17" s="514">
        <f t="shared" si="18"/>
        <v>0.5</v>
      </c>
      <c r="U17" s="514">
        <f t="shared" si="19"/>
        <v>0.5</v>
      </c>
      <c r="V17" s="23">
        <f>S17+T17+U17</f>
        <v>1</v>
      </c>
      <c r="W17" s="514">
        <f t="shared" si="33"/>
        <v>0</v>
      </c>
      <c r="X17" s="514">
        <f t="shared" si="20"/>
        <v>0.5</v>
      </c>
      <c r="Y17" s="514">
        <f t="shared" si="21"/>
        <v>0.5</v>
      </c>
      <c r="Z17" s="23">
        <f>W17+X17+Y17</f>
        <v>1</v>
      </c>
      <c r="AA17" s="514">
        <f t="shared" si="34"/>
        <v>0</v>
      </c>
      <c r="AB17" s="514">
        <f t="shared" si="22"/>
        <v>0.5</v>
      </c>
      <c r="AC17" s="514">
        <f t="shared" si="23"/>
        <v>0.5</v>
      </c>
      <c r="AD17" s="23">
        <f>AA17+AB17+AC17</f>
        <v>1</v>
      </c>
      <c r="AE17" s="514">
        <f t="shared" si="35"/>
        <v>0</v>
      </c>
      <c r="AF17" s="514">
        <f t="shared" si="24"/>
        <v>0.5</v>
      </c>
      <c r="AG17" s="514">
        <f t="shared" si="25"/>
        <v>0.5</v>
      </c>
      <c r="AH17" s="23">
        <f>AE17+AF17+AG17</f>
        <v>1</v>
      </c>
      <c r="AI17" s="514">
        <f t="shared" si="36"/>
        <v>0</v>
      </c>
      <c r="AJ17" s="514">
        <f t="shared" si="26"/>
        <v>0.5</v>
      </c>
      <c r="AK17" s="514">
        <f t="shared" si="27"/>
        <v>0.5</v>
      </c>
      <c r="AL17" s="23">
        <f>AI17+AJ17+AK17</f>
        <v>1</v>
      </c>
      <c r="AM17" s="514">
        <f t="shared" si="37"/>
        <v>0</v>
      </c>
      <c r="AN17" s="514">
        <f t="shared" si="28"/>
        <v>0.5</v>
      </c>
      <c r="AO17" s="514">
        <f t="shared" si="29"/>
        <v>0.5</v>
      </c>
      <c r="AP17" s="23">
        <f>AM17+AN17+AO17</f>
        <v>1</v>
      </c>
    </row>
    <row r="18" spans="1:42" x14ac:dyDescent="0.3">
      <c r="A18" s="19" t="s">
        <v>36</v>
      </c>
      <c r="B18" s="507" t="s">
        <v>37</v>
      </c>
      <c r="C18" s="25" t="s">
        <v>38</v>
      </c>
      <c r="D18" s="515">
        <v>14</v>
      </c>
      <c r="E18" s="515">
        <v>13</v>
      </c>
      <c r="F18" s="515">
        <v>12</v>
      </c>
      <c r="G18" s="514">
        <v>0.95</v>
      </c>
      <c r="H18" s="514">
        <v>2.5000000000000001E-2</v>
      </c>
      <c r="I18" s="514">
        <v>2.5000000000000001E-2</v>
      </c>
      <c r="J18" s="23">
        <f>G18+H18+I18</f>
        <v>1</v>
      </c>
      <c r="K18" s="514">
        <f t="shared" si="30"/>
        <v>0.95</v>
      </c>
      <c r="L18" s="514">
        <f t="shared" si="15"/>
        <v>2.5000000000000001E-2</v>
      </c>
      <c r="M18" s="514">
        <f t="shared" si="15"/>
        <v>2.5000000000000001E-2</v>
      </c>
      <c r="N18" s="23">
        <f>K18+L18+M18</f>
        <v>1</v>
      </c>
      <c r="O18" s="514">
        <f t="shared" si="31"/>
        <v>0.95</v>
      </c>
      <c r="P18" s="514">
        <f t="shared" si="16"/>
        <v>2.5000000000000001E-2</v>
      </c>
      <c r="Q18" s="514">
        <f t="shared" si="17"/>
        <v>2.5000000000000001E-2</v>
      </c>
      <c r="R18" s="23">
        <f>O18+P18+Q18</f>
        <v>1</v>
      </c>
      <c r="S18" s="514">
        <f t="shared" si="32"/>
        <v>0.95</v>
      </c>
      <c r="T18" s="514">
        <f t="shared" si="18"/>
        <v>2.5000000000000001E-2</v>
      </c>
      <c r="U18" s="514">
        <f t="shared" si="19"/>
        <v>2.5000000000000001E-2</v>
      </c>
      <c r="V18" s="23">
        <f>S18+T18+U18</f>
        <v>1</v>
      </c>
      <c r="W18" s="514">
        <f t="shared" si="33"/>
        <v>0.95</v>
      </c>
      <c r="X18" s="514">
        <f t="shared" si="20"/>
        <v>2.5000000000000001E-2</v>
      </c>
      <c r="Y18" s="514">
        <f t="shared" si="21"/>
        <v>2.5000000000000001E-2</v>
      </c>
      <c r="Z18" s="23">
        <f>W18+X18+Y18</f>
        <v>1</v>
      </c>
      <c r="AA18" s="514">
        <f t="shared" si="34"/>
        <v>0.95</v>
      </c>
      <c r="AB18" s="514">
        <f t="shared" si="22"/>
        <v>2.5000000000000001E-2</v>
      </c>
      <c r="AC18" s="514">
        <f t="shared" si="23"/>
        <v>2.5000000000000001E-2</v>
      </c>
      <c r="AD18" s="23">
        <f>AA18+AB18+AC18</f>
        <v>1</v>
      </c>
      <c r="AE18" s="514">
        <f t="shared" si="35"/>
        <v>0.95</v>
      </c>
      <c r="AF18" s="514">
        <f t="shared" si="24"/>
        <v>2.5000000000000001E-2</v>
      </c>
      <c r="AG18" s="514">
        <f t="shared" si="25"/>
        <v>2.5000000000000001E-2</v>
      </c>
      <c r="AH18" s="23">
        <f>AE18+AF18+AG18</f>
        <v>1</v>
      </c>
      <c r="AI18" s="514">
        <f t="shared" si="36"/>
        <v>0.95</v>
      </c>
      <c r="AJ18" s="514">
        <f t="shared" si="26"/>
        <v>2.5000000000000001E-2</v>
      </c>
      <c r="AK18" s="514">
        <f t="shared" si="27"/>
        <v>2.5000000000000001E-2</v>
      </c>
      <c r="AL18" s="23">
        <f>AI18+AJ18+AK18</f>
        <v>1</v>
      </c>
      <c r="AM18" s="514">
        <f t="shared" si="37"/>
        <v>0.95</v>
      </c>
      <c r="AN18" s="514">
        <f t="shared" si="28"/>
        <v>2.5000000000000001E-2</v>
      </c>
      <c r="AO18" s="514">
        <f t="shared" si="29"/>
        <v>2.5000000000000001E-2</v>
      </c>
      <c r="AP18" s="23">
        <f>AM18+AN18+AO18</f>
        <v>1</v>
      </c>
    </row>
    <row r="19" spans="1:42" x14ac:dyDescent="0.3">
      <c r="A19" s="19" t="s">
        <v>39</v>
      </c>
      <c r="B19" s="24" t="s">
        <v>40</v>
      </c>
      <c r="C19" s="25" t="s">
        <v>41</v>
      </c>
      <c r="D19" s="515">
        <v>15</v>
      </c>
      <c r="E19" s="515">
        <v>14</v>
      </c>
      <c r="F19" s="515">
        <v>13</v>
      </c>
      <c r="G19" s="26">
        <f>HLOOKUP(G5,Anlageg,132,FALSE)</f>
        <v>0</v>
      </c>
      <c r="H19" s="26">
        <f>HLOOKUP(H6,Anlageg,133,FALSE)</f>
        <v>0</v>
      </c>
      <c r="I19" s="26">
        <f>HLOOKUP(I7,Anlageg,134,FALSE)</f>
        <v>0</v>
      </c>
      <c r="J19" s="27">
        <f>G19+H19+I19</f>
        <v>0</v>
      </c>
      <c r="K19" s="26">
        <f>HLOOKUP(K5,Anlageg,132,FALSE)</f>
        <v>0</v>
      </c>
      <c r="L19" s="26">
        <f>HLOOKUP(L6,Anlageg,133,FALSE)</f>
        <v>0</v>
      </c>
      <c r="M19" s="26">
        <f>HLOOKUP(M7,Anlageg,134,FALSE)</f>
        <v>0</v>
      </c>
      <c r="N19" s="27">
        <f>K19+L19+M19</f>
        <v>0</v>
      </c>
      <c r="O19" s="26">
        <f>HLOOKUP(O5,Anlageg,132,FALSE)</f>
        <v>0</v>
      </c>
      <c r="P19" s="26">
        <f>HLOOKUP(P6,Anlageg,133,FALSE)</f>
        <v>0</v>
      </c>
      <c r="Q19" s="26">
        <f>HLOOKUP(Q7,Anlageg,134,FALSE)</f>
        <v>0</v>
      </c>
      <c r="R19" s="27">
        <f>O19+P19+Q19</f>
        <v>0</v>
      </c>
      <c r="S19" s="26">
        <f>HLOOKUP(S5,Anlageg,132,FALSE)</f>
        <v>0</v>
      </c>
      <c r="T19" s="26">
        <f>HLOOKUP(T6,Anlageg,133,FALSE)</f>
        <v>0</v>
      </c>
      <c r="U19" s="26">
        <f>HLOOKUP(U7,Anlageg,134,FALSE)</f>
        <v>0</v>
      </c>
      <c r="V19" s="27">
        <f>S19+T19+U19</f>
        <v>0</v>
      </c>
      <c r="W19" s="26">
        <f>HLOOKUP(W5,Anlageg,132,FALSE)</f>
        <v>0</v>
      </c>
      <c r="X19" s="26">
        <f>HLOOKUP(X6,Anlageg,133,FALSE)</f>
        <v>0</v>
      </c>
      <c r="Y19" s="26">
        <f>HLOOKUP(Y7,Anlageg,134,FALSE)</f>
        <v>0</v>
      </c>
      <c r="Z19" s="27">
        <f>W19+X19+Y19</f>
        <v>0</v>
      </c>
      <c r="AA19" s="26">
        <f>HLOOKUP(AA5,Anlageg,132,FALSE)</f>
        <v>0</v>
      </c>
      <c r="AB19" s="26">
        <f>HLOOKUP(AB6,Anlageg,133,FALSE)</f>
        <v>0</v>
      </c>
      <c r="AC19" s="26">
        <f>HLOOKUP(AC7,Anlageg,134,FALSE)</f>
        <v>0</v>
      </c>
      <c r="AD19" s="27">
        <f>AA19+AB19+AC19</f>
        <v>0</v>
      </c>
      <c r="AE19" s="26">
        <f>HLOOKUP(AE5,Anlageg,132,FALSE)</f>
        <v>0</v>
      </c>
      <c r="AF19" s="26">
        <f>HLOOKUP(AF6,Anlageg,133,FALSE)</f>
        <v>0</v>
      </c>
      <c r="AG19" s="26">
        <f>HLOOKUP(AG7,Anlageg,134,FALSE)</f>
        <v>0</v>
      </c>
      <c r="AH19" s="27">
        <f>AE19+AF19+AG19</f>
        <v>0</v>
      </c>
      <c r="AI19" s="26">
        <f>HLOOKUP(AI5,Anlageg,132,FALSE)</f>
        <v>0</v>
      </c>
      <c r="AJ19" s="26">
        <f>HLOOKUP(AJ6,Anlageg,133,FALSE)</f>
        <v>0</v>
      </c>
      <c r="AK19" s="26">
        <f>HLOOKUP(AK7,Anlageg,134,FALSE)</f>
        <v>0</v>
      </c>
      <c r="AL19" s="27">
        <f>AI19+AJ19+AK19</f>
        <v>0</v>
      </c>
      <c r="AM19" s="26">
        <f>HLOOKUP(AM5,Anlageg,132,FALSE)</f>
        <v>0</v>
      </c>
      <c r="AN19" s="26">
        <f>HLOOKUP(AN6,Anlageg,133,FALSE)</f>
        <v>0</v>
      </c>
      <c r="AO19" s="26">
        <f>HLOOKUP(AO7,Anlageg,134,FALSE)</f>
        <v>0</v>
      </c>
      <c r="AP19" s="27">
        <f>AM19+AN19+AO19</f>
        <v>0</v>
      </c>
    </row>
    <row r="20" spans="1:42" x14ac:dyDescent="0.3">
      <c r="A20" s="19" t="s">
        <v>42</v>
      </c>
      <c r="B20" s="509" t="s">
        <v>43</v>
      </c>
      <c r="C20" s="25"/>
      <c r="D20" s="515">
        <v>16</v>
      </c>
      <c r="E20" s="515">
        <v>15</v>
      </c>
      <c r="F20" s="515">
        <v>14</v>
      </c>
      <c r="G20" s="20"/>
      <c r="H20" s="21"/>
      <c r="I20" s="21"/>
      <c r="J20" s="22"/>
      <c r="K20" s="20"/>
      <c r="L20" s="21"/>
      <c r="M20" s="21"/>
      <c r="N20" s="22"/>
      <c r="O20" s="20"/>
      <c r="P20" s="21"/>
      <c r="Q20" s="21"/>
      <c r="R20" s="22"/>
      <c r="S20" s="20"/>
      <c r="T20" s="21"/>
      <c r="U20" s="21"/>
      <c r="V20" s="22"/>
      <c r="W20" s="20"/>
      <c r="X20" s="21"/>
      <c r="Y20" s="21"/>
      <c r="Z20" s="22"/>
      <c r="AA20" s="20"/>
      <c r="AB20" s="21"/>
      <c r="AC20" s="21"/>
      <c r="AD20" s="22"/>
      <c r="AE20" s="20"/>
      <c r="AF20" s="21"/>
      <c r="AG20" s="21"/>
      <c r="AH20" s="22"/>
      <c r="AI20" s="20"/>
      <c r="AJ20" s="21"/>
      <c r="AK20" s="21"/>
      <c r="AL20" s="22"/>
      <c r="AM20" s="20"/>
      <c r="AN20" s="21"/>
      <c r="AO20" s="21"/>
      <c r="AP20" s="22"/>
    </row>
    <row r="21" spans="1:42" ht="12.75" customHeight="1" x14ac:dyDescent="0.3">
      <c r="A21" s="19" t="s">
        <v>44</v>
      </c>
      <c r="B21" s="507" t="s">
        <v>45</v>
      </c>
      <c r="C21" s="508" t="s">
        <v>46</v>
      </c>
      <c r="D21" s="515">
        <v>17</v>
      </c>
      <c r="E21" s="515">
        <v>16</v>
      </c>
      <c r="F21" s="515">
        <v>15</v>
      </c>
      <c r="G21" s="514">
        <v>1</v>
      </c>
      <c r="H21" s="514"/>
      <c r="I21" s="514"/>
      <c r="J21" s="23">
        <f>G21+H21+I21</f>
        <v>1</v>
      </c>
      <c r="K21" s="514">
        <f>G21</f>
        <v>1</v>
      </c>
      <c r="L21" s="514">
        <f t="shared" ref="L21:M23" si="38">H21</f>
        <v>0</v>
      </c>
      <c r="M21" s="514">
        <f t="shared" si="38"/>
        <v>0</v>
      </c>
      <c r="N21" s="23">
        <f>K21+L21+M21</f>
        <v>1</v>
      </c>
      <c r="O21" s="514">
        <f>K21</f>
        <v>1</v>
      </c>
      <c r="P21" s="514">
        <f t="shared" ref="P21:P23" si="39">L21</f>
        <v>0</v>
      </c>
      <c r="Q21" s="514">
        <f t="shared" ref="Q21:Q23" si="40">M21</f>
        <v>0</v>
      </c>
      <c r="R21" s="23">
        <f>O21+P21+Q21</f>
        <v>1</v>
      </c>
      <c r="S21" s="514">
        <f>O21</f>
        <v>1</v>
      </c>
      <c r="T21" s="514">
        <f t="shared" ref="T21:T23" si="41">P21</f>
        <v>0</v>
      </c>
      <c r="U21" s="514">
        <f t="shared" ref="U21:U23" si="42">Q21</f>
        <v>0</v>
      </c>
      <c r="V21" s="23">
        <f>S21+T21+U21</f>
        <v>1</v>
      </c>
      <c r="W21" s="514">
        <f>S21</f>
        <v>1</v>
      </c>
      <c r="X21" s="514">
        <f t="shared" ref="X21:X23" si="43">T21</f>
        <v>0</v>
      </c>
      <c r="Y21" s="514">
        <f t="shared" ref="Y21:Y23" si="44">U21</f>
        <v>0</v>
      </c>
      <c r="Z21" s="23">
        <f>W21+X21+Y21</f>
        <v>1</v>
      </c>
      <c r="AA21" s="514">
        <f>W21</f>
        <v>1</v>
      </c>
      <c r="AB21" s="514">
        <f t="shared" ref="AB21:AB23" si="45">X21</f>
        <v>0</v>
      </c>
      <c r="AC21" s="514">
        <f t="shared" ref="AC21:AC23" si="46">Y21</f>
        <v>0</v>
      </c>
      <c r="AD21" s="23">
        <f>AA21+AB21+AC21</f>
        <v>1</v>
      </c>
      <c r="AE21" s="514">
        <f>AA21</f>
        <v>1</v>
      </c>
      <c r="AF21" s="514">
        <f t="shared" ref="AF21:AF23" si="47">AB21</f>
        <v>0</v>
      </c>
      <c r="AG21" s="514">
        <f t="shared" ref="AG21:AG23" si="48">AC21</f>
        <v>0</v>
      </c>
      <c r="AH21" s="23">
        <f>AE21+AF21+AG21</f>
        <v>1</v>
      </c>
      <c r="AI21" s="514">
        <f>AE21</f>
        <v>1</v>
      </c>
      <c r="AJ21" s="514">
        <f t="shared" ref="AJ21:AJ23" si="49">AF21</f>
        <v>0</v>
      </c>
      <c r="AK21" s="514">
        <f t="shared" ref="AK21:AK23" si="50">AG21</f>
        <v>0</v>
      </c>
      <c r="AL21" s="23">
        <f>AI21+AJ21+AK21</f>
        <v>1</v>
      </c>
      <c r="AM21" s="514">
        <f>AI21</f>
        <v>1</v>
      </c>
      <c r="AN21" s="514">
        <f t="shared" ref="AN21:AN23" si="51">AJ21</f>
        <v>0</v>
      </c>
      <c r="AO21" s="514">
        <f t="shared" ref="AO21:AO23" si="52">AK21</f>
        <v>0</v>
      </c>
      <c r="AP21" s="23">
        <f>AM21+AN21+AO21</f>
        <v>1</v>
      </c>
    </row>
    <row r="22" spans="1:42" x14ac:dyDescent="0.3">
      <c r="A22" s="19" t="s">
        <v>47</v>
      </c>
      <c r="B22" s="507" t="s">
        <v>48</v>
      </c>
      <c r="C22" s="508" t="s">
        <v>49</v>
      </c>
      <c r="D22" s="515">
        <v>18</v>
      </c>
      <c r="E22" s="515">
        <v>17</v>
      </c>
      <c r="F22" s="515">
        <v>16</v>
      </c>
      <c r="G22" s="514">
        <v>0.5</v>
      </c>
      <c r="H22" s="514">
        <v>0.25</v>
      </c>
      <c r="I22" s="514">
        <v>0.25</v>
      </c>
      <c r="J22" s="23">
        <f>G22+H22+I22</f>
        <v>1</v>
      </c>
      <c r="K22" s="514">
        <f t="shared" ref="K22:K23" si="53">G22</f>
        <v>0.5</v>
      </c>
      <c r="L22" s="514">
        <f t="shared" si="38"/>
        <v>0.25</v>
      </c>
      <c r="M22" s="514">
        <f t="shared" si="38"/>
        <v>0.25</v>
      </c>
      <c r="N22" s="23">
        <f>K22+L22+M22</f>
        <v>1</v>
      </c>
      <c r="O22" s="514">
        <f t="shared" ref="O22:O23" si="54">K22</f>
        <v>0.5</v>
      </c>
      <c r="P22" s="514">
        <f t="shared" si="39"/>
        <v>0.25</v>
      </c>
      <c r="Q22" s="514">
        <f t="shared" si="40"/>
        <v>0.25</v>
      </c>
      <c r="R22" s="23">
        <f>O22+P22+Q22</f>
        <v>1</v>
      </c>
      <c r="S22" s="514">
        <f t="shared" ref="S22:S23" si="55">O22</f>
        <v>0.5</v>
      </c>
      <c r="T22" s="514">
        <f t="shared" si="41"/>
        <v>0.25</v>
      </c>
      <c r="U22" s="514">
        <f t="shared" si="42"/>
        <v>0.25</v>
      </c>
      <c r="V22" s="23">
        <f>S22+T22+U22</f>
        <v>1</v>
      </c>
      <c r="W22" s="514">
        <f t="shared" ref="W22:W23" si="56">S22</f>
        <v>0.5</v>
      </c>
      <c r="X22" s="514">
        <f t="shared" si="43"/>
        <v>0.25</v>
      </c>
      <c r="Y22" s="514">
        <f t="shared" si="44"/>
        <v>0.25</v>
      </c>
      <c r="Z22" s="23">
        <f>W22+X22+Y22</f>
        <v>1</v>
      </c>
      <c r="AA22" s="514">
        <f t="shared" ref="AA22:AA23" si="57">W22</f>
        <v>0.5</v>
      </c>
      <c r="AB22" s="514">
        <f t="shared" si="45"/>
        <v>0.25</v>
      </c>
      <c r="AC22" s="514">
        <f t="shared" si="46"/>
        <v>0.25</v>
      </c>
      <c r="AD22" s="23">
        <f>AA22+AB22+AC22</f>
        <v>1</v>
      </c>
      <c r="AE22" s="514">
        <f t="shared" ref="AE22:AE23" si="58">AA22</f>
        <v>0.5</v>
      </c>
      <c r="AF22" s="514">
        <f t="shared" si="47"/>
        <v>0.25</v>
      </c>
      <c r="AG22" s="514">
        <f t="shared" si="48"/>
        <v>0.25</v>
      </c>
      <c r="AH22" s="23">
        <f>AE22+AF22+AG22</f>
        <v>1</v>
      </c>
      <c r="AI22" s="514">
        <f t="shared" ref="AI22:AI23" si="59">AE22</f>
        <v>0.5</v>
      </c>
      <c r="AJ22" s="514">
        <f t="shared" si="49"/>
        <v>0.25</v>
      </c>
      <c r="AK22" s="514">
        <f t="shared" si="50"/>
        <v>0.25</v>
      </c>
      <c r="AL22" s="23">
        <f>AI22+AJ22+AK22</f>
        <v>1</v>
      </c>
      <c r="AM22" s="514">
        <f t="shared" ref="AM22:AM23" si="60">AI22</f>
        <v>0.5</v>
      </c>
      <c r="AN22" s="514">
        <f t="shared" si="51"/>
        <v>0.25</v>
      </c>
      <c r="AO22" s="514">
        <f t="shared" si="52"/>
        <v>0.25</v>
      </c>
      <c r="AP22" s="23">
        <f>AM22+AN22+AO22</f>
        <v>1</v>
      </c>
    </row>
    <row r="23" spans="1:42" x14ac:dyDescent="0.3">
      <c r="A23" s="19" t="s">
        <v>50</v>
      </c>
      <c r="B23" s="24" t="s">
        <v>51</v>
      </c>
      <c r="C23" s="25" t="s">
        <v>52</v>
      </c>
      <c r="D23" s="515">
        <v>19</v>
      </c>
      <c r="E23" s="515">
        <v>18</v>
      </c>
      <c r="F23" s="515">
        <v>17</v>
      </c>
      <c r="G23" s="514"/>
      <c r="H23" s="514">
        <v>0.5</v>
      </c>
      <c r="I23" s="514">
        <v>0.5</v>
      </c>
      <c r="J23" s="23">
        <f>G23+H23+I23</f>
        <v>1</v>
      </c>
      <c r="K23" s="514">
        <f t="shared" si="53"/>
        <v>0</v>
      </c>
      <c r="L23" s="514">
        <f t="shared" si="38"/>
        <v>0.5</v>
      </c>
      <c r="M23" s="514">
        <f t="shared" si="38"/>
        <v>0.5</v>
      </c>
      <c r="N23" s="23">
        <f>K23+L23+M23</f>
        <v>1</v>
      </c>
      <c r="O23" s="514">
        <f t="shared" si="54"/>
        <v>0</v>
      </c>
      <c r="P23" s="514">
        <f t="shared" si="39"/>
        <v>0.5</v>
      </c>
      <c r="Q23" s="514">
        <f t="shared" si="40"/>
        <v>0.5</v>
      </c>
      <c r="R23" s="23">
        <f>O23+P23+Q23</f>
        <v>1</v>
      </c>
      <c r="S23" s="514">
        <f t="shared" si="55"/>
        <v>0</v>
      </c>
      <c r="T23" s="514">
        <f t="shared" si="41"/>
        <v>0.5</v>
      </c>
      <c r="U23" s="514">
        <f t="shared" si="42"/>
        <v>0.5</v>
      </c>
      <c r="V23" s="23">
        <f>S23+T23+U23</f>
        <v>1</v>
      </c>
      <c r="W23" s="514">
        <f t="shared" si="56"/>
        <v>0</v>
      </c>
      <c r="X23" s="514">
        <f t="shared" si="43"/>
        <v>0.5</v>
      </c>
      <c r="Y23" s="514">
        <f t="shared" si="44"/>
        <v>0.5</v>
      </c>
      <c r="Z23" s="23">
        <f>W23+X23+Y23</f>
        <v>1</v>
      </c>
      <c r="AA23" s="514">
        <f t="shared" si="57"/>
        <v>0</v>
      </c>
      <c r="AB23" s="514">
        <f t="shared" si="45"/>
        <v>0.5</v>
      </c>
      <c r="AC23" s="514">
        <f t="shared" si="46"/>
        <v>0.5</v>
      </c>
      <c r="AD23" s="23">
        <f>AA23+AB23+AC23</f>
        <v>1</v>
      </c>
      <c r="AE23" s="514">
        <f t="shared" si="58"/>
        <v>0</v>
      </c>
      <c r="AF23" s="514">
        <f t="shared" si="47"/>
        <v>0.5</v>
      </c>
      <c r="AG23" s="514">
        <f t="shared" si="48"/>
        <v>0.5</v>
      </c>
      <c r="AH23" s="23">
        <f>AE23+AF23+AG23</f>
        <v>1</v>
      </c>
      <c r="AI23" s="514">
        <f t="shared" si="59"/>
        <v>0</v>
      </c>
      <c r="AJ23" s="514">
        <f t="shared" si="49"/>
        <v>0.5</v>
      </c>
      <c r="AK23" s="514">
        <f t="shared" si="50"/>
        <v>0.5</v>
      </c>
      <c r="AL23" s="23">
        <f>AI23+AJ23+AK23</f>
        <v>1</v>
      </c>
      <c r="AM23" s="514">
        <f t="shared" si="60"/>
        <v>0</v>
      </c>
      <c r="AN23" s="514">
        <f t="shared" si="51"/>
        <v>0.5</v>
      </c>
      <c r="AO23" s="514">
        <f t="shared" si="52"/>
        <v>0.5</v>
      </c>
      <c r="AP23" s="23">
        <f>AM23+AN23+AO23</f>
        <v>1</v>
      </c>
    </row>
    <row r="24" spans="1:42" x14ac:dyDescent="0.3">
      <c r="A24" s="19" t="s">
        <v>53</v>
      </c>
      <c r="B24" s="507" t="s">
        <v>54</v>
      </c>
      <c r="C24" s="508" t="s">
        <v>55</v>
      </c>
      <c r="D24" s="515">
        <v>20</v>
      </c>
      <c r="E24" s="515">
        <v>19</v>
      </c>
      <c r="F24" s="515">
        <v>18</v>
      </c>
      <c r="G24" s="26">
        <f>HLOOKUP(G5,Anlageg,137,FALSE)</f>
        <v>0.5</v>
      </c>
      <c r="H24" s="26">
        <f>HLOOKUP(H6,Anlageg,138,FALSE)</f>
        <v>0.25</v>
      </c>
      <c r="I24" s="26">
        <f>HLOOKUP(I7,Anlageg,139,FALSE)</f>
        <v>0.25</v>
      </c>
      <c r="J24" s="27">
        <f>G24+H24+I24</f>
        <v>1</v>
      </c>
      <c r="K24" s="26">
        <f>HLOOKUP(K5,Anlageg,137,FALSE)</f>
        <v>0.5</v>
      </c>
      <c r="L24" s="26">
        <f>HLOOKUP(L6,Anlageg,138,FALSE)</f>
        <v>0.25</v>
      </c>
      <c r="M24" s="26">
        <f>HLOOKUP(M7,Anlageg,139,FALSE)</f>
        <v>0.25</v>
      </c>
      <c r="N24" s="27">
        <f>K24+L24+M24</f>
        <v>1</v>
      </c>
      <c r="O24" s="26">
        <f>HLOOKUP(O5,Anlageg,137,FALSE)</f>
        <v>0.5</v>
      </c>
      <c r="P24" s="26">
        <f>HLOOKUP(P6,Anlageg,138,FALSE)</f>
        <v>0.25</v>
      </c>
      <c r="Q24" s="26">
        <f>HLOOKUP(Q7,Anlageg,139,FALSE)</f>
        <v>0.25</v>
      </c>
      <c r="R24" s="27">
        <f>O24+P24+Q24</f>
        <v>1</v>
      </c>
      <c r="S24" s="26">
        <f>HLOOKUP(S5,Anlageg,137,FALSE)</f>
        <v>0.5</v>
      </c>
      <c r="T24" s="26">
        <f>HLOOKUP(T6,Anlageg,138,FALSE)</f>
        <v>0.25</v>
      </c>
      <c r="U24" s="26">
        <f>HLOOKUP(U7,Anlageg,139,FALSE)</f>
        <v>0.25</v>
      </c>
      <c r="V24" s="27">
        <f>S24+T24+U24</f>
        <v>1</v>
      </c>
      <c r="W24" s="26">
        <f>HLOOKUP(W5,Anlageg,137,FALSE)</f>
        <v>0.5</v>
      </c>
      <c r="X24" s="26">
        <f>HLOOKUP(X6,Anlageg,138,FALSE)</f>
        <v>0.25</v>
      </c>
      <c r="Y24" s="26">
        <f>HLOOKUP(Y7,Anlageg,139,FALSE)</f>
        <v>0.25</v>
      </c>
      <c r="Z24" s="27">
        <f>W24+X24+Y24</f>
        <v>1</v>
      </c>
      <c r="AA24" s="26">
        <f>HLOOKUP(AA5,Anlageg,137,FALSE)</f>
        <v>0.5</v>
      </c>
      <c r="AB24" s="26">
        <f>HLOOKUP(AB6,Anlageg,138,FALSE)</f>
        <v>0.25</v>
      </c>
      <c r="AC24" s="26">
        <f>HLOOKUP(AC7,Anlageg,139,FALSE)</f>
        <v>0.25</v>
      </c>
      <c r="AD24" s="27">
        <f>AA24+AB24+AC24</f>
        <v>1</v>
      </c>
      <c r="AE24" s="26">
        <f>HLOOKUP(AE5,Anlageg,137,FALSE)</f>
        <v>0.5</v>
      </c>
      <c r="AF24" s="26">
        <f>HLOOKUP(AF6,Anlageg,138,FALSE)</f>
        <v>0.25</v>
      </c>
      <c r="AG24" s="26">
        <f>HLOOKUP(AG7,Anlageg,139,FALSE)</f>
        <v>0.25</v>
      </c>
      <c r="AH24" s="27">
        <f>AE24+AF24+AG24</f>
        <v>1</v>
      </c>
      <c r="AI24" s="26">
        <f>HLOOKUP(AI5,Anlageg,137,FALSE)</f>
        <v>0.5</v>
      </c>
      <c r="AJ24" s="26">
        <f>HLOOKUP(AJ6,Anlageg,138,FALSE)</f>
        <v>0.25</v>
      </c>
      <c r="AK24" s="26">
        <f>HLOOKUP(AK7,Anlageg,139,FALSE)</f>
        <v>0.25</v>
      </c>
      <c r="AL24" s="27">
        <f>AI24+AJ24+AK24</f>
        <v>1</v>
      </c>
      <c r="AM24" s="26">
        <f>HLOOKUP(AM5,Anlageg,137,FALSE)</f>
        <v>0.5</v>
      </c>
      <c r="AN24" s="26">
        <f>HLOOKUP(AN6,Anlageg,138,FALSE)</f>
        <v>0.25</v>
      </c>
      <c r="AO24" s="26">
        <f>HLOOKUP(AO7,Anlageg,139,FALSE)</f>
        <v>0.25</v>
      </c>
      <c r="AP24" s="27">
        <f>AM24+AN24+AO24</f>
        <v>1</v>
      </c>
    </row>
    <row r="25" spans="1:42" x14ac:dyDescent="0.3">
      <c r="A25" s="19" t="s">
        <v>56</v>
      </c>
      <c r="B25" s="509" t="s">
        <v>57</v>
      </c>
      <c r="C25" s="25"/>
      <c r="D25" s="515">
        <v>21</v>
      </c>
      <c r="E25" s="515">
        <v>20</v>
      </c>
      <c r="F25" s="515">
        <v>19</v>
      </c>
      <c r="G25" s="20"/>
      <c r="H25" s="21"/>
      <c r="I25" s="21"/>
      <c r="J25" s="22"/>
      <c r="K25" s="20"/>
      <c r="L25" s="21"/>
      <c r="M25" s="21"/>
      <c r="N25" s="22"/>
      <c r="O25" s="20"/>
      <c r="P25" s="21"/>
      <c r="Q25" s="21"/>
      <c r="R25" s="22"/>
      <c r="S25" s="20"/>
      <c r="T25" s="21"/>
      <c r="U25" s="21"/>
      <c r="V25" s="22"/>
      <c r="W25" s="20"/>
      <c r="X25" s="21"/>
      <c r="Y25" s="21"/>
      <c r="Z25" s="22"/>
      <c r="AA25" s="20"/>
      <c r="AB25" s="21"/>
      <c r="AC25" s="21"/>
      <c r="AD25" s="22"/>
      <c r="AE25" s="20"/>
      <c r="AF25" s="21"/>
      <c r="AG25" s="21"/>
      <c r="AH25" s="22"/>
      <c r="AI25" s="20"/>
      <c r="AJ25" s="21"/>
      <c r="AK25" s="21"/>
      <c r="AL25" s="22"/>
      <c r="AM25" s="20"/>
      <c r="AN25" s="21"/>
      <c r="AO25" s="21"/>
      <c r="AP25" s="22"/>
    </row>
    <row r="26" spans="1:42" x14ac:dyDescent="0.3">
      <c r="A26" s="19" t="s">
        <v>58</v>
      </c>
      <c r="B26" s="507" t="s">
        <v>59</v>
      </c>
      <c r="C26" s="508" t="s">
        <v>60</v>
      </c>
      <c r="D26" s="515">
        <v>22</v>
      </c>
      <c r="E26" s="515">
        <v>21</v>
      </c>
      <c r="F26" s="515">
        <v>20</v>
      </c>
      <c r="G26" s="514">
        <v>1</v>
      </c>
      <c r="H26" s="514"/>
      <c r="I26" s="21"/>
      <c r="J26" s="23">
        <f>G26+H26+I26</f>
        <v>1</v>
      </c>
      <c r="K26" s="514">
        <f>G26</f>
        <v>1</v>
      </c>
      <c r="L26" s="514">
        <f>H26</f>
        <v>0</v>
      </c>
      <c r="M26" s="21"/>
      <c r="N26" s="23">
        <f>K26+L26+M26</f>
        <v>1</v>
      </c>
      <c r="O26" s="514">
        <f>K26</f>
        <v>1</v>
      </c>
      <c r="P26" s="514">
        <f>L26</f>
        <v>0</v>
      </c>
      <c r="Q26" s="21"/>
      <c r="R26" s="23">
        <f>O26+P26+Q26</f>
        <v>1</v>
      </c>
      <c r="S26" s="514">
        <f>O26</f>
        <v>1</v>
      </c>
      <c r="T26" s="514">
        <f>P26</f>
        <v>0</v>
      </c>
      <c r="U26" s="21"/>
      <c r="V26" s="23">
        <f>S26+T26+U26</f>
        <v>1</v>
      </c>
      <c r="W26" s="514">
        <f>S26</f>
        <v>1</v>
      </c>
      <c r="X26" s="514">
        <f>T26</f>
        <v>0</v>
      </c>
      <c r="Y26" s="21"/>
      <c r="Z26" s="23">
        <f>W26+X26+Y26</f>
        <v>1</v>
      </c>
      <c r="AA26" s="514">
        <f>W26</f>
        <v>1</v>
      </c>
      <c r="AB26" s="514">
        <f>X26</f>
        <v>0</v>
      </c>
      <c r="AC26" s="21"/>
      <c r="AD26" s="23">
        <f>AA26+AB26+AC26</f>
        <v>1</v>
      </c>
      <c r="AE26" s="514">
        <f>AA26</f>
        <v>1</v>
      </c>
      <c r="AF26" s="514">
        <f>AB26</f>
        <v>0</v>
      </c>
      <c r="AG26" s="21"/>
      <c r="AH26" s="23">
        <f>AE26+AF26+AG26</f>
        <v>1</v>
      </c>
      <c r="AI26" s="514">
        <f>AE26</f>
        <v>1</v>
      </c>
      <c r="AJ26" s="514">
        <f>AF26</f>
        <v>0</v>
      </c>
      <c r="AK26" s="21"/>
      <c r="AL26" s="23">
        <f>AI26+AJ26+AK26</f>
        <v>1</v>
      </c>
      <c r="AM26" s="514">
        <f>AI26</f>
        <v>1</v>
      </c>
      <c r="AN26" s="514">
        <f>AJ26</f>
        <v>0</v>
      </c>
      <c r="AO26" s="21"/>
      <c r="AP26" s="23">
        <f>AM26+AN26+AO26</f>
        <v>1</v>
      </c>
    </row>
    <row r="27" spans="1:42" x14ac:dyDescent="0.3">
      <c r="A27" s="19" t="s">
        <v>61</v>
      </c>
      <c r="B27" s="507" t="s">
        <v>62</v>
      </c>
      <c r="C27" s="508" t="s">
        <v>63</v>
      </c>
      <c r="D27" s="515">
        <v>23</v>
      </c>
      <c r="E27" s="515">
        <v>22</v>
      </c>
      <c r="F27" s="515">
        <v>21</v>
      </c>
      <c r="G27" s="514">
        <v>0.5</v>
      </c>
      <c r="H27" s="514">
        <v>0.5</v>
      </c>
      <c r="I27" s="21"/>
      <c r="J27" s="23">
        <f>G27+H27+I27</f>
        <v>1</v>
      </c>
      <c r="K27" s="514">
        <f t="shared" ref="K27:L28" si="61">G27</f>
        <v>0.5</v>
      </c>
      <c r="L27" s="514">
        <f t="shared" si="61"/>
        <v>0.5</v>
      </c>
      <c r="M27" s="21"/>
      <c r="N27" s="23">
        <f>K27+L27+M27</f>
        <v>1</v>
      </c>
      <c r="O27" s="514">
        <f t="shared" ref="O27:O28" si="62">K27</f>
        <v>0.5</v>
      </c>
      <c r="P27" s="514">
        <f t="shared" ref="P27:P28" si="63">L27</f>
        <v>0.5</v>
      </c>
      <c r="Q27" s="21"/>
      <c r="R27" s="23">
        <f>O27+P27+Q27</f>
        <v>1</v>
      </c>
      <c r="S27" s="514">
        <f t="shared" ref="S27:S28" si="64">O27</f>
        <v>0.5</v>
      </c>
      <c r="T27" s="514">
        <f t="shared" ref="T27:T28" si="65">P27</f>
        <v>0.5</v>
      </c>
      <c r="U27" s="21"/>
      <c r="V27" s="23">
        <f>S27+T27+U27</f>
        <v>1</v>
      </c>
      <c r="W27" s="514">
        <f t="shared" ref="W27:W28" si="66">S27</f>
        <v>0.5</v>
      </c>
      <c r="X27" s="514">
        <f t="shared" ref="X27:X28" si="67">T27</f>
        <v>0.5</v>
      </c>
      <c r="Y27" s="21"/>
      <c r="Z27" s="23">
        <f>W27+X27+Y27</f>
        <v>1</v>
      </c>
      <c r="AA27" s="514">
        <f t="shared" ref="AA27:AA28" si="68">W27</f>
        <v>0.5</v>
      </c>
      <c r="AB27" s="514">
        <f t="shared" ref="AB27:AB28" si="69">X27</f>
        <v>0.5</v>
      </c>
      <c r="AC27" s="21"/>
      <c r="AD27" s="23">
        <f>AA27+AB27+AC27</f>
        <v>1</v>
      </c>
      <c r="AE27" s="514">
        <f t="shared" ref="AE27:AE28" si="70">AA27</f>
        <v>0.5</v>
      </c>
      <c r="AF27" s="514">
        <f t="shared" ref="AF27:AF28" si="71">AB27</f>
        <v>0.5</v>
      </c>
      <c r="AG27" s="21"/>
      <c r="AH27" s="23">
        <f>AE27+AF27+AG27</f>
        <v>1</v>
      </c>
      <c r="AI27" s="514">
        <f t="shared" ref="AI27:AI28" si="72">AE27</f>
        <v>0.5</v>
      </c>
      <c r="AJ27" s="514">
        <f t="shared" ref="AJ27:AJ28" si="73">AF27</f>
        <v>0.5</v>
      </c>
      <c r="AK27" s="21"/>
      <c r="AL27" s="23">
        <f>AI27+AJ27+AK27</f>
        <v>1</v>
      </c>
      <c r="AM27" s="514">
        <f t="shared" ref="AM27:AM28" si="74">AI27</f>
        <v>0.5</v>
      </c>
      <c r="AN27" s="514">
        <f t="shared" ref="AN27:AN28" si="75">AJ27</f>
        <v>0.5</v>
      </c>
      <c r="AO27" s="21"/>
      <c r="AP27" s="23">
        <f>AM27+AN27+AO27</f>
        <v>1</v>
      </c>
    </row>
    <row r="28" spans="1:42" x14ac:dyDescent="0.3">
      <c r="A28" s="19" t="s">
        <v>64</v>
      </c>
      <c r="B28" s="24" t="s">
        <v>65</v>
      </c>
      <c r="C28" s="25" t="s">
        <v>66</v>
      </c>
      <c r="D28" s="515">
        <v>24</v>
      </c>
      <c r="E28" s="515">
        <v>23</v>
      </c>
      <c r="F28" s="515">
        <v>22</v>
      </c>
      <c r="G28" s="514"/>
      <c r="H28" s="514">
        <v>1</v>
      </c>
      <c r="I28" s="21"/>
      <c r="J28" s="23">
        <f>G28+H28+I28</f>
        <v>1</v>
      </c>
      <c r="K28" s="514">
        <f t="shared" si="61"/>
        <v>0</v>
      </c>
      <c r="L28" s="514">
        <f t="shared" si="61"/>
        <v>1</v>
      </c>
      <c r="M28" s="21"/>
      <c r="N28" s="23">
        <f>K28+L28+M28</f>
        <v>1</v>
      </c>
      <c r="O28" s="514">
        <f t="shared" si="62"/>
        <v>0</v>
      </c>
      <c r="P28" s="514">
        <f t="shared" si="63"/>
        <v>1</v>
      </c>
      <c r="Q28" s="21"/>
      <c r="R28" s="23">
        <f>O28+P28+Q28</f>
        <v>1</v>
      </c>
      <c r="S28" s="514">
        <f t="shared" si="64"/>
        <v>0</v>
      </c>
      <c r="T28" s="514">
        <f t="shared" si="65"/>
        <v>1</v>
      </c>
      <c r="U28" s="21"/>
      <c r="V28" s="23">
        <f>S28+T28+U28</f>
        <v>1</v>
      </c>
      <c r="W28" s="514">
        <f t="shared" si="66"/>
        <v>0</v>
      </c>
      <c r="X28" s="514">
        <f t="shared" si="67"/>
        <v>1</v>
      </c>
      <c r="Y28" s="21"/>
      <c r="Z28" s="23">
        <f>W28+X28+Y28</f>
        <v>1</v>
      </c>
      <c r="AA28" s="514">
        <f t="shared" si="68"/>
        <v>0</v>
      </c>
      <c r="AB28" s="514">
        <f t="shared" si="69"/>
        <v>1</v>
      </c>
      <c r="AC28" s="21"/>
      <c r="AD28" s="23">
        <f>AA28+AB28+AC28</f>
        <v>1</v>
      </c>
      <c r="AE28" s="514">
        <f t="shared" si="70"/>
        <v>0</v>
      </c>
      <c r="AF28" s="514">
        <f t="shared" si="71"/>
        <v>1</v>
      </c>
      <c r="AG28" s="21"/>
      <c r="AH28" s="23">
        <f>AE28+AF28+AG28</f>
        <v>1</v>
      </c>
      <c r="AI28" s="514">
        <f t="shared" si="72"/>
        <v>0</v>
      </c>
      <c r="AJ28" s="514">
        <f t="shared" si="73"/>
        <v>1</v>
      </c>
      <c r="AK28" s="21"/>
      <c r="AL28" s="23">
        <f>AI28+AJ28+AK28</f>
        <v>1</v>
      </c>
      <c r="AM28" s="514">
        <f t="shared" si="74"/>
        <v>0</v>
      </c>
      <c r="AN28" s="514">
        <f t="shared" si="75"/>
        <v>1</v>
      </c>
      <c r="AO28" s="21"/>
      <c r="AP28" s="23">
        <f>AM28+AN28+AO28</f>
        <v>1</v>
      </c>
    </row>
    <row r="29" spans="1:42" x14ac:dyDescent="0.3">
      <c r="A29" s="19" t="s">
        <v>67</v>
      </c>
      <c r="B29" s="507" t="s">
        <v>68</v>
      </c>
      <c r="C29" s="508" t="s">
        <v>69</v>
      </c>
      <c r="D29" s="515">
        <v>25</v>
      </c>
      <c r="E29" s="515">
        <v>24</v>
      </c>
      <c r="F29" s="515">
        <v>23</v>
      </c>
      <c r="G29" s="26">
        <f>HLOOKUP(G5,Anlageg,142,FALSE)</f>
        <v>0.54213</v>
      </c>
      <c r="H29" s="26">
        <f>HLOOKUP(H6,Anlageg,143,FALSE)</f>
        <v>0.45787</v>
      </c>
      <c r="I29" s="26">
        <f>HLOOKUP(I7,Anlageg,144,FALSE)</f>
        <v>0</v>
      </c>
      <c r="J29" s="27">
        <f>G29+H29+I29</f>
        <v>1</v>
      </c>
      <c r="K29" s="26">
        <f>HLOOKUP(K5,Anlageg,142,FALSE)</f>
        <v>0.54213</v>
      </c>
      <c r="L29" s="26">
        <f>HLOOKUP(L6,Anlageg,143,FALSE)</f>
        <v>0.45787</v>
      </c>
      <c r="M29" s="26">
        <f>HLOOKUP(M7,Anlageg,144,FALSE)</f>
        <v>0</v>
      </c>
      <c r="N29" s="27">
        <f>K29+L29+M29</f>
        <v>1</v>
      </c>
      <c r="O29" s="26">
        <f>HLOOKUP(O5,Anlageg,142,FALSE)</f>
        <v>0.54213</v>
      </c>
      <c r="P29" s="26">
        <f>HLOOKUP(P6,Anlageg,143,FALSE)</f>
        <v>0.45787</v>
      </c>
      <c r="Q29" s="26">
        <f>HLOOKUP(Q7,Anlageg,144,FALSE)</f>
        <v>0</v>
      </c>
      <c r="R29" s="27">
        <f>O29+P29+Q29</f>
        <v>1</v>
      </c>
      <c r="S29" s="26">
        <f>HLOOKUP(S5,Anlageg,142,FALSE)</f>
        <v>0.54213</v>
      </c>
      <c r="T29" s="26">
        <f>HLOOKUP(T6,Anlageg,143,FALSE)</f>
        <v>0.45787</v>
      </c>
      <c r="U29" s="26">
        <f>HLOOKUP(U7,Anlageg,144,FALSE)</f>
        <v>0</v>
      </c>
      <c r="V29" s="27">
        <f>S29+T29+U29</f>
        <v>1</v>
      </c>
      <c r="W29" s="26">
        <f>HLOOKUP(W5,Anlageg,142,FALSE)</f>
        <v>0.54213</v>
      </c>
      <c r="X29" s="26">
        <f>HLOOKUP(X6,Anlageg,143,FALSE)</f>
        <v>0.45787</v>
      </c>
      <c r="Y29" s="26">
        <f>HLOOKUP(Y7,Anlageg,144,FALSE)</f>
        <v>0</v>
      </c>
      <c r="Z29" s="27">
        <f>W29+X29+Y29</f>
        <v>1</v>
      </c>
      <c r="AA29" s="26">
        <f>HLOOKUP(AA5,Anlageg,142,FALSE)</f>
        <v>0.54213</v>
      </c>
      <c r="AB29" s="26">
        <f>HLOOKUP(AB6,Anlageg,143,FALSE)</f>
        <v>0.45787</v>
      </c>
      <c r="AC29" s="26">
        <f>HLOOKUP(AC7,Anlageg,144,FALSE)</f>
        <v>0</v>
      </c>
      <c r="AD29" s="27">
        <f>AA29+AB29+AC29</f>
        <v>1</v>
      </c>
      <c r="AE29" s="26">
        <f>HLOOKUP(AE5,Anlageg,142,FALSE)</f>
        <v>0.54213</v>
      </c>
      <c r="AF29" s="26">
        <f>HLOOKUP(AF6,Anlageg,143,FALSE)</f>
        <v>0.45787</v>
      </c>
      <c r="AG29" s="26">
        <f>HLOOKUP(AG7,Anlageg,144,FALSE)</f>
        <v>0</v>
      </c>
      <c r="AH29" s="27">
        <f>AE29+AF29+AG29</f>
        <v>1</v>
      </c>
      <c r="AI29" s="26">
        <f>HLOOKUP(AI5,Anlageg,142,FALSE)</f>
        <v>0.54213</v>
      </c>
      <c r="AJ29" s="26">
        <f>HLOOKUP(AJ6,Anlageg,143,FALSE)</f>
        <v>0.45787</v>
      </c>
      <c r="AK29" s="26">
        <f>HLOOKUP(AK7,Anlageg,144,FALSE)</f>
        <v>0</v>
      </c>
      <c r="AL29" s="27">
        <f>AI29+AJ29+AK29</f>
        <v>1</v>
      </c>
      <c r="AM29" s="26">
        <f>HLOOKUP(AM5,Anlageg,142,FALSE)</f>
        <v>0.54213</v>
      </c>
      <c r="AN29" s="26">
        <f>HLOOKUP(AN6,Anlageg,143,FALSE)</f>
        <v>0.45787</v>
      </c>
      <c r="AO29" s="26">
        <f>HLOOKUP(AO7,Anlageg,144,FALSE)</f>
        <v>0</v>
      </c>
      <c r="AP29" s="27">
        <f>AM29+AN29+AO29</f>
        <v>1</v>
      </c>
    </row>
    <row r="30" spans="1:42" x14ac:dyDescent="0.3">
      <c r="A30" s="19" t="s">
        <v>70</v>
      </c>
      <c r="B30" s="510" t="s">
        <v>71</v>
      </c>
      <c r="C30" s="25"/>
      <c r="D30" s="515">
        <v>26</v>
      </c>
      <c r="E30" s="515">
        <v>25</v>
      </c>
      <c r="F30" s="515">
        <v>24</v>
      </c>
      <c r="G30" s="20"/>
      <c r="H30" s="21"/>
      <c r="I30" s="21"/>
      <c r="J30" s="28"/>
      <c r="K30" s="20"/>
      <c r="L30" s="21"/>
      <c r="M30" s="21"/>
      <c r="N30" s="28"/>
      <c r="O30" s="20"/>
      <c r="P30" s="21"/>
      <c r="Q30" s="21"/>
      <c r="R30" s="28"/>
      <c r="S30" s="20"/>
      <c r="T30" s="21"/>
      <c r="U30" s="21"/>
      <c r="V30" s="28"/>
      <c r="W30" s="20"/>
      <c r="X30" s="21"/>
      <c r="Y30" s="21"/>
      <c r="Z30" s="28"/>
      <c r="AA30" s="20"/>
      <c r="AB30" s="21"/>
      <c r="AC30" s="21"/>
      <c r="AD30" s="28"/>
      <c r="AE30" s="20"/>
      <c r="AF30" s="21"/>
      <c r="AG30" s="21"/>
      <c r="AH30" s="28"/>
      <c r="AI30" s="20"/>
      <c r="AJ30" s="21"/>
      <c r="AK30" s="21"/>
      <c r="AL30" s="28"/>
      <c r="AM30" s="20"/>
      <c r="AN30" s="21"/>
      <c r="AO30" s="21"/>
      <c r="AP30" s="28"/>
    </row>
    <row r="31" spans="1:42" x14ac:dyDescent="0.3">
      <c r="A31" s="19" t="s">
        <v>72</v>
      </c>
      <c r="B31" s="507" t="s">
        <v>73</v>
      </c>
      <c r="C31" s="508" t="s">
        <v>74</v>
      </c>
      <c r="D31" s="515">
        <v>27</v>
      </c>
      <c r="E31" s="515">
        <v>26</v>
      </c>
      <c r="F31" s="515">
        <v>25</v>
      </c>
      <c r="G31" s="514">
        <v>1</v>
      </c>
      <c r="H31" s="514"/>
      <c r="I31" s="514"/>
      <c r="J31" s="23">
        <f>G31+H31+I31</f>
        <v>1</v>
      </c>
      <c r="K31" s="514">
        <f>G31</f>
        <v>1</v>
      </c>
      <c r="L31" s="514">
        <f t="shared" ref="L31:M33" si="76">H31</f>
        <v>0</v>
      </c>
      <c r="M31" s="514">
        <f t="shared" si="76"/>
        <v>0</v>
      </c>
      <c r="N31" s="23">
        <f>K31+L31+M31</f>
        <v>1</v>
      </c>
      <c r="O31" s="514">
        <f>K31</f>
        <v>1</v>
      </c>
      <c r="P31" s="514">
        <f t="shared" ref="P31:P33" si="77">L31</f>
        <v>0</v>
      </c>
      <c r="Q31" s="514">
        <f t="shared" ref="Q31:Q33" si="78">M31</f>
        <v>0</v>
      </c>
      <c r="R31" s="23">
        <f>O31+P31+Q31</f>
        <v>1</v>
      </c>
      <c r="S31" s="514">
        <f>O31</f>
        <v>1</v>
      </c>
      <c r="T31" s="514">
        <f t="shared" ref="T31:T33" si="79">P31</f>
        <v>0</v>
      </c>
      <c r="U31" s="514">
        <f t="shared" ref="U31:U33" si="80">Q31</f>
        <v>0</v>
      </c>
      <c r="V31" s="23">
        <f>S31+T31+U31</f>
        <v>1</v>
      </c>
      <c r="W31" s="514">
        <f>S31</f>
        <v>1</v>
      </c>
      <c r="X31" s="514">
        <f t="shared" ref="X31:X33" si="81">T31</f>
        <v>0</v>
      </c>
      <c r="Y31" s="514">
        <f t="shared" ref="Y31:Y33" si="82">U31</f>
        <v>0</v>
      </c>
      <c r="Z31" s="23">
        <f>W31+X31+Y31</f>
        <v>1</v>
      </c>
      <c r="AA31" s="514">
        <f>W31</f>
        <v>1</v>
      </c>
      <c r="AB31" s="514">
        <f t="shared" ref="AB31:AB33" si="83">X31</f>
        <v>0</v>
      </c>
      <c r="AC31" s="514">
        <f t="shared" ref="AC31:AC33" si="84">Y31</f>
        <v>0</v>
      </c>
      <c r="AD31" s="23">
        <f>AA31+AB31+AC31</f>
        <v>1</v>
      </c>
      <c r="AE31" s="514">
        <f>AA31</f>
        <v>1</v>
      </c>
      <c r="AF31" s="514">
        <f t="shared" ref="AF31:AF33" si="85">AB31</f>
        <v>0</v>
      </c>
      <c r="AG31" s="514">
        <f t="shared" ref="AG31:AG33" si="86">AC31</f>
        <v>0</v>
      </c>
      <c r="AH31" s="23">
        <f>AE31+AF31+AG31</f>
        <v>1</v>
      </c>
      <c r="AI31" s="514">
        <f>AE31</f>
        <v>1</v>
      </c>
      <c r="AJ31" s="514">
        <f t="shared" ref="AJ31:AJ33" si="87">AF31</f>
        <v>0</v>
      </c>
      <c r="AK31" s="514">
        <f t="shared" ref="AK31:AK33" si="88">AG31</f>
        <v>0</v>
      </c>
      <c r="AL31" s="23">
        <f>AI31+AJ31+AK31</f>
        <v>1</v>
      </c>
      <c r="AM31" s="514">
        <f>AI31</f>
        <v>1</v>
      </c>
      <c r="AN31" s="514">
        <f t="shared" ref="AN31:AN33" si="89">AJ31</f>
        <v>0</v>
      </c>
      <c r="AO31" s="514">
        <f t="shared" ref="AO31:AO33" si="90">AK31</f>
        <v>0</v>
      </c>
      <c r="AP31" s="23">
        <f>AM31+AN31+AO31</f>
        <v>1</v>
      </c>
    </row>
    <row r="32" spans="1:42" x14ac:dyDescent="0.3">
      <c r="A32" s="19" t="s">
        <v>75</v>
      </c>
      <c r="B32" s="507" t="s">
        <v>76</v>
      </c>
      <c r="C32" s="508" t="s">
        <v>77</v>
      </c>
      <c r="D32" s="515">
        <v>28</v>
      </c>
      <c r="E32" s="515">
        <v>27</v>
      </c>
      <c r="F32" s="515">
        <v>26</v>
      </c>
      <c r="G32" s="514">
        <v>0.5</v>
      </c>
      <c r="H32" s="514">
        <v>0.25</v>
      </c>
      <c r="I32" s="514">
        <v>0.25</v>
      </c>
      <c r="J32" s="23">
        <f>G32+H32+I32</f>
        <v>1</v>
      </c>
      <c r="K32" s="514">
        <f t="shared" ref="K32:K33" si="91">G32</f>
        <v>0.5</v>
      </c>
      <c r="L32" s="514">
        <f t="shared" si="76"/>
        <v>0.25</v>
      </c>
      <c r="M32" s="514">
        <f t="shared" si="76"/>
        <v>0.25</v>
      </c>
      <c r="N32" s="23">
        <f>K32+L32+M32</f>
        <v>1</v>
      </c>
      <c r="O32" s="514">
        <f t="shared" ref="O32:O33" si="92">K32</f>
        <v>0.5</v>
      </c>
      <c r="P32" s="514">
        <f t="shared" si="77"/>
        <v>0.25</v>
      </c>
      <c r="Q32" s="514">
        <f t="shared" si="78"/>
        <v>0.25</v>
      </c>
      <c r="R32" s="23">
        <f>O32+P32+Q32</f>
        <v>1</v>
      </c>
      <c r="S32" s="514">
        <f t="shared" ref="S32:S33" si="93">O32</f>
        <v>0.5</v>
      </c>
      <c r="T32" s="514">
        <f t="shared" si="79"/>
        <v>0.25</v>
      </c>
      <c r="U32" s="514">
        <f t="shared" si="80"/>
        <v>0.25</v>
      </c>
      <c r="V32" s="23">
        <f>S32+T32+U32</f>
        <v>1</v>
      </c>
      <c r="W32" s="514">
        <f t="shared" ref="W32:W33" si="94">S32</f>
        <v>0.5</v>
      </c>
      <c r="X32" s="514">
        <f t="shared" si="81"/>
        <v>0.25</v>
      </c>
      <c r="Y32" s="514">
        <f t="shared" si="82"/>
        <v>0.25</v>
      </c>
      <c r="Z32" s="23">
        <f>W32+X32+Y32</f>
        <v>1</v>
      </c>
      <c r="AA32" s="514">
        <f t="shared" ref="AA32:AA33" si="95">W32</f>
        <v>0.5</v>
      </c>
      <c r="AB32" s="514">
        <f t="shared" si="83"/>
        <v>0.25</v>
      </c>
      <c r="AC32" s="514">
        <f t="shared" si="84"/>
        <v>0.25</v>
      </c>
      <c r="AD32" s="23">
        <f>AA32+AB32+AC32</f>
        <v>1</v>
      </c>
      <c r="AE32" s="514">
        <f t="shared" ref="AE32:AE33" si="96">AA32</f>
        <v>0.5</v>
      </c>
      <c r="AF32" s="514">
        <f t="shared" si="85"/>
        <v>0.25</v>
      </c>
      <c r="AG32" s="514">
        <f t="shared" si="86"/>
        <v>0.25</v>
      </c>
      <c r="AH32" s="23">
        <f>AE32+AF32+AG32</f>
        <v>1</v>
      </c>
      <c r="AI32" s="514">
        <f t="shared" ref="AI32:AI33" si="97">AE32</f>
        <v>0.5</v>
      </c>
      <c r="AJ32" s="514">
        <f t="shared" si="87"/>
        <v>0.25</v>
      </c>
      <c r="AK32" s="514">
        <f t="shared" si="88"/>
        <v>0.25</v>
      </c>
      <c r="AL32" s="23">
        <f>AI32+AJ32+AK32</f>
        <v>1</v>
      </c>
      <c r="AM32" s="514">
        <f t="shared" ref="AM32:AM33" si="98">AI32</f>
        <v>0.5</v>
      </c>
      <c r="AN32" s="514">
        <f t="shared" si="89"/>
        <v>0.25</v>
      </c>
      <c r="AO32" s="514">
        <f t="shared" si="90"/>
        <v>0.25</v>
      </c>
      <c r="AP32" s="23">
        <f>AM32+AN32+AO32</f>
        <v>1</v>
      </c>
    </row>
    <row r="33" spans="1:42" x14ac:dyDescent="0.3">
      <c r="A33" s="19" t="s">
        <v>78</v>
      </c>
      <c r="B33" s="507" t="s">
        <v>79</v>
      </c>
      <c r="C33" s="508" t="s">
        <v>80</v>
      </c>
      <c r="D33" s="515">
        <v>29</v>
      </c>
      <c r="E33" s="515">
        <v>28</v>
      </c>
      <c r="F33" s="515">
        <v>27</v>
      </c>
      <c r="G33" s="514"/>
      <c r="H33" s="514">
        <v>0.5</v>
      </c>
      <c r="I33" s="514">
        <v>0.5</v>
      </c>
      <c r="J33" s="23">
        <f>G33+H33+I33</f>
        <v>1</v>
      </c>
      <c r="K33" s="514">
        <f t="shared" si="91"/>
        <v>0</v>
      </c>
      <c r="L33" s="514">
        <f t="shared" si="76"/>
        <v>0.5</v>
      </c>
      <c r="M33" s="514">
        <f t="shared" si="76"/>
        <v>0.5</v>
      </c>
      <c r="N33" s="23">
        <f>K33+L33+M33</f>
        <v>1</v>
      </c>
      <c r="O33" s="514">
        <f t="shared" si="92"/>
        <v>0</v>
      </c>
      <c r="P33" s="514">
        <f t="shared" si="77"/>
        <v>0.5</v>
      </c>
      <c r="Q33" s="514">
        <f t="shared" si="78"/>
        <v>0.5</v>
      </c>
      <c r="R33" s="23">
        <f>O33+P33+Q33</f>
        <v>1</v>
      </c>
      <c r="S33" s="514">
        <f t="shared" si="93"/>
        <v>0</v>
      </c>
      <c r="T33" s="514">
        <f t="shared" si="79"/>
        <v>0.5</v>
      </c>
      <c r="U33" s="514">
        <f t="shared" si="80"/>
        <v>0.5</v>
      </c>
      <c r="V33" s="23">
        <f>S33+T33+U33</f>
        <v>1</v>
      </c>
      <c r="W33" s="514">
        <f t="shared" si="94"/>
        <v>0</v>
      </c>
      <c r="X33" s="514">
        <f t="shared" si="81"/>
        <v>0.5</v>
      </c>
      <c r="Y33" s="514">
        <f t="shared" si="82"/>
        <v>0.5</v>
      </c>
      <c r="Z33" s="23">
        <f>W33+X33+Y33</f>
        <v>1</v>
      </c>
      <c r="AA33" s="514">
        <f t="shared" si="95"/>
        <v>0</v>
      </c>
      <c r="AB33" s="514">
        <f t="shared" si="83"/>
        <v>0.5</v>
      </c>
      <c r="AC33" s="514">
        <f t="shared" si="84"/>
        <v>0.5</v>
      </c>
      <c r="AD33" s="23">
        <f>AA33+AB33+AC33</f>
        <v>1</v>
      </c>
      <c r="AE33" s="514">
        <f t="shared" si="96"/>
        <v>0</v>
      </c>
      <c r="AF33" s="514">
        <f t="shared" si="85"/>
        <v>0.5</v>
      </c>
      <c r="AG33" s="514">
        <f t="shared" si="86"/>
        <v>0.5</v>
      </c>
      <c r="AH33" s="23">
        <f>AE33+AF33+AG33</f>
        <v>1</v>
      </c>
      <c r="AI33" s="514">
        <f t="shared" si="97"/>
        <v>0</v>
      </c>
      <c r="AJ33" s="514">
        <f t="shared" si="87"/>
        <v>0.5</v>
      </c>
      <c r="AK33" s="514">
        <f t="shared" si="88"/>
        <v>0.5</v>
      </c>
      <c r="AL33" s="23">
        <f>AI33+AJ33+AK33</f>
        <v>1</v>
      </c>
      <c r="AM33" s="514">
        <f t="shared" si="98"/>
        <v>0</v>
      </c>
      <c r="AN33" s="514">
        <f t="shared" si="89"/>
        <v>0.5</v>
      </c>
      <c r="AO33" s="514">
        <f t="shared" si="90"/>
        <v>0.5</v>
      </c>
      <c r="AP33" s="23">
        <f>AM33+AN33+AO33</f>
        <v>1</v>
      </c>
    </row>
    <row r="34" spans="1:42" x14ac:dyDescent="0.3">
      <c r="A34" s="19" t="s">
        <v>81</v>
      </c>
      <c r="B34" s="507" t="s">
        <v>82</v>
      </c>
      <c r="C34" s="508" t="s">
        <v>83</v>
      </c>
      <c r="D34" s="515">
        <v>30</v>
      </c>
      <c r="E34" s="515">
        <v>29</v>
      </c>
      <c r="F34" s="515">
        <v>28</v>
      </c>
      <c r="G34" s="26">
        <f>HLOOKUP(G5,Anlageg,147,FALSE)</f>
        <v>0</v>
      </c>
      <c r="H34" s="26">
        <f>HLOOKUP(H6,Anlageg,148,FALSE)</f>
        <v>0</v>
      </c>
      <c r="I34" s="26">
        <f>HLOOKUP(I7,Anlageg,149,FALSE)</f>
        <v>0</v>
      </c>
      <c r="J34" s="27">
        <f>G34+H34+I34</f>
        <v>0</v>
      </c>
      <c r="K34" s="26">
        <f>HLOOKUP(K5,Anlageg,147,FALSE)</f>
        <v>0</v>
      </c>
      <c r="L34" s="26">
        <f>HLOOKUP(L6,Anlageg,148,FALSE)</f>
        <v>0</v>
      </c>
      <c r="M34" s="26">
        <f>HLOOKUP(M7,Anlageg,149,FALSE)</f>
        <v>0</v>
      </c>
      <c r="N34" s="27">
        <f>K34+L34+M34</f>
        <v>0</v>
      </c>
      <c r="O34" s="26">
        <f>HLOOKUP(O5,Anlageg,147,FALSE)</f>
        <v>0</v>
      </c>
      <c r="P34" s="26">
        <f>HLOOKUP(P6,Anlageg,148,FALSE)</f>
        <v>0</v>
      </c>
      <c r="Q34" s="26">
        <f>HLOOKUP(Q7,Anlageg,149,FALSE)</f>
        <v>0</v>
      </c>
      <c r="R34" s="27">
        <f>O34+P34+Q34</f>
        <v>0</v>
      </c>
      <c r="S34" s="26">
        <f>HLOOKUP(S5,Anlageg,147,FALSE)</f>
        <v>0</v>
      </c>
      <c r="T34" s="26">
        <f>HLOOKUP(T6,Anlageg,148,FALSE)</f>
        <v>0</v>
      </c>
      <c r="U34" s="26">
        <f>HLOOKUP(U7,Anlageg,149,FALSE)</f>
        <v>0</v>
      </c>
      <c r="V34" s="27">
        <f>S34+T34+U34</f>
        <v>0</v>
      </c>
      <c r="W34" s="26">
        <f>HLOOKUP(W5,Anlageg,147,FALSE)</f>
        <v>0</v>
      </c>
      <c r="X34" s="26">
        <f>HLOOKUP(X6,Anlageg,148,FALSE)</f>
        <v>0</v>
      </c>
      <c r="Y34" s="26">
        <f>HLOOKUP(Y7,Anlageg,149,FALSE)</f>
        <v>0</v>
      </c>
      <c r="Z34" s="27">
        <f>W34+X34+Y34</f>
        <v>0</v>
      </c>
      <c r="AA34" s="26">
        <f>HLOOKUP(AA5,Anlageg,147,FALSE)</f>
        <v>0</v>
      </c>
      <c r="AB34" s="26">
        <f>HLOOKUP(AB6,Anlageg,148,FALSE)</f>
        <v>0</v>
      </c>
      <c r="AC34" s="26">
        <f>HLOOKUP(AC7,Anlageg,149,FALSE)</f>
        <v>0</v>
      </c>
      <c r="AD34" s="27">
        <f>AA34+AB34+AC34</f>
        <v>0</v>
      </c>
      <c r="AE34" s="26">
        <f>HLOOKUP(AE5,Anlageg,147,FALSE)</f>
        <v>0</v>
      </c>
      <c r="AF34" s="26">
        <f>HLOOKUP(AF6,Anlageg,148,FALSE)</f>
        <v>0</v>
      </c>
      <c r="AG34" s="26">
        <f>HLOOKUP(AG7,Anlageg,149,FALSE)</f>
        <v>0</v>
      </c>
      <c r="AH34" s="27">
        <f>AE34+AF34+AG34</f>
        <v>0</v>
      </c>
      <c r="AI34" s="26">
        <f>HLOOKUP(AI5,Anlageg,147,FALSE)</f>
        <v>0</v>
      </c>
      <c r="AJ34" s="26">
        <f>HLOOKUP(AJ6,Anlageg,148,FALSE)</f>
        <v>0</v>
      </c>
      <c r="AK34" s="26">
        <f>HLOOKUP(AK7,Anlageg,149,FALSE)</f>
        <v>0</v>
      </c>
      <c r="AL34" s="27">
        <f>AI34+AJ34+AK34</f>
        <v>0</v>
      </c>
      <c r="AM34" s="26">
        <f>HLOOKUP(AM5,Anlageg,147,FALSE)</f>
        <v>0</v>
      </c>
      <c r="AN34" s="26">
        <f>HLOOKUP(AN6,Anlageg,148,FALSE)</f>
        <v>0</v>
      </c>
      <c r="AO34" s="26">
        <f>HLOOKUP(AO7,Anlageg,149,FALSE)</f>
        <v>0</v>
      </c>
      <c r="AP34" s="27">
        <f>AM34+AN34+AO34</f>
        <v>0</v>
      </c>
    </row>
    <row r="35" spans="1:42" x14ac:dyDescent="0.3">
      <c r="A35" s="16" t="s">
        <v>84</v>
      </c>
      <c r="B35" s="17" t="s">
        <v>85</v>
      </c>
      <c r="C35" s="508"/>
      <c r="D35" s="515">
        <v>31</v>
      </c>
      <c r="E35" s="515">
        <v>30</v>
      </c>
      <c r="F35" s="515">
        <v>29</v>
      </c>
      <c r="G35" s="20"/>
      <c r="H35" s="21"/>
      <c r="I35" s="21"/>
      <c r="J35" s="22"/>
      <c r="K35" s="20"/>
      <c r="L35" s="21"/>
      <c r="M35" s="21"/>
      <c r="N35" s="22"/>
      <c r="O35" s="20"/>
      <c r="P35" s="21"/>
      <c r="Q35" s="21"/>
      <c r="R35" s="22"/>
      <c r="S35" s="20"/>
      <c r="T35" s="21"/>
      <c r="U35" s="21"/>
      <c r="V35" s="22"/>
      <c r="W35" s="20"/>
      <c r="X35" s="21"/>
      <c r="Y35" s="21"/>
      <c r="Z35" s="22"/>
      <c r="AA35" s="20"/>
      <c r="AB35" s="21"/>
      <c r="AC35" s="21"/>
      <c r="AD35" s="22"/>
      <c r="AE35" s="20"/>
      <c r="AF35" s="21"/>
      <c r="AG35" s="21"/>
      <c r="AH35" s="22"/>
      <c r="AI35" s="20"/>
      <c r="AJ35" s="21"/>
      <c r="AK35" s="21"/>
      <c r="AL35" s="22"/>
      <c r="AM35" s="20"/>
      <c r="AN35" s="21"/>
      <c r="AO35" s="21"/>
      <c r="AP35" s="22"/>
    </row>
    <row r="36" spans="1:42" x14ac:dyDescent="0.3">
      <c r="A36" s="19" t="s">
        <v>86</v>
      </c>
      <c r="B36" s="507" t="s">
        <v>87</v>
      </c>
      <c r="C36" s="508" t="s">
        <v>88</v>
      </c>
      <c r="D36" s="515">
        <v>32</v>
      </c>
      <c r="E36" s="515">
        <v>31</v>
      </c>
      <c r="F36" s="515">
        <v>30</v>
      </c>
      <c r="G36" s="514">
        <v>1</v>
      </c>
      <c r="H36" s="514"/>
      <c r="I36" s="21"/>
      <c r="J36" s="23">
        <f t="shared" ref="J36:J41" si="99">G36+H36+I36</f>
        <v>1</v>
      </c>
      <c r="K36" s="514">
        <f>G36</f>
        <v>1</v>
      </c>
      <c r="L36" s="514">
        <f>H36</f>
        <v>0</v>
      </c>
      <c r="M36" s="21"/>
      <c r="N36" s="23">
        <f t="shared" ref="N36:N38" si="100">K36+L36+M36</f>
        <v>1</v>
      </c>
      <c r="O36" s="514">
        <f>K36</f>
        <v>1</v>
      </c>
      <c r="P36" s="514">
        <f>L36</f>
        <v>0</v>
      </c>
      <c r="Q36" s="21"/>
      <c r="R36" s="23">
        <f t="shared" ref="R36:R38" si="101">O36+P36+Q36</f>
        <v>1</v>
      </c>
      <c r="S36" s="514">
        <f>O36</f>
        <v>1</v>
      </c>
      <c r="T36" s="514">
        <f>P36</f>
        <v>0</v>
      </c>
      <c r="U36" s="21"/>
      <c r="V36" s="23">
        <f t="shared" ref="V36:V38" si="102">S36+T36+U36</f>
        <v>1</v>
      </c>
      <c r="W36" s="514">
        <f>S36</f>
        <v>1</v>
      </c>
      <c r="X36" s="514">
        <f>T36</f>
        <v>0</v>
      </c>
      <c r="Y36" s="21"/>
      <c r="Z36" s="23">
        <f t="shared" ref="Z36:Z38" si="103">W36+X36+Y36</f>
        <v>1</v>
      </c>
      <c r="AA36" s="514">
        <f>W36</f>
        <v>1</v>
      </c>
      <c r="AB36" s="514">
        <f>X36</f>
        <v>0</v>
      </c>
      <c r="AC36" s="21"/>
      <c r="AD36" s="23">
        <f t="shared" ref="AD36:AD38" si="104">AA36+AB36+AC36</f>
        <v>1</v>
      </c>
      <c r="AE36" s="514">
        <f>AA36</f>
        <v>1</v>
      </c>
      <c r="AF36" s="514">
        <f>AB36</f>
        <v>0</v>
      </c>
      <c r="AG36" s="21"/>
      <c r="AH36" s="23">
        <f t="shared" ref="AH36:AH38" si="105">AE36+AF36+AG36</f>
        <v>1</v>
      </c>
      <c r="AI36" s="514">
        <f>AE36</f>
        <v>1</v>
      </c>
      <c r="AJ36" s="514">
        <f>AF36</f>
        <v>0</v>
      </c>
      <c r="AK36" s="21"/>
      <c r="AL36" s="23">
        <f t="shared" ref="AL36:AL38" si="106">AI36+AJ36+AK36</f>
        <v>1</v>
      </c>
      <c r="AM36" s="514">
        <f>AI36</f>
        <v>1</v>
      </c>
      <c r="AN36" s="514">
        <f>AJ36</f>
        <v>0</v>
      </c>
      <c r="AO36" s="21"/>
      <c r="AP36" s="23">
        <f t="shared" ref="AP36:AP38" si="107">AM36+AN36+AO36</f>
        <v>1</v>
      </c>
    </row>
    <row r="37" spans="1:42" x14ac:dyDescent="0.3">
      <c r="A37" s="19" t="s">
        <v>89</v>
      </c>
      <c r="B37" s="507" t="s">
        <v>90</v>
      </c>
      <c r="C37" s="508" t="s">
        <v>91</v>
      </c>
      <c r="D37" s="515">
        <v>33</v>
      </c>
      <c r="E37" s="515">
        <v>32</v>
      </c>
      <c r="F37" s="515">
        <v>31</v>
      </c>
      <c r="G37" s="514">
        <v>0.5</v>
      </c>
      <c r="H37" s="514">
        <v>0.5</v>
      </c>
      <c r="I37" s="21"/>
      <c r="J37" s="23">
        <f t="shared" si="99"/>
        <v>1</v>
      </c>
      <c r="K37" s="514">
        <f t="shared" ref="K37:L38" si="108">G37</f>
        <v>0.5</v>
      </c>
      <c r="L37" s="514">
        <f t="shared" si="108"/>
        <v>0.5</v>
      </c>
      <c r="M37" s="21"/>
      <c r="N37" s="23">
        <f t="shared" si="100"/>
        <v>1</v>
      </c>
      <c r="O37" s="514">
        <f t="shared" ref="O37:O38" si="109">K37</f>
        <v>0.5</v>
      </c>
      <c r="P37" s="514">
        <f t="shared" ref="P37:P38" si="110">L37</f>
        <v>0.5</v>
      </c>
      <c r="Q37" s="21"/>
      <c r="R37" s="23">
        <f t="shared" si="101"/>
        <v>1</v>
      </c>
      <c r="S37" s="514">
        <f t="shared" ref="S37:S38" si="111">O37</f>
        <v>0.5</v>
      </c>
      <c r="T37" s="514">
        <f t="shared" ref="T37:T38" si="112">P37</f>
        <v>0.5</v>
      </c>
      <c r="U37" s="21"/>
      <c r="V37" s="23">
        <f t="shared" si="102"/>
        <v>1</v>
      </c>
      <c r="W37" s="514">
        <f t="shared" ref="W37:W38" si="113">S37</f>
        <v>0.5</v>
      </c>
      <c r="X37" s="514">
        <f t="shared" ref="X37:X38" si="114">T37</f>
        <v>0.5</v>
      </c>
      <c r="Y37" s="21"/>
      <c r="Z37" s="23">
        <f t="shared" si="103"/>
        <v>1</v>
      </c>
      <c r="AA37" s="514">
        <f t="shared" ref="AA37:AA38" si="115">W37</f>
        <v>0.5</v>
      </c>
      <c r="AB37" s="514">
        <f t="shared" ref="AB37:AB38" si="116">X37</f>
        <v>0.5</v>
      </c>
      <c r="AC37" s="21"/>
      <c r="AD37" s="23">
        <f t="shared" si="104"/>
        <v>1</v>
      </c>
      <c r="AE37" s="514">
        <f t="shared" ref="AE37:AE38" si="117">AA37</f>
        <v>0.5</v>
      </c>
      <c r="AF37" s="514">
        <f t="shared" ref="AF37:AF38" si="118">AB37</f>
        <v>0.5</v>
      </c>
      <c r="AG37" s="21"/>
      <c r="AH37" s="23">
        <f t="shared" si="105"/>
        <v>1</v>
      </c>
      <c r="AI37" s="514">
        <f t="shared" ref="AI37:AI38" si="119">AE37</f>
        <v>0.5</v>
      </c>
      <c r="AJ37" s="514">
        <f t="shared" ref="AJ37:AJ38" si="120">AF37</f>
        <v>0.5</v>
      </c>
      <c r="AK37" s="21"/>
      <c r="AL37" s="23">
        <f t="shared" si="106"/>
        <v>1</v>
      </c>
      <c r="AM37" s="514">
        <f t="shared" ref="AM37:AM38" si="121">AI37</f>
        <v>0.5</v>
      </c>
      <c r="AN37" s="514">
        <f t="shared" ref="AN37:AN38" si="122">AJ37</f>
        <v>0.5</v>
      </c>
      <c r="AO37" s="21"/>
      <c r="AP37" s="23">
        <f t="shared" si="107"/>
        <v>1</v>
      </c>
    </row>
    <row r="38" spans="1:42" x14ac:dyDescent="0.3">
      <c r="A38" s="19" t="s">
        <v>92</v>
      </c>
      <c r="B38" s="507" t="s">
        <v>93</v>
      </c>
      <c r="C38" s="508" t="s">
        <v>94</v>
      </c>
      <c r="D38" s="515">
        <v>34</v>
      </c>
      <c r="E38" s="515">
        <v>33</v>
      </c>
      <c r="F38" s="515">
        <v>32</v>
      </c>
      <c r="G38" s="514"/>
      <c r="H38" s="514">
        <v>1</v>
      </c>
      <c r="I38" s="21"/>
      <c r="J38" s="23">
        <f t="shared" si="99"/>
        <v>1</v>
      </c>
      <c r="K38" s="514">
        <f t="shared" si="108"/>
        <v>0</v>
      </c>
      <c r="L38" s="514">
        <f t="shared" si="108"/>
        <v>1</v>
      </c>
      <c r="M38" s="21"/>
      <c r="N38" s="23">
        <f t="shared" si="100"/>
        <v>1</v>
      </c>
      <c r="O38" s="514">
        <f t="shared" si="109"/>
        <v>0</v>
      </c>
      <c r="P38" s="514">
        <f t="shared" si="110"/>
        <v>1</v>
      </c>
      <c r="Q38" s="21"/>
      <c r="R38" s="23">
        <f t="shared" si="101"/>
        <v>1</v>
      </c>
      <c r="S38" s="514">
        <f t="shared" si="111"/>
        <v>0</v>
      </c>
      <c r="T38" s="514">
        <f t="shared" si="112"/>
        <v>1</v>
      </c>
      <c r="U38" s="21"/>
      <c r="V38" s="23">
        <f t="shared" si="102"/>
        <v>1</v>
      </c>
      <c r="W38" s="514">
        <f t="shared" si="113"/>
        <v>0</v>
      </c>
      <c r="X38" s="514">
        <f t="shared" si="114"/>
        <v>1</v>
      </c>
      <c r="Y38" s="21"/>
      <c r="Z38" s="23">
        <f t="shared" si="103"/>
        <v>1</v>
      </c>
      <c r="AA38" s="514">
        <f t="shared" si="115"/>
        <v>0</v>
      </c>
      <c r="AB38" s="514">
        <f t="shared" si="116"/>
        <v>1</v>
      </c>
      <c r="AC38" s="21"/>
      <c r="AD38" s="23">
        <f t="shared" si="104"/>
        <v>1</v>
      </c>
      <c r="AE38" s="514">
        <f t="shared" si="117"/>
        <v>0</v>
      </c>
      <c r="AF38" s="514">
        <f t="shared" si="118"/>
        <v>1</v>
      </c>
      <c r="AG38" s="21"/>
      <c r="AH38" s="23">
        <f t="shared" si="105"/>
        <v>1</v>
      </c>
      <c r="AI38" s="514">
        <f t="shared" si="119"/>
        <v>0</v>
      </c>
      <c r="AJ38" s="514">
        <f t="shared" si="120"/>
        <v>1</v>
      </c>
      <c r="AK38" s="21"/>
      <c r="AL38" s="23">
        <f t="shared" si="106"/>
        <v>1</v>
      </c>
      <c r="AM38" s="514">
        <f t="shared" si="121"/>
        <v>0</v>
      </c>
      <c r="AN38" s="514">
        <f t="shared" si="122"/>
        <v>1</v>
      </c>
      <c r="AO38" s="21"/>
      <c r="AP38" s="23">
        <f t="shared" si="107"/>
        <v>1</v>
      </c>
    </row>
    <row r="39" spans="1:42" x14ac:dyDescent="0.3">
      <c r="A39" s="19" t="s">
        <v>95</v>
      </c>
      <c r="B39" s="507" t="s">
        <v>96</v>
      </c>
      <c r="C39" s="508" t="s">
        <v>97</v>
      </c>
      <c r="D39" s="515">
        <v>35</v>
      </c>
      <c r="E39" s="515">
        <v>34</v>
      </c>
      <c r="F39" s="515">
        <v>33</v>
      </c>
      <c r="G39" s="26">
        <f>HLOOKUP(G5,Anlageg,154,FALSE)</f>
        <v>0</v>
      </c>
      <c r="H39" s="26">
        <f>HLOOKUP(H6,Anlageg,155,FALSE)</f>
        <v>0</v>
      </c>
      <c r="I39" s="21"/>
      <c r="J39" s="23">
        <f>G39+H39+I39</f>
        <v>0</v>
      </c>
      <c r="K39" s="26">
        <f>HLOOKUP(K5,Anlageg,154)</f>
        <v>0</v>
      </c>
      <c r="L39" s="26">
        <f>HLOOKUP(L6,Anlageg,155,FALSE)</f>
        <v>0</v>
      </c>
      <c r="M39" s="21"/>
      <c r="N39" s="23">
        <f>K39+L39+M39</f>
        <v>0</v>
      </c>
      <c r="O39" s="26">
        <f>HLOOKUP(O5,Anlageg,154)</f>
        <v>0</v>
      </c>
      <c r="P39" s="26">
        <f>HLOOKUP(P6,Anlageg,155,FALSE)</f>
        <v>0</v>
      </c>
      <c r="Q39" s="21"/>
      <c r="R39" s="23">
        <f>O39+P39+Q39</f>
        <v>0</v>
      </c>
      <c r="S39" s="26">
        <f>HLOOKUP(S5,Anlageg,154)</f>
        <v>0</v>
      </c>
      <c r="T39" s="26">
        <f>HLOOKUP(T6,Anlageg,155,FALSE)</f>
        <v>0</v>
      </c>
      <c r="U39" s="21"/>
      <c r="V39" s="23">
        <f>S39+T39+U39</f>
        <v>0</v>
      </c>
      <c r="W39" s="26">
        <f>HLOOKUP(W5,Anlageg,154)</f>
        <v>0</v>
      </c>
      <c r="X39" s="26">
        <f>HLOOKUP(X6,Anlageg,155,FALSE)</f>
        <v>0</v>
      </c>
      <c r="Y39" s="21"/>
      <c r="Z39" s="23">
        <f>W39+X39+Y39</f>
        <v>0</v>
      </c>
      <c r="AA39" s="26">
        <f>HLOOKUP(AA5,Anlageg,154)</f>
        <v>0</v>
      </c>
      <c r="AB39" s="26">
        <f>HLOOKUP(AB6,Anlageg,155,FALSE)</f>
        <v>0</v>
      </c>
      <c r="AC39" s="21"/>
      <c r="AD39" s="23">
        <f>AA39+AB39+AC39</f>
        <v>0</v>
      </c>
      <c r="AE39" s="26">
        <f>HLOOKUP(AE5,Anlageg,154)</f>
        <v>0</v>
      </c>
      <c r="AF39" s="26">
        <f>HLOOKUP(AF6,Anlageg,155,FALSE)</f>
        <v>0</v>
      </c>
      <c r="AG39" s="21"/>
      <c r="AH39" s="23">
        <f>AE39+AF39+AG39</f>
        <v>0</v>
      </c>
      <c r="AI39" s="26">
        <f>HLOOKUP(AI5,Anlageg,154)</f>
        <v>0</v>
      </c>
      <c r="AJ39" s="26">
        <f>HLOOKUP(AJ6,Anlageg,155,FALSE)</f>
        <v>0</v>
      </c>
      <c r="AK39" s="21"/>
      <c r="AL39" s="23">
        <f>AI39+AJ39+AK39</f>
        <v>0</v>
      </c>
      <c r="AM39" s="26">
        <f>HLOOKUP(AM5,Anlageg,154)</f>
        <v>0</v>
      </c>
      <c r="AN39" s="26">
        <f>HLOOKUP(AN6,Anlageg,155,FALSE)</f>
        <v>0</v>
      </c>
      <c r="AO39" s="21"/>
      <c r="AP39" s="23">
        <f>AM39+AN39+AO39</f>
        <v>0</v>
      </c>
    </row>
    <row r="40" spans="1:42" x14ac:dyDescent="0.3">
      <c r="A40" s="19" t="s">
        <v>98</v>
      </c>
      <c r="B40" s="507" t="s">
        <v>99</v>
      </c>
      <c r="C40" s="508" t="s">
        <v>100</v>
      </c>
      <c r="D40" s="515">
        <v>36</v>
      </c>
      <c r="E40" s="515">
        <v>35</v>
      </c>
      <c r="F40" s="515">
        <v>34</v>
      </c>
      <c r="G40" s="26">
        <f>HLOOKUP(G5,Anlageg,160,FALSE)</f>
        <v>0.73338999999999999</v>
      </c>
      <c r="H40" s="26">
        <f>HLOOKUP(H6,Anlageg,161,FALSE)</f>
        <v>0.26661000000000001</v>
      </c>
      <c r="I40" s="21"/>
      <c r="J40" s="23">
        <f t="shared" si="99"/>
        <v>1</v>
      </c>
      <c r="K40" s="26">
        <f>HLOOKUP(K5,Anlageg,160,FALSE)</f>
        <v>0.73338999999999999</v>
      </c>
      <c r="L40" s="26">
        <f>HLOOKUP(L6,Anlageg,161,FALSE)</f>
        <v>0.26661000000000001</v>
      </c>
      <c r="M40" s="21"/>
      <c r="N40" s="23">
        <f t="shared" ref="N40:N41" si="123">K40+L40+M40</f>
        <v>1</v>
      </c>
      <c r="O40" s="26">
        <f>HLOOKUP(O5,Anlageg,160,FALSE)</f>
        <v>0.73338999999999999</v>
      </c>
      <c r="P40" s="26">
        <f>HLOOKUP(P6,Anlageg,161,FALSE)</f>
        <v>0.26661000000000001</v>
      </c>
      <c r="Q40" s="21"/>
      <c r="R40" s="23">
        <f t="shared" ref="R40:R41" si="124">O40+P40+Q40</f>
        <v>1</v>
      </c>
      <c r="S40" s="26">
        <f>HLOOKUP(S5,Anlageg,160,FALSE)</f>
        <v>0.73338999999999999</v>
      </c>
      <c r="T40" s="26">
        <f>HLOOKUP(T6,Anlageg,161,FALSE)</f>
        <v>0.26661000000000001</v>
      </c>
      <c r="U40" s="21"/>
      <c r="V40" s="23">
        <f t="shared" ref="V40:V41" si="125">S40+T40+U40</f>
        <v>1</v>
      </c>
      <c r="W40" s="26">
        <f>HLOOKUP(W5,Anlageg,160,FALSE)</f>
        <v>0.73338999999999999</v>
      </c>
      <c r="X40" s="26">
        <f>HLOOKUP(X6,Anlageg,161,FALSE)</f>
        <v>0.26661000000000001</v>
      </c>
      <c r="Y40" s="21"/>
      <c r="Z40" s="23">
        <f t="shared" ref="Z40:Z41" si="126">W40+X40+Y40</f>
        <v>1</v>
      </c>
      <c r="AA40" s="26">
        <f>HLOOKUP(AA5,Anlageg,160,FALSE)</f>
        <v>0.73338999999999999</v>
      </c>
      <c r="AB40" s="26">
        <f>HLOOKUP(AB6,Anlageg,161,FALSE)</f>
        <v>0.26661000000000001</v>
      </c>
      <c r="AC40" s="21"/>
      <c r="AD40" s="23">
        <f t="shared" ref="AD40:AD41" si="127">AA40+AB40+AC40</f>
        <v>1</v>
      </c>
      <c r="AE40" s="26">
        <f>HLOOKUP(AE5,Anlageg,160,FALSE)</f>
        <v>0.73338999999999999</v>
      </c>
      <c r="AF40" s="26">
        <f>HLOOKUP(AF6,Anlageg,161,FALSE)</f>
        <v>0.26661000000000001</v>
      </c>
      <c r="AG40" s="21"/>
      <c r="AH40" s="23">
        <f t="shared" ref="AH40:AH41" si="128">AE40+AF40+AG40</f>
        <v>1</v>
      </c>
      <c r="AI40" s="26">
        <f>HLOOKUP(AI5,Anlageg,160,FALSE)</f>
        <v>0.73338999999999999</v>
      </c>
      <c r="AJ40" s="26">
        <f>HLOOKUP(AJ6,Anlageg,161,FALSE)</f>
        <v>0.26661000000000001</v>
      </c>
      <c r="AK40" s="21"/>
      <c r="AL40" s="23">
        <f t="shared" ref="AL40:AL41" si="129">AI40+AJ40+AK40</f>
        <v>1</v>
      </c>
      <c r="AM40" s="26">
        <f>HLOOKUP(AM5,Anlageg,160,FALSE)</f>
        <v>0.74275999999999998</v>
      </c>
      <c r="AN40" s="26">
        <f>HLOOKUP(AN6,Anlageg,161,FALSE)</f>
        <v>0.25724000000000002</v>
      </c>
      <c r="AO40" s="21"/>
      <c r="AP40" s="23">
        <f t="shared" ref="AP40:AP41" si="130">AM40+AN40+AO40</f>
        <v>1</v>
      </c>
    </row>
    <row r="41" spans="1:42" x14ac:dyDescent="0.3">
      <c r="A41" s="19" t="s">
        <v>101</v>
      </c>
      <c r="B41" s="507" t="s">
        <v>102</v>
      </c>
      <c r="C41" s="508" t="s">
        <v>100</v>
      </c>
      <c r="D41" s="515">
        <v>37</v>
      </c>
      <c r="E41" s="515">
        <v>36</v>
      </c>
      <c r="F41" s="515">
        <v>35</v>
      </c>
      <c r="G41" s="26">
        <f>HLOOKUP(G5,Anlageg,166,FALSE)</f>
        <v>0.75944</v>
      </c>
      <c r="H41" s="26">
        <f>HLOOKUP(H6,Anlageg,167,FALSE)</f>
        <v>0.24056</v>
      </c>
      <c r="I41" s="21"/>
      <c r="J41" s="23">
        <f t="shared" si="99"/>
        <v>1</v>
      </c>
      <c r="K41" s="26">
        <f>HLOOKUP(K5,Anlageg,166,FALSE)</f>
        <v>0.76039000000000001</v>
      </c>
      <c r="L41" s="26">
        <f>HLOOKUP(L6,Anlageg,167,FALSE)</f>
        <v>0.23960999999999999</v>
      </c>
      <c r="M41" s="21"/>
      <c r="N41" s="23">
        <f t="shared" si="123"/>
        <v>1</v>
      </c>
      <c r="O41" s="26">
        <f>HLOOKUP(O5,Anlageg,166,FALSE)</f>
        <v>0.76141999999999999</v>
      </c>
      <c r="P41" s="26">
        <f>HLOOKUP(P6,Anlageg,167,FALSE)</f>
        <v>0.23857999999999999</v>
      </c>
      <c r="Q41" s="21"/>
      <c r="R41" s="23">
        <f t="shared" si="124"/>
        <v>1</v>
      </c>
      <c r="S41" s="26">
        <f>HLOOKUP(S5,Anlageg,166,FALSE)</f>
        <v>0.76253000000000004</v>
      </c>
      <c r="T41" s="26">
        <f>HLOOKUP(T6,Anlageg,167,FALSE)</f>
        <v>0.23746999999999999</v>
      </c>
      <c r="U41" s="21"/>
      <c r="V41" s="23">
        <f t="shared" si="125"/>
        <v>1</v>
      </c>
      <c r="W41" s="26">
        <f>HLOOKUP(W5,Anlageg,166,FALSE)</f>
        <v>0.76373000000000002</v>
      </c>
      <c r="X41" s="26">
        <f>HLOOKUP(X6,Anlageg,167,FALSE)</f>
        <v>0.23627000000000001</v>
      </c>
      <c r="Y41" s="21"/>
      <c r="Z41" s="23">
        <f t="shared" si="126"/>
        <v>1</v>
      </c>
      <c r="AA41" s="26">
        <f>HLOOKUP(AA5,Anlageg,166,FALSE)</f>
        <v>0.76504000000000005</v>
      </c>
      <c r="AB41" s="26">
        <f>HLOOKUP(AB6,Anlageg,167,FALSE)</f>
        <v>0.23496</v>
      </c>
      <c r="AC41" s="21"/>
      <c r="AD41" s="23">
        <f t="shared" si="127"/>
        <v>1</v>
      </c>
      <c r="AE41" s="26">
        <f>HLOOKUP(AE5,Anlageg,166,FALSE)</f>
        <v>0.76646000000000003</v>
      </c>
      <c r="AF41" s="26">
        <f>HLOOKUP(AF6,Anlageg,167,FALSE)</f>
        <v>0.23354</v>
      </c>
      <c r="AG41" s="21"/>
      <c r="AH41" s="23">
        <f t="shared" si="128"/>
        <v>1</v>
      </c>
      <c r="AI41" s="26">
        <f>HLOOKUP(AI5,Anlageg,166,FALSE)</f>
        <v>0.76802000000000004</v>
      </c>
      <c r="AJ41" s="26">
        <f>HLOOKUP(AJ6,Anlageg,167,FALSE)</f>
        <v>0.23197999999999999</v>
      </c>
      <c r="AK41" s="21"/>
      <c r="AL41" s="23">
        <f t="shared" si="129"/>
        <v>1</v>
      </c>
      <c r="AM41" s="26">
        <f>HLOOKUP(AM5,Anlageg,166,FALSE)</f>
        <v>0.76941000000000004</v>
      </c>
      <c r="AN41" s="26">
        <f>HLOOKUP(AN6,Anlageg,167,FALSE)</f>
        <v>0.23058999999999999</v>
      </c>
      <c r="AO41" s="21"/>
      <c r="AP41" s="23">
        <f t="shared" si="130"/>
        <v>1</v>
      </c>
    </row>
    <row r="42" spans="1:42" x14ac:dyDescent="0.3">
      <c r="A42" s="16" t="s">
        <v>103</v>
      </c>
      <c r="B42" s="17" t="s">
        <v>104</v>
      </c>
      <c r="C42" s="18"/>
      <c r="D42" s="515">
        <v>38</v>
      </c>
      <c r="E42" s="515">
        <v>37</v>
      </c>
      <c r="F42" s="515">
        <v>36</v>
      </c>
      <c r="G42" s="20"/>
      <c r="H42" s="21"/>
      <c r="I42" s="21"/>
      <c r="J42" s="22"/>
      <c r="K42" s="20"/>
      <c r="L42" s="21"/>
      <c r="M42" s="21"/>
      <c r="N42" s="22"/>
      <c r="O42" s="20"/>
      <c r="P42" s="21"/>
      <c r="Q42" s="21"/>
      <c r="R42" s="22"/>
      <c r="S42" s="20"/>
      <c r="T42" s="21"/>
      <c r="U42" s="21"/>
      <c r="V42" s="22"/>
      <c r="W42" s="20"/>
      <c r="X42" s="21"/>
      <c r="Y42" s="21"/>
      <c r="Z42" s="22"/>
      <c r="AA42" s="20"/>
      <c r="AB42" s="21"/>
      <c r="AC42" s="21"/>
      <c r="AD42" s="22"/>
      <c r="AE42" s="20"/>
      <c r="AF42" s="21"/>
      <c r="AG42" s="21"/>
      <c r="AH42" s="22"/>
      <c r="AI42" s="20"/>
      <c r="AJ42" s="21"/>
      <c r="AK42" s="21"/>
      <c r="AL42" s="22"/>
      <c r="AM42" s="20"/>
      <c r="AN42" s="21"/>
      <c r="AO42" s="21"/>
      <c r="AP42" s="22"/>
    </row>
    <row r="43" spans="1:42" x14ac:dyDescent="0.3">
      <c r="A43" s="19" t="s">
        <v>105</v>
      </c>
      <c r="B43" s="507" t="s">
        <v>106</v>
      </c>
      <c r="C43" s="508" t="s">
        <v>107</v>
      </c>
      <c r="D43" s="515">
        <v>39</v>
      </c>
      <c r="E43" s="515">
        <v>38</v>
      </c>
      <c r="F43" s="515">
        <v>37</v>
      </c>
      <c r="G43" s="514">
        <v>1</v>
      </c>
      <c r="H43" s="514"/>
      <c r="I43" s="514"/>
      <c r="J43" s="23">
        <f>G43+H43+I43</f>
        <v>1</v>
      </c>
      <c r="K43" s="514">
        <f>G43</f>
        <v>1</v>
      </c>
      <c r="L43" s="514">
        <f t="shared" ref="L43:M45" si="131">H43</f>
        <v>0</v>
      </c>
      <c r="M43" s="514">
        <f t="shared" si="131"/>
        <v>0</v>
      </c>
      <c r="N43" s="23">
        <f>K43+L43+M43</f>
        <v>1</v>
      </c>
      <c r="O43" s="514">
        <f>K43</f>
        <v>1</v>
      </c>
      <c r="P43" s="514">
        <f t="shared" ref="P43:P45" si="132">L43</f>
        <v>0</v>
      </c>
      <c r="Q43" s="514">
        <f t="shared" ref="Q43:Q45" si="133">M43</f>
        <v>0</v>
      </c>
      <c r="R43" s="23">
        <f>O43+P43+Q43</f>
        <v>1</v>
      </c>
      <c r="S43" s="514">
        <f>O43</f>
        <v>1</v>
      </c>
      <c r="T43" s="514">
        <f t="shared" ref="T43:T45" si="134">P43</f>
        <v>0</v>
      </c>
      <c r="U43" s="514">
        <f t="shared" ref="U43:U45" si="135">Q43</f>
        <v>0</v>
      </c>
      <c r="V43" s="23">
        <f>S43+T43+U43</f>
        <v>1</v>
      </c>
      <c r="W43" s="514">
        <f>S43</f>
        <v>1</v>
      </c>
      <c r="X43" s="514">
        <f t="shared" ref="X43:X45" si="136">T43</f>
        <v>0</v>
      </c>
      <c r="Y43" s="514">
        <f t="shared" ref="Y43:Y45" si="137">U43</f>
        <v>0</v>
      </c>
      <c r="Z43" s="23">
        <f>W43+X43+Y43</f>
        <v>1</v>
      </c>
      <c r="AA43" s="514">
        <f>W43</f>
        <v>1</v>
      </c>
      <c r="AB43" s="514">
        <f t="shared" ref="AB43:AB45" si="138">X43</f>
        <v>0</v>
      </c>
      <c r="AC43" s="514">
        <f t="shared" ref="AC43:AC45" si="139">Y43</f>
        <v>0</v>
      </c>
      <c r="AD43" s="23">
        <f>AA43+AB43+AC43</f>
        <v>1</v>
      </c>
      <c r="AE43" s="514">
        <f>AA43</f>
        <v>1</v>
      </c>
      <c r="AF43" s="514">
        <f t="shared" ref="AF43:AF45" si="140">AB43</f>
        <v>0</v>
      </c>
      <c r="AG43" s="514">
        <f t="shared" ref="AG43:AG45" si="141">AC43</f>
        <v>0</v>
      </c>
      <c r="AH43" s="23">
        <f>AE43+AF43+AG43</f>
        <v>1</v>
      </c>
      <c r="AI43" s="514">
        <f>AE43</f>
        <v>1</v>
      </c>
      <c r="AJ43" s="514">
        <f t="shared" ref="AJ43:AJ45" si="142">AF43</f>
        <v>0</v>
      </c>
      <c r="AK43" s="514">
        <f t="shared" ref="AK43:AK45" si="143">AG43</f>
        <v>0</v>
      </c>
      <c r="AL43" s="23">
        <f>AI43+AJ43+AK43</f>
        <v>1</v>
      </c>
      <c r="AM43" s="514">
        <f>AI43</f>
        <v>1</v>
      </c>
      <c r="AN43" s="514">
        <f t="shared" ref="AN43:AN45" si="144">AJ43</f>
        <v>0</v>
      </c>
      <c r="AO43" s="514">
        <f t="shared" ref="AO43:AO45" si="145">AK43</f>
        <v>0</v>
      </c>
      <c r="AP43" s="23">
        <f>AM43+AN43+AO43</f>
        <v>1</v>
      </c>
    </row>
    <row r="44" spans="1:42" x14ac:dyDescent="0.3">
      <c r="A44" s="19" t="s">
        <v>108</v>
      </c>
      <c r="B44" s="507" t="s">
        <v>109</v>
      </c>
      <c r="C44" s="508" t="s">
        <v>110</v>
      </c>
      <c r="D44" s="515">
        <v>40</v>
      </c>
      <c r="E44" s="515">
        <v>39</v>
      </c>
      <c r="F44" s="515">
        <v>38</v>
      </c>
      <c r="G44" s="514">
        <v>0.5</v>
      </c>
      <c r="H44" s="514">
        <v>0.5</v>
      </c>
      <c r="I44" s="514"/>
      <c r="J44" s="23">
        <f>G44+H44+I44</f>
        <v>1</v>
      </c>
      <c r="K44" s="514">
        <f t="shared" ref="K44:K45" si="146">G44</f>
        <v>0.5</v>
      </c>
      <c r="L44" s="514">
        <f t="shared" si="131"/>
        <v>0.5</v>
      </c>
      <c r="M44" s="514">
        <f t="shared" si="131"/>
        <v>0</v>
      </c>
      <c r="N44" s="23">
        <f>K44+L44+M44</f>
        <v>1</v>
      </c>
      <c r="O44" s="514">
        <f t="shared" ref="O44:O45" si="147">K44</f>
        <v>0.5</v>
      </c>
      <c r="P44" s="514">
        <f t="shared" si="132"/>
        <v>0.5</v>
      </c>
      <c r="Q44" s="514">
        <f t="shared" si="133"/>
        <v>0</v>
      </c>
      <c r="R44" s="23">
        <f>O44+P44+Q44</f>
        <v>1</v>
      </c>
      <c r="S44" s="514">
        <f t="shared" ref="S44:S45" si="148">O44</f>
        <v>0.5</v>
      </c>
      <c r="T44" s="514">
        <f t="shared" si="134"/>
        <v>0.5</v>
      </c>
      <c r="U44" s="514">
        <f t="shared" si="135"/>
        <v>0</v>
      </c>
      <c r="V44" s="23">
        <f>S44+T44+U44</f>
        <v>1</v>
      </c>
      <c r="W44" s="514">
        <f t="shared" ref="W44:W45" si="149">S44</f>
        <v>0.5</v>
      </c>
      <c r="X44" s="514">
        <f t="shared" si="136"/>
        <v>0.5</v>
      </c>
      <c r="Y44" s="514">
        <f t="shared" si="137"/>
        <v>0</v>
      </c>
      <c r="Z44" s="23">
        <f>W44+X44+Y44</f>
        <v>1</v>
      </c>
      <c r="AA44" s="514">
        <f t="shared" ref="AA44:AA45" si="150">W44</f>
        <v>0.5</v>
      </c>
      <c r="AB44" s="514">
        <f t="shared" si="138"/>
        <v>0.5</v>
      </c>
      <c r="AC44" s="514">
        <f t="shared" si="139"/>
        <v>0</v>
      </c>
      <c r="AD44" s="23">
        <f>AA44+AB44+AC44</f>
        <v>1</v>
      </c>
      <c r="AE44" s="514">
        <f t="shared" ref="AE44:AE45" si="151">AA44</f>
        <v>0.5</v>
      </c>
      <c r="AF44" s="514">
        <f t="shared" si="140"/>
        <v>0.5</v>
      </c>
      <c r="AG44" s="514">
        <f t="shared" si="141"/>
        <v>0</v>
      </c>
      <c r="AH44" s="23">
        <f>AE44+AF44+AG44</f>
        <v>1</v>
      </c>
      <c r="AI44" s="514">
        <f t="shared" ref="AI44:AI45" si="152">AE44</f>
        <v>0.5</v>
      </c>
      <c r="AJ44" s="514">
        <f t="shared" si="142"/>
        <v>0.5</v>
      </c>
      <c r="AK44" s="514">
        <f t="shared" si="143"/>
        <v>0</v>
      </c>
      <c r="AL44" s="23">
        <f>AI44+AJ44+AK44</f>
        <v>1</v>
      </c>
      <c r="AM44" s="514">
        <f t="shared" ref="AM44:AM45" si="153">AI44</f>
        <v>0.5</v>
      </c>
      <c r="AN44" s="514">
        <f t="shared" si="144"/>
        <v>0.5</v>
      </c>
      <c r="AO44" s="514">
        <f t="shared" si="145"/>
        <v>0</v>
      </c>
      <c r="AP44" s="23">
        <f>AM44+AN44+AO44</f>
        <v>1</v>
      </c>
    </row>
    <row r="45" spans="1:42" x14ac:dyDescent="0.3">
      <c r="A45" s="19" t="s">
        <v>111</v>
      </c>
      <c r="B45" s="507" t="s">
        <v>112</v>
      </c>
      <c r="C45" s="25" t="s">
        <v>113</v>
      </c>
      <c r="D45" s="515">
        <v>41</v>
      </c>
      <c r="E45" s="515">
        <v>40</v>
      </c>
      <c r="F45" s="515">
        <v>39</v>
      </c>
      <c r="G45" s="514"/>
      <c r="H45" s="514">
        <v>1</v>
      </c>
      <c r="I45" s="514"/>
      <c r="J45" s="23">
        <f>G45+H45+I45</f>
        <v>1</v>
      </c>
      <c r="K45" s="514">
        <f t="shared" si="146"/>
        <v>0</v>
      </c>
      <c r="L45" s="514">
        <f t="shared" si="131"/>
        <v>1</v>
      </c>
      <c r="M45" s="514">
        <f t="shared" si="131"/>
        <v>0</v>
      </c>
      <c r="N45" s="23">
        <f>K45+L45+M45</f>
        <v>1</v>
      </c>
      <c r="O45" s="514">
        <f t="shared" si="147"/>
        <v>0</v>
      </c>
      <c r="P45" s="514">
        <f t="shared" si="132"/>
        <v>1</v>
      </c>
      <c r="Q45" s="514">
        <f t="shared" si="133"/>
        <v>0</v>
      </c>
      <c r="R45" s="23">
        <f>O45+P45+Q45</f>
        <v>1</v>
      </c>
      <c r="S45" s="514">
        <f t="shared" si="148"/>
        <v>0</v>
      </c>
      <c r="T45" s="514">
        <f t="shared" si="134"/>
        <v>1</v>
      </c>
      <c r="U45" s="514">
        <f t="shared" si="135"/>
        <v>0</v>
      </c>
      <c r="V45" s="23">
        <f>S45+T45+U45</f>
        <v>1</v>
      </c>
      <c r="W45" s="514">
        <f t="shared" si="149"/>
        <v>0</v>
      </c>
      <c r="X45" s="514">
        <f t="shared" si="136"/>
        <v>1</v>
      </c>
      <c r="Y45" s="514">
        <f t="shared" si="137"/>
        <v>0</v>
      </c>
      <c r="Z45" s="23">
        <f>W45+X45+Y45</f>
        <v>1</v>
      </c>
      <c r="AA45" s="514">
        <f t="shared" si="150"/>
        <v>0</v>
      </c>
      <c r="AB45" s="514">
        <f t="shared" si="138"/>
        <v>1</v>
      </c>
      <c r="AC45" s="514">
        <f t="shared" si="139"/>
        <v>0</v>
      </c>
      <c r="AD45" s="23">
        <f>AA45+AB45+AC45</f>
        <v>1</v>
      </c>
      <c r="AE45" s="514">
        <f t="shared" si="151"/>
        <v>0</v>
      </c>
      <c r="AF45" s="514">
        <f t="shared" si="140"/>
        <v>1</v>
      </c>
      <c r="AG45" s="514">
        <f t="shared" si="141"/>
        <v>0</v>
      </c>
      <c r="AH45" s="23">
        <f>AE45+AF45+AG45</f>
        <v>1</v>
      </c>
      <c r="AI45" s="514">
        <f t="shared" si="152"/>
        <v>0</v>
      </c>
      <c r="AJ45" s="514">
        <f t="shared" si="142"/>
        <v>1</v>
      </c>
      <c r="AK45" s="514">
        <f t="shared" si="143"/>
        <v>0</v>
      </c>
      <c r="AL45" s="23">
        <f>AI45+AJ45+AK45</f>
        <v>1</v>
      </c>
      <c r="AM45" s="514">
        <f t="shared" si="153"/>
        <v>0</v>
      </c>
      <c r="AN45" s="514">
        <f t="shared" si="144"/>
        <v>1</v>
      </c>
      <c r="AO45" s="514">
        <f t="shared" si="145"/>
        <v>0</v>
      </c>
      <c r="AP45" s="23">
        <f>AM45+AN45+AO45</f>
        <v>1</v>
      </c>
    </row>
    <row r="46" spans="1:42" x14ac:dyDescent="0.3">
      <c r="A46" s="19" t="s">
        <v>114</v>
      </c>
      <c r="B46" s="507" t="s">
        <v>115</v>
      </c>
      <c r="C46" s="25" t="s">
        <v>116</v>
      </c>
      <c r="D46" s="515">
        <v>42</v>
      </c>
      <c r="E46" s="515">
        <v>41</v>
      </c>
      <c r="F46" s="515">
        <v>40</v>
      </c>
      <c r="G46" s="26">
        <f>HLOOKUP(G5,Anlageg,154,FALSE)</f>
        <v>0</v>
      </c>
      <c r="H46" s="26">
        <f>HLOOKUP(H6,Anlageg,155,FALSE)</f>
        <v>0</v>
      </c>
      <c r="I46" s="21"/>
      <c r="J46" s="27">
        <f>G46+H46</f>
        <v>0</v>
      </c>
      <c r="K46" s="26">
        <f>HLOOKUP(K5,Anlageg,154,FALSE)</f>
        <v>0</v>
      </c>
      <c r="L46" s="26">
        <f>HLOOKUP(L6,Anlageg,155,FALSE)</f>
        <v>0</v>
      </c>
      <c r="M46" s="21"/>
      <c r="N46" s="27">
        <f>K46+L46</f>
        <v>0</v>
      </c>
      <c r="O46" s="26">
        <f>HLOOKUP(O5,Anlageg,154,FALSE)</f>
        <v>0</v>
      </c>
      <c r="P46" s="26">
        <f>HLOOKUP(P6,Anlageg,155,FALSE)</f>
        <v>0</v>
      </c>
      <c r="Q46" s="21"/>
      <c r="R46" s="27">
        <f>O46+P46</f>
        <v>0</v>
      </c>
      <c r="S46" s="26">
        <f>HLOOKUP(S5,Anlageg,154,FALSE)</f>
        <v>0</v>
      </c>
      <c r="T46" s="26">
        <f>HLOOKUP(T6,Anlageg,155,FALSE)</f>
        <v>0</v>
      </c>
      <c r="U46" s="21"/>
      <c r="V46" s="27">
        <f>S46+T46</f>
        <v>0</v>
      </c>
      <c r="W46" s="26">
        <f>HLOOKUP(W5,Anlageg,154,FALSE)</f>
        <v>0</v>
      </c>
      <c r="X46" s="26">
        <f>HLOOKUP(X6,Anlageg,155,FALSE)</f>
        <v>0</v>
      </c>
      <c r="Y46" s="21"/>
      <c r="Z46" s="27">
        <f>W46+X46</f>
        <v>0</v>
      </c>
      <c r="AA46" s="26">
        <f>HLOOKUP(AA5,Anlageg,154,FALSE)</f>
        <v>0</v>
      </c>
      <c r="AB46" s="26">
        <f>HLOOKUP(AB6,Anlageg,155,FALSE)</f>
        <v>0</v>
      </c>
      <c r="AC46" s="21"/>
      <c r="AD46" s="27">
        <f>AA46+AB46</f>
        <v>0</v>
      </c>
      <c r="AE46" s="26">
        <f>HLOOKUP(AE5,Anlageg,154,FALSE)</f>
        <v>0</v>
      </c>
      <c r="AF46" s="26">
        <f>HLOOKUP(AF6,Anlageg,155,FALSE)</f>
        <v>0</v>
      </c>
      <c r="AG46" s="21"/>
      <c r="AH46" s="27">
        <f>AE46+AF46</f>
        <v>0</v>
      </c>
      <c r="AI46" s="26">
        <f>HLOOKUP(AI5,Anlageg,154,FALSE)</f>
        <v>0</v>
      </c>
      <c r="AJ46" s="26">
        <f>HLOOKUP(AJ6,Anlageg,155,FALSE)</f>
        <v>0</v>
      </c>
      <c r="AK46" s="21"/>
      <c r="AL46" s="27">
        <f>AI46+AJ46</f>
        <v>0</v>
      </c>
      <c r="AM46" s="26">
        <f>HLOOKUP(AM5,Anlageg,154,FALSE)</f>
        <v>0</v>
      </c>
      <c r="AN46" s="26">
        <f>HLOOKUP(AN6,Anlageg,155,FALSE)</f>
        <v>0</v>
      </c>
      <c r="AO46" s="21"/>
      <c r="AP46" s="27">
        <f>AM46+AN46</f>
        <v>0</v>
      </c>
    </row>
    <row r="47" spans="1:42" x14ac:dyDescent="0.3">
      <c r="A47" s="19" t="s">
        <v>117</v>
      </c>
      <c r="B47" s="507" t="s">
        <v>118</v>
      </c>
      <c r="C47" s="25" t="s">
        <v>119</v>
      </c>
      <c r="D47" s="515">
        <v>43</v>
      </c>
      <c r="E47" s="515">
        <v>42</v>
      </c>
      <c r="F47" s="515">
        <v>41</v>
      </c>
      <c r="G47" s="26">
        <f>HLOOKUP(G5,Anlageg,160,FALSE)</f>
        <v>0.73338999999999999</v>
      </c>
      <c r="H47" s="26">
        <f>HLOOKUP(H6,Anlageg,161,FALSE)</f>
        <v>0.26661000000000001</v>
      </c>
      <c r="I47" s="21"/>
      <c r="J47" s="27">
        <f>G47+H47</f>
        <v>1</v>
      </c>
      <c r="K47" s="26">
        <f>HLOOKUP(K5,Anlageg,160,FALSE)</f>
        <v>0.73338999999999999</v>
      </c>
      <c r="L47" s="26">
        <f>HLOOKUP(L6,Anlageg,161,FALSE)</f>
        <v>0.26661000000000001</v>
      </c>
      <c r="M47" s="21"/>
      <c r="N47" s="27">
        <f>K47+L47</f>
        <v>1</v>
      </c>
      <c r="O47" s="26">
        <f>HLOOKUP(O5,Anlageg,160,FALSE)</f>
        <v>0.73338999999999999</v>
      </c>
      <c r="P47" s="26">
        <f>HLOOKUP(P6,Anlageg,161,FALSE)</f>
        <v>0.26661000000000001</v>
      </c>
      <c r="Q47" s="21"/>
      <c r="R47" s="27">
        <f>O47+P47</f>
        <v>1</v>
      </c>
      <c r="S47" s="26">
        <f>HLOOKUP(S5,Anlageg,160,FALSE)</f>
        <v>0.73338999999999999</v>
      </c>
      <c r="T47" s="26">
        <f>HLOOKUP(T6,Anlageg,161,FALSE)</f>
        <v>0.26661000000000001</v>
      </c>
      <c r="U47" s="21"/>
      <c r="V47" s="27">
        <f>S47+T47</f>
        <v>1</v>
      </c>
      <c r="W47" s="26">
        <f>HLOOKUP(W5,Anlageg,160,FALSE)</f>
        <v>0.73338999999999999</v>
      </c>
      <c r="X47" s="26">
        <f>HLOOKUP(X6,Anlageg,161,FALSE)</f>
        <v>0.26661000000000001</v>
      </c>
      <c r="Y47" s="21"/>
      <c r="Z47" s="27">
        <f>W47+X47</f>
        <v>1</v>
      </c>
      <c r="AA47" s="26">
        <f>HLOOKUP(AA5,Anlageg,160,FALSE)</f>
        <v>0.73338999999999999</v>
      </c>
      <c r="AB47" s="26">
        <f>HLOOKUP(AB6,Anlageg,161,FALSE)</f>
        <v>0.26661000000000001</v>
      </c>
      <c r="AC47" s="21"/>
      <c r="AD47" s="27">
        <f>AA47+AB47</f>
        <v>1</v>
      </c>
      <c r="AE47" s="26">
        <f>HLOOKUP(AE5,Anlageg,160,FALSE)</f>
        <v>0.73338999999999999</v>
      </c>
      <c r="AF47" s="26">
        <f>HLOOKUP(AF6,Anlageg,161,FALSE)</f>
        <v>0.26661000000000001</v>
      </c>
      <c r="AG47" s="21"/>
      <c r="AH47" s="27">
        <f>AE47+AF47</f>
        <v>1</v>
      </c>
      <c r="AI47" s="26">
        <f>HLOOKUP(AI5,Anlageg,160,FALSE)</f>
        <v>0.73338999999999999</v>
      </c>
      <c r="AJ47" s="26">
        <f>HLOOKUP(AJ6,Anlageg,161,FALSE)</f>
        <v>0.26661000000000001</v>
      </c>
      <c r="AK47" s="21"/>
      <c r="AL47" s="27">
        <f>AI47+AJ47</f>
        <v>1</v>
      </c>
      <c r="AM47" s="26">
        <f>HLOOKUP(AM5,Anlageg,160,FALSE)</f>
        <v>0.74275999999999998</v>
      </c>
      <c r="AN47" s="26">
        <f>HLOOKUP(AN6,Anlageg,161,FALSE)</f>
        <v>0.25724000000000002</v>
      </c>
      <c r="AO47" s="21"/>
      <c r="AP47" s="27">
        <f>AM47+AN47</f>
        <v>1</v>
      </c>
    </row>
    <row r="48" spans="1:42" x14ac:dyDescent="0.3">
      <c r="A48" s="19" t="s">
        <v>120</v>
      </c>
      <c r="B48" s="507" t="s">
        <v>121</v>
      </c>
      <c r="C48" s="25" t="s">
        <v>119</v>
      </c>
      <c r="D48" s="515">
        <v>44</v>
      </c>
      <c r="E48" s="515">
        <v>43</v>
      </c>
      <c r="F48" s="515">
        <v>42</v>
      </c>
      <c r="G48" s="26">
        <f>HLOOKUP(G5,Anlageg,166,FALSE)</f>
        <v>0.75944</v>
      </c>
      <c r="H48" s="26">
        <f>HLOOKUP(H6,Anlageg,167,FALSE)</f>
        <v>0.24056</v>
      </c>
      <c r="I48" s="21"/>
      <c r="J48" s="27">
        <f>G48+H48</f>
        <v>1</v>
      </c>
      <c r="K48" s="26">
        <f>HLOOKUP(K5,Anlageg,166,FALSE)</f>
        <v>0.76039000000000001</v>
      </c>
      <c r="L48" s="26">
        <f>HLOOKUP(L6,Anlageg,167,FALSE)</f>
        <v>0.23960999999999999</v>
      </c>
      <c r="M48" s="21"/>
      <c r="N48" s="27">
        <f>K48+L48</f>
        <v>1</v>
      </c>
      <c r="O48" s="26">
        <f>HLOOKUP(O5,Anlageg,166,FALSE)</f>
        <v>0.76141999999999999</v>
      </c>
      <c r="P48" s="26">
        <f>HLOOKUP(P6,Anlageg,167,FALSE)</f>
        <v>0.23857999999999999</v>
      </c>
      <c r="Q48" s="21"/>
      <c r="R48" s="27">
        <f>O48+P48</f>
        <v>1</v>
      </c>
      <c r="S48" s="26">
        <f>HLOOKUP(S5,Anlageg,166,FALSE)</f>
        <v>0.76253000000000004</v>
      </c>
      <c r="T48" s="26">
        <f>HLOOKUP(T6,Anlageg,167,FALSE)</f>
        <v>0.23746999999999999</v>
      </c>
      <c r="U48" s="21"/>
      <c r="V48" s="27">
        <f>S48+T48</f>
        <v>1</v>
      </c>
      <c r="W48" s="26">
        <f>HLOOKUP(W5,Anlageg,166,FALSE)</f>
        <v>0.76373000000000002</v>
      </c>
      <c r="X48" s="26">
        <f>HLOOKUP(X6,Anlageg,167,FALSE)</f>
        <v>0.23627000000000001</v>
      </c>
      <c r="Y48" s="21"/>
      <c r="Z48" s="27">
        <f>W48+X48</f>
        <v>1</v>
      </c>
      <c r="AA48" s="26">
        <f>HLOOKUP(AA5,Anlageg,166,FALSE)</f>
        <v>0.76504000000000005</v>
      </c>
      <c r="AB48" s="26">
        <f>HLOOKUP(AB6,Anlageg,167,FALSE)</f>
        <v>0.23496</v>
      </c>
      <c r="AC48" s="21"/>
      <c r="AD48" s="27">
        <f>AA48+AB48</f>
        <v>1</v>
      </c>
      <c r="AE48" s="26">
        <f>HLOOKUP(AE5,Anlageg,166,FALSE)</f>
        <v>0.76646000000000003</v>
      </c>
      <c r="AF48" s="26">
        <f>HLOOKUP(AF6,Anlageg,167,FALSE)</f>
        <v>0.23354</v>
      </c>
      <c r="AG48" s="21"/>
      <c r="AH48" s="27">
        <f>AE48+AF48</f>
        <v>1</v>
      </c>
      <c r="AI48" s="26">
        <f>HLOOKUP(AI5,Anlageg,166,FALSE)</f>
        <v>0.76802000000000004</v>
      </c>
      <c r="AJ48" s="26">
        <f>HLOOKUP(AJ6,Anlageg,167,FALSE)</f>
        <v>0.23197999999999999</v>
      </c>
      <c r="AK48" s="21"/>
      <c r="AL48" s="27">
        <f>AI48+AJ48</f>
        <v>1</v>
      </c>
      <c r="AM48" s="26">
        <f>HLOOKUP(AM5,Anlageg,166,FALSE)</f>
        <v>0.76941000000000004</v>
      </c>
      <c r="AN48" s="26">
        <f>HLOOKUP(AN6,Anlageg,167,FALSE)</f>
        <v>0.23058999999999999</v>
      </c>
      <c r="AO48" s="21"/>
      <c r="AP48" s="27">
        <f>AM48+AN48</f>
        <v>1</v>
      </c>
    </row>
    <row r="49" spans="1:42" x14ac:dyDescent="0.3">
      <c r="A49" s="16" t="s">
        <v>122</v>
      </c>
      <c r="B49" s="17" t="s">
        <v>123</v>
      </c>
      <c r="C49" s="18"/>
      <c r="D49" s="515">
        <v>45</v>
      </c>
      <c r="E49" s="515">
        <v>44</v>
      </c>
      <c r="F49" s="515">
        <v>43</v>
      </c>
      <c r="G49" s="20"/>
      <c r="H49" s="21"/>
      <c r="I49" s="21"/>
      <c r="J49" s="22"/>
      <c r="K49" s="20"/>
      <c r="L49" s="21"/>
      <c r="M49" s="21"/>
      <c r="N49" s="22"/>
      <c r="O49" s="20"/>
      <c r="P49" s="21"/>
      <c r="Q49" s="21"/>
      <c r="R49" s="22"/>
      <c r="S49" s="20"/>
      <c r="T49" s="21"/>
      <c r="U49" s="21"/>
      <c r="V49" s="22"/>
      <c r="W49" s="20"/>
      <c r="X49" s="21"/>
      <c r="Y49" s="21"/>
      <c r="Z49" s="22"/>
      <c r="AA49" s="20"/>
      <c r="AB49" s="21"/>
      <c r="AC49" s="21"/>
      <c r="AD49" s="22"/>
      <c r="AE49" s="20"/>
      <c r="AF49" s="21"/>
      <c r="AG49" s="21"/>
      <c r="AH49" s="22"/>
      <c r="AI49" s="20"/>
      <c r="AJ49" s="21"/>
      <c r="AK49" s="21"/>
      <c r="AL49" s="22"/>
      <c r="AM49" s="20"/>
      <c r="AN49" s="21"/>
      <c r="AO49" s="21"/>
      <c r="AP49" s="22"/>
    </row>
    <row r="50" spans="1:42" ht="12.75" customHeight="1" x14ac:dyDescent="0.3">
      <c r="A50" s="19" t="s">
        <v>124</v>
      </c>
      <c r="B50" s="511" t="s">
        <v>125</v>
      </c>
      <c r="C50" s="512" t="s">
        <v>126</v>
      </c>
      <c r="D50" s="515">
        <v>46</v>
      </c>
      <c r="E50" s="515">
        <v>45</v>
      </c>
      <c r="F50" s="515">
        <v>44</v>
      </c>
      <c r="G50" s="514">
        <v>1</v>
      </c>
      <c r="H50" s="514"/>
      <c r="I50" s="514"/>
      <c r="J50" s="23">
        <f>G50+H50+I50</f>
        <v>1</v>
      </c>
      <c r="K50" s="514">
        <f>G50</f>
        <v>1</v>
      </c>
      <c r="L50" s="514">
        <f t="shared" ref="L50:M53" si="154">H50</f>
        <v>0</v>
      </c>
      <c r="M50" s="514">
        <f t="shared" si="154"/>
        <v>0</v>
      </c>
      <c r="N50" s="23">
        <f>K50+L50+M50</f>
        <v>1</v>
      </c>
      <c r="O50" s="514">
        <f>K50</f>
        <v>1</v>
      </c>
      <c r="P50" s="514">
        <f t="shared" ref="P50:P53" si="155">L50</f>
        <v>0</v>
      </c>
      <c r="Q50" s="514">
        <f t="shared" ref="Q50:Q53" si="156">M50</f>
        <v>0</v>
      </c>
      <c r="R50" s="23">
        <f>O50+P50+Q50</f>
        <v>1</v>
      </c>
      <c r="S50" s="514">
        <f>O50</f>
        <v>1</v>
      </c>
      <c r="T50" s="514">
        <f t="shared" ref="T50:T53" si="157">P50</f>
        <v>0</v>
      </c>
      <c r="U50" s="514">
        <f t="shared" ref="U50:U53" si="158">Q50</f>
        <v>0</v>
      </c>
      <c r="V50" s="23">
        <f>S50+T50+U50</f>
        <v>1</v>
      </c>
      <c r="W50" s="514">
        <f>S50</f>
        <v>1</v>
      </c>
      <c r="X50" s="514">
        <f t="shared" ref="X50:X53" si="159">T50</f>
        <v>0</v>
      </c>
      <c r="Y50" s="514">
        <f t="shared" ref="Y50:Y53" si="160">U50</f>
        <v>0</v>
      </c>
      <c r="Z50" s="23">
        <f>W50+X50+Y50</f>
        <v>1</v>
      </c>
      <c r="AA50" s="514">
        <f>W50</f>
        <v>1</v>
      </c>
      <c r="AB50" s="514">
        <f t="shared" ref="AB50:AB53" si="161">X50</f>
        <v>0</v>
      </c>
      <c r="AC50" s="514">
        <f t="shared" ref="AC50:AC53" si="162">Y50</f>
        <v>0</v>
      </c>
      <c r="AD50" s="23">
        <f>AA50+AB50+AC50</f>
        <v>1</v>
      </c>
      <c r="AE50" s="514">
        <f>AA50</f>
        <v>1</v>
      </c>
      <c r="AF50" s="514">
        <f t="shared" ref="AF50:AF53" si="163">AB50</f>
        <v>0</v>
      </c>
      <c r="AG50" s="514">
        <f t="shared" ref="AG50:AG53" si="164">AC50</f>
        <v>0</v>
      </c>
      <c r="AH50" s="23">
        <f>AE50+AF50+AG50</f>
        <v>1</v>
      </c>
      <c r="AI50" s="514">
        <f>AE50</f>
        <v>1</v>
      </c>
      <c r="AJ50" s="514">
        <f t="shared" ref="AJ50:AJ53" si="165">AF50</f>
        <v>0</v>
      </c>
      <c r="AK50" s="514">
        <f t="shared" ref="AK50:AK53" si="166">AG50</f>
        <v>0</v>
      </c>
      <c r="AL50" s="23">
        <f>AI50+AJ50+AK50</f>
        <v>1</v>
      </c>
      <c r="AM50" s="514">
        <f>AI50</f>
        <v>1</v>
      </c>
      <c r="AN50" s="514">
        <f t="shared" ref="AN50:AN53" si="167">AJ50</f>
        <v>0</v>
      </c>
      <c r="AO50" s="514">
        <f t="shared" ref="AO50:AO53" si="168">AK50</f>
        <v>0</v>
      </c>
      <c r="AP50" s="23">
        <f>AM50+AN50+AO50</f>
        <v>1</v>
      </c>
    </row>
    <row r="51" spans="1:42" x14ac:dyDescent="0.3">
      <c r="A51" s="19" t="s">
        <v>127</v>
      </c>
      <c r="B51" s="511" t="s">
        <v>128</v>
      </c>
      <c r="C51" s="512" t="s">
        <v>129</v>
      </c>
      <c r="D51" s="515">
        <v>47</v>
      </c>
      <c r="E51" s="515">
        <v>46</v>
      </c>
      <c r="F51" s="515">
        <v>45</v>
      </c>
      <c r="G51" s="514">
        <v>0.5</v>
      </c>
      <c r="H51" s="514">
        <v>0.25</v>
      </c>
      <c r="I51" s="514">
        <v>0.25</v>
      </c>
      <c r="J51" s="23">
        <f>G51+H51+I51</f>
        <v>1</v>
      </c>
      <c r="K51" s="514">
        <f t="shared" ref="K51:K53" si="169">G51</f>
        <v>0.5</v>
      </c>
      <c r="L51" s="514">
        <f t="shared" si="154"/>
        <v>0.25</v>
      </c>
      <c r="M51" s="514">
        <f t="shared" si="154"/>
        <v>0.25</v>
      </c>
      <c r="N51" s="23">
        <f>K51+L51+M51</f>
        <v>1</v>
      </c>
      <c r="O51" s="514">
        <f t="shared" ref="O51:O53" si="170">K51</f>
        <v>0.5</v>
      </c>
      <c r="P51" s="514">
        <f t="shared" si="155"/>
        <v>0.25</v>
      </c>
      <c r="Q51" s="514">
        <f t="shared" si="156"/>
        <v>0.25</v>
      </c>
      <c r="R51" s="23">
        <f>O51+P51+Q51</f>
        <v>1</v>
      </c>
      <c r="S51" s="514">
        <f t="shared" ref="S51:S53" si="171">O51</f>
        <v>0.5</v>
      </c>
      <c r="T51" s="514">
        <f t="shared" si="157"/>
        <v>0.25</v>
      </c>
      <c r="U51" s="514">
        <f t="shared" si="158"/>
        <v>0.25</v>
      </c>
      <c r="V51" s="23">
        <f>S51+T51+U51</f>
        <v>1</v>
      </c>
      <c r="W51" s="514">
        <f t="shared" ref="W51:W53" si="172">S51</f>
        <v>0.5</v>
      </c>
      <c r="X51" s="514">
        <f t="shared" si="159"/>
        <v>0.25</v>
      </c>
      <c r="Y51" s="514">
        <f t="shared" si="160"/>
        <v>0.25</v>
      </c>
      <c r="Z51" s="23">
        <f>W51+X51+Y51</f>
        <v>1</v>
      </c>
      <c r="AA51" s="514">
        <f t="shared" ref="AA51:AA53" si="173">W51</f>
        <v>0.5</v>
      </c>
      <c r="AB51" s="514">
        <f t="shared" si="161"/>
        <v>0.25</v>
      </c>
      <c r="AC51" s="514">
        <f t="shared" si="162"/>
        <v>0.25</v>
      </c>
      <c r="AD51" s="23">
        <f>AA51+AB51+AC51</f>
        <v>1</v>
      </c>
      <c r="AE51" s="514">
        <f t="shared" ref="AE51:AE53" si="174">AA51</f>
        <v>0.5</v>
      </c>
      <c r="AF51" s="514">
        <f t="shared" si="163"/>
        <v>0.25</v>
      </c>
      <c r="AG51" s="514">
        <f t="shared" si="164"/>
        <v>0.25</v>
      </c>
      <c r="AH51" s="23">
        <f>AE51+AF51+AG51</f>
        <v>1</v>
      </c>
      <c r="AI51" s="514">
        <f t="shared" ref="AI51:AI53" si="175">AE51</f>
        <v>0.5</v>
      </c>
      <c r="AJ51" s="514">
        <f t="shared" si="165"/>
        <v>0.25</v>
      </c>
      <c r="AK51" s="514">
        <f t="shared" si="166"/>
        <v>0.25</v>
      </c>
      <c r="AL51" s="23">
        <f>AI51+AJ51+AK51</f>
        <v>1</v>
      </c>
      <c r="AM51" s="514">
        <f t="shared" ref="AM51:AM53" si="176">AI51</f>
        <v>0.5</v>
      </c>
      <c r="AN51" s="514">
        <f t="shared" si="167"/>
        <v>0.25</v>
      </c>
      <c r="AO51" s="514">
        <f t="shared" si="168"/>
        <v>0.25</v>
      </c>
      <c r="AP51" s="23">
        <f>AM51+AN51+AO51</f>
        <v>1</v>
      </c>
    </row>
    <row r="52" spans="1:42" x14ac:dyDescent="0.3">
      <c r="A52" s="19" t="s">
        <v>130</v>
      </c>
      <c r="B52" s="511" t="s">
        <v>131</v>
      </c>
      <c r="C52" s="25" t="s">
        <v>132</v>
      </c>
      <c r="D52" s="515">
        <v>48</v>
      </c>
      <c r="E52" s="515">
        <v>47</v>
      </c>
      <c r="F52" s="515">
        <v>46</v>
      </c>
      <c r="G52" s="514"/>
      <c r="H52" s="514">
        <v>0.5</v>
      </c>
      <c r="I52" s="514">
        <v>0.5</v>
      </c>
      <c r="J52" s="23">
        <f>G52+H52+I52</f>
        <v>1</v>
      </c>
      <c r="K52" s="514">
        <f t="shared" si="169"/>
        <v>0</v>
      </c>
      <c r="L52" s="514">
        <f t="shared" si="154"/>
        <v>0.5</v>
      </c>
      <c r="M52" s="514">
        <f t="shared" si="154"/>
        <v>0.5</v>
      </c>
      <c r="N52" s="23">
        <f>K52+L52+M52</f>
        <v>1</v>
      </c>
      <c r="O52" s="514">
        <f t="shared" si="170"/>
        <v>0</v>
      </c>
      <c r="P52" s="514">
        <f t="shared" si="155"/>
        <v>0.5</v>
      </c>
      <c r="Q52" s="514">
        <f t="shared" si="156"/>
        <v>0.5</v>
      </c>
      <c r="R52" s="23">
        <f>O52+P52+Q52</f>
        <v>1</v>
      </c>
      <c r="S52" s="514">
        <f t="shared" si="171"/>
        <v>0</v>
      </c>
      <c r="T52" s="514">
        <f t="shared" si="157"/>
        <v>0.5</v>
      </c>
      <c r="U52" s="514">
        <f t="shared" si="158"/>
        <v>0.5</v>
      </c>
      <c r="V52" s="23">
        <f>S52+T52+U52</f>
        <v>1</v>
      </c>
      <c r="W52" s="514">
        <f t="shared" si="172"/>
        <v>0</v>
      </c>
      <c r="X52" s="514">
        <f t="shared" si="159"/>
        <v>0.5</v>
      </c>
      <c r="Y52" s="514">
        <f t="shared" si="160"/>
        <v>0.5</v>
      </c>
      <c r="Z52" s="23">
        <f>W52+X52+Y52</f>
        <v>1</v>
      </c>
      <c r="AA52" s="514">
        <f t="shared" si="173"/>
        <v>0</v>
      </c>
      <c r="AB52" s="514">
        <f t="shared" si="161"/>
        <v>0.5</v>
      </c>
      <c r="AC52" s="514">
        <f t="shared" si="162"/>
        <v>0.5</v>
      </c>
      <c r="AD52" s="23">
        <f>AA52+AB52+AC52</f>
        <v>1</v>
      </c>
      <c r="AE52" s="514">
        <f t="shared" si="174"/>
        <v>0</v>
      </c>
      <c r="AF52" s="514">
        <f t="shared" si="163"/>
        <v>0.5</v>
      </c>
      <c r="AG52" s="514">
        <f t="shared" si="164"/>
        <v>0.5</v>
      </c>
      <c r="AH52" s="23">
        <f>AE52+AF52+AG52</f>
        <v>1</v>
      </c>
      <c r="AI52" s="514">
        <f t="shared" si="175"/>
        <v>0</v>
      </c>
      <c r="AJ52" s="514">
        <f t="shared" si="165"/>
        <v>0.5</v>
      </c>
      <c r="AK52" s="514">
        <f t="shared" si="166"/>
        <v>0.5</v>
      </c>
      <c r="AL52" s="23">
        <f>AI52+AJ52+AK52</f>
        <v>1</v>
      </c>
      <c r="AM52" s="514">
        <f t="shared" si="176"/>
        <v>0</v>
      </c>
      <c r="AN52" s="514">
        <f t="shared" si="167"/>
        <v>0.5</v>
      </c>
      <c r="AO52" s="514">
        <f t="shared" si="168"/>
        <v>0.5</v>
      </c>
      <c r="AP52" s="23">
        <f>AM52+AN52+AO52</f>
        <v>1</v>
      </c>
    </row>
    <row r="53" spans="1:42" x14ac:dyDescent="0.3">
      <c r="A53" s="19" t="s">
        <v>133</v>
      </c>
      <c r="B53" s="29" t="s">
        <v>26</v>
      </c>
      <c r="C53" s="25" t="s">
        <v>134</v>
      </c>
      <c r="D53" s="515">
        <v>49</v>
      </c>
      <c r="E53" s="515">
        <v>48</v>
      </c>
      <c r="F53" s="515">
        <v>47</v>
      </c>
      <c r="G53" s="514">
        <v>0.9</v>
      </c>
      <c r="H53" s="514">
        <v>0.05</v>
      </c>
      <c r="I53" s="514">
        <v>0.05</v>
      </c>
      <c r="J53" s="23">
        <f>G53+H53+I53</f>
        <v>1</v>
      </c>
      <c r="K53" s="514">
        <f t="shared" si="169"/>
        <v>0.9</v>
      </c>
      <c r="L53" s="514">
        <f t="shared" si="154"/>
        <v>0.05</v>
      </c>
      <c r="M53" s="514">
        <f t="shared" si="154"/>
        <v>0.05</v>
      </c>
      <c r="N53" s="23">
        <f>K53+L53+M53</f>
        <v>1</v>
      </c>
      <c r="O53" s="514">
        <f t="shared" si="170"/>
        <v>0.9</v>
      </c>
      <c r="P53" s="514">
        <f t="shared" si="155"/>
        <v>0.05</v>
      </c>
      <c r="Q53" s="514">
        <f t="shared" si="156"/>
        <v>0.05</v>
      </c>
      <c r="R53" s="23">
        <f>O53+P53+Q53</f>
        <v>1</v>
      </c>
      <c r="S53" s="514">
        <f t="shared" si="171"/>
        <v>0.9</v>
      </c>
      <c r="T53" s="514">
        <f t="shared" si="157"/>
        <v>0.05</v>
      </c>
      <c r="U53" s="514">
        <f t="shared" si="158"/>
        <v>0.05</v>
      </c>
      <c r="V53" s="23">
        <f>S53+T53+U53</f>
        <v>1</v>
      </c>
      <c r="W53" s="514">
        <f t="shared" si="172"/>
        <v>0.9</v>
      </c>
      <c r="X53" s="514">
        <f t="shared" si="159"/>
        <v>0.05</v>
      </c>
      <c r="Y53" s="514">
        <f t="shared" si="160"/>
        <v>0.05</v>
      </c>
      <c r="Z53" s="23">
        <f>W53+X53+Y53</f>
        <v>1</v>
      </c>
      <c r="AA53" s="514">
        <f t="shared" si="173"/>
        <v>0.9</v>
      </c>
      <c r="AB53" s="514">
        <f t="shared" si="161"/>
        <v>0.05</v>
      </c>
      <c r="AC53" s="514">
        <f t="shared" si="162"/>
        <v>0.05</v>
      </c>
      <c r="AD53" s="23">
        <f>AA53+AB53+AC53</f>
        <v>1</v>
      </c>
      <c r="AE53" s="514">
        <f t="shared" si="174"/>
        <v>0.9</v>
      </c>
      <c r="AF53" s="514">
        <f t="shared" si="163"/>
        <v>0.05</v>
      </c>
      <c r="AG53" s="514">
        <f t="shared" si="164"/>
        <v>0.05</v>
      </c>
      <c r="AH53" s="23">
        <f>AE53+AF53+AG53</f>
        <v>1</v>
      </c>
      <c r="AI53" s="514">
        <f t="shared" si="175"/>
        <v>0.9</v>
      </c>
      <c r="AJ53" s="514">
        <f t="shared" si="165"/>
        <v>0.05</v>
      </c>
      <c r="AK53" s="514">
        <f t="shared" si="166"/>
        <v>0.05</v>
      </c>
      <c r="AL53" s="23">
        <f>AI53+AJ53+AK53</f>
        <v>1</v>
      </c>
      <c r="AM53" s="514">
        <f t="shared" si="176"/>
        <v>0.9</v>
      </c>
      <c r="AN53" s="514">
        <f t="shared" si="167"/>
        <v>0.05</v>
      </c>
      <c r="AO53" s="514">
        <f t="shared" si="168"/>
        <v>0.05</v>
      </c>
      <c r="AP53" s="23">
        <f>AM53+AN53+AO53</f>
        <v>1</v>
      </c>
    </row>
    <row r="54" spans="1:42" ht="43.2" x14ac:dyDescent="0.3">
      <c r="A54" s="16" t="s">
        <v>135</v>
      </c>
      <c r="B54" s="30" t="s">
        <v>816</v>
      </c>
      <c r="C54" s="18"/>
      <c r="D54" s="515">
        <v>50</v>
      </c>
      <c r="E54" s="515">
        <v>49</v>
      </c>
      <c r="F54" s="515">
        <v>48</v>
      </c>
      <c r="G54" s="20"/>
      <c r="H54" s="21"/>
      <c r="I54" s="21"/>
      <c r="J54" s="22"/>
      <c r="K54" s="20"/>
      <c r="L54" s="21"/>
      <c r="M54" s="21"/>
      <c r="N54" s="22"/>
      <c r="O54" s="20"/>
      <c r="P54" s="21"/>
      <c r="Q54" s="21"/>
      <c r="R54" s="22"/>
      <c r="S54" s="20"/>
      <c r="T54" s="21"/>
      <c r="U54" s="21"/>
      <c r="V54" s="22"/>
      <c r="W54" s="20"/>
      <c r="X54" s="21"/>
      <c r="Y54" s="21"/>
      <c r="Z54" s="22"/>
      <c r="AA54" s="20"/>
      <c r="AB54" s="21"/>
      <c r="AC54" s="21"/>
      <c r="AD54" s="22"/>
      <c r="AE54" s="20"/>
      <c r="AF54" s="21"/>
      <c r="AG54" s="21"/>
      <c r="AH54" s="22"/>
      <c r="AI54" s="20"/>
      <c r="AJ54" s="21"/>
      <c r="AK54" s="21"/>
      <c r="AL54" s="22"/>
      <c r="AM54" s="20"/>
      <c r="AN54" s="21"/>
      <c r="AO54" s="21"/>
      <c r="AP54" s="22"/>
    </row>
    <row r="55" spans="1:42" ht="18" customHeight="1" thickBot="1" x14ac:dyDescent="0.35">
      <c r="A55" s="19" t="s">
        <v>137</v>
      </c>
      <c r="B55" s="513" t="s">
        <v>818</v>
      </c>
      <c r="C55" s="508" t="s">
        <v>136</v>
      </c>
      <c r="D55" s="515">
        <v>51</v>
      </c>
      <c r="E55" s="515">
        <v>50</v>
      </c>
      <c r="F55" s="515">
        <v>49</v>
      </c>
      <c r="G55" s="26">
        <f>HLOOKUP(G5,Anlageg,170,FALSE)</f>
        <v>0.61587999999999998</v>
      </c>
      <c r="H55" s="26">
        <f>HLOOKUP(H6,Anlageg,171,FALSE)</f>
        <v>0.20932000000000001</v>
      </c>
      <c r="I55" s="26">
        <f>HLOOKUP(I7,Anlageg,172,FALSE)</f>
        <v>0.17480000000000001</v>
      </c>
      <c r="J55" s="27">
        <f>G55+H55+I55</f>
        <v>1</v>
      </c>
      <c r="K55" s="26">
        <f>HLOOKUP(K5,Anlageg,170,FALSE)</f>
        <v>0.61624000000000001</v>
      </c>
      <c r="L55" s="26">
        <f>HLOOKUP(L6,Anlageg,171,FALSE)</f>
        <v>0.20918999999999999</v>
      </c>
      <c r="M55" s="26">
        <f>HLOOKUP(M7,Anlageg,172,FALSE)</f>
        <v>0.17457</v>
      </c>
      <c r="N55" s="27">
        <f>K55+L55+M55</f>
        <v>1</v>
      </c>
      <c r="O55" s="26">
        <f>HLOOKUP(O5,Anlageg,170,FALSE)</f>
        <v>0.61661999999999995</v>
      </c>
      <c r="P55" s="26">
        <f>HLOOKUP(P6,Anlageg,171,FALSE)</f>
        <v>0.20905000000000001</v>
      </c>
      <c r="Q55" s="26">
        <f>HLOOKUP(Q7,Anlageg,172,FALSE)</f>
        <v>0.17433999999999999</v>
      </c>
      <c r="R55" s="27">
        <f>O55+P55+Q55</f>
        <v>1.0000099999999998</v>
      </c>
      <c r="S55" s="26">
        <f>HLOOKUP(S5,Anlageg,170,FALSE)</f>
        <v>0.61699999999999999</v>
      </c>
      <c r="T55" s="26">
        <f>HLOOKUP(T6,Anlageg,171,FALSE)</f>
        <v>0.2089</v>
      </c>
      <c r="U55" s="26">
        <f>HLOOKUP(U7,Anlageg,172,FALSE)</f>
        <v>0.17408999999999999</v>
      </c>
      <c r="V55" s="27">
        <f>S55+T55+U55</f>
        <v>0.99998999999999993</v>
      </c>
      <c r="W55" s="26">
        <f>HLOOKUP(W5,Anlageg,170,FALSE)</f>
        <v>0.61741000000000001</v>
      </c>
      <c r="X55" s="26">
        <f>HLOOKUP(X6,Anlageg,171,FALSE)</f>
        <v>0.20874999999999999</v>
      </c>
      <c r="Y55" s="26">
        <f>HLOOKUP(Y7,Anlageg,172,FALSE)</f>
        <v>0.17383999999999999</v>
      </c>
      <c r="Z55" s="27">
        <f>W55+X55+Y55</f>
        <v>1</v>
      </c>
      <c r="AA55" s="26">
        <f>HLOOKUP(AA5,Anlageg,170,FALSE)</f>
        <v>0.61597000000000002</v>
      </c>
      <c r="AB55" s="26">
        <f>HLOOKUP(AB6,Anlageg,171,FALSE)</f>
        <v>0.20929</v>
      </c>
      <c r="AC55" s="26">
        <f>HLOOKUP(AC7,Anlageg,172,FALSE)</f>
        <v>0.17474000000000001</v>
      </c>
      <c r="AD55" s="27">
        <f>AA55+AB55+AC55</f>
        <v>1</v>
      </c>
      <c r="AE55" s="26">
        <f>HLOOKUP(AE5,Anlageg,170,FALSE)</f>
        <v>0.61633000000000004</v>
      </c>
      <c r="AF55" s="26">
        <f>HLOOKUP(AF6,Anlageg,171,FALSE)</f>
        <v>0.20915</v>
      </c>
      <c r="AG55" s="26">
        <f>HLOOKUP(AG7,Anlageg,172,FALSE)</f>
        <v>0.17452000000000001</v>
      </c>
      <c r="AH55" s="27">
        <f>AE55+AF55+AG55</f>
        <v>1</v>
      </c>
      <c r="AI55" s="26">
        <f>HLOOKUP(AI5,Anlageg,170,FALSE)</f>
        <v>0.61670999999999998</v>
      </c>
      <c r="AJ55" s="26">
        <f>HLOOKUP(AJ6,Anlageg,171,FALSE)</f>
        <v>0.20901</v>
      </c>
      <c r="AK55" s="26">
        <f>HLOOKUP(AK7,Anlageg,172,FALSE)</f>
        <v>0.17427999999999999</v>
      </c>
      <c r="AL55" s="27">
        <f>AI55+AJ55+AK55</f>
        <v>1</v>
      </c>
      <c r="AM55" s="26">
        <f>HLOOKUP(AM5,Anlageg,170,FALSE)</f>
        <v>0.62770999999999999</v>
      </c>
      <c r="AN55" s="26">
        <f>HLOOKUP(AN6,Anlageg,171,FALSE)</f>
        <v>0.20513999999999999</v>
      </c>
      <c r="AO55" s="26">
        <f>HLOOKUP(AO7,Anlageg,172,FALSE)</f>
        <v>0.16714999999999999</v>
      </c>
      <c r="AP55" s="27">
        <f>AM55+AN55+AO55</f>
        <v>1</v>
      </c>
    </row>
    <row r="56" spans="1:42" x14ac:dyDescent="0.3">
      <c r="A56" s="31"/>
      <c r="B56" s="32"/>
      <c r="C56" s="32"/>
      <c r="D56" s="32"/>
      <c r="E56" s="32"/>
      <c r="F56" s="32"/>
      <c r="G56" s="32"/>
      <c r="H56" s="32"/>
      <c r="I56" s="32"/>
      <c r="J56" s="33"/>
      <c r="K56" s="32"/>
      <c r="L56" s="32"/>
      <c r="M56" s="32"/>
      <c r="N56" s="33"/>
      <c r="O56" s="32"/>
      <c r="P56" s="32"/>
      <c r="Q56" s="32"/>
      <c r="R56" s="33"/>
      <c r="S56" s="32"/>
      <c r="T56" s="32"/>
      <c r="U56" s="32"/>
      <c r="V56" s="33"/>
      <c r="W56" s="32"/>
      <c r="X56" s="32"/>
      <c r="Y56" s="32"/>
      <c r="Z56" s="33"/>
      <c r="AA56" s="32"/>
      <c r="AB56" s="32"/>
      <c r="AC56" s="32"/>
      <c r="AD56" s="33"/>
      <c r="AE56" s="32"/>
      <c r="AF56" s="32"/>
      <c r="AG56" s="32"/>
      <c r="AH56" s="33"/>
      <c r="AI56" s="32"/>
      <c r="AJ56" s="32"/>
      <c r="AK56" s="32"/>
      <c r="AL56" s="33"/>
      <c r="AM56" s="32"/>
      <c r="AN56" s="32"/>
      <c r="AO56" s="32"/>
      <c r="AP56" s="33"/>
    </row>
  </sheetData>
  <sheetProtection sheet="1" objects="1" scenarios="1"/>
  <mergeCells count="50">
    <mergeCell ref="AM8:AP8"/>
    <mergeCell ref="AM2:AP2"/>
    <mergeCell ref="AM3:AM4"/>
    <mergeCell ref="AN3:AO3"/>
    <mergeCell ref="AP3:AP4"/>
    <mergeCell ref="AE8:AH8"/>
    <mergeCell ref="AI2:AL2"/>
    <mergeCell ref="AI3:AI4"/>
    <mergeCell ref="AJ3:AK3"/>
    <mergeCell ref="AL3:AL4"/>
    <mergeCell ref="AI8:AL8"/>
    <mergeCell ref="AE2:AH2"/>
    <mergeCell ref="AE3:AE4"/>
    <mergeCell ref="AF3:AG3"/>
    <mergeCell ref="AH3:AH4"/>
    <mergeCell ref="W8:Z8"/>
    <mergeCell ref="AA2:AD2"/>
    <mergeCell ref="AA3:AA4"/>
    <mergeCell ref="AB3:AC3"/>
    <mergeCell ref="AD3:AD4"/>
    <mergeCell ref="AA8:AD8"/>
    <mergeCell ref="W2:Z2"/>
    <mergeCell ref="W3:W4"/>
    <mergeCell ref="X3:Y3"/>
    <mergeCell ref="Z3:Z4"/>
    <mergeCell ref="O8:R8"/>
    <mergeCell ref="S2:V2"/>
    <mergeCell ref="S3:S4"/>
    <mergeCell ref="T3:U3"/>
    <mergeCell ref="V3:V4"/>
    <mergeCell ref="S8:V8"/>
    <mergeCell ref="O2:R2"/>
    <mergeCell ref="O3:O4"/>
    <mergeCell ref="P3:Q3"/>
    <mergeCell ref="R3:R4"/>
    <mergeCell ref="G8:J8"/>
    <mergeCell ref="K8:N8"/>
    <mergeCell ref="K2:N2"/>
    <mergeCell ref="G3:G4"/>
    <mergeCell ref="H3:I3"/>
    <mergeCell ref="J3:J4"/>
    <mergeCell ref="K3:K4"/>
    <mergeCell ref="L3:M3"/>
    <mergeCell ref="N3:N4"/>
    <mergeCell ref="A1:A4"/>
    <mergeCell ref="B1:J1"/>
    <mergeCell ref="B2:B4"/>
    <mergeCell ref="C2:C4"/>
    <mergeCell ref="D2:F2"/>
    <mergeCell ref="G2:J2"/>
  </mergeCells>
  <conditionalFormatting sqref="J10">
    <cfRule type="cellIs" dxfId="593" priority="625" stopIfTrue="1" operator="lessThan">
      <formula>1</formula>
    </cfRule>
    <cfRule type="cellIs" dxfId="592" priority="626" stopIfTrue="1" operator="greaterThan">
      <formula>1</formula>
    </cfRule>
  </conditionalFormatting>
  <conditionalFormatting sqref="J11">
    <cfRule type="cellIs" dxfId="591" priority="623" stopIfTrue="1" operator="lessThan">
      <formula>1</formula>
    </cfRule>
    <cfRule type="cellIs" dxfId="590" priority="624" stopIfTrue="1" operator="greaterThan">
      <formula>1</formula>
    </cfRule>
  </conditionalFormatting>
  <conditionalFormatting sqref="J12">
    <cfRule type="cellIs" dxfId="589" priority="621" stopIfTrue="1" operator="lessThan">
      <formula>1</formula>
    </cfRule>
    <cfRule type="cellIs" dxfId="588" priority="622" stopIfTrue="1" operator="greaterThan">
      <formula>1</formula>
    </cfRule>
  </conditionalFormatting>
  <conditionalFormatting sqref="J15">
    <cfRule type="cellIs" dxfId="587" priority="619" stopIfTrue="1" operator="lessThan">
      <formula>1</formula>
    </cfRule>
    <cfRule type="cellIs" dxfId="586" priority="620" stopIfTrue="1" operator="greaterThan">
      <formula>1</formula>
    </cfRule>
  </conditionalFormatting>
  <conditionalFormatting sqref="J16">
    <cfRule type="cellIs" dxfId="585" priority="617" stopIfTrue="1" operator="lessThan">
      <formula>1</formula>
    </cfRule>
    <cfRule type="cellIs" dxfId="584" priority="618" stopIfTrue="1" operator="greaterThan">
      <formula>1</formula>
    </cfRule>
  </conditionalFormatting>
  <conditionalFormatting sqref="J17">
    <cfRule type="cellIs" dxfId="583" priority="615" stopIfTrue="1" operator="lessThan">
      <formula>1</formula>
    </cfRule>
    <cfRule type="cellIs" dxfId="582" priority="616" stopIfTrue="1" operator="greaterThan">
      <formula>1</formula>
    </cfRule>
  </conditionalFormatting>
  <conditionalFormatting sqref="J18">
    <cfRule type="cellIs" dxfId="581" priority="613" stopIfTrue="1" operator="lessThan">
      <formula>1</formula>
    </cfRule>
    <cfRule type="cellIs" dxfId="580" priority="614" stopIfTrue="1" operator="greaterThan">
      <formula>1</formula>
    </cfRule>
  </conditionalFormatting>
  <conditionalFormatting sqref="J21">
    <cfRule type="cellIs" dxfId="579" priority="611" stopIfTrue="1" operator="lessThan">
      <formula>1</formula>
    </cfRule>
    <cfRule type="cellIs" dxfId="578" priority="612" stopIfTrue="1" operator="greaterThan">
      <formula>1</formula>
    </cfRule>
  </conditionalFormatting>
  <conditionalFormatting sqref="J22">
    <cfRule type="cellIs" dxfId="577" priority="609" stopIfTrue="1" operator="lessThan">
      <formula>1</formula>
    </cfRule>
    <cfRule type="cellIs" dxfId="576" priority="610" stopIfTrue="1" operator="greaterThan">
      <formula>1</formula>
    </cfRule>
  </conditionalFormatting>
  <conditionalFormatting sqref="J23">
    <cfRule type="cellIs" dxfId="575" priority="607" stopIfTrue="1" operator="lessThan">
      <formula>1</formula>
    </cfRule>
    <cfRule type="cellIs" dxfId="574" priority="608" stopIfTrue="1" operator="greaterThan">
      <formula>1</formula>
    </cfRule>
  </conditionalFormatting>
  <conditionalFormatting sqref="J26">
    <cfRule type="cellIs" dxfId="573" priority="605" stopIfTrue="1" operator="lessThan">
      <formula>1</formula>
    </cfRule>
    <cfRule type="cellIs" dxfId="572" priority="606" stopIfTrue="1" operator="greaterThan">
      <formula>1</formula>
    </cfRule>
  </conditionalFormatting>
  <conditionalFormatting sqref="J27">
    <cfRule type="cellIs" dxfId="571" priority="603" stopIfTrue="1" operator="lessThan">
      <formula>1</formula>
    </cfRule>
    <cfRule type="cellIs" dxfId="570" priority="604" stopIfTrue="1" operator="greaterThan">
      <formula>1</formula>
    </cfRule>
  </conditionalFormatting>
  <conditionalFormatting sqref="J28">
    <cfRule type="cellIs" dxfId="569" priority="601" stopIfTrue="1" operator="lessThan">
      <formula>1</formula>
    </cfRule>
    <cfRule type="cellIs" dxfId="568" priority="602" stopIfTrue="1" operator="greaterThan">
      <formula>1</formula>
    </cfRule>
  </conditionalFormatting>
  <conditionalFormatting sqref="J43">
    <cfRule type="cellIs" dxfId="567" priority="599" stopIfTrue="1" operator="lessThan">
      <formula>1</formula>
    </cfRule>
    <cfRule type="cellIs" dxfId="566" priority="600" stopIfTrue="1" operator="greaterThan">
      <formula>1</formula>
    </cfRule>
  </conditionalFormatting>
  <conditionalFormatting sqref="J44">
    <cfRule type="cellIs" dxfId="565" priority="597" stopIfTrue="1" operator="lessThan">
      <formula>1</formula>
    </cfRule>
    <cfRule type="cellIs" dxfId="564" priority="598" stopIfTrue="1" operator="greaterThan">
      <formula>1</formula>
    </cfRule>
  </conditionalFormatting>
  <conditionalFormatting sqref="J45">
    <cfRule type="cellIs" dxfId="563" priority="595" stopIfTrue="1" operator="lessThan">
      <formula>1</formula>
    </cfRule>
    <cfRule type="cellIs" dxfId="562" priority="596" stopIfTrue="1" operator="greaterThan">
      <formula>1</formula>
    </cfRule>
  </conditionalFormatting>
  <conditionalFormatting sqref="J50">
    <cfRule type="cellIs" dxfId="561" priority="593" stopIfTrue="1" operator="lessThan">
      <formula>1</formula>
    </cfRule>
    <cfRule type="cellIs" dxfId="560" priority="594" stopIfTrue="1" operator="greaterThan">
      <formula>1</formula>
    </cfRule>
  </conditionalFormatting>
  <conditionalFormatting sqref="J51">
    <cfRule type="cellIs" dxfId="559" priority="591" stopIfTrue="1" operator="lessThan">
      <formula>1</formula>
    </cfRule>
    <cfRule type="cellIs" dxfId="558" priority="592" stopIfTrue="1" operator="greaterThan">
      <formula>1</formula>
    </cfRule>
  </conditionalFormatting>
  <conditionalFormatting sqref="J52">
    <cfRule type="cellIs" dxfId="557" priority="589" stopIfTrue="1" operator="lessThan">
      <formula>1</formula>
    </cfRule>
    <cfRule type="cellIs" dxfId="556" priority="590" stopIfTrue="1" operator="greaterThan">
      <formula>1</formula>
    </cfRule>
  </conditionalFormatting>
  <conditionalFormatting sqref="J53">
    <cfRule type="cellIs" dxfId="555" priority="587" stopIfTrue="1" operator="lessThan">
      <formula>1</formula>
    </cfRule>
    <cfRule type="cellIs" dxfId="554" priority="588" stopIfTrue="1" operator="greaterThan">
      <formula>1</formula>
    </cfRule>
  </conditionalFormatting>
  <conditionalFormatting sqref="J48">
    <cfRule type="cellIs" dxfId="553" priority="581" stopIfTrue="1" operator="lessThan">
      <formula>1</formula>
    </cfRule>
    <cfRule type="cellIs" dxfId="552" priority="582" stopIfTrue="1" operator="greaterThan">
      <formula>1</formula>
    </cfRule>
  </conditionalFormatting>
  <conditionalFormatting sqref="J19">
    <cfRule type="cellIs" dxfId="551" priority="585" stopIfTrue="1" operator="lessThan">
      <formula>1</formula>
    </cfRule>
    <cfRule type="cellIs" dxfId="550" priority="586" stopIfTrue="1" operator="greaterThan">
      <formula>1</formula>
    </cfRule>
  </conditionalFormatting>
  <conditionalFormatting sqref="J47">
    <cfRule type="cellIs" dxfId="549" priority="583" stopIfTrue="1" operator="lessThan">
      <formula>1</formula>
    </cfRule>
    <cfRule type="cellIs" dxfId="548" priority="584" stopIfTrue="1" operator="greaterThan">
      <formula>1</formula>
    </cfRule>
  </conditionalFormatting>
  <conditionalFormatting sqref="J31">
    <cfRule type="cellIs" dxfId="547" priority="579" stopIfTrue="1" operator="lessThan">
      <formula>1</formula>
    </cfRule>
    <cfRule type="cellIs" dxfId="546" priority="580" stopIfTrue="1" operator="greaterThan">
      <formula>1</formula>
    </cfRule>
  </conditionalFormatting>
  <conditionalFormatting sqref="J32:J33">
    <cfRule type="cellIs" dxfId="545" priority="577" stopIfTrue="1" operator="lessThan">
      <formula>1</formula>
    </cfRule>
    <cfRule type="cellIs" dxfId="544" priority="578" stopIfTrue="1" operator="greaterThan">
      <formula>1</formula>
    </cfRule>
  </conditionalFormatting>
  <conditionalFormatting sqref="J13">
    <cfRule type="cellIs" dxfId="543" priority="575" stopIfTrue="1" operator="lessThan">
      <formula>1</formula>
    </cfRule>
    <cfRule type="cellIs" dxfId="542" priority="576" stopIfTrue="1" operator="greaterThan">
      <formula>1</formula>
    </cfRule>
  </conditionalFormatting>
  <conditionalFormatting sqref="J24">
    <cfRule type="cellIs" dxfId="541" priority="573" stopIfTrue="1" operator="lessThan">
      <formula>1</formula>
    </cfRule>
    <cfRule type="cellIs" dxfId="540" priority="574" stopIfTrue="1" operator="greaterThan">
      <formula>1</formula>
    </cfRule>
  </conditionalFormatting>
  <conditionalFormatting sqref="J29">
    <cfRule type="cellIs" dxfId="539" priority="571" stopIfTrue="1" operator="lessThan">
      <formula>1</formula>
    </cfRule>
    <cfRule type="cellIs" dxfId="538" priority="572" stopIfTrue="1" operator="greaterThan">
      <formula>1</formula>
    </cfRule>
  </conditionalFormatting>
  <conditionalFormatting sqref="J34">
    <cfRule type="cellIs" dxfId="537" priority="569" stopIfTrue="1" operator="lessThan">
      <formula>1</formula>
    </cfRule>
    <cfRule type="cellIs" dxfId="536" priority="570" stopIfTrue="1" operator="greaterThan">
      <formula>1</formula>
    </cfRule>
  </conditionalFormatting>
  <conditionalFormatting sqref="J36:J38 J40:J41">
    <cfRule type="cellIs" dxfId="535" priority="567" stopIfTrue="1" operator="lessThan">
      <formula>1</formula>
    </cfRule>
    <cfRule type="cellIs" dxfId="534" priority="568" stopIfTrue="1" operator="greaterThan">
      <formula>1</formula>
    </cfRule>
  </conditionalFormatting>
  <conditionalFormatting sqref="J39">
    <cfRule type="cellIs" dxfId="533" priority="565" stopIfTrue="1" operator="lessThan">
      <formula>1</formula>
    </cfRule>
    <cfRule type="cellIs" dxfId="532" priority="566" stopIfTrue="1" operator="greaterThan">
      <formula>1</formula>
    </cfRule>
  </conditionalFormatting>
  <conditionalFormatting sqref="J46">
    <cfRule type="cellIs" dxfId="531" priority="563" stopIfTrue="1" operator="lessThan">
      <formula>1</formula>
    </cfRule>
    <cfRule type="cellIs" dxfId="530" priority="564" stopIfTrue="1" operator="greaterThan">
      <formula>1</formula>
    </cfRule>
  </conditionalFormatting>
  <conditionalFormatting sqref="J55">
    <cfRule type="cellIs" dxfId="529" priority="559" stopIfTrue="1" operator="lessThan">
      <formula>1</formula>
    </cfRule>
    <cfRule type="cellIs" dxfId="528" priority="560" stopIfTrue="1" operator="greaterThan">
      <formula>1</formula>
    </cfRule>
  </conditionalFormatting>
  <conditionalFormatting sqref="N10">
    <cfRule type="cellIs" dxfId="527" priority="557" stopIfTrue="1" operator="lessThan">
      <formula>1</formula>
    </cfRule>
    <cfRule type="cellIs" dxfId="526" priority="558" stopIfTrue="1" operator="greaterThan">
      <formula>1</formula>
    </cfRule>
  </conditionalFormatting>
  <conditionalFormatting sqref="N11">
    <cfRule type="cellIs" dxfId="525" priority="555" stopIfTrue="1" operator="lessThan">
      <formula>1</formula>
    </cfRule>
    <cfRule type="cellIs" dxfId="524" priority="556" stopIfTrue="1" operator="greaterThan">
      <formula>1</formula>
    </cfRule>
  </conditionalFormatting>
  <conditionalFormatting sqref="N12">
    <cfRule type="cellIs" dxfId="523" priority="553" stopIfTrue="1" operator="lessThan">
      <formula>1</formula>
    </cfRule>
    <cfRule type="cellIs" dxfId="522" priority="554" stopIfTrue="1" operator="greaterThan">
      <formula>1</formula>
    </cfRule>
  </conditionalFormatting>
  <conditionalFormatting sqref="N15">
    <cfRule type="cellIs" dxfId="521" priority="551" stopIfTrue="1" operator="lessThan">
      <formula>1</formula>
    </cfRule>
    <cfRule type="cellIs" dxfId="520" priority="552" stopIfTrue="1" operator="greaterThan">
      <formula>1</formula>
    </cfRule>
  </conditionalFormatting>
  <conditionalFormatting sqref="N16">
    <cfRule type="cellIs" dxfId="519" priority="549" stopIfTrue="1" operator="lessThan">
      <formula>1</formula>
    </cfRule>
    <cfRule type="cellIs" dxfId="518" priority="550" stopIfTrue="1" operator="greaterThan">
      <formula>1</formula>
    </cfRule>
  </conditionalFormatting>
  <conditionalFormatting sqref="N17">
    <cfRule type="cellIs" dxfId="517" priority="547" stopIfTrue="1" operator="lessThan">
      <formula>1</formula>
    </cfRule>
    <cfRule type="cellIs" dxfId="516" priority="548" stopIfTrue="1" operator="greaterThan">
      <formula>1</formula>
    </cfRule>
  </conditionalFormatting>
  <conditionalFormatting sqref="N18">
    <cfRule type="cellIs" dxfId="515" priority="545" stopIfTrue="1" operator="lessThan">
      <formula>1</formula>
    </cfRule>
    <cfRule type="cellIs" dxfId="514" priority="546" stopIfTrue="1" operator="greaterThan">
      <formula>1</formula>
    </cfRule>
  </conditionalFormatting>
  <conditionalFormatting sqref="N21">
    <cfRule type="cellIs" dxfId="513" priority="543" stopIfTrue="1" operator="lessThan">
      <formula>1</formula>
    </cfRule>
    <cfRule type="cellIs" dxfId="512" priority="544" stopIfTrue="1" operator="greaterThan">
      <formula>1</formula>
    </cfRule>
  </conditionalFormatting>
  <conditionalFormatting sqref="N22">
    <cfRule type="cellIs" dxfId="511" priority="541" stopIfTrue="1" operator="lessThan">
      <formula>1</formula>
    </cfRule>
    <cfRule type="cellIs" dxfId="510" priority="542" stopIfTrue="1" operator="greaterThan">
      <formula>1</formula>
    </cfRule>
  </conditionalFormatting>
  <conditionalFormatting sqref="N23">
    <cfRule type="cellIs" dxfId="509" priority="539" stopIfTrue="1" operator="lessThan">
      <formula>1</formula>
    </cfRule>
    <cfRule type="cellIs" dxfId="508" priority="540" stopIfTrue="1" operator="greaterThan">
      <formula>1</formula>
    </cfRule>
  </conditionalFormatting>
  <conditionalFormatting sqref="N26">
    <cfRule type="cellIs" dxfId="507" priority="537" stopIfTrue="1" operator="lessThan">
      <formula>1</formula>
    </cfRule>
    <cfRule type="cellIs" dxfId="506" priority="538" stopIfTrue="1" operator="greaterThan">
      <formula>1</formula>
    </cfRule>
  </conditionalFormatting>
  <conditionalFormatting sqref="N27">
    <cfRule type="cellIs" dxfId="505" priority="535" stopIfTrue="1" operator="lessThan">
      <formula>1</formula>
    </cfRule>
    <cfRule type="cellIs" dxfId="504" priority="536" stopIfTrue="1" operator="greaterThan">
      <formula>1</formula>
    </cfRule>
  </conditionalFormatting>
  <conditionalFormatting sqref="N28">
    <cfRule type="cellIs" dxfId="503" priority="533" stopIfTrue="1" operator="lessThan">
      <formula>1</formula>
    </cfRule>
    <cfRule type="cellIs" dxfId="502" priority="534" stopIfTrue="1" operator="greaterThan">
      <formula>1</formula>
    </cfRule>
  </conditionalFormatting>
  <conditionalFormatting sqref="N43">
    <cfRule type="cellIs" dxfId="501" priority="531" stopIfTrue="1" operator="lessThan">
      <formula>1</formula>
    </cfRule>
    <cfRule type="cellIs" dxfId="500" priority="532" stopIfTrue="1" operator="greaterThan">
      <formula>1</formula>
    </cfRule>
  </conditionalFormatting>
  <conditionalFormatting sqref="N44">
    <cfRule type="cellIs" dxfId="499" priority="529" stopIfTrue="1" operator="lessThan">
      <formula>1</formula>
    </cfRule>
    <cfRule type="cellIs" dxfId="498" priority="530" stopIfTrue="1" operator="greaterThan">
      <formula>1</formula>
    </cfRule>
  </conditionalFormatting>
  <conditionalFormatting sqref="N45">
    <cfRule type="cellIs" dxfId="497" priority="527" stopIfTrue="1" operator="lessThan">
      <formula>1</formula>
    </cfRule>
    <cfRule type="cellIs" dxfId="496" priority="528" stopIfTrue="1" operator="greaterThan">
      <formula>1</formula>
    </cfRule>
  </conditionalFormatting>
  <conditionalFormatting sqref="N50">
    <cfRule type="cellIs" dxfId="495" priority="525" stopIfTrue="1" operator="lessThan">
      <formula>1</formula>
    </cfRule>
    <cfRule type="cellIs" dxfId="494" priority="526" stopIfTrue="1" operator="greaterThan">
      <formula>1</formula>
    </cfRule>
  </conditionalFormatting>
  <conditionalFormatting sqref="N51">
    <cfRule type="cellIs" dxfId="493" priority="523" stopIfTrue="1" operator="lessThan">
      <formula>1</formula>
    </cfRule>
    <cfRule type="cellIs" dxfId="492" priority="524" stopIfTrue="1" operator="greaterThan">
      <formula>1</formula>
    </cfRule>
  </conditionalFormatting>
  <conditionalFormatting sqref="N52">
    <cfRule type="cellIs" dxfId="491" priority="521" stopIfTrue="1" operator="lessThan">
      <formula>1</formula>
    </cfRule>
    <cfRule type="cellIs" dxfId="490" priority="522" stopIfTrue="1" operator="greaterThan">
      <formula>1</formula>
    </cfRule>
  </conditionalFormatting>
  <conditionalFormatting sqref="N53">
    <cfRule type="cellIs" dxfId="489" priority="519" stopIfTrue="1" operator="lessThan">
      <formula>1</formula>
    </cfRule>
    <cfRule type="cellIs" dxfId="488" priority="520" stopIfTrue="1" operator="greaterThan">
      <formula>1</formula>
    </cfRule>
  </conditionalFormatting>
  <conditionalFormatting sqref="N48">
    <cfRule type="cellIs" dxfId="487" priority="513" stopIfTrue="1" operator="lessThan">
      <formula>1</formula>
    </cfRule>
    <cfRule type="cellIs" dxfId="486" priority="514" stopIfTrue="1" operator="greaterThan">
      <formula>1</formula>
    </cfRule>
  </conditionalFormatting>
  <conditionalFormatting sqref="N19">
    <cfRule type="cellIs" dxfId="485" priority="517" stopIfTrue="1" operator="lessThan">
      <formula>1</formula>
    </cfRule>
    <cfRule type="cellIs" dxfId="484" priority="518" stopIfTrue="1" operator="greaterThan">
      <formula>1</formula>
    </cfRule>
  </conditionalFormatting>
  <conditionalFormatting sqref="N47">
    <cfRule type="cellIs" dxfId="483" priority="515" stopIfTrue="1" operator="lessThan">
      <formula>1</formula>
    </cfRule>
    <cfRule type="cellIs" dxfId="482" priority="516" stopIfTrue="1" operator="greaterThan">
      <formula>1</formula>
    </cfRule>
  </conditionalFormatting>
  <conditionalFormatting sqref="N31">
    <cfRule type="cellIs" dxfId="481" priority="511" stopIfTrue="1" operator="lessThan">
      <formula>1</formula>
    </cfRule>
    <cfRule type="cellIs" dxfId="480" priority="512" stopIfTrue="1" operator="greaterThan">
      <formula>1</formula>
    </cfRule>
  </conditionalFormatting>
  <conditionalFormatting sqref="N32:N33">
    <cfRule type="cellIs" dxfId="479" priority="509" stopIfTrue="1" operator="lessThan">
      <formula>1</formula>
    </cfRule>
    <cfRule type="cellIs" dxfId="478" priority="510" stopIfTrue="1" operator="greaterThan">
      <formula>1</formula>
    </cfRule>
  </conditionalFormatting>
  <conditionalFormatting sqref="N13">
    <cfRule type="cellIs" dxfId="477" priority="507" stopIfTrue="1" operator="lessThan">
      <formula>1</formula>
    </cfRule>
    <cfRule type="cellIs" dxfId="476" priority="508" stopIfTrue="1" operator="greaterThan">
      <formula>1</formula>
    </cfRule>
  </conditionalFormatting>
  <conditionalFormatting sqref="N24">
    <cfRule type="cellIs" dxfId="475" priority="505" stopIfTrue="1" operator="lessThan">
      <formula>1</formula>
    </cfRule>
    <cfRule type="cellIs" dxfId="474" priority="506" stopIfTrue="1" operator="greaterThan">
      <formula>1</formula>
    </cfRule>
  </conditionalFormatting>
  <conditionalFormatting sqref="N29">
    <cfRule type="cellIs" dxfId="473" priority="503" stopIfTrue="1" operator="lessThan">
      <formula>1</formula>
    </cfRule>
    <cfRule type="cellIs" dxfId="472" priority="504" stopIfTrue="1" operator="greaterThan">
      <formula>1</formula>
    </cfRule>
  </conditionalFormatting>
  <conditionalFormatting sqref="N34">
    <cfRule type="cellIs" dxfId="471" priority="501" stopIfTrue="1" operator="lessThan">
      <formula>1</formula>
    </cfRule>
    <cfRule type="cellIs" dxfId="470" priority="502" stopIfTrue="1" operator="greaterThan">
      <formula>1</formula>
    </cfRule>
  </conditionalFormatting>
  <conditionalFormatting sqref="N36:N38 N40:N41">
    <cfRule type="cellIs" dxfId="469" priority="499" stopIfTrue="1" operator="lessThan">
      <formula>1</formula>
    </cfRule>
    <cfRule type="cellIs" dxfId="468" priority="500" stopIfTrue="1" operator="greaterThan">
      <formula>1</formula>
    </cfRule>
  </conditionalFormatting>
  <conditionalFormatting sqref="N39">
    <cfRule type="cellIs" dxfId="467" priority="497" stopIfTrue="1" operator="lessThan">
      <formula>1</formula>
    </cfRule>
    <cfRule type="cellIs" dxfId="466" priority="498" stopIfTrue="1" operator="greaterThan">
      <formula>1</formula>
    </cfRule>
  </conditionalFormatting>
  <conditionalFormatting sqref="N46">
    <cfRule type="cellIs" dxfId="465" priority="495" stopIfTrue="1" operator="lessThan">
      <formula>1</formula>
    </cfRule>
    <cfRule type="cellIs" dxfId="464" priority="496" stopIfTrue="1" operator="greaterThan">
      <formula>1</formula>
    </cfRule>
  </conditionalFormatting>
  <conditionalFormatting sqref="N55">
    <cfRule type="cellIs" dxfId="463" priority="491" stopIfTrue="1" operator="lessThan">
      <formula>1</formula>
    </cfRule>
    <cfRule type="cellIs" dxfId="462" priority="492" stopIfTrue="1" operator="greaterThan">
      <formula>1</formula>
    </cfRule>
  </conditionalFormatting>
  <conditionalFormatting sqref="R10">
    <cfRule type="cellIs" dxfId="461" priority="489" stopIfTrue="1" operator="lessThan">
      <formula>1</formula>
    </cfRule>
    <cfRule type="cellIs" dxfId="460" priority="490" stopIfTrue="1" operator="greaterThan">
      <formula>1</formula>
    </cfRule>
  </conditionalFormatting>
  <conditionalFormatting sqref="R11">
    <cfRule type="cellIs" dxfId="459" priority="487" stopIfTrue="1" operator="lessThan">
      <formula>1</formula>
    </cfRule>
    <cfRule type="cellIs" dxfId="458" priority="488" stopIfTrue="1" operator="greaterThan">
      <formula>1</formula>
    </cfRule>
  </conditionalFormatting>
  <conditionalFormatting sqref="R12">
    <cfRule type="cellIs" dxfId="457" priority="485" stopIfTrue="1" operator="lessThan">
      <formula>1</formula>
    </cfRule>
    <cfRule type="cellIs" dxfId="456" priority="486" stopIfTrue="1" operator="greaterThan">
      <formula>1</formula>
    </cfRule>
  </conditionalFormatting>
  <conditionalFormatting sqref="R15">
    <cfRule type="cellIs" dxfId="455" priority="483" stopIfTrue="1" operator="lessThan">
      <formula>1</formula>
    </cfRule>
    <cfRule type="cellIs" dxfId="454" priority="484" stopIfTrue="1" operator="greaterThan">
      <formula>1</formula>
    </cfRule>
  </conditionalFormatting>
  <conditionalFormatting sqref="R16">
    <cfRule type="cellIs" dxfId="453" priority="481" stopIfTrue="1" operator="lessThan">
      <formula>1</formula>
    </cfRule>
    <cfRule type="cellIs" dxfId="452" priority="482" stopIfTrue="1" operator="greaterThan">
      <formula>1</formula>
    </cfRule>
  </conditionalFormatting>
  <conditionalFormatting sqref="R17">
    <cfRule type="cellIs" dxfId="451" priority="479" stopIfTrue="1" operator="lessThan">
      <formula>1</formula>
    </cfRule>
    <cfRule type="cellIs" dxfId="450" priority="480" stopIfTrue="1" operator="greaterThan">
      <formula>1</formula>
    </cfRule>
  </conditionalFormatting>
  <conditionalFormatting sqref="R18">
    <cfRule type="cellIs" dxfId="449" priority="477" stopIfTrue="1" operator="lessThan">
      <formula>1</formula>
    </cfRule>
    <cfRule type="cellIs" dxfId="448" priority="478" stopIfTrue="1" operator="greaterThan">
      <formula>1</formula>
    </cfRule>
  </conditionalFormatting>
  <conditionalFormatting sqref="R21">
    <cfRule type="cellIs" dxfId="447" priority="475" stopIfTrue="1" operator="lessThan">
      <formula>1</formula>
    </cfRule>
    <cfRule type="cellIs" dxfId="446" priority="476" stopIfTrue="1" operator="greaterThan">
      <formula>1</formula>
    </cfRule>
  </conditionalFormatting>
  <conditionalFormatting sqref="R22">
    <cfRule type="cellIs" dxfId="445" priority="473" stopIfTrue="1" operator="lessThan">
      <formula>1</formula>
    </cfRule>
    <cfRule type="cellIs" dxfId="444" priority="474" stopIfTrue="1" operator="greaterThan">
      <formula>1</formula>
    </cfRule>
  </conditionalFormatting>
  <conditionalFormatting sqref="R23">
    <cfRule type="cellIs" dxfId="443" priority="471" stopIfTrue="1" operator="lessThan">
      <formula>1</formula>
    </cfRule>
    <cfRule type="cellIs" dxfId="442" priority="472" stopIfTrue="1" operator="greaterThan">
      <formula>1</formula>
    </cfRule>
  </conditionalFormatting>
  <conditionalFormatting sqref="R26">
    <cfRule type="cellIs" dxfId="441" priority="469" stopIfTrue="1" operator="lessThan">
      <formula>1</formula>
    </cfRule>
    <cfRule type="cellIs" dxfId="440" priority="470" stopIfTrue="1" operator="greaterThan">
      <formula>1</formula>
    </cfRule>
  </conditionalFormatting>
  <conditionalFormatting sqref="R27">
    <cfRule type="cellIs" dxfId="439" priority="467" stopIfTrue="1" operator="lessThan">
      <formula>1</formula>
    </cfRule>
    <cfRule type="cellIs" dxfId="438" priority="468" stopIfTrue="1" operator="greaterThan">
      <formula>1</formula>
    </cfRule>
  </conditionalFormatting>
  <conditionalFormatting sqref="R28">
    <cfRule type="cellIs" dxfId="437" priority="465" stopIfTrue="1" operator="lessThan">
      <formula>1</formula>
    </cfRule>
    <cfRule type="cellIs" dxfId="436" priority="466" stopIfTrue="1" operator="greaterThan">
      <formula>1</formula>
    </cfRule>
  </conditionalFormatting>
  <conditionalFormatting sqref="R43">
    <cfRule type="cellIs" dxfId="435" priority="463" stopIfTrue="1" operator="lessThan">
      <formula>1</formula>
    </cfRule>
    <cfRule type="cellIs" dxfId="434" priority="464" stopIfTrue="1" operator="greaterThan">
      <formula>1</formula>
    </cfRule>
  </conditionalFormatting>
  <conditionalFormatting sqref="R44">
    <cfRule type="cellIs" dxfId="433" priority="461" stopIfTrue="1" operator="lessThan">
      <formula>1</formula>
    </cfRule>
    <cfRule type="cellIs" dxfId="432" priority="462" stopIfTrue="1" operator="greaterThan">
      <formula>1</formula>
    </cfRule>
  </conditionalFormatting>
  <conditionalFormatting sqref="R45">
    <cfRule type="cellIs" dxfId="431" priority="459" stopIfTrue="1" operator="lessThan">
      <formula>1</formula>
    </cfRule>
    <cfRule type="cellIs" dxfId="430" priority="460" stopIfTrue="1" operator="greaterThan">
      <formula>1</formula>
    </cfRule>
  </conditionalFormatting>
  <conditionalFormatting sqref="R50">
    <cfRule type="cellIs" dxfId="429" priority="457" stopIfTrue="1" operator="lessThan">
      <formula>1</formula>
    </cfRule>
    <cfRule type="cellIs" dxfId="428" priority="458" stopIfTrue="1" operator="greaterThan">
      <formula>1</formula>
    </cfRule>
  </conditionalFormatting>
  <conditionalFormatting sqref="R51">
    <cfRule type="cellIs" dxfId="427" priority="455" stopIfTrue="1" operator="lessThan">
      <formula>1</formula>
    </cfRule>
    <cfRule type="cellIs" dxfId="426" priority="456" stopIfTrue="1" operator="greaterThan">
      <formula>1</formula>
    </cfRule>
  </conditionalFormatting>
  <conditionalFormatting sqref="R52">
    <cfRule type="cellIs" dxfId="425" priority="453" stopIfTrue="1" operator="lessThan">
      <formula>1</formula>
    </cfRule>
    <cfRule type="cellIs" dxfId="424" priority="454" stopIfTrue="1" operator="greaterThan">
      <formula>1</formula>
    </cfRule>
  </conditionalFormatting>
  <conditionalFormatting sqref="R53">
    <cfRule type="cellIs" dxfId="423" priority="451" stopIfTrue="1" operator="lessThan">
      <formula>1</formula>
    </cfRule>
    <cfRule type="cellIs" dxfId="422" priority="452" stopIfTrue="1" operator="greaterThan">
      <formula>1</formula>
    </cfRule>
  </conditionalFormatting>
  <conditionalFormatting sqref="R48">
    <cfRule type="cellIs" dxfId="421" priority="445" stopIfTrue="1" operator="lessThan">
      <formula>1</formula>
    </cfRule>
    <cfRule type="cellIs" dxfId="420" priority="446" stopIfTrue="1" operator="greaterThan">
      <formula>1</formula>
    </cfRule>
  </conditionalFormatting>
  <conditionalFormatting sqref="R19">
    <cfRule type="cellIs" dxfId="419" priority="449" stopIfTrue="1" operator="lessThan">
      <formula>1</formula>
    </cfRule>
    <cfRule type="cellIs" dxfId="418" priority="450" stopIfTrue="1" operator="greaterThan">
      <formula>1</formula>
    </cfRule>
  </conditionalFormatting>
  <conditionalFormatting sqref="R47">
    <cfRule type="cellIs" dxfId="417" priority="447" stopIfTrue="1" operator="lessThan">
      <formula>1</formula>
    </cfRule>
    <cfRule type="cellIs" dxfId="416" priority="448" stopIfTrue="1" operator="greaterThan">
      <formula>1</formula>
    </cfRule>
  </conditionalFormatting>
  <conditionalFormatting sqref="R31">
    <cfRule type="cellIs" dxfId="415" priority="443" stopIfTrue="1" operator="lessThan">
      <formula>1</formula>
    </cfRule>
    <cfRule type="cellIs" dxfId="414" priority="444" stopIfTrue="1" operator="greaterThan">
      <formula>1</formula>
    </cfRule>
  </conditionalFormatting>
  <conditionalFormatting sqref="R32:R33">
    <cfRule type="cellIs" dxfId="413" priority="441" stopIfTrue="1" operator="lessThan">
      <formula>1</formula>
    </cfRule>
    <cfRule type="cellIs" dxfId="412" priority="442" stopIfTrue="1" operator="greaterThan">
      <formula>1</formula>
    </cfRule>
  </conditionalFormatting>
  <conditionalFormatting sqref="R13">
    <cfRule type="cellIs" dxfId="411" priority="439" stopIfTrue="1" operator="lessThan">
      <formula>1</formula>
    </cfRule>
    <cfRule type="cellIs" dxfId="410" priority="440" stopIfTrue="1" operator="greaterThan">
      <formula>1</formula>
    </cfRule>
  </conditionalFormatting>
  <conditionalFormatting sqref="R24">
    <cfRule type="cellIs" dxfId="409" priority="437" stopIfTrue="1" operator="lessThan">
      <formula>1</formula>
    </cfRule>
    <cfRule type="cellIs" dxfId="408" priority="438" stopIfTrue="1" operator="greaterThan">
      <formula>1</formula>
    </cfRule>
  </conditionalFormatting>
  <conditionalFormatting sqref="R29">
    <cfRule type="cellIs" dxfId="407" priority="435" stopIfTrue="1" operator="lessThan">
      <formula>1</formula>
    </cfRule>
    <cfRule type="cellIs" dxfId="406" priority="436" stopIfTrue="1" operator="greaterThan">
      <formula>1</formula>
    </cfRule>
  </conditionalFormatting>
  <conditionalFormatting sqref="R34">
    <cfRule type="cellIs" dxfId="405" priority="433" stopIfTrue="1" operator="lessThan">
      <formula>1</formula>
    </cfRule>
    <cfRule type="cellIs" dxfId="404" priority="434" stopIfTrue="1" operator="greaterThan">
      <formula>1</formula>
    </cfRule>
  </conditionalFormatting>
  <conditionalFormatting sqref="R36:R38 R40:R41">
    <cfRule type="cellIs" dxfId="403" priority="431" stopIfTrue="1" operator="lessThan">
      <formula>1</formula>
    </cfRule>
    <cfRule type="cellIs" dxfId="402" priority="432" stopIfTrue="1" operator="greaterThan">
      <formula>1</formula>
    </cfRule>
  </conditionalFormatting>
  <conditionalFormatting sqref="R39">
    <cfRule type="cellIs" dxfId="401" priority="429" stopIfTrue="1" operator="lessThan">
      <formula>1</formula>
    </cfRule>
    <cfRule type="cellIs" dxfId="400" priority="430" stopIfTrue="1" operator="greaterThan">
      <formula>1</formula>
    </cfRule>
  </conditionalFormatting>
  <conditionalFormatting sqref="R46">
    <cfRule type="cellIs" dxfId="399" priority="427" stopIfTrue="1" operator="lessThan">
      <formula>1</formula>
    </cfRule>
    <cfRule type="cellIs" dxfId="398" priority="428" stopIfTrue="1" operator="greaterThan">
      <formula>1</formula>
    </cfRule>
  </conditionalFormatting>
  <conditionalFormatting sqref="V10">
    <cfRule type="cellIs" dxfId="397" priority="421" stopIfTrue="1" operator="lessThan">
      <formula>1</formula>
    </cfRule>
    <cfRule type="cellIs" dxfId="396" priority="422" stopIfTrue="1" operator="greaterThan">
      <formula>1</formula>
    </cfRule>
  </conditionalFormatting>
  <conditionalFormatting sqref="V11">
    <cfRule type="cellIs" dxfId="395" priority="419" stopIfTrue="1" operator="lessThan">
      <formula>1</formula>
    </cfRule>
    <cfRule type="cellIs" dxfId="394" priority="420" stopIfTrue="1" operator="greaterThan">
      <formula>1</formula>
    </cfRule>
  </conditionalFormatting>
  <conditionalFormatting sqref="V12">
    <cfRule type="cellIs" dxfId="393" priority="417" stopIfTrue="1" operator="lessThan">
      <formula>1</formula>
    </cfRule>
    <cfRule type="cellIs" dxfId="392" priority="418" stopIfTrue="1" operator="greaterThan">
      <formula>1</formula>
    </cfRule>
  </conditionalFormatting>
  <conditionalFormatting sqref="V15">
    <cfRule type="cellIs" dxfId="391" priority="415" stopIfTrue="1" operator="lessThan">
      <formula>1</formula>
    </cfRule>
    <cfRule type="cellIs" dxfId="390" priority="416" stopIfTrue="1" operator="greaterThan">
      <formula>1</formula>
    </cfRule>
  </conditionalFormatting>
  <conditionalFormatting sqref="V16">
    <cfRule type="cellIs" dxfId="389" priority="413" stopIfTrue="1" operator="lessThan">
      <formula>1</formula>
    </cfRule>
    <cfRule type="cellIs" dxfId="388" priority="414" stopIfTrue="1" operator="greaterThan">
      <formula>1</formula>
    </cfRule>
  </conditionalFormatting>
  <conditionalFormatting sqref="V17">
    <cfRule type="cellIs" dxfId="387" priority="411" stopIfTrue="1" operator="lessThan">
      <formula>1</formula>
    </cfRule>
    <cfRule type="cellIs" dxfId="386" priority="412" stopIfTrue="1" operator="greaterThan">
      <formula>1</formula>
    </cfRule>
  </conditionalFormatting>
  <conditionalFormatting sqref="V18">
    <cfRule type="cellIs" dxfId="385" priority="409" stopIfTrue="1" operator="lessThan">
      <formula>1</formula>
    </cfRule>
    <cfRule type="cellIs" dxfId="384" priority="410" stopIfTrue="1" operator="greaterThan">
      <formula>1</formula>
    </cfRule>
  </conditionalFormatting>
  <conditionalFormatting sqref="V21">
    <cfRule type="cellIs" dxfId="383" priority="407" stopIfTrue="1" operator="lessThan">
      <formula>1</formula>
    </cfRule>
    <cfRule type="cellIs" dxfId="382" priority="408" stopIfTrue="1" operator="greaterThan">
      <formula>1</formula>
    </cfRule>
  </conditionalFormatting>
  <conditionalFormatting sqref="V22">
    <cfRule type="cellIs" dxfId="381" priority="405" stopIfTrue="1" operator="lessThan">
      <formula>1</formula>
    </cfRule>
    <cfRule type="cellIs" dxfId="380" priority="406" stopIfTrue="1" operator="greaterThan">
      <formula>1</formula>
    </cfRule>
  </conditionalFormatting>
  <conditionalFormatting sqref="V23">
    <cfRule type="cellIs" dxfId="379" priority="403" stopIfTrue="1" operator="lessThan">
      <formula>1</formula>
    </cfRule>
    <cfRule type="cellIs" dxfId="378" priority="404" stopIfTrue="1" operator="greaterThan">
      <formula>1</formula>
    </cfRule>
  </conditionalFormatting>
  <conditionalFormatting sqref="V26">
    <cfRule type="cellIs" dxfId="377" priority="401" stopIfTrue="1" operator="lessThan">
      <formula>1</formula>
    </cfRule>
    <cfRule type="cellIs" dxfId="376" priority="402" stopIfTrue="1" operator="greaterThan">
      <formula>1</formula>
    </cfRule>
  </conditionalFormatting>
  <conditionalFormatting sqref="V27">
    <cfRule type="cellIs" dxfId="375" priority="399" stopIfTrue="1" operator="lessThan">
      <formula>1</formula>
    </cfRule>
    <cfRule type="cellIs" dxfId="374" priority="400" stopIfTrue="1" operator="greaterThan">
      <formula>1</formula>
    </cfRule>
  </conditionalFormatting>
  <conditionalFormatting sqref="V28">
    <cfRule type="cellIs" dxfId="373" priority="397" stopIfTrue="1" operator="lessThan">
      <formula>1</formula>
    </cfRule>
    <cfRule type="cellIs" dxfId="372" priority="398" stopIfTrue="1" operator="greaterThan">
      <formula>1</formula>
    </cfRule>
  </conditionalFormatting>
  <conditionalFormatting sqref="V43">
    <cfRule type="cellIs" dxfId="371" priority="395" stopIfTrue="1" operator="lessThan">
      <formula>1</formula>
    </cfRule>
    <cfRule type="cellIs" dxfId="370" priority="396" stopIfTrue="1" operator="greaterThan">
      <formula>1</formula>
    </cfRule>
  </conditionalFormatting>
  <conditionalFormatting sqref="V44">
    <cfRule type="cellIs" dxfId="369" priority="393" stopIfTrue="1" operator="lessThan">
      <formula>1</formula>
    </cfRule>
    <cfRule type="cellIs" dxfId="368" priority="394" stopIfTrue="1" operator="greaterThan">
      <formula>1</formula>
    </cfRule>
  </conditionalFormatting>
  <conditionalFormatting sqref="V45">
    <cfRule type="cellIs" dxfId="367" priority="391" stopIfTrue="1" operator="lessThan">
      <formula>1</formula>
    </cfRule>
    <cfRule type="cellIs" dxfId="366" priority="392" stopIfTrue="1" operator="greaterThan">
      <formula>1</formula>
    </cfRule>
  </conditionalFormatting>
  <conditionalFormatting sqref="V50">
    <cfRule type="cellIs" dxfId="365" priority="389" stopIfTrue="1" operator="lessThan">
      <formula>1</formula>
    </cfRule>
    <cfRule type="cellIs" dxfId="364" priority="390" stopIfTrue="1" operator="greaterThan">
      <formula>1</formula>
    </cfRule>
  </conditionalFormatting>
  <conditionalFormatting sqref="V51">
    <cfRule type="cellIs" dxfId="363" priority="387" stopIfTrue="1" operator="lessThan">
      <formula>1</formula>
    </cfRule>
    <cfRule type="cellIs" dxfId="362" priority="388" stopIfTrue="1" operator="greaterThan">
      <formula>1</formula>
    </cfRule>
  </conditionalFormatting>
  <conditionalFormatting sqref="V52">
    <cfRule type="cellIs" dxfId="361" priority="385" stopIfTrue="1" operator="lessThan">
      <formula>1</formula>
    </cfRule>
    <cfRule type="cellIs" dxfId="360" priority="386" stopIfTrue="1" operator="greaterThan">
      <formula>1</formula>
    </cfRule>
  </conditionalFormatting>
  <conditionalFormatting sqref="V53">
    <cfRule type="cellIs" dxfId="359" priority="383" stopIfTrue="1" operator="lessThan">
      <formula>1</formula>
    </cfRule>
    <cfRule type="cellIs" dxfId="358" priority="384" stopIfTrue="1" operator="greaterThan">
      <formula>1</formula>
    </cfRule>
  </conditionalFormatting>
  <conditionalFormatting sqref="V48">
    <cfRule type="cellIs" dxfId="357" priority="377" stopIfTrue="1" operator="lessThan">
      <formula>1</formula>
    </cfRule>
    <cfRule type="cellIs" dxfId="356" priority="378" stopIfTrue="1" operator="greaterThan">
      <formula>1</formula>
    </cfRule>
  </conditionalFormatting>
  <conditionalFormatting sqref="V19">
    <cfRule type="cellIs" dxfId="355" priority="381" stopIfTrue="1" operator="lessThan">
      <formula>1</formula>
    </cfRule>
    <cfRule type="cellIs" dxfId="354" priority="382" stopIfTrue="1" operator="greaterThan">
      <formula>1</formula>
    </cfRule>
  </conditionalFormatting>
  <conditionalFormatting sqref="V47">
    <cfRule type="cellIs" dxfId="353" priority="379" stopIfTrue="1" operator="lessThan">
      <formula>1</formula>
    </cfRule>
    <cfRule type="cellIs" dxfId="352" priority="380" stopIfTrue="1" operator="greaterThan">
      <formula>1</formula>
    </cfRule>
  </conditionalFormatting>
  <conditionalFormatting sqref="V31">
    <cfRule type="cellIs" dxfId="351" priority="375" stopIfTrue="1" operator="lessThan">
      <formula>1</formula>
    </cfRule>
    <cfRule type="cellIs" dxfId="350" priority="376" stopIfTrue="1" operator="greaterThan">
      <formula>1</formula>
    </cfRule>
  </conditionalFormatting>
  <conditionalFormatting sqref="V32:V33">
    <cfRule type="cellIs" dxfId="349" priority="373" stopIfTrue="1" operator="lessThan">
      <formula>1</formula>
    </cfRule>
    <cfRule type="cellIs" dxfId="348" priority="374" stopIfTrue="1" operator="greaterThan">
      <formula>1</formula>
    </cfRule>
  </conditionalFormatting>
  <conditionalFormatting sqref="V13">
    <cfRule type="cellIs" dxfId="347" priority="371" stopIfTrue="1" operator="lessThan">
      <formula>1</formula>
    </cfRule>
    <cfRule type="cellIs" dxfId="346" priority="372" stopIfTrue="1" operator="greaterThan">
      <formula>1</formula>
    </cfRule>
  </conditionalFormatting>
  <conditionalFormatting sqref="V24">
    <cfRule type="cellIs" dxfId="345" priority="369" stopIfTrue="1" operator="lessThan">
      <formula>1</formula>
    </cfRule>
    <cfRule type="cellIs" dxfId="344" priority="370" stopIfTrue="1" operator="greaterThan">
      <formula>1</formula>
    </cfRule>
  </conditionalFormatting>
  <conditionalFormatting sqref="V29">
    <cfRule type="cellIs" dxfId="343" priority="367" stopIfTrue="1" operator="lessThan">
      <formula>1</formula>
    </cfRule>
    <cfRule type="cellIs" dxfId="342" priority="368" stopIfTrue="1" operator="greaterThan">
      <formula>1</formula>
    </cfRule>
  </conditionalFormatting>
  <conditionalFormatting sqref="V34">
    <cfRule type="cellIs" dxfId="341" priority="365" stopIfTrue="1" operator="lessThan">
      <formula>1</formula>
    </cfRule>
    <cfRule type="cellIs" dxfId="340" priority="366" stopIfTrue="1" operator="greaterThan">
      <formula>1</formula>
    </cfRule>
  </conditionalFormatting>
  <conditionalFormatting sqref="V36:V38 V40:V41">
    <cfRule type="cellIs" dxfId="339" priority="363" stopIfTrue="1" operator="lessThan">
      <formula>1</formula>
    </cfRule>
    <cfRule type="cellIs" dxfId="338" priority="364" stopIfTrue="1" operator="greaterThan">
      <formula>1</formula>
    </cfRule>
  </conditionalFormatting>
  <conditionalFormatting sqref="V39">
    <cfRule type="cellIs" dxfId="337" priority="361" stopIfTrue="1" operator="lessThan">
      <formula>1</formula>
    </cfRule>
    <cfRule type="cellIs" dxfId="336" priority="362" stopIfTrue="1" operator="greaterThan">
      <formula>1</formula>
    </cfRule>
  </conditionalFormatting>
  <conditionalFormatting sqref="V46">
    <cfRule type="cellIs" dxfId="335" priority="359" stopIfTrue="1" operator="lessThan">
      <formula>1</formula>
    </cfRule>
    <cfRule type="cellIs" dxfId="334" priority="360" stopIfTrue="1" operator="greaterThan">
      <formula>1</formula>
    </cfRule>
  </conditionalFormatting>
  <conditionalFormatting sqref="Z10">
    <cfRule type="cellIs" dxfId="333" priority="353" stopIfTrue="1" operator="lessThan">
      <formula>1</formula>
    </cfRule>
    <cfRule type="cellIs" dxfId="332" priority="354" stopIfTrue="1" operator="greaterThan">
      <formula>1</formula>
    </cfRule>
  </conditionalFormatting>
  <conditionalFormatting sqref="Z11">
    <cfRule type="cellIs" dxfId="331" priority="351" stopIfTrue="1" operator="lessThan">
      <formula>1</formula>
    </cfRule>
    <cfRule type="cellIs" dxfId="330" priority="352" stopIfTrue="1" operator="greaterThan">
      <formula>1</formula>
    </cfRule>
  </conditionalFormatting>
  <conditionalFormatting sqref="Z12">
    <cfRule type="cellIs" dxfId="329" priority="349" stopIfTrue="1" operator="lessThan">
      <formula>1</formula>
    </cfRule>
    <cfRule type="cellIs" dxfId="328" priority="350" stopIfTrue="1" operator="greaterThan">
      <formula>1</formula>
    </cfRule>
  </conditionalFormatting>
  <conditionalFormatting sqref="Z15">
    <cfRule type="cellIs" dxfId="327" priority="347" stopIfTrue="1" operator="lessThan">
      <formula>1</formula>
    </cfRule>
    <cfRule type="cellIs" dxfId="326" priority="348" stopIfTrue="1" operator="greaterThan">
      <formula>1</formula>
    </cfRule>
  </conditionalFormatting>
  <conditionalFormatting sqref="Z16">
    <cfRule type="cellIs" dxfId="325" priority="345" stopIfTrue="1" operator="lessThan">
      <formula>1</formula>
    </cfRule>
    <cfRule type="cellIs" dxfId="324" priority="346" stopIfTrue="1" operator="greaterThan">
      <formula>1</formula>
    </cfRule>
  </conditionalFormatting>
  <conditionalFormatting sqref="Z17">
    <cfRule type="cellIs" dxfId="323" priority="343" stopIfTrue="1" operator="lessThan">
      <formula>1</formula>
    </cfRule>
    <cfRule type="cellIs" dxfId="322" priority="344" stopIfTrue="1" operator="greaterThan">
      <formula>1</formula>
    </cfRule>
  </conditionalFormatting>
  <conditionalFormatting sqref="Z18">
    <cfRule type="cellIs" dxfId="321" priority="341" stopIfTrue="1" operator="lessThan">
      <formula>1</formula>
    </cfRule>
    <cfRule type="cellIs" dxfId="320" priority="342" stopIfTrue="1" operator="greaterThan">
      <formula>1</formula>
    </cfRule>
  </conditionalFormatting>
  <conditionalFormatting sqref="Z21">
    <cfRule type="cellIs" dxfId="319" priority="339" stopIfTrue="1" operator="lessThan">
      <formula>1</formula>
    </cfRule>
    <cfRule type="cellIs" dxfId="318" priority="340" stopIfTrue="1" operator="greaterThan">
      <formula>1</formula>
    </cfRule>
  </conditionalFormatting>
  <conditionalFormatting sqref="Z22">
    <cfRule type="cellIs" dxfId="317" priority="337" stopIfTrue="1" operator="lessThan">
      <formula>1</formula>
    </cfRule>
    <cfRule type="cellIs" dxfId="316" priority="338" stopIfTrue="1" operator="greaterThan">
      <formula>1</formula>
    </cfRule>
  </conditionalFormatting>
  <conditionalFormatting sqref="Z23">
    <cfRule type="cellIs" dxfId="315" priority="335" stopIfTrue="1" operator="lessThan">
      <formula>1</formula>
    </cfRule>
    <cfRule type="cellIs" dxfId="314" priority="336" stopIfTrue="1" operator="greaterThan">
      <formula>1</formula>
    </cfRule>
  </conditionalFormatting>
  <conditionalFormatting sqref="Z26">
    <cfRule type="cellIs" dxfId="313" priority="333" stopIfTrue="1" operator="lessThan">
      <formula>1</formula>
    </cfRule>
    <cfRule type="cellIs" dxfId="312" priority="334" stopIfTrue="1" operator="greaterThan">
      <formula>1</formula>
    </cfRule>
  </conditionalFormatting>
  <conditionalFormatting sqref="Z27">
    <cfRule type="cellIs" dxfId="311" priority="331" stopIfTrue="1" operator="lessThan">
      <formula>1</formula>
    </cfRule>
    <cfRule type="cellIs" dxfId="310" priority="332" stopIfTrue="1" operator="greaterThan">
      <formula>1</formula>
    </cfRule>
  </conditionalFormatting>
  <conditionalFormatting sqref="Z28">
    <cfRule type="cellIs" dxfId="309" priority="329" stopIfTrue="1" operator="lessThan">
      <formula>1</formula>
    </cfRule>
    <cfRule type="cellIs" dxfId="308" priority="330" stopIfTrue="1" operator="greaterThan">
      <formula>1</formula>
    </cfRule>
  </conditionalFormatting>
  <conditionalFormatting sqref="Z43">
    <cfRule type="cellIs" dxfId="307" priority="327" stopIfTrue="1" operator="lessThan">
      <formula>1</formula>
    </cfRule>
    <cfRule type="cellIs" dxfId="306" priority="328" stopIfTrue="1" operator="greaterThan">
      <formula>1</formula>
    </cfRule>
  </conditionalFormatting>
  <conditionalFormatting sqref="Z44">
    <cfRule type="cellIs" dxfId="305" priority="325" stopIfTrue="1" operator="lessThan">
      <formula>1</formula>
    </cfRule>
    <cfRule type="cellIs" dxfId="304" priority="326" stopIfTrue="1" operator="greaterThan">
      <formula>1</formula>
    </cfRule>
  </conditionalFormatting>
  <conditionalFormatting sqref="Z45">
    <cfRule type="cellIs" dxfId="303" priority="323" stopIfTrue="1" operator="lessThan">
      <formula>1</formula>
    </cfRule>
    <cfRule type="cellIs" dxfId="302" priority="324" stopIfTrue="1" operator="greaterThan">
      <formula>1</formula>
    </cfRule>
  </conditionalFormatting>
  <conditionalFormatting sqref="Z50">
    <cfRule type="cellIs" dxfId="301" priority="321" stopIfTrue="1" operator="lessThan">
      <formula>1</formula>
    </cfRule>
    <cfRule type="cellIs" dxfId="300" priority="322" stopIfTrue="1" operator="greaterThan">
      <formula>1</formula>
    </cfRule>
  </conditionalFormatting>
  <conditionalFormatting sqref="Z51">
    <cfRule type="cellIs" dxfId="299" priority="319" stopIfTrue="1" operator="lessThan">
      <formula>1</formula>
    </cfRule>
    <cfRule type="cellIs" dxfId="298" priority="320" stopIfTrue="1" operator="greaterThan">
      <formula>1</formula>
    </cfRule>
  </conditionalFormatting>
  <conditionalFormatting sqref="Z52">
    <cfRule type="cellIs" dxfId="297" priority="317" stopIfTrue="1" operator="lessThan">
      <formula>1</formula>
    </cfRule>
    <cfRule type="cellIs" dxfId="296" priority="318" stopIfTrue="1" operator="greaterThan">
      <formula>1</formula>
    </cfRule>
  </conditionalFormatting>
  <conditionalFormatting sqref="Z53">
    <cfRule type="cellIs" dxfId="295" priority="315" stopIfTrue="1" operator="lessThan">
      <formula>1</formula>
    </cfRule>
    <cfRule type="cellIs" dxfId="294" priority="316" stopIfTrue="1" operator="greaterThan">
      <formula>1</formula>
    </cfRule>
  </conditionalFormatting>
  <conditionalFormatting sqref="Z48">
    <cfRule type="cellIs" dxfId="293" priority="309" stopIfTrue="1" operator="lessThan">
      <formula>1</formula>
    </cfRule>
    <cfRule type="cellIs" dxfId="292" priority="310" stopIfTrue="1" operator="greaterThan">
      <formula>1</formula>
    </cfRule>
  </conditionalFormatting>
  <conditionalFormatting sqref="Z19">
    <cfRule type="cellIs" dxfId="291" priority="313" stopIfTrue="1" operator="lessThan">
      <formula>1</formula>
    </cfRule>
    <cfRule type="cellIs" dxfId="290" priority="314" stopIfTrue="1" operator="greaterThan">
      <formula>1</formula>
    </cfRule>
  </conditionalFormatting>
  <conditionalFormatting sqref="Z47">
    <cfRule type="cellIs" dxfId="289" priority="311" stopIfTrue="1" operator="lessThan">
      <formula>1</formula>
    </cfRule>
    <cfRule type="cellIs" dxfId="288" priority="312" stopIfTrue="1" operator="greaterThan">
      <formula>1</formula>
    </cfRule>
  </conditionalFormatting>
  <conditionalFormatting sqref="Z31">
    <cfRule type="cellIs" dxfId="287" priority="307" stopIfTrue="1" operator="lessThan">
      <formula>1</formula>
    </cfRule>
    <cfRule type="cellIs" dxfId="286" priority="308" stopIfTrue="1" operator="greaterThan">
      <formula>1</formula>
    </cfRule>
  </conditionalFormatting>
  <conditionalFormatting sqref="Z32:Z33">
    <cfRule type="cellIs" dxfId="285" priority="305" stopIfTrue="1" operator="lessThan">
      <formula>1</formula>
    </cfRule>
    <cfRule type="cellIs" dxfId="284" priority="306" stopIfTrue="1" operator="greaterThan">
      <formula>1</formula>
    </cfRule>
  </conditionalFormatting>
  <conditionalFormatting sqref="Z13">
    <cfRule type="cellIs" dxfId="283" priority="303" stopIfTrue="1" operator="lessThan">
      <formula>1</formula>
    </cfRule>
    <cfRule type="cellIs" dxfId="282" priority="304" stopIfTrue="1" operator="greaterThan">
      <formula>1</formula>
    </cfRule>
  </conditionalFormatting>
  <conditionalFormatting sqref="Z24">
    <cfRule type="cellIs" dxfId="281" priority="301" stopIfTrue="1" operator="lessThan">
      <formula>1</formula>
    </cfRule>
    <cfRule type="cellIs" dxfId="280" priority="302" stopIfTrue="1" operator="greaterThan">
      <formula>1</formula>
    </cfRule>
  </conditionalFormatting>
  <conditionalFormatting sqref="Z29">
    <cfRule type="cellIs" dxfId="279" priority="299" stopIfTrue="1" operator="lessThan">
      <formula>1</formula>
    </cfRule>
    <cfRule type="cellIs" dxfId="278" priority="300" stopIfTrue="1" operator="greaterThan">
      <formula>1</formula>
    </cfRule>
  </conditionalFormatting>
  <conditionalFormatting sqref="Z34">
    <cfRule type="cellIs" dxfId="277" priority="297" stopIfTrue="1" operator="lessThan">
      <formula>1</formula>
    </cfRule>
    <cfRule type="cellIs" dxfId="276" priority="298" stopIfTrue="1" operator="greaterThan">
      <formula>1</formula>
    </cfRule>
  </conditionalFormatting>
  <conditionalFormatting sqref="Z36:Z38 Z40:Z41">
    <cfRule type="cellIs" dxfId="275" priority="295" stopIfTrue="1" operator="lessThan">
      <formula>1</formula>
    </cfRule>
    <cfRule type="cellIs" dxfId="274" priority="296" stopIfTrue="1" operator="greaterThan">
      <formula>1</formula>
    </cfRule>
  </conditionalFormatting>
  <conditionalFormatting sqref="Z39">
    <cfRule type="cellIs" dxfId="273" priority="293" stopIfTrue="1" operator="lessThan">
      <formula>1</formula>
    </cfRule>
    <cfRule type="cellIs" dxfId="272" priority="294" stopIfTrue="1" operator="greaterThan">
      <formula>1</formula>
    </cfRule>
  </conditionalFormatting>
  <conditionalFormatting sqref="Z46">
    <cfRule type="cellIs" dxfId="271" priority="291" stopIfTrue="1" operator="lessThan">
      <formula>1</formula>
    </cfRule>
    <cfRule type="cellIs" dxfId="270" priority="292" stopIfTrue="1" operator="greaterThan">
      <formula>1</formula>
    </cfRule>
  </conditionalFormatting>
  <conditionalFormatting sqref="AD10">
    <cfRule type="cellIs" dxfId="269" priority="285" stopIfTrue="1" operator="lessThan">
      <formula>1</formula>
    </cfRule>
    <cfRule type="cellIs" dxfId="268" priority="286" stopIfTrue="1" operator="greaterThan">
      <formula>1</formula>
    </cfRule>
  </conditionalFormatting>
  <conditionalFormatting sqref="AD11">
    <cfRule type="cellIs" dxfId="267" priority="283" stopIfTrue="1" operator="lessThan">
      <formula>1</formula>
    </cfRule>
    <cfRule type="cellIs" dxfId="266" priority="284" stopIfTrue="1" operator="greaterThan">
      <formula>1</formula>
    </cfRule>
  </conditionalFormatting>
  <conditionalFormatting sqref="AD12">
    <cfRule type="cellIs" dxfId="265" priority="281" stopIfTrue="1" operator="lessThan">
      <formula>1</formula>
    </cfRule>
    <cfRule type="cellIs" dxfId="264" priority="282" stopIfTrue="1" operator="greaterThan">
      <formula>1</formula>
    </cfRule>
  </conditionalFormatting>
  <conditionalFormatting sqref="AD15">
    <cfRule type="cellIs" dxfId="263" priority="279" stopIfTrue="1" operator="lessThan">
      <formula>1</formula>
    </cfRule>
    <cfRule type="cellIs" dxfId="262" priority="280" stopIfTrue="1" operator="greaterThan">
      <formula>1</formula>
    </cfRule>
  </conditionalFormatting>
  <conditionalFormatting sqref="AD16">
    <cfRule type="cellIs" dxfId="261" priority="277" stopIfTrue="1" operator="lessThan">
      <formula>1</formula>
    </cfRule>
    <cfRule type="cellIs" dxfId="260" priority="278" stopIfTrue="1" operator="greaterThan">
      <formula>1</formula>
    </cfRule>
  </conditionalFormatting>
  <conditionalFormatting sqref="AD17">
    <cfRule type="cellIs" dxfId="259" priority="275" stopIfTrue="1" operator="lessThan">
      <formula>1</formula>
    </cfRule>
    <cfRule type="cellIs" dxfId="258" priority="276" stopIfTrue="1" operator="greaterThan">
      <formula>1</formula>
    </cfRule>
  </conditionalFormatting>
  <conditionalFormatting sqref="AD18">
    <cfRule type="cellIs" dxfId="257" priority="273" stopIfTrue="1" operator="lessThan">
      <formula>1</formula>
    </cfRule>
    <cfRule type="cellIs" dxfId="256" priority="274" stopIfTrue="1" operator="greaterThan">
      <formula>1</formula>
    </cfRule>
  </conditionalFormatting>
  <conditionalFormatting sqref="AD21">
    <cfRule type="cellIs" dxfId="255" priority="271" stopIfTrue="1" operator="lessThan">
      <formula>1</formula>
    </cfRule>
    <cfRule type="cellIs" dxfId="254" priority="272" stopIfTrue="1" operator="greaterThan">
      <formula>1</formula>
    </cfRule>
  </conditionalFormatting>
  <conditionalFormatting sqref="AD22">
    <cfRule type="cellIs" dxfId="253" priority="269" stopIfTrue="1" operator="lessThan">
      <formula>1</formula>
    </cfRule>
    <cfRule type="cellIs" dxfId="252" priority="270" stopIfTrue="1" operator="greaterThan">
      <formula>1</formula>
    </cfRule>
  </conditionalFormatting>
  <conditionalFormatting sqref="AD23">
    <cfRule type="cellIs" dxfId="251" priority="267" stopIfTrue="1" operator="lessThan">
      <formula>1</formula>
    </cfRule>
    <cfRule type="cellIs" dxfId="250" priority="268" stopIfTrue="1" operator="greaterThan">
      <formula>1</formula>
    </cfRule>
  </conditionalFormatting>
  <conditionalFormatting sqref="AD26">
    <cfRule type="cellIs" dxfId="249" priority="265" stopIfTrue="1" operator="lessThan">
      <formula>1</formula>
    </cfRule>
    <cfRule type="cellIs" dxfId="248" priority="266" stopIfTrue="1" operator="greaterThan">
      <formula>1</formula>
    </cfRule>
  </conditionalFormatting>
  <conditionalFormatting sqref="AD27">
    <cfRule type="cellIs" dxfId="247" priority="263" stopIfTrue="1" operator="lessThan">
      <formula>1</formula>
    </cfRule>
    <cfRule type="cellIs" dxfId="246" priority="264" stopIfTrue="1" operator="greaterThan">
      <formula>1</formula>
    </cfRule>
  </conditionalFormatting>
  <conditionalFormatting sqref="AD28">
    <cfRule type="cellIs" dxfId="245" priority="261" stopIfTrue="1" operator="lessThan">
      <formula>1</formula>
    </cfRule>
    <cfRule type="cellIs" dxfId="244" priority="262" stopIfTrue="1" operator="greaterThan">
      <formula>1</formula>
    </cfRule>
  </conditionalFormatting>
  <conditionalFormatting sqref="AD43">
    <cfRule type="cellIs" dxfId="243" priority="259" stopIfTrue="1" operator="lessThan">
      <formula>1</formula>
    </cfRule>
    <cfRule type="cellIs" dxfId="242" priority="260" stopIfTrue="1" operator="greaterThan">
      <formula>1</formula>
    </cfRule>
  </conditionalFormatting>
  <conditionalFormatting sqref="AD44">
    <cfRule type="cellIs" dxfId="241" priority="257" stopIfTrue="1" operator="lessThan">
      <formula>1</formula>
    </cfRule>
    <cfRule type="cellIs" dxfId="240" priority="258" stopIfTrue="1" operator="greaterThan">
      <formula>1</formula>
    </cfRule>
  </conditionalFormatting>
  <conditionalFormatting sqref="AD45">
    <cfRule type="cellIs" dxfId="239" priority="255" stopIfTrue="1" operator="lessThan">
      <formula>1</formula>
    </cfRule>
    <cfRule type="cellIs" dxfId="238" priority="256" stopIfTrue="1" operator="greaterThan">
      <formula>1</formula>
    </cfRule>
  </conditionalFormatting>
  <conditionalFormatting sqref="AD50">
    <cfRule type="cellIs" dxfId="237" priority="253" stopIfTrue="1" operator="lessThan">
      <formula>1</formula>
    </cfRule>
    <cfRule type="cellIs" dxfId="236" priority="254" stopIfTrue="1" operator="greaterThan">
      <formula>1</formula>
    </cfRule>
  </conditionalFormatting>
  <conditionalFormatting sqref="AD51">
    <cfRule type="cellIs" dxfId="235" priority="251" stopIfTrue="1" operator="lessThan">
      <formula>1</formula>
    </cfRule>
    <cfRule type="cellIs" dxfId="234" priority="252" stopIfTrue="1" operator="greaterThan">
      <formula>1</formula>
    </cfRule>
  </conditionalFormatting>
  <conditionalFormatting sqref="AD52">
    <cfRule type="cellIs" dxfId="233" priority="249" stopIfTrue="1" operator="lessThan">
      <formula>1</formula>
    </cfRule>
    <cfRule type="cellIs" dxfId="232" priority="250" stopIfTrue="1" operator="greaterThan">
      <formula>1</formula>
    </cfRule>
  </conditionalFormatting>
  <conditionalFormatting sqref="AD53">
    <cfRule type="cellIs" dxfId="231" priority="247" stopIfTrue="1" operator="lessThan">
      <formula>1</formula>
    </cfRule>
    <cfRule type="cellIs" dxfId="230" priority="248" stopIfTrue="1" operator="greaterThan">
      <formula>1</formula>
    </cfRule>
  </conditionalFormatting>
  <conditionalFormatting sqref="AD48">
    <cfRule type="cellIs" dxfId="229" priority="241" stopIfTrue="1" operator="lessThan">
      <formula>1</formula>
    </cfRule>
    <cfRule type="cellIs" dxfId="228" priority="242" stopIfTrue="1" operator="greaterThan">
      <formula>1</formula>
    </cfRule>
  </conditionalFormatting>
  <conditionalFormatting sqref="AD19">
    <cfRule type="cellIs" dxfId="227" priority="245" stopIfTrue="1" operator="lessThan">
      <formula>1</formula>
    </cfRule>
    <cfRule type="cellIs" dxfId="226" priority="246" stopIfTrue="1" operator="greaterThan">
      <formula>1</formula>
    </cfRule>
  </conditionalFormatting>
  <conditionalFormatting sqref="AD47">
    <cfRule type="cellIs" dxfId="225" priority="243" stopIfTrue="1" operator="lessThan">
      <formula>1</formula>
    </cfRule>
    <cfRule type="cellIs" dxfId="224" priority="244" stopIfTrue="1" operator="greaterThan">
      <formula>1</formula>
    </cfRule>
  </conditionalFormatting>
  <conditionalFormatting sqref="AD31">
    <cfRule type="cellIs" dxfId="223" priority="239" stopIfTrue="1" operator="lessThan">
      <formula>1</formula>
    </cfRule>
    <cfRule type="cellIs" dxfId="222" priority="240" stopIfTrue="1" operator="greaterThan">
      <formula>1</formula>
    </cfRule>
  </conditionalFormatting>
  <conditionalFormatting sqref="AD32:AD33">
    <cfRule type="cellIs" dxfId="221" priority="237" stopIfTrue="1" operator="lessThan">
      <formula>1</formula>
    </cfRule>
    <cfRule type="cellIs" dxfId="220" priority="238" stopIfTrue="1" operator="greaterThan">
      <formula>1</formula>
    </cfRule>
  </conditionalFormatting>
  <conditionalFormatting sqref="AD13">
    <cfRule type="cellIs" dxfId="219" priority="235" stopIfTrue="1" operator="lessThan">
      <formula>1</formula>
    </cfRule>
    <cfRule type="cellIs" dxfId="218" priority="236" stopIfTrue="1" operator="greaterThan">
      <formula>1</formula>
    </cfRule>
  </conditionalFormatting>
  <conditionalFormatting sqref="AD24">
    <cfRule type="cellIs" dxfId="217" priority="233" stopIfTrue="1" operator="lessThan">
      <formula>1</formula>
    </cfRule>
    <cfRule type="cellIs" dxfId="216" priority="234" stopIfTrue="1" operator="greaterThan">
      <formula>1</formula>
    </cfRule>
  </conditionalFormatting>
  <conditionalFormatting sqref="AD29">
    <cfRule type="cellIs" dxfId="215" priority="231" stopIfTrue="1" operator="lessThan">
      <formula>1</formula>
    </cfRule>
    <cfRule type="cellIs" dxfId="214" priority="232" stopIfTrue="1" operator="greaterThan">
      <formula>1</formula>
    </cfRule>
  </conditionalFormatting>
  <conditionalFormatting sqref="AD34">
    <cfRule type="cellIs" dxfId="213" priority="229" stopIfTrue="1" operator="lessThan">
      <formula>1</formula>
    </cfRule>
    <cfRule type="cellIs" dxfId="212" priority="230" stopIfTrue="1" operator="greaterThan">
      <formula>1</formula>
    </cfRule>
  </conditionalFormatting>
  <conditionalFormatting sqref="AD36:AD38 AD40:AD41">
    <cfRule type="cellIs" dxfId="211" priority="227" stopIfTrue="1" operator="lessThan">
      <formula>1</formula>
    </cfRule>
    <cfRule type="cellIs" dxfId="210" priority="228" stopIfTrue="1" operator="greaterThan">
      <formula>1</formula>
    </cfRule>
  </conditionalFormatting>
  <conditionalFormatting sqref="AD39">
    <cfRule type="cellIs" dxfId="209" priority="225" stopIfTrue="1" operator="lessThan">
      <formula>1</formula>
    </cfRule>
    <cfRule type="cellIs" dxfId="208" priority="226" stopIfTrue="1" operator="greaterThan">
      <formula>1</formula>
    </cfRule>
  </conditionalFormatting>
  <conditionalFormatting sqref="AD46">
    <cfRule type="cellIs" dxfId="207" priority="223" stopIfTrue="1" operator="lessThan">
      <formula>1</formula>
    </cfRule>
    <cfRule type="cellIs" dxfId="206" priority="224" stopIfTrue="1" operator="greaterThan">
      <formula>1</formula>
    </cfRule>
  </conditionalFormatting>
  <conditionalFormatting sqref="AH10">
    <cfRule type="cellIs" dxfId="205" priority="217" stopIfTrue="1" operator="lessThan">
      <formula>1</formula>
    </cfRule>
    <cfRule type="cellIs" dxfId="204" priority="218" stopIfTrue="1" operator="greaterThan">
      <formula>1</formula>
    </cfRule>
  </conditionalFormatting>
  <conditionalFormatting sqref="AH11">
    <cfRule type="cellIs" dxfId="203" priority="215" stopIfTrue="1" operator="lessThan">
      <formula>1</formula>
    </cfRule>
    <cfRule type="cellIs" dxfId="202" priority="216" stopIfTrue="1" operator="greaterThan">
      <formula>1</formula>
    </cfRule>
  </conditionalFormatting>
  <conditionalFormatting sqref="AH12">
    <cfRule type="cellIs" dxfId="201" priority="213" stopIfTrue="1" operator="lessThan">
      <formula>1</formula>
    </cfRule>
    <cfRule type="cellIs" dxfId="200" priority="214" stopIfTrue="1" operator="greaterThan">
      <formula>1</formula>
    </cfRule>
  </conditionalFormatting>
  <conditionalFormatting sqref="AH15">
    <cfRule type="cellIs" dxfId="199" priority="211" stopIfTrue="1" operator="lessThan">
      <formula>1</formula>
    </cfRule>
    <cfRule type="cellIs" dxfId="198" priority="212" stopIfTrue="1" operator="greaterThan">
      <formula>1</formula>
    </cfRule>
  </conditionalFormatting>
  <conditionalFormatting sqref="AH16">
    <cfRule type="cellIs" dxfId="197" priority="209" stopIfTrue="1" operator="lessThan">
      <formula>1</formula>
    </cfRule>
    <cfRule type="cellIs" dxfId="196" priority="210" stopIfTrue="1" operator="greaterThan">
      <formula>1</formula>
    </cfRule>
  </conditionalFormatting>
  <conditionalFormatting sqref="AH17">
    <cfRule type="cellIs" dxfId="195" priority="207" stopIfTrue="1" operator="lessThan">
      <formula>1</formula>
    </cfRule>
    <cfRule type="cellIs" dxfId="194" priority="208" stopIfTrue="1" operator="greaterThan">
      <formula>1</formula>
    </cfRule>
  </conditionalFormatting>
  <conditionalFormatting sqref="AH18">
    <cfRule type="cellIs" dxfId="193" priority="205" stopIfTrue="1" operator="lessThan">
      <formula>1</formula>
    </cfRule>
    <cfRule type="cellIs" dxfId="192" priority="206" stopIfTrue="1" operator="greaterThan">
      <formula>1</formula>
    </cfRule>
  </conditionalFormatting>
  <conditionalFormatting sqref="AH21">
    <cfRule type="cellIs" dxfId="191" priority="203" stopIfTrue="1" operator="lessThan">
      <formula>1</formula>
    </cfRule>
    <cfRule type="cellIs" dxfId="190" priority="204" stopIfTrue="1" operator="greaterThan">
      <formula>1</formula>
    </cfRule>
  </conditionalFormatting>
  <conditionalFormatting sqref="AH22">
    <cfRule type="cellIs" dxfId="189" priority="201" stopIfTrue="1" operator="lessThan">
      <formula>1</formula>
    </cfRule>
    <cfRule type="cellIs" dxfId="188" priority="202" stopIfTrue="1" operator="greaterThan">
      <formula>1</formula>
    </cfRule>
  </conditionalFormatting>
  <conditionalFormatting sqref="AH23">
    <cfRule type="cellIs" dxfId="187" priority="199" stopIfTrue="1" operator="lessThan">
      <formula>1</formula>
    </cfRule>
    <cfRule type="cellIs" dxfId="186" priority="200" stopIfTrue="1" operator="greaterThan">
      <formula>1</formula>
    </cfRule>
  </conditionalFormatting>
  <conditionalFormatting sqref="AH26">
    <cfRule type="cellIs" dxfId="185" priority="197" stopIfTrue="1" operator="lessThan">
      <formula>1</formula>
    </cfRule>
    <cfRule type="cellIs" dxfId="184" priority="198" stopIfTrue="1" operator="greaterThan">
      <formula>1</formula>
    </cfRule>
  </conditionalFormatting>
  <conditionalFormatting sqref="AH27">
    <cfRule type="cellIs" dxfId="183" priority="195" stopIfTrue="1" operator="lessThan">
      <formula>1</formula>
    </cfRule>
    <cfRule type="cellIs" dxfId="182" priority="196" stopIfTrue="1" operator="greaterThan">
      <formula>1</formula>
    </cfRule>
  </conditionalFormatting>
  <conditionalFormatting sqref="AH28">
    <cfRule type="cellIs" dxfId="181" priority="193" stopIfTrue="1" operator="lessThan">
      <formula>1</formula>
    </cfRule>
    <cfRule type="cellIs" dxfId="180" priority="194" stopIfTrue="1" operator="greaterThan">
      <formula>1</formula>
    </cfRule>
  </conditionalFormatting>
  <conditionalFormatting sqref="AH43">
    <cfRule type="cellIs" dxfId="179" priority="191" stopIfTrue="1" operator="lessThan">
      <formula>1</formula>
    </cfRule>
    <cfRule type="cellIs" dxfId="178" priority="192" stopIfTrue="1" operator="greaterThan">
      <formula>1</formula>
    </cfRule>
  </conditionalFormatting>
  <conditionalFormatting sqref="AH44">
    <cfRule type="cellIs" dxfId="177" priority="189" stopIfTrue="1" operator="lessThan">
      <formula>1</formula>
    </cfRule>
    <cfRule type="cellIs" dxfId="176" priority="190" stopIfTrue="1" operator="greaterThan">
      <formula>1</formula>
    </cfRule>
  </conditionalFormatting>
  <conditionalFormatting sqref="AH45">
    <cfRule type="cellIs" dxfId="175" priority="187" stopIfTrue="1" operator="lessThan">
      <formula>1</formula>
    </cfRule>
    <cfRule type="cellIs" dxfId="174" priority="188" stopIfTrue="1" operator="greaterThan">
      <formula>1</formula>
    </cfRule>
  </conditionalFormatting>
  <conditionalFormatting sqref="AH50">
    <cfRule type="cellIs" dxfId="173" priority="185" stopIfTrue="1" operator="lessThan">
      <formula>1</formula>
    </cfRule>
    <cfRule type="cellIs" dxfId="172" priority="186" stopIfTrue="1" operator="greaterThan">
      <formula>1</formula>
    </cfRule>
  </conditionalFormatting>
  <conditionalFormatting sqref="AH51">
    <cfRule type="cellIs" dxfId="171" priority="183" stopIfTrue="1" operator="lessThan">
      <formula>1</formula>
    </cfRule>
    <cfRule type="cellIs" dxfId="170" priority="184" stopIfTrue="1" operator="greaterThan">
      <formula>1</formula>
    </cfRule>
  </conditionalFormatting>
  <conditionalFormatting sqref="AH52">
    <cfRule type="cellIs" dxfId="169" priority="181" stopIfTrue="1" operator="lessThan">
      <formula>1</formula>
    </cfRule>
    <cfRule type="cellIs" dxfId="168" priority="182" stopIfTrue="1" operator="greaterThan">
      <formula>1</formula>
    </cfRule>
  </conditionalFormatting>
  <conditionalFormatting sqref="AH53">
    <cfRule type="cellIs" dxfId="167" priority="179" stopIfTrue="1" operator="lessThan">
      <formula>1</formula>
    </cfRule>
    <cfRule type="cellIs" dxfId="166" priority="180" stopIfTrue="1" operator="greaterThan">
      <formula>1</formula>
    </cfRule>
  </conditionalFormatting>
  <conditionalFormatting sqref="AH48">
    <cfRule type="cellIs" dxfId="165" priority="173" stopIfTrue="1" operator="lessThan">
      <formula>1</formula>
    </cfRule>
    <cfRule type="cellIs" dxfId="164" priority="174" stopIfTrue="1" operator="greaterThan">
      <formula>1</formula>
    </cfRule>
  </conditionalFormatting>
  <conditionalFormatting sqref="AH19">
    <cfRule type="cellIs" dxfId="163" priority="177" stopIfTrue="1" operator="lessThan">
      <formula>1</formula>
    </cfRule>
    <cfRule type="cellIs" dxfId="162" priority="178" stopIfTrue="1" operator="greaterThan">
      <formula>1</formula>
    </cfRule>
  </conditionalFormatting>
  <conditionalFormatting sqref="AH47">
    <cfRule type="cellIs" dxfId="161" priority="175" stopIfTrue="1" operator="lessThan">
      <formula>1</formula>
    </cfRule>
    <cfRule type="cellIs" dxfId="160" priority="176" stopIfTrue="1" operator="greaterThan">
      <formula>1</formula>
    </cfRule>
  </conditionalFormatting>
  <conditionalFormatting sqref="AH31">
    <cfRule type="cellIs" dxfId="159" priority="171" stopIfTrue="1" operator="lessThan">
      <formula>1</formula>
    </cfRule>
    <cfRule type="cellIs" dxfId="158" priority="172" stopIfTrue="1" operator="greaterThan">
      <formula>1</formula>
    </cfRule>
  </conditionalFormatting>
  <conditionalFormatting sqref="AH32:AH33">
    <cfRule type="cellIs" dxfId="157" priority="169" stopIfTrue="1" operator="lessThan">
      <formula>1</formula>
    </cfRule>
    <cfRule type="cellIs" dxfId="156" priority="170" stopIfTrue="1" operator="greaterThan">
      <formula>1</formula>
    </cfRule>
  </conditionalFormatting>
  <conditionalFormatting sqref="AH13">
    <cfRule type="cellIs" dxfId="155" priority="167" stopIfTrue="1" operator="lessThan">
      <formula>1</formula>
    </cfRule>
    <cfRule type="cellIs" dxfId="154" priority="168" stopIfTrue="1" operator="greaterThan">
      <formula>1</formula>
    </cfRule>
  </conditionalFormatting>
  <conditionalFormatting sqref="AH24">
    <cfRule type="cellIs" dxfId="153" priority="165" stopIfTrue="1" operator="lessThan">
      <formula>1</formula>
    </cfRule>
    <cfRule type="cellIs" dxfId="152" priority="166" stopIfTrue="1" operator="greaterThan">
      <formula>1</formula>
    </cfRule>
  </conditionalFormatting>
  <conditionalFormatting sqref="AH29">
    <cfRule type="cellIs" dxfId="151" priority="163" stopIfTrue="1" operator="lessThan">
      <formula>1</formula>
    </cfRule>
    <cfRule type="cellIs" dxfId="150" priority="164" stopIfTrue="1" operator="greaterThan">
      <formula>1</formula>
    </cfRule>
  </conditionalFormatting>
  <conditionalFormatting sqref="AH34">
    <cfRule type="cellIs" dxfId="149" priority="161" stopIfTrue="1" operator="lessThan">
      <formula>1</formula>
    </cfRule>
    <cfRule type="cellIs" dxfId="148" priority="162" stopIfTrue="1" operator="greaterThan">
      <formula>1</formula>
    </cfRule>
  </conditionalFormatting>
  <conditionalFormatting sqref="AH36:AH38 AH40:AH41">
    <cfRule type="cellIs" dxfId="147" priority="159" stopIfTrue="1" operator="lessThan">
      <formula>1</formula>
    </cfRule>
    <cfRule type="cellIs" dxfId="146" priority="160" stopIfTrue="1" operator="greaterThan">
      <formula>1</formula>
    </cfRule>
  </conditionalFormatting>
  <conditionalFormatting sqref="AH39">
    <cfRule type="cellIs" dxfId="145" priority="157" stopIfTrue="1" operator="lessThan">
      <formula>1</formula>
    </cfRule>
    <cfRule type="cellIs" dxfId="144" priority="158" stopIfTrue="1" operator="greaterThan">
      <formula>1</formula>
    </cfRule>
  </conditionalFormatting>
  <conditionalFormatting sqref="AH46">
    <cfRule type="cellIs" dxfId="143" priority="155" stopIfTrue="1" operator="lessThan">
      <formula>1</formula>
    </cfRule>
    <cfRule type="cellIs" dxfId="142" priority="156" stopIfTrue="1" operator="greaterThan">
      <formula>1</formula>
    </cfRule>
  </conditionalFormatting>
  <conditionalFormatting sqref="AL10">
    <cfRule type="cellIs" dxfId="141" priority="149" stopIfTrue="1" operator="lessThan">
      <formula>1</formula>
    </cfRule>
    <cfRule type="cellIs" dxfId="140" priority="150" stopIfTrue="1" operator="greaterThan">
      <formula>1</formula>
    </cfRule>
  </conditionalFormatting>
  <conditionalFormatting sqref="AL11">
    <cfRule type="cellIs" dxfId="139" priority="147" stopIfTrue="1" operator="lessThan">
      <formula>1</formula>
    </cfRule>
    <cfRule type="cellIs" dxfId="138" priority="148" stopIfTrue="1" operator="greaterThan">
      <formula>1</formula>
    </cfRule>
  </conditionalFormatting>
  <conditionalFormatting sqref="AL12">
    <cfRule type="cellIs" dxfId="137" priority="145" stopIfTrue="1" operator="lessThan">
      <formula>1</formula>
    </cfRule>
    <cfRule type="cellIs" dxfId="136" priority="146" stopIfTrue="1" operator="greaterThan">
      <formula>1</formula>
    </cfRule>
  </conditionalFormatting>
  <conditionalFormatting sqref="AL15">
    <cfRule type="cellIs" dxfId="135" priority="143" stopIfTrue="1" operator="lessThan">
      <formula>1</formula>
    </cfRule>
    <cfRule type="cellIs" dxfId="134" priority="144" stopIfTrue="1" operator="greaterThan">
      <formula>1</formula>
    </cfRule>
  </conditionalFormatting>
  <conditionalFormatting sqref="AL16">
    <cfRule type="cellIs" dxfId="133" priority="141" stopIfTrue="1" operator="lessThan">
      <formula>1</formula>
    </cfRule>
    <cfRule type="cellIs" dxfId="132" priority="142" stopIfTrue="1" operator="greaterThan">
      <formula>1</formula>
    </cfRule>
  </conditionalFormatting>
  <conditionalFormatting sqref="AL17">
    <cfRule type="cellIs" dxfId="131" priority="139" stopIfTrue="1" operator="lessThan">
      <formula>1</formula>
    </cfRule>
    <cfRule type="cellIs" dxfId="130" priority="140" stopIfTrue="1" operator="greaterThan">
      <formula>1</formula>
    </cfRule>
  </conditionalFormatting>
  <conditionalFormatting sqref="AL18">
    <cfRule type="cellIs" dxfId="129" priority="137" stopIfTrue="1" operator="lessThan">
      <formula>1</formula>
    </cfRule>
    <cfRule type="cellIs" dxfId="128" priority="138" stopIfTrue="1" operator="greaterThan">
      <formula>1</formula>
    </cfRule>
  </conditionalFormatting>
  <conditionalFormatting sqref="AL21">
    <cfRule type="cellIs" dxfId="127" priority="135" stopIfTrue="1" operator="lessThan">
      <formula>1</formula>
    </cfRule>
    <cfRule type="cellIs" dxfId="126" priority="136" stopIfTrue="1" operator="greaterThan">
      <formula>1</formula>
    </cfRule>
  </conditionalFormatting>
  <conditionalFormatting sqref="AL22">
    <cfRule type="cellIs" dxfId="125" priority="133" stopIfTrue="1" operator="lessThan">
      <formula>1</formula>
    </cfRule>
    <cfRule type="cellIs" dxfId="124" priority="134" stopIfTrue="1" operator="greaterThan">
      <formula>1</formula>
    </cfRule>
  </conditionalFormatting>
  <conditionalFormatting sqref="AL23">
    <cfRule type="cellIs" dxfId="123" priority="131" stopIfTrue="1" operator="lessThan">
      <formula>1</formula>
    </cfRule>
    <cfRule type="cellIs" dxfId="122" priority="132" stopIfTrue="1" operator="greaterThan">
      <formula>1</formula>
    </cfRule>
  </conditionalFormatting>
  <conditionalFormatting sqref="AL26">
    <cfRule type="cellIs" dxfId="121" priority="129" stopIfTrue="1" operator="lessThan">
      <formula>1</formula>
    </cfRule>
    <cfRule type="cellIs" dxfId="120" priority="130" stopIfTrue="1" operator="greaterThan">
      <formula>1</formula>
    </cfRule>
  </conditionalFormatting>
  <conditionalFormatting sqref="AL27">
    <cfRule type="cellIs" dxfId="119" priority="127" stopIfTrue="1" operator="lessThan">
      <formula>1</formula>
    </cfRule>
    <cfRule type="cellIs" dxfId="118" priority="128" stopIfTrue="1" operator="greaterThan">
      <formula>1</formula>
    </cfRule>
  </conditionalFormatting>
  <conditionalFormatting sqref="AL28">
    <cfRule type="cellIs" dxfId="117" priority="125" stopIfTrue="1" operator="lessThan">
      <formula>1</formula>
    </cfRule>
    <cfRule type="cellIs" dxfId="116" priority="126" stopIfTrue="1" operator="greaterThan">
      <formula>1</formula>
    </cfRule>
  </conditionalFormatting>
  <conditionalFormatting sqref="AL43">
    <cfRule type="cellIs" dxfId="115" priority="123" stopIfTrue="1" operator="lessThan">
      <formula>1</formula>
    </cfRule>
    <cfRule type="cellIs" dxfId="114" priority="124" stopIfTrue="1" operator="greaterThan">
      <formula>1</formula>
    </cfRule>
  </conditionalFormatting>
  <conditionalFormatting sqref="AL44">
    <cfRule type="cellIs" dxfId="113" priority="121" stopIfTrue="1" operator="lessThan">
      <formula>1</formula>
    </cfRule>
    <cfRule type="cellIs" dxfId="112" priority="122" stopIfTrue="1" operator="greaterThan">
      <formula>1</formula>
    </cfRule>
  </conditionalFormatting>
  <conditionalFormatting sqref="AL45">
    <cfRule type="cellIs" dxfId="111" priority="119" stopIfTrue="1" operator="lessThan">
      <formula>1</formula>
    </cfRule>
    <cfRule type="cellIs" dxfId="110" priority="120" stopIfTrue="1" operator="greaterThan">
      <formula>1</formula>
    </cfRule>
  </conditionalFormatting>
  <conditionalFormatting sqref="AL50">
    <cfRule type="cellIs" dxfId="109" priority="117" stopIfTrue="1" operator="lessThan">
      <formula>1</formula>
    </cfRule>
    <cfRule type="cellIs" dxfId="108" priority="118" stopIfTrue="1" operator="greaterThan">
      <formula>1</formula>
    </cfRule>
  </conditionalFormatting>
  <conditionalFormatting sqref="AL51">
    <cfRule type="cellIs" dxfId="107" priority="115" stopIfTrue="1" operator="lessThan">
      <formula>1</formula>
    </cfRule>
    <cfRule type="cellIs" dxfId="106" priority="116" stopIfTrue="1" operator="greaterThan">
      <formula>1</formula>
    </cfRule>
  </conditionalFormatting>
  <conditionalFormatting sqref="AL52">
    <cfRule type="cellIs" dxfId="105" priority="113" stopIfTrue="1" operator="lessThan">
      <formula>1</formula>
    </cfRule>
    <cfRule type="cellIs" dxfId="104" priority="114" stopIfTrue="1" operator="greaterThan">
      <formula>1</formula>
    </cfRule>
  </conditionalFormatting>
  <conditionalFormatting sqref="AL53">
    <cfRule type="cellIs" dxfId="103" priority="111" stopIfTrue="1" operator="lessThan">
      <formula>1</formula>
    </cfRule>
    <cfRule type="cellIs" dxfId="102" priority="112" stopIfTrue="1" operator="greaterThan">
      <formula>1</formula>
    </cfRule>
  </conditionalFormatting>
  <conditionalFormatting sqref="AL48">
    <cfRule type="cellIs" dxfId="101" priority="105" stopIfTrue="1" operator="lessThan">
      <formula>1</formula>
    </cfRule>
    <cfRule type="cellIs" dxfId="100" priority="106" stopIfTrue="1" operator="greaterThan">
      <formula>1</formula>
    </cfRule>
  </conditionalFormatting>
  <conditionalFormatting sqref="AL19">
    <cfRule type="cellIs" dxfId="99" priority="109" stopIfTrue="1" operator="lessThan">
      <formula>1</formula>
    </cfRule>
    <cfRule type="cellIs" dxfId="98" priority="110" stopIfTrue="1" operator="greaterThan">
      <formula>1</formula>
    </cfRule>
  </conditionalFormatting>
  <conditionalFormatting sqref="AL47">
    <cfRule type="cellIs" dxfId="97" priority="107" stopIfTrue="1" operator="lessThan">
      <formula>1</formula>
    </cfRule>
    <cfRule type="cellIs" dxfId="96" priority="108" stopIfTrue="1" operator="greaterThan">
      <formula>1</formula>
    </cfRule>
  </conditionalFormatting>
  <conditionalFormatting sqref="AL31">
    <cfRule type="cellIs" dxfId="95" priority="103" stopIfTrue="1" operator="lessThan">
      <formula>1</formula>
    </cfRule>
    <cfRule type="cellIs" dxfId="94" priority="104" stopIfTrue="1" operator="greaterThan">
      <formula>1</formula>
    </cfRule>
  </conditionalFormatting>
  <conditionalFormatting sqref="AL32:AL33">
    <cfRule type="cellIs" dxfId="93" priority="101" stopIfTrue="1" operator="lessThan">
      <formula>1</formula>
    </cfRule>
    <cfRule type="cellIs" dxfId="92" priority="102" stopIfTrue="1" operator="greaterThan">
      <formula>1</formula>
    </cfRule>
  </conditionalFormatting>
  <conditionalFormatting sqref="AL13">
    <cfRule type="cellIs" dxfId="91" priority="99" stopIfTrue="1" operator="lessThan">
      <formula>1</formula>
    </cfRule>
    <cfRule type="cellIs" dxfId="90" priority="100" stopIfTrue="1" operator="greaterThan">
      <formula>1</formula>
    </cfRule>
  </conditionalFormatting>
  <conditionalFormatting sqref="AL24">
    <cfRule type="cellIs" dxfId="89" priority="97" stopIfTrue="1" operator="lessThan">
      <formula>1</formula>
    </cfRule>
    <cfRule type="cellIs" dxfId="88" priority="98" stopIfTrue="1" operator="greaterThan">
      <formula>1</formula>
    </cfRule>
  </conditionalFormatting>
  <conditionalFormatting sqref="AL29">
    <cfRule type="cellIs" dxfId="87" priority="95" stopIfTrue="1" operator="lessThan">
      <formula>1</formula>
    </cfRule>
    <cfRule type="cellIs" dxfId="86" priority="96" stopIfTrue="1" operator="greaterThan">
      <formula>1</formula>
    </cfRule>
  </conditionalFormatting>
  <conditionalFormatting sqref="AL34">
    <cfRule type="cellIs" dxfId="85" priority="93" stopIfTrue="1" operator="lessThan">
      <formula>1</formula>
    </cfRule>
    <cfRule type="cellIs" dxfId="84" priority="94" stopIfTrue="1" operator="greaterThan">
      <formula>1</formula>
    </cfRule>
  </conditionalFormatting>
  <conditionalFormatting sqref="AL36:AL38 AL40:AL41">
    <cfRule type="cellIs" dxfId="83" priority="91" stopIfTrue="1" operator="lessThan">
      <formula>1</formula>
    </cfRule>
    <cfRule type="cellIs" dxfId="82" priority="92" stopIfTrue="1" operator="greaterThan">
      <formula>1</formula>
    </cfRule>
  </conditionalFormatting>
  <conditionalFormatting sqref="AL39">
    <cfRule type="cellIs" dxfId="81" priority="89" stopIfTrue="1" operator="lessThan">
      <formula>1</formula>
    </cfRule>
    <cfRule type="cellIs" dxfId="80" priority="90" stopIfTrue="1" operator="greaterThan">
      <formula>1</formula>
    </cfRule>
  </conditionalFormatting>
  <conditionalFormatting sqref="AL46">
    <cfRule type="cellIs" dxfId="79" priority="87" stopIfTrue="1" operator="lessThan">
      <formula>1</formula>
    </cfRule>
    <cfRule type="cellIs" dxfId="78" priority="88" stopIfTrue="1" operator="greaterThan">
      <formula>1</formula>
    </cfRule>
  </conditionalFormatting>
  <conditionalFormatting sqref="AP10">
    <cfRule type="cellIs" dxfId="77" priority="81" stopIfTrue="1" operator="lessThan">
      <formula>1</formula>
    </cfRule>
    <cfRule type="cellIs" dxfId="76" priority="82" stopIfTrue="1" operator="greaterThan">
      <formula>1</formula>
    </cfRule>
  </conditionalFormatting>
  <conditionalFormatting sqref="AP11">
    <cfRule type="cellIs" dxfId="75" priority="79" stopIfTrue="1" operator="lessThan">
      <formula>1</formula>
    </cfRule>
    <cfRule type="cellIs" dxfId="74" priority="80" stopIfTrue="1" operator="greaterThan">
      <formula>1</formula>
    </cfRule>
  </conditionalFormatting>
  <conditionalFormatting sqref="AP12">
    <cfRule type="cellIs" dxfId="73" priority="77" stopIfTrue="1" operator="lessThan">
      <formula>1</formula>
    </cfRule>
    <cfRule type="cellIs" dxfId="72" priority="78" stopIfTrue="1" operator="greaterThan">
      <formula>1</formula>
    </cfRule>
  </conditionalFormatting>
  <conditionalFormatting sqref="AP15">
    <cfRule type="cellIs" dxfId="71" priority="75" stopIfTrue="1" operator="lessThan">
      <formula>1</formula>
    </cfRule>
    <cfRule type="cellIs" dxfId="70" priority="76" stopIfTrue="1" operator="greaterThan">
      <formula>1</formula>
    </cfRule>
  </conditionalFormatting>
  <conditionalFormatting sqref="AP16">
    <cfRule type="cellIs" dxfId="69" priority="73" stopIfTrue="1" operator="lessThan">
      <formula>1</formula>
    </cfRule>
    <cfRule type="cellIs" dxfId="68" priority="74" stopIfTrue="1" operator="greaterThan">
      <formula>1</formula>
    </cfRule>
  </conditionalFormatting>
  <conditionalFormatting sqref="AP17">
    <cfRule type="cellIs" dxfId="67" priority="71" stopIfTrue="1" operator="lessThan">
      <formula>1</formula>
    </cfRule>
    <cfRule type="cellIs" dxfId="66" priority="72" stopIfTrue="1" operator="greaterThan">
      <formula>1</formula>
    </cfRule>
  </conditionalFormatting>
  <conditionalFormatting sqref="AP18">
    <cfRule type="cellIs" dxfId="65" priority="69" stopIfTrue="1" operator="lessThan">
      <formula>1</formula>
    </cfRule>
    <cfRule type="cellIs" dxfId="64" priority="70" stopIfTrue="1" operator="greaterThan">
      <formula>1</formula>
    </cfRule>
  </conditionalFormatting>
  <conditionalFormatting sqref="AP21">
    <cfRule type="cellIs" dxfId="63" priority="67" stopIfTrue="1" operator="lessThan">
      <formula>1</formula>
    </cfRule>
    <cfRule type="cellIs" dxfId="62" priority="68" stopIfTrue="1" operator="greaterThan">
      <formula>1</formula>
    </cfRule>
  </conditionalFormatting>
  <conditionalFormatting sqref="AP22">
    <cfRule type="cellIs" dxfId="61" priority="65" stopIfTrue="1" operator="lessThan">
      <formula>1</formula>
    </cfRule>
    <cfRule type="cellIs" dxfId="60" priority="66" stopIfTrue="1" operator="greaterThan">
      <formula>1</formula>
    </cfRule>
  </conditionalFormatting>
  <conditionalFormatting sqref="AP23">
    <cfRule type="cellIs" dxfId="59" priority="63" stopIfTrue="1" operator="lessThan">
      <formula>1</formula>
    </cfRule>
    <cfRule type="cellIs" dxfId="58" priority="64" stopIfTrue="1" operator="greaterThan">
      <formula>1</formula>
    </cfRule>
  </conditionalFormatting>
  <conditionalFormatting sqref="AP26">
    <cfRule type="cellIs" dxfId="57" priority="61" stopIfTrue="1" operator="lessThan">
      <formula>1</formula>
    </cfRule>
    <cfRule type="cellIs" dxfId="56" priority="62" stopIfTrue="1" operator="greaterThan">
      <formula>1</formula>
    </cfRule>
  </conditionalFormatting>
  <conditionalFormatting sqref="AP27">
    <cfRule type="cellIs" dxfId="55" priority="59" stopIfTrue="1" operator="lessThan">
      <formula>1</formula>
    </cfRule>
    <cfRule type="cellIs" dxfId="54" priority="60" stopIfTrue="1" operator="greaterThan">
      <formula>1</formula>
    </cfRule>
  </conditionalFormatting>
  <conditionalFormatting sqref="AP28">
    <cfRule type="cellIs" dxfId="53" priority="57" stopIfTrue="1" operator="lessThan">
      <formula>1</formula>
    </cfRule>
    <cfRule type="cellIs" dxfId="52" priority="58" stopIfTrue="1" operator="greaterThan">
      <formula>1</formula>
    </cfRule>
  </conditionalFormatting>
  <conditionalFormatting sqref="AP43">
    <cfRule type="cellIs" dxfId="51" priority="55" stopIfTrue="1" operator="lessThan">
      <formula>1</formula>
    </cfRule>
    <cfRule type="cellIs" dxfId="50" priority="56" stopIfTrue="1" operator="greaterThan">
      <formula>1</formula>
    </cfRule>
  </conditionalFormatting>
  <conditionalFormatting sqref="AP44">
    <cfRule type="cellIs" dxfId="49" priority="53" stopIfTrue="1" operator="lessThan">
      <formula>1</formula>
    </cfRule>
    <cfRule type="cellIs" dxfId="48" priority="54" stopIfTrue="1" operator="greaterThan">
      <formula>1</formula>
    </cfRule>
  </conditionalFormatting>
  <conditionalFormatting sqref="AP45">
    <cfRule type="cellIs" dxfId="47" priority="51" stopIfTrue="1" operator="lessThan">
      <formula>1</formula>
    </cfRule>
    <cfRule type="cellIs" dxfId="46" priority="52" stopIfTrue="1" operator="greaterThan">
      <formula>1</formula>
    </cfRule>
  </conditionalFormatting>
  <conditionalFormatting sqref="AP50">
    <cfRule type="cellIs" dxfId="45" priority="49" stopIfTrue="1" operator="lessThan">
      <formula>1</formula>
    </cfRule>
    <cfRule type="cellIs" dxfId="44" priority="50" stopIfTrue="1" operator="greaterThan">
      <formula>1</formula>
    </cfRule>
  </conditionalFormatting>
  <conditionalFormatting sqref="AP51">
    <cfRule type="cellIs" dxfId="43" priority="47" stopIfTrue="1" operator="lessThan">
      <formula>1</formula>
    </cfRule>
    <cfRule type="cellIs" dxfId="42" priority="48" stopIfTrue="1" operator="greaterThan">
      <formula>1</formula>
    </cfRule>
  </conditionalFormatting>
  <conditionalFormatting sqref="AP52">
    <cfRule type="cellIs" dxfId="41" priority="45" stopIfTrue="1" operator="lessThan">
      <formula>1</formula>
    </cfRule>
    <cfRule type="cellIs" dxfId="40" priority="46" stopIfTrue="1" operator="greaterThan">
      <formula>1</formula>
    </cfRule>
  </conditionalFormatting>
  <conditionalFormatting sqref="AP53">
    <cfRule type="cellIs" dxfId="39" priority="43" stopIfTrue="1" operator="lessThan">
      <formula>1</formula>
    </cfRule>
    <cfRule type="cellIs" dxfId="38" priority="44" stopIfTrue="1" operator="greaterThan">
      <formula>1</formula>
    </cfRule>
  </conditionalFormatting>
  <conditionalFormatting sqref="AP48">
    <cfRule type="cellIs" dxfId="37" priority="37" stopIfTrue="1" operator="lessThan">
      <formula>1</formula>
    </cfRule>
    <cfRule type="cellIs" dxfId="36" priority="38" stopIfTrue="1" operator="greaterThan">
      <formula>1</formula>
    </cfRule>
  </conditionalFormatting>
  <conditionalFormatting sqref="AP19">
    <cfRule type="cellIs" dxfId="35" priority="41" stopIfTrue="1" operator="lessThan">
      <formula>1</formula>
    </cfRule>
    <cfRule type="cellIs" dxfId="34" priority="42" stopIfTrue="1" operator="greaterThan">
      <formula>1</formula>
    </cfRule>
  </conditionalFormatting>
  <conditionalFormatting sqref="AP47">
    <cfRule type="cellIs" dxfId="33" priority="39" stopIfTrue="1" operator="lessThan">
      <formula>1</formula>
    </cfRule>
    <cfRule type="cellIs" dxfId="32" priority="40" stopIfTrue="1" operator="greaterThan">
      <formula>1</formula>
    </cfRule>
  </conditionalFormatting>
  <conditionalFormatting sqref="AP31">
    <cfRule type="cellIs" dxfId="31" priority="35" stopIfTrue="1" operator="lessThan">
      <formula>1</formula>
    </cfRule>
    <cfRule type="cellIs" dxfId="30" priority="36" stopIfTrue="1" operator="greaterThan">
      <formula>1</formula>
    </cfRule>
  </conditionalFormatting>
  <conditionalFormatting sqref="AP32:AP33">
    <cfRule type="cellIs" dxfId="29" priority="33" stopIfTrue="1" operator="lessThan">
      <formula>1</formula>
    </cfRule>
    <cfRule type="cellIs" dxfId="28" priority="34" stopIfTrue="1" operator="greaterThan">
      <formula>1</formula>
    </cfRule>
  </conditionalFormatting>
  <conditionalFormatting sqref="AP13">
    <cfRule type="cellIs" dxfId="27" priority="31" stopIfTrue="1" operator="lessThan">
      <formula>1</formula>
    </cfRule>
    <cfRule type="cellIs" dxfId="26" priority="32" stopIfTrue="1" operator="greaterThan">
      <formula>1</formula>
    </cfRule>
  </conditionalFormatting>
  <conditionalFormatting sqref="AP24">
    <cfRule type="cellIs" dxfId="25" priority="29" stopIfTrue="1" operator="lessThan">
      <formula>1</formula>
    </cfRule>
    <cfRule type="cellIs" dxfId="24" priority="30" stopIfTrue="1" operator="greaterThan">
      <formula>1</formula>
    </cfRule>
  </conditionalFormatting>
  <conditionalFormatting sqref="AP29">
    <cfRule type="cellIs" dxfId="23" priority="27" stopIfTrue="1" operator="lessThan">
      <formula>1</formula>
    </cfRule>
    <cfRule type="cellIs" dxfId="22" priority="28" stopIfTrue="1" operator="greaterThan">
      <formula>1</formula>
    </cfRule>
  </conditionalFormatting>
  <conditionalFormatting sqref="AP34">
    <cfRule type="cellIs" dxfId="21" priority="25" stopIfTrue="1" operator="lessThan">
      <formula>1</formula>
    </cfRule>
    <cfRule type="cellIs" dxfId="20" priority="26" stopIfTrue="1" operator="greaterThan">
      <formula>1</formula>
    </cfRule>
  </conditionalFormatting>
  <conditionalFormatting sqref="AP36:AP38 AP40:AP41">
    <cfRule type="cellIs" dxfId="19" priority="23" stopIfTrue="1" operator="lessThan">
      <formula>1</formula>
    </cfRule>
    <cfRule type="cellIs" dxfId="18" priority="24" stopIfTrue="1" operator="greaterThan">
      <formula>1</formula>
    </cfRule>
  </conditionalFormatting>
  <conditionalFormatting sqref="AP39">
    <cfRule type="cellIs" dxfId="17" priority="21" stopIfTrue="1" operator="lessThan">
      <formula>1</formula>
    </cfRule>
    <cfRule type="cellIs" dxfId="16" priority="22" stopIfTrue="1" operator="greaterThan">
      <formula>1</formula>
    </cfRule>
  </conditionalFormatting>
  <conditionalFormatting sqref="AP46">
    <cfRule type="cellIs" dxfId="15" priority="19" stopIfTrue="1" operator="lessThan">
      <formula>1</formula>
    </cfRule>
    <cfRule type="cellIs" dxfId="14" priority="20" stopIfTrue="1" operator="greaterThan">
      <formula>1</formula>
    </cfRule>
  </conditionalFormatting>
  <conditionalFormatting sqref="R55">
    <cfRule type="cellIs" dxfId="13" priority="13" stopIfTrue="1" operator="lessThan">
      <formula>1</formula>
    </cfRule>
    <cfRule type="cellIs" dxfId="12" priority="14" stopIfTrue="1" operator="greaterThan">
      <formula>1</formula>
    </cfRule>
  </conditionalFormatting>
  <conditionalFormatting sqref="V55">
    <cfRule type="cellIs" dxfId="11" priority="11" stopIfTrue="1" operator="lessThan">
      <formula>1</formula>
    </cfRule>
    <cfRule type="cellIs" dxfId="10" priority="12" stopIfTrue="1" operator="greaterThan">
      <formula>1</formula>
    </cfRule>
  </conditionalFormatting>
  <conditionalFormatting sqref="Z55">
    <cfRule type="cellIs" dxfId="9" priority="9" stopIfTrue="1" operator="lessThan">
      <formula>1</formula>
    </cfRule>
    <cfRule type="cellIs" dxfId="8" priority="10" stopIfTrue="1" operator="greaterThan">
      <formula>1</formula>
    </cfRule>
  </conditionalFormatting>
  <conditionalFormatting sqref="AD55">
    <cfRule type="cellIs" dxfId="7" priority="7" stopIfTrue="1" operator="lessThan">
      <formula>1</formula>
    </cfRule>
    <cfRule type="cellIs" dxfId="6" priority="8" stopIfTrue="1" operator="greaterThan">
      <formula>1</formula>
    </cfRule>
  </conditionalFormatting>
  <conditionalFormatting sqref="AH55">
    <cfRule type="cellIs" dxfId="5" priority="5" stopIfTrue="1" operator="lessThan">
      <formula>1</formula>
    </cfRule>
    <cfRule type="cellIs" dxfId="4" priority="6" stopIfTrue="1" operator="greaterThan">
      <formula>1</formula>
    </cfRule>
  </conditionalFormatting>
  <conditionalFormatting sqref="AL55">
    <cfRule type="cellIs" dxfId="3" priority="3" stopIfTrue="1" operator="lessThan">
      <formula>1</formula>
    </cfRule>
    <cfRule type="cellIs" dxfId="2" priority="4" stopIfTrue="1" operator="greaterThan">
      <formula>1</formula>
    </cfRule>
  </conditionalFormatting>
  <conditionalFormatting sqref="AP55">
    <cfRule type="cellIs" dxfId="1" priority="1" stopIfTrue="1" operator="lessThan">
      <formula>1</formula>
    </cfRule>
    <cfRule type="cellIs" dxfId="0" priority="2" stopIfTrue="1" operator="greaterThan">
      <formula>1</formula>
    </cfRule>
  </conditionalFormatting>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2"/>
  <sheetViews>
    <sheetView workbookViewId="0"/>
  </sheetViews>
  <sheetFormatPr baseColWidth="10" defaultRowHeight="14.4" x14ac:dyDescent="0.3"/>
  <cols>
    <col min="8" max="11" width="12.88671875" customWidth="1"/>
  </cols>
  <sheetData>
    <row r="1" spans="1:11" x14ac:dyDescent="0.3">
      <c r="A1" t="str">
        <f>Grunddaten!A1&amp;"    "   &amp;Grunddaten!A2</f>
        <v>Gemeinde A    Abwasserbeseitigungseinrichtung</v>
      </c>
    </row>
    <row r="2" spans="1:11" ht="25.5" customHeight="1" x14ac:dyDescent="0.3">
      <c r="A2" s="1001" t="s">
        <v>982</v>
      </c>
      <c r="B2" s="1001"/>
      <c r="C2" s="1001"/>
      <c r="D2" s="1001"/>
      <c r="E2" s="1001"/>
      <c r="F2" s="1001"/>
      <c r="G2" s="1001"/>
      <c r="H2" s="1001"/>
      <c r="I2" s="1001"/>
      <c r="J2" s="1001"/>
      <c r="K2" s="1001"/>
    </row>
    <row r="3" spans="1:11" ht="18" customHeight="1" x14ac:dyDescent="0.3">
      <c r="A3" s="1002" t="s">
        <v>544</v>
      </c>
      <c r="B3" s="1003"/>
      <c r="C3" s="1003"/>
      <c r="D3" s="1003"/>
      <c r="E3" s="1003"/>
      <c r="F3" s="1003"/>
      <c r="G3" s="1003"/>
      <c r="H3" s="1003"/>
      <c r="I3" s="1003"/>
      <c r="J3" s="1003"/>
      <c r="K3" s="1003"/>
    </row>
    <row r="4" spans="1:11" ht="18" customHeight="1" x14ac:dyDescent="0.3">
      <c r="A4" s="1004" t="s">
        <v>545</v>
      </c>
      <c r="B4" s="1004" t="s">
        <v>546</v>
      </c>
      <c r="C4" s="1004" t="s">
        <v>547</v>
      </c>
      <c r="D4" s="1006" t="s">
        <v>548</v>
      </c>
      <c r="E4" s="1006"/>
      <c r="F4" s="1006"/>
      <c r="G4" s="1006"/>
      <c r="H4" s="1006" t="s">
        <v>549</v>
      </c>
      <c r="I4" s="1006"/>
      <c r="J4" s="1006"/>
      <c r="K4" s="1006"/>
    </row>
    <row r="5" spans="1:11" ht="18" customHeight="1" x14ac:dyDescent="0.3">
      <c r="A5" s="1005"/>
      <c r="B5" s="1005"/>
      <c r="C5" s="1005"/>
      <c r="D5" s="305">
        <f>H5</f>
        <v>2017</v>
      </c>
      <c r="E5" s="305">
        <f t="shared" ref="E5:G5" si="0">I5</f>
        <v>2018</v>
      </c>
      <c r="F5" s="305">
        <f t="shared" si="0"/>
        <v>2019</v>
      </c>
      <c r="G5" s="305">
        <f t="shared" si="0"/>
        <v>2020</v>
      </c>
      <c r="H5" s="305">
        <f>Vorkalkulation!C6</f>
        <v>2017</v>
      </c>
      <c r="I5" s="305">
        <f>Vorkalkulation!E6</f>
        <v>2018</v>
      </c>
      <c r="J5" s="305">
        <f>Vorkalkulation!G6</f>
        <v>2019</v>
      </c>
      <c r="K5" s="305">
        <f>Vorkalkulation!I6</f>
        <v>2020</v>
      </c>
    </row>
    <row r="6" spans="1:11" ht="18" customHeight="1" x14ac:dyDescent="0.3">
      <c r="A6" s="306" t="s">
        <v>550</v>
      </c>
      <c r="B6" s="307">
        <v>2.5</v>
      </c>
      <c r="C6" s="308">
        <v>25</v>
      </c>
      <c r="D6" s="309">
        <v>2566</v>
      </c>
      <c r="E6" s="309">
        <v>2598</v>
      </c>
      <c r="F6" s="309">
        <v>2634</v>
      </c>
      <c r="G6" s="309">
        <v>2712</v>
      </c>
      <c r="H6" s="310">
        <f t="shared" ref="H6:K13" si="1">$C6*D6</f>
        <v>64150</v>
      </c>
      <c r="I6" s="310">
        <f t="shared" si="1"/>
        <v>64950</v>
      </c>
      <c r="J6" s="310">
        <f t="shared" si="1"/>
        <v>65850</v>
      </c>
      <c r="K6" s="310">
        <f t="shared" si="1"/>
        <v>67800</v>
      </c>
    </row>
    <row r="7" spans="1:11" ht="18" customHeight="1" x14ac:dyDescent="0.3">
      <c r="A7" s="306" t="s">
        <v>550</v>
      </c>
      <c r="B7" s="307">
        <v>6</v>
      </c>
      <c r="C7" s="308">
        <v>50</v>
      </c>
      <c r="D7" s="309">
        <v>97</v>
      </c>
      <c r="E7" s="309">
        <v>98</v>
      </c>
      <c r="F7" s="309">
        <v>98</v>
      </c>
      <c r="G7" s="309">
        <v>100</v>
      </c>
      <c r="H7" s="310">
        <f t="shared" si="1"/>
        <v>4850</v>
      </c>
      <c r="I7" s="310">
        <f t="shared" si="1"/>
        <v>4900</v>
      </c>
      <c r="J7" s="310">
        <f t="shared" si="1"/>
        <v>4900</v>
      </c>
      <c r="K7" s="310">
        <f t="shared" si="1"/>
        <v>5000</v>
      </c>
    </row>
    <row r="8" spans="1:11" ht="18" customHeight="1" x14ac:dyDescent="0.3">
      <c r="A8" s="306" t="s">
        <v>550</v>
      </c>
      <c r="B8" s="307">
        <v>10</v>
      </c>
      <c r="C8" s="308">
        <v>100</v>
      </c>
      <c r="D8" s="309">
        <v>11</v>
      </c>
      <c r="E8" s="309">
        <v>11</v>
      </c>
      <c r="F8" s="309">
        <v>11</v>
      </c>
      <c r="G8" s="309">
        <v>12</v>
      </c>
      <c r="H8" s="310">
        <f t="shared" si="1"/>
        <v>1100</v>
      </c>
      <c r="I8" s="310">
        <f t="shared" si="1"/>
        <v>1100</v>
      </c>
      <c r="J8" s="310">
        <f t="shared" si="1"/>
        <v>1100</v>
      </c>
      <c r="K8" s="310">
        <f t="shared" si="1"/>
        <v>1200</v>
      </c>
    </row>
    <row r="9" spans="1:11" s="235" customFormat="1" ht="18" customHeight="1" x14ac:dyDescent="0.3">
      <c r="A9" s="306" t="s">
        <v>550</v>
      </c>
      <c r="B9" s="307">
        <v>15</v>
      </c>
      <c r="C9" s="308">
        <v>150</v>
      </c>
      <c r="D9" s="309">
        <v>6</v>
      </c>
      <c r="E9" s="309">
        <v>6</v>
      </c>
      <c r="F9" s="309">
        <v>6</v>
      </c>
      <c r="G9" s="309">
        <v>7</v>
      </c>
      <c r="H9" s="310">
        <f t="shared" si="1"/>
        <v>900</v>
      </c>
      <c r="I9" s="310">
        <f t="shared" si="1"/>
        <v>900</v>
      </c>
      <c r="J9" s="310">
        <f t="shared" si="1"/>
        <v>900</v>
      </c>
      <c r="K9" s="310">
        <f t="shared" si="1"/>
        <v>1050</v>
      </c>
    </row>
    <row r="10" spans="1:11" s="235" customFormat="1" ht="18" customHeight="1" x14ac:dyDescent="0.3">
      <c r="A10" s="306" t="s">
        <v>550</v>
      </c>
      <c r="B10" s="307">
        <v>25</v>
      </c>
      <c r="C10" s="308">
        <v>300</v>
      </c>
      <c r="D10" s="309">
        <v>5</v>
      </c>
      <c r="E10" s="309">
        <v>5</v>
      </c>
      <c r="F10" s="309">
        <v>5</v>
      </c>
      <c r="G10" s="309">
        <v>6</v>
      </c>
      <c r="H10" s="310">
        <f t="shared" si="1"/>
        <v>1500</v>
      </c>
      <c r="I10" s="310">
        <f t="shared" si="1"/>
        <v>1500</v>
      </c>
      <c r="J10" s="310">
        <f t="shared" si="1"/>
        <v>1500</v>
      </c>
      <c r="K10" s="310">
        <f t="shared" si="1"/>
        <v>1800</v>
      </c>
    </row>
    <row r="11" spans="1:11" s="235" customFormat="1" ht="18" customHeight="1" x14ac:dyDescent="0.3">
      <c r="A11" s="311" t="s">
        <v>551</v>
      </c>
      <c r="B11" s="307">
        <v>25</v>
      </c>
      <c r="C11" s="308">
        <v>500</v>
      </c>
      <c r="D11" s="309">
        <v>3</v>
      </c>
      <c r="E11" s="309">
        <v>3</v>
      </c>
      <c r="F11" s="309">
        <v>3</v>
      </c>
      <c r="G11" s="309">
        <v>3</v>
      </c>
      <c r="H11" s="310">
        <f t="shared" si="1"/>
        <v>1500</v>
      </c>
      <c r="I11" s="310">
        <f t="shared" si="1"/>
        <v>1500</v>
      </c>
      <c r="J11" s="310">
        <f t="shared" si="1"/>
        <v>1500</v>
      </c>
      <c r="K11" s="310">
        <f t="shared" si="1"/>
        <v>1500</v>
      </c>
    </row>
    <row r="12" spans="1:11" s="235" customFormat="1" ht="18" customHeight="1" x14ac:dyDescent="0.3">
      <c r="A12" s="311"/>
      <c r="B12" s="307"/>
      <c r="C12" s="308"/>
      <c r="D12" s="309"/>
      <c r="E12" s="309"/>
      <c r="F12" s="309"/>
      <c r="G12" s="309"/>
      <c r="H12" s="310">
        <f t="shared" si="1"/>
        <v>0</v>
      </c>
      <c r="I12" s="310">
        <f t="shared" si="1"/>
        <v>0</v>
      </c>
      <c r="J12" s="310">
        <f t="shared" si="1"/>
        <v>0</v>
      </c>
      <c r="K12" s="310">
        <f t="shared" si="1"/>
        <v>0</v>
      </c>
    </row>
    <row r="13" spans="1:11" s="235" customFormat="1" ht="18" customHeight="1" x14ac:dyDescent="0.3">
      <c r="A13" s="311"/>
      <c r="B13" s="307"/>
      <c r="C13" s="308"/>
      <c r="D13" s="309"/>
      <c r="E13" s="309"/>
      <c r="F13" s="309"/>
      <c r="G13" s="309"/>
      <c r="H13" s="310">
        <f t="shared" si="1"/>
        <v>0</v>
      </c>
      <c r="I13" s="310">
        <f t="shared" si="1"/>
        <v>0</v>
      </c>
      <c r="J13" s="310">
        <f t="shared" si="1"/>
        <v>0</v>
      </c>
      <c r="K13" s="310">
        <f t="shared" si="1"/>
        <v>0</v>
      </c>
    </row>
    <row r="14" spans="1:11" ht="18" customHeight="1" thickBot="1" x14ac:dyDescent="0.35">
      <c r="A14" s="1007" t="s">
        <v>552</v>
      </c>
      <c r="B14" s="1007"/>
      <c r="C14" s="1007"/>
      <c r="D14" s="312">
        <f t="shared" ref="D14:K14" si="2">SUM(D6:D13)</f>
        <v>2688</v>
      </c>
      <c r="E14" s="312">
        <f t="shared" si="2"/>
        <v>2721</v>
      </c>
      <c r="F14" s="312">
        <f t="shared" si="2"/>
        <v>2757</v>
      </c>
      <c r="G14" s="312">
        <f t="shared" si="2"/>
        <v>2840</v>
      </c>
      <c r="H14" s="313">
        <f t="shared" si="2"/>
        <v>74000</v>
      </c>
      <c r="I14" s="313">
        <f t="shared" si="2"/>
        <v>74850</v>
      </c>
      <c r="J14" s="313">
        <f t="shared" si="2"/>
        <v>75750</v>
      </c>
      <c r="K14" s="313">
        <f t="shared" si="2"/>
        <v>78350</v>
      </c>
    </row>
    <row r="15" spans="1:11" ht="9" customHeight="1" thickTop="1" x14ac:dyDescent="0.3">
      <c r="A15" s="314"/>
      <c r="B15" s="314"/>
      <c r="C15" s="314"/>
      <c r="D15" s="314"/>
      <c r="E15" s="314"/>
      <c r="F15" s="314"/>
      <c r="G15" s="314"/>
      <c r="H15" s="314"/>
      <c r="I15" s="314"/>
      <c r="J15" s="314"/>
      <c r="K15" s="314"/>
    </row>
    <row r="16" spans="1:11" ht="18" customHeight="1" x14ac:dyDescent="0.3">
      <c r="A16" s="1002" t="s">
        <v>553</v>
      </c>
      <c r="B16" s="1003"/>
      <c r="C16" s="1003"/>
      <c r="D16" s="1003"/>
      <c r="E16" s="1003"/>
      <c r="F16" s="1003"/>
      <c r="G16" s="1003"/>
      <c r="H16" s="1003"/>
      <c r="I16" s="1003"/>
      <c r="J16" s="1003"/>
      <c r="K16" s="1003"/>
    </row>
    <row r="17" spans="1:11" ht="18" customHeight="1" x14ac:dyDescent="0.3">
      <c r="A17" s="1004" t="s">
        <v>545</v>
      </c>
      <c r="B17" s="1004" t="s">
        <v>546</v>
      </c>
      <c r="C17" s="1004" t="s">
        <v>547</v>
      </c>
      <c r="D17" s="1006" t="s">
        <v>548</v>
      </c>
      <c r="E17" s="1006"/>
      <c r="F17" s="1006"/>
      <c r="G17" s="1006"/>
      <c r="H17" s="1006" t="s">
        <v>549</v>
      </c>
      <c r="I17" s="1006"/>
      <c r="J17" s="1006"/>
      <c r="K17" s="1006"/>
    </row>
    <row r="18" spans="1:11" ht="18" customHeight="1" x14ac:dyDescent="0.3">
      <c r="A18" s="1005"/>
      <c r="B18" s="1005"/>
      <c r="C18" s="1005"/>
      <c r="D18" s="305">
        <f>D5</f>
        <v>2017</v>
      </c>
      <c r="E18" s="305">
        <f>E5</f>
        <v>2018</v>
      </c>
      <c r="F18" s="305">
        <f>F5</f>
        <v>2019</v>
      </c>
      <c r="G18" s="305">
        <f>G5</f>
        <v>2020</v>
      </c>
      <c r="H18" s="305">
        <f>D18</f>
        <v>2017</v>
      </c>
      <c r="I18" s="305">
        <f>E18</f>
        <v>2018</v>
      </c>
      <c r="J18" s="305">
        <f>F18</f>
        <v>2019</v>
      </c>
      <c r="K18" s="305">
        <f>G18</f>
        <v>2020</v>
      </c>
    </row>
    <row r="19" spans="1:11" ht="18" customHeight="1" x14ac:dyDescent="0.3">
      <c r="A19" s="306" t="s">
        <v>550</v>
      </c>
      <c r="B19" s="307">
        <v>2.5</v>
      </c>
      <c r="C19" s="308">
        <v>25</v>
      </c>
      <c r="D19" s="309"/>
      <c r="E19" s="309"/>
      <c r="F19" s="309"/>
      <c r="G19" s="309"/>
      <c r="H19" s="310">
        <f t="shared" ref="H19:K26" si="3">$C19*D19</f>
        <v>0</v>
      </c>
      <c r="I19" s="310">
        <f t="shared" si="3"/>
        <v>0</v>
      </c>
      <c r="J19" s="310">
        <f t="shared" si="3"/>
        <v>0</v>
      </c>
      <c r="K19" s="310">
        <f t="shared" si="3"/>
        <v>0</v>
      </c>
    </row>
    <row r="20" spans="1:11" ht="18" customHeight="1" x14ac:dyDescent="0.3">
      <c r="A20" s="306" t="s">
        <v>550</v>
      </c>
      <c r="B20" s="307">
        <v>6</v>
      </c>
      <c r="C20" s="308">
        <v>50</v>
      </c>
      <c r="D20" s="309"/>
      <c r="E20" s="309"/>
      <c r="F20" s="309"/>
      <c r="G20" s="309"/>
      <c r="H20" s="310">
        <f t="shared" si="3"/>
        <v>0</v>
      </c>
      <c r="I20" s="310">
        <f t="shared" si="3"/>
        <v>0</v>
      </c>
      <c r="J20" s="310">
        <f t="shared" si="3"/>
        <v>0</v>
      </c>
      <c r="K20" s="310">
        <f t="shared" si="3"/>
        <v>0</v>
      </c>
    </row>
    <row r="21" spans="1:11" ht="18" customHeight="1" x14ac:dyDescent="0.3">
      <c r="A21" s="306" t="s">
        <v>550</v>
      </c>
      <c r="B21" s="307">
        <v>10</v>
      </c>
      <c r="C21" s="308">
        <v>100</v>
      </c>
      <c r="D21" s="309"/>
      <c r="E21" s="309"/>
      <c r="F21" s="309"/>
      <c r="G21" s="309"/>
      <c r="H21" s="310">
        <f t="shared" si="3"/>
        <v>0</v>
      </c>
      <c r="I21" s="310">
        <f t="shared" si="3"/>
        <v>0</v>
      </c>
      <c r="J21" s="310">
        <f t="shared" si="3"/>
        <v>0</v>
      </c>
      <c r="K21" s="310">
        <f t="shared" si="3"/>
        <v>0</v>
      </c>
    </row>
    <row r="22" spans="1:11" s="235" customFormat="1" ht="18" customHeight="1" x14ac:dyDescent="0.3">
      <c r="A22" s="306" t="s">
        <v>550</v>
      </c>
      <c r="B22" s="307">
        <v>15</v>
      </c>
      <c r="C22" s="308">
        <v>150</v>
      </c>
      <c r="D22" s="309"/>
      <c r="E22" s="309"/>
      <c r="F22" s="309"/>
      <c r="G22" s="309"/>
      <c r="H22" s="310">
        <f t="shared" si="3"/>
        <v>0</v>
      </c>
      <c r="I22" s="310">
        <f t="shared" si="3"/>
        <v>0</v>
      </c>
      <c r="J22" s="310">
        <f t="shared" si="3"/>
        <v>0</v>
      </c>
      <c r="K22" s="310">
        <f t="shared" si="3"/>
        <v>0</v>
      </c>
    </row>
    <row r="23" spans="1:11" s="235" customFormat="1" ht="18" customHeight="1" x14ac:dyDescent="0.3">
      <c r="A23" s="306" t="s">
        <v>550</v>
      </c>
      <c r="B23" s="307">
        <v>25</v>
      </c>
      <c r="C23" s="308">
        <v>300</v>
      </c>
      <c r="D23" s="309"/>
      <c r="E23" s="309"/>
      <c r="F23" s="309"/>
      <c r="G23" s="309"/>
      <c r="H23" s="310">
        <f t="shared" si="3"/>
        <v>0</v>
      </c>
      <c r="I23" s="310">
        <f t="shared" si="3"/>
        <v>0</v>
      </c>
      <c r="J23" s="310">
        <f t="shared" si="3"/>
        <v>0</v>
      </c>
      <c r="K23" s="310">
        <f t="shared" si="3"/>
        <v>0</v>
      </c>
    </row>
    <row r="24" spans="1:11" s="235" customFormat="1" ht="18" customHeight="1" x14ac:dyDescent="0.3">
      <c r="A24" s="311" t="s">
        <v>551</v>
      </c>
      <c r="B24" s="307">
        <v>25</v>
      </c>
      <c r="C24" s="308">
        <v>500</v>
      </c>
      <c r="D24" s="309"/>
      <c r="E24" s="309"/>
      <c r="F24" s="309"/>
      <c r="G24" s="309"/>
      <c r="H24" s="310">
        <f t="shared" si="3"/>
        <v>0</v>
      </c>
      <c r="I24" s="310">
        <f t="shared" si="3"/>
        <v>0</v>
      </c>
      <c r="J24" s="310">
        <f t="shared" si="3"/>
        <v>0</v>
      </c>
      <c r="K24" s="310">
        <f t="shared" si="3"/>
        <v>0</v>
      </c>
    </row>
    <row r="25" spans="1:11" s="235" customFormat="1" ht="18" customHeight="1" x14ac:dyDescent="0.3">
      <c r="A25" s="311"/>
      <c r="B25" s="307"/>
      <c r="C25" s="308"/>
      <c r="D25" s="309"/>
      <c r="E25" s="309"/>
      <c r="F25" s="309"/>
      <c r="G25" s="309"/>
      <c r="H25" s="310">
        <f t="shared" si="3"/>
        <v>0</v>
      </c>
      <c r="I25" s="310">
        <f t="shared" si="3"/>
        <v>0</v>
      </c>
      <c r="J25" s="310">
        <f t="shared" si="3"/>
        <v>0</v>
      </c>
      <c r="K25" s="310">
        <f t="shared" si="3"/>
        <v>0</v>
      </c>
    </row>
    <row r="26" spans="1:11" s="235" customFormat="1" ht="18" customHeight="1" x14ac:dyDescent="0.3">
      <c r="A26" s="311"/>
      <c r="B26" s="307"/>
      <c r="C26" s="308"/>
      <c r="D26" s="309"/>
      <c r="E26" s="309"/>
      <c r="F26" s="309"/>
      <c r="G26" s="309"/>
      <c r="H26" s="310">
        <f t="shared" si="3"/>
        <v>0</v>
      </c>
      <c r="I26" s="310">
        <f t="shared" si="3"/>
        <v>0</v>
      </c>
      <c r="J26" s="310">
        <f t="shared" si="3"/>
        <v>0</v>
      </c>
      <c r="K26" s="310">
        <f t="shared" si="3"/>
        <v>0</v>
      </c>
    </row>
    <row r="27" spans="1:11" ht="18" customHeight="1" thickBot="1" x14ac:dyDescent="0.35">
      <c r="A27" s="1007" t="s">
        <v>554</v>
      </c>
      <c r="B27" s="1007"/>
      <c r="C27" s="1007"/>
      <c r="D27" s="312">
        <f t="shared" ref="D27:K27" si="4">SUM(D19:D26)</f>
        <v>0</v>
      </c>
      <c r="E27" s="312">
        <f t="shared" si="4"/>
        <v>0</v>
      </c>
      <c r="F27" s="312">
        <f t="shared" si="4"/>
        <v>0</v>
      </c>
      <c r="G27" s="312">
        <f t="shared" si="4"/>
        <v>0</v>
      </c>
      <c r="H27" s="313">
        <f t="shared" si="4"/>
        <v>0</v>
      </c>
      <c r="I27" s="313">
        <f t="shared" si="4"/>
        <v>0</v>
      </c>
      <c r="J27" s="313">
        <f t="shared" si="4"/>
        <v>0</v>
      </c>
      <c r="K27" s="313">
        <f t="shared" si="4"/>
        <v>0</v>
      </c>
    </row>
    <row r="28" spans="1:11" ht="9" customHeight="1" thickTop="1" x14ac:dyDescent="0.3">
      <c r="A28" s="315"/>
      <c r="B28" s="315"/>
      <c r="C28" s="315"/>
      <c r="D28" s="316"/>
      <c r="E28" s="316"/>
      <c r="F28" s="316"/>
      <c r="G28" s="316"/>
      <c r="H28" s="317"/>
      <c r="I28" s="317"/>
      <c r="J28" s="317"/>
      <c r="K28" s="317"/>
    </row>
    <row r="29" spans="1:11" ht="24" customHeight="1" thickBot="1" x14ac:dyDescent="0.35">
      <c r="A29" s="1008" t="s">
        <v>555</v>
      </c>
      <c r="B29" s="1008"/>
      <c r="C29" s="1008"/>
      <c r="D29" s="318">
        <f t="shared" ref="D29:K29" si="5">D14+D27</f>
        <v>2688</v>
      </c>
      <c r="E29" s="318">
        <f t="shared" si="5"/>
        <v>2721</v>
      </c>
      <c r="F29" s="318">
        <f t="shared" si="5"/>
        <v>2757</v>
      </c>
      <c r="G29" s="318">
        <f t="shared" si="5"/>
        <v>2840</v>
      </c>
      <c r="H29" s="319">
        <f t="shared" si="5"/>
        <v>74000</v>
      </c>
      <c r="I29" s="319">
        <f t="shared" si="5"/>
        <v>74850</v>
      </c>
      <c r="J29" s="319">
        <f t="shared" si="5"/>
        <v>75750</v>
      </c>
      <c r="K29" s="319">
        <f t="shared" si="5"/>
        <v>78350</v>
      </c>
    </row>
    <row r="30" spans="1:11" ht="15" hidden="1" thickTop="1" x14ac:dyDescent="0.3">
      <c r="H30" s="392">
        <f>H5</f>
        <v>2017</v>
      </c>
      <c r="I30" s="392">
        <f t="shared" ref="I30:K30" si="6">I5</f>
        <v>2018</v>
      </c>
      <c r="J30" s="392">
        <f t="shared" si="6"/>
        <v>2019</v>
      </c>
      <c r="K30" s="392">
        <f t="shared" si="6"/>
        <v>2020</v>
      </c>
    </row>
    <row r="31" spans="1:11" hidden="1" x14ac:dyDescent="0.3">
      <c r="B31" s="683" t="str">
        <f>"Zwischen Zeile "&amp;ROW(30:30)&amp;" und Zeile "&amp;ROW(31:31)&amp;" weder eine Zeile einfügen noch löschen!!!"</f>
        <v>Zwischen Zeile 30 und Zeile 31 weder eine Zeile einfügen noch löschen!!!</v>
      </c>
      <c r="H31" s="391">
        <f>H29</f>
        <v>74000</v>
      </c>
      <c r="I31" s="391">
        <f t="shared" ref="I31:K31" si="7">I29</f>
        <v>74850</v>
      </c>
      <c r="J31" s="391">
        <f t="shared" si="7"/>
        <v>75750</v>
      </c>
      <c r="K31" s="391">
        <f t="shared" si="7"/>
        <v>78350</v>
      </c>
    </row>
    <row r="32" spans="1:11" ht="15" thickTop="1" x14ac:dyDescent="0.3"/>
  </sheetData>
  <sheetProtection sheet="1" objects="1" scenarios="1"/>
  <mergeCells count="16">
    <mergeCell ref="A27:C27"/>
    <mergeCell ref="A29:C29"/>
    <mergeCell ref="A14:C14"/>
    <mergeCell ref="A16:K16"/>
    <mergeCell ref="A17:A18"/>
    <mergeCell ref="B17:B18"/>
    <mergeCell ref="C17:C18"/>
    <mergeCell ref="D17:G17"/>
    <mergeCell ref="H17:K17"/>
    <mergeCell ref="A2:K2"/>
    <mergeCell ref="A3:K3"/>
    <mergeCell ref="A4:A5"/>
    <mergeCell ref="B4:B5"/>
    <mergeCell ref="C4:C5"/>
    <mergeCell ref="D4:G4"/>
    <mergeCell ref="H4:K4"/>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R114"/>
  <sheetViews>
    <sheetView workbookViewId="0">
      <pane xSplit="7" ySplit="6" topLeftCell="H7" activePane="bottomRight" state="frozen"/>
      <selection pane="topRight" activeCell="H1" sqref="H1"/>
      <selection pane="bottomLeft" activeCell="A7" sqref="A7"/>
      <selection pane="bottomRight" activeCell="H7" sqref="H7"/>
    </sheetView>
  </sheetViews>
  <sheetFormatPr baseColWidth="10" defaultColWidth="11.44140625" defaultRowHeight="14.4" x14ac:dyDescent="0.3"/>
  <cols>
    <col min="1" max="1" width="5.6640625" style="10" customWidth="1"/>
    <col min="2" max="2" width="9.33203125" style="10" customWidth="1"/>
    <col min="3" max="3" width="68" style="10" bestFit="1" customWidth="1"/>
    <col min="4" max="7" width="7.44140625" style="10" customWidth="1"/>
    <col min="8" max="8" width="12.6640625" style="10" customWidth="1"/>
    <col min="9" max="11" width="12.6640625" style="238" customWidth="1"/>
    <col min="12" max="14" width="12.33203125" style="10" customWidth="1"/>
    <col min="15" max="15" width="12.6640625" style="10" customWidth="1"/>
    <col min="16" max="18" width="12.6640625" style="238" customWidth="1"/>
    <col min="19" max="21" width="12.33203125" style="10" customWidth="1"/>
    <col min="22" max="22" width="12.6640625" style="10" customWidth="1"/>
    <col min="23" max="25" width="12.6640625" style="238" customWidth="1"/>
    <col min="26" max="28" width="12.33203125" style="10" customWidth="1"/>
    <col min="29" max="29" width="12.6640625" style="10" customWidth="1"/>
    <col min="30" max="32" width="12.6640625" style="238" customWidth="1"/>
    <col min="33" max="35" width="12.33203125" style="10" customWidth="1"/>
    <col min="36" max="36" width="12.6640625" style="10" customWidth="1"/>
    <col min="37" max="39" width="12.6640625" style="238" customWidth="1"/>
    <col min="40" max="42" width="12.33203125" style="10" customWidth="1"/>
    <col min="43" max="43" width="12.6640625" style="10" customWidth="1"/>
    <col min="44" max="46" width="12.6640625" style="238" customWidth="1"/>
    <col min="47" max="49" width="12.33203125" style="10" customWidth="1"/>
    <col min="50" max="50" width="12.6640625" style="10" customWidth="1"/>
    <col min="51" max="53" width="12.6640625" style="238" customWidth="1"/>
    <col min="54" max="56" width="12.33203125" style="10" customWidth="1"/>
    <col min="57" max="57" width="12.6640625" style="10" customWidth="1"/>
    <col min="58" max="60" width="12.6640625" style="238" customWidth="1"/>
    <col min="61" max="63" width="12.33203125" style="10" customWidth="1"/>
    <col min="64" max="64" width="12.6640625" style="10" customWidth="1"/>
    <col min="65" max="67" width="12.6640625" style="238" customWidth="1"/>
    <col min="68" max="70" width="12.33203125" style="10" customWidth="1"/>
    <col min="71" max="16384" width="11.44140625" style="10"/>
  </cols>
  <sheetData>
    <row r="1" spans="1:70" ht="24" customHeight="1" thickBot="1" x14ac:dyDescent="0.35">
      <c r="A1" s="1018" t="str">
        <f>Grunddaten!A1 &amp; "   " &amp; Grunddaten!A2</f>
        <v>Gemeinde A   Abwasserbeseitigungseinrichtung</v>
      </c>
      <c r="B1" s="1019"/>
      <c r="C1" s="1019"/>
      <c r="D1" s="1019"/>
      <c r="E1" s="1019"/>
      <c r="F1" s="1019"/>
      <c r="G1" s="1020"/>
      <c r="H1" s="238"/>
      <c r="L1" s="238"/>
      <c r="M1" s="238"/>
      <c r="N1" s="217"/>
      <c r="O1" s="238"/>
      <c r="S1" s="238"/>
      <c r="T1" s="238"/>
      <c r="U1" s="217"/>
      <c r="V1" s="238"/>
      <c r="Z1" s="238"/>
      <c r="AA1" s="238"/>
      <c r="AB1" s="217"/>
      <c r="AC1" s="238"/>
      <c r="AG1" s="238"/>
      <c r="AH1" s="238"/>
      <c r="AI1" s="217"/>
      <c r="AJ1" s="238"/>
      <c r="AN1" s="238"/>
      <c r="AO1" s="238"/>
      <c r="AP1" s="217"/>
      <c r="AQ1" s="238"/>
      <c r="AU1" s="238"/>
      <c r="AV1" s="238"/>
      <c r="AW1" s="217"/>
      <c r="AX1" s="238"/>
      <c r="BB1" s="238"/>
      <c r="BC1" s="238"/>
      <c r="BD1" s="217"/>
      <c r="BE1" s="238"/>
      <c r="BI1" s="238"/>
      <c r="BJ1" s="238"/>
      <c r="BK1" s="217"/>
      <c r="BL1" s="238"/>
      <c r="BP1" s="238"/>
      <c r="BQ1" s="238"/>
      <c r="BR1" s="217"/>
    </row>
    <row r="2" spans="1:70" ht="29.25" customHeight="1" thickBot="1" x14ac:dyDescent="0.35">
      <c r="A2" s="1013" t="s">
        <v>501</v>
      </c>
      <c r="B2" s="1021"/>
      <c r="C2" s="1021"/>
      <c r="D2" s="1022"/>
      <c r="E2" s="1022"/>
      <c r="F2" s="1022"/>
      <c r="G2" s="1023"/>
      <c r="H2" s="530">
        <f>Nachkalkulation!C6</f>
        <v>2012</v>
      </c>
      <c r="I2" s="1024" t="s">
        <v>502</v>
      </c>
      <c r="J2" s="1025"/>
      <c r="K2" s="1025"/>
      <c r="L2" s="1025"/>
      <c r="M2" s="1025"/>
      <c r="N2" s="1026"/>
      <c r="O2" s="530">
        <f>Nachkalkulation!E6</f>
        <v>2013</v>
      </c>
      <c r="P2" s="1024" t="s">
        <v>529</v>
      </c>
      <c r="Q2" s="1025"/>
      <c r="R2" s="1025"/>
      <c r="S2" s="1025"/>
      <c r="T2" s="1025"/>
      <c r="U2" s="1026"/>
      <c r="V2" s="530">
        <f>Nachkalkulation!G6</f>
        <v>2014</v>
      </c>
      <c r="W2" s="1024" t="s">
        <v>529</v>
      </c>
      <c r="X2" s="1025"/>
      <c r="Y2" s="1025"/>
      <c r="Z2" s="1025"/>
      <c r="AA2" s="1025"/>
      <c r="AB2" s="1026"/>
      <c r="AC2" s="530">
        <f>Nachkalkulation!I6</f>
        <v>2015</v>
      </c>
      <c r="AD2" s="1024" t="s">
        <v>529</v>
      </c>
      <c r="AE2" s="1025"/>
      <c r="AF2" s="1025"/>
      <c r="AG2" s="1025"/>
      <c r="AH2" s="1025"/>
      <c r="AI2" s="1026"/>
      <c r="AJ2" s="530">
        <f>Nachkalkulation!K6</f>
        <v>2016</v>
      </c>
      <c r="AK2" s="1024" t="s">
        <v>529</v>
      </c>
      <c r="AL2" s="1025"/>
      <c r="AM2" s="1025"/>
      <c r="AN2" s="1025"/>
      <c r="AO2" s="1025"/>
      <c r="AP2" s="1026"/>
      <c r="AQ2" s="530">
        <f>Vorkalkulation!C6</f>
        <v>2017</v>
      </c>
      <c r="AR2" s="1024" t="s">
        <v>530</v>
      </c>
      <c r="AS2" s="1025"/>
      <c r="AT2" s="1025"/>
      <c r="AU2" s="1025"/>
      <c r="AV2" s="1025"/>
      <c r="AW2" s="1026"/>
      <c r="AX2" s="530">
        <f>Vorkalkulation!E6</f>
        <v>2018</v>
      </c>
      <c r="AY2" s="1024" t="s">
        <v>530</v>
      </c>
      <c r="AZ2" s="1025"/>
      <c r="BA2" s="1025"/>
      <c r="BB2" s="1025"/>
      <c r="BC2" s="1025"/>
      <c r="BD2" s="1026"/>
      <c r="BE2" s="530">
        <f>Vorkalkulation!G6</f>
        <v>2019</v>
      </c>
      <c r="BF2" s="1024" t="s">
        <v>530</v>
      </c>
      <c r="BG2" s="1025"/>
      <c r="BH2" s="1025"/>
      <c r="BI2" s="1025"/>
      <c r="BJ2" s="1025"/>
      <c r="BK2" s="1026"/>
      <c r="BL2" s="530">
        <f>Vorkalkulation!I6</f>
        <v>2020</v>
      </c>
      <c r="BM2" s="1024" t="s">
        <v>530</v>
      </c>
      <c r="BN2" s="1025"/>
      <c r="BO2" s="1025"/>
      <c r="BP2" s="1025"/>
      <c r="BQ2" s="1025"/>
      <c r="BR2" s="1026"/>
    </row>
    <row r="3" spans="1:70" ht="15" customHeight="1" x14ac:dyDescent="0.3">
      <c r="A3" s="1027" t="s">
        <v>0</v>
      </c>
      <c r="B3" s="1030" t="s">
        <v>503</v>
      </c>
      <c r="C3" s="1030" t="s">
        <v>336</v>
      </c>
      <c r="D3" s="1032" t="s">
        <v>504</v>
      </c>
      <c r="E3" s="1032" t="s">
        <v>505</v>
      </c>
      <c r="F3" s="1032"/>
      <c r="G3" s="1035"/>
      <c r="H3" s="1037" t="s">
        <v>506</v>
      </c>
      <c r="I3" s="1038"/>
      <c r="J3" s="1038"/>
      <c r="K3" s="1038"/>
      <c r="L3" s="1038"/>
      <c r="M3" s="1038"/>
      <c r="N3" s="1039"/>
      <c r="O3" s="1037" t="s">
        <v>506</v>
      </c>
      <c r="P3" s="1038"/>
      <c r="Q3" s="1038"/>
      <c r="R3" s="1038"/>
      <c r="S3" s="1038"/>
      <c r="T3" s="1038"/>
      <c r="U3" s="1039"/>
      <c r="V3" s="1037" t="s">
        <v>506</v>
      </c>
      <c r="W3" s="1038"/>
      <c r="X3" s="1038"/>
      <c r="Y3" s="1038"/>
      <c r="Z3" s="1038"/>
      <c r="AA3" s="1038"/>
      <c r="AB3" s="1039"/>
      <c r="AC3" s="1037" t="s">
        <v>506</v>
      </c>
      <c r="AD3" s="1038"/>
      <c r="AE3" s="1038"/>
      <c r="AF3" s="1038"/>
      <c r="AG3" s="1038"/>
      <c r="AH3" s="1038"/>
      <c r="AI3" s="1039"/>
      <c r="AJ3" s="1037" t="s">
        <v>506</v>
      </c>
      <c r="AK3" s="1038"/>
      <c r="AL3" s="1038"/>
      <c r="AM3" s="1038"/>
      <c r="AN3" s="1038"/>
      <c r="AO3" s="1038"/>
      <c r="AP3" s="1039"/>
      <c r="AQ3" s="1037" t="s">
        <v>506</v>
      </c>
      <c r="AR3" s="1038"/>
      <c r="AS3" s="1038"/>
      <c r="AT3" s="1038"/>
      <c r="AU3" s="1038"/>
      <c r="AV3" s="1038"/>
      <c r="AW3" s="1039"/>
      <c r="AX3" s="1037" t="s">
        <v>506</v>
      </c>
      <c r="AY3" s="1038"/>
      <c r="AZ3" s="1038"/>
      <c r="BA3" s="1038"/>
      <c r="BB3" s="1038"/>
      <c r="BC3" s="1038"/>
      <c r="BD3" s="1039"/>
      <c r="BE3" s="1037" t="s">
        <v>506</v>
      </c>
      <c r="BF3" s="1038"/>
      <c r="BG3" s="1038"/>
      <c r="BH3" s="1038"/>
      <c r="BI3" s="1038"/>
      <c r="BJ3" s="1038"/>
      <c r="BK3" s="1039"/>
      <c r="BL3" s="1037" t="s">
        <v>506</v>
      </c>
      <c r="BM3" s="1038"/>
      <c r="BN3" s="1038"/>
      <c r="BO3" s="1038"/>
      <c r="BP3" s="1038"/>
      <c r="BQ3" s="1038"/>
      <c r="BR3" s="1039"/>
    </row>
    <row r="4" spans="1:70" x14ac:dyDescent="0.3">
      <c r="A4" s="1028"/>
      <c r="B4" s="876"/>
      <c r="C4" s="876"/>
      <c r="D4" s="1033"/>
      <c r="E4" s="1033"/>
      <c r="F4" s="1033"/>
      <c r="G4" s="1036"/>
      <c r="H4" s="1040">
        <f>H2</f>
        <v>2012</v>
      </c>
      <c r="I4" s="1038"/>
      <c r="J4" s="1038"/>
      <c r="K4" s="1038"/>
      <c r="L4" s="1038"/>
      <c r="M4" s="1038"/>
      <c r="N4" s="1039"/>
      <c r="O4" s="1040">
        <f>O2</f>
        <v>2013</v>
      </c>
      <c r="P4" s="1038"/>
      <c r="Q4" s="1038"/>
      <c r="R4" s="1038"/>
      <c r="S4" s="1038"/>
      <c r="T4" s="1038"/>
      <c r="U4" s="1039"/>
      <c r="V4" s="1040">
        <f>V2</f>
        <v>2014</v>
      </c>
      <c r="W4" s="1038"/>
      <c r="X4" s="1038"/>
      <c r="Y4" s="1038"/>
      <c r="Z4" s="1038"/>
      <c r="AA4" s="1038"/>
      <c r="AB4" s="1039"/>
      <c r="AC4" s="1040">
        <f>AC2</f>
        <v>2015</v>
      </c>
      <c r="AD4" s="1038"/>
      <c r="AE4" s="1038"/>
      <c r="AF4" s="1038"/>
      <c r="AG4" s="1038"/>
      <c r="AH4" s="1038"/>
      <c r="AI4" s="1039"/>
      <c r="AJ4" s="1040">
        <f>AJ2</f>
        <v>2016</v>
      </c>
      <c r="AK4" s="1038"/>
      <c r="AL4" s="1038"/>
      <c r="AM4" s="1038"/>
      <c r="AN4" s="1038"/>
      <c r="AO4" s="1038"/>
      <c r="AP4" s="1039"/>
      <c r="AQ4" s="1040">
        <f>AQ2</f>
        <v>2017</v>
      </c>
      <c r="AR4" s="1038"/>
      <c r="AS4" s="1038"/>
      <c r="AT4" s="1038"/>
      <c r="AU4" s="1038"/>
      <c r="AV4" s="1038"/>
      <c r="AW4" s="1039"/>
      <c r="AX4" s="1040">
        <f>AX2</f>
        <v>2018</v>
      </c>
      <c r="AY4" s="1038"/>
      <c r="AZ4" s="1038"/>
      <c r="BA4" s="1038"/>
      <c r="BB4" s="1038"/>
      <c r="BC4" s="1038"/>
      <c r="BD4" s="1039"/>
      <c r="BE4" s="1040">
        <f>BE2</f>
        <v>2019</v>
      </c>
      <c r="BF4" s="1038"/>
      <c r="BG4" s="1038"/>
      <c r="BH4" s="1038"/>
      <c r="BI4" s="1038"/>
      <c r="BJ4" s="1038"/>
      <c r="BK4" s="1039"/>
      <c r="BL4" s="1040">
        <f>BL2</f>
        <v>2020</v>
      </c>
      <c r="BM4" s="1038"/>
      <c r="BN4" s="1038"/>
      <c r="BO4" s="1038"/>
      <c r="BP4" s="1038"/>
      <c r="BQ4" s="1038"/>
      <c r="BR4" s="1039"/>
    </row>
    <row r="5" spans="1:70" ht="18" customHeight="1" x14ac:dyDescent="0.3">
      <c r="A5" s="1028"/>
      <c r="B5" s="876"/>
      <c r="C5" s="876"/>
      <c r="D5" s="1033"/>
      <c r="E5" s="1033"/>
      <c r="F5" s="1033"/>
      <c r="G5" s="1036"/>
      <c r="H5" s="1041" t="s">
        <v>507</v>
      </c>
      <c r="I5" s="1043" t="s">
        <v>508</v>
      </c>
      <c r="J5" s="1043" t="s">
        <v>509</v>
      </c>
      <c r="K5" s="1043" t="s">
        <v>510</v>
      </c>
      <c r="L5" s="1045" t="s">
        <v>511</v>
      </c>
      <c r="M5" s="1045"/>
      <c r="N5" s="1046"/>
      <c r="O5" s="1041" t="s">
        <v>507</v>
      </c>
      <c r="P5" s="1043" t="s">
        <v>508</v>
      </c>
      <c r="Q5" s="1043" t="s">
        <v>509</v>
      </c>
      <c r="R5" s="1043" t="s">
        <v>510</v>
      </c>
      <c r="S5" s="1045" t="s">
        <v>511</v>
      </c>
      <c r="T5" s="1045"/>
      <c r="U5" s="1046"/>
      <c r="V5" s="1041" t="s">
        <v>507</v>
      </c>
      <c r="W5" s="1043" t="s">
        <v>508</v>
      </c>
      <c r="X5" s="1043" t="s">
        <v>509</v>
      </c>
      <c r="Y5" s="1043" t="s">
        <v>510</v>
      </c>
      <c r="Z5" s="1045" t="s">
        <v>511</v>
      </c>
      <c r="AA5" s="1045"/>
      <c r="AB5" s="1046"/>
      <c r="AC5" s="1041" t="s">
        <v>507</v>
      </c>
      <c r="AD5" s="1043" t="s">
        <v>508</v>
      </c>
      <c r="AE5" s="1043" t="s">
        <v>509</v>
      </c>
      <c r="AF5" s="1043" t="s">
        <v>510</v>
      </c>
      <c r="AG5" s="1045" t="s">
        <v>511</v>
      </c>
      <c r="AH5" s="1045"/>
      <c r="AI5" s="1046"/>
      <c r="AJ5" s="1041" t="s">
        <v>507</v>
      </c>
      <c r="AK5" s="1043" t="s">
        <v>508</v>
      </c>
      <c r="AL5" s="1043" t="s">
        <v>509</v>
      </c>
      <c r="AM5" s="1043" t="s">
        <v>510</v>
      </c>
      <c r="AN5" s="1045" t="s">
        <v>511</v>
      </c>
      <c r="AO5" s="1045"/>
      <c r="AP5" s="1046"/>
      <c r="AQ5" s="1041" t="s">
        <v>507</v>
      </c>
      <c r="AR5" s="1043" t="s">
        <v>508</v>
      </c>
      <c r="AS5" s="1043" t="s">
        <v>509</v>
      </c>
      <c r="AT5" s="1043" t="s">
        <v>510</v>
      </c>
      <c r="AU5" s="1045" t="s">
        <v>511</v>
      </c>
      <c r="AV5" s="1045"/>
      <c r="AW5" s="1046"/>
      <c r="AX5" s="1041" t="s">
        <v>507</v>
      </c>
      <c r="AY5" s="1043" t="s">
        <v>508</v>
      </c>
      <c r="AZ5" s="1043" t="s">
        <v>509</v>
      </c>
      <c r="BA5" s="1043" t="s">
        <v>510</v>
      </c>
      <c r="BB5" s="1045" t="s">
        <v>511</v>
      </c>
      <c r="BC5" s="1045"/>
      <c r="BD5" s="1046"/>
      <c r="BE5" s="1041" t="s">
        <v>507</v>
      </c>
      <c r="BF5" s="1043" t="s">
        <v>508</v>
      </c>
      <c r="BG5" s="1043" t="s">
        <v>509</v>
      </c>
      <c r="BH5" s="1043" t="s">
        <v>510</v>
      </c>
      <c r="BI5" s="1045" t="s">
        <v>511</v>
      </c>
      <c r="BJ5" s="1045"/>
      <c r="BK5" s="1046"/>
      <c r="BL5" s="1041" t="s">
        <v>507</v>
      </c>
      <c r="BM5" s="1043" t="s">
        <v>508</v>
      </c>
      <c r="BN5" s="1043" t="s">
        <v>509</v>
      </c>
      <c r="BO5" s="1043" t="s">
        <v>510</v>
      </c>
      <c r="BP5" s="1045" t="s">
        <v>511</v>
      </c>
      <c r="BQ5" s="1045"/>
      <c r="BR5" s="1046"/>
    </row>
    <row r="6" spans="1:70" ht="28.5" customHeight="1" thickBot="1" x14ac:dyDescent="0.35">
      <c r="A6" s="1029"/>
      <c r="B6" s="1031"/>
      <c r="C6" s="1031"/>
      <c r="D6" s="1034"/>
      <c r="E6" s="518" t="s">
        <v>512</v>
      </c>
      <c r="F6" s="518" t="s">
        <v>513</v>
      </c>
      <c r="G6" s="519" t="s">
        <v>514</v>
      </c>
      <c r="H6" s="1042"/>
      <c r="I6" s="1044"/>
      <c r="J6" s="1044"/>
      <c r="K6" s="1044"/>
      <c r="L6" s="518" t="s">
        <v>337</v>
      </c>
      <c r="M6" s="518" t="s">
        <v>515</v>
      </c>
      <c r="N6" s="519" t="s">
        <v>516</v>
      </c>
      <c r="O6" s="1042"/>
      <c r="P6" s="1044"/>
      <c r="Q6" s="1044"/>
      <c r="R6" s="1044"/>
      <c r="S6" s="518" t="s">
        <v>337</v>
      </c>
      <c r="T6" s="518" t="s">
        <v>515</v>
      </c>
      <c r="U6" s="519" t="s">
        <v>516</v>
      </c>
      <c r="V6" s="1042"/>
      <c r="W6" s="1044"/>
      <c r="X6" s="1044"/>
      <c r="Y6" s="1044"/>
      <c r="Z6" s="518" t="s">
        <v>337</v>
      </c>
      <c r="AA6" s="518" t="s">
        <v>515</v>
      </c>
      <c r="AB6" s="519" t="s">
        <v>516</v>
      </c>
      <c r="AC6" s="1042"/>
      <c r="AD6" s="1044"/>
      <c r="AE6" s="1044"/>
      <c r="AF6" s="1044"/>
      <c r="AG6" s="518" t="s">
        <v>337</v>
      </c>
      <c r="AH6" s="518" t="s">
        <v>515</v>
      </c>
      <c r="AI6" s="519" t="s">
        <v>516</v>
      </c>
      <c r="AJ6" s="1042"/>
      <c r="AK6" s="1044"/>
      <c r="AL6" s="1044"/>
      <c r="AM6" s="1044"/>
      <c r="AN6" s="518" t="s">
        <v>337</v>
      </c>
      <c r="AO6" s="518" t="s">
        <v>515</v>
      </c>
      <c r="AP6" s="519" t="s">
        <v>516</v>
      </c>
      <c r="AQ6" s="1042"/>
      <c r="AR6" s="1044"/>
      <c r="AS6" s="1044"/>
      <c r="AT6" s="1044"/>
      <c r="AU6" s="518" t="s">
        <v>337</v>
      </c>
      <c r="AV6" s="518" t="s">
        <v>515</v>
      </c>
      <c r="AW6" s="519" t="s">
        <v>516</v>
      </c>
      <c r="AX6" s="1042"/>
      <c r="AY6" s="1044"/>
      <c r="AZ6" s="1044"/>
      <c r="BA6" s="1044"/>
      <c r="BB6" s="518" t="s">
        <v>337</v>
      </c>
      <c r="BC6" s="518" t="s">
        <v>515</v>
      </c>
      <c r="BD6" s="519" t="s">
        <v>516</v>
      </c>
      <c r="BE6" s="1042"/>
      <c r="BF6" s="1044"/>
      <c r="BG6" s="1044"/>
      <c r="BH6" s="1044"/>
      <c r="BI6" s="518" t="s">
        <v>337</v>
      </c>
      <c r="BJ6" s="518" t="s">
        <v>515</v>
      </c>
      <c r="BK6" s="519" t="s">
        <v>516</v>
      </c>
      <c r="BL6" s="1042"/>
      <c r="BM6" s="1044"/>
      <c r="BN6" s="1044"/>
      <c r="BO6" s="1044"/>
      <c r="BP6" s="518" t="s">
        <v>337</v>
      </c>
      <c r="BQ6" s="518" t="s">
        <v>515</v>
      </c>
      <c r="BR6" s="519" t="s">
        <v>516</v>
      </c>
    </row>
    <row r="7" spans="1:70" ht="27" customHeight="1" thickTop="1" x14ac:dyDescent="0.35">
      <c r="A7" s="239" t="s">
        <v>517</v>
      </c>
      <c r="B7" s="520"/>
      <c r="C7" s="1015" t="s">
        <v>967</v>
      </c>
      <c r="D7" s="1016"/>
      <c r="E7" s="1016"/>
      <c r="F7" s="1016"/>
      <c r="G7" s="1017"/>
      <c r="H7" s="240"/>
      <c r="I7" s="240"/>
      <c r="J7" s="240"/>
      <c r="K7" s="241"/>
      <c r="L7" s="241"/>
      <c r="M7" s="241"/>
      <c r="N7" s="242"/>
      <c r="O7" s="240"/>
      <c r="P7" s="240"/>
      <c r="Q7" s="240"/>
      <c r="R7" s="241"/>
      <c r="S7" s="241"/>
      <c r="T7" s="241"/>
      <c r="U7" s="242"/>
      <c r="V7" s="240"/>
      <c r="W7" s="240"/>
      <c r="X7" s="240"/>
      <c r="Y7" s="241"/>
      <c r="Z7" s="241"/>
      <c r="AA7" s="241"/>
      <c r="AB7" s="242"/>
      <c r="AC7" s="240"/>
      <c r="AD7" s="240"/>
      <c r="AE7" s="240"/>
      <c r="AF7" s="241"/>
      <c r="AG7" s="241"/>
      <c r="AH7" s="241"/>
      <c r="AI7" s="242"/>
      <c r="AJ7" s="240"/>
      <c r="AK7" s="240"/>
      <c r="AL7" s="240"/>
      <c r="AM7" s="241"/>
      <c r="AN7" s="241"/>
      <c r="AO7" s="241"/>
      <c r="AP7" s="242"/>
      <c r="AQ7" s="240"/>
      <c r="AR7" s="240"/>
      <c r="AS7" s="240"/>
      <c r="AT7" s="241"/>
      <c r="AU7" s="241"/>
      <c r="AV7" s="241"/>
      <c r="AW7" s="242"/>
      <c r="AX7" s="240"/>
      <c r="AY7" s="240"/>
      <c r="AZ7" s="240"/>
      <c r="BA7" s="241"/>
      <c r="BB7" s="241"/>
      <c r="BC7" s="241"/>
      <c r="BD7" s="242"/>
      <c r="BE7" s="240"/>
      <c r="BF7" s="240"/>
      <c r="BG7" s="240"/>
      <c r="BH7" s="241"/>
      <c r="BI7" s="241"/>
      <c r="BJ7" s="241"/>
      <c r="BK7" s="242"/>
      <c r="BL7" s="240"/>
      <c r="BM7" s="240"/>
      <c r="BN7" s="240"/>
      <c r="BO7" s="241"/>
      <c r="BP7" s="241"/>
      <c r="BQ7" s="241"/>
      <c r="BR7" s="242"/>
    </row>
    <row r="8" spans="1:70" x14ac:dyDescent="0.3">
      <c r="A8" s="521" t="s">
        <v>11</v>
      </c>
      <c r="B8" s="188"/>
      <c r="C8" s="522" t="s">
        <v>451</v>
      </c>
      <c r="D8" s="188"/>
      <c r="E8" s="612"/>
      <c r="F8" s="612"/>
      <c r="G8" s="613"/>
      <c r="H8" s="614"/>
      <c r="I8" s="189"/>
      <c r="J8" s="189"/>
      <c r="K8" s="245">
        <f t="shared" ref="K8:K26" si="0">H8-I8+J8</f>
        <v>0</v>
      </c>
      <c r="L8" s="245">
        <f t="shared" ref="L8:L26" si="1">IF(H$2="-","-",IF($E8+$F8+$G8=1,K8*$E8,IF($D8="uns",K8*HLOOKUP(H$2,Verteil_sw,46,FALSE),IF($D8="unm",K8*HLOOKUP(H$2,Verteil_sw,47,FALSE),IF($D8="unr",K8*HLOOKUP(H$2,Verteil_sw,48,FALSE),IF($D8="unk",K8*HLOOKUP(H$2,Verteil_sw,49,FALSE),IF($D8="alz",K8*HLOOKUP(H$2,Verteil_sw,51,FALSE),0)))))))</f>
        <v>0</v>
      </c>
      <c r="M8" s="245">
        <f t="shared" ref="M8:M26" si="2">IF(H$2="-","-",IF($E8+$F8+$G8=1,K8*$F8,IF($D8="uns",K8*HLOOKUP(H$2,Verteil_rwgr,45,FALSE),IF($D8="unm",K8*HLOOKUP(H$2,Verteil_rwgr,46,FALSE),IF($D8="unr",K8*HLOOKUP(H$2,Verteil_rwgr,47,FALSE),IF($D8="unk",K8*HLOOKUP(H$2,Verteil_rwgr,48,FALSE),IF($D8="alz",K8*HLOOKUP(H$2,Verteil_rwgr,50,FALSE),0)))))))</f>
        <v>0</v>
      </c>
      <c r="N8" s="237">
        <f t="shared" ref="N8:N26" si="3">IF(H$2="-","-",IF($E8+$F8+$G8=1,K8*$G8,IF($D8="uns",K8*HLOOKUP(H$2,Verteil_rwst,44,FALSE),IF($D8="unm",K8*HLOOKUP(H$2,Verteil_rwst,45,FALSE),IF($D8="unr",K8*HLOOKUP(H$2,Verteil_rwst,46,FALSE),IF($D8="unk",K8*HLOOKUP(H$2,Verteil_rwst,47,FALSE),IF($D8="alz",K8*HLOOKUP(H$2,Verteil_rwst,49,FALSE),0)))))))</f>
        <v>0</v>
      </c>
      <c r="O8" s="614"/>
      <c r="P8" s="189"/>
      <c r="Q8" s="189"/>
      <c r="R8" s="245">
        <f t="shared" ref="R8:R26" si="4">O8-P8+Q8</f>
        <v>0</v>
      </c>
      <c r="S8" s="245">
        <f t="shared" ref="S8:S26" si="5">IF(O$2="-","-",IF($E8+$F8+$G8=1,R8*$E8,IF($D8="uns",R8*HLOOKUP(O$2,Verteil_sw,46,FALSE),IF($D8="unm",R8*HLOOKUP(O$2,Verteil_sw,47,FALSE),IF($D8="unr",R8*HLOOKUP(O$2,Verteil_sw,48,FALSE),IF($D8="unk",R8*HLOOKUP(O$2,Verteil_sw,49,FALSE),IF($D8="alz",R8*HLOOKUP(O$2,Verteil_sw,51,FALSE),0)))))))</f>
        <v>0</v>
      </c>
      <c r="T8" s="245">
        <f t="shared" ref="T8:T26" si="6">IF(O$2="-","-",IF($E8+$F8+$G8=1,R8*$F8,IF($D8="uns",R8*HLOOKUP(O$2,Verteil_rwgr,45,FALSE),IF($D8="unm",R8*HLOOKUP(O$2,Verteil_rwgr,46,FALSE),IF($D8="unr",R8*HLOOKUP(O$2,Verteil_rwgr,47,FALSE),IF($D8="unk",R8*HLOOKUP(O$2,Verteil_rwgr,48,FALSE),IF($D8="alz",R8*HLOOKUP(O$2,Verteil_rwgr,50,FALSE),0)))))))</f>
        <v>0</v>
      </c>
      <c r="U8" s="237">
        <f t="shared" ref="U8:U26" si="7">IF(O$2="-","-",IF($E8+$F8+$G8=1,R8*$G8,IF($D8="uns",R8*HLOOKUP(O$2,Verteil_rwst,44,FALSE),IF($D8="unm",R8*HLOOKUP(O$2,Verteil_rwst,45,FALSE),IF($D8="unr",R8*HLOOKUP(O$2,Verteil_rwst,46,FALSE),IF($D8="unk",R8*HLOOKUP(O$2,Verteil_rwst,47,FALSE),IF($D8="alz",R8*HLOOKUP(O$2,Verteil_rwst,49,FALSE),0)))))))</f>
        <v>0</v>
      </c>
      <c r="V8" s="614"/>
      <c r="W8" s="189"/>
      <c r="X8" s="189"/>
      <c r="Y8" s="245">
        <f t="shared" ref="Y8:Y26" si="8">V8-W8+X8</f>
        <v>0</v>
      </c>
      <c r="Z8" s="245">
        <f t="shared" ref="Z8:Z26" si="9">IF(V$2="-","-",IF($E8+$F8+$G8=1,Y8*$E8,IF($D8="uns",Y8*HLOOKUP(V$2,Verteil_sw,46,FALSE),IF($D8="unm",Y8*HLOOKUP(V$2,Verteil_sw,47,FALSE),IF($D8="unr",Y8*HLOOKUP(V$2,Verteil_sw,48,FALSE),IF($D8="unk",Y8*HLOOKUP(V$2,Verteil_sw,49,FALSE),IF($D8="alz",Y8*HLOOKUP(V$2,Verteil_sw,51,FALSE),0)))))))</f>
        <v>0</v>
      </c>
      <c r="AA8" s="245">
        <f t="shared" ref="AA8:AA26" si="10">IF(V$2="-","-",IF($E8+$F8+$G8=1,Y8*$F8,IF($D8="uns",Y8*HLOOKUP(V$2,Verteil_rwgr,45,FALSE),IF($D8="unm",Y8*HLOOKUP(V$2,Verteil_rwgr,46,FALSE),IF($D8="unr",Y8*HLOOKUP(V$2,Verteil_rwgr,47,FALSE),IF($D8="unk",Y8*HLOOKUP(V$2,Verteil_rwgr,48,FALSE),IF($D8="alz",Y8*HLOOKUP(V$2,Verteil_rwgr,50,FALSE),0)))))))</f>
        <v>0</v>
      </c>
      <c r="AB8" s="237">
        <f t="shared" ref="AB8:AB26" si="11">IF(V$2="-","-",IF($E8+$F8+$G8=1,Y8*$G8,IF($D8="uns",Y8*HLOOKUP(V$2,Verteil_rwst,44,FALSE),IF($D8="unm",Y8*HLOOKUP(V$2,Verteil_rwst,45,FALSE),IF($D8="unr",Y8*HLOOKUP(V$2,Verteil_rwst,46,FALSE),IF($D8="unk",Y8*HLOOKUP(V$2,Verteil_rwst,47,FALSE),IF($D8="alz",Y8*HLOOKUP(V$2,Verteil_rwst,49,FALSE),0)))))))</f>
        <v>0</v>
      </c>
      <c r="AC8" s="614"/>
      <c r="AD8" s="189"/>
      <c r="AE8" s="189"/>
      <c r="AF8" s="245">
        <f t="shared" ref="AF8:AF26" si="12">AC8-AD8+AE8</f>
        <v>0</v>
      </c>
      <c r="AG8" s="245">
        <f t="shared" ref="AG8:AG26" si="13">IF(AC$2="-","-",IF($E8+$F8+$G8=1,AF8*$E8,IF($D8="uns",AF8*HLOOKUP(AC$2,Verteil_sw,46,FALSE),IF($D8="unm",AF8*HLOOKUP(AC$2,Verteil_sw,47,FALSE),IF($D8="unr",AF8*HLOOKUP(AC$2,Verteil_sw,48,FALSE),IF($D8="unk",AF8*HLOOKUP(AC$2,Verteil_sw,49,FALSE),IF($D8="alz",AF8*HLOOKUP(AC$2,Verteil_sw,51,FALSE),0)))))))</f>
        <v>0</v>
      </c>
      <c r="AH8" s="245">
        <f t="shared" ref="AH8:AH26" si="14">IF(AC$2="-","-",IF($E8+$F8+$G8=1,AF8*$F8,IF($D8="uns",AF8*HLOOKUP(AC$2,Verteil_rwgr,45,FALSE),IF($D8="unm",AF8*HLOOKUP(AC$2,Verteil_rwgr,46,FALSE),IF($D8="unr",AF8*HLOOKUP(AC$2,Verteil_rwgr,47,FALSE),IF($D8="unk",AF8*HLOOKUP(AC$2,Verteil_rwgr,48,FALSE),IF($D8="alz",AF8*HLOOKUP(AC$2,Verteil_rwgr,50,FALSE),0)))))))</f>
        <v>0</v>
      </c>
      <c r="AI8" s="237">
        <f t="shared" ref="AI8:AI26" si="15">IF(AC$2="-","-",IF($E8+$F8+$G8=1,AF8*$G8,IF($D8="uns",AF8*HLOOKUP(AC$2,Verteil_rwst,44,FALSE),IF($D8="unm",AF8*HLOOKUP(AC$2,Verteil_rwst,45,FALSE),IF($D8="unr",AF8*HLOOKUP(AC$2,Verteil_rwst,46,FALSE),IF($D8="unk",AF8*HLOOKUP(AC$2,Verteil_rwst,47,FALSE),IF($D8="alz",AF8*HLOOKUP(AC$2,Verteil_rwst,49,FALSE),0)))))))</f>
        <v>0</v>
      </c>
      <c r="AJ8" s="614"/>
      <c r="AK8" s="189"/>
      <c r="AL8" s="189"/>
      <c r="AM8" s="245">
        <f t="shared" ref="AM8:AM26" si="16">AJ8-AK8+AL8</f>
        <v>0</v>
      </c>
      <c r="AN8" s="245">
        <f t="shared" ref="AN8:AN26" si="17">IF(AJ$2="-","-",IF($E8+$F8+$G8=1,AM8*$E8,IF($D8="uns",AM8*HLOOKUP(AJ$2,Verteil_sw,46,FALSE),IF($D8="unm",AM8*HLOOKUP(AJ$2,Verteil_sw,47,FALSE),IF($D8="unr",AM8*HLOOKUP(AJ$2,Verteil_sw,48,FALSE),IF($D8="unk",AM8*HLOOKUP(AJ$2,Verteil_sw,49,FALSE),IF($D8="alz",AM8*HLOOKUP(AJ$2,Verteil_sw,51,FALSE),0)))))))</f>
        <v>0</v>
      </c>
      <c r="AO8" s="245">
        <f t="shared" ref="AO8:AO26" si="18">IF(AJ$2="-","-",IF($E8+$F8+$G8=1,AM8*$F8,IF($D8="uns",AM8*HLOOKUP(AJ$2,Verteil_rwgr,45,FALSE),IF($D8="unm",AM8*HLOOKUP(AJ$2,Verteil_rwgr,46,FALSE),IF($D8="unr",AM8*HLOOKUP(AJ$2,Verteil_rwgr,47,FALSE),IF($D8="unk",AM8*HLOOKUP(AJ$2,Verteil_rwgr,48,FALSE),IF($D8="alz",AM8*HLOOKUP(AJ$2,Verteil_rwgr,50,FALSE),0)))))))</f>
        <v>0</v>
      </c>
      <c r="AP8" s="237">
        <f t="shared" ref="AP8:AP26" si="19">IF(AJ$2="-","-",IF($E8+$F8+$G8=1,AM8*$G8,IF($D8="uns",AM8*HLOOKUP(AJ$2,Verteil_rwst,44,FALSE),IF($D8="unm",AM8*HLOOKUP(AJ$2,Verteil_rwst,45,FALSE),IF($D8="unr",AM8*HLOOKUP(AJ$2,Verteil_rwst,46,FALSE),IF($D8="unk",AM8*HLOOKUP(AJ$2,Verteil_rwst,47,FALSE),IF($D8="alz",AM8*HLOOKUP(AJ$2,Verteil_rwst,49,FALSE),0)))))))</f>
        <v>0</v>
      </c>
      <c r="AQ8" s="614"/>
      <c r="AR8" s="189"/>
      <c r="AS8" s="189"/>
      <c r="AT8" s="245">
        <f t="shared" ref="AT8:AT26" si="20">AQ8-AR8+AS8</f>
        <v>0</v>
      </c>
      <c r="AU8" s="245">
        <f t="shared" ref="AU8:AU26" si="21">IF(AQ$2="-","-",IF($E8+$F8+$G8=1,AT8*$E8,IF($D8="uns",AT8*HLOOKUP(AQ$2,Verteil_sw,46,FALSE),IF($D8="unm",AT8*HLOOKUP(AQ$2,Verteil_sw,47,FALSE),IF($D8="unr",AT8*HLOOKUP(AQ$2,Verteil_sw,48,FALSE),IF($D8="unk",AT8*HLOOKUP(AQ$2,Verteil_sw,49,FALSE),IF($D8="alz",AT8*HLOOKUP(AQ$2,Verteil_sw,51,FALSE),0)))))))</f>
        <v>0</v>
      </c>
      <c r="AV8" s="245">
        <f t="shared" ref="AV8:AV26" si="22">IF(AQ$2="-","-",IF($E8+$F8+$G8=1,AT8*$F8,IF($D8="uns",AT8*HLOOKUP(AQ$2,Verteil_rwgr,45,FALSE),IF($D8="unm",AT8*HLOOKUP(AQ$2,Verteil_rwgr,46,FALSE),IF($D8="unr",AT8*HLOOKUP(AQ$2,Verteil_rwgr,47,FALSE),IF($D8="unk",AT8*HLOOKUP(AQ$2,Verteil_rwgr,48,FALSE),IF($D8="alz",AT8*HLOOKUP(AQ$2,Verteil_rwgr,50,FALSE),0)))))))</f>
        <v>0</v>
      </c>
      <c r="AW8" s="237">
        <f t="shared" ref="AW8:AW26" si="23">IF(AQ$2="-","-",IF($E8+$F8+$G8=1,AT8*$G8,IF($D8="uns",AT8*HLOOKUP(AQ$2,Verteil_rwst,44,FALSE),IF($D8="unm",AT8*HLOOKUP(AQ$2,Verteil_rwst,45,FALSE),IF($D8="unr",AT8*HLOOKUP(AQ$2,Verteil_rwst,46,FALSE),IF($D8="unk",AT8*HLOOKUP(AQ$2,Verteil_rwst,47,FALSE),IF($D8="alz",AT8*HLOOKUP(AQ$2,Verteil_rwst,49,FALSE),0)))))))</f>
        <v>0</v>
      </c>
      <c r="AX8" s="614"/>
      <c r="AY8" s="189"/>
      <c r="AZ8" s="189"/>
      <c r="BA8" s="245">
        <f t="shared" ref="BA8:BA26" si="24">AX8-AY8+AZ8</f>
        <v>0</v>
      </c>
      <c r="BB8" s="245">
        <f t="shared" ref="BB8:BB26" si="25">IF(AX$2="-","-",IF($E8+$F8+$G8=1,BA8*$E8,IF($D8="uns",BA8*HLOOKUP(AX$2,Verteil_sw,46,FALSE),IF($D8="unm",BA8*HLOOKUP(AX$2,Verteil_sw,47,FALSE),IF($D8="unr",BA8*HLOOKUP(AX$2,Verteil_sw,48,FALSE),IF($D8="unk",BA8*HLOOKUP(AX$2,Verteil_sw,49,FALSE),IF($D8="alz",BA8*HLOOKUP(AX$2,Verteil_sw,51,FALSE),0)))))))</f>
        <v>0</v>
      </c>
      <c r="BC8" s="245">
        <f t="shared" ref="BC8:BC26" si="26">IF(AX$2="-","-",IF($E8+$F8+$G8=1,BA8*$F8,IF($D8="uns",BA8*HLOOKUP(AX$2,Verteil_rwgr,45,FALSE),IF($D8="unm",BA8*HLOOKUP(AX$2,Verteil_rwgr,46,FALSE),IF($D8="unr",BA8*HLOOKUP(AX$2,Verteil_rwgr,47,FALSE),IF($D8="unk",BA8*HLOOKUP(AX$2,Verteil_rwgr,48,FALSE),IF($D8="alz",BA8*HLOOKUP(AX$2,Verteil_rwgr,50,FALSE),0)))))))</f>
        <v>0</v>
      </c>
      <c r="BD8" s="237">
        <f t="shared" ref="BD8:BD26" si="27">IF(AX$2="-","-",IF($E8+$F8+$G8=1,BA8*$G8,IF($D8="uns",BA8*HLOOKUP(AX$2,Verteil_rwst,44,FALSE),IF($D8="unm",BA8*HLOOKUP(AX$2,Verteil_rwst,45,FALSE),IF($D8="unr",BA8*HLOOKUP(AX$2,Verteil_rwst,46,FALSE),IF($D8="unk",BA8*HLOOKUP(AX$2,Verteil_rwst,47,FALSE),IF($D8="alz",BA8*HLOOKUP(AX$2,Verteil_rwst,49,FALSE),0)))))))</f>
        <v>0</v>
      </c>
      <c r="BE8" s="614"/>
      <c r="BF8" s="189"/>
      <c r="BG8" s="189"/>
      <c r="BH8" s="245">
        <f t="shared" ref="BH8:BH26" si="28">BE8-BF8+BG8</f>
        <v>0</v>
      </c>
      <c r="BI8" s="245">
        <f t="shared" ref="BI8:BI26" si="29">IF(BE$2="-","-",IF($E8+$F8+$G8=1,BH8*$E8,IF($D8="uns",BH8*HLOOKUP(BE$2,Verteil_sw,46,FALSE),IF($D8="unm",BH8*HLOOKUP(BE$2,Verteil_sw,47,FALSE),IF($D8="unr",BH8*HLOOKUP(BE$2,Verteil_sw,48,FALSE),IF($D8="unk",BH8*HLOOKUP(BE$2,Verteil_sw,49,FALSE),IF($D8="alz",BH8*HLOOKUP(BE$2,Verteil_sw,51,FALSE),0)))))))</f>
        <v>0</v>
      </c>
      <c r="BJ8" s="245">
        <f t="shared" ref="BJ8:BJ26" si="30">IF(BE$2="-","-",IF($E8+$F8+$G8=1,BH8*$F8,IF($D8="uns",BH8*HLOOKUP(BE$2,Verteil_rwgr,45,FALSE),IF($D8="unm",BH8*HLOOKUP(BE$2,Verteil_rwgr,46,FALSE),IF($D8="unr",BH8*HLOOKUP(BE$2,Verteil_rwgr,47,FALSE),IF($D8="unk",BH8*HLOOKUP(BE$2,Verteil_rwgr,48,FALSE),IF($D8="alz",BH8*HLOOKUP(BE$2,Verteil_rwgr,50,FALSE),0)))))))</f>
        <v>0</v>
      </c>
      <c r="BK8" s="237">
        <f t="shared" ref="BK8:BK26" si="31">IF(BE$2="-","-",IF($E8+$F8+$G8=1,BH8*$G8,IF($D8="uns",BH8*HLOOKUP(BE$2,Verteil_rwst,44,FALSE),IF($D8="unm",BH8*HLOOKUP(BE$2,Verteil_rwst,45,FALSE),IF($D8="unr",BH8*HLOOKUP(BE$2,Verteil_rwst,46,FALSE),IF($D8="unk",BH8*HLOOKUP(BE$2,Verteil_rwst,47,FALSE),IF($D8="alz",BH8*HLOOKUP(BE$2,Verteil_rwst,49,FALSE),0)))))))</f>
        <v>0</v>
      </c>
      <c r="BL8" s="614"/>
      <c r="BM8" s="189"/>
      <c r="BN8" s="189"/>
      <c r="BO8" s="245">
        <f t="shared" ref="BO8:BO26" si="32">BL8-BM8+BN8</f>
        <v>0</v>
      </c>
      <c r="BP8" s="245">
        <f t="shared" ref="BP8:BP26" si="33">IF(BL$2="-","-",IF($E8+$F8+$G8=1,BO8*$E8,IF($D8="uns",BO8*HLOOKUP(BL$2,Verteil_sw,46,FALSE),IF($D8="unm",BO8*HLOOKUP(BL$2,Verteil_sw,47,FALSE),IF($D8="unr",BO8*HLOOKUP(BL$2,Verteil_sw,48,FALSE),IF($D8="unk",BO8*HLOOKUP(BL$2,Verteil_sw,49,FALSE),IF($D8="alz",BO8*HLOOKUP(BL$2,Verteil_sw,51,FALSE),0)))))))</f>
        <v>0</v>
      </c>
      <c r="BQ8" s="245">
        <f t="shared" ref="BQ8:BQ26" si="34">IF(BL$2="-","-",IF($E8+$F8+$G8=1,BO8*$F8,IF($D8="uns",BO8*HLOOKUP(BL$2,Verteil_rwgr,45,FALSE),IF($D8="unm",BO8*HLOOKUP(BL$2,Verteil_rwgr,46,FALSE),IF($D8="unr",BO8*HLOOKUP(BL$2,Verteil_rwgr,47,FALSE),IF($D8="unk",BO8*HLOOKUP(BL$2,Verteil_rwgr,48,FALSE),IF($D8="alz",BO8*HLOOKUP(BL$2,Verteil_rwgr,50,FALSE),0)))))))</f>
        <v>0</v>
      </c>
      <c r="BR8" s="237">
        <f t="shared" ref="BR8:BR26" si="35">IF(BL$2="-","-",IF($E8+$F8+$G8=1,BO8*$G8,IF($D8="uns",BO8*HLOOKUP(BL$2,Verteil_rwst,44,FALSE),IF($D8="unm",BO8*HLOOKUP(BL$2,Verteil_rwst,45,FALSE),IF($D8="unr",BO8*HLOOKUP(BL$2,Verteil_rwst,46,FALSE),IF($D8="unk",BO8*HLOOKUP(BL$2,Verteil_rwst,47,FALSE),IF($D8="alz",BO8*HLOOKUP(BL$2,Verteil_rwst,49,FALSE),0)))))))</f>
        <v>0</v>
      </c>
    </row>
    <row r="9" spans="1:70" x14ac:dyDescent="0.3">
      <c r="A9" s="521" t="s">
        <v>13</v>
      </c>
      <c r="B9" s="188">
        <v>1110</v>
      </c>
      <c r="C9" s="522" t="s">
        <v>950</v>
      </c>
      <c r="D9" s="188"/>
      <c r="E9" s="612"/>
      <c r="F9" s="612"/>
      <c r="G9" s="613"/>
      <c r="H9" s="615">
        <v>1145.5999999999999</v>
      </c>
      <c r="I9" s="616">
        <v>1145.5999999999999</v>
      </c>
      <c r="J9" s="616"/>
      <c r="K9" s="245">
        <f t="shared" si="0"/>
        <v>0</v>
      </c>
      <c r="L9" s="245">
        <f t="shared" si="1"/>
        <v>0</v>
      </c>
      <c r="M9" s="245">
        <f t="shared" si="2"/>
        <v>0</v>
      </c>
      <c r="N9" s="237">
        <f t="shared" si="3"/>
        <v>0</v>
      </c>
      <c r="O9" s="615">
        <v>868.16</v>
      </c>
      <c r="P9" s="616">
        <v>868.16</v>
      </c>
      <c r="Q9" s="616"/>
      <c r="R9" s="245">
        <f t="shared" si="4"/>
        <v>0</v>
      </c>
      <c r="S9" s="245">
        <f t="shared" si="5"/>
        <v>0</v>
      </c>
      <c r="T9" s="245">
        <f t="shared" si="6"/>
        <v>0</v>
      </c>
      <c r="U9" s="237">
        <f t="shared" si="7"/>
        <v>0</v>
      </c>
      <c r="V9" s="615">
        <v>71.599999999999994</v>
      </c>
      <c r="W9" s="616">
        <v>71.599999999999994</v>
      </c>
      <c r="X9" s="616"/>
      <c r="Y9" s="245">
        <f t="shared" si="8"/>
        <v>0</v>
      </c>
      <c r="Z9" s="245">
        <f t="shared" si="9"/>
        <v>0</v>
      </c>
      <c r="AA9" s="245">
        <f t="shared" si="10"/>
        <v>0</v>
      </c>
      <c r="AB9" s="237">
        <f t="shared" si="11"/>
        <v>0</v>
      </c>
      <c r="AC9" s="615">
        <v>71.599999999999994</v>
      </c>
      <c r="AD9" s="616">
        <v>71.599999999999994</v>
      </c>
      <c r="AE9" s="616"/>
      <c r="AF9" s="245">
        <f t="shared" si="12"/>
        <v>0</v>
      </c>
      <c r="AG9" s="245">
        <f t="shared" si="13"/>
        <v>0</v>
      </c>
      <c r="AH9" s="245">
        <f t="shared" si="14"/>
        <v>0</v>
      </c>
      <c r="AI9" s="237">
        <f t="shared" si="15"/>
        <v>0</v>
      </c>
      <c r="AJ9" s="615"/>
      <c r="AK9" s="616"/>
      <c r="AL9" s="616"/>
      <c r="AM9" s="245">
        <f t="shared" si="16"/>
        <v>0</v>
      </c>
      <c r="AN9" s="245">
        <f t="shared" si="17"/>
        <v>0</v>
      </c>
      <c r="AO9" s="245">
        <f t="shared" si="18"/>
        <v>0</v>
      </c>
      <c r="AP9" s="237">
        <f t="shared" si="19"/>
        <v>0</v>
      </c>
      <c r="AQ9" s="615"/>
      <c r="AR9" s="616"/>
      <c r="AS9" s="616"/>
      <c r="AT9" s="245">
        <f t="shared" si="20"/>
        <v>0</v>
      </c>
      <c r="AU9" s="245">
        <f t="shared" si="21"/>
        <v>0</v>
      </c>
      <c r="AV9" s="245">
        <f t="shared" si="22"/>
        <v>0</v>
      </c>
      <c r="AW9" s="237">
        <f t="shared" si="23"/>
        <v>0</v>
      </c>
      <c r="AX9" s="615"/>
      <c r="AY9" s="616"/>
      <c r="AZ9" s="616"/>
      <c r="BA9" s="245">
        <f t="shared" si="24"/>
        <v>0</v>
      </c>
      <c r="BB9" s="245">
        <f t="shared" si="25"/>
        <v>0</v>
      </c>
      <c r="BC9" s="245">
        <f t="shared" si="26"/>
        <v>0</v>
      </c>
      <c r="BD9" s="237">
        <f t="shared" si="27"/>
        <v>0</v>
      </c>
      <c r="BE9" s="615"/>
      <c r="BF9" s="616"/>
      <c r="BG9" s="616"/>
      <c r="BH9" s="245">
        <f t="shared" si="28"/>
        <v>0</v>
      </c>
      <c r="BI9" s="245">
        <f t="shared" si="29"/>
        <v>0</v>
      </c>
      <c r="BJ9" s="245">
        <f t="shared" si="30"/>
        <v>0</v>
      </c>
      <c r="BK9" s="237">
        <f t="shared" si="31"/>
        <v>0</v>
      </c>
      <c r="BL9" s="615"/>
      <c r="BM9" s="616"/>
      <c r="BN9" s="616"/>
      <c r="BO9" s="245">
        <f t="shared" si="32"/>
        <v>0</v>
      </c>
      <c r="BP9" s="245">
        <f t="shared" si="33"/>
        <v>0</v>
      </c>
      <c r="BQ9" s="245">
        <f t="shared" si="34"/>
        <v>0</v>
      </c>
      <c r="BR9" s="237">
        <f t="shared" si="35"/>
        <v>0</v>
      </c>
    </row>
    <row r="10" spans="1:70" x14ac:dyDescent="0.3">
      <c r="A10" s="521" t="s">
        <v>16</v>
      </c>
      <c r="B10" s="188">
        <v>1520</v>
      </c>
      <c r="C10" s="522" t="s">
        <v>951</v>
      </c>
      <c r="D10" s="188" t="s">
        <v>129</v>
      </c>
      <c r="E10" s="612"/>
      <c r="F10" s="612"/>
      <c r="G10" s="613"/>
      <c r="H10" s="615">
        <v>1758.89</v>
      </c>
      <c r="I10" s="616"/>
      <c r="J10" s="616"/>
      <c r="K10" s="245">
        <f t="shared" si="0"/>
        <v>1758.89</v>
      </c>
      <c r="L10" s="245">
        <f t="shared" si="1"/>
        <v>879.44500000000005</v>
      </c>
      <c r="M10" s="245">
        <f t="shared" si="2"/>
        <v>439.72250000000003</v>
      </c>
      <c r="N10" s="237">
        <f t="shared" si="3"/>
        <v>439.72250000000003</v>
      </c>
      <c r="O10" s="615">
        <v>8190.34</v>
      </c>
      <c r="P10" s="616"/>
      <c r="Q10" s="616"/>
      <c r="R10" s="245">
        <f t="shared" si="4"/>
        <v>8190.34</v>
      </c>
      <c r="S10" s="245">
        <f t="shared" si="5"/>
        <v>4095.17</v>
      </c>
      <c r="T10" s="245">
        <f t="shared" si="6"/>
        <v>2047.585</v>
      </c>
      <c r="U10" s="237">
        <f t="shared" si="7"/>
        <v>2047.585</v>
      </c>
      <c r="V10" s="615">
        <v>10909.29</v>
      </c>
      <c r="W10" s="616"/>
      <c r="X10" s="616"/>
      <c r="Y10" s="245">
        <f t="shared" si="8"/>
        <v>10909.29</v>
      </c>
      <c r="Z10" s="245">
        <f t="shared" si="9"/>
        <v>5454.6450000000004</v>
      </c>
      <c r="AA10" s="245">
        <f t="shared" si="10"/>
        <v>2727.3225000000002</v>
      </c>
      <c r="AB10" s="237">
        <f t="shared" si="11"/>
        <v>2727.3225000000002</v>
      </c>
      <c r="AC10" s="615">
        <v>10909.29</v>
      </c>
      <c r="AD10" s="616"/>
      <c r="AE10" s="616"/>
      <c r="AF10" s="245">
        <f t="shared" si="12"/>
        <v>10909.29</v>
      </c>
      <c r="AG10" s="245">
        <f t="shared" si="13"/>
        <v>5454.6450000000004</v>
      </c>
      <c r="AH10" s="245">
        <f t="shared" si="14"/>
        <v>2727.3225000000002</v>
      </c>
      <c r="AI10" s="237">
        <f t="shared" si="15"/>
        <v>2727.3225000000002</v>
      </c>
      <c r="AJ10" s="615">
        <v>7000</v>
      </c>
      <c r="AK10" s="616"/>
      <c r="AL10" s="616"/>
      <c r="AM10" s="245">
        <f t="shared" si="16"/>
        <v>7000</v>
      </c>
      <c r="AN10" s="245">
        <f t="shared" si="17"/>
        <v>3500</v>
      </c>
      <c r="AO10" s="245">
        <f t="shared" si="18"/>
        <v>1750</v>
      </c>
      <c r="AP10" s="237">
        <f t="shared" si="19"/>
        <v>1750</v>
      </c>
      <c r="AQ10" s="615">
        <v>5000</v>
      </c>
      <c r="AR10" s="616"/>
      <c r="AS10" s="616"/>
      <c r="AT10" s="245">
        <f t="shared" si="20"/>
        <v>5000</v>
      </c>
      <c r="AU10" s="245">
        <f t="shared" si="21"/>
        <v>2500</v>
      </c>
      <c r="AV10" s="245">
        <f t="shared" si="22"/>
        <v>1250</v>
      </c>
      <c r="AW10" s="237">
        <f t="shared" si="23"/>
        <v>1250</v>
      </c>
      <c r="AX10" s="615">
        <v>5000</v>
      </c>
      <c r="AY10" s="616"/>
      <c r="AZ10" s="616"/>
      <c r="BA10" s="245">
        <f t="shared" si="24"/>
        <v>5000</v>
      </c>
      <c r="BB10" s="245">
        <f t="shared" si="25"/>
        <v>2500</v>
      </c>
      <c r="BC10" s="245">
        <f t="shared" si="26"/>
        <v>1250</v>
      </c>
      <c r="BD10" s="237">
        <f t="shared" si="27"/>
        <v>1250</v>
      </c>
      <c r="BE10" s="615">
        <v>5000</v>
      </c>
      <c r="BF10" s="616"/>
      <c r="BG10" s="616"/>
      <c r="BH10" s="245">
        <f t="shared" si="28"/>
        <v>5000</v>
      </c>
      <c r="BI10" s="245">
        <f t="shared" si="29"/>
        <v>2500</v>
      </c>
      <c r="BJ10" s="245">
        <f t="shared" si="30"/>
        <v>1250</v>
      </c>
      <c r="BK10" s="237">
        <f t="shared" si="31"/>
        <v>1250</v>
      </c>
      <c r="BL10" s="615">
        <v>5000</v>
      </c>
      <c r="BM10" s="616"/>
      <c r="BN10" s="616"/>
      <c r="BO10" s="245">
        <f t="shared" si="32"/>
        <v>5000</v>
      </c>
      <c r="BP10" s="245">
        <f t="shared" si="33"/>
        <v>2500</v>
      </c>
      <c r="BQ10" s="245">
        <f t="shared" si="34"/>
        <v>1250</v>
      </c>
      <c r="BR10" s="237">
        <f t="shared" si="35"/>
        <v>1250</v>
      </c>
    </row>
    <row r="11" spans="1:70" x14ac:dyDescent="0.3">
      <c r="A11" s="521" t="s">
        <v>19</v>
      </c>
      <c r="B11" s="188"/>
      <c r="C11" s="522"/>
      <c r="D11" s="188"/>
      <c r="E11" s="612"/>
      <c r="F11" s="612"/>
      <c r="G11" s="613"/>
      <c r="H11" s="615"/>
      <c r="I11" s="616"/>
      <c r="J11" s="616"/>
      <c r="K11" s="245">
        <f t="shared" si="0"/>
        <v>0</v>
      </c>
      <c r="L11" s="245">
        <f t="shared" si="1"/>
        <v>0</v>
      </c>
      <c r="M11" s="245">
        <f t="shared" si="2"/>
        <v>0</v>
      </c>
      <c r="N11" s="237">
        <f t="shared" si="3"/>
        <v>0</v>
      </c>
      <c r="O11" s="615"/>
      <c r="P11" s="616"/>
      <c r="Q11" s="616"/>
      <c r="R11" s="245">
        <f t="shared" si="4"/>
        <v>0</v>
      </c>
      <c r="S11" s="245">
        <f t="shared" si="5"/>
        <v>0</v>
      </c>
      <c r="T11" s="245">
        <f t="shared" si="6"/>
        <v>0</v>
      </c>
      <c r="U11" s="237">
        <f t="shared" si="7"/>
        <v>0</v>
      </c>
      <c r="V11" s="615"/>
      <c r="W11" s="616"/>
      <c r="X11" s="616"/>
      <c r="Y11" s="245">
        <f t="shared" si="8"/>
        <v>0</v>
      </c>
      <c r="Z11" s="245">
        <f t="shared" si="9"/>
        <v>0</v>
      </c>
      <c r="AA11" s="245">
        <f t="shared" si="10"/>
        <v>0</v>
      </c>
      <c r="AB11" s="237">
        <f t="shared" si="11"/>
        <v>0</v>
      </c>
      <c r="AC11" s="615"/>
      <c r="AD11" s="616"/>
      <c r="AE11" s="616"/>
      <c r="AF11" s="245">
        <f t="shared" si="12"/>
        <v>0</v>
      </c>
      <c r="AG11" s="245">
        <f t="shared" si="13"/>
        <v>0</v>
      </c>
      <c r="AH11" s="245">
        <f t="shared" si="14"/>
        <v>0</v>
      </c>
      <c r="AI11" s="237">
        <f t="shared" si="15"/>
        <v>0</v>
      </c>
      <c r="AJ11" s="615"/>
      <c r="AK11" s="616"/>
      <c r="AL11" s="616"/>
      <c r="AM11" s="245">
        <f t="shared" si="16"/>
        <v>0</v>
      </c>
      <c r="AN11" s="245">
        <f t="shared" si="17"/>
        <v>0</v>
      </c>
      <c r="AO11" s="245">
        <f t="shared" si="18"/>
        <v>0</v>
      </c>
      <c r="AP11" s="237">
        <f t="shared" si="19"/>
        <v>0</v>
      </c>
      <c r="AQ11" s="615"/>
      <c r="AR11" s="616"/>
      <c r="AS11" s="616"/>
      <c r="AT11" s="245">
        <f t="shared" si="20"/>
        <v>0</v>
      </c>
      <c r="AU11" s="245">
        <f t="shared" si="21"/>
        <v>0</v>
      </c>
      <c r="AV11" s="245">
        <f t="shared" si="22"/>
        <v>0</v>
      </c>
      <c r="AW11" s="237">
        <f t="shared" si="23"/>
        <v>0</v>
      </c>
      <c r="AX11" s="615"/>
      <c r="AY11" s="616"/>
      <c r="AZ11" s="616"/>
      <c r="BA11" s="245">
        <f t="shared" si="24"/>
        <v>0</v>
      </c>
      <c r="BB11" s="245">
        <f t="shared" si="25"/>
        <v>0</v>
      </c>
      <c r="BC11" s="245">
        <f t="shared" si="26"/>
        <v>0</v>
      </c>
      <c r="BD11" s="237">
        <f t="shared" si="27"/>
        <v>0</v>
      </c>
      <c r="BE11" s="615"/>
      <c r="BF11" s="616"/>
      <c r="BG11" s="616"/>
      <c r="BH11" s="245">
        <f t="shared" si="28"/>
        <v>0</v>
      </c>
      <c r="BI11" s="245">
        <f t="shared" si="29"/>
        <v>0</v>
      </c>
      <c r="BJ11" s="245">
        <f t="shared" si="30"/>
        <v>0</v>
      </c>
      <c r="BK11" s="237">
        <f t="shared" si="31"/>
        <v>0</v>
      </c>
      <c r="BL11" s="615"/>
      <c r="BM11" s="616"/>
      <c r="BN11" s="616"/>
      <c r="BO11" s="245">
        <f t="shared" si="32"/>
        <v>0</v>
      </c>
      <c r="BP11" s="245">
        <f t="shared" si="33"/>
        <v>0</v>
      </c>
      <c r="BQ11" s="245">
        <f t="shared" si="34"/>
        <v>0</v>
      </c>
      <c r="BR11" s="237">
        <f t="shared" si="35"/>
        <v>0</v>
      </c>
    </row>
    <row r="12" spans="1:70" x14ac:dyDescent="0.3">
      <c r="A12" s="521" t="s">
        <v>22</v>
      </c>
      <c r="B12" s="188"/>
      <c r="C12" s="522"/>
      <c r="D12" s="188"/>
      <c r="E12" s="612"/>
      <c r="F12" s="612"/>
      <c r="G12" s="613"/>
      <c r="H12" s="615"/>
      <c r="I12" s="616"/>
      <c r="J12" s="616"/>
      <c r="K12" s="245">
        <f t="shared" si="0"/>
        <v>0</v>
      </c>
      <c r="L12" s="245">
        <f t="shared" si="1"/>
        <v>0</v>
      </c>
      <c r="M12" s="245">
        <f t="shared" si="2"/>
        <v>0</v>
      </c>
      <c r="N12" s="237">
        <f t="shared" si="3"/>
        <v>0</v>
      </c>
      <c r="O12" s="615"/>
      <c r="P12" s="616"/>
      <c r="Q12" s="616"/>
      <c r="R12" s="245">
        <f t="shared" si="4"/>
        <v>0</v>
      </c>
      <c r="S12" s="245">
        <f t="shared" si="5"/>
        <v>0</v>
      </c>
      <c r="T12" s="245">
        <f t="shared" si="6"/>
        <v>0</v>
      </c>
      <c r="U12" s="237">
        <f t="shared" si="7"/>
        <v>0</v>
      </c>
      <c r="V12" s="615"/>
      <c r="W12" s="616"/>
      <c r="X12" s="616"/>
      <c r="Y12" s="245">
        <f t="shared" si="8"/>
        <v>0</v>
      </c>
      <c r="Z12" s="245">
        <f t="shared" si="9"/>
        <v>0</v>
      </c>
      <c r="AA12" s="245">
        <f t="shared" si="10"/>
        <v>0</v>
      </c>
      <c r="AB12" s="237">
        <f t="shared" si="11"/>
        <v>0</v>
      </c>
      <c r="AC12" s="615"/>
      <c r="AD12" s="616"/>
      <c r="AE12" s="616"/>
      <c r="AF12" s="245">
        <f t="shared" si="12"/>
        <v>0</v>
      </c>
      <c r="AG12" s="245">
        <f t="shared" si="13"/>
        <v>0</v>
      </c>
      <c r="AH12" s="245">
        <f t="shared" si="14"/>
        <v>0</v>
      </c>
      <c r="AI12" s="237">
        <f t="shared" si="15"/>
        <v>0</v>
      </c>
      <c r="AJ12" s="615"/>
      <c r="AK12" s="616"/>
      <c r="AL12" s="616"/>
      <c r="AM12" s="245">
        <f t="shared" si="16"/>
        <v>0</v>
      </c>
      <c r="AN12" s="245">
        <f t="shared" si="17"/>
        <v>0</v>
      </c>
      <c r="AO12" s="245">
        <f t="shared" si="18"/>
        <v>0</v>
      </c>
      <c r="AP12" s="237">
        <f t="shared" si="19"/>
        <v>0</v>
      </c>
      <c r="AQ12" s="615"/>
      <c r="AR12" s="616"/>
      <c r="AS12" s="616"/>
      <c r="AT12" s="245">
        <f t="shared" si="20"/>
        <v>0</v>
      </c>
      <c r="AU12" s="245">
        <f t="shared" si="21"/>
        <v>0</v>
      </c>
      <c r="AV12" s="245">
        <f t="shared" si="22"/>
        <v>0</v>
      </c>
      <c r="AW12" s="237">
        <f t="shared" si="23"/>
        <v>0</v>
      </c>
      <c r="AX12" s="615"/>
      <c r="AY12" s="616"/>
      <c r="AZ12" s="616"/>
      <c r="BA12" s="245">
        <f t="shared" si="24"/>
        <v>0</v>
      </c>
      <c r="BB12" s="245">
        <f t="shared" si="25"/>
        <v>0</v>
      </c>
      <c r="BC12" s="245">
        <f t="shared" si="26"/>
        <v>0</v>
      </c>
      <c r="BD12" s="237">
        <f t="shared" si="27"/>
        <v>0</v>
      </c>
      <c r="BE12" s="615"/>
      <c r="BF12" s="616"/>
      <c r="BG12" s="616"/>
      <c r="BH12" s="245">
        <f t="shared" si="28"/>
        <v>0</v>
      </c>
      <c r="BI12" s="245">
        <f t="shared" si="29"/>
        <v>0</v>
      </c>
      <c r="BJ12" s="245">
        <f t="shared" si="30"/>
        <v>0</v>
      </c>
      <c r="BK12" s="237">
        <f t="shared" si="31"/>
        <v>0</v>
      </c>
      <c r="BL12" s="615"/>
      <c r="BM12" s="616"/>
      <c r="BN12" s="616"/>
      <c r="BO12" s="245">
        <f t="shared" si="32"/>
        <v>0</v>
      </c>
      <c r="BP12" s="245">
        <f t="shared" si="33"/>
        <v>0</v>
      </c>
      <c r="BQ12" s="245">
        <f t="shared" si="34"/>
        <v>0</v>
      </c>
      <c r="BR12" s="237">
        <f t="shared" si="35"/>
        <v>0</v>
      </c>
    </row>
    <row r="13" spans="1:70" x14ac:dyDescent="0.3">
      <c r="A13" s="521" t="s">
        <v>25</v>
      </c>
      <c r="B13" s="188"/>
      <c r="C13" s="522"/>
      <c r="D13" s="188"/>
      <c r="E13" s="612"/>
      <c r="F13" s="612"/>
      <c r="G13" s="613"/>
      <c r="H13" s="615"/>
      <c r="I13" s="616"/>
      <c r="J13" s="616"/>
      <c r="K13" s="245">
        <f t="shared" si="0"/>
        <v>0</v>
      </c>
      <c r="L13" s="245">
        <f t="shared" si="1"/>
        <v>0</v>
      </c>
      <c r="M13" s="245">
        <f t="shared" si="2"/>
        <v>0</v>
      </c>
      <c r="N13" s="237">
        <f t="shared" si="3"/>
        <v>0</v>
      </c>
      <c r="O13" s="615"/>
      <c r="P13" s="616"/>
      <c r="Q13" s="616"/>
      <c r="R13" s="245">
        <f t="shared" si="4"/>
        <v>0</v>
      </c>
      <c r="S13" s="245">
        <f t="shared" si="5"/>
        <v>0</v>
      </c>
      <c r="T13" s="245">
        <f t="shared" si="6"/>
        <v>0</v>
      </c>
      <c r="U13" s="237">
        <f t="shared" si="7"/>
        <v>0</v>
      </c>
      <c r="V13" s="615"/>
      <c r="W13" s="616"/>
      <c r="X13" s="616"/>
      <c r="Y13" s="245">
        <f t="shared" si="8"/>
        <v>0</v>
      </c>
      <c r="Z13" s="245">
        <f t="shared" si="9"/>
        <v>0</v>
      </c>
      <c r="AA13" s="245">
        <f t="shared" si="10"/>
        <v>0</v>
      </c>
      <c r="AB13" s="237">
        <f t="shared" si="11"/>
        <v>0</v>
      </c>
      <c r="AC13" s="615"/>
      <c r="AD13" s="616"/>
      <c r="AE13" s="616"/>
      <c r="AF13" s="245">
        <f t="shared" si="12"/>
        <v>0</v>
      </c>
      <c r="AG13" s="245">
        <f t="shared" si="13"/>
        <v>0</v>
      </c>
      <c r="AH13" s="245">
        <f t="shared" si="14"/>
        <v>0</v>
      </c>
      <c r="AI13" s="237">
        <f t="shared" si="15"/>
        <v>0</v>
      </c>
      <c r="AJ13" s="615"/>
      <c r="AK13" s="616"/>
      <c r="AL13" s="616"/>
      <c r="AM13" s="245">
        <f t="shared" si="16"/>
        <v>0</v>
      </c>
      <c r="AN13" s="245">
        <f t="shared" si="17"/>
        <v>0</v>
      </c>
      <c r="AO13" s="245">
        <f t="shared" si="18"/>
        <v>0</v>
      </c>
      <c r="AP13" s="237">
        <f t="shared" si="19"/>
        <v>0</v>
      </c>
      <c r="AQ13" s="615"/>
      <c r="AR13" s="616"/>
      <c r="AS13" s="616"/>
      <c r="AT13" s="245">
        <f t="shared" si="20"/>
        <v>0</v>
      </c>
      <c r="AU13" s="245">
        <f t="shared" si="21"/>
        <v>0</v>
      </c>
      <c r="AV13" s="245">
        <f t="shared" si="22"/>
        <v>0</v>
      </c>
      <c r="AW13" s="237">
        <f t="shared" si="23"/>
        <v>0</v>
      </c>
      <c r="AX13" s="615"/>
      <c r="AY13" s="616"/>
      <c r="AZ13" s="616"/>
      <c r="BA13" s="245">
        <f t="shared" si="24"/>
        <v>0</v>
      </c>
      <c r="BB13" s="245">
        <f t="shared" si="25"/>
        <v>0</v>
      </c>
      <c r="BC13" s="245">
        <f t="shared" si="26"/>
        <v>0</v>
      </c>
      <c r="BD13" s="237">
        <f t="shared" si="27"/>
        <v>0</v>
      </c>
      <c r="BE13" s="615"/>
      <c r="BF13" s="616"/>
      <c r="BG13" s="616"/>
      <c r="BH13" s="245">
        <f t="shared" si="28"/>
        <v>0</v>
      </c>
      <c r="BI13" s="245">
        <f t="shared" si="29"/>
        <v>0</v>
      </c>
      <c r="BJ13" s="245">
        <f t="shared" si="30"/>
        <v>0</v>
      </c>
      <c r="BK13" s="237">
        <f t="shared" si="31"/>
        <v>0</v>
      </c>
      <c r="BL13" s="615"/>
      <c r="BM13" s="616"/>
      <c r="BN13" s="616"/>
      <c r="BO13" s="245">
        <f t="shared" si="32"/>
        <v>0</v>
      </c>
      <c r="BP13" s="245">
        <f t="shared" si="33"/>
        <v>0</v>
      </c>
      <c r="BQ13" s="245">
        <f t="shared" si="34"/>
        <v>0</v>
      </c>
      <c r="BR13" s="237">
        <f t="shared" si="35"/>
        <v>0</v>
      </c>
    </row>
    <row r="14" spans="1:70" x14ac:dyDescent="0.3">
      <c r="A14" s="521" t="s">
        <v>27</v>
      </c>
      <c r="B14" s="188"/>
      <c r="C14" s="522"/>
      <c r="D14" s="188"/>
      <c r="E14" s="612"/>
      <c r="F14" s="612"/>
      <c r="G14" s="613"/>
      <c r="H14" s="615"/>
      <c r="I14" s="616"/>
      <c r="J14" s="616"/>
      <c r="K14" s="245">
        <f t="shared" si="0"/>
        <v>0</v>
      </c>
      <c r="L14" s="245">
        <f t="shared" si="1"/>
        <v>0</v>
      </c>
      <c r="M14" s="245">
        <f t="shared" si="2"/>
        <v>0</v>
      </c>
      <c r="N14" s="237">
        <f t="shared" si="3"/>
        <v>0</v>
      </c>
      <c r="O14" s="615"/>
      <c r="P14" s="616"/>
      <c r="Q14" s="616"/>
      <c r="R14" s="245">
        <f t="shared" si="4"/>
        <v>0</v>
      </c>
      <c r="S14" s="245">
        <f t="shared" si="5"/>
        <v>0</v>
      </c>
      <c r="T14" s="245">
        <f t="shared" si="6"/>
        <v>0</v>
      </c>
      <c r="U14" s="237">
        <f t="shared" si="7"/>
        <v>0</v>
      </c>
      <c r="V14" s="615"/>
      <c r="W14" s="616"/>
      <c r="X14" s="616"/>
      <c r="Y14" s="245">
        <f t="shared" si="8"/>
        <v>0</v>
      </c>
      <c r="Z14" s="245">
        <f t="shared" si="9"/>
        <v>0</v>
      </c>
      <c r="AA14" s="245">
        <f t="shared" si="10"/>
        <v>0</v>
      </c>
      <c r="AB14" s="237">
        <f t="shared" si="11"/>
        <v>0</v>
      </c>
      <c r="AC14" s="615"/>
      <c r="AD14" s="616"/>
      <c r="AE14" s="616"/>
      <c r="AF14" s="245">
        <f t="shared" si="12"/>
        <v>0</v>
      </c>
      <c r="AG14" s="245">
        <f t="shared" si="13"/>
        <v>0</v>
      </c>
      <c r="AH14" s="245">
        <f t="shared" si="14"/>
        <v>0</v>
      </c>
      <c r="AI14" s="237">
        <f t="shared" si="15"/>
        <v>0</v>
      </c>
      <c r="AJ14" s="615"/>
      <c r="AK14" s="616"/>
      <c r="AL14" s="616"/>
      <c r="AM14" s="245">
        <f t="shared" si="16"/>
        <v>0</v>
      </c>
      <c r="AN14" s="245">
        <f t="shared" si="17"/>
        <v>0</v>
      </c>
      <c r="AO14" s="245">
        <f t="shared" si="18"/>
        <v>0</v>
      </c>
      <c r="AP14" s="237">
        <f t="shared" si="19"/>
        <v>0</v>
      </c>
      <c r="AQ14" s="615"/>
      <c r="AR14" s="616"/>
      <c r="AS14" s="616"/>
      <c r="AT14" s="245">
        <f t="shared" si="20"/>
        <v>0</v>
      </c>
      <c r="AU14" s="245">
        <f t="shared" si="21"/>
        <v>0</v>
      </c>
      <c r="AV14" s="245">
        <f t="shared" si="22"/>
        <v>0</v>
      </c>
      <c r="AW14" s="237">
        <f t="shared" si="23"/>
        <v>0</v>
      </c>
      <c r="AX14" s="615"/>
      <c r="AY14" s="616"/>
      <c r="AZ14" s="616"/>
      <c r="BA14" s="245">
        <f t="shared" si="24"/>
        <v>0</v>
      </c>
      <c r="BB14" s="245">
        <f t="shared" si="25"/>
        <v>0</v>
      </c>
      <c r="BC14" s="245">
        <f t="shared" si="26"/>
        <v>0</v>
      </c>
      <c r="BD14" s="237">
        <f t="shared" si="27"/>
        <v>0</v>
      </c>
      <c r="BE14" s="615"/>
      <c r="BF14" s="616"/>
      <c r="BG14" s="616"/>
      <c r="BH14" s="245">
        <f t="shared" si="28"/>
        <v>0</v>
      </c>
      <c r="BI14" s="245">
        <f t="shared" si="29"/>
        <v>0</v>
      </c>
      <c r="BJ14" s="245">
        <f t="shared" si="30"/>
        <v>0</v>
      </c>
      <c r="BK14" s="237">
        <f t="shared" si="31"/>
        <v>0</v>
      </c>
      <c r="BL14" s="615"/>
      <c r="BM14" s="616"/>
      <c r="BN14" s="616"/>
      <c r="BO14" s="245">
        <f t="shared" si="32"/>
        <v>0</v>
      </c>
      <c r="BP14" s="245">
        <f t="shared" si="33"/>
        <v>0</v>
      </c>
      <c r="BQ14" s="245">
        <f t="shared" si="34"/>
        <v>0</v>
      </c>
      <c r="BR14" s="237">
        <f t="shared" si="35"/>
        <v>0</v>
      </c>
    </row>
    <row r="15" spans="1:70" x14ac:dyDescent="0.3">
      <c r="A15" s="521" t="s">
        <v>30</v>
      </c>
      <c r="B15" s="188"/>
      <c r="C15" s="522"/>
      <c r="D15" s="188"/>
      <c r="E15" s="612"/>
      <c r="F15" s="612"/>
      <c r="G15" s="613"/>
      <c r="H15" s="615"/>
      <c r="I15" s="616"/>
      <c r="J15" s="616"/>
      <c r="K15" s="245">
        <f t="shared" si="0"/>
        <v>0</v>
      </c>
      <c r="L15" s="245">
        <f t="shared" si="1"/>
        <v>0</v>
      </c>
      <c r="M15" s="245">
        <f t="shared" si="2"/>
        <v>0</v>
      </c>
      <c r="N15" s="237">
        <f t="shared" si="3"/>
        <v>0</v>
      </c>
      <c r="O15" s="615"/>
      <c r="P15" s="616"/>
      <c r="Q15" s="616"/>
      <c r="R15" s="245">
        <f t="shared" si="4"/>
        <v>0</v>
      </c>
      <c r="S15" s="245">
        <f t="shared" si="5"/>
        <v>0</v>
      </c>
      <c r="T15" s="245">
        <f t="shared" si="6"/>
        <v>0</v>
      </c>
      <c r="U15" s="237">
        <f t="shared" si="7"/>
        <v>0</v>
      </c>
      <c r="V15" s="615"/>
      <c r="W15" s="616"/>
      <c r="X15" s="616"/>
      <c r="Y15" s="245">
        <f t="shared" si="8"/>
        <v>0</v>
      </c>
      <c r="Z15" s="245">
        <f t="shared" si="9"/>
        <v>0</v>
      </c>
      <c r="AA15" s="245">
        <f t="shared" si="10"/>
        <v>0</v>
      </c>
      <c r="AB15" s="237">
        <f t="shared" si="11"/>
        <v>0</v>
      </c>
      <c r="AC15" s="615"/>
      <c r="AD15" s="616"/>
      <c r="AE15" s="616"/>
      <c r="AF15" s="245">
        <f t="shared" si="12"/>
        <v>0</v>
      </c>
      <c r="AG15" s="245">
        <f t="shared" si="13"/>
        <v>0</v>
      </c>
      <c r="AH15" s="245">
        <f t="shared" si="14"/>
        <v>0</v>
      </c>
      <c r="AI15" s="237">
        <f t="shared" si="15"/>
        <v>0</v>
      </c>
      <c r="AJ15" s="615"/>
      <c r="AK15" s="616"/>
      <c r="AL15" s="616"/>
      <c r="AM15" s="245">
        <f t="shared" si="16"/>
        <v>0</v>
      </c>
      <c r="AN15" s="245">
        <f t="shared" si="17"/>
        <v>0</v>
      </c>
      <c r="AO15" s="245">
        <f t="shared" si="18"/>
        <v>0</v>
      </c>
      <c r="AP15" s="237">
        <f t="shared" si="19"/>
        <v>0</v>
      </c>
      <c r="AQ15" s="615"/>
      <c r="AR15" s="616"/>
      <c r="AS15" s="616"/>
      <c r="AT15" s="245">
        <f t="shared" si="20"/>
        <v>0</v>
      </c>
      <c r="AU15" s="245">
        <f t="shared" si="21"/>
        <v>0</v>
      </c>
      <c r="AV15" s="245">
        <f t="shared" si="22"/>
        <v>0</v>
      </c>
      <c r="AW15" s="237">
        <f t="shared" si="23"/>
        <v>0</v>
      </c>
      <c r="AX15" s="615"/>
      <c r="AY15" s="616"/>
      <c r="AZ15" s="616"/>
      <c r="BA15" s="245">
        <f t="shared" si="24"/>
        <v>0</v>
      </c>
      <c r="BB15" s="245">
        <f t="shared" si="25"/>
        <v>0</v>
      </c>
      <c r="BC15" s="245">
        <f t="shared" si="26"/>
        <v>0</v>
      </c>
      <c r="BD15" s="237">
        <f t="shared" si="27"/>
        <v>0</v>
      </c>
      <c r="BE15" s="615"/>
      <c r="BF15" s="616"/>
      <c r="BG15" s="616"/>
      <c r="BH15" s="245">
        <f t="shared" si="28"/>
        <v>0</v>
      </c>
      <c r="BI15" s="245">
        <f t="shared" si="29"/>
        <v>0</v>
      </c>
      <c r="BJ15" s="245">
        <f t="shared" si="30"/>
        <v>0</v>
      </c>
      <c r="BK15" s="237">
        <f t="shared" si="31"/>
        <v>0</v>
      </c>
      <c r="BL15" s="615"/>
      <c r="BM15" s="616"/>
      <c r="BN15" s="616"/>
      <c r="BO15" s="245">
        <f t="shared" si="32"/>
        <v>0</v>
      </c>
      <c r="BP15" s="245">
        <f t="shared" si="33"/>
        <v>0</v>
      </c>
      <c r="BQ15" s="245">
        <f t="shared" si="34"/>
        <v>0</v>
      </c>
      <c r="BR15" s="237">
        <f t="shared" si="35"/>
        <v>0</v>
      </c>
    </row>
    <row r="16" spans="1:70" x14ac:dyDescent="0.3">
      <c r="A16" s="521" t="s">
        <v>33</v>
      </c>
      <c r="B16" s="188"/>
      <c r="C16" s="522"/>
      <c r="D16" s="188"/>
      <c r="E16" s="612"/>
      <c r="F16" s="612"/>
      <c r="G16" s="613"/>
      <c r="H16" s="615"/>
      <c r="I16" s="616"/>
      <c r="J16" s="616"/>
      <c r="K16" s="245">
        <f t="shared" si="0"/>
        <v>0</v>
      </c>
      <c r="L16" s="245">
        <f t="shared" si="1"/>
        <v>0</v>
      </c>
      <c r="M16" s="245">
        <f t="shared" si="2"/>
        <v>0</v>
      </c>
      <c r="N16" s="237">
        <f t="shared" si="3"/>
        <v>0</v>
      </c>
      <c r="O16" s="615"/>
      <c r="P16" s="616"/>
      <c r="Q16" s="616"/>
      <c r="R16" s="245">
        <f t="shared" si="4"/>
        <v>0</v>
      </c>
      <c r="S16" s="245">
        <f t="shared" si="5"/>
        <v>0</v>
      </c>
      <c r="T16" s="245">
        <f t="shared" si="6"/>
        <v>0</v>
      </c>
      <c r="U16" s="237">
        <f t="shared" si="7"/>
        <v>0</v>
      </c>
      <c r="V16" s="615"/>
      <c r="W16" s="616"/>
      <c r="X16" s="616"/>
      <c r="Y16" s="245">
        <f t="shared" si="8"/>
        <v>0</v>
      </c>
      <c r="Z16" s="245">
        <f t="shared" si="9"/>
        <v>0</v>
      </c>
      <c r="AA16" s="245">
        <f t="shared" si="10"/>
        <v>0</v>
      </c>
      <c r="AB16" s="237">
        <f t="shared" si="11"/>
        <v>0</v>
      </c>
      <c r="AC16" s="615"/>
      <c r="AD16" s="616"/>
      <c r="AE16" s="616"/>
      <c r="AF16" s="245">
        <f t="shared" si="12"/>
        <v>0</v>
      </c>
      <c r="AG16" s="245">
        <f t="shared" si="13"/>
        <v>0</v>
      </c>
      <c r="AH16" s="245">
        <f t="shared" si="14"/>
        <v>0</v>
      </c>
      <c r="AI16" s="237">
        <f t="shared" si="15"/>
        <v>0</v>
      </c>
      <c r="AJ16" s="615"/>
      <c r="AK16" s="616"/>
      <c r="AL16" s="616"/>
      <c r="AM16" s="245">
        <f t="shared" si="16"/>
        <v>0</v>
      </c>
      <c r="AN16" s="245">
        <f t="shared" si="17"/>
        <v>0</v>
      </c>
      <c r="AO16" s="245">
        <f t="shared" si="18"/>
        <v>0</v>
      </c>
      <c r="AP16" s="237">
        <f t="shared" si="19"/>
        <v>0</v>
      </c>
      <c r="AQ16" s="615"/>
      <c r="AR16" s="616"/>
      <c r="AS16" s="616"/>
      <c r="AT16" s="245">
        <f t="shared" si="20"/>
        <v>0</v>
      </c>
      <c r="AU16" s="245">
        <f t="shared" si="21"/>
        <v>0</v>
      </c>
      <c r="AV16" s="245">
        <f t="shared" si="22"/>
        <v>0</v>
      </c>
      <c r="AW16" s="237">
        <f t="shared" si="23"/>
        <v>0</v>
      </c>
      <c r="AX16" s="615"/>
      <c r="AY16" s="616"/>
      <c r="AZ16" s="616"/>
      <c r="BA16" s="245">
        <f t="shared" si="24"/>
        <v>0</v>
      </c>
      <c r="BB16" s="245">
        <f t="shared" si="25"/>
        <v>0</v>
      </c>
      <c r="BC16" s="245">
        <f t="shared" si="26"/>
        <v>0</v>
      </c>
      <c r="BD16" s="237">
        <f t="shared" si="27"/>
        <v>0</v>
      </c>
      <c r="BE16" s="615"/>
      <c r="BF16" s="616"/>
      <c r="BG16" s="616"/>
      <c r="BH16" s="245">
        <f t="shared" si="28"/>
        <v>0</v>
      </c>
      <c r="BI16" s="245">
        <f t="shared" si="29"/>
        <v>0</v>
      </c>
      <c r="BJ16" s="245">
        <f t="shared" si="30"/>
        <v>0</v>
      </c>
      <c r="BK16" s="237">
        <f t="shared" si="31"/>
        <v>0</v>
      </c>
      <c r="BL16" s="615"/>
      <c r="BM16" s="616"/>
      <c r="BN16" s="616"/>
      <c r="BO16" s="245">
        <f t="shared" si="32"/>
        <v>0</v>
      </c>
      <c r="BP16" s="245">
        <f t="shared" si="33"/>
        <v>0</v>
      </c>
      <c r="BQ16" s="245">
        <f t="shared" si="34"/>
        <v>0</v>
      </c>
      <c r="BR16" s="237">
        <f t="shared" si="35"/>
        <v>0</v>
      </c>
    </row>
    <row r="17" spans="1:70" x14ac:dyDescent="0.3">
      <c r="A17" s="521" t="s">
        <v>36</v>
      </c>
      <c r="B17" s="188"/>
      <c r="C17" s="522"/>
      <c r="D17" s="188"/>
      <c r="E17" s="612"/>
      <c r="F17" s="612"/>
      <c r="G17" s="613"/>
      <c r="H17" s="615"/>
      <c r="I17" s="616"/>
      <c r="J17" s="616"/>
      <c r="K17" s="245">
        <f t="shared" si="0"/>
        <v>0</v>
      </c>
      <c r="L17" s="245">
        <f t="shared" si="1"/>
        <v>0</v>
      </c>
      <c r="M17" s="245">
        <f t="shared" si="2"/>
        <v>0</v>
      </c>
      <c r="N17" s="237">
        <f t="shared" si="3"/>
        <v>0</v>
      </c>
      <c r="O17" s="615"/>
      <c r="P17" s="616"/>
      <c r="Q17" s="616"/>
      <c r="R17" s="245">
        <f t="shared" si="4"/>
        <v>0</v>
      </c>
      <c r="S17" s="245">
        <f t="shared" si="5"/>
        <v>0</v>
      </c>
      <c r="T17" s="245">
        <f t="shared" si="6"/>
        <v>0</v>
      </c>
      <c r="U17" s="237">
        <f t="shared" si="7"/>
        <v>0</v>
      </c>
      <c r="V17" s="615"/>
      <c r="W17" s="616"/>
      <c r="X17" s="616"/>
      <c r="Y17" s="245">
        <f t="shared" si="8"/>
        <v>0</v>
      </c>
      <c r="Z17" s="245">
        <f t="shared" si="9"/>
        <v>0</v>
      </c>
      <c r="AA17" s="245">
        <f t="shared" si="10"/>
        <v>0</v>
      </c>
      <c r="AB17" s="237">
        <f t="shared" si="11"/>
        <v>0</v>
      </c>
      <c r="AC17" s="615"/>
      <c r="AD17" s="616"/>
      <c r="AE17" s="616"/>
      <c r="AF17" s="245">
        <f t="shared" si="12"/>
        <v>0</v>
      </c>
      <c r="AG17" s="245">
        <f t="shared" si="13"/>
        <v>0</v>
      </c>
      <c r="AH17" s="245">
        <f t="shared" si="14"/>
        <v>0</v>
      </c>
      <c r="AI17" s="237">
        <f t="shared" si="15"/>
        <v>0</v>
      </c>
      <c r="AJ17" s="615"/>
      <c r="AK17" s="616"/>
      <c r="AL17" s="616"/>
      <c r="AM17" s="245">
        <f t="shared" si="16"/>
        <v>0</v>
      </c>
      <c r="AN17" s="245">
        <f t="shared" si="17"/>
        <v>0</v>
      </c>
      <c r="AO17" s="245">
        <f t="shared" si="18"/>
        <v>0</v>
      </c>
      <c r="AP17" s="237">
        <f t="shared" si="19"/>
        <v>0</v>
      </c>
      <c r="AQ17" s="615"/>
      <c r="AR17" s="616"/>
      <c r="AS17" s="616"/>
      <c r="AT17" s="245">
        <f t="shared" si="20"/>
        <v>0</v>
      </c>
      <c r="AU17" s="245">
        <f t="shared" si="21"/>
        <v>0</v>
      </c>
      <c r="AV17" s="245">
        <f t="shared" si="22"/>
        <v>0</v>
      </c>
      <c r="AW17" s="237">
        <f t="shared" si="23"/>
        <v>0</v>
      </c>
      <c r="AX17" s="615"/>
      <c r="AY17" s="616"/>
      <c r="AZ17" s="616"/>
      <c r="BA17" s="245">
        <f t="shared" si="24"/>
        <v>0</v>
      </c>
      <c r="BB17" s="245">
        <f t="shared" si="25"/>
        <v>0</v>
      </c>
      <c r="BC17" s="245">
        <f t="shared" si="26"/>
        <v>0</v>
      </c>
      <c r="BD17" s="237">
        <f t="shared" si="27"/>
        <v>0</v>
      </c>
      <c r="BE17" s="615"/>
      <c r="BF17" s="616"/>
      <c r="BG17" s="616"/>
      <c r="BH17" s="245">
        <f t="shared" si="28"/>
        <v>0</v>
      </c>
      <c r="BI17" s="245">
        <f t="shared" si="29"/>
        <v>0</v>
      </c>
      <c r="BJ17" s="245">
        <f t="shared" si="30"/>
        <v>0</v>
      </c>
      <c r="BK17" s="237">
        <f t="shared" si="31"/>
        <v>0</v>
      </c>
      <c r="BL17" s="615"/>
      <c r="BM17" s="616"/>
      <c r="BN17" s="616"/>
      <c r="BO17" s="245">
        <f t="shared" si="32"/>
        <v>0</v>
      </c>
      <c r="BP17" s="245">
        <f t="shared" si="33"/>
        <v>0</v>
      </c>
      <c r="BQ17" s="245">
        <f t="shared" si="34"/>
        <v>0</v>
      </c>
      <c r="BR17" s="237">
        <f t="shared" si="35"/>
        <v>0</v>
      </c>
    </row>
    <row r="18" spans="1:70" x14ac:dyDescent="0.3">
      <c r="A18" s="521" t="s">
        <v>39</v>
      </c>
      <c r="B18" s="188"/>
      <c r="C18" s="522"/>
      <c r="D18" s="188"/>
      <c r="E18" s="612"/>
      <c r="F18" s="612"/>
      <c r="G18" s="613"/>
      <c r="H18" s="615"/>
      <c r="I18" s="616"/>
      <c r="J18" s="616"/>
      <c r="K18" s="245">
        <f t="shared" si="0"/>
        <v>0</v>
      </c>
      <c r="L18" s="245">
        <f t="shared" si="1"/>
        <v>0</v>
      </c>
      <c r="M18" s="245">
        <f t="shared" si="2"/>
        <v>0</v>
      </c>
      <c r="N18" s="237">
        <f t="shared" si="3"/>
        <v>0</v>
      </c>
      <c r="O18" s="615"/>
      <c r="P18" s="616"/>
      <c r="Q18" s="616"/>
      <c r="R18" s="245">
        <f t="shared" si="4"/>
        <v>0</v>
      </c>
      <c r="S18" s="245">
        <f t="shared" si="5"/>
        <v>0</v>
      </c>
      <c r="T18" s="245">
        <f t="shared" si="6"/>
        <v>0</v>
      </c>
      <c r="U18" s="237">
        <f t="shared" si="7"/>
        <v>0</v>
      </c>
      <c r="V18" s="615"/>
      <c r="W18" s="616"/>
      <c r="X18" s="616"/>
      <c r="Y18" s="245">
        <f t="shared" si="8"/>
        <v>0</v>
      </c>
      <c r="Z18" s="245">
        <f t="shared" si="9"/>
        <v>0</v>
      </c>
      <c r="AA18" s="245">
        <f t="shared" si="10"/>
        <v>0</v>
      </c>
      <c r="AB18" s="237">
        <f t="shared" si="11"/>
        <v>0</v>
      </c>
      <c r="AC18" s="615"/>
      <c r="AD18" s="616"/>
      <c r="AE18" s="616"/>
      <c r="AF18" s="245">
        <f t="shared" si="12"/>
        <v>0</v>
      </c>
      <c r="AG18" s="245">
        <f t="shared" si="13"/>
        <v>0</v>
      </c>
      <c r="AH18" s="245">
        <f t="shared" si="14"/>
        <v>0</v>
      </c>
      <c r="AI18" s="237">
        <f t="shared" si="15"/>
        <v>0</v>
      </c>
      <c r="AJ18" s="615"/>
      <c r="AK18" s="616"/>
      <c r="AL18" s="616"/>
      <c r="AM18" s="245">
        <f t="shared" si="16"/>
        <v>0</v>
      </c>
      <c r="AN18" s="245">
        <f t="shared" si="17"/>
        <v>0</v>
      </c>
      <c r="AO18" s="245">
        <f t="shared" si="18"/>
        <v>0</v>
      </c>
      <c r="AP18" s="237">
        <f t="shared" si="19"/>
        <v>0</v>
      </c>
      <c r="AQ18" s="615"/>
      <c r="AR18" s="616"/>
      <c r="AS18" s="616"/>
      <c r="AT18" s="245">
        <f t="shared" si="20"/>
        <v>0</v>
      </c>
      <c r="AU18" s="245">
        <f t="shared" si="21"/>
        <v>0</v>
      </c>
      <c r="AV18" s="245">
        <f t="shared" si="22"/>
        <v>0</v>
      </c>
      <c r="AW18" s="237">
        <f t="shared" si="23"/>
        <v>0</v>
      </c>
      <c r="AX18" s="615"/>
      <c r="AY18" s="616"/>
      <c r="AZ18" s="616"/>
      <c r="BA18" s="245">
        <f t="shared" si="24"/>
        <v>0</v>
      </c>
      <c r="BB18" s="245">
        <f t="shared" si="25"/>
        <v>0</v>
      </c>
      <c r="BC18" s="245">
        <f t="shared" si="26"/>
        <v>0</v>
      </c>
      <c r="BD18" s="237">
        <f t="shared" si="27"/>
        <v>0</v>
      </c>
      <c r="BE18" s="615"/>
      <c r="BF18" s="616"/>
      <c r="BG18" s="616"/>
      <c r="BH18" s="245">
        <f t="shared" si="28"/>
        <v>0</v>
      </c>
      <c r="BI18" s="245">
        <f t="shared" si="29"/>
        <v>0</v>
      </c>
      <c r="BJ18" s="245">
        <f t="shared" si="30"/>
        <v>0</v>
      </c>
      <c r="BK18" s="237">
        <f t="shared" si="31"/>
        <v>0</v>
      </c>
      <c r="BL18" s="615"/>
      <c r="BM18" s="616"/>
      <c r="BN18" s="616"/>
      <c r="BO18" s="245">
        <f t="shared" si="32"/>
        <v>0</v>
      </c>
      <c r="BP18" s="245">
        <f t="shared" si="33"/>
        <v>0</v>
      </c>
      <c r="BQ18" s="245">
        <f t="shared" si="34"/>
        <v>0</v>
      </c>
      <c r="BR18" s="237">
        <f t="shared" si="35"/>
        <v>0</v>
      </c>
    </row>
    <row r="19" spans="1:70" x14ac:dyDescent="0.3">
      <c r="A19" s="521" t="s">
        <v>42</v>
      </c>
      <c r="B19" s="617"/>
      <c r="C19" s="570"/>
      <c r="D19" s="188"/>
      <c r="E19" s="612"/>
      <c r="F19" s="612"/>
      <c r="G19" s="613"/>
      <c r="H19" s="615"/>
      <c r="I19" s="616"/>
      <c r="J19" s="616"/>
      <c r="K19" s="245">
        <f t="shared" si="0"/>
        <v>0</v>
      </c>
      <c r="L19" s="245">
        <f t="shared" si="1"/>
        <v>0</v>
      </c>
      <c r="M19" s="245">
        <f t="shared" si="2"/>
        <v>0</v>
      </c>
      <c r="N19" s="237">
        <f t="shared" si="3"/>
        <v>0</v>
      </c>
      <c r="O19" s="615"/>
      <c r="P19" s="616"/>
      <c r="Q19" s="616"/>
      <c r="R19" s="245">
        <f t="shared" si="4"/>
        <v>0</v>
      </c>
      <c r="S19" s="245">
        <f t="shared" si="5"/>
        <v>0</v>
      </c>
      <c r="T19" s="245">
        <f t="shared" si="6"/>
        <v>0</v>
      </c>
      <c r="U19" s="237">
        <f t="shared" si="7"/>
        <v>0</v>
      </c>
      <c r="V19" s="615"/>
      <c r="W19" s="616"/>
      <c r="X19" s="616"/>
      <c r="Y19" s="245">
        <f t="shared" si="8"/>
        <v>0</v>
      </c>
      <c r="Z19" s="245">
        <f t="shared" si="9"/>
        <v>0</v>
      </c>
      <c r="AA19" s="245">
        <f t="shared" si="10"/>
        <v>0</v>
      </c>
      <c r="AB19" s="237">
        <f t="shared" si="11"/>
        <v>0</v>
      </c>
      <c r="AC19" s="615"/>
      <c r="AD19" s="616"/>
      <c r="AE19" s="616"/>
      <c r="AF19" s="245">
        <f t="shared" si="12"/>
        <v>0</v>
      </c>
      <c r="AG19" s="245">
        <f t="shared" si="13"/>
        <v>0</v>
      </c>
      <c r="AH19" s="245">
        <f t="shared" si="14"/>
        <v>0</v>
      </c>
      <c r="AI19" s="237">
        <f t="shared" si="15"/>
        <v>0</v>
      </c>
      <c r="AJ19" s="615"/>
      <c r="AK19" s="616"/>
      <c r="AL19" s="616"/>
      <c r="AM19" s="245">
        <f t="shared" si="16"/>
        <v>0</v>
      </c>
      <c r="AN19" s="245">
        <f t="shared" si="17"/>
        <v>0</v>
      </c>
      <c r="AO19" s="245">
        <f t="shared" si="18"/>
        <v>0</v>
      </c>
      <c r="AP19" s="237">
        <f t="shared" si="19"/>
        <v>0</v>
      </c>
      <c r="AQ19" s="615"/>
      <c r="AR19" s="616"/>
      <c r="AS19" s="616"/>
      <c r="AT19" s="245">
        <f t="shared" si="20"/>
        <v>0</v>
      </c>
      <c r="AU19" s="245">
        <f t="shared" si="21"/>
        <v>0</v>
      </c>
      <c r="AV19" s="245">
        <f t="shared" si="22"/>
        <v>0</v>
      </c>
      <c r="AW19" s="237">
        <f t="shared" si="23"/>
        <v>0</v>
      </c>
      <c r="AX19" s="615"/>
      <c r="AY19" s="616"/>
      <c r="AZ19" s="616"/>
      <c r="BA19" s="245">
        <f t="shared" si="24"/>
        <v>0</v>
      </c>
      <c r="BB19" s="245">
        <f t="shared" si="25"/>
        <v>0</v>
      </c>
      <c r="BC19" s="245">
        <f t="shared" si="26"/>
        <v>0</v>
      </c>
      <c r="BD19" s="237">
        <f t="shared" si="27"/>
        <v>0</v>
      </c>
      <c r="BE19" s="615"/>
      <c r="BF19" s="616"/>
      <c r="BG19" s="616"/>
      <c r="BH19" s="245">
        <f t="shared" si="28"/>
        <v>0</v>
      </c>
      <c r="BI19" s="245">
        <f t="shared" si="29"/>
        <v>0</v>
      </c>
      <c r="BJ19" s="245">
        <f t="shared" si="30"/>
        <v>0</v>
      </c>
      <c r="BK19" s="237">
        <f t="shared" si="31"/>
        <v>0</v>
      </c>
      <c r="BL19" s="615"/>
      <c r="BM19" s="616"/>
      <c r="BN19" s="616"/>
      <c r="BO19" s="245">
        <f t="shared" si="32"/>
        <v>0</v>
      </c>
      <c r="BP19" s="245">
        <f t="shared" si="33"/>
        <v>0</v>
      </c>
      <c r="BQ19" s="245">
        <f t="shared" si="34"/>
        <v>0</v>
      </c>
      <c r="BR19" s="237">
        <f t="shared" si="35"/>
        <v>0</v>
      </c>
    </row>
    <row r="20" spans="1:70" x14ac:dyDescent="0.3">
      <c r="A20" s="521" t="s">
        <v>44</v>
      </c>
      <c r="B20" s="188"/>
      <c r="C20" s="522"/>
      <c r="D20" s="188"/>
      <c r="E20" s="612"/>
      <c r="F20" s="612"/>
      <c r="G20" s="613"/>
      <c r="H20" s="615"/>
      <c r="I20" s="616"/>
      <c r="J20" s="616"/>
      <c r="K20" s="245">
        <f t="shared" si="0"/>
        <v>0</v>
      </c>
      <c r="L20" s="245">
        <f t="shared" si="1"/>
        <v>0</v>
      </c>
      <c r="M20" s="245">
        <f t="shared" si="2"/>
        <v>0</v>
      </c>
      <c r="N20" s="237">
        <f t="shared" si="3"/>
        <v>0</v>
      </c>
      <c r="O20" s="615"/>
      <c r="P20" s="616"/>
      <c r="Q20" s="616"/>
      <c r="R20" s="245">
        <f t="shared" si="4"/>
        <v>0</v>
      </c>
      <c r="S20" s="245">
        <f t="shared" si="5"/>
        <v>0</v>
      </c>
      <c r="T20" s="245">
        <f t="shared" si="6"/>
        <v>0</v>
      </c>
      <c r="U20" s="237">
        <f t="shared" si="7"/>
        <v>0</v>
      </c>
      <c r="V20" s="615"/>
      <c r="W20" s="616"/>
      <c r="X20" s="616"/>
      <c r="Y20" s="245">
        <f t="shared" si="8"/>
        <v>0</v>
      </c>
      <c r="Z20" s="245">
        <f t="shared" si="9"/>
        <v>0</v>
      </c>
      <c r="AA20" s="245">
        <f t="shared" si="10"/>
        <v>0</v>
      </c>
      <c r="AB20" s="237">
        <f t="shared" si="11"/>
        <v>0</v>
      </c>
      <c r="AC20" s="615"/>
      <c r="AD20" s="616"/>
      <c r="AE20" s="616"/>
      <c r="AF20" s="245">
        <f t="shared" si="12"/>
        <v>0</v>
      </c>
      <c r="AG20" s="245">
        <f t="shared" si="13"/>
        <v>0</v>
      </c>
      <c r="AH20" s="245">
        <f t="shared" si="14"/>
        <v>0</v>
      </c>
      <c r="AI20" s="237">
        <f t="shared" si="15"/>
        <v>0</v>
      </c>
      <c r="AJ20" s="615"/>
      <c r="AK20" s="616"/>
      <c r="AL20" s="616"/>
      <c r="AM20" s="245">
        <f t="shared" si="16"/>
        <v>0</v>
      </c>
      <c r="AN20" s="245">
        <f t="shared" si="17"/>
        <v>0</v>
      </c>
      <c r="AO20" s="245">
        <f t="shared" si="18"/>
        <v>0</v>
      </c>
      <c r="AP20" s="237">
        <f t="shared" si="19"/>
        <v>0</v>
      </c>
      <c r="AQ20" s="615"/>
      <c r="AR20" s="616"/>
      <c r="AS20" s="616"/>
      <c r="AT20" s="245">
        <f t="shared" si="20"/>
        <v>0</v>
      </c>
      <c r="AU20" s="245">
        <f t="shared" si="21"/>
        <v>0</v>
      </c>
      <c r="AV20" s="245">
        <f t="shared" si="22"/>
        <v>0</v>
      </c>
      <c r="AW20" s="237">
        <f t="shared" si="23"/>
        <v>0</v>
      </c>
      <c r="AX20" s="615"/>
      <c r="AY20" s="616"/>
      <c r="AZ20" s="616"/>
      <c r="BA20" s="245">
        <f t="shared" si="24"/>
        <v>0</v>
      </c>
      <c r="BB20" s="245">
        <f t="shared" si="25"/>
        <v>0</v>
      </c>
      <c r="BC20" s="245">
        <f t="shared" si="26"/>
        <v>0</v>
      </c>
      <c r="BD20" s="237">
        <f t="shared" si="27"/>
        <v>0</v>
      </c>
      <c r="BE20" s="615"/>
      <c r="BF20" s="616"/>
      <c r="BG20" s="616"/>
      <c r="BH20" s="245">
        <f t="shared" si="28"/>
        <v>0</v>
      </c>
      <c r="BI20" s="245">
        <f t="shared" si="29"/>
        <v>0</v>
      </c>
      <c r="BJ20" s="245">
        <f t="shared" si="30"/>
        <v>0</v>
      </c>
      <c r="BK20" s="237">
        <f t="shared" si="31"/>
        <v>0</v>
      </c>
      <c r="BL20" s="615"/>
      <c r="BM20" s="616"/>
      <c r="BN20" s="616"/>
      <c r="BO20" s="245">
        <f t="shared" si="32"/>
        <v>0</v>
      </c>
      <c r="BP20" s="245">
        <f t="shared" si="33"/>
        <v>0</v>
      </c>
      <c r="BQ20" s="245">
        <f t="shared" si="34"/>
        <v>0</v>
      </c>
      <c r="BR20" s="237">
        <f t="shared" si="35"/>
        <v>0</v>
      </c>
    </row>
    <row r="21" spans="1:70" x14ac:dyDescent="0.3">
      <c r="A21" s="521" t="s">
        <v>47</v>
      </c>
      <c r="B21" s="188"/>
      <c r="C21" s="522"/>
      <c r="D21" s="188"/>
      <c r="E21" s="612"/>
      <c r="F21" s="612"/>
      <c r="G21" s="613"/>
      <c r="H21" s="615"/>
      <c r="I21" s="616"/>
      <c r="J21" s="616"/>
      <c r="K21" s="245">
        <f t="shared" si="0"/>
        <v>0</v>
      </c>
      <c r="L21" s="245">
        <f t="shared" si="1"/>
        <v>0</v>
      </c>
      <c r="M21" s="245">
        <f t="shared" si="2"/>
        <v>0</v>
      </c>
      <c r="N21" s="237">
        <f t="shared" si="3"/>
        <v>0</v>
      </c>
      <c r="O21" s="615"/>
      <c r="P21" s="616"/>
      <c r="Q21" s="616"/>
      <c r="R21" s="245">
        <f t="shared" si="4"/>
        <v>0</v>
      </c>
      <c r="S21" s="245">
        <f t="shared" si="5"/>
        <v>0</v>
      </c>
      <c r="T21" s="245">
        <f t="shared" si="6"/>
        <v>0</v>
      </c>
      <c r="U21" s="237">
        <f t="shared" si="7"/>
        <v>0</v>
      </c>
      <c r="V21" s="615"/>
      <c r="W21" s="616"/>
      <c r="X21" s="616"/>
      <c r="Y21" s="245">
        <f t="shared" si="8"/>
        <v>0</v>
      </c>
      <c r="Z21" s="245">
        <f t="shared" si="9"/>
        <v>0</v>
      </c>
      <c r="AA21" s="245">
        <f t="shared" si="10"/>
        <v>0</v>
      </c>
      <c r="AB21" s="237">
        <f t="shared" si="11"/>
        <v>0</v>
      </c>
      <c r="AC21" s="615"/>
      <c r="AD21" s="616"/>
      <c r="AE21" s="616"/>
      <c r="AF21" s="245">
        <f t="shared" si="12"/>
        <v>0</v>
      </c>
      <c r="AG21" s="245">
        <f t="shared" si="13"/>
        <v>0</v>
      </c>
      <c r="AH21" s="245">
        <f t="shared" si="14"/>
        <v>0</v>
      </c>
      <c r="AI21" s="237">
        <f t="shared" si="15"/>
        <v>0</v>
      </c>
      <c r="AJ21" s="615"/>
      <c r="AK21" s="616"/>
      <c r="AL21" s="616"/>
      <c r="AM21" s="245">
        <f t="shared" si="16"/>
        <v>0</v>
      </c>
      <c r="AN21" s="245">
        <f t="shared" si="17"/>
        <v>0</v>
      </c>
      <c r="AO21" s="245">
        <f t="shared" si="18"/>
        <v>0</v>
      </c>
      <c r="AP21" s="237">
        <f t="shared" si="19"/>
        <v>0</v>
      </c>
      <c r="AQ21" s="615"/>
      <c r="AR21" s="616"/>
      <c r="AS21" s="616"/>
      <c r="AT21" s="245">
        <f t="shared" si="20"/>
        <v>0</v>
      </c>
      <c r="AU21" s="245">
        <f t="shared" si="21"/>
        <v>0</v>
      </c>
      <c r="AV21" s="245">
        <f t="shared" si="22"/>
        <v>0</v>
      </c>
      <c r="AW21" s="237">
        <f t="shared" si="23"/>
        <v>0</v>
      </c>
      <c r="AX21" s="615"/>
      <c r="AY21" s="616"/>
      <c r="AZ21" s="616"/>
      <c r="BA21" s="245">
        <f t="shared" si="24"/>
        <v>0</v>
      </c>
      <c r="BB21" s="245">
        <f t="shared" si="25"/>
        <v>0</v>
      </c>
      <c r="BC21" s="245">
        <f t="shared" si="26"/>
        <v>0</v>
      </c>
      <c r="BD21" s="237">
        <f t="shared" si="27"/>
        <v>0</v>
      </c>
      <c r="BE21" s="615"/>
      <c r="BF21" s="616"/>
      <c r="BG21" s="616"/>
      <c r="BH21" s="245">
        <f t="shared" si="28"/>
        <v>0</v>
      </c>
      <c r="BI21" s="245">
        <f t="shared" si="29"/>
        <v>0</v>
      </c>
      <c r="BJ21" s="245">
        <f t="shared" si="30"/>
        <v>0</v>
      </c>
      <c r="BK21" s="237">
        <f t="shared" si="31"/>
        <v>0</v>
      </c>
      <c r="BL21" s="615"/>
      <c r="BM21" s="616"/>
      <c r="BN21" s="616"/>
      <c r="BO21" s="245">
        <f t="shared" si="32"/>
        <v>0</v>
      </c>
      <c r="BP21" s="245">
        <f t="shared" si="33"/>
        <v>0</v>
      </c>
      <c r="BQ21" s="245">
        <f t="shared" si="34"/>
        <v>0</v>
      </c>
      <c r="BR21" s="237">
        <f t="shared" si="35"/>
        <v>0</v>
      </c>
    </row>
    <row r="22" spans="1:70" x14ac:dyDescent="0.3">
      <c r="A22" s="521" t="s">
        <v>50</v>
      </c>
      <c r="B22" s="188"/>
      <c r="C22" s="522"/>
      <c r="D22" s="188"/>
      <c r="E22" s="612"/>
      <c r="F22" s="612"/>
      <c r="G22" s="613"/>
      <c r="H22" s="615"/>
      <c r="I22" s="616"/>
      <c r="J22" s="616"/>
      <c r="K22" s="245">
        <f t="shared" si="0"/>
        <v>0</v>
      </c>
      <c r="L22" s="245">
        <f t="shared" si="1"/>
        <v>0</v>
      </c>
      <c r="M22" s="245">
        <f t="shared" si="2"/>
        <v>0</v>
      </c>
      <c r="N22" s="237">
        <f t="shared" si="3"/>
        <v>0</v>
      </c>
      <c r="O22" s="615"/>
      <c r="P22" s="616"/>
      <c r="Q22" s="616"/>
      <c r="R22" s="245">
        <f t="shared" si="4"/>
        <v>0</v>
      </c>
      <c r="S22" s="245">
        <f t="shared" si="5"/>
        <v>0</v>
      </c>
      <c r="T22" s="245">
        <f t="shared" si="6"/>
        <v>0</v>
      </c>
      <c r="U22" s="237">
        <f t="shared" si="7"/>
        <v>0</v>
      </c>
      <c r="V22" s="615"/>
      <c r="W22" s="616"/>
      <c r="X22" s="616"/>
      <c r="Y22" s="245">
        <f t="shared" si="8"/>
        <v>0</v>
      </c>
      <c r="Z22" s="245">
        <f t="shared" si="9"/>
        <v>0</v>
      </c>
      <c r="AA22" s="245">
        <f t="shared" si="10"/>
        <v>0</v>
      </c>
      <c r="AB22" s="237">
        <f t="shared" si="11"/>
        <v>0</v>
      </c>
      <c r="AC22" s="615"/>
      <c r="AD22" s="616"/>
      <c r="AE22" s="616"/>
      <c r="AF22" s="245">
        <f t="shared" si="12"/>
        <v>0</v>
      </c>
      <c r="AG22" s="245">
        <f t="shared" si="13"/>
        <v>0</v>
      </c>
      <c r="AH22" s="245">
        <f t="shared" si="14"/>
        <v>0</v>
      </c>
      <c r="AI22" s="237">
        <f t="shared" si="15"/>
        <v>0</v>
      </c>
      <c r="AJ22" s="615"/>
      <c r="AK22" s="616"/>
      <c r="AL22" s="616"/>
      <c r="AM22" s="245">
        <f t="shared" si="16"/>
        <v>0</v>
      </c>
      <c r="AN22" s="245">
        <f t="shared" si="17"/>
        <v>0</v>
      </c>
      <c r="AO22" s="245">
        <f t="shared" si="18"/>
        <v>0</v>
      </c>
      <c r="AP22" s="237">
        <f t="shared" si="19"/>
        <v>0</v>
      </c>
      <c r="AQ22" s="615"/>
      <c r="AR22" s="616"/>
      <c r="AS22" s="616"/>
      <c r="AT22" s="245">
        <f t="shared" si="20"/>
        <v>0</v>
      </c>
      <c r="AU22" s="245">
        <f t="shared" si="21"/>
        <v>0</v>
      </c>
      <c r="AV22" s="245">
        <f t="shared" si="22"/>
        <v>0</v>
      </c>
      <c r="AW22" s="237">
        <f t="shared" si="23"/>
        <v>0</v>
      </c>
      <c r="AX22" s="615"/>
      <c r="AY22" s="616"/>
      <c r="AZ22" s="616"/>
      <c r="BA22" s="245">
        <f t="shared" si="24"/>
        <v>0</v>
      </c>
      <c r="BB22" s="245">
        <f t="shared" si="25"/>
        <v>0</v>
      </c>
      <c r="BC22" s="245">
        <f t="shared" si="26"/>
        <v>0</v>
      </c>
      <c r="BD22" s="237">
        <f t="shared" si="27"/>
        <v>0</v>
      </c>
      <c r="BE22" s="615"/>
      <c r="BF22" s="616"/>
      <c r="BG22" s="616"/>
      <c r="BH22" s="245">
        <f t="shared" si="28"/>
        <v>0</v>
      </c>
      <c r="BI22" s="245">
        <f t="shared" si="29"/>
        <v>0</v>
      </c>
      <c r="BJ22" s="245">
        <f t="shared" si="30"/>
        <v>0</v>
      </c>
      <c r="BK22" s="237">
        <f t="shared" si="31"/>
        <v>0</v>
      </c>
      <c r="BL22" s="615"/>
      <c r="BM22" s="616"/>
      <c r="BN22" s="616"/>
      <c r="BO22" s="245">
        <f t="shared" si="32"/>
        <v>0</v>
      </c>
      <c r="BP22" s="245">
        <f t="shared" si="33"/>
        <v>0</v>
      </c>
      <c r="BQ22" s="245">
        <f t="shared" si="34"/>
        <v>0</v>
      </c>
      <c r="BR22" s="237">
        <f t="shared" si="35"/>
        <v>0</v>
      </c>
    </row>
    <row r="23" spans="1:70" x14ac:dyDescent="0.3">
      <c r="A23" s="521" t="s">
        <v>53</v>
      </c>
      <c r="B23" s="188"/>
      <c r="C23" s="522"/>
      <c r="D23" s="188"/>
      <c r="E23" s="612"/>
      <c r="F23" s="612"/>
      <c r="G23" s="613"/>
      <c r="H23" s="615"/>
      <c r="I23" s="616"/>
      <c r="J23" s="616"/>
      <c r="K23" s="245">
        <f t="shared" si="0"/>
        <v>0</v>
      </c>
      <c r="L23" s="245">
        <f t="shared" si="1"/>
        <v>0</v>
      </c>
      <c r="M23" s="245">
        <f t="shared" si="2"/>
        <v>0</v>
      </c>
      <c r="N23" s="237">
        <f t="shared" si="3"/>
        <v>0</v>
      </c>
      <c r="O23" s="615"/>
      <c r="P23" s="616"/>
      <c r="Q23" s="616"/>
      <c r="R23" s="245">
        <f t="shared" si="4"/>
        <v>0</v>
      </c>
      <c r="S23" s="245">
        <f t="shared" si="5"/>
        <v>0</v>
      </c>
      <c r="T23" s="245">
        <f t="shared" si="6"/>
        <v>0</v>
      </c>
      <c r="U23" s="237">
        <f t="shared" si="7"/>
        <v>0</v>
      </c>
      <c r="V23" s="615"/>
      <c r="W23" s="616"/>
      <c r="X23" s="616"/>
      <c r="Y23" s="245">
        <f t="shared" si="8"/>
        <v>0</v>
      </c>
      <c r="Z23" s="245">
        <f t="shared" si="9"/>
        <v>0</v>
      </c>
      <c r="AA23" s="245">
        <f t="shared" si="10"/>
        <v>0</v>
      </c>
      <c r="AB23" s="237">
        <f t="shared" si="11"/>
        <v>0</v>
      </c>
      <c r="AC23" s="615"/>
      <c r="AD23" s="616"/>
      <c r="AE23" s="616"/>
      <c r="AF23" s="245">
        <f t="shared" si="12"/>
        <v>0</v>
      </c>
      <c r="AG23" s="245">
        <f t="shared" si="13"/>
        <v>0</v>
      </c>
      <c r="AH23" s="245">
        <f t="shared" si="14"/>
        <v>0</v>
      </c>
      <c r="AI23" s="237">
        <f t="shared" si="15"/>
        <v>0</v>
      </c>
      <c r="AJ23" s="615"/>
      <c r="AK23" s="616"/>
      <c r="AL23" s="616"/>
      <c r="AM23" s="245">
        <f t="shared" si="16"/>
        <v>0</v>
      </c>
      <c r="AN23" s="245">
        <f t="shared" si="17"/>
        <v>0</v>
      </c>
      <c r="AO23" s="245">
        <f t="shared" si="18"/>
        <v>0</v>
      </c>
      <c r="AP23" s="237">
        <f t="shared" si="19"/>
        <v>0</v>
      </c>
      <c r="AQ23" s="615"/>
      <c r="AR23" s="616"/>
      <c r="AS23" s="616"/>
      <c r="AT23" s="245">
        <f t="shared" si="20"/>
        <v>0</v>
      </c>
      <c r="AU23" s="245">
        <f t="shared" si="21"/>
        <v>0</v>
      </c>
      <c r="AV23" s="245">
        <f t="shared" si="22"/>
        <v>0</v>
      </c>
      <c r="AW23" s="237">
        <f t="shared" si="23"/>
        <v>0</v>
      </c>
      <c r="AX23" s="615"/>
      <c r="AY23" s="616"/>
      <c r="AZ23" s="616"/>
      <c r="BA23" s="245">
        <f t="shared" si="24"/>
        <v>0</v>
      </c>
      <c r="BB23" s="245">
        <f t="shared" si="25"/>
        <v>0</v>
      </c>
      <c r="BC23" s="245">
        <f t="shared" si="26"/>
        <v>0</v>
      </c>
      <c r="BD23" s="237">
        <f t="shared" si="27"/>
        <v>0</v>
      </c>
      <c r="BE23" s="615"/>
      <c r="BF23" s="616"/>
      <c r="BG23" s="616"/>
      <c r="BH23" s="245">
        <f t="shared" si="28"/>
        <v>0</v>
      </c>
      <c r="BI23" s="245">
        <f t="shared" si="29"/>
        <v>0</v>
      </c>
      <c r="BJ23" s="245">
        <f t="shared" si="30"/>
        <v>0</v>
      </c>
      <c r="BK23" s="237">
        <f t="shared" si="31"/>
        <v>0</v>
      </c>
      <c r="BL23" s="615"/>
      <c r="BM23" s="616"/>
      <c r="BN23" s="616"/>
      <c r="BO23" s="245">
        <f t="shared" si="32"/>
        <v>0</v>
      </c>
      <c r="BP23" s="245">
        <f t="shared" si="33"/>
        <v>0</v>
      </c>
      <c r="BQ23" s="245">
        <f t="shared" si="34"/>
        <v>0</v>
      </c>
      <c r="BR23" s="237">
        <f t="shared" si="35"/>
        <v>0</v>
      </c>
    </row>
    <row r="24" spans="1:70" x14ac:dyDescent="0.3">
      <c r="A24" s="521" t="s">
        <v>56</v>
      </c>
      <c r="B24" s="188"/>
      <c r="C24" s="522"/>
      <c r="D24" s="188"/>
      <c r="E24" s="612"/>
      <c r="F24" s="612"/>
      <c r="G24" s="613"/>
      <c r="H24" s="615"/>
      <c r="I24" s="616"/>
      <c r="J24" s="616"/>
      <c r="K24" s="245">
        <f t="shared" si="0"/>
        <v>0</v>
      </c>
      <c r="L24" s="245">
        <f t="shared" si="1"/>
        <v>0</v>
      </c>
      <c r="M24" s="245">
        <f t="shared" si="2"/>
        <v>0</v>
      </c>
      <c r="N24" s="237">
        <f t="shared" si="3"/>
        <v>0</v>
      </c>
      <c r="O24" s="615"/>
      <c r="P24" s="616"/>
      <c r="Q24" s="616"/>
      <c r="R24" s="245">
        <f t="shared" si="4"/>
        <v>0</v>
      </c>
      <c r="S24" s="245">
        <f t="shared" si="5"/>
        <v>0</v>
      </c>
      <c r="T24" s="245">
        <f t="shared" si="6"/>
        <v>0</v>
      </c>
      <c r="U24" s="237">
        <f t="shared" si="7"/>
        <v>0</v>
      </c>
      <c r="V24" s="615"/>
      <c r="W24" s="616"/>
      <c r="X24" s="616"/>
      <c r="Y24" s="245">
        <f t="shared" si="8"/>
        <v>0</v>
      </c>
      <c r="Z24" s="245">
        <f t="shared" si="9"/>
        <v>0</v>
      </c>
      <c r="AA24" s="245">
        <f t="shared" si="10"/>
        <v>0</v>
      </c>
      <c r="AB24" s="237">
        <f t="shared" si="11"/>
        <v>0</v>
      </c>
      <c r="AC24" s="615"/>
      <c r="AD24" s="616"/>
      <c r="AE24" s="616"/>
      <c r="AF24" s="245">
        <f t="shared" si="12"/>
        <v>0</v>
      </c>
      <c r="AG24" s="245">
        <f t="shared" si="13"/>
        <v>0</v>
      </c>
      <c r="AH24" s="245">
        <f t="shared" si="14"/>
        <v>0</v>
      </c>
      <c r="AI24" s="237">
        <f t="shared" si="15"/>
        <v>0</v>
      </c>
      <c r="AJ24" s="615"/>
      <c r="AK24" s="616"/>
      <c r="AL24" s="616"/>
      <c r="AM24" s="245">
        <f t="shared" si="16"/>
        <v>0</v>
      </c>
      <c r="AN24" s="245">
        <f t="shared" si="17"/>
        <v>0</v>
      </c>
      <c r="AO24" s="245">
        <f t="shared" si="18"/>
        <v>0</v>
      </c>
      <c r="AP24" s="237">
        <f t="shared" si="19"/>
        <v>0</v>
      </c>
      <c r="AQ24" s="247"/>
      <c r="AR24" s="96"/>
      <c r="AS24" s="96"/>
      <c r="AT24" s="245">
        <f t="shared" si="20"/>
        <v>0</v>
      </c>
      <c r="AU24" s="245">
        <f t="shared" si="21"/>
        <v>0</v>
      </c>
      <c r="AV24" s="245">
        <f t="shared" si="22"/>
        <v>0</v>
      </c>
      <c r="AW24" s="237">
        <f t="shared" si="23"/>
        <v>0</v>
      </c>
      <c r="AX24" s="247"/>
      <c r="AY24" s="96"/>
      <c r="AZ24" s="96"/>
      <c r="BA24" s="245">
        <f t="shared" si="24"/>
        <v>0</v>
      </c>
      <c r="BB24" s="245">
        <f t="shared" si="25"/>
        <v>0</v>
      </c>
      <c r="BC24" s="245">
        <f t="shared" si="26"/>
        <v>0</v>
      </c>
      <c r="BD24" s="237">
        <f t="shared" si="27"/>
        <v>0</v>
      </c>
      <c r="BE24" s="247"/>
      <c r="BF24" s="96"/>
      <c r="BG24" s="96"/>
      <c r="BH24" s="245">
        <f t="shared" si="28"/>
        <v>0</v>
      </c>
      <c r="BI24" s="245">
        <f t="shared" si="29"/>
        <v>0</v>
      </c>
      <c r="BJ24" s="245">
        <f t="shared" si="30"/>
        <v>0</v>
      </c>
      <c r="BK24" s="237">
        <f t="shared" si="31"/>
        <v>0</v>
      </c>
      <c r="BL24" s="247"/>
      <c r="BM24" s="96"/>
      <c r="BN24" s="96"/>
      <c r="BO24" s="245">
        <f t="shared" si="32"/>
        <v>0</v>
      </c>
      <c r="BP24" s="245">
        <f t="shared" si="33"/>
        <v>0</v>
      </c>
      <c r="BQ24" s="245">
        <f t="shared" si="34"/>
        <v>0</v>
      </c>
      <c r="BR24" s="237">
        <f t="shared" si="35"/>
        <v>0</v>
      </c>
    </row>
    <row r="25" spans="1:70" x14ac:dyDescent="0.3">
      <c r="A25" s="521" t="s">
        <v>58</v>
      </c>
      <c r="B25" s="95"/>
      <c r="C25" s="246"/>
      <c r="D25" s="95"/>
      <c r="E25" s="243"/>
      <c r="F25" s="243"/>
      <c r="G25" s="244"/>
      <c r="H25" s="247"/>
      <c r="I25" s="96"/>
      <c r="J25" s="96"/>
      <c r="K25" s="245">
        <f t="shared" si="0"/>
        <v>0</v>
      </c>
      <c r="L25" s="245">
        <f t="shared" si="1"/>
        <v>0</v>
      </c>
      <c r="M25" s="245">
        <f t="shared" si="2"/>
        <v>0</v>
      </c>
      <c r="N25" s="237">
        <f t="shared" si="3"/>
        <v>0</v>
      </c>
      <c r="O25" s="247"/>
      <c r="P25" s="96"/>
      <c r="Q25" s="96"/>
      <c r="R25" s="245">
        <f t="shared" si="4"/>
        <v>0</v>
      </c>
      <c r="S25" s="245">
        <f t="shared" si="5"/>
        <v>0</v>
      </c>
      <c r="T25" s="245">
        <f t="shared" si="6"/>
        <v>0</v>
      </c>
      <c r="U25" s="237">
        <f t="shared" si="7"/>
        <v>0</v>
      </c>
      <c r="V25" s="247"/>
      <c r="W25" s="96"/>
      <c r="X25" s="96"/>
      <c r="Y25" s="245">
        <f t="shared" si="8"/>
        <v>0</v>
      </c>
      <c r="Z25" s="245">
        <f t="shared" si="9"/>
        <v>0</v>
      </c>
      <c r="AA25" s="245">
        <f t="shared" si="10"/>
        <v>0</v>
      </c>
      <c r="AB25" s="237">
        <f t="shared" si="11"/>
        <v>0</v>
      </c>
      <c r="AC25" s="247"/>
      <c r="AD25" s="96"/>
      <c r="AE25" s="96"/>
      <c r="AF25" s="245">
        <f t="shared" si="12"/>
        <v>0</v>
      </c>
      <c r="AG25" s="245">
        <f t="shared" si="13"/>
        <v>0</v>
      </c>
      <c r="AH25" s="245">
        <f t="shared" si="14"/>
        <v>0</v>
      </c>
      <c r="AI25" s="237">
        <f t="shared" si="15"/>
        <v>0</v>
      </c>
      <c r="AJ25" s="247"/>
      <c r="AK25" s="96"/>
      <c r="AL25" s="96"/>
      <c r="AM25" s="245">
        <f t="shared" si="16"/>
        <v>0</v>
      </c>
      <c r="AN25" s="245">
        <f t="shared" si="17"/>
        <v>0</v>
      </c>
      <c r="AO25" s="245">
        <f t="shared" si="18"/>
        <v>0</v>
      </c>
      <c r="AP25" s="237">
        <f t="shared" si="19"/>
        <v>0</v>
      </c>
      <c r="AQ25" s="247"/>
      <c r="AR25" s="96"/>
      <c r="AS25" s="96"/>
      <c r="AT25" s="245">
        <f t="shared" si="20"/>
        <v>0</v>
      </c>
      <c r="AU25" s="245">
        <f t="shared" si="21"/>
        <v>0</v>
      </c>
      <c r="AV25" s="245">
        <f t="shared" si="22"/>
        <v>0</v>
      </c>
      <c r="AW25" s="237">
        <f t="shared" si="23"/>
        <v>0</v>
      </c>
      <c r="AX25" s="247"/>
      <c r="AY25" s="96"/>
      <c r="AZ25" s="96"/>
      <c r="BA25" s="245">
        <f t="shared" si="24"/>
        <v>0</v>
      </c>
      <c r="BB25" s="245">
        <f t="shared" si="25"/>
        <v>0</v>
      </c>
      <c r="BC25" s="245">
        <f t="shared" si="26"/>
        <v>0</v>
      </c>
      <c r="BD25" s="237">
        <f t="shared" si="27"/>
        <v>0</v>
      </c>
      <c r="BE25" s="247"/>
      <c r="BF25" s="96"/>
      <c r="BG25" s="96"/>
      <c r="BH25" s="245">
        <f t="shared" si="28"/>
        <v>0</v>
      </c>
      <c r="BI25" s="245">
        <f t="shared" si="29"/>
        <v>0</v>
      </c>
      <c r="BJ25" s="245">
        <f t="shared" si="30"/>
        <v>0</v>
      </c>
      <c r="BK25" s="237">
        <f t="shared" si="31"/>
        <v>0</v>
      </c>
      <c r="BL25" s="247"/>
      <c r="BM25" s="96"/>
      <c r="BN25" s="96"/>
      <c r="BO25" s="245">
        <f t="shared" si="32"/>
        <v>0</v>
      </c>
      <c r="BP25" s="245">
        <f t="shared" si="33"/>
        <v>0</v>
      </c>
      <c r="BQ25" s="245">
        <f t="shared" si="34"/>
        <v>0</v>
      </c>
      <c r="BR25" s="237">
        <f t="shared" si="35"/>
        <v>0</v>
      </c>
    </row>
    <row r="26" spans="1:70" x14ac:dyDescent="0.3">
      <c r="A26" s="521" t="s">
        <v>61</v>
      </c>
      <c r="B26" s="95"/>
      <c r="C26" s="246"/>
      <c r="D26" s="188"/>
      <c r="E26" s="243"/>
      <c r="F26" s="243"/>
      <c r="G26" s="244"/>
      <c r="H26" s="247"/>
      <c r="I26" s="96"/>
      <c r="J26" s="96"/>
      <c r="K26" s="245">
        <f t="shared" si="0"/>
        <v>0</v>
      </c>
      <c r="L26" s="245">
        <f t="shared" si="1"/>
        <v>0</v>
      </c>
      <c r="M26" s="245">
        <f t="shared" si="2"/>
        <v>0</v>
      </c>
      <c r="N26" s="237">
        <f t="shared" si="3"/>
        <v>0</v>
      </c>
      <c r="O26" s="247"/>
      <c r="P26" s="96"/>
      <c r="Q26" s="96"/>
      <c r="R26" s="245">
        <f t="shared" si="4"/>
        <v>0</v>
      </c>
      <c r="S26" s="245">
        <f t="shared" si="5"/>
        <v>0</v>
      </c>
      <c r="T26" s="245">
        <f t="shared" si="6"/>
        <v>0</v>
      </c>
      <c r="U26" s="237">
        <f t="shared" si="7"/>
        <v>0</v>
      </c>
      <c r="V26" s="247"/>
      <c r="W26" s="96"/>
      <c r="X26" s="96"/>
      <c r="Y26" s="245">
        <f t="shared" si="8"/>
        <v>0</v>
      </c>
      <c r="Z26" s="245">
        <f t="shared" si="9"/>
        <v>0</v>
      </c>
      <c r="AA26" s="245">
        <f t="shared" si="10"/>
        <v>0</v>
      </c>
      <c r="AB26" s="237">
        <f t="shared" si="11"/>
        <v>0</v>
      </c>
      <c r="AC26" s="247"/>
      <c r="AD26" s="96"/>
      <c r="AE26" s="96"/>
      <c r="AF26" s="245">
        <f t="shared" si="12"/>
        <v>0</v>
      </c>
      <c r="AG26" s="245">
        <f t="shared" si="13"/>
        <v>0</v>
      </c>
      <c r="AH26" s="245">
        <f t="shared" si="14"/>
        <v>0</v>
      </c>
      <c r="AI26" s="237">
        <f t="shared" si="15"/>
        <v>0</v>
      </c>
      <c r="AJ26" s="247"/>
      <c r="AK26" s="96"/>
      <c r="AL26" s="96"/>
      <c r="AM26" s="245">
        <f t="shared" si="16"/>
        <v>0</v>
      </c>
      <c r="AN26" s="245">
        <f t="shared" si="17"/>
        <v>0</v>
      </c>
      <c r="AO26" s="245">
        <f t="shared" si="18"/>
        <v>0</v>
      </c>
      <c r="AP26" s="237">
        <f t="shared" si="19"/>
        <v>0</v>
      </c>
      <c r="AQ26" s="247"/>
      <c r="AR26" s="96"/>
      <c r="AS26" s="96"/>
      <c r="AT26" s="245">
        <f t="shared" si="20"/>
        <v>0</v>
      </c>
      <c r="AU26" s="245">
        <f t="shared" si="21"/>
        <v>0</v>
      </c>
      <c r="AV26" s="245">
        <f t="shared" si="22"/>
        <v>0</v>
      </c>
      <c r="AW26" s="237">
        <f t="shared" si="23"/>
        <v>0</v>
      </c>
      <c r="AX26" s="247"/>
      <c r="AY26" s="96"/>
      <c r="AZ26" s="96"/>
      <c r="BA26" s="245">
        <f t="shared" si="24"/>
        <v>0</v>
      </c>
      <c r="BB26" s="245">
        <f t="shared" si="25"/>
        <v>0</v>
      </c>
      <c r="BC26" s="245">
        <f t="shared" si="26"/>
        <v>0</v>
      </c>
      <c r="BD26" s="237">
        <f t="shared" si="27"/>
        <v>0</v>
      </c>
      <c r="BE26" s="247"/>
      <c r="BF26" s="96"/>
      <c r="BG26" s="96"/>
      <c r="BH26" s="245">
        <f t="shared" si="28"/>
        <v>0</v>
      </c>
      <c r="BI26" s="245">
        <f t="shared" si="29"/>
        <v>0</v>
      </c>
      <c r="BJ26" s="245">
        <f t="shared" si="30"/>
        <v>0</v>
      </c>
      <c r="BK26" s="237">
        <f t="shared" si="31"/>
        <v>0</v>
      </c>
      <c r="BL26" s="247"/>
      <c r="BM26" s="96"/>
      <c r="BN26" s="96"/>
      <c r="BO26" s="245">
        <f t="shared" si="32"/>
        <v>0</v>
      </c>
      <c r="BP26" s="245">
        <f t="shared" si="33"/>
        <v>0</v>
      </c>
      <c r="BQ26" s="245">
        <f t="shared" si="34"/>
        <v>0</v>
      </c>
      <c r="BR26" s="237">
        <f t="shared" si="35"/>
        <v>0</v>
      </c>
    </row>
    <row r="27" spans="1:70" s="150" customFormat="1" ht="18" customHeight="1" thickBot="1" x14ac:dyDescent="0.35">
      <c r="A27" s="248"/>
      <c r="B27" s="249"/>
      <c r="C27" s="250" t="s">
        <v>177</v>
      </c>
      <c r="D27" s="249"/>
      <c r="E27" s="251"/>
      <c r="F27" s="251"/>
      <c r="G27" s="252"/>
      <c r="H27" s="253">
        <f>SUM(H8:H26)</f>
        <v>2904.49</v>
      </c>
      <c r="I27" s="254">
        <f>SUM(I8:I26)</f>
        <v>1145.5999999999999</v>
      </c>
      <c r="J27" s="254">
        <f>SUM(J8:J26)</f>
        <v>0</v>
      </c>
      <c r="K27" s="255">
        <f>ROUND(SUM(K8:K26),2)</f>
        <v>1758.89</v>
      </c>
      <c r="L27" s="256">
        <f>ROUND(SUM(L8:L26),2)</f>
        <v>879.45</v>
      </c>
      <c r="M27" s="256">
        <f>ROUND(SUM(M8:M26),2)</f>
        <v>439.72</v>
      </c>
      <c r="N27" s="257">
        <f>ROUND(SUM(N8:N26),2)</f>
        <v>439.72</v>
      </c>
      <c r="O27" s="253">
        <f>SUM(O8:O26)</f>
        <v>9058.5</v>
      </c>
      <c r="P27" s="254">
        <f>SUM(P8:P26)</f>
        <v>868.16</v>
      </c>
      <c r="Q27" s="254">
        <f>SUM(Q8:Q26)</f>
        <v>0</v>
      </c>
      <c r="R27" s="255">
        <f>ROUND(SUM(R8:R26),2)</f>
        <v>8190.34</v>
      </c>
      <c r="S27" s="256">
        <f>ROUND(SUM(S8:S26),2)</f>
        <v>4095.17</v>
      </c>
      <c r="T27" s="256">
        <f>ROUND(SUM(T8:T26),2)</f>
        <v>2047.59</v>
      </c>
      <c r="U27" s="257">
        <f>ROUND(SUM(U8:U26),2)</f>
        <v>2047.59</v>
      </c>
      <c r="V27" s="253">
        <f>SUM(V8:V26)</f>
        <v>10980.890000000001</v>
      </c>
      <c r="W27" s="254">
        <f>SUM(W8:W26)</f>
        <v>71.599999999999994</v>
      </c>
      <c r="X27" s="254">
        <f>SUM(X8:X26)</f>
        <v>0</v>
      </c>
      <c r="Y27" s="255">
        <f>ROUND(SUM(Y8:Y26),2)</f>
        <v>10909.29</v>
      </c>
      <c r="Z27" s="256">
        <f>ROUND(SUM(Z8:Z26),2)</f>
        <v>5454.65</v>
      </c>
      <c r="AA27" s="256">
        <f>ROUND(SUM(AA8:AA26),2)</f>
        <v>2727.32</v>
      </c>
      <c r="AB27" s="257">
        <f>ROUND(SUM(AB8:AB26),2)</f>
        <v>2727.32</v>
      </c>
      <c r="AC27" s="253">
        <f>SUM(AC8:AC26)</f>
        <v>10980.890000000001</v>
      </c>
      <c r="AD27" s="254">
        <f>SUM(AD8:AD26)</f>
        <v>71.599999999999994</v>
      </c>
      <c r="AE27" s="254">
        <f>SUM(AE8:AE26)</f>
        <v>0</v>
      </c>
      <c r="AF27" s="255">
        <f>ROUND(SUM(AF8:AF26),2)</f>
        <v>10909.29</v>
      </c>
      <c r="AG27" s="256">
        <f>ROUND(SUM(AG8:AG26),2)</f>
        <v>5454.65</v>
      </c>
      <c r="AH27" s="256">
        <f>ROUND(SUM(AH8:AH26),2)</f>
        <v>2727.32</v>
      </c>
      <c r="AI27" s="257">
        <f>ROUND(SUM(AI8:AI26),2)</f>
        <v>2727.32</v>
      </c>
      <c r="AJ27" s="253">
        <f>SUM(AJ8:AJ26)</f>
        <v>7000</v>
      </c>
      <c r="AK27" s="254">
        <f>SUM(AK8:AK26)</f>
        <v>0</v>
      </c>
      <c r="AL27" s="254">
        <f>SUM(AL8:AL26)</f>
        <v>0</v>
      </c>
      <c r="AM27" s="255">
        <f>ROUND(SUM(AM8:AM26),2)</f>
        <v>7000</v>
      </c>
      <c r="AN27" s="256">
        <f>ROUND(SUM(AN8:AN26),2)</f>
        <v>3500</v>
      </c>
      <c r="AO27" s="256">
        <f>ROUND(SUM(AO8:AO26),2)</f>
        <v>1750</v>
      </c>
      <c r="AP27" s="257">
        <f>ROUND(SUM(AP8:AP26),2)</f>
        <v>1750</v>
      </c>
      <c r="AQ27" s="253">
        <f>SUM(AQ8:AQ26)</f>
        <v>5000</v>
      </c>
      <c r="AR27" s="254">
        <f>SUM(AR8:AR26)</f>
        <v>0</v>
      </c>
      <c r="AS27" s="254">
        <f>SUM(AS8:AS26)</f>
        <v>0</v>
      </c>
      <c r="AT27" s="255">
        <f>ROUND(SUM(AT8:AT26),2)</f>
        <v>5000</v>
      </c>
      <c r="AU27" s="256">
        <f>ROUND(SUM(AU8:AU26),2)</f>
        <v>2500</v>
      </c>
      <c r="AV27" s="256">
        <f>ROUND(SUM(AV8:AV26),2)</f>
        <v>1250</v>
      </c>
      <c r="AW27" s="257">
        <f>ROUND(SUM(AW8:AW26),2)</f>
        <v>1250</v>
      </c>
      <c r="AX27" s="253">
        <f>SUM(AX8:AX26)</f>
        <v>5000</v>
      </c>
      <c r="AY27" s="254">
        <f>SUM(AY8:AY26)</f>
        <v>0</v>
      </c>
      <c r="AZ27" s="254">
        <f>SUM(AZ8:AZ26)</f>
        <v>0</v>
      </c>
      <c r="BA27" s="255">
        <f>ROUND(SUM(BA8:BA26),2)</f>
        <v>5000</v>
      </c>
      <c r="BB27" s="256">
        <f>ROUND(SUM(BB8:BB26),2)</f>
        <v>2500</v>
      </c>
      <c r="BC27" s="256">
        <f>ROUND(SUM(BC8:BC26),2)</f>
        <v>1250</v>
      </c>
      <c r="BD27" s="257">
        <f>ROUND(SUM(BD8:BD26),2)</f>
        <v>1250</v>
      </c>
      <c r="BE27" s="253">
        <f>SUM(BE8:BE26)</f>
        <v>5000</v>
      </c>
      <c r="BF27" s="254">
        <f>SUM(BF8:BF26)</f>
        <v>0</v>
      </c>
      <c r="BG27" s="254">
        <f>SUM(BG8:BG26)</f>
        <v>0</v>
      </c>
      <c r="BH27" s="255">
        <f>ROUND(SUM(BH8:BH26),2)</f>
        <v>5000</v>
      </c>
      <c r="BI27" s="256">
        <f>ROUND(SUM(BI8:BI26),2)</f>
        <v>2500</v>
      </c>
      <c r="BJ27" s="256">
        <f>ROUND(SUM(BJ8:BJ26),2)</f>
        <v>1250</v>
      </c>
      <c r="BK27" s="257">
        <f>ROUND(SUM(BK8:BK26),2)</f>
        <v>1250</v>
      </c>
      <c r="BL27" s="253">
        <f>SUM(BL8:BL26)</f>
        <v>5000</v>
      </c>
      <c r="BM27" s="254">
        <f>SUM(BM8:BM26)</f>
        <v>0</v>
      </c>
      <c r="BN27" s="254">
        <f>SUM(BN8:BN26)</f>
        <v>0</v>
      </c>
      <c r="BO27" s="255">
        <f>ROUND(SUM(BO8:BO26),2)</f>
        <v>5000</v>
      </c>
      <c r="BP27" s="256">
        <f>ROUND(SUM(BP8:BP26),2)</f>
        <v>2500</v>
      </c>
      <c r="BQ27" s="256">
        <f>ROUND(SUM(BQ8:BQ26),2)</f>
        <v>1250</v>
      </c>
      <c r="BR27" s="257">
        <f>ROUND(SUM(BR8:BR26),2)</f>
        <v>1250</v>
      </c>
    </row>
    <row r="28" spans="1:70" s="291" customFormat="1" ht="12" customHeight="1" thickBot="1" x14ac:dyDescent="0.35">
      <c r="A28" s="258"/>
      <c r="B28" s="258"/>
      <c r="C28" s="259"/>
      <c r="D28" s="258"/>
      <c r="E28" s="260"/>
      <c r="F28" s="260"/>
      <c r="G28" s="261"/>
      <c r="H28" s="262"/>
      <c r="I28" s="262"/>
      <c r="J28" s="262"/>
      <c r="K28" s="262"/>
      <c r="L28" s="262"/>
      <c r="M28" s="262"/>
      <c r="N28" s="263"/>
      <c r="O28" s="262"/>
      <c r="P28" s="262"/>
      <c r="Q28" s="262"/>
      <c r="R28" s="262"/>
      <c r="S28" s="262"/>
      <c r="T28" s="262"/>
      <c r="U28" s="263"/>
      <c r="V28" s="262"/>
      <c r="W28" s="262"/>
      <c r="X28" s="262"/>
      <c r="Y28" s="262"/>
      <c r="Z28" s="262"/>
      <c r="AA28" s="262"/>
      <c r="AB28" s="263"/>
      <c r="AC28" s="262"/>
      <c r="AD28" s="262"/>
      <c r="AE28" s="262"/>
      <c r="AF28" s="262"/>
      <c r="AG28" s="262"/>
      <c r="AH28" s="262"/>
      <c r="AI28" s="263"/>
      <c r="AJ28" s="262"/>
      <c r="AK28" s="262"/>
      <c r="AL28" s="262"/>
      <c r="AM28" s="262"/>
      <c r="AN28" s="262"/>
      <c r="AO28" s="262"/>
      <c r="AP28" s="263"/>
      <c r="AQ28" s="262"/>
      <c r="AR28" s="262"/>
      <c r="AS28" s="262"/>
      <c r="AT28" s="262"/>
      <c r="AU28" s="262"/>
      <c r="AV28" s="262"/>
      <c r="AW28" s="263"/>
      <c r="AX28" s="262"/>
      <c r="AY28" s="262"/>
      <c r="AZ28" s="262"/>
      <c r="BA28" s="262"/>
      <c r="BB28" s="262"/>
      <c r="BC28" s="262"/>
      <c r="BD28" s="263"/>
      <c r="BE28" s="262"/>
      <c r="BF28" s="262"/>
      <c r="BG28" s="262"/>
      <c r="BH28" s="262"/>
      <c r="BI28" s="262"/>
      <c r="BJ28" s="262"/>
      <c r="BK28" s="263"/>
      <c r="BL28" s="262"/>
      <c r="BM28" s="262"/>
      <c r="BN28" s="262"/>
      <c r="BO28" s="262"/>
      <c r="BP28" s="262"/>
      <c r="BQ28" s="262"/>
      <c r="BR28" s="263"/>
    </row>
    <row r="29" spans="1:70" ht="30.75" customHeight="1" thickBot="1" x14ac:dyDescent="0.4">
      <c r="A29" s="264" t="s">
        <v>84</v>
      </c>
      <c r="B29" s="523"/>
      <c r="C29" s="1009" t="s">
        <v>518</v>
      </c>
      <c r="D29" s="1010"/>
      <c r="E29" s="1010"/>
      <c r="F29" s="1010"/>
      <c r="G29" s="1011"/>
      <c r="H29" s="530">
        <f>H2</f>
        <v>2012</v>
      </c>
      <c r="I29" s="1012" t="str">
        <f>I2</f>
        <v>Nach-Nachkalkulationsjahr</v>
      </c>
      <c r="J29" s="1013"/>
      <c r="K29" s="1013"/>
      <c r="L29" s="1013"/>
      <c r="M29" s="1013"/>
      <c r="N29" s="1014"/>
      <c r="O29" s="530">
        <f>O2</f>
        <v>2013</v>
      </c>
      <c r="P29" s="1012" t="str">
        <f>P2</f>
        <v>Nachkalkulationsjahr</v>
      </c>
      <c r="Q29" s="1013"/>
      <c r="R29" s="1013"/>
      <c r="S29" s="1013"/>
      <c r="T29" s="1013"/>
      <c r="U29" s="1014"/>
      <c r="V29" s="530">
        <f>V2</f>
        <v>2014</v>
      </c>
      <c r="W29" s="1012" t="str">
        <f>W2</f>
        <v>Nachkalkulationsjahr</v>
      </c>
      <c r="X29" s="1013"/>
      <c r="Y29" s="1013"/>
      <c r="Z29" s="1013"/>
      <c r="AA29" s="1013"/>
      <c r="AB29" s="1014"/>
      <c r="AC29" s="530">
        <f>AC2</f>
        <v>2015</v>
      </c>
      <c r="AD29" s="1012" t="str">
        <f>AD2</f>
        <v>Nachkalkulationsjahr</v>
      </c>
      <c r="AE29" s="1013"/>
      <c r="AF29" s="1013"/>
      <c r="AG29" s="1013"/>
      <c r="AH29" s="1013"/>
      <c r="AI29" s="1014"/>
      <c r="AJ29" s="530">
        <f>AJ2</f>
        <v>2016</v>
      </c>
      <c r="AK29" s="1012" t="str">
        <f>AK2</f>
        <v>Nachkalkulationsjahr</v>
      </c>
      <c r="AL29" s="1013"/>
      <c r="AM29" s="1013"/>
      <c r="AN29" s="1013"/>
      <c r="AO29" s="1013"/>
      <c r="AP29" s="1014"/>
      <c r="AQ29" s="530">
        <f>AQ2</f>
        <v>2017</v>
      </c>
      <c r="AR29" s="1012" t="str">
        <f>AR2</f>
        <v>Vorkalkulationsjahr</v>
      </c>
      <c r="AS29" s="1013"/>
      <c r="AT29" s="1013"/>
      <c r="AU29" s="1013"/>
      <c r="AV29" s="1013"/>
      <c r="AW29" s="1014"/>
      <c r="AX29" s="530">
        <f>AX2</f>
        <v>2018</v>
      </c>
      <c r="AY29" s="1012" t="str">
        <f>AY2</f>
        <v>Vorkalkulationsjahr</v>
      </c>
      <c r="AZ29" s="1013"/>
      <c r="BA29" s="1013"/>
      <c r="BB29" s="1013"/>
      <c r="BC29" s="1013"/>
      <c r="BD29" s="1014"/>
      <c r="BE29" s="530">
        <f>BE2</f>
        <v>2019</v>
      </c>
      <c r="BF29" s="1012" t="str">
        <f>BF2</f>
        <v>Vorkalkulationsjahr</v>
      </c>
      <c r="BG29" s="1013"/>
      <c r="BH29" s="1013"/>
      <c r="BI29" s="1013"/>
      <c r="BJ29" s="1013"/>
      <c r="BK29" s="1014"/>
      <c r="BL29" s="530">
        <f>BL2</f>
        <v>2020</v>
      </c>
      <c r="BM29" s="1012" t="str">
        <f>BM2</f>
        <v>Vorkalkulationsjahr</v>
      </c>
      <c r="BN29" s="1013"/>
      <c r="BO29" s="1013"/>
      <c r="BP29" s="1013"/>
      <c r="BQ29" s="1013"/>
      <c r="BR29" s="1014"/>
    </row>
    <row r="30" spans="1:70" x14ac:dyDescent="0.3">
      <c r="A30" s="521" t="s">
        <v>86</v>
      </c>
      <c r="B30" s="188"/>
      <c r="C30" s="522" t="s">
        <v>451</v>
      </c>
      <c r="D30" s="188"/>
      <c r="E30" s="612"/>
      <c r="F30" s="612"/>
      <c r="G30" s="613"/>
      <c r="H30" s="614"/>
      <c r="I30" s="189"/>
      <c r="J30" s="189"/>
      <c r="K30" s="245">
        <f>H30-I30+J30</f>
        <v>0</v>
      </c>
      <c r="L30" s="245">
        <f t="shared" ref="L30:L61" si="36">IF(H$2="-","-",IF($E30+$F30+$G30=1,K30*$E30,IF($D30="uns",K30*HLOOKUP(H$2,Verteil_sw,46,FALSE),IF($D30="unm",K30*HLOOKUP(H$2,Verteil_sw,47,FALSE),IF($D30="unr",K30*HLOOKUP(H$2,Verteil_sw,48,FALSE),IF($D30="unk",K30*HLOOKUP(H$2,Verteil_sw,49,FALSE),IF($D30="alz",K30*HLOOKUP(H$2,Verteil_sw,51,FALSE),0)))))))</f>
        <v>0</v>
      </c>
      <c r="M30" s="245">
        <f t="shared" ref="M30:M61" si="37">IF(H$2="-","-",IF($E30+$F30+$G30=1,K30*$F30,IF($D30="uns",K30*HLOOKUP(H$2,Verteil_rwgr,45,FALSE),IF($D30="unm",K30*HLOOKUP(H$2,Verteil_rwgr,46,FALSE),IF($D30="unr",K30*HLOOKUP(H$2,Verteil_rwgr,47,FALSE),IF($D30="unk",K30*HLOOKUP(H$2,Verteil_rwgr,48,FALSE),IF($D30="alz",K30*HLOOKUP(H$2,Verteil_rwgr,50,FALSE),0)))))))</f>
        <v>0</v>
      </c>
      <c r="N30" s="237">
        <f t="shared" ref="N30:N61" si="38">IF(H$2="-","-",IF($E30+$F30+$G30=1,K30*$G30,IF($D30="uns",K30*HLOOKUP(H$2,Verteil_rwst,44,FALSE),IF($D30="unm",K30*HLOOKUP(H$2,Verteil_rwst,45,FALSE),IF($D30="unr",K30*HLOOKUP(H$2,Verteil_rwst,46,FALSE),IF($D30="unk",K30*HLOOKUP(H$2,Verteil_rwst,47,FALSE),IF($D30="alz",K30*HLOOKUP(H$2,Verteil_rwst,49,FALSE),0)))))))</f>
        <v>0</v>
      </c>
      <c r="O30" s="614"/>
      <c r="P30" s="189"/>
      <c r="Q30" s="189"/>
      <c r="R30" s="245">
        <f>O30-P30+Q30</f>
        <v>0</v>
      </c>
      <c r="S30" s="245">
        <f t="shared" ref="S30:S61" si="39">IF(O$2="-","-",IF($E30+$F30+$G30=1,R30*$E30,IF($D30="uns",R30*HLOOKUP(O$2,Verteil_sw,46,FALSE),IF($D30="unm",R30*HLOOKUP(O$2,Verteil_sw,47,FALSE),IF($D30="unr",R30*HLOOKUP(O$2,Verteil_sw,48,FALSE),IF($D30="unk",R30*HLOOKUP(O$2,Verteil_sw,49,FALSE),IF($D30="alz",R30*HLOOKUP(O$2,Verteil_sw,51,FALSE),0)))))))</f>
        <v>0</v>
      </c>
      <c r="T30" s="245">
        <f t="shared" ref="T30:T61" si="40">IF(O$2="-","-",IF($E30+$F30+$G30=1,R30*$F30,IF($D30="uns",R30*HLOOKUP(O$2,Verteil_rwgr,45,FALSE),IF($D30="unm",R30*HLOOKUP(O$2,Verteil_rwgr,46,FALSE),IF($D30="unr",R30*HLOOKUP(O$2,Verteil_rwgr,47,FALSE),IF($D30="unk",R30*HLOOKUP(O$2,Verteil_rwgr,48,FALSE),IF($D30="alz",R30*HLOOKUP(O$2,Verteil_rwgr,50,FALSE),0)))))))</f>
        <v>0</v>
      </c>
      <c r="U30" s="237">
        <f t="shared" ref="U30:U61" si="41">IF(O$2="-","-",IF($E30+$F30+$G30=1,R30*$G30,IF($D30="uns",R30*HLOOKUP(O$2,Verteil_rwst,44,FALSE),IF($D30="unm",R30*HLOOKUP(O$2,Verteil_rwst,45,FALSE),IF($D30="unr",R30*HLOOKUP(O$2,Verteil_rwst,46,FALSE),IF($D30="unk",R30*HLOOKUP(O$2,Verteil_rwst,47,FALSE),IF($D30="alz",R30*HLOOKUP(O$2,Verteil_rwst,49,FALSE),0)))))))</f>
        <v>0</v>
      </c>
      <c r="V30" s="614"/>
      <c r="W30" s="189"/>
      <c r="X30" s="189"/>
      <c r="Y30" s="245">
        <f>V30-W30+X30</f>
        <v>0</v>
      </c>
      <c r="Z30" s="245">
        <f t="shared" ref="Z30:Z61" si="42">IF(V$2="-","-",IF($E30+$F30+$G30=1,Y30*$E30,IF($D30="uns",Y30*HLOOKUP(V$2,Verteil_sw,46,FALSE),IF($D30="unm",Y30*HLOOKUP(V$2,Verteil_sw,47,FALSE),IF($D30="unr",Y30*HLOOKUP(V$2,Verteil_sw,48,FALSE),IF($D30="unk",Y30*HLOOKUP(V$2,Verteil_sw,49,FALSE),IF($D30="alz",Y30*HLOOKUP(V$2,Verteil_sw,51,FALSE),0)))))))</f>
        <v>0</v>
      </c>
      <c r="AA30" s="245">
        <f t="shared" ref="AA30:AA61" si="43">IF(V$2="-","-",IF($E30+$F30+$G30=1,Y30*$F30,IF($D30="uns",Y30*HLOOKUP(V$2,Verteil_rwgr,45,FALSE),IF($D30="unm",Y30*HLOOKUP(V$2,Verteil_rwgr,46,FALSE),IF($D30="unr",Y30*HLOOKUP(V$2,Verteil_rwgr,47,FALSE),IF($D30="unk",Y30*HLOOKUP(V$2,Verteil_rwgr,48,FALSE),IF($D30="alz",Y30*HLOOKUP(V$2,Verteil_rwgr,50,FALSE),0)))))))</f>
        <v>0</v>
      </c>
      <c r="AB30" s="237">
        <f t="shared" ref="AB30:AB61" si="44">IF(V$2="-","-",IF($E30+$F30+$G30=1,Y30*$G30,IF($D30="uns",Y30*HLOOKUP(V$2,Verteil_rwst,44,FALSE),IF($D30="unm",Y30*HLOOKUP(V$2,Verteil_rwst,45,FALSE),IF($D30="unr",Y30*HLOOKUP(V$2,Verteil_rwst,46,FALSE),IF($D30="unk",Y30*HLOOKUP(V$2,Verteil_rwst,47,FALSE),IF($D30="alz",Y30*HLOOKUP(V$2,Verteil_rwst,49,FALSE),0)))))))</f>
        <v>0</v>
      </c>
      <c r="AC30" s="614"/>
      <c r="AD30" s="189"/>
      <c r="AE30" s="189"/>
      <c r="AF30" s="245">
        <f>AC30-AD30+AE30</f>
        <v>0</v>
      </c>
      <c r="AG30" s="245">
        <f t="shared" ref="AG30:AG61" si="45">IF(AC$2="-","-",IF($E30+$F30+$G30=1,AF30*$E30,IF($D30="uns",AF30*HLOOKUP(AC$2,Verteil_sw,46,FALSE),IF($D30="unm",AF30*HLOOKUP(AC$2,Verteil_sw,47,FALSE),IF($D30="unr",AF30*HLOOKUP(AC$2,Verteil_sw,48,FALSE),IF($D30="unk",AF30*HLOOKUP(AC$2,Verteil_sw,49,FALSE),IF($D30="alz",AF30*HLOOKUP(AC$2,Verteil_sw,51,FALSE),0)))))))</f>
        <v>0</v>
      </c>
      <c r="AH30" s="245">
        <f t="shared" ref="AH30:AH61" si="46">IF(AC$2="-","-",IF($E30+$F30+$G30=1,AF30*$F30,IF($D30="uns",AF30*HLOOKUP(AC$2,Verteil_rwgr,45,FALSE),IF($D30="unm",AF30*HLOOKUP(AC$2,Verteil_rwgr,46,FALSE),IF($D30="unr",AF30*HLOOKUP(AC$2,Verteil_rwgr,47,FALSE),IF($D30="unk",AF30*HLOOKUP(AC$2,Verteil_rwgr,48,FALSE),IF($D30="alz",AF30*HLOOKUP(AC$2,Verteil_rwgr,50,FALSE),0)))))))</f>
        <v>0</v>
      </c>
      <c r="AI30" s="237">
        <f t="shared" ref="AI30:AI61" si="47">IF(AC$2="-","-",IF($E30+$F30+$G30=1,AF30*$G30,IF($D30="uns",AF30*HLOOKUP(AC$2,Verteil_rwst,44,FALSE),IF($D30="unm",AF30*HLOOKUP(AC$2,Verteil_rwst,45,FALSE),IF($D30="unr",AF30*HLOOKUP(AC$2,Verteil_rwst,46,FALSE),IF($D30="unk",AF30*HLOOKUP(AC$2,Verteil_rwst,47,FALSE),IF($D30="alz",AF30*HLOOKUP(AC$2,Verteil_rwst,49,FALSE),0)))))))</f>
        <v>0</v>
      </c>
      <c r="AJ30" s="614"/>
      <c r="AK30" s="189"/>
      <c r="AL30" s="189"/>
      <c r="AM30" s="245">
        <f>AJ30-AK30+AL30</f>
        <v>0</v>
      </c>
      <c r="AN30" s="245">
        <f t="shared" ref="AN30:AN61" si="48">IF(AJ$2="-","-",IF($E30+$F30+$G30=1,AM30*$E30,IF($D30="uns",AM30*HLOOKUP(AJ$2,Verteil_sw,46,FALSE),IF($D30="unm",AM30*HLOOKUP(AJ$2,Verteil_sw,47,FALSE),IF($D30="unr",AM30*HLOOKUP(AJ$2,Verteil_sw,48,FALSE),IF($D30="unk",AM30*HLOOKUP(AJ$2,Verteil_sw,49,FALSE),IF($D30="alz",AM30*HLOOKUP(AJ$2,Verteil_sw,51,FALSE),0)))))))</f>
        <v>0</v>
      </c>
      <c r="AO30" s="245">
        <f t="shared" ref="AO30:AO61" si="49">IF(AJ$2="-","-",IF($E30+$F30+$G30=1,AM30*$F30,IF($D30="uns",AM30*HLOOKUP(AJ$2,Verteil_rwgr,45,FALSE),IF($D30="unm",AM30*HLOOKUP(AJ$2,Verteil_rwgr,46,FALSE),IF($D30="unr",AM30*HLOOKUP(AJ$2,Verteil_rwgr,47,FALSE),IF($D30="unk",AM30*HLOOKUP(AJ$2,Verteil_rwgr,48,FALSE),IF($D30="alz",AM30*HLOOKUP(AJ$2,Verteil_rwgr,50,FALSE),0)))))))</f>
        <v>0</v>
      </c>
      <c r="AP30" s="237">
        <f t="shared" ref="AP30:AP61" si="50">IF(AJ$2="-","-",IF($E30+$F30+$G30=1,AM30*$G30,IF($D30="uns",AM30*HLOOKUP(AJ$2,Verteil_rwst,44,FALSE),IF($D30="unm",AM30*HLOOKUP(AJ$2,Verteil_rwst,45,FALSE),IF($D30="unr",AM30*HLOOKUP(AJ$2,Verteil_rwst,46,FALSE),IF($D30="unk",AM30*HLOOKUP(AJ$2,Verteil_rwst,47,FALSE),IF($D30="alz",AM30*HLOOKUP(AJ$2,Verteil_rwst,49,FALSE),0)))))))</f>
        <v>0</v>
      </c>
      <c r="AQ30" s="614"/>
      <c r="AR30" s="189"/>
      <c r="AS30" s="189"/>
      <c r="AT30" s="245">
        <f>AQ30-AR30+AS30</f>
        <v>0</v>
      </c>
      <c r="AU30" s="245">
        <f t="shared" ref="AU30:AU61" si="51">IF(AQ$2="-","-",IF($E30+$F30+$G30=1,AT30*$E30,IF($D30="uns",AT30*HLOOKUP(AQ$2,Verteil_sw,46,FALSE),IF($D30="unm",AT30*HLOOKUP(AQ$2,Verteil_sw,47,FALSE),IF($D30="unr",AT30*HLOOKUP(AQ$2,Verteil_sw,48,FALSE),IF($D30="unk",AT30*HLOOKUP(AQ$2,Verteil_sw,49,FALSE),IF($D30="alz",AT30*HLOOKUP(AQ$2,Verteil_sw,51,FALSE),0)))))))</f>
        <v>0</v>
      </c>
      <c r="AV30" s="245">
        <f t="shared" ref="AV30:AV61" si="52">IF(AQ$2="-","-",IF($E30+$F30+$G30=1,AT30*$F30,IF($D30="uns",AT30*HLOOKUP(AQ$2,Verteil_rwgr,45,FALSE),IF($D30="unm",AT30*HLOOKUP(AQ$2,Verteil_rwgr,46,FALSE),IF($D30="unr",AT30*HLOOKUP(AQ$2,Verteil_rwgr,47,FALSE),IF($D30="unk",AT30*HLOOKUP(AQ$2,Verteil_rwgr,48,FALSE),IF($D30="alz",AT30*HLOOKUP(AQ$2,Verteil_rwgr,50,FALSE),0)))))))</f>
        <v>0</v>
      </c>
      <c r="AW30" s="237">
        <f t="shared" ref="AW30:AW61" si="53">IF(AQ$2="-","-",IF($E30+$F30+$G30=1,AT30*$G30,IF($D30="uns",AT30*HLOOKUP(AQ$2,Verteil_rwst,44,FALSE),IF($D30="unm",AT30*HLOOKUP(AQ$2,Verteil_rwst,45,FALSE),IF($D30="unr",AT30*HLOOKUP(AQ$2,Verteil_rwst,46,FALSE),IF($D30="unk",AT30*HLOOKUP(AQ$2,Verteil_rwst,47,FALSE),IF($D30="alz",AT30*HLOOKUP(AQ$2,Verteil_rwst,49,FALSE),0)))))))</f>
        <v>0</v>
      </c>
      <c r="AX30" s="614"/>
      <c r="AY30" s="189"/>
      <c r="AZ30" s="189"/>
      <c r="BA30" s="245">
        <f>AX30-AY30+AZ30</f>
        <v>0</v>
      </c>
      <c r="BB30" s="245">
        <f t="shared" ref="BB30:BB61" si="54">IF(AX$2="-","-",IF($E30+$F30+$G30=1,BA30*$E30,IF($D30="uns",BA30*HLOOKUP(AX$2,Verteil_sw,46,FALSE),IF($D30="unm",BA30*HLOOKUP(AX$2,Verteil_sw,47,FALSE),IF($D30="unr",BA30*HLOOKUP(AX$2,Verteil_sw,48,FALSE),IF($D30="unk",BA30*HLOOKUP(AX$2,Verteil_sw,49,FALSE),IF($D30="alz",BA30*HLOOKUP(AX$2,Verteil_sw,51,FALSE),0)))))))</f>
        <v>0</v>
      </c>
      <c r="BC30" s="245">
        <f t="shared" ref="BC30:BC61" si="55">IF(AX$2="-","-",IF($E30+$F30+$G30=1,BA30*$F30,IF($D30="uns",BA30*HLOOKUP(AX$2,Verteil_rwgr,45,FALSE),IF($D30="unm",BA30*HLOOKUP(AX$2,Verteil_rwgr,46,FALSE),IF($D30="unr",BA30*HLOOKUP(AX$2,Verteil_rwgr,47,FALSE),IF($D30="unk",BA30*HLOOKUP(AX$2,Verteil_rwgr,48,FALSE),IF($D30="alz",BA30*HLOOKUP(AX$2,Verteil_rwgr,50,FALSE),0)))))))</f>
        <v>0</v>
      </c>
      <c r="BD30" s="237">
        <f t="shared" ref="BD30:BD61" si="56">IF(AX$2="-","-",IF($E30+$F30+$G30=1,BA30*$G30,IF($D30="uns",BA30*HLOOKUP(AX$2,Verteil_rwst,44,FALSE),IF($D30="unm",BA30*HLOOKUP(AX$2,Verteil_rwst,45,FALSE),IF($D30="unr",BA30*HLOOKUP(AX$2,Verteil_rwst,46,FALSE),IF($D30="unk",BA30*HLOOKUP(AX$2,Verteil_rwst,47,FALSE),IF($D30="alz",BA30*HLOOKUP(AX$2,Verteil_rwst,49,FALSE),0)))))))</f>
        <v>0</v>
      </c>
      <c r="BE30" s="614"/>
      <c r="BF30" s="189"/>
      <c r="BG30" s="189"/>
      <c r="BH30" s="245">
        <f>BE30-BF30+BG30</f>
        <v>0</v>
      </c>
      <c r="BI30" s="245">
        <f t="shared" ref="BI30:BI61" si="57">IF(BE$2="-","-",IF($E30+$F30+$G30=1,BH30*$E30,IF($D30="uns",BH30*HLOOKUP(BE$2,Verteil_sw,46,FALSE),IF($D30="unm",BH30*HLOOKUP(BE$2,Verteil_sw,47,FALSE),IF($D30="unr",BH30*HLOOKUP(BE$2,Verteil_sw,48,FALSE),IF($D30="unk",BH30*HLOOKUP(BE$2,Verteil_sw,49,FALSE),IF($D30="alz",BH30*HLOOKUP(BE$2,Verteil_sw,51,FALSE),0)))))))</f>
        <v>0</v>
      </c>
      <c r="BJ30" s="245">
        <f t="shared" ref="BJ30:BJ61" si="58">IF(BE$2="-","-",IF($E30+$F30+$G30=1,BH30*$F30,IF($D30="uns",BH30*HLOOKUP(BE$2,Verteil_rwgr,45,FALSE),IF($D30="unm",BH30*HLOOKUP(BE$2,Verteil_rwgr,46,FALSE),IF($D30="unr",BH30*HLOOKUP(BE$2,Verteil_rwgr,47,FALSE),IF($D30="unk",BH30*HLOOKUP(BE$2,Verteil_rwgr,48,FALSE),IF($D30="alz",BH30*HLOOKUP(BE$2,Verteil_rwgr,50,FALSE),0)))))))</f>
        <v>0</v>
      </c>
      <c r="BK30" s="237">
        <f t="shared" ref="BK30:BK61" si="59">IF(BE$2="-","-",IF($E30+$F30+$G30=1,BH30*$G30,IF($D30="uns",BH30*HLOOKUP(BE$2,Verteil_rwst,44,FALSE),IF($D30="unm",BH30*HLOOKUP(BE$2,Verteil_rwst,45,FALSE),IF($D30="unr",BH30*HLOOKUP(BE$2,Verteil_rwst,46,FALSE),IF($D30="unk",BH30*HLOOKUP(BE$2,Verteil_rwst,47,FALSE),IF($D30="alz",BH30*HLOOKUP(BE$2,Verteil_rwst,49,FALSE),0)))))))</f>
        <v>0</v>
      </c>
      <c r="BL30" s="614"/>
      <c r="BM30" s="189"/>
      <c r="BN30" s="189"/>
      <c r="BO30" s="245">
        <f>BL30-BM30+BN30</f>
        <v>0</v>
      </c>
      <c r="BP30" s="245">
        <f t="shared" ref="BP30:BP61" si="60">IF(BL$2="-","-",IF($E30+$F30+$G30=1,BO30*$E30,IF($D30="uns",BO30*HLOOKUP(BL$2,Verteil_sw,46,FALSE),IF($D30="unm",BO30*HLOOKUP(BL$2,Verteil_sw,47,FALSE),IF($D30="unr",BO30*HLOOKUP(BL$2,Verteil_sw,48,FALSE),IF($D30="unk",BO30*HLOOKUP(BL$2,Verteil_sw,49,FALSE),IF($D30="alz",BO30*HLOOKUP(BL$2,Verteil_sw,51,FALSE),0)))))))</f>
        <v>0</v>
      </c>
      <c r="BQ30" s="245">
        <f t="shared" ref="BQ30:BQ61" si="61">IF(BL$2="-","-",IF($E30+$F30+$G30=1,BO30*$F30,IF($D30="uns",BO30*HLOOKUP(BL$2,Verteil_rwgr,45,FALSE),IF($D30="unm",BO30*HLOOKUP(BL$2,Verteil_rwgr,46,FALSE),IF($D30="unr",BO30*HLOOKUP(BL$2,Verteil_rwgr,47,FALSE),IF($D30="unk",BO30*HLOOKUP(BL$2,Verteil_rwgr,48,FALSE),IF($D30="alz",BO30*HLOOKUP(BL$2,Verteil_rwgr,50,FALSE),0)))))))</f>
        <v>0</v>
      </c>
      <c r="BR30" s="237">
        <f t="shared" ref="BR30:BR61" si="62">IF(BL$2="-","-",IF($E30+$F30+$G30=1,BO30*$G30,IF($D30="uns",BO30*HLOOKUP(BL$2,Verteil_rwst,44,FALSE),IF($D30="unm",BO30*HLOOKUP(BL$2,Verteil_rwst,45,FALSE),IF($D30="unr",BO30*HLOOKUP(BL$2,Verteil_rwst,46,FALSE),IF($D30="unk",BO30*HLOOKUP(BL$2,Verteil_rwst,47,FALSE),IF($D30="alz",BO30*HLOOKUP(BL$2,Verteil_rwst,49,FALSE),0)))))))</f>
        <v>0</v>
      </c>
    </row>
    <row r="31" spans="1:70" x14ac:dyDescent="0.3">
      <c r="A31" s="521" t="s">
        <v>89</v>
      </c>
      <c r="B31" s="188">
        <v>4140</v>
      </c>
      <c r="C31" s="522" t="s">
        <v>952</v>
      </c>
      <c r="D31" s="188" t="s">
        <v>129</v>
      </c>
      <c r="E31" s="612"/>
      <c r="F31" s="612"/>
      <c r="G31" s="613"/>
      <c r="H31" s="615">
        <v>62762.52</v>
      </c>
      <c r="I31" s="616"/>
      <c r="J31" s="616"/>
      <c r="K31" s="245">
        <f t="shared" ref="K31:K94" si="63">H31-I31+J31</f>
        <v>62762.52</v>
      </c>
      <c r="L31" s="245">
        <f t="shared" si="36"/>
        <v>31381.26</v>
      </c>
      <c r="M31" s="245">
        <f t="shared" si="37"/>
        <v>15690.63</v>
      </c>
      <c r="N31" s="237">
        <f t="shared" si="38"/>
        <v>15690.63</v>
      </c>
      <c r="O31" s="615">
        <v>67887.44</v>
      </c>
      <c r="P31" s="616"/>
      <c r="Q31" s="616"/>
      <c r="R31" s="245">
        <f t="shared" ref="R31:R94" si="64">O31-P31+Q31</f>
        <v>67887.44</v>
      </c>
      <c r="S31" s="245">
        <f t="shared" si="39"/>
        <v>33943.72</v>
      </c>
      <c r="T31" s="245">
        <f t="shared" si="40"/>
        <v>16971.86</v>
      </c>
      <c r="U31" s="237">
        <f t="shared" si="41"/>
        <v>16971.86</v>
      </c>
      <c r="V31" s="615">
        <v>72993.399999999994</v>
      </c>
      <c r="W31" s="616"/>
      <c r="X31" s="616"/>
      <c r="Y31" s="245">
        <f t="shared" ref="Y31:Y94" si="65">V31-W31+X31</f>
        <v>72993.399999999994</v>
      </c>
      <c r="Z31" s="245">
        <f t="shared" si="42"/>
        <v>36496.699999999997</v>
      </c>
      <c r="AA31" s="245">
        <f t="shared" si="43"/>
        <v>18248.349999999999</v>
      </c>
      <c r="AB31" s="237">
        <f t="shared" si="44"/>
        <v>18248.349999999999</v>
      </c>
      <c r="AC31" s="615">
        <v>70786.490000000005</v>
      </c>
      <c r="AD31" s="616"/>
      <c r="AE31" s="616"/>
      <c r="AF31" s="245">
        <f t="shared" ref="AF31:AF94" si="66">AC31-AD31+AE31</f>
        <v>70786.490000000005</v>
      </c>
      <c r="AG31" s="245">
        <f t="shared" si="45"/>
        <v>35393.245000000003</v>
      </c>
      <c r="AH31" s="245">
        <f t="shared" si="46"/>
        <v>17696.622500000001</v>
      </c>
      <c r="AI31" s="237">
        <f t="shared" si="47"/>
        <v>17696.622500000001</v>
      </c>
      <c r="AJ31" s="615">
        <v>80000</v>
      </c>
      <c r="AK31" s="616"/>
      <c r="AL31" s="616"/>
      <c r="AM31" s="245">
        <f t="shared" ref="AM31:AM94" si="67">AJ31-AK31+AL31</f>
        <v>80000</v>
      </c>
      <c r="AN31" s="245">
        <f t="shared" si="48"/>
        <v>40000</v>
      </c>
      <c r="AO31" s="245">
        <f t="shared" si="49"/>
        <v>20000</v>
      </c>
      <c r="AP31" s="237">
        <f t="shared" si="50"/>
        <v>20000</v>
      </c>
      <c r="AQ31" s="615">
        <v>83000</v>
      </c>
      <c r="AR31" s="616"/>
      <c r="AS31" s="616"/>
      <c r="AT31" s="245">
        <f t="shared" ref="AT31:AT94" si="68">AQ31-AR31+AS31</f>
        <v>83000</v>
      </c>
      <c r="AU31" s="245">
        <f t="shared" si="51"/>
        <v>41500</v>
      </c>
      <c r="AV31" s="245">
        <f t="shared" si="52"/>
        <v>20750</v>
      </c>
      <c r="AW31" s="237">
        <f t="shared" si="53"/>
        <v>20750</v>
      </c>
      <c r="AX31" s="615">
        <v>86000</v>
      </c>
      <c r="AY31" s="616"/>
      <c r="AZ31" s="616"/>
      <c r="BA31" s="245">
        <f t="shared" ref="BA31:BA94" si="69">AX31-AY31+AZ31</f>
        <v>86000</v>
      </c>
      <c r="BB31" s="245">
        <f t="shared" si="54"/>
        <v>43000</v>
      </c>
      <c r="BC31" s="245">
        <f t="shared" si="55"/>
        <v>21500</v>
      </c>
      <c r="BD31" s="237">
        <f t="shared" si="56"/>
        <v>21500</v>
      </c>
      <c r="BE31" s="615">
        <f t="shared" ref="BE31:BE45" si="70">AX31*1.03</f>
        <v>88580</v>
      </c>
      <c r="BF31" s="616"/>
      <c r="BG31" s="616"/>
      <c r="BH31" s="245">
        <f t="shared" ref="BH31:BH94" si="71">BE31-BF31+BG31</f>
        <v>88580</v>
      </c>
      <c r="BI31" s="245">
        <f t="shared" si="57"/>
        <v>44290</v>
      </c>
      <c r="BJ31" s="245">
        <f t="shared" si="58"/>
        <v>22145</v>
      </c>
      <c r="BK31" s="237">
        <f t="shared" si="59"/>
        <v>22145</v>
      </c>
      <c r="BL31" s="615">
        <f>BE31*1.03</f>
        <v>91237.400000000009</v>
      </c>
      <c r="BM31" s="616"/>
      <c r="BN31" s="616"/>
      <c r="BO31" s="245">
        <f t="shared" ref="BO31:BO94" si="72">BL31-BM31+BN31</f>
        <v>91237.400000000009</v>
      </c>
      <c r="BP31" s="245">
        <f t="shared" si="60"/>
        <v>45618.700000000004</v>
      </c>
      <c r="BQ31" s="245">
        <f t="shared" si="61"/>
        <v>22809.350000000002</v>
      </c>
      <c r="BR31" s="237">
        <f t="shared" si="62"/>
        <v>22809.350000000002</v>
      </c>
    </row>
    <row r="32" spans="1:70" x14ac:dyDescent="0.3">
      <c r="A32" s="521" t="s">
        <v>92</v>
      </c>
      <c r="B32" s="188">
        <v>4340</v>
      </c>
      <c r="C32" s="522" t="s">
        <v>953</v>
      </c>
      <c r="D32" s="188" t="s">
        <v>129</v>
      </c>
      <c r="E32" s="612"/>
      <c r="F32" s="612"/>
      <c r="G32" s="613"/>
      <c r="H32" s="615">
        <v>6567.4</v>
      </c>
      <c r="I32" s="616"/>
      <c r="J32" s="616"/>
      <c r="K32" s="245">
        <f t="shared" si="63"/>
        <v>6567.4</v>
      </c>
      <c r="L32" s="245">
        <f t="shared" si="36"/>
        <v>3283.7</v>
      </c>
      <c r="M32" s="245">
        <f t="shared" si="37"/>
        <v>1641.85</v>
      </c>
      <c r="N32" s="237">
        <f t="shared" si="38"/>
        <v>1641.85</v>
      </c>
      <c r="O32" s="615">
        <v>5837.89</v>
      </c>
      <c r="P32" s="616"/>
      <c r="Q32" s="616"/>
      <c r="R32" s="245">
        <f t="shared" si="64"/>
        <v>5837.89</v>
      </c>
      <c r="S32" s="245">
        <f t="shared" si="39"/>
        <v>2918.9450000000002</v>
      </c>
      <c r="T32" s="245">
        <f t="shared" si="40"/>
        <v>1459.4725000000001</v>
      </c>
      <c r="U32" s="237">
        <f t="shared" si="41"/>
        <v>1459.4725000000001</v>
      </c>
      <c r="V32" s="615">
        <v>6255.1</v>
      </c>
      <c r="W32" s="616"/>
      <c r="X32" s="616"/>
      <c r="Y32" s="245">
        <f t="shared" si="65"/>
        <v>6255.1</v>
      </c>
      <c r="Z32" s="245">
        <f t="shared" si="42"/>
        <v>3127.55</v>
      </c>
      <c r="AA32" s="245">
        <f t="shared" si="43"/>
        <v>1563.7750000000001</v>
      </c>
      <c r="AB32" s="237">
        <f t="shared" si="44"/>
        <v>1563.7750000000001</v>
      </c>
      <c r="AC32" s="615">
        <v>6362.61</v>
      </c>
      <c r="AD32" s="616"/>
      <c r="AE32" s="616"/>
      <c r="AF32" s="245">
        <f t="shared" si="66"/>
        <v>6362.61</v>
      </c>
      <c r="AG32" s="245">
        <f t="shared" si="45"/>
        <v>3181.3049999999998</v>
      </c>
      <c r="AH32" s="245">
        <f t="shared" si="46"/>
        <v>1590.6524999999999</v>
      </c>
      <c r="AI32" s="237">
        <f t="shared" si="47"/>
        <v>1590.6524999999999</v>
      </c>
      <c r="AJ32" s="615">
        <v>8000</v>
      </c>
      <c r="AK32" s="616"/>
      <c r="AL32" s="616"/>
      <c r="AM32" s="245">
        <f t="shared" si="67"/>
        <v>8000</v>
      </c>
      <c r="AN32" s="245">
        <f t="shared" si="48"/>
        <v>4000</v>
      </c>
      <c r="AO32" s="245">
        <f t="shared" si="49"/>
        <v>2000</v>
      </c>
      <c r="AP32" s="237">
        <f t="shared" si="50"/>
        <v>2000</v>
      </c>
      <c r="AQ32" s="615">
        <v>8500</v>
      </c>
      <c r="AR32" s="616"/>
      <c r="AS32" s="616"/>
      <c r="AT32" s="245">
        <f t="shared" si="68"/>
        <v>8500</v>
      </c>
      <c r="AU32" s="245">
        <f t="shared" si="51"/>
        <v>4250</v>
      </c>
      <c r="AV32" s="245">
        <f t="shared" si="52"/>
        <v>2125</v>
      </c>
      <c r="AW32" s="237">
        <f t="shared" si="53"/>
        <v>2125</v>
      </c>
      <c r="AX32" s="615">
        <v>9000</v>
      </c>
      <c r="AY32" s="616"/>
      <c r="AZ32" s="616"/>
      <c r="BA32" s="245">
        <f t="shared" si="69"/>
        <v>9000</v>
      </c>
      <c r="BB32" s="245">
        <f t="shared" si="54"/>
        <v>4500</v>
      </c>
      <c r="BC32" s="245">
        <f t="shared" si="55"/>
        <v>2250</v>
      </c>
      <c r="BD32" s="237">
        <f t="shared" si="56"/>
        <v>2250</v>
      </c>
      <c r="BE32" s="615">
        <f t="shared" si="70"/>
        <v>9270</v>
      </c>
      <c r="BF32" s="616"/>
      <c r="BG32" s="616"/>
      <c r="BH32" s="245">
        <f t="shared" si="71"/>
        <v>9270</v>
      </c>
      <c r="BI32" s="245">
        <f t="shared" si="57"/>
        <v>4635</v>
      </c>
      <c r="BJ32" s="245">
        <f t="shared" si="58"/>
        <v>2317.5</v>
      </c>
      <c r="BK32" s="237">
        <f t="shared" si="59"/>
        <v>2317.5</v>
      </c>
      <c r="BL32" s="615">
        <f t="shared" ref="BL32:BL45" si="73">BE32*1.03</f>
        <v>9548.1</v>
      </c>
      <c r="BM32" s="616"/>
      <c r="BN32" s="616"/>
      <c r="BO32" s="245">
        <f t="shared" si="72"/>
        <v>9548.1</v>
      </c>
      <c r="BP32" s="245">
        <f t="shared" si="60"/>
        <v>4774.05</v>
      </c>
      <c r="BQ32" s="245">
        <f t="shared" si="61"/>
        <v>2387.0250000000001</v>
      </c>
      <c r="BR32" s="237">
        <f t="shared" si="62"/>
        <v>2387.0250000000001</v>
      </c>
    </row>
    <row r="33" spans="1:70" x14ac:dyDescent="0.3">
      <c r="A33" s="521" t="s">
        <v>95</v>
      </c>
      <c r="B33" s="188">
        <v>4440</v>
      </c>
      <c r="C33" s="522" t="s">
        <v>954</v>
      </c>
      <c r="D33" s="188" t="s">
        <v>129</v>
      </c>
      <c r="E33" s="612"/>
      <c r="F33" s="612"/>
      <c r="G33" s="613"/>
      <c r="H33" s="615">
        <v>12722.3</v>
      </c>
      <c r="I33" s="616"/>
      <c r="J33" s="616"/>
      <c r="K33" s="245">
        <f t="shared" si="63"/>
        <v>12722.3</v>
      </c>
      <c r="L33" s="245">
        <f t="shared" si="36"/>
        <v>6361.15</v>
      </c>
      <c r="M33" s="245">
        <f t="shared" si="37"/>
        <v>3180.5749999999998</v>
      </c>
      <c r="N33" s="237">
        <f t="shared" si="38"/>
        <v>3180.5749999999998</v>
      </c>
      <c r="O33" s="615">
        <v>13473.3</v>
      </c>
      <c r="P33" s="616"/>
      <c r="Q33" s="616"/>
      <c r="R33" s="245">
        <f t="shared" si="64"/>
        <v>13473.3</v>
      </c>
      <c r="S33" s="245">
        <f t="shared" si="39"/>
        <v>6736.65</v>
      </c>
      <c r="T33" s="245">
        <f t="shared" si="40"/>
        <v>3368.3249999999998</v>
      </c>
      <c r="U33" s="237">
        <f t="shared" si="41"/>
        <v>3368.3249999999998</v>
      </c>
      <c r="V33" s="615">
        <v>14463.61</v>
      </c>
      <c r="W33" s="616"/>
      <c r="X33" s="616"/>
      <c r="Y33" s="245">
        <f t="shared" si="65"/>
        <v>14463.61</v>
      </c>
      <c r="Z33" s="245">
        <f t="shared" si="42"/>
        <v>7231.8050000000003</v>
      </c>
      <c r="AA33" s="245">
        <f t="shared" si="43"/>
        <v>3615.9025000000001</v>
      </c>
      <c r="AB33" s="237">
        <f t="shared" si="44"/>
        <v>3615.9025000000001</v>
      </c>
      <c r="AC33" s="615">
        <v>14487.28</v>
      </c>
      <c r="AD33" s="616"/>
      <c r="AE33" s="616"/>
      <c r="AF33" s="245">
        <f t="shared" si="66"/>
        <v>14487.28</v>
      </c>
      <c r="AG33" s="245">
        <f t="shared" si="45"/>
        <v>7243.64</v>
      </c>
      <c r="AH33" s="245">
        <f t="shared" si="46"/>
        <v>3621.82</v>
      </c>
      <c r="AI33" s="237">
        <f t="shared" si="47"/>
        <v>3621.82</v>
      </c>
      <c r="AJ33" s="615">
        <v>16500</v>
      </c>
      <c r="AK33" s="616"/>
      <c r="AL33" s="616"/>
      <c r="AM33" s="245">
        <f t="shared" si="67"/>
        <v>16500</v>
      </c>
      <c r="AN33" s="245">
        <f t="shared" si="48"/>
        <v>8250</v>
      </c>
      <c r="AO33" s="245">
        <f t="shared" si="49"/>
        <v>4125</v>
      </c>
      <c r="AP33" s="237">
        <f t="shared" si="50"/>
        <v>4125</v>
      </c>
      <c r="AQ33" s="615">
        <v>17000</v>
      </c>
      <c r="AR33" s="616"/>
      <c r="AS33" s="616"/>
      <c r="AT33" s="245">
        <f t="shared" si="68"/>
        <v>17000</v>
      </c>
      <c r="AU33" s="245">
        <f t="shared" si="51"/>
        <v>8500</v>
      </c>
      <c r="AV33" s="245">
        <f t="shared" si="52"/>
        <v>4250</v>
      </c>
      <c r="AW33" s="237">
        <f t="shared" si="53"/>
        <v>4250</v>
      </c>
      <c r="AX33" s="615">
        <v>17500</v>
      </c>
      <c r="AY33" s="616"/>
      <c r="AZ33" s="616"/>
      <c r="BA33" s="245">
        <f t="shared" si="69"/>
        <v>17500</v>
      </c>
      <c r="BB33" s="245">
        <f t="shared" si="54"/>
        <v>8750</v>
      </c>
      <c r="BC33" s="245">
        <f t="shared" si="55"/>
        <v>4375</v>
      </c>
      <c r="BD33" s="237">
        <f t="shared" si="56"/>
        <v>4375</v>
      </c>
      <c r="BE33" s="615">
        <f t="shared" si="70"/>
        <v>18025</v>
      </c>
      <c r="BF33" s="616"/>
      <c r="BG33" s="616"/>
      <c r="BH33" s="245">
        <f t="shared" si="71"/>
        <v>18025</v>
      </c>
      <c r="BI33" s="245">
        <f t="shared" si="57"/>
        <v>9012.5</v>
      </c>
      <c r="BJ33" s="245">
        <f t="shared" si="58"/>
        <v>4506.25</v>
      </c>
      <c r="BK33" s="237">
        <f t="shared" si="59"/>
        <v>4506.25</v>
      </c>
      <c r="BL33" s="615">
        <f t="shared" si="73"/>
        <v>18565.75</v>
      </c>
      <c r="BM33" s="616"/>
      <c r="BN33" s="616"/>
      <c r="BO33" s="245">
        <f t="shared" si="72"/>
        <v>18565.75</v>
      </c>
      <c r="BP33" s="245">
        <f t="shared" si="60"/>
        <v>9282.875</v>
      </c>
      <c r="BQ33" s="245">
        <f t="shared" si="61"/>
        <v>4641.4375</v>
      </c>
      <c r="BR33" s="237">
        <f t="shared" si="62"/>
        <v>4641.4375</v>
      </c>
    </row>
    <row r="34" spans="1:70" x14ac:dyDescent="0.3">
      <c r="A34" s="521" t="s">
        <v>98</v>
      </c>
      <c r="B34" s="188">
        <v>5000</v>
      </c>
      <c r="C34" s="522" t="s">
        <v>955</v>
      </c>
      <c r="D34" s="188" t="s">
        <v>129</v>
      </c>
      <c r="E34" s="612"/>
      <c r="F34" s="612"/>
      <c r="G34" s="613"/>
      <c r="H34" s="615">
        <v>89.1</v>
      </c>
      <c r="I34" s="616"/>
      <c r="J34" s="616"/>
      <c r="K34" s="245">
        <f t="shared" si="63"/>
        <v>89.1</v>
      </c>
      <c r="L34" s="245">
        <f t="shared" si="36"/>
        <v>44.55</v>
      </c>
      <c r="M34" s="245">
        <f t="shared" si="37"/>
        <v>22.274999999999999</v>
      </c>
      <c r="N34" s="237">
        <f t="shared" si="38"/>
        <v>22.274999999999999</v>
      </c>
      <c r="O34" s="615">
        <v>1227.8</v>
      </c>
      <c r="P34" s="616"/>
      <c r="Q34" s="616"/>
      <c r="R34" s="245">
        <f t="shared" si="64"/>
        <v>1227.8</v>
      </c>
      <c r="S34" s="245">
        <f t="shared" si="39"/>
        <v>613.9</v>
      </c>
      <c r="T34" s="245">
        <f t="shared" si="40"/>
        <v>306.95</v>
      </c>
      <c r="U34" s="237">
        <f t="shared" si="41"/>
        <v>306.95</v>
      </c>
      <c r="V34" s="615">
        <v>1450.31</v>
      </c>
      <c r="W34" s="616"/>
      <c r="X34" s="616"/>
      <c r="Y34" s="245">
        <f t="shared" si="65"/>
        <v>1450.31</v>
      </c>
      <c r="Z34" s="245">
        <f t="shared" si="42"/>
        <v>725.15499999999997</v>
      </c>
      <c r="AA34" s="245">
        <f t="shared" si="43"/>
        <v>362.57749999999999</v>
      </c>
      <c r="AB34" s="237">
        <f t="shared" si="44"/>
        <v>362.57749999999999</v>
      </c>
      <c r="AC34" s="615">
        <v>914.02</v>
      </c>
      <c r="AD34" s="616"/>
      <c r="AE34" s="616"/>
      <c r="AF34" s="245">
        <f t="shared" si="66"/>
        <v>914.02</v>
      </c>
      <c r="AG34" s="245">
        <f t="shared" si="45"/>
        <v>457.01</v>
      </c>
      <c r="AH34" s="245">
        <f t="shared" si="46"/>
        <v>228.505</v>
      </c>
      <c r="AI34" s="237">
        <f t="shared" si="47"/>
        <v>228.505</v>
      </c>
      <c r="AJ34" s="615">
        <v>1500</v>
      </c>
      <c r="AK34" s="616"/>
      <c r="AL34" s="616"/>
      <c r="AM34" s="245">
        <f t="shared" si="67"/>
        <v>1500</v>
      </c>
      <c r="AN34" s="245">
        <f t="shared" si="48"/>
        <v>750</v>
      </c>
      <c r="AO34" s="245">
        <f t="shared" si="49"/>
        <v>375</v>
      </c>
      <c r="AP34" s="237">
        <f t="shared" si="50"/>
        <v>375</v>
      </c>
      <c r="AQ34" s="615">
        <f t="shared" ref="AQ34:AQ44" si="74">AJ34</f>
        <v>1500</v>
      </c>
      <c r="AR34" s="616"/>
      <c r="AS34" s="616"/>
      <c r="AT34" s="245">
        <f t="shared" si="68"/>
        <v>1500</v>
      </c>
      <c r="AU34" s="245">
        <f t="shared" si="51"/>
        <v>750</v>
      </c>
      <c r="AV34" s="245">
        <f t="shared" si="52"/>
        <v>375</v>
      </c>
      <c r="AW34" s="237">
        <f t="shared" si="53"/>
        <v>375</v>
      </c>
      <c r="AX34" s="615">
        <f t="shared" ref="AX34:AX44" si="75">AQ34</f>
        <v>1500</v>
      </c>
      <c r="AY34" s="616"/>
      <c r="AZ34" s="616"/>
      <c r="BA34" s="245">
        <f t="shared" si="69"/>
        <v>1500</v>
      </c>
      <c r="BB34" s="245">
        <f t="shared" si="54"/>
        <v>750</v>
      </c>
      <c r="BC34" s="245">
        <f t="shared" si="55"/>
        <v>375</v>
      </c>
      <c r="BD34" s="237">
        <f t="shared" si="56"/>
        <v>375</v>
      </c>
      <c r="BE34" s="615">
        <f t="shared" si="70"/>
        <v>1545</v>
      </c>
      <c r="BF34" s="616"/>
      <c r="BG34" s="616"/>
      <c r="BH34" s="245">
        <f t="shared" si="71"/>
        <v>1545</v>
      </c>
      <c r="BI34" s="245">
        <f t="shared" si="57"/>
        <v>772.5</v>
      </c>
      <c r="BJ34" s="245">
        <f t="shared" si="58"/>
        <v>386.25</v>
      </c>
      <c r="BK34" s="237">
        <f t="shared" si="59"/>
        <v>386.25</v>
      </c>
      <c r="BL34" s="615">
        <f t="shared" si="73"/>
        <v>1591.3500000000001</v>
      </c>
      <c r="BM34" s="616"/>
      <c r="BN34" s="616"/>
      <c r="BO34" s="245">
        <f t="shared" si="72"/>
        <v>1591.3500000000001</v>
      </c>
      <c r="BP34" s="245">
        <f t="shared" si="60"/>
        <v>795.67500000000007</v>
      </c>
      <c r="BQ34" s="245">
        <f t="shared" si="61"/>
        <v>397.83750000000003</v>
      </c>
      <c r="BR34" s="237">
        <f t="shared" si="62"/>
        <v>397.83750000000003</v>
      </c>
    </row>
    <row r="35" spans="1:70" x14ac:dyDescent="0.3">
      <c r="A35" s="521" t="s">
        <v>101</v>
      </c>
      <c r="B35" s="188">
        <v>5100</v>
      </c>
      <c r="C35" s="522" t="s">
        <v>956</v>
      </c>
      <c r="D35" s="188" t="s">
        <v>129</v>
      </c>
      <c r="E35" s="612"/>
      <c r="F35" s="612"/>
      <c r="G35" s="613"/>
      <c r="H35" s="615">
        <v>49695.48</v>
      </c>
      <c r="I35" s="616"/>
      <c r="J35" s="616"/>
      <c r="K35" s="245">
        <f t="shared" si="63"/>
        <v>49695.48</v>
      </c>
      <c r="L35" s="245">
        <f t="shared" si="36"/>
        <v>24847.74</v>
      </c>
      <c r="M35" s="245">
        <f t="shared" si="37"/>
        <v>12423.87</v>
      </c>
      <c r="N35" s="237">
        <f t="shared" si="38"/>
        <v>12423.87</v>
      </c>
      <c r="O35" s="615">
        <v>40573.14</v>
      </c>
      <c r="P35" s="616"/>
      <c r="Q35" s="616"/>
      <c r="R35" s="245">
        <f t="shared" si="64"/>
        <v>40573.14</v>
      </c>
      <c r="S35" s="245">
        <f t="shared" si="39"/>
        <v>20286.57</v>
      </c>
      <c r="T35" s="245">
        <f t="shared" si="40"/>
        <v>10143.285</v>
      </c>
      <c r="U35" s="237">
        <f t="shared" si="41"/>
        <v>10143.285</v>
      </c>
      <c r="V35" s="615">
        <v>70916.73</v>
      </c>
      <c r="W35" s="616"/>
      <c r="X35" s="616"/>
      <c r="Y35" s="245">
        <f t="shared" si="65"/>
        <v>70916.73</v>
      </c>
      <c r="Z35" s="245">
        <f t="shared" si="42"/>
        <v>35458.364999999998</v>
      </c>
      <c r="AA35" s="245">
        <f t="shared" si="43"/>
        <v>17729.182499999999</v>
      </c>
      <c r="AB35" s="237">
        <f t="shared" si="44"/>
        <v>17729.182499999999</v>
      </c>
      <c r="AC35" s="615">
        <v>80296.100000000006</v>
      </c>
      <c r="AD35" s="616"/>
      <c r="AE35" s="616"/>
      <c r="AF35" s="245">
        <f t="shared" si="66"/>
        <v>80296.100000000006</v>
      </c>
      <c r="AG35" s="245">
        <f t="shared" si="45"/>
        <v>40148.050000000003</v>
      </c>
      <c r="AH35" s="245">
        <f t="shared" si="46"/>
        <v>20074.025000000001</v>
      </c>
      <c r="AI35" s="237">
        <f t="shared" si="47"/>
        <v>20074.025000000001</v>
      </c>
      <c r="AJ35" s="615">
        <v>70000</v>
      </c>
      <c r="AK35" s="616"/>
      <c r="AL35" s="616"/>
      <c r="AM35" s="245">
        <f t="shared" si="67"/>
        <v>70000</v>
      </c>
      <c r="AN35" s="245">
        <f t="shared" si="48"/>
        <v>35000</v>
      </c>
      <c r="AO35" s="245">
        <f t="shared" si="49"/>
        <v>17500</v>
      </c>
      <c r="AP35" s="237">
        <f t="shared" si="50"/>
        <v>17500</v>
      </c>
      <c r="AQ35" s="615">
        <v>50000</v>
      </c>
      <c r="AR35" s="616"/>
      <c r="AS35" s="616"/>
      <c r="AT35" s="245">
        <f t="shared" si="68"/>
        <v>50000</v>
      </c>
      <c r="AU35" s="245">
        <f t="shared" si="51"/>
        <v>25000</v>
      </c>
      <c r="AV35" s="245">
        <f t="shared" si="52"/>
        <v>12500</v>
      </c>
      <c r="AW35" s="237">
        <f t="shared" si="53"/>
        <v>12500</v>
      </c>
      <c r="AX35" s="615">
        <f t="shared" si="75"/>
        <v>50000</v>
      </c>
      <c r="AY35" s="616"/>
      <c r="AZ35" s="616"/>
      <c r="BA35" s="245">
        <f t="shared" si="69"/>
        <v>50000</v>
      </c>
      <c r="BB35" s="245">
        <f t="shared" si="54"/>
        <v>25000</v>
      </c>
      <c r="BC35" s="245">
        <f t="shared" si="55"/>
        <v>12500</v>
      </c>
      <c r="BD35" s="237">
        <f t="shared" si="56"/>
        <v>12500</v>
      </c>
      <c r="BE35" s="615">
        <f t="shared" si="70"/>
        <v>51500</v>
      </c>
      <c r="BF35" s="616"/>
      <c r="BG35" s="616"/>
      <c r="BH35" s="245">
        <f t="shared" si="71"/>
        <v>51500</v>
      </c>
      <c r="BI35" s="245">
        <f t="shared" si="57"/>
        <v>25750</v>
      </c>
      <c r="BJ35" s="245">
        <f t="shared" si="58"/>
        <v>12875</v>
      </c>
      <c r="BK35" s="237">
        <f t="shared" si="59"/>
        <v>12875</v>
      </c>
      <c r="BL35" s="615">
        <f t="shared" si="73"/>
        <v>53045</v>
      </c>
      <c r="BM35" s="616"/>
      <c r="BN35" s="616"/>
      <c r="BO35" s="245">
        <f t="shared" si="72"/>
        <v>53045</v>
      </c>
      <c r="BP35" s="245">
        <f t="shared" si="60"/>
        <v>26522.5</v>
      </c>
      <c r="BQ35" s="245">
        <f t="shared" si="61"/>
        <v>13261.25</v>
      </c>
      <c r="BR35" s="237">
        <f t="shared" si="62"/>
        <v>13261.25</v>
      </c>
    </row>
    <row r="36" spans="1:70" x14ac:dyDescent="0.3">
      <c r="A36" s="521" t="s">
        <v>650</v>
      </c>
      <c r="B36" s="188">
        <v>5200</v>
      </c>
      <c r="C36" s="522" t="s">
        <v>957</v>
      </c>
      <c r="D36" s="188" t="s">
        <v>129</v>
      </c>
      <c r="E36" s="612"/>
      <c r="F36" s="612"/>
      <c r="G36" s="613"/>
      <c r="H36" s="615">
        <v>751.27</v>
      </c>
      <c r="I36" s="616"/>
      <c r="J36" s="616"/>
      <c r="K36" s="245">
        <f t="shared" si="63"/>
        <v>751.27</v>
      </c>
      <c r="L36" s="245">
        <f t="shared" si="36"/>
        <v>375.63499999999999</v>
      </c>
      <c r="M36" s="245">
        <f t="shared" si="37"/>
        <v>187.8175</v>
      </c>
      <c r="N36" s="237">
        <f t="shared" si="38"/>
        <v>187.8175</v>
      </c>
      <c r="O36" s="615">
        <v>1446.59</v>
      </c>
      <c r="P36" s="616"/>
      <c r="Q36" s="616"/>
      <c r="R36" s="245">
        <f t="shared" si="64"/>
        <v>1446.59</v>
      </c>
      <c r="S36" s="245">
        <f t="shared" si="39"/>
        <v>723.29499999999996</v>
      </c>
      <c r="T36" s="245">
        <f t="shared" si="40"/>
        <v>361.64749999999998</v>
      </c>
      <c r="U36" s="237">
        <f t="shared" si="41"/>
        <v>361.64749999999998</v>
      </c>
      <c r="V36" s="615">
        <v>2554.2199999999998</v>
      </c>
      <c r="W36" s="616"/>
      <c r="X36" s="616"/>
      <c r="Y36" s="245">
        <f t="shared" si="65"/>
        <v>2554.2199999999998</v>
      </c>
      <c r="Z36" s="245">
        <f t="shared" si="42"/>
        <v>1277.1099999999999</v>
      </c>
      <c r="AA36" s="245">
        <f t="shared" si="43"/>
        <v>638.55499999999995</v>
      </c>
      <c r="AB36" s="237">
        <f t="shared" si="44"/>
        <v>638.55499999999995</v>
      </c>
      <c r="AC36" s="615">
        <v>751.38</v>
      </c>
      <c r="AD36" s="616"/>
      <c r="AE36" s="616"/>
      <c r="AF36" s="245">
        <f t="shared" si="66"/>
        <v>751.38</v>
      </c>
      <c r="AG36" s="245">
        <f t="shared" si="45"/>
        <v>375.69</v>
      </c>
      <c r="AH36" s="245">
        <f t="shared" si="46"/>
        <v>187.845</v>
      </c>
      <c r="AI36" s="237">
        <f t="shared" si="47"/>
        <v>187.845</v>
      </c>
      <c r="AJ36" s="615">
        <v>1500</v>
      </c>
      <c r="AK36" s="616"/>
      <c r="AL36" s="616"/>
      <c r="AM36" s="245">
        <f t="shared" si="67"/>
        <v>1500</v>
      </c>
      <c r="AN36" s="245">
        <f t="shared" si="48"/>
        <v>750</v>
      </c>
      <c r="AO36" s="245">
        <f t="shared" si="49"/>
        <v>375</v>
      </c>
      <c r="AP36" s="237">
        <f t="shared" si="50"/>
        <v>375</v>
      </c>
      <c r="AQ36" s="615">
        <f t="shared" si="74"/>
        <v>1500</v>
      </c>
      <c r="AR36" s="616"/>
      <c r="AS36" s="616"/>
      <c r="AT36" s="245">
        <f t="shared" si="68"/>
        <v>1500</v>
      </c>
      <c r="AU36" s="245">
        <f t="shared" si="51"/>
        <v>750</v>
      </c>
      <c r="AV36" s="245">
        <f t="shared" si="52"/>
        <v>375</v>
      </c>
      <c r="AW36" s="237">
        <f t="shared" si="53"/>
        <v>375</v>
      </c>
      <c r="AX36" s="615">
        <f t="shared" si="75"/>
        <v>1500</v>
      </c>
      <c r="AY36" s="616"/>
      <c r="AZ36" s="616"/>
      <c r="BA36" s="245">
        <f t="shared" si="69"/>
        <v>1500</v>
      </c>
      <c r="BB36" s="245">
        <f t="shared" si="54"/>
        <v>750</v>
      </c>
      <c r="BC36" s="245">
        <f t="shared" si="55"/>
        <v>375</v>
      </c>
      <c r="BD36" s="237">
        <f t="shared" si="56"/>
        <v>375</v>
      </c>
      <c r="BE36" s="615">
        <f t="shared" si="70"/>
        <v>1545</v>
      </c>
      <c r="BF36" s="616"/>
      <c r="BG36" s="616"/>
      <c r="BH36" s="245">
        <f t="shared" si="71"/>
        <v>1545</v>
      </c>
      <c r="BI36" s="245">
        <f t="shared" si="57"/>
        <v>772.5</v>
      </c>
      <c r="BJ36" s="245">
        <f t="shared" si="58"/>
        <v>386.25</v>
      </c>
      <c r="BK36" s="237">
        <f t="shared" si="59"/>
        <v>386.25</v>
      </c>
      <c r="BL36" s="615">
        <f t="shared" si="73"/>
        <v>1591.3500000000001</v>
      </c>
      <c r="BM36" s="616"/>
      <c r="BN36" s="616"/>
      <c r="BO36" s="245">
        <f t="shared" si="72"/>
        <v>1591.3500000000001</v>
      </c>
      <c r="BP36" s="245">
        <f t="shared" si="60"/>
        <v>795.67500000000007</v>
      </c>
      <c r="BQ36" s="245">
        <f t="shared" si="61"/>
        <v>397.83750000000003</v>
      </c>
      <c r="BR36" s="237">
        <f t="shared" si="62"/>
        <v>397.83750000000003</v>
      </c>
    </row>
    <row r="37" spans="1:70" x14ac:dyDescent="0.3">
      <c r="A37" s="521" t="s">
        <v>854</v>
      </c>
      <c r="B37" s="188">
        <v>5300</v>
      </c>
      <c r="C37" s="522" t="s">
        <v>958</v>
      </c>
      <c r="D37" s="188" t="s">
        <v>129</v>
      </c>
      <c r="E37" s="612"/>
      <c r="F37" s="612"/>
      <c r="G37" s="613"/>
      <c r="H37" s="615">
        <v>1749.3</v>
      </c>
      <c r="I37" s="616"/>
      <c r="J37" s="616"/>
      <c r="K37" s="245">
        <f t="shared" si="63"/>
        <v>1749.3</v>
      </c>
      <c r="L37" s="245">
        <f t="shared" si="36"/>
        <v>874.65</v>
      </c>
      <c r="M37" s="245">
        <f t="shared" si="37"/>
        <v>437.32499999999999</v>
      </c>
      <c r="N37" s="237">
        <f t="shared" si="38"/>
        <v>437.32499999999999</v>
      </c>
      <c r="O37" s="615">
        <v>3498.6</v>
      </c>
      <c r="P37" s="616"/>
      <c r="Q37" s="616"/>
      <c r="R37" s="245">
        <f t="shared" si="64"/>
        <v>3498.6</v>
      </c>
      <c r="S37" s="245">
        <f t="shared" si="39"/>
        <v>1749.3</v>
      </c>
      <c r="T37" s="245">
        <f t="shared" si="40"/>
        <v>874.65</v>
      </c>
      <c r="U37" s="237">
        <f t="shared" si="41"/>
        <v>874.65</v>
      </c>
      <c r="V37" s="615">
        <v>3498.6</v>
      </c>
      <c r="W37" s="616"/>
      <c r="X37" s="616"/>
      <c r="Y37" s="245">
        <f t="shared" si="65"/>
        <v>3498.6</v>
      </c>
      <c r="Z37" s="245">
        <f t="shared" si="42"/>
        <v>1749.3</v>
      </c>
      <c r="AA37" s="245">
        <f t="shared" si="43"/>
        <v>874.65</v>
      </c>
      <c r="AB37" s="237">
        <f t="shared" si="44"/>
        <v>874.65</v>
      </c>
      <c r="AC37" s="615">
        <v>3498.6</v>
      </c>
      <c r="AD37" s="616"/>
      <c r="AE37" s="616"/>
      <c r="AF37" s="245">
        <f t="shared" si="66"/>
        <v>3498.6</v>
      </c>
      <c r="AG37" s="245">
        <f t="shared" si="45"/>
        <v>1749.3</v>
      </c>
      <c r="AH37" s="245">
        <f t="shared" si="46"/>
        <v>874.65</v>
      </c>
      <c r="AI37" s="237">
        <f t="shared" si="47"/>
        <v>874.65</v>
      </c>
      <c r="AJ37" s="615">
        <v>5000</v>
      </c>
      <c r="AK37" s="616"/>
      <c r="AL37" s="616"/>
      <c r="AM37" s="245">
        <f t="shared" si="67"/>
        <v>5000</v>
      </c>
      <c r="AN37" s="245">
        <f t="shared" si="48"/>
        <v>2500</v>
      </c>
      <c r="AO37" s="245">
        <f t="shared" si="49"/>
        <v>1250</v>
      </c>
      <c r="AP37" s="237">
        <f t="shared" si="50"/>
        <v>1250</v>
      </c>
      <c r="AQ37" s="615">
        <f t="shared" si="74"/>
        <v>5000</v>
      </c>
      <c r="AR37" s="616"/>
      <c r="AS37" s="616"/>
      <c r="AT37" s="245">
        <f t="shared" si="68"/>
        <v>5000</v>
      </c>
      <c r="AU37" s="245">
        <f t="shared" si="51"/>
        <v>2500</v>
      </c>
      <c r="AV37" s="245">
        <f t="shared" si="52"/>
        <v>1250</v>
      </c>
      <c r="AW37" s="237">
        <f t="shared" si="53"/>
        <v>1250</v>
      </c>
      <c r="AX37" s="615">
        <f t="shared" si="75"/>
        <v>5000</v>
      </c>
      <c r="AY37" s="616"/>
      <c r="AZ37" s="616"/>
      <c r="BA37" s="245">
        <f t="shared" si="69"/>
        <v>5000</v>
      </c>
      <c r="BB37" s="245">
        <f t="shared" si="54"/>
        <v>2500</v>
      </c>
      <c r="BC37" s="245">
        <f t="shared" si="55"/>
        <v>1250</v>
      </c>
      <c r="BD37" s="237">
        <f t="shared" si="56"/>
        <v>1250</v>
      </c>
      <c r="BE37" s="615">
        <f t="shared" si="70"/>
        <v>5150</v>
      </c>
      <c r="BF37" s="616"/>
      <c r="BG37" s="616"/>
      <c r="BH37" s="245">
        <f t="shared" si="71"/>
        <v>5150</v>
      </c>
      <c r="BI37" s="245">
        <f t="shared" si="57"/>
        <v>2575</v>
      </c>
      <c r="BJ37" s="245">
        <f t="shared" si="58"/>
        <v>1287.5</v>
      </c>
      <c r="BK37" s="237">
        <f t="shared" si="59"/>
        <v>1287.5</v>
      </c>
      <c r="BL37" s="615">
        <f t="shared" si="73"/>
        <v>5304.5</v>
      </c>
      <c r="BM37" s="616"/>
      <c r="BN37" s="616"/>
      <c r="BO37" s="245">
        <f t="shared" si="72"/>
        <v>5304.5</v>
      </c>
      <c r="BP37" s="245">
        <f t="shared" si="60"/>
        <v>2652.25</v>
      </c>
      <c r="BQ37" s="245">
        <f t="shared" si="61"/>
        <v>1326.125</v>
      </c>
      <c r="BR37" s="237">
        <f t="shared" si="62"/>
        <v>1326.125</v>
      </c>
    </row>
    <row r="38" spans="1:70" x14ac:dyDescent="0.3">
      <c r="A38" s="521" t="s">
        <v>855</v>
      </c>
      <c r="B38" s="188">
        <v>5500</v>
      </c>
      <c r="C38" s="522" t="s">
        <v>519</v>
      </c>
      <c r="D38" s="188" t="s">
        <v>129</v>
      </c>
      <c r="E38" s="612"/>
      <c r="F38" s="612"/>
      <c r="G38" s="613"/>
      <c r="H38" s="615">
        <v>4557.7299999999996</v>
      </c>
      <c r="I38" s="616"/>
      <c r="J38" s="616"/>
      <c r="K38" s="245">
        <f t="shared" si="63"/>
        <v>4557.7299999999996</v>
      </c>
      <c r="L38" s="245">
        <f t="shared" si="36"/>
        <v>2278.8649999999998</v>
      </c>
      <c r="M38" s="245">
        <f t="shared" si="37"/>
        <v>1139.4324999999999</v>
      </c>
      <c r="N38" s="237">
        <f t="shared" si="38"/>
        <v>1139.4324999999999</v>
      </c>
      <c r="O38" s="615">
        <v>3502.99</v>
      </c>
      <c r="P38" s="616"/>
      <c r="Q38" s="616"/>
      <c r="R38" s="245">
        <f t="shared" si="64"/>
        <v>3502.99</v>
      </c>
      <c r="S38" s="245">
        <f t="shared" si="39"/>
        <v>1751.4949999999999</v>
      </c>
      <c r="T38" s="245">
        <f t="shared" si="40"/>
        <v>875.74749999999995</v>
      </c>
      <c r="U38" s="237">
        <f t="shared" si="41"/>
        <v>875.74749999999995</v>
      </c>
      <c r="V38" s="615">
        <v>3017.41</v>
      </c>
      <c r="W38" s="616"/>
      <c r="X38" s="616"/>
      <c r="Y38" s="245">
        <f t="shared" si="65"/>
        <v>3017.41</v>
      </c>
      <c r="Z38" s="245">
        <f t="shared" si="42"/>
        <v>1508.7049999999999</v>
      </c>
      <c r="AA38" s="245">
        <f t="shared" si="43"/>
        <v>754.35249999999996</v>
      </c>
      <c r="AB38" s="237">
        <f t="shared" si="44"/>
        <v>754.35249999999996</v>
      </c>
      <c r="AC38" s="615">
        <v>3620.98</v>
      </c>
      <c r="AD38" s="616"/>
      <c r="AE38" s="616"/>
      <c r="AF38" s="245">
        <f t="shared" si="66"/>
        <v>3620.98</v>
      </c>
      <c r="AG38" s="245">
        <f t="shared" si="45"/>
        <v>1810.49</v>
      </c>
      <c r="AH38" s="245">
        <f t="shared" si="46"/>
        <v>905.245</v>
      </c>
      <c r="AI38" s="237">
        <f t="shared" si="47"/>
        <v>905.245</v>
      </c>
      <c r="AJ38" s="615">
        <v>4000</v>
      </c>
      <c r="AK38" s="616"/>
      <c r="AL38" s="616"/>
      <c r="AM38" s="245">
        <f t="shared" si="67"/>
        <v>4000</v>
      </c>
      <c r="AN38" s="245">
        <f t="shared" si="48"/>
        <v>2000</v>
      </c>
      <c r="AO38" s="245">
        <f t="shared" si="49"/>
        <v>1000</v>
      </c>
      <c r="AP38" s="237">
        <f t="shared" si="50"/>
        <v>1000</v>
      </c>
      <c r="AQ38" s="615">
        <f t="shared" si="74"/>
        <v>4000</v>
      </c>
      <c r="AR38" s="616"/>
      <c r="AS38" s="616"/>
      <c r="AT38" s="245">
        <f t="shared" si="68"/>
        <v>4000</v>
      </c>
      <c r="AU38" s="245">
        <f t="shared" si="51"/>
        <v>2000</v>
      </c>
      <c r="AV38" s="245">
        <f t="shared" si="52"/>
        <v>1000</v>
      </c>
      <c r="AW38" s="237">
        <f t="shared" si="53"/>
        <v>1000</v>
      </c>
      <c r="AX38" s="615">
        <f t="shared" si="75"/>
        <v>4000</v>
      </c>
      <c r="AY38" s="616"/>
      <c r="AZ38" s="616"/>
      <c r="BA38" s="245">
        <f t="shared" si="69"/>
        <v>4000</v>
      </c>
      <c r="BB38" s="245">
        <f t="shared" si="54"/>
        <v>2000</v>
      </c>
      <c r="BC38" s="245">
        <f t="shared" si="55"/>
        <v>1000</v>
      </c>
      <c r="BD38" s="237">
        <f t="shared" si="56"/>
        <v>1000</v>
      </c>
      <c r="BE38" s="615">
        <f t="shared" si="70"/>
        <v>4120</v>
      </c>
      <c r="BF38" s="616"/>
      <c r="BG38" s="616"/>
      <c r="BH38" s="245">
        <f t="shared" si="71"/>
        <v>4120</v>
      </c>
      <c r="BI38" s="245">
        <f t="shared" si="57"/>
        <v>2060</v>
      </c>
      <c r="BJ38" s="245">
        <f t="shared" si="58"/>
        <v>1030</v>
      </c>
      <c r="BK38" s="237">
        <f t="shared" si="59"/>
        <v>1030</v>
      </c>
      <c r="BL38" s="615">
        <f t="shared" si="73"/>
        <v>4243.6000000000004</v>
      </c>
      <c r="BM38" s="616"/>
      <c r="BN38" s="616"/>
      <c r="BO38" s="245">
        <f t="shared" si="72"/>
        <v>4243.6000000000004</v>
      </c>
      <c r="BP38" s="245">
        <f t="shared" si="60"/>
        <v>2121.8000000000002</v>
      </c>
      <c r="BQ38" s="245">
        <f t="shared" si="61"/>
        <v>1060.9000000000001</v>
      </c>
      <c r="BR38" s="237">
        <f t="shared" si="62"/>
        <v>1060.9000000000001</v>
      </c>
    </row>
    <row r="39" spans="1:70" x14ac:dyDescent="0.3">
      <c r="A39" s="521" t="s">
        <v>856</v>
      </c>
      <c r="B39" s="188">
        <v>6300</v>
      </c>
      <c r="C39" s="522" t="s">
        <v>959</v>
      </c>
      <c r="D39" s="188" t="s">
        <v>129</v>
      </c>
      <c r="E39" s="612"/>
      <c r="F39" s="612"/>
      <c r="G39" s="613"/>
      <c r="H39" s="615">
        <v>3312.51</v>
      </c>
      <c r="I39" s="616"/>
      <c r="J39" s="616"/>
      <c r="K39" s="245">
        <f t="shared" si="63"/>
        <v>3312.51</v>
      </c>
      <c r="L39" s="245">
        <f t="shared" si="36"/>
        <v>1656.2550000000001</v>
      </c>
      <c r="M39" s="245">
        <f t="shared" si="37"/>
        <v>828.12750000000005</v>
      </c>
      <c r="N39" s="237">
        <f t="shared" si="38"/>
        <v>828.12750000000005</v>
      </c>
      <c r="O39" s="615">
        <v>5780.49</v>
      </c>
      <c r="P39" s="616"/>
      <c r="Q39" s="616"/>
      <c r="R39" s="245">
        <f t="shared" si="64"/>
        <v>5780.49</v>
      </c>
      <c r="S39" s="245">
        <f t="shared" si="39"/>
        <v>2890.2449999999999</v>
      </c>
      <c r="T39" s="245">
        <f t="shared" si="40"/>
        <v>1445.1224999999999</v>
      </c>
      <c r="U39" s="237">
        <f t="shared" si="41"/>
        <v>1445.1224999999999</v>
      </c>
      <c r="V39" s="615">
        <v>4465.75</v>
      </c>
      <c r="W39" s="616"/>
      <c r="X39" s="616"/>
      <c r="Y39" s="245">
        <f t="shared" si="65"/>
        <v>4465.75</v>
      </c>
      <c r="Z39" s="245">
        <f t="shared" si="42"/>
        <v>2232.875</v>
      </c>
      <c r="AA39" s="245">
        <f t="shared" si="43"/>
        <v>1116.4375</v>
      </c>
      <c r="AB39" s="237">
        <f t="shared" si="44"/>
        <v>1116.4375</v>
      </c>
      <c r="AC39" s="615">
        <v>4605.67</v>
      </c>
      <c r="AD39" s="616"/>
      <c r="AE39" s="616"/>
      <c r="AF39" s="245">
        <f t="shared" si="66"/>
        <v>4605.67</v>
      </c>
      <c r="AG39" s="245">
        <f t="shared" si="45"/>
        <v>2302.835</v>
      </c>
      <c r="AH39" s="245">
        <f t="shared" si="46"/>
        <v>1151.4175</v>
      </c>
      <c r="AI39" s="237">
        <f t="shared" si="47"/>
        <v>1151.4175</v>
      </c>
      <c r="AJ39" s="615">
        <v>6500</v>
      </c>
      <c r="AK39" s="616"/>
      <c r="AL39" s="616"/>
      <c r="AM39" s="245">
        <f t="shared" si="67"/>
        <v>6500</v>
      </c>
      <c r="AN39" s="245">
        <f t="shared" si="48"/>
        <v>3250</v>
      </c>
      <c r="AO39" s="245">
        <f t="shared" si="49"/>
        <v>1625</v>
      </c>
      <c r="AP39" s="237">
        <f t="shared" si="50"/>
        <v>1625</v>
      </c>
      <c r="AQ39" s="615">
        <f t="shared" si="74"/>
        <v>6500</v>
      </c>
      <c r="AR39" s="616"/>
      <c r="AS39" s="616"/>
      <c r="AT39" s="245">
        <f t="shared" si="68"/>
        <v>6500</v>
      </c>
      <c r="AU39" s="245">
        <f t="shared" si="51"/>
        <v>3250</v>
      </c>
      <c r="AV39" s="245">
        <f t="shared" si="52"/>
        <v>1625</v>
      </c>
      <c r="AW39" s="237">
        <f t="shared" si="53"/>
        <v>1625</v>
      </c>
      <c r="AX39" s="615">
        <f t="shared" si="75"/>
        <v>6500</v>
      </c>
      <c r="AY39" s="616"/>
      <c r="AZ39" s="616"/>
      <c r="BA39" s="245">
        <f t="shared" si="69"/>
        <v>6500</v>
      </c>
      <c r="BB39" s="245">
        <f t="shared" si="54"/>
        <v>3250</v>
      </c>
      <c r="BC39" s="245">
        <f t="shared" si="55"/>
        <v>1625</v>
      </c>
      <c r="BD39" s="237">
        <f t="shared" si="56"/>
        <v>1625</v>
      </c>
      <c r="BE39" s="615">
        <f t="shared" si="70"/>
        <v>6695</v>
      </c>
      <c r="BF39" s="616"/>
      <c r="BG39" s="616"/>
      <c r="BH39" s="245">
        <f t="shared" si="71"/>
        <v>6695</v>
      </c>
      <c r="BI39" s="245">
        <f t="shared" si="57"/>
        <v>3347.5</v>
      </c>
      <c r="BJ39" s="245">
        <f t="shared" si="58"/>
        <v>1673.75</v>
      </c>
      <c r="BK39" s="237">
        <f t="shared" si="59"/>
        <v>1673.75</v>
      </c>
      <c r="BL39" s="615">
        <f t="shared" si="73"/>
        <v>6895.85</v>
      </c>
      <c r="BM39" s="616"/>
      <c r="BN39" s="616"/>
      <c r="BO39" s="245">
        <f t="shared" si="72"/>
        <v>6895.85</v>
      </c>
      <c r="BP39" s="245">
        <f t="shared" si="60"/>
        <v>3447.9250000000002</v>
      </c>
      <c r="BQ39" s="245">
        <f t="shared" si="61"/>
        <v>1723.9625000000001</v>
      </c>
      <c r="BR39" s="237">
        <f t="shared" si="62"/>
        <v>1723.9625000000001</v>
      </c>
    </row>
    <row r="40" spans="1:70" x14ac:dyDescent="0.3">
      <c r="A40" s="521" t="s">
        <v>857</v>
      </c>
      <c r="B40" s="188">
        <v>6400</v>
      </c>
      <c r="C40" s="522" t="s">
        <v>960</v>
      </c>
      <c r="D40" s="188" t="s">
        <v>129</v>
      </c>
      <c r="E40" s="612"/>
      <c r="F40" s="612"/>
      <c r="G40" s="613"/>
      <c r="H40" s="615">
        <v>1129.79</v>
      </c>
      <c r="I40" s="616">
        <v>799.71</v>
      </c>
      <c r="J40" s="616"/>
      <c r="K40" s="245">
        <f t="shared" si="63"/>
        <v>330.07999999999993</v>
      </c>
      <c r="L40" s="245">
        <f t="shared" si="36"/>
        <v>165.03999999999996</v>
      </c>
      <c r="M40" s="245">
        <f t="shared" si="37"/>
        <v>82.519999999999982</v>
      </c>
      <c r="N40" s="237">
        <f t="shared" si="38"/>
        <v>82.519999999999982</v>
      </c>
      <c r="O40" s="615">
        <v>956.18</v>
      </c>
      <c r="P40" s="616">
        <v>956.18</v>
      </c>
      <c r="Q40" s="616"/>
      <c r="R40" s="245">
        <f t="shared" si="64"/>
        <v>0</v>
      </c>
      <c r="S40" s="245">
        <f t="shared" si="39"/>
        <v>0</v>
      </c>
      <c r="T40" s="245">
        <f t="shared" si="40"/>
        <v>0</v>
      </c>
      <c r="U40" s="237">
        <f t="shared" si="41"/>
        <v>0</v>
      </c>
      <c r="V40" s="615">
        <v>938.95</v>
      </c>
      <c r="W40" s="616">
        <v>251.87</v>
      </c>
      <c r="X40" s="616"/>
      <c r="Y40" s="245">
        <f t="shared" si="65"/>
        <v>687.08</v>
      </c>
      <c r="Z40" s="245">
        <f t="shared" si="42"/>
        <v>343.54</v>
      </c>
      <c r="AA40" s="245">
        <f t="shared" si="43"/>
        <v>171.77</v>
      </c>
      <c r="AB40" s="237">
        <f t="shared" si="44"/>
        <v>171.77</v>
      </c>
      <c r="AC40" s="615">
        <v>69.540000000000006</v>
      </c>
      <c r="AD40" s="616"/>
      <c r="AE40" s="616"/>
      <c r="AF40" s="245">
        <f t="shared" si="66"/>
        <v>69.540000000000006</v>
      </c>
      <c r="AG40" s="245">
        <f t="shared" si="45"/>
        <v>34.770000000000003</v>
      </c>
      <c r="AH40" s="245">
        <f t="shared" si="46"/>
        <v>17.385000000000002</v>
      </c>
      <c r="AI40" s="237">
        <f t="shared" si="47"/>
        <v>17.385000000000002</v>
      </c>
      <c r="AJ40" s="615">
        <v>1000</v>
      </c>
      <c r="AK40" s="616"/>
      <c r="AL40" s="616"/>
      <c r="AM40" s="245">
        <f t="shared" si="67"/>
        <v>1000</v>
      </c>
      <c r="AN40" s="245">
        <f t="shared" si="48"/>
        <v>500</v>
      </c>
      <c r="AO40" s="245">
        <f t="shared" si="49"/>
        <v>250</v>
      </c>
      <c r="AP40" s="237">
        <f t="shared" si="50"/>
        <v>250</v>
      </c>
      <c r="AQ40" s="615">
        <f t="shared" si="74"/>
        <v>1000</v>
      </c>
      <c r="AR40" s="616"/>
      <c r="AS40" s="616"/>
      <c r="AT40" s="245">
        <f t="shared" si="68"/>
        <v>1000</v>
      </c>
      <c r="AU40" s="245">
        <f t="shared" si="51"/>
        <v>500</v>
      </c>
      <c r="AV40" s="245">
        <f t="shared" si="52"/>
        <v>250</v>
      </c>
      <c r="AW40" s="237">
        <f t="shared" si="53"/>
        <v>250</v>
      </c>
      <c r="AX40" s="615">
        <f t="shared" si="75"/>
        <v>1000</v>
      </c>
      <c r="AY40" s="616"/>
      <c r="AZ40" s="616"/>
      <c r="BA40" s="245">
        <f t="shared" si="69"/>
        <v>1000</v>
      </c>
      <c r="BB40" s="245">
        <f t="shared" si="54"/>
        <v>500</v>
      </c>
      <c r="BC40" s="245">
        <f t="shared" si="55"/>
        <v>250</v>
      </c>
      <c r="BD40" s="237">
        <f t="shared" si="56"/>
        <v>250</v>
      </c>
      <c r="BE40" s="615">
        <f t="shared" si="70"/>
        <v>1030</v>
      </c>
      <c r="BF40" s="616"/>
      <c r="BG40" s="616"/>
      <c r="BH40" s="245">
        <f t="shared" si="71"/>
        <v>1030</v>
      </c>
      <c r="BI40" s="245">
        <f t="shared" si="57"/>
        <v>515</v>
      </c>
      <c r="BJ40" s="245">
        <f t="shared" si="58"/>
        <v>257.5</v>
      </c>
      <c r="BK40" s="237">
        <f t="shared" si="59"/>
        <v>257.5</v>
      </c>
      <c r="BL40" s="615">
        <f t="shared" si="73"/>
        <v>1060.9000000000001</v>
      </c>
      <c r="BM40" s="616"/>
      <c r="BN40" s="616"/>
      <c r="BO40" s="245">
        <f t="shared" si="72"/>
        <v>1060.9000000000001</v>
      </c>
      <c r="BP40" s="245">
        <f t="shared" si="60"/>
        <v>530.45000000000005</v>
      </c>
      <c r="BQ40" s="245">
        <f t="shared" si="61"/>
        <v>265.22500000000002</v>
      </c>
      <c r="BR40" s="237">
        <f t="shared" si="62"/>
        <v>265.22500000000002</v>
      </c>
    </row>
    <row r="41" spans="1:70" x14ac:dyDescent="0.3">
      <c r="A41" s="521" t="s">
        <v>858</v>
      </c>
      <c r="B41" s="188">
        <v>6500</v>
      </c>
      <c r="C41" s="522" t="s">
        <v>961</v>
      </c>
      <c r="D41" s="188" t="s">
        <v>129</v>
      </c>
      <c r="E41" s="612"/>
      <c r="F41" s="612"/>
      <c r="G41" s="613"/>
      <c r="H41" s="615">
        <v>3748.18</v>
      </c>
      <c r="I41" s="616"/>
      <c r="J41" s="616"/>
      <c r="K41" s="245">
        <f t="shared" si="63"/>
        <v>3748.18</v>
      </c>
      <c r="L41" s="245">
        <f t="shared" si="36"/>
        <v>1874.09</v>
      </c>
      <c r="M41" s="245">
        <f t="shared" si="37"/>
        <v>937.04499999999996</v>
      </c>
      <c r="N41" s="237">
        <f t="shared" si="38"/>
        <v>937.04499999999996</v>
      </c>
      <c r="O41" s="615">
        <v>10014.65</v>
      </c>
      <c r="P41" s="616"/>
      <c r="Q41" s="616"/>
      <c r="R41" s="245">
        <f t="shared" si="64"/>
        <v>10014.65</v>
      </c>
      <c r="S41" s="245">
        <f t="shared" si="39"/>
        <v>5007.3249999999998</v>
      </c>
      <c r="T41" s="245">
        <f t="shared" si="40"/>
        <v>2503.6624999999999</v>
      </c>
      <c r="U41" s="237">
        <f t="shared" si="41"/>
        <v>2503.6624999999999</v>
      </c>
      <c r="V41" s="615">
        <v>6578.2</v>
      </c>
      <c r="W41" s="616"/>
      <c r="X41" s="616"/>
      <c r="Y41" s="245">
        <f t="shared" si="65"/>
        <v>6578.2</v>
      </c>
      <c r="Z41" s="245">
        <f t="shared" si="42"/>
        <v>3289.1</v>
      </c>
      <c r="AA41" s="245">
        <f t="shared" si="43"/>
        <v>1644.55</v>
      </c>
      <c r="AB41" s="237">
        <f t="shared" si="44"/>
        <v>1644.55</v>
      </c>
      <c r="AC41" s="615">
        <v>6924</v>
      </c>
      <c r="AD41" s="616"/>
      <c r="AE41" s="616"/>
      <c r="AF41" s="245">
        <f t="shared" si="66"/>
        <v>6924</v>
      </c>
      <c r="AG41" s="245">
        <f t="shared" si="45"/>
        <v>3462</v>
      </c>
      <c r="AH41" s="245">
        <f t="shared" si="46"/>
        <v>1731</v>
      </c>
      <c r="AI41" s="237">
        <f t="shared" si="47"/>
        <v>1731</v>
      </c>
      <c r="AJ41" s="615">
        <v>8000</v>
      </c>
      <c r="AK41" s="616"/>
      <c r="AL41" s="616"/>
      <c r="AM41" s="245">
        <f t="shared" si="67"/>
        <v>8000</v>
      </c>
      <c r="AN41" s="245">
        <f t="shared" si="48"/>
        <v>4000</v>
      </c>
      <c r="AO41" s="245">
        <f t="shared" si="49"/>
        <v>2000</v>
      </c>
      <c r="AP41" s="237">
        <f t="shared" si="50"/>
        <v>2000</v>
      </c>
      <c r="AQ41" s="615">
        <f t="shared" si="74"/>
        <v>8000</v>
      </c>
      <c r="AR41" s="616"/>
      <c r="AS41" s="616"/>
      <c r="AT41" s="245">
        <f t="shared" si="68"/>
        <v>8000</v>
      </c>
      <c r="AU41" s="245">
        <f t="shared" si="51"/>
        <v>4000</v>
      </c>
      <c r="AV41" s="245">
        <f t="shared" si="52"/>
        <v>2000</v>
      </c>
      <c r="AW41" s="237">
        <f t="shared" si="53"/>
        <v>2000</v>
      </c>
      <c r="AX41" s="615">
        <f t="shared" si="75"/>
        <v>8000</v>
      </c>
      <c r="AY41" s="616"/>
      <c r="AZ41" s="616"/>
      <c r="BA41" s="245">
        <f t="shared" si="69"/>
        <v>8000</v>
      </c>
      <c r="BB41" s="245">
        <f t="shared" si="54"/>
        <v>4000</v>
      </c>
      <c r="BC41" s="245">
        <f t="shared" si="55"/>
        <v>2000</v>
      </c>
      <c r="BD41" s="237">
        <f t="shared" si="56"/>
        <v>2000</v>
      </c>
      <c r="BE41" s="615">
        <f t="shared" si="70"/>
        <v>8240</v>
      </c>
      <c r="BF41" s="616"/>
      <c r="BG41" s="616"/>
      <c r="BH41" s="245">
        <f t="shared" si="71"/>
        <v>8240</v>
      </c>
      <c r="BI41" s="245">
        <f t="shared" si="57"/>
        <v>4120</v>
      </c>
      <c r="BJ41" s="245">
        <f t="shared" si="58"/>
        <v>2060</v>
      </c>
      <c r="BK41" s="237">
        <f t="shared" si="59"/>
        <v>2060</v>
      </c>
      <c r="BL41" s="615">
        <f t="shared" si="73"/>
        <v>8487.2000000000007</v>
      </c>
      <c r="BM41" s="616"/>
      <c r="BN41" s="616"/>
      <c r="BO41" s="245">
        <f t="shared" si="72"/>
        <v>8487.2000000000007</v>
      </c>
      <c r="BP41" s="245">
        <f t="shared" si="60"/>
        <v>4243.6000000000004</v>
      </c>
      <c r="BQ41" s="245">
        <f t="shared" si="61"/>
        <v>2121.8000000000002</v>
      </c>
      <c r="BR41" s="237">
        <f t="shared" si="62"/>
        <v>2121.8000000000002</v>
      </c>
    </row>
    <row r="42" spans="1:70" x14ac:dyDescent="0.3">
      <c r="A42" s="521" t="s">
        <v>859</v>
      </c>
      <c r="B42" s="188">
        <v>6550</v>
      </c>
      <c r="C42" s="522" t="s">
        <v>962</v>
      </c>
      <c r="D42" s="188" t="s">
        <v>129</v>
      </c>
      <c r="E42" s="612"/>
      <c r="F42" s="612"/>
      <c r="G42" s="613"/>
      <c r="H42" s="615"/>
      <c r="I42" s="616"/>
      <c r="J42" s="616"/>
      <c r="K42" s="245">
        <f t="shared" si="63"/>
        <v>0</v>
      </c>
      <c r="L42" s="245">
        <f t="shared" si="36"/>
        <v>0</v>
      </c>
      <c r="M42" s="245">
        <f t="shared" si="37"/>
        <v>0</v>
      </c>
      <c r="N42" s="237">
        <f t="shared" si="38"/>
        <v>0</v>
      </c>
      <c r="O42" s="615"/>
      <c r="P42" s="616"/>
      <c r="Q42" s="616"/>
      <c r="R42" s="245">
        <f t="shared" si="64"/>
        <v>0</v>
      </c>
      <c r="S42" s="245">
        <f t="shared" si="39"/>
        <v>0</v>
      </c>
      <c r="T42" s="245">
        <f t="shared" si="40"/>
        <v>0</v>
      </c>
      <c r="U42" s="237">
        <f t="shared" si="41"/>
        <v>0</v>
      </c>
      <c r="V42" s="615"/>
      <c r="W42" s="616"/>
      <c r="X42" s="616"/>
      <c r="Y42" s="245">
        <f t="shared" si="65"/>
        <v>0</v>
      </c>
      <c r="Z42" s="245">
        <f t="shared" si="42"/>
        <v>0</v>
      </c>
      <c r="AA42" s="245">
        <f t="shared" si="43"/>
        <v>0</v>
      </c>
      <c r="AB42" s="237">
        <f t="shared" si="44"/>
        <v>0</v>
      </c>
      <c r="AC42" s="615"/>
      <c r="AD42" s="616"/>
      <c r="AE42" s="616"/>
      <c r="AF42" s="245">
        <f t="shared" si="66"/>
        <v>0</v>
      </c>
      <c r="AG42" s="245">
        <f t="shared" si="45"/>
        <v>0</v>
      </c>
      <c r="AH42" s="245">
        <f t="shared" si="46"/>
        <v>0</v>
      </c>
      <c r="AI42" s="237">
        <f t="shared" si="47"/>
        <v>0</v>
      </c>
      <c r="AJ42" s="615">
        <v>4000</v>
      </c>
      <c r="AK42" s="616"/>
      <c r="AL42" s="616"/>
      <c r="AM42" s="245">
        <f t="shared" si="67"/>
        <v>4000</v>
      </c>
      <c r="AN42" s="245">
        <f t="shared" si="48"/>
        <v>2000</v>
      </c>
      <c r="AO42" s="245">
        <f t="shared" si="49"/>
        <v>1000</v>
      </c>
      <c r="AP42" s="237">
        <f t="shared" si="50"/>
        <v>1000</v>
      </c>
      <c r="AQ42" s="615"/>
      <c r="AR42" s="616"/>
      <c r="AS42" s="616"/>
      <c r="AT42" s="245">
        <f t="shared" si="68"/>
        <v>0</v>
      </c>
      <c r="AU42" s="245">
        <f t="shared" si="51"/>
        <v>0</v>
      </c>
      <c r="AV42" s="245">
        <f t="shared" si="52"/>
        <v>0</v>
      </c>
      <c r="AW42" s="237">
        <f t="shared" si="53"/>
        <v>0</v>
      </c>
      <c r="AX42" s="615"/>
      <c r="AY42" s="616"/>
      <c r="AZ42" s="616"/>
      <c r="BA42" s="245">
        <f t="shared" si="69"/>
        <v>0</v>
      </c>
      <c r="BB42" s="245">
        <f t="shared" si="54"/>
        <v>0</v>
      </c>
      <c r="BC42" s="245">
        <f t="shared" si="55"/>
        <v>0</v>
      </c>
      <c r="BD42" s="237">
        <f t="shared" si="56"/>
        <v>0</v>
      </c>
      <c r="BE42" s="615">
        <f t="shared" si="70"/>
        <v>0</v>
      </c>
      <c r="BF42" s="616"/>
      <c r="BG42" s="616"/>
      <c r="BH42" s="245">
        <f t="shared" si="71"/>
        <v>0</v>
      </c>
      <c r="BI42" s="245">
        <f t="shared" si="57"/>
        <v>0</v>
      </c>
      <c r="BJ42" s="245">
        <f t="shared" si="58"/>
        <v>0</v>
      </c>
      <c r="BK42" s="237">
        <f t="shared" si="59"/>
        <v>0</v>
      </c>
      <c r="BL42" s="615">
        <f t="shared" si="73"/>
        <v>0</v>
      </c>
      <c r="BM42" s="616"/>
      <c r="BN42" s="616"/>
      <c r="BO42" s="245">
        <f t="shared" si="72"/>
        <v>0</v>
      </c>
      <c r="BP42" s="245">
        <f t="shared" si="60"/>
        <v>0</v>
      </c>
      <c r="BQ42" s="245">
        <f t="shared" si="61"/>
        <v>0</v>
      </c>
      <c r="BR42" s="237">
        <f t="shared" si="62"/>
        <v>0</v>
      </c>
    </row>
    <row r="43" spans="1:70" x14ac:dyDescent="0.3">
      <c r="A43" s="521" t="s">
        <v>860</v>
      </c>
      <c r="B43" s="188">
        <v>6790</v>
      </c>
      <c r="C43" s="522" t="s">
        <v>963</v>
      </c>
      <c r="D43" s="188"/>
      <c r="E43" s="612">
        <v>0.75</v>
      </c>
      <c r="F43" s="612">
        <v>0.2</v>
      </c>
      <c r="G43" s="613">
        <v>0.05</v>
      </c>
      <c r="H43" s="615">
        <v>56010.85</v>
      </c>
      <c r="I43" s="616"/>
      <c r="J43" s="616"/>
      <c r="K43" s="245">
        <f t="shared" si="63"/>
        <v>56010.85</v>
      </c>
      <c r="L43" s="245">
        <f t="shared" si="36"/>
        <v>42008.137499999997</v>
      </c>
      <c r="M43" s="245">
        <f t="shared" si="37"/>
        <v>11202.17</v>
      </c>
      <c r="N43" s="237">
        <f t="shared" si="38"/>
        <v>2800.5425</v>
      </c>
      <c r="O43" s="615">
        <v>55832.9</v>
      </c>
      <c r="P43" s="616"/>
      <c r="Q43" s="616"/>
      <c r="R43" s="245">
        <f t="shared" si="64"/>
        <v>55832.9</v>
      </c>
      <c r="S43" s="245">
        <f t="shared" si="39"/>
        <v>41874.675000000003</v>
      </c>
      <c r="T43" s="245">
        <f t="shared" si="40"/>
        <v>11166.580000000002</v>
      </c>
      <c r="U43" s="237">
        <f t="shared" si="41"/>
        <v>2791.6450000000004</v>
      </c>
      <c r="V43" s="615">
        <v>61803.68</v>
      </c>
      <c r="W43" s="616"/>
      <c r="X43" s="616"/>
      <c r="Y43" s="245">
        <f t="shared" si="65"/>
        <v>61803.68</v>
      </c>
      <c r="Z43" s="245">
        <f t="shared" si="42"/>
        <v>46352.76</v>
      </c>
      <c r="AA43" s="245">
        <f t="shared" si="43"/>
        <v>12360.736000000001</v>
      </c>
      <c r="AB43" s="237">
        <f t="shared" si="44"/>
        <v>3090.1840000000002</v>
      </c>
      <c r="AC43" s="615">
        <v>66836.22</v>
      </c>
      <c r="AD43" s="616"/>
      <c r="AE43" s="616"/>
      <c r="AF43" s="245">
        <f t="shared" si="66"/>
        <v>66836.22</v>
      </c>
      <c r="AG43" s="245">
        <f t="shared" si="45"/>
        <v>50127.165000000001</v>
      </c>
      <c r="AH43" s="245">
        <f t="shared" si="46"/>
        <v>13367.244000000001</v>
      </c>
      <c r="AI43" s="237">
        <f t="shared" si="47"/>
        <v>3341.8110000000001</v>
      </c>
      <c r="AJ43" s="615">
        <v>65000</v>
      </c>
      <c r="AK43" s="616"/>
      <c r="AL43" s="616"/>
      <c r="AM43" s="245">
        <f t="shared" si="67"/>
        <v>65000</v>
      </c>
      <c r="AN43" s="245">
        <f t="shared" si="48"/>
        <v>48750</v>
      </c>
      <c r="AO43" s="245">
        <f t="shared" si="49"/>
        <v>13000</v>
      </c>
      <c r="AP43" s="237">
        <f t="shared" si="50"/>
        <v>3250</v>
      </c>
      <c r="AQ43" s="615">
        <f t="shared" si="74"/>
        <v>65000</v>
      </c>
      <c r="AR43" s="616"/>
      <c r="AS43" s="616"/>
      <c r="AT43" s="245">
        <f t="shared" si="68"/>
        <v>65000</v>
      </c>
      <c r="AU43" s="245">
        <f t="shared" si="51"/>
        <v>48750</v>
      </c>
      <c r="AV43" s="245">
        <f t="shared" si="52"/>
        <v>13000</v>
      </c>
      <c r="AW43" s="237">
        <f t="shared" si="53"/>
        <v>3250</v>
      </c>
      <c r="AX43" s="615">
        <f t="shared" si="75"/>
        <v>65000</v>
      </c>
      <c r="AY43" s="616"/>
      <c r="AZ43" s="616"/>
      <c r="BA43" s="245">
        <f t="shared" si="69"/>
        <v>65000</v>
      </c>
      <c r="BB43" s="245">
        <f t="shared" si="54"/>
        <v>48750</v>
      </c>
      <c r="BC43" s="245">
        <f t="shared" si="55"/>
        <v>13000</v>
      </c>
      <c r="BD43" s="237">
        <f t="shared" si="56"/>
        <v>3250</v>
      </c>
      <c r="BE43" s="615">
        <f t="shared" si="70"/>
        <v>66950</v>
      </c>
      <c r="BF43" s="616"/>
      <c r="BG43" s="616"/>
      <c r="BH43" s="245">
        <f t="shared" si="71"/>
        <v>66950</v>
      </c>
      <c r="BI43" s="245">
        <f t="shared" si="57"/>
        <v>50212.5</v>
      </c>
      <c r="BJ43" s="245">
        <f t="shared" si="58"/>
        <v>13390</v>
      </c>
      <c r="BK43" s="237">
        <f t="shared" si="59"/>
        <v>3347.5</v>
      </c>
      <c r="BL43" s="615">
        <f t="shared" si="73"/>
        <v>68958.5</v>
      </c>
      <c r="BM43" s="616"/>
      <c r="BN43" s="616"/>
      <c r="BO43" s="245">
        <f t="shared" si="72"/>
        <v>68958.5</v>
      </c>
      <c r="BP43" s="245">
        <f t="shared" si="60"/>
        <v>51718.875</v>
      </c>
      <c r="BQ43" s="245">
        <f t="shared" si="61"/>
        <v>13791.7</v>
      </c>
      <c r="BR43" s="237">
        <f t="shared" si="62"/>
        <v>3447.9250000000002</v>
      </c>
    </row>
    <row r="44" spans="1:70" x14ac:dyDescent="0.3">
      <c r="A44" s="521" t="s">
        <v>861</v>
      </c>
      <c r="B44" s="188">
        <v>6791</v>
      </c>
      <c r="C44" s="522" t="s">
        <v>964</v>
      </c>
      <c r="D44" s="188" t="s">
        <v>129</v>
      </c>
      <c r="E44" s="612"/>
      <c r="F44" s="612"/>
      <c r="G44" s="613"/>
      <c r="H44" s="615">
        <v>2802</v>
      </c>
      <c r="I44" s="616"/>
      <c r="J44" s="616"/>
      <c r="K44" s="245">
        <f t="shared" si="63"/>
        <v>2802</v>
      </c>
      <c r="L44" s="245">
        <f t="shared" si="36"/>
        <v>1401</v>
      </c>
      <c r="M44" s="245">
        <f t="shared" si="37"/>
        <v>700.5</v>
      </c>
      <c r="N44" s="237">
        <f t="shared" si="38"/>
        <v>700.5</v>
      </c>
      <c r="O44" s="615">
        <v>3178</v>
      </c>
      <c r="P44" s="616"/>
      <c r="Q44" s="616"/>
      <c r="R44" s="245">
        <f t="shared" si="64"/>
        <v>3178</v>
      </c>
      <c r="S44" s="245">
        <f t="shared" si="39"/>
        <v>1589</v>
      </c>
      <c r="T44" s="245">
        <f t="shared" si="40"/>
        <v>794.5</v>
      </c>
      <c r="U44" s="237">
        <f t="shared" si="41"/>
        <v>794.5</v>
      </c>
      <c r="V44" s="615">
        <v>3302</v>
      </c>
      <c r="W44" s="616"/>
      <c r="X44" s="616"/>
      <c r="Y44" s="245">
        <f t="shared" si="65"/>
        <v>3302</v>
      </c>
      <c r="Z44" s="245">
        <f t="shared" si="42"/>
        <v>1651</v>
      </c>
      <c r="AA44" s="245">
        <f t="shared" si="43"/>
        <v>825.5</v>
      </c>
      <c r="AB44" s="237">
        <f t="shared" si="44"/>
        <v>825.5</v>
      </c>
      <c r="AC44" s="615">
        <v>3234</v>
      </c>
      <c r="AD44" s="616"/>
      <c r="AE44" s="616"/>
      <c r="AF44" s="245">
        <f t="shared" si="66"/>
        <v>3234</v>
      </c>
      <c r="AG44" s="245">
        <f t="shared" si="45"/>
        <v>1617</v>
      </c>
      <c r="AH44" s="245">
        <f t="shared" si="46"/>
        <v>808.5</v>
      </c>
      <c r="AI44" s="237">
        <f t="shared" si="47"/>
        <v>808.5</v>
      </c>
      <c r="AJ44" s="615">
        <v>3500</v>
      </c>
      <c r="AK44" s="616"/>
      <c r="AL44" s="616"/>
      <c r="AM44" s="245">
        <f t="shared" si="67"/>
        <v>3500</v>
      </c>
      <c r="AN44" s="245">
        <f t="shared" si="48"/>
        <v>1750</v>
      </c>
      <c r="AO44" s="245">
        <f t="shared" si="49"/>
        <v>875</v>
      </c>
      <c r="AP44" s="237">
        <f t="shared" si="50"/>
        <v>875</v>
      </c>
      <c r="AQ44" s="615">
        <f t="shared" si="74"/>
        <v>3500</v>
      </c>
      <c r="AR44" s="616"/>
      <c r="AS44" s="616"/>
      <c r="AT44" s="245">
        <f t="shared" si="68"/>
        <v>3500</v>
      </c>
      <c r="AU44" s="245">
        <f t="shared" si="51"/>
        <v>1750</v>
      </c>
      <c r="AV44" s="245">
        <f t="shared" si="52"/>
        <v>875</v>
      </c>
      <c r="AW44" s="237">
        <f t="shared" si="53"/>
        <v>875</v>
      </c>
      <c r="AX44" s="615">
        <f t="shared" si="75"/>
        <v>3500</v>
      </c>
      <c r="AY44" s="616"/>
      <c r="AZ44" s="616"/>
      <c r="BA44" s="245">
        <f t="shared" si="69"/>
        <v>3500</v>
      </c>
      <c r="BB44" s="245">
        <f t="shared" si="54"/>
        <v>1750</v>
      </c>
      <c r="BC44" s="245">
        <f t="shared" si="55"/>
        <v>875</v>
      </c>
      <c r="BD44" s="237">
        <f t="shared" si="56"/>
        <v>875</v>
      </c>
      <c r="BE44" s="615">
        <f t="shared" si="70"/>
        <v>3605</v>
      </c>
      <c r="BF44" s="616"/>
      <c r="BG44" s="616"/>
      <c r="BH44" s="245">
        <f t="shared" si="71"/>
        <v>3605</v>
      </c>
      <c r="BI44" s="245">
        <f t="shared" si="57"/>
        <v>1802.5</v>
      </c>
      <c r="BJ44" s="245">
        <f t="shared" si="58"/>
        <v>901.25</v>
      </c>
      <c r="BK44" s="237">
        <f t="shared" si="59"/>
        <v>901.25</v>
      </c>
      <c r="BL44" s="615">
        <f t="shared" si="73"/>
        <v>3713.15</v>
      </c>
      <c r="BM44" s="616"/>
      <c r="BN44" s="616"/>
      <c r="BO44" s="245">
        <f t="shared" si="72"/>
        <v>3713.15</v>
      </c>
      <c r="BP44" s="245">
        <f t="shared" si="60"/>
        <v>1856.575</v>
      </c>
      <c r="BQ44" s="245">
        <f t="shared" si="61"/>
        <v>928.28750000000002</v>
      </c>
      <c r="BR44" s="237">
        <f t="shared" si="62"/>
        <v>928.28750000000002</v>
      </c>
    </row>
    <row r="45" spans="1:70" ht="28.8" x14ac:dyDescent="0.3">
      <c r="A45" s="521" t="s">
        <v>862</v>
      </c>
      <c r="B45" s="188">
        <v>7130</v>
      </c>
      <c r="C45" s="522" t="s">
        <v>965</v>
      </c>
      <c r="D45" s="188" t="s">
        <v>126</v>
      </c>
      <c r="E45" s="612"/>
      <c r="F45" s="612"/>
      <c r="G45" s="613"/>
      <c r="H45" s="615">
        <v>558774.09</v>
      </c>
      <c r="I45" s="616"/>
      <c r="J45" s="616"/>
      <c r="K45" s="245">
        <f t="shared" si="63"/>
        <v>558774.09</v>
      </c>
      <c r="L45" s="245">
        <f t="shared" si="36"/>
        <v>558774.09</v>
      </c>
      <c r="M45" s="245">
        <f t="shared" si="37"/>
        <v>0</v>
      </c>
      <c r="N45" s="237">
        <f t="shared" si="38"/>
        <v>0</v>
      </c>
      <c r="O45" s="615">
        <v>559861.12</v>
      </c>
      <c r="P45" s="616"/>
      <c r="Q45" s="616"/>
      <c r="R45" s="245">
        <f t="shared" si="64"/>
        <v>559861.12</v>
      </c>
      <c r="S45" s="245">
        <f t="shared" si="39"/>
        <v>559861.12</v>
      </c>
      <c r="T45" s="245">
        <f t="shared" si="40"/>
        <v>0</v>
      </c>
      <c r="U45" s="237">
        <f t="shared" si="41"/>
        <v>0</v>
      </c>
      <c r="V45" s="615">
        <v>571288.56000000006</v>
      </c>
      <c r="W45" s="616"/>
      <c r="X45" s="616"/>
      <c r="Y45" s="245">
        <f t="shared" si="65"/>
        <v>571288.56000000006</v>
      </c>
      <c r="Z45" s="245">
        <f t="shared" si="42"/>
        <v>571288.56000000006</v>
      </c>
      <c r="AA45" s="245">
        <f t="shared" si="43"/>
        <v>0</v>
      </c>
      <c r="AB45" s="237">
        <f t="shared" si="44"/>
        <v>0</v>
      </c>
      <c r="AC45" s="615">
        <v>554090.80000000005</v>
      </c>
      <c r="AD45" s="616"/>
      <c r="AE45" s="616"/>
      <c r="AF45" s="245">
        <f t="shared" si="66"/>
        <v>554090.80000000005</v>
      </c>
      <c r="AG45" s="245">
        <f t="shared" si="45"/>
        <v>554090.80000000005</v>
      </c>
      <c r="AH45" s="245">
        <f t="shared" si="46"/>
        <v>0</v>
      </c>
      <c r="AI45" s="237">
        <f t="shared" si="47"/>
        <v>0</v>
      </c>
      <c r="AJ45" s="615">
        <v>552000</v>
      </c>
      <c r="AK45" s="616"/>
      <c r="AL45" s="616"/>
      <c r="AM45" s="245">
        <f t="shared" si="67"/>
        <v>552000</v>
      </c>
      <c r="AN45" s="245">
        <f t="shared" si="48"/>
        <v>552000</v>
      </c>
      <c r="AO45" s="245">
        <f t="shared" si="49"/>
        <v>0</v>
      </c>
      <c r="AP45" s="237">
        <f t="shared" si="50"/>
        <v>0</v>
      </c>
      <c r="AQ45" s="615">
        <f>ROUND(AJ45*1.05,-2)</f>
        <v>579600</v>
      </c>
      <c r="AR45" s="616"/>
      <c r="AS45" s="616"/>
      <c r="AT45" s="245">
        <f t="shared" si="68"/>
        <v>579600</v>
      </c>
      <c r="AU45" s="245">
        <f t="shared" si="51"/>
        <v>579600</v>
      </c>
      <c r="AV45" s="245">
        <f t="shared" si="52"/>
        <v>0</v>
      </c>
      <c r="AW45" s="237">
        <f t="shared" si="53"/>
        <v>0</v>
      </c>
      <c r="AX45" s="615">
        <f>ROUND(AQ45*1.05,-2)</f>
        <v>608600</v>
      </c>
      <c r="AY45" s="616"/>
      <c r="AZ45" s="616"/>
      <c r="BA45" s="245">
        <f t="shared" si="69"/>
        <v>608600</v>
      </c>
      <c r="BB45" s="245">
        <f t="shared" si="54"/>
        <v>608600</v>
      </c>
      <c r="BC45" s="245">
        <f t="shared" si="55"/>
        <v>0</v>
      </c>
      <c r="BD45" s="237">
        <f t="shared" si="56"/>
        <v>0</v>
      </c>
      <c r="BE45" s="615">
        <f t="shared" si="70"/>
        <v>626858</v>
      </c>
      <c r="BF45" s="616"/>
      <c r="BG45" s="616"/>
      <c r="BH45" s="245">
        <f t="shared" si="71"/>
        <v>626858</v>
      </c>
      <c r="BI45" s="245">
        <f t="shared" si="57"/>
        <v>626858</v>
      </c>
      <c r="BJ45" s="245">
        <f t="shared" si="58"/>
        <v>0</v>
      </c>
      <c r="BK45" s="237">
        <f t="shared" si="59"/>
        <v>0</v>
      </c>
      <c r="BL45" s="615">
        <f t="shared" si="73"/>
        <v>645663.74</v>
      </c>
      <c r="BM45" s="616"/>
      <c r="BN45" s="616"/>
      <c r="BO45" s="245">
        <f t="shared" si="72"/>
        <v>645663.74</v>
      </c>
      <c r="BP45" s="245">
        <f t="shared" si="60"/>
        <v>645663.74</v>
      </c>
      <c r="BQ45" s="245">
        <f t="shared" si="61"/>
        <v>0</v>
      </c>
      <c r="BR45" s="237">
        <f t="shared" si="62"/>
        <v>0</v>
      </c>
    </row>
    <row r="46" spans="1:70" x14ac:dyDescent="0.3">
      <c r="A46" s="521" t="s">
        <v>863</v>
      </c>
      <c r="B46" s="188"/>
      <c r="C46" s="522"/>
      <c r="D46" s="188"/>
      <c r="E46" s="612"/>
      <c r="F46" s="612"/>
      <c r="G46" s="613"/>
      <c r="H46" s="615"/>
      <c r="I46" s="616"/>
      <c r="J46" s="616"/>
      <c r="K46" s="245">
        <f t="shared" si="63"/>
        <v>0</v>
      </c>
      <c r="L46" s="245">
        <f t="shared" si="36"/>
        <v>0</v>
      </c>
      <c r="M46" s="245">
        <f t="shared" si="37"/>
        <v>0</v>
      </c>
      <c r="N46" s="237">
        <f t="shared" si="38"/>
        <v>0</v>
      </c>
      <c r="O46" s="615"/>
      <c r="P46" s="616"/>
      <c r="Q46" s="616"/>
      <c r="R46" s="245">
        <f t="shared" si="64"/>
        <v>0</v>
      </c>
      <c r="S46" s="245">
        <f t="shared" si="39"/>
        <v>0</v>
      </c>
      <c r="T46" s="245">
        <f t="shared" si="40"/>
        <v>0</v>
      </c>
      <c r="U46" s="237">
        <f t="shared" si="41"/>
        <v>0</v>
      </c>
      <c r="V46" s="615"/>
      <c r="W46" s="616"/>
      <c r="X46" s="616"/>
      <c r="Y46" s="245">
        <f t="shared" si="65"/>
        <v>0</v>
      </c>
      <c r="Z46" s="245">
        <f t="shared" si="42"/>
        <v>0</v>
      </c>
      <c r="AA46" s="245">
        <f t="shared" si="43"/>
        <v>0</v>
      </c>
      <c r="AB46" s="237">
        <f t="shared" si="44"/>
        <v>0</v>
      </c>
      <c r="AC46" s="615"/>
      <c r="AD46" s="616"/>
      <c r="AE46" s="616"/>
      <c r="AF46" s="245">
        <f t="shared" si="66"/>
        <v>0</v>
      </c>
      <c r="AG46" s="245">
        <f t="shared" si="45"/>
        <v>0</v>
      </c>
      <c r="AH46" s="245">
        <f t="shared" si="46"/>
        <v>0</v>
      </c>
      <c r="AI46" s="237">
        <f t="shared" si="47"/>
        <v>0</v>
      </c>
      <c r="AJ46" s="615"/>
      <c r="AK46" s="616"/>
      <c r="AL46" s="616"/>
      <c r="AM46" s="245">
        <f t="shared" si="67"/>
        <v>0</v>
      </c>
      <c r="AN46" s="245">
        <f t="shared" si="48"/>
        <v>0</v>
      </c>
      <c r="AO46" s="245">
        <f t="shared" si="49"/>
        <v>0</v>
      </c>
      <c r="AP46" s="237">
        <f t="shared" si="50"/>
        <v>0</v>
      </c>
      <c r="AQ46" s="615"/>
      <c r="AR46" s="616"/>
      <c r="AS46" s="616"/>
      <c r="AT46" s="245">
        <f t="shared" si="68"/>
        <v>0</v>
      </c>
      <c r="AU46" s="245">
        <f t="shared" si="51"/>
        <v>0</v>
      </c>
      <c r="AV46" s="245">
        <f t="shared" si="52"/>
        <v>0</v>
      </c>
      <c r="AW46" s="237">
        <f t="shared" si="53"/>
        <v>0</v>
      </c>
      <c r="AX46" s="615"/>
      <c r="AY46" s="616"/>
      <c r="AZ46" s="616"/>
      <c r="BA46" s="245">
        <f t="shared" si="69"/>
        <v>0</v>
      </c>
      <c r="BB46" s="245">
        <f t="shared" si="54"/>
        <v>0</v>
      </c>
      <c r="BC46" s="245">
        <f t="shared" si="55"/>
        <v>0</v>
      </c>
      <c r="BD46" s="237">
        <f t="shared" si="56"/>
        <v>0</v>
      </c>
      <c r="BE46" s="615"/>
      <c r="BF46" s="616"/>
      <c r="BG46" s="616"/>
      <c r="BH46" s="245">
        <f t="shared" si="71"/>
        <v>0</v>
      </c>
      <c r="BI46" s="245">
        <f t="shared" si="57"/>
        <v>0</v>
      </c>
      <c r="BJ46" s="245">
        <f t="shared" si="58"/>
        <v>0</v>
      </c>
      <c r="BK46" s="237">
        <f t="shared" si="59"/>
        <v>0</v>
      </c>
      <c r="BL46" s="615"/>
      <c r="BM46" s="616"/>
      <c r="BN46" s="616"/>
      <c r="BO46" s="245">
        <f t="shared" si="72"/>
        <v>0</v>
      </c>
      <c r="BP46" s="245">
        <f t="shared" si="60"/>
        <v>0</v>
      </c>
      <c r="BQ46" s="245">
        <f t="shared" si="61"/>
        <v>0</v>
      </c>
      <c r="BR46" s="237">
        <f t="shared" si="62"/>
        <v>0</v>
      </c>
    </row>
    <row r="47" spans="1:70" x14ac:dyDescent="0.3">
      <c r="A47" s="521" t="s">
        <v>864</v>
      </c>
      <c r="B47" s="188"/>
      <c r="C47" s="522"/>
      <c r="D47" s="188"/>
      <c r="E47" s="612"/>
      <c r="F47" s="612"/>
      <c r="G47" s="613"/>
      <c r="H47" s="615"/>
      <c r="I47" s="616"/>
      <c r="J47" s="616"/>
      <c r="K47" s="245">
        <f t="shared" si="63"/>
        <v>0</v>
      </c>
      <c r="L47" s="245">
        <f t="shared" si="36"/>
        <v>0</v>
      </c>
      <c r="M47" s="245">
        <f t="shared" si="37"/>
        <v>0</v>
      </c>
      <c r="N47" s="237">
        <f t="shared" si="38"/>
        <v>0</v>
      </c>
      <c r="O47" s="615"/>
      <c r="P47" s="616"/>
      <c r="Q47" s="616"/>
      <c r="R47" s="245">
        <f t="shared" si="64"/>
        <v>0</v>
      </c>
      <c r="S47" s="245">
        <f t="shared" si="39"/>
        <v>0</v>
      </c>
      <c r="T47" s="245">
        <f t="shared" si="40"/>
        <v>0</v>
      </c>
      <c r="U47" s="237">
        <f t="shared" si="41"/>
        <v>0</v>
      </c>
      <c r="V47" s="615"/>
      <c r="W47" s="616"/>
      <c r="X47" s="616"/>
      <c r="Y47" s="245">
        <f t="shared" si="65"/>
        <v>0</v>
      </c>
      <c r="Z47" s="245">
        <f t="shared" si="42"/>
        <v>0</v>
      </c>
      <c r="AA47" s="245">
        <f t="shared" si="43"/>
        <v>0</v>
      </c>
      <c r="AB47" s="237">
        <f t="shared" si="44"/>
        <v>0</v>
      </c>
      <c r="AC47" s="615"/>
      <c r="AD47" s="616"/>
      <c r="AE47" s="616"/>
      <c r="AF47" s="245">
        <f t="shared" si="66"/>
        <v>0</v>
      </c>
      <c r="AG47" s="245">
        <f t="shared" si="45"/>
        <v>0</v>
      </c>
      <c r="AH47" s="245">
        <f t="shared" si="46"/>
        <v>0</v>
      </c>
      <c r="AI47" s="237">
        <f t="shared" si="47"/>
        <v>0</v>
      </c>
      <c r="AJ47" s="615"/>
      <c r="AK47" s="616"/>
      <c r="AL47" s="616"/>
      <c r="AM47" s="245">
        <f t="shared" si="67"/>
        <v>0</v>
      </c>
      <c r="AN47" s="245">
        <f t="shared" si="48"/>
        <v>0</v>
      </c>
      <c r="AO47" s="245">
        <f t="shared" si="49"/>
        <v>0</v>
      </c>
      <c r="AP47" s="237">
        <f t="shared" si="50"/>
        <v>0</v>
      </c>
      <c r="AQ47" s="615"/>
      <c r="AR47" s="616"/>
      <c r="AS47" s="616"/>
      <c r="AT47" s="245">
        <f t="shared" si="68"/>
        <v>0</v>
      </c>
      <c r="AU47" s="245">
        <f t="shared" si="51"/>
        <v>0</v>
      </c>
      <c r="AV47" s="245">
        <f t="shared" si="52"/>
        <v>0</v>
      </c>
      <c r="AW47" s="237">
        <f t="shared" si="53"/>
        <v>0</v>
      </c>
      <c r="AX47" s="615"/>
      <c r="AY47" s="616"/>
      <c r="AZ47" s="616"/>
      <c r="BA47" s="245">
        <f t="shared" si="69"/>
        <v>0</v>
      </c>
      <c r="BB47" s="245">
        <f t="shared" si="54"/>
        <v>0</v>
      </c>
      <c r="BC47" s="245">
        <f t="shared" si="55"/>
        <v>0</v>
      </c>
      <c r="BD47" s="237">
        <f t="shared" si="56"/>
        <v>0</v>
      </c>
      <c r="BE47" s="615"/>
      <c r="BF47" s="616"/>
      <c r="BG47" s="616"/>
      <c r="BH47" s="245">
        <f t="shared" si="71"/>
        <v>0</v>
      </c>
      <c r="BI47" s="245">
        <f t="shared" si="57"/>
        <v>0</v>
      </c>
      <c r="BJ47" s="245">
        <f t="shared" si="58"/>
        <v>0</v>
      </c>
      <c r="BK47" s="237">
        <f t="shared" si="59"/>
        <v>0</v>
      </c>
      <c r="BL47" s="615"/>
      <c r="BM47" s="616"/>
      <c r="BN47" s="616"/>
      <c r="BO47" s="245">
        <f t="shared" si="72"/>
        <v>0</v>
      </c>
      <c r="BP47" s="245">
        <f t="shared" si="60"/>
        <v>0</v>
      </c>
      <c r="BQ47" s="245">
        <f t="shared" si="61"/>
        <v>0</v>
      </c>
      <c r="BR47" s="237">
        <f t="shared" si="62"/>
        <v>0</v>
      </c>
    </row>
    <row r="48" spans="1:70" x14ac:dyDescent="0.3">
      <c r="A48" s="521" t="s">
        <v>865</v>
      </c>
      <c r="B48" s="188"/>
      <c r="C48" s="522"/>
      <c r="D48" s="188"/>
      <c r="E48" s="612"/>
      <c r="F48" s="612"/>
      <c r="G48" s="613"/>
      <c r="H48" s="615"/>
      <c r="I48" s="616"/>
      <c r="J48" s="616"/>
      <c r="K48" s="245">
        <f t="shared" si="63"/>
        <v>0</v>
      </c>
      <c r="L48" s="245">
        <f t="shared" si="36"/>
        <v>0</v>
      </c>
      <c r="M48" s="245">
        <f t="shared" si="37"/>
        <v>0</v>
      </c>
      <c r="N48" s="237">
        <f t="shared" si="38"/>
        <v>0</v>
      </c>
      <c r="O48" s="615"/>
      <c r="P48" s="616"/>
      <c r="Q48" s="616"/>
      <c r="R48" s="245">
        <f t="shared" si="64"/>
        <v>0</v>
      </c>
      <c r="S48" s="245">
        <f t="shared" si="39"/>
        <v>0</v>
      </c>
      <c r="T48" s="245">
        <f t="shared" si="40"/>
        <v>0</v>
      </c>
      <c r="U48" s="237">
        <f t="shared" si="41"/>
        <v>0</v>
      </c>
      <c r="V48" s="615"/>
      <c r="W48" s="616"/>
      <c r="X48" s="616"/>
      <c r="Y48" s="245">
        <f t="shared" si="65"/>
        <v>0</v>
      </c>
      <c r="Z48" s="245">
        <f t="shared" si="42"/>
        <v>0</v>
      </c>
      <c r="AA48" s="245">
        <f t="shared" si="43"/>
        <v>0</v>
      </c>
      <c r="AB48" s="237">
        <f t="shared" si="44"/>
        <v>0</v>
      </c>
      <c r="AC48" s="615"/>
      <c r="AD48" s="616"/>
      <c r="AE48" s="616"/>
      <c r="AF48" s="245">
        <f t="shared" si="66"/>
        <v>0</v>
      </c>
      <c r="AG48" s="245">
        <f t="shared" si="45"/>
        <v>0</v>
      </c>
      <c r="AH48" s="245">
        <f t="shared" si="46"/>
        <v>0</v>
      </c>
      <c r="AI48" s="237">
        <f t="shared" si="47"/>
        <v>0</v>
      </c>
      <c r="AJ48" s="615"/>
      <c r="AK48" s="616"/>
      <c r="AL48" s="616"/>
      <c r="AM48" s="245">
        <f t="shared" si="67"/>
        <v>0</v>
      </c>
      <c r="AN48" s="245">
        <f t="shared" si="48"/>
        <v>0</v>
      </c>
      <c r="AO48" s="245">
        <f t="shared" si="49"/>
        <v>0</v>
      </c>
      <c r="AP48" s="237">
        <f t="shared" si="50"/>
        <v>0</v>
      </c>
      <c r="AQ48" s="615"/>
      <c r="AR48" s="616"/>
      <c r="AS48" s="616"/>
      <c r="AT48" s="245">
        <f t="shared" si="68"/>
        <v>0</v>
      </c>
      <c r="AU48" s="245">
        <f t="shared" si="51"/>
        <v>0</v>
      </c>
      <c r="AV48" s="245">
        <f t="shared" si="52"/>
        <v>0</v>
      </c>
      <c r="AW48" s="237">
        <f t="shared" si="53"/>
        <v>0</v>
      </c>
      <c r="AX48" s="615"/>
      <c r="AY48" s="616"/>
      <c r="AZ48" s="616"/>
      <c r="BA48" s="245">
        <f t="shared" si="69"/>
        <v>0</v>
      </c>
      <c r="BB48" s="245">
        <f t="shared" si="54"/>
        <v>0</v>
      </c>
      <c r="BC48" s="245">
        <f t="shared" si="55"/>
        <v>0</v>
      </c>
      <c r="BD48" s="237">
        <f t="shared" si="56"/>
        <v>0</v>
      </c>
      <c r="BE48" s="615"/>
      <c r="BF48" s="616"/>
      <c r="BG48" s="616"/>
      <c r="BH48" s="245">
        <f t="shared" si="71"/>
        <v>0</v>
      </c>
      <c r="BI48" s="245">
        <f t="shared" si="57"/>
        <v>0</v>
      </c>
      <c r="BJ48" s="245">
        <f t="shared" si="58"/>
        <v>0</v>
      </c>
      <c r="BK48" s="237">
        <f t="shared" si="59"/>
        <v>0</v>
      </c>
      <c r="BL48" s="615"/>
      <c r="BM48" s="616"/>
      <c r="BN48" s="616"/>
      <c r="BO48" s="245">
        <f t="shared" si="72"/>
        <v>0</v>
      </c>
      <c r="BP48" s="245">
        <f t="shared" si="60"/>
        <v>0</v>
      </c>
      <c r="BQ48" s="245">
        <f t="shared" si="61"/>
        <v>0</v>
      </c>
      <c r="BR48" s="237">
        <f t="shared" si="62"/>
        <v>0</v>
      </c>
    </row>
    <row r="49" spans="1:70" x14ac:dyDescent="0.3">
      <c r="A49" s="521" t="s">
        <v>866</v>
      </c>
      <c r="B49" s="188"/>
      <c r="C49" s="522"/>
      <c r="D49" s="188"/>
      <c r="E49" s="612"/>
      <c r="F49" s="612"/>
      <c r="G49" s="613"/>
      <c r="H49" s="615"/>
      <c r="I49" s="616"/>
      <c r="J49" s="616"/>
      <c r="K49" s="245">
        <f t="shared" si="63"/>
        <v>0</v>
      </c>
      <c r="L49" s="245">
        <f t="shared" si="36"/>
        <v>0</v>
      </c>
      <c r="M49" s="245">
        <f t="shared" si="37"/>
        <v>0</v>
      </c>
      <c r="N49" s="237">
        <f t="shared" si="38"/>
        <v>0</v>
      </c>
      <c r="O49" s="615"/>
      <c r="P49" s="616"/>
      <c r="Q49" s="616"/>
      <c r="R49" s="245">
        <f t="shared" si="64"/>
        <v>0</v>
      </c>
      <c r="S49" s="245">
        <f t="shared" si="39"/>
        <v>0</v>
      </c>
      <c r="T49" s="245">
        <f t="shared" si="40"/>
        <v>0</v>
      </c>
      <c r="U49" s="237">
        <f t="shared" si="41"/>
        <v>0</v>
      </c>
      <c r="V49" s="615"/>
      <c r="W49" s="616"/>
      <c r="X49" s="616"/>
      <c r="Y49" s="245">
        <f t="shared" si="65"/>
        <v>0</v>
      </c>
      <c r="Z49" s="245">
        <f t="shared" si="42"/>
        <v>0</v>
      </c>
      <c r="AA49" s="245">
        <f t="shared" si="43"/>
        <v>0</v>
      </c>
      <c r="AB49" s="237">
        <f t="shared" si="44"/>
        <v>0</v>
      </c>
      <c r="AC49" s="615"/>
      <c r="AD49" s="616"/>
      <c r="AE49" s="616"/>
      <c r="AF49" s="245">
        <f t="shared" si="66"/>
        <v>0</v>
      </c>
      <c r="AG49" s="245">
        <f t="shared" si="45"/>
        <v>0</v>
      </c>
      <c r="AH49" s="245">
        <f t="shared" si="46"/>
        <v>0</v>
      </c>
      <c r="AI49" s="237">
        <f t="shared" si="47"/>
        <v>0</v>
      </c>
      <c r="AJ49" s="615"/>
      <c r="AK49" s="616"/>
      <c r="AL49" s="616"/>
      <c r="AM49" s="245">
        <f t="shared" si="67"/>
        <v>0</v>
      </c>
      <c r="AN49" s="245">
        <f t="shared" si="48"/>
        <v>0</v>
      </c>
      <c r="AO49" s="245">
        <f t="shared" si="49"/>
        <v>0</v>
      </c>
      <c r="AP49" s="237">
        <f t="shared" si="50"/>
        <v>0</v>
      </c>
      <c r="AQ49" s="615"/>
      <c r="AR49" s="616"/>
      <c r="AS49" s="616"/>
      <c r="AT49" s="245">
        <f t="shared" si="68"/>
        <v>0</v>
      </c>
      <c r="AU49" s="245">
        <f t="shared" si="51"/>
        <v>0</v>
      </c>
      <c r="AV49" s="245">
        <f t="shared" si="52"/>
        <v>0</v>
      </c>
      <c r="AW49" s="237">
        <f t="shared" si="53"/>
        <v>0</v>
      </c>
      <c r="AX49" s="615"/>
      <c r="AY49" s="616"/>
      <c r="AZ49" s="616"/>
      <c r="BA49" s="245">
        <f t="shared" si="69"/>
        <v>0</v>
      </c>
      <c r="BB49" s="245">
        <f t="shared" si="54"/>
        <v>0</v>
      </c>
      <c r="BC49" s="245">
        <f t="shared" si="55"/>
        <v>0</v>
      </c>
      <c r="BD49" s="237">
        <f t="shared" si="56"/>
        <v>0</v>
      </c>
      <c r="BE49" s="615"/>
      <c r="BF49" s="616"/>
      <c r="BG49" s="616"/>
      <c r="BH49" s="245">
        <f t="shared" si="71"/>
        <v>0</v>
      </c>
      <c r="BI49" s="245">
        <f t="shared" si="57"/>
        <v>0</v>
      </c>
      <c r="BJ49" s="245">
        <f t="shared" si="58"/>
        <v>0</v>
      </c>
      <c r="BK49" s="237">
        <f t="shared" si="59"/>
        <v>0</v>
      </c>
      <c r="BL49" s="615"/>
      <c r="BM49" s="616"/>
      <c r="BN49" s="616"/>
      <c r="BO49" s="245">
        <f t="shared" si="72"/>
        <v>0</v>
      </c>
      <c r="BP49" s="245">
        <f t="shared" si="60"/>
        <v>0</v>
      </c>
      <c r="BQ49" s="245">
        <f t="shared" si="61"/>
        <v>0</v>
      </c>
      <c r="BR49" s="237">
        <f t="shared" si="62"/>
        <v>0</v>
      </c>
    </row>
    <row r="50" spans="1:70" x14ac:dyDescent="0.3">
      <c r="A50" s="521" t="s">
        <v>867</v>
      </c>
      <c r="B50" s="188"/>
      <c r="C50" s="522"/>
      <c r="D50" s="188"/>
      <c r="E50" s="612"/>
      <c r="F50" s="612"/>
      <c r="G50" s="613"/>
      <c r="H50" s="615"/>
      <c r="I50" s="616"/>
      <c r="J50" s="616"/>
      <c r="K50" s="245">
        <f t="shared" si="63"/>
        <v>0</v>
      </c>
      <c r="L50" s="245">
        <f t="shared" si="36"/>
        <v>0</v>
      </c>
      <c r="M50" s="245">
        <f t="shared" si="37"/>
        <v>0</v>
      </c>
      <c r="N50" s="237">
        <f t="shared" si="38"/>
        <v>0</v>
      </c>
      <c r="O50" s="615"/>
      <c r="P50" s="616"/>
      <c r="Q50" s="616"/>
      <c r="R50" s="245">
        <f t="shared" si="64"/>
        <v>0</v>
      </c>
      <c r="S50" s="245">
        <f t="shared" si="39"/>
        <v>0</v>
      </c>
      <c r="T50" s="245">
        <f t="shared" si="40"/>
        <v>0</v>
      </c>
      <c r="U50" s="237">
        <f t="shared" si="41"/>
        <v>0</v>
      </c>
      <c r="V50" s="615"/>
      <c r="W50" s="616"/>
      <c r="X50" s="616"/>
      <c r="Y50" s="245">
        <f t="shared" si="65"/>
        <v>0</v>
      </c>
      <c r="Z50" s="245">
        <f t="shared" si="42"/>
        <v>0</v>
      </c>
      <c r="AA50" s="245">
        <f t="shared" si="43"/>
        <v>0</v>
      </c>
      <c r="AB50" s="237">
        <f t="shared" si="44"/>
        <v>0</v>
      </c>
      <c r="AC50" s="615"/>
      <c r="AD50" s="616"/>
      <c r="AE50" s="616"/>
      <c r="AF50" s="245">
        <f t="shared" si="66"/>
        <v>0</v>
      </c>
      <c r="AG50" s="245">
        <f t="shared" si="45"/>
        <v>0</v>
      </c>
      <c r="AH50" s="245">
        <f t="shared" si="46"/>
        <v>0</v>
      </c>
      <c r="AI50" s="237">
        <f t="shared" si="47"/>
        <v>0</v>
      </c>
      <c r="AJ50" s="615"/>
      <c r="AK50" s="616"/>
      <c r="AL50" s="616"/>
      <c r="AM50" s="245">
        <f t="shared" si="67"/>
        <v>0</v>
      </c>
      <c r="AN50" s="245">
        <f t="shared" si="48"/>
        <v>0</v>
      </c>
      <c r="AO50" s="245">
        <f t="shared" si="49"/>
        <v>0</v>
      </c>
      <c r="AP50" s="237">
        <f t="shared" si="50"/>
        <v>0</v>
      </c>
      <c r="AQ50" s="615"/>
      <c r="AR50" s="616"/>
      <c r="AS50" s="616"/>
      <c r="AT50" s="245">
        <f t="shared" si="68"/>
        <v>0</v>
      </c>
      <c r="AU50" s="245">
        <f t="shared" si="51"/>
        <v>0</v>
      </c>
      <c r="AV50" s="245">
        <f t="shared" si="52"/>
        <v>0</v>
      </c>
      <c r="AW50" s="237">
        <f t="shared" si="53"/>
        <v>0</v>
      </c>
      <c r="AX50" s="615"/>
      <c r="AY50" s="616"/>
      <c r="AZ50" s="616"/>
      <c r="BA50" s="245">
        <f t="shared" si="69"/>
        <v>0</v>
      </c>
      <c r="BB50" s="245">
        <f t="shared" si="54"/>
        <v>0</v>
      </c>
      <c r="BC50" s="245">
        <f t="shared" si="55"/>
        <v>0</v>
      </c>
      <c r="BD50" s="237">
        <f t="shared" si="56"/>
        <v>0</v>
      </c>
      <c r="BE50" s="615"/>
      <c r="BF50" s="616"/>
      <c r="BG50" s="616"/>
      <c r="BH50" s="245">
        <f t="shared" si="71"/>
        <v>0</v>
      </c>
      <c r="BI50" s="245">
        <f t="shared" si="57"/>
        <v>0</v>
      </c>
      <c r="BJ50" s="245">
        <f t="shared" si="58"/>
        <v>0</v>
      </c>
      <c r="BK50" s="237">
        <f t="shared" si="59"/>
        <v>0</v>
      </c>
      <c r="BL50" s="615"/>
      <c r="BM50" s="616"/>
      <c r="BN50" s="616"/>
      <c r="BO50" s="245">
        <f t="shared" si="72"/>
        <v>0</v>
      </c>
      <c r="BP50" s="245">
        <f t="shared" si="60"/>
        <v>0</v>
      </c>
      <c r="BQ50" s="245">
        <f t="shared" si="61"/>
        <v>0</v>
      </c>
      <c r="BR50" s="237">
        <f t="shared" si="62"/>
        <v>0</v>
      </c>
    </row>
    <row r="51" spans="1:70" x14ac:dyDescent="0.3">
      <c r="A51" s="521" t="s">
        <v>868</v>
      </c>
      <c r="B51" s="188"/>
      <c r="C51" s="522"/>
      <c r="D51" s="188"/>
      <c r="E51" s="612"/>
      <c r="F51" s="612"/>
      <c r="G51" s="613"/>
      <c r="H51" s="615"/>
      <c r="I51" s="616"/>
      <c r="J51" s="616"/>
      <c r="K51" s="245">
        <f t="shared" si="63"/>
        <v>0</v>
      </c>
      <c r="L51" s="245">
        <f t="shared" si="36"/>
        <v>0</v>
      </c>
      <c r="M51" s="245">
        <f t="shared" si="37"/>
        <v>0</v>
      </c>
      <c r="N51" s="237">
        <f t="shared" si="38"/>
        <v>0</v>
      </c>
      <c r="O51" s="615"/>
      <c r="P51" s="616"/>
      <c r="Q51" s="616"/>
      <c r="R51" s="245">
        <f t="shared" si="64"/>
        <v>0</v>
      </c>
      <c r="S51" s="245">
        <f t="shared" si="39"/>
        <v>0</v>
      </c>
      <c r="T51" s="245">
        <f t="shared" si="40"/>
        <v>0</v>
      </c>
      <c r="U51" s="237">
        <f t="shared" si="41"/>
        <v>0</v>
      </c>
      <c r="V51" s="615"/>
      <c r="W51" s="616"/>
      <c r="X51" s="616"/>
      <c r="Y51" s="245">
        <f t="shared" si="65"/>
        <v>0</v>
      </c>
      <c r="Z51" s="245">
        <f t="shared" si="42"/>
        <v>0</v>
      </c>
      <c r="AA51" s="245">
        <f t="shared" si="43"/>
        <v>0</v>
      </c>
      <c r="AB51" s="237">
        <f t="shared" si="44"/>
        <v>0</v>
      </c>
      <c r="AC51" s="615"/>
      <c r="AD51" s="616"/>
      <c r="AE51" s="616"/>
      <c r="AF51" s="245">
        <f t="shared" si="66"/>
        <v>0</v>
      </c>
      <c r="AG51" s="245">
        <f t="shared" si="45"/>
        <v>0</v>
      </c>
      <c r="AH51" s="245">
        <f t="shared" si="46"/>
        <v>0</v>
      </c>
      <c r="AI51" s="237">
        <f t="shared" si="47"/>
        <v>0</v>
      </c>
      <c r="AJ51" s="615"/>
      <c r="AK51" s="616"/>
      <c r="AL51" s="616"/>
      <c r="AM51" s="245">
        <f t="shared" si="67"/>
        <v>0</v>
      </c>
      <c r="AN51" s="245">
        <f t="shared" si="48"/>
        <v>0</v>
      </c>
      <c r="AO51" s="245">
        <f t="shared" si="49"/>
        <v>0</v>
      </c>
      <c r="AP51" s="237">
        <f t="shared" si="50"/>
        <v>0</v>
      </c>
      <c r="AQ51" s="615"/>
      <c r="AR51" s="616"/>
      <c r="AS51" s="616"/>
      <c r="AT51" s="245">
        <f t="shared" si="68"/>
        <v>0</v>
      </c>
      <c r="AU51" s="245">
        <f t="shared" si="51"/>
        <v>0</v>
      </c>
      <c r="AV51" s="245">
        <f t="shared" si="52"/>
        <v>0</v>
      </c>
      <c r="AW51" s="237">
        <f t="shared" si="53"/>
        <v>0</v>
      </c>
      <c r="AX51" s="615"/>
      <c r="AY51" s="616"/>
      <c r="AZ51" s="616"/>
      <c r="BA51" s="245">
        <f t="shared" si="69"/>
        <v>0</v>
      </c>
      <c r="BB51" s="245">
        <f t="shared" si="54"/>
        <v>0</v>
      </c>
      <c r="BC51" s="245">
        <f t="shared" si="55"/>
        <v>0</v>
      </c>
      <c r="BD51" s="237">
        <f t="shared" si="56"/>
        <v>0</v>
      </c>
      <c r="BE51" s="615"/>
      <c r="BF51" s="616"/>
      <c r="BG51" s="616"/>
      <c r="BH51" s="245">
        <f t="shared" si="71"/>
        <v>0</v>
      </c>
      <c r="BI51" s="245">
        <f t="shared" si="57"/>
        <v>0</v>
      </c>
      <c r="BJ51" s="245">
        <f t="shared" si="58"/>
        <v>0</v>
      </c>
      <c r="BK51" s="237">
        <f t="shared" si="59"/>
        <v>0</v>
      </c>
      <c r="BL51" s="615"/>
      <c r="BM51" s="616"/>
      <c r="BN51" s="616"/>
      <c r="BO51" s="245">
        <f t="shared" si="72"/>
        <v>0</v>
      </c>
      <c r="BP51" s="245">
        <f t="shared" si="60"/>
        <v>0</v>
      </c>
      <c r="BQ51" s="245">
        <f t="shared" si="61"/>
        <v>0</v>
      </c>
      <c r="BR51" s="237">
        <f t="shared" si="62"/>
        <v>0</v>
      </c>
    </row>
    <row r="52" spans="1:70" x14ac:dyDescent="0.3">
      <c r="A52" s="521" t="s">
        <v>869</v>
      </c>
      <c r="B52" s="188"/>
      <c r="C52" s="522"/>
      <c r="D52" s="188"/>
      <c r="E52" s="612"/>
      <c r="F52" s="612"/>
      <c r="G52" s="613"/>
      <c r="H52" s="615"/>
      <c r="I52" s="616"/>
      <c r="J52" s="616"/>
      <c r="K52" s="245">
        <f t="shared" si="63"/>
        <v>0</v>
      </c>
      <c r="L52" s="245">
        <f t="shared" si="36"/>
        <v>0</v>
      </c>
      <c r="M52" s="245">
        <f t="shared" si="37"/>
        <v>0</v>
      </c>
      <c r="N52" s="237">
        <f t="shared" si="38"/>
        <v>0</v>
      </c>
      <c r="O52" s="615"/>
      <c r="P52" s="616"/>
      <c r="Q52" s="616"/>
      <c r="R52" s="245">
        <f t="shared" si="64"/>
        <v>0</v>
      </c>
      <c r="S52" s="245">
        <f t="shared" si="39"/>
        <v>0</v>
      </c>
      <c r="T52" s="245">
        <f t="shared" si="40"/>
        <v>0</v>
      </c>
      <c r="U52" s="237">
        <f t="shared" si="41"/>
        <v>0</v>
      </c>
      <c r="V52" s="615"/>
      <c r="W52" s="616"/>
      <c r="X52" s="616"/>
      <c r="Y52" s="245">
        <f t="shared" si="65"/>
        <v>0</v>
      </c>
      <c r="Z52" s="245">
        <f t="shared" si="42"/>
        <v>0</v>
      </c>
      <c r="AA52" s="245">
        <f t="shared" si="43"/>
        <v>0</v>
      </c>
      <c r="AB52" s="237">
        <f t="shared" si="44"/>
        <v>0</v>
      </c>
      <c r="AC52" s="615"/>
      <c r="AD52" s="616"/>
      <c r="AE52" s="616"/>
      <c r="AF52" s="245">
        <f t="shared" si="66"/>
        <v>0</v>
      </c>
      <c r="AG52" s="245">
        <f t="shared" si="45"/>
        <v>0</v>
      </c>
      <c r="AH52" s="245">
        <f t="shared" si="46"/>
        <v>0</v>
      </c>
      <c r="AI52" s="237">
        <f t="shared" si="47"/>
        <v>0</v>
      </c>
      <c r="AJ52" s="615"/>
      <c r="AK52" s="616"/>
      <c r="AL52" s="616"/>
      <c r="AM52" s="245">
        <f t="shared" si="67"/>
        <v>0</v>
      </c>
      <c r="AN52" s="245">
        <f t="shared" si="48"/>
        <v>0</v>
      </c>
      <c r="AO52" s="245">
        <f t="shared" si="49"/>
        <v>0</v>
      </c>
      <c r="AP52" s="237">
        <f t="shared" si="50"/>
        <v>0</v>
      </c>
      <c r="AQ52" s="615"/>
      <c r="AR52" s="616"/>
      <c r="AS52" s="616"/>
      <c r="AT52" s="245">
        <f t="shared" si="68"/>
        <v>0</v>
      </c>
      <c r="AU52" s="245">
        <f t="shared" si="51"/>
        <v>0</v>
      </c>
      <c r="AV52" s="245">
        <f t="shared" si="52"/>
        <v>0</v>
      </c>
      <c r="AW52" s="237">
        <f t="shared" si="53"/>
        <v>0</v>
      </c>
      <c r="AX52" s="615"/>
      <c r="AY52" s="616"/>
      <c r="AZ52" s="616"/>
      <c r="BA52" s="245">
        <f t="shared" si="69"/>
        <v>0</v>
      </c>
      <c r="BB52" s="245">
        <f t="shared" si="54"/>
        <v>0</v>
      </c>
      <c r="BC52" s="245">
        <f t="shared" si="55"/>
        <v>0</v>
      </c>
      <c r="BD52" s="237">
        <f t="shared" si="56"/>
        <v>0</v>
      </c>
      <c r="BE52" s="615"/>
      <c r="BF52" s="616"/>
      <c r="BG52" s="616"/>
      <c r="BH52" s="245">
        <f t="shared" si="71"/>
        <v>0</v>
      </c>
      <c r="BI52" s="245">
        <f t="shared" si="57"/>
        <v>0</v>
      </c>
      <c r="BJ52" s="245">
        <f t="shared" si="58"/>
        <v>0</v>
      </c>
      <c r="BK52" s="237">
        <f t="shared" si="59"/>
        <v>0</v>
      </c>
      <c r="BL52" s="615"/>
      <c r="BM52" s="616"/>
      <c r="BN52" s="616"/>
      <c r="BO52" s="245">
        <f t="shared" si="72"/>
        <v>0</v>
      </c>
      <c r="BP52" s="245">
        <f t="shared" si="60"/>
        <v>0</v>
      </c>
      <c r="BQ52" s="245">
        <f t="shared" si="61"/>
        <v>0</v>
      </c>
      <c r="BR52" s="237">
        <f t="shared" si="62"/>
        <v>0</v>
      </c>
    </row>
    <row r="53" spans="1:70" x14ac:dyDescent="0.3">
      <c r="A53" s="521" t="s">
        <v>870</v>
      </c>
      <c r="B53" s="188"/>
      <c r="C53" s="522"/>
      <c r="D53" s="188"/>
      <c r="E53" s="612"/>
      <c r="F53" s="612"/>
      <c r="G53" s="613"/>
      <c r="H53" s="615"/>
      <c r="I53" s="616"/>
      <c r="J53" s="616"/>
      <c r="K53" s="245">
        <f t="shared" si="63"/>
        <v>0</v>
      </c>
      <c r="L53" s="245">
        <f t="shared" si="36"/>
        <v>0</v>
      </c>
      <c r="M53" s="245">
        <f t="shared" si="37"/>
        <v>0</v>
      </c>
      <c r="N53" s="237">
        <f t="shared" si="38"/>
        <v>0</v>
      </c>
      <c r="O53" s="615"/>
      <c r="P53" s="616"/>
      <c r="Q53" s="616"/>
      <c r="R53" s="245">
        <f t="shared" si="64"/>
        <v>0</v>
      </c>
      <c r="S53" s="245">
        <f t="shared" si="39"/>
        <v>0</v>
      </c>
      <c r="T53" s="245">
        <f t="shared" si="40"/>
        <v>0</v>
      </c>
      <c r="U53" s="237">
        <f t="shared" si="41"/>
        <v>0</v>
      </c>
      <c r="V53" s="615"/>
      <c r="W53" s="616"/>
      <c r="X53" s="616"/>
      <c r="Y53" s="245">
        <f t="shared" si="65"/>
        <v>0</v>
      </c>
      <c r="Z53" s="245">
        <f t="shared" si="42"/>
        <v>0</v>
      </c>
      <c r="AA53" s="245">
        <f t="shared" si="43"/>
        <v>0</v>
      </c>
      <c r="AB53" s="237">
        <f t="shared" si="44"/>
        <v>0</v>
      </c>
      <c r="AC53" s="615"/>
      <c r="AD53" s="616"/>
      <c r="AE53" s="616"/>
      <c r="AF53" s="245">
        <f t="shared" si="66"/>
        <v>0</v>
      </c>
      <c r="AG53" s="245">
        <f t="shared" si="45"/>
        <v>0</v>
      </c>
      <c r="AH53" s="245">
        <f t="shared" si="46"/>
        <v>0</v>
      </c>
      <c r="AI53" s="237">
        <f t="shared" si="47"/>
        <v>0</v>
      </c>
      <c r="AJ53" s="615"/>
      <c r="AK53" s="616"/>
      <c r="AL53" s="616"/>
      <c r="AM53" s="245">
        <f t="shared" si="67"/>
        <v>0</v>
      </c>
      <c r="AN53" s="245">
        <f t="shared" si="48"/>
        <v>0</v>
      </c>
      <c r="AO53" s="245">
        <f t="shared" si="49"/>
        <v>0</v>
      </c>
      <c r="AP53" s="237">
        <f t="shared" si="50"/>
        <v>0</v>
      </c>
      <c r="AQ53" s="615"/>
      <c r="AR53" s="616"/>
      <c r="AS53" s="616"/>
      <c r="AT53" s="245">
        <f t="shared" si="68"/>
        <v>0</v>
      </c>
      <c r="AU53" s="245">
        <f t="shared" si="51"/>
        <v>0</v>
      </c>
      <c r="AV53" s="245">
        <f t="shared" si="52"/>
        <v>0</v>
      </c>
      <c r="AW53" s="237">
        <f t="shared" si="53"/>
        <v>0</v>
      </c>
      <c r="AX53" s="615"/>
      <c r="AY53" s="616"/>
      <c r="AZ53" s="616"/>
      <c r="BA53" s="245">
        <f t="shared" si="69"/>
        <v>0</v>
      </c>
      <c r="BB53" s="245">
        <f t="shared" si="54"/>
        <v>0</v>
      </c>
      <c r="BC53" s="245">
        <f t="shared" si="55"/>
        <v>0</v>
      </c>
      <c r="BD53" s="237">
        <f t="shared" si="56"/>
        <v>0</v>
      </c>
      <c r="BE53" s="615"/>
      <c r="BF53" s="616"/>
      <c r="BG53" s="616"/>
      <c r="BH53" s="245">
        <f t="shared" si="71"/>
        <v>0</v>
      </c>
      <c r="BI53" s="245">
        <f t="shared" si="57"/>
        <v>0</v>
      </c>
      <c r="BJ53" s="245">
        <f t="shared" si="58"/>
        <v>0</v>
      </c>
      <c r="BK53" s="237">
        <f t="shared" si="59"/>
        <v>0</v>
      </c>
      <c r="BL53" s="615"/>
      <c r="BM53" s="616"/>
      <c r="BN53" s="616"/>
      <c r="BO53" s="245">
        <f t="shared" si="72"/>
        <v>0</v>
      </c>
      <c r="BP53" s="245">
        <f t="shared" si="60"/>
        <v>0</v>
      </c>
      <c r="BQ53" s="245">
        <f t="shared" si="61"/>
        <v>0</v>
      </c>
      <c r="BR53" s="237">
        <f t="shared" si="62"/>
        <v>0</v>
      </c>
    </row>
    <row r="54" spans="1:70" x14ac:dyDescent="0.3">
      <c r="A54" s="521" t="s">
        <v>871</v>
      </c>
      <c r="B54" s="188"/>
      <c r="C54" s="522"/>
      <c r="D54" s="188"/>
      <c r="E54" s="612"/>
      <c r="F54" s="612"/>
      <c r="G54" s="613"/>
      <c r="H54" s="615"/>
      <c r="I54" s="616"/>
      <c r="J54" s="616"/>
      <c r="K54" s="245">
        <f t="shared" si="63"/>
        <v>0</v>
      </c>
      <c r="L54" s="245">
        <f t="shared" si="36"/>
        <v>0</v>
      </c>
      <c r="M54" s="245">
        <f t="shared" si="37"/>
        <v>0</v>
      </c>
      <c r="N54" s="237">
        <f t="shared" si="38"/>
        <v>0</v>
      </c>
      <c r="O54" s="615"/>
      <c r="P54" s="616"/>
      <c r="Q54" s="616"/>
      <c r="R54" s="245">
        <f t="shared" si="64"/>
        <v>0</v>
      </c>
      <c r="S54" s="245">
        <f t="shared" si="39"/>
        <v>0</v>
      </c>
      <c r="T54" s="245">
        <f t="shared" si="40"/>
        <v>0</v>
      </c>
      <c r="U54" s="237">
        <f t="shared" si="41"/>
        <v>0</v>
      </c>
      <c r="V54" s="618"/>
      <c r="W54" s="619"/>
      <c r="X54" s="619"/>
      <c r="Y54" s="245">
        <f t="shared" si="65"/>
        <v>0</v>
      </c>
      <c r="Z54" s="245">
        <f t="shared" si="42"/>
        <v>0</v>
      </c>
      <c r="AA54" s="245">
        <f t="shared" si="43"/>
        <v>0</v>
      </c>
      <c r="AB54" s="237">
        <f t="shared" si="44"/>
        <v>0</v>
      </c>
      <c r="AC54" s="615"/>
      <c r="AD54" s="616"/>
      <c r="AE54" s="616"/>
      <c r="AF54" s="245">
        <f t="shared" si="66"/>
        <v>0</v>
      </c>
      <c r="AG54" s="245">
        <f t="shared" si="45"/>
        <v>0</v>
      </c>
      <c r="AH54" s="245">
        <f t="shared" si="46"/>
        <v>0</v>
      </c>
      <c r="AI54" s="237">
        <f t="shared" si="47"/>
        <v>0</v>
      </c>
      <c r="AJ54" s="615"/>
      <c r="AK54" s="616"/>
      <c r="AL54" s="616"/>
      <c r="AM54" s="245">
        <f t="shared" si="67"/>
        <v>0</v>
      </c>
      <c r="AN54" s="245">
        <f t="shared" si="48"/>
        <v>0</v>
      </c>
      <c r="AO54" s="245">
        <f t="shared" si="49"/>
        <v>0</v>
      </c>
      <c r="AP54" s="237">
        <f t="shared" si="50"/>
        <v>0</v>
      </c>
      <c r="AQ54" s="615"/>
      <c r="AR54" s="616"/>
      <c r="AS54" s="616"/>
      <c r="AT54" s="245">
        <f t="shared" si="68"/>
        <v>0</v>
      </c>
      <c r="AU54" s="245">
        <f t="shared" si="51"/>
        <v>0</v>
      </c>
      <c r="AV54" s="245">
        <f t="shared" si="52"/>
        <v>0</v>
      </c>
      <c r="AW54" s="237">
        <f t="shared" si="53"/>
        <v>0</v>
      </c>
      <c r="AX54" s="615"/>
      <c r="AY54" s="616"/>
      <c r="AZ54" s="616"/>
      <c r="BA54" s="245">
        <f t="shared" si="69"/>
        <v>0</v>
      </c>
      <c r="BB54" s="245">
        <f t="shared" si="54"/>
        <v>0</v>
      </c>
      <c r="BC54" s="245">
        <f t="shared" si="55"/>
        <v>0</v>
      </c>
      <c r="BD54" s="237">
        <f t="shared" si="56"/>
        <v>0</v>
      </c>
      <c r="BE54" s="615"/>
      <c r="BF54" s="616"/>
      <c r="BG54" s="616"/>
      <c r="BH54" s="245">
        <f t="shared" si="71"/>
        <v>0</v>
      </c>
      <c r="BI54" s="245">
        <f t="shared" si="57"/>
        <v>0</v>
      </c>
      <c r="BJ54" s="245">
        <f t="shared" si="58"/>
        <v>0</v>
      </c>
      <c r="BK54" s="237">
        <f t="shared" si="59"/>
        <v>0</v>
      </c>
      <c r="BL54" s="615"/>
      <c r="BM54" s="616"/>
      <c r="BN54" s="616"/>
      <c r="BO54" s="245">
        <f t="shared" si="72"/>
        <v>0</v>
      </c>
      <c r="BP54" s="245">
        <f t="shared" si="60"/>
        <v>0</v>
      </c>
      <c r="BQ54" s="245">
        <f t="shared" si="61"/>
        <v>0</v>
      </c>
      <c r="BR54" s="237">
        <f t="shared" si="62"/>
        <v>0</v>
      </c>
    </row>
    <row r="55" spans="1:70" x14ac:dyDescent="0.3">
      <c r="A55" s="521" t="s">
        <v>872</v>
      </c>
      <c r="B55" s="188"/>
      <c r="C55" s="522"/>
      <c r="D55" s="188"/>
      <c r="E55" s="612"/>
      <c r="F55" s="612"/>
      <c r="G55" s="613"/>
      <c r="H55" s="615"/>
      <c r="I55" s="616"/>
      <c r="J55" s="616"/>
      <c r="K55" s="245">
        <f t="shared" si="63"/>
        <v>0</v>
      </c>
      <c r="L55" s="245">
        <f t="shared" si="36"/>
        <v>0</v>
      </c>
      <c r="M55" s="245">
        <f t="shared" si="37"/>
        <v>0</v>
      </c>
      <c r="N55" s="237">
        <f t="shared" si="38"/>
        <v>0</v>
      </c>
      <c r="O55" s="615"/>
      <c r="P55" s="616"/>
      <c r="Q55" s="616"/>
      <c r="R55" s="245">
        <f t="shared" si="64"/>
        <v>0</v>
      </c>
      <c r="S55" s="245">
        <f t="shared" si="39"/>
        <v>0</v>
      </c>
      <c r="T55" s="245">
        <f t="shared" si="40"/>
        <v>0</v>
      </c>
      <c r="U55" s="237">
        <f t="shared" si="41"/>
        <v>0</v>
      </c>
      <c r="V55" s="615"/>
      <c r="W55" s="616"/>
      <c r="X55" s="616"/>
      <c r="Y55" s="245">
        <f t="shared" si="65"/>
        <v>0</v>
      </c>
      <c r="Z55" s="245">
        <f t="shared" si="42"/>
        <v>0</v>
      </c>
      <c r="AA55" s="245">
        <f t="shared" si="43"/>
        <v>0</v>
      </c>
      <c r="AB55" s="237">
        <f t="shared" si="44"/>
        <v>0</v>
      </c>
      <c r="AC55" s="615"/>
      <c r="AD55" s="616"/>
      <c r="AE55" s="616"/>
      <c r="AF55" s="245">
        <f t="shared" si="66"/>
        <v>0</v>
      </c>
      <c r="AG55" s="245">
        <f t="shared" si="45"/>
        <v>0</v>
      </c>
      <c r="AH55" s="245">
        <f t="shared" si="46"/>
        <v>0</v>
      </c>
      <c r="AI55" s="237">
        <f t="shared" si="47"/>
        <v>0</v>
      </c>
      <c r="AJ55" s="615"/>
      <c r="AK55" s="616"/>
      <c r="AL55" s="616"/>
      <c r="AM55" s="245">
        <f t="shared" si="67"/>
        <v>0</v>
      </c>
      <c r="AN55" s="245">
        <f t="shared" si="48"/>
        <v>0</v>
      </c>
      <c r="AO55" s="245">
        <f t="shared" si="49"/>
        <v>0</v>
      </c>
      <c r="AP55" s="237">
        <f t="shared" si="50"/>
        <v>0</v>
      </c>
      <c r="AQ55" s="615"/>
      <c r="AR55" s="616"/>
      <c r="AS55" s="616"/>
      <c r="AT55" s="245">
        <f t="shared" si="68"/>
        <v>0</v>
      </c>
      <c r="AU55" s="245">
        <f t="shared" si="51"/>
        <v>0</v>
      </c>
      <c r="AV55" s="245">
        <f t="shared" si="52"/>
        <v>0</v>
      </c>
      <c r="AW55" s="237">
        <f t="shared" si="53"/>
        <v>0</v>
      </c>
      <c r="AX55" s="615"/>
      <c r="AY55" s="616"/>
      <c r="AZ55" s="616"/>
      <c r="BA55" s="245">
        <f t="shared" si="69"/>
        <v>0</v>
      </c>
      <c r="BB55" s="245">
        <f t="shared" si="54"/>
        <v>0</v>
      </c>
      <c r="BC55" s="245">
        <f t="shared" si="55"/>
        <v>0</v>
      </c>
      <c r="BD55" s="237">
        <f t="shared" si="56"/>
        <v>0</v>
      </c>
      <c r="BE55" s="615"/>
      <c r="BF55" s="616"/>
      <c r="BG55" s="616"/>
      <c r="BH55" s="245">
        <f t="shared" si="71"/>
        <v>0</v>
      </c>
      <c r="BI55" s="245">
        <f t="shared" si="57"/>
        <v>0</v>
      </c>
      <c r="BJ55" s="245">
        <f t="shared" si="58"/>
        <v>0</v>
      </c>
      <c r="BK55" s="237">
        <f t="shared" si="59"/>
        <v>0</v>
      </c>
      <c r="BL55" s="615"/>
      <c r="BM55" s="616"/>
      <c r="BN55" s="616"/>
      <c r="BO55" s="245">
        <f t="shared" si="72"/>
        <v>0</v>
      </c>
      <c r="BP55" s="245">
        <f t="shared" si="60"/>
        <v>0</v>
      </c>
      <c r="BQ55" s="245">
        <f t="shared" si="61"/>
        <v>0</v>
      </c>
      <c r="BR55" s="237">
        <f t="shared" si="62"/>
        <v>0</v>
      </c>
    </row>
    <row r="56" spans="1:70" x14ac:dyDescent="0.3">
      <c r="A56" s="521" t="s">
        <v>873</v>
      </c>
      <c r="B56" s="188"/>
      <c r="C56" s="522"/>
      <c r="D56" s="188"/>
      <c r="E56" s="612"/>
      <c r="F56" s="612"/>
      <c r="G56" s="613"/>
      <c r="H56" s="615"/>
      <c r="I56" s="616"/>
      <c r="J56" s="616"/>
      <c r="K56" s="245">
        <f t="shared" si="63"/>
        <v>0</v>
      </c>
      <c r="L56" s="245">
        <f t="shared" si="36"/>
        <v>0</v>
      </c>
      <c r="M56" s="245">
        <f t="shared" si="37"/>
        <v>0</v>
      </c>
      <c r="N56" s="237">
        <f t="shared" si="38"/>
        <v>0</v>
      </c>
      <c r="O56" s="615"/>
      <c r="P56" s="616"/>
      <c r="Q56" s="616"/>
      <c r="R56" s="245">
        <f t="shared" si="64"/>
        <v>0</v>
      </c>
      <c r="S56" s="245">
        <f t="shared" si="39"/>
        <v>0</v>
      </c>
      <c r="T56" s="245">
        <f t="shared" si="40"/>
        <v>0</v>
      </c>
      <c r="U56" s="237">
        <f t="shared" si="41"/>
        <v>0</v>
      </c>
      <c r="V56" s="615"/>
      <c r="W56" s="616"/>
      <c r="X56" s="616"/>
      <c r="Y56" s="245">
        <f t="shared" si="65"/>
        <v>0</v>
      </c>
      <c r="Z56" s="245">
        <f t="shared" si="42"/>
        <v>0</v>
      </c>
      <c r="AA56" s="245">
        <f t="shared" si="43"/>
        <v>0</v>
      </c>
      <c r="AB56" s="237">
        <f t="shared" si="44"/>
        <v>0</v>
      </c>
      <c r="AC56" s="615"/>
      <c r="AD56" s="616"/>
      <c r="AE56" s="616"/>
      <c r="AF56" s="245">
        <f t="shared" si="66"/>
        <v>0</v>
      </c>
      <c r="AG56" s="245">
        <f t="shared" si="45"/>
        <v>0</v>
      </c>
      <c r="AH56" s="245">
        <f t="shared" si="46"/>
        <v>0</v>
      </c>
      <c r="AI56" s="237">
        <f t="shared" si="47"/>
        <v>0</v>
      </c>
      <c r="AJ56" s="615"/>
      <c r="AK56" s="616"/>
      <c r="AL56" s="616"/>
      <c r="AM56" s="245">
        <f t="shared" si="67"/>
        <v>0</v>
      </c>
      <c r="AN56" s="245">
        <f t="shared" si="48"/>
        <v>0</v>
      </c>
      <c r="AO56" s="245">
        <f t="shared" si="49"/>
        <v>0</v>
      </c>
      <c r="AP56" s="237">
        <f t="shared" si="50"/>
        <v>0</v>
      </c>
      <c r="AQ56" s="615"/>
      <c r="AR56" s="616"/>
      <c r="AS56" s="616"/>
      <c r="AT56" s="245">
        <f t="shared" si="68"/>
        <v>0</v>
      </c>
      <c r="AU56" s="245">
        <f t="shared" si="51"/>
        <v>0</v>
      </c>
      <c r="AV56" s="245">
        <f t="shared" si="52"/>
        <v>0</v>
      </c>
      <c r="AW56" s="237">
        <f t="shared" si="53"/>
        <v>0</v>
      </c>
      <c r="AX56" s="615"/>
      <c r="AY56" s="616"/>
      <c r="AZ56" s="616"/>
      <c r="BA56" s="245">
        <f t="shared" si="69"/>
        <v>0</v>
      </c>
      <c r="BB56" s="245">
        <f t="shared" si="54"/>
        <v>0</v>
      </c>
      <c r="BC56" s="245">
        <f t="shared" si="55"/>
        <v>0</v>
      </c>
      <c r="BD56" s="237">
        <f t="shared" si="56"/>
        <v>0</v>
      </c>
      <c r="BE56" s="615"/>
      <c r="BF56" s="616"/>
      <c r="BG56" s="616"/>
      <c r="BH56" s="245">
        <f t="shared" si="71"/>
        <v>0</v>
      </c>
      <c r="BI56" s="245">
        <f t="shared" si="57"/>
        <v>0</v>
      </c>
      <c r="BJ56" s="245">
        <f t="shared" si="58"/>
        <v>0</v>
      </c>
      <c r="BK56" s="237">
        <f t="shared" si="59"/>
        <v>0</v>
      </c>
      <c r="BL56" s="615"/>
      <c r="BM56" s="616"/>
      <c r="BN56" s="616"/>
      <c r="BO56" s="245">
        <f t="shared" si="72"/>
        <v>0</v>
      </c>
      <c r="BP56" s="245">
        <f t="shared" si="60"/>
        <v>0</v>
      </c>
      <c r="BQ56" s="245">
        <f t="shared" si="61"/>
        <v>0</v>
      </c>
      <c r="BR56" s="237">
        <f t="shared" si="62"/>
        <v>0</v>
      </c>
    </row>
    <row r="57" spans="1:70" x14ac:dyDescent="0.3">
      <c r="A57" s="521" t="s">
        <v>874</v>
      </c>
      <c r="B57" s="188"/>
      <c r="C57" s="522"/>
      <c r="D57" s="188"/>
      <c r="E57" s="612"/>
      <c r="F57" s="612"/>
      <c r="G57" s="613"/>
      <c r="H57" s="615"/>
      <c r="I57" s="616"/>
      <c r="J57" s="616"/>
      <c r="K57" s="245">
        <f t="shared" si="63"/>
        <v>0</v>
      </c>
      <c r="L57" s="245">
        <f t="shared" si="36"/>
        <v>0</v>
      </c>
      <c r="M57" s="245">
        <f t="shared" si="37"/>
        <v>0</v>
      </c>
      <c r="N57" s="237">
        <f t="shared" si="38"/>
        <v>0</v>
      </c>
      <c r="O57" s="615"/>
      <c r="P57" s="616"/>
      <c r="Q57" s="616"/>
      <c r="R57" s="245">
        <f t="shared" si="64"/>
        <v>0</v>
      </c>
      <c r="S57" s="245">
        <f t="shared" si="39"/>
        <v>0</v>
      </c>
      <c r="T57" s="245">
        <f t="shared" si="40"/>
        <v>0</v>
      </c>
      <c r="U57" s="237">
        <f t="shared" si="41"/>
        <v>0</v>
      </c>
      <c r="V57" s="615"/>
      <c r="W57" s="616"/>
      <c r="X57" s="616"/>
      <c r="Y57" s="245">
        <f t="shared" si="65"/>
        <v>0</v>
      </c>
      <c r="Z57" s="245">
        <f t="shared" si="42"/>
        <v>0</v>
      </c>
      <c r="AA57" s="245">
        <f t="shared" si="43"/>
        <v>0</v>
      </c>
      <c r="AB57" s="237">
        <f t="shared" si="44"/>
        <v>0</v>
      </c>
      <c r="AC57" s="615"/>
      <c r="AD57" s="616"/>
      <c r="AE57" s="616"/>
      <c r="AF57" s="245">
        <f t="shared" si="66"/>
        <v>0</v>
      </c>
      <c r="AG57" s="245">
        <f t="shared" si="45"/>
        <v>0</v>
      </c>
      <c r="AH57" s="245">
        <f t="shared" si="46"/>
        <v>0</v>
      </c>
      <c r="AI57" s="237">
        <f t="shared" si="47"/>
        <v>0</v>
      </c>
      <c r="AJ57" s="615"/>
      <c r="AK57" s="616"/>
      <c r="AL57" s="616"/>
      <c r="AM57" s="245">
        <f t="shared" si="67"/>
        <v>0</v>
      </c>
      <c r="AN57" s="245">
        <f t="shared" si="48"/>
        <v>0</v>
      </c>
      <c r="AO57" s="245">
        <f t="shared" si="49"/>
        <v>0</v>
      </c>
      <c r="AP57" s="237">
        <f t="shared" si="50"/>
        <v>0</v>
      </c>
      <c r="AQ57" s="615"/>
      <c r="AR57" s="616"/>
      <c r="AS57" s="616"/>
      <c r="AT57" s="245">
        <f t="shared" si="68"/>
        <v>0</v>
      </c>
      <c r="AU57" s="245">
        <f t="shared" si="51"/>
        <v>0</v>
      </c>
      <c r="AV57" s="245">
        <f t="shared" si="52"/>
        <v>0</v>
      </c>
      <c r="AW57" s="237">
        <f t="shared" si="53"/>
        <v>0</v>
      </c>
      <c r="AX57" s="615"/>
      <c r="AY57" s="616"/>
      <c r="AZ57" s="616"/>
      <c r="BA57" s="245">
        <f t="shared" si="69"/>
        <v>0</v>
      </c>
      <c r="BB57" s="245">
        <f t="shared" si="54"/>
        <v>0</v>
      </c>
      <c r="BC57" s="245">
        <f t="shared" si="55"/>
        <v>0</v>
      </c>
      <c r="BD57" s="237">
        <f t="shared" si="56"/>
        <v>0</v>
      </c>
      <c r="BE57" s="615"/>
      <c r="BF57" s="616"/>
      <c r="BG57" s="616"/>
      <c r="BH57" s="245">
        <f t="shared" si="71"/>
        <v>0</v>
      </c>
      <c r="BI57" s="245">
        <f t="shared" si="57"/>
        <v>0</v>
      </c>
      <c r="BJ57" s="245">
        <f t="shared" si="58"/>
        <v>0</v>
      </c>
      <c r="BK57" s="237">
        <f t="shared" si="59"/>
        <v>0</v>
      </c>
      <c r="BL57" s="615"/>
      <c r="BM57" s="616"/>
      <c r="BN57" s="616"/>
      <c r="BO57" s="245">
        <f t="shared" si="72"/>
        <v>0</v>
      </c>
      <c r="BP57" s="245">
        <f t="shared" si="60"/>
        <v>0</v>
      </c>
      <c r="BQ57" s="245">
        <f t="shared" si="61"/>
        <v>0</v>
      </c>
      <c r="BR57" s="237">
        <f t="shared" si="62"/>
        <v>0</v>
      </c>
    </row>
    <row r="58" spans="1:70" x14ac:dyDescent="0.3">
      <c r="A58" s="521" t="s">
        <v>875</v>
      </c>
      <c r="B58" s="188"/>
      <c r="C58" s="522"/>
      <c r="D58" s="188"/>
      <c r="E58" s="612"/>
      <c r="F58" s="612"/>
      <c r="G58" s="613"/>
      <c r="H58" s="615"/>
      <c r="I58" s="616"/>
      <c r="J58" s="616"/>
      <c r="K58" s="245">
        <f t="shared" si="63"/>
        <v>0</v>
      </c>
      <c r="L58" s="245">
        <f t="shared" si="36"/>
        <v>0</v>
      </c>
      <c r="M58" s="245">
        <f t="shared" si="37"/>
        <v>0</v>
      </c>
      <c r="N58" s="237">
        <f t="shared" si="38"/>
        <v>0</v>
      </c>
      <c r="O58" s="615"/>
      <c r="P58" s="616"/>
      <c r="Q58" s="616"/>
      <c r="R58" s="245">
        <f t="shared" si="64"/>
        <v>0</v>
      </c>
      <c r="S58" s="245">
        <f t="shared" si="39"/>
        <v>0</v>
      </c>
      <c r="T58" s="245">
        <f t="shared" si="40"/>
        <v>0</v>
      </c>
      <c r="U58" s="237">
        <f t="shared" si="41"/>
        <v>0</v>
      </c>
      <c r="V58" s="615"/>
      <c r="W58" s="616"/>
      <c r="X58" s="616"/>
      <c r="Y58" s="245">
        <f t="shared" si="65"/>
        <v>0</v>
      </c>
      <c r="Z58" s="245">
        <f t="shared" si="42"/>
        <v>0</v>
      </c>
      <c r="AA58" s="245">
        <f t="shared" si="43"/>
        <v>0</v>
      </c>
      <c r="AB58" s="237">
        <f t="shared" si="44"/>
        <v>0</v>
      </c>
      <c r="AC58" s="615"/>
      <c r="AD58" s="616"/>
      <c r="AE58" s="616"/>
      <c r="AF58" s="245">
        <f t="shared" si="66"/>
        <v>0</v>
      </c>
      <c r="AG58" s="245">
        <f t="shared" si="45"/>
        <v>0</v>
      </c>
      <c r="AH58" s="245">
        <f t="shared" si="46"/>
        <v>0</v>
      </c>
      <c r="AI58" s="237">
        <f t="shared" si="47"/>
        <v>0</v>
      </c>
      <c r="AJ58" s="615"/>
      <c r="AK58" s="616"/>
      <c r="AL58" s="616"/>
      <c r="AM58" s="245">
        <f t="shared" si="67"/>
        <v>0</v>
      </c>
      <c r="AN58" s="245">
        <f t="shared" si="48"/>
        <v>0</v>
      </c>
      <c r="AO58" s="245">
        <f t="shared" si="49"/>
        <v>0</v>
      </c>
      <c r="AP58" s="237">
        <f t="shared" si="50"/>
        <v>0</v>
      </c>
      <c r="AQ58" s="615"/>
      <c r="AR58" s="616"/>
      <c r="AS58" s="616"/>
      <c r="AT58" s="245">
        <f t="shared" si="68"/>
        <v>0</v>
      </c>
      <c r="AU58" s="245">
        <f t="shared" si="51"/>
        <v>0</v>
      </c>
      <c r="AV58" s="245">
        <f t="shared" si="52"/>
        <v>0</v>
      </c>
      <c r="AW58" s="237">
        <f t="shared" si="53"/>
        <v>0</v>
      </c>
      <c r="AX58" s="615"/>
      <c r="AY58" s="616"/>
      <c r="AZ58" s="616"/>
      <c r="BA58" s="245">
        <f t="shared" si="69"/>
        <v>0</v>
      </c>
      <c r="BB58" s="245">
        <f t="shared" si="54"/>
        <v>0</v>
      </c>
      <c r="BC58" s="245">
        <f t="shared" si="55"/>
        <v>0</v>
      </c>
      <c r="BD58" s="237">
        <f t="shared" si="56"/>
        <v>0</v>
      </c>
      <c r="BE58" s="615"/>
      <c r="BF58" s="616"/>
      <c r="BG58" s="616"/>
      <c r="BH58" s="245">
        <f t="shared" si="71"/>
        <v>0</v>
      </c>
      <c r="BI58" s="245">
        <f t="shared" si="57"/>
        <v>0</v>
      </c>
      <c r="BJ58" s="245">
        <f t="shared" si="58"/>
        <v>0</v>
      </c>
      <c r="BK58" s="237">
        <f t="shared" si="59"/>
        <v>0</v>
      </c>
      <c r="BL58" s="615"/>
      <c r="BM58" s="616"/>
      <c r="BN58" s="616"/>
      <c r="BO58" s="245">
        <f t="shared" si="72"/>
        <v>0</v>
      </c>
      <c r="BP58" s="245">
        <f t="shared" si="60"/>
        <v>0</v>
      </c>
      <c r="BQ58" s="245">
        <f t="shared" si="61"/>
        <v>0</v>
      </c>
      <c r="BR58" s="237">
        <f t="shared" si="62"/>
        <v>0</v>
      </c>
    </row>
    <row r="59" spans="1:70" x14ac:dyDescent="0.3">
      <c r="A59" s="521" t="s">
        <v>876</v>
      </c>
      <c r="B59" s="188"/>
      <c r="C59" s="522"/>
      <c r="D59" s="188"/>
      <c r="E59" s="612"/>
      <c r="F59" s="612"/>
      <c r="G59" s="613"/>
      <c r="H59" s="615"/>
      <c r="I59" s="616"/>
      <c r="J59" s="616"/>
      <c r="K59" s="245">
        <f t="shared" si="63"/>
        <v>0</v>
      </c>
      <c r="L59" s="245">
        <f t="shared" si="36"/>
        <v>0</v>
      </c>
      <c r="M59" s="245">
        <f t="shared" si="37"/>
        <v>0</v>
      </c>
      <c r="N59" s="237">
        <f t="shared" si="38"/>
        <v>0</v>
      </c>
      <c r="O59" s="615"/>
      <c r="P59" s="616"/>
      <c r="Q59" s="616"/>
      <c r="R59" s="245">
        <f t="shared" si="64"/>
        <v>0</v>
      </c>
      <c r="S59" s="245">
        <f t="shared" si="39"/>
        <v>0</v>
      </c>
      <c r="T59" s="245">
        <f t="shared" si="40"/>
        <v>0</v>
      </c>
      <c r="U59" s="237">
        <f t="shared" si="41"/>
        <v>0</v>
      </c>
      <c r="V59" s="615"/>
      <c r="W59" s="616"/>
      <c r="X59" s="616"/>
      <c r="Y59" s="245">
        <f t="shared" si="65"/>
        <v>0</v>
      </c>
      <c r="Z59" s="245">
        <f t="shared" si="42"/>
        <v>0</v>
      </c>
      <c r="AA59" s="245">
        <f t="shared" si="43"/>
        <v>0</v>
      </c>
      <c r="AB59" s="237">
        <f t="shared" si="44"/>
        <v>0</v>
      </c>
      <c r="AC59" s="615"/>
      <c r="AD59" s="616"/>
      <c r="AE59" s="616"/>
      <c r="AF59" s="245">
        <f t="shared" si="66"/>
        <v>0</v>
      </c>
      <c r="AG59" s="245">
        <f t="shared" si="45"/>
        <v>0</v>
      </c>
      <c r="AH59" s="245">
        <f t="shared" si="46"/>
        <v>0</v>
      </c>
      <c r="AI59" s="237">
        <f t="shared" si="47"/>
        <v>0</v>
      </c>
      <c r="AJ59" s="615"/>
      <c r="AK59" s="616"/>
      <c r="AL59" s="616"/>
      <c r="AM59" s="245">
        <f t="shared" si="67"/>
        <v>0</v>
      </c>
      <c r="AN59" s="245">
        <f t="shared" si="48"/>
        <v>0</v>
      </c>
      <c r="AO59" s="245">
        <f t="shared" si="49"/>
        <v>0</v>
      </c>
      <c r="AP59" s="237">
        <f t="shared" si="50"/>
        <v>0</v>
      </c>
      <c r="AQ59" s="615"/>
      <c r="AR59" s="616"/>
      <c r="AS59" s="616"/>
      <c r="AT59" s="245">
        <f t="shared" si="68"/>
        <v>0</v>
      </c>
      <c r="AU59" s="245">
        <f t="shared" si="51"/>
        <v>0</v>
      </c>
      <c r="AV59" s="245">
        <f t="shared" si="52"/>
        <v>0</v>
      </c>
      <c r="AW59" s="237">
        <f t="shared" si="53"/>
        <v>0</v>
      </c>
      <c r="AX59" s="615"/>
      <c r="AY59" s="616"/>
      <c r="AZ59" s="616"/>
      <c r="BA59" s="245">
        <f t="shared" si="69"/>
        <v>0</v>
      </c>
      <c r="BB59" s="245">
        <f t="shared" si="54"/>
        <v>0</v>
      </c>
      <c r="BC59" s="245">
        <f t="shared" si="55"/>
        <v>0</v>
      </c>
      <c r="BD59" s="237">
        <f t="shared" si="56"/>
        <v>0</v>
      </c>
      <c r="BE59" s="615"/>
      <c r="BF59" s="616"/>
      <c r="BG59" s="616"/>
      <c r="BH59" s="245">
        <f t="shared" si="71"/>
        <v>0</v>
      </c>
      <c r="BI59" s="245">
        <f t="shared" si="57"/>
        <v>0</v>
      </c>
      <c r="BJ59" s="245">
        <f t="shared" si="58"/>
        <v>0</v>
      </c>
      <c r="BK59" s="237">
        <f t="shared" si="59"/>
        <v>0</v>
      </c>
      <c r="BL59" s="615"/>
      <c r="BM59" s="616"/>
      <c r="BN59" s="616"/>
      <c r="BO59" s="245">
        <f t="shared" si="72"/>
        <v>0</v>
      </c>
      <c r="BP59" s="245">
        <f t="shared" si="60"/>
        <v>0</v>
      </c>
      <c r="BQ59" s="245">
        <f t="shared" si="61"/>
        <v>0</v>
      </c>
      <c r="BR59" s="237">
        <f t="shared" si="62"/>
        <v>0</v>
      </c>
    </row>
    <row r="60" spans="1:70" x14ac:dyDescent="0.3">
      <c r="A60" s="521" t="s">
        <v>877</v>
      </c>
      <c r="B60" s="188"/>
      <c r="C60" s="522"/>
      <c r="D60" s="188"/>
      <c r="E60" s="612"/>
      <c r="F60" s="612"/>
      <c r="G60" s="613"/>
      <c r="H60" s="615"/>
      <c r="I60" s="616"/>
      <c r="J60" s="616"/>
      <c r="K60" s="245">
        <f t="shared" si="63"/>
        <v>0</v>
      </c>
      <c r="L60" s="245">
        <f t="shared" si="36"/>
        <v>0</v>
      </c>
      <c r="M60" s="245">
        <f t="shared" si="37"/>
        <v>0</v>
      </c>
      <c r="N60" s="237">
        <f t="shared" si="38"/>
        <v>0</v>
      </c>
      <c r="O60" s="615"/>
      <c r="P60" s="616"/>
      <c r="Q60" s="616"/>
      <c r="R60" s="245">
        <f t="shared" si="64"/>
        <v>0</v>
      </c>
      <c r="S60" s="245">
        <f t="shared" si="39"/>
        <v>0</v>
      </c>
      <c r="T60" s="245">
        <f t="shared" si="40"/>
        <v>0</v>
      </c>
      <c r="U60" s="237">
        <f t="shared" si="41"/>
        <v>0</v>
      </c>
      <c r="V60" s="615"/>
      <c r="W60" s="616"/>
      <c r="X60" s="616"/>
      <c r="Y60" s="245">
        <f t="shared" si="65"/>
        <v>0</v>
      </c>
      <c r="Z60" s="245">
        <f t="shared" si="42"/>
        <v>0</v>
      </c>
      <c r="AA60" s="245">
        <f t="shared" si="43"/>
        <v>0</v>
      </c>
      <c r="AB60" s="237">
        <f t="shared" si="44"/>
        <v>0</v>
      </c>
      <c r="AC60" s="615"/>
      <c r="AD60" s="616"/>
      <c r="AE60" s="616"/>
      <c r="AF60" s="245">
        <f t="shared" si="66"/>
        <v>0</v>
      </c>
      <c r="AG60" s="245">
        <f t="shared" si="45"/>
        <v>0</v>
      </c>
      <c r="AH60" s="245">
        <f t="shared" si="46"/>
        <v>0</v>
      </c>
      <c r="AI60" s="237">
        <f t="shared" si="47"/>
        <v>0</v>
      </c>
      <c r="AJ60" s="615"/>
      <c r="AK60" s="616"/>
      <c r="AL60" s="616"/>
      <c r="AM60" s="245">
        <f t="shared" si="67"/>
        <v>0</v>
      </c>
      <c r="AN60" s="245">
        <f t="shared" si="48"/>
        <v>0</v>
      </c>
      <c r="AO60" s="245">
        <f t="shared" si="49"/>
        <v>0</v>
      </c>
      <c r="AP60" s="237">
        <f t="shared" si="50"/>
        <v>0</v>
      </c>
      <c r="AQ60" s="615"/>
      <c r="AR60" s="616"/>
      <c r="AS60" s="616"/>
      <c r="AT60" s="245">
        <f t="shared" si="68"/>
        <v>0</v>
      </c>
      <c r="AU60" s="245">
        <f t="shared" si="51"/>
        <v>0</v>
      </c>
      <c r="AV60" s="245">
        <f t="shared" si="52"/>
        <v>0</v>
      </c>
      <c r="AW60" s="237">
        <f t="shared" si="53"/>
        <v>0</v>
      </c>
      <c r="AX60" s="615"/>
      <c r="AY60" s="616"/>
      <c r="AZ60" s="616"/>
      <c r="BA60" s="245">
        <f t="shared" si="69"/>
        <v>0</v>
      </c>
      <c r="BB60" s="245">
        <f t="shared" si="54"/>
        <v>0</v>
      </c>
      <c r="BC60" s="245">
        <f t="shared" si="55"/>
        <v>0</v>
      </c>
      <c r="BD60" s="237">
        <f t="shared" si="56"/>
        <v>0</v>
      </c>
      <c r="BE60" s="615"/>
      <c r="BF60" s="616"/>
      <c r="BG60" s="616"/>
      <c r="BH60" s="245">
        <f t="shared" si="71"/>
        <v>0</v>
      </c>
      <c r="BI60" s="245">
        <f t="shared" si="57"/>
        <v>0</v>
      </c>
      <c r="BJ60" s="245">
        <f t="shared" si="58"/>
        <v>0</v>
      </c>
      <c r="BK60" s="237">
        <f t="shared" si="59"/>
        <v>0</v>
      </c>
      <c r="BL60" s="615"/>
      <c r="BM60" s="616"/>
      <c r="BN60" s="616"/>
      <c r="BO60" s="245">
        <f t="shared" si="72"/>
        <v>0</v>
      </c>
      <c r="BP60" s="245">
        <f t="shared" si="60"/>
        <v>0</v>
      </c>
      <c r="BQ60" s="245">
        <f t="shared" si="61"/>
        <v>0</v>
      </c>
      <c r="BR60" s="237">
        <f t="shared" si="62"/>
        <v>0</v>
      </c>
    </row>
    <row r="61" spans="1:70" x14ac:dyDescent="0.3">
      <c r="A61" s="521" t="s">
        <v>878</v>
      </c>
      <c r="B61" s="188"/>
      <c r="C61" s="522"/>
      <c r="D61" s="188"/>
      <c r="E61" s="612"/>
      <c r="F61" s="612"/>
      <c r="G61" s="613"/>
      <c r="H61" s="615"/>
      <c r="I61" s="616"/>
      <c r="J61" s="616"/>
      <c r="K61" s="245">
        <f t="shared" si="63"/>
        <v>0</v>
      </c>
      <c r="L61" s="245">
        <f t="shared" si="36"/>
        <v>0</v>
      </c>
      <c r="M61" s="245">
        <f t="shared" si="37"/>
        <v>0</v>
      </c>
      <c r="N61" s="237">
        <f t="shared" si="38"/>
        <v>0</v>
      </c>
      <c r="O61" s="615"/>
      <c r="P61" s="616"/>
      <c r="Q61" s="616"/>
      <c r="R61" s="245">
        <f t="shared" si="64"/>
        <v>0</v>
      </c>
      <c r="S61" s="245">
        <f t="shared" si="39"/>
        <v>0</v>
      </c>
      <c r="T61" s="245">
        <f t="shared" si="40"/>
        <v>0</v>
      </c>
      <c r="U61" s="237">
        <f t="shared" si="41"/>
        <v>0</v>
      </c>
      <c r="V61" s="615"/>
      <c r="W61" s="616"/>
      <c r="X61" s="616"/>
      <c r="Y61" s="245">
        <f t="shared" si="65"/>
        <v>0</v>
      </c>
      <c r="Z61" s="245">
        <f t="shared" si="42"/>
        <v>0</v>
      </c>
      <c r="AA61" s="245">
        <f t="shared" si="43"/>
        <v>0</v>
      </c>
      <c r="AB61" s="237">
        <f t="shared" si="44"/>
        <v>0</v>
      </c>
      <c r="AC61" s="615"/>
      <c r="AD61" s="616"/>
      <c r="AE61" s="616"/>
      <c r="AF61" s="245">
        <f t="shared" si="66"/>
        <v>0</v>
      </c>
      <c r="AG61" s="245">
        <f t="shared" si="45"/>
        <v>0</v>
      </c>
      <c r="AH61" s="245">
        <f t="shared" si="46"/>
        <v>0</v>
      </c>
      <c r="AI61" s="237">
        <f t="shared" si="47"/>
        <v>0</v>
      </c>
      <c r="AJ61" s="615"/>
      <c r="AK61" s="616"/>
      <c r="AL61" s="616"/>
      <c r="AM61" s="245">
        <f t="shared" si="67"/>
        <v>0</v>
      </c>
      <c r="AN61" s="245">
        <f t="shared" si="48"/>
        <v>0</v>
      </c>
      <c r="AO61" s="245">
        <f t="shared" si="49"/>
        <v>0</v>
      </c>
      <c r="AP61" s="237">
        <f t="shared" si="50"/>
        <v>0</v>
      </c>
      <c r="AQ61" s="615"/>
      <c r="AR61" s="616"/>
      <c r="AS61" s="616"/>
      <c r="AT61" s="245">
        <f t="shared" si="68"/>
        <v>0</v>
      </c>
      <c r="AU61" s="245">
        <f t="shared" si="51"/>
        <v>0</v>
      </c>
      <c r="AV61" s="245">
        <f t="shared" si="52"/>
        <v>0</v>
      </c>
      <c r="AW61" s="237">
        <f t="shared" si="53"/>
        <v>0</v>
      </c>
      <c r="AX61" s="615"/>
      <c r="AY61" s="616"/>
      <c r="AZ61" s="616"/>
      <c r="BA61" s="245">
        <f t="shared" si="69"/>
        <v>0</v>
      </c>
      <c r="BB61" s="245">
        <f t="shared" si="54"/>
        <v>0</v>
      </c>
      <c r="BC61" s="245">
        <f t="shared" si="55"/>
        <v>0</v>
      </c>
      <c r="BD61" s="237">
        <f t="shared" si="56"/>
        <v>0</v>
      </c>
      <c r="BE61" s="615"/>
      <c r="BF61" s="616"/>
      <c r="BG61" s="616"/>
      <c r="BH61" s="245">
        <f t="shared" si="71"/>
        <v>0</v>
      </c>
      <c r="BI61" s="245">
        <f t="shared" si="57"/>
        <v>0</v>
      </c>
      <c r="BJ61" s="245">
        <f t="shared" si="58"/>
        <v>0</v>
      </c>
      <c r="BK61" s="237">
        <f t="shared" si="59"/>
        <v>0</v>
      </c>
      <c r="BL61" s="615"/>
      <c r="BM61" s="616"/>
      <c r="BN61" s="616"/>
      <c r="BO61" s="245">
        <f t="shared" si="72"/>
        <v>0</v>
      </c>
      <c r="BP61" s="245">
        <f t="shared" si="60"/>
        <v>0</v>
      </c>
      <c r="BQ61" s="245">
        <f t="shared" si="61"/>
        <v>0</v>
      </c>
      <c r="BR61" s="237">
        <f t="shared" si="62"/>
        <v>0</v>
      </c>
    </row>
    <row r="62" spans="1:70" x14ac:dyDescent="0.3">
      <c r="A62" s="521" t="s">
        <v>879</v>
      </c>
      <c r="B62" s="188"/>
      <c r="C62" s="522"/>
      <c r="D62" s="188"/>
      <c r="E62" s="612"/>
      <c r="F62" s="612"/>
      <c r="G62" s="613"/>
      <c r="H62" s="615"/>
      <c r="I62" s="616"/>
      <c r="J62" s="616"/>
      <c r="K62" s="245">
        <f t="shared" si="63"/>
        <v>0</v>
      </c>
      <c r="L62" s="245">
        <f t="shared" ref="L62:L93" si="76">IF(H$2="-","-",IF($E62+$F62+$G62=1,K62*$E62,IF($D62="uns",K62*HLOOKUP(H$2,Verteil_sw,46,FALSE),IF($D62="unm",K62*HLOOKUP(H$2,Verteil_sw,47,FALSE),IF($D62="unr",K62*HLOOKUP(H$2,Verteil_sw,48,FALSE),IF($D62="unk",K62*HLOOKUP(H$2,Verteil_sw,49,FALSE),IF($D62="alz",K62*HLOOKUP(H$2,Verteil_sw,51,FALSE),0)))))))</f>
        <v>0</v>
      </c>
      <c r="M62" s="245">
        <f t="shared" ref="M62:M93" si="77">IF(H$2="-","-",IF($E62+$F62+$G62=1,K62*$F62,IF($D62="uns",K62*HLOOKUP(H$2,Verteil_rwgr,45,FALSE),IF($D62="unm",K62*HLOOKUP(H$2,Verteil_rwgr,46,FALSE),IF($D62="unr",K62*HLOOKUP(H$2,Verteil_rwgr,47,FALSE),IF($D62="unk",K62*HLOOKUP(H$2,Verteil_rwgr,48,FALSE),IF($D62="alz",K62*HLOOKUP(H$2,Verteil_rwgr,50,FALSE),0)))))))</f>
        <v>0</v>
      </c>
      <c r="N62" s="237">
        <f t="shared" ref="N62:N93" si="78">IF(H$2="-","-",IF($E62+$F62+$G62=1,K62*$G62,IF($D62="uns",K62*HLOOKUP(H$2,Verteil_rwst,44,FALSE),IF($D62="unm",K62*HLOOKUP(H$2,Verteil_rwst,45,FALSE),IF($D62="unr",K62*HLOOKUP(H$2,Verteil_rwst,46,FALSE),IF($D62="unk",K62*HLOOKUP(H$2,Verteil_rwst,47,FALSE),IF($D62="alz",K62*HLOOKUP(H$2,Verteil_rwst,49,FALSE),0)))))))</f>
        <v>0</v>
      </c>
      <c r="O62" s="615"/>
      <c r="P62" s="616"/>
      <c r="Q62" s="616"/>
      <c r="R62" s="245">
        <f t="shared" si="64"/>
        <v>0</v>
      </c>
      <c r="S62" s="245">
        <f t="shared" ref="S62:S93" si="79">IF(O$2="-","-",IF($E62+$F62+$G62=1,R62*$E62,IF($D62="uns",R62*HLOOKUP(O$2,Verteil_sw,46,FALSE),IF($D62="unm",R62*HLOOKUP(O$2,Verteil_sw,47,FALSE),IF($D62="unr",R62*HLOOKUP(O$2,Verteil_sw,48,FALSE),IF($D62="unk",R62*HLOOKUP(O$2,Verteil_sw,49,FALSE),IF($D62="alz",R62*HLOOKUP(O$2,Verteil_sw,51,FALSE),0)))))))</f>
        <v>0</v>
      </c>
      <c r="T62" s="245">
        <f t="shared" ref="T62:T93" si="80">IF(O$2="-","-",IF($E62+$F62+$G62=1,R62*$F62,IF($D62="uns",R62*HLOOKUP(O$2,Verteil_rwgr,45,FALSE),IF($D62="unm",R62*HLOOKUP(O$2,Verteil_rwgr,46,FALSE),IF($D62="unr",R62*HLOOKUP(O$2,Verteil_rwgr,47,FALSE),IF($D62="unk",R62*HLOOKUP(O$2,Verteil_rwgr,48,FALSE),IF($D62="alz",R62*HLOOKUP(O$2,Verteil_rwgr,50,FALSE),0)))))))</f>
        <v>0</v>
      </c>
      <c r="U62" s="237">
        <f t="shared" ref="U62:U93" si="81">IF(O$2="-","-",IF($E62+$F62+$G62=1,R62*$G62,IF($D62="uns",R62*HLOOKUP(O$2,Verteil_rwst,44,FALSE),IF($D62="unm",R62*HLOOKUP(O$2,Verteil_rwst,45,FALSE),IF($D62="unr",R62*HLOOKUP(O$2,Verteil_rwst,46,FALSE),IF($D62="unk",R62*HLOOKUP(O$2,Verteil_rwst,47,FALSE),IF($D62="alz",R62*HLOOKUP(O$2,Verteil_rwst,49,FALSE),0)))))))</f>
        <v>0</v>
      </c>
      <c r="V62" s="615"/>
      <c r="W62" s="616"/>
      <c r="X62" s="616"/>
      <c r="Y62" s="245">
        <f t="shared" si="65"/>
        <v>0</v>
      </c>
      <c r="Z62" s="245">
        <f t="shared" ref="Z62:Z93" si="82">IF(V$2="-","-",IF($E62+$F62+$G62=1,Y62*$E62,IF($D62="uns",Y62*HLOOKUP(V$2,Verteil_sw,46,FALSE),IF($D62="unm",Y62*HLOOKUP(V$2,Verteil_sw,47,FALSE),IF($D62="unr",Y62*HLOOKUP(V$2,Verteil_sw,48,FALSE),IF($D62="unk",Y62*HLOOKUP(V$2,Verteil_sw,49,FALSE),IF($D62="alz",Y62*HLOOKUP(V$2,Verteil_sw,51,FALSE),0)))))))</f>
        <v>0</v>
      </c>
      <c r="AA62" s="245">
        <f t="shared" ref="AA62:AA93" si="83">IF(V$2="-","-",IF($E62+$F62+$G62=1,Y62*$F62,IF($D62="uns",Y62*HLOOKUP(V$2,Verteil_rwgr,45,FALSE),IF($D62="unm",Y62*HLOOKUP(V$2,Verteil_rwgr,46,FALSE),IF($D62="unr",Y62*HLOOKUP(V$2,Verteil_rwgr,47,FALSE),IF($D62="unk",Y62*HLOOKUP(V$2,Verteil_rwgr,48,FALSE),IF($D62="alz",Y62*HLOOKUP(V$2,Verteil_rwgr,50,FALSE),0)))))))</f>
        <v>0</v>
      </c>
      <c r="AB62" s="237">
        <f t="shared" ref="AB62:AB93" si="84">IF(V$2="-","-",IF($E62+$F62+$G62=1,Y62*$G62,IF($D62="uns",Y62*HLOOKUP(V$2,Verteil_rwst,44,FALSE),IF($D62="unm",Y62*HLOOKUP(V$2,Verteil_rwst,45,FALSE),IF($D62="unr",Y62*HLOOKUP(V$2,Verteil_rwst,46,FALSE),IF($D62="unk",Y62*HLOOKUP(V$2,Verteil_rwst,47,FALSE),IF($D62="alz",Y62*HLOOKUP(V$2,Verteil_rwst,49,FALSE),0)))))))</f>
        <v>0</v>
      </c>
      <c r="AC62" s="615"/>
      <c r="AD62" s="616"/>
      <c r="AE62" s="616"/>
      <c r="AF62" s="245">
        <f t="shared" si="66"/>
        <v>0</v>
      </c>
      <c r="AG62" s="245">
        <f t="shared" ref="AG62:AG93" si="85">IF(AC$2="-","-",IF($E62+$F62+$G62=1,AF62*$E62,IF($D62="uns",AF62*HLOOKUP(AC$2,Verteil_sw,46,FALSE),IF($D62="unm",AF62*HLOOKUP(AC$2,Verteil_sw,47,FALSE),IF($D62="unr",AF62*HLOOKUP(AC$2,Verteil_sw,48,FALSE),IF($D62="unk",AF62*HLOOKUP(AC$2,Verteil_sw,49,FALSE),IF($D62="alz",AF62*HLOOKUP(AC$2,Verteil_sw,51,FALSE),0)))))))</f>
        <v>0</v>
      </c>
      <c r="AH62" s="245">
        <f t="shared" ref="AH62:AH93" si="86">IF(AC$2="-","-",IF($E62+$F62+$G62=1,AF62*$F62,IF($D62="uns",AF62*HLOOKUP(AC$2,Verteil_rwgr,45,FALSE),IF($D62="unm",AF62*HLOOKUP(AC$2,Verteil_rwgr,46,FALSE),IF($D62="unr",AF62*HLOOKUP(AC$2,Verteil_rwgr,47,FALSE),IF($D62="unk",AF62*HLOOKUP(AC$2,Verteil_rwgr,48,FALSE),IF($D62="alz",AF62*HLOOKUP(AC$2,Verteil_rwgr,50,FALSE),0)))))))</f>
        <v>0</v>
      </c>
      <c r="AI62" s="237">
        <f t="shared" ref="AI62:AI93" si="87">IF(AC$2="-","-",IF($E62+$F62+$G62=1,AF62*$G62,IF($D62="uns",AF62*HLOOKUP(AC$2,Verteil_rwst,44,FALSE),IF($D62="unm",AF62*HLOOKUP(AC$2,Verteil_rwst,45,FALSE),IF($D62="unr",AF62*HLOOKUP(AC$2,Verteil_rwst,46,FALSE),IF($D62="unk",AF62*HLOOKUP(AC$2,Verteil_rwst,47,FALSE),IF($D62="alz",AF62*HLOOKUP(AC$2,Verteil_rwst,49,FALSE),0)))))))</f>
        <v>0</v>
      </c>
      <c r="AJ62" s="615"/>
      <c r="AK62" s="616"/>
      <c r="AL62" s="616"/>
      <c r="AM62" s="245">
        <f t="shared" si="67"/>
        <v>0</v>
      </c>
      <c r="AN62" s="245">
        <f t="shared" ref="AN62:AN93" si="88">IF(AJ$2="-","-",IF($E62+$F62+$G62=1,AM62*$E62,IF($D62="uns",AM62*HLOOKUP(AJ$2,Verteil_sw,46,FALSE),IF($D62="unm",AM62*HLOOKUP(AJ$2,Verteil_sw,47,FALSE),IF($D62="unr",AM62*HLOOKUP(AJ$2,Verteil_sw,48,FALSE),IF($D62="unk",AM62*HLOOKUP(AJ$2,Verteil_sw,49,FALSE),IF($D62="alz",AM62*HLOOKUP(AJ$2,Verteil_sw,51,FALSE),0)))))))</f>
        <v>0</v>
      </c>
      <c r="AO62" s="245">
        <f t="shared" ref="AO62:AO93" si="89">IF(AJ$2="-","-",IF($E62+$F62+$G62=1,AM62*$F62,IF($D62="uns",AM62*HLOOKUP(AJ$2,Verteil_rwgr,45,FALSE),IF($D62="unm",AM62*HLOOKUP(AJ$2,Verteil_rwgr,46,FALSE),IF($D62="unr",AM62*HLOOKUP(AJ$2,Verteil_rwgr,47,FALSE),IF($D62="unk",AM62*HLOOKUP(AJ$2,Verteil_rwgr,48,FALSE),IF($D62="alz",AM62*HLOOKUP(AJ$2,Verteil_rwgr,50,FALSE),0)))))))</f>
        <v>0</v>
      </c>
      <c r="AP62" s="237">
        <f t="shared" ref="AP62:AP93" si="90">IF(AJ$2="-","-",IF($E62+$F62+$G62=1,AM62*$G62,IF($D62="uns",AM62*HLOOKUP(AJ$2,Verteil_rwst,44,FALSE),IF($D62="unm",AM62*HLOOKUP(AJ$2,Verteil_rwst,45,FALSE),IF($D62="unr",AM62*HLOOKUP(AJ$2,Verteil_rwst,46,FALSE),IF($D62="unk",AM62*HLOOKUP(AJ$2,Verteil_rwst,47,FALSE),IF($D62="alz",AM62*HLOOKUP(AJ$2,Verteil_rwst,49,FALSE),0)))))))</f>
        <v>0</v>
      </c>
      <c r="AQ62" s="615"/>
      <c r="AR62" s="616"/>
      <c r="AS62" s="616"/>
      <c r="AT62" s="245">
        <f t="shared" si="68"/>
        <v>0</v>
      </c>
      <c r="AU62" s="245">
        <f t="shared" ref="AU62:AU93" si="91">IF(AQ$2="-","-",IF($E62+$F62+$G62=1,AT62*$E62,IF($D62="uns",AT62*HLOOKUP(AQ$2,Verteil_sw,46,FALSE),IF($D62="unm",AT62*HLOOKUP(AQ$2,Verteil_sw,47,FALSE),IF($D62="unr",AT62*HLOOKUP(AQ$2,Verteil_sw,48,FALSE),IF($D62="unk",AT62*HLOOKUP(AQ$2,Verteil_sw,49,FALSE),IF($D62="alz",AT62*HLOOKUP(AQ$2,Verteil_sw,51,FALSE),0)))))))</f>
        <v>0</v>
      </c>
      <c r="AV62" s="245">
        <f t="shared" ref="AV62:AV93" si="92">IF(AQ$2="-","-",IF($E62+$F62+$G62=1,AT62*$F62,IF($D62="uns",AT62*HLOOKUP(AQ$2,Verteil_rwgr,45,FALSE),IF($D62="unm",AT62*HLOOKUP(AQ$2,Verteil_rwgr,46,FALSE),IF($D62="unr",AT62*HLOOKUP(AQ$2,Verteil_rwgr,47,FALSE),IF($D62="unk",AT62*HLOOKUP(AQ$2,Verteil_rwgr,48,FALSE),IF($D62="alz",AT62*HLOOKUP(AQ$2,Verteil_rwgr,50,FALSE),0)))))))</f>
        <v>0</v>
      </c>
      <c r="AW62" s="237">
        <f t="shared" ref="AW62:AW93" si="93">IF(AQ$2="-","-",IF($E62+$F62+$G62=1,AT62*$G62,IF($D62="uns",AT62*HLOOKUP(AQ$2,Verteil_rwst,44,FALSE),IF($D62="unm",AT62*HLOOKUP(AQ$2,Verteil_rwst,45,FALSE),IF($D62="unr",AT62*HLOOKUP(AQ$2,Verteil_rwst,46,FALSE),IF($D62="unk",AT62*HLOOKUP(AQ$2,Verteil_rwst,47,FALSE),IF($D62="alz",AT62*HLOOKUP(AQ$2,Verteil_rwst,49,FALSE),0)))))))</f>
        <v>0</v>
      </c>
      <c r="AX62" s="615"/>
      <c r="AY62" s="616"/>
      <c r="AZ62" s="616"/>
      <c r="BA62" s="245">
        <f t="shared" si="69"/>
        <v>0</v>
      </c>
      <c r="BB62" s="245">
        <f t="shared" ref="BB62:BB93" si="94">IF(AX$2="-","-",IF($E62+$F62+$G62=1,BA62*$E62,IF($D62="uns",BA62*HLOOKUP(AX$2,Verteil_sw,46,FALSE),IF($D62="unm",BA62*HLOOKUP(AX$2,Verteil_sw,47,FALSE),IF($D62="unr",BA62*HLOOKUP(AX$2,Verteil_sw,48,FALSE),IF($D62="unk",BA62*HLOOKUP(AX$2,Verteil_sw,49,FALSE),IF($D62="alz",BA62*HLOOKUP(AX$2,Verteil_sw,51,FALSE),0)))))))</f>
        <v>0</v>
      </c>
      <c r="BC62" s="245">
        <f t="shared" ref="BC62:BC93" si="95">IF(AX$2="-","-",IF($E62+$F62+$G62=1,BA62*$F62,IF($D62="uns",BA62*HLOOKUP(AX$2,Verteil_rwgr,45,FALSE),IF($D62="unm",BA62*HLOOKUP(AX$2,Verteil_rwgr,46,FALSE),IF($D62="unr",BA62*HLOOKUP(AX$2,Verteil_rwgr,47,FALSE),IF($D62="unk",BA62*HLOOKUP(AX$2,Verteil_rwgr,48,FALSE),IF($D62="alz",BA62*HLOOKUP(AX$2,Verteil_rwgr,50,FALSE),0)))))))</f>
        <v>0</v>
      </c>
      <c r="BD62" s="237">
        <f t="shared" ref="BD62:BD93" si="96">IF(AX$2="-","-",IF($E62+$F62+$G62=1,BA62*$G62,IF($D62="uns",BA62*HLOOKUP(AX$2,Verteil_rwst,44,FALSE),IF($D62="unm",BA62*HLOOKUP(AX$2,Verteil_rwst,45,FALSE),IF($D62="unr",BA62*HLOOKUP(AX$2,Verteil_rwst,46,FALSE),IF($D62="unk",BA62*HLOOKUP(AX$2,Verteil_rwst,47,FALSE),IF($D62="alz",BA62*HLOOKUP(AX$2,Verteil_rwst,49,FALSE),0)))))))</f>
        <v>0</v>
      </c>
      <c r="BE62" s="615"/>
      <c r="BF62" s="616"/>
      <c r="BG62" s="616"/>
      <c r="BH62" s="245">
        <f t="shared" si="71"/>
        <v>0</v>
      </c>
      <c r="BI62" s="245">
        <f t="shared" ref="BI62:BI93" si="97">IF(BE$2="-","-",IF($E62+$F62+$G62=1,BH62*$E62,IF($D62="uns",BH62*HLOOKUP(BE$2,Verteil_sw,46,FALSE),IF($D62="unm",BH62*HLOOKUP(BE$2,Verteil_sw,47,FALSE),IF($D62="unr",BH62*HLOOKUP(BE$2,Verteil_sw,48,FALSE),IF($D62="unk",BH62*HLOOKUP(BE$2,Verteil_sw,49,FALSE),IF($D62="alz",BH62*HLOOKUP(BE$2,Verteil_sw,51,FALSE),0)))))))</f>
        <v>0</v>
      </c>
      <c r="BJ62" s="245">
        <f t="shared" ref="BJ62:BJ93" si="98">IF(BE$2="-","-",IF($E62+$F62+$G62=1,BH62*$F62,IF($D62="uns",BH62*HLOOKUP(BE$2,Verteil_rwgr,45,FALSE),IF($D62="unm",BH62*HLOOKUP(BE$2,Verteil_rwgr,46,FALSE),IF($D62="unr",BH62*HLOOKUP(BE$2,Verteil_rwgr,47,FALSE),IF($D62="unk",BH62*HLOOKUP(BE$2,Verteil_rwgr,48,FALSE),IF($D62="alz",BH62*HLOOKUP(BE$2,Verteil_rwgr,50,FALSE),0)))))))</f>
        <v>0</v>
      </c>
      <c r="BK62" s="237">
        <f t="shared" ref="BK62:BK93" si="99">IF(BE$2="-","-",IF($E62+$F62+$G62=1,BH62*$G62,IF($D62="uns",BH62*HLOOKUP(BE$2,Verteil_rwst,44,FALSE),IF($D62="unm",BH62*HLOOKUP(BE$2,Verteil_rwst,45,FALSE),IF($D62="unr",BH62*HLOOKUP(BE$2,Verteil_rwst,46,FALSE),IF($D62="unk",BH62*HLOOKUP(BE$2,Verteil_rwst,47,FALSE),IF($D62="alz",BH62*HLOOKUP(BE$2,Verteil_rwst,49,FALSE),0)))))))</f>
        <v>0</v>
      </c>
      <c r="BL62" s="615"/>
      <c r="BM62" s="616"/>
      <c r="BN62" s="616"/>
      <c r="BO62" s="245">
        <f t="shared" si="72"/>
        <v>0</v>
      </c>
      <c r="BP62" s="245">
        <f t="shared" ref="BP62:BP93" si="100">IF(BL$2="-","-",IF($E62+$F62+$G62=1,BO62*$E62,IF($D62="uns",BO62*HLOOKUP(BL$2,Verteil_sw,46,FALSE),IF($D62="unm",BO62*HLOOKUP(BL$2,Verteil_sw,47,FALSE),IF($D62="unr",BO62*HLOOKUP(BL$2,Verteil_sw,48,FALSE),IF($D62="unk",BO62*HLOOKUP(BL$2,Verteil_sw,49,FALSE),IF($D62="alz",BO62*HLOOKUP(BL$2,Verteil_sw,51,FALSE),0)))))))</f>
        <v>0</v>
      </c>
      <c r="BQ62" s="245">
        <f t="shared" ref="BQ62:BQ93" si="101">IF(BL$2="-","-",IF($E62+$F62+$G62=1,BO62*$F62,IF($D62="uns",BO62*HLOOKUP(BL$2,Verteil_rwgr,45,FALSE),IF($D62="unm",BO62*HLOOKUP(BL$2,Verteil_rwgr,46,FALSE),IF($D62="unr",BO62*HLOOKUP(BL$2,Verteil_rwgr,47,FALSE),IF($D62="unk",BO62*HLOOKUP(BL$2,Verteil_rwgr,48,FALSE),IF($D62="alz",BO62*HLOOKUP(BL$2,Verteil_rwgr,50,FALSE),0)))))))</f>
        <v>0</v>
      </c>
      <c r="BR62" s="237">
        <f t="shared" ref="BR62:BR93" si="102">IF(BL$2="-","-",IF($E62+$F62+$G62=1,BO62*$G62,IF($D62="uns",BO62*HLOOKUP(BL$2,Verteil_rwst,44,FALSE),IF($D62="unm",BO62*HLOOKUP(BL$2,Verteil_rwst,45,FALSE),IF($D62="unr",BO62*HLOOKUP(BL$2,Verteil_rwst,46,FALSE),IF($D62="unk",BO62*HLOOKUP(BL$2,Verteil_rwst,47,FALSE),IF($D62="alz",BO62*HLOOKUP(BL$2,Verteil_rwst,49,FALSE),0)))))))</f>
        <v>0</v>
      </c>
    </row>
    <row r="63" spans="1:70" x14ac:dyDescent="0.3">
      <c r="A63" s="521" t="s">
        <v>880</v>
      </c>
      <c r="B63" s="188"/>
      <c r="C63" s="522"/>
      <c r="D63" s="188"/>
      <c r="E63" s="612"/>
      <c r="F63" s="612"/>
      <c r="G63" s="613"/>
      <c r="H63" s="615"/>
      <c r="I63" s="616"/>
      <c r="J63" s="616"/>
      <c r="K63" s="245">
        <f t="shared" si="63"/>
        <v>0</v>
      </c>
      <c r="L63" s="245">
        <f t="shared" si="76"/>
        <v>0</v>
      </c>
      <c r="M63" s="245">
        <f t="shared" si="77"/>
        <v>0</v>
      </c>
      <c r="N63" s="237">
        <f t="shared" si="78"/>
        <v>0</v>
      </c>
      <c r="O63" s="615"/>
      <c r="P63" s="616"/>
      <c r="Q63" s="616"/>
      <c r="R63" s="245">
        <f t="shared" si="64"/>
        <v>0</v>
      </c>
      <c r="S63" s="245">
        <f t="shared" si="79"/>
        <v>0</v>
      </c>
      <c r="T63" s="245">
        <f t="shared" si="80"/>
        <v>0</v>
      </c>
      <c r="U63" s="237">
        <f t="shared" si="81"/>
        <v>0</v>
      </c>
      <c r="V63" s="615"/>
      <c r="W63" s="616"/>
      <c r="X63" s="616"/>
      <c r="Y63" s="245">
        <f t="shared" si="65"/>
        <v>0</v>
      </c>
      <c r="Z63" s="245">
        <f t="shared" si="82"/>
        <v>0</v>
      </c>
      <c r="AA63" s="245">
        <f t="shared" si="83"/>
        <v>0</v>
      </c>
      <c r="AB63" s="237">
        <f t="shared" si="84"/>
        <v>0</v>
      </c>
      <c r="AC63" s="615"/>
      <c r="AD63" s="616"/>
      <c r="AE63" s="616"/>
      <c r="AF63" s="245">
        <f t="shared" si="66"/>
        <v>0</v>
      </c>
      <c r="AG63" s="245">
        <f t="shared" si="85"/>
        <v>0</v>
      </c>
      <c r="AH63" s="245">
        <f t="shared" si="86"/>
        <v>0</v>
      </c>
      <c r="AI63" s="237">
        <f t="shared" si="87"/>
        <v>0</v>
      </c>
      <c r="AJ63" s="615"/>
      <c r="AK63" s="616"/>
      <c r="AL63" s="616"/>
      <c r="AM63" s="245">
        <f t="shared" si="67"/>
        <v>0</v>
      </c>
      <c r="AN63" s="245">
        <f t="shared" si="88"/>
        <v>0</v>
      </c>
      <c r="AO63" s="245">
        <f t="shared" si="89"/>
        <v>0</v>
      </c>
      <c r="AP63" s="237">
        <f t="shared" si="90"/>
        <v>0</v>
      </c>
      <c r="AQ63" s="615"/>
      <c r="AR63" s="616"/>
      <c r="AS63" s="616"/>
      <c r="AT63" s="245">
        <f t="shared" si="68"/>
        <v>0</v>
      </c>
      <c r="AU63" s="245">
        <f t="shared" si="91"/>
        <v>0</v>
      </c>
      <c r="AV63" s="245">
        <f t="shared" si="92"/>
        <v>0</v>
      </c>
      <c r="AW63" s="237">
        <f t="shared" si="93"/>
        <v>0</v>
      </c>
      <c r="AX63" s="615"/>
      <c r="AY63" s="616"/>
      <c r="AZ63" s="616"/>
      <c r="BA63" s="245">
        <f t="shared" si="69"/>
        <v>0</v>
      </c>
      <c r="BB63" s="245">
        <f t="shared" si="94"/>
        <v>0</v>
      </c>
      <c r="BC63" s="245">
        <f t="shared" si="95"/>
        <v>0</v>
      </c>
      <c r="BD63" s="237">
        <f t="shared" si="96"/>
        <v>0</v>
      </c>
      <c r="BE63" s="615"/>
      <c r="BF63" s="616"/>
      <c r="BG63" s="616"/>
      <c r="BH63" s="245">
        <f t="shared" si="71"/>
        <v>0</v>
      </c>
      <c r="BI63" s="245">
        <f t="shared" si="97"/>
        <v>0</v>
      </c>
      <c r="BJ63" s="245">
        <f t="shared" si="98"/>
        <v>0</v>
      </c>
      <c r="BK63" s="237">
        <f t="shared" si="99"/>
        <v>0</v>
      </c>
      <c r="BL63" s="615"/>
      <c r="BM63" s="616"/>
      <c r="BN63" s="616"/>
      <c r="BO63" s="245">
        <f t="shared" si="72"/>
        <v>0</v>
      </c>
      <c r="BP63" s="245">
        <f t="shared" si="100"/>
        <v>0</v>
      </c>
      <c r="BQ63" s="245">
        <f t="shared" si="101"/>
        <v>0</v>
      </c>
      <c r="BR63" s="237">
        <f t="shared" si="102"/>
        <v>0</v>
      </c>
    </row>
    <row r="64" spans="1:70" x14ac:dyDescent="0.3">
      <c r="A64" s="521" t="s">
        <v>881</v>
      </c>
      <c r="B64" s="188"/>
      <c r="C64" s="522"/>
      <c r="D64" s="188"/>
      <c r="E64" s="612"/>
      <c r="F64" s="612"/>
      <c r="G64" s="613"/>
      <c r="H64" s="615"/>
      <c r="I64" s="616"/>
      <c r="J64" s="616"/>
      <c r="K64" s="245">
        <f t="shared" si="63"/>
        <v>0</v>
      </c>
      <c r="L64" s="245">
        <f t="shared" si="76"/>
        <v>0</v>
      </c>
      <c r="M64" s="245">
        <f t="shared" si="77"/>
        <v>0</v>
      </c>
      <c r="N64" s="237">
        <f t="shared" si="78"/>
        <v>0</v>
      </c>
      <c r="O64" s="615"/>
      <c r="P64" s="616"/>
      <c r="Q64" s="616"/>
      <c r="R64" s="245">
        <f t="shared" si="64"/>
        <v>0</v>
      </c>
      <c r="S64" s="245">
        <f t="shared" si="79"/>
        <v>0</v>
      </c>
      <c r="T64" s="245">
        <f t="shared" si="80"/>
        <v>0</v>
      </c>
      <c r="U64" s="237">
        <f t="shared" si="81"/>
        <v>0</v>
      </c>
      <c r="V64" s="615"/>
      <c r="W64" s="616"/>
      <c r="X64" s="616"/>
      <c r="Y64" s="245">
        <f t="shared" si="65"/>
        <v>0</v>
      </c>
      <c r="Z64" s="245">
        <f t="shared" si="82"/>
        <v>0</v>
      </c>
      <c r="AA64" s="245">
        <f t="shared" si="83"/>
        <v>0</v>
      </c>
      <c r="AB64" s="237">
        <f t="shared" si="84"/>
        <v>0</v>
      </c>
      <c r="AC64" s="615"/>
      <c r="AD64" s="616"/>
      <c r="AE64" s="616"/>
      <c r="AF64" s="245">
        <f t="shared" si="66"/>
        <v>0</v>
      </c>
      <c r="AG64" s="245">
        <f t="shared" si="85"/>
        <v>0</v>
      </c>
      <c r="AH64" s="245">
        <f t="shared" si="86"/>
        <v>0</v>
      </c>
      <c r="AI64" s="237">
        <f t="shared" si="87"/>
        <v>0</v>
      </c>
      <c r="AJ64" s="615"/>
      <c r="AK64" s="616"/>
      <c r="AL64" s="616"/>
      <c r="AM64" s="245">
        <f t="shared" si="67"/>
        <v>0</v>
      </c>
      <c r="AN64" s="245">
        <f t="shared" si="88"/>
        <v>0</v>
      </c>
      <c r="AO64" s="245">
        <f t="shared" si="89"/>
        <v>0</v>
      </c>
      <c r="AP64" s="237">
        <f t="shared" si="90"/>
        <v>0</v>
      </c>
      <c r="AQ64" s="615"/>
      <c r="AR64" s="616"/>
      <c r="AS64" s="616"/>
      <c r="AT64" s="245">
        <f t="shared" si="68"/>
        <v>0</v>
      </c>
      <c r="AU64" s="245">
        <f t="shared" si="91"/>
        <v>0</v>
      </c>
      <c r="AV64" s="245">
        <f t="shared" si="92"/>
        <v>0</v>
      </c>
      <c r="AW64" s="237">
        <f t="shared" si="93"/>
        <v>0</v>
      </c>
      <c r="AX64" s="615"/>
      <c r="AY64" s="616"/>
      <c r="AZ64" s="616"/>
      <c r="BA64" s="245">
        <f t="shared" si="69"/>
        <v>0</v>
      </c>
      <c r="BB64" s="245">
        <f t="shared" si="94"/>
        <v>0</v>
      </c>
      <c r="BC64" s="245">
        <f t="shared" si="95"/>
        <v>0</v>
      </c>
      <c r="BD64" s="237">
        <f t="shared" si="96"/>
        <v>0</v>
      </c>
      <c r="BE64" s="615"/>
      <c r="BF64" s="616"/>
      <c r="BG64" s="616"/>
      <c r="BH64" s="245">
        <f t="shared" si="71"/>
        <v>0</v>
      </c>
      <c r="BI64" s="245">
        <f t="shared" si="97"/>
        <v>0</v>
      </c>
      <c r="BJ64" s="245">
        <f t="shared" si="98"/>
        <v>0</v>
      </c>
      <c r="BK64" s="237">
        <f t="shared" si="99"/>
        <v>0</v>
      </c>
      <c r="BL64" s="615"/>
      <c r="BM64" s="616"/>
      <c r="BN64" s="616"/>
      <c r="BO64" s="245">
        <f t="shared" si="72"/>
        <v>0</v>
      </c>
      <c r="BP64" s="245">
        <f t="shared" si="100"/>
        <v>0</v>
      </c>
      <c r="BQ64" s="245">
        <f t="shared" si="101"/>
        <v>0</v>
      </c>
      <c r="BR64" s="237">
        <f t="shared" si="102"/>
        <v>0</v>
      </c>
    </row>
    <row r="65" spans="1:70" x14ac:dyDescent="0.3">
      <c r="A65" s="521" t="s">
        <v>882</v>
      </c>
      <c r="B65" s="188"/>
      <c r="C65" s="522"/>
      <c r="D65" s="188"/>
      <c r="E65" s="612"/>
      <c r="F65" s="612"/>
      <c r="G65" s="613"/>
      <c r="H65" s="615"/>
      <c r="I65" s="616"/>
      <c r="J65" s="616"/>
      <c r="K65" s="245">
        <f t="shared" si="63"/>
        <v>0</v>
      </c>
      <c r="L65" s="245">
        <f t="shared" si="76"/>
        <v>0</v>
      </c>
      <c r="M65" s="245">
        <f t="shared" si="77"/>
        <v>0</v>
      </c>
      <c r="N65" s="237">
        <f t="shared" si="78"/>
        <v>0</v>
      </c>
      <c r="O65" s="615"/>
      <c r="P65" s="616"/>
      <c r="Q65" s="616"/>
      <c r="R65" s="245">
        <f t="shared" si="64"/>
        <v>0</v>
      </c>
      <c r="S65" s="245">
        <f t="shared" si="79"/>
        <v>0</v>
      </c>
      <c r="T65" s="245">
        <f t="shared" si="80"/>
        <v>0</v>
      </c>
      <c r="U65" s="237">
        <f t="shared" si="81"/>
        <v>0</v>
      </c>
      <c r="V65" s="615"/>
      <c r="W65" s="616"/>
      <c r="X65" s="616"/>
      <c r="Y65" s="245">
        <f t="shared" si="65"/>
        <v>0</v>
      </c>
      <c r="Z65" s="245">
        <f t="shared" si="82"/>
        <v>0</v>
      </c>
      <c r="AA65" s="245">
        <f t="shared" si="83"/>
        <v>0</v>
      </c>
      <c r="AB65" s="237">
        <f t="shared" si="84"/>
        <v>0</v>
      </c>
      <c r="AC65" s="615"/>
      <c r="AD65" s="616"/>
      <c r="AE65" s="616"/>
      <c r="AF65" s="245">
        <f t="shared" si="66"/>
        <v>0</v>
      </c>
      <c r="AG65" s="245">
        <f t="shared" si="85"/>
        <v>0</v>
      </c>
      <c r="AH65" s="245">
        <f t="shared" si="86"/>
        <v>0</v>
      </c>
      <c r="AI65" s="237">
        <f t="shared" si="87"/>
        <v>0</v>
      </c>
      <c r="AJ65" s="615"/>
      <c r="AK65" s="616"/>
      <c r="AL65" s="616"/>
      <c r="AM65" s="245">
        <f t="shared" si="67"/>
        <v>0</v>
      </c>
      <c r="AN65" s="245">
        <f t="shared" si="88"/>
        <v>0</v>
      </c>
      <c r="AO65" s="245">
        <f t="shared" si="89"/>
        <v>0</v>
      </c>
      <c r="AP65" s="237">
        <f t="shared" si="90"/>
        <v>0</v>
      </c>
      <c r="AQ65" s="615"/>
      <c r="AR65" s="616"/>
      <c r="AS65" s="616"/>
      <c r="AT65" s="245">
        <f t="shared" si="68"/>
        <v>0</v>
      </c>
      <c r="AU65" s="245">
        <f t="shared" si="91"/>
        <v>0</v>
      </c>
      <c r="AV65" s="245">
        <f t="shared" si="92"/>
        <v>0</v>
      </c>
      <c r="AW65" s="237">
        <f t="shared" si="93"/>
        <v>0</v>
      </c>
      <c r="AX65" s="615"/>
      <c r="AY65" s="616"/>
      <c r="AZ65" s="616"/>
      <c r="BA65" s="245">
        <f t="shared" si="69"/>
        <v>0</v>
      </c>
      <c r="BB65" s="245">
        <f t="shared" si="94"/>
        <v>0</v>
      </c>
      <c r="BC65" s="245">
        <f t="shared" si="95"/>
        <v>0</v>
      </c>
      <c r="BD65" s="237">
        <f t="shared" si="96"/>
        <v>0</v>
      </c>
      <c r="BE65" s="615"/>
      <c r="BF65" s="616"/>
      <c r="BG65" s="616"/>
      <c r="BH65" s="245">
        <f t="shared" si="71"/>
        <v>0</v>
      </c>
      <c r="BI65" s="245">
        <f t="shared" si="97"/>
        <v>0</v>
      </c>
      <c r="BJ65" s="245">
        <f t="shared" si="98"/>
        <v>0</v>
      </c>
      <c r="BK65" s="237">
        <f t="shared" si="99"/>
        <v>0</v>
      </c>
      <c r="BL65" s="615"/>
      <c r="BM65" s="616"/>
      <c r="BN65" s="616"/>
      <c r="BO65" s="245">
        <f t="shared" si="72"/>
        <v>0</v>
      </c>
      <c r="BP65" s="245">
        <f t="shared" si="100"/>
        <v>0</v>
      </c>
      <c r="BQ65" s="245">
        <f t="shared" si="101"/>
        <v>0</v>
      </c>
      <c r="BR65" s="237">
        <f t="shared" si="102"/>
        <v>0</v>
      </c>
    </row>
    <row r="66" spans="1:70" x14ac:dyDescent="0.3">
      <c r="A66" s="521" t="s">
        <v>883</v>
      </c>
      <c r="B66" s="188"/>
      <c r="C66" s="522"/>
      <c r="D66" s="188"/>
      <c r="E66" s="612"/>
      <c r="F66" s="612"/>
      <c r="G66" s="613"/>
      <c r="H66" s="615"/>
      <c r="I66" s="616"/>
      <c r="J66" s="616"/>
      <c r="K66" s="245">
        <f t="shared" si="63"/>
        <v>0</v>
      </c>
      <c r="L66" s="245">
        <f t="shared" si="76"/>
        <v>0</v>
      </c>
      <c r="M66" s="245">
        <f t="shared" si="77"/>
        <v>0</v>
      </c>
      <c r="N66" s="237">
        <f t="shared" si="78"/>
        <v>0</v>
      </c>
      <c r="O66" s="615"/>
      <c r="P66" s="616"/>
      <c r="Q66" s="616"/>
      <c r="R66" s="245">
        <f t="shared" si="64"/>
        <v>0</v>
      </c>
      <c r="S66" s="245">
        <f t="shared" si="79"/>
        <v>0</v>
      </c>
      <c r="T66" s="245">
        <f t="shared" si="80"/>
        <v>0</v>
      </c>
      <c r="U66" s="237">
        <f t="shared" si="81"/>
        <v>0</v>
      </c>
      <c r="V66" s="615"/>
      <c r="W66" s="616"/>
      <c r="X66" s="616"/>
      <c r="Y66" s="245">
        <f t="shared" si="65"/>
        <v>0</v>
      </c>
      <c r="Z66" s="245">
        <f t="shared" si="82"/>
        <v>0</v>
      </c>
      <c r="AA66" s="245">
        <f t="shared" si="83"/>
        <v>0</v>
      </c>
      <c r="AB66" s="237">
        <f t="shared" si="84"/>
        <v>0</v>
      </c>
      <c r="AC66" s="615"/>
      <c r="AD66" s="616"/>
      <c r="AE66" s="616"/>
      <c r="AF66" s="245">
        <f t="shared" si="66"/>
        <v>0</v>
      </c>
      <c r="AG66" s="245">
        <f t="shared" si="85"/>
        <v>0</v>
      </c>
      <c r="AH66" s="245">
        <f t="shared" si="86"/>
        <v>0</v>
      </c>
      <c r="AI66" s="237">
        <f t="shared" si="87"/>
        <v>0</v>
      </c>
      <c r="AJ66" s="615"/>
      <c r="AK66" s="616"/>
      <c r="AL66" s="616"/>
      <c r="AM66" s="245">
        <f t="shared" si="67"/>
        <v>0</v>
      </c>
      <c r="AN66" s="245">
        <f t="shared" si="88"/>
        <v>0</v>
      </c>
      <c r="AO66" s="245">
        <f t="shared" si="89"/>
        <v>0</v>
      </c>
      <c r="AP66" s="237">
        <f t="shared" si="90"/>
        <v>0</v>
      </c>
      <c r="AQ66" s="615"/>
      <c r="AR66" s="616"/>
      <c r="AS66" s="616"/>
      <c r="AT66" s="245">
        <f t="shared" si="68"/>
        <v>0</v>
      </c>
      <c r="AU66" s="245">
        <f t="shared" si="91"/>
        <v>0</v>
      </c>
      <c r="AV66" s="245">
        <f t="shared" si="92"/>
        <v>0</v>
      </c>
      <c r="AW66" s="237">
        <f t="shared" si="93"/>
        <v>0</v>
      </c>
      <c r="AX66" s="615"/>
      <c r="AY66" s="616"/>
      <c r="AZ66" s="616"/>
      <c r="BA66" s="245">
        <f t="shared" si="69"/>
        <v>0</v>
      </c>
      <c r="BB66" s="245">
        <f t="shared" si="94"/>
        <v>0</v>
      </c>
      <c r="BC66" s="245">
        <f t="shared" si="95"/>
        <v>0</v>
      </c>
      <c r="BD66" s="237">
        <f t="shared" si="96"/>
        <v>0</v>
      </c>
      <c r="BE66" s="615"/>
      <c r="BF66" s="616"/>
      <c r="BG66" s="616"/>
      <c r="BH66" s="245">
        <f t="shared" si="71"/>
        <v>0</v>
      </c>
      <c r="BI66" s="245">
        <f t="shared" si="97"/>
        <v>0</v>
      </c>
      <c r="BJ66" s="245">
        <f t="shared" si="98"/>
        <v>0</v>
      </c>
      <c r="BK66" s="237">
        <f t="shared" si="99"/>
        <v>0</v>
      </c>
      <c r="BL66" s="615"/>
      <c r="BM66" s="616"/>
      <c r="BN66" s="616"/>
      <c r="BO66" s="245">
        <f t="shared" si="72"/>
        <v>0</v>
      </c>
      <c r="BP66" s="245">
        <f t="shared" si="100"/>
        <v>0</v>
      </c>
      <c r="BQ66" s="245">
        <f t="shared" si="101"/>
        <v>0</v>
      </c>
      <c r="BR66" s="237">
        <f t="shared" si="102"/>
        <v>0</v>
      </c>
    </row>
    <row r="67" spans="1:70" x14ac:dyDescent="0.3">
      <c r="A67" s="521" t="s">
        <v>884</v>
      </c>
      <c r="B67" s="188"/>
      <c r="C67" s="522"/>
      <c r="D67" s="188"/>
      <c r="E67" s="612"/>
      <c r="F67" s="612"/>
      <c r="G67" s="613"/>
      <c r="H67" s="615"/>
      <c r="I67" s="616"/>
      <c r="J67" s="616"/>
      <c r="K67" s="245">
        <f t="shared" si="63"/>
        <v>0</v>
      </c>
      <c r="L67" s="245">
        <f t="shared" si="76"/>
        <v>0</v>
      </c>
      <c r="M67" s="245">
        <f t="shared" si="77"/>
        <v>0</v>
      </c>
      <c r="N67" s="237">
        <f t="shared" si="78"/>
        <v>0</v>
      </c>
      <c r="O67" s="615"/>
      <c r="P67" s="616"/>
      <c r="Q67" s="616"/>
      <c r="R67" s="245">
        <f t="shared" si="64"/>
        <v>0</v>
      </c>
      <c r="S67" s="245">
        <f t="shared" si="79"/>
        <v>0</v>
      </c>
      <c r="T67" s="245">
        <f t="shared" si="80"/>
        <v>0</v>
      </c>
      <c r="U67" s="237">
        <f t="shared" si="81"/>
        <v>0</v>
      </c>
      <c r="V67" s="615"/>
      <c r="W67" s="616"/>
      <c r="X67" s="616"/>
      <c r="Y67" s="245">
        <f t="shared" si="65"/>
        <v>0</v>
      </c>
      <c r="Z67" s="245">
        <f t="shared" si="82"/>
        <v>0</v>
      </c>
      <c r="AA67" s="245">
        <f t="shared" si="83"/>
        <v>0</v>
      </c>
      <c r="AB67" s="237">
        <f t="shared" si="84"/>
        <v>0</v>
      </c>
      <c r="AC67" s="615"/>
      <c r="AD67" s="616"/>
      <c r="AE67" s="616"/>
      <c r="AF67" s="245">
        <f t="shared" si="66"/>
        <v>0</v>
      </c>
      <c r="AG67" s="245">
        <f t="shared" si="85"/>
        <v>0</v>
      </c>
      <c r="AH67" s="245">
        <f t="shared" si="86"/>
        <v>0</v>
      </c>
      <c r="AI67" s="237">
        <f t="shared" si="87"/>
        <v>0</v>
      </c>
      <c r="AJ67" s="615"/>
      <c r="AK67" s="616"/>
      <c r="AL67" s="616"/>
      <c r="AM67" s="245">
        <f t="shared" si="67"/>
        <v>0</v>
      </c>
      <c r="AN67" s="245">
        <f t="shared" si="88"/>
        <v>0</v>
      </c>
      <c r="AO67" s="245">
        <f t="shared" si="89"/>
        <v>0</v>
      </c>
      <c r="AP67" s="237">
        <f t="shared" si="90"/>
        <v>0</v>
      </c>
      <c r="AQ67" s="615"/>
      <c r="AR67" s="616"/>
      <c r="AS67" s="616"/>
      <c r="AT67" s="245">
        <f t="shared" si="68"/>
        <v>0</v>
      </c>
      <c r="AU67" s="245">
        <f t="shared" si="91"/>
        <v>0</v>
      </c>
      <c r="AV67" s="245">
        <f t="shared" si="92"/>
        <v>0</v>
      </c>
      <c r="AW67" s="237">
        <f t="shared" si="93"/>
        <v>0</v>
      </c>
      <c r="AX67" s="615"/>
      <c r="AY67" s="616"/>
      <c r="AZ67" s="616"/>
      <c r="BA67" s="245">
        <f t="shared" si="69"/>
        <v>0</v>
      </c>
      <c r="BB67" s="245">
        <f t="shared" si="94"/>
        <v>0</v>
      </c>
      <c r="BC67" s="245">
        <f t="shared" si="95"/>
        <v>0</v>
      </c>
      <c r="BD67" s="237">
        <f t="shared" si="96"/>
        <v>0</v>
      </c>
      <c r="BE67" s="615"/>
      <c r="BF67" s="616"/>
      <c r="BG67" s="616"/>
      <c r="BH67" s="245">
        <f t="shared" si="71"/>
        <v>0</v>
      </c>
      <c r="BI67" s="245">
        <f t="shared" si="97"/>
        <v>0</v>
      </c>
      <c r="BJ67" s="245">
        <f t="shared" si="98"/>
        <v>0</v>
      </c>
      <c r="BK67" s="237">
        <f t="shared" si="99"/>
        <v>0</v>
      </c>
      <c r="BL67" s="615"/>
      <c r="BM67" s="616"/>
      <c r="BN67" s="616"/>
      <c r="BO67" s="245">
        <f t="shared" si="72"/>
        <v>0</v>
      </c>
      <c r="BP67" s="245">
        <f t="shared" si="100"/>
        <v>0</v>
      </c>
      <c r="BQ67" s="245">
        <f t="shared" si="101"/>
        <v>0</v>
      </c>
      <c r="BR67" s="237">
        <f t="shared" si="102"/>
        <v>0</v>
      </c>
    </row>
    <row r="68" spans="1:70" x14ac:dyDescent="0.3">
      <c r="A68" s="521" t="s">
        <v>885</v>
      </c>
      <c r="B68" s="188"/>
      <c r="C68" s="522"/>
      <c r="D68" s="188"/>
      <c r="E68" s="612"/>
      <c r="F68" s="612"/>
      <c r="G68" s="613"/>
      <c r="H68" s="615"/>
      <c r="I68" s="616"/>
      <c r="J68" s="616"/>
      <c r="K68" s="245">
        <f t="shared" si="63"/>
        <v>0</v>
      </c>
      <c r="L68" s="245">
        <f t="shared" si="76"/>
        <v>0</v>
      </c>
      <c r="M68" s="245">
        <f t="shared" si="77"/>
        <v>0</v>
      </c>
      <c r="N68" s="237">
        <f t="shared" si="78"/>
        <v>0</v>
      </c>
      <c r="O68" s="615"/>
      <c r="P68" s="616"/>
      <c r="Q68" s="616"/>
      <c r="R68" s="245">
        <f t="shared" si="64"/>
        <v>0</v>
      </c>
      <c r="S68" s="245">
        <f t="shared" si="79"/>
        <v>0</v>
      </c>
      <c r="T68" s="245">
        <f t="shared" si="80"/>
        <v>0</v>
      </c>
      <c r="U68" s="237">
        <f t="shared" si="81"/>
        <v>0</v>
      </c>
      <c r="V68" s="615"/>
      <c r="W68" s="616"/>
      <c r="X68" s="616"/>
      <c r="Y68" s="245">
        <f t="shared" si="65"/>
        <v>0</v>
      </c>
      <c r="Z68" s="245">
        <f t="shared" si="82"/>
        <v>0</v>
      </c>
      <c r="AA68" s="245">
        <f t="shared" si="83"/>
        <v>0</v>
      </c>
      <c r="AB68" s="237">
        <f t="shared" si="84"/>
        <v>0</v>
      </c>
      <c r="AC68" s="615"/>
      <c r="AD68" s="616"/>
      <c r="AE68" s="616"/>
      <c r="AF68" s="245">
        <f t="shared" si="66"/>
        <v>0</v>
      </c>
      <c r="AG68" s="245">
        <f t="shared" si="85"/>
        <v>0</v>
      </c>
      <c r="AH68" s="245">
        <f t="shared" si="86"/>
        <v>0</v>
      </c>
      <c r="AI68" s="237">
        <f t="shared" si="87"/>
        <v>0</v>
      </c>
      <c r="AJ68" s="615"/>
      <c r="AK68" s="616"/>
      <c r="AL68" s="616"/>
      <c r="AM68" s="245">
        <f t="shared" si="67"/>
        <v>0</v>
      </c>
      <c r="AN68" s="245">
        <f t="shared" si="88"/>
        <v>0</v>
      </c>
      <c r="AO68" s="245">
        <f t="shared" si="89"/>
        <v>0</v>
      </c>
      <c r="AP68" s="237">
        <f t="shared" si="90"/>
        <v>0</v>
      </c>
      <c r="AQ68" s="615"/>
      <c r="AR68" s="616"/>
      <c r="AS68" s="616"/>
      <c r="AT68" s="245">
        <f t="shared" si="68"/>
        <v>0</v>
      </c>
      <c r="AU68" s="245">
        <f t="shared" si="91"/>
        <v>0</v>
      </c>
      <c r="AV68" s="245">
        <f t="shared" si="92"/>
        <v>0</v>
      </c>
      <c r="AW68" s="237">
        <f t="shared" si="93"/>
        <v>0</v>
      </c>
      <c r="AX68" s="615"/>
      <c r="AY68" s="616"/>
      <c r="AZ68" s="616"/>
      <c r="BA68" s="245">
        <f t="shared" si="69"/>
        <v>0</v>
      </c>
      <c r="BB68" s="245">
        <f t="shared" si="94"/>
        <v>0</v>
      </c>
      <c r="BC68" s="245">
        <f t="shared" si="95"/>
        <v>0</v>
      </c>
      <c r="BD68" s="237">
        <f t="shared" si="96"/>
        <v>0</v>
      </c>
      <c r="BE68" s="615"/>
      <c r="BF68" s="616"/>
      <c r="BG68" s="616"/>
      <c r="BH68" s="245">
        <f t="shared" si="71"/>
        <v>0</v>
      </c>
      <c r="BI68" s="245">
        <f t="shared" si="97"/>
        <v>0</v>
      </c>
      <c r="BJ68" s="245">
        <f t="shared" si="98"/>
        <v>0</v>
      </c>
      <c r="BK68" s="237">
        <f t="shared" si="99"/>
        <v>0</v>
      </c>
      <c r="BL68" s="615"/>
      <c r="BM68" s="616"/>
      <c r="BN68" s="616"/>
      <c r="BO68" s="245">
        <f t="shared" si="72"/>
        <v>0</v>
      </c>
      <c r="BP68" s="245">
        <f t="shared" si="100"/>
        <v>0</v>
      </c>
      <c r="BQ68" s="245">
        <f t="shared" si="101"/>
        <v>0</v>
      </c>
      <c r="BR68" s="237">
        <f t="shared" si="102"/>
        <v>0</v>
      </c>
    </row>
    <row r="69" spans="1:70" x14ac:dyDescent="0.3">
      <c r="A69" s="521" t="s">
        <v>886</v>
      </c>
      <c r="B69" s="188"/>
      <c r="C69" s="522"/>
      <c r="D69" s="188"/>
      <c r="E69" s="612"/>
      <c r="F69" s="612"/>
      <c r="G69" s="613"/>
      <c r="H69" s="615"/>
      <c r="I69" s="616"/>
      <c r="J69" s="616"/>
      <c r="K69" s="245">
        <f t="shared" si="63"/>
        <v>0</v>
      </c>
      <c r="L69" s="245">
        <f t="shared" si="76"/>
        <v>0</v>
      </c>
      <c r="M69" s="245">
        <f t="shared" si="77"/>
        <v>0</v>
      </c>
      <c r="N69" s="237">
        <f t="shared" si="78"/>
        <v>0</v>
      </c>
      <c r="O69" s="615"/>
      <c r="P69" s="616"/>
      <c r="Q69" s="616"/>
      <c r="R69" s="245">
        <f t="shared" si="64"/>
        <v>0</v>
      </c>
      <c r="S69" s="245">
        <f t="shared" si="79"/>
        <v>0</v>
      </c>
      <c r="T69" s="245">
        <f t="shared" si="80"/>
        <v>0</v>
      </c>
      <c r="U69" s="237">
        <f t="shared" si="81"/>
        <v>0</v>
      </c>
      <c r="V69" s="615"/>
      <c r="W69" s="616"/>
      <c r="X69" s="616"/>
      <c r="Y69" s="245">
        <f t="shared" si="65"/>
        <v>0</v>
      </c>
      <c r="Z69" s="245">
        <f t="shared" si="82"/>
        <v>0</v>
      </c>
      <c r="AA69" s="245">
        <f t="shared" si="83"/>
        <v>0</v>
      </c>
      <c r="AB69" s="237">
        <f t="shared" si="84"/>
        <v>0</v>
      </c>
      <c r="AC69" s="615"/>
      <c r="AD69" s="616"/>
      <c r="AE69" s="616"/>
      <c r="AF69" s="245">
        <f t="shared" si="66"/>
        <v>0</v>
      </c>
      <c r="AG69" s="245">
        <f t="shared" si="85"/>
        <v>0</v>
      </c>
      <c r="AH69" s="245">
        <f t="shared" si="86"/>
        <v>0</v>
      </c>
      <c r="AI69" s="237">
        <f t="shared" si="87"/>
        <v>0</v>
      </c>
      <c r="AJ69" s="615"/>
      <c r="AK69" s="616"/>
      <c r="AL69" s="616"/>
      <c r="AM69" s="245">
        <f t="shared" si="67"/>
        <v>0</v>
      </c>
      <c r="AN69" s="245">
        <f t="shared" si="88"/>
        <v>0</v>
      </c>
      <c r="AO69" s="245">
        <f t="shared" si="89"/>
        <v>0</v>
      </c>
      <c r="AP69" s="237">
        <f t="shared" si="90"/>
        <v>0</v>
      </c>
      <c r="AQ69" s="615"/>
      <c r="AR69" s="616"/>
      <c r="AS69" s="616"/>
      <c r="AT69" s="245">
        <f t="shared" si="68"/>
        <v>0</v>
      </c>
      <c r="AU69" s="245">
        <f t="shared" si="91"/>
        <v>0</v>
      </c>
      <c r="AV69" s="245">
        <f t="shared" si="92"/>
        <v>0</v>
      </c>
      <c r="AW69" s="237">
        <f t="shared" si="93"/>
        <v>0</v>
      </c>
      <c r="AX69" s="615"/>
      <c r="AY69" s="616"/>
      <c r="AZ69" s="616"/>
      <c r="BA69" s="245">
        <f t="shared" si="69"/>
        <v>0</v>
      </c>
      <c r="BB69" s="245">
        <f t="shared" si="94"/>
        <v>0</v>
      </c>
      <c r="BC69" s="245">
        <f t="shared" si="95"/>
        <v>0</v>
      </c>
      <c r="BD69" s="237">
        <f t="shared" si="96"/>
        <v>0</v>
      </c>
      <c r="BE69" s="615"/>
      <c r="BF69" s="616"/>
      <c r="BG69" s="616"/>
      <c r="BH69" s="245">
        <f t="shared" si="71"/>
        <v>0</v>
      </c>
      <c r="BI69" s="245">
        <f t="shared" si="97"/>
        <v>0</v>
      </c>
      <c r="BJ69" s="245">
        <f t="shared" si="98"/>
        <v>0</v>
      </c>
      <c r="BK69" s="237">
        <f t="shared" si="99"/>
        <v>0</v>
      </c>
      <c r="BL69" s="615"/>
      <c r="BM69" s="616"/>
      <c r="BN69" s="616"/>
      <c r="BO69" s="245">
        <f t="shared" si="72"/>
        <v>0</v>
      </c>
      <c r="BP69" s="245">
        <f t="shared" si="100"/>
        <v>0</v>
      </c>
      <c r="BQ69" s="245">
        <f t="shared" si="101"/>
        <v>0</v>
      </c>
      <c r="BR69" s="237">
        <f t="shared" si="102"/>
        <v>0</v>
      </c>
    </row>
    <row r="70" spans="1:70" x14ac:dyDescent="0.3">
      <c r="A70" s="521" t="s">
        <v>887</v>
      </c>
      <c r="B70" s="188"/>
      <c r="C70" s="522"/>
      <c r="D70" s="188"/>
      <c r="E70" s="612"/>
      <c r="F70" s="612"/>
      <c r="G70" s="613"/>
      <c r="H70" s="615"/>
      <c r="I70" s="616"/>
      <c r="J70" s="616"/>
      <c r="K70" s="245">
        <f t="shared" si="63"/>
        <v>0</v>
      </c>
      <c r="L70" s="245">
        <f t="shared" si="76"/>
        <v>0</v>
      </c>
      <c r="M70" s="245">
        <f t="shared" si="77"/>
        <v>0</v>
      </c>
      <c r="N70" s="237">
        <f t="shared" si="78"/>
        <v>0</v>
      </c>
      <c r="O70" s="615"/>
      <c r="P70" s="616"/>
      <c r="Q70" s="616"/>
      <c r="R70" s="245">
        <f t="shared" si="64"/>
        <v>0</v>
      </c>
      <c r="S70" s="245">
        <f t="shared" si="79"/>
        <v>0</v>
      </c>
      <c r="T70" s="245">
        <f t="shared" si="80"/>
        <v>0</v>
      </c>
      <c r="U70" s="237">
        <f t="shared" si="81"/>
        <v>0</v>
      </c>
      <c r="V70" s="615"/>
      <c r="W70" s="616"/>
      <c r="X70" s="616"/>
      <c r="Y70" s="245">
        <f t="shared" si="65"/>
        <v>0</v>
      </c>
      <c r="Z70" s="245">
        <f t="shared" si="82"/>
        <v>0</v>
      </c>
      <c r="AA70" s="245">
        <f t="shared" si="83"/>
        <v>0</v>
      </c>
      <c r="AB70" s="237">
        <f t="shared" si="84"/>
        <v>0</v>
      </c>
      <c r="AC70" s="615"/>
      <c r="AD70" s="616"/>
      <c r="AE70" s="616"/>
      <c r="AF70" s="245">
        <f t="shared" si="66"/>
        <v>0</v>
      </c>
      <c r="AG70" s="245">
        <f t="shared" si="85"/>
        <v>0</v>
      </c>
      <c r="AH70" s="245">
        <f t="shared" si="86"/>
        <v>0</v>
      </c>
      <c r="AI70" s="237">
        <f t="shared" si="87"/>
        <v>0</v>
      </c>
      <c r="AJ70" s="615"/>
      <c r="AK70" s="616"/>
      <c r="AL70" s="616"/>
      <c r="AM70" s="245">
        <f t="shared" si="67"/>
        <v>0</v>
      </c>
      <c r="AN70" s="245">
        <f t="shared" si="88"/>
        <v>0</v>
      </c>
      <c r="AO70" s="245">
        <f t="shared" si="89"/>
        <v>0</v>
      </c>
      <c r="AP70" s="237">
        <f t="shared" si="90"/>
        <v>0</v>
      </c>
      <c r="AQ70" s="615"/>
      <c r="AR70" s="616"/>
      <c r="AS70" s="616"/>
      <c r="AT70" s="245">
        <f t="shared" si="68"/>
        <v>0</v>
      </c>
      <c r="AU70" s="245">
        <f t="shared" si="91"/>
        <v>0</v>
      </c>
      <c r="AV70" s="245">
        <f t="shared" si="92"/>
        <v>0</v>
      </c>
      <c r="AW70" s="237">
        <f t="shared" si="93"/>
        <v>0</v>
      </c>
      <c r="AX70" s="615"/>
      <c r="AY70" s="616"/>
      <c r="AZ70" s="616"/>
      <c r="BA70" s="245">
        <f t="shared" si="69"/>
        <v>0</v>
      </c>
      <c r="BB70" s="245">
        <f t="shared" si="94"/>
        <v>0</v>
      </c>
      <c r="BC70" s="245">
        <f t="shared" si="95"/>
        <v>0</v>
      </c>
      <c r="BD70" s="237">
        <f t="shared" si="96"/>
        <v>0</v>
      </c>
      <c r="BE70" s="615"/>
      <c r="BF70" s="616"/>
      <c r="BG70" s="616"/>
      <c r="BH70" s="245">
        <f t="shared" si="71"/>
        <v>0</v>
      </c>
      <c r="BI70" s="245">
        <f t="shared" si="97"/>
        <v>0</v>
      </c>
      <c r="BJ70" s="245">
        <f t="shared" si="98"/>
        <v>0</v>
      </c>
      <c r="BK70" s="237">
        <f t="shared" si="99"/>
        <v>0</v>
      </c>
      <c r="BL70" s="615"/>
      <c r="BM70" s="616"/>
      <c r="BN70" s="616"/>
      <c r="BO70" s="245">
        <f t="shared" si="72"/>
        <v>0</v>
      </c>
      <c r="BP70" s="245">
        <f t="shared" si="100"/>
        <v>0</v>
      </c>
      <c r="BQ70" s="245">
        <f t="shared" si="101"/>
        <v>0</v>
      </c>
      <c r="BR70" s="237">
        <f t="shared" si="102"/>
        <v>0</v>
      </c>
    </row>
    <row r="71" spans="1:70" x14ac:dyDescent="0.3">
      <c r="A71" s="521" t="s">
        <v>888</v>
      </c>
      <c r="B71" s="188"/>
      <c r="C71" s="522"/>
      <c r="D71" s="188"/>
      <c r="E71" s="612"/>
      <c r="F71" s="612"/>
      <c r="G71" s="613"/>
      <c r="H71" s="615"/>
      <c r="I71" s="616"/>
      <c r="J71" s="616"/>
      <c r="K71" s="245">
        <f t="shared" si="63"/>
        <v>0</v>
      </c>
      <c r="L71" s="245">
        <f t="shared" si="76"/>
        <v>0</v>
      </c>
      <c r="M71" s="245">
        <f t="shared" si="77"/>
        <v>0</v>
      </c>
      <c r="N71" s="237">
        <f t="shared" si="78"/>
        <v>0</v>
      </c>
      <c r="O71" s="615"/>
      <c r="P71" s="616"/>
      <c r="Q71" s="616"/>
      <c r="R71" s="245">
        <f t="shared" si="64"/>
        <v>0</v>
      </c>
      <c r="S71" s="245">
        <f t="shared" si="79"/>
        <v>0</v>
      </c>
      <c r="T71" s="245">
        <f t="shared" si="80"/>
        <v>0</v>
      </c>
      <c r="U71" s="237">
        <f t="shared" si="81"/>
        <v>0</v>
      </c>
      <c r="V71" s="615"/>
      <c r="W71" s="616"/>
      <c r="X71" s="616"/>
      <c r="Y71" s="245">
        <f t="shared" si="65"/>
        <v>0</v>
      </c>
      <c r="Z71" s="245">
        <f t="shared" si="82"/>
        <v>0</v>
      </c>
      <c r="AA71" s="245">
        <f t="shared" si="83"/>
        <v>0</v>
      </c>
      <c r="AB71" s="237">
        <f t="shared" si="84"/>
        <v>0</v>
      </c>
      <c r="AC71" s="615"/>
      <c r="AD71" s="616"/>
      <c r="AE71" s="616"/>
      <c r="AF71" s="245">
        <f t="shared" si="66"/>
        <v>0</v>
      </c>
      <c r="AG71" s="245">
        <f t="shared" si="85"/>
        <v>0</v>
      </c>
      <c r="AH71" s="245">
        <f t="shared" si="86"/>
        <v>0</v>
      </c>
      <c r="AI71" s="237">
        <f t="shared" si="87"/>
        <v>0</v>
      </c>
      <c r="AJ71" s="615"/>
      <c r="AK71" s="616"/>
      <c r="AL71" s="616"/>
      <c r="AM71" s="245">
        <f t="shared" si="67"/>
        <v>0</v>
      </c>
      <c r="AN71" s="245">
        <f t="shared" si="88"/>
        <v>0</v>
      </c>
      <c r="AO71" s="245">
        <f t="shared" si="89"/>
        <v>0</v>
      </c>
      <c r="AP71" s="237">
        <f t="shared" si="90"/>
        <v>0</v>
      </c>
      <c r="AQ71" s="615"/>
      <c r="AR71" s="616"/>
      <c r="AS71" s="616"/>
      <c r="AT71" s="245">
        <f t="shared" si="68"/>
        <v>0</v>
      </c>
      <c r="AU71" s="245">
        <f t="shared" si="91"/>
        <v>0</v>
      </c>
      <c r="AV71" s="245">
        <f t="shared" si="92"/>
        <v>0</v>
      </c>
      <c r="AW71" s="237">
        <f t="shared" si="93"/>
        <v>0</v>
      </c>
      <c r="AX71" s="615"/>
      <c r="AY71" s="616"/>
      <c r="AZ71" s="616"/>
      <c r="BA71" s="245">
        <f t="shared" si="69"/>
        <v>0</v>
      </c>
      <c r="BB71" s="245">
        <f t="shared" si="94"/>
        <v>0</v>
      </c>
      <c r="BC71" s="245">
        <f t="shared" si="95"/>
        <v>0</v>
      </c>
      <c r="BD71" s="237">
        <f t="shared" si="96"/>
        <v>0</v>
      </c>
      <c r="BE71" s="615"/>
      <c r="BF71" s="616"/>
      <c r="BG71" s="616"/>
      <c r="BH71" s="245">
        <f t="shared" si="71"/>
        <v>0</v>
      </c>
      <c r="BI71" s="245">
        <f t="shared" si="97"/>
        <v>0</v>
      </c>
      <c r="BJ71" s="245">
        <f t="shared" si="98"/>
        <v>0</v>
      </c>
      <c r="BK71" s="237">
        <f t="shared" si="99"/>
        <v>0</v>
      </c>
      <c r="BL71" s="615"/>
      <c r="BM71" s="616"/>
      <c r="BN71" s="616"/>
      <c r="BO71" s="245">
        <f t="shared" si="72"/>
        <v>0</v>
      </c>
      <c r="BP71" s="245">
        <f t="shared" si="100"/>
        <v>0</v>
      </c>
      <c r="BQ71" s="245">
        <f t="shared" si="101"/>
        <v>0</v>
      </c>
      <c r="BR71" s="237">
        <f t="shared" si="102"/>
        <v>0</v>
      </c>
    </row>
    <row r="72" spans="1:70" x14ac:dyDescent="0.3">
      <c r="A72" s="521" t="s">
        <v>889</v>
      </c>
      <c r="B72" s="188"/>
      <c r="C72" s="522"/>
      <c r="D72" s="188"/>
      <c r="E72" s="612"/>
      <c r="F72" s="612"/>
      <c r="G72" s="613"/>
      <c r="H72" s="615"/>
      <c r="I72" s="616"/>
      <c r="J72" s="616"/>
      <c r="K72" s="245">
        <f t="shared" si="63"/>
        <v>0</v>
      </c>
      <c r="L72" s="245">
        <f t="shared" si="76"/>
        <v>0</v>
      </c>
      <c r="M72" s="245">
        <f t="shared" si="77"/>
        <v>0</v>
      </c>
      <c r="N72" s="237">
        <f t="shared" si="78"/>
        <v>0</v>
      </c>
      <c r="O72" s="615"/>
      <c r="P72" s="616"/>
      <c r="Q72" s="616"/>
      <c r="R72" s="245">
        <f t="shared" si="64"/>
        <v>0</v>
      </c>
      <c r="S72" s="245">
        <f t="shared" si="79"/>
        <v>0</v>
      </c>
      <c r="T72" s="245">
        <f t="shared" si="80"/>
        <v>0</v>
      </c>
      <c r="U72" s="237">
        <f t="shared" si="81"/>
        <v>0</v>
      </c>
      <c r="V72" s="615"/>
      <c r="W72" s="616"/>
      <c r="X72" s="616"/>
      <c r="Y72" s="245">
        <f t="shared" si="65"/>
        <v>0</v>
      </c>
      <c r="Z72" s="245">
        <f t="shared" si="82"/>
        <v>0</v>
      </c>
      <c r="AA72" s="245">
        <f t="shared" si="83"/>
        <v>0</v>
      </c>
      <c r="AB72" s="237">
        <f t="shared" si="84"/>
        <v>0</v>
      </c>
      <c r="AC72" s="615"/>
      <c r="AD72" s="616"/>
      <c r="AE72" s="616"/>
      <c r="AF72" s="245">
        <f t="shared" si="66"/>
        <v>0</v>
      </c>
      <c r="AG72" s="245">
        <f t="shared" si="85"/>
        <v>0</v>
      </c>
      <c r="AH72" s="245">
        <f t="shared" si="86"/>
        <v>0</v>
      </c>
      <c r="AI72" s="237">
        <f t="shared" si="87"/>
        <v>0</v>
      </c>
      <c r="AJ72" s="615"/>
      <c r="AK72" s="616"/>
      <c r="AL72" s="616"/>
      <c r="AM72" s="245">
        <f t="shared" si="67"/>
        <v>0</v>
      </c>
      <c r="AN72" s="245">
        <f t="shared" si="88"/>
        <v>0</v>
      </c>
      <c r="AO72" s="245">
        <f t="shared" si="89"/>
        <v>0</v>
      </c>
      <c r="AP72" s="237">
        <f t="shared" si="90"/>
        <v>0</v>
      </c>
      <c r="AQ72" s="615"/>
      <c r="AR72" s="616"/>
      <c r="AS72" s="616"/>
      <c r="AT72" s="245">
        <f t="shared" si="68"/>
        <v>0</v>
      </c>
      <c r="AU72" s="245">
        <f t="shared" si="91"/>
        <v>0</v>
      </c>
      <c r="AV72" s="245">
        <f t="shared" si="92"/>
        <v>0</v>
      </c>
      <c r="AW72" s="237">
        <f t="shared" si="93"/>
        <v>0</v>
      </c>
      <c r="AX72" s="615"/>
      <c r="AY72" s="616"/>
      <c r="AZ72" s="616"/>
      <c r="BA72" s="245">
        <f t="shared" si="69"/>
        <v>0</v>
      </c>
      <c r="BB72" s="245">
        <f t="shared" si="94"/>
        <v>0</v>
      </c>
      <c r="BC72" s="245">
        <f t="shared" si="95"/>
        <v>0</v>
      </c>
      <c r="BD72" s="237">
        <f t="shared" si="96"/>
        <v>0</v>
      </c>
      <c r="BE72" s="615"/>
      <c r="BF72" s="616"/>
      <c r="BG72" s="616"/>
      <c r="BH72" s="245">
        <f t="shared" si="71"/>
        <v>0</v>
      </c>
      <c r="BI72" s="245">
        <f t="shared" si="97"/>
        <v>0</v>
      </c>
      <c r="BJ72" s="245">
        <f t="shared" si="98"/>
        <v>0</v>
      </c>
      <c r="BK72" s="237">
        <f t="shared" si="99"/>
        <v>0</v>
      </c>
      <c r="BL72" s="615"/>
      <c r="BM72" s="616"/>
      <c r="BN72" s="616"/>
      <c r="BO72" s="245">
        <f t="shared" si="72"/>
        <v>0</v>
      </c>
      <c r="BP72" s="245">
        <f t="shared" si="100"/>
        <v>0</v>
      </c>
      <c r="BQ72" s="245">
        <f t="shared" si="101"/>
        <v>0</v>
      </c>
      <c r="BR72" s="237">
        <f t="shared" si="102"/>
        <v>0</v>
      </c>
    </row>
    <row r="73" spans="1:70" x14ac:dyDescent="0.3">
      <c r="A73" s="521" t="s">
        <v>890</v>
      </c>
      <c r="B73" s="188"/>
      <c r="C73" s="522"/>
      <c r="D73" s="188"/>
      <c r="E73" s="612"/>
      <c r="F73" s="612"/>
      <c r="G73" s="613"/>
      <c r="H73" s="615"/>
      <c r="I73" s="616"/>
      <c r="J73" s="616"/>
      <c r="K73" s="245">
        <f t="shared" si="63"/>
        <v>0</v>
      </c>
      <c r="L73" s="245">
        <f t="shared" si="76"/>
        <v>0</v>
      </c>
      <c r="M73" s="245">
        <f t="shared" si="77"/>
        <v>0</v>
      </c>
      <c r="N73" s="237">
        <f t="shared" si="78"/>
        <v>0</v>
      </c>
      <c r="O73" s="615"/>
      <c r="P73" s="616"/>
      <c r="Q73" s="616"/>
      <c r="R73" s="245">
        <f t="shared" si="64"/>
        <v>0</v>
      </c>
      <c r="S73" s="245">
        <f t="shared" si="79"/>
        <v>0</v>
      </c>
      <c r="T73" s="245">
        <f t="shared" si="80"/>
        <v>0</v>
      </c>
      <c r="U73" s="237">
        <f t="shared" si="81"/>
        <v>0</v>
      </c>
      <c r="V73" s="615"/>
      <c r="W73" s="616"/>
      <c r="X73" s="616"/>
      <c r="Y73" s="245">
        <f t="shared" si="65"/>
        <v>0</v>
      </c>
      <c r="Z73" s="245">
        <f t="shared" si="82"/>
        <v>0</v>
      </c>
      <c r="AA73" s="245">
        <f t="shared" si="83"/>
        <v>0</v>
      </c>
      <c r="AB73" s="237">
        <f t="shared" si="84"/>
        <v>0</v>
      </c>
      <c r="AC73" s="615"/>
      <c r="AD73" s="616"/>
      <c r="AE73" s="616"/>
      <c r="AF73" s="245">
        <f t="shared" si="66"/>
        <v>0</v>
      </c>
      <c r="AG73" s="245">
        <f t="shared" si="85"/>
        <v>0</v>
      </c>
      <c r="AH73" s="245">
        <f t="shared" si="86"/>
        <v>0</v>
      </c>
      <c r="AI73" s="237">
        <f t="shared" si="87"/>
        <v>0</v>
      </c>
      <c r="AJ73" s="615"/>
      <c r="AK73" s="616"/>
      <c r="AL73" s="616"/>
      <c r="AM73" s="245">
        <f t="shared" si="67"/>
        <v>0</v>
      </c>
      <c r="AN73" s="245">
        <f t="shared" si="88"/>
        <v>0</v>
      </c>
      <c r="AO73" s="245">
        <f t="shared" si="89"/>
        <v>0</v>
      </c>
      <c r="AP73" s="237">
        <f t="shared" si="90"/>
        <v>0</v>
      </c>
      <c r="AQ73" s="615"/>
      <c r="AR73" s="616"/>
      <c r="AS73" s="616"/>
      <c r="AT73" s="245">
        <f t="shared" si="68"/>
        <v>0</v>
      </c>
      <c r="AU73" s="245">
        <f t="shared" si="91"/>
        <v>0</v>
      </c>
      <c r="AV73" s="245">
        <f t="shared" si="92"/>
        <v>0</v>
      </c>
      <c r="AW73" s="237">
        <f t="shared" si="93"/>
        <v>0</v>
      </c>
      <c r="AX73" s="615"/>
      <c r="AY73" s="616"/>
      <c r="AZ73" s="616"/>
      <c r="BA73" s="245">
        <f t="shared" si="69"/>
        <v>0</v>
      </c>
      <c r="BB73" s="245">
        <f t="shared" si="94"/>
        <v>0</v>
      </c>
      <c r="BC73" s="245">
        <f t="shared" si="95"/>
        <v>0</v>
      </c>
      <c r="BD73" s="237">
        <f t="shared" si="96"/>
        <v>0</v>
      </c>
      <c r="BE73" s="615"/>
      <c r="BF73" s="616"/>
      <c r="BG73" s="616"/>
      <c r="BH73" s="245">
        <f t="shared" si="71"/>
        <v>0</v>
      </c>
      <c r="BI73" s="245">
        <f t="shared" si="97"/>
        <v>0</v>
      </c>
      <c r="BJ73" s="245">
        <f t="shared" si="98"/>
        <v>0</v>
      </c>
      <c r="BK73" s="237">
        <f t="shared" si="99"/>
        <v>0</v>
      </c>
      <c r="BL73" s="615"/>
      <c r="BM73" s="616"/>
      <c r="BN73" s="616"/>
      <c r="BO73" s="245">
        <f t="shared" si="72"/>
        <v>0</v>
      </c>
      <c r="BP73" s="245">
        <f t="shared" si="100"/>
        <v>0</v>
      </c>
      <c r="BQ73" s="245">
        <f t="shared" si="101"/>
        <v>0</v>
      </c>
      <c r="BR73" s="237">
        <f t="shared" si="102"/>
        <v>0</v>
      </c>
    </row>
    <row r="74" spans="1:70" x14ac:dyDescent="0.3">
      <c r="A74" s="521" t="s">
        <v>891</v>
      </c>
      <c r="B74" s="188"/>
      <c r="C74" s="522"/>
      <c r="D74" s="188"/>
      <c r="E74" s="612"/>
      <c r="F74" s="612"/>
      <c r="G74" s="613"/>
      <c r="H74" s="615"/>
      <c r="I74" s="616"/>
      <c r="J74" s="616"/>
      <c r="K74" s="245">
        <f t="shared" si="63"/>
        <v>0</v>
      </c>
      <c r="L74" s="245">
        <f t="shared" si="76"/>
        <v>0</v>
      </c>
      <c r="M74" s="245">
        <f t="shared" si="77"/>
        <v>0</v>
      </c>
      <c r="N74" s="237">
        <f t="shared" si="78"/>
        <v>0</v>
      </c>
      <c r="O74" s="615"/>
      <c r="P74" s="616"/>
      <c r="Q74" s="616"/>
      <c r="R74" s="245">
        <f t="shared" si="64"/>
        <v>0</v>
      </c>
      <c r="S74" s="245">
        <f t="shared" si="79"/>
        <v>0</v>
      </c>
      <c r="T74" s="245">
        <f t="shared" si="80"/>
        <v>0</v>
      </c>
      <c r="U74" s="237">
        <f t="shared" si="81"/>
        <v>0</v>
      </c>
      <c r="V74" s="615"/>
      <c r="W74" s="616"/>
      <c r="X74" s="616"/>
      <c r="Y74" s="245">
        <f t="shared" si="65"/>
        <v>0</v>
      </c>
      <c r="Z74" s="245">
        <f t="shared" si="82"/>
        <v>0</v>
      </c>
      <c r="AA74" s="245">
        <f t="shared" si="83"/>
        <v>0</v>
      </c>
      <c r="AB74" s="237">
        <f t="shared" si="84"/>
        <v>0</v>
      </c>
      <c r="AC74" s="615"/>
      <c r="AD74" s="616"/>
      <c r="AE74" s="616"/>
      <c r="AF74" s="245">
        <f t="shared" si="66"/>
        <v>0</v>
      </c>
      <c r="AG74" s="245">
        <f t="shared" si="85"/>
        <v>0</v>
      </c>
      <c r="AH74" s="245">
        <f t="shared" si="86"/>
        <v>0</v>
      </c>
      <c r="AI74" s="237">
        <f t="shared" si="87"/>
        <v>0</v>
      </c>
      <c r="AJ74" s="615"/>
      <c r="AK74" s="616"/>
      <c r="AL74" s="616"/>
      <c r="AM74" s="245">
        <f t="shared" si="67"/>
        <v>0</v>
      </c>
      <c r="AN74" s="245">
        <f t="shared" si="88"/>
        <v>0</v>
      </c>
      <c r="AO74" s="245">
        <f t="shared" si="89"/>
        <v>0</v>
      </c>
      <c r="AP74" s="237">
        <f t="shared" si="90"/>
        <v>0</v>
      </c>
      <c r="AQ74" s="615"/>
      <c r="AR74" s="616"/>
      <c r="AS74" s="616"/>
      <c r="AT74" s="245">
        <f t="shared" si="68"/>
        <v>0</v>
      </c>
      <c r="AU74" s="245">
        <f t="shared" si="91"/>
        <v>0</v>
      </c>
      <c r="AV74" s="245">
        <f t="shared" si="92"/>
        <v>0</v>
      </c>
      <c r="AW74" s="237">
        <f t="shared" si="93"/>
        <v>0</v>
      </c>
      <c r="AX74" s="615"/>
      <c r="AY74" s="616"/>
      <c r="AZ74" s="616"/>
      <c r="BA74" s="245">
        <f t="shared" si="69"/>
        <v>0</v>
      </c>
      <c r="BB74" s="245">
        <f t="shared" si="94"/>
        <v>0</v>
      </c>
      <c r="BC74" s="245">
        <f t="shared" si="95"/>
        <v>0</v>
      </c>
      <c r="BD74" s="237">
        <f t="shared" si="96"/>
        <v>0</v>
      </c>
      <c r="BE74" s="615"/>
      <c r="BF74" s="616"/>
      <c r="BG74" s="616"/>
      <c r="BH74" s="245">
        <f t="shared" si="71"/>
        <v>0</v>
      </c>
      <c r="BI74" s="245">
        <f t="shared" si="97"/>
        <v>0</v>
      </c>
      <c r="BJ74" s="245">
        <f t="shared" si="98"/>
        <v>0</v>
      </c>
      <c r="BK74" s="237">
        <f t="shared" si="99"/>
        <v>0</v>
      </c>
      <c r="BL74" s="615"/>
      <c r="BM74" s="616"/>
      <c r="BN74" s="616"/>
      <c r="BO74" s="245">
        <f t="shared" si="72"/>
        <v>0</v>
      </c>
      <c r="BP74" s="245">
        <f t="shared" si="100"/>
        <v>0</v>
      </c>
      <c r="BQ74" s="245">
        <f t="shared" si="101"/>
        <v>0</v>
      </c>
      <c r="BR74" s="237">
        <f t="shared" si="102"/>
        <v>0</v>
      </c>
    </row>
    <row r="75" spans="1:70" x14ac:dyDescent="0.3">
      <c r="A75" s="521" t="s">
        <v>892</v>
      </c>
      <c r="B75" s="188"/>
      <c r="C75" s="522"/>
      <c r="D75" s="188"/>
      <c r="E75" s="612"/>
      <c r="F75" s="612"/>
      <c r="G75" s="613"/>
      <c r="H75" s="615"/>
      <c r="I75" s="616"/>
      <c r="J75" s="616"/>
      <c r="K75" s="245">
        <f t="shared" si="63"/>
        <v>0</v>
      </c>
      <c r="L75" s="245">
        <f t="shared" si="76"/>
        <v>0</v>
      </c>
      <c r="M75" s="245">
        <f t="shared" si="77"/>
        <v>0</v>
      </c>
      <c r="N75" s="237">
        <f t="shared" si="78"/>
        <v>0</v>
      </c>
      <c r="O75" s="615"/>
      <c r="P75" s="616"/>
      <c r="Q75" s="616"/>
      <c r="R75" s="245">
        <f t="shared" si="64"/>
        <v>0</v>
      </c>
      <c r="S75" s="245">
        <f t="shared" si="79"/>
        <v>0</v>
      </c>
      <c r="T75" s="245">
        <f t="shared" si="80"/>
        <v>0</v>
      </c>
      <c r="U75" s="237">
        <f t="shared" si="81"/>
        <v>0</v>
      </c>
      <c r="V75" s="615"/>
      <c r="W75" s="616"/>
      <c r="X75" s="616"/>
      <c r="Y75" s="245">
        <f t="shared" si="65"/>
        <v>0</v>
      </c>
      <c r="Z75" s="245">
        <f t="shared" si="82"/>
        <v>0</v>
      </c>
      <c r="AA75" s="245">
        <f t="shared" si="83"/>
        <v>0</v>
      </c>
      <c r="AB75" s="237">
        <f t="shared" si="84"/>
        <v>0</v>
      </c>
      <c r="AC75" s="615"/>
      <c r="AD75" s="616"/>
      <c r="AE75" s="616"/>
      <c r="AF75" s="245">
        <f t="shared" si="66"/>
        <v>0</v>
      </c>
      <c r="AG75" s="245">
        <f t="shared" si="85"/>
        <v>0</v>
      </c>
      <c r="AH75" s="245">
        <f t="shared" si="86"/>
        <v>0</v>
      </c>
      <c r="AI75" s="237">
        <f t="shared" si="87"/>
        <v>0</v>
      </c>
      <c r="AJ75" s="615"/>
      <c r="AK75" s="616"/>
      <c r="AL75" s="616"/>
      <c r="AM75" s="245">
        <f t="shared" si="67"/>
        <v>0</v>
      </c>
      <c r="AN75" s="245">
        <f t="shared" si="88"/>
        <v>0</v>
      </c>
      <c r="AO75" s="245">
        <f t="shared" si="89"/>
        <v>0</v>
      </c>
      <c r="AP75" s="237">
        <f t="shared" si="90"/>
        <v>0</v>
      </c>
      <c r="AQ75" s="615"/>
      <c r="AR75" s="616"/>
      <c r="AS75" s="616"/>
      <c r="AT75" s="245">
        <f t="shared" si="68"/>
        <v>0</v>
      </c>
      <c r="AU75" s="245">
        <f t="shared" si="91"/>
        <v>0</v>
      </c>
      <c r="AV75" s="245">
        <f t="shared" si="92"/>
        <v>0</v>
      </c>
      <c r="AW75" s="237">
        <f t="shared" si="93"/>
        <v>0</v>
      </c>
      <c r="AX75" s="615"/>
      <c r="AY75" s="616"/>
      <c r="AZ75" s="616"/>
      <c r="BA75" s="245">
        <f t="shared" si="69"/>
        <v>0</v>
      </c>
      <c r="BB75" s="245">
        <f t="shared" si="94"/>
        <v>0</v>
      </c>
      <c r="BC75" s="245">
        <f t="shared" si="95"/>
        <v>0</v>
      </c>
      <c r="BD75" s="237">
        <f t="shared" si="96"/>
        <v>0</v>
      </c>
      <c r="BE75" s="615"/>
      <c r="BF75" s="616"/>
      <c r="BG75" s="616"/>
      <c r="BH75" s="245">
        <f t="shared" si="71"/>
        <v>0</v>
      </c>
      <c r="BI75" s="245">
        <f t="shared" si="97"/>
        <v>0</v>
      </c>
      <c r="BJ75" s="245">
        <f t="shared" si="98"/>
        <v>0</v>
      </c>
      <c r="BK75" s="237">
        <f t="shared" si="99"/>
        <v>0</v>
      </c>
      <c r="BL75" s="615"/>
      <c r="BM75" s="616"/>
      <c r="BN75" s="616"/>
      <c r="BO75" s="245">
        <f t="shared" si="72"/>
        <v>0</v>
      </c>
      <c r="BP75" s="245">
        <f t="shared" si="100"/>
        <v>0</v>
      </c>
      <c r="BQ75" s="245">
        <f t="shared" si="101"/>
        <v>0</v>
      </c>
      <c r="BR75" s="237">
        <f t="shared" si="102"/>
        <v>0</v>
      </c>
    </row>
    <row r="76" spans="1:70" x14ac:dyDescent="0.3">
      <c r="A76" s="521" t="s">
        <v>893</v>
      </c>
      <c r="B76" s="188"/>
      <c r="C76" s="522"/>
      <c r="D76" s="188"/>
      <c r="E76" s="612"/>
      <c r="F76" s="612"/>
      <c r="G76" s="613"/>
      <c r="H76" s="615"/>
      <c r="I76" s="616"/>
      <c r="J76" s="616"/>
      <c r="K76" s="245">
        <f t="shared" si="63"/>
        <v>0</v>
      </c>
      <c r="L76" s="245">
        <f t="shared" si="76"/>
        <v>0</v>
      </c>
      <c r="M76" s="245">
        <f t="shared" si="77"/>
        <v>0</v>
      </c>
      <c r="N76" s="237">
        <f t="shared" si="78"/>
        <v>0</v>
      </c>
      <c r="O76" s="615"/>
      <c r="P76" s="616"/>
      <c r="Q76" s="616"/>
      <c r="R76" s="245">
        <f t="shared" si="64"/>
        <v>0</v>
      </c>
      <c r="S76" s="245">
        <f t="shared" si="79"/>
        <v>0</v>
      </c>
      <c r="T76" s="245">
        <f t="shared" si="80"/>
        <v>0</v>
      </c>
      <c r="U76" s="237">
        <f t="shared" si="81"/>
        <v>0</v>
      </c>
      <c r="V76" s="615"/>
      <c r="W76" s="616"/>
      <c r="X76" s="616"/>
      <c r="Y76" s="245">
        <f t="shared" si="65"/>
        <v>0</v>
      </c>
      <c r="Z76" s="245">
        <f t="shared" si="82"/>
        <v>0</v>
      </c>
      <c r="AA76" s="245">
        <f t="shared" si="83"/>
        <v>0</v>
      </c>
      <c r="AB76" s="237">
        <f t="shared" si="84"/>
        <v>0</v>
      </c>
      <c r="AC76" s="615"/>
      <c r="AD76" s="616"/>
      <c r="AE76" s="616"/>
      <c r="AF76" s="245">
        <f t="shared" si="66"/>
        <v>0</v>
      </c>
      <c r="AG76" s="245">
        <f t="shared" si="85"/>
        <v>0</v>
      </c>
      <c r="AH76" s="245">
        <f t="shared" si="86"/>
        <v>0</v>
      </c>
      <c r="AI76" s="237">
        <f t="shared" si="87"/>
        <v>0</v>
      </c>
      <c r="AJ76" s="615"/>
      <c r="AK76" s="616"/>
      <c r="AL76" s="616"/>
      <c r="AM76" s="245">
        <f t="shared" si="67"/>
        <v>0</v>
      </c>
      <c r="AN76" s="245">
        <f t="shared" si="88"/>
        <v>0</v>
      </c>
      <c r="AO76" s="245">
        <f t="shared" si="89"/>
        <v>0</v>
      </c>
      <c r="AP76" s="237">
        <f t="shared" si="90"/>
        <v>0</v>
      </c>
      <c r="AQ76" s="615"/>
      <c r="AR76" s="616"/>
      <c r="AS76" s="616"/>
      <c r="AT76" s="245">
        <f t="shared" si="68"/>
        <v>0</v>
      </c>
      <c r="AU76" s="245">
        <f t="shared" si="91"/>
        <v>0</v>
      </c>
      <c r="AV76" s="245">
        <f t="shared" si="92"/>
        <v>0</v>
      </c>
      <c r="AW76" s="237">
        <f t="shared" si="93"/>
        <v>0</v>
      </c>
      <c r="AX76" s="615"/>
      <c r="AY76" s="616"/>
      <c r="AZ76" s="616"/>
      <c r="BA76" s="245">
        <f t="shared" si="69"/>
        <v>0</v>
      </c>
      <c r="BB76" s="245">
        <f t="shared" si="94"/>
        <v>0</v>
      </c>
      <c r="BC76" s="245">
        <f t="shared" si="95"/>
        <v>0</v>
      </c>
      <c r="BD76" s="237">
        <f t="shared" si="96"/>
        <v>0</v>
      </c>
      <c r="BE76" s="615"/>
      <c r="BF76" s="616"/>
      <c r="BG76" s="616"/>
      <c r="BH76" s="245">
        <f t="shared" si="71"/>
        <v>0</v>
      </c>
      <c r="BI76" s="245">
        <f t="shared" si="97"/>
        <v>0</v>
      </c>
      <c r="BJ76" s="245">
        <f t="shared" si="98"/>
        <v>0</v>
      </c>
      <c r="BK76" s="237">
        <f t="shared" si="99"/>
        <v>0</v>
      </c>
      <c r="BL76" s="615"/>
      <c r="BM76" s="616"/>
      <c r="BN76" s="616"/>
      <c r="BO76" s="245">
        <f t="shared" si="72"/>
        <v>0</v>
      </c>
      <c r="BP76" s="245">
        <f t="shared" si="100"/>
        <v>0</v>
      </c>
      <c r="BQ76" s="245">
        <f t="shared" si="101"/>
        <v>0</v>
      </c>
      <c r="BR76" s="237">
        <f t="shared" si="102"/>
        <v>0</v>
      </c>
    </row>
    <row r="77" spans="1:70" x14ac:dyDescent="0.3">
      <c r="A77" s="521" t="s">
        <v>894</v>
      </c>
      <c r="B77" s="188"/>
      <c r="C77" s="522"/>
      <c r="D77" s="188"/>
      <c r="E77" s="612"/>
      <c r="F77" s="612"/>
      <c r="G77" s="613"/>
      <c r="H77" s="615"/>
      <c r="I77" s="616"/>
      <c r="J77" s="616"/>
      <c r="K77" s="245">
        <f t="shared" si="63"/>
        <v>0</v>
      </c>
      <c r="L77" s="245">
        <f t="shared" si="76"/>
        <v>0</v>
      </c>
      <c r="M77" s="245">
        <f t="shared" si="77"/>
        <v>0</v>
      </c>
      <c r="N77" s="237">
        <f t="shared" si="78"/>
        <v>0</v>
      </c>
      <c r="O77" s="615"/>
      <c r="P77" s="616"/>
      <c r="Q77" s="616"/>
      <c r="R77" s="245">
        <f t="shared" si="64"/>
        <v>0</v>
      </c>
      <c r="S77" s="245">
        <f t="shared" si="79"/>
        <v>0</v>
      </c>
      <c r="T77" s="245">
        <f t="shared" si="80"/>
        <v>0</v>
      </c>
      <c r="U77" s="237">
        <f t="shared" si="81"/>
        <v>0</v>
      </c>
      <c r="V77" s="615"/>
      <c r="W77" s="616"/>
      <c r="X77" s="616"/>
      <c r="Y77" s="245">
        <f t="shared" si="65"/>
        <v>0</v>
      </c>
      <c r="Z77" s="245">
        <f t="shared" si="82"/>
        <v>0</v>
      </c>
      <c r="AA77" s="245">
        <f t="shared" si="83"/>
        <v>0</v>
      </c>
      <c r="AB77" s="237">
        <f t="shared" si="84"/>
        <v>0</v>
      </c>
      <c r="AC77" s="615"/>
      <c r="AD77" s="616"/>
      <c r="AE77" s="616"/>
      <c r="AF77" s="245">
        <f t="shared" si="66"/>
        <v>0</v>
      </c>
      <c r="AG77" s="245">
        <f t="shared" si="85"/>
        <v>0</v>
      </c>
      <c r="AH77" s="245">
        <f t="shared" si="86"/>
        <v>0</v>
      </c>
      <c r="AI77" s="237">
        <f t="shared" si="87"/>
        <v>0</v>
      </c>
      <c r="AJ77" s="615"/>
      <c r="AK77" s="616"/>
      <c r="AL77" s="616"/>
      <c r="AM77" s="245">
        <f t="shared" si="67"/>
        <v>0</v>
      </c>
      <c r="AN77" s="245">
        <f t="shared" si="88"/>
        <v>0</v>
      </c>
      <c r="AO77" s="245">
        <f t="shared" si="89"/>
        <v>0</v>
      </c>
      <c r="AP77" s="237">
        <f t="shared" si="90"/>
        <v>0</v>
      </c>
      <c r="AQ77" s="615"/>
      <c r="AR77" s="616"/>
      <c r="AS77" s="616"/>
      <c r="AT77" s="245">
        <f t="shared" si="68"/>
        <v>0</v>
      </c>
      <c r="AU77" s="245">
        <f t="shared" si="91"/>
        <v>0</v>
      </c>
      <c r="AV77" s="245">
        <f t="shared" si="92"/>
        <v>0</v>
      </c>
      <c r="AW77" s="237">
        <f t="shared" si="93"/>
        <v>0</v>
      </c>
      <c r="AX77" s="615"/>
      <c r="AY77" s="616"/>
      <c r="AZ77" s="616"/>
      <c r="BA77" s="245">
        <f t="shared" si="69"/>
        <v>0</v>
      </c>
      <c r="BB77" s="245">
        <f t="shared" si="94"/>
        <v>0</v>
      </c>
      <c r="BC77" s="245">
        <f t="shared" si="95"/>
        <v>0</v>
      </c>
      <c r="BD77" s="237">
        <f t="shared" si="96"/>
        <v>0</v>
      </c>
      <c r="BE77" s="615"/>
      <c r="BF77" s="616"/>
      <c r="BG77" s="616"/>
      <c r="BH77" s="245">
        <f t="shared" si="71"/>
        <v>0</v>
      </c>
      <c r="BI77" s="245">
        <f t="shared" si="97"/>
        <v>0</v>
      </c>
      <c r="BJ77" s="245">
        <f t="shared" si="98"/>
        <v>0</v>
      </c>
      <c r="BK77" s="237">
        <f t="shared" si="99"/>
        <v>0</v>
      </c>
      <c r="BL77" s="615"/>
      <c r="BM77" s="616"/>
      <c r="BN77" s="616"/>
      <c r="BO77" s="245">
        <f t="shared" si="72"/>
        <v>0</v>
      </c>
      <c r="BP77" s="245">
        <f t="shared" si="100"/>
        <v>0</v>
      </c>
      <c r="BQ77" s="245">
        <f t="shared" si="101"/>
        <v>0</v>
      </c>
      <c r="BR77" s="237">
        <f t="shared" si="102"/>
        <v>0</v>
      </c>
    </row>
    <row r="78" spans="1:70" x14ac:dyDescent="0.3">
      <c r="A78" s="521" t="s">
        <v>895</v>
      </c>
      <c r="B78" s="188"/>
      <c r="C78" s="522"/>
      <c r="D78" s="188"/>
      <c r="E78" s="612"/>
      <c r="F78" s="612"/>
      <c r="G78" s="613"/>
      <c r="H78" s="615"/>
      <c r="I78" s="616"/>
      <c r="J78" s="616"/>
      <c r="K78" s="245">
        <f t="shared" si="63"/>
        <v>0</v>
      </c>
      <c r="L78" s="245">
        <f t="shared" si="76"/>
        <v>0</v>
      </c>
      <c r="M78" s="245">
        <f t="shared" si="77"/>
        <v>0</v>
      </c>
      <c r="N78" s="237">
        <f t="shared" si="78"/>
        <v>0</v>
      </c>
      <c r="O78" s="615"/>
      <c r="P78" s="616"/>
      <c r="Q78" s="616"/>
      <c r="R78" s="245">
        <f t="shared" si="64"/>
        <v>0</v>
      </c>
      <c r="S78" s="245">
        <f t="shared" si="79"/>
        <v>0</v>
      </c>
      <c r="T78" s="245">
        <f t="shared" si="80"/>
        <v>0</v>
      </c>
      <c r="U78" s="237">
        <f t="shared" si="81"/>
        <v>0</v>
      </c>
      <c r="V78" s="615"/>
      <c r="W78" s="616"/>
      <c r="X78" s="616"/>
      <c r="Y78" s="245">
        <f t="shared" si="65"/>
        <v>0</v>
      </c>
      <c r="Z78" s="245">
        <f t="shared" si="82"/>
        <v>0</v>
      </c>
      <c r="AA78" s="245">
        <f t="shared" si="83"/>
        <v>0</v>
      </c>
      <c r="AB78" s="237">
        <f t="shared" si="84"/>
        <v>0</v>
      </c>
      <c r="AC78" s="615"/>
      <c r="AD78" s="616"/>
      <c r="AE78" s="616"/>
      <c r="AF78" s="245">
        <f t="shared" si="66"/>
        <v>0</v>
      </c>
      <c r="AG78" s="245">
        <f t="shared" si="85"/>
        <v>0</v>
      </c>
      <c r="AH78" s="245">
        <f t="shared" si="86"/>
        <v>0</v>
      </c>
      <c r="AI78" s="237">
        <f t="shared" si="87"/>
        <v>0</v>
      </c>
      <c r="AJ78" s="615"/>
      <c r="AK78" s="616"/>
      <c r="AL78" s="616"/>
      <c r="AM78" s="245">
        <f t="shared" si="67"/>
        <v>0</v>
      </c>
      <c r="AN78" s="245">
        <f t="shared" si="88"/>
        <v>0</v>
      </c>
      <c r="AO78" s="245">
        <f t="shared" si="89"/>
        <v>0</v>
      </c>
      <c r="AP78" s="237">
        <f t="shared" si="90"/>
        <v>0</v>
      </c>
      <c r="AQ78" s="615"/>
      <c r="AR78" s="616"/>
      <c r="AS78" s="616"/>
      <c r="AT78" s="245">
        <f t="shared" si="68"/>
        <v>0</v>
      </c>
      <c r="AU78" s="245">
        <f t="shared" si="91"/>
        <v>0</v>
      </c>
      <c r="AV78" s="245">
        <f t="shared" si="92"/>
        <v>0</v>
      </c>
      <c r="AW78" s="237">
        <f t="shared" si="93"/>
        <v>0</v>
      </c>
      <c r="AX78" s="615"/>
      <c r="AY78" s="616"/>
      <c r="AZ78" s="616"/>
      <c r="BA78" s="245">
        <f t="shared" si="69"/>
        <v>0</v>
      </c>
      <c r="BB78" s="245">
        <f t="shared" si="94"/>
        <v>0</v>
      </c>
      <c r="BC78" s="245">
        <f t="shared" si="95"/>
        <v>0</v>
      </c>
      <c r="BD78" s="237">
        <f t="shared" si="96"/>
        <v>0</v>
      </c>
      <c r="BE78" s="615"/>
      <c r="BF78" s="616"/>
      <c r="BG78" s="616"/>
      <c r="BH78" s="245">
        <f t="shared" si="71"/>
        <v>0</v>
      </c>
      <c r="BI78" s="245">
        <f t="shared" si="97"/>
        <v>0</v>
      </c>
      <c r="BJ78" s="245">
        <f t="shared" si="98"/>
        <v>0</v>
      </c>
      <c r="BK78" s="237">
        <f t="shared" si="99"/>
        <v>0</v>
      </c>
      <c r="BL78" s="615"/>
      <c r="BM78" s="616"/>
      <c r="BN78" s="616"/>
      <c r="BO78" s="245">
        <f t="shared" si="72"/>
        <v>0</v>
      </c>
      <c r="BP78" s="245">
        <f t="shared" si="100"/>
        <v>0</v>
      </c>
      <c r="BQ78" s="245">
        <f t="shared" si="101"/>
        <v>0</v>
      </c>
      <c r="BR78" s="237">
        <f t="shared" si="102"/>
        <v>0</v>
      </c>
    </row>
    <row r="79" spans="1:70" x14ac:dyDescent="0.3">
      <c r="A79" s="521" t="s">
        <v>896</v>
      </c>
      <c r="B79" s="188"/>
      <c r="C79" s="522"/>
      <c r="D79" s="188"/>
      <c r="E79" s="612"/>
      <c r="F79" s="612"/>
      <c r="G79" s="613"/>
      <c r="H79" s="615"/>
      <c r="I79" s="616"/>
      <c r="J79" s="616"/>
      <c r="K79" s="245">
        <f t="shared" si="63"/>
        <v>0</v>
      </c>
      <c r="L79" s="245">
        <f t="shared" si="76"/>
        <v>0</v>
      </c>
      <c r="M79" s="245">
        <f t="shared" si="77"/>
        <v>0</v>
      </c>
      <c r="N79" s="237">
        <f t="shared" si="78"/>
        <v>0</v>
      </c>
      <c r="O79" s="615"/>
      <c r="P79" s="616"/>
      <c r="Q79" s="616"/>
      <c r="R79" s="245">
        <f t="shared" si="64"/>
        <v>0</v>
      </c>
      <c r="S79" s="245">
        <f t="shared" si="79"/>
        <v>0</v>
      </c>
      <c r="T79" s="245">
        <f t="shared" si="80"/>
        <v>0</v>
      </c>
      <c r="U79" s="237">
        <f t="shared" si="81"/>
        <v>0</v>
      </c>
      <c r="V79" s="615"/>
      <c r="W79" s="616"/>
      <c r="X79" s="616"/>
      <c r="Y79" s="245">
        <f t="shared" si="65"/>
        <v>0</v>
      </c>
      <c r="Z79" s="245">
        <f t="shared" si="82"/>
        <v>0</v>
      </c>
      <c r="AA79" s="245">
        <f t="shared" si="83"/>
        <v>0</v>
      </c>
      <c r="AB79" s="237">
        <f t="shared" si="84"/>
        <v>0</v>
      </c>
      <c r="AC79" s="615"/>
      <c r="AD79" s="616"/>
      <c r="AE79" s="616"/>
      <c r="AF79" s="245">
        <f t="shared" si="66"/>
        <v>0</v>
      </c>
      <c r="AG79" s="245">
        <f t="shared" si="85"/>
        <v>0</v>
      </c>
      <c r="AH79" s="245">
        <f t="shared" si="86"/>
        <v>0</v>
      </c>
      <c r="AI79" s="237">
        <f t="shared" si="87"/>
        <v>0</v>
      </c>
      <c r="AJ79" s="615"/>
      <c r="AK79" s="616"/>
      <c r="AL79" s="616"/>
      <c r="AM79" s="245">
        <f t="shared" si="67"/>
        <v>0</v>
      </c>
      <c r="AN79" s="245">
        <f t="shared" si="88"/>
        <v>0</v>
      </c>
      <c r="AO79" s="245">
        <f t="shared" si="89"/>
        <v>0</v>
      </c>
      <c r="AP79" s="237">
        <f t="shared" si="90"/>
        <v>0</v>
      </c>
      <c r="AQ79" s="615"/>
      <c r="AR79" s="616"/>
      <c r="AS79" s="616"/>
      <c r="AT79" s="245">
        <f t="shared" si="68"/>
        <v>0</v>
      </c>
      <c r="AU79" s="245">
        <f t="shared" si="91"/>
        <v>0</v>
      </c>
      <c r="AV79" s="245">
        <f t="shared" si="92"/>
        <v>0</v>
      </c>
      <c r="AW79" s="237">
        <f t="shared" si="93"/>
        <v>0</v>
      </c>
      <c r="AX79" s="615"/>
      <c r="AY79" s="616"/>
      <c r="AZ79" s="616"/>
      <c r="BA79" s="245">
        <f t="shared" si="69"/>
        <v>0</v>
      </c>
      <c r="BB79" s="245">
        <f t="shared" si="94"/>
        <v>0</v>
      </c>
      <c r="BC79" s="245">
        <f t="shared" si="95"/>
        <v>0</v>
      </c>
      <c r="BD79" s="237">
        <f t="shared" si="96"/>
        <v>0</v>
      </c>
      <c r="BE79" s="615"/>
      <c r="BF79" s="616"/>
      <c r="BG79" s="616"/>
      <c r="BH79" s="245">
        <f t="shared" si="71"/>
        <v>0</v>
      </c>
      <c r="BI79" s="245">
        <f t="shared" si="97"/>
        <v>0</v>
      </c>
      <c r="BJ79" s="245">
        <f t="shared" si="98"/>
        <v>0</v>
      </c>
      <c r="BK79" s="237">
        <f t="shared" si="99"/>
        <v>0</v>
      </c>
      <c r="BL79" s="615"/>
      <c r="BM79" s="616"/>
      <c r="BN79" s="616"/>
      <c r="BO79" s="245">
        <f t="shared" si="72"/>
        <v>0</v>
      </c>
      <c r="BP79" s="245">
        <f t="shared" si="100"/>
        <v>0</v>
      </c>
      <c r="BQ79" s="245">
        <f t="shared" si="101"/>
        <v>0</v>
      </c>
      <c r="BR79" s="237">
        <f t="shared" si="102"/>
        <v>0</v>
      </c>
    </row>
    <row r="80" spans="1:70" x14ac:dyDescent="0.3">
      <c r="A80" s="521" t="s">
        <v>897</v>
      </c>
      <c r="B80" s="188"/>
      <c r="C80" s="522"/>
      <c r="D80" s="188"/>
      <c r="E80" s="612"/>
      <c r="F80" s="612"/>
      <c r="G80" s="613"/>
      <c r="H80" s="615"/>
      <c r="I80" s="616"/>
      <c r="J80" s="616"/>
      <c r="K80" s="245">
        <f t="shared" si="63"/>
        <v>0</v>
      </c>
      <c r="L80" s="245">
        <f t="shared" si="76"/>
        <v>0</v>
      </c>
      <c r="M80" s="245">
        <f t="shared" si="77"/>
        <v>0</v>
      </c>
      <c r="N80" s="237">
        <f t="shared" si="78"/>
        <v>0</v>
      </c>
      <c r="O80" s="615"/>
      <c r="P80" s="616"/>
      <c r="Q80" s="616"/>
      <c r="R80" s="245">
        <f t="shared" si="64"/>
        <v>0</v>
      </c>
      <c r="S80" s="245">
        <f t="shared" si="79"/>
        <v>0</v>
      </c>
      <c r="T80" s="245">
        <f t="shared" si="80"/>
        <v>0</v>
      </c>
      <c r="U80" s="237">
        <f t="shared" si="81"/>
        <v>0</v>
      </c>
      <c r="V80" s="615"/>
      <c r="W80" s="616"/>
      <c r="X80" s="616"/>
      <c r="Y80" s="245">
        <f t="shared" si="65"/>
        <v>0</v>
      </c>
      <c r="Z80" s="245">
        <f t="shared" si="82"/>
        <v>0</v>
      </c>
      <c r="AA80" s="245">
        <f t="shared" si="83"/>
        <v>0</v>
      </c>
      <c r="AB80" s="237">
        <f t="shared" si="84"/>
        <v>0</v>
      </c>
      <c r="AC80" s="615"/>
      <c r="AD80" s="616"/>
      <c r="AE80" s="616"/>
      <c r="AF80" s="245">
        <f t="shared" si="66"/>
        <v>0</v>
      </c>
      <c r="AG80" s="245">
        <f t="shared" si="85"/>
        <v>0</v>
      </c>
      <c r="AH80" s="245">
        <f t="shared" si="86"/>
        <v>0</v>
      </c>
      <c r="AI80" s="237">
        <f t="shared" si="87"/>
        <v>0</v>
      </c>
      <c r="AJ80" s="615"/>
      <c r="AK80" s="616"/>
      <c r="AL80" s="616"/>
      <c r="AM80" s="245">
        <f t="shared" si="67"/>
        <v>0</v>
      </c>
      <c r="AN80" s="245">
        <f t="shared" si="88"/>
        <v>0</v>
      </c>
      <c r="AO80" s="245">
        <f t="shared" si="89"/>
        <v>0</v>
      </c>
      <c r="AP80" s="237">
        <f t="shared" si="90"/>
        <v>0</v>
      </c>
      <c r="AQ80" s="615"/>
      <c r="AR80" s="616"/>
      <c r="AS80" s="616"/>
      <c r="AT80" s="245">
        <f t="shared" si="68"/>
        <v>0</v>
      </c>
      <c r="AU80" s="245">
        <f t="shared" si="91"/>
        <v>0</v>
      </c>
      <c r="AV80" s="245">
        <f t="shared" si="92"/>
        <v>0</v>
      </c>
      <c r="AW80" s="237">
        <f t="shared" si="93"/>
        <v>0</v>
      </c>
      <c r="AX80" s="615"/>
      <c r="AY80" s="616"/>
      <c r="AZ80" s="616"/>
      <c r="BA80" s="245">
        <f t="shared" si="69"/>
        <v>0</v>
      </c>
      <c r="BB80" s="245">
        <f t="shared" si="94"/>
        <v>0</v>
      </c>
      <c r="BC80" s="245">
        <f t="shared" si="95"/>
        <v>0</v>
      </c>
      <c r="BD80" s="237">
        <f t="shared" si="96"/>
        <v>0</v>
      </c>
      <c r="BE80" s="615"/>
      <c r="BF80" s="616"/>
      <c r="BG80" s="616"/>
      <c r="BH80" s="245">
        <f t="shared" si="71"/>
        <v>0</v>
      </c>
      <c r="BI80" s="245">
        <f t="shared" si="97"/>
        <v>0</v>
      </c>
      <c r="BJ80" s="245">
        <f t="shared" si="98"/>
        <v>0</v>
      </c>
      <c r="BK80" s="237">
        <f t="shared" si="99"/>
        <v>0</v>
      </c>
      <c r="BL80" s="615"/>
      <c r="BM80" s="616"/>
      <c r="BN80" s="616"/>
      <c r="BO80" s="245">
        <f t="shared" si="72"/>
        <v>0</v>
      </c>
      <c r="BP80" s="245">
        <f t="shared" si="100"/>
        <v>0</v>
      </c>
      <c r="BQ80" s="245">
        <f t="shared" si="101"/>
        <v>0</v>
      </c>
      <c r="BR80" s="237">
        <f t="shared" si="102"/>
        <v>0</v>
      </c>
    </row>
    <row r="81" spans="1:70" x14ac:dyDescent="0.3">
      <c r="A81" s="521" t="s">
        <v>898</v>
      </c>
      <c r="B81" s="188"/>
      <c r="C81" s="522"/>
      <c r="D81" s="188"/>
      <c r="E81" s="612"/>
      <c r="F81" s="612"/>
      <c r="G81" s="613"/>
      <c r="H81" s="615"/>
      <c r="I81" s="616"/>
      <c r="J81" s="616"/>
      <c r="K81" s="245">
        <f t="shared" si="63"/>
        <v>0</v>
      </c>
      <c r="L81" s="245">
        <f t="shared" si="76"/>
        <v>0</v>
      </c>
      <c r="M81" s="245">
        <f t="shared" si="77"/>
        <v>0</v>
      </c>
      <c r="N81" s="237">
        <f t="shared" si="78"/>
        <v>0</v>
      </c>
      <c r="O81" s="615"/>
      <c r="P81" s="616"/>
      <c r="Q81" s="616"/>
      <c r="R81" s="245">
        <f t="shared" si="64"/>
        <v>0</v>
      </c>
      <c r="S81" s="245">
        <f t="shared" si="79"/>
        <v>0</v>
      </c>
      <c r="T81" s="245">
        <f t="shared" si="80"/>
        <v>0</v>
      </c>
      <c r="U81" s="237">
        <f t="shared" si="81"/>
        <v>0</v>
      </c>
      <c r="V81" s="615"/>
      <c r="W81" s="616"/>
      <c r="X81" s="616"/>
      <c r="Y81" s="245">
        <f t="shared" si="65"/>
        <v>0</v>
      </c>
      <c r="Z81" s="245">
        <f t="shared" si="82"/>
        <v>0</v>
      </c>
      <c r="AA81" s="245">
        <f t="shared" si="83"/>
        <v>0</v>
      </c>
      <c r="AB81" s="237">
        <f t="shared" si="84"/>
        <v>0</v>
      </c>
      <c r="AC81" s="615"/>
      <c r="AD81" s="616"/>
      <c r="AE81" s="616"/>
      <c r="AF81" s="245">
        <f t="shared" si="66"/>
        <v>0</v>
      </c>
      <c r="AG81" s="245">
        <f t="shared" si="85"/>
        <v>0</v>
      </c>
      <c r="AH81" s="245">
        <f t="shared" si="86"/>
        <v>0</v>
      </c>
      <c r="AI81" s="237">
        <f t="shared" si="87"/>
        <v>0</v>
      </c>
      <c r="AJ81" s="615"/>
      <c r="AK81" s="616"/>
      <c r="AL81" s="616"/>
      <c r="AM81" s="245">
        <f t="shared" si="67"/>
        <v>0</v>
      </c>
      <c r="AN81" s="245">
        <f t="shared" si="88"/>
        <v>0</v>
      </c>
      <c r="AO81" s="245">
        <f t="shared" si="89"/>
        <v>0</v>
      </c>
      <c r="AP81" s="237">
        <f t="shared" si="90"/>
        <v>0</v>
      </c>
      <c r="AQ81" s="615"/>
      <c r="AR81" s="616"/>
      <c r="AS81" s="616"/>
      <c r="AT81" s="245">
        <f t="shared" si="68"/>
        <v>0</v>
      </c>
      <c r="AU81" s="245">
        <f t="shared" si="91"/>
        <v>0</v>
      </c>
      <c r="AV81" s="245">
        <f t="shared" si="92"/>
        <v>0</v>
      </c>
      <c r="AW81" s="237">
        <f t="shared" si="93"/>
        <v>0</v>
      </c>
      <c r="AX81" s="615"/>
      <c r="AY81" s="616"/>
      <c r="AZ81" s="616"/>
      <c r="BA81" s="245">
        <f t="shared" si="69"/>
        <v>0</v>
      </c>
      <c r="BB81" s="245">
        <f t="shared" si="94"/>
        <v>0</v>
      </c>
      <c r="BC81" s="245">
        <f t="shared" si="95"/>
        <v>0</v>
      </c>
      <c r="BD81" s="237">
        <f t="shared" si="96"/>
        <v>0</v>
      </c>
      <c r="BE81" s="615"/>
      <c r="BF81" s="616"/>
      <c r="BG81" s="616"/>
      <c r="BH81" s="245">
        <f t="shared" si="71"/>
        <v>0</v>
      </c>
      <c r="BI81" s="245">
        <f t="shared" si="97"/>
        <v>0</v>
      </c>
      <c r="BJ81" s="245">
        <f t="shared" si="98"/>
        <v>0</v>
      </c>
      <c r="BK81" s="237">
        <f t="shared" si="99"/>
        <v>0</v>
      </c>
      <c r="BL81" s="615"/>
      <c r="BM81" s="616"/>
      <c r="BN81" s="616"/>
      <c r="BO81" s="245">
        <f t="shared" si="72"/>
        <v>0</v>
      </c>
      <c r="BP81" s="245">
        <f t="shared" si="100"/>
        <v>0</v>
      </c>
      <c r="BQ81" s="245">
        <f t="shared" si="101"/>
        <v>0</v>
      </c>
      <c r="BR81" s="237">
        <f t="shared" si="102"/>
        <v>0</v>
      </c>
    </row>
    <row r="82" spans="1:70" x14ac:dyDescent="0.3">
      <c r="A82" s="521" t="s">
        <v>899</v>
      </c>
      <c r="B82" s="188"/>
      <c r="C82" s="522"/>
      <c r="D82" s="188"/>
      <c r="E82" s="612"/>
      <c r="F82" s="612"/>
      <c r="G82" s="613"/>
      <c r="H82" s="615"/>
      <c r="I82" s="616"/>
      <c r="J82" s="616"/>
      <c r="K82" s="245">
        <f t="shared" si="63"/>
        <v>0</v>
      </c>
      <c r="L82" s="245">
        <f t="shared" si="76"/>
        <v>0</v>
      </c>
      <c r="M82" s="245">
        <f t="shared" si="77"/>
        <v>0</v>
      </c>
      <c r="N82" s="237">
        <f t="shared" si="78"/>
        <v>0</v>
      </c>
      <c r="O82" s="292"/>
      <c r="P82" s="96"/>
      <c r="Q82" s="96"/>
      <c r="R82" s="245">
        <f t="shared" si="64"/>
        <v>0</v>
      </c>
      <c r="S82" s="245">
        <f t="shared" si="79"/>
        <v>0</v>
      </c>
      <c r="T82" s="245">
        <f t="shared" si="80"/>
        <v>0</v>
      </c>
      <c r="U82" s="237">
        <f t="shared" si="81"/>
        <v>0</v>
      </c>
      <c r="V82" s="615"/>
      <c r="W82" s="616"/>
      <c r="X82" s="616"/>
      <c r="Y82" s="245">
        <f t="shared" si="65"/>
        <v>0</v>
      </c>
      <c r="Z82" s="245">
        <f t="shared" si="82"/>
        <v>0</v>
      </c>
      <c r="AA82" s="245">
        <f t="shared" si="83"/>
        <v>0</v>
      </c>
      <c r="AB82" s="237">
        <f t="shared" si="84"/>
        <v>0</v>
      </c>
      <c r="AC82" s="615"/>
      <c r="AD82" s="616"/>
      <c r="AE82" s="616"/>
      <c r="AF82" s="245">
        <f t="shared" si="66"/>
        <v>0</v>
      </c>
      <c r="AG82" s="245">
        <f t="shared" si="85"/>
        <v>0</v>
      </c>
      <c r="AH82" s="245">
        <f t="shared" si="86"/>
        <v>0</v>
      </c>
      <c r="AI82" s="237">
        <f t="shared" si="87"/>
        <v>0</v>
      </c>
      <c r="AJ82" s="615"/>
      <c r="AK82" s="616"/>
      <c r="AL82" s="616"/>
      <c r="AM82" s="245">
        <f t="shared" si="67"/>
        <v>0</v>
      </c>
      <c r="AN82" s="245">
        <f t="shared" si="88"/>
        <v>0</v>
      </c>
      <c r="AO82" s="245">
        <f t="shared" si="89"/>
        <v>0</v>
      </c>
      <c r="AP82" s="237">
        <f t="shared" si="90"/>
        <v>0</v>
      </c>
      <c r="AQ82" s="615"/>
      <c r="AR82" s="616"/>
      <c r="AS82" s="616"/>
      <c r="AT82" s="245">
        <f t="shared" si="68"/>
        <v>0</v>
      </c>
      <c r="AU82" s="245">
        <f t="shared" si="91"/>
        <v>0</v>
      </c>
      <c r="AV82" s="245">
        <f t="shared" si="92"/>
        <v>0</v>
      </c>
      <c r="AW82" s="237">
        <f t="shared" si="93"/>
        <v>0</v>
      </c>
      <c r="AX82" s="615"/>
      <c r="AY82" s="616"/>
      <c r="AZ82" s="616"/>
      <c r="BA82" s="245">
        <f t="shared" si="69"/>
        <v>0</v>
      </c>
      <c r="BB82" s="245">
        <f t="shared" si="94"/>
        <v>0</v>
      </c>
      <c r="BC82" s="245">
        <f t="shared" si="95"/>
        <v>0</v>
      </c>
      <c r="BD82" s="237">
        <f t="shared" si="96"/>
        <v>0</v>
      </c>
      <c r="BE82" s="615"/>
      <c r="BF82" s="616"/>
      <c r="BG82" s="616"/>
      <c r="BH82" s="245">
        <f t="shared" si="71"/>
        <v>0</v>
      </c>
      <c r="BI82" s="245">
        <f t="shared" si="97"/>
        <v>0</v>
      </c>
      <c r="BJ82" s="245">
        <f t="shared" si="98"/>
        <v>0</v>
      </c>
      <c r="BK82" s="237">
        <f t="shared" si="99"/>
        <v>0</v>
      </c>
      <c r="BL82" s="615"/>
      <c r="BM82" s="616"/>
      <c r="BN82" s="616"/>
      <c r="BO82" s="245">
        <f t="shared" si="72"/>
        <v>0</v>
      </c>
      <c r="BP82" s="245">
        <f t="shared" si="100"/>
        <v>0</v>
      </c>
      <c r="BQ82" s="245">
        <f t="shared" si="101"/>
        <v>0</v>
      </c>
      <c r="BR82" s="237">
        <f t="shared" si="102"/>
        <v>0</v>
      </c>
    </row>
    <row r="83" spans="1:70" x14ac:dyDescent="0.3">
      <c r="A83" s="521" t="s">
        <v>900</v>
      </c>
      <c r="B83" s="188"/>
      <c r="C83" s="522"/>
      <c r="D83" s="188"/>
      <c r="E83" s="612"/>
      <c r="F83" s="612"/>
      <c r="G83" s="613"/>
      <c r="H83" s="615"/>
      <c r="I83" s="616"/>
      <c r="J83" s="616"/>
      <c r="K83" s="245">
        <f t="shared" si="63"/>
        <v>0</v>
      </c>
      <c r="L83" s="245">
        <f t="shared" si="76"/>
        <v>0</v>
      </c>
      <c r="M83" s="245">
        <f t="shared" si="77"/>
        <v>0</v>
      </c>
      <c r="N83" s="237">
        <f t="shared" si="78"/>
        <v>0</v>
      </c>
      <c r="O83" s="292"/>
      <c r="P83" s="96"/>
      <c r="Q83" s="96"/>
      <c r="R83" s="245">
        <f t="shared" si="64"/>
        <v>0</v>
      </c>
      <c r="S83" s="245">
        <f t="shared" si="79"/>
        <v>0</v>
      </c>
      <c r="T83" s="245">
        <f t="shared" si="80"/>
        <v>0</v>
      </c>
      <c r="U83" s="237">
        <f t="shared" si="81"/>
        <v>0</v>
      </c>
      <c r="V83" s="615"/>
      <c r="W83" s="616"/>
      <c r="X83" s="616"/>
      <c r="Y83" s="245">
        <f t="shared" si="65"/>
        <v>0</v>
      </c>
      <c r="Z83" s="245">
        <f t="shared" si="82"/>
        <v>0</v>
      </c>
      <c r="AA83" s="245">
        <f t="shared" si="83"/>
        <v>0</v>
      </c>
      <c r="AB83" s="237">
        <f t="shared" si="84"/>
        <v>0</v>
      </c>
      <c r="AC83" s="615"/>
      <c r="AD83" s="616"/>
      <c r="AE83" s="616"/>
      <c r="AF83" s="245">
        <f t="shared" si="66"/>
        <v>0</v>
      </c>
      <c r="AG83" s="245">
        <f t="shared" si="85"/>
        <v>0</v>
      </c>
      <c r="AH83" s="245">
        <f t="shared" si="86"/>
        <v>0</v>
      </c>
      <c r="AI83" s="237">
        <f t="shared" si="87"/>
        <v>0</v>
      </c>
      <c r="AJ83" s="615"/>
      <c r="AK83" s="616"/>
      <c r="AL83" s="616"/>
      <c r="AM83" s="245">
        <f t="shared" si="67"/>
        <v>0</v>
      </c>
      <c r="AN83" s="245">
        <f t="shared" si="88"/>
        <v>0</v>
      </c>
      <c r="AO83" s="245">
        <f t="shared" si="89"/>
        <v>0</v>
      </c>
      <c r="AP83" s="237">
        <f t="shared" si="90"/>
        <v>0</v>
      </c>
      <c r="AQ83" s="615"/>
      <c r="AR83" s="616"/>
      <c r="AS83" s="616"/>
      <c r="AT83" s="245">
        <f t="shared" si="68"/>
        <v>0</v>
      </c>
      <c r="AU83" s="245">
        <f t="shared" si="91"/>
        <v>0</v>
      </c>
      <c r="AV83" s="245">
        <f t="shared" si="92"/>
        <v>0</v>
      </c>
      <c r="AW83" s="237">
        <f t="shared" si="93"/>
        <v>0</v>
      </c>
      <c r="AX83" s="615"/>
      <c r="AY83" s="616"/>
      <c r="AZ83" s="616"/>
      <c r="BA83" s="245">
        <f t="shared" si="69"/>
        <v>0</v>
      </c>
      <c r="BB83" s="245">
        <f t="shared" si="94"/>
        <v>0</v>
      </c>
      <c r="BC83" s="245">
        <f t="shared" si="95"/>
        <v>0</v>
      </c>
      <c r="BD83" s="237">
        <f t="shared" si="96"/>
        <v>0</v>
      </c>
      <c r="BE83" s="615"/>
      <c r="BF83" s="616"/>
      <c r="BG83" s="616"/>
      <c r="BH83" s="245">
        <f t="shared" si="71"/>
        <v>0</v>
      </c>
      <c r="BI83" s="245">
        <f t="shared" si="97"/>
        <v>0</v>
      </c>
      <c r="BJ83" s="245">
        <f t="shared" si="98"/>
        <v>0</v>
      </c>
      <c r="BK83" s="237">
        <f t="shared" si="99"/>
        <v>0</v>
      </c>
      <c r="BL83" s="615"/>
      <c r="BM83" s="616"/>
      <c r="BN83" s="616"/>
      <c r="BO83" s="245">
        <f t="shared" si="72"/>
        <v>0</v>
      </c>
      <c r="BP83" s="245">
        <f t="shared" si="100"/>
        <v>0</v>
      </c>
      <c r="BQ83" s="245">
        <f t="shared" si="101"/>
        <v>0</v>
      </c>
      <c r="BR83" s="237">
        <f t="shared" si="102"/>
        <v>0</v>
      </c>
    </row>
    <row r="84" spans="1:70" x14ac:dyDescent="0.3">
      <c r="A84" s="521" t="s">
        <v>901</v>
      </c>
      <c r="B84" s="188"/>
      <c r="C84" s="522"/>
      <c r="D84" s="188"/>
      <c r="E84" s="612"/>
      <c r="F84" s="612"/>
      <c r="G84" s="613"/>
      <c r="H84" s="615"/>
      <c r="I84" s="616"/>
      <c r="J84" s="616"/>
      <c r="K84" s="245">
        <f t="shared" si="63"/>
        <v>0</v>
      </c>
      <c r="L84" s="245">
        <f t="shared" si="76"/>
        <v>0</v>
      </c>
      <c r="M84" s="245">
        <f t="shared" si="77"/>
        <v>0</v>
      </c>
      <c r="N84" s="237">
        <f t="shared" si="78"/>
        <v>0</v>
      </c>
      <c r="O84" s="292"/>
      <c r="P84" s="96"/>
      <c r="Q84" s="96"/>
      <c r="R84" s="245">
        <f t="shared" si="64"/>
        <v>0</v>
      </c>
      <c r="S84" s="245">
        <f t="shared" si="79"/>
        <v>0</v>
      </c>
      <c r="T84" s="245">
        <f t="shared" si="80"/>
        <v>0</v>
      </c>
      <c r="U84" s="237">
        <f t="shared" si="81"/>
        <v>0</v>
      </c>
      <c r="V84" s="615"/>
      <c r="W84" s="616"/>
      <c r="X84" s="616"/>
      <c r="Y84" s="245">
        <f t="shared" si="65"/>
        <v>0</v>
      </c>
      <c r="Z84" s="245">
        <f t="shared" si="82"/>
        <v>0</v>
      </c>
      <c r="AA84" s="245">
        <f t="shared" si="83"/>
        <v>0</v>
      </c>
      <c r="AB84" s="237">
        <f t="shared" si="84"/>
        <v>0</v>
      </c>
      <c r="AC84" s="615"/>
      <c r="AD84" s="616"/>
      <c r="AE84" s="616"/>
      <c r="AF84" s="245">
        <f t="shared" si="66"/>
        <v>0</v>
      </c>
      <c r="AG84" s="245">
        <f t="shared" si="85"/>
        <v>0</v>
      </c>
      <c r="AH84" s="245">
        <f t="shared" si="86"/>
        <v>0</v>
      </c>
      <c r="AI84" s="237">
        <f t="shared" si="87"/>
        <v>0</v>
      </c>
      <c r="AJ84" s="615"/>
      <c r="AK84" s="616"/>
      <c r="AL84" s="616"/>
      <c r="AM84" s="245">
        <f t="shared" si="67"/>
        <v>0</v>
      </c>
      <c r="AN84" s="245">
        <f t="shared" si="88"/>
        <v>0</v>
      </c>
      <c r="AO84" s="245">
        <f t="shared" si="89"/>
        <v>0</v>
      </c>
      <c r="AP84" s="237">
        <f t="shared" si="90"/>
        <v>0</v>
      </c>
      <c r="AQ84" s="615"/>
      <c r="AR84" s="616"/>
      <c r="AS84" s="616"/>
      <c r="AT84" s="245">
        <f t="shared" si="68"/>
        <v>0</v>
      </c>
      <c r="AU84" s="245">
        <f t="shared" si="91"/>
        <v>0</v>
      </c>
      <c r="AV84" s="245">
        <f t="shared" si="92"/>
        <v>0</v>
      </c>
      <c r="AW84" s="237">
        <f t="shared" si="93"/>
        <v>0</v>
      </c>
      <c r="AX84" s="615"/>
      <c r="AY84" s="616"/>
      <c r="AZ84" s="616"/>
      <c r="BA84" s="245">
        <f t="shared" si="69"/>
        <v>0</v>
      </c>
      <c r="BB84" s="245">
        <f t="shared" si="94"/>
        <v>0</v>
      </c>
      <c r="BC84" s="245">
        <f t="shared" si="95"/>
        <v>0</v>
      </c>
      <c r="BD84" s="237">
        <f t="shared" si="96"/>
        <v>0</v>
      </c>
      <c r="BE84" s="615"/>
      <c r="BF84" s="616"/>
      <c r="BG84" s="616"/>
      <c r="BH84" s="245">
        <f t="shared" si="71"/>
        <v>0</v>
      </c>
      <c r="BI84" s="245">
        <f t="shared" si="97"/>
        <v>0</v>
      </c>
      <c r="BJ84" s="245">
        <f t="shared" si="98"/>
        <v>0</v>
      </c>
      <c r="BK84" s="237">
        <f t="shared" si="99"/>
        <v>0</v>
      </c>
      <c r="BL84" s="615"/>
      <c r="BM84" s="616"/>
      <c r="BN84" s="616"/>
      <c r="BO84" s="245">
        <f t="shared" si="72"/>
        <v>0</v>
      </c>
      <c r="BP84" s="245">
        <f t="shared" si="100"/>
        <v>0</v>
      </c>
      <c r="BQ84" s="245">
        <f t="shared" si="101"/>
        <v>0</v>
      </c>
      <c r="BR84" s="237">
        <f t="shared" si="102"/>
        <v>0</v>
      </c>
    </row>
    <row r="85" spans="1:70" x14ac:dyDescent="0.3">
      <c r="A85" s="521" t="s">
        <v>902</v>
      </c>
      <c r="B85" s="188"/>
      <c r="C85" s="522"/>
      <c r="D85" s="188"/>
      <c r="E85" s="612"/>
      <c r="F85" s="612"/>
      <c r="G85" s="613"/>
      <c r="H85" s="615"/>
      <c r="I85" s="616"/>
      <c r="J85" s="616"/>
      <c r="K85" s="245">
        <f t="shared" si="63"/>
        <v>0</v>
      </c>
      <c r="L85" s="245">
        <f t="shared" si="76"/>
        <v>0</v>
      </c>
      <c r="M85" s="245">
        <f t="shared" si="77"/>
        <v>0</v>
      </c>
      <c r="N85" s="237">
        <f t="shared" si="78"/>
        <v>0</v>
      </c>
      <c r="O85" s="292"/>
      <c r="P85" s="96"/>
      <c r="Q85" s="96"/>
      <c r="R85" s="245">
        <f t="shared" si="64"/>
        <v>0</v>
      </c>
      <c r="S85" s="245">
        <f t="shared" si="79"/>
        <v>0</v>
      </c>
      <c r="T85" s="245">
        <f t="shared" si="80"/>
        <v>0</v>
      </c>
      <c r="U85" s="237">
        <f t="shared" si="81"/>
        <v>0</v>
      </c>
      <c r="V85" s="615"/>
      <c r="W85" s="616"/>
      <c r="X85" s="616"/>
      <c r="Y85" s="245">
        <f t="shared" si="65"/>
        <v>0</v>
      </c>
      <c r="Z85" s="245">
        <f t="shared" si="82"/>
        <v>0</v>
      </c>
      <c r="AA85" s="245">
        <f t="shared" si="83"/>
        <v>0</v>
      </c>
      <c r="AB85" s="237">
        <f t="shared" si="84"/>
        <v>0</v>
      </c>
      <c r="AC85" s="615"/>
      <c r="AD85" s="616"/>
      <c r="AE85" s="616"/>
      <c r="AF85" s="245">
        <f t="shared" si="66"/>
        <v>0</v>
      </c>
      <c r="AG85" s="245">
        <f t="shared" si="85"/>
        <v>0</v>
      </c>
      <c r="AH85" s="245">
        <f t="shared" si="86"/>
        <v>0</v>
      </c>
      <c r="AI85" s="237">
        <f t="shared" si="87"/>
        <v>0</v>
      </c>
      <c r="AJ85" s="615"/>
      <c r="AK85" s="616"/>
      <c r="AL85" s="616"/>
      <c r="AM85" s="245">
        <f t="shared" si="67"/>
        <v>0</v>
      </c>
      <c r="AN85" s="245">
        <f t="shared" si="88"/>
        <v>0</v>
      </c>
      <c r="AO85" s="245">
        <f t="shared" si="89"/>
        <v>0</v>
      </c>
      <c r="AP85" s="237">
        <f t="shared" si="90"/>
        <v>0</v>
      </c>
      <c r="AQ85" s="615"/>
      <c r="AR85" s="616"/>
      <c r="AS85" s="616"/>
      <c r="AT85" s="245">
        <f t="shared" si="68"/>
        <v>0</v>
      </c>
      <c r="AU85" s="245">
        <f t="shared" si="91"/>
        <v>0</v>
      </c>
      <c r="AV85" s="245">
        <f t="shared" si="92"/>
        <v>0</v>
      </c>
      <c r="AW85" s="237">
        <f t="shared" si="93"/>
        <v>0</v>
      </c>
      <c r="AX85" s="615"/>
      <c r="AY85" s="616"/>
      <c r="AZ85" s="616"/>
      <c r="BA85" s="245">
        <f t="shared" si="69"/>
        <v>0</v>
      </c>
      <c r="BB85" s="245">
        <f t="shared" si="94"/>
        <v>0</v>
      </c>
      <c r="BC85" s="245">
        <f t="shared" si="95"/>
        <v>0</v>
      </c>
      <c r="BD85" s="237">
        <f t="shared" si="96"/>
        <v>0</v>
      </c>
      <c r="BE85" s="615"/>
      <c r="BF85" s="616"/>
      <c r="BG85" s="616"/>
      <c r="BH85" s="245">
        <f t="shared" si="71"/>
        <v>0</v>
      </c>
      <c r="BI85" s="245">
        <f t="shared" si="97"/>
        <v>0</v>
      </c>
      <c r="BJ85" s="245">
        <f t="shared" si="98"/>
        <v>0</v>
      </c>
      <c r="BK85" s="237">
        <f t="shared" si="99"/>
        <v>0</v>
      </c>
      <c r="BL85" s="615"/>
      <c r="BM85" s="616"/>
      <c r="BN85" s="616"/>
      <c r="BO85" s="245">
        <f t="shared" si="72"/>
        <v>0</v>
      </c>
      <c r="BP85" s="245">
        <f t="shared" si="100"/>
        <v>0</v>
      </c>
      <c r="BQ85" s="245">
        <f t="shared" si="101"/>
        <v>0</v>
      </c>
      <c r="BR85" s="237">
        <f t="shared" si="102"/>
        <v>0</v>
      </c>
    </row>
    <row r="86" spans="1:70" x14ac:dyDescent="0.3">
      <c r="A86" s="521" t="s">
        <v>903</v>
      </c>
      <c r="B86" s="188"/>
      <c r="C86" s="522"/>
      <c r="D86" s="188"/>
      <c r="E86" s="612"/>
      <c r="F86" s="612"/>
      <c r="G86" s="613"/>
      <c r="H86" s="615"/>
      <c r="I86" s="616"/>
      <c r="J86" s="616"/>
      <c r="K86" s="245">
        <f t="shared" si="63"/>
        <v>0</v>
      </c>
      <c r="L86" s="245">
        <f t="shared" si="76"/>
        <v>0</v>
      </c>
      <c r="M86" s="245">
        <f t="shared" si="77"/>
        <v>0</v>
      </c>
      <c r="N86" s="237">
        <f t="shared" si="78"/>
        <v>0</v>
      </c>
      <c r="O86" s="292"/>
      <c r="P86" s="96"/>
      <c r="Q86" s="96"/>
      <c r="R86" s="245">
        <f t="shared" si="64"/>
        <v>0</v>
      </c>
      <c r="S86" s="245">
        <f t="shared" si="79"/>
        <v>0</v>
      </c>
      <c r="T86" s="245">
        <f t="shared" si="80"/>
        <v>0</v>
      </c>
      <c r="U86" s="237">
        <f t="shared" si="81"/>
        <v>0</v>
      </c>
      <c r="V86" s="615"/>
      <c r="W86" s="616"/>
      <c r="X86" s="616"/>
      <c r="Y86" s="245">
        <f t="shared" si="65"/>
        <v>0</v>
      </c>
      <c r="Z86" s="245">
        <f t="shared" si="82"/>
        <v>0</v>
      </c>
      <c r="AA86" s="245">
        <f t="shared" si="83"/>
        <v>0</v>
      </c>
      <c r="AB86" s="237">
        <f t="shared" si="84"/>
        <v>0</v>
      </c>
      <c r="AC86" s="615"/>
      <c r="AD86" s="616"/>
      <c r="AE86" s="616"/>
      <c r="AF86" s="245">
        <f t="shared" si="66"/>
        <v>0</v>
      </c>
      <c r="AG86" s="245">
        <f t="shared" si="85"/>
        <v>0</v>
      </c>
      <c r="AH86" s="245">
        <f t="shared" si="86"/>
        <v>0</v>
      </c>
      <c r="AI86" s="237">
        <f t="shared" si="87"/>
        <v>0</v>
      </c>
      <c r="AJ86" s="615"/>
      <c r="AK86" s="616"/>
      <c r="AL86" s="616"/>
      <c r="AM86" s="245">
        <f t="shared" si="67"/>
        <v>0</v>
      </c>
      <c r="AN86" s="245">
        <f t="shared" si="88"/>
        <v>0</v>
      </c>
      <c r="AO86" s="245">
        <f t="shared" si="89"/>
        <v>0</v>
      </c>
      <c r="AP86" s="237">
        <f t="shared" si="90"/>
        <v>0</v>
      </c>
      <c r="AQ86" s="615"/>
      <c r="AR86" s="616"/>
      <c r="AS86" s="616"/>
      <c r="AT86" s="245">
        <f t="shared" si="68"/>
        <v>0</v>
      </c>
      <c r="AU86" s="245">
        <f t="shared" si="91"/>
        <v>0</v>
      </c>
      <c r="AV86" s="245">
        <f t="shared" si="92"/>
        <v>0</v>
      </c>
      <c r="AW86" s="237">
        <f t="shared" si="93"/>
        <v>0</v>
      </c>
      <c r="AX86" s="615"/>
      <c r="AY86" s="616"/>
      <c r="AZ86" s="616"/>
      <c r="BA86" s="245">
        <f t="shared" si="69"/>
        <v>0</v>
      </c>
      <c r="BB86" s="245">
        <f t="shared" si="94"/>
        <v>0</v>
      </c>
      <c r="BC86" s="245">
        <f t="shared" si="95"/>
        <v>0</v>
      </c>
      <c r="BD86" s="237">
        <f t="shared" si="96"/>
        <v>0</v>
      </c>
      <c r="BE86" s="615"/>
      <c r="BF86" s="616"/>
      <c r="BG86" s="616"/>
      <c r="BH86" s="245">
        <f t="shared" si="71"/>
        <v>0</v>
      </c>
      <c r="BI86" s="245">
        <f t="shared" si="97"/>
        <v>0</v>
      </c>
      <c r="BJ86" s="245">
        <f t="shared" si="98"/>
        <v>0</v>
      </c>
      <c r="BK86" s="237">
        <f t="shared" si="99"/>
        <v>0</v>
      </c>
      <c r="BL86" s="615"/>
      <c r="BM86" s="616"/>
      <c r="BN86" s="616"/>
      <c r="BO86" s="245">
        <f t="shared" si="72"/>
        <v>0</v>
      </c>
      <c r="BP86" s="245">
        <f t="shared" si="100"/>
        <v>0</v>
      </c>
      <c r="BQ86" s="245">
        <f t="shared" si="101"/>
        <v>0</v>
      </c>
      <c r="BR86" s="237">
        <f t="shared" si="102"/>
        <v>0</v>
      </c>
    </row>
    <row r="87" spans="1:70" x14ac:dyDescent="0.3">
      <c r="A87" s="521" t="s">
        <v>904</v>
      </c>
      <c r="B87" s="188"/>
      <c r="C87" s="522"/>
      <c r="D87" s="188"/>
      <c r="E87" s="612"/>
      <c r="F87" s="612"/>
      <c r="G87" s="613"/>
      <c r="H87" s="615"/>
      <c r="I87" s="616"/>
      <c r="J87" s="616"/>
      <c r="K87" s="245">
        <f t="shared" si="63"/>
        <v>0</v>
      </c>
      <c r="L87" s="245">
        <f t="shared" si="76"/>
        <v>0</v>
      </c>
      <c r="M87" s="245">
        <f t="shared" si="77"/>
        <v>0</v>
      </c>
      <c r="N87" s="237">
        <f t="shared" si="78"/>
        <v>0</v>
      </c>
      <c r="O87" s="247"/>
      <c r="P87" s="96"/>
      <c r="Q87" s="96"/>
      <c r="R87" s="245">
        <f t="shared" si="64"/>
        <v>0</v>
      </c>
      <c r="S87" s="245">
        <f t="shared" si="79"/>
        <v>0</v>
      </c>
      <c r="T87" s="245">
        <f t="shared" si="80"/>
        <v>0</v>
      </c>
      <c r="U87" s="237">
        <f t="shared" si="81"/>
        <v>0</v>
      </c>
      <c r="V87" s="615"/>
      <c r="W87" s="616"/>
      <c r="X87" s="616"/>
      <c r="Y87" s="245">
        <f t="shared" si="65"/>
        <v>0</v>
      </c>
      <c r="Z87" s="245">
        <f t="shared" si="82"/>
        <v>0</v>
      </c>
      <c r="AA87" s="245">
        <f t="shared" si="83"/>
        <v>0</v>
      </c>
      <c r="AB87" s="237">
        <f t="shared" si="84"/>
        <v>0</v>
      </c>
      <c r="AC87" s="615"/>
      <c r="AD87" s="616"/>
      <c r="AE87" s="616"/>
      <c r="AF87" s="245">
        <f t="shared" si="66"/>
        <v>0</v>
      </c>
      <c r="AG87" s="245">
        <f t="shared" si="85"/>
        <v>0</v>
      </c>
      <c r="AH87" s="245">
        <f t="shared" si="86"/>
        <v>0</v>
      </c>
      <c r="AI87" s="237">
        <f t="shared" si="87"/>
        <v>0</v>
      </c>
      <c r="AJ87" s="615"/>
      <c r="AK87" s="616"/>
      <c r="AL87" s="616"/>
      <c r="AM87" s="245">
        <f t="shared" si="67"/>
        <v>0</v>
      </c>
      <c r="AN87" s="245">
        <f t="shared" si="88"/>
        <v>0</v>
      </c>
      <c r="AO87" s="245">
        <f t="shared" si="89"/>
        <v>0</v>
      </c>
      <c r="AP87" s="237">
        <f t="shared" si="90"/>
        <v>0</v>
      </c>
      <c r="AQ87" s="615"/>
      <c r="AR87" s="616"/>
      <c r="AS87" s="616"/>
      <c r="AT87" s="245">
        <f t="shared" si="68"/>
        <v>0</v>
      </c>
      <c r="AU87" s="245">
        <f t="shared" si="91"/>
        <v>0</v>
      </c>
      <c r="AV87" s="245">
        <f t="shared" si="92"/>
        <v>0</v>
      </c>
      <c r="AW87" s="237">
        <f t="shared" si="93"/>
        <v>0</v>
      </c>
      <c r="AX87" s="615"/>
      <c r="AY87" s="616"/>
      <c r="AZ87" s="616"/>
      <c r="BA87" s="245">
        <f t="shared" si="69"/>
        <v>0</v>
      </c>
      <c r="BB87" s="245">
        <f t="shared" si="94"/>
        <v>0</v>
      </c>
      <c r="BC87" s="245">
        <f t="shared" si="95"/>
        <v>0</v>
      </c>
      <c r="BD87" s="237">
        <f t="shared" si="96"/>
        <v>0</v>
      </c>
      <c r="BE87" s="615"/>
      <c r="BF87" s="616"/>
      <c r="BG87" s="616"/>
      <c r="BH87" s="245">
        <f t="shared" si="71"/>
        <v>0</v>
      </c>
      <c r="BI87" s="245">
        <f t="shared" si="97"/>
        <v>0</v>
      </c>
      <c r="BJ87" s="245">
        <f t="shared" si="98"/>
        <v>0</v>
      </c>
      <c r="BK87" s="237">
        <f t="shared" si="99"/>
        <v>0</v>
      </c>
      <c r="BL87" s="615"/>
      <c r="BM87" s="616"/>
      <c r="BN87" s="616"/>
      <c r="BO87" s="245">
        <f t="shared" si="72"/>
        <v>0</v>
      </c>
      <c r="BP87" s="245">
        <f t="shared" si="100"/>
        <v>0</v>
      </c>
      <c r="BQ87" s="245">
        <f t="shared" si="101"/>
        <v>0</v>
      </c>
      <c r="BR87" s="237">
        <f t="shared" si="102"/>
        <v>0</v>
      </c>
    </row>
    <row r="88" spans="1:70" x14ac:dyDescent="0.3">
      <c r="A88" s="521" t="s">
        <v>905</v>
      </c>
      <c r="B88" s="188"/>
      <c r="C88" s="522"/>
      <c r="D88" s="188"/>
      <c r="E88" s="612"/>
      <c r="F88" s="612"/>
      <c r="G88" s="613"/>
      <c r="H88" s="615"/>
      <c r="I88" s="616"/>
      <c r="J88" s="616"/>
      <c r="K88" s="245">
        <f t="shared" si="63"/>
        <v>0</v>
      </c>
      <c r="L88" s="245">
        <f t="shared" si="76"/>
        <v>0</v>
      </c>
      <c r="M88" s="245">
        <f t="shared" si="77"/>
        <v>0</v>
      </c>
      <c r="N88" s="237">
        <f t="shared" si="78"/>
        <v>0</v>
      </c>
      <c r="O88" s="247"/>
      <c r="P88" s="96"/>
      <c r="Q88" s="96"/>
      <c r="R88" s="245">
        <f t="shared" si="64"/>
        <v>0</v>
      </c>
      <c r="S88" s="245">
        <f t="shared" si="79"/>
        <v>0</v>
      </c>
      <c r="T88" s="245">
        <f t="shared" si="80"/>
        <v>0</v>
      </c>
      <c r="U88" s="237">
        <f t="shared" si="81"/>
        <v>0</v>
      </c>
      <c r="V88" s="247"/>
      <c r="W88" s="96"/>
      <c r="X88" s="96"/>
      <c r="Y88" s="245">
        <f t="shared" si="65"/>
        <v>0</v>
      </c>
      <c r="Z88" s="245">
        <f t="shared" si="82"/>
        <v>0</v>
      </c>
      <c r="AA88" s="245">
        <f t="shared" si="83"/>
        <v>0</v>
      </c>
      <c r="AB88" s="237">
        <f t="shared" si="84"/>
        <v>0</v>
      </c>
      <c r="AC88" s="615"/>
      <c r="AD88" s="616"/>
      <c r="AE88" s="616"/>
      <c r="AF88" s="245">
        <f t="shared" si="66"/>
        <v>0</v>
      </c>
      <c r="AG88" s="245">
        <f t="shared" si="85"/>
        <v>0</v>
      </c>
      <c r="AH88" s="245">
        <f t="shared" si="86"/>
        <v>0</v>
      </c>
      <c r="AI88" s="237">
        <f t="shared" si="87"/>
        <v>0</v>
      </c>
      <c r="AJ88" s="615"/>
      <c r="AK88" s="616"/>
      <c r="AL88" s="616"/>
      <c r="AM88" s="245">
        <f t="shared" si="67"/>
        <v>0</v>
      </c>
      <c r="AN88" s="245">
        <f t="shared" si="88"/>
        <v>0</v>
      </c>
      <c r="AO88" s="245">
        <f t="shared" si="89"/>
        <v>0</v>
      </c>
      <c r="AP88" s="237">
        <f t="shared" si="90"/>
        <v>0</v>
      </c>
      <c r="AQ88" s="615"/>
      <c r="AR88" s="616"/>
      <c r="AS88" s="616"/>
      <c r="AT88" s="245">
        <f t="shared" si="68"/>
        <v>0</v>
      </c>
      <c r="AU88" s="245">
        <f t="shared" si="91"/>
        <v>0</v>
      </c>
      <c r="AV88" s="245">
        <f t="shared" si="92"/>
        <v>0</v>
      </c>
      <c r="AW88" s="237">
        <f t="shared" si="93"/>
        <v>0</v>
      </c>
      <c r="AX88" s="615"/>
      <c r="AY88" s="616"/>
      <c r="AZ88" s="616"/>
      <c r="BA88" s="245">
        <f t="shared" si="69"/>
        <v>0</v>
      </c>
      <c r="BB88" s="245">
        <f t="shared" si="94"/>
        <v>0</v>
      </c>
      <c r="BC88" s="245">
        <f t="shared" si="95"/>
        <v>0</v>
      </c>
      <c r="BD88" s="237">
        <f t="shared" si="96"/>
        <v>0</v>
      </c>
      <c r="BE88" s="615"/>
      <c r="BF88" s="616"/>
      <c r="BG88" s="616"/>
      <c r="BH88" s="245">
        <f t="shared" si="71"/>
        <v>0</v>
      </c>
      <c r="BI88" s="245">
        <f t="shared" si="97"/>
        <v>0</v>
      </c>
      <c r="BJ88" s="245">
        <f t="shared" si="98"/>
        <v>0</v>
      </c>
      <c r="BK88" s="237">
        <f t="shared" si="99"/>
        <v>0</v>
      </c>
      <c r="BL88" s="615"/>
      <c r="BM88" s="616"/>
      <c r="BN88" s="616"/>
      <c r="BO88" s="245">
        <f t="shared" si="72"/>
        <v>0</v>
      </c>
      <c r="BP88" s="245">
        <f t="shared" si="100"/>
        <v>0</v>
      </c>
      <c r="BQ88" s="245">
        <f t="shared" si="101"/>
        <v>0</v>
      </c>
      <c r="BR88" s="237">
        <f t="shared" si="102"/>
        <v>0</v>
      </c>
    </row>
    <row r="89" spans="1:70" x14ac:dyDescent="0.3">
      <c r="A89" s="521" t="s">
        <v>906</v>
      </c>
      <c r="B89" s="188"/>
      <c r="C89" s="522"/>
      <c r="D89" s="188"/>
      <c r="E89" s="612"/>
      <c r="F89" s="612"/>
      <c r="G89" s="613"/>
      <c r="H89" s="615"/>
      <c r="I89" s="616"/>
      <c r="J89" s="616"/>
      <c r="K89" s="245">
        <f t="shared" si="63"/>
        <v>0</v>
      </c>
      <c r="L89" s="245">
        <f t="shared" si="76"/>
        <v>0</v>
      </c>
      <c r="M89" s="245">
        <f t="shared" si="77"/>
        <v>0</v>
      </c>
      <c r="N89" s="237">
        <f t="shared" si="78"/>
        <v>0</v>
      </c>
      <c r="O89" s="247"/>
      <c r="P89" s="96"/>
      <c r="Q89" s="96"/>
      <c r="R89" s="245">
        <f t="shared" si="64"/>
        <v>0</v>
      </c>
      <c r="S89" s="245">
        <f t="shared" si="79"/>
        <v>0</v>
      </c>
      <c r="T89" s="245">
        <f t="shared" si="80"/>
        <v>0</v>
      </c>
      <c r="U89" s="237">
        <f t="shared" si="81"/>
        <v>0</v>
      </c>
      <c r="V89" s="247"/>
      <c r="W89" s="96"/>
      <c r="X89" s="96"/>
      <c r="Y89" s="245">
        <f t="shared" si="65"/>
        <v>0</v>
      </c>
      <c r="Z89" s="245">
        <f t="shared" si="82"/>
        <v>0</v>
      </c>
      <c r="AA89" s="245">
        <f t="shared" si="83"/>
        <v>0</v>
      </c>
      <c r="AB89" s="237">
        <f t="shared" si="84"/>
        <v>0</v>
      </c>
      <c r="AC89" s="615"/>
      <c r="AD89" s="616"/>
      <c r="AE89" s="616"/>
      <c r="AF89" s="245">
        <f t="shared" si="66"/>
        <v>0</v>
      </c>
      <c r="AG89" s="245">
        <f t="shared" si="85"/>
        <v>0</v>
      </c>
      <c r="AH89" s="245">
        <f t="shared" si="86"/>
        <v>0</v>
      </c>
      <c r="AI89" s="237">
        <f t="shared" si="87"/>
        <v>0</v>
      </c>
      <c r="AJ89" s="615"/>
      <c r="AK89" s="616"/>
      <c r="AL89" s="616"/>
      <c r="AM89" s="245">
        <f t="shared" si="67"/>
        <v>0</v>
      </c>
      <c r="AN89" s="245">
        <f t="shared" si="88"/>
        <v>0</v>
      </c>
      <c r="AO89" s="245">
        <f t="shared" si="89"/>
        <v>0</v>
      </c>
      <c r="AP89" s="237">
        <f t="shared" si="90"/>
        <v>0</v>
      </c>
      <c r="AQ89" s="615"/>
      <c r="AR89" s="616"/>
      <c r="AS89" s="616"/>
      <c r="AT89" s="245">
        <f t="shared" si="68"/>
        <v>0</v>
      </c>
      <c r="AU89" s="245">
        <f t="shared" si="91"/>
        <v>0</v>
      </c>
      <c r="AV89" s="245">
        <f t="shared" si="92"/>
        <v>0</v>
      </c>
      <c r="AW89" s="237">
        <f t="shared" si="93"/>
        <v>0</v>
      </c>
      <c r="AX89" s="615"/>
      <c r="AY89" s="616"/>
      <c r="AZ89" s="616"/>
      <c r="BA89" s="245">
        <f t="shared" si="69"/>
        <v>0</v>
      </c>
      <c r="BB89" s="245">
        <f t="shared" si="94"/>
        <v>0</v>
      </c>
      <c r="BC89" s="245">
        <f t="shared" si="95"/>
        <v>0</v>
      </c>
      <c r="BD89" s="237">
        <f t="shared" si="96"/>
        <v>0</v>
      </c>
      <c r="BE89" s="615"/>
      <c r="BF89" s="616"/>
      <c r="BG89" s="616"/>
      <c r="BH89" s="245">
        <f t="shared" si="71"/>
        <v>0</v>
      </c>
      <c r="BI89" s="245">
        <f t="shared" si="97"/>
        <v>0</v>
      </c>
      <c r="BJ89" s="245">
        <f t="shared" si="98"/>
        <v>0</v>
      </c>
      <c r="BK89" s="237">
        <f t="shared" si="99"/>
        <v>0</v>
      </c>
      <c r="BL89" s="615"/>
      <c r="BM89" s="616"/>
      <c r="BN89" s="616"/>
      <c r="BO89" s="245">
        <f t="shared" si="72"/>
        <v>0</v>
      </c>
      <c r="BP89" s="245">
        <f t="shared" si="100"/>
        <v>0</v>
      </c>
      <c r="BQ89" s="245">
        <f t="shared" si="101"/>
        <v>0</v>
      </c>
      <c r="BR89" s="237">
        <f t="shared" si="102"/>
        <v>0</v>
      </c>
    </row>
    <row r="90" spans="1:70" x14ac:dyDescent="0.3">
      <c r="A90" s="521" t="s">
        <v>907</v>
      </c>
      <c r="B90" s="188"/>
      <c r="C90" s="522"/>
      <c r="D90" s="188"/>
      <c r="E90" s="612"/>
      <c r="F90" s="612"/>
      <c r="G90" s="613"/>
      <c r="H90" s="615"/>
      <c r="I90" s="616"/>
      <c r="J90" s="616"/>
      <c r="K90" s="245">
        <f t="shared" si="63"/>
        <v>0</v>
      </c>
      <c r="L90" s="245">
        <f t="shared" si="76"/>
        <v>0</v>
      </c>
      <c r="M90" s="245">
        <f t="shared" si="77"/>
        <v>0</v>
      </c>
      <c r="N90" s="237">
        <f t="shared" si="78"/>
        <v>0</v>
      </c>
      <c r="O90" s="247"/>
      <c r="P90" s="96"/>
      <c r="Q90" s="96"/>
      <c r="R90" s="245">
        <f t="shared" si="64"/>
        <v>0</v>
      </c>
      <c r="S90" s="245">
        <f t="shared" si="79"/>
        <v>0</v>
      </c>
      <c r="T90" s="245">
        <f t="shared" si="80"/>
        <v>0</v>
      </c>
      <c r="U90" s="237">
        <f t="shared" si="81"/>
        <v>0</v>
      </c>
      <c r="V90" s="247"/>
      <c r="W90" s="96"/>
      <c r="X90" s="96"/>
      <c r="Y90" s="245">
        <f t="shared" si="65"/>
        <v>0</v>
      </c>
      <c r="Z90" s="245">
        <f t="shared" si="82"/>
        <v>0</v>
      </c>
      <c r="AA90" s="245">
        <f t="shared" si="83"/>
        <v>0</v>
      </c>
      <c r="AB90" s="237">
        <f t="shared" si="84"/>
        <v>0</v>
      </c>
      <c r="AC90" s="615"/>
      <c r="AD90" s="616"/>
      <c r="AE90" s="616"/>
      <c r="AF90" s="245">
        <f t="shared" si="66"/>
        <v>0</v>
      </c>
      <c r="AG90" s="245">
        <f t="shared" si="85"/>
        <v>0</v>
      </c>
      <c r="AH90" s="245">
        <f t="shared" si="86"/>
        <v>0</v>
      </c>
      <c r="AI90" s="237">
        <f t="shared" si="87"/>
        <v>0</v>
      </c>
      <c r="AJ90" s="615"/>
      <c r="AK90" s="616"/>
      <c r="AL90" s="616"/>
      <c r="AM90" s="245">
        <f t="shared" si="67"/>
        <v>0</v>
      </c>
      <c r="AN90" s="245">
        <f t="shared" si="88"/>
        <v>0</v>
      </c>
      <c r="AO90" s="245">
        <f t="shared" si="89"/>
        <v>0</v>
      </c>
      <c r="AP90" s="237">
        <f t="shared" si="90"/>
        <v>0</v>
      </c>
      <c r="AQ90" s="615"/>
      <c r="AR90" s="616"/>
      <c r="AS90" s="616"/>
      <c r="AT90" s="245">
        <f t="shared" si="68"/>
        <v>0</v>
      </c>
      <c r="AU90" s="245">
        <f t="shared" si="91"/>
        <v>0</v>
      </c>
      <c r="AV90" s="245">
        <f t="shared" si="92"/>
        <v>0</v>
      </c>
      <c r="AW90" s="237">
        <f t="shared" si="93"/>
        <v>0</v>
      </c>
      <c r="AX90" s="615"/>
      <c r="AY90" s="616"/>
      <c r="AZ90" s="616"/>
      <c r="BA90" s="245">
        <f t="shared" si="69"/>
        <v>0</v>
      </c>
      <c r="BB90" s="245">
        <f t="shared" si="94"/>
        <v>0</v>
      </c>
      <c r="BC90" s="245">
        <f t="shared" si="95"/>
        <v>0</v>
      </c>
      <c r="BD90" s="237">
        <f t="shared" si="96"/>
        <v>0</v>
      </c>
      <c r="BE90" s="615"/>
      <c r="BF90" s="616"/>
      <c r="BG90" s="616"/>
      <c r="BH90" s="245">
        <f t="shared" si="71"/>
        <v>0</v>
      </c>
      <c r="BI90" s="245">
        <f t="shared" si="97"/>
        <v>0</v>
      </c>
      <c r="BJ90" s="245">
        <f t="shared" si="98"/>
        <v>0</v>
      </c>
      <c r="BK90" s="237">
        <f t="shared" si="99"/>
        <v>0</v>
      </c>
      <c r="BL90" s="615"/>
      <c r="BM90" s="616"/>
      <c r="BN90" s="616"/>
      <c r="BO90" s="245">
        <f t="shared" si="72"/>
        <v>0</v>
      </c>
      <c r="BP90" s="245">
        <f t="shared" si="100"/>
        <v>0</v>
      </c>
      <c r="BQ90" s="245">
        <f t="shared" si="101"/>
        <v>0</v>
      </c>
      <c r="BR90" s="237">
        <f t="shared" si="102"/>
        <v>0</v>
      </c>
    </row>
    <row r="91" spans="1:70" x14ac:dyDescent="0.3">
      <c r="A91" s="521" t="s">
        <v>908</v>
      </c>
      <c r="B91" s="95"/>
      <c r="C91" s="246"/>
      <c r="D91" s="95"/>
      <c r="E91" s="243"/>
      <c r="F91" s="243"/>
      <c r="G91" s="244"/>
      <c r="H91" s="247"/>
      <c r="I91" s="96"/>
      <c r="J91" s="96"/>
      <c r="K91" s="245">
        <f t="shared" si="63"/>
        <v>0</v>
      </c>
      <c r="L91" s="245">
        <f t="shared" si="76"/>
        <v>0</v>
      </c>
      <c r="M91" s="245">
        <f t="shared" si="77"/>
        <v>0</v>
      </c>
      <c r="N91" s="237">
        <f t="shared" si="78"/>
        <v>0</v>
      </c>
      <c r="O91" s="247"/>
      <c r="P91" s="96"/>
      <c r="Q91" s="96"/>
      <c r="R91" s="245">
        <f t="shared" si="64"/>
        <v>0</v>
      </c>
      <c r="S91" s="245">
        <f t="shared" si="79"/>
        <v>0</v>
      </c>
      <c r="T91" s="245">
        <f t="shared" si="80"/>
        <v>0</v>
      </c>
      <c r="U91" s="237">
        <f t="shared" si="81"/>
        <v>0</v>
      </c>
      <c r="V91" s="247"/>
      <c r="W91" s="96"/>
      <c r="X91" s="96"/>
      <c r="Y91" s="245">
        <f t="shared" si="65"/>
        <v>0</v>
      </c>
      <c r="Z91" s="245">
        <f t="shared" si="82"/>
        <v>0</v>
      </c>
      <c r="AA91" s="245">
        <f t="shared" si="83"/>
        <v>0</v>
      </c>
      <c r="AB91" s="237">
        <f t="shared" si="84"/>
        <v>0</v>
      </c>
      <c r="AC91" s="247"/>
      <c r="AD91" s="96"/>
      <c r="AE91" s="96"/>
      <c r="AF91" s="245">
        <f t="shared" si="66"/>
        <v>0</v>
      </c>
      <c r="AG91" s="245">
        <f t="shared" si="85"/>
        <v>0</v>
      </c>
      <c r="AH91" s="245">
        <f t="shared" si="86"/>
        <v>0</v>
      </c>
      <c r="AI91" s="237">
        <f t="shared" si="87"/>
        <v>0</v>
      </c>
      <c r="AJ91" s="247"/>
      <c r="AK91" s="96"/>
      <c r="AL91" s="96"/>
      <c r="AM91" s="245">
        <f t="shared" si="67"/>
        <v>0</v>
      </c>
      <c r="AN91" s="245">
        <f t="shared" si="88"/>
        <v>0</v>
      </c>
      <c r="AO91" s="245">
        <f t="shared" si="89"/>
        <v>0</v>
      </c>
      <c r="AP91" s="237">
        <f t="shared" si="90"/>
        <v>0</v>
      </c>
      <c r="AQ91" s="247"/>
      <c r="AR91" s="96"/>
      <c r="AS91" s="96"/>
      <c r="AT91" s="245">
        <f t="shared" si="68"/>
        <v>0</v>
      </c>
      <c r="AU91" s="245">
        <f t="shared" si="91"/>
        <v>0</v>
      </c>
      <c r="AV91" s="245">
        <f t="shared" si="92"/>
        <v>0</v>
      </c>
      <c r="AW91" s="237">
        <f t="shared" si="93"/>
        <v>0</v>
      </c>
      <c r="AX91" s="247"/>
      <c r="AY91" s="96"/>
      <c r="AZ91" s="96"/>
      <c r="BA91" s="245">
        <f t="shared" si="69"/>
        <v>0</v>
      </c>
      <c r="BB91" s="245">
        <f t="shared" si="94"/>
        <v>0</v>
      </c>
      <c r="BC91" s="245">
        <f t="shared" si="95"/>
        <v>0</v>
      </c>
      <c r="BD91" s="237">
        <f t="shared" si="96"/>
        <v>0</v>
      </c>
      <c r="BE91" s="615"/>
      <c r="BF91" s="616"/>
      <c r="BG91" s="616"/>
      <c r="BH91" s="245">
        <f t="shared" si="71"/>
        <v>0</v>
      </c>
      <c r="BI91" s="245">
        <f t="shared" si="97"/>
        <v>0</v>
      </c>
      <c r="BJ91" s="245">
        <f t="shared" si="98"/>
        <v>0</v>
      </c>
      <c r="BK91" s="237">
        <f t="shared" si="99"/>
        <v>0</v>
      </c>
      <c r="BL91" s="247"/>
      <c r="BM91" s="96"/>
      <c r="BN91" s="96"/>
      <c r="BO91" s="245">
        <f t="shared" si="72"/>
        <v>0</v>
      </c>
      <c r="BP91" s="245">
        <f t="shared" si="100"/>
        <v>0</v>
      </c>
      <c r="BQ91" s="245">
        <f t="shared" si="101"/>
        <v>0</v>
      </c>
      <c r="BR91" s="237">
        <f t="shared" si="102"/>
        <v>0</v>
      </c>
    </row>
    <row r="92" spans="1:70" x14ac:dyDescent="0.3">
      <c r="A92" s="521" t="s">
        <v>909</v>
      </c>
      <c r="B92" s="95"/>
      <c r="C92" s="246"/>
      <c r="D92" s="95"/>
      <c r="E92" s="243"/>
      <c r="F92" s="243"/>
      <c r="G92" s="244"/>
      <c r="H92" s="247"/>
      <c r="I92" s="96"/>
      <c r="J92" s="96"/>
      <c r="K92" s="245">
        <f t="shared" si="63"/>
        <v>0</v>
      </c>
      <c r="L92" s="245">
        <f t="shared" si="76"/>
        <v>0</v>
      </c>
      <c r="M92" s="245">
        <f t="shared" si="77"/>
        <v>0</v>
      </c>
      <c r="N92" s="237">
        <f t="shared" si="78"/>
        <v>0</v>
      </c>
      <c r="O92" s="247"/>
      <c r="P92" s="96"/>
      <c r="Q92" s="96"/>
      <c r="R92" s="245">
        <f t="shared" si="64"/>
        <v>0</v>
      </c>
      <c r="S92" s="245">
        <f t="shared" si="79"/>
        <v>0</v>
      </c>
      <c r="T92" s="245">
        <f t="shared" si="80"/>
        <v>0</v>
      </c>
      <c r="U92" s="237">
        <f t="shared" si="81"/>
        <v>0</v>
      </c>
      <c r="V92" s="247"/>
      <c r="W92" s="96"/>
      <c r="X92" s="96"/>
      <c r="Y92" s="245">
        <f t="shared" si="65"/>
        <v>0</v>
      </c>
      <c r="Z92" s="245">
        <f t="shared" si="82"/>
        <v>0</v>
      </c>
      <c r="AA92" s="245">
        <f t="shared" si="83"/>
        <v>0</v>
      </c>
      <c r="AB92" s="237">
        <f t="shared" si="84"/>
        <v>0</v>
      </c>
      <c r="AC92" s="247"/>
      <c r="AD92" s="96"/>
      <c r="AE92" s="96"/>
      <c r="AF92" s="245">
        <f t="shared" si="66"/>
        <v>0</v>
      </c>
      <c r="AG92" s="245">
        <f t="shared" si="85"/>
        <v>0</v>
      </c>
      <c r="AH92" s="245">
        <f t="shared" si="86"/>
        <v>0</v>
      </c>
      <c r="AI92" s="237">
        <f t="shared" si="87"/>
        <v>0</v>
      </c>
      <c r="AJ92" s="247"/>
      <c r="AK92" s="96"/>
      <c r="AL92" s="96"/>
      <c r="AM92" s="245">
        <f t="shared" si="67"/>
        <v>0</v>
      </c>
      <c r="AN92" s="245">
        <f t="shared" si="88"/>
        <v>0</v>
      </c>
      <c r="AO92" s="245">
        <f t="shared" si="89"/>
        <v>0</v>
      </c>
      <c r="AP92" s="237">
        <f t="shared" si="90"/>
        <v>0</v>
      </c>
      <c r="AQ92" s="247"/>
      <c r="AR92" s="96"/>
      <c r="AS92" s="96"/>
      <c r="AT92" s="245">
        <f t="shared" si="68"/>
        <v>0</v>
      </c>
      <c r="AU92" s="245">
        <f t="shared" si="91"/>
        <v>0</v>
      </c>
      <c r="AV92" s="245">
        <f t="shared" si="92"/>
        <v>0</v>
      </c>
      <c r="AW92" s="237">
        <f t="shared" si="93"/>
        <v>0</v>
      </c>
      <c r="AX92" s="247"/>
      <c r="AY92" s="96"/>
      <c r="AZ92" s="96"/>
      <c r="BA92" s="245">
        <f t="shared" si="69"/>
        <v>0</v>
      </c>
      <c r="BB92" s="245">
        <f t="shared" si="94"/>
        <v>0</v>
      </c>
      <c r="BC92" s="245">
        <f t="shared" si="95"/>
        <v>0</v>
      </c>
      <c r="BD92" s="237">
        <f t="shared" si="96"/>
        <v>0</v>
      </c>
      <c r="BE92" s="615"/>
      <c r="BF92" s="616"/>
      <c r="BG92" s="616"/>
      <c r="BH92" s="245">
        <f t="shared" si="71"/>
        <v>0</v>
      </c>
      <c r="BI92" s="245">
        <f t="shared" si="97"/>
        <v>0</v>
      </c>
      <c r="BJ92" s="245">
        <f t="shared" si="98"/>
        <v>0</v>
      </c>
      <c r="BK92" s="237">
        <f t="shared" si="99"/>
        <v>0</v>
      </c>
      <c r="BL92" s="247"/>
      <c r="BM92" s="96"/>
      <c r="BN92" s="96"/>
      <c r="BO92" s="245">
        <f t="shared" si="72"/>
        <v>0</v>
      </c>
      <c r="BP92" s="245">
        <f t="shared" si="100"/>
        <v>0</v>
      </c>
      <c r="BQ92" s="245">
        <f t="shared" si="101"/>
        <v>0</v>
      </c>
      <c r="BR92" s="237">
        <f t="shared" si="102"/>
        <v>0</v>
      </c>
    </row>
    <row r="93" spans="1:70" x14ac:dyDescent="0.3">
      <c r="A93" s="521" t="s">
        <v>910</v>
      </c>
      <c r="B93" s="95"/>
      <c r="C93" s="246"/>
      <c r="D93" s="95"/>
      <c r="E93" s="243"/>
      <c r="F93" s="243"/>
      <c r="G93" s="244"/>
      <c r="H93" s="247"/>
      <c r="I93" s="96"/>
      <c r="J93" s="96"/>
      <c r="K93" s="245">
        <f t="shared" si="63"/>
        <v>0</v>
      </c>
      <c r="L93" s="245">
        <f t="shared" si="76"/>
        <v>0</v>
      </c>
      <c r="M93" s="245">
        <f t="shared" si="77"/>
        <v>0</v>
      </c>
      <c r="N93" s="237">
        <f t="shared" si="78"/>
        <v>0</v>
      </c>
      <c r="O93" s="247"/>
      <c r="P93" s="96"/>
      <c r="Q93" s="96"/>
      <c r="R93" s="245">
        <f t="shared" si="64"/>
        <v>0</v>
      </c>
      <c r="S93" s="245">
        <f t="shared" si="79"/>
        <v>0</v>
      </c>
      <c r="T93" s="245">
        <f t="shared" si="80"/>
        <v>0</v>
      </c>
      <c r="U93" s="237">
        <f t="shared" si="81"/>
        <v>0</v>
      </c>
      <c r="V93" s="247"/>
      <c r="W93" s="96"/>
      <c r="X93" s="96"/>
      <c r="Y93" s="245">
        <f t="shared" si="65"/>
        <v>0</v>
      </c>
      <c r="Z93" s="245">
        <f t="shared" si="82"/>
        <v>0</v>
      </c>
      <c r="AA93" s="245">
        <f t="shared" si="83"/>
        <v>0</v>
      </c>
      <c r="AB93" s="237">
        <f t="shared" si="84"/>
        <v>0</v>
      </c>
      <c r="AC93" s="247"/>
      <c r="AD93" s="96"/>
      <c r="AE93" s="96"/>
      <c r="AF93" s="245">
        <f t="shared" si="66"/>
        <v>0</v>
      </c>
      <c r="AG93" s="245">
        <f t="shared" si="85"/>
        <v>0</v>
      </c>
      <c r="AH93" s="245">
        <f t="shared" si="86"/>
        <v>0</v>
      </c>
      <c r="AI93" s="237">
        <f t="shared" si="87"/>
        <v>0</v>
      </c>
      <c r="AJ93" s="247"/>
      <c r="AK93" s="96"/>
      <c r="AL93" s="96"/>
      <c r="AM93" s="245">
        <f t="shared" si="67"/>
        <v>0</v>
      </c>
      <c r="AN93" s="245">
        <f t="shared" si="88"/>
        <v>0</v>
      </c>
      <c r="AO93" s="245">
        <f t="shared" si="89"/>
        <v>0</v>
      </c>
      <c r="AP93" s="237">
        <f t="shared" si="90"/>
        <v>0</v>
      </c>
      <c r="AQ93" s="247"/>
      <c r="AR93" s="96"/>
      <c r="AS93" s="96"/>
      <c r="AT93" s="245">
        <f t="shared" si="68"/>
        <v>0</v>
      </c>
      <c r="AU93" s="245">
        <f t="shared" si="91"/>
        <v>0</v>
      </c>
      <c r="AV93" s="245">
        <f t="shared" si="92"/>
        <v>0</v>
      </c>
      <c r="AW93" s="237">
        <f t="shared" si="93"/>
        <v>0</v>
      </c>
      <c r="AX93" s="247"/>
      <c r="AY93" s="96"/>
      <c r="AZ93" s="96"/>
      <c r="BA93" s="245">
        <f t="shared" si="69"/>
        <v>0</v>
      </c>
      <c r="BB93" s="245">
        <f t="shared" si="94"/>
        <v>0</v>
      </c>
      <c r="BC93" s="245">
        <f t="shared" si="95"/>
        <v>0</v>
      </c>
      <c r="BD93" s="237">
        <f t="shared" si="96"/>
        <v>0</v>
      </c>
      <c r="BE93" s="247"/>
      <c r="BF93" s="96"/>
      <c r="BG93" s="96"/>
      <c r="BH93" s="245">
        <f t="shared" si="71"/>
        <v>0</v>
      </c>
      <c r="BI93" s="245">
        <f t="shared" si="97"/>
        <v>0</v>
      </c>
      <c r="BJ93" s="245">
        <f t="shared" si="98"/>
        <v>0</v>
      </c>
      <c r="BK93" s="237">
        <f t="shared" si="99"/>
        <v>0</v>
      </c>
      <c r="BL93" s="247"/>
      <c r="BM93" s="96"/>
      <c r="BN93" s="96"/>
      <c r="BO93" s="245">
        <f t="shared" si="72"/>
        <v>0</v>
      </c>
      <c r="BP93" s="245">
        <f t="shared" si="100"/>
        <v>0</v>
      </c>
      <c r="BQ93" s="245">
        <f t="shared" si="101"/>
        <v>0</v>
      </c>
      <c r="BR93" s="237">
        <f t="shared" si="102"/>
        <v>0</v>
      </c>
    </row>
    <row r="94" spans="1:70" x14ac:dyDescent="0.3">
      <c r="A94" s="521" t="s">
        <v>911</v>
      </c>
      <c r="B94" s="95"/>
      <c r="C94" s="246"/>
      <c r="D94" s="95"/>
      <c r="E94" s="243"/>
      <c r="F94" s="243"/>
      <c r="G94" s="244"/>
      <c r="H94" s="247"/>
      <c r="I94" s="96"/>
      <c r="J94" s="96"/>
      <c r="K94" s="245">
        <f t="shared" si="63"/>
        <v>0</v>
      </c>
      <c r="L94" s="245">
        <f t="shared" ref="L94:L100" si="103">IF(H$2="-","-",IF($E94+$F94+$G94=1,K94*$E94,IF($D94="uns",K94*HLOOKUP(H$2,Verteil_sw,46,FALSE),IF($D94="unm",K94*HLOOKUP(H$2,Verteil_sw,47,FALSE),IF($D94="unr",K94*HLOOKUP(H$2,Verteil_sw,48,FALSE),IF($D94="unk",K94*HLOOKUP(H$2,Verteil_sw,49,FALSE),IF($D94="alz",K94*HLOOKUP(H$2,Verteil_sw,51,FALSE),0)))))))</f>
        <v>0</v>
      </c>
      <c r="M94" s="245">
        <f t="shared" ref="M94:M100" si="104">IF(H$2="-","-",IF($E94+$F94+$G94=1,K94*$F94,IF($D94="uns",K94*HLOOKUP(H$2,Verteil_rwgr,45,FALSE),IF($D94="unm",K94*HLOOKUP(H$2,Verteil_rwgr,46,FALSE),IF($D94="unr",K94*HLOOKUP(H$2,Verteil_rwgr,47,FALSE),IF($D94="unk",K94*HLOOKUP(H$2,Verteil_rwgr,48,FALSE),IF($D94="alz",K94*HLOOKUP(H$2,Verteil_rwgr,50,FALSE),0)))))))</f>
        <v>0</v>
      </c>
      <c r="N94" s="237">
        <f t="shared" ref="N94:N100" si="105">IF(H$2="-","-",IF($E94+$F94+$G94=1,K94*$G94,IF($D94="uns",K94*HLOOKUP(H$2,Verteil_rwst,44,FALSE),IF($D94="unm",K94*HLOOKUP(H$2,Verteil_rwst,45,FALSE),IF($D94="unr",K94*HLOOKUP(H$2,Verteil_rwst,46,FALSE),IF($D94="unk",K94*HLOOKUP(H$2,Verteil_rwst,47,FALSE),IF($D94="alz",K94*HLOOKUP(H$2,Verteil_rwst,49,FALSE),0)))))))</f>
        <v>0</v>
      </c>
      <c r="O94" s="247"/>
      <c r="P94" s="96"/>
      <c r="Q94" s="96"/>
      <c r="R94" s="245">
        <f t="shared" si="64"/>
        <v>0</v>
      </c>
      <c r="S94" s="245">
        <f t="shared" ref="S94:S100" si="106">IF(O$2="-","-",IF($E94+$F94+$G94=1,R94*$E94,IF($D94="uns",R94*HLOOKUP(O$2,Verteil_sw,46,FALSE),IF($D94="unm",R94*HLOOKUP(O$2,Verteil_sw,47,FALSE),IF($D94="unr",R94*HLOOKUP(O$2,Verteil_sw,48,FALSE),IF($D94="unk",R94*HLOOKUP(O$2,Verteil_sw,49,FALSE),IF($D94="alz",R94*HLOOKUP(O$2,Verteil_sw,51,FALSE),0)))))))</f>
        <v>0</v>
      </c>
      <c r="T94" s="245">
        <f t="shared" ref="T94:T100" si="107">IF(O$2="-","-",IF($E94+$F94+$G94=1,R94*$F94,IF($D94="uns",R94*HLOOKUP(O$2,Verteil_rwgr,45,FALSE),IF($D94="unm",R94*HLOOKUP(O$2,Verteil_rwgr,46,FALSE),IF($D94="unr",R94*HLOOKUP(O$2,Verteil_rwgr,47,FALSE),IF($D94="unk",R94*HLOOKUP(O$2,Verteil_rwgr,48,FALSE),IF($D94="alz",R94*HLOOKUP(O$2,Verteil_rwgr,50,FALSE),0)))))))</f>
        <v>0</v>
      </c>
      <c r="U94" s="237">
        <f t="shared" ref="U94:U100" si="108">IF(O$2="-","-",IF($E94+$F94+$G94=1,R94*$G94,IF($D94="uns",R94*HLOOKUP(O$2,Verteil_rwst,44,FALSE),IF($D94="unm",R94*HLOOKUP(O$2,Verteil_rwst,45,FALSE),IF($D94="unr",R94*HLOOKUP(O$2,Verteil_rwst,46,FALSE),IF($D94="unk",R94*HLOOKUP(O$2,Verteil_rwst,47,FALSE),IF($D94="alz",R94*HLOOKUP(O$2,Verteil_rwst,49,FALSE),0)))))))</f>
        <v>0</v>
      </c>
      <c r="V94" s="247"/>
      <c r="W94" s="96"/>
      <c r="X94" s="96"/>
      <c r="Y94" s="245">
        <f t="shared" si="65"/>
        <v>0</v>
      </c>
      <c r="Z94" s="245">
        <f t="shared" ref="Z94:Z100" si="109">IF(V$2="-","-",IF($E94+$F94+$G94=1,Y94*$E94,IF($D94="uns",Y94*HLOOKUP(V$2,Verteil_sw,46,FALSE),IF($D94="unm",Y94*HLOOKUP(V$2,Verteil_sw,47,FALSE),IF($D94="unr",Y94*HLOOKUP(V$2,Verteil_sw,48,FALSE),IF($D94="unk",Y94*HLOOKUP(V$2,Verteil_sw,49,FALSE),IF($D94="alz",Y94*HLOOKUP(V$2,Verteil_sw,51,FALSE),0)))))))</f>
        <v>0</v>
      </c>
      <c r="AA94" s="245">
        <f t="shared" ref="AA94:AA100" si="110">IF(V$2="-","-",IF($E94+$F94+$G94=1,Y94*$F94,IF($D94="uns",Y94*HLOOKUP(V$2,Verteil_rwgr,45,FALSE),IF($D94="unm",Y94*HLOOKUP(V$2,Verteil_rwgr,46,FALSE),IF($D94="unr",Y94*HLOOKUP(V$2,Verteil_rwgr,47,FALSE),IF($D94="unk",Y94*HLOOKUP(V$2,Verteil_rwgr,48,FALSE),IF($D94="alz",Y94*HLOOKUP(V$2,Verteil_rwgr,50,FALSE),0)))))))</f>
        <v>0</v>
      </c>
      <c r="AB94" s="237">
        <f t="shared" ref="AB94:AB100" si="111">IF(V$2="-","-",IF($E94+$F94+$G94=1,Y94*$G94,IF($D94="uns",Y94*HLOOKUP(V$2,Verteil_rwst,44,FALSE),IF($D94="unm",Y94*HLOOKUP(V$2,Verteil_rwst,45,FALSE),IF($D94="unr",Y94*HLOOKUP(V$2,Verteil_rwst,46,FALSE),IF($D94="unk",Y94*HLOOKUP(V$2,Verteil_rwst,47,FALSE),IF($D94="alz",Y94*HLOOKUP(V$2,Verteil_rwst,49,FALSE),0)))))))</f>
        <v>0</v>
      </c>
      <c r="AC94" s="247"/>
      <c r="AD94" s="96"/>
      <c r="AE94" s="96"/>
      <c r="AF94" s="245">
        <f t="shared" si="66"/>
        <v>0</v>
      </c>
      <c r="AG94" s="245">
        <f t="shared" ref="AG94:AG100" si="112">IF(AC$2="-","-",IF($E94+$F94+$G94=1,AF94*$E94,IF($D94="uns",AF94*HLOOKUP(AC$2,Verteil_sw,46,FALSE),IF($D94="unm",AF94*HLOOKUP(AC$2,Verteil_sw,47,FALSE),IF($D94="unr",AF94*HLOOKUP(AC$2,Verteil_sw,48,FALSE),IF($D94="unk",AF94*HLOOKUP(AC$2,Verteil_sw,49,FALSE),IF($D94="alz",AF94*HLOOKUP(AC$2,Verteil_sw,51,FALSE),0)))))))</f>
        <v>0</v>
      </c>
      <c r="AH94" s="245">
        <f t="shared" ref="AH94:AH100" si="113">IF(AC$2="-","-",IF($E94+$F94+$G94=1,AF94*$F94,IF($D94="uns",AF94*HLOOKUP(AC$2,Verteil_rwgr,45,FALSE),IF($D94="unm",AF94*HLOOKUP(AC$2,Verteil_rwgr,46,FALSE),IF($D94="unr",AF94*HLOOKUP(AC$2,Verteil_rwgr,47,FALSE),IF($D94="unk",AF94*HLOOKUP(AC$2,Verteil_rwgr,48,FALSE),IF($D94="alz",AF94*HLOOKUP(AC$2,Verteil_rwgr,50,FALSE),0)))))))</f>
        <v>0</v>
      </c>
      <c r="AI94" s="237">
        <f t="shared" ref="AI94:AI100" si="114">IF(AC$2="-","-",IF($E94+$F94+$G94=1,AF94*$G94,IF($D94="uns",AF94*HLOOKUP(AC$2,Verteil_rwst,44,FALSE),IF($D94="unm",AF94*HLOOKUP(AC$2,Verteil_rwst,45,FALSE),IF($D94="unr",AF94*HLOOKUP(AC$2,Verteil_rwst,46,FALSE),IF($D94="unk",AF94*HLOOKUP(AC$2,Verteil_rwst,47,FALSE),IF($D94="alz",AF94*HLOOKUP(AC$2,Verteil_rwst,49,FALSE),0)))))))</f>
        <v>0</v>
      </c>
      <c r="AJ94" s="247"/>
      <c r="AK94" s="96"/>
      <c r="AL94" s="96"/>
      <c r="AM94" s="245">
        <f t="shared" si="67"/>
        <v>0</v>
      </c>
      <c r="AN94" s="245">
        <f t="shared" ref="AN94:AN100" si="115">IF(AJ$2="-","-",IF($E94+$F94+$G94=1,AM94*$E94,IF($D94="uns",AM94*HLOOKUP(AJ$2,Verteil_sw,46,FALSE),IF($D94="unm",AM94*HLOOKUP(AJ$2,Verteil_sw,47,FALSE),IF($D94="unr",AM94*HLOOKUP(AJ$2,Verteil_sw,48,FALSE),IF($D94="unk",AM94*HLOOKUP(AJ$2,Verteil_sw,49,FALSE),IF($D94="alz",AM94*HLOOKUP(AJ$2,Verteil_sw,51,FALSE),0)))))))</f>
        <v>0</v>
      </c>
      <c r="AO94" s="245">
        <f t="shared" ref="AO94:AO100" si="116">IF(AJ$2="-","-",IF($E94+$F94+$G94=1,AM94*$F94,IF($D94="uns",AM94*HLOOKUP(AJ$2,Verteil_rwgr,45,FALSE),IF($D94="unm",AM94*HLOOKUP(AJ$2,Verteil_rwgr,46,FALSE),IF($D94="unr",AM94*HLOOKUP(AJ$2,Verteil_rwgr,47,FALSE),IF($D94="unk",AM94*HLOOKUP(AJ$2,Verteil_rwgr,48,FALSE),IF($D94="alz",AM94*HLOOKUP(AJ$2,Verteil_rwgr,50,FALSE),0)))))))</f>
        <v>0</v>
      </c>
      <c r="AP94" s="237">
        <f t="shared" ref="AP94:AP100" si="117">IF(AJ$2="-","-",IF($E94+$F94+$G94=1,AM94*$G94,IF($D94="uns",AM94*HLOOKUP(AJ$2,Verteil_rwst,44,FALSE),IF($D94="unm",AM94*HLOOKUP(AJ$2,Verteil_rwst,45,FALSE),IF($D94="unr",AM94*HLOOKUP(AJ$2,Verteil_rwst,46,FALSE),IF($D94="unk",AM94*HLOOKUP(AJ$2,Verteil_rwst,47,FALSE),IF($D94="alz",AM94*HLOOKUP(AJ$2,Verteil_rwst,49,FALSE),0)))))))</f>
        <v>0</v>
      </c>
      <c r="AQ94" s="247"/>
      <c r="AR94" s="96"/>
      <c r="AS94" s="96"/>
      <c r="AT94" s="245">
        <f t="shared" si="68"/>
        <v>0</v>
      </c>
      <c r="AU94" s="245">
        <f t="shared" ref="AU94:AU100" si="118">IF(AQ$2="-","-",IF($E94+$F94+$G94=1,AT94*$E94,IF($D94="uns",AT94*HLOOKUP(AQ$2,Verteil_sw,46,FALSE),IF($D94="unm",AT94*HLOOKUP(AQ$2,Verteil_sw,47,FALSE),IF($D94="unr",AT94*HLOOKUP(AQ$2,Verteil_sw,48,FALSE),IF($D94="unk",AT94*HLOOKUP(AQ$2,Verteil_sw,49,FALSE),IF($D94="alz",AT94*HLOOKUP(AQ$2,Verteil_sw,51,FALSE),0)))))))</f>
        <v>0</v>
      </c>
      <c r="AV94" s="245">
        <f t="shared" ref="AV94:AV100" si="119">IF(AQ$2="-","-",IF($E94+$F94+$G94=1,AT94*$F94,IF($D94="uns",AT94*HLOOKUP(AQ$2,Verteil_rwgr,45,FALSE),IF($D94="unm",AT94*HLOOKUP(AQ$2,Verteil_rwgr,46,FALSE),IF($D94="unr",AT94*HLOOKUP(AQ$2,Verteil_rwgr,47,FALSE),IF($D94="unk",AT94*HLOOKUP(AQ$2,Verteil_rwgr,48,FALSE),IF($D94="alz",AT94*HLOOKUP(AQ$2,Verteil_rwgr,50,FALSE),0)))))))</f>
        <v>0</v>
      </c>
      <c r="AW94" s="237">
        <f t="shared" ref="AW94:AW100" si="120">IF(AQ$2="-","-",IF($E94+$F94+$G94=1,AT94*$G94,IF($D94="uns",AT94*HLOOKUP(AQ$2,Verteil_rwst,44,FALSE),IF($D94="unm",AT94*HLOOKUP(AQ$2,Verteil_rwst,45,FALSE),IF($D94="unr",AT94*HLOOKUP(AQ$2,Verteil_rwst,46,FALSE),IF($D94="unk",AT94*HLOOKUP(AQ$2,Verteil_rwst,47,FALSE),IF($D94="alz",AT94*HLOOKUP(AQ$2,Verteil_rwst,49,FALSE),0)))))))</f>
        <v>0</v>
      </c>
      <c r="AX94" s="247"/>
      <c r="AY94" s="96"/>
      <c r="AZ94" s="96"/>
      <c r="BA94" s="245">
        <f t="shared" si="69"/>
        <v>0</v>
      </c>
      <c r="BB94" s="245">
        <f t="shared" ref="BB94:BB100" si="121">IF(AX$2="-","-",IF($E94+$F94+$G94=1,BA94*$E94,IF($D94="uns",BA94*HLOOKUP(AX$2,Verteil_sw,46,FALSE),IF($D94="unm",BA94*HLOOKUP(AX$2,Verteil_sw,47,FALSE),IF($D94="unr",BA94*HLOOKUP(AX$2,Verteil_sw,48,FALSE),IF($D94="unk",BA94*HLOOKUP(AX$2,Verteil_sw,49,FALSE),IF($D94="alz",BA94*HLOOKUP(AX$2,Verteil_sw,51,FALSE),0)))))))</f>
        <v>0</v>
      </c>
      <c r="BC94" s="245">
        <f t="shared" ref="BC94:BC100" si="122">IF(AX$2="-","-",IF($E94+$F94+$G94=1,BA94*$F94,IF($D94="uns",BA94*HLOOKUP(AX$2,Verteil_rwgr,45,FALSE),IF($D94="unm",BA94*HLOOKUP(AX$2,Verteil_rwgr,46,FALSE),IF($D94="unr",BA94*HLOOKUP(AX$2,Verteil_rwgr,47,FALSE),IF($D94="unk",BA94*HLOOKUP(AX$2,Verteil_rwgr,48,FALSE),IF($D94="alz",BA94*HLOOKUP(AX$2,Verteil_rwgr,50,FALSE),0)))))))</f>
        <v>0</v>
      </c>
      <c r="BD94" s="237">
        <f t="shared" ref="BD94:BD100" si="123">IF(AX$2="-","-",IF($E94+$F94+$G94=1,BA94*$G94,IF($D94="uns",BA94*HLOOKUP(AX$2,Verteil_rwst,44,FALSE),IF($D94="unm",BA94*HLOOKUP(AX$2,Verteil_rwst,45,FALSE),IF($D94="unr",BA94*HLOOKUP(AX$2,Verteil_rwst,46,FALSE),IF($D94="unk",BA94*HLOOKUP(AX$2,Verteil_rwst,47,FALSE),IF($D94="alz",BA94*HLOOKUP(AX$2,Verteil_rwst,49,FALSE),0)))))))</f>
        <v>0</v>
      </c>
      <c r="BE94" s="247"/>
      <c r="BF94" s="96"/>
      <c r="BG94" s="96"/>
      <c r="BH94" s="245">
        <f t="shared" si="71"/>
        <v>0</v>
      </c>
      <c r="BI94" s="245">
        <f t="shared" ref="BI94:BI100" si="124">IF(BE$2="-","-",IF($E94+$F94+$G94=1,BH94*$E94,IF($D94="uns",BH94*HLOOKUP(BE$2,Verteil_sw,46,FALSE),IF($D94="unm",BH94*HLOOKUP(BE$2,Verteil_sw,47,FALSE),IF($D94="unr",BH94*HLOOKUP(BE$2,Verteil_sw,48,FALSE),IF($D94="unk",BH94*HLOOKUP(BE$2,Verteil_sw,49,FALSE),IF($D94="alz",BH94*HLOOKUP(BE$2,Verteil_sw,51,FALSE),0)))))))</f>
        <v>0</v>
      </c>
      <c r="BJ94" s="245">
        <f t="shared" ref="BJ94:BJ100" si="125">IF(BE$2="-","-",IF($E94+$F94+$G94=1,BH94*$F94,IF($D94="uns",BH94*HLOOKUP(BE$2,Verteil_rwgr,45,FALSE),IF($D94="unm",BH94*HLOOKUP(BE$2,Verteil_rwgr,46,FALSE),IF($D94="unr",BH94*HLOOKUP(BE$2,Verteil_rwgr,47,FALSE),IF($D94="unk",BH94*HLOOKUP(BE$2,Verteil_rwgr,48,FALSE),IF($D94="alz",BH94*HLOOKUP(BE$2,Verteil_rwgr,50,FALSE),0)))))))</f>
        <v>0</v>
      </c>
      <c r="BK94" s="237">
        <f t="shared" ref="BK94:BK100" si="126">IF(BE$2="-","-",IF($E94+$F94+$G94=1,BH94*$G94,IF($D94="uns",BH94*HLOOKUP(BE$2,Verteil_rwst,44,FALSE),IF($D94="unm",BH94*HLOOKUP(BE$2,Verteil_rwst,45,FALSE),IF($D94="unr",BH94*HLOOKUP(BE$2,Verteil_rwst,46,FALSE),IF($D94="unk",BH94*HLOOKUP(BE$2,Verteil_rwst,47,FALSE),IF($D94="alz",BH94*HLOOKUP(BE$2,Verteil_rwst,49,FALSE),0)))))))</f>
        <v>0</v>
      </c>
      <c r="BL94" s="247"/>
      <c r="BM94" s="96"/>
      <c r="BN94" s="96"/>
      <c r="BO94" s="245">
        <f t="shared" si="72"/>
        <v>0</v>
      </c>
      <c r="BP94" s="245">
        <f t="shared" ref="BP94:BP100" si="127">IF(BL$2="-","-",IF($E94+$F94+$G94=1,BO94*$E94,IF($D94="uns",BO94*HLOOKUP(BL$2,Verteil_sw,46,FALSE),IF($D94="unm",BO94*HLOOKUP(BL$2,Verteil_sw,47,FALSE),IF($D94="unr",BO94*HLOOKUP(BL$2,Verteil_sw,48,FALSE),IF($D94="unk",BO94*HLOOKUP(BL$2,Verteil_sw,49,FALSE),IF($D94="alz",BO94*HLOOKUP(BL$2,Verteil_sw,51,FALSE),0)))))))</f>
        <v>0</v>
      </c>
      <c r="BQ94" s="245">
        <f t="shared" ref="BQ94:BQ100" si="128">IF(BL$2="-","-",IF($E94+$F94+$G94=1,BO94*$F94,IF($D94="uns",BO94*HLOOKUP(BL$2,Verteil_rwgr,45,FALSE),IF($D94="unm",BO94*HLOOKUP(BL$2,Verteil_rwgr,46,FALSE),IF($D94="unr",BO94*HLOOKUP(BL$2,Verteil_rwgr,47,FALSE),IF($D94="unk",BO94*HLOOKUP(BL$2,Verteil_rwgr,48,FALSE),IF($D94="alz",BO94*HLOOKUP(BL$2,Verteil_rwgr,50,FALSE),0)))))))</f>
        <v>0</v>
      </c>
      <c r="BR94" s="237">
        <f t="shared" ref="BR94:BR100" si="129">IF(BL$2="-","-",IF($E94+$F94+$G94=1,BO94*$G94,IF($D94="uns",BO94*HLOOKUP(BL$2,Verteil_rwst,44,FALSE),IF($D94="unm",BO94*HLOOKUP(BL$2,Verteil_rwst,45,FALSE),IF($D94="unr",BO94*HLOOKUP(BL$2,Verteil_rwst,46,FALSE),IF($D94="unk",BO94*HLOOKUP(BL$2,Verteil_rwst,47,FALSE),IF($D94="alz",BO94*HLOOKUP(BL$2,Verteil_rwst,49,FALSE),0)))))))</f>
        <v>0</v>
      </c>
    </row>
    <row r="95" spans="1:70" x14ac:dyDescent="0.3">
      <c r="A95" s="521" t="s">
        <v>912</v>
      </c>
      <c r="B95" s="95"/>
      <c r="C95" s="246"/>
      <c r="D95" s="95"/>
      <c r="E95" s="243"/>
      <c r="F95" s="243"/>
      <c r="G95" s="244"/>
      <c r="H95" s="247"/>
      <c r="I95" s="96"/>
      <c r="J95" s="96"/>
      <c r="K95" s="245">
        <f t="shared" ref="K95:K100" si="130">H95-I95+J95</f>
        <v>0</v>
      </c>
      <c r="L95" s="245">
        <f t="shared" si="103"/>
        <v>0</v>
      </c>
      <c r="M95" s="245">
        <f t="shared" si="104"/>
        <v>0</v>
      </c>
      <c r="N95" s="237">
        <f t="shared" si="105"/>
        <v>0</v>
      </c>
      <c r="O95" s="247"/>
      <c r="P95" s="96"/>
      <c r="Q95" s="96"/>
      <c r="R95" s="245">
        <f t="shared" ref="R95:R100" si="131">O95-P95+Q95</f>
        <v>0</v>
      </c>
      <c r="S95" s="245">
        <f t="shared" si="106"/>
        <v>0</v>
      </c>
      <c r="T95" s="245">
        <f t="shared" si="107"/>
        <v>0</v>
      </c>
      <c r="U95" s="237">
        <f t="shared" si="108"/>
        <v>0</v>
      </c>
      <c r="V95" s="247"/>
      <c r="W95" s="96"/>
      <c r="X95" s="96"/>
      <c r="Y95" s="245">
        <f t="shared" ref="Y95:Y100" si="132">V95-W95+X95</f>
        <v>0</v>
      </c>
      <c r="Z95" s="245">
        <f t="shared" si="109"/>
        <v>0</v>
      </c>
      <c r="AA95" s="245">
        <f t="shared" si="110"/>
        <v>0</v>
      </c>
      <c r="AB95" s="237">
        <f t="shared" si="111"/>
        <v>0</v>
      </c>
      <c r="AC95" s="247"/>
      <c r="AD95" s="96"/>
      <c r="AE95" s="96"/>
      <c r="AF95" s="245">
        <f t="shared" ref="AF95:AF100" si="133">AC95-AD95+AE95</f>
        <v>0</v>
      </c>
      <c r="AG95" s="245">
        <f t="shared" si="112"/>
        <v>0</v>
      </c>
      <c r="AH95" s="245">
        <f t="shared" si="113"/>
        <v>0</v>
      </c>
      <c r="AI95" s="237">
        <f t="shared" si="114"/>
        <v>0</v>
      </c>
      <c r="AJ95" s="247"/>
      <c r="AK95" s="96"/>
      <c r="AL95" s="96"/>
      <c r="AM95" s="245">
        <f t="shared" ref="AM95:AM100" si="134">AJ95-AK95+AL95</f>
        <v>0</v>
      </c>
      <c r="AN95" s="245">
        <f t="shared" si="115"/>
        <v>0</v>
      </c>
      <c r="AO95" s="245">
        <f t="shared" si="116"/>
        <v>0</v>
      </c>
      <c r="AP95" s="237">
        <f t="shared" si="117"/>
        <v>0</v>
      </c>
      <c r="AQ95" s="247"/>
      <c r="AR95" s="96"/>
      <c r="AS95" s="96"/>
      <c r="AT95" s="245">
        <f t="shared" ref="AT95:AT100" si="135">AQ95-AR95+AS95</f>
        <v>0</v>
      </c>
      <c r="AU95" s="245">
        <f t="shared" si="118"/>
        <v>0</v>
      </c>
      <c r="AV95" s="245">
        <f t="shared" si="119"/>
        <v>0</v>
      </c>
      <c r="AW95" s="237">
        <f t="shared" si="120"/>
        <v>0</v>
      </c>
      <c r="AX95" s="247"/>
      <c r="AY95" s="96"/>
      <c r="AZ95" s="96"/>
      <c r="BA95" s="245">
        <f t="shared" ref="BA95:BA100" si="136">AX95-AY95+AZ95</f>
        <v>0</v>
      </c>
      <c r="BB95" s="245">
        <f t="shared" si="121"/>
        <v>0</v>
      </c>
      <c r="BC95" s="245">
        <f t="shared" si="122"/>
        <v>0</v>
      </c>
      <c r="BD95" s="237">
        <f t="shared" si="123"/>
        <v>0</v>
      </c>
      <c r="BE95" s="247"/>
      <c r="BF95" s="96"/>
      <c r="BG95" s="96"/>
      <c r="BH95" s="245">
        <f t="shared" ref="BH95:BH100" si="137">BE95-BF95+BG95</f>
        <v>0</v>
      </c>
      <c r="BI95" s="245">
        <f t="shared" si="124"/>
        <v>0</v>
      </c>
      <c r="BJ95" s="245">
        <f t="shared" si="125"/>
        <v>0</v>
      </c>
      <c r="BK95" s="237">
        <f t="shared" si="126"/>
        <v>0</v>
      </c>
      <c r="BL95" s="247"/>
      <c r="BM95" s="96"/>
      <c r="BN95" s="96"/>
      <c r="BO95" s="245">
        <f t="shared" ref="BO95:BO100" si="138">BL95-BM95+BN95</f>
        <v>0</v>
      </c>
      <c r="BP95" s="245">
        <f t="shared" si="127"/>
        <v>0</v>
      </c>
      <c r="BQ95" s="245">
        <f t="shared" si="128"/>
        <v>0</v>
      </c>
      <c r="BR95" s="237">
        <f t="shared" si="129"/>
        <v>0</v>
      </c>
    </row>
    <row r="96" spans="1:70" x14ac:dyDescent="0.3">
      <c r="A96" s="521" t="s">
        <v>913</v>
      </c>
      <c r="B96" s="95"/>
      <c r="C96" s="246"/>
      <c r="D96" s="95"/>
      <c r="E96" s="243"/>
      <c r="F96" s="243"/>
      <c r="G96" s="244"/>
      <c r="H96" s="247"/>
      <c r="I96" s="96"/>
      <c r="J96" s="96"/>
      <c r="K96" s="245">
        <f t="shared" si="130"/>
        <v>0</v>
      </c>
      <c r="L96" s="245">
        <f t="shared" si="103"/>
        <v>0</v>
      </c>
      <c r="M96" s="245">
        <f t="shared" si="104"/>
        <v>0</v>
      </c>
      <c r="N96" s="237">
        <f t="shared" si="105"/>
        <v>0</v>
      </c>
      <c r="O96" s="247"/>
      <c r="P96" s="96"/>
      <c r="Q96" s="96"/>
      <c r="R96" s="245">
        <f t="shared" si="131"/>
        <v>0</v>
      </c>
      <c r="S96" s="245">
        <f t="shared" si="106"/>
        <v>0</v>
      </c>
      <c r="T96" s="245">
        <f t="shared" si="107"/>
        <v>0</v>
      </c>
      <c r="U96" s="237">
        <f t="shared" si="108"/>
        <v>0</v>
      </c>
      <c r="V96" s="247"/>
      <c r="W96" s="96"/>
      <c r="X96" s="96"/>
      <c r="Y96" s="245">
        <f t="shared" si="132"/>
        <v>0</v>
      </c>
      <c r="Z96" s="245">
        <f t="shared" si="109"/>
        <v>0</v>
      </c>
      <c r="AA96" s="245">
        <f t="shared" si="110"/>
        <v>0</v>
      </c>
      <c r="AB96" s="237">
        <f t="shared" si="111"/>
        <v>0</v>
      </c>
      <c r="AC96" s="247"/>
      <c r="AD96" s="96"/>
      <c r="AE96" s="96"/>
      <c r="AF96" s="245">
        <f t="shared" si="133"/>
        <v>0</v>
      </c>
      <c r="AG96" s="245">
        <f t="shared" si="112"/>
        <v>0</v>
      </c>
      <c r="AH96" s="245">
        <f t="shared" si="113"/>
        <v>0</v>
      </c>
      <c r="AI96" s="237">
        <f t="shared" si="114"/>
        <v>0</v>
      </c>
      <c r="AJ96" s="247"/>
      <c r="AK96" s="96"/>
      <c r="AL96" s="96"/>
      <c r="AM96" s="245">
        <f t="shared" si="134"/>
        <v>0</v>
      </c>
      <c r="AN96" s="245">
        <f t="shared" si="115"/>
        <v>0</v>
      </c>
      <c r="AO96" s="245">
        <f t="shared" si="116"/>
        <v>0</v>
      </c>
      <c r="AP96" s="237">
        <f t="shared" si="117"/>
        <v>0</v>
      </c>
      <c r="AQ96" s="247"/>
      <c r="AR96" s="96"/>
      <c r="AS96" s="96"/>
      <c r="AT96" s="245">
        <f t="shared" si="135"/>
        <v>0</v>
      </c>
      <c r="AU96" s="245">
        <f t="shared" si="118"/>
        <v>0</v>
      </c>
      <c r="AV96" s="245">
        <f t="shared" si="119"/>
        <v>0</v>
      </c>
      <c r="AW96" s="237">
        <f t="shared" si="120"/>
        <v>0</v>
      </c>
      <c r="AX96" s="247"/>
      <c r="AY96" s="96"/>
      <c r="AZ96" s="96"/>
      <c r="BA96" s="245">
        <f t="shared" si="136"/>
        <v>0</v>
      </c>
      <c r="BB96" s="245">
        <f t="shared" si="121"/>
        <v>0</v>
      </c>
      <c r="BC96" s="245">
        <f t="shared" si="122"/>
        <v>0</v>
      </c>
      <c r="BD96" s="237">
        <f t="shared" si="123"/>
        <v>0</v>
      </c>
      <c r="BE96" s="247"/>
      <c r="BF96" s="96"/>
      <c r="BG96" s="96"/>
      <c r="BH96" s="245">
        <f t="shared" si="137"/>
        <v>0</v>
      </c>
      <c r="BI96" s="245">
        <f t="shared" si="124"/>
        <v>0</v>
      </c>
      <c r="BJ96" s="245">
        <f t="shared" si="125"/>
        <v>0</v>
      </c>
      <c r="BK96" s="237">
        <f t="shared" si="126"/>
        <v>0</v>
      </c>
      <c r="BL96" s="247"/>
      <c r="BM96" s="96"/>
      <c r="BN96" s="96"/>
      <c r="BO96" s="245">
        <f t="shared" si="138"/>
        <v>0</v>
      </c>
      <c r="BP96" s="245">
        <f t="shared" si="127"/>
        <v>0</v>
      </c>
      <c r="BQ96" s="245">
        <f t="shared" si="128"/>
        <v>0</v>
      </c>
      <c r="BR96" s="237">
        <f t="shared" si="129"/>
        <v>0</v>
      </c>
    </row>
    <row r="97" spans="1:70" x14ac:dyDescent="0.3">
      <c r="A97" s="521" t="s">
        <v>914</v>
      </c>
      <c r="B97" s="95"/>
      <c r="C97" s="246"/>
      <c r="D97" s="95"/>
      <c r="E97" s="243"/>
      <c r="F97" s="243"/>
      <c r="G97" s="244"/>
      <c r="H97" s="247"/>
      <c r="I97" s="96"/>
      <c r="J97" s="96"/>
      <c r="K97" s="245">
        <f t="shared" si="130"/>
        <v>0</v>
      </c>
      <c r="L97" s="245">
        <f t="shared" si="103"/>
        <v>0</v>
      </c>
      <c r="M97" s="245">
        <f t="shared" si="104"/>
        <v>0</v>
      </c>
      <c r="N97" s="237">
        <f t="shared" si="105"/>
        <v>0</v>
      </c>
      <c r="O97" s="247"/>
      <c r="P97" s="96"/>
      <c r="Q97" s="96"/>
      <c r="R97" s="245">
        <f t="shared" si="131"/>
        <v>0</v>
      </c>
      <c r="S97" s="245">
        <f t="shared" si="106"/>
        <v>0</v>
      </c>
      <c r="T97" s="245">
        <f t="shared" si="107"/>
        <v>0</v>
      </c>
      <c r="U97" s="237">
        <f t="shared" si="108"/>
        <v>0</v>
      </c>
      <c r="V97" s="247"/>
      <c r="W97" s="96"/>
      <c r="X97" s="96"/>
      <c r="Y97" s="245">
        <f t="shared" si="132"/>
        <v>0</v>
      </c>
      <c r="Z97" s="245">
        <f t="shared" si="109"/>
        <v>0</v>
      </c>
      <c r="AA97" s="245">
        <f t="shared" si="110"/>
        <v>0</v>
      </c>
      <c r="AB97" s="237">
        <f t="shared" si="111"/>
        <v>0</v>
      </c>
      <c r="AC97" s="247"/>
      <c r="AD97" s="96"/>
      <c r="AE97" s="96"/>
      <c r="AF97" s="245">
        <f t="shared" si="133"/>
        <v>0</v>
      </c>
      <c r="AG97" s="245">
        <f t="shared" si="112"/>
        <v>0</v>
      </c>
      <c r="AH97" s="245">
        <f t="shared" si="113"/>
        <v>0</v>
      </c>
      <c r="AI97" s="237">
        <f t="shared" si="114"/>
        <v>0</v>
      </c>
      <c r="AJ97" s="247"/>
      <c r="AK97" s="96"/>
      <c r="AL97" s="96"/>
      <c r="AM97" s="245">
        <f t="shared" si="134"/>
        <v>0</v>
      </c>
      <c r="AN97" s="245">
        <f t="shared" si="115"/>
        <v>0</v>
      </c>
      <c r="AO97" s="245">
        <f t="shared" si="116"/>
        <v>0</v>
      </c>
      <c r="AP97" s="237">
        <f t="shared" si="117"/>
        <v>0</v>
      </c>
      <c r="AQ97" s="247"/>
      <c r="AR97" s="96"/>
      <c r="AS97" s="96"/>
      <c r="AT97" s="245">
        <f t="shared" si="135"/>
        <v>0</v>
      </c>
      <c r="AU97" s="245">
        <f t="shared" si="118"/>
        <v>0</v>
      </c>
      <c r="AV97" s="245">
        <f t="shared" si="119"/>
        <v>0</v>
      </c>
      <c r="AW97" s="237">
        <f t="shared" si="120"/>
        <v>0</v>
      </c>
      <c r="AX97" s="247"/>
      <c r="AY97" s="96"/>
      <c r="AZ97" s="96"/>
      <c r="BA97" s="245">
        <f t="shared" si="136"/>
        <v>0</v>
      </c>
      <c r="BB97" s="245">
        <f t="shared" si="121"/>
        <v>0</v>
      </c>
      <c r="BC97" s="245">
        <f t="shared" si="122"/>
        <v>0</v>
      </c>
      <c r="BD97" s="237">
        <f t="shared" si="123"/>
        <v>0</v>
      </c>
      <c r="BE97" s="247"/>
      <c r="BF97" s="96"/>
      <c r="BG97" s="96"/>
      <c r="BH97" s="245">
        <f t="shared" si="137"/>
        <v>0</v>
      </c>
      <c r="BI97" s="245">
        <f t="shared" si="124"/>
        <v>0</v>
      </c>
      <c r="BJ97" s="245">
        <f t="shared" si="125"/>
        <v>0</v>
      </c>
      <c r="BK97" s="237">
        <f t="shared" si="126"/>
        <v>0</v>
      </c>
      <c r="BL97" s="247"/>
      <c r="BM97" s="96"/>
      <c r="BN97" s="96"/>
      <c r="BO97" s="245">
        <f t="shared" si="138"/>
        <v>0</v>
      </c>
      <c r="BP97" s="245">
        <f t="shared" si="127"/>
        <v>0</v>
      </c>
      <c r="BQ97" s="245">
        <f t="shared" si="128"/>
        <v>0</v>
      </c>
      <c r="BR97" s="237">
        <f t="shared" si="129"/>
        <v>0</v>
      </c>
    </row>
    <row r="98" spans="1:70" x14ac:dyDescent="0.3">
      <c r="A98" s="521" t="s">
        <v>915</v>
      </c>
      <c r="B98" s="95"/>
      <c r="C98" s="246"/>
      <c r="D98" s="188"/>
      <c r="E98" s="243"/>
      <c r="F98" s="243"/>
      <c r="G98" s="244"/>
      <c r="H98" s="247"/>
      <c r="I98" s="96"/>
      <c r="J98" s="96"/>
      <c r="K98" s="245">
        <f t="shared" si="130"/>
        <v>0</v>
      </c>
      <c r="L98" s="245">
        <f t="shared" si="103"/>
        <v>0</v>
      </c>
      <c r="M98" s="245">
        <f t="shared" si="104"/>
        <v>0</v>
      </c>
      <c r="N98" s="237">
        <f t="shared" si="105"/>
        <v>0</v>
      </c>
      <c r="O98" s="247"/>
      <c r="P98" s="96"/>
      <c r="Q98" s="96"/>
      <c r="R98" s="245">
        <f t="shared" si="131"/>
        <v>0</v>
      </c>
      <c r="S98" s="245">
        <f t="shared" si="106"/>
        <v>0</v>
      </c>
      <c r="T98" s="245">
        <f t="shared" si="107"/>
        <v>0</v>
      </c>
      <c r="U98" s="237">
        <f t="shared" si="108"/>
        <v>0</v>
      </c>
      <c r="V98" s="247"/>
      <c r="W98" s="96"/>
      <c r="X98" s="96"/>
      <c r="Y98" s="245">
        <f t="shared" si="132"/>
        <v>0</v>
      </c>
      <c r="Z98" s="245">
        <f t="shared" si="109"/>
        <v>0</v>
      </c>
      <c r="AA98" s="245">
        <f t="shared" si="110"/>
        <v>0</v>
      </c>
      <c r="AB98" s="237">
        <f t="shared" si="111"/>
        <v>0</v>
      </c>
      <c r="AC98" s="247"/>
      <c r="AD98" s="96"/>
      <c r="AE98" s="96"/>
      <c r="AF98" s="245">
        <f t="shared" si="133"/>
        <v>0</v>
      </c>
      <c r="AG98" s="245">
        <f t="shared" si="112"/>
        <v>0</v>
      </c>
      <c r="AH98" s="245">
        <f t="shared" si="113"/>
        <v>0</v>
      </c>
      <c r="AI98" s="237">
        <f t="shared" si="114"/>
        <v>0</v>
      </c>
      <c r="AJ98" s="247"/>
      <c r="AK98" s="96"/>
      <c r="AL98" s="96"/>
      <c r="AM98" s="245">
        <f t="shared" si="134"/>
        <v>0</v>
      </c>
      <c r="AN98" s="245">
        <f t="shared" si="115"/>
        <v>0</v>
      </c>
      <c r="AO98" s="245">
        <f t="shared" si="116"/>
        <v>0</v>
      </c>
      <c r="AP98" s="237">
        <f t="shared" si="117"/>
        <v>0</v>
      </c>
      <c r="AQ98" s="247"/>
      <c r="AR98" s="96"/>
      <c r="AS98" s="96"/>
      <c r="AT98" s="245">
        <f t="shared" si="135"/>
        <v>0</v>
      </c>
      <c r="AU98" s="245">
        <f t="shared" si="118"/>
        <v>0</v>
      </c>
      <c r="AV98" s="245">
        <f t="shared" si="119"/>
        <v>0</v>
      </c>
      <c r="AW98" s="237">
        <f t="shared" si="120"/>
        <v>0</v>
      </c>
      <c r="AX98" s="247"/>
      <c r="AY98" s="96"/>
      <c r="AZ98" s="96"/>
      <c r="BA98" s="245">
        <f t="shared" si="136"/>
        <v>0</v>
      </c>
      <c r="BB98" s="245">
        <f t="shared" si="121"/>
        <v>0</v>
      </c>
      <c r="BC98" s="245">
        <f t="shared" si="122"/>
        <v>0</v>
      </c>
      <c r="BD98" s="237">
        <f t="shared" si="123"/>
        <v>0</v>
      </c>
      <c r="BE98" s="247"/>
      <c r="BF98" s="96"/>
      <c r="BG98" s="96"/>
      <c r="BH98" s="245">
        <f t="shared" si="137"/>
        <v>0</v>
      </c>
      <c r="BI98" s="245">
        <f t="shared" si="124"/>
        <v>0</v>
      </c>
      <c r="BJ98" s="245">
        <f t="shared" si="125"/>
        <v>0</v>
      </c>
      <c r="BK98" s="237">
        <f t="shared" si="126"/>
        <v>0</v>
      </c>
      <c r="BL98" s="247"/>
      <c r="BM98" s="96"/>
      <c r="BN98" s="96"/>
      <c r="BO98" s="245">
        <f t="shared" si="138"/>
        <v>0</v>
      </c>
      <c r="BP98" s="245">
        <f t="shared" si="127"/>
        <v>0</v>
      </c>
      <c r="BQ98" s="245">
        <f t="shared" si="128"/>
        <v>0</v>
      </c>
      <c r="BR98" s="237">
        <f t="shared" si="129"/>
        <v>0</v>
      </c>
    </row>
    <row r="99" spans="1:70" x14ac:dyDescent="0.3">
      <c r="A99" s="521" t="s">
        <v>916</v>
      </c>
      <c r="B99" s="95"/>
      <c r="C99" s="246"/>
      <c r="D99" s="95"/>
      <c r="E99" s="243"/>
      <c r="F99" s="243"/>
      <c r="G99" s="244"/>
      <c r="H99" s="247"/>
      <c r="I99" s="96"/>
      <c r="J99" s="96"/>
      <c r="K99" s="245">
        <f t="shared" si="130"/>
        <v>0</v>
      </c>
      <c r="L99" s="245">
        <f t="shared" si="103"/>
        <v>0</v>
      </c>
      <c r="M99" s="245">
        <f t="shared" si="104"/>
        <v>0</v>
      </c>
      <c r="N99" s="237">
        <f t="shared" si="105"/>
        <v>0</v>
      </c>
      <c r="O99" s="247"/>
      <c r="P99" s="96"/>
      <c r="Q99" s="96"/>
      <c r="R99" s="245">
        <f t="shared" si="131"/>
        <v>0</v>
      </c>
      <c r="S99" s="245">
        <f t="shared" si="106"/>
        <v>0</v>
      </c>
      <c r="T99" s="245">
        <f t="shared" si="107"/>
        <v>0</v>
      </c>
      <c r="U99" s="237">
        <f t="shared" si="108"/>
        <v>0</v>
      </c>
      <c r="V99" s="247"/>
      <c r="W99" s="96"/>
      <c r="X99" s="96"/>
      <c r="Y99" s="245">
        <f t="shared" si="132"/>
        <v>0</v>
      </c>
      <c r="Z99" s="245">
        <f t="shared" si="109"/>
        <v>0</v>
      </c>
      <c r="AA99" s="245">
        <f t="shared" si="110"/>
        <v>0</v>
      </c>
      <c r="AB99" s="237">
        <f t="shared" si="111"/>
        <v>0</v>
      </c>
      <c r="AC99" s="247"/>
      <c r="AD99" s="96"/>
      <c r="AE99" s="96"/>
      <c r="AF99" s="245">
        <f t="shared" si="133"/>
        <v>0</v>
      </c>
      <c r="AG99" s="245">
        <f t="shared" si="112"/>
        <v>0</v>
      </c>
      <c r="AH99" s="245">
        <f t="shared" si="113"/>
        <v>0</v>
      </c>
      <c r="AI99" s="237">
        <f t="shared" si="114"/>
        <v>0</v>
      </c>
      <c r="AJ99" s="247"/>
      <c r="AK99" s="96"/>
      <c r="AL99" s="96"/>
      <c r="AM99" s="245">
        <f t="shared" si="134"/>
        <v>0</v>
      </c>
      <c r="AN99" s="245">
        <f t="shared" si="115"/>
        <v>0</v>
      </c>
      <c r="AO99" s="245">
        <f t="shared" si="116"/>
        <v>0</v>
      </c>
      <c r="AP99" s="237">
        <f t="shared" si="117"/>
        <v>0</v>
      </c>
      <c r="AQ99" s="247"/>
      <c r="AR99" s="96"/>
      <c r="AS99" s="96"/>
      <c r="AT99" s="245">
        <f t="shared" si="135"/>
        <v>0</v>
      </c>
      <c r="AU99" s="245">
        <f t="shared" si="118"/>
        <v>0</v>
      </c>
      <c r="AV99" s="245">
        <f t="shared" si="119"/>
        <v>0</v>
      </c>
      <c r="AW99" s="237">
        <f t="shared" si="120"/>
        <v>0</v>
      </c>
      <c r="AX99" s="247"/>
      <c r="AY99" s="96"/>
      <c r="AZ99" s="96"/>
      <c r="BA99" s="245">
        <f t="shared" si="136"/>
        <v>0</v>
      </c>
      <c r="BB99" s="245">
        <f t="shared" si="121"/>
        <v>0</v>
      </c>
      <c r="BC99" s="245">
        <f t="shared" si="122"/>
        <v>0</v>
      </c>
      <c r="BD99" s="237">
        <f t="shared" si="123"/>
        <v>0</v>
      </c>
      <c r="BE99" s="247"/>
      <c r="BF99" s="96"/>
      <c r="BG99" s="96"/>
      <c r="BH99" s="245">
        <f t="shared" si="137"/>
        <v>0</v>
      </c>
      <c r="BI99" s="245">
        <f t="shared" si="124"/>
        <v>0</v>
      </c>
      <c r="BJ99" s="245">
        <f t="shared" si="125"/>
        <v>0</v>
      </c>
      <c r="BK99" s="237">
        <f t="shared" si="126"/>
        <v>0</v>
      </c>
      <c r="BL99" s="247"/>
      <c r="BM99" s="96"/>
      <c r="BN99" s="96"/>
      <c r="BO99" s="245">
        <f t="shared" si="138"/>
        <v>0</v>
      </c>
      <c r="BP99" s="245">
        <f t="shared" si="127"/>
        <v>0</v>
      </c>
      <c r="BQ99" s="245">
        <f t="shared" si="128"/>
        <v>0</v>
      </c>
      <c r="BR99" s="237">
        <f t="shared" si="129"/>
        <v>0</v>
      </c>
    </row>
    <row r="100" spans="1:70" ht="15" thickBot="1" x14ac:dyDescent="0.35">
      <c r="A100" s="521" t="s">
        <v>917</v>
      </c>
      <c r="B100" s="265"/>
      <c r="C100" s="266"/>
      <c r="D100" s="265"/>
      <c r="E100" s="267"/>
      <c r="F100" s="267"/>
      <c r="G100" s="268"/>
      <c r="H100" s="269"/>
      <c r="I100" s="270"/>
      <c r="J100" s="270"/>
      <c r="K100" s="245">
        <f t="shared" si="130"/>
        <v>0</v>
      </c>
      <c r="L100" s="245">
        <f t="shared" si="103"/>
        <v>0</v>
      </c>
      <c r="M100" s="245">
        <f t="shared" si="104"/>
        <v>0</v>
      </c>
      <c r="N100" s="237">
        <f t="shared" si="105"/>
        <v>0</v>
      </c>
      <c r="O100" s="269"/>
      <c r="P100" s="270"/>
      <c r="Q100" s="270"/>
      <c r="R100" s="245">
        <f t="shared" si="131"/>
        <v>0</v>
      </c>
      <c r="S100" s="245">
        <f t="shared" si="106"/>
        <v>0</v>
      </c>
      <c r="T100" s="245">
        <f t="shared" si="107"/>
        <v>0</v>
      </c>
      <c r="U100" s="237">
        <f t="shared" si="108"/>
        <v>0</v>
      </c>
      <c r="V100" s="269"/>
      <c r="W100" s="270"/>
      <c r="X100" s="270"/>
      <c r="Y100" s="245">
        <f t="shared" si="132"/>
        <v>0</v>
      </c>
      <c r="Z100" s="245">
        <f t="shared" si="109"/>
        <v>0</v>
      </c>
      <c r="AA100" s="245">
        <f t="shared" si="110"/>
        <v>0</v>
      </c>
      <c r="AB100" s="237">
        <f t="shared" si="111"/>
        <v>0</v>
      </c>
      <c r="AC100" s="269"/>
      <c r="AD100" s="270"/>
      <c r="AE100" s="270"/>
      <c r="AF100" s="245">
        <f t="shared" si="133"/>
        <v>0</v>
      </c>
      <c r="AG100" s="245">
        <f t="shared" si="112"/>
        <v>0</v>
      </c>
      <c r="AH100" s="245">
        <f t="shared" si="113"/>
        <v>0</v>
      </c>
      <c r="AI100" s="237">
        <f t="shared" si="114"/>
        <v>0</v>
      </c>
      <c r="AJ100" s="269"/>
      <c r="AK100" s="270"/>
      <c r="AL100" s="270"/>
      <c r="AM100" s="245">
        <f t="shared" si="134"/>
        <v>0</v>
      </c>
      <c r="AN100" s="245">
        <f t="shared" si="115"/>
        <v>0</v>
      </c>
      <c r="AO100" s="245">
        <f t="shared" si="116"/>
        <v>0</v>
      </c>
      <c r="AP100" s="237">
        <f t="shared" si="117"/>
        <v>0</v>
      </c>
      <c r="AQ100" s="269"/>
      <c r="AR100" s="270"/>
      <c r="AS100" s="270"/>
      <c r="AT100" s="245">
        <f t="shared" si="135"/>
        <v>0</v>
      </c>
      <c r="AU100" s="245">
        <f t="shared" si="118"/>
        <v>0</v>
      </c>
      <c r="AV100" s="245">
        <f t="shared" si="119"/>
        <v>0</v>
      </c>
      <c r="AW100" s="237">
        <f t="shared" si="120"/>
        <v>0</v>
      </c>
      <c r="AX100" s="269"/>
      <c r="AY100" s="270"/>
      <c r="AZ100" s="270"/>
      <c r="BA100" s="245">
        <f t="shared" si="136"/>
        <v>0</v>
      </c>
      <c r="BB100" s="245">
        <f t="shared" si="121"/>
        <v>0</v>
      </c>
      <c r="BC100" s="245">
        <f t="shared" si="122"/>
        <v>0</v>
      </c>
      <c r="BD100" s="237">
        <f t="shared" si="123"/>
        <v>0</v>
      </c>
      <c r="BE100" s="269"/>
      <c r="BF100" s="270"/>
      <c r="BG100" s="270"/>
      <c r="BH100" s="245">
        <f t="shared" si="137"/>
        <v>0</v>
      </c>
      <c r="BI100" s="245">
        <f t="shared" si="124"/>
        <v>0</v>
      </c>
      <c r="BJ100" s="245">
        <f t="shared" si="125"/>
        <v>0</v>
      </c>
      <c r="BK100" s="237">
        <f t="shared" si="126"/>
        <v>0</v>
      </c>
      <c r="BL100" s="269"/>
      <c r="BM100" s="270"/>
      <c r="BN100" s="270"/>
      <c r="BO100" s="245">
        <f t="shared" si="138"/>
        <v>0</v>
      </c>
      <c r="BP100" s="245">
        <f t="shared" si="127"/>
        <v>0</v>
      </c>
      <c r="BQ100" s="245">
        <f t="shared" si="128"/>
        <v>0</v>
      </c>
      <c r="BR100" s="237">
        <f t="shared" si="129"/>
        <v>0</v>
      </c>
    </row>
    <row r="101" spans="1:70" s="82" customFormat="1" ht="15.75" customHeight="1" thickBot="1" x14ac:dyDescent="0.35">
      <c r="A101" s="271"/>
      <c r="B101" s="271"/>
      <c r="C101" s="524" t="s">
        <v>520</v>
      </c>
      <c r="D101" s="271"/>
      <c r="E101" s="272"/>
      <c r="F101" s="272"/>
      <c r="G101" s="273"/>
      <c r="H101" s="274">
        <f>SUM(H30:H100)</f>
        <v>764672.52</v>
      </c>
      <c r="I101" s="275">
        <f>SUM(I30:I100)</f>
        <v>799.71</v>
      </c>
      <c r="J101" s="275">
        <f>SUM(J30:J100)</f>
        <v>0</v>
      </c>
      <c r="K101" s="275">
        <f>ROUND(SUM(K30:K100),2)</f>
        <v>763872.81</v>
      </c>
      <c r="L101" s="275">
        <f>ROUND(SUM(L30:L100),2)</f>
        <v>675326.16</v>
      </c>
      <c r="M101" s="275">
        <f>ROUND(SUM(M30:M100),2)</f>
        <v>48474.14</v>
      </c>
      <c r="N101" s="276">
        <f>ROUND(SUM(N30:N100),2)</f>
        <v>40072.51</v>
      </c>
      <c r="O101" s="274">
        <f>SUM(O30:O100)</f>
        <v>773071.09</v>
      </c>
      <c r="P101" s="275">
        <f>SUM(P30:P100)</f>
        <v>956.18</v>
      </c>
      <c r="Q101" s="275">
        <f>SUM(Q30:Q100)</f>
        <v>0</v>
      </c>
      <c r="R101" s="275">
        <f>ROUND(SUM(R30:R100),2)</f>
        <v>772114.91</v>
      </c>
      <c r="S101" s="275">
        <f>ROUND(SUM(S30:S100),2)</f>
        <v>679946.23999999999</v>
      </c>
      <c r="T101" s="275">
        <f>ROUND(SUM(T30:T100),2)</f>
        <v>50271.8</v>
      </c>
      <c r="U101" s="276">
        <f>ROUND(SUM(U30:U100),2)</f>
        <v>41896.870000000003</v>
      </c>
      <c r="V101" s="274">
        <f>SUM(V30:V100)</f>
        <v>823526.52</v>
      </c>
      <c r="W101" s="275">
        <f>SUM(W30:W100)</f>
        <v>251.87</v>
      </c>
      <c r="X101" s="275">
        <f>SUM(X30:X100)</f>
        <v>0</v>
      </c>
      <c r="Y101" s="275">
        <f>ROUND(SUM(Y30:Y100),2)</f>
        <v>823274.65</v>
      </c>
      <c r="Z101" s="275">
        <f>ROUND(SUM(Z30:Z100),2)</f>
        <v>712732.53</v>
      </c>
      <c r="AA101" s="275">
        <f>ROUND(SUM(AA30:AA100),2)</f>
        <v>59906.34</v>
      </c>
      <c r="AB101" s="276">
        <f>ROUND(SUM(AB30:AB100),2)</f>
        <v>50635.79</v>
      </c>
      <c r="AC101" s="274">
        <f>SUM(AC30:AC100)</f>
        <v>816477.69000000006</v>
      </c>
      <c r="AD101" s="275">
        <f>SUM(AD30:AD100)</f>
        <v>0</v>
      </c>
      <c r="AE101" s="275">
        <f>SUM(AE30:AE100)</f>
        <v>0</v>
      </c>
      <c r="AF101" s="275">
        <f>ROUND(SUM(AF30:AF100),2)</f>
        <v>816477.69</v>
      </c>
      <c r="AG101" s="275">
        <f>ROUND(SUM(AG30:AG100),2)</f>
        <v>701993.3</v>
      </c>
      <c r="AH101" s="275">
        <f>ROUND(SUM(AH30:AH100),2)</f>
        <v>62254.91</v>
      </c>
      <c r="AI101" s="276">
        <f>ROUND(SUM(AI30:AI100),2)</f>
        <v>52229.48</v>
      </c>
      <c r="AJ101" s="274">
        <f>SUM(AJ30:AJ100)</f>
        <v>826500</v>
      </c>
      <c r="AK101" s="275">
        <f>SUM(AK30:AK100)</f>
        <v>0</v>
      </c>
      <c r="AL101" s="275">
        <f>SUM(AL30:AL100)</f>
        <v>0</v>
      </c>
      <c r="AM101" s="275">
        <f>ROUND(SUM(AM30:AM100),2)</f>
        <v>826500</v>
      </c>
      <c r="AN101" s="275">
        <f>ROUND(SUM(AN30:AN100),2)</f>
        <v>705500</v>
      </c>
      <c r="AO101" s="275">
        <f>ROUND(SUM(AO30:AO100),2)</f>
        <v>65375</v>
      </c>
      <c r="AP101" s="276">
        <f>ROUND(SUM(AP30:AP100),2)</f>
        <v>55625</v>
      </c>
      <c r="AQ101" s="274">
        <f>SUM(AQ30:AQ100)</f>
        <v>834100</v>
      </c>
      <c r="AR101" s="275">
        <f>SUM(AR30:AR100)</f>
        <v>0</v>
      </c>
      <c r="AS101" s="275">
        <f>SUM(AS30:AS100)</f>
        <v>0</v>
      </c>
      <c r="AT101" s="275">
        <f>ROUND(SUM(AT30:AT100),2)</f>
        <v>834100</v>
      </c>
      <c r="AU101" s="275">
        <f>ROUND(SUM(AU30:AU100),2)</f>
        <v>723100</v>
      </c>
      <c r="AV101" s="275">
        <f>ROUND(SUM(AV30:AV100),2)</f>
        <v>60375</v>
      </c>
      <c r="AW101" s="276">
        <f>ROUND(SUM(AW30:AW100),2)</f>
        <v>50625</v>
      </c>
      <c r="AX101" s="274">
        <f>SUM(AX30:AX100)</f>
        <v>867100</v>
      </c>
      <c r="AY101" s="275">
        <f>SUM(AY30:AY100)</f>
        <v>0</v>
      </c>
      <c r="AZ101" s="275">
        <f>SUM(AZ30:AZ100)</f>
        <v>0</v>
      </c>
      <c r="BA101" s="275">
        <f>ROUND(SUM(BA30:BA100),2)</f>
        <v>867100</v>
      </c>
      <c r="BB101" s="275">
        <f>ROUND(SUM(BB30:BB100),2)</f>
        <v>754100</v>
      </c>
      <c r="BC101" s="275">
        <f>ROUND(SUM(BC30:BC100),2)</f>
        <v>61375</v>
      </c>
      <c r="BD101" s="276">
        <f>ROUND(SUM(BD30:BD100),2)</f>
        <v>51625</v>
      </c>
      <c r="BE101" s="274">
        <f>SUM(BE30:BE100)</f>
        <v>893113</v>
      </c>
      <c r="BF101" s="275">
        <f>SUM(BF30:BF100)</f>
        <v>0</v>
      </c>
      <c r="BG101" s="275">
        <f>SUM(BG30:BG100)</f>
        <v>0</v>
      </c>
      <c r="BH101" s="275">
        <f>ROUND(SUM(BH30:BH100),2)</f>
        <v>893113</v>
      </c>
      <c r="BI101" s="275">
        <f>ROUND(SUM(BI30:BI100),2)</f>
        <v>776723</v>
      </c>
      <c r="BJ101" s="275">
        <f>ROUND(SUM(BJ30:BJ100),2)</f>
        <v>63216.25</v>
      </c>
      <c r="BK101" s="276">
        <f>ROUND(SUM(BK30:BK100),2)</f>
        <v>53173.75</v>
      </c>
      <c r="BL101" s="274">
        <f>SUM(BL30:BL100)</f>
        <v>919906.39000000013</v>
      </c>
      <c r="BM101" s="275">
        <f>SUM(BM30:BM100)</f>
        <v>0</v>
      </c>
      <c r="BN101" s="275">
        <f>SUM(BN30:BN100)</f>
        <v>0</v>
      </c>
      <c r="BO101" s="275">
        <f>ROUND(SUM(BO30:BO100),2)</f>
        <v>919906.39</v>
      </c>
      <c r="BP101" s="275">
        <f>ROUND(SUM(BP30:BP100),2)</f>
        <v>800024.69</v>
      </c>
      <c r="BQ101" s="275">
        <f>ROUND(SUM(BQ30:BQ100),2)</f>
        <v>65112.74</v>
      </c>
      <c r="BR101" s="276">
        <f>ROUND(SUM(BR30:BR100),2)</f>
        <v>54768.959999999999</v>
      </c>
    </row>
    <row r="102" spans="1:70" s="82" customFormat="1" ht="15.75" customHeight="1" x14ac:dyDescent="0.3">
      <c r="A102" s="277"/>
      <c r="B102" s="277"/>
      <c r="C102" s="525"/>
      <c r="D102" s="277"/>
      <c r="E102" s="278"/>
      <c r="F102" s="278"/>
      <c r="G102" s="279"/>
      <c r="H102" s="280"/>
      <c r="I102" s="281"/>
      <c r="J102" s="281"/>
      <c r="K102" s="281"/>
      <c r="L102" s="281"/>
      <c r="M102" s="281"/>
      <c r="N102" s="282"/>
      <c r="O102" s="280"/>
      <c r="P102" s="281"/>
      <c r="Q102" s="281"/>
      <c r="R102" s="281"/>
      <c r="S102" s="281"/>
      <c r="T102" s="281"/>
      <c r="U102" s="282"/>
      <c r="V102" s="280"/>
      <c r="W102" s="281"/>
      <c r="X102" s="281"/>
      <c r="Y102" s="281"/>
      <c r="Z102" s="281"/>
      <c r="AA102" s="281"/>
      <c r="AB102" s="282"/>
      <c r="AC102" s="280"/>
      <c r="AD102" s="281"/>
      <c r="AE102" s="281"/>
      <c r="AF102" s="281"/>
      <c r="AG102" s="281"/>
      <c r="AH102" s="281"/>
      <c r="AI102" s="282"/>
      <c r="AJ102" s="280"/>
      <c r="AK102" s="281"/>
      <c r="AL102" s="281"/>
      <c r="AM102" s="281"/>
      <c r="AN102" s="281"/>
      <c r="AO102" s="281"/>
      <c r="AP102" s="282"/>
      <c r="AQ102" s="280"/>
      <c r="AR102" s="281"/>
      <c r="AS102" s="281"/>
      <c r="AT102" s="281"/>
      <c r="AU102" s="281"/>
      <c r="AV102" s="281"/>
      <c r="AW102" s="282"/>
      <c r="AX102" s="280"/>
      <c r="AY102" s="281"/>
      <c r="AZ102" s="281"/>
      <c r="BA102" s="281"/>
      <c r="BB102" s="281"/>
      <c r="BC102" s="281"/>
      <c r="BD102" s="282"/>
      <c r="BE102" s="280"/>
      <c r="BF102" s="281"/>
      <c r="BG102" s="281"/>
      <c r="BH102" s="281"/>
      <c r="BI102" s="281"/>
      <c r="BJ102" s="281"/>
      <c r="BK102" s="282"/>
      <c r="BL102" s="280"/>
      <c r="BM102" s="281"/>
      <c r="BN102" s="281"/>
      <c r="BO102" s="281"/>
      <c r="BP102" s="281"/>
      <c r="BQ102" s="281"/>
      <c r="BR102" s="282"/>
    </row>
    <row r="103" spans="1:70" s="83" customFormat="1" ht="12.75" hidden="1" customHeight="1" x14ac:dyDescent="0.3">
      <c r="A103" s="115"/>
      <c r="B103" s="283"/>
      <c r="C103" s="284" t="s">
        <v>140</v>
      </c>
      <c r="D103" s="503"/>
      <c r="E103" s="503"/>
      <c r="F103" s="503"/>
      <c r="G103" s="285"/>
      <c r="H103" s="215">
        <f>H2</f>
        <v>2012</v>
      </c>
      <c r="I103" s="286"/>
      <c r="N103" s="287"/>
      <c r="O103" s="215">
        <f>O2</f>
        <v>2013</v>
      </c>
      <c r="P103" s="286"/>
      <c r="U103" s="287"/>
      <c r="V103" s="215">
        <f>V2</f>
        <v>2014</v>
      </c>
      <c r="W103" s="286"/>
      <c r="AB103" s="287"/>
      <c r="AC103" s="215">
        <f>AC2</f>
        <v>2015</v>
      </c>
      <c r="AD103" s="286"/>
      <c r="AI103" s="287"/>
      <c r="AJ103" s="215">
        <f>AJ2</f>
        <v>2016</v>
      </c>
      <c r="AK103" s="286"/>
      <c r="AP103" s="287"/>
      <c r="AQ103" s="215">
        <f>AQ2</f>
        <v>2017</v>
      </c>
      <c r="AR103" s="286"/>
      <c r="AW103" s="287"/>
      <c r="AX103" s="215">
        <f>AX2</f>
        <v>2018</v>
      </c>
      <c r="AY103" s="286"/>
      <c r="BD103" s="287"/>
      <c r="BE103" s="215">
        <f>BE2</f>
        <v>2019</v>
      </c>
      <c r="BF103" s="286"/>
      <c r="BK103" s="287"/>
      <c r="BL103" s="215">
        <f>BL2</f>
        <v>2020</v>
      </c>
      <c r="BM103" s="286"/>
      <c r="BR103" s="287"/>
    </row>
    <row r="104" spans="1:70" s="82" customFormat="1" hidden="1" x14ac:dyDescent="0.3">
      <c r="A104" s="83"/>
      <c r="B104" s="288"/>
      <c r="C104" s="526" t="s">
        <v>521</v>
      </c>
      <c r="D104" s="83"/>
      <c r="E104" s="83"/>
      <c r="F104" s="83"/>
      <c r="G104" s="285">
        <v>2</v>
      </c>
      <c r="H104" s="527" t="s">
        <v>522</v>
      </c>
      <c r="I104" s="528" t="s">
        <v>523</v>
      </c>
      <c r="J104" s="526" t="s">
        <v>521</v>
      </c>
      <c r="K104" s="83"/>
      <c r="L104" s="83"/>
      <c r="M104" s="83"/>
      <c r="N104" s="287"/>
      <c r="O104" s="527" t="s">
        <v>522</v>
      </c>
      <c r="P104" s="528" t="s">
        <v>523</v>
      </c>
      <c r="Q104" s="526" t="s">
        <v>521</v>
      </c>
      <c r="R104" s="83"/>
      <c r="S104" s="83"/>
      <c r="T104" s="83"/>
      <c r="U104" s="287"/>
      <c r="V104" s="527" t="s">
        <v>522</v>
      </c>
      <c r="W104" s="528" t="s">
        <v>523</v>
      </c>
      <c r="X104" s="526" t="s">
        <v>521</v>
      </c>
      <c r="Y104" s="83"/>
      <c r="Z104" s="83"/>
      <c r="AA104" s="83"/>
      <c r="AB104" s="287"/>
      <c r="AC104" s="527" t="s">
        <v>522</v>
      </c>
      <c r="AD104" s="528" t="s">
        <v>523</v>
      </c>
      <c r="AE104" s="526" t="s">
        <v>521</v>
      </c>
      <c r="AF104" s="83"/>
      <c r="AG104" s="83"/>
      <c r="AH104" s="83"/>
      <c r="AI104" s="287"/>
      <c r="AJ104" s="527" t="s">
        <v>522</v>
      </c>
      <c r="AK104" s="528" t="s">
        <v>523</v>
      </c>
      <c r="AL104" s="526" t="s">
        <v>521</v>
      </c>
      <c r="AM104" s="83"/>
      <c r="AN104" s="83"/>
      <c r="AO104" s="83"/>
      <c r="AP104" s="287"/>
      <c r="AQ104" s="527" t="s">
        <v>522</v>
      </c>
      <c r="AR104" s="528" t="s">
        <v>523</v>
      </c>
      <c r="AS104" s="526" t="s">
        <v>521</v>
      </c>
      <c r="AT104" s="83"/>
      <c r="AU104" s="83"/>
      <c r="AV104" s="83"/>
      <c r="AW104" s="287"/>
      <c r="AX104" s="527" t="s">
        <v>522</v>
      </c>
      <c r="AY104" s="528" t="s">
        <v>523</v>
      </c>
      <c r="AZ104" s="526" t="s">
        <v>521</v>
      </c>
      <c r="BA104" s="83"/>
      <c r="BB104" s="83"/>
      <c r="BC104" s="83"/>
      <c r="BD104" s="287"/>
      <c r="BE104" s="527" t="s">
        <v>522</v>
      </c>
      <c r="BF104" s="528" t="s">
        <v>523</v>
      </c>
      <c r="BG104" s="526" t="s">
        <v>521</v>
      </c>
      <c r="BH104" s="83"/>
      <c r="BI104" s="83"/>
      <c r="BJ104" s="83"/>
      <c r="BK104" s="287"/>
      <c r="BL104" s="527" t="s">
        <v>522</v>
      </c>
      <c r="BM104" s="528" t="s">
        <v>523</v>
      </c>
      <c r="BN104" s="526" t="s">
        <v>521</v>
      </c>
      <c r="BO104" s="83"/>
      <c r="BP104" s="83"/>
      <c r="BQ104" s="83"/>
      <c r="BR104" s="287"/>
    </row>
    <row r="105" spans="1:70" s="82" customFormat="1" hidden="1" x14ac:dyDescent="0.3">
      <c r="A105" s="83"/>
      <c r="B105" s="288"/>
      <c r="C105" s="289" t="s">
        <v>524</v>
      </c>
      <c r="D105" s="83"/>
      <c r="E105" s="83"/>
      <c r="F105" s="83"/>
      <c r="G105" s="285">
        <v>3</v>
      </c>
      <c r="H105" s="132">
        <f>K27</f>
        <v>1758.89</v>
      </c>
      <c r="I105" s="290">
        <f>SUM(I106:I108)</f>
        <v>0.99999999999999989</v>
      </c>
      <c r="J105" s="289" t="s">
        <v>524</v>
      </c>
      <c r="K105" s="83"/>
      <c r="L105" s="83"/>
      <c r="M105" s="83"/>
      <c r="N105" s="287"/>
      <c r="O105" s="132">
        <f>R27</f>
        <v>8190.34</v>
      </c>
      <c r="P105" s="290">
        <f>SUM(P106:P108)</f>
        <v>1.0000012209505345</v>
      </c>
      <c r="Q105" s="289" t="s">
        <v>524</v>
      </c>
      <c r="R105" s="83"/>
      <c r="S105" s="83"/>
      <c r="T105" s="83"/>
      <c r="U105" s="287"/>
      <c r="V105" s="132">
        <f>Y27</f>
        <v>10909.29</v>
      </c>
      <c r="W105" s="290">
        <f>SUM(W106:W108)</f>
        <v>1</v>
      </c>
      <c r="X105" s="289" t="s">
        <v>524</v>
      </c>
      <c r="Y105" s="83"/>
      <c r="Z105" s="83"/>
      <c r="AA105" s="83"/>
      <c r="AB105" s="287"/>
      <c r="AC105" s="132">
        <f>AF27</f>
        <v>10909.29</v>
      </c>
      <c r="AD105" s="290">
        <f>SUM(AD106:AD108)</f>
        <v>1</v>
      </c>
      <c r="AE105" s="289" t="s">
        <v>524</v>
      </c>
      <c r="AF105" s="83"/>
      <c r="AG105" s="83"/>
      <c r="AH105" s="83"/>
      <c r="AI105" s="287"/>
      <c r="AJ105" s="132">
        <f>AM27</f>
        <v>7000</v>
      </c>
      <c r="AK105" s="290">
        <f>SUM(AK106:AK108)</f>
        <v>1</v>
      </c>
      <c r="AL105" s="289" t="s">
        <v>524</v>
      </c>
      <c r="AM105" s="83"/>
      <c r="AN105" s="83"/>
      <c r="AO105" s="83"/>
      <c r="AP105" s="287"/>
      <c r="AQ105" s="132">
        <f>AT27</f>
        <v>5000</v>
      </c>
      <c r="AR105" s="290">
        <f>SUM(AR106:AR108)</f>
        <v>1</v>
      </c>
      <c r="AS105" s="289" t="s">
        <v>524</v>
      </c>
      <c r="AT105" s="83"/>
      <c r="AU105" s="83"/>
      <c r="AV105" s="83"/>
      <c r="AW105" s="287"/>
      <c r="AX105" s="132">
        <f>BA27</f>
        <v>5000</v>
      </c>
      <c r="AY105" s="290">
        <f>SUM(AY106:AY108)</f>
        <v>1</v>
      </c>
      <c r="AZ105" s="289" t="s">
        <v>524</v>
      </c>
      <c r="BA105" s="83"/>
      <c r="BB105" s="83"/>
      <c r="BC105" s="83"/>
      <c r="BD105" s="287"/>
      <c r="BE105" s="132">
        <f>BH27</f>
        <v>5000</v>
      </c>
      <c r="BF105" s="290">
        <f>SUM(BF106:BF108)</f>
        <v>1</v>
      </c>
      <c r="BG105" s="289" t="s">
        <v>524</v>
      </c>
      <c r="BH105" s="83"/>
      <c r="BI105" s="83"/>
      <c r="BJ105" s="83"/>
      <c r="BK105" s="287"/>
      <c r="BL105" s="132">
        <f>BO27</f>
        <v>5000</v>
      </c>
      <c r="BM105" s="290">
        <f>SUM(BM106:BM108)</f>
        <v>1</v>
      </c>
      <c r="BN105" s="289" t="s">
        <v>524</v>
      </c>
      <c r="BO105" s="83"/>
      <c r="BP105" s="83"/>
      <c r="BQ105" s="83"/>
      <c r="BR105" s="287"/>
    </row>
    <row r="106" spans="1:70" s="82" customFormat="1" hidden="1" x14ac:dyDescent="0.3">
      <c r="A106" s="83"/>
      <c r="B106" s="288"/>
      <c r="C106" s="289" t="s">
        <v>525</v>
      </c>
      <c r="D106" s="83"/>
      <c r="E106" s="83"/>
      <c r="F106" s="83"/>
      <c r="G106" s="285">
        <v>4</v>
      </c>
      <c r="H106" s="132">
        <f>L27</f>
        <v>879.45</v>
      </c>
      <c r="I106" s="290">
        <f>IF(H105&lt;&gt;0,H106/H105)</f>
        <v>0.50000284270193129</v>
      </c>
      <c r="J106" s="289" t="s">
        <v>525</v>
      </c>
      <c r="K106" s="83"/>
      <c r="L106" s="83"/>
      <c r="M106" s="83"/>
      <c r="N106" s="287"/>
      <c r="O106" s="132">
        <f>S27</f>
        <v>4095.17</v>
      </c>
      <c r="P106" s="290">
        <f>IF(O105&lt;&gt;0,O106/O105)</f>
        <v>0.5</v>
      </c>
      <c r="Q106" s="289" t="s">
        <v>525</v>
      </c>
      <c r="R106" s="83"/>
      <c r="S106" s="83"/>
      <c r="T106" s="83"/>
      <c r="U106" s="287"/>
      <c r="V106" s="132">
        <f>Z27</f>
        <v>5454.65</v>
      </c>
      <c r="W106" s="290">
        <f>IF(V105&lt;&gt;0,V106/V105)</f>
        <v>0.50000045832496887</v>
      </c>
      <c r="X106" s="289" t="s">
        <v>525</v>
      </c>
      <c r="Y106" s="83"/>
      <c r="Z106" s="83"/>
      <c r="AA106" s="83"/>
      <c r="AB106" s="287"/>
      <c r="AC106" s="132">
        <f>AG27</f>
        <v>5454.65</v>
      </c>
      <c r="AD106" s="290">
        <f>IF(AC105&lt;&gt;0,AC106/AC105)</f>
        <v>0.50000045832496887</v>
      </c>
      <c r="AE106" s="289" t="s">
        <v>525</v>
      </c>
      <c r="AF106" s="83"/>
      <c r="AG106" s="83"/>
      <c r="AH106" s="83"/>
      <c r="AI106" s="287"/>
      <c r="AJ106" s="132">
        <f>AN27</f>
        <v>3500</v>
      </c>
      <c r="AK106" s="290">
        <f>IF(AJ105&lt;&gt;0,AJ106/AJ105)</f>
        <v>0.5</v>
      </c>
      <c r="AL106" s="289" t="s">
        <v>525</v>
      </c>
      <c r="AM106" s="83"/>
      <c r="AN106" s="83"/>
      <c r="AO106" s="83"/>
      <c r="AP106" s="287"/>
      <c r="AQ106" s="132">
        <f>AU27</f>
        <v>2500</v>
      </c>
      <c r="AR106" s="290">
        <f>IF(AQ105&lt;&gt;0,AQ106/AQ105)</f>
        <v>0.5</v>
      </c>
      <c r="AS106" s="289" t="s">
        <v>525</v>
      </c>
      <c r="AT106" s="83"/>
      <c r="AU106" s="83"/>
      <c r="AV106" s="83"/>
      <c r="AW106" s="287"/>
      <c r="AX106" s="132">
        <f>BB27</f>
        <v>2500</v>
      </c>
      <c r="AY106" s="290">
        <f>IF(AX105&lt;&gt;0,AX106/AX105)</f>
        <v>0.5</v>
      </c>
      <c r="AZ106" s="289" t="s">
        <v>525</v>
      </c>
      <c r="BA106" s="83"/>
      <c r="BB106" s="83"/>
      <c r="BC106" s="83"/>
      <c r="BD106" s="287"/>
      <c r="BE106" s="132">
        <f>BI27</f>
        <v>2500</v>
      </c>
      <c r="BF106" s="290">
        <f>IF(BE105&lt;&gt;0,BE106/BE105)</f>
        <v>0.5</v>
      </c>
      <c r="BG106" s="289" t="s">
        <v>525</v>
      </c>
      <c r="BH106" s="83"/>
      <c r="BI106" s="83"/>
      <c r="BJ106" s="83"/>
      <c r="BK106" s="287"/>
      <c r="BL106" s="132">
        <f>BP27</f>
        <v>2500</v>
      </c>
      <c r="BM106" s="290">
        <f>IF(BL105&lt;&gt;0,BL106/BL105)</f>
        <v>0.5</v>
      </c>
      <c r="BN106" s="289" t="s">
        <v>525</v>
      </c>
      <c r="BO106" s="83"/>
      <c r="BP106" s="83"/>
      <c r="BQ106" s="83"/>
      <c r="BR106" s="287"/>
    </row>
    <row r="107" spans="1:70" s="82" customFormat="1" hidden="1" x14ac:dyDescent="0.3">
      <c r="A107" s="83"/>
      <c r="B107" s="288"/>
      <c r="C107" s="289" t="s">
        <v>526</v>
      </c>
      <c r="D107" s="83"/>
      <c r="E107" s="83"/>
      <c r="F107" s="83"/>
      <c r="G107" s="285">
        <v>5</v>
      </c>
      <c r="H107" s="132">
        <f>M27</f>
        <v>439.72</v>
      </c>
      <c r="I107" s="290">
        <f>IF(H105&lt;&gt;0,H107/H105)</f>
        <v>0.24999857864903433</v>
      </c>
      <c r="J107" s="289" t="s">
        <v>526</v>
      </c>
      <c r="K107" s="83"/>
      <c r="L107" s="83"/>
      <c r="M107" s="83"/>
      <c r="N107" s="287"/>
      <c r="O107" s="132">
        <f>T27</f>
        <v>2047.59</v>
      </c>
      <c r="P107" s="290">
        <f>IF(O105&lt;&gt;0,O107/O105)</f>
        <v>0.25000061047526717</v>
      </c>
      <c r="Q107" s="289" t="s">
        <v>526</v>
      </c>
      <c r="R107" s="83"/>
      <c r="S107" s="83"/>
      <c r="T107" s="83"/>
      <c r="U107" s="287"/>
      <c r="V107" s="132">
        <f>AA27</f>
        <v>2727.32</v>
      </c>
      <c r="W107" s="290">
        <f>IF(V105&lt;&gt;0,V107/V105)</f>
        <v>0.24999977083751554</v>
      </c>
      <c r="X107" s="289" t="s">
        <v>526</v>
      </c>
      <c r="Y107" s="83"/>
      <c r="Z107" s="83"/>
      <c r="AA107" s="83"/>
      <c r="AB107" s="287"/>
      <c r="AC107" s="132">
        <f>AH27</f>
        <v>2727.32</v>
      </c>
      <c r="AD107" s="290">
        <f>IF(AC105&lt;&gt;0,AC107/AC105)</f>
        <v>0.24999977083751554</v>
      </c>
      <c r="AE107" s="289" t="s">
        <v>526</v>
      </c>
      <c r="AF107" s="83"/>
      <c r="AG107" s="83"/>
      <c r="AH107" s="83"/>
      <c r="AI107" s="287"/>
      <c r="AJ107" s="132">
        <f>AO27</f>
        <v>1750</v>
      </c>
      <c r="AK107" s="290">
        <f>IF(AJ105&lt;&gt;0,AJ107/AJ105)</f>
        <v>0.25</v>
      </c>
      <c r="AL107" s="289" t="s">
        <v>526</v>
      </c>
      <c r="AM107" s="83"/>
      <c r="AN107" s="83"/>
      <c r="AO107" s="83"/>
      <c r="AP107" s="287"/>
      <c r="AQ107" s="132">
        <f>AV27</f>
        <v>1250</v>
      </c>
      <c r="AR107" s="290">
        <f>IF(AQ105&lt;&gt;0,AQ107/AQ105)</f>
        <v>0.25</v>
      </c>
      <c r="AS107" s="289" t="s">
        <v>526</v>
      </c>
      <c r="AT107" s="83"/>
      <c r="AU107" s="83"/>
      <c r="AV107" s="83"/>
      <c r="AW107" s="287"/>
      <c r="AX107" s="132">
        <f>BC27</f>
        <v>1250</v>
      </c>
      <c r="AY107" s="290">
        <f>IF(AX105&lt;&gt;0,AX107/AX105)</f>
        <v>0.25</v>
      </c>
      <c r="AZ107" s="289" t="s">
        <v>526</v>
      </c>
      <c r="BA107" s="83"/>
      <c r="BB107" s="83"/>
      <c r="BC107" s="83"/>
      <c r="BD107" s="287"/>
      <c r="BE107" s="132">
        <f>BJ27</f>
        <v>1250</v>
      </c>
      <c r="BF107" s="290">
        <f>IF(BE105&lt;&gt;0,BE107/BE105)</f>
        <v>0.25</v>
      </c>
      <c r="BG107" s="289" t="s">
        <v>526</v>
      </c>
      <c r="BH107" s="83"/>
      <c r="BI107" s="83"/>
      <c r="BJ107" s="83"/>
      <c r="BK107" s="287"/>
      <c r="BL107" s="132">
        <f>BQ27</f>
        <v>1250</v>
      </c>
      <c r="BM107" s="290">
        <f>IF(BL105&lt;&gt;0,BL107/BL105)</f>
        <v>0.25</v>
      </c>
      <c r="BN107" s="289" t="s">
        <v>526</v>
      </c>
      <c r="BO107" s="83"/>
      <c r="BP107" s="83"/>
      <c r="BQ107" s="83"/>
      <c r="BR107" s="287"/>
    </row>
    <row r="108" spans="1:70" s="82" customFormat="1" hidden="1" x14ac:dyDescent="0.3">
      <c r="A108" s="83"/>
      <c r="B108" s="288"/>
      <c r="C108" s="289" t="s">
        <v>527</v>
      </c>
      <c r="D108" s="83"/>
      <c r="E108" s="83"/>
      <c r="F108" s="83"/>
      <c r="G108" s="285">
        <v>6</v>
      </c>
      <c r="H108" s="132">
        <f>N27</f>
        <v>439.72</v>
      </c>
      <c r="I108" s="290">
        <f>IF(H105&lt;&gt;0,H108/H105)</f>
        <v>0.24999857864903433</v>
      </c>
      <c r="J108" s="289" t="s">
        <v>527</v>
      </c>
      <c r="K108" s="83"/>
      <c r="L108" s="83"/>
      <c r="M108" s="83"/>
      <c r="N108" s="287"/>
      <c r="O108" s="132">
        <f>U27</f>
        <v>2047.59</v>
      </c>
      <c r="P108" s="290">
        <f>IF(O105&lt;&gt;0,O108/O105)</f>
        <v>0.25000061047526717</v>
      </c>
      <c r="Q108" s="289" t="s">
        <v>527</v>
      </c>
      <c r="R108" s="83"/>
      <c r="S108" s="83"/>
      <c r="T108" s="83"/>
      <c r="U108" s="287"/>
      <c r="V108" s="132">
        <f>AB27</f>
        <v>2727.32</v>
      </c>
      <c r="W108" s="290">
        <f>IF(V105&lt;&gt;0,V108/V105)</f>
        <v>0.24999977083751554</v>
      </c>
      <c r="X108" s="289" t="s">
        <v>527</v>
      </c>
      <c r="Y108" s="83"/>
      <c r="Z108" s="83"/>
      <c r="AA108" s="83"/>
      <c r="AB108" s="287"/>
      <c r="AC108" s="132">
        <f>AI27</f>
        <v>2727.32</v>
      </c>
      <c r="AD108" s="290">
        <f>IF(AC105&lt;&gt;0,AC108/AC105)</f>
        <v>0.24999977083751554</v>
      </c>
      <c r="AE108" s="289" t="s">
        <v>527</v>
      </c>
      <c r="AF108" s="83"/>
      <c r="AG108" s="83"/>
      <c r="AH108" s="83"/>
      <c r="AI108" s="287"/>
      <c r="AJ108" s="132">
        <f>AP27</f>
        <v>1750</v>
      </c>
      <c r="AK108" s="290">
        <f>IF(AJ105&lt;&gt;0,AJ108/AJ105)</f>
        <v>0.25</v>
      </c>
      <c r="AL108" s="289" t="s">
        <v>527</v>
      </c>
      <c r="AM108" s="83"/>
      <c r="AN108" s="83"/>
      <c r="AO108" s="83"/>
      <c r="AP108" s="287"/>
      <c r="AQ108" s="132">
        <f>AW27</f>
        <v>1250</v>
      </c>
      <c r="AR108" s="290">
        <f>IF(AQ105&lt;&gt;0,AQ108/AQ105)</f>
        <v>0.25</v>
      </c>
      <c r="AS108" s="289" t="s">
        <v>527</v>
      </c>
      <c r="AT108" s="83"/>
      <c r="AU108" s="83"/>
      <c r="AV108" s="83"/>
      <c r="AW108" s="287"/>
      <c r="AX108" s="132">
        <f>BD27</f>
        <v>1250</v>
      </c>
      <c r="AY108" s="290">
        <f>IF(AX105&lt;&gt;0,AX108/AX105)</f>
        <v>0.25</v>
      </c>
      <c r="AZ108" s="289" t="s">
        <v>527</v>
      </c>
      <c r="BA108" s="83"/>
      <c r="BB108" s="83"/>
      <c r="BC108" s="83"/>
      <c r="BD108" s="287"/>
      <c r="BE108" s="132">
        <f>BK27</f>
        <v>1250</v>
      </c>
      <c r="BF108" s="290">
        <f>IF(BE105&lt;&gt;0,BE108/BE105)</f>
        <v>0.25</v>
      </c>
      <c r="BG108" s="289" t="s">
        <v>527</v>
      </c>
      <c r="BH108" s="83"/>
      <c r="BI108" s="83"/>
      <c r="BJ108" s="83"/>
      <c r="BK108" s="287"/>
      <c r="BL108" s="132">
        <f>BR27</f>
        <v>1250</v>
      </c>
      <c r="BM108" s="290">
        <f>IF(BL105&lt;&gt;0,BL108/BL105)</f>
        <v>0.25</v>
      </c>
      <c r="BN108" s="289" t="s">
        <v>527</v>
      </c>
      <c r="BO108" s="83"/>
      <c r="BP108" s="83"/>
      <c r="BQ108" s="83"/>
      <c r="BR108" s="287"/>
    </row>
    <row r="109" spans="1:70" s="82" customFormat="1" hidden="1" x14ac:dyDescent="0.3">
      <c r="A109" s="83"/>
      <c r="B109" s="288"/>
      <c r="C109" s="526" t="s">
        <v>518</v>
      </c>
      <c r="D109" s="83"/>
      <c r="E109" s="83"/>
      <c r="F109" s="83"/>
      <c r="G109" s="285">
        <v>7</v>
      </c>
      <c r="H109" s="132"/>
      <c r="I109" s="290"/>
      <c r="J109" s="526" t="s">
        <v>518</v>
      </c>
      <c r="K109" s="83"/>
      <c r="L109" s="83"/>
      <c r="M109" s="83"/>
      <c r="N109" s="287"/>
      <c r="O109" s="132"/>
      <c r="P109" s="290"/>
      <c r="Q109" s="526" t="s">
        <v>518</v>
      </c>
      <c r="R109" s="83"/>
      <c r="S109" s="83"/>
      <c r="T109" s="83"/>
      <c r="U109" s="287"/>
      <c r="V109" s="132"/>
      <c r="W109" s="290"/>
      <c r="X109" s="526" t="s">
        <v>518</v>
      </c>
      <c r="Y109" s="83"/>
      <c r="Z109" s="83"/>
      <c r="AA109" s="83"/>
      <c r="AB109" s="287"/>
      <c r="AC109" s="132"/>
      <c r="AD109" s="290"/>
      <c r="AE109" s="526" t="s">
        <v>518</v>
      </c>
      <c r="AF109" s="83"/>
      <c r="AG109" s="83"/>
      <c r="AH109" s="83"/>
      <c r="AI109" s="287"/>
      <c r="AJ109" s="132"/>
      <c r="AK109" s="290"/>
      <c r="AL109" s="526" t="s">
        <v>518</v>
      </c>
      <c r="AM109" s="83"/>
      <c r="AN109" s="83"/>
      <c r="AO109" s="83"/>
      <c r="AP109" s="287"/>
      <c r="AQ109" s="132"/>
      <c r="AR109" s="290"/>
      <c r="AS109" s="526" t="s">
        <v>518</v>
      </c>
      <c r="AT109" s="83"/>
      <c r="AU109" s="83"/>
      <c r="AV109" s="83"/>
      <c r="AW109" s="287"/>
      <c r="AX109" s="132"/>
      <c r="AY109" s="290"/>
      <c r="AZ109" s="526" t="s">
        <v>518</v>
      </c>
      <c r="BA109" s="83"/>
      <c r="BB109" s="83"/>
      <c r="BC109" s="83"/>
      <c r="BD109" s="287"/>
      <c r="BE109" s="132"/>
      <c r="BF109" s="290"/>
      <c r="BG109" s="526" t="s">
        <v>518</v>
      </c>
      <c r="BH109" s="83"/>
      <c r="BI109" s="83"/>
      <c r="BJ109" s="83"/>
      <c r="BK109" s="287"/>
      <c r="BL109" s="132"/>
      <c r="BM109" s="290"/>
      <c r="BN109" s="526" t="s">
        <v>518</v>
      </c>
      <c r="BO109" s="83"/>
      <c r="BP109" s="83"/>
      <c r="BQ109" s="83"/>
      <c r="BR109" s="287"/>
    </row>
    <row r="110" spans="1:70" s="82" customFormat="1" hidden="1" x14ac:dyDescent="0.3">
      <c r="A110" s="83"/>
      <c r="B110" s="288"/>
      <c r="C110" s="529" t="s">
        <v>528</v>
      </c>
      <c r="D110" s="83"/>
      <c r="E110" s="83"/>
      <c r="F110" s="83"/>
      <c r="G110" s="285">
        <v>8</v>
      </c>
      <c r="H110" s="132">
        <f>K101</f>
        <v>763872.81</v>
      </c>
      <c r="I110" s="290">
        <f>SUM(I111:I113)</f>
        <v>1</v>
      </c>
      <c r="J110" s="529" t="s">
        <v>528</v>
      </c>
      <c r="K110" s="83"/>
      <c r="L110" s="83"/>
      <c r="M110" s="83"/>
      <c r="N110" s="287"/>
      <c r="O110" s="132">
        <f>R101</f>
        <v>772114.91</v>
      </c>
      <c r="P110" s="290">
        <f>SUM(P111:P113)</f>
        <v>0.99999999999999989</v>
      </c>
      <c r="Q110" s="529" t="s">
        <v>528</v>
      </c>
      <c r="R110" s="83"/>
      <c r="S110" s="83"/>
      <c r="T110" s="83"/>
      <c r="U110" s="287"/>
      <c r="V110" s="132">
        <f>Y101</f>
        <v>823274.65</v>
      </c>
      <c r="W110" s="290">
        <f>SUM(W111:W113)</f>
        <v>1.0000000121466148</v>
      </c>
      <c r="X110" s="529" t="s">
        <v>528</v>
      </c>
      <c r="Y110" s="83"/>
      <c r="Z110" s="83"/>
      <c r="AA110" s="83"/>
      <c r="AB110" s="287"/>
      <c r="AC110" s="132">
        <f>AF101</f>
        <v>816477.69</v>
      </c>
      <c r="AD110" s="290">
        <f>SUM(AD111:AD113)</f>
        <v>1</v>
      </c>
      <c r="AE110" s="529" t="s">
        <v>528</v>
      </c>
      <c r="AF110" s="83"/>
      <c r="AG110" s="83"/>
      <c r="AH110" s="83"/>
      <c r="AI110" s="287"/>
      <c r="AJ110" s="132">
        <f>AM101</f>
        <v>826500</v>
      </c>
      <c r="AK110" s="290">
        <f>SUM(AK111:AK113)</f>
        <v>1</v>
      </c>
      <c r="AL110" s="529" t="s">
        <v>528</v>
      </c>
      <c r="AM110" s="83"/>
      <c r="AN110" s="83"/>
      <c r="AO110" s="83"/>
      <c r="AP110" s="287"/>
      <c r="AQ110" s="132">
        <f>AT101</f>
        <v>834100</v>
      </c>
      <c r="AR110" s="290">
        <f>SUM(AR111:AR113)</f>
        <v>1</v>
      </c>
      <c r="AS110" s="529" t="s">
        <v>528</v>
      </c>
      <c r="AT110" s="83"/>
      <c r="AU110" s="83"/>
      <c r="AV110" s="83"/>
      <c r="AW110" s="287"/>
      <c r="AX110" s="132">
        <f>BA101</f>
        <v>867100</v>
      </c>
      <c r="AY110" s="290">
        <f>SUM(AY111:AY113)</f>
        <v>1</v>
      </c>
      <c r="AZ110" s="529" t="s">
        <v>528</v>
      </c>
      <c r="BA110" s="83"/>
      <c r="BB110" s="83"/>
      <c r="BC110" s="83"/>
      <c r="BD110" s="287"/>
      <c r="BE110" s="132">
        <f>BH101</f>
        <v>893113</v>
      </c>
      <c r="BF110" s="290">
        <f>SUM(BF111:BF113)</f>
        <v>1</v>
      </c>
      <c r="BG110" s="529" t="s">
        <v>528</v>
      </c>
      <c r="BH110" s="83"/>
      <c r="BI110" s="83"/>
      <c r="BJ110" s="83"/>
      <c r="BK110" s="287"/>
      <c r="BL110" s="132">
        <f>BO101</f>
        <v>919906.39</v>
      </c>
      <c r="BM110" s="290">
        <f>SUM(BM111:BM113)</f>
        <v>0.99999999999999989</v>
      </c>
      <c r="BN110" s="529" t="s">
        <v>528</v>
      </c>
      <c r="BO110" s="83"/>
      <c r="BP110" s="83"/>
      <c r="BQ110" s="83"/>
      <c r="BR110" s="287"/>
    </row>
    <row r="111" spans="1:70" s="82" customFormat="1" hidden="1" x14ac:dyDescent="0.3">
      <c r="A111" s="83"/>
      <c r="B111" s="288"/>
      <c r="C111" s="289" t="s">
        <v>525</v>
      </c>
      <c r="D111" s="83"/>
      <c r="E111" s="83"/>
      <c r="F111" s="83"/>
      <c r="G111" s="285">
        <v>9</v>
      </c>
      <c r="H111" s="132">
        <f>L101</f>
        <v>675326.16</v>
      </c>
      <c r="I111" s="290">
        <f>IF(H110&lt;&gt;0,H111/H110)</f>
        <v>0.8840819455270309</v>
      </c>
      <c r="J111" s="289" t="s">
        <v>525</v>
      </c>
      <c r="K111" s="83"/>
      <c r="L111" s="83"/>
      <c r="M111" s="83"/>
      <c r="N111" s="287"/>
      <c r="O111" s="132">
        <f>S101</f>
        <v>679946.23999999999</v>
      </c>
      <c r="P111" s="290">
        <f>IF(O110&lt;&gt;0,O111/O110)</f>
        <v>0.88062829922556474</v>
      </c>
      <c r="Q111" s="289" t="s">
        <v>525</v>
      </c>
      <c r="R111" s="83"/>
      <c r="S111" s="83"/>
      <c r="T111" s="83"/>
      <c r="U111" s="287"/>
      <c r="V111" s="132">
        <f>Z101</f>
        <v>712732.53</v>
      </c>
      <c r="W111" s="290">
        <f>IF(V110&lt;&gt;0,V111/V110)</f>
        <v>0.8657287455650432</v>
      </c>
      <c r="X111" s="289" t="s">
        <v>525</v>
      </c>
      <c r="Y111" s="83"/>
      <c r="Z111" s="83"/>
      <c r="AA111" s="83"/>
      <c r="AB111" s="287"/>
      <c r="AC111" s="132">
        <f>AG101</f>
        <v>701993.3</v>
      </c>
      <c r="AD111" s="290">
        <f>IF(AC110&lt;&gt;0,AC111/AC110)</f>
        <v>0.85978258634354121</v>
      </c>
      <c r="AE111" s="289" t="s">
        <v>525</v>
      </c>
      <c r="AF111" s="83"/>
      <c r="AG111" s="83"/>
      <c r="AH111" s="83"/>
      <c r="AI111" s="287"/>
      <c r="AJ111" s="132">
        <f>AN101</f>
        <v>705500</v>
      </c>
      <c r="AK111" s="290">
        <f>IF(AJ110&lt;&gt;0,AJ111/AJ110)</f>
        <v>0.85359951603145801</v>
      </c>
      <c r="AL111" s="289" t="s">
        <v>525</v>
      </c>
      <c r="AM111" s="83"/>
      <c r="AN111" s="83"/>
      <c r="AO111" s="83"/>
      <c r="AP111" s="287"/>
      <c r="AQ111" s="132">
        <f>AU101</f>
        <v>723100</v>
      </c>
      <c r="AR111" s="290">
        <f>IF(AQ110&lt;&gt;0,AQ111/AQ110)</f>
        <v>0.86692243136314595</v>
      </c>
      <c r="AS111" s="289" t="s">
        <v>525</v>
      </c>
      <c r="AT111" s="83"/>
      <c r="AU111" s="83"/>
      <c r="AV111" s="83"/>
      <c r="AW111" s="287"/>
      <c r="AX111" s="132">
        <f>BB101</f>
        <v>754100</v>
      </c>
      <c r="AY111" s="290">
        <f>IF(AX110&lt;&gt;0,AX111/AX110)</f>
        <v>0.86968054434321296</v>
      </c>
      <c r="AZ111" s="289" t="s">
        <v>525</v>
      </c>
      <c r="BA111" s="83"/>
      <c r="BB111" s="83"/>
      <c r="BC111" s="83"/>
      <c r="BD111" s="287"/>
      <c r="BE111" s="132">
        <f>BI101</f>
        <v>776723</v>
      </c>
      <c r="BF111" s="290">
        <f>IF(BE110&lt;&gt;0,BE111/BE110)</f>
        <v>0.86968054434321296</v>
      </c>
      <c r="BG111" s="289" t="s">
        <v>525</v>
      </c>
      <c r="BH111" s="83"/>
      <c r="BI111" s="83"/>
      <c r="BJ111" s="83"/>
      <c r="BK111" s="287"/>
      <c r="BL111" s="132">
        <f>BP101</f>
        <v>800024.69</v>
      </c>
      <c r="BM111" s="290">
        <f>IF(BL110&lt;&gt;0,BL111/BL110)</f>
        <v>0.86968054434321296</v>
      </c>
      <c r="BN111" s="289" t="s">
        <v>525</v>
      </c>
      <c r="BO111" s="83"/>
      <c r="BP111" s="83"/>
      <c r="BQ111" s="83"/>
      <c r="BR111" s="287"/>
    </row>
    <row r="112" spans="1:70" s="82" customFormat="1" hidden="1" x14ac:dyDescent="0.3">
      <c r="A112" s="83"/>
      <c r="B112" s="288"/>
      <c r="C112" s="289" t="s">
        <v>526</v>
      </c>
      <c r="D112" s="83"/>
      <c r="E112" s="83"/>
      <c r="F112" s="83"/>
      <c r="G112" s="285">
        <v>10</v>
      </c>
      <c r="H112" s="132">
        <f>M101</f>
        <v>48474.14</v>
      </c>
      <c r="I112" s="290">
        <f>IF(H110&lt;&gt;0,H112/H110)</f>
        <v>6.3458391718380441E-2</v>
      </c>
      <c r="J112" s="289" t="s">
        <v>526</v>
      </c>
      <c r="K112" s="83"/>
      <c r="L112" s="83"/>
      <c r="M112" s="83"/>
      <c r="N112" s="287"/>
      <c r="O112" s="132">
        <f>T101</f>
        <v>50271.8</v>
      </c>
      <c r="P112" s="290">
        <f>IF(O110&lt;&gt;0,O112/O110)</f>
        <v>6.5109220595157266E-2</v>
      </c>
      <c r="Q112" s="289" t="s">
        <v>526</v>
      </c>
      <c r="R112" s="83"/>
      <c r="S112" s="83"/>
      <c r="T112" s="83"/>
      <c r="U112" s="287"/>
      <c r="V112" s="132">
        <f>AA101</f>
        <v>59906.34</v>
      </c>
      <c r="W112" s="290">
        <f>IF(V110&lt;&gt;0,V112/V110)</f>
        <v>7.2765923255380199E-2</v>
      </c>
      <c r="X112" s="289" t="s">
        <v>526</v>
      </c>
      <c r="Y112" s="83"/>
      <c r="Z112" s="83"/>
      <c r="AA112" s="83"/>
      <c r="AB112" s="287"/>
      <c r="AC112" s="132">
        <f>AH101</f>
        <v>62254.91</v>
      </c>
      <c r="AD112" s="290">
        <f>IF(AC110&lt;&gt;0,AC112/AC110)</f>
        <v>7.6248145861768743E-2</v>
      </c>
      <c r="AE112" s="289" t="s">
        <v>526</v>
      </c>
      <c r="AF112" s="83"/>
      <c r="AG112" s="83"/>
      <c r="AH112" s="83"/>
      <c r="AI112" s="287"/>
      <c r="AJ112" s="132">
        <f>AO101</f>
        <v>65375</v>
      </c>
      <c r="AK112" s="290">
        <f>IF(AJ110&lt;&gt;0,AJ112/AJ110)</f>
        <v>7.9098608590441627E-2</v>
      </c>
      <c r="AL112" s="289" t="s">
        <v>526</v>
      </c>
      <c r="AM112" s="83"/>
      <c r="AN112" s="83"/>
      <c r="AO112" s="83"/>
      <c r="AP112" s="287"/>
      <c r="AQ112" s="132">
        <f>AV101</f>
        <v>60375</v>
      </c>
      <c r="AR112" s="290">
        <f>IF(AQ110&lt;&gt;0,AQ112/AQ110)</f>
        <v>7.2383407265315905E-2</v>
      </c>
      <c r="AS112" s="289" t="s">
        <v>526</v>
      </c>
      <c r="AT112" s="83"/>
      <c r="AU112" s="83"/>
      <c r="AV112" s="83"/>
      <c r="AW112" s="287"/>
      <c r="AX112" s="132">
        <f>BC101</f>
        <v>61375</v>
      </c>
      <c r="AY112" s="290">
        <f>IF(AX110&lt;&gt;0,AX112/AX110)</f>
        <v>7.0781916733940728E-2</v>
      </c>
      <c r="AZ112" s="289" t="s">
        <v>526</v>
      </c>
      <c r="BA112" s="83"/>
      <c r="BB112" s="83"/>
      <c r="BC112" s="83"/>
      <c r="BD112" s="287"/>
      <c r="BE112" s="132">
        <f>BJ101</f>
        <v>63216.25</v>
      </c>
      <c r="BF112" s="290">
        <f>IF(BE110&lt;&gt;0,BE112/BE110)</f>
        <v>7.0781916733940728E-2</v>
      </c>
      <c r="BG112" s="289" t="s">
        <v>526</v>
      </c>
      <c r="BH112" s="83"/>
      <c r="BI112" s="83"/>
      <c r="BJ112" s="83"/>
      <c r="BK112" s="287"/>
      <c r="BL112" s="132">
        <f>BQ101</f>
        <v>65112.74</v>
      </c>
      <c r="BM112" s="290">
        <f>IF(BL110&lt;&gt;0,BL112/BL110)</f>
        <v>7.0781919451608541E-2</v>
      </c>
      <c r="BN112" s="289" t="s">
        <v>526</v>
      </c>
      <c r="BO112" s="83"/>
      <c r="BP112" s="83"/>
      <c r="BQ112" s="83"/>
      <c r="BR112" s="287"/>
    </row>
    <row r="113" spans="1:70" s="82" customFormat="1" hidden="1" x14ac:dyDescent="0.3">
      <c r="A113" s="83"/>
      <c r="B113" s="288"/>
      <c r="C113" s="289" t="s">
        <v>527</v>
      </c>
      <c r="D113" s="83"/>
      <c r="E113" s="83"/>
      <c r="F113" s="83"/>
      <c r="G113" s="285">
        <v>11</v>
      </c>
      <c r="H113" s="132">
        <f>N101</f>
        <v>40072.51</v>
      </c>
      <c r="I113" s="290">
        <f>IF(H110&lt;&gt;0,H113/H110)</f>
        <v>5.2459662754588687E-2</v>
      </c>
      <c r="J113" s="289" t="s">
        <v>527</v>
      </c>
      <c r="K113" s="83"/>
      <c r="L113" s="83"/>
      <c r="M113" s="83"/>
      <c r="N113" s="287"/>
      <c r="O113" s="132">
        <f>U101</f>
        <v>41896.870000000003</v>
      </c>
      <c r="P113" s="290">
        <f>IF(O110&lt;&gt;0,O113/O110)</f>
        <v>5.4262480179277976E-2</v>
      </c>
      <c r="Q113" s="289" t="s">
        <v>527</v>
      </c>
      <c r="R113" s="83"/>
      <c r="S113" s="83"/>
      <c r="T113" s="83"/>
      <c r="U113" s="287"/>
      <c r="V113" s="132">
        <f>AB101</f>
        <v>50635.79</v>
      </c>
      <c r="W113" s="290">
        <f>IF(V110&lt;&gt;0,V113/V110)</f>
        <v>6.1505343326191328E-2</v>
      </c>
      <c r="X113" s="289" t="s">
        <v>527</v>
      </c>
      <c r="Y113" s="83"/>
      <c r="Z113" s="83"/>
      <c r="AA113" s="83"/>
      <c r="AB113" s="287"/>
      <c r="AC113" s="132">
        <f>AI101</f>
        <v>52229.48</v>
      </c>
      <c r="AD113" s="290">
        <f>IF(AC110&lt;&gt;0,AC113/AC110)</f>
        <v>6.3969267794690143E-2</v>
      </c>
      <c r="AE113" s="289" t="s">
        <v>527</v>
      </c>
      <c r="AF113" s="83"/>
      <c r="AG113" s="83"/>
      <c r="AH113" s="83"/>
      <c r="AI113" s="287"/>
      <c r="AJ113" s="132">
        <f>AP101</f>
        <v>55625</v>
      </c>
      <c r="AK113" s="290">
        <f>IF(AJ110&lt;&gt;0,AJ113/AJ110)</f>
        <v>6.7301875378100423E-2</v>
      </c>
      <c r="AL113" s="289" t="s">
        <v>527</v>
      </c>
      <c r="AM113" s="83"/>
      <c r="AN113" s="83"/>
      <c r="AO113" s="83"/>
      <c r="AP113" s="287"/>
      <c r="AQ113" s="132">
        <f>AW101</f>
        <v>50625</v>
      </c>
      <c r="AR113" s="290">
        <f>IF(AQ110&lt;&gt;0,AQ113/AQ110)</f>
        <v>6.0694161371538186E-2</v>
      </c>
      <c r="AS113" s="289" t="s">
        <v>527</v>
      </c>
      <c r="AT113" s="83"/>
      <c r="AU113" s="83"/>
      <c r="AV113" s="83"/>
      <c r="AW113" s="287"/>
      <c r="AX113" s="132">
        <f>BD101</f>
        <v>51625</v>
      </c>
      <c r="AY113" s="290">
        <f>IF(AX110&lt;&gt;0,AX113/AX110)</f>
        <v>5.9537538922846273E-2</v>
      </c>
      <c r="AZ113" s="289" t="s">
        <v>527</v>
      </c>
      <c r="BA113" s="83"/>
      <c r="BB113" s="83"/>
      <c r="BC113" s="83"/>
      <c r="BD113" s="287"/>
      <c r="BE113" s="132">
        <f>BK101</f>
        <v>53173.75</v>
      </c>
      <c r="BF113" s="290">
        <f>IF(BE110&lt;&gt;0,BE113/BE110)</f>
        <v>5.9537538922846273E-2</v>
      </c>
      <c r="BG113" s="289" t="s">
        <v>527</v>
      </c>
      <c r="BH113" s="83"/>
      <c r="BI113" s="83"/>
      <c r="BJ113" s="83"/>
      <c r="BK113" s="287"/>
      <c r="BL113" s="132">
        <f>BR101</f>
        <v>54768.959999999999</v>
      </c>
      <c r="BM113" s="290">
        <f>IF(BL110&lt;&gt;0,BL113/BL110)</f>
        <v>5.9537536205178439E-2</v>
      </c>
      <c r="BN113" s="289" t="s">
        <v>527</v>
      </c>
      <c r="BO113" s="83"/>
      <c r="BP113" s="83"/>
      <c r="BQ113" s="83"/>
      <c r="BR113" s="287"/>
    </row>
    <row r="114" spans="1:70" s="82" customFormat="1" ht="15.6" hidden="1" x14ac:dyDescent="0.3">
      <c r="A114" s="83"/>
      <c r="B114" s="288"/>
      <c r="C114" s="684" t="str">
        <f>"Zwischen Zeile "&amp;ROW(103:103)&amp;" und Zeile "&amp;ROW(114:114)&amp;" weder eine Zeile einfügen noch löschen!!!"</f>
        <v>Zwischen Zeile 103 und Zeile 114 weder eine Zeile einfügen noch löschen!!!</v>
      </c>
      <c r="D114" s="83"/>
      <c r="E114" s="83"/>
      <c r="F114" s="83"/>
      <c r="G114" s="285">
        <v>12</v>
      </c>
      <c r="H114" s="132"/>
      <c r="I114" s="290"/>
      <c r="J114" s="289"/>
      <c r="K114" s="83"/>
      <c r="L114" s="83"/>
      <c r="M114" s="83"/>
      <c r="N114" s="287"/>
      <c r="O114" s="132"/>
      <c r="P114" s="290"/>
      <c r="Q114" s="289"/>
      <c r="R114" s="83"/>
      <c r="S114" s="83"/>
      <c r="T114" s="83"/>
      <c r="U114" s="287"/>
      <c r="V114" s="132"/>
      <c r="W114" s="290"/>
      <c r="X114" s="289"/>
      <c r="Y114" s="83"/>
      <c r="Z114" s="83"/>
      <c r="AA114" s="83"/>
      <c r="AB114" s="287"/>
      <c r="AC114" s="132"/>
      <c r="AD114" s="290"/>
      <c r="AE114" s="289"/>
      <c r="AF114" s="83"/>
      <c r="AG114" s="83"/>
      <c r="AH114" s="83"/>
      <c r="AI114" s="287"/>
      <c r="AJ114" s="132"/>
      <c r="AK114" s="290"/>
      <c r="AL114" s="289"/>
      <c r="AM114" s="83"/>
      <c r="AN114" s="83"/>
      <c r="AO114" s="83"/>
      <c r="AP114" s="287"/>
      <c r="AQ114" s="132"/>
      <c r="AR114" s="290"/>
      <c r="AS114" s="289"/>
      <c r="AT114" s="83"/>
      <c r="AU114" s="83"/>
      <c r="AV114" s="83"/>
      <c r="AW114" s="287"/>
      <c r="AX114" s="132"/>
      <c r="AY114" s="290"/>
      <c r="AZ114" s="289"/>
      <c r="BA114" s="83"/>
      <c r="BB114" s="83"/>
      <c r="BC114" s="83"/>
      <c r="BD114" s="287"/>
      <c r="BE114" s="132"/>
      <c r="BF114" s="290"/>
      <c r="BG114" s="289"/>
      <c r="BH114" s="83"/>
      <c r="BI114" s="83"/>
      <c r="BJ114" s="83"/>
      <c r="BK114" s="287"/>
      <c r="BL114" s="132"/>
      <c r="BM114" s="290"/>
      <c r="BN114" s="289"/>
      <c r="BO114" s="83"/>
      <c r="BP114" s="83"/>
      <c r="BQ114" s="83"/>
      <c r="BR114" s="287"/>
    </row>
  </sheetData>
  <sheetProtection sheet="1" objects="1" scenarios="1"/>
  <mergeCells count="90">
    <mergeCell ref="P29:U29"/>
    <mergeCell ref="W29:AB29"/>
    <mergeCell ref="AD29:AI29"/>
    <mergeCell ref="AK29:AP29"/>
    <mergeCell ref="AR29:AW29"/>
    <mergeCell ref="AY29:BD29"/>
    <mergeCell ref="BF29:BK29"/>
    <mergeCell ref="BM29:BR29"/>
    <mergeCell ref="BH5:BH6"/>
    <mergeCell ref="BI5:BK5"/>
    <mergeCell ref="BL5:BL6"/>
    <mergeCell ref="BM5:BM6"/>
    <mergeCell ref="BN5:BN6"/>
    <mergeCell ref="BA5:BA6"/>
    <mergeCell ref="BB5:BD5"/>
    <mergeCell ref="BE5:BE6"/>
    <mergeCell ref="BF5:BF6"/>
    <mergeCell ref="BG5:BG6"/>
    <mergeCell ref="BO5:BO6"/>
    <mergeCell ref="BE4:BK4"/>
    <mergeCell ref="BL4:BR4"/>
    <mergeCell ref="AZ5:AZ6"/>
    <mergeCell ref="BP5:BR5"/>
    <mergeCell ref="AX5:AX6"/>
    <mergeCell ref="AY5:AY6"/>
    <mergeCell ref="AX4:BD4"/>
    <mergeCell ref="O4:U4"/>
    <mergeCell ref="V4:AB4"/>
    <mergeCell ref="AC4:AI4"/>
    <mergeCell ref="O5:O6"/>
    <mergeCell ref="P5:P6"/>
    <mergeCell ref="Q5:Q6"/>
    <mergeCell ref="R5:R6"/>
    <mergeCell ref="S5:U5"/>
    <mergeCell ref="V5:V6"/>
    <mergeCell ref="W5:W6"/>
    <mergeCell ref="X5:X6"/>
    <mergeCell ref="Y5:Y6"/>
    <mergeCell ref="AJ4:AP4"/>
    <mergeCell ref="AQ4:AW4"/>
    <mergeCell ref="AM5:AM6"/>
    <mergeCell ref="AN5:AP5"/>
    <mergeCell ref="AR5:AR6"/>
    <mergeCell ref="AS5:AS6"/>
    <mergeCell ref="AT5:AT6"/>
    <mergeCell ref="AU5:AW5"/>
    <mergeCell ref="AQ5:AQ6"/>
    <mergeCell ref="AK5:AK6"/>
    <mergeCell ref="AL5:AL6"/>
    <mergeCell ref="K5:K6"/>
    <mergeCell ref="L5:N5"/>
    <mergeCell ref="AJ5:AJ6"/>
    <mergeCell ref="Z5:AB5"/>
    <mergeCell ref="AC5:AC6"/>
    <mergeCell ref="AD5:AD6"/>
    <mergeCell ref="AE5:AE6"/>
    <mergeCell ref="AF5:AF6"/>
    <mergeCell ref="AG5:AI5"/>
    <mergeCell ref="BF2:BK2"/>
    <mergeCell ref="BM2:BR2"/>
    <mergeCell ref="O3:U3"/>
    <mergeCell ref="V3:AB3"/>
    <mergeCell ref="AC3:AI3"/>
    <mergeCell ref="AJ3:AP3"/>
    <mergeCell ref="AQ3:AW3"/>
    <mergeCell ref="AX3:BD3"/>
    <mergeCell ref="BE3:BK3"/>
    <mergeCell ref="BL3:BR3"/>
    <mergeCell ref="P2:U2"/>
    <mergeCell ref="W2:AB2"/>
    <mergeCell ref="AD2:AI2"/>
    <mergeCell ref="AK2:AP2"/>
    <mergeCell ref="AY2:BD2"/>
    <mergeCell ref="AR2:AW2"/>
    <mergeCell ref="C29:G29"/>
    <mergeCell ref="I29:N29"/>
    <mergeCell ref="C7:G7"/>
    <mergeCell ref="A1:G1"/>
    <mergeCell ref="A2:G2"/>
    <mergeCell ref="I2:N2"/>
    <mergeCell ref="A3:A6"/>
    <mergeCell ref="B3:B6"/>
    <mergeCell ref="C3:C6"/>
    <mergeCell ref="D3:D6"/>
    <mergeCell ref="E3:G5"/>
    <mergeCell ref="H3:N3"/>
    <mergeCell ref="H4:N4"/>
    <mergeCell ref="H5:H6"/>
    <mergeCell ref="I5:I6"/>
    <mergeCell ref="J5:J6"/>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S501"/>
  <sheetViews>
    <sheetView zoomScaleNormal="100" workbookViewId="0">
      <pane ySplit="4" topLeftCell="A38" activePane="bottomLeft" state="frozen"/>
      <selection pane="bottomLeft" activeCell="E42" sqref="E42"/>
    </sheetView>
  </sheetViews>
  <sheetFormatPr baseColWidth="10" defaultRowHeight="14.4" x14ac:dyDescent="0.3"/>
  <cols>
    <col min="1" max="1" width="6.88671875" customWidth="1"/>
    <col min="2" max="2" width="35.33203125" customWidth="1"/>
    <col min="3" max="3" width="21.6640625" customWidth="1"/>
    <col min="4" max="4" width="9.109375" customWidth="1"/>
    <col min="5" max="5" width="14.109375" customWidth="1"/>
    <col min="6" max="6" width="13.5546875" customWidth="1"/>
    <col min="7" max="8" width="7.6640625" customWidth="1"/>
    <col min="9" max="9" width="5.6640625" customWidth="1"/>
    <col min="10" max="10" width="7.33203125" customWidth="1"/>
    <col min="11" max="11" width="13.44140625" customWidth="1"/>
    <col min="14" max="14" width="13.109375" customWidth="1"/>
    <col min="15" max="15" width="13.109375" hidden="1" customWidth="1"/>
    <col min="16" max="16" width="13.109375" customWidth="1"/>
    <col min="17" max="21" width="13.109375" hidden="1" customWidth="1"/>
    <col min="22" max="23" width="13.109375" customWidth="1"/>
    <col min="24" max="24" width="13.109375" hidden="1" customWidth="1"/>
    <col min="25" max="25" width="13.109375" customWidth="1"/>
    <col min="26" max="26" width="13.109375" hidden="1" customWidth="1"/>
    <col min="27" max="27" width="13.109375" customWidth="1"/>
    <col min="28" max="28" width="13.109375" hidden="1" customWidth="1"/>
    <col min="29" max="29" width="13.109375" customWidth="1"/>
    <col min="30" max="30" width="13.109375" hidden="1" customWidth="1"/>
    <col min="31" max="31" width="13.109375" customWidth="1"/>
    <col min="32" max="32" width="13.109375" hidden="1" customWidth="1"/>
    <col min="33" max="35" width="13.109375" customWidth="1"/>
    <col min="36" max="36" width="9.6640625" customWidth="1"/>
    <col min="37" max="37" width="9.6640625" hidden="1" customWidth="1"/>
    <col min="38" max="40" width="13.109375" customWidth="1"/>
    <col min="41" max="41" width="13.109375" hidden="1" customWidth="1"/>
    <col min="42" max="42" width="13.109375" customWidth="1"/>
    <col min="43" max="43" width="13.109375" hidden="1" customWidth="1"/>
    <col min="44" max="44" width="13.109375" customWidth="1"/>
    <col min="45" max="45" width="13.109375" hidden="1" customWidth="1"/>
    <col min="46" max="46" width="13.109375" customWidth="1"/>
    <col min="47" max="47" width="13.109375" hidden="1" customWidth="1"/>
    <col min="48" max="48" width="13.109375" customWidth="1"/>
    <col min="49" max="49" width="13.109375" hidden="1" customWidth="1"/>
    <col min="50" max="52" width="13.109375" customWidth="1"/>
    <col min="53" max="53" width="9.6640625" customWidth="1"/>
    <col min="54" max="54" width="9.6640625" hidden="1" customWidth="1"/>
    <col min="55" max="57" width="13.109375" customWidth="1"/>
    <col min="58" max="58" width="13.109375" hidden="1" customWidth="1"/>
    <col min="59" max="59" width="13.109375" customWidth="1"/>
    <col min="60" max="60" width="13.109375" hidden="1" customWidth="1"/>
    <col min="61" max="61" width="13.109375" customWidth="1"/>
    <col min="62" max="62" width="13.109375" hidden="1" customWidth="1"/>
    <col min="63" max="63" width="13.109375" customWidth="1"/>
    <col min="64" max="64" width="13.109375" hidden="1" customWidth="1"/>
    <col min="65" max="65" width="13.109375" customWidth="1"/>
    <col min="66" max="66" width="13.109375" hidden="1" customWidth="1"/>
    <col min="67" max="69" width="13.109375" customWidth="1"/>
    <col min="70" max="70" width="9.6640625" customWidth="1"/>
    <col min="71" max="71" width="9.6640625" hidden="1" customWidth="1"/>
    <col min="72" max="74" width="13.109375" customWidth="1"/>
    <col min="75" max="75" width="13.109375" hidden="1" customWidth="1"/>
    <col min="76" max="76" width="13.109375" customWidth="1"/>
    <col min="77" max="77" width="13.109375" hidden="1" customWidth="1"/>
    <col min="78" max="78" width="13.109375" customWidth="1"/>
    <col min="79" max="79" width="13.109375" hidden="1" customWidth="1"/>
    <col min="80" max="80" width="13.109375" customWidth="1"/>
    <col min="81" max="81" width="13.109375" hidden="1" customWidth="1"/>
    <col min="82" max="82" width="13.109375" customWidth="1"/>
    <col min="83" max="83" width="13.109375" hidden="1" customWidth="1"/>
    <col min="84" max="86" width="13.109375" customWidth="1"/>
    <col min="87" max="87" width="9.6640625" customWidth="1"/>
    <col min="88" max="88" width="9.6640625" hidden="1" customWidth="1"/>
    <col min="89" max="91" width="13.109375" customWidth="1"/>
    <col min="92" max="92" width="13.109375" hidden="1" customWidth="1"/>
    <col min="93" max="93" width="13.109375" customWidth="1"/>
    <col min="94" max="94" width="13.109375" hidden="1" customWidth="1"/>
    <col min="95" max="95" width="13.109375" customWidth="1"/>
    <col min="96" max="96" width="13.109375" hidden="1" customWidth="1"/>
    <col min="97" max="97" width="13.109375" customWidth="1"/>
    <col min="98" max="98" width="13.109375" hidden="1" customWidth="1"/>
    <col min="99" max="99" width="13.109375" customWidth="1"/>
    <col min="100" max="100" width="13.109375" hidden="1" customWidth="1"/>
    <col min="101" max="103" width="13.109375" customWidth="1"/>
    <col min="104" max="104" width="9.6640625" customWidth="1"/>
    <col min="105" max="105" width="9.6640625" hidden="1" customWidth="1"/>
    <col min="106" max="108" width="13.109375" customWidth="1"/>
    <col min="109" max="109" width="13.109375" hidden="1" customWidth="1"/>
    <col min="110" max="110" width="13.109375" customWidth="1"/>
    <col min="111" max="111" width="13.109375" hidden="1" customWidth="1"/>
    <col min="112" max="112" width="13.109375" customWidth="1"/>
    <col min="113" max="113" width="13.109375" hidden="1" customWidth="1"/>
    <col min="114" max="114" width="13.109375" customWidth="1"/>
    <col min="115" max="115" width="13.109375" hidden="1" customWidth="1"/>
    <col min="116" max="116" width="13.109375" customWidth="1"/>
    <col min="117" max="117" width="13.109375" hidden="1" customWidth="1"/>
    <col min="118" max="120" width="13.109375" customWidth="1"/>
    <col min="121" max="121" width="9.6640625" customWidth="1"/>
    <col min="122" max="122" width="9.6640625" hidden="1" customWidth="1"/>
    <col min="123" max="125" width="13.109375" customWidth="1"/>
    <col min="126" max="126" width="13.109375" hidden="1" customWidth="1"/>
    <col min="127" max="127" width="13.109375" customWidth="1"/>
    <col min="128" max="128" width="13.109375" hidden="1" customWidth="1"/>
    <col min="129" max="129" width="13.109375" customWidth="1"/>
    <col min="130" max="130" width="13.109375" hidden="1" customWidth="1"/>
    <col min="131" max="131" width="13.109375" customWidth="1"/>
    <col min="132" max="132" width="13.109375" hidden="1" customWidth="1"/>
    <col min="133" max="133" width="13.109375" customWidth="1"/>
    <col min="134" max="134" width="13.109375" hidden="1" customWidth="1"/>
    <col min="135" max="137" width="13.109375" customWidth="1"/>
    <col min="138" max="138" width="9.6640625" customWidth="1"/>
    <col min="139" max="139" width="9.6640625" hidden="1" customWidth="1"/>
    <col min="140" max="142" width="13.109375" customWidth="1"/>
    <col min="143" max="143" width="13.109375" hidden="1" customWidth="1"/>
    <col min="144" max="144" width="13.109375" customWidth="1"/>
    <col min="145" max="145" width="13.109375" hidden="1" customWidth="1"/>
    <col min="146" max="146" width="13.109375" customWidth="1"/>
    <col min="147" max="147" width="13.109375" hidden="1" customWidth="1"/>
    <col min="148" max="148" width="13.109375" customWidth="1"/>
    <col min="149" max="149" width="13.109375" hidden="1" customWidth="1"/>
    <col min="150" max="150" width="13.109375" customWidth="1"/>
    <col min="151" max="151" width="13.109375" hidden="1" customWidth="1"/>
    <col min="152" max="154" width="13.109375" customWidth="1"/>
    <col min="155" max="155" width="9.6640625" customWidth="1"/>
    <col min="156" max="156" width="9.6640625" hidden="1" customWidth="1"/>
    <col min="157" max="159" width="13.109375" customWidth="1"/>
    <col min="160" max="160" width="13.109375" hidden="1" customWidth="1"/>
    <col min="161" max="161" width="13.109375" customWidth="1"/>
    <col min="162" max="162" width="13.109375" hidden="1" customWidth="1"/>
    <col min="163" max="163" width="13.109375" customWidth="1"/>
    <col min="164" max="164" width="13.109375" hidden="1" customWidth="1"/>
    <col min="165" max="165" width="13.109375" customWidth="1"/>
    <col min="166" max="166" width="13.109375" hidden="1" customWidth="1"/>
    <col min="167" max="167" width="13.109375" customWidth="1"/>
    <col min="168" max="168" width="13.109375" hidden="1" customWidth="1"/>
    <col min="169" max="171" width="13.109375" customWidth="1"/>
    <col min="172" max="172" width="9.6640625" customWidth="1"/>
    <col min="173" max="173" width="9.6640625" hidden="1" customWidth="1"/>
    <col min="174" max="175" width="13.109375" customWidth="1"/>
  </cols>
  <sheetData>
    <row r="1" spans="1:175" ht="27.75" customHeight="1" x14ac:dyDescent="0.3">
      <c r="A1" s="1063" t="str">
        <f>Grunddaten!A1 &amp; "   " &amp; Grunddaten!A2</f>
        <v>Gemeinde A   Abwasserbeseitigungseinrichtung</v>
      </c>
      <c r="B1" s="1063"/>
      <c r="C1" s="1063"/>
      <c r="D1" s="1063"/>
      <c r="E1" s="1063"/>
      <c r="F1" s="1063"/>
      <c r="G1" s="1063"/>
      <c r="H1" s="1063"/>
      <c r="I1" s="1063"/>
      <c r="J1" s="1064"/>
      <c r="K1" s="1065" t="s">
        <v>144</v>
      </c>
      <c r="L1" s="1067" t="s">
        <v>145</v>
      </c>
      <c r="M1" s="1068"/>
      <c r="N1" s="1069" t="s">
        <v>146</v>
      </c>
      <c r="O1" s="1070"/>
      <c r="P1" s="1070"/>
      <c r="Q1" s="1070"/>
      <c r="R1" s="1070"/>
      <c r="S1" s="1070"/>
      <c r="T1" s="1070"/>
      <c r="U1" s="1070"/>
      <c r="V1" s="1071"/>
      <c r="W1" s="1052" t="str">
        <f>"Berechnungen für das Jahr "&amp;AC4</f>
        <v>Berechnungen für das Jahr 2012</v>
      </c>
      <c r="X1" s="1053"/>
      <c r="Y1" s="1053"/>
      <c r="Z1" s="1053"/>
      <c r="AA1" s="1053"/>
      <c r="AB1" s="1053"/>
      <c r="AC1" s="1053"/>
      <c r="AD1" s="1053"/>
      <c r="AE1" s="1053"/>
      <c r="AF1" s="1053"/>
      <c r="AG1" s="1053"/>
      <c r="AH1" s="1053"/>
      <c r="AI1" s="1053"/>
      <c r="AJ1" s="1053"/>
      <c r="AK1" s="1053"/>
      <c r="AL1" s="1053"/>
      <c r="AM1" s="1054"/>
      <c r="AN1" s="1052" t="str">
        <f t="shared" ref="AN1" si="0">"Berechnungen für das Jahr "&amp;AT4</f>
        <v>Berechnungen für das Jahr 2013</v>
      </c>
      <c r="AO1" s="1053"/>
      <c r="AP1" s="1053"/>
      <c r="AQ1" s="1053"/>
      <c r="AR1" s="1053"/>
      <c r="AS1" s="1053"/>
      <c r="AT1" s="1053"/>
      <c r="AU1" s="1053"/>
      <c r="AV1" s="1053"/>
      <c r="AW1" s="1053"/>
      <c r="AX1" s="1053"/>
      <c r="AY1" s="1053"/>
      <c r="AZ1" s="1053"/>
      <c r="BA1" s="1053"/>
      <c r="BB1" s="1053"/>
      <c r="BC1" s="1053"/>
      <c r="BD1" s="1054"/>
      <c r="BE1" s="1052" t="str">
        <f t="shared" ref="BE1" si="1">"Berechnungen für das Jahr "&amp;BK4</f>
        <v>Berechnungen für das Jahr 2014</v>
      </c>
      <c r="BF1" s="1053"/>
      <c r="BG1" s="1053"/>
      <c r="BH1" s="1053"/>
      <c r="BI1" s="1053"/>
      <c r="BJ1" s="1053"/>
      <c r="BK1" s="1053"/>
      <c r="BL1" s="1053"/>
      <c r="BM1" s="1053"/>
      <c r="BN1" s="1053"/>
      <c r="BO1" s="1053"/>
      <c r="BP1" s="1053"/>
      <c r="BQ1" s="1053"/>
      <c r="BR1" s="1053"/>
      <c r="BS1" s="1053"/>
      <c r="BT1" s="1053"/>
      <c r="BU1" s="1054"/>
      <c r="BV1" s="1052" t="str">
        <f t="shared" ref="BV1" si="2">"Berechnungen für das Jahr "&amp;CB4</f>
        <v>Berechnungen für das Jahr 2015</v>
      </c>
      <c r="BW1" s="1053"/>
      <c r="BX1" s="1053"/>
      <c r="BY1" s="1053"/>
      <c r="BZ1" s="1053"/>
      <c r="CA1" s="1053"/>
      <c r="CB1" s="1053"/>
      <c r="CC1" s="1053"/>
      <c r="CD1" s="1053"/>
      <c r="CE1" s="1053"/>
      <c r="CF1" s="1053"/>
      <c r="CG1" s="1053"/>
      <c r="CH1" s="1053"/>
      <c r="CI1" s="1053"/>
      <c r="CJ1" s="1053"/>
      <c r="CK1" s="1053"/>
      <c r="CL1" s="1054"/>
      <c r="CM1" s="1052" t="str">
        <f t="shared" ref="CM1" si="3">"Berechnungen für das Jahr "&amp;CS4</f>
        <v>Berechnungen für das Jahr 2016</v>
      </c>
      <c r="CN1" s="1053"/>
      <c r="CO1" s="1053"/>
      <c r="CP1" s="1053"/>
      <c r="CQ1" s="1053"/>
      <c r="CR1" s="1053"/>
      <c r="CS1" s="1053"/>
      <c r="CT1" s="1053"/>
      <c r="CU1" s="1053"/>
      <c r="CV1" s="1053"/>
      <c r="CW1" s="1053"/>
      <c r="CX1" s="1053"/>
      <c r="CY1" s="1053"/>
      <c r="CZ1" s="1053"/>
      <c r="DA1" s="1053"/>
      <c r="DB1" s="1053"/>
      <c r="DC1" s="1054"/>
      <c r="DD1" s="1052" t="str">
        <f t="shared" ref="DD1" si="4">"Berechnungen für das Jahr "&amp;DJ4</f>
        <v>Berechnungen für das Jahr 2017</v>
      </c>
      <c r="DE1" s="1053"/>
      <c r="DF1" s="1053"/>
      <c r="DG1" s="1053"/>
      <c r="DH1" s="1053"/>
      <c r="DI1" s="1053"/>
      <c r="DJ1" s="1053"/>
      <c r="DK1" s="1053"/>
      <c r="DL1" s="1053"/>
      <c r="DM1" s="1053"/>
      <c r="DN1" s="1053"/>
      <c r="DO1" s="1053"/>
      <c r="DP1" s="1053"/>
      <c r="DQ1" s="1053"/>
      <c r="DR1" s="1053"/>
      <c r="DS1" s="1053"/>
      <c r="DT1" s="1054"/>
      <c r="DU1" s="1052" t="str">
        <f t="shared" ref="DU1" si="5">"Berechnungen für das Jahr "&amp;EA4</f>
        <v>Berechnungen für das Jahr 2018</v>
      </c>
      <c r="DV1" s="1053"/>
      <c r="DW1" s="1053"/>
      <c r="DX1" s="1053"/>
      <c r="DY1" s="1053"/>
      <c r="DZ1" s="1053"/>
      <c r="EA1" s="1053"/>
      <c r="EB1" s="1053"/>
      <c r="EC1" s="1053"/>
      <c r="ED1" s="1053"/>
      <c r="EE1" s="1053"/>
      <c r="EF1" s="1053"/>
      <c r="EG1" s="1053"/>
      <c r="EH1" s="1053"/>
      <c r="EI1" s="1053"/>
      <c r="EJ1" s="1053"/>
      <c r="EK1" s="1054"/>
      <c r="EL1" s="1052" t="str">
        <f t="shared" ref="EL1" si="6">"Berechnungen für das Jahr "&amp;ER4</f>
        <v>Berechnungen für das Jahr 2019</v>
      </c>
      <c r="EM1" s="1053"/>
      <c r="EN1" s="1053"/>
      <c r="EO1" s="1053"/>
      <c r="EP1" s="1053"/>
      <c r="EQ1" s="1053"/>
      <c r="ER1" s="1053"/>
      <c r="ES1" s="1053"/>
      <c r="ET1" s="1053"/>
      <c r="EU1" s="1053"/>
      <c r="EV1" s="1053"/>
      <c r="EW1" s="1053"/>
      <c r="EX1" s="1053"/>
      <c r="EY1" s="1053"/>
      <c r="EZ1" s="1053"/>
      <c r="FA1" s="1053"/>
      <c r="FB1" s="1054"/>
      <c r="FC1" s="1052" t="str">
        <f t="shared" ref="FC1" si="7">"Berechnungen für das Jahr "&amp;FI4</f>
        <v>Berechnungen für das Jahr 2020</v>
      </c>
      <c r="FD1" s="1053"/>
      <c r="FE1" s="1053"/>
      <c r="FF1" s="1053"/>
      <c r="FG1" s="1053"/>
      <c r="FH1" s="1053"/>
      <c r="FI1" s="1053"/>
      <c r="FJ1" s="1053"/>
      <c r="FK1" s="1053"/>
      <c r="FL1" s="1053"/>
      <c r="FM1" s="1053"/>
      <c r="FN1" s="1053"/>
      <c r="FO1" s="1053"/>
      <c r="FP1" s="1053"/>
      <c r="FQ1" s="1053"/>
      <c r="FR1" s="1053"/>
      <c r="FS1" s="1054"/>
    </row>
    <row r="2" spans="1:175" ht="45" customHeight="1" x14ac:dyDescent="0.3">
      <c r="A2" s="1072" t="s">
        <v>444</v>
      </c>
      <c r="B2" s="1072"/>
      <c r="C2" s="1072"/>
      <c r="D2" s="1072"/>
      <c r="E2" s="1072"/>
      <c r="F2" s="1072"/>
      <c r="G2" s="1072"/>
      <c r="H2" s="1072"/>
      <c r="I2" s="1072"/>
      <c r="J2" s="1073"/>
      <c r="K2" s="1065"/>
      <c r="L2" s="1074" t="s">
        <v>147</v>
      </c>
      <c r="M2" s="1076" t="s">
        <v>148</v>
      </c>
      <c r="N2" s="1078" t="s">
        <v>167</v>
      </c>
      <c r="O2" s="39"/>
      <c r="P2" s="1080" t="s">
        <v>169</v>
      </c>
      <c r="Q2" s="40"/>
      <c r="R2" s="40"/>
      <c r="S2" s="40"/>
      <c r="T2" s="40"/>
      <c r="U2" s="41"/>
      <c r="V2" s="1061" t="s">
        <v>149</v>
      </c>
      <c r="W2" s="1050" t="s">
        <v>150</v>
      </c>
      <c r="X2" s="1048"/>
      <c r="Y2" s="1048"/>
      <c r="Z2" s="1048"/>
      <c r="AA2" s="1048"/>
      <c r="AB2" s="1048"/>
      <c r="AC2" s="1048"/>
      <c r="AD2" s="1048"/>
      <c r="AE2" s="1048"/>
      <c r="AF2" s="1048"/>
      <c r="AG2" s="1051"/>
      <c r="AH2" s="1047" t="s">
        <v>151</v>
      </c>
      <c r="AI2" s="1051"/>
      <c r="AJ2" s="1047" t="s">
        <v>152</v>
      </c>
      <c r="AK2" s="1048"/>
      <c r="AL2" s="1048"/>
      <c r="AM2" s="1049"/>
      <c r="AN2" s="1050" t="s">
        <v>150</v>
      </c>
      <c r="AO2" s="1048"/>
      <c r="AP2" s="1048"/>
      <c r="AQ2" s="1048"/>
      <c r="AR2" s="1048"/>
      <c r="AS2" s="1048"/>
      <c r="AT2" s="1048"/>
      <c r="AU2" s="1048"/>
      <c r="AV2" s="1048"/>
      <c r="AW2" s="1048"/>
      <c r="AX2" s="1051"/>
      <c r="AY2" s="1047" t="s">
        <v>151</v>
      </c>
      <c r="AZ2" s="1051"/>
      <c r="BA2" s="1047" t="s">
        <v>152</v>
      </c>
      <c r="BB2" s="1048"/>
      <c r="BC2" s="1048"/>
      <c r="BD2" s="1049"/>
      <c r="BE2" s="1050" t="s">
        <v>150</v>
      </c>
      <c r="BF2" s="1048"/>
      <c r="BG2" s="1048"/>
      <c r="BH2" s="1048"/>
      <c r="BI2" s="1048"/>
      <c r="BJ2" s="1048"/>
      <c r="BK2" s="1048"/>
      <c r="BL2" s="1048"/>
      <c r="BM2" s="1048"/>
      <c r="BN2" s="1048"/>
      <c r="BO2" s="1051"/>
      <c r="BP2" s="1047" t="s">
        <v>151</v>
      </c>
      <c r="BQ2" s="1051"/>
      <c r="BR2" s="1047" t="s">
        <v>152</v>
      </c>
      <c r="BS2" s="1048"/>
      <c r="BT2" s="1048"/>
      <c r="BU2" s="1049"/>
      <c r="BV2" s="1050" t="s">
        <v>150</v>
      </c>
      <c r="BW2" s="1048"/>
      <c r="BX2" s="1048"/>
      <c r="BY2" s="1048"/>
      <c r="BZ2" s="1048"/>
      <c r="CA2" s="1048"/>
      <c r="CB2" s="1048"/>
      <c r="CC2" s="1048"/>
      <c r="CD2" s="1048"/>
      <c r="CE2" s="1048"/>
      <c r="CF2" s="1051"/>
      <c r="CG2" s="1047" t="s">
        <v>151</v>
      </c>
      <c r="CH2" s="1051"/>
      <c r="CI2" s="1047" t="s">
        <v>152</v>
      </c>
      <c r="CJ2" s="1048"/>
      <c r="CK2" s="1048"/>
      <c r="CL2" s="1049"/>
      <c r="CM2" s="1050" t="s">
        <v>150</v>
      </c>
      <c r="CN2" s="1048"/>
      <c r="CO2" s="1048"/>
      <c r="CP2" s="1048"/>
      <c r="CQ2" s="1048"/>
      <c r="CR2" s="1048"/>
      <c r="CS2" s="1048"/>
      <c r="CT2" s="1048"/>
      <c r="CU2" s="1048"/>
      <c r="CV2" s="1048"/>
      <c r="CW2" s="1051"/>
      <c r="CX2" s="1047" t="s">
        <v>151</v>
      </c>
      <c r="CY2" s="1051"/>
      <c r="CZ2" s="1047" t="s">
        <v>152</v>
      </c>
      <c r="DA2" s="1048"/>
      <c r="DB2" s="1048"/>
      <c r="DC2" s="1049"/>
      <c r="DD2" s="1050" t="s">
        <v>150</v>
      </c>
      <c r="DE2" s="1048"/>
      <c r="DF2" s="1048"/>
      <c r="DG2" s="1048"/>
      <c r="DH2" s="1048"/>
      <c r="DI2" s="1048"/>
      <c r="DJ2" s="1048"/>
      <c r="DK2" s="1048"/>
      <c r="DL2" s="1048"/>
      <c r="DM2" s="1048"/>
      <c r="DN2" s="1051"/>
      <c r="DO2" s="1047" t="s">
        <v>151</v>
      </c>
      <c r="DP2" s="1051"/>
      <c r="DQ2" s="1047" t="s">
        <v>152</v>
      </c>
      <c r="DR2" s="1048"/>
      <c r="DS2" s="1048"/>
      <c r="DT2" s="1049"/>
      <c r="DU2" s="1050" t="s">
        <v>150</v>
      </c>
      <c r="DV2" s="1048"/>
      <c r="DW2" s="1048"/>
      <c r="DX2" s="1048"/>
      <c r="DY2" s="1048"/>
      <c r="DZ2" s="1048"/>
      <c r="EA2" s="1048"/>
      <c r="EB2" s="1048"/>
      <c r="EC2" s="1048"/>
      <c r="ED2" s="1048"/>
      <c r="EE2" s="1051"/>
      <c r="EF2" s="1047" t="s">
        <v>151</v>
      </c>
      <c r="EG2" s="1051"/>
      <c r="EH2" s="1047" t="s">
        <v>152</v>
      </c>
      <c r="EI2" s="1048"/>
      <c r="EJ2" s="1048"/>
      <c r="EK2" s="1049"/>
      <c r="EL2" s="1050" t="s">
        <v>150</v>
      </c>
      <c r="EM2" s="1048"/>
      <c r="EN2" s="1048"/>
      <c r="EO2" s="1048"/>
      <c r="EP2" s="1048"/>
      <c r="EQ2" s="1048"/>
      <c r="ER2" s="1048"/>
      <c r="ES2" s="1048"/>
      <c r="ET2" s="1048"/>
      <c r="EU2" s="1048"/>
      <c r="EV2" s="1051"/>
      <c r="EW2" s="1047" t="s">
        <v>151</v>
      </c>
      <c r="EX2" s="1051"/>
      <c r="EY2" s="1047" t="s">
        <v>152</v>
      </c>
      <c r="EZ2" s="1048"/>
      <c r="FA2" s="1048"/>
      <c r="FB2" s="1049"/>
      <c r="FC2" s="1050" t="s">
        <v>150</v>
      </c>
      <c r="FD2" s="1048"/>
      <c r="FE2" s="1048"/>
      <c r="FF2" s="1048"/>
      <c r="FG2" s="1048"/>
      <c r="FH2" s="1048"/>
      <c r="FI2" s="1048"/>
      <c r="FJ2" s="1048"/>
      <c r="FK2" s="1048"/>
      <c r="FL2" s="1048"/>
      <c r="FM2" s="1051"/>
      <c r="FN2" s="1047" t="s">
        <v>151</v>
      </c>
      <c r="FO2" s="1051"/>
      <c r="FP2" s="1047" t="s">
        <v>152</v>
      </c>
      <c r="FQ2" s="1048"/>
      <c r="FR2" s="1048"/>
      <c r="FS2" s="1049"/>
    </row>
    <row r="3" spans="1:175" ht="90" customHeight="1" x14ac:dyDescent="0.3">
      <c r="A3" s="1055" t="s">
        <v>153</v>
      </c>
      <c r="B3" s="1055" t="s">
        <v>154</v>
      </c>
      <c r="C3" s="1055" t="s">
        <v>155</v>
      </c>
      <c r="D3" s="1082" t="s">
        <v>156</v>
      </c>
      <c r="E3" s="1055" t="s">
        <v>157</v>
      </c>
      <c r="F3" s="1055" t="s">
        <v>178</v>
      </c>
      <c r="G3" s="688" t="s">
        <v>987</v>
      </c>
      <c r="H3" s="688" t="s">
        <v>988</v>
      </c>
      <c r="I3" s="1057" t="s">
        <v>158</v>
      </c>
      <c r="J3" s="1059" t="s">
        <v>989</v>
      </c>
      <c r="K3" s="1065"/>
      <c r="L3" s="1074"/>
      <c r="M3" s="1076"/>
      <c r="N3" s="1079"/>
      <c r="O3" s="40" t="s">
        <v>159</v>
      </c>
      <c r="P3" s="1081"/>
      <c r="Q3" s="40" t="s">
        <v>159</v>
      </c>
      <c r="R3" s="40" t="s">
        <v>159</v>
      </c>
      <c r="S3" s="40" t="s">
        <v>159</v>
      </c>
      <c r="T3" s="40" t="s">
        <v>159</v>
      </c>
      <c r="U3" s="40" t="s">
        <v>159</v>
      </c>
      <c r="V3" s="1062"/>
      <c r="W3" s="42" t="s">
        <v>160</v>
      </c>
      <c r="X3" s="43" t="s">
        <v>161</v>
      </c>
      <c r="Y3" s="44" t="s">
        <v>162</v>
      </c>
      <c r="Z3" s="43" t="s">
        <v>163</v>
      </c>
      <c r="AA3" s="45" t="s">
        <v>149</v>
      </c>
      <c r="AB3" s="46" t="s">
        <v>164</v>
      </c>
      <c r="AC3" s="43" t="s">
        <v>165</v>
      </c>
      <c r="AD3" s="43" t="s">
        <v>166</v>
      </c>
      <c r="AE3" s="44" t="s">
        <v>167</v>
      </c>
      <c r="AF3" s="43" t="s">
        <v>168</v>
      </c>
      <c r="AG3" s="43" t="s">
        <v>169</v>
      </c>
      <c r="AH3" s="43" t="s">
        <v>170</v>
      </c>
      <c r="AI3" s="44" t="s">
        <v>171</v>
      </c>
      <c r="AJ3" s="43" t="s">
        <v>172</v>
      </c>
      <c r="AK3" s="43" t="s">
        <v>173</v>
      </c>
      <c r="AL3" s="44" t="s">
        <v>174</v>
      </c>
      <c r="AM3" s="47" t="s">
        <v>542</v>
      </c>
      <c r="AN3" s="42" t="s">
        <v>160</v>
      </c>
      <c r="AO3" s="43" t="s">
        <v>161</v>
      </c>
      <c r="AP3" s="44" t="s">
        <v>162</v>
      </c>
      <c r="AQ3" s="43" t="s">
        <v>163</v>
      </c>
      <c r="AR3" s="45" t="s">
        <v>149</v>
      </c>
      <c r="AS3" s="46" t="s">
        <v>164</v>
      </c>
      <c r="AT3" s="43" t="s">
        <v>165</v>
      </c>
      <c r="AU3" s="43" t="s">
        <v>166</v>
      </c>
      <c r="AV3" s="44" t="s">
        <v>167</v>
      </c>
      <c r="AW3" s="43" t="s">
        <v>168</v>
      </c>
      <c r="AX3" s="43" t="s">
        <v>169</v>
      </c>
      <c r="AY3" s="43" t="s">
        <v>170</v>
      </c>
      <c r="AZ3" s="44" t="s">
        <v>171</v>
      </c>
      <c r="BA3" s="43" t="s">
        <v>172</v>
      </c>
      <c r="BB3" s="43" t="s">
        <v>173</v>
      </c>
      <c r="BC3" s="44" t="s">
        <v>174</v>
      </c>
      <c r="BD3" s="47" t="s">
        <v>542</v>
      </c>
      <c r="BE3" s="42" t="s">
        <v>160</v>
      </c>
      <c r="BF3" s="43" t="s">
        <v>161</v>
      </c>
      <c r="BG3" s="44" t="s">
        <v>162</v>
      </c>
      <c r="BH3" s="43" t="s">
        <v>163</v>
      </c>
      <c r="BI3" s="45" t="s">
        <v>149</v>
      </c>
      <c r="BJ3" s="46" t="s">
        <v>164</v>
      </c>
      <c r="BK3" s="43" t="s">
        <v>165</v>
      </c>
      <c r="BL3" s="43" t="s">
        <v>166</v>
      </c>
      <c r="BM3" s="44" t="s">
        <v>167</v>
      </c>
      <c r="BN3" s="43" t="s">
        <v>168</v>
      </c>
      <c r="BO3" s="43" t="s">
        <v>169</v>
      </c>
      <c r="BP3" s="43" t="s">
        <v>170</v>
      </c>
      <c r="BQ3" s="44" t="s">
        <v>171</v>
      </c>
      <c r="BR3" s="43" t="s">
        <v>172</v>
      </c>
      <c r="BS3" s="43" t="s">
        <v>173</v>
      </c>
      <c r="BT3" s="44" t="s">
        <v>174</v>
      </c>
      <c r="BU3" s="47" t="s">
        <v>542</v>
      </c>
      <c r="BV3" s="42" t="s">
        <v>160</v>
      </c>
      <c r="BW3" s="43" t="s">
        <v>161</v>
      </c>
      <c r="BX3" s="44" t="s">
        <v>162</v>
      </c>
      <c r="BY3" s="43" t="s">
        <v>163</v>
      </c>
      <c r="BZ3" s="45" t="s">
        <v>149</v>
      </c>
      <c r="CA3" s="46" t="s">
        <v>164</v>
      </c>
      <c r="CB3" s="43" t="s">
        <v>165</v>
      </c>
      <c r="CC3" s="43" t="s">
        <v>166</v>
      </c>
      <c r="CD3" s="44" t="s">
        <v>167</v>
      </c>
      <c r="CE3" s="43" t="s">
        <v>168</v>
      </c>
      <c r="CF3" s="43" t="s">
        <v>169</v>
      </c>
      <c r="CG3" s="43" t="s">
        <v>170</v>
      </c>
      <c r="CH3" s="44" t="s">
        <v>171</v>
      </c>
      <c r="CI3" s="43" t="s">
        <v>172</v>
      </c>
      <c r="CJ3" s="43" t="s">
        <v>173</v>
      </c>
      <c r="CK3" s="44" t="s">
        <v>174</v>
      </c>
      <c r="CL3" s="47" t="s">
        <v>542</v>
      </c>
      <c r="CM3" s="42" t="s">
        <v>160</v>
      </c>
      <c r="CN3" s="43" t="s">
        <v>161</v>
      </c>
      <c r="CO3" s="44" t="s">
        <v>162</v>
      </c>
      <c r="CP3" s="43" t="s">
        <v>163</v>
      </c>
      <c r="CQ3" s="45" t="s">
        <v>149</v>
      </c>
      <c r="CR3" s="46" t="s">
        <v>164</v>
      </c>
      <c r="CS3" s="43" t="s">
        <v>165</v>
      </c>
      <c r="CT3" s="43" t="s">
        <v>166</v>
      </c>
      <c r="CU3" s="44" t="s">
        <v>167</v>
      </c>
      <c r="CV3" s="43" t="s">
        <v>168</v>
      </c>
      <c r="CW3" s="43" t="s">
        <v>169</v>
      </c>
      <c r="CX3" s="43" t="s">
        <v>170</v>
      </c>
      <c r="CY3" s="44" t="s">
        <v>171</v>
      </c>
      <c r="CZ3" s="43" t="s">
        <v>172</v>
      </c>
      <c r="DA3" s="43" t="s">
        <v>173</v>
      </c>
      <c r="DB3" s="44" t="s">
        <v>174</v>
      </c>
      <c r="DC3" s="47" t="s">
        <v>542</v>
      </c>
      <c r="DD3" s="42" t="s">
        <v>160</v>
      </c>
      <c r="DE3" s="43" t="s">
        <v>161</v>
      </c>
      <c r="DF3" s="44" t="s">
        <v>162</v>
      </c>
      <c r="DG3" s="43" t="s">
        <v>163</v>
      </c>
      <c r="DH3" s="45" t="s">
        <v>149</v>
      </c>
      <c r="DI3" s="46" t="s">
        <v>164</v>
      </c>
      <c r="DJ3" s="43" t="s">
        <v>165</v>
      </c>
      <c r="DK3" s="43" t="s">
        <v>166</v>
      </c>
      <c r="DL3" s="44" t="s">
        <v>167</v>
      </c>
      <c r="DM3" s="43" t="s">
        <v>168</v>
      </c>
      <c r="DN3" s="43" t="s">
        <v>169</v>
      </c>
      <c r="DO3" s="43" t="s">
        <v>170</v>
      </c>
      <c r="DP3" s="44" t="s">
        <v>171</v>
      </c>
      <c r="DQ3" s="43" t="s">
        <v>172</v>
      </c>
      <c r="DR3" s="43" t="s">
        <v>173</v>
      </c>
      <c r="DS3" s="44" t="s">
        <v>174</v>
      </c>
      <c r="DT3" s="47" t="s">
        <v>542</v>
      </c>
      <c r="DU3" s="42" t="s">
        <v>160</v>
      </c>
      <c r="DV3" s="43" t="s">
        <v>161</v>
      </c>
      <c r="DW3" s="44" t="s">
        <v>162</v>
      </c>
      <c r="DX3" s="43" t="s">
        <v>163</v>
      </c>
      <c r="DY3" s="45" t="s">
        <v>149</v>
      </c>
      <c r="DZ3" s="46" t="s">
        <v>164</v>
      </c>
      <c r="EA3" s="43" t="s">
        <v>165</v>
      </c>
      <c r="EB3" s="43" t="s">
        <v>166</v>
      </c>
      <c r="EC3" s="44" t="s">
        <v>167</v>
      </c>
      <c r="ED3" s="43" t="s">
        <v>168</v>
      </c>
      <c r="EE3" s="43" t="s">
        <v>169</v>
      </c>
      <c r="EF3" s="43" t="s">
        <v>170</v>
      </c>
      <c r="EG3" s="44" t="s">
        <v>171</v>
      </c>
      <c r="EH3" s="43" t="s">
        <v>172</v>
      </c>
      <c r="EI3" s="43" t="s">
        <v>173</v>
      </c>
      <c r="EJ3" s="44" t="s">
        <v>174</v>
      </c>
      <c r="EK3" s="47" t="s">
        <v>542</v>
      </c>
      <c r="EL3" s="42" t="s">
        <v>160</v>
      </c>
      <c r="EM3" s="43" t="s">
        <v>161</v>
      </c>
      <c r="EN3" s="44" t="s">
        <v>162</v>
      </c>
      <c r="EO3" s="43" t="s">
        <v>163</v>
      </c>
      <c r="EP3" s="45" t="s">
        <v>149</v>
      </c>
      <c r="EQ3" s="46" t="s">
        <v>164</v>
      </c>
      <c r="ER3" s="43" t="s">
        <v>165</v>
      </c>
      <c r="ES3" s="43" t="s">
        <v>166</v>
      </c>
      <c r="ET3" s="44" t="s">
        <v>167</v>
      </c>
      <c r="EU3" s="43" t="s">
        <v>168</v>
      </c>
      <c r="EV3" s="43" t="s">
        <v>169</v>
      </c>
      <c r="EW3" s="43" t="s">
        <v>170</v>
      </c>
      <c r="EX3" s="44" t="s">
        <v>171</v>
      </c>
      <c r="EY3" s="43" t="s">
        <v>172</v>
      </c>
      <c r="EZ3" s="43" t="s">
        <v>173</v>
      </c>
      <c r="FA3" s="44" t="s">
        <v>174</v>
      </c>
      <c r="FB3" s="47" t="s">
        <v>542</v>
      </c>
      <c r="FC3" s="42" t="s">
        <v>160</v>
      </c>
      <c r="FD3" s="43" t="s">
        <v>161</v>
      </c>
      <c r="FE3" s="44" t="s">
        <v>162</v>
      </c>
      <c r="FF3" s="43" t="s">
        <v>163</v>
      </c>
      <c r="FG3" s="45" t="s">
        <v>149</v>
      </c>
      <c r="FH3" s="46" t="s">
        <v>164</v>
      </c>
      <c r="FI3" s="43" t="s">
        <v>165</v>
      </c>
      <c r="FJ3" s="43" t="s">
        <v>166</v>
      </c>
      <c r="FK3" s="44" t="s">
        <v>167</v>
      </c>
      <c r="FL3" s="43" t="s">
        <v>168</v>
      </c>
      <c r="FM3" s="43" t="s">
        <v>169</v>
      </c>
      <c r="FN3" s="43" t="s">
        <v>170</v>
      </c>
      <c r="FO3" s="44" t="s">
        <v>171</v>
      </c>
      <c r="FP3" s="43" t="s">
        <v>172</v>
      </c>
      <c r="FQ3" s="43" t="s">
        <v>173</v>
      </c>
      <c r="FR3" s="44" t="s">
        <v>174</v>
      </c>
      <c r="FS3" s="47" t="s">
        <v>542</v>
      </c>
    </row>
    <row r="4" spans="1:175" s="235" customFormat="1" x14ac:dyDescent="0.3">
      <c r="A4" s="1056"/>
      <c r="B4" s="1056"/>
      <c r="C4" s="1056"/>
      <c r="D4" s="1083"/>
      <c r="E4" s="1056"/>
      <c r="F4" s="1056"/>
      <c r="G4" s="689" t="s">
        <v>175</v>
      </c>
      <c r="H4" s="689" t="s">
        <v>176</v>
      </c>
      <c r="I4" s="1058"/>
      <c r="J4" s="1060"/>
      <c r="K4" s="1066"/>
      <c r="L4" s="1075"/>
      <c r="M4" s="1077"/>
      <c r="N4" s="226">
        <f>EOMONTH(Grunddaten!H6,-1)</f>
        <v>40908</v>
      </c>
      <c r="O4" s="227"/>
      <c r="P4" s="228">
        <f>N4</f>
        <v>40908</v>
      </c>
      <c r="Q4" s="228"/>
      <c r="R4" s="228"/>
      <c r="S4" s="228"/>
      <c r="T4" s="228"/>
      <c r="U4" s="228"/>
      <c r="V4" s="229">
        <f>N4</f>
        <v>40908</v>
      </c>
      <c r="W4" s="230">
        <f>AC4</f>
        <v>2012</v>
      </c>
      <c r="X4" s="231">
        <f>AC4</f>
        <v>2012</v>
      </c>
      <c r="Y4" s="231">
        <f>AC4</f>
        <v>2012</v>
      </c>
      <c r="Z4" s="231">
        <f>AC4</f>
        <v>2012</v>
      </c>
      <c r="AA4" s="232">
        <f>AE4</f>
        <v>41274</v>
      </c>
      <c r="AB4" s="232">
        <f>AA4</f>
        <v>41274</v>
      </c>
      <c r="AC4" s="231">
        <f>YEAR(AE4)</f>
        <v>2012</v>
      </c>
      <c r="AD4" s="231">
        <f>AC4</f>
        <v>2012</v>
      </c>
      <c r="AE4" s="233">
        <f>EOMONTH(N4,12)</f>
        <v>41274</v>
      </c>
      <c r="AF4" s="233">
        <f>AE4</f>
        <v>41274</v>
      </c>
      <c r="AG4" s="233">
        <f>AE4</f>
        <v>41274</v>
      </c>
      <c r="AH4" s="233">
        <f>AE4</f>
        <v>41274</v>
      </c>
      <c r="AI4" s="233">
        <f>AE4</f>
        <v>41274</v>
      </c>
      <c r="AJ4" s="231">
        <f>AC4</f>
        <v>2012</v>
      </c>
      <c r="AK4" s="231">
        <f>AC4</f>
        <v>2012</v>
      </c>
      <c r="AL4" s="231">
        <f>AC4</f>
        <v>2012</v>
      </c>
      <c r="AM4" s="234">
        <f>AC4</f>
        <v>2012</v>
      </c>
      <c r="AN4" s="230">
        <f t="shared" ref="AN4" si="8">AT4</f>
        <v>2013</v>
      </c>
      <c r="AO4" s="231">
        <f t="shared" ref="AO4" si="9">AT4</f>
        <v>2013</v>
      </c>
      <c r="AP4" s="231">
        <f t="shared" ref="AP4" si="10">AT4</f>
        <v>2013</v>
      </c>
      <c r="AQ4" s="231">
        <f t="shared" ref="AQ4" si="11">AT4</f>
        <v>2013</v>
      </c>
      <c r="AR4" s="232">
        <f t="shared" ref="AR4" si="12">AV4</f>
        <v>41639</v>
      </c>
      <c r="AS4" s="232">
        <f t="shared" ref="AS4" si="13">AR4</f>
        <v>41639</v>
      </c>
      <c r="AT4" s="231">
        <f t="shared" ref="AT4" si="14">YEAR(AV4)</f>
        <v>2013</v>
      </c>
      <c r="AU4" s="231">
        <f t="shared" ref="AU4" si="15">AT4</f>
        <v>2013</v>
      </c>
      <c r="AV4" s="233">
        <f t="shared" ref="AV4" si="16">EOMONTH(AE4,12)</f>
        <v>41639</v>
      </c>
      <c r="AW4" s="233">
        <f t="shared" ref="AW4" si="17">AV4</f>
        <v>41639</v>
      </c>
      <c r="AX4" s="233">
        <f t="shared" ref="AX4" si="18">AV4</f>
        <v>41639</v>
      </c>
      <c r="AY4" s="233">
        <f t="shared" ref="AY4" si="19">AV4</f>
        <v>41639</v>
      </c>
      <c r="AZ4" s="233">
        <f t="shared" ref="AZ4" si="20">AV4</f>
        <v>41639</v>
      </c>
      <c r="BA4" s="231">
        <f t="shared" ref="BA4" si="21">AT4</f>
        <v>2013</v>
      </c>
      <c r="BB4" s="231">
        <f t="shared" ref="BB4" si="22">AT4</f>
        <v>2013</v>
      </c>
      <c r="BC4" s="231">
        <f t="shared" ref="BC4" si="23">AT4</f>
        <v>2013</v>
      </c>
      <c r="BD4" s="234">
        <f t="shared" ref="BD4" si="24">AT4</f>
        <v>2013</v>
      </c>
      <c r="BE4" s="230">
        <f t="shared" ref="BE4" si="25">BK4</f>
        <v>2014</v>
      </c>
      <c r="BF4" s="231">
        <f t="shared" ref="BF4" si="26">BK4</f>
        <v>2014</v>
      </c>
      <c r="BG4" s="231">
        <f t="shared" ref="BG4" si="27">BK4</f>
        <v>2014</v>
      </c>
      <c r="BH4" s="231">
        <f t="shared" ref="BH4" si="28">BK4</f>
        <v>2014</v>
      </c>
      <c r="BI4" s="232">
        <f t="shared" ref="BI4" si="29">BM4</f>
        <v>42004</v>
      </c>
      <c r="BJ4" s="232">
        <f t="shared" ref="BJ4" si="30">BI4</f>
        <v>42004</v>
      </c>
      <c r="BK4" s="231">
        <f t="shared" ref="BK4" si="31">YEAR(BM4)</f>
        <v>2014</v>
      </c>
      <c r="BL4" s="231">
        <f t="shared" ref="BL4" si="32">BK4</f>
        <v>2014</v>
      </c>
      <c r="BM4" s="233">
        <f t="shared" ref="BM4" si="33">EOMONTH(AV4,12)</f>
        <v>42004</v>
      </c>
      <c r="BN4" s="233">
        <f t="shared" ref="BN4" si="34">BM4</f>
        <v>42004</v>
      </c>
      <c r="BO4" s="233">
        <f t="shared" ref="BO4" si="35">BM4</f>
        <v>42004</v>
      </c>
      <c r="BP4" s="233">
        <f t="shared" ref="BP4" si="36">BM4</f>
        <v>42004</v>
      </c>
      <c r="BQ4" s="233">
        <f t="shared" ref="BQ4" si="37">BM4</f>
        <v>42004</v>
      </c>
      <c r="BR4" s="231">
        <f t="shared" ref="BR4" si="38">BK4</f>
        <v>2014</v>
      </c>
      <c r="BS4" s="231">
        <f t="shared" ref="BS4" si="39">BK4</f>
        <v>2014</v>
      </c>
      <c r="BT4" s="231">
        <f t="shared" ref="BT4" si="40">BK4</f>
        <v>2014</v>
      </c>
      <c r="BU4" s="234">
        <f t="shared" ref="BU4" si="41">BK4</f>
        <v>2014</v>
      </c>
      <c r="BV4" s="230">
        <f t="shared" ref="BV4" si="42">CB4</f>
        <v>2015</v>
      </c>
      <c r="BW4" s="231">
        <f t="shared" ref="BW4" si="43">CB4</f>
        <v>2015</v>
      </c>
      <c r="BX4" s="231">
        <f t="shared" ref="BX4" si="44">CB4</f>
        <v>2015</v>
      </c>
      <c r="BY4" s="231">
        <f t="shared" ref="BY4" si="45">CB4</f>
        <v>2015</v>
      </c>
      <c r="BZ4" s="232">
        <f t="shared" ref="BZ4" si="46">CD4</f>
        <v>42369</v>
      </c>
      <c r="CA4" s="232">
        <f t="shared" ref="CA4" si="47">BZ4</f>
        <v>42369</v>
      </c>
      <c r="CB4" s="231">
        <f t="shared" ref="CB4" si="48">YEAR(CD4)</f>
        <v>2015</v>
      </c>
      <c r="CC4" s="231">
        <f t="shared" ref="CC4" si="49">CB4</f>
        <v>2015</v>
      </c>
      <c r="CD4" s="233">
        <f t="shared" ref="CD4" si="50">EOMONTH(BM4,12)</f>
        <v>42369</v>
      </c>
      <c r="CE4" s="233">
        <f t="shared" ref="CE4" si="51">CD4</f>
        <v>42369</v>
      </c>
      <c r="CF4" s="233">
        <f t="shared" ref="CF4" si="52">CD4</f>
        <v>42369</v>
      </c>
      <c r="CG4" s="233">
        <f t="shared" ref="CG4" si="53">CD4</f>
        <v>42369</v>
      </c>
      <c r="CH4" s="233">
        <f t="shared" ref="CH4" si="54">CD4</f>
        <v>42369</v>
      </c>
      <c r="CI4" s="231">
        <f t="shared" ref="CI4" si="55">CB4</f>
        <v>2015</v>
      </c>
      <c r="CJ4" s="231">
        <f t="shared" ref="CJ4" si="56">CB4</f>
        <v>2015</v>
      </c>
      <c r="CK4" s="231">
        <f t="shared" ref="CK4" si="57">CB4</f>
        <v>2015</v>
      </c>
      <c r="CL4" s="234">
        <f t="shared" ref="CL4" si="58">CB4</f>
        <v>2015</v>
      </c>
      <c r="CM4" s="230">
        <f t="shared" ref="CM4" si="59">CS4</f>
        <v>2016</v>
      </c>
      <c r="CN4" s="231">
        <f t="shared" ref="CN4" si="60">CS4</f>
        <v>2016</v>
      </c>
      <c r="CO4" s="231">
        <f t="shared" ref="CO4" si="61">CS4</f>
        <v>2016</v>
      </c>
      <c r="CP4" s="231">
        <f t="shared" ref="CP4" si="62">CS4</f>
        <v>2016</v>
      </c>
      <c r="CQ4" s="232">
        <f t="shared" ref="CQ4" si="63">CU4</f>
        <v>42735</v>
      </c>
      <c r="CR4" s="232">
        <f t="shared" ref="CR4" si="64">CQ4</f>
        <v>42735</v>
      </c>
      <c r="CS4" s="231">
        <f t="shared" ref="CS4" si="65">YEAR(CU4)</f>
        <v>2016</v>
      </c>
      <c r="CT4" s="231">
        <f t="shared" ref="CT4" si="66">CS4</f>
        <v>2016</v>
      </c>
      <c r="CU4" s="233">
        <f t="shared" ref="CU4" si="67">EOMONTH(CD4,12)</f>
        <v>42735</v>
      </c>
      <c r="CV4" s="233">
        <f t="shared" ref="CV4" si="68">CU4</f>
        <v>42735</v>
      </c>
      <c r="CW4" s="233">
        <f t="shared" ref="CW4" si="69">CU4</f>
        <v>42735</v>
      </c>
      <c r="CX4" s="233">
        <f t="shared" ref="CX4" si="70">CU4</f>
        <v>42735</v>
      </c>
      <c r="CY4" s="233">
        <f t="shared" ref="CY4" si="71">CU4</f>
        <v>42735</v>
      </c>
      <c r="CZ4" s="231">
        <f t="shared" ref="CZ4" si="72">CS4</f>
        <v>2016</v>
      </c>
      <c r="DA4" s="231">
        <f t="shared" ref="DA4" si="73">CS4</f>
        <v>2016</v>
      </c>
      <c r="DB4" s="231">
        <f t="shared" ref="DB4" si="74">CS4</f>
        <v>2016</v>
      </c>
      <c r="DC4" s="234">
        <f t="shared" ref="DC4" si="75">CS4</f>
        <v>2016</v>
      </c>
      <c r="DD4" s="230">
        <f t="shared" ref="DD4" si="76">DJ4</f>
        <v>2017</v>
      </c>
      <c r="DE4" s="231">
        <f t="shared" ref="DE4" si="77">DJ4</f>
        <v>2017</v>
      </c>
      <c r="DF4" s="231">
        <f t="shared" ref="DF4" si="78">DJ4</f>
        <v>2017</v>
      </c>
      <c r="DG4" s="231">
        <f t="shared" ref="DG4" si="79">DJ4</f>
        <v>2017</v>
      </c>
      <c r="DH4" s="232">
        <f t="shared" ref="DH4" si="80">DL4</f>
        <v>43100</v>
      </c>
      <c r="DI4" s="232">
        <f t="shared" ref="DI4" si="81">DH4</f>
        <v>43100</v>
      </c>
      <c r="DJ4" s="231">
        <f t="shared" ref="DJ4" si="82">YEAR(DL4)</f>
        <v>2017</v>
      </c>
      <c r="DK4" s="231">
        <f t="shared" ref="DK4" si="83">DJ4</f>
        <v>2017</v>
      </c>
      <c r="DL4" s="233">
        <f t="shared" ref="DL4" si="84">EOMONTH(CU4,12)</f>
        <v>43100</v>
      </c>
      <c r="DM4" s="233">
        <f t="shared" ref="DM4" si="85">DL4</f>
        <v>43100</v>
      </c>
      <c r="DN4" s="233">
        <f t="shared" ref="DN4" si="86">DL4</f>
        <v>43100</v>
      </c>
      <c r="DO4" s="233">
        <f t="shared" ref="DO4" si="87">DL4</f>
        <v>43100</v>
      </c>
      <c r="DP4" s="233">
        <f t="shared" ref="DP4" si="88">DL4</f>
        <v>43100</v>
      </c>
      <c r="DQ4" s="231">
        <f t="shared" ref="DQ4" si="89">DJ4</f>
        <v>2017</v>
      </c>
      <c r="DR4" s="231">
        <f t="shared" ref="DR4" si="90">DJ4</f>
        <v>2017</v>
      </c>
      <c r="DS4" s="231">
        <f t="shared" ref="DS4" si="91">DJ4</f>
        <v>2017</v>
      </c>
      <c r="DT4" s="234">
        <f t="shared" ref="DT4" si="92">DJ4</f>
        <v>2017</v>
      </c>
      <c r="DU4" s="230">
        <f t="shared" ref="DU4" si="93">EA4</f>
        <v>2018</v>
      </c>
      <c r="DV4" s="231">
        <f t="shared" ref="DV4" si="94">EA4</f>
        <v>2018</v>
      </c>
      <c r="DW4" s="231">
        <f t="shared" ref="DW4" si="95">EA4</f>
        <v>2018</v>
      </c>
      <c r="DX4" s="231">
        <f t="shared" ref="DX4" si="96">EA4</f>
        <v>2018</v>
      </c>
      <c r="DY4" s="232">
        <f t="shared" ref="DY4" si="97">EC4</f>
        <v>43465</v>
      </c>
      <c r="DZ4" s="232">
        <f t="shared" ref="DZ4" si="98">DY4</f>
        <v>43465</v>
      </c>
      <c r="EA4" s="231">
        <f t="shared" ref="EA4" si="99">YEAR(EC4)</f>
        <v>2018</v>
      </c>
      <c r="EB4" s="231">
        <f t="shared" ref="EB4" si="100">EA4</f>
        <v>2018</v>
      </c>
      <c r="EC4" s="233">
        <f t="shared" ref="EC4" si="101">EOMONTH(DL4,12)</f>
        <v>43465</v>
      </c>
      <c r="ED4" s="233">
        <f t="shared" ref="ED4" si="102">EC4</f>
        <v>43465</v>
      </c>
      <c r="EE4" s="233">
        <f t="shared" ref="EE4" si="103">EC4</f>
        <v>43465</v>
      </c>
      <c r="EF4" s="233">
        <f t="shared" ref="EF4" si="104">EC4</f>
        <v>43465</v>
      </c>
      <c r="EG4" s="233">
        <f t="shared" ref="EG4" si="105">EC4</f>
        <v>43465</v>
      </c>
      <c r="EH4" s="231">
        <f t="shared" ref="EH4" si="106">EA4</f>
        <v>2018</v>
      </c>
      <c r="EI4" s="231">
        <f t="shared" ref="EI4" si="107">EA4</f>
        <v>2018</v>
      </c>
      <c r="EJ4" s="231">
        <f t="shared" ref="EJ4" si="108">EA4</f>
        <v>2018</v>
      </c>
      <c r="EK4" s="234">
        <f t="shared" ref="EK4" si="109">EA4</f>
        <v>2018</v>
      </c>
      <c r="EL4" s="230">
        <f t="shared" ref="EL4" si="110">ER4</f>
        <v>2019</v>
      </c>
      <c r="EM4" s="231">
        <f t="shared" ref="EM4" si="111">ER4</f>
        <v>2019</v>
      </c>
      <c r="EN4" s="231">
        <f t="shared" ref="EN4" si="112">ER4</f>
        <v>2019</v>
      </c>
      <c r="EO4" s="231">
        <f t="shared" ref="EO4" si="113">ER4</f>
        <v>2019</v>
      </c>
      <c r="EP4" s="232">
        <f t="shared" ref="EP4" si="114">ET4</f>
        <v>43830</v>
      </c>
      <c r="EQ4" s="232">
        <f t="shared" ref="EQ4" si="115">EP4</f>
        <v>43830</v>
      </c>
      <c r="ER4" s="231">
        <f t="shared" ref="ER4" si="116">YEAR(ET4)</f>
        <v>2019</v>
      </c>
      <c r="ES4" s="231">
        <f t="shared" ref="ES4" si="117">ER4</f>
        <v>2019</v>
      </c>
      <c r="ET4" s="233">
        <f t="shared" ref="ET4" si="118">EOMONTH(EC4,12)</f>
        <v>43830</v>
      </c>
      <c r="EU4" s="233">
        <f t="shared" ref="EU4" si="119">ET4</f>
        <v>43830</v>
      </c>
      <c r="EV4" s="233">
        <f t="shared" ref="EV4" si="120">ET4</f>
        <v>43830</v>
      </c>
      <c r="EW4" s="233">
        <f t="shared" ref="EW4" si="121">ET4</f>
        <v>43830</v>
      </c>
      <c r="EX4" s="233">
        <f t="shared" ref="EX4" si="122">ET4</f>
        <v>43830</v>
      </c>
      <c r="EY4" s="231">
        <f t="shared" ref="EY4" si="123">ER4</f>
        <v>2019</v>
      </c>
      <c r="EZ4" s="231">
        <f t="shared" ref="EZ4" si="124">ER4</f>
        <v>2019</v>
      </c>
      <c r="FA4" s="231">
        <f t="shared" ref="FA4" si="125">ER4</f>
        <v>2019</v>
      </c>
      <c r="FB4" s="234">
        <f t="shared" ref="FB4" si="126">ER4</f>
        <v>2019</v>
      </c>
      <c r="FC4" s="230">
        <f t="shared" ref="FC4" si="127">FI4</f>
        <v>2020</v>
      </c>
      <c r="FD4" s="231">
        <f t="shared" ref="FD4" si="128">FI4</f>
        <v>2020</v>
      </c>
      <c r="FE4" s="231">
        <f t="shared" ref="FE4" si="129">FI4</f>
        <v>2020</v>
      </c>
      <c r="FF4" s="231">
        <f t="shared" ref="FF4" si="130">FI4</f>
        <v>2020</v>
      </c>
      <c r="FG4" s="232">
        <f t="shared" ref="FG4" si="131">FK4</f>
        <v>44196</v>
      </c>
      <c r="FH4" s="232">
        <f t="shared" ref="FH4" si="132">FG4</f>
        <v>44196</v>
      </c>
      <c r="FI4" s="231">
        <f t="shared" ref="FI4" si="133">YEAR(FK4)</f>
        <v>2020</v>
      </c>
      <c r="FJ4" s="231">
        <f t="shared" ref="FJ4" si="134">FI4</f>
        <v>2020</v>
      </c>
      <c r="FK4" s="233">
        <f t="shared" ref="FK4" si="135">EOMONTH(ET4,12)</f>
        <v>44196</v>
      </c>
      <c r="FL4" s="233">
        <f t="shared" ref="FL4" si="136">FK4</f>
        <v>44196</v>
      </c>
      <c r="FM4" s="233">
        <f t="shared" ref="FM4" si="137">FK4</f>
        <v>44196</v>
      </c>
      <c r="FN4" s="233">
        <f t="shared" ref="FN4" si="138">FK4</f>
        <v>44196</v>
      </c>
      <c r="FO4" s="233">
        <f t="shared" ref="FO4" si="139">FK4</f>
        <v>44196</v>
      </c>
      <c r="FP4" s="231">
        <f t="shared" ref="FP4" si="140">FI4</f>
        <v>2020</v>
      </c>
      <c r="FQ4" s="231">
        <f t="shared" ref="FQ4" si="141">FI4</f>
        <v>2020</v>
      </c>
      <c r="FR4" s="231">
        <f t="shared" ref="FR4" si="142">FI4</f>
        <v>2020</v>
      </c>
      <c r="FS4" s="234">
        <f t="shared" ref="FS4" si="143">FI4</f>
        <v>2020</v>
      </c>
    </row>
    <row r="5" spans="1:175" s="235" customFormat="1" x14ac:dyDescent="0.3">
      <c r="A5" s="93"/>
      <c r="B5" s="94" t="s">
        <v>197</v>
      </c>
      <c r="C5" s="94"/>
      <c r="D5" s="95"/>
      <c r="E5" s="96"/>
      <c r="F5" s="97"/>
      <c r="G5" s="98"/>
      <c r="H5" s="620"/>
      <c r="I5" s="621"/>
      <c r="J5" s="103"/>
      <c r="K5" s="630"/>
      <c r="L5" s="49">
        <f>IF(AND(G5&gt;0,G5&lt;=1,H5=0),1,IF(H5&gt;=1,1,IF(AND(H5&gt;0,H5&lt;1),H5,IF(AND(G5&gt;1,OR(H5=0,H5="")),ROUND(1/G5,4),0))))</f>
        <v>0</v>
      </c>
      <c r="M5" s="50">
        <f>IF(AND(E5&gt;0,F5&gt;0,OR(G5&gt;0,H5&gt;0)),ROUND((E5-I5)*L5,2),IF(AND(E5&lt;0,F5&gt;0,OR(G5&gt;0,H5&gt;0)),ROUND(E5*L5,2),0))</f>
        <v>0</v>
      </c>
      <c r="N5" s="51">
        <f>IF(AND(E5-P5&gt;=0,F5&gt;0,YEAR(N$4)&gt;=YEAR(F5)),E5-P5,IF(AND(E5-P5&lt;0,F5&gt;0,YEAR(N$4)&gt;=YEAR(F5)),E5-P5,0))</f>
        <v>0</v>
      </c>
      <c r="O5" s="51"/>
      <c r="P5" s="51">
        <f>IF(AND(YEAR(F5)&lt;=YEAR(N$4),E5&lt;1000,E5&gt;-1000,F5&gt;0,L5=1),E5-I5,IF(AND(YEAR(F5)&lt;=YEAR(N$4),E5&gt;0,F5&gt;0,L5&gt;0,E5&gt;M5*(YEAR(N$4)-YEAR(F5))+ROUND((M5/12)*(13-MONTH(F5)),2)+I5),M5*(YEAR(N$4)-YEAR(F5))+ROUND((M5/12)*(13-MONTH(F5)),2),IF(AND(YEAR(F5)&lt;=YEAR(N$4),E5&gt;0,F5&gt;0,L5&gt;0,E5&lt;=(M5*(YEAR(N$4)-YEAR(F5)+ROUND((M5/12)*(13-MONTH(F5)),2)))+I5),E5-I5,IF(AND(YEAR(F5)&lt;=YEAR(N$4),E5&lt;0,F5&gt;0,L5&gt;0,E5&lt;M5*(YEAR(N$4)-YEAR(F5))+ROUND((M5/12)*(13-MONTH(F5)),2)+I5),M5*(YEAR(N$4)-YEAR(F5))+ROUND((M5/12)*(13-MONTH(F5)),2),IF(AND(YEAR(F5)&lt;=YEAR(N$4),E5&lt;0,F5&gt;0,L5&gt;0,E5&lt;=(M5*(YEAR(N$4)-YEAR(F5)+ROUND((M5/12)*(13-MONTH(F5)),2)))),E5,0)))))</f>
        <v>0</v>
      </c>
      <c r="Q5" s="52"/>
      <c r="R5" s="52"/>
      <c r="S5" s="52"/>
      <c r="T5" s="52"/>
      <c r="U5" s="52"/>
      <c r="V5" s="53">
        <f>IF(AND(F5&gt;0,F5&lt;=N$4),E5,0)</f>
        <v>0</v>
      </c>
      <c r="W5" s="51">
        <f>IF(YEAR($F5)=W$4,$E5,0)</f>
        <v>0</v>
      </c>
      <c r="X5" s="51">
        <f>IF($J5&lt;&gt;"H",W5,0)</f>
        <v>0</v>
      </c>
      <c r="Y5" s="51">
        <f>IF(W5&lt;&gt;0,ROUND(W5*YEARFRAC($F5,AE$4,0),2),0)</f>
        <v>0</v>
      </c>
      <c r="Z5" s="51">
        <f>IF($J5&lt;&gt;"H",Y5,0)</f>
        <v>0</v>
      </c>
      <c r="AA5" s="51">
        <f>IF(AND($F5&gt;0,$F5&lt;=AE$4),$E5,0)</f>
        <v>0</v>
      </c>
      <c r="AB5" s="51">
        <f>IF(AC5&lt;&gt;0,ROUND(AC5/$M5*AA5,2),0)</f>
        <v>0</v>
      </c>
      <c r="AC5" s="51">
        <f>IF(AND(YEAR($F5)=YEAR(AE$4),$E5&lt;1000,$E5&gt;-1000,$F5&gt;0,$L5=1),$E5-$I5,IF(AND(YEAR($F5)=YEAR(AE$4),$F5&gt;0,$L5&gt;0),ROUND(($M5/12)*(13-MONTH($F5)),2),IF(AND(YEAR($F5)&lt;YEAR(AE$4),$E5&gt;0,$F5&gt;0,$L5&gt;0,N5&gt;$M5+$I5),$M5,IF(AND(YEAR($F5)&lt;YEAR(AE$4),$E5&gt;0,$F5&gt;0,$L5&gt;0,N5&gt;0,N5&lt;=$M5+$I5),N5-$I5,IF(AND(YEAR($F5)&lt;YEAR(AE$4),$E5&lt;0,$F5&gt;0,$L5&gt;0,N5&lt;0,N5&lt;=$M5),$M5,IF(AND(YEAR($F5)&lt;YEAR(AE$4),$E5&lt;0,$F5&gt;0,$L5&gt;0,N5&lt;0,N5&gt;$M5),N5,0))))))</f>
        <v>0</v>
      </c>
      <c r="AD5" s="51">
        <f>IF($J5&lt;&gt;"H",AC5,0)</f>
        <v>0</v>
      </c>
      <c r="AE5" s="51">
        <f>IF(AND(YEAR(AE$4)=YEAR($F5),$E5&gt;0,$F5&gt;0,$E5-AC5&gt;=0),$E5-AC5,IF(AND(YEAR(AE$4)&gt;YEAR($F5),$E5&gt;0,$F5&gt;0,N5-AC5&gt;=0),N5-AC5,IF(AND(YEAR(AE$4)=YEAR($F5),$E5&lt;0,$F5&gt;0,$E5-AC5&lt;0),$E5-AC5,IF(AND(YEAR(AE$4)&gt;YEAR($F5),$E5&lt;0,$F5&gt;0,N5-AC5&lt;=0),N5-AC5,0))))</f>
        <v>0</v>
      </c>
      <c r="AF5" s="51">
        <f>IF($J5&lt;&gt;"H",AE5,0)</f>
        <v>0</v>
      </c>
      <c r="AG5" s="51">
        <f>P5+AC5</f>
        <v>0</v>
      </c>
      <c r="AH5" s="54">
        <f>IF(AND(W5&lt;&gt;0,$J5="H",$M5=0),Y5,IF(AND(YEAR(AE$4)&gt;YEAR($F5),$J5="H",$F5&gt;0,$M5=0),$E5,0))</f>
        <v>0</v>
      </c>
      <c r="AI5" s="55">
        <f>IF(AND(YEAR(AE$4)&gt;=YEAR($F5),$E5&gt;0,$F5&gt;0,AC5&gt;0,$J5="H"),ROUND(AC5/$M5*$E5,2),IF(AND(YEAR(AE$4)&gt;=YEAR($F5),$E5&lt;0,$F5&gt;0,AC5&lt;0,$J5="H"),ROUND(AC5/$M5*$E5,2),0))</f>
        <v>0</v>
      </c>
      <c r="AJ5" s="56">
        <f>IF(AND($E5&lt;&gt;0,$F5&gt;0,YEAR($F5)&gt;=Preisindex!$A$6,YEAR(AE$4)&gt;=YEAR($F5),AND($K5&lt;&gt;"a",$K5&lt;&gt;"b",$K5&lt;&gt;"g",$K5&lt;&gt;"k")),1,IF(AND($E5&lt;&gt;0,$F5&gt;0,YEAR($F5)&gt;=Preisindex!$A$6,YEAR(AE$4)&gt;=YEAR($F5),$K5="a"),ROUND(VLOOKUP(AJ$4,Preisindex,5,FALSE)/VLOOKUP(YEAR($F5),Preisindex,5,FALSE),2),IF(AND($E5&lt;&gt;0,$F5&gt;0,YEAR($F5)&gt;=Preisindex!$A$6,YEAR(AE$4)&gt;=YEAR($F5),$K5="b"),ROUND(VLOOKUP(AJ$4,Preisindex,3,FALSE)/VLOOKUP(YEAR($F5),Preisindex,3,FALSE),2),IF(AND($E5&lt;&gt;0,$F5&gt;0,YEAR($F5)&gt;=Preisindex!$A$6,YEAR(AE$4)&gt;=YEAR($F5),$K5="g"),ROUND(VLOOKUP(AJ$4,Preisindex,4,FALSE)/VLOOKUP(YEAR($F5),Preisindex,4,FALSE),2),IF(AND($E5&lt;&gt;0,$F5&gt;0,YEAR($F5)&gt;=Preisindex!$A$6,YEAR(AE$4)&gt;=YEAR($F5),$K5="k"),ROUND(VLOOKUP(AJ$4,Preisindex,2,FALSE)/VLOOKUP(YEAR($F5),Preisindex,2,FALSE),2),0)))))</f>
        <v>0</v>
      </c>
      <c r="AK5" s="56">
        <f>IF(AND($E5&lt;&gt;0,$F5&gt;0,YEAR($F5)&lt;Preisindex!$A$6,YEAR(AE$4)&gt;=YEAR($F5),AND($K5&lt;&gt;"a",$K5&lt;&gt;"b",$K5&lt;&gt;"g",$K5&lt;&gt;"k")),1,IF(AND($E5&lt;&gt;0,$F5&gt;0,YEAR($F5)&lt;Preisindex!$A$6,YEAR(AE$4)&gt;=YEAR($F5),$K5="a"),ROUND(VLOOKUP(AJ$4,Preisindex,5,FALSE)/VLOOKUP(Preisindex!$A$6,Preisindex,5,FALSE),2),IF(AND($E5&lt;&gt;0,$F5&gt;0,YEAR($F5)&lt;Preisindex!$A$6,YEAR(AE$4)&gt;=YEAR($F5),$K5="b"),ROUND(VLOOKUP(AJ$4,Preisindex,3,FALSE)/VLOOKUP(Preisindex!$A$6,Preisindex,3,FALSE),2),IF(AND($E5&lt;&gt;0,$F5&gt;0,YEAR($F5)&lt;Preisindex!$A$6,YEAR(AE$4)&gt;=YEAR($F5),$K5="g"),ROUND(VLOOKUP(AJ$4,Preisindex,4,FALSE)/VLOOKUP(Preisindex!$A$6,Preisindex,4,FALSE),2),IF(AND($E5&lt;&gt;0,$F5&gt;0,YEAR($F5)&lt;Preisindex!$A$6,YEAR(AE$4)&gt;=YEAR($F5),$K5="k"),ROUND(VLOOKUP(AJ$4,Preisindex,2,FALSE)/VLOOKUP(Preisindex!$A$6,Preisindex,2,FALSE),2),0)))))</f>
        <v>0</v>
      </c>
      <c r="AL5" s="51">
        <f>IF(AND($E5&lt;&gt;0,$F5&gt;0,YEAR($F5)&lt;=AJ$4,YEAR($F5)&gt;=Preisindex!$A$6),ROUND($E5*AJ5,2),IF(AND($E5&lt;&gt;0,$F5&gt;0,YEAR($F5)&lt;=AJ$4,YEAR($F5)&lt;Preisindex!$A$6),ROUND($E5*AK5,2),0))</f>
        <v>0</v>
      </c>
      <c r="AM5" s="53">
        <f>IF(AND(AC5&lt;&gt;0,AC5=$M5),AL5*$L5,IF(AND(AC5&lt;&gt;0,AC5&lt;&gt;$M5),AL5*($L5*(AC5/$M5)),0))</f>
        <v>0</v>
      </c>
      <c r="AN5" s="51">
        <f t="shared" ref="AN5:BE20" si="144">IF(YEAR($F5)=AN$4,$E5,0)</f>
        <v>0</v>
      </c>
      <c r="AO5" s="51">
        <f t="shared" ref="AO5" si="145">IF($J5&lt;&gt;"H",AN5,0)</f>
        <v>0</v>
      </c>
      <c r="AP5" s="51">
        <f t="shared" ref="AP5:AP68" si="146">IF(AN5&lt;&gt;0,ROUND(AN5*YEARFRAC($F5,AV$4,0),2),0)</f>
        <v>0</v>
      </c>
      <c r="AQ5" s="51">
        <f t="shared" ref="AQ5" si="147">IF($J5&lt;&gt;"H",AP5,0)</f>
        <v>0</v>
      </c>
      <c r="AR5" s="51">
        <f t="shared" ref="AR5:AR68" si="148">IF(AND($F5&gt;0,$F5&lt;=AV$4),$E5,0)</f>
        <v>0</v>
      </c>
      <c r="AS5" s="51">
        <f t="shared" ref="AS5" si="149">IF(AT5&lt;&gt;0,ROUND(AT5/$M5*AR5,2),0)</f>
        <v>0</v>
      </c>
      <c r="AT5" s="51">
        <f t="shared" ref="AT5:AT68" si="150">IF(AND(YEAR($F5)=YEAR(AV$4),$E5&lt;1000,$E5&gt;-1000,$F5&gt;0,$L5=1),$E5-$I5,IF(AND(YEAR($F5)=YEAR(AV$4),$F5&gt;0,$L5&gt;0),ROUND(($M5/12)*(13-MONTH($F5)),2),IF(AND(YEAR($F5)&lt;YEAR(AV$4),$E5&gt;0,$F5&gt;0,$L5&gt;0,AE5&gt;$M5+$I5),$M5,IF(AND(YEAR($F5)&lt;YEAR(AV$4),$E5&gt;0,$F5&gt;0,$L5&gt;0,AE5&gt;0,AE5&lt;=$M5+$I5),AE5-$I5,IF(AND(YEAR($F5)&lt;YEAR(AV$4),$E5&lt;0,$F5&gt;0,$L5&gt;0,AE5&lt;0,AE5&lt;=$M5),$M5,IF(AND(YEAR($F5)&lt;YEAR(AV$4),$E5&lt;0,$F5&gt;0,$L5&gt;0,AE5&lt;0,AE5&gt;$M5),AE5,0))))))</f>
        <v>0</v>
      </c>
      <c r="AU5" s="51">
        <f t="shared" ref="AU5" si="151">IF($J5&lt;&gt;"H",AT5,0)</f>
        <v>0</v>
      </c>
      <c r="AV5" s="51">
        <f t="shared" ref="AV5:AV68" si="152">IF(AND(YEAR(AV$4)=YEAR($F5),$E5&gt;0,$F5&gt;0,$E5-AT5&gt;=0),$E5-AT5,IF(AND(YEAR(AV$4)&gt;YEAR($F5),$E5&gt;0,$F5&gt;0,AE5-AT5&gt;=0),AE5-AT5,IF(AND(YEAR(AV$4)=YEAR($F5),$E5&lt;0,$F5&gt;0,$E5-AT5&lt;0),$E5-AT5,IF(AND(YEAR(AV$4)&gt;YEAR($F5),$E5&lt;0,$F5&gt;0,AE5-AT5&lt;=0),AE5-AT5,0))))</f>
        <v>0</v>
      </c>
      <c r="AW5" s="51">
        <f t="shared" ref="AW5" si="153">IF($J5&lt;&gt;"H",AV5,0)</f>
        <v>0</v>
      </c>
      <c r="AX5" s="51">
        <f t="shared" ref="AX5:AX68" si="154">AG5+AT5</f>
        <v>0</v>
      </c>
      <c r="AY5" s="54">
        <f t="shared" ref="AY5:AY68" si="155">IF(AND(AN5&lt;&gt;0,$J5="H",$M5=0),AP5,IF(AND(YEAR(AV$4)&gt;YEAR($F5),$J5="H",$F5&gt;0,$M5=0),$E5,0))</f>
        <v>0</v>
      </c>
      <c r="AZ5" s="55">
        <f t="shared" ref="AZ5:AZ68" si="156">IF(AND(YEAR(AV$4)&gt;=YEAR($F5),$E5&gt;0,$F5&gt;0,AT5&gt;0,$J5="H"),ROUND(AT5/$M5*$E5,2),IF(AND(YEAR(AV$4)&gt;=YEAR($F5),$E5&lt;0,$F5&gt;0,AT5&lt;0,$J5="H"),ROUND(AT5/$M5*$E5,2),0))</f>
        <v>0</v>
      </c>
      <c r="BA5" s="56">
        <f>IF(AND($E5&lt;&gt;0,$F5&gt;0,YEAR($F5)&gt;=Preisindex!$A$6,YEAR(AV$4)&gt;=YEAR($F5),AND($K5&lt;&gt;"a",$K5&lt;&gt;"b",$K5&lt;&gt;"g",$K5&lt;&gt;"k")),1,IF(AND($E5&lt;&gt;0,$F5&gt;0,YEAR($F5)&gt;=Preisindex!$A$6,YEAR(AV$4)&gt;=YEAR($F5),$K5="a"),ROUND(VLOOKUP(BA$4,Preisindex,5,FALSE)/VLOOKUP(YEAR($F5),Preisindex,5,FALSE),2),IF(AND($E5&lt;&gt;0,$F5&gt;0,YEAR($F5)&gt;=Preisindex!$A$6,YEAR(AV$4)&gt;=YEAR($F5),$K5="b"),ROUND(VLOOKUP(BA$4,Preisindex,3,FALSE)/VLOOKUP(YEAR($F5),Preisindex,3,FALSE),2),IF(AND($E5&lt;&gt;0,$F5&gt;0,YEAR($F5)&gt;=Preisindex!$A$6,YEAR(AV$4)&gt;=YEAR($F5),$K5="g"),ROUND(VLOOKUP(BA$4,Preisindex,4,FALSE)/VLOOKUP(YEAR($F5),Preisindex,4,FALSE),2),IF(AND($E5&lt;&gt;0,$F5&gt;0,YEAR($F5)&gt;=Preisindex!$A$6,YEAR(AV$4)&gt;=YEAR($F5),$K5="k"),ROUND(VLOOKUP(BA$4,Preisindex,2,FALSE)/VLOOKUP(YEAR($F5),Preisindex,2,FALSE),2),0)))))</f>
        <v>0</v>
      </c>
      <c r="BB5" s="56">
        <f>IF(AND($E5&lt;&gt;0,$F5&gt;0,YEAR($F5)&lt;Preisindex!$A$6,YEAR(AV$4)&gt;=YEAR($F5),AND($K5&lt;&gt;"a",$K5&lt;&gt;"b",$K5&lt;&gt;"g",$K5&lt;&gt;"k")),1,IF(AND($E5&lt;&gt;0,$F5&gt;0,YEAR($F5)&lt;Preisindex!$A$6,YEAR(AV$4)&gt;=YEAR($F5),$K5="a"),ROUND(VLOOKUP(BA$4,Preisindex,5,FALSE)/VLOOKUP(Preisindex!$A$6,Preisindex,5,FALSE),2),IF(AND($E5&lt;&gt;0,$F5&gt;0,YEAR($F5)&lt;Preisindex!$A$6,YEAR(AV$4)&gt;=YEAR($F5),$K5="b"),ROUND(VLOOKUP(BA$4,Preisindex,3,FALSE)/VLOOKUP(Preisindex!$A$6,Preisindex,3,FALSE),2),IF(AND($E5&lt;&gt;0,$F5&gt;0,YEAR($F5)&lt;Preisindex!$A$6,YEAR(AV$4)&gt;=YEAR($F5),$K5="g"),ROUND(VLOOKUP(BA$4,Preisindex,4,FALSE)/VLOOKUP(Preisindex!$A$6,Preisindex,4,FALSE),2),IF(AND($E5&lt;&gt;0,$F5&gt;0,YEAR($F5)&lt;Preisindex!$A$6,YEAR(AV$4)&gt;=YEAR($F5),$K5="k"),ROUND(VLOOKUP(BA$4,Preisindex,2,FALSE)/VLOOKUP(Preisindex!$A$6,Preisindex,2,FALSE),2),0)))))</f>
        <v>0</v>
      </c>
      <c r="BC5" s="51">
        <f>IF(AND($E5&lt;&gt;0,$F5&gt;0,YEAR($F5)&lt;=BA$4,YEAR($F5)&gt;=Preisindex!$A$6),ROUND($E5*BA5,2),IF(AND($E5&lt;&gt;0,$F5&gt;0,YEAR($F5)&lt;=BA$4,YEAR($F5)&lt;Preisindex!$A$6),ROUND($E5*BB5,2),0))</f>
        <v>0</v>
      </c>
      <c r="BD5" s="53">
        <f t="shared" ref="BD5:BD68" si="157">IF(AND(AT5&lt;&gt;0,AT5=$M5),BC5*$L5,IF(AND(AT5&lt;&gt;0,AT5&lt;&gt;$M5),BC5*($L5*(AT5/$M5)),0))</f>
        <v>0</v>
      </c>
      <c r="BE5" s="51">
        <f t="shared" ref="BE5:BE6" si="158">IF(YEAR($F5)=BE$4,$E5,0)</f>
        <v>0</v>
      </c>
      <c r="BF5" s="51">
        <f t="shared" ref="BF5" si="159">IF($J5&lt;&gt;"H",BE5,0)</f>
        <v>0</v>
      </c>
      <c r="BG5" s="51">
        <f t="shared" ref="BG5:BG68" si="160">IF(BE5&lt;&gt;0,ROUND(BE5*YEARFRAC($F5,BM$4,0),2),0)</f>
        <v>0</v>
      </c>
      <c r="BH5" s="51">
        <f t="shared" ref="BH5" si="161">IF($J5&lt;&gt;"H",BG5,0)</f>
        <v>0</v>
      </c>
      <c r="BI5" s="51">
        <f t="shared" ref="BI5:BI68" si="162">IF(AND($F5&gt;0,$F5&lt;=BM$4),$E5,0)</f>
        <v>0</v>
      </c>
      <c r="BJ5" s="51">
        <f t="shared" ref="BJ5" si="163">IF(BK5&lt;&gt;0,ROUND(BK5/$M5*BI5,2),0)</f>
        <v>0</v>
      </c>
      <c r="BK5" s="51">
        <f t="shared" ref="BK5:BK68" si="164">IF(AND(YEAR($F5)=YEAR(BM$4),$E5&lt;1000,$E5&gt;-1000,$F5&gt;0,$L5=1),$E5-$I5,IF(AND(YEAR($F5)=YEAR(BM$4),$F5&gt;0,$L5&gt;0),ROUND(($M5/12)*(13-MONTH($F5)),2),IF(AND(YEAR($F5)&lt;YEAR(BM$4),$E5&gt;0,$F5&gt;0,$L5&gt;0,AV5&gt;$M5+$I5),$M5,IF(AND(YEAR($F5)&lt;YEAR(BM$4),$E5&gt;0,$F5&gt;0,$L5&gt;0,AV5&gt;0,AV5&lt;=$M5+$I5),AV5-$I5,IF(AND(YEAR($F5)&lt;YEAR(BM$4),$E5&lt;0,$F5&gt;0,$L5&gt;0,AV5&lt;0,AV5&lt;=$M5),$M5,IF(AND(YEAR($F5)&lt;YEAR(BM$4),$E5&lt;0,$F5&gt;0,$L5&gt;0,AV5&lt;0,AV5&gt;$M5),AV5,0))))))</f>
        <v>0</v>
      </c>
      <c r="BL5" s="51">
        <f t="shared" ref="BL5" si="165">IF($J5&lt;&gt;"H",BK5,0)</f>
        <v>0</v>
      </c>
      <c r="BM5" s="51">
        <f t="shared" ref="BM5:BM68" si="166">IF(AND(YEAR(BM$4)=YEAR($F5),$E5&gt;0,$F5&gt;0,$E5-BK5&gt;=0),$E5-BK5,IF(AND(YEAR(BM$4)&gt;YEAR($F5),$E5&gt;0,$F5&gt;0,AV5-BK5&gt;=0),AV5-BK5,IF(AND(YEAR(BM$4)=YEAR($F5),$E5&lt;0,$F5&gt;0,$E5-BK5&lt;0),$E5-BK5,IF(AND(YEAR(BM$4)&gt;YEAR($F5),$E5&lt;0,$F5&gt;0,AV5-BK5&lt;=0),AV5-BK5,0))))</f>
        <v>0</v>
      </c>
      <c r="BN5" s="51">
        <f t="shared" ref="BN5" si="167">IF($J5&lt;&gt;"H",BM5,0)</f>
        <v>0</v>
      </c>
      <c r="BO5" s="51">
        <f t="shared" ref="BO5:BO68" si="168">AX5+BK5</f>
        <v>0</v>
      </c>
      <c r="BP5" s="54">
        <f t="shared" ref="BP5:BP68" si="169">IF(AND(BE5&lt;&gt;0,$J5="H",$M5=0),BG5,IF(AND(YEAR(BM$4)&gt;YEAR($F5),$J5="H",$F5&gt;0,$M5=0),$E5,0))</f>
        <v>0</v>
      </c>
      <c r="BQ5" s="55">
        <f t="shared" ref="BQ5:BQ68" si="170">IF(AND(YEAR(BM$4)&gt;=YEAR($F5),$E5&gt;0,$F5&gt;0,BK5&gt;0,$J5="H"),ROUND(BK5/$M5*$E5,2),IF(AND(YEAR(BM$4)&gt;=YEAR($F5),$E5&lt;0,$F5&gt;0,BK5&lt;0,$J5="H"),ROUND(BK5/$M5*$E5,2),0))</f>
        <v>0</v>
      </c>
      <c r="BR5" s="56">
        <f>IF(AND($E5&lt;&gt;0,$F5&gt;0,YEAR($F5)&gt;=Preisindex!$A$6,YEAR(BM$4)&gt;=YEAR($F5),AND($K5&lt;&gt;"a",$K5&lt;&gt;"b",$K5&lt;&gt;"g",$K5&lt;&gt;"k")),1,IF(AND($E5&lt;&gt;0,$F5&gt;0,YEAR($F5)&gt;=Preisindex!$A$6,YEAR(BM$4)&gt;=YEAR($F5),$K5="a"),ROUND(VLOOKUP(BR$4,Preisindex,5,FALSE)/VLOOKUP(YEAR($F5),Preisindex,5,FALSE),2),IF(AND($E5&lt;&gt;0,$F5&gt;0,YEAR($F5)&gt;=Preisindex!$A$6,YEAR(BM$4)&gt;=YEAR($F5),$K5="b"),ROUND(VLOOKUP(BR$4,Preisindex,3,FALSE)/VLOOKUP(YEAR($F5),Preisindex,3,FALSE),2),IF(AND($E5&lt;&gt;0,$F5&gt;0,YEAR($F5)&gt;=Preisindex!$A$6,YEAR(BM$4)&gt;=YEAR($F5),$K5="g"),ROUND(VLOOKUP(BR$4,Preisindex,4,FALSE)/VLOOKUP(YEAR($F5),Preisindex,4,FALSE),2),IF(AND($E5&lt;&gt;0,$F5&gt;0,YEAR($F5)&gt;=Preisindex!$A$6,YEAR(BM$4)&gt;=YEAR($F5),$K5="k"),ROUND(VLOOKUP(BR$4,Preisindex,2,FALSE)/VLOOKUP(YEAR($F5),Preisindex,2,FALSE),2),0)))))</f>
        <v>0</v>
      </c>
      <c r="BS5" s="56">
        <f>IF(AND($E5&lt;&gt;0,$F5&gt;0,YEAR($F5)&lt;Preisindex!$A$6,YEAR(BM$4)&gt;=YEAR($F5),AND($K5&lt;&gt;"a",$K5&lt;&gt;"b",$K5&lt;&gt;"g",$K5&lt;&gt;"k")),1,IF(AND($E5&lt;&gt;0,$F5&gt;0,YEAR($F5)&lt;Preisindex!$A$6,YEAR(BM$4)&gt;=YEAR($F5),$K5="a"),ROUND(VLOOKUP(BR$4,Preisindex,5,FALSE)/VLOOKUP(Preisindex!$A$6,Preisindex,5,FALSE),2),IF(AND($E5&lt;&gt;0,$F5&gt;0,YEAR($F5)&lt;Preisindex!$A$6,YEAR(BM$4)&gt;=YEAR($F5),$K5="b"),ROUND(VLOOKUP(BR$4,Preisindex,3,FALSE)/VLOOKUP(Preisindex!$A$6,Preisindex,3,FALSE),2),IF(AND($E5&lt;&gt;0,$F5&gt;0,YEAR($F5)&lt;Preisindex!$A$6,YEAR(BM$4)&gt;=YEAR($F5),$K5="g"),ROUND(VLOOKUP(BR$4,Preisindex,4,FALSE)/VLOOKUP(Preisindex!$A$6,Preisindex,4,FALSE),2),IF(AND($E5&lt;&gt;0,$F5&gt;0,YEAR($F5)&lt;Preisindex!$A$6,YEAR(BM$4)&gt;=YEAR($F5),$K5="k"),ROUND(VLOOKUP(BR$4,Preisindex,2,FALSE)/VLOOKUP(Preisindex!$A$6,Preisindex,2,FALSE),2),0)))))</f>
        <v>0</v>
      </c>
      <c r="BT5" s="51">
        <f>IF(AND($E5&lt;&gt;0,$F5&gt;0,YEAR($F5)&lt;=BR$4,YEAR($F5)&gt;=Preisindex!$A$6),ROUND($E5*BR5,2),IF(AND($E5&lt;&gt;0,$F5&gt;0,YEAR($F5)&lt;=BR$4,YEAR($F5)&lt;Preisindex!$A$6),ROUND($E5*BS5,2),0))</f>
        <v>0</v>
      </c>
      <c r="BU5" s="53">
        <f t="shared" ref="BU5:BU68" si="171">IF(AND(BK5&lt;&gt;0,BK5=$M5),BT5*$L5,IF(AND(BK5&lt;&gt;0,BK5&lt;&gt;$M5),BT5*($L5*(BK5/$M5)),0))</f>
        <v>0</v>
      </c>
      <c r="BV5" s="51">
        <f t="shared" ref="BV5:CM20" si="172">IF(YEAR($F5)=BV$4,$E5,0)</f>
        <v>0</v>
      </c>
      <c r="BW5" s="51">
        <f t="shared" ref="BW5" si="173">IF($J5&lt;&gt;"H",BV5,0)</f>
        <v>0</v>
      </c>
      <c r="BX5" s="51">
        <f t="shared" ref="BX5:BX68" si="174">IF(BV5&lt;&gt;0,ROUND(BV5*YEARFRAC($F5,CD$4,0),2),0)</f>
        <v>0</v>
      </c>
      <c r="BY5" s="51">
        <f t="shared" ref="BY5" si="175">IF($J5&lt;&gt;"H",BX5,0)</f>
        <v>0</v>
      </c>
      <c r="BZ5" s="51">
        <f t="shared" ref="BZ5:BZ68" si="176">IF(AND($F5&gt;0,$F5&lt;=CD$4),$E5,0)</f>
        <v>0</v>
      </c>
      <c r="CA5" s="51">
        <f t="shared" ref="CA5" si="177">IF(CB5&lt;&gt;0,ROUND(CB5/$M5*BZ5,2),0)</f>
        <v>0</v>
      </c>
      <c r="CB5" s="51">
        <f t="shared" ref="CB5:CB68" si="178">IF(AND(YEAR($F5)=YEAR(CD$4),$E5&lt;1000,$E5&gt;-1000,$F5&gt;0,$L5=1),$E5-$I5,IF(AND(YEAR($F5)=YEAR(CD$4),$F5&gt;0,$L5&gt;0),ROUND(($M5/12)*(13-MONTH($F5)),2),IF(AND(YEAR($F5)&lt;YEAR(CD$4),$E5&gt;0,$F5&gt;0,$L5&gt;0,BM5&gt;$M5+$I5),$M5,IF(AND(YEAR($F5)&lt;YEAR(CD$4),$E5&gt;0,$F5&gt;0,$L5&gt;0,BM5&gt;0,BM5&lt;=$M5+$I5),BM5-$I5,IF(AND(YEAR($F5)&lt;YEAR(CD$4),$E5&lt;0,$F5&gt;0,$L5&gt;0,BM5&lt;0,BM5&lt;=$M5),$M5,IF(AND(YEAR($F5)&lt;YEAR(CD$4),$E5&lt;0,$F5&gt;0,$L5&gt;0,BM5&lt;0,BM5&gt;$M5),BM5,0))))))</f>
        <v>0</v>
      </c>
      <c r="CC5" s="51">
        <f t="shared" ref="CC5" si="179">IF($J5&lt;&gt;"H",CB5,0)</f>
        <v>0</v>
      </c>
      <c r="CD5" s="51">
        <f t="shared" ref="CD5:CD68" si="180">IF(AND(YEAR(CD$4)=YEAR($F5),$E5&gt;0,$F5&gt;0,$E5-CB5&gt;=0),$E5-CB5,IF(AND(YEAR(CD$4)&gt;YEAR($F5),$E5&gt;0,$F5&gt;0,BM5-CB5&gt;=0),BM5-CB5,IF(AND(YEAR(CD$4)=YEAR($F5),$E5&lt;0,$F5&gt;0,$E5-CB5&lt;0),$E5-CB5,IF(AND(YEAR(CD$4)&gt;YEAR($F5),$E5&lt;0,$F5&gt;0,BM5-CB5&lt;=0),BM5-CB5,0))))</f>
        <v>0</v>
      </c>
      <c r="CE5" s="51">
        <f t="shared" ref="CE5" si="181">IF($J5&lt;&gt;"H",CD5,0)</f>
        <v>0</v>
      </c>
      <c r="CF5" s="51">
        <f t="shared" ref="CF5:CF68" si="182">BO5+CB5</f>
        <v>0</v>
      </c>
      <c r="CG5" s="54">
        <f t="shared" ref="CG5:CG68" si="183">IF(AND(BV5&lt;&gt;0,$J5="H",$M5=0),BX5,IF(AND(YEAR(CD$4)&gt;YEAR($F5),$J5="H",$F5&gt;0,$M5=0),$E5,0))</f>
        <v>0</v>
      </c>
      <c r="CH5" s="55">
        <f t="shared" ref="CH5:CH68" si="184">IF(AND(YEAR(CD$4)&gt;=YEAR($F5),$E5&gt;0,$F5&gt;0,CB5&gt;0,$J5="H"),ROUND(CB5/$M5*$E5,2),IF(AND(YEAR(CD$4)&gt;=YEAR($F5),$E5&lt;0,$F5&gt;0,CB5&lt;0,$J5="H"),ROUND(CB5/$M5*$E5,2),0))</f>
        <v>0</v>
      </c>
      <c r="CI5" s="56">
        <f>IF(AND($E5&lt;&gt;0,$F5&gt;0,YEAR($F5)&gt;=Preisindex!$A$6,YEAR(CD$4)&gt;=YEAR($F5),AND($K5&lt;&gt;"a",$K5&lt;&gt;"b",$K5&lt;&gt;"g",$K5&lt;&gt;"k")),1,IF(AND($E5&lt;&gt;0,$F5&gt;0,YEAR($F5)&gt;=Preisindex!$A$6,YEAR(CD$4)&gt;=YEAR($F5),$K5="a"),ROUND(VLOOKUP(CI$4,Preisindex,5,FALSE)/VLOOKUP(YEAR($F5),Preisindex,5,FALSE),2),IF(AND($E5&lt;&gt;0,$F5&gt;0,YEAR($F5)&gt;=Preisindex!$A$6,YEAR(CD$4)&gt;=YEAR($F5),$K5="b"),ROUND(VLOOKUP(CI$4,Preisindex,3,FALSE)/VLOOKUP(YEAR($F5),Preisindex,3,FALSE),2),IF(AND($E5&lt;&gt;0,$F5&gt;0,YEAR($F5)&gt;=Preisindex!$A$6,YEAR(CD$4)&gt;=YEAR($F5),$K5="g"),ROUND(VLOOKUP(CI$4,Preisindex,4,FALSE)/VLOOKUP(YEAR($F5),Preisindex,4,FALSE),2),IF(AND($E5&lt;&gt;0,$F5&gt;0,YEAR($F5)&gt;=Preisindex!$A$6,YEAR(CD$4)&gt;=YEAR($F5),$K5="k"),ROUND(VLOOKUP(CI$4,Preisindex,2,FALSE)/VLOOKUP(YEAR($F5),Preisindex,2,FALSE),2),0)))))</f>
        <v>0</v>
      </c>
      <c r="CJ5" s="56">
        <f>IF(AND($E5&lt;&gt;0,$F5&gt;0,YEAR($F5)&lt;Preisindex!$A$6,YEAR(CD$4)&gt;=YEAR($F5),AND($K5&lt;&gt;"a",$K5&lt;&gt;"b",$K5&lt;&gt;"g",$K5&lt;&gt;"k")),1,IF(AND($E5&lt;&gt;0,$F5&gt;0,YEAR($F5)&lt;Preisindex!$A$6,YEAR(CD$4)&gt;=YEAR($F5),$K5="a"),ROUND(VLOOKUP(CI$4,Preisindex,5,FALSE)/VLOOKUP(Preisindex!$A$6,Preisindex,5,FALSE),2),IF(AND($E5&lt;&gt;0,$F5&gt;0,YEAR($F5)&lt;Preisindex!$A$6,YEAR(CD$4)&gt;=YEAR($F5),$K5="b"),ROUND(VLOOKUP(CI$4,Preisindex,3,FALSE)/VLOOKUP(Preisindex!$A$6,Preisindex,3,FALSE),2),IF(AND($E5&lt;&gt;0,$F5&gt;0,YEAR($F5)&lt;Preisindex!$A$6,YEAR(CD$4)&gt;=YEAR($F5),$K5="g"),ROUND(VLOOKUP(CI$4,Preisindex,4,FALSE)/VLOOKUP(Preisindex!$A$6,Preisindex,4,FALSE),2),IF(AND($E5&lt;&gt;0,$F5&gt;0,YEAR($F5)&lt;Preisindex!$A$6,YEAR(CD$4)&gt;=YEAR($F5),$K5="k"),ROUND(VLOOKUP(CI$4,Preisindex,2,FALSE)/VLOOKUP(Preisindex!$A$6,Preisindex,2,FALSE),2),0)))))</f>
        <v>0</v>
      </c>
      <c r="CK5" s="51">
        <f>IF(AND($E5&lt;&gt;0,$F5&gt;0,YEAR($F5)&lt;=CI$4,YEAR($F5)&gt;=Preisindex!$A$6),ROUND($E5*CI5,2),IF(AND($E5&lt;&gt;0,$F5&gt;0,YEAR($F5)&lt;=CI$4,YEAR($F5)&lt;Preisindex!$A$6),ROUND($E5*CJ5,2),0))</f>
        <v>0</v>
      </c>
      <c r="CL5" s="53">
        <f t="shared" ref="CL5:CL68" si="185">IF(AND(CB5&lt;&gt;0,CB5=$M5),CK5*$L5,IF(AND(CB5&lt;&gt;0,CB5&lt;&gt;$M5),CK5*($L5*(CB5/$M5)),0))</f>
        <v>0</v>
      </c>
      <c r="CM5" s="51">
        <f t="shared" ref="CM5:CM6" si="186">IF(YEAR($F5)=CM$4,$E5,0)</f>
        <v>0</v>
      </c>
      <c r="CN5" s="51">
        <f t="shared" ref="CN5" si="187">IF($J5&lt;&gt;"H",CM5,0)</f>
        <v>0</v>
      </c>
      <c r="CO5" s="51">
        <f t="shared" ref="CO5:CO68" si="188">IF(CM5&lt;&gt;0,ROUND(CM5*YEARFRAC($F5,CU$4,0),2),0)</f>
        <v>0</v>
      </c>
      <c r="CP5" s="51">
        <f t="shared" ref="CP5" si="189">IF($J5&lt;&gt;"H",CO5,0)</f>
        <v>0</v>
      </c>
      <c r="CQ5" s="51">
        <f t="shared" ref="CQ5:CQ68" si="190">IF(AND($F5&gt;0,$F5&lt;=CU$4),$E5,0)</f>
        <v>0</v>
      </c>
      <c r="CR5" s="51">
        <f t="shared" ref="CR5" si="191">IF(CS5&lt;&gt;0,ROUND(CS5/$M5*CQ5,2),0)</f>
        <v>0</v>
      </c>
      <c r="CS5" s="51">
        <f t="shared" ref="CS5:CS68" si="192">IF(AND(YEAR($F5)=YEAR(CU$4),$E5&lt;1000,$E5&gt;-1000,$F5&gt;0,$L5=1),$E5-$I5,IF(AND(YEAR($F5)=YEAR(CU$4),$F5&gt;0,$L5&gt;0),ROUND(($M5/12)*(13-MONTH($F5)),2),IF(AND(YEAR($F5)&lt;YEAR(CU$4),$E5&gt;0,$F5&gt;0,$L5&gt;0,CD5&gt;$M5+$I5),$M5,IF(AND(YEAR($F5)&lt;YEAR(CU$4),$E5&gt;0,$F5&gt;0,$L5&gt;0,CD5&gt;0,CD5&lt;=$M5+$I5),CD5-$I5,IF(AND(YEAR($F5)&lt;YEAR(CU$4),$E5&lt;0,$F5&gt;0,$L5&gt;0,CD5&lt;0,CD5&lt;=$M5),$M5,IF(AND(YEAR($F5)&lt;YEAR(CU$4),$E5&lt;0,$F5&gt;0,$L5&gt;0,CD5&lt;0,CD5&gt;$M5),CD5,0))))))</f>
        <v>0</v>
      </c>
      <c r="CT5" s="51">
        <f t="shared" ref="CT5" si="193">IF($J5&lt;&gt;"H",CS5,0)</f>
        <v>0</v>
      </c>
      <c r="CU5" s="51">
        <f t="shared" ref="CU5:CU68" si="194">IF(AND(YEAR(CU$4)=YEAR($F5),$E5&gt;0,$F5&gt;0,$E5-CS5&gt;=0),$E5-CS5,IF(AND(YEAR(CU$4)&gt;YEAR($F5),$E5&gt;0,$F5&gt;0,CD5-CS5&gt;=0),CD5-CS5,IF(AND(YEAR(CU$4)=YEAR($F5),$E5&lt;0,$F5&gt;0,$E5-CS5&lt;0),$E5-CS5,IF(AND(YEAR(CU$4)&gt;YEAR($F5),$E5&lt;0,$F5&gt;0,CD5-CS5&lt;=0),CD5-CS5,0))))</f>
        <v>0</v>
      </c>
      <c r="CV5" s="51">
        <f t="shared" ref="CV5" si="195">IF($J5&lt;&gt;"H",CU5,0)</f>
        <v>0</v>
      </c>
      <c r="CW5" s="51">
        <f t="shared" ref="CW5:CW68" si="196">CF5+CS5</f>
        <v>0</v>
      </c>
      <c r="CX5" s="54">
        <f t="shared" ref="CX5:CX68" si="197">IF(AND(CM5&lt;&gt;0,$J5="H",$M5=0),CO5,IF(AND(YEAR(CU$4)&gt;YEAR($F5),$J5="H",$F5&gt;0,$M5=0),$E5,0))</f>
        <v>0</v>
      </c>
      <c r="CY5" s="55">
        <f t="shared" ref="CY5:CY68" si="198">IF(AND(YEAR(CU$4)&gt;=YEAR($F5),$E5&gt;0,$F5&gt;0,CS5&gt;0,$J5="H"),ROUND(CS5/$M5*$E5,2),IF(AND(YEAR(CU$4)&gt;=YEAR($F5),$E5&lt;0,$F5&gt;0,CS5&lt;0,$J5="H"),ROUND(CS5/$M5*$E5,2),0))</f>
        <v>0</v>
      </c>
      <c r="CZ5" s="56">
        <f>IF(AND($E5&lt;&gt;0,$F5&gt;0,YEAR($F5)&gt;=Preisindex!$A$6,YEAR(CU$4)&gt;=YEAR($F5),AND($K5&lt;&gt;"a",$K5&lt;&gt;"b",$K5&lt;&gt;"g",$K5&lt;&gt;"k")),1,IF(AND($E5&lt;&gt;0,$F5&gt;0,YEAR($F5)&gt;=Preisindex!$A$6,YEAR(CU$4)&gt;=YEAR($F5),$K5="a"),ROUND(VLOOKUP(CZ$4,Preisindex,5,FALSE)/VLOOKUP(YEAR($F5),Preisindex,5,FALSE),2),IF(AND($E5&lt;&gt;0,$F5&gt;0,YEAR($F5)&gt;=Preisindex!$A$6,YEAR(CU$4)&gt;=YEAR($F5),$K5="b"),ROUND(VLOOKUP(CZ$4,Preisindex,3,FALSE)/VLOOKUP(YEAR($F5),Preisindex,3,FALSE),2),IF(AND($E5&lt;&gt;0,$F5&gt;0,YEAR($F5)&gt;=Preisindex!$A$6,YEAR(CU$4)&gt;=YEAR($F5),$K5="g"),ROUND(VLOOKUP(CZ$4,Preisindex,4,FALSE)/VLOOKUP(YEAR($F5),Preisindex,4,FALSE),2),IF(AND($E5&lt;&gt;0,$F5&gt;0,YEAR($F5)&gt;=Preisindex!$A$6,YEAR(CU$4)&gt;=YEAR($F5),$K5="k"),ROUND(VLOOKUP(CZ$4,Preisindex,2,FALSE)/VLOOKUP(YEAR($F5),Preisindex,2,FALSE),2),0)))))</f>
        <v>0</v>
      </c>
      <c r="DA5" s="56">
        <f>IF(AND($E5&lt;&gt;0,$F5&gt;0,YEAR($F5)&lt;Preisindex!$A$6,YEAR(CU$4)&gt;=YEAR($F5),AND($K5&lt;&gt;"a",$K5&lt;&gt;"b",$K5&lt;&gt;"g",$K5&lt;&gt;"k")),1,IF(AND($E5&lt;&gt;0,$F5&gt;0,YEAR($F5)&lt;Preisindex!$A$6,YEAR(CU$4)&gt;=YEAR($F5),$K5="a"),ROUND(VLOOKUP(CZ$4,Preisindex,5,FALSE)/VLOOKUP(Preisindex!$A$6,Preisindex,5,FALSE),2),IF(AND($E5&lt;&gt;0,$F5&gt;0,YEAR($F5)&lt;Preisindex!$A$6,YEAR(CU$4)&gt;=YEAR($F5),$K5="b"),ROUND(VLOOKUP(CZ$4,Preisindex,3,FALSE)/VLOOKUP(Preisindex!$A$6,Preisindex,3,FALSE),2),IF(AND($E5&lt;&gt;0,$F5&gt;0,YEAR($F5)&lt;Preisindex!$A$6,YEAR(CU$4)&gt;=YEAR($F5),$K5="g"),ROUND(VLOOKUP(CZ$4,Preisindex,4,FALSE)/VLOOKUP(Preisindex!$A$6,Preisindex,4,FALSE),2),IF(AND($E5&lt;&gt;0,$F5&gt;0,YEAR($F5)&lt;Preisindex!$A$6,YEAR(CU$4)&gt;=YEAR($F5),$K5="k"),ROUND(VLOOKUP(CZ$4,Preisindex,2,FALSE)/VLOOKUP(Preisindex!$A$6,Preisindex,2,FALSE),2),0)))))</f>
        <v>0</v>
      </c>
      <c r="DB5" s="51">
        <f>IF(AND($E5&lt;&gt;0,$F5&gt;0,YEAR($F5)&lt;=CZ$4,YEAR($F5)&gt;=Preisindex!$A$6),ROUND($E5*CZ5,2),IF(AND($E5&lt;&gt;0,$F5&gt;0,YEAR($F5)&lt;=CZ$4,YEAR($F5)&lt;Preisindex!$A$6),ROUND($E5*DA5,2),0))</f>
        <v>0</v>
      </c>
      <c r="DC5" s="53">
        <f t="shared" ref="DC5:DC68" si="199">IF(AND(CS5&lt;&gt;0,CS5=$M5),DB5*$L5,IF(AND(CS5&lt;&gt;0,CS5&lt;&gt;$M5),DB5*($L5*(CS5/$M5)),0))</f>
        <v>0</v>
      </c>
      <c r="DD5" s="51">
        <f t="shared" ref="DD5:DU20" si="200">IF(YEAR($F5)=DD$4,$E5,0)</f>
        <v>0</v>
      </c>
      <c r="DE5" s="51">
        <f t="shared" ref="DE5" si="201">IF($J5&lt;&gt;"H",DD5,0)</f>
        <v>0</v>
      </c>
      <c r="DF5" s="51">
        <f t="shared" ref="DF5:DF68" si="202">IF(DD5&lt;&gt;0,ROUND(DD5*YEARFRAC($F5,DL$4,0),2),0)</f>
        <v>0</v>
      </c>
      <c r="DG5" s="51">
        <f t="shared" ref="DG5" si="203">IF($J5&lt;&gt;"H",DF5,0)</f>
        <v>0</v>
      </c>
      <c r="DH5" s="51">
        <f t="shared" ref="DH5:DH68" si="204">IF(AND($F5&gt;0,$F5&lt;=DL$4),$E5,0)</f>
        <v>0</v>
      </c>
      <c r="DI5" s="51">
        <f t="shared" ref="DI5" si="205">IF(DJ5&lt;&gt;0,ROUND(DJ5/$M5*DH5,2),0)</f>
        <v>0</v>
      </c>
      <c r="DJ5" s="51">
        <f t="shared" ref="DJ5:DJ68" si="206">IF(AND(YEAR($F5)=YEAR(DL$4),$E5&lt;1000,$E5&gt;-1000,$F5&gt;0,$L5=1),$E5-$I5,IF(AND(YEAR($F5)=YEAR(DL$4),$F5&gt;0,$L5&gt;0),ROUND(($M5/12)*(13-MONTH($F5)),2),IF(AND(YEAR($F5)&lt;YEAR(DL$4),$E5&gt;0,$F5&gt;0,$L5&gt;0,CU5&gt;$M5+$I5),$M5,IF(AND(YEAR($F5)&lt;YEAR(DL$4),$E5&gt;0,$F5&gt;0,$L5&gt;0,CU5&gt;0,CU5&lt;=$M5+$I5),CU5-$I5,IF(AND(YEAR($F5)&lt;YEAR(DL$4),$E5&lt;0,$F5&gt;0,$L5&gt;0,CU5&lt;0,CU5&lt;=$M5),$M5,IF(AND(YEAR($F5)&lt;YEAR(DL$4),$E5&lt;0,$F5&gt;0,$L5&gt;0,CU5&lt;0,CU5&gt;$M5),CU5,0))))))</f>
        <v>0</v>
      </c>
      <c r="DK5" s="51">
        <f t="shared" ref="DK5" si="207">IF($J5&lt;&gt;"H",DJ5,0)</f>
        <v>0</v>
      </c>
      <c r="DL5" s="51">
        <f t="shared" ref="DL5:DL68" si="208">IF(AND(YEAR(DL$4)=YEAR($F5),$E5&gt;0,$F5&gt;0,$E5-DJ5&gt;=0),$E5-DJ5,IF(AND(YEAR(DL$4)&gt;YEAR($F5),$E5&gt;0,$F5&gt;0,CU5-DJ5&gt;=0),CU5-DJ5,IF(AND(YEAR(DL$4)=YEAR($F5),$E5&lt;0,$F5&gt;0,$E5-DJ5&lt;0),$E5-DJ5,IF(AND(YEAR(DL$4)&gt;YEAR($F5),$E5&lt;0,$F5&gt;0,CU5-DJ5&lt;=0),CU5-DJ5,0))))</f>
        <v>0</v>
      </c>
      <c r="DM5" s="51">
        <f t="shared" ref="DM5" si="209">IF($J5&lt;&gt;"H",DL5,0)</f>
        <v>0</v>
      </c>
      <c r="DN5" s="51">
        <f t="shared" ref="DN5:DN68" si="210">CW5+DJ5</f>
        <v>0</v>
      </c>
      <c r="DO5" s="54">
        <f t="shared" ref="DO5:DO68" si="211">IF(AND(DD5&lt;&gt;0,$J5="H",$M5=0),DF5,IF(AND(YEAR(DL$4)&gt;YEAR($F5),$J5="H",$F5&gt;0,$M5=0),$E5,0))</f>
        <v>0</v>
      </c>
      <c r="DP5" s="55">
        <f t="shared" ref="DP5:DP68" si="212">IF(AND(YEAR(DL$4)&gt;=YEAR($F5),$E5&gt;0,$F5&gt;0,DJ5&gt;0,$J5="H"),ROUND(DJ5/$M5*$E5,2),IF(AND(YEAR(DL$4)&gt;=YEAR($F5),$E5&lt;0,$F5&gt;0,DJ5&lt;0,$J5="H"),ROUND(DJ5/$M5*$E5,2),0))</f>
        <v>0</v>
      </c>
      <c r="DQ5" s="56">
        <f>IF(AND($E5&lt;&gt;0,$F5&gt;0,YEAR($F5)&gt;=Preisindex!$A$6,YEAR(DL$4)&gt;=YEAR($F5),AND($K5&lt;&gt;"a",$K5&lt;&gt;"b",$K5&lt;&gt;"g",$K5&lt;&gt;"k")),1,IF(AND($E5&lt;&gt;0,$F5&gt;0,YEAR($F5)&gt;=Preisindex!$A$6,YEAR(DL$4)&gt;=YEAR($F5),$K5="a"),ROUND(VLOOKUP(DQ$4,Preisindex,5,FALSE)/VLOOKUP(YEAR($F5),Preisindex,5,FALSE),2),IF(AND($E5&lt;&gt;0,$F5&gt;0,YEAR($F5)&gt;=Preisindex!$A$6,YEAR(DL$4)&gt;=YEAR($F5),$K5="b"),ROUND(VLOOKUP(DQ$4,Preisindex,3,FALSE)/VLOOKUP(YEAR($F5),Preisindex,3,FALSE),2),IF(AND($E5&lt;&gt;0,$F5&gt;0,YEAR($F5)&gt;=Preisindex!$A$6,YEAR(DL$4)&gt;=YEAR($F5),$K5="g"),ROUND(VLOOKUP(DQ$4,Preisindex,4,FALSE)/VLOOKUP(YEAR($F5),Preisindex,4,FALSE),2),IF(AND($E5&lt;&gt;0,$F5&gt;0,YEAR($F5)&gt;=Preisindex!$A$6,YEAR(DL$4)&gt;=YEAR($F5),$K5="k"),ROUND(VLOOKUP(DQ$4,Preisindex,2,FALSE)/VLOOKUP(YEAR($F5),Preisindex,2,FALSE),2),0)))))</f>
        <v>0</v>
      </c>
      <c r="DR5" s="56">
        <f>IF(AND($E5&lt;&gt;0,$F5&gt;0,YEAR($F5)&lt;Preisindex!$A$6,YEAR(DL$4)&gt;=YEAR($F5),AND($K5&lt;&gt;"a",$K5&lt;&gt;"b",$K5&lt;&gt;"g",$K5&lt;&gt;"k")),1,IF(AND($E5&lt;&gt;0,$F5&gt;0,YEAR($F5)&lt;Preisindex!$A$6,YEAR(DL$4)&gt;=YEAR($F5),$K5="a"),ROUND(VLOOKUP(DQ$4,Preisindex,5,FALSE)/VLOOKUP(Preisindex!$A$6,Preisindex,5,FALSE),2),IF(AND($E5&lt;&gt;0,$F5&gt;0,YEAR($F5)&lt;Preisindex!$A$6,YEAR(DL$4)&gt;=YEAR($F5),$K5="b"),ROUND(VLOOKUP(DQ$4,Preisindex,3,FALSE)/VLOOKUP(Preisindex!$A$6,Preisindex,3,FALSE),2),IF(AND($E5&lt;&gt;0,$F5&gt;0,YEAR($F5)&lt;Preisindex!$A$6,YEAR(DL$4)&gt;=YEAR($F5),$K5="g"),ROUND(VLOOKUP(DQ$4,Preisindex,4,FALSE)/VLOOKUP(Preisindex!$A$6,Preisindex,4,FALSE),2),IF(AND($E5&lt;&gt;0,$F5&gt;0,YEAR($F5)&lt;Preisindex!$A$6,YEAR(DL$4)&gt;=YEAR($F5),$K5="k"),ROUND(VLOOKUP(DQ$4,Preisindex,2,FALSE)/VLOOKUP(Preisindex!$A$6,Preisindex,2,FALSE),2),0)))))</f>
        <v>0</v>
      </c>
      <c r="DS5" s="51">
        <f>IF(AND($E5&lt;&gt;0,$F5&gt;0,YEAR($F5)&lt;=DQ$4,YEAR($F5)&gt;=Preisindex!$A$6),ROUND($E5*DQ5,2),IF(AND($E5&lt;&gt;0,$F5&gt;0,YEAR($F5)&lt;=DQ$4,YEAR($F5)&lt;Preisindex!$A$6),ROUND($E5*DR5,2),0))</f>
        <v>0</v>
      </c>
      <c r="DT5" s="53">
        <f t="shared" ref="DT5:DT68" si="213">IF(AND(DJ5&lt;&gt;0,DJ5=$M5),DS5*$L5,IF(AND(DJ5&lt;&gt;0,DJ5&lt;&gt;$M5),DS5*($L5*(DJ5/$M5)),0))</f>
        <v>0</v>
      </c>
      <c r="DU5" s="51">
        <f t="shared" ref="DU5:DU6" si="214">IF(YEAR($F5)=DU$4,$E5,0)</f>
        <v>0</v>
      </c>
      <c r="DV5" s="51">
        <f t="shared" ref="DV5" si="215">IF($J5&lt;&gt;"H",DU5,0)</f>
        <v>0</v>
      </c>
      <c r="DW5" s="51">
        <f t="shared" ref="DW5:DW68" si="216">IF(DU5&lt;&gt;0,ROUND(DU5*YEARFRAC($F5,EC$4,0),2),0)</f>
        <v>0</v>
      </c>
      <c r="DX5" s="51">
        <f t="shared" ref="DX5" si="217">IF($J5&lt;&gt;"H",DW5,0)</f>
        <v>0</v>
      </c>
      <c r="DY5" s="51">
        <f t="shared" ref="DY5:DY68" si="218">IF(AND($F5&gt;0,$F5&lt;=EC$4),$E5,0)</f>
        <v>0</v>
      </c>
      <c r="DZ5" s="51">
        <f t="shared" ref="DZ5" si="219">IF(EA5&lt;&gt;0,ROUND(EA5/$M5*DY5,2),0)</f>
        <v>0</v>
      </c>
      <c r="EA5" s="51">
        <f t="shared" ref="EA5:EA68" si="220">IF(AND(YEAR($F5)=YEAR(EC$4),$E5&lt;1000,$E5&gt;-1000,$F5&gt;0,$L5=1),$E5-$I5,IF(AND(YEAR($F5)=YEAR(EC$4),$F5&gt;0,$L5&gt;0),ROUND(($M5/12)*(13-MONTH($F5)),2),IF(AND(YEAR($F5)&lt;YEAR(EC$4),$E5&gt;0,$F5&gt;0,$L5&gt;0,DL5&gt;$M5+$I5),$M5,IF(AND(YEAR($F5)&lt;YEAR(EC$4),$E5&gt;0,$F5&gt;0,$L5&gt;0,DL5&gt;0,DL5&lt;=$M5+$I5),DL5-$I5,IF(AND(YEAR($F5)&lt;YEAR(EC$4),$E5&lt;0,$F5&gt;0,$L5&gt;0,DL5&lt;0,DL5&lt;=$M5),$M5,IF(AND(YEAR($F5)&lt;YEAR(EC$4),$E5&lt;0,$F5&gt;0,$L5&gt;0,DL5&lt;0,DL5&gt;$M5),DL5,0))))))</f>
        <v>0</v>
      </c>
      <c r="EB5" s="51">
        <f t="shared" ref="EB5" si="221">IF($J5&lt;&gt;"H",EA5,0)</f>
        <v>0</v>
      </c>
      <c r="EC5" s="51">
        <f t="shared" ref="EC5:EC68" si="222">IF(AND(YEAR(EC$4)=YEAR($F5),$E5&gt;0,$F5&gt;0,$E5-EA5&gt;=0),$E5-EA5,IF(AND(YEAR(EC$4)&gt;YEAR($F5),$E5&gt;0,$F5&gt;0,DL5-EA5&gt;=0),DL5-EA5,IF(AND(YEAR(EC$4)=YEAR($F5),$E5&lt;0,$F5&gt;0,$E5-EA5&lt;0),$E5-EA5,IF(AND(YEAR(EC$4)&gt;YEAR($F5),$E5&lt;0,$F5&gt;0,DL5-EA5&lt;=0),DL5-EA5,0))))</f>
        <v>0</v>
      </c>
      <c r="ED5" s="51">
        <f t="shared" ref="ED5" si="223">IF($J5&lt;&gt;"H",EC5,0)</f>
        <v>0</v>
      </c>
      <c r="EE5" s="51">
        <f t="shared" ref="EE5:EE68" si="224">DN5+EA5</f>
        <v>0</v>
      </c>
      <c r="EF5" s="54">
        <f t="shared" ref="EF5:EF68" si="225">IF(AND(DU5&lt;&gt;0,$J5="H",$M5=0),DW5,IF(AND(YEAR(EC$4)&gt;YEAR($F5),$J5="H",$F5&gt;0,$M5=0),$E5,0))</f>
        <v>0</v>
      </c>
      <c r="EG5" s="55">
        <f t="shared" ref="EG5:EG68" si="226">IF(AND(YEAR(EC$4)&gt;=YEAR($F5),$E5&gt;0,$F5&gt;0,EA5&gt;0,$J5="H"),ROUND(EA5/$M5*$E5,2),IF(AND(YEAR(EC$4)&gt;=YEAR($F5),$E5&lt;0,$F5&gt;0,EA5&lt;0,$J5="H"),ROUND(EA5/$M5*$E5,2),0))</f>
        <v>0</v>
      </c>
      <c r="EH5" s="56">
        <f>IF(AND($E5&lt;&gt;0,$F5&gt;0,YEAR($F5)&gt;=Preisindex!$A$6,YEAR(EC$4)&gt;=YEAR($F5),AND($K5&lt;&gt;"a",$K5&lt;&gt;"b",$K5&lt;&gt;"g",$K5&lt;&gt;"k")),1,IF(AND($E5&lt;&gt;0,$F5&gt;0,YEAR($F5)&gt;=Preisindex!$A$6,YEAR(EC$4)&gt;=YEAR($F5),$K5="a"),ROUND(VLOOKUP(EH$4,Preisindex,5,FALSE)/VLOOKUP(YEAR($F5),Preisindex,5,FALSE),2),IF(AND($E5&lt;&gt;0,$F5&gt;0,YEAR($F5)&gt;=Preisindex!$A$6,YEAR(EC$4)&gt;=YEAR($F5),$K5="b"),ROUND(VLOOKUP(EH$4,Preisindex,3,FALSE)/VLOOKUP(YEAR($F5),Preisindex,3,FALSE),2),IF(AND($E5&lt;&gt;0,$F5&gt;0,YEAR($F5)&gt;=Preisindex!$A$6,YEAR(EC$4)&gt;=YEAR($F5),$K5="g"),ROUND(VLOOKUP(EH$4,Preisindex,4,FALSE)/VLOOKUP(YEAR($F5),Preisindex,4,FALSE),2),IF(AND($E5&lt;&gt;0,$F5&gt;0,YEAR($F5)&gt;=Preisindex!$A$6,YEAR(EC$4)&gt;=YEAR($F5),$K5="k"),ROUND(VLOOKUP(EH$4,Preisindex,2,FALSE)/VLOOKUP(YEAR($F5),Preisindex,2,FALSE),2),0)))))</f>
        <v>0</v>
      </c>
      <c r="EI5" s="56">
        <f>IF(AND($E5&lt;&gt;0,$F5&gt;0,YEAR($F5)&lt;Preisindex!$A$6,YEAR(EC$4)&gt;=YEAR($F5),AND($K5&lt;&gt;"a",$K5&lt;&gt;"b",$K5&lt;&gt;"g",$K5&lt;&gt;"k")),1,IF(AND($E5&lt;&gt;0,$F5&gt;0,YEAR($F5)&lt;Preisindex!$A$6,YEAR(EC$4)&gt;=YEAR($F5),$K5="a"),ROUND(VLOOKUP(EH$4,Preisindex,5,FALSE)/VLOOKUP(Preisindex!$A$6,Preisindex,5,FALSE),2),IF(AND($E5&lt;&gt;0,$F5&gt;0,YEAR($F5)&lt;Preisindex!$A$6,YEAR(EC$4)&gt;=YEAR($F5),$K5="b"),ROUND(VLOOKUP(EH$4,Preisindex,3,FALSE)/VLOOKUP(Preisindex!$A$6,Preisindex,3,FALSE),2),IF(AND($E5&lt;&gt;0,$F5&gt;0,YEAR($F5)&lt;Preisindex!$A$6,YEAR(EC$4)&gt;=YEAR($F5),$K5="g"),ROUND(VLOOKUP(EH$4,Preisindex,4,FALSE)/VLOOKUP(Preisindex!$A$6,Preisindex,4,FALSE),2),IF(AND($E5&lt;&gt;0,$F5&gt;0,YEAR($F5)&lt;Preisindex!$A$6,YEAR(EC$4)&gt;=YEAR($F5),$K5="k"),ROUND(VLOOKUP(EH$4,Preisindex,2,FALSE)/VLOOKUP(Preisindex!$A$6,Preisindex,2,FALSE),2),0)))))</f>
        <v>0</v>
      </c>
      <c r="EJ5" s="51">
        <f>IF(AND($E5&lt;&gt;0,$F5&gt;0,YEAR($F5)&lt;=EH$4,YEAR($F5)&gt;=Preisindex!$A$6),ROUND($E5*EH5,2),IF(AND($E5&lt;&gt;0,$F5&gt;0,YEAR($F5)&lt;=EH$4,YEAR($F5)&lt;Preisindex!$A$6),ROUND($E5*EI5,2),0))</f>
        <v>0</v>
      </c>
      <c r="EK5" s="53">
        <f t="shared" ref="EK5:EK68" si="227">IF(AND(EA5&lt;&gt;0,EA5=$M5),EJ5*$L5,IF(AND(EA5&lt;&gt;0,EA5&lt;&gt;$M5),EJ5*($L5*(EA5/$M5)),0))</f>
        <v>0</v>
      </c>
      <c r="EL5" s="51">
        <f t="shared" ref="EL5:FC20" si="228">IF(YEAR($F5)=EL$4,$E5,0)</f>
        <v>0</v>
      </c>
      <c r="EM5" s="51">
        <f t="shared" ref="EM5" si="229">IF($J5&lt;&gt;"H",EL5,0)</f>
        <v>0</v>
      </c>
      <c r="EN5" s="51">
        <f t="shared" ref="EN5:EN68" si="230">IF(EL5&lt;&gt;0,ROUND(EL5*YEARFRAC($F5,ET$4,0),2),0)</f>
        <v>0</v>
      </c>
      <c r="EO5" s="51">
        <f t="shared" ref="EO5" si="231">IF($J5&lt;&gt;"H",EN5,0)</f>
        <v>0</v>
      </c>
      <c r="EP5" s="51">
        <f t="shared" ref="EP5:EP68" si="232">IF(AND($F5&gt;0,$F5&lt;=ET$4),$E5,0)</f>
        <v>0</v>
      </c>
      <c r="EQ5" s="51">
        <f t="shared" ref="EQ5" si="233">IF(ER5&lt;&gt;0,ROUND(ER5/$M5*EP5,2),0)</f>
        <v>0</v>
      </c>
      <c r="ER5" s="51">
        <f t="shared" ref="ER5:ER68" si="234">IF(AND(YEAR($F5)=YEAR(ET$4),$E5&lt;1000,$E5&gt;-1000,$F5&gt;0,$L5=1),$E5-$I5,IF(AND(YEAR($F5)=YEAR(ET$4),$F5&gt;0,$L5&gt;0),ROUND(($M5/12)*(13-MONTH($F5)),2),IF(AND(YEAR($F5)&lt;YEAR(ET$4),$E5&gt;0,$F5&gt;0,$L5&gt;0,EC5&gt;$M5+$I5),$M5,IF(AND(YEAR($F5)&lt;YEAR(ET$4),$E5&gt;0,$F5&gt;0,$L5&gt;0,EC5&gt;0,EC5&lt;=$M5+$I5),EC5-$I5,IF(AND(YEAR($F5)&lt;YEAR(ET$4),$E5&lt;0,$F5&gt;0,$L5&gt;0,EC5&lt;0,EC5&lt;=$M5),$M5,IF(AND(YEAR($F5)&lt;YEAR(ET$4),$E5&lt;0,$F5&gt;0,$L5&gt;0,EC5&lt;0,EC5&gt;$M5),EC5,0))))))</f>
        <v>0</v>
      </c>
      <c r="ES5" s="51">
        <f t="shared" ref="ES5" si="235">IF($J5&lt;&gt;"H",ER5,0)</f>
        <v>0</v>
      </c>
      <c r="ET5" s="51">
        <f t="shared" ref="ET5:ET68" si="236">IF(AND(YEAR(ET$4)=YEAR($F5),$E5&gt;0,$F5&gt;0,$E5-ER5&gt;=0),$E5-ER5,IF(AND(YEAR(ET$4)&gt;YEAR($F5),$E5&gt;0,$F5&gt;0,EC5-ER5&gt;=0),EC5-ER5,IF(AND(YEAR(ET$4)=YEAR($F5),$E5&lt;0,$F5&gt;0,$E5-ER5&lt;0),$E5-ER5,IF(AND(YEAR(ET$4)&gt;YEAR($F5),$E5&lt;0,$F5&gt;0,EC5-ER5&lt;=0),EC5-ER5,0))))</f>
        <v>0</v>
      </c>
      <c r="EU5" s="51">
        <f t="shared" ref="EU5" si="237">IF($J5&lt;&gt;"H",ET5,0)</f>
        <v>0</v>
      </c>
      <c r="EV5" s="51">
        <f t="shared" ref="EV5:EV68" si="238">EE5+ER5</f>
        <v>0</v>
      </c>
      <c r="EW5" s="54">
        <f t="shared" ref="EW5:EW68" si="239">IF(AND(EL5&lt;&gt;0,$J5="H",$M5=0),EN5,IF(AND(YEAR(ET$4)&gt;YEAR($F5),$J5="H",$F5&gt;0,$M5=0),$E5,0))</f>
        <v>0</v>
      </c>
      <c r="EX5" s="55">
        <f t="shared" ref="EX5:EX68" si="240">IF(AND(YEAR(ET$4)&gt;=YEAR($F5),$E5&gt;0,$F5&gt;0,ER5&gt;0,$J5="H"),ROUND(ER5/$M5*$E5,2),IF(AND(YEAR(ET$4)&gt;=YEAR($F5),$E5&lt;0,$F5&gt;0,ER5&lt;0,$J5="H"),ROUND(ER5/$M5*$E5,2),0))</f>
        <v>0</v>
      </c>
      <c r="EY5" s="56">
        <f>IF(AND($E5&lt;&gt;0,$F5&gt;0,YEAR($F5)&gt;=Preisindex!$A$6,YEAR(ET$4)&gt;=YEAR($F5),AND($K5&lt;&gt;"a",$K5&lt;&gt;"b",$K5&lt;&gt;"g",$K5&lt;&gt;"k")),1,IF(AND($E5&lt;&gt;0,$F5&gt;0,YEAR($F5)&gt;=Preisindex!$A$6,YEAR(ET$4)&gt;=YEAR($F5),$K5="a"),ROUND(VLOOKUP(EY$4,Preisindex,5,FALSE)/VLOOKUP(YEAR($F5),Preisindex,5,FALSE),2),IF(AND($E5&lt;&gt;0,$F5&gt;0,YEAR($F5)&gt;=Preisindex!$A$6,YEAR(ET$4)&gt;=YEAR($F5),$K5="b"),ROUND(VLOOKUP(EY$4,Preisindex,3,FALSE)/VLOOKUP(YEAR($F5),Preisindex,3,FALSE),2),IF(AND($E5&lt;&gt;0,$F5&gt;0,YEAR($F5)&gt;=Preisindex!$A$6,YEAR(ET$4)&gt;=YEAR($F5),$K5="g"),ROUND(VLOOKUP(EY$4,Preisindex,4,FALSE)/VLOOKUP(YEAR($F5),Preisindex,4,FALSE),2),IF(AND($E5&lt;&gt;0,$F5&gt;0,YEAR($F5)&gt;=Preisindex!$A$6,YEAR(ET$4)&gt;=YEAR($F5),$K5="k"),ROUND(VLOOKUP(EY$4,Preisindex,2,FALSE)/VLOOKUP(YEAR($F5),Preisindex,2,FALSE),2),0)))))</f>
        <v>0</v>
      </c>
      <c r="EZ5" s="56">
        <f>IF(AND($E5&lt;&gt;0,$F5&gt;0,YEAR($F5)&lt;Preisindex!$A$6,YEAR(ET$4)&gt;=YEAR($F5),AND($K5&lt;&gt;"a",$K5&lt;&gt;"b",$K5&lt;&gt;"g",$K5&lt;&gt;"k")),1,IF(AND($E5&lt;&gt;0,$F5&gt;0,YEAR($F5)&lt;Preisindex!$A$6,YEAR(ET$4)&gt;=YEAR($F5),$K5="a"),ROUND(VLOOKUP(EY$4,Preisindex,5,FALSE)/VLOOKUP(Preisindex!$A$6,Preisindex,5,FALSE),2),IF(AND($E5&lt;&gt;0,$F5&gt;0,YEAR($F5)&lt;Preisindex!$A$6,YEAR(ET$4)&gt;=YEAR($F5),$K5="b"),ROUND(VLOOKUP(EY$4,Preisindex,3,FALSE)/VLOOKUP(Preisindex!$A$6,Preisindex,3,FALSE),2),IF(AND($E5&lt;&gt;0,$F5&gt;0,YEAR($F5)&lt;Preisindex!$A$6,YEAR(ET$4)&gt;=YEAR($F5),$K5="g"),ROUND(VLOOKUP(EY$4,Preisindex,4,FALSE)/VLOOKUP(Preisindex!$A$6,Preisindex,4,FALSE),2),IF(AND($E5&lt;&gt;0,$F5&gt;0,YEAR($F5)&lt;Preisindex!$A$6,YEAR(ET$4)&gt;=YEAR($F5),$K5="k"),ROUND(VLOOKUP(EY$4,Preisindex,2,FALSE)/VLOOKUP(Preisindex!$A$6,Preisindex,2,FALSE),2),0)))))</f>
        <v>0</v>
      </c>
      <c r="FA5" s="51">
        <f>IF(AND($E5&lt;&gt;0,$F5&gt;0,YEAR($F5)&lt;=EY$4,YEAR($F5)&gt;=Preisindex!$A$6),ROUND($E5*EY5,2),IF(AND($E5&lt;&gt;0,$F5&gt;0,YEAR($F5)&lt;=EY$4,YEAR($F5)&lt;Preisindex!$A$6),ROUND($E5*EZ5,2),0))</f>
        <v>0</v>
      </c>
      <c r="FB5" s="53">
        <f t="shared" ref="FB5:FB68" si="241">IF(AND(ER5&lt;&gt;0,ER5=$M5),FA5*$L5,IF(AND(ER5&lt;&gt;0,ER5&lt;&gt;$M5),FA5*($L5*(ER5/$M5)),0))</f>
        <v>0</v>
      </c>
      <c r="FC5" s="51">
        <f t="shared" ref="FC5:FC6" si="242">IF(YEAR($F5)=FC$4,$E5,0)</f>
        <v>0</v>
      </c>
      <c r="FD5" s="51">
        <f t="shared" ref="FD5" si="243">IF($J5&lt;&gt;"H",FC5,0)</f>
        <v>0</v>
      </c>
      <c r="FE5" s="51">
        <f t="shared" ref="FE5:FE68" si="244">IF(FC5&lt;&gt;0,ROUND(FC5*YEARFRAC($F5,FK$4,0),2),0)</f>
        <v>0</v>
      </c>
      <c r="FF5" s="51">
        <f t="shared" ref="FF5" si="245">IF($J5&lt;&gt;"H",FE5,0)</f>
        <v>0</v>
      </c>
      <c r="FG5" s="51">
        <f t="shared" ref="FG5:FG68" si="246">IF(AND($F5&gt;0,$F5&lt;=FK$4),$E5,0)</f>
        <v>0</v>
      </c>
      <c r="FH5" s="51">
        <f t="shared" ref="FH5" si="247">IF(FI5&lt;&gt;0,ROUND(FI5/$M5*FG5,2),0)</f>
        <v>0</v>
      </c>
      <c r="FI5" s="51">
        <f t="shared" ref="FI5:FI68" si="248">IF(AND(YEAR($F5)=YEAR(FK$4),$E5&lt;1000,$E5&gt;-1000,$F5&gt;0,$L5=1),$E5-$I5,IF(AND(YEAR($F5)=YEAR(FK$4),$F5&gt;0,$L5&gt;0),ROUND(($M5/12)*(13-MONTH($F5)),2),IF(AND(YEAR($F5)&lt;YEAR(FK$4),$E5&gt;0,$F5&gt;0,$L5&gt;0,ET5&gt;$M5+$I5),$M5,IF(AND(YEAR($F5)&lt;YEAR(FK$4),$E5&gt;0,$F5&gt;0,$L5&gt;0,ET5&gt;0,ET5&lt;=$M5+$I5),ET5-$I5,IF(AND(YEAR($F5)&lt;YEAR(FK$4),$E5&lt;0,$F5&gt;0,$L5&gt;0,ET5&lt;0,ET5&lt;=$M5),$M5,IF(AND(YEAR($F5)&lt;YEAR(FK$4),$E5&lt;0,$F5&gt;0,$L5&gt;0,ET5&lt;0,ET5&gt;$M5),ET5,0))))))</f>
        <v>0</v>
      </c>
      <c r="FJ5" s="51">
        <f t="shared" ref="FJ5" si="249">IF($J5&lt;&gt;"H",FI5,0)</f>
        <v>0</v>
      </c>
      <c r="FK5" s="51">
        <f t="shared" ref="FK5:FK68" si="250">IF(AND(YEAR(FK$4)=YEAR($F5),$E5&gt;0,$F5&gt;0,$E5-FI5&gt;=0),$E5-FI5,IF(AND(YEAR(FK$4)&gt;YEAR($F5),$E5&gt;0,$F5&gt;0,ET5-FI5&gt;=0),ET5-FI5,IF(AND(YEAR(FK$4)=YEAR($F5),$E5&lt;0,$F5&gt;0,$E5-FI5&lt;0),$E5-FI5,IF(AND(YEAR(FK$4)&gt;YEAR($F5),$E5&lt;0,$F5&gt;0,ET5-FI5&lt;=0),ET5-FI5,0))))</f>
        <v>0</v>
      </c>
      <c r="FL5" s="51">
        <f t="shared" ref="FL5" si="251">IF($J5&lt;&gt;"H",FK5,0)</f>
        <v>0</v>
      </c>
      <c r="FM5" s="51">
        <f t="shared" ref="FM5:FM68" si="252">EV5+FI5</f>
        <v>0</v>
      </c>
      <c r="FN5" s="54">
        <f t="shared" ref="FN5:FN68" si="253">IF(AND(FC5&lt;&gt;0,$J5="H",$M5=0),FE5,IF(AND(YEAR(FK$4)&gt;YEAR($F5),$J5="H",$F5&gt;0,$M5=0),$E5,0))</f>
        <v>0</v>
      </c>
      <c r="FO5" s="55">
        <f t="shared" ref="FO5:FO68" si="254">IF(AND(YEAR(FK$4)&gt;=YEAR($F5),$E5&gt;0,$F5&gt;0,FI5&gt;0,$J5="H"),ROUND(FI5/$M5*$E5,2),IF(AND(YEAR(FK$4)&gt;=YEAR($F5),$E5&lt;0,$F5&gt;0,FI5&lt;0,$J5="H"),ROUND(FI5/$M5*$E5,2),0))</f>
        <v>0</v>
      </c>
      <c r="FP5" s="56">
        <f>IF(AND($E5&lt;&gt;0,$F5&gt;0,YEAR($F5)&gt;=Preisindex!$A$6,YEAR(FK$4)&gt;=YEAR($F5),AND($K5&lt;&gt;"a",$K5&lt;&gt;"b",$K5&lt;&gt;"g",$K5&lt;&gt;"k")),1,IF(AND($E5&lt;&gt;0,$F5&gt;0,YEAR($F5)&gt;=Preisindex!$A$6,YEAR(FK$4)&gt;=YEAR($F5),$K5="a"),ROUND(VLOOKUP(FP$4,Preisindex,5,FALSE)/VLOOKUP(YEAR($F5),Preisindex,5,FALSE),2),IF(AND($E5&lt;&gt;0,$F5&gt;0,YEAR($F5)&gt;=Preisindex!$A$6,YEAR(FK$4)&gt;=YEAR($F5),$K5="b"),ROUND(VLOOKUP(FP$4,Preisindex,3,FALSE)/VLOOKUP(YEAR($F5),Preisindex,3,FALSE),2),IF(AND($E5&lt;&gt;0,$F5&gt;0,YEAR($F5)&gt;=Preisindex!$A$6,YEAR(FK$4)&gt;=YEAR($F5),$K5="g"),ROUND(VLOOKUP(FP$4,Preisindex,4,FALSE)/VLOOKUP(YEAR($F5),Preisindex,4,FALSE),2),IF(AND($E5&lt;&gt;0,$F5&gt;0,YEAR($F5)&gt;=Preisindex!$A$6,YEAR(FK$4)&gt;=YEAR($F5),$K5="k"),ROUND(VLOOKUP(FP$4,Preisindex,2,FALSE)/VLOOKUP(YEAR($F5),Preisindex,2,FALSE),2),0)))))</f>
        <v>0</v>
      </c>
      <c r="FQ5" s="56">
        <f>IF(AND($E5&lt;&gt;0,$F5&gt;0,YEAR($F5)&lt;Preisindex!$A$6,YEAR(FK$4)&gt;=YEAR($F5),AND($K5&lt;&gt;"a",$K5&lt;&gt;"b",$K5&lt;&gt;"g",$K5&lt;&gt;"k")),1,IF(AND($E5&lt;&gt;0,$F5&gt;0,YEAR($F5)&lt;Preisindex!$A$6,YEAR(FK$4)&gt;=YEAR($F5),$K5="a"),ROUND(VLOOKUP(FP$4,Preisindex,5,FALSE)/VLOOKUP(Preisindex!$A$6,Preisindex,5,FALSE),2),IF(AND($E5&lt;&gt;0,$F5&gt;0,YEAR($F5)&lt;Preisindex!$A$6,YEAR(FK$4)&gt;=YEAR($F5),$K5="b"),ROUND(VLOOKUP(FP$4,Preisindex,3,FALSE)/VLOOKUP(Preisindex!$A$6,Preisindex,3,FALSE),2),IF(AND($E5&lt;&gt;0,$F5&gt;0,YEAR($F5)&lt;Preisindex!$A$6,YEAR(FK$4)&gt;=YEAR($F5),$K5="g"),ROUND(VLOOKUP(FP$4,Preisindex,4,FALSE)/VLOOKUP(Preisindex!$A$6,Preisindex,4,FALSE),2),IF(AND($E5&lt;&gt;0,$F5&gt;0,YEAR($F5)&lt;Preisindex!$A$6,YEAR(FK$4)&gt;=YEAR($F5),$K5="k"),ROUND(VLOOKUP(FP$4,Preisindex,2,FALSE)/VLOOKUP(Preisindex!$A$6,Preisindex,2,FALSE),2),0)))))</f>
        <v>0</v>
      </c>
      <c r="FR5" s="51">
        <f>IF(AND($E5&lt;&gt;0,$F5&gt;0,YEAR($F5)&lt;=FP$4,YEAR($F5)&gt;=Preisindex!$A$6),ROUND($E5*FP5,2),IF(AND($E5&lt;&gt;0,$F5&gt;0,YEAR($F5)&lt;=FP$4,YEAR($F5)&lt;Preisindex!$A$6),ROUND($E5*FQ5,2),0))</f>
        <v>0</v>
      </c>
      <c r="FS5" s="53">
        <f t="shared" ref="FS5:FS68" si="255">IF(AND(FI5&lt;&gt;0,FI5=$M5),FR5*$L5,IF(AND(FI5&lt;&gt;0,FI5&lt;&gt;$M5),FR5*($L5*(FI5/$M5)),0))</f>
        <v>0</v>
      </c>
    </row>
    <row r="6" spans="1:175" x14ac:dyDescent="0.3">
      <c r="A6" s="93"/>
      <c r="B6" s="94"/>
      <c r="C6" s="94"/>
      <c r="D6" s="95"/>
      <c r="E6" s="96"/>
      <c r="F6" s="97"/>
      <c r="G6" s="98"/>
      <c r="H6" s="620"/>
      <c r="I6" s="621"/>
      <c r="J6" s="103"/>
      <c r="K6" s="630"/>
      <c r="L6" s="49">
        <f>IF(AND(G6&gt;0,G6&lt;=1,H6=0),1,IF(H6&gt;=1,1,IF(AND(H6&gt;0,H6&lt;1),H6,IF(AND(G6&gt;1,OR(H6=0,H6="")),ROUND(1/G6,4),0))))</f>
        <v>0</v>
      </c>
      <c r="M6" s="50">
        <f>IF(AND(E6&gt;0,F6&gt;0,OR(G6&gt;0,H6&gt;0)),ROUND((E6-I6)*L6,2),IF(AND(E6&lt;0,F6&gt;0,OR(G6&gt;0,H6&gt;0)),ROUND(E6*L6,2),0))</f>
        <v>0</v>
      </c>
      <c r="N6" s="51">
        <f>IF(AND(E6-P6&gt;=0,F6&gt;0,YEAR(N$4)&gt;=YEAR(F6)),E6-P6,IF(AND(E6-P6&lt;0,F6&gt;0,YEAR(N$4)&gt;=YEAR(F6)),E6-P6,0))</f>
        <v>0</v>
      </c>
      <c r="O6" s="51"/>
      <c r="P6" s="51">
        <f>IF(AND(YEAR(F6)&lt;=YEAR(N$4),E6&lt;1000,E6&gt;-1000,F6&gt;0,L6=1),E6-I6,IF(AND(YEAR(F6)&lt;=YEAR(N$4),E6&gt;0,F6&gt;0,L6&gt;0,E6&gt;M6*(YEAR(N$4)-YEAR(F6))+ROUND((M6/12)*(13-MONTH(F6)),2)+I6),M6*(YEAR(N$4)-YEAR(F6))+ROUND((M6/12)*(13-MONTH(F6)),2),IF(AND(YEAR(F6)&lt;=YEAR(N$4),E6&gt;0,F6&gt;0,L6&gt;0,E6&lt;=(M6*(YEAR(N$4)-YEAR(F6)+ROUND((M6/12)*(13-MONTH(F6)),2)))+I6),E6-I6,IF(AND(YEAR(F6)&lt;=YEAR(N$4),E6&lt;0,F6&gt;0,L6&gt;0,E6&lt;M6*(YEAR(N$4)-YEAR(F6))+ROUND((M6/12)*(13-MONTH(F6)),2)+I6),M6*(YEAR(N$4)-YEAR(F6))+ROUND((M6/12)*(13-MONTH(F6)),2),IF(AND(YEAR(F6)&lt;=YEAR(N$4),E6&lt;0,F6&gt;0,L6&gt;0,E6&lt;=(M6*(YEAR(N$4)-YEAR(F6)+ROUND((M6/12)*(13-MONTH(F6)),2)))),E6,0)))))</f>
        <v>0</v>
      </c>
      <c r="Q6" s="52"/>
      <c r="R6" s="52"/>
      <c r="S6" s="52"/>
      <c r="T6" s="52"/>
      <c r="U6" s="52"/>
      <c r="V6" s="53">
        <f>IF(AND(F6&gt;0,F6&lt;=N$4),E6,0)</f>
        <v>0</v>
      </c>
      <c r="W6" s="51">
        <f>IF(YEAR($F6)=W$4,$E6,0)</f>
        <v>0</v>
      </c>
      <c r="X6" s="51">
        <f>IF($J6&lt;&gt;"H",W6,0)</f>
        <v>0</v>
      </c>
      <c r="Y6" s="51">
        <f>IF(W6&lt;&gt;0,ROUND(W6*YEARFRAC($F6,AE$4,0),2),0)</f>
        <v>0</v>
      </c>
      <c r="Z6" s="51">
        <f>IF($J6&lt;&gt;"H",Y6,0)</f>
        <v>0</v>
      </c>
      <c r="AA6" s="51">
        <f>IF(AND($F6&gt;0,$F6&lt;=AE$4),$E6,0)</f>
        <v>0</v>
      </c>
      <c r="AB6" s="51">
        <f>IF(AC6&lt;&gt;0,ROUND(AC6/$M6*AA6,2),0)</f>
        <v>0</v>
      </c>
      <c r="AC6" s="51">
        <f>IF(AND(YEAR($F6)=YEAR(AE$4),$E6&lt;1000,$E6&gt;-1000,$F6&gt;0,$L6=1),$E6-$I6,IF(AND(YEAR($F6)=YEAR(AE$4),$F6&gt;0,$L6&gt;0),ROUND(($M6/12)*(13-MONTH($F6)),2),IF(AND(YEAR($F6)&lt;YEAR(AE$4),$E6&gt;0,$F6&gt;0,$L6&gt;0,N6&gt;$M6+$I6),$M6,IF(AND(YEAR($F6)&lt;YEAR(AE$4),$E6&gt;0,$F6&gt;0,$L6&gt;0,N6&gt;0,N6&lt;=$M6+$I6),N6-$I6,IF(AND(YEAR($F6)&lt;YEAR(AE$4),$E6&lt;0,$F6&gt;0,$L6&gt;0,N6&lt;0,N6&lt;=$M6),$M6,IF(AND(YEAR($F6)&lt;YEAR(AE$4),$E6&lt;0,$F6&gt;0,$L6&gt;0,N6&lt;0,N6&gt;$M6),N6,0))))))</f>
        <v>0</v>
      </c>
      <c r="AD6" s="51">
        <f>IF($J6&lt;&gt;"H",AC6,0)</f>
        <v>0</v>
      </c>
      <c r="AE6" s="51">
        <f>IF(AND(YEAR(AE$4)=YEAR($F6),$E6&gt;0,$F6&gt;0,$E6-AC6&gt;=0),$E6-AC6,IF(AND(YEAR(AE$4)&gt;YEAR($F6),$E6&gt;0,$F6&gt;0,N6-AC6&gt;=0),N6-AC6,IF(AND(YEAR(AE$4)=YEAR($F6),$E6&lt;0,$F6&gt;0,$E6-AC6&lt;0),$E6-AC6,IF(AND(YEAR(AE$4)&gt;YEAR($F6),$E6&lt;0,$F6&gt;0,N6-AC6&lt;=0),N6-AC6,0))))</f>
        <v>0</v>
      </c>
      <c r="AF6" s="51">
        <f>IF($J6&lt;&gt;"H",AE6,0)</f>
        <v>0</v>
      </c>
      <c r="AG6" s="51">
        <f>P6+AC6</f>
        <v>0</v>
      </c>
      <c r="AH6" s="54">
        <f>IF(AND(W6&lt;&gt;0,$J6="H",$M6=0),Y6,IF(AND(YEAR(AE$4)&gt;YEAR($F6),$J6="H",$F6&gt;0,$M6=0),$E6,0))</f>
        <v>0</v>
      </c>
      <c r="AI6" s="55">
        <f>IF(AND(YEAR(AE$4)&gt;=YEAR($F6),$E6&gt;0,$F6&gt;0,AC6&gt;0,$J6="H"),ROUND(AC6/$M6*$E6,2),IF(AND(YEAR(AE$4)&gt;=YEAR($F6),$E6&lt;0,$F6&gt;0,AC6&lt;0,$J6="H"),ROUND(AC6/$M6*$E6,2),0))</f>
        <v>0</v>
      </c>
      <c r="AJ6" s="56">
        <f>IF(AND($E6&lt;&gt;0,$F6&gt;0,YEAR($F6)&gt;=Preisindex!$A$6,YEAR(AE$4)&gt;=YEAR($F6),AND($K6&lt;&gt;"a",$K6&lt;&gt;"b",$K6&lt;&gt;"g",$K6&lt;&gt;"k")),1,IF(AND($E6&lt;&gt;0,$F6&gt;0,YEAR($F6)&gt;=Preisindex!$A$6,YEAR(AE$4)&gt;=YEAR($F6),$K6="a"),ROUND(VLOOKUP(AJ$4,Preisindex,5,FALSE)/VLOOKUP(YEAR($F6),Preisindex,5,FALSE),2),IF(AND($E6&lt;&gt;0,$F6&gt;0,YEAR($F6)&gt;=Preisindex!$A$6,YEAR(AE$4)&gt;=YEAR($F6),$K6="b"),ROUND(VLOOKUP(AJ$4,Preisindex,3,FALSE)/VLOOKUP(YEAR($F6),Preisindex,3,FALSE),2),IF(AND($E6&lt;&gt;0,$F6&gt;0,YEAR($F6)&gt;=Preisindex!$A$6,YEAR(AE$4)&gt;=YEAR($F6),$K6="g"),ROUND(VLOOKUP(AJ$4,Preisindex,4,FALSE)/VLOOKUP(YEAR($F6),Preisindex,4,FALSE),2),IF(AND($E6&lt;&gt;0,$F6&gt;0,YEAR($F6)&gt;=Preisindex!$A$6,YEAR(AE$4)&gt;=YEAR($F6),$K6="k"),ROUND(VLOOKUP(AJ$4,Preisindex,2,FALSE)/VLOOKUP(YEAR($F6),Preisindex,2,FALSE),2),0)))))</f>
        <v>0</v>
      </c>
      <c r="AK6" s="56">
        <f>IF(AND($E6&lt;&gt;0,$F6&gt;0,YEAR($F6)&lt;Preisindex!$A$6,YEAR(AE$4)&gt;=YEAR($F6),AND($K6&lt;&gt;"a",$K6&lt;&gt;"b",$K6&lt;&gt;"g",$K6&lt;&gt;"k")),1,IF(AND($E6&lt;&gt;0,$F6&gt;0,YEAR($F6)&lt;Preisindex!$A$6,YEAR(AE$4)&gt;=YEAR($F6),$K6="a"),ROUND(VLOOKUP(AJ$4,Preisindex,5,FALSE)/VLOOKUP(Preisindex!$A$6,Preisindex,5,FALSE),2),IF(AND($E6&lt;&gt;0,$F6&gt;0,YEAR($F6)&lt;Preisindex!$A$6,YEAR(AE$4)&gt;=YEAR($F6),$K6="b"),ROUND(VLOOKUP(AJ$4,Preisindex,3,FALSE)/VLOOKUP(Preisindex!$A$6,Preisindex,3,FALSE),2),IF(AND($E6&lt;&gt;0,$F6&gt;0,YEAR($F6)&lt;Preisindex!$A$6,YEAR(AE$4)&gt;=YEAR($F6),$K6="g"),ROUND(VLOOKUP(AJ$4,Preisindex,4,FALSE)/VLOOKUP(Preisindex!$A$6,Preisindex,4,FALSE),2),IF(AND($E6&lt;&gt;0,$F6&gt;0,YEAR($F6)&lt;Preisindex!$A$6,YEAR(AE$4)&gt;=YEAR($F6),$K6="k"),ROUND(VLOOKUP(AJ$4,Preisindex,2,FALSE)/VLOOKUP(Preisindex!$A$6,Preisindex,2,FALSE),2),0)))))</f>
        <v>0</v>
      </c>
      <c r="AL6" s="51">
        <f>IF(AND($E6&lt;&gt;0,$F6&gt;0,YEAR($F6)&lt;=AJ$4,YEAR($F6)&gt;=Preisindex!$A$6),ROUND($E6*AJ6,2),IF(AND($E6&lt;&gt;0,$F6&gt;0,YEAR($F6)&lt;=AJ$4,YEAR($F6)&lt;Preisindex!$A$6),ROUND($E6*AK6,2),0))</f>
        <v>0</v>
      </c>
      <c r="AM6" s="53">
        <f>IF(AND(AC6&lt;&gt;0,AC6=$M6),AL6*$L6,IF(AND(AC6&lt;&gt;0,AC6&lt;&gt;$M6),AL6*($L6*(AC6/$M6)),0))</f>
        <v>0</v>
      </c>
      <c r="AN6" s="51">
        <f t="shared" si="144"/>
        <v>0</v>
      </c>
      <c r="AO6" s="51">
        <f t="shared" ref="AO6:AO21" si="256">IF($J6&lt;&gt;"H",AN6,0)</f>
        <v>0</v>
      </c>
      <c r="AP6" s="51">
        <f t="shared" si="146"/>
        <v>0</v>
      </c>
      <c r="AQ6" s="51">
        <f t="shared" ref="AQ6:AQ21" si="257">IF($J6&lt;&gt;"H",AP6,0)</f>
        <v>0</v>
      </c>
      <c r="AR6" s="51">
        <f t="shared" si="148"/>
        <v>0</v>
      </c>
      <c r="AS6" s="51">
        <f t="shared" ref="AS6:AS21" si="258">IF(AT6&lt;&gt;0,ROUND(AT6/$M6*AR6,2),0)</f>
        <v>0</v>
      </c>
      <c r="AT6" s="51">
        <f t="shared" si="150"/>
        <v>0</v>
      </c>
      <c r="AU6" s="51">
        <f t="shared" ref="AU6:AU21" si="259">IF($J6&lt;&gt;"H",AT6,0)</f>
        <v>0</v>
      </c>
      <c r="AV6" s="51">
        <f t="shared" si="152"/>
        <v>0</v>
      </c>
      <c r="AW6" s="51">
        <f t="shared" ref="AW6:AW21" si="260">IF($J6&lt;&gt;"H",AV6,0)</f>
        <v>0</v>
      </c>
      <c r="AX6" s="51">
        <f t="shared" si="154"/>
        <v>0</v>
      </c>
      <c r="AY6" s="54">
        <f t="shared" si="155"/>
        <v>0</v>
      </c>
      <c r="AZ6" s="55">
        <f t="shared" si="156"/>
        <v>0</v>
      </c>
      <c r="BA6" s="56">
        <f>IF(AND($E6&lt;&gt;0,$F6&gt;0,YEAR($F6)&gt;=Preisindex!$A$6,YEAR(AV$4)&gt;=YEAR($F6),AND($K6&lt;&gt;"a",$K6&lt;&gt;"b",$K6&lt;&gt;"g",$K6&lt;&gt;"k")),1,IF(AND($E6&lt;&gt;0,$F6&gt;0,YEAR($F6)&gt;=Preisindex!$A$6,YEAR(AV$4)&gt;=YEAR($F6),$K6="a"),ROUND(VLOOKUP(BA$4,Preisindex,5,FALSE)/VLOOKUP(YEAR($F6),Preisindex,5,FALSE),2),IF(AND($E6&lt;&gt;0,$F6&gt;0,YEAR($F6)&gt;=Preisindex!$A$6,YEAR(AV$4)&gt;=YEAR($F6),$K6="b"),ROUND(VLOOKUP(BA$4,Preisindex,3,FALSE)/VLOOKUP(YEAR($F6),Preisindex,3,FALSE),2),IF(AND($E6&lt;&gt;0,$F6&gt;0,YEAR($F6)&gt;=Preisindex!$A$6,YEAR(AV$4)&gt;=YEAR($F6),$K6="g"),ROUND(VLOOKUP(BA$4,Preisindex,4,FALSE)/VLOOKUP(YEAR($F6),Preisindex,4,FALSE),2),IF(AND($E6&lt;&gt;0,$F6&gt;0,YEAR($F6)&gt;=Preisindex!$A$6,YEAR(AV$4)&gt;=YEAR($F6),$K6="k"),ROUND(VLOOKUP(BA$4,Preisindex,2,FALSE)/VLOOKUP(YEAR($F6),Preisindex,2,FALSE),2),0)))))</f>
        <v>0</v>
      </c>
      <c r="BB6" s="56">
        <f>IF(AND($E6&lt;&gt;0,$F6&gt;0,YEAR($F6)&lt;Preisindex!$A$6,YEAR(AV$4)&gt;=YEAR($F6),AND($K6&lt;&gt;"a",$K6&lt;&gt;"b",$K6&lt;&gt;"g",$K6&lt;&gt;"k")),1,IF(AND($E6&lt;&gt;0,$F6&gt;0,YEAR($F6)&lt;Preisindex!$A$6,YEAR(AV$4)&gt;=YEAR($F6),$K6="a"),ROUND(VLOOKUP(BA$4,Preisindex,5,FALSE)/VLOOKUP(Preisindex!$A$6,Preisindex,5,FALSE),2),IF(AND($E6&lt;&gt;0,$F6&gt;0,YEAR($F6)&lt;Preisindex!$A$6,YEAR(AV$4)&gt;=YEAR($F6),$K6="b"),ROUND(VLOOKUP(BA$4,Preisindex,3,FALSE)/VLOOKUP(Preisindex!$A$6,Preisindex,3,FALSE),2),IF(AND($E6&lt;&gt;0,$F6&gt;0,YEAR($F6)&lt;Preisindex!$A$6,YEAR(AV$4)&gt;=YEAR($F6),$K6="g"),ROUND(VLOOKUP(BA$4,Preisindex,4,FALSE)/VLOOKUP(Preisindex!$A$6,Preisindex,4,FALSE),2),IF(AND($E6&lt;&gt;0,$F6&gt;0,YEAR($F6)&lt;Preisindex!$A$6,YEAR(AV$4)&gt;=YEAR($F6),$K6="k"),ROUND(VLOOKUP(BA$4,Preisindex,2,FALSE)/VLOOKUP(Preisindex!$A$6,Preisindex,2,FALSE),2),0)))))</f>
        <v>0</v>
      </c>
      <c r="BC6" s="51">
        <f>IF(AND($E6&lt;&gt;0,$F6&gt;0,YEAR($F6)&lt;=BA$4,YEAR($F6)&gt;=Preisindex!$A$6),ROUND($E6*BA6,2),IF(AND($E6&lt;&gt;0,$F6&gt;0,YEAR($F6)&lt;=BA$4,YEAR($F6)&lt;Preisindex!$A$6),ROUND($E6*BB6,2),0))</f>
        <v>0</v>
      </c>
      <c r="BD6" s="53">
        <f t="shared" si="157"/>
        <v>0</v>
      </c>
      <c r="BE6" s="51">
        <f t="shared" si="158"/>
        <v>0</v>
      </c>
      <c r="BF6" s="51">
        <f t="shared" ref="BF6:BF21" si="261">IF($J6&lt;&gt;"H",BE6,0)</f>
        <v>0</v>
      </c>
      <c r="BG6" s="51">
        <f t="shared" si="160"/>
        <v>0</v>
      </c>
      <c r="BH6" s="51">
        <f t="shared" ref="BH6:BH21" si="262">IF($J6&lt;&gt;"H",BG6,0)</f>
        <v>0</v>
      </c>
      <c r="BI6" s="51">
        <f t="shared" si="162"/>
        <v>0</v>
      </c>
      <c r="BJ6" s="51">
        <f t="shared" ref="BJ6:BJ21" si="263">IF(BK6&lt;&gt;0,ROUND(BK6/$M6*BI6,2),0)</f>
        <v>0</v>
      </c>
      <c r="BK6" s="51">
        <f t="shared" si="164"/>
        <v>0</v>
      </c>
      <c r="BL6" s="51">
        <f t="shared" ref="BL6:BL21" si="264">IF($J6&lt;&gt;"H",BK6,0)</f>
        <v>0</v>
      </c>
      <c r="BM6" s="51">
        <f t="shared" si="166"/>
        <v>0</v>
      </c>
      <c r="BN6" s="51">
        <f t="shared" ref="BN6:BN21" si="265">IF($J6&lt;&gt;"H",BM6,0)</f>
        <v>0</v>
      </c>
      <c r="BO6" s="51">
        <f t="shared" si="168"/>
        <v>0</v>
      </c>
      <c r="BP6" s="54">
        <f t="shared" si="169"/>
        <v>0</v>
      </c>
      <c r="BQ6" s="55">
        <f t="shared" si="170"/>
        <v>0</v>
      </c>
      <c r="BR6" s="56">
        <f>IF(AND($E6&lt;&gt;0,$F6&gt;0,YEAR($F6)&gt;=Preisindex!$A$6,YEAR(BM$4)&gt;=YEAR($F6),AND($K6&lt;&gt;"a",$K6&lt;&gt;"b",$K6&lt;&gt;"g",$K6&lt;&gt;"k")),1,IF(AND($E6&lt;&gt;0,$F6&gt;0,YEAR($F6)&gt;=Preisindex!$A$6,YEAR(BM$4)&gt;=YEAR($F6),$K6="a"),ROUND(VLOOKUP(BR$4,Preisindex,5,FALSE)/VLOOKUP(YEAR($F6),Preisindex,5,FALSE),2),IF(AND($E6&lt;&gt;0,$F6&gt;0,YEAR($F6)&gt;=Preisindex!$A$6,YEAR(BM$4)&gt;=YEAR($F6),$K6="b"),ROUND(VLOOKUP(BR$4,Preisindex,3,FALSE)/VLOOKUP(YEAR($F6),Preisindex,3,FALSE),2),IF(AND($E6&lt;&gt;0,$F6&gt;0,YEAR($F6)&gt;=Preisindex!$A$6,YEAR(BM$4)&gt;=YEAR($F6),$K6="g"),ROUND(VLOOKUP(BR$4,Preisindex,4,FALSE)/VLOOKUP(YEAR($F6),Preisindex,4,FALSE),2),IF(AND($E6&lt;&gt;0,$F6&gt;0,YEAR($F6)&gt;=Preisindex!$A$6,YEAR(BM$4)&gt;=YEAR($F6),$K6="k"),ROUND(VLOOKUP(BR$4,Preisindex,2,FALSE)/VLOOKUP(YEAR($F6),Preisindex,2,FALSE),2),0)))))</f>
        <v>0</v>
      </c>
      <c r="BS6" s="56">
        <f>IF(AND($E6&lt;&gt;0,$F6&gt;0,YEAR($F6)&lt;Preisindex!$A$6,YEAR(BM$4)&gt;=YEAR($F6),AND($K6&lt;&gt;"a",$K6&lt;&gt;"b",$K6&lt;&gt;"g",$K6&lt;&gt;"k")),1,IF(AND($E6&lt;&gt;0,$F6&gt;0,YEAR($F6)&lt;Preisindex!$A$6,YEAR(BM$4)&gt;=YEAR($F6),$K6="a"),ROUND(VLOOKUP(BR$4,Preisindex,5,FALSE)/VLOOKUP(Preisindex!$A$6,Preisindex,5,FALSE),2),IF(AND($E6&lt;&gt;0,$F6&gt;0,YEAR($F6)&lt;Preisindex!$A$6,YEAR(BM$4)&gt;=YEAR($F6),$K6="b"),ROUND(VLOOKUP(BR$4,Preisindex,3,FALSE)/VLOOKUP(Preisindex!$A$6,Preisindex,3,FALSE),2),IF(AND($E6&lt;&gt;0,$F6&gt;0,YEAR($F6)&lt;Preisindex!$A$6,YEAR(BM$4)&gt;=YEAR($F6),$K6="g"),ROUND(VLOOKUP(BR$4,Preisindex,4,FALSE)/VLOOKUP(Preisindex!$A$6,Preisindex,4,FALSE),2),IF(AND($E6&lt;&gt;0,$F6&gt;0,YEAR($F6)&lt;Preisindex!$A$6,YEAR(BM$4)&gt;=YEAR($F6),$K6="k"),ROUND(VLOOKUP(BR$4,Preisindex,2,FALSE)/VLOOKUP(Preisindex!$A$6,Preisindex,2,FALSE),2),0)))))</f>
        <v>0</v>
      </c>
      <c r="BT6" s="51">
        <f>IF(AND($E6&lt;&gt;0,$F6&gt;0,YEAR($F6)&lt;=BR$4,YEAR($F6)&gt;=Preisindex!$A$6),ROUND($E6*BR6,2),IF(AND($E6&lt;&gt;0,$F6&gt;0,YEAR($F6)&lt;=BR$4,YEAR($F6)&lt;Preisindex!$A$6),ROUND($E6*BS6,2),0))</f>
        <v>0</v>
      </c>
      <c r="BU6" s="53">
        <f t="shared" si="171"/>
        <v>0</v>
      </c>
      <c r="BV6" s="51">
        <f t="shared" si="172"/>
        <v>0</v>
      </c>
      <c r="BW6" s="51">
        <f t="shared" ref="BW6:BW21" si="266">IF($J6&lt;&gt;"H",BV6,0)</f>
        <v>0</v>
      </c>
      <c r="BX6" s="51">
        <f t="shared" si="174"/>
        <v>0</v>
      </c>
      <c r="BY6" s="51">
        <f t="shared" ref="BY6:BY21" si="267">IF($J6&lt;&gt;"H",BX6,0)</f>
        <v>0</v>
      </c>
      <c r="BZ6" s="51">
        <f t="shared" si="176"/>
        <v>0</v>
      </c>
      <c r="CA6" s="51">
        <f t="shared" ref="CA6:CA21" si="268">IF(CB6&lt;&gt;0,ROUND(CB6/$M6*BZ6,2),0)</f>
        <v>0</v>
      </c>
      <c r="CB6" s="51">
        <f t="shared" si="178"/>
        <v>0</v>
      </c>
      <c r="CC6" s="51">
        <f t="shared" ref="CC6:CC21" si="269">IF($J6&lt;&gt;"H",CB6,0)</f>
        <v>0</v>
      </c>
      <c r="CD6" s="51">
        <f t="shared" si="180"/>
        <v>0</v>
      </c>
      <c r="CE6" s="51">
        <f t="shared" ref="CE6:CE21" si="270">IF($J6&lt;&gt;"H",CD6,0)</f>
        <v>0</v>
      </c>
      <c r="CF6" s="51">
        <f t="shared" si="182"/>
        <v>0</v>
      </c>
      <c r="CG6" s="54">
        <f t="shared" si="183"/>
        <v>0</v>
      </c>
      <c r="CH6" s="55">
        <f t="shared" si="184"/>
        <v>0</v>
      </c>
      <c r="CI6" s="56">
        <f>IF(AND($E6&lt;&gt;0,$F6&gt;0,YEAR($F6)&gt;=Preisindex!$A$6,YEAR(CD$4)&gt;=YEAR($F6),AND($K6&lt;&gt;"a",$K6&lt;&gt;"b",$K6&lt;&gt;"g",$K6&lt;&gt;"k")),1,IF(AND($E6&lt;&gt;0,$F6&gt;0,YEAR($F6)&gt;=Preisindex!$A$6,YEAR(CD$4)&gt;=YEAR($F6),$K6="a"),ROUND(VLOOKUP(CI$4,Preisindex,5,FALSE)/VLOOKUP(YEAR($F6),Preisindex,5,FALSE),2),IF(AND($E6&lt;&gt;0,$F6&gt;0,YEAR($F6)&gt;=Preisindex!$A$6,YEAR(CD$4)&gt;=YEAR($F6),$K6="b"),ROUND(VLOOKUP(CI$4,Preisindex,3,FALSE)/VLOOKUP(YEAR($F6),Preisindex,3,FALSE),2),IF(AND($E6&lt;&gt;0,$F6&gt;0,YEAR($F6)&gt;=Preisindex!$A$6,YEAR(CD$4)&gt;=YEAR($F6),$K6="g"),ROUND(VLOOKUP(CI$4,Preisindex,4,FALSE)/VLOOKUP(YEAR($F6),Preisindex,4,FALSE),2),IF(AND($E6&lt;&gt;0,$F6&gt;0,YEAR($F6)&gt;=Preisindex!$A$6,YEAR(CD$4)&gt;=YEAR($F6),$K6="k"),ROUND(VLOOKUP(CI$4,Preisindex,2,FALSE)/VLOOKUP(YEAR($F6),Preisindex,2,FALSE),2),0)))))</f>
        <v>0</v>
      </c>
      <c r="CJ6" s="56">
        <f>IF(AND($E6&lt;&gt;0,$F6&gt;0,YEAR($F6)&lt;Preisindex!$A$6,YEAR(CD$4)&gt;=YEAR($F6),AND($K6&lt;&gt;"a",$K6&lt;&gt;"b",$K6&lt;&gt;"g",$K6&lt;&gt;"k")),1,IF(AND($E6&lt;&gt;0,$F6&gt;0,YEAR($F6)&lt;Preisindex!$A$6,YEAR(CD$4)&gt;=YEAR($F6),$K6="a"),ROUND(VLOOKUP(CI$4,Preisindex,5,FALSE)/VLOOKUP(Preisindex!$A$6,Preisindex,5,FALSE),2),IF(AND($E6&lt;&gt;0,$F6&gt;0,YEAR($F6)&lt;Preisindex!$A$6,YEAR(CD$4)&gt;=YEAR($F6),$K6="b"),ROUND(VLOOKUP(CI$4,Preisindex,3,FALSE)/VLOOKUP(Preisindex!$A$6,Preisindex,3,FALSE),2),IF(AND($E6&lt;&gt;0,$F6&gt;0,YEAR($F6)&lt;Preisindex!$A$6,YEAR(CD$4)&gt;=YEAR($F6),$K6="g"),ROUND(VLOOKUP(CI$4,Preisindex,4,FALSE)/VLOOKUP(Preisindex!$A$6,Preisindex,4,FALSE),2),IF(AND($E6&lt;&gt;0,$F6&gt;0,YEAR($F6)&lt;Preisindex!$A$6,YEAR(CD$4)&gt;=YEAR($F6),$K6="k"),ROUND(VLOOKUP(CI$4,Preisindex,2,FALSE)/VLOOKUP(Preisindex!$A$6,Preisindex,2,FALSE),2),0)))))</f>
        <v>0</v>
      </c>
      <c r="CK6" s="51">
        <f>IF(AND($E6&lt;&gt;0,$F6&gt;0,YEAR($F6)&lt;=CI$4,YEAR($F6)&gt;=Preisindex!$A$6),ROUND($E6*CI6,2),IF(AND($E6&lt;&gt;0,$F6&gt;0,YEAR($F6)&lt;=CI$4,YEAR($F6)&lt;Preisindex!$A$6),ROUND($E6*CJ6,2),0))</f>
        <v>0</v>
      </c>
      <c r="CL6" s="53">
        <f t="shared" si="185"/>
        <v>0</v>
      </c>
      <c r="CM6" s="51">
        <f t="shared" si="186"/>
        <v>0</v>
      </c>
      <c r="CN6" s="51">
        <f t="shared" ref="CN6:CN21" si="271">IF($J6&lt;&gt;"H",CM6,0)</f>
        <v>0</v>
      </c>
      <c r="CO6" s="51">
        <f t="shared" si="188"/>
        <v>0</v>
      </c>
      <c r="CP6" s="51">
        <f t="shared" ref="CP6:CP21" si="272">IF($J6&lt;&gt;"H",CO6,0)</f>
        <v>0</v>
      </c>
      <c r="CQ6" s="51">
        <f t="shared" si="190"/>
        <v>0</v>
      </c>
      <c r="CR6" s="51">
        <f t="shared" ref="CR6:CR21" si="273">IF(CS6&lt;&gt;0,ROUND(CS6/$M6*CQ6,2),0)</f>
        <v>0</v>
      </c>
      <c r="CS6" s="51">
        <f t="shared" si="192"/>
        <v>0</v>
      </c>
      <c r="CT6" s="51">
        <f t="shared" ref="CT6:CT21" si="274">IF($J6&lt;&gt;"H",CS6,0)</f>
        <v>0</v>
      </c>
      <c r="CU6" s="51">
        <f t="shared" si="194"/>
        <v>0</v>
      </c>
      <c r="CV6" s="51">
        <f t="shared" ref="CV6:CV21" si="275">IF($J6&lt;&gt;"H",CU6,0)</f>
        <v>0</v>
      </c>
      <c r="CW6" s="51">
        <f t="shared" si="196"/>
        <v>0</v>
      </c>
      <c r="CX6" s="54">
        <f t="shared" si="197"/>
        <v>0</v>
      </c>
      <c r="CY6" s="55">
        <f t="shared" si="198"/>
        <v>0</v>
      </c>
      <c r="CZ6" s="56">
        <f>IF(AND($E6&lt;&gt;0,$F6&gt;0,YEAR($F6)&gt;=Preisindex!$A$6,YEAR(CU$4)&gt;=YEAR($F6),AND($K6&lt;&gt;"a",$K6&lt;&gt;"b",$K6&lt;&gt;"g",$K6&lt;&gt;"k")),1,IF(AND($E6&lt;&gt;0,$F6&gt;0,YEAR($F6)&gt;=Preisindex!$A$6,YEAR(CU$4)&gt;=YEAR($F6),$K6="a"),ROUND(VLOOKUP(CZ$4,Preisindex,5,FALSE)/VLOOKUP(YEAR($F6),Preisindex,5,FALSE),2),IF(AND($E6&lt;&gt;0,$F6&gt;0,YEAR($F6)&gt;=Preisindex!$A$6,YEAR(CU$4)&gt;=YEAR($F6),$K6="b"),ROUND(VLOOKUP(CZ$4,Preisindex,3,FALSE)/VLOOKUP(YEAR($F6),Preisindex,3,FALSE),2),IF(AND($E6&lt;&gt;0,$F6&gt;0,YEAR($F6)&gt;=Preisindex!$A$6,YEAR(CU$4)&gt;=YEAR($F6),$K6="g"),ROUND(VLOOKUP(CZ$4,Preisindex,4,FALSE)/VLOOKUP(YEAR($F6),Preisindex,4,FALSE),2),IF(AND($E6&lt;&gt;0,$F6&gt;0,YEAR($F6)&gt;=Preisindex!$A$6,YEAR(CU$4)&gt;=YEAR($F6),$K6="k"),ROUND(VLOOKUP(CZ$4,Preisindex,2,FALSE)/VLOOKUP(YEAR($F6),Preisindex,2,FALSE),2),0)))))</f>
        <v>0</v>
      </c>
      <c r="DA6" s="56">
        <f>IF(AND($E6&lt;&gt;0,$F6&gt;0,YEAR($F6)&lt;Preisindex!$A$6,YEAR(CU$4)&gt;=YEAR($F6),AND($K6&lt;&gt;"a",$K6&lt;&gt;"b",$K6&lt;&gt;"g",$K6&lt;&gt;"k")),1,IF(AND($E6&lt;&gt;0,$F6&gt;0,YEAR($F6)&lt;Preisindex!$A$6,YEAR(CU$4)&gt;=YEAR($F6),$K6="a"),ROUND(VLOOKUP(CZ$4,Preisindex,5,FALSE)/VLOOKUP(Preisindex!$A$6,Preisindex,5,FALSE),2),IF(AND($E6&lt;&gt;0,$F6&gt;0,YEAR($F6)&lt;Preisindex!$A$6,YEAR(CU$4)&gt;=YEAR($F6),$K6="b"),ROUND(VLOOKUP(CZ$4,Preisindex,3,FALSE)/VLOOKUP(Preisindex!$A$6,Preisindex,3,FALSE),2),IF(AND($E6&lt;&gt;0,$F6&gt;0,YEAR($F6)&lt;Preisindex!$A$6,YEAR(CU$4)&gt;=YEAR($F6),$K6="g"),ROUND(VLOOKUP(CZ$4,Preisindex,4,FALSE)/VLOOKUP(Preisindex!$A$6,Preisindex,4,FALSE),2),IF(AND($E6&lt;&gt;0,$F6&gt;0,YEAR($F6)&lt;Preisindex!$A$6,YEAR(CU$4)&gt;=YEAR($F6),$K6="k"),ROUND(VLOOKUP(CZ$4,Preisindex,2,FALSE)/VLOOKUP(Preisindex!$A$6,Preisindex,2,FALSE),2),0)))))</f>
        <v>0</v>
      </c>
      <c r="DB6" s="51">
        <f>IF(AND($E6&lt;&gt;0,$F6&gt;0,YEAR($F6)&lt;=CZ$4,YEAR($F6)&gt;=Preisindex!$A$6),ROUND($E6*CZ6,2),IF(AND($E6&lt;&gt;0,$F6&gt;0,YEAR($F6)&lt;=CZ$4,YEAR($F6)&lt;Preisindex!$A$6),ROUND($E6*DA6,2),0))</f>
        <v>0</v>
      </c>
      <c r="DC6" s="53">
        <f t="shared" si="199"/>
        <v>0</v>
      </c>
      <c r="DD6" s="51">
        <f t="shared" si="200"/>
        <v>0</v>
      </c>
      <c r="DE6" s="51">
        <f t="shared" ref="DE6:DE21" si="276">IF($J6&lt;&gt;"H",DD6,0)</f>
        <v>0</v>
      </c>
      <c r="DF6" s="51">
        <f t="shared" si="202"/>
        <v>0</v>
      </c>
      <c r="DG6" s="51">
        <f t="shared" ref="DG6:DG21" si="277">IF($J6&lt;&gt;"H",DF6,0)</f>
        <v>0</v>
      </c>
      <c r="DH6" s="51">
        <f t="shared" si="204"/>
        <v>0</v>
      </c>
      <c r="DI6" s="51">
        <f t="shared" ref="DI6:DI21" si="278">IF(DJ6&lt;&gt;0,ROUND(DJ6/$M6*DH6,2),0)</f>
        <v>0</v>
      </c>
      <c r="DJ6" s="51">
        <f t="shared" si="206"/>
        <v>0</v>
      </c>
      <c r="DK6" s="51">
        <f t="shared" ref="DK6:DK21" si="279">IF($J6&lt;&gt;"H",DJ6,0)</f>
        <v>0</v>
      </c>
      <c r="DL6" s="51">
        <f t="shared" si="208"/>
        <v>0</v>
      </c>
      <c r="DM6" s="51">
        <f t="shared" ref="DM6:DM21" si="280">IF($J6&lt;&gt;"H",DL6,0)</f>
        <v>0</v>
      </c>
      <c r="DN6" s="51">
        <f t="shared" si="210"/>
        <v>0</v>
      </c>
      <c r="DO6" s="54">
        <f t="shared" si="211"/>
        <v>0</v>
      </c>
      <c r="DP6" s="55">
        <f t="shared" si="212"/>
        <v>0</v>
      </c>
      <c r="DQ6" s="56">
        <f>IF(AND($E6&lt;&gt;0,$F6&gt;0,YEAR($F6)&gt;=Preisindex!$A$6,YEAR(DL$4)&gt;=YEAR($F6),AND($K6&lt;&gt;"a",$K6&lt;&gt;"b",$K6&lt;&gt;"g",$K6&lt;&gt;"k")),1,IF(AND($E6&lt;&gt;0,$F6&gt;0,YEAR($F6)&gt;=Preisindex!$A$6,YEAR(DL$4)&gt;=YEAR($F6),$K6="a"),ROUND(VLOOKUP(DQ$4,Preisindex,5,FALSE)/VLOOKUP(YEAR($F6),Preisindex,5,FALSE),2),IF(AND($E6&lt;&gt;0,$F6&gt;0,YEAR($F6)&gt;=Preisindex!$A$6,YEAR(DL$4)&gt;=YEAR($F6),$K6="b"),ROUND(VLOOKUP(DQ$4,Preisindex,3,FALSE)/VLOOKUP(YEAR($F6),Preisindex,3,FALSE),2),IF(AND($E6&lt;&gt;0,$F6&gt;0,YEAR($F6)&gt;=Preisindex!$A$6,YEAR(DL$4)&gt;=YEAR($F6),$K6="g"),ROUND(VLOOKUP(DQ$4,Preisindex,4,FALSE)/VLOOKUP(YEAR($F6),Preisindex,4,FALSE),2),IF(AND($E6&lt;&gt;0,$F6&gt;0,YEAR($F6)&gt;=Preisindex!$A$6,YEAR(DL$4)&gt;=YEAR($F6),$K6="k"),ROUND(VLOOKUP(DQ$4,Preisindex,2,FALSE)/VLOOKUP(YEAR($F6),Preisindex,2,FALSE),2),0)))))</f>
        <v>0</v>
      </c>
      <c r="DR6" s="56">
        <f>IF(AND($E6&lt;&gt;0,$F6&gt;0,YEAR($F6)&lt;Preisindex!$A$6,YEAR(DL$4)&gt;=YEAR($F6),AND($K6&lt;&gt;"a",$K6&lt;&gt;"b",$K6&lt;&gt;"g",$K6&lt;&gt;"k")),1,IF(AND($E6&lt;&gt;0,$F6&gt;0,YEAR($F6)&lt;Preisindex!$A$6,YEAR(DL$4)&gt;=YEAR($F6),$K6="a"),ROUND(VLOOKUP(DQ$4,Preisindex,5,FALSE)/VLOOKUP(Preisindex!$A$6,Preisindex,5,FALSE),2),IF(AND($E6&lt;&gt;0,$F6&gt;0,YEAR($F6)&lt;Preisindex!$A$6,YEAR(DL$4)&gt;=YEAR($F6),$K6="b"),ROUND(VLOOKUP(DQ$4,Preisindex,3,FALSE)/VLOOKUP(Preisindex!$A$6,Preisindex,3,FALSE),2),IF(AND($E6&lt;&gt;0,$F6&gt;0,YEAR($F6)&lt;Preisindex!$A$6,YEAR(DL$4)&gt;=YEAR($F6),$K6="g"),ROUND(VLOOKUP(DQ$4,Preisindex,4,FALSE)/VLOOKUP(Preisindex!$A$6,Preisindex,4,FALSE),2),IF(AND($E6&lt;&gt;0,$F6&gt;0,YEAR($F6)&lt;Preisindex!$A$6,YEAR(DL$4)&gt;=YEAR($F6),$K6="k"),ROUND(VLOOKUP(DQ$4,Preisindex,2,FALSE)/VLOOKUP(Preisindex!$A$6,Preisindex,2,FALSE),2),0)))))</f>
        <v>0</v>
      </c>
      <c r="DS6" s="51">
        <f>IF(AND($E6&lt;&gt;0,$F6&gt;0,YEAR($F6)&lt;=DQ$4,YEAR($F6)&gt;=Preisindex!$A$6),ROUND($E6*DQ6,2),IF(AND($E6&lt;&gt;0,$F6&gt;0,YEAR($F6)&lt;=DQ$4,YEAR($F6)&lt;Preisindex!$A$6),ROUND($E6*DR6,2),0))</f>
        <v>0</v>
      </c>
      <c r="DT6" s="53">
        <f t="shared" si="213"/>
        <v>0</v>
      </c>
      <c r="DU6" s="51">
        <f t="shared" si="214"/>
        <v>0</v>
      </c>
      <c r="DV6" s="51">
        <f t="shared" ref="DV6:DV21" si="281">IF($J6&lt;&gt;"H",DU6,0)</f>
        <v>0</v>
      </c>
      <c r="DW6" s="51">
        <f t="shared" si="216"/>
        <v>0</v>
      </c>
      <c r="DX6" s="51">
        <f t="shared" ref="DX6:DX21" si="282">IF($J6&lt;&gt;"H",DW6,0)</f>
        <v>0</v>
      </c>
      <c r="DY6" s="51">
        <f t="shared" si="218"/>
        <v>0</v>
      </c>
      <c r="DZ6" s="51">
        <f t="shared" ref="DZ6:DZ21" si="283">IF(EA6&lt;&gt;0,ROUND(EA6/$M6*DY6,2),0)</f>
        <v>0</v>
      </c>
      <c r="EA6" s="51">
        <f t="shared" si="220"/>
        <v>0</v>
      </c>
      <c r="EB6" s="51">
        <f t="shared" ref="EB6:EB21" si="284">IF($J6&lt;&gt;"H",EA6,0)</f>
        <v>0</v>
      </c>
      <c r="EC6" s="51">
        <f t="shared" si="222"/>
        <v>0</v>
      </c>
      <c r="ED6" s="51">
        <f t="shared" ref="ED6:ED21" si="285">IF($J6&lt;&gt;"H",EC6,0)</f>
        <v>0</v>
      </c>
      <c r="EE6" s="51">
        <f t="shared" si="224"/>
        <v>0</v>
      </c>
      <c r="EF6" s="54">
        <f t="shared" si="225"/>
        <v>0</v>
      </c>
      <c r="EG6" s="55">
        <f t="shared" si="226"/>
        <v>0</v>
      </c>
      <c r="EH6" s="56">
        <f>IF(AND($E6&lt;&gt;0,$F6&gt;0,YEAR($F6)&gt;=Preisindex!$A$6,YEAR(EC$4)&gt;=YEAR($F6),AND($K6&lt;&gt;"a",$K6&lt;&gt;"b",$K6&lt;&gt;"g",$K6&lt;&gt;"k")),1,IF(AND($E6&lt;&gt;0,$F6&gt;0,YEAR($F6)&gt;=Preisindex!$A$6,YEAR(EC$4)&gt;=YEAR($F6),$K6="a"),ROUND(VLOOKUP(EH$4,Preisindex,5,FALSE)/VLOOKUP(YEAR($F6),Preisindex,5,FALSE),2),IF(AND($E6&lt;&gt;0,$F6&gt;0,YEAR($F6)&gt;=Preisindex!$A$6,YEAR(EC$4)&gt;=YEAR($F6),$K6="b"),ROUND(VLOOKUP(EH$4,Preisindex,3,FALSE)/VLOOKUP(YEAR($F6),Preisindex,3,FALSE),2),IF(AND($E6&lt;&gt;0,$F6&gt;0,YEAR($F6)&gt;=Preisindex!$A$6,YEAR(EC$4)&gt;=YEAR($F6),$K6="g"),ROUND(VLOOKUP(EH$4,Preisindex,4,FALSE)/VLOOKUP(YEAR($F6),Preisindex,4,FALSE),2),IF(AND($E6&lt;&gt;0,$F6&gt;0,YEAR($F6)&gt;=Preisindex!$A$6,YEAR(EC$4)&gt;=YEAR($F6),$K6="k"),ROUND(VLOOKUP(EH$4,Preisindex,2,FALSE)/VLOOKUP(YEAR($F6),Preisindex,2,FALSE),2),0)))))</f>
        <v>0</v>
      </c>
      <c r="EI6" s="56">
        <f>IF(AND($E6&lt;&gt;0,$F6&gt;0,YEAR($F6)&lt;Preisindex!$A$6,YEAR(EC$4)&gt;=YEAR($F6),AND($K6&lt;&gt;"a",$K6&lt;&gt;"b",$K6&lt;&gt;"g",$K6&lt;&gt;"k")),1,IF(AND($E6&lt;&gt;0,$F6&gt;0,YEAR($F6)&lt;Preisindex!$A$6,YEAR(EC$4)&gt;=YEAR($F6),$K6="a"),ROUND(VLOOKUP(EH$4,Preisindex,5,FALSE)/VLOOKUP(Preisindex!$A$6,Preisindex,5,FALSE),2),IF(AND($E6&lt;&gt;0,$F6&gt;0,YEAR($F6)&lt;Preisindex!$A$6,YEAR(EC$4)&gt;=YEAR($F6),$K6="b"),ROUND(VLOOKUP(EH$4,Preisindex,3,FALSE)/VLOOKUP(Preisindex!$A$6,Preisindex,3,FALSE),2),IF(AND($E6&lt;&gt;0,$F6&gt;0,YEAR($F6)&lt;Preisindex!$A$6,YEAR(EC$4)&gt;=YEAR($F6),$K6="g"),ROUND(VLOOKUP(EH$4,Preisindex,4,FALSE)/VLOOKUP(Preisindex!$A$6,Preisindex,4,FALSE),2),IF(AND($E6&lt;&gt;0,$F6&gt;0,YEAR($F6)&lt;Preisindex!$A$6,YEAR(EC$4)&gt;=YEAR($F6),$K6="k"),ROUND(VLOOKUP(EH$4,Preisindex,2,FALSE)/VLOOKUP(Preisindex!$A$6,Preisindex,2,FALSE),2),0)))))</f>
        <v>0</v>
      </c>
      <c r="EJ6" s="51">
        <f>IF(AND($E6&lt;&gt;0,$F6&gt;0,YEAR($F6)&lt;=EH$4,YEAR($F6)&gt;=Preisindex!$A$6),ROUND($E6*EH6,2),IF(AND($E6&lt;&gt;0,$F6&gt;0,YEAR($F6)&lt;=EH$4,YEAR($F6)&lt;Preisindex!$A$6),ROUND($E6*EI6,2),0))</f>
        <v>0</v>
      </c>
      <c r="EK6" s="53">
        <f t="shared" si="227"/>
        <v>0</v>
      </c>
      <c r="EL6" s="51">
        <f t="shared" si="228"/>
        <v>0</v>
      </c>
      <c r="EM6" s="51">
        <f t="shared" ref="EM6:EM21" si="286">IF($J6&lt;&gt;"H",EL6,0)</f>
        <v>0</v>
      </c>
      <c r="EN6" s="51">
        <f t="shared" si="230"/>
        <v>0</v>
      </c>
      <c r="EO6" s="51">
        <f t="shared" ref="EO6:EO21" si="287">IF($J6&lt;&gt;"H",EN6,0)</f>
        <v>0</v>
      </c>
      <c r="EP6" s="51">
        <f t="shared" si="232"/>
        <v>0</v>
      </c>
      <c r="EQ6" s="51">
        <f t="shared" ref="EQ6:EQ21" si="288">IF(ER6&lt;&gt;0,ROUND(ER6/$M6*EP6,2),0)</f>
        <v>0</v>
      </c>
      <c r="ER6" s="51">
        <f t="shared" si="234"/>
        <v>0</v>
      </c>
      <c r="ES6" s="51">
        <f t="shared" ref="ES6:ES21" si="289">IF($J6&lt;&gt;"H",ER6,0)</f>
        <v>0</v>
      </c>
      <c r="ET6" s="51">
        <f t="shared" si="236"/>
        <v>0</v>
      </c>
      <c r="EU6" s="51">
        <f t="shared" ref="EU6:EU21" si="290">IF($J6&lt;&gt;"H",ET6,0)</f>
        <v>0</v>
      </c>
      <c r="EV6" s="51">
        <f t="shared" si="238"/>
        <v>0</v>
      </c>
      <c r="EW6" s="54">
        <f t="shared" si="239"/>
        <v>0</v>
      </c>
      <c r="EX6" s="55">
        <f t="shared" si="240"/>
        <v>0</v>
      </c>
      <c r="EY6" s="56">
        <f>IF(AND($E6&lt;&gt;0,$F6&gt;0,YEAR($F6)&gt;=Preisindex!$A$6,YEAR(ET$4)&gt;=YEAR($F6),AND($K6&lt;&gt;"a",$K6&lt;&gt;"b",$K6&lt;&gt;"g",$K6&lt;&gt;"k")),1,IF(AND($E6&lt;&gt;0,$F6&gt;0,YEAR($F6)&gt;=Preisindex!$A$6,YEAR(ET$4)&gt;=YEAR($F6),$K6="a"),ROUND(VLOOKUP(EY$4,Preisindex,5,FALSE)/VLOOKUP(YEAR($F6),Preisindex,5,FALSE),2),IF(AND($E6&lt;&gt;0,$F6&gt;0,YEAR($F6)&gt;=Preisindex!$A$6,YEAR(ET$4)&gt;=YEAR($F6),$K6="b"),ROUND(VLOOKUP(EY$4,Preisindex,3,FALSE)/VLOOKUP(YEAR($F6),Preisindex,3,FALSE),2),IF(AND($E6&lt;&gt;0,$F6&gt;0,YEAR($F6)&gt;=Preisindex!$A$6,YEAR(ET$4)&gt;=YEAR($F6),$K6="g"),ROUND(VLOOKUP(EY$4,Preisindex,4,FALSE)/VLOOKUP(YEAR($F6),Preisindex,4,FALSE),2),IF(AND($E6&lt;&gt;0,$F6&gt;0,YEAR($F6)&gt;=Preisindex!$A$6,YEAR(ET$4)&gt;=YEAR($F6),$K6="k"),ROUND(VLOOKUP(EY$4,Preisindex,2,FALSE)/VLOOKUP(YEAR($F6),Preisindex,2,FALSE),2),0)))))</f>
        <v>0</v>
      </c>
      <c r="EZ6" s="56">
        <f>IF(AND($E6&lt;&gt;0,$F6&gt;0,YEAR($F6)&lt;Preisindex!$A$6,YEAR(ET$4)&gt;=YEAR($F6),AND($K6&lt;&gt;"a",$K6&lt;&gt;"b",$K6&lt;&gt;"g",$K6&lt;&gt;"k")),1,IF(AND($E6&lt;&gt;0,$F6&gt;0,YEAR($F6)&lt;Preisindex!$A$6,YEAR(ET$4)&gt;=YEAR($F6),$K6="a"),ROUND(VLOOKUP(EY$4,Preisindex,5,FALSE)/VLOOKUP(Preisindex!$A$6,Preisindex,5,FALSE),2),IF(AND($E6&lt;&gt;0,$F6&gt;0,YEAR($F6)&lt;Preisindex!$A$6,YEAR(ET$4)&gt;=YEAR($F6),$K6="b"),ROUND(VLOOKUP(EY$4,Preisindex,3,FALSE)/VLOOKUP(Preisindex!$A$6,Preisindex,3,FALSE),2),IF(AND($E6&lt;&gt;0,$F6&gt;0,YEAR($F6)&lt;Preisindex!$A$6,YEAR(ET$4)&gt;=YEAR($F6),$K6="g"),ROUND(VLOOKUP(EY$4,Preisindex,4,FALSE)/VLOOKUP(Preisindex!$A$6,Preisindex,4,FALSE),2),IF(AND($E6&lt;&gt;0,$F6&gt;0,YEAR($F6)&lt;Preisindex!$A$6,YEAR(ET$4)&gt;=YEAR($F6),$K6="k"),ROUND(VLOOKUP(EY$4,Preisindex,2,FALSE)/VLOOKUP(Preisindex!$A$6,Preisindex,2,FALSE),2),0)))))</f>
        <v>0</v>
      </c>
      <c r="FA6" s="51">
        <f>IF(AND($E6&lt;&gt;0,$F6&gt;0,YEAR($F6)&lt;=EY$4,YEAR($F6)&gt;=Preisindex!$A$6),ROUND($E6*EY6,2),IF(AND($E6&lt;&gt;0,$F6&gt;0,YEAR($F6)&lt;=EY$4,YEAR($F6)&lt;Preisindex!$A$6),ROUND($E6*EZ6,2),0))</f>
        <v>0</v>
      </c>
      <c r="FB6" s="53">
        <f t="shared" si="241"/>
        <v>0</v>
      </c>
      <c r="FC6" s="51">
        <f t="shared" si="242"/>
        <v>0</v>
      </c>
      <c r="FD6" s="51">
        <f t="shared" ref="FD6:FD21" si="291">IF($J6&lt;&gt;"H",FC6,0)</f>
        <v>0</v>
      </c>
      <c r="FE6" s="51">
        <f t="shared" si="244"/>
        <v>0</v>
      </c>
      <c r="FF6" s="51">
        <f t="shared" ref="FF6:FF21" si="292">IF($J6&lt;&gt;"H",FE6,0)</f>
        <v>0</v>
      </c>
      <c r="FG6" s="51">
        <f t="shared" si="246"/>
        <v>0</v>
      </c>
      <c r="FH6" s="51">
        <f t="shared" ref="FH6:FH21" si="293">IF(FI6&lt;&gt;0,ROUND(FI6/$M6*FG6,2),0)</f>
        <v>0</v>
      </c>
      <c r="FI6" s="51">
        <f t="shared" si="248"/>
        <v>0</v>
      </c>
      <c r="FJ6" s="51">
        <f t="shared" ref="FJ6:FJ21" si="294">IF($J6&lt;&gt;"H",FI6,0)</f>
        <v>0</v>
      </c>
      <c r="FK6" s="51">
        <f t="shared" si="250"/>
        <v>0</v>
      </c>
      <c r="FL6" s="51">
        <f t="shared" ref="FL6:FL21" si="295">IF($J6&lt;&gt;"H",FK6,0)</f>
        <v>0</v>
      </c>
      <c r="FM6" s="51">
        <f t="shared" si="252"/>
        <v>0</v>
      </c>
      <c r="FN6" s="54">
        <f t="shared" si="253"/>
        <v>0</v>
      </c>
      <c r="FO6" s="55">
        <f t="shared" si="254"/>
        <v>0</v>
      </c>
      <c r="FP6" s="56">
        <f>IF(AND($E6&lt;&gt;0,$F6&gt;0,YEAR($F6)&gt;=Preisindex!$A$6,YEAR(FK$4)&gt;=YEAR($F6),AND($K6&lt;&gt;"a",$K6&lt;&gt;"b",$K6&lt;&gt;"g",$K6&lt;&gt;"k")),1,IF(AND($E6&lt;&gt;0,$F6&gt;0,YEAR($F6)&gt;=Preisindex!$A$6,YEAR(FK$4)&gt;=YEAR($F6),$K6="a"),ROUND(VLOOKUP(FP$4,Preisindex,5,FALSE)/VLOOKUP(YEAR($F6),Preisindex,5,FALSE),2),IF(AND($E6&lt;&gt;0,$F6&gt;0,YEAR($F6)&gt;=Preisindex!$A$6,YEAR(FK$4)&gt;=YEAR($F6),$K6="b"),ROUND(VLOOKUP(FP$4,Preisindex,3,FALSE)/VLOOKUP(YEAR($F6),Preisindex,3,FALSE),2),IF(AND($E6&lt;&gt;0,$F6&gt;0,YEAR($F6)&gt;=Preisindex!$A$6,YEAR(FK$4)&gt;=YEAR($F6),$K6="g"),ROUND(VLOOKUP(FP$4,Preisindex,4,FALSE)/VLOOKUP(YEAR($F6),Preisindex,4,FALSE),2),IF(AND($E6&lt;&gt;0,$F6&gt;0,YEAR($F6)&gt;=Preisindex!$A$6,YEAR(FK$4)&gt;=YEAR($F6),$K6="k"),ROUND(VLOOKUP(FP$4,Preisindex,2,FALSE)/VLOOKUP(YEAR($F6),Preisindex,2,FALSE),2),0)))))</f>
        <v>0</v>
      </c>
      <c r="FQ6" s="56">
        <f>IF(AND($E6&lt;&gt;0,$F6&gt;0,YEAR($F6)&lt;Preisindex!$A$6,YEAR(FK$4)&gt;=YEAR($F6),AND($K6&lt;&gt;"a",$K6&lt;&gt;"b",$K6&lt;&gt;"g",$K6&lt;&gt;"k")),1,IF(AND($E6&lt;&gt;0,$F6&gt;0,YEAR($F6)&lt;Preisindex!$A$6,YEAR(FK$4)&gt;=YEAR($F6),$K6="a"),ROUND(VLOOKUP(FP$4,Preisindex,5,FALSE)/VLOOKUP(Preisindex!$A$6,Preisindex,5,FALSE),2),IF(AND($E6&lt;&gt;0,$F6&gt;0,YEAR($F6)&lt;Preisindex!$A$6,YEAR(FK$4)&gt;=YEAR($F6),$K6="b"),ROUND(VLOOKUP(FP$4,Preisindex,3,FALSE)/VLOOKUP(Preisindex!$A$6,Preisindex,3,FALSE),2),IF(AND($E6&lt;&gt;0,$F6&gt;0,YEAR($F6)&lt;Preisindex!$A$6,YEAR(FK$4)&gt;=YEAR($F6),$K6="g"),ROUND(VLOOKUP(FP$4,Preisindex,4,FALSE)/VLOOKUP(Preisindex!$A$6,Preisindex,4,FALSE),2),IF(AND($E6&lt;&gt;0,$F6&gt;0,YEAR($F6)&lt;Preisindex!$A$6,YEAR(FK$4)&gt;=YEAR($F6),$K6="k"),ROUND(VLOOKUP(FP$4,Preisindex,2,FALSE)/VLOOKUP(Preisindex!$A$6,Preisindex,2,FALSE),2),0)))))</f>
        <v>0</v>
      </c>
      <c r="FR6" s="51">
        <f>IF(AND($E6&lt;&gt;0,$F6&gt;0,YEAR($F6)&lt;=FP$4,YEAR($F6)&gt;=Preisindex!$A$6),ROUND($E6*FP6,2),IF(AND($E6&lt;&gt;0,$F6&gt;0,YEAR($F6)&lt;=FP$4,YEAR($F6)&lt;Preisindex!$A$6),ROUND($E6*FQ6,2),0))</f>
        <v>0</v>
      </c>
      <c r="FS6" s="53">
        <f t="shared" si="255"/>
        <v>0</v>
      </c>
    </row>
    <row r="7" spans="1:175" x14ac:dyDescent="0.3">
      <c r="A7" s="93"/>
      <c r="B7" s="94" t="s">
        <v>198</v>
      </c>
      <c r="C7" s="94"/>
      <c r="D7" s="95"/>
      <c r="E7" s="99"/>
      <c r="F7" s="97"/>
      <c r="G7" s="98"/>
      <c r="H7" s="620"/>
      <c r="I7" s="621"/>
      <c r="J7" s="194"/>
      <c r="K7" s="630"/>
      <c r="L7" s="49">
        <f t="shared" ref="L7:L70" si="296">IF(AND(G7&gt;0,G7&lt;=1,H7=0),1,IF(H7&gt;=1,1,IF(AND(H7&gt;0,H7&lt;1),H7,IF(AND(G7&gt;1,OR(H7=0,H7="")),ROUND(1/G7,4),0))))</f>
        <v>0</v>
      </c>
      <c r="M7" s="50">
        <f t="shared" ref="M7:M70" si="297">IF(AND(E7&gt;0,F7&gt;0,OR(G7&gt;0,H7&gt;0)),ROUND((E7-I7)*L7,2),IF(AND(E7&lt;0,F7&gt;0,OR(G7&gt;0,H7&gt;0)),ROUND(E7*L7,2),0))</f>
        <v>0</v>
      </c>
      <c r="N7" s="51">
        <f t="shared" ref="N7:N70" si="298">IF(AND(E7-P7&gt;=0,F7&gt;0,YEAR(N$4)&gt;=YEAR(F7)),E7-P7,IF(AND(E7-P7&lt;0,F7&gt;0,YEAR(N$4)&gt;=YEAR(F7)),E7-P7,0))</f>
        <v>0</v>
      </c>
      <c r="O7" s="51"/>
      <c r="P7" s="51">
        <f t="shared" ref="P7:P70" si="299">IF(AND(YEAR(F7)&lt;=YEAR(N$4),E7&lt;1000,E7&gt;-1000,F7&gt;0,L7=1),E7-I7,IF(AND(YEAR(F7)&lt;=YEAR(N$4),E7&gt;0,F7&gt;0,L7&gt;0,E7&gt;M7*(YEAR(N$4)-YEAR(F7))+ROUND((M7/12)*(13-MONTH(F7)),2)+I7),M7*(YEAR(N$4)-YEAR(F7))+ROUND((M7/12)*(13-MONTH(F7)),2),IF(AND(YEAR(F7)&lt;=YEAR(N$4),E7&gt;0,F7&gt;0,L7&gt;0,E7&lt;=(M7*(YEAR(N$4)-YEAR(F7)+ROUND((M7/12)*(13-MONTH(F7)),2)))+I7),E7-I7,IF(AND(YEAR(F7)&lt;=YEAR(N$4),E7&lt;0,F7&gt;0,L7&gt;0,E7&lt;M7*(YEAR(N$4)-YEAR(F7))+ROUND((M7/12)*(13-MONTH(F7)),2)+I7),M7*(YEAR(N$4)-YEAR(F7))+ROUND((M7/12)*(13-MONTH(F7)),2),IF(AND(YEAR(F7)&lt;=YEAR(N$4),E7&lt;0,F7&gt;0,L7&gt;0,E7&lt;=(M7*(YEAR(N$4)-YEAR(F7)+ROUND((M7/12)*(13-MONTH(F7)),2)))),E7,0)))))</f>
        <v>0</v>
      </c>
      <c r="Q7" s="52"/>
      <c r="R7" s="52"/>
      <c r="S7" s="52"/>
      <c r="T7" s="52"/>
      <c r="U7" s="52"/>
      <c r="V7" s="53">
        <f t="shared" ref="V7:V70" si="300">IF(AND(F7&gt;0,F7&lt;=N$4),E7,0)</f>
        <v>0</v>
      </c>
      <c r="W7" s="51">
        <f t="shared" ref="W7:W70" si="301">IF(YEAR($F7)=W$4,$E7,0)</f>
        <v>0</v>
      </c>
      <c r="X7" s="51">
        <f t="shared" ref="X7:X70" si="302">IF($J7&lt;&gt;"H",W7,0)</f>
        <v>0</v>
      </c>
      <c r="Y7" s="51">
        <f t="shared" ref="Y7:Y70" si="303">IF(W7&lt;&gt;0,ROUND(W7*YEARFRAC($F7,AE$4,0),2),0)</f>
        <v>0</v>
      </c>
      <c r="Z7" s="51">
        <f t="shared" ref="Z7:Z70" si="304">IF($J7&lt;&gt;"H",Y7,0)</f>
        <v>0</v>
      </c>
      <c r="AA7" s="51">
        <f t="shared" ref="AA7:AA70" si="305">IF(AND($F7&gt;0,$F7&lt;=AE$4),$E7,0)</f>
        <v>0</v>
      </c>
      <c r="AB7" s="51">
        <f t="shared" ref="AB7:AB70" si="306">IF(AC7&lt;&gt;0,ROUND(AC7/$M7*AA7,2),0)</f>
        <v>0</v>
      </c>
      <c r="AC7" s="51">
        <f t="shared" ref="AC7:AC70" si="307">IF(AND(YEAR($F7)=YEAR(AE$4),$E7&lt;1000,$E7&gt;-1000,$F7&gt;0,$L7=1),$E7-$I7,IF(AND(YEAR($F7)=YEAR(AE$4),$F7&gt;0,$L7&gt;0),ROUND(($M7/12)*(13-MONTH($F7)),2),IF(AND(YEAR($F7)&lt;YEAR(AE$4),$E7&gt;0,$F7&gt;0,$L7&gt;0,N7&gt;$M7+$I7),$M7,IF(AND(YEAR($F7)&lt;YEAR(AE$4),$E7&gt;0,$F7&gt;0,$L7&gt;0,N7&gt;0,N7&lt;=$M7+$I7),N7-$I7,IF(AND(YEAR($F7)&lt;YEAR(AE$4),$E7&lt;0,$F7&gt;0,$L7&gt;0,N7&lt;0,N7&lt;=$M7),$M7,IF(AND(YEAR($F7)&lt;YEAR(AE$4),$E7&lt;0,$F7&gt;0,$L7&gt;0,N7&lt;0,N7&gt;$M7),N7,0))))))</f>
        <v>0</v>
      </c>
      <c r="AD7" s="51">
        <f t="shared" ref="AD7:AD70" si="308">IF($J7&lt;&gt;"H",AC7,0)</f>
        <v>0</v>
      </c>
      <c r="AE7" s="51">
        <f t="shared" ref="AE7:AE70" si="309">IF(AND(YEAR(AE$4)=YEAR($F7),$E7&gt;0,$F7&gt;0,$E7-AC7&gt;=0),$E7-AC7,IF(AND(YEAR(AE$4)&gt;YEAR($F7),$E7&gt;0,$F7&gt;0,N7-AC7&gt;=0),N7-AC7,IF(AND(YEAR(AE$4)=YEAR($F7),$E7&lt;0,$F7&gt;0,$E7-AC7&lt;0),$E7-AC7,IF(AND(YEAR(AE$4)&gt;YEAR($F7),$E7&lt;0,$F7&gt;0,N7-AC7&lt;=0),N7-AC7,0))))</f>
        <v>0</v>
      </c>
      <c r="AF7" s="51">
        <f t="shared" ref="AF7:AF70" si="310">IF($J7&lt;&gt;"H",AE7,0)</f>
        <v>0</v>
      </c>
      <c r="AG7" s="51">
        <f t="shared" ref="AG7:AG70" si="311">P7+AC7</f>
        <v>0</v>
      </c>
      <c r="AH7" s="54">
        <f t="shared" ref="AH7:AH70" si="312">IF(AND(W7&lt;&gt;0,$J7="H",$M7=0),Y7,IF(AND(YEAR(AE$4)&gt;YEAR($F7),$J7="H",$F7&gt;0,$M7=0),$E7,0))</f>
        <v>0</v>
      </c>
      <c r="AI7" s="55">
        <f t="shared" ref="AI7:AI70" si="313">IF(AND(YEAR(AE$4)&gt;=YEAR($F7),$E7&gt;0,$F7&gt;0,AC7&gt;0,$J7="H"),ROUND(AC7/$M7*$E7,2),IF(AND(YEAR(AE$4)&gt;=YEAR($F7),$E7&lt;0,$F7&gt;0,AC7&lt;0,$J7="H"),ROUND(AC7/$M7*$E7,2),0))</f>
        <v>0</v>
      </c>
      <c r="AJ7" s="56">
        <f>IF(AND($E7&lt;&gt;0,$F7&gt;0,YEAR($F7)&gt;=Preisindex!$A$6,YEAR(AE$4)&gt;=YEAR($F7),AND($K7&lt;&gt;"a",$K7&lt;&gt;"b",$K7&lt;&gt;"g",$K7&lt;&gt;"k")),1,IF(AND($E7&lt;&gt;0,$F7&gt;0,YEAR($F7)&gt;=Preisindex!$A$6,YEAR(AE$4)&gt;=YEAR($F7),$K7="a"),ROUND(VLOOKUP(AJ$4,Preisindex,5,FALSE)/VLOOKUP(YEAR($F7),Preisindex,5,FALSE),2),IF(AND($E7&lt;&gt;0,$F7&gt;0,YEAR($F7)&gt;=Preisindex!$A$6,YEAR(AE$4)&gt;=YEAR($F7),$K7="b"),ROUND(VLOOKUP(AJ$4,Preisindex,3,FALSE)/VLOOKUP(YEAR($F7),Preisindex,3,FALSE),2),IF(AND($E7&lt;&gt;0,$F7&gt;0,YEAR($F7)&gt;=Preisindex!$A$6,YEAR(AE$4)&gt;=YEAR($F7),$K7="g"),ROUND(VLOOKUP(AJ$4,Preisindex,4,FALSE)/VLOOKUP(YEAR($F7),Preisindex,4,FALSE),2),IF(AND($E7&lt;&gt;0,$F7&gt;0,YEAR($F7)&gt;=Preisindex!$A$6,YEAR(AE$4)&gt;=YEAR($F7),$K7="k"),ROUND(VLOOKUP(AJ$4,Preisindex,2,FALSE)/VLOOKUP(YEAR($F7),Preisindex,2,FALSE),2),0)))))</f>
        <v>0</v>
      </c>
      <c r="AK7" s="56">
        <f>IF(AND($E7&lt;&gt;0,$F7&gt;0,YEAR($F7)&lt;Preisindex!$A$6,YEAR(AE$4)&gt;=YEAR($F7),AND($K7&lt;&gt;"a",$K7&lt;&gt;"b",$K7&lt;&gt;"g",$K7&lt;&gt;"k")),1,IF(AND($E7&lt;&gt;0,$F7&gt;0,YEAR($F7)&lt;Preisindex!$A$6,YEAR(AE$4)&gt;=YEAR($F7),$K7="a"),ROUND(VLOOKUP(AJ$4,Preisindex,5,FALSE)/VLOOKUP(Preisindex!$A$6,Preisindex,5,FALSE),2),IF(AND($E7&lt;&gt;0,$F7&gt;0,YEAR($F7)&lt;Preisindex!$A$6,YEAR(AE$4)&gt;=YEAR($F7),$K7="b"),ROUND(VLOOKUP(AJ$4,Preisindex,3,FALSE)/VLOOKUP(Preisindex!$A$6,Preisindex,3,FALSE),2),IF(AND($E7&lt;&gt;0,$F7&gt;0,YEAR($F7)&lt;Preisindex!$A$6,YEAR(AE$4)&gt;=YEAR($F7),$K7="g"),ROUND(VLOOKUP(AJ$4,Preisindex,4,FALSE)/VLOOKUP(Preisindex!$A$6,Preisindex,4,FALSE),2),IF(AND($E7&lt;&gt;0,$F7&gt;0,YEAR($F7)&lt;Preisindex!$A$6,YEAR(AE$4)&gt;=YEAR($F7),$K7="k"),ROUND(VLOOKUP(AJ$4,Preisindex,2,FALSE)/VLOOKUP(Preisindex!$A$6,Preisindex,2,FALSE),2),0)))))</f>
        <v>0</v>
      </c>
      <c r="AL7" s="51">
        <f>IF(AND($E7&lt;&gt;0,$F7&gt;0,YEAR($F7)&lt;=AJ$4,YEAR($F7)&gt;=Preisindex!$A$6),ROUND($E7*AJ7,2),IF(AND($E7&lt;&gt;0,$F7&gt;0,YEAR($F7)&lt;=AJ$4,YEAR($F7)&lt;Preisindex!$A$6),ROUND($E7*AK7,2),0))</f>
        <v>0</v>
      </c>
      <c r="AM7" s="53">
        <f t="shared" ref="AM7:AM70" si="314">IF(AND(AC7&lt;&gt;0,AC7=$M7),AL7*$L7,IF(AND(AC7&lt;&gt;0,AC7&lt;&gt;$M7),AL7*($L7*(AC7/$M7)),0))</f>
        <v>0</v>
      </c>
      <c r="AN7" s="51">
        <f t="shared" si="144"/>
        <v>0</v>
      </c>
      <c r="AO7" s="51">
        <f t="shared" si="256"/>
        <v>0</v>
      </c>
      <c r="AP7" s="51">
        <f t="shared" si="146"/>
        <v>0</v>
      </c>
      <c r="AQ7" s="51">
        <f t="shared" si="257"/>
        <v>0</v>
      </c>
      <c r="AR7" s="51">
        <f t="shared" si="148"/>
        <v>0</v>
      </c>
      <c r="AS7" s="51">
        <f t="shared" si="258"/>
        <v>0</v>
      </c>
      <c r="AT7" s="51">
        <f t="shared" si="150"/>
        <v>0</v>
      </c>
      <c r="AU7" s="51">
        <f t="shared" si="259"/>
        <v>0</v>
      </c>
      <c r="AV7" s="51">
        <f t="shared" si="152"/>
        <v>0</v>
      </c>
      <c r="AW7" s="51">
        <f t="shared" si="260"/>
        <v>0</v>
      </c>
      <c r="AX7" s="51">
        <f t="shared" si="154"/>
        <v>0</v>
      </c>
      <c r="AY7" s="54">
        <f t="shared" si="155"/>
        <v>0</v>
      </c>
      <c r="AZ7" s="55">
        <f t="shared" si="156"/>
        <v>0</v>
      </c>
      <c r="BA7" s="56">
        <f>IF(AND($E7&lt;&gt;0,$F7&gt;0,YEAR($F7)&gt;=Preisindex!$A$6,YEAR(AV$4)&gt;=YEAR($F7),AND($K7&lt;&gt;"a",$K7&lt;&gt;"b",$K7&lt;&gt;"g",$K7&lt;&gt;"k")),1,IF(AND($E7&lt;&gt;0,$F7&gt;0,YEAR($F7)&gt;=Preisindex!$A$6,YEAR(AV$4)&gt;=YEAR($F7),$K7="a"),ROUND(VLOOKUP(BA$4,Preisindex,5,FALSE)/VLOOKUP(YEAR($F7),Preisindex,5,FALSE),2),IF(AND($E7&lt;&gt;0,$F7&gt;0,YEAR($F7)&gt;=Preisindex!$A$6,YEAR(AV$4)&gt;=YEAR($F7),$K7="b"),ROUND(VLOOKUP(BA$4,Preisindex,3,FALSE)/VLOOKUP(YEAR($F7),Preisindex,3,FALSE),2),IF(AND($E7&lt;&gt;0,$F7&gt;0,YEAR($F7)&gt;=Preisindex!$A$6,YEAR(AV$4)&gt;=YEAR($F7),$K7="g"),ROUND(VLOOKUP(BA$4,Preisindex,4,FALSE)/VLOOKUP(YEAR($F7),Preisindex,4,FALSE),2),IF(AND($E7&lt;&gt;0,$F7&gt;0,YEAR($F7)&gt;=Preisindex!$A$6,YEAR(AV$4)&gt;=YEAR($F7),$K7="k"),ROUND(VLOOKUP(BA$4,Preisindex,2,FALSE)/VLOOKUP(YEAR($F7),Preisindex,2,FALSE),2),0)))))</f>
        <v>0</v>
      </c>
      <c r="BB7" s="56">
        <f>IF(AND($E7&lt;&gt;0,$F7&gt;0,YEAR($F7)&lt;Preisindex!$A$6,YEAR(AV$4)&gt;=YEAR($F7),AND($K7&lt;&gt;"a",$K7&lt;&gt;"b",$K7&lt;&gt;"g",$K7&lt;&gt;"k")),1,IF(AND($E7&lt;&gt;0,$F7&gt;0,YEAR($F7)&lt;Preisindex!$A$6,YEAR(AV$4)&gt;=YEAR($F7),$K7="a"),ROUND(VLOOKUP(BA$4,Preisindex,5,FALSE)/VLOOKUP(Preisindex!$A$6,Preisindex,5,FALSE),2),IF(AND($E7&lt;&gt;0,$F7&gt;0,YEAR($F7)&lt;Preisindex!$A$6,YEAR(AV$4)&gt;=YEAR($F7),$K7="b"),ROUND(VLOOKUP(BA$4,Preisindex,3,FALSE)/VLOOKUP(Preisindex!$A$6,Preisindex,3,FALSE),2),IF(AND($E7&lt;&gt;0,$F7&gt;0,YEAR($F7)&lt;Preisindex!$A$6,YEAR(AV$4)&gt;=YEAR($F7),$K7="g"),ROUND(VLOOKUP(BA$4,Preisindex,4,FALSE)/VLOOKUP(Preisindex!$A$6,Preisindex,4,FALSE),2),IF(AND($E7&lt;&gt;0,$F7&gt;0,YEAR($F7)&lt;Preisindex!$A$6,YEAR(AV$4)&gt;=YEAR($F7),$K7="k"),ROUND(VLOOKUP(BA$4,Preisindex,2,FALSE)/VLOOKUP(Preisindex!$A$6,Preisindex,2,FALSE),2),0)))))</f>
        <v>0</v>
      </c>
      <c r="BC7" s="51">
        <f>IF(AND($E7&lt;&gt;0,$F7&gt;0,YEAR($F7)&lt;=BA$4,YEAR($F7)&gt;=Preisindex!$A$6),ROUND($E7*BA7,2),IF(AND($E7&lt;&gt;0,$F7&gt;0,YEAR($F7)&lt;=BA$4,YEAR($F7)&lt;Preisindex!$A$6),ROUND($E7*BB7,2),0))</f>
        <v>0</v>
      </c>
      <c r="BD7" s="53">
        <f t="shared" si="157"/>
        <v>0</v>
      </c>
      <c r="BE7" s="51">
        <f t="shared" si="144"/>
        <v>0</v>
      </c>
      <c r="BF7" s="51">
        <f t="shared" si="261"/>
        <v>0</v>
      </c>
      <c r="BG7" s="51">
        <f t="shared" si="160"/>
        <v>0</v>
      </c>
      <c r="BH7" s="51">
        <f t="shared" si="262"/>
        <v>0</v>
      </c>
      <c r="BI7" s="51">
        <f t="shared" si="162"/>
        <v>0</v>
      </c>
      <c r="BJ7" s="51">
        <f t="shared" si="263"/>
        <v>0</v>
      </c>
      <c r="BK7" s="51">
        <f t="shared" si="164"/>
        <v>0</v>
      </c>
      <c r="BL7" s="51">
        <f t="shared" si="264"/>
        <v>0</v>
      </c>
      <c r="BM7" s="51">
        <f t="shared" si="166"/>
        <v>0</v>
      </c>
      <c r="BN7" s="51">
        <f t="shared" si="265"/>
        <v>0</v>
      </c>
      <c r="BO7" s="51">
        <f t="shared" si="168"/>
        <v>0</v>
      </c>
      <c r="BP7" s="54">
        <f t="shared" si="169"/>
        <v>0</v>
      </c>
      <c r="BQ7" s="55">
        <f t="shared" si="170"/>
        <v>0</v>
      </c>
      <c r="BR7" s="56">
        <f>IF(AND($E7&lt;&gt;0,$F7&gt;0,YEAR($F7)&gt;=Preisindex!$A$6,YEAR(BM$4)&gt;=YEAR($F7),AND($K7&lt;&gt;"a",$K7&lt;&gt;"b",$K7&lt;&gt;"g",$K7&lt;&gt;"k")),1,IF(AND($E7&lt;&gt;0,$F7&gt;0,YEAR($F7)&gt;=Preisindex!$A$6,YEAR(BM$4)&gt;=YEAR($F7),$K7="a"),ROUND(VLOOKUP(BR$4,Preisindex,5,FALSE)/VLOOKUP(YEAR($F7),Preisindex,5,FALSE),2),IF(AND($E7&lt;&gt;0,$F7&gt;0,YEAR($F7)&gt;=Preisindex!$A$6,YEAR(BM$4)&gt;=YEAR($F7),$K7="b"),ROUND(VLOOKUP(BR$4,Preisindex,3,FALSE)/VLOOKUP(YEAR($F7),Preisindex,3,FALSE),2),IF(AND($E7&lt;&gt;0,$F7&gt;0,YEAR($F7)&gt;=Preisindex!$A$6,YEAR(BM$4)&gt;=YEAR($F7),$K7="g"),ROUND(VLOOKUP(BR$4,Preisindex,4,FALSE)/VLOOKUP(YEAR($F7),Preisindex,4,FALSE),2),IF(AND($E7&lt;&gt;0,$F7&gt;0,YEAR($F7)&gt;=Preisindex!$A$6,YEAR(BM$4)&gt;=YEAR($F7),$K7="k"),ROUND(VLOOKUP(BR$4,Preisindex,2,FALSE)/VLOOKUP(YEAR($F7),Preisindex,2,FALSE),2),0)))))</f>
        <v>0</v>
      </c>
      <c r="BS7" s="56">
        <f>IF(AND($E7&lt;&gt;0,$F7&gt;0,YEAR($F7)&lt;Preisindex!$A$6,YEAR(BM$4)&gt;=YEAR($F7),AND($K7&lt;&gt;"a",$K7&lt;&gt;"b",$K7&lt;&gt;"g",$K7&lt;&gt;"k")),1,IF(AND($E7&lt;&gt;0,$F7&gt;0,YEAR($F7)&lt;Preisindex!$A$6,YEAR(BM$4)&gt;=YEAR($F7),$K7="a"),ROUND(VLOOKUP(BR$4,Preisindex,5,FALSE)/VLOOKUP(Preisindex!$A$6,Preisindex,5,FALSE),2),IF(AND($E7&lt;&gt;0,$F7&gt;0,YEAR($F7)&lt;Preisindex!$A$6,YEAR(BM$4)&gt;=YEAR($F7),$K7="b"),ROUND(VLOOKUP(BR$4,Preisindex,3,FALSE)/VLOOKUP(Preisindex!$A$6,Preisindex,3,FALSE),2),IF(AND($E7&lt;&gt;0,$F7&gt;0,YEAR($F7)&lt;Preisindex!$A$6,YEAR(BM$4)&gt;=YEAR($F7),$K7="g"),ROUND(VLOOKUP(BR$4,Preisindex,4,FALSE)/VLOOKUP(Preisindex!$A$6,Preisindex,4,FALSE),2),IF(AND($E7&lt;&gt;0,$F7&gt;0,YEAR($F7)&lt;Preisindex!$A$6,YEAR(BM$4)&gt;=YEAR($F7),$K7="k"),ROUND(VLOOKUP(BR$4,Preisindex,2,FALSE)/VLOOKUP(Preisindex!$A$6,Preisindex,2,FALSE),2),0)))))</f>
        <v>0</v>
      </c>
      <c r="BT7" s="51">
        <f>IF(AND($E7&lt;&gt;0,$F7&gt;0,YEAR($F7)&lt;=BR$4,YEAR($F7)&gt;=Preisindex!$A$6),ROUND($E7*BR7,2),IF(AND($E7&lt;&gt;0,$F7&gt;0,YEAR($F7)&lt;=BR$4,YEAR($F7)&lt;Preisindex!$A$6),ROUND($E7*BS7,2),0))</f>
        <v>0</v>
      </c>
      <c r="BU7" s="53">
        <f t="shared" si="171"/>
        <v>0</v>
      </c>
      <c r="BV7" s="51">
        <f t="shared" si="172"/>
        <v>0</v>
      </c>
      <c r="BW7" s="51">
        <f t="shared" si="266"/>
        <v>0</v>
      </c>
      <c r="BX7" s="51">
        <f t="shared" si="174"/>
        <v>0</v>
      </c>
      <c r="BY7" s="51">
        <f t="shared" si="267"/>
        <v>0</v>
      </c>
      <c r="BZ7" s="51">
        <f t="shared" si="176"/>
        <v>0</v>
      </c>
      <c r="CA7" s="51">
        <f t="shared" si="268"/>
        <v>0</v>
      </c>
      <c r="CB7" s="51">
        <f t="shared" si="178"/>
        <v>0</v>
      </c>
      <c r="CC7" s="51">
        <f t="shared" si="269"/>
        <v>0</v>
      </c>
      <c r="CD7" s="51">
        <f t="shared" si="180"/>
        <v>0</v>
      </c>
      <c r="CE7" s="51">
        <f t="shared" si="270"/>
        <v>0</v>
      </c>
      <c r="CF7" s="51">
        <f t="shared" si="182"/>
        <v>0</v>
      </c>
      <c r="CG7" s="54">
        <f t="shared" si="183"/>
        <v>0</v>
      </c>
      <c r="CH7" s="55">
        <f t="shared" si="184"/>
        <v>0</v>
      </c>
      <c r="CI7" s="56">
        <f>IF(AND($E7&lt;&gt;0,$F7&gt;0,YEAR($F7)&gt;=Preisindex!$A$6,YEAR(CD$4)&gt;=YEAR($F7),AND($K7&lt;&gt;"a",$K7&lt;&gt;"b",$K7&lt;&gt;"g",$K7&lt;&gt;"k")),1,IF(AND($E7&lt;&gt;0,$F7&gt;0,YEAR($F7)&gt;=Preisindex!$A$6,YEAR(CD$4)&gt;=YEAR($F7),$K7="a"),ROUND(VLOOKUP(CI$4,Preisindex,5,FALSE)/VLOOKUP(YEAR($F7),Preisindex,5,FALSE),2),IF(AND($E7&lt;&gt;0,$F7&gt;0,YEAR($F7)&gt;=Preisindex!$A$6,YEAR(CD$4)&gt;=YEAR($F7),$K7="b"),ROUND(VLOOKUP(CI$4,Preisindex,3,FALSE)/VLOOKUP(YEAR($F7),Preisindex,3,FALSE),2),IF(AND($E7&lt;&gt;0,$F7&gt;0,YEAR($F7)&gt;=Preisindex!$A$6,YEAR(CD$4)&gt;=YEAR($F7),$K7="g"),ROUND(VLOOKUP(CI$4,Preisindex,4,FALSE)/VLOOKUP(YEAR($F7),Preisindex,4,FALSE),2),IF(AND($E7&lt;&gt;0,$F7&gt;0,YEAR($F7)&gt;=Preisindex!$A$6,YEAR(CD$4)&gt;=YEAR($F7),$K7="k"),ROUND(VLOOKUP(CI$4,Preisindex,2,FALSE)/VLOOKUP(YEAR($F7),Preisindex,2,FALSE),2),0)))))</f>
        <v>0</v>
      </c>
      <c r="CJ7" s="56">
        <f>IF(AND($E7&lt;&gt;0,$F7&gt;0,YEAR($F7)&lt;Preisindex!$A$6,YEAR(CD$4)&gt;=YEAR($F7),AND($K7&lt;&gt;"a",$K7&lt;&gt;"b",$K7&lt;&gt;"g",$K7&lt;&gt;"k")),1,IF(AND($E7&lt;&gt;0,$F7&gt;0,YEAR($F7)&lt;Preisindex!$A$6,YEAR(CD$4)&gt;=YEAR($F7),$K7="a"),ROUND(VLOOKUP(CI$4,Preisindex,5,FALSE)/VLOOKUP(Preisindex!$A$6,Preisindex,5,FALSE),2),IF(AND($E7&lt;&gt;0,$F7&gt;0,YEAR($F7)&lt;Preisindex!$A$6,YEAR(CD$4)&gt;=YEAR($F7),$K7="b"),ROUND(VLOOKUP(CI$4,Preisindex,3,FALSE)/VLOOKUP(Preisindex!$A$6,Preisindex,3,FALSE),2),IF(AND($E7&lt;&gt;0,$F7&gt;0,YEAR($F7)&lt;Preisindex!$A$6,YEAR(CD$4)&gt;=YEAR($F7),$K7="g"),ROUND(VLOOKUP(CI$4,Preisindex,4,FALSE)/VLOOKUP(Preisindex!$A$6,Preisindex,4,FALSE),2),IF(AND($E7&lt;&gt;0,$F7&gt;0,YEAR($F7)&lt;Preisindex!$A$6,YEAR(CD$4)&gt;=YEAR($F7),$K7="k"),ROUND(VLOOKUP(CI$4,Preisindex,2,FALSE)/VLOOKUP(Preisindex!$A$6,Preisindex,2,FALSE),2),0)))))</f>
        <v>0</v>
      </c>
      <c r="CK7" s="51">
        <f>IF(AND($E7&lt;&gt;0,$F7&gt;0,YEAR($F7)&lt;=CI$4,YEAR($F7)&gt;=Preisindex!$A$6),ROUND($E7*CI7,2),IF(AND($E7&lt;&gt;0,$F7&gt;0,YEAR($F7)&lt;=CI$4,YEAR($F7)&lt;Preisindex!$A$6),ROUND($E7*CJ7,2),0))</f>
        <v>0</v>
      </c>
      <c r="CL7" s="53">
        <f t="shared" si="185"/>
        <v>0</v>
      </c>
      <c r="CM7" s="51">
        <f t="shared" si="172"/>
        <v>0</v>
      </c>
      <c r="CN7" s="51">
        <f t="shared" si="271"/>
        <v>0</v>
      </c>
      <c r="CO7" s="51">
        <f t="shared" si="188"/>
        <v>0</v>
      </c>
      <c r="CP7" s="51">
        <f t="shared" si="272"/>
        <v>0</v>
      </c>
      <c r="CQ7" s="51">
        <f t="shared" si="190"/>
        <v>0</v>
      </c>
      <c r="CR7" s="51">
        <f t="shared" si="273"/>
        <v>0</v>
      </c>
      <c r="CS7" s="51">
        <f t="shared" si="192"/>
        <v>0</v>
      </c>
      <c r="CT7" s="51">
        <f t="shared" si="274"/>
        <v>0</v>
      </c>
      <c r="CU7" s="51">
        <f t="shared" si="194"/>
        <v>0</v>
      </c>
      <c r="CV7" s="51">
        <f t="shared" si="275"/>
        <v>0</v>
      </c>
      <c r="CW7" s="51">
        <f t="shared" si="196"/>
        <v>0</v>
      </c>
      <c r="CX7" s="54">
        <f t="shared" si="197"/>
        <v>0</v>
      </c>
      <c r="CY7" s="55">
        <f t="shared" si="198"/>
        <v>0</v>
      </c>
      <c r="CZ7" s="56">
        <f>IF(AND($E7&lt;&gt;0,$F7&gt;0,YEAR($F7)&gt;=Preisindex!$A$6,YEAR(CU$4)&gt;=YEAR($F7),AND($K7&lt;&gt;"a",$K7&lt;&gt;"b",$K7&lt;&gt;"g",$K7&lt;&gt;"k")),1,IF(AND($E7&lt;&gt;0,$F7&gt;0,YEAR($F7)&gt;=Preisindex!$A$6,YEAR(CU$4)&gt;=YEAR($F7),$K7="a"),ROUND(VLOOKUP(CZ$4,Preisindex,5,FALSE)/VLOOKUP(YEAR($F7),Preisindex,5,FALSE),2),IF(AND($E7&lt;&gt;0,$F7&gt;0,YEAR($F7)&gt;=Preisindex!$A$6,YEAR(CU$4)&gt;=YEAR($F7),$K7="b"),ROUND(VLOOKUP(CZ$4,Preisindex,3,FALSE)/VLOOKUP(YEAR($F7),Preisindex,3,FALSE),2),IF(AND($E7&lt;&gt;0,$F7&gt;0,YEAR($F7)&gt;=Preisindex!$A$6,YEAR(CU$4)&gt;=YEAR($F7),$K7="g"),ROUND(VLOOKUP(CZ$4,Preisindex,4,FALSE)/VLOOKUP(YEAR($F7),Preisindex,4,FALSE),2),IF(AND($E7&lt;&gt;0,$F7&gt;0,YEAR($F7)&gt;=Preisindex!$A$6,YEAR(CU$4)&gt;=YEAR($F7),$K7="k"),ROUND(VLOOKUP(CZ$4,Preisindex,2,FALSE)/VLOOKUP(YEAR($F7),Preisindex,2,FALSE),2),0)))))</f>
        <v>0</v>
      </c>
      <c r="DA7" s="56">
        <f>IF(AND($E7&lt;&gt;0,$F7&gt;0,YEAR($F7)&lt;Preisindex!$A$6,YEAR(CU$4)&gt;=YEAR($F7),AND($K7&lt;&gt;"a",$K7&lt;&gt;"b",$K7&lt;&gt;"g",$K7&lt;&gt;"k")),1,IF(AND($E7&lt;&gt;0,$F7&gt;0,YEAR($F7)&lt;Preisindex!$A$6,YEAR(CU$4)&gt;=YEAR($F7),$K7="a"),ROUND(VLOOKUP(CZ$4,Preisindex,5,FALSE)/VLOOKUP(Preisindex!$A$6,Preisindex,5,FALSE),2),IF(AND($E7&lt;&gt;0,$F7&gt;0,YEAR($F7)&lt;Preisindex!$A$6,YEAR(CU$4)&gt;=YEAR($F7),$K7="b"),ROUND(VLOOKUP(CZ$4,Preisindex,3,FALSE)/VLOOKUP(Preisindex!$A$6,Preisindex,3,FALSE),2),IF(AND($E7&lt;&gt;0,$F7&gt;0,YEAR($F7)&lt;Preisindex!$A$6,YEAR(CU$4)&gt;=YEAR($F7),$K7="g"),ROUND(VLOOKUP(CZ$4,Preisindex,4,FALSE)/VLOOKUP(Preisindex!$A$6,Preisindex,4,FALSE),2),IF(AND($E7&lt;&gt;0,$F7&gt;0,YEAR($F7)&lt;Preisindex!$A$6,YEAR(CU$4)&gt;=YEAR($F7),$K7="k"),ROUND(VLOOKUP(CZ$4,Preisindex,2,FALSE)/VLOOKUP(Preisindex!$A$6,Preisindex,2,FALSE),2),0)))))</f>
        <v>0</v>
      </c>
      <c r="DB7" s="51">
        <f>IF(AND($E7&lt;&gt;0,$F7&gt;0,YEAR($F7)&lt;=CZ$4,YEAR($F7)&gt;=Preisindex!$A$6),ROUND($E7*CZ7,2),IF(AND($E7&lt;&gt;0,$F7&gt;0,YEAR($F7)&lt;=CZ$4,YEAR($F7)&lt;Preisindex!$A$6),ROUND($E7*DA7,2),0))</f>
        <v>0</v>
      </c>
      <c r="DC7" s="53">
        <f t="shared" si="199"/>
        <v>0</v>
      </c>
      <c r="DD7" s="51">
        <f t="shared" si="200"/>
        <v>0</v>
      </c>
      <c r="DE7" s="51">
        <f t="shared" si="276"/>
        <v>0</v>
      </c>
      <c r="DF7" s="51">
        <f t="shared" si="202"/>
        <v>0</v>
      </c>
      <c r="DG7" s="51">
        <f t="shared" si="277"/>
        <v>0</v>
      </c>
      <c r="DH7" s="51">
        <f t="shared" si="204"/>
        <v>0</v>
      </c>
      <c r="DI7" s="51">
        <f t="shared" si="278"/>
        <v>0</v>
      </c>
      <c r="DJ7" s="51">
        <f t="shared" si="206"/>
        <v>0</v>
      </c>
      <c r="DK7" s="51">
        <f t="shared" si="279"/>
        <v>0</v>
      </c>
      <c r="DL7" s="51">
        <f t="shared" si="208"/>
        <v>0</v>
      </c>
      <c r="DM7" s="51">
        <f t="shared" si="280"/>
        <v>0</v>
      </c>
      <c r="DN7" s="51">
        <f t="shared" si="210"/>
        <v>0</v>
      </c>
      <c r="DO7" s="54">
        <f t="shared" si="211"/>
        <v>0</v>
      </c>
      <c r="DP7" s="55">
        <f t="shared" si="212"/>
        <v>0</v>
      </c>
      <c r="DQ7" s="56">
        <f>IF(AND($E7&lt;&gt;0,$F7&gt;0,YEAR($F7)&gt;=Preisindex!$A$6,YEAR(DL$4)&gt;=YEAR($F7),AND($K7&lt;&gt;"a",$K7&lt;&gt;"b",$K7&lt;&gt;"g",$K7&lt;&gt;"k")),1,IF(AND($E7&lt;&gt;0,$F7&gt;0,YEAR($F7)&gt;=Preisindex!$A$6,YEAR(DL$4)&gt;=YEAR($F7),$K7="a"),ROUND(VLOOKUP(DQ$4,Preisindex,5,FALSE)/VLOOKUP(YEAR($F7),Preisindex,5,FALSE),2),IF(AND($E7&lt;&gt;0,$F7&gt;0,YEAR($F7)&gt;=Preisindex!$A$6,YEAR(DL$4)&gt;=YEAR($F7),$K7="b"),ROUND(VLOOKUP(DQ$4,Preisindex,3,FALSE)/VLOOKUP(YEAR($F7),Preisindex,3,FALSE),2),IF(AND($E7&lt;&gt;0,$F7&gt;0,YEAR($F7)&gt;=Preisindex!$A$6,YEAR(DL$4)&gt;=YEAR($F7),$K7="g"),ROUND(VLOOKUP(DQ$4,Preisindex,4,FALSE)/VLOOKUP(YEAR($F7),Preisindex,4,FALSE),2),IF(AND($E7&lt;&gt;0,$F7&gt;0,YEAR($F7)&gt;=Preisindex!$A$6,YEAR(DL$4)&gt;=YEAR($F7),$K7="k"),ROUND(VLOOKUP(DQ$4,Preisindex,2,FALSE)/VLOOKUP(YEAR($F7),Preisindex,2,FALSE),2),0)))))</f>
        <v>0</v>
      </c>
      <c r="DR7" s="56">
        <f>IF(AND($E7&lt;&gt;0,$F7&gt;0,YEAR($F7)&lt;Preisindex!$A$6,YEAR(DL$4)&gt;=YEAR($F7),AND($K7&lt;&gt;"a",$K7&lt;&gt;"b",$K7&lt;&gt;"g",$K7&lt;&gt;"k")),1,IF(AND($E7&lt;&gt;0,$F7&gt;0,YEAR($F7)&lt;Preisindex!$A$6,YEAR(DL$4)&gt;=YEAR($F7),$K7="a"),ROUND(VLOOKUP(DQ$4,Preisindex,5,FALSE)/VLOOKUP(Preisindex!$A$6,Preisindex,5,FALSE),2),IF(AND($E7&lt;&gt;0,$F7&gt;0,YEAR($F7)&lt;Preisindex!$A$6,YEAR(DL$4)&gt;=YEAR($F7),$K7="b"),ROUND(VLOOKUP(DQ$4,Preisindex,3,FALSE)/VLOOKUP(Preisindex!$A$6,Preisindex,3,FALSE),2),IF(AND($E7&lt;&gt;0,$F7&gt;0,YEAR($F7)&lt;Preisindex!$A$6,YEAR(DL$4)&gt;=YEAR($F7),$K7="g"),ROUND(VLOOKUP(DQ$4,Preisindex,4,FALSE)/VLOOKUP(Preisindex!$A$6,Preisindex,4,FALSE),2),IF(AND($E7&lt;&gt;0,$F7&gt;0,YEAR($F7)&lt;Preisindex!$A$6,YEAR(DL$4)&gt;=YEAR($F7),$K7="k"),ROUND(VLOOKUP(DQ$4,Preisindex,2,FALSE)/VLOOKUP(Preisindex!$A$6,Preisindex,2,FALSE),2),0)))))</f>
        <v>0</v>
      </c>
      <c r="DS7" s="51">
        <f>IF(AND($E7&lt;&gt;0,$F7&gt;0,YEAR($F7)&lt;=DQ$4,YEAR($F7)&gt;=Preisindex!$A$6),ROUND($E7*DQ7,2),IF(AND($E7&lt;&gt;0,$F7&gt;0,YEAR($F7)&lt;=DQ$4,YEAR($F7)&lt;Preisindex!$A$6),ROUND($E7*DR7,2),0))</f>
        <v>0</v>
      </c>
      <c r="DT7" s="53">
        <f t="shared" si="213"/>
        <v>0</v>
      </c>
      <c r="DU7" s="51">
        <f t="shared" si="200"/>
        <v>0</v>
      </c>
      <c r="DV7" s="51">
        <f t="shared" si="281"/>
        <v>0</v>
      </c>
      <c r="DW7" s="51">
        <f t="shared" si="216"/>
        <v>0</v>
      </c>
      <c r="DX7" s="51">
        <f t="shared" si="282"/>
        <v>0</v>
      </c>
      <c r="DY7" s="51">
        <f t="shared" si="218"/>
        <v>0</v>
      </c>
      <c r="DZ7" s="51">
        <f t="shared" si="283"/>
        <v>0</v>
      </c>
      <c r="EA7" s="51">
        <f t="shared" si="220"/>
        <v>0</v>
      </c>
      <c r="EB7" s="51">
        <f t="shared" si="284"/>
        <v>0</v>
      </c>
      <c r="EC7" s="51">
        <f t="shared" si="222"/>
        <v>0</v>
      </c>
      <c r="ED7" s="51">
        <f t="shared" si="285"/>
        <v>0</v>
      </c>
      <c r="EE7" s="51">
        <f t="shared" si="224"/>
        <v>0</v>
      </c>
      <c r="EF7" s="54">
        <f t="shared" si="225"/>
        <v>0</v>
      </c>
      <c r="EG7" s="55">
        <f t="shared" si="226"/>
        <v>0</v>
      </c>
      <c r="EH7" s="56">
        <f>IF(AND($E7&lt;&gt;0,$F7&gt;0,YEAR($F7)&gt;=Preisindex!$A$6,YEAR(EC$4)&gt;=YEAR($F7),AND($K7&lt;&gt;"a",$K7&lt;&gt;"b",$K7&lt;&gt;"g",$K7&lt;&gt;"k")),1,IF(AND($E7&lt;&gt;0,$F7&gt;0,YEAR($F7)&gt;=Preisindex!$A$6,YEAR(EC$4)&gt;=YEAR($F7),$K7="a"),ROUND(VLOOKUP(EH$4,Preisindex,5,FALSE)/VLOOKUP(YEAR($F7),Preisindex,5,FALSE),2),IF(AND($E7&lt;&gt;0,$F7&gt;0,YEAR($F7)&gt;=Preisindex!$A$6,YEAR(EC$4)&gt;=YEAR($F7),$K7="b"),ROUND(VLOOKUP(EH$4,Preisindex,3,FALSE)/VLOOKUP(YEAR($F7),Preisindex,3,FALSE),2),IF(AND($E7&lt;&gt;0,$F7&gt;0,YEAR($F7)&gt;=Preisindex!$A$6,YEAR(EC$4)&gt;=YEAR($F7),$K7="g"),ROUND(VLOOKUP(EH$4,Preisindex,4,FALSE)/VLOOKUP(YEAR($F7),Preisindex,4,FALSE),2),IF(AND($E7&lt;&gt;0,$F7&gt;0,YEAR($F7)&gt;=Preisindex!$A$6,YEAR(EC$4)&gt;=YEAR($F7),$K7="k"),ROUND(VLOOKUP(EH$4,Preisindex,2,FALSE)/VLOOKUP(YEAR($F7),Preisindex,2,FALSE),2),0)))))</f>
        <v>0</v>
      </c>
      <c r="EI7" s="56">
        <f>IF(AND($E7&lt;&gt;0,$F7&gt;0,YEAR($F7)&lt;Preisindex!$A$6,YEAR(EC$4)&gt;=YEAR($F7),AND($K7&lt;&gt;"a",$K7&lt;&gt;"b",$K7&lt;&gt;"g",$K7&lt;&gt;"k")),1,IF(AND($E7&lt;&gt;0,$F7&gt;0,YEAR($F7)&lt;Preisindex!$A$6,YEAR(EC$4)&gt;=YEAR($F7),$K7="a"),ROUND(VLOOKUP(EH$4,Preisindex,5,FALSE)/VLOOKUP(Preisindex!$A$6,Preisindex,5,FALSE),2),IF(AND($E7&lt;&gt;0,$F7&gt;0,YEAR($F7)&lt;Preisindex!$A$6,YEAR(EC$4)&gt;=YEAR($F7),$K7="b"),ROUND(VLOOKUP(EH$4,Preisindex,3,FALSE)/VLOOKUP(Preisindex!$A$6,Preisindex,3,FALSE),2),IF(AND($E7&lt;&gt;0,$F7&gt;0,YEAR($F7)&lt;Preisindex!$A$6,YEAR(EC$4)&gt;=YEAR($F7),$K7="g"),ROUND(VLOOKUP(EH$4,Preisindex,4,FALSE)/VLOOKUP(Preisindex!$A$6,Preisindex,4,FALSE),2),IF(AND($E7&lt;&gt;0,$F7&gt;0,YEAR($F7)&lt;Preisindex!$A$6,YEAR(EC$4)&gt;=YEAR($F7),$K7="k"),ROUND(VLOOKUP(EH$4,Preisindex,2,FALSE)/VLOOKUP(Preisindex!$A$6,Preisindex,2,FALSE),2),0)))))</f>
        <v>0</v>
      </c>
      <c r="EJ7" s="51">
        <f>IF(AND($E7&lt;&gt;0,$F7&gt;0,YEAR($F7)&lt;=EH$4,YEAR($F7)&gt;=Preisindex!$A$6),ROUND($E7*EH7,2),IF(AND($E7&lt;&gt;0,$F7&gt;0,YEAR($F7)&lt;=EH$4,YEAR($F7)&lt;Preisindex!$A$6),ROUND($E7*EI7,2),0))</f>
        <v>0</v>
      </c>
      <c r="EK7" s="53">
        <f t="shared" si="227"/>
        <v>0</v>
      </c>
      <c r="EL7" s="51">
        <f t="shared" si="228"/>
        <v>0</v>
      </c>
      <c r="EM7" s="51">
        <f t="shared" si="286"/>
        <v>0</v>
      </c>
      <c r="EN7" s="51">
        <f t="shared" si="230"/>
        <v>0</v>
      </c>
      <c r="EO7" s="51">
        <f t="shared" si="287"/>
        <v>0</v>
      </c>
      <c r="EP7" s="51">
        <f t="shared" si="232"/>
        <v>0</v>
      </c>
      <c r="EQ7" s="51">
        <f t="shared" si="288"/>
        <v>0</v>
      </c>
      <c r="ER7" s="51">
        <f t="shared" si="234"/>
        <v>0</v>
      </c>
      <c r="ES7" s="51">
        <f t="shared" si="289"/>
        <v>0</v>
      </c>
      <c r="ET7" s="51">
        <f t="shared" si="236"/>
        <v>0</v>
      </c>
      <c r="EU7" s="51">
        <f t="shared" si="290"/>
        <v>0</v>
      </c>
      <c r="EV7" s="51">
        <f t="shared" si="238"/>
        <v>0</v>
      </c>
      <c r="EW7" s="54">
        <f t="shared" si="239"/>
        <v>0</v>
      </c>
      <c r="EX7" s="55">
        <f t="shared" si="240"/>
        <v>0</v>
      </c>
      <c r="EY7" s="56">
        <f>IF(AND($E7&lt;&gt;0,$F7&gt;0,YEAR($F7)&gt;=Preisindex!$A$6,YEAR(ET$4)&gt;=YEAR($F7),AND($K7&lt;&gt;"a",$K7&lt;&gt;"b",$K7&lt;&gt;"g",$K7&lt;&gt;"k")),1,IF(AND($E7&lt;&gt;0,$F7&gt;0,YEAR($F7)&gt;=Preisindex!$A$6,YEAR(ET$4)&gt;=YEAR($F7),$K7="a"),ROUND(VLOOKUP(EY$4,Preisindex,5,FALSE)/VLOOKUP(YEAR($F7),Preisindex,5,FALSE),2),IF(AND($E7&lt;&gt;0,$F7&gt;0,YEAR($F7)&gt;=Preisindex!$A$6,YEAR(ET$4)&gt;=YEAR($F7),$K7="b"),ROUND(VLOOKUP(EY$4,Preisindex,3,FALSE)/VLOOKUP(YEAR($F7),Preisindex,3,FALSE),2),IF(AND($E7&lt;&gt;0,$F7&gt;0,YEAR($F7)&gt;=Preisindex!$A$6,YEAR(ET$4)&gt;=YEAR($F7),$K7="g"),ROUND(VLOOKUP(EY$4,Preisindex,4,FALSE)/VLOOKUP(YEAR($F7),Preisindex,4,FALSE),2),IF(AND($E7&lt;&gt;0,$F7&gt;0,YEAR($F7)&gt;=Preisindex!$A$6,YEAR(ET$4)&gt;=YEAR($F7),$K7="k"),ROUND(VLOOKUP(EY$4,Preisindex,2,FALSE)/VLOOKUP(YEAR($F7),Preisindex,2,FALSE),2),0)))))</f>
        <v>0</v>
      </c>
      <c r="EZ7" s="56">
        <f>IF(AND($E7&lt;&gt;0,$F7&gt;0,YEAR($F7)&lt;Preisindex!$A$6,YEAR(ET$4)&gt;=YEAR($F7),AND($K7&lt;&gt;"a",$K7&lt;&gt;"b",$K7&lt;&gt;"g",$K7&lt;&gt;"k")),1,IF(AND($E7&lt;&gt;0,$F7&gt;0,YEAR($F7)&lt;Preisindex!$A$6,YEAR(ET$4)&gt;=YEAR($F7),$K7="a"),ROUND(VLOOKUP(EY$4,Preisindex,5,FALSE)/VLOOKUP(Preisindex!$A$6,Preisindex,5,FALSE),2),IF(AND($E7&lt;&gt;0,$F7&gt;0,YEAR($F7)&lt;Preisindex!$A$6,YEAR(ET$4)&gt;=YEAR($F7),$K7="b"),ROUND(VLOOKUP(EY$4,Preisindex,3,FALSE)/VLOOKUP(Preisindex!$A$6,Preisindex,3,FALSE),2),IF(AND($E7&lt;&gt;0,$F7&gt;0,YEAR($F7)&lt;Preisindex!$A$6,YEAR(ET$4)&gt;=YEAR($F7),$K7="g"),ROUND(VLOOKUP(EY$4,Preisindex,4,FALSE)/VLOOKUP(Preisindex!$A$6,Preisindex,4,FALSE),2),IF(AND($E7&lt;&gt;0,$F7&gt;0,YEAR($F7)&lt;Preisindex!$A$6,YEAR(ET$4)&gt;=YEAR($F7),$K7="k"),ROUND(VLOOKUP(EY$4,Preisindex,2,FALSE)/VLOOKUP(Preisindex!$A$6,Preisindex,2,FALSE),2),0)))))</f>
        <v>0</v>
      </c>
      <c r="FA7" s="51">
        <f>IF(AND($E7&lt;&gt;0,$F7&gt;0,YEAR($F7)&lt;=EY$4,YEAR($F7)&gt;=Preisindex!$A$6),ROUND($E7*EY7,2),IF(AND($E7&lt;&gt;0,$F7&gt;0,YEAR($F7)&lt;=EY$4,YEAR($F7)&lt;Preisindex!$A$6),ROUND($E7*EZ7,2),0))</f>
        <v>0</v>
      </c>
      <c r="FB7" s="53">
        <f t="shared" si="241"/>
        <v>0</v>
      </c>
      <c r="FC7" s="51">
        <f t="shared" si="228"/>
        <v>0</v>
      </c>
      <c r="FD7" s="51">
        <f t="shared" si="291"/>
        <v>0</v>
      </c>
      <c r="FE7" s="51">
        <f t="shared" si="244"/>
        <v>0</v>
      </c>
      <c r="FF7" s="51">
        <f t="shared" si="292"/>
        <v>0</v>
      </c>
      <c r="FG7" s="51">
        <f t="shared" si="246"/>
        <v>0</v>
      </c>
      <c r="FH7" s="51">
        <f t="shared" si="293"/>
        <v>0</v>
      </c>
      <c r="FI7" s="51">
        <f t="shared" si="248"/>
        <v>0</v>
      </c>
      <c r="FJ7" s="51">
        <f t="shared" si="294"/>
        <v>0</v>
      </c>
      <c r="FK7" s="51">
        <f t="shared" si="250"/>
        <v>0</v>
      </c>
      <c r="FL7" s="51">
        <f t="shared" si="295"/>
        <v>0</v>
      </c>
      <c r="FM7" s="51">
        <f t="shared" si="252"/>
        <v>0</v>
      </c>
      <c r="FN7" s="54">
        <f t="shared" si="253"/>
        <v>0</v>
      </c>
      <c r="FO7" s="55">
        <f t="shared" si="254"/>
        <v>0</v>
      </c>
      <c r="FP7" s="56">
        <f>IF(AND($E7&lt;&gt;0,$F7&gt;0,YEAR($F7)&gt;=Preisindex!$A$6,YEAR(FK$4)&gt;=YEAR($F7),AND($K7&lt;&gt;"a",$K7&lt;&gt;"b",$K7&lt;&gt;"g",$K7&lt;&gt;"k")),1,IF(AND($E7&lt;&gt;0,$F7&gt;0,YEAR($F7)&gt;=Preisindex!$A$6,YEAR(FK$4)&gt;=YEAR($F7),$K7="a"),ROUND(VLOOKUP(FP$4,Preisindex,5,FALSE)/VLOOKUP(YEAR($F7),Preisindex,5,FALSE),2),IF(AND($E7&lt;&gt;0,$F7&gt;0,YEAR($F7)&gt;=Preisindex!$A$6,YEAR(FK$4)&gt;=YEAR($F7),$K7="b"),ROUND(VLOOKUP(FP$4,Preisindex,3,FALSE)/VLOOKUP(YEAR($F7),Preisindex,3,FALSE),2),IF(AND($E7&lt;&gt;0,$F7&gt;0,YEAR($F7)&gt;=Preisindex!$A$6,YEAR(FK$4)&gt;=YEAR($F7),$K7="g"),ROUND(VLOOKUP(FP$4,Preisindex,4,FALSE)/VLOOKUP(YEAR($F7),Preisindex,4,FALSE),2),IF(AND($E7&lt;&gt;0,$F7&gt;0,YEAR($F7)&gt;=Preisindex!$A$6,YEAR(FK$4)&gt;=YEAR($F7),$K7="k"),ROUND(VLOOKUP(FP$4,Preisindex,2,FALSE)/VLOOKUP(YEAR($F7),Preisindex,2,FALSE),2),0)))))</f>
        <v>0</v>
      </c>
      <c r="FQ7" s="56">
        <f>IF(AND($E7&lt;&gt;0,$F7&gt;0,YEAR($F7)&lt;Preisindex!$A$6,YEAR(FK$4)&gt;=YEAR($F7),AND($K7&lt;&gt;"a",$K7&lt;&gt;"b",$K7&lt;&gt;"g",$K7&lt;&gt;"k")),1,IF(AND($E7&lt;&gt;0,$F7&gt;0,YEAR($F7)&lt;Preisindex!$A$6,YEAR(FK$4)&gt;=YEAR($F7),$K7="a"),ROUND(VLOOKUP(FP$4,Preisindex,5,FALSE)/VLOOKUP(Preisindex!$A$6,Preisindex,5,FALSE),2),IF(AND($E7&lt;&gt;0,$F7&gt;0,YEAR($F7)&lt;Preisindex!$A$6,YEAR(FK$4)&gt;=YEAR($F7),$K7="b"),ROUND(VLOOKUP(FP$4,Preisindex,3,FALSE)/VLOOKUP(Preisindex!$A$6,Preisindex,3,FALSE),2),IF(AND($E7&lt;&gt;0,$F7&gt;0,YEAR($F7)&lt;Preisindex!$A$6,YEAR(FK$4)&gt;=YEAR($F7),$K7="g"),ROUND(VLOOKUP(FP$4,Preisindex,4,FALSE)/VLOOKUP(Preisindex!$A$6,Preisindex,4,FALSE),2),IF(AND($E7&lt;&gt;0,$F7&gt;0,YEAR($F7)&lt;Preisindex!$A$6,YEAR(FK$4)&gt;=YEAR($F7),$K7="k"),ROUND(VLOOKUP(FP$4,Preisindex,2,FALSE)/VLOOKUP(Preisindex!$A$6,Preisindex,2,FALSE),2),0)))))</f>
        <v>0</v>
      </c>
      <c r="FR7" s="51">
        <f>IF(AND($E7&lt;&gt;0,$F7&gt;0,YEAR($F7)&lt;=FP$4,YEAR($F7)&gt;=Preisindex!$A$6),ROUND($E7*FP7,2),IF(AND($E7&lt;&gt;0,$F7&gt;0,YEAR($F7)&lt;=FP$4,YEAR($F7)&lt;Preisindex!$A$6),ROUND($E7*FQ7,2),0))</f>
        <v>0</v>
      </c>
      <c r="FS7" s="53">
        <f t="shared" si="255"/>
        <v>0</v>
      </c>
    </row>
    <row r="8" spans="1:175" x14ac:dyDescent="0.3">
      <c r="A8" s="93">
        <v>1994</v>
      </c>
      <c r="B8" s="94" t="s">
        <v>199</v>
      </c>
      <c r="C8" s="94"/>
      <c r="D8" s="95" t="s">
        <v>49</v>
      </c>
      <c r="E8" s="99">
        <v>30000</v>
      </c>
      <c r="F8" s="97">
        <v>34335</v>
      </c>
      <c r="G8" s="98"/>
      <c r="H8" s="620"/>
      <c r="I8" s="621"/>
      <c r="J8" s="194"/>
      <c r="K8" s="630"/>
      <c r="L8" s="49">
        <f t="shared" si="296"/>
        <v>0</v>
      </c>
      <c r="M8" s="50">
        <f t="shared" si="297"/>
        <v>0</v>
      </c>
      <c r="N8" s="51">
        <f t="shared" si="298"/>
        <v>30000</v>
      </c>
      <c r="O8" s="51"/>
      <c r="P8" s="51">
        <f t="shared" si="299"/>
        <v>0</v>
      </c>
      <c r="Q8" s="52"/>
      <c r="R8" s="52"/>
      <c r="S8" s="52"/>
      <c r="T8" s="52"/>
      <c r="U8" s="52"/>
      <c r="V8" s="53">
        <f t="shared" si="300"/>
        <v>30000</v>
      </c>
      <c r="W8" s="51">
        <f t="shared" si="301"/>
        <v>0</v>
      </c>
      <c r="X8" s="51">
        <f t="shared" si="302"/>
        <v>0</v>
      </c>
      <c r="Y8" s="51">
        <f t="shared" si="303"/>
        <v>0</v>
      </c>
      <c r="Z8" s="51">
        <f t="shared" si="304"/>
        <v>0</v>
      </c>
      <c r="AA8" s="51">
        <f t="shared" si="305"/>
        <v>30000</v>
      </c>
      <c r="AB8" s="51">
        <f t="shared" si="306"/>
        <v>0</v>
      </c>
      <c r="AC8" s="51">
        <f t="shared" si="307"/>
        <v>0</v>
      </c>
      <c r="AD8" s="51">
        <f t="shared" si="308"/>
        <v>0</v>
      </c>
      <c r="AE8" s="51">
        <f t="shared" si="309"/>
        <v>30000</v>
      </c>
      <c r="AF8" s="51">
        <f t="shared" si="310"/>
        <v>30000</v>
      </c>
      <c r="AG8" s="51">
        <f t="shared" si="311"/>
        <v>0</v>
      </c>
      <c r="AH8" s="54">
        <f t="shared" si="312"/>
        <v>0</v>
      </c>
      <c r="AI8" s="55">
        <f t="shared" si="313"/>
        <v>0</v>
      </c>
      <c r="AJ8" s="56">
        <f>IF(AND($E8&lt;&gt;0,$F8&gt;0,YEAR($F8)&gt;=Preisindex!$A$6,YEAR(AE$4)&gt;=YEAR($F8),AND($K8&lt;&gt;"a",$K8&lt;&gt;"b",$K8&lt;&gt;"g",$K8&lt;&gt;"k")),1,IF(AND($E8&lt;&gt;0,$F8&gt;0,YEAR($F8)&gt;=Preisindex!$A$6,YEAR(AE$4)&gt;=YEAR($F8),$K8="a"),ROUND(VLOOKUP(AJ$4,Preisindex,5,FALSE)/VLOOKUP(YEAR($F8),Preisindex,5,FALSE),2),IF(AND($E8&lt;&gt;0,$F8&gt;0,YEAR($F8)&gt;=Preisindex!$A$6,YEAR(AE$4)&gt;=YEAR($F8),$K8="b"),ROUND(VLOOKUP(AJ$4,Preisindex,3,FALSE)/VLOOKUP(YEAR($F8),Preisindex,3,FALSE),2),IF(AND($E8&lt;&gt;0,$F8&gt;0,YEAR($F8)&gt;=Preisindex!$A$6,YEAR(AE$4)&gt;=YEAR($F8),$K8="g"),ROUND(VLOOKUP(AJ$4,Preisindex,4,FALSE)/VLOOKUP(YEAR($F8),Preisindex,4,FALSE),2),IF(AND($E8&lt;&gt;0,$F8&gt;0,YEAR($F8)&gt;=Preisindex!$A$6,YEAR(AE$4)&gt;=YEAR($F8),$K8="k"),ROUND(VLOOKUP(AJ$4,Preisindex,2,FALSE)/VLOOKUP(YEAR($F8),Preisindex,2,FALSE),2),0)))))</f>
        <v>1</v>
      </c>
      <c r="AK8" s="56">
        <f>IF(AND($E8&lt;&gt;0,$F8&gt;0,YEAR($F8)&lt;Preisindex!$A$6,YEAR(AE$4)&gt;=YEAR($F8),AND($K8&lt;&gt;"a",$K8&lt;&gt;"b",$K8&lt;&gt;"g",$K8&lt;&gt;"k")),1,IF(AND($E8&lt;&gt;0,$F8&gt;0,YEAR($F8)&lt;Preisindex!$A$6,YEAR(AE$4)&gt;=YEAR($F8),$K8="a"),ROUND(VLOOKUP(AJ$4,Preisindex,5,FALSE)/VLOOKUP(Preisindex!$A$6,Preisindex,5,FALSE),2),IF(AND($E8&lt;&gt;0,$F8&gt;0,YEAR($F8)&lt;Preisindex!$A$6,YEAR(AE$4)&gt;=YEAR($F8),$K8="b"),ROUND(VLOOKUP(AJ$4,Preisindex,3,FALSE)/VLOOKUP(Preisindex!$A$6,Preisindex,3,FALSE),2),IF(AND($E8&lt;&gt;0,$F8&gt;0,YEAR($F8)&lt;Preisindex!$A$6,YEAR(AE$4)&gt;=YEAR($F8),$K8="g"),ROUND(VLOOKUP(AJ$4,Preisindex,4,FALSE)/VLOOKUP(Preisindex!$A$6,Preisindex,4,FALSE),2),IF(AND($E8&lt;&gt;0,$F8&gt;0,YEAR($F8)&lt;Preisindex!$A$6,YEAR(AE$4)&gt;=YEAR($F8),$K8="k"),ROUND(VLOOKUP(AJ$4,Preisindex,2,FALSE)/VLOOKUP(Preisindex!$A$6,Preisindex,2,FALSE),2),0)))))</f>
        <v>0</v>
      </c>
      <c r="AL8" s="51">
        <f>IF(AND($E8&lt;&gt;0,$F8&gt;0,YEAR($F8)&lt;=AJ$4,YEAR($F8)&gt;=Preisindex!$A$6),ROUND($E8*AJ8,2),IF(AND($E8&lt;&gt;0,$F8&gt;0,YEAR($F8)&lt;=AJ$4,YEAR($F8)&lt;Preisindex!$A$6),ROUND($E8*AK8,2),0))</f>
        <v>30000</v>
      </c>
      <c r="AM8" s="53">
        <f t="shared" si="314"/>
        <v>0</v>
      </c>
      <c r="AN8" s="51">
        <f t="shared" si="144"/>
        <v>0</v>
      </c>
      <c r="AO8" s="51">
        <f t="shared" si="256"/>
        <v>0</v>
      </c>
      <c r="AP8" s="51">
        <f t="shared" si="146"/>
        <v>0</v>
      </c>
      <c r="AQ8" s="51">
        <f t="shared" si="257"/>
        <v>0</v>
      </c>
      <c r="AR8" s="51">
        <f t="shared" si="148"/>
        <v>30000</v>
      </c>
      <c r="AS8" s="51">
        <f t="shared" si="258"/>
        <v>0</v>
      </c>
      <c r="AT8" s="51">
        <f t="shared" si="150"/>
        <v>0</v>
      </c>
      <c r="AU8" s="51">
        <f t="shared" si="259"/>
        <v>0</v>
      </c>
      <c r="AV8" s="51">
        <f t="shared" si="152"/>
        <v>30000</v>
      </c>
      <c r="AW8" s="51">
        <f t="shared" si="260"/>
        <v>30000</v>
      </c>
      <c r="AX8" s="51">
        <f t="shared" si="154"/>
        <v>0</v>
      </c>
      <c r="AY8" s="54">
        <f t="shared" si="155"/>
        <v>0</v>
      </c>
      <c r="AZ8" s="55">
        <f t="shared" si="156"/>
        <v>0</v>
      </c>
      <c r="BA8" s="56">
        <f>IF(AND($E8&lt;&gt;0,$F8&gt;0,YEAR($F8)&gt;=Preisindex!$A$6,YEAR(AV$4)&gt;=YEAR($F8),AND($K8&lt;&gt;"a",$K8&lt;&gt;"b",$K8&lt;&gt;"g",$K8&lt;&gt;"k")),1,IF(AND($E8&lt;&gt;0,$F8&gt;0,YEAR($F8)&gt;=Preisindex!$A$6,YEAR(AV$4)&gt;=YEAR($F8),$K8="a"),ROUND(VLOOKUP(BA$4,Preisindex,5,FALSE)/VLOOKUP(YEAR($F8),Preisindex,5,FALSE),2),IF(AND($E8&lt;&gt;0,$F8&gt;0,YEAR($F8)&gt;=Preisindex!$A$6,YEAR(AV$4)&gt;=YEAR($F8),$K8="b"),ROUND(VLOOKUP(BA$4,Preisindex,3,FALSE)/VLOOKUP(YEAR($F8),Preisindex,3,FALSE),2),IF(AND($E8&lt;&gt;0,$F8&gt;0,YEAR($F8)&gt;=Preisindex!$A$6,YEAR(AV$4)&gt;=YEAR($F8),$K8="g"),ROUND(VLOOKUP(BA$4,Preisindex,4,FALSE)/VLOOKUP(YEAR($F8),Preisindex,4,FALSE),2),IF(AND($E8&lt;&gt;0,$F8&gt;0,YEAR($F8)&gt;=Preisindex!$A$6,YEAR(AV$4)&gt;=YEAR($F8),$K8="k"),ROUND(VLOOKUP(BA$4,Preisindex,2,FALSE)/VLOOKUP(YEAR($F8),Preisindex,2,FALSE),2),0)))))</f>
        <v>1</v>
      </c>
      <c r="BB8" s="56">
        <f>IF(AND($E8&lt;&gt;0,$F8&gt;0,YEAR($F8)&lt;Preisindex!$A$6,YEAR(AV$4)&gt;=YEAR($F8),AND($K8&lt;&gt;"a",$K8&lt;&gt;"b",$K8&lt;&gt;"g",$K8&lt;&gt;"k")),1,IF(AND($E8&lt;&gt;0,$F8&gt;0,YEAR($F8)&lt;Preisindex!$A$6,YEAR(AV$4)&gt;=YEAR($F8),$K8="a"),ROUND(VLOOKUP(BA$4,Preisindex,5,FALSE)/VLOOKUP(Preisindex!$A$6,Preisindex,5,FALSE),2),IF(AND($E8&lt;&gt;0,$F8&gt;0,YEAR($F8)&lt;Preisindex!$A$6,YEAR(AV$4)&gt;=YEAR($F8),$K8="b"),ROUND(VLOOKUP(BA$4,Preisindex,3,FALSE)/VLOOKUP(Preisindex!$A$6,Preisindex,3,FALSE),2),IF(AND($E8&lt;&gt;0,$F8&gt;0,YEAR($F8)&lt;Preisindex!$A$6,YEAR(AV$4)&gt;=YEAR($F8),$K8="g"),ROUND(VLOOKUP(BA$4,Preisindex,4,FALSE)/VLOOKUP(Preisindex!$A$6,Preisindex,4,FALSE),2),IF(AND($E8&lt;&gt;0,$F8&gt;0,YEAR($F8)&lt;Preisindex!$A$6,YEAR(AV$4)&gt;=YEAR($F8),$K8="k"),ROUND(VLOOKUP(BA$4,Preisindex,2,FALSE)/VLOOKUP(Preisindex!$A$6,Preisindex,2,FALSE),2),0)))))</f>
        <v>0</v>
      </c>
      <c r="BC8" s="51">
        <f>IF(AND($E8&lt;&gt;0,$F8&gt;0,YEAR($F8)&lt;=BA$4,YEAR($F8)&gt;=Preisindex!$A$6),ROUND($E8*BA8,2),IF(AND($E8&lt;&gt;0,$F8&gt;0,YEAR($F8)&lt;=BA$4,YEAR($F8)&lt;Preisindex!$A$6),ROUND($E8*BB8,2),0))</f>
        <v>30000</v>
      </c>
      <c r="BD8" s="53">
        <f t="shared" si="157"/>
        <v>0</v>
      </c>
      <c r="BE8" s="51">
        <f t="shared" si="144"/>
        <v>0</v>
      </c>
      <c r="BF8" s="51">
        <f t="shared" si="261"/>
        <v>0</v>
      </c>
      <c r="BG8" s="51">
        <f t="shared" si="160"/>
        <v>0</v>
      </c>
      <c r="BH8" s="51">
        <f t="shared" si="262"/>
        <v>0</v>
      </c>
      <c r="BI8" s="51">
        <f t="shared" si="162"/>
        <v>30000</v>
      </c>
      <c r="BJ8" s="51">
        <f t="shared" si="263"/>
        <v>0</v>
      </c>
      <c r="BK8" s="51">
        <f t="shared" si="164"/>
        <v>0</v>
      </c>
      <c r="BL8" s="51">
        <f t="shared" si="264"/>
        <v>0</v>
      </c>
      <c r="BM8" s="51">
        <f t="shared" si="166"/>
        <v>30000</v>
      </c>
      <c r="BN8" s="51">
        <f t="shared" si="265"/>
        <v>30000</v>
      </c>
      <c r="BO8" s="51">
        <f t="shared" si="168"/>
        <v>0</v>
      </c>
      <c r="BP8" s="54">
        <f t="shared" si="169"/>
        <v>0</v>
      </c>
      <c r="BQ8" s="55">
        <f t="shared" si="170"/>
        <v>0</v>
      </c>
      <c r="BR8" s="56">
        <f>IF(AND($E8&lt;&gt;0,$F8&gt;0,YEAR($F8)&gt;=Preisindex!$A$6,YEAR(BM$4)&gt;=YEAR($F8),AND($K8&lt;&gt;"a",$K8&lt;&gt;"b",$K8&lt;&gt;"g",$K8&lt;&gt;"k")),1,IF(AND($E8&lt;&gt;0,$F8&gt;0,YEAR($F8)&gt;=Preisindex!$A$6,YEAR(BM$4)&gt;=YEAR($F8),$K8="a"),ROUND(VLOOKUP(BR$4,Preisindex,5,FALSE)/VLOOKUP(YEAR($F8),Preisindex,5,FALSE),2),IF(AND($E8&lt;&gt;0,$F8&gt;0,YEAR($F8)&gt;=Preisindex!$A$6,YEAR(BM$4)&gt;=YEAR($F8),$K8="b"),ROUND(VLOOKUP(BR$4,Preisindex,3,FALSE)/VLOOKUP(YEAR($F8),Preisindex,3,FALSE),2),IF(AND($E8&lt;&gt;0,$F8&gt;0,YEAR($F8)&gt;=Preisindex!$A$6,YEAR(BM$4)&gt;=YEAR($F8),$K8="g"),ROUND(VLOOKUP(BR$4,Preisindex,4,FALSE)/VLOOKUP(YEAR($F8),Preisindex,4,FALSE),2),IF(AND($E8&lt;&gt;0,$F8&gt;0,YEAR($F8)&gt;=Preisindex!$A$6,YEAR(BM$4)&gt;=YEAR($F8),$K8="k"),ROUND(VLOOKUP(BR$4,Preisindex,2,FALSE)/VLOOKUP(YEAR($F8),Preisindex,2,FALSE),2),0)))))</f>
        <v>1</v>
      </c>
      <c r="BS8" s="56">
        <f>IF(AND($E8&lt;&gt;0,$F8&gt;0,YEAR($F8)&lt;Preisindex!$A$6,YEAR(BM$4)&gt;=YEAR($F8),AND($K8&lt;&gt;"a",$K8&lt;&gt;"b",$K8&lt;&gt;"g",$K8&lt;&gt;"k")),1,IF(AND($E8&lt;&gt;0,$F8&gt;0,YEAR($F8)&lt;Preisindex!$A$6,YEAR(BM$4)&gt;=YEAR($F8),$K8="a"),ROUND(VLOOKUP(BR$4,Preisindex,5,FALSE)/VLOOKUP(Preisindex!$A$6,Preisindex,5,FALSE),2),IF(AND($E8&lt;&gt;0,$F8&gt;0,YEAR($F8)&lt;Preisindex!$A$6,YEAR(BM$4)&gt;=YEAR($F8),$K8="b"),ROUND(VLOOKUP(BR$4,Preisindex,3,FALSE)/VLOOKUP(Preisindex!$A$6,Preisindex,3,FALSE),2),IF(AND($E8&lt;&gt;0,$F8&gt;0,YEAR($F8)&lt;Preisindex!$A$6,YEAR(BM$4)&gt;=YEAR($F8),$K8="g"),ROUND(VLOOKUP(BR$4,Preisindex,4,FALSE)/VLOOKUP(Preisindex!$A$6,Preisindex,4,FALSE),2),IF(AND($E8&lt;&gt;0,$F8&gt;0,YEAR($F8)&lt;Preisindex!$A$6,YEAR(BM$4)&gt;=YEAR($F8),$K8="k"),ROUND(VLOOKUP(BR$4,Preisindex,2,FALSE)/VLOOKUP(Preisindex!$A$6,Preisindex,2,FALSE),2),0)))))</f>
        <v>0</v>
      </c>
      <c r="BT8" s="51">
        <f>IF(AND($E8&lt;&gt;0,$F8&gt;0,YEAR($F8)&lt;=BR$4,YEAR($F8)&gt;=Preisindex!$A$6),ROUND($E8*BR8,2),IF(AND($E8&lt;&gt;0,$F8&gt;0,YEAR($F8)&lt;=BR$4,YEAR($F8)&lt;Preisindex!$A$6),ROUND($E8*BS8,2),0))</f>
        <v>30000</v>
      </c>
      <c r="BU8" s="53">
        <f t="shared" si="171"/>
        <v>0</v>
      </c>
      <c r="BV8" s="51">
        <f t="shared" si="172"/>
        <v>0</v>
      </c>
      <c r="BW8" s="51">
        <f t="shared" si="266"/>
        <v>0</v>
      </c>
      <c r="BX8" s="51">
        <f t="shared" si="174"/>
        <v>0</v>
      </c>
      <c r="BY8" s="51">
        <f t="shared" si="267"/>
        <v>0</v>
      </c>
      <c r="BZ8" s="51">
        <f t="shared" si="176"/>
        <v>30000</v>
      </c>
      <c r="CA8" s="51">
        <f t="shared" si="268"/>
        <v>0</v>
      </c>
      <c r="CB8" s="51">
        <f t="shared" si="178"/>
        <v>0</v>
      </c>
      <c r="CC8" s="51">
        <f t="shared" si="269"/>
        <v>0</v>
      </c>
      <c r="CD8" s="51">
        <f t="shared" si="180"/>
        <v>30000</v>
      </c>
      <c r="CE8" s="51">
        <f t="shared" si="270"/>
        <v>30000</v>
      </c>
      <c r="CF8" s="51">
        <f t="shared" si="182"/>
        <v>0</v>
      </c>
      <c r="CG8" s="54">
        <f t="shared" si="183"/>
        <v>0</v>
      </c>
      <c r="CH8" s="55">
        <f t="shared" si="184"/>
        <v>0</v>
      </c>
      <c r="CI8" s="56">
        <f>IF(AND($E8&lt;&gt;0,$F8&gt;0,YEAR($F8)&gt;=Preisindex!$A$6,YEAR(CD$4)&gt;=YEAR($F8),AND($K8&lt;&gt;"a",$K8&lt;&gt;"b",$K8&lt;&gt;"g",$K8&lt;&gt;"k")),1,IF(AND($E8&lt;&gt;0,$F8&gt;0,YEAR($F8)&gt;=Preisindex!$A$6,YEAR(CD$4)&gt;=YEAR($F8),$K8="a"),ROUND(VLOOKUP(CI$4,Preisindex,5,FALSE)/VLOOKUP(YEAR($F8),Preisindex,5,FALSE),2),IF(AND($E8&lt;&gt;0,$F8&gt;0,YEAR($F8)&gt;=Preisindex!$A$6,YEAR(CD$4)&gt;=YEAR($F8),$K8="b"),ROUND(VLOOKUP(CI$4,Preisindex,3,FALSE)/VLOOKUP(YEAR($F8),Preisindex,3,FALSE),2),IF(AND($E8&lt;&gt;0,$F8&gt;0,YEAR($F8)&gt;=Preisindex!$A$6,YEAR(CD$4)&gt;=YEAR($F8),$K8="g"),ROUND(VLOOKUP(CI$4,Preisindex,4,FALSE)/VLOOKUP(YEAR($F8),Preisindex,4,FALSE),2),IF(AND($E8&lt;&gt;0,$F8&gt;0,YEAR($F8)&gt;=Preisindex!$A$6,YEAR(CD$4)&gt;=YEAR($F8),$K8="k"),ROUND(VLOOKUP(CI$4,Preisindex,2,FALSE)/VLOOKUP(YEAR($F8),Preisindex,2,FALSE),2),0)))))</f>
        <v>1</v>
      </c>
      <c r="CJ8" s="56">
        <f>IF(AND($E8&lt;&gt;0,$F8&gt;0,YEAR($F8)&lt;Preisindex!$A$6,YEAR(CD$4)&gt;=YEAR($F8),AND($K8&lt;&gt;"a",$K8&lt;&gt;"b",$K8&lt;&gt;"g",$K8&lt;&gt;"k")),1,IF(AND($E8&lt;&gt;0,$F8&gt;0,YEAR($F8)&lt;Preisindex!$A$6,YEAR(CD$4)&gt;=YEAR($F8),$K8="a"),ROUND(VLOOKUP(CI$4,Preisindex,5,FALSE)/VLOOKUP(Preisindex!$A$6,Preisindex,5,FALSE),2),IF(AND($E8&lt;&gt;0,$F8&gt;0,YEAR($F8)&lt;Preisindex!$A$6,YEAR(CD$4)&gt;=YEAR($F8),$K8="b"),ROUND(VLOOKUP(CI$4,Preisindex,3,FALSE)/VLOOKUP(Preisindex!$A$6,Preisindex,3,FALSE),2),IF(AND($E8&lt;&gt;0,$F8&gt;0,YEAR($F8)&lt;Preisindex!$A$6,YEAR(CD$4)&gt;=YEAR($F8),$K8="g"),ROUND(VLOOKUP(CI$4,Preisindex,4,FALSE)/VLOOKUP(Preisindex!$A$6,Preisindex,4,FALSE),2),IF(AND($E8&lt;&gt;0,$F8&gt;0,YEAR($F8)&lt;Preisindex!$A$6,YEAR(CD$4)&gt;=YEAR($F8),$K8="k"),ROUND(VLOOKUP(CI$4,Preisindex,2,FALSE)/VLOOKUP(Preisindex!$A$6,Preisindex,2,FALSE),2),0)))))</f>
        <v>0</v>
      </c>
      <c r="CK8" s="51">
        <f>IF(AND($E8&lt;&gt;0,$F8&gt;0,YEAR($F8)&lt;=CI$4,YEAR($F8)&gt;=Preisindex!$A$6),ROUND($E8*CI8,2),IF(AND($E8&lt;&gt;0,$F8&gt;0,YEAR($F8)&lt;=CI$4,YEAR($F8)&lt;Preisindex!$A$6),ROUND($E8*CJ8,2),0))</f>
        <v>30000</v>
      </c>
      <c r="CL8" s="53">
        <f t="shared" si="185"/>
        <v>0</v>
      </c>
      <c r="CM8" s="51">
        <f t="shared" si="172"/>
        <v>0</v>
      </c>
      <c r="CN8" s="51">
        <f t="shared" si="271"/>
        <v>0</v>
      </c>
      <c r="CO8" s="51">
        <f t="shared" si="188"/>
        <v>0</v>
      </c>
      <c r="CP8" s="51">
        <f t="shared" si="272"/>
        <v>0</v>
      </c>
      <c r="CQ8" s="51">
        <f t="shared" si="190"/>
        <v>30000</v>
      </c>
      <c r="CR8" s="51">
        <f t="shared" si="273"/>
        <v>0</v>
      </c>
      <c r="CS8" s="51">
        <f t="shared" si="192"/>
        <v>0</v>
      </c>
      <c r="CT8" s="51">
        <f t="shared" si="274"/>
        <v>0</v>
      </c>
      <c r="CU8" s="51">
        <f t="shared" si="194"/>
        <v>30000</v>
      </c>
      <c r="CV8" s="51">
        <f t="shared" si="275"/>
        <v>30000</v>
      </c>
      <c r="CW8" s="51">
        <f t="shared" si="196"/>
        <v>0</v>
      </c>
      <c r="CX8" s="54">
        <f t="shared" si="197"/>
        <v>0</v>
      </c>
      <c r="CY8" s="55">
        <f t="shared" si="198"/>
        <v>0</v>
      </c>
      <c r="CZ8" s="56">
        <f>IF(AND($E8&lt;&gt;0,$F8&gt;0,YEAR($F8)&gt;=Preisindex!$A$6,YEAR(CU$4)&gt;=YEAR($F8),AND($K8&lt;&gt;"a",$K8&lt;&gt;"b",$K8&lt;&gt;"g",$K8&lt;&gt;"k")),1,IF(AND($E8&lt;&gt;0,$F8&gt;0,YEAR($F8)&gt;=Preisindex!$A$6,YEAR(CU$4)&gt;=YEAR($F8),$K8="a"),ROUND(VLOOKUP(CZ$4,Preisindex,5,FALSE)/VLOOKUP(YEAR($F8),Preisindex,5,FALSE),2),IF(AND($E8&lt;&gt;0,$F8&gt;0,YEAR($F8)&gt;=Preisindex!$A$6,YEAR(CU$4)&gt;=YEAR($F8),$K8="b"),ROUND(VLOOKUP(CZ$4,Preisindex,3,FALSE)/VLOOKUP(YEAR($F8),Preisindex,3,FALSE),2),IF(AND($E8&lt;&gt;0,$F8&gt;0,YEAR($F8)&gt;=Preisindex!$A$6,YEAR(CU$4)&gt;=YEAR($F8),$K8="g"),ROUND(VLOOKUP(CZ$4,Preisindex,4,FALSE)/VLOOKUP(YEAR($F8),Preisindex,4,FALSE),2),IF(AND($E8&lt;&gt;0,$F8&gt;0,YEAR($F8)&gt;=Preisindex!$A$6,YEAR(CU$4)&gt;=YEAR($F8),$K8="k"),ROUND(VLOOKUP(CZ$4,Preisindex,2,FALSE)/VLOOKUP(YEAR($F8),Preisindex,2,FALSE),2),0)))))</f>
        <v>1</v>
      </c>
      <c r="DA8" s="56">
        <f>IF(AND($E8&lt;&gt;0,$F8&gt;0,YEAR($F8)&lt;Preisindex!$A$6,YEAR(CU$4)&gt;=YEAR($F8),AND($K8&lt;&gt;"a",$K8&lt;&gt;"b",$K8&lt;&gt;"g",$K8&lt;&gt;"k")),1,IF(AND($E8&lt;&gt;0,$F8&gt;0,YEAR($F8)&lt;Preisindex!$A$6,YEAR(CU$4)&gt;=YEAR($F8),$K8="a"),ROUND(VLOOKUP(CZ$4,Preisindex,5,FALSE)/VLOOKUP(Preisindex!$A$6,Preisindex,5,FALSE),2),IF(AND($E8&lt;&gt;0,$F8&gt;0,YEAR($F8)&lt;Preisindex!$A$6,YEAR(CU$4)&gt;=YEAR($F8),$K8="b"),ROUND(VLOOKUP(CZ$4,Preisindex,3,FALSE)/VLOOKUP(Preisindex!$A$6,Preisindex,3,FALSE),2),IF(AND($E8&lt;&gt;0,$F8&gt;0,YEAR($F8)&lt;Preisindex!$A$6,YEAR(CU$4)&gt;=YEAR($F8),$K8="g"),ROUND(VLOOKUP(CZ$4,Preisindex,4,FALSE)/VLOOKUP(Preisindex!$A$6,Preisindex,4,FALSE),2),IF(AND($E8&lt;&gt;0,$F8&gt;0,YEAR($F8)&lt;Preisindex!$A$6,YEAR(CU$4)&gt;=YEAR($F8),$K8="k"),ROUND(VLOOKUP(CZ$4,Preisindex,2,FALSE)/VLOOKUP(Preisindex!$A$6,Preisindex,2,FALSE),2),0)))))</f>
        <v>0</v>
      </c>
      <c r="DB8" s="51">
        <f>IF(AND($E8&lt;&gt;0,$F8&gt;0,YEAR($F8)&lt;=CZ$4,YEAR($F8)&gt;=Preisindex!$A$6),ROUND($E8*CZ8,2),IF(AND($E8&lt;&gt;0,$F8&gt;0,YEAR($F8)&lt;=CZ$4,YEAR($F8)&lt;Preisindex!$A$6),ROUND($E8*DA8,2),0))</f>
        <v>30000</v>
      </c>
      <c r="DC8" s="53">
        <f t="shared" si="199"/>
        <v>0</v>
      </c>
      <c r="DD8" s="51">
        <f t="shared" si="200"/>
        <v>0</v>
      </c>
      <c r="DE8" s="51">
        <f t="shared" si="276"/>
        <v>0</v>
      </c>
      <c r="DF8" s="51">
        <f t="shared" si="202"/>
        <v>0</v>
      </c>
      <c r="DG8" s="51">
        <f t="shared" si="277"/>
        <v>0</v>
      </c>
      <c r="DH8" s="51">
        <f t="shared" si="204"/>
        <v>30000</v>
      </c>
      <c r="DI8" s="51">
        <f t="shared" si="278"/>
        <v>0</v>
      </c>
      <c r="DJ8" s="51">
        <f t="shared" si="206"/>
        <v>0</v>
      </c>
      <c r="DK8" s="51">
        <f t="shared" si="279"/>
        <v>0</v>
      </c>
      <c r="DL8" s="51">
        <f t="shared" si="208"/>
        <v>30000</v>
      </c>
      <c r="DM8" s="51">
        <f t="shared" si="280"/>
        <v>30000</v>
      </c>
      <c r="DN8" s="51">
        <f t="shared" si="210"/>
        <v>0</v>
      </c>
      <c r="DO8" s="54">
        <f t="shared" si="211"/>
        <v>0</v>
      </c>
      <c r="DP8" s="55">
        <f t="shared" si="212"/>
        <v>0</v>
      </c>
      <c r="DQ8" s="56">
        <f>IF(AND($E8&lt;&gt;0,$F8&gt;0,YEAR($F8)&gt;=Preisindex!$A$6,YEAR(DL$4)&gt;=YEAR($F8),AND($K8&lt;&gt;"a",$K8&lt;&gt;"b",$K8&lt;&gt;"g",$K8&lt;&gt;"k")),1,IF(AND($E8&lt;&gt;0,$F8&gt;0,YEAR($F8)&gt;=Preisindex!$A$6,YEAR(DL$4)&gt;=YEAR($F8),$K8="a"),ROUND(VLOOKUP(DQ$4,Preisindex,5,FALSE)/VLOOKUP(YEAR($F8),Preisindex,5,FALSE),2),IF(AND($E8&lt;&gt;0,$F8&gt;0,YEAR($F8)&gt;=Preisindex!$A$6,YEAR(DL$4)&gt;=YEAR($F8),$K8="b"),ROUND(VLOOKUP(DQ$4,Preisindex,3,FALSE)/VLOOKUP(YEAR($F8),Preisindex,3,FALSE),2),IF(AND($E8&lt;&gt;0,$F8&gt;0,YEAR($F8)&gt;=Preisindex!$A$6,YEAR(DL$4)&gt;=YEAR($F8),$K8="g"),ROUND(VLOOKUP(DQ$4,Preisindex,4,FALSE)/VLOOKUP(YEAR($F8),Preisindex,4,FALSE),2),IF(AND($E8&lt;&gt;0,$F8&gt;0,YEAR($F8)&gt;=Preisindex!$A$6,YEAR(DL$4)&gt;=YEAR($F8),$K8="k"),ROUND(VLOOKUP(DQ$4,Preisindex,2,FALSE)/VLOOKUP(YEAR($F8),Preisindex,2,FALSE),2),0)))))</f>
        <v>1</v>
      </c>
      <c r="DR8" s="56">
        <f>IF(AND($E8&lt;&gt;0,$F8&gt;0,YEAR($F8)&lt;Preisindex!$A$6,YEAR(DL$4)&gt;=YEAR($F8),AND($K8&lt;&gt;"a",$K8&lt;&gt;"b",$K8&lt;&gt;"g",$K8&lt;&gt;"k")),1,IF(AND($E8&lt;&gt;0,$F8&gt;0,YEAR($F8)&lt;Preisindex!$A$6,YEAR(DL$4)&gt;=YEAR($F8),$K8="a"),ROUND(VLOOKUP(DQ$4,Preisindex,5,FALSE)/VLOOKUP(Preisindex!$A$6,Preisindex,5,FALSE),2),IF(AND($E8&lt;&gt;0,$F8&gt;0,YEAR($F8)&lt;Preisindex!$A$6,YEAR(DL$4)&gt;=YEAR($F8),$K8="b"),ROUND(VLOOKUP(DQ$4,Preisindex,3,FALSE)/VLOOKUP(Preisindex!$A$6,Preisindex,3,FALSE),2),IF(AND($E8&lt;&gt;0,$F8&gt;0,YEAR($F8)&lt;Preisindex!$A$6,YEAR(DL$4)&gt;=YEAR($F8),$K8="g"),ROUND(VLOOKUP(DQ$4,Preisindex,4,FALSE)/VLOOKUP(Preisindex!$A$6,Preisindex,4,FALSE),2),IF(AND($E8&lt;&gt;0,$F8&gt;0,YEAR($F8)&lt;Preisindex!$A$6,YEAR(DL$4)&gt;=YEAR($F8),$K8="k"),ROUND(VLOOKUP(DQ$4,Preisindex,2,FALSE)/VLOOKUP(Preisindex!$A$6,Preisindex,2,FALSE),2),0)))))</f>
        <v>0</v>
      </c>
      <c r="DS8" s="51">
        <f>IF(AND($E8&lt;&gt;0,$F8&gt;0,YEAR($F8)&lt;=DQ$4,YEAR($F8)&gt;=Preisindex!$A$6),ROUND($E8*DQ8,2),IF(AND($E8&lt;&gt;0,$F8&gt;0,YEAR($F8)&lt;=DQ$4,YEAR($F8)&lt;Preisindex!$A$6),ROUND($E8*DR8,2),0))</f>
        <v>30000</v>
      </c>
      <c r="DT8" s="53">
        <f t="shared" si="213"/>
        <v>0</v>
      </c>
      <c r="DU8" s="51">
        <f t="shared" si="200"/>
        <v>0</v>
      </c>
      <c r="DV8" s="51">
        <f t="shared" si="281"/>
        <v>0</v>
      </c>
      <c r="DW8" s="51">
        <f t="shared" si="216"/>
        <v>0</v>
      </c>
      <c r="DX8" s="51">
        <f t="shared" si="282"/>
        <v>0</v>
      </c>
      <c r="DY8" s="51">
        <f t="shared" si="218"/>
        <v>30000</v>
      </c>
      <c r="DZ8" s="51">
        <f t="shared" si="283"/>
        <v>0</v>
      </c>
      <c r="EA8" s="51">
        <f t="shared" si="220"/>
        <v>0</v>
      </c>
      <c r="EB8" s="51">
        <f t="shared" si="284"/>
        <v>0</v>
      </c>
      <c r="EC8" s="51">
        <f t="shared" si="222"/>
        <v>30000</v>
      </c>
      <c r="ED8" s="51">
        <f t="shared" si="285"/>
        <v>30000</v>
      </c>
      <c r="EE8" s="51">
        <f t="shared" si="224"/>
        <v>0</v>
      </c>
      <c r="EF8" s="54">
        <f t="shared" si="225"/>
        <v>0</v>
      </c>
      <c r="EG8" s="55">
        <f t="shared" si="226"/>
        <v>0</v>
      </c>
      <c r="EH8" s="56">
        <f>IF(AND($E8&lt;&gt;0,$F8&gt;0,YEAR($F8)&gt;=Preisindex!$A$6,YEAR(EC$4)&gt;=YEAR($F8),AND($K8&lt;&gt;"a",$K8&lt;&gt;"b",$K8&lt;&gt;"g",$K8&lt;&gt;"k")),1,IF(AND($E8&lt;&gt;0,$F8&gt;0,YEAR($F8)&gt;=Preisindex!$A$6,YEAR(EC$4)&gt;=YEAR($F8),$K8="a"),ROUND(VLOOKUP(EH$4,Preisindex,5,FALSE)/VLOOKUP(YEAR($F8),Preisindex,5,FALSE),2),IF(AND($E8&lt;&gt;0,$F8&gt;0,YEAR($F8)&gt;=Preisindex!$A$6,YEAR(EC$4)&gt;=YEAR($F8),$K8="b"),ROUND(VLOOKUP(EH$4,Preisindex,3,FALSE)/VLOOKUP(YEAR($F8),Preisindex,3,FALSE),2),IF(AND($E8&lt;&gt;0,$F8&gt;0,YEAR($F8)&gt;=Preisindex!$A$6,YEAR(EC$4)&gt;=YEAR($F8),$K8="g"),ROUND(VLOOKUP(EH$4,Preisindex,4,FALSE)/VLOOKUP(YEAR($F8),Preisindex,4,FALSE),2),IF(AND($E8&lt;&gt;0,$F8&gt;0,YEAR($F8)&gt;=Preisindex!$A$6,YEAR(EC$4)&gt;=YEAR($F8),$K8="k"),ROUND(VLOOKUP(EH$4,Preisindex,2,FALSE)/VLOOKUP(YEAR($F8),Preisindex,2,FALSE),2),0)))))</f>
        <v>1</v>
      </c>
      <c r="EI8" s="56">
        <f>IF(AND($E8&lt;&gt;0,$F8&gt;0,YEAR($F8)&lt;Preisindex!$A$6,YEAR(EC$4)&gt;=YEAR($F8),AND($K8&lt;&gt;"a",$K8&lt;&gt;"b",$K8&lt;&gt;"g",$K8&lt;&gt;"k")),1,IF(AND($E8&lt;&gt;0,$F8&gt;0,YEAR($F8)&lt;Preisindex!$A$6,YEAR(EC$4)&gt;=YEAR($F8),$K8="a"),ROUND(VLOOKUP(EH$4,Preisindex,5,FALSE)/VLOOKUP(Preisindex!$A$6,Preisindex,5,FALSE),2),IF(AND($E8&lt;&gt;0,$F8&gt;0,YEAR($F8)&lt;Preisindex!$A$6,YEAR(EC$4)&gt;=YEAR($F8),$K8="b"),ROUND(VLOOKUP(EH$4,Preisindex,3,FALSE)/VLOOKUP(Preisindex!$A$6,Preisindex,3,FALSE),2),IF(AND($E8&lt;&gt;0,$F8&gt;0,YEAR($F8)&lt;Preisindex!$A$6,YEAR(EC$4)&gt;=YEAR($F8),$K8="g"),ROUND(VLOOKUP(EH$4,Preisindex,4,FALSE)/VLOOKUP(Preisindex!$A$6,Preisindex,4,FALSE),2),IF(AND($E8&lt;&gt;0,$F8&gt;0,YEAR($F8)&lt;Preisindex!$A$6,YEAR(EC$4)&gt;=YEAR($F8),$K8="k"),ROUND(VLOOKUP(EH$4,Preisindex,2,FALSE)/VLOOKUP(Preisindex!$A$6,Preisindex,2,FALSE),2),0)))))</f>
        <v>0</v>
      </c>
      <c r="EJ8" s="51">
        <f>IF(AND($E8&lt;&gt;0,$F8&gt;0,YEAR($F8)&lt;=EH$4,YEAR($F8)&gt;=Preisindex!$A$6),ROUND($E8*EH8,2),IF(AND($E8&lt;&gt;0,$F8&gt;0,YEAR($F8)&lt;=EH$4,YEAR($F8)&lt;Preisindex!$A$6),ROUND($E8*EI8,2),0))</f>
        <v>30000</v>
      </c>
      <c r="EK8" s="53">
        <f t="shared" si="227"/>
        <v>0</v>
      </c>
      <c r="EL8" s="51">
        <f t="shared" si="228"/>
        <v>0</v>
      </c>
      <c r="EM8" s="51">
        <f t="shared" si="286"/>
        <v>0</v>
      </c>
      <c r="EN8" s="51">
        <f t="shared" si="230"/>
        <v>0</v>
      </c>
      <c r="EO8" s="51">
        <f t="shared" si="287"/>
        <v>0</v>
      </c>
      <c r="EP8" s="51">
        <f t="shared" si="232"/>
        <v>30000</v>
      </c>
      <c r="EQ8" s="51">
        <f t="shared" si="288"/>
        <v>0</v>
      </c>
      <c r="ER8" s="51">
        <f t="shared" si="234"/>
        <v>0</v>
      </c>
      <c r="ES8" s="51">
        <f t="shared" si="289"/>
        <v>0</v>
      </c>
      <c r="ET8" s="51">
        <f t="shared" si="236"/>
        <v>30000</v>
      </c>
      <c r="EU8" s="51">
        <f t="shared" si="290"/>
        <v>30000</v>
      </c>
      <c r="EV8" s="51">
        <f t="shared" si="238"/>
        <v>0</v>
      </c>
      <c r="EW8" s="54">
        <f t="shared" si="239"/>
        <v>0</v>
      </c>
      <c r="EX8" s="55">
        <f t="shared" si="240"/>
        <v>0</v>
      </c>
      <c r="EY8" s="56">
        <f>IF(AND($E8&lt;&gt;0,$F8&gt;0,YEAR($F8)&gt;=Preisindex!$A$6,YEAR(ET$4)&gt;=YEAR($F8),AND($K8&lt;&gt;"a",$K8&lt;&gt;"b",$K8&lt;&gt;"g",$K8&lt;&gt;"k")),1,IF(AND($E8&lt;&gt;0,$F8&gt;0,YEAR($F8)&gt;=Preisindex!$A$6,YEAR(ET$4)&gt;=YEAR($F8),$K8="a"),ROUND(VLOOKUP(EY$4,Preisindex,5,FALSE)/VLOOKUP(YEAR($F8),Preisindex,5,FALSE),2),IF(AND($E8&lt;&gt;0,$F8&gt;0,YEAR($F8)&gt;=Preisindex!$A$6,YEAR(ET$4)&gt;=YEAR($F8),$K8="b"),ROUND(VLOOKUP(EY$4,Preisindex,3,FALSE)/VLOOKUP(YEAR($F8),Preisindex,3,FALSE),2),IF(AND($E8&lt;&gt;0,$F8&gt;0,YEAR($F8)&gt;=Preisindex!$A$6,YEAR(ET$4)&gt;=YEAR($F8),$K8="g"),ROUND(VLOOKUP(EY$4,Preisindex,4,FALSE)/VLOOKUP(YEAR($F8),Preisindex,4,FALSE),2),IF(AND($E8&lt;&gt;0,$F8&gt;0,YEAR($F8)&gt;=Preisindex!$A$6,YEAR(ET$4)&gt;=YEAR($F8),$K8="k"),ROUND(VLOOKUP(EY$4,Preisindex,2,FALSE)/VLOOKUP(YEAR($F8),Preisindex,2,FALSE),2),0)))))</f>
        <v>1</v>
      </c>
      <c r="EZ8" s="56">
        <f>IF(AND($E8&lt;&gt;0,$F8&gt;0,YEAR($F8)&lt;Preisindex!$A$6,YEAR(ET$4)&gt;=YEAR($F8),AND($K8&lt;&gt;"a",$K8&lt;&gt;"b",$K8&lt;&gt;"g",$K8&lt;&gt;"k")),1,IF(AND($E8&lt;&gt;0,$F8&gt;0,YEAR($F8)&lt;Preisindex!$A$6,YEAR(ET$4)&gt;=YEAR($F8),$K8="a"),ROUND(VLOOKUP(EY$4,Preisindex,5,FALSE)/VLOOKUP(Preisindex!$A$6,Preisindex,5,FALSE),2),IF(AND($E8&lt;&gt;0,$F8&gt;0,YEAR($F8)&lt;Preisindex!$A$6,YEAR(ET$4)&gt;=YEAR($F8),$K8="b"),ROUND(VLOOKUP(EY$4,Preisindex,3,FALSE)/VLOOKUP(Preisindex!$A$6,Preisindex,3,FALSE),2),IF(AND($E8&lt;&gt;0,$F8&gt;0,YEAR($F8)&lt;Preisindex!$A$6,YEAR(ET$4)&gt;=YEAR($F8),$K8="g"),ROUND(VLOOKUP(EY$4,Preisindex,4,FALSE)/VLOOKUP(Preisindex!$A$6,Preisindex,4,FALSE),2),IF(AND($E8&lt;&gt;0,$F8&gt;0,YEAR($F8)&lt;Preisindex!$A$6,YEAR(ET$4)&gt;=YEAR($F8),$K8="k"),ROUND(VLOOKUP(EY$4,Preisindex,2,FALSE)/VLOOKUP(Preisindex!$A$6,Preisindex,2,FALSE),2),0)))))</f>
        <v>0</v>
      </c>
      <c r="FA8" s="51">
        <f>IF(AND($E8&lt;&gt;0,$F8&gt;0,YEAR($F8)&lt;=EY$4,YEAR($F8)&gt;=Preisindex!$A$6),ROUND($E8*EY8,2),IF(AND($E8&lt;&gt;0,$F8&gt;0,YEAR($F8)&lt;=EY$4,YEAR($F8)&lt;Preisindex!$A$6),ROUND($E8*EZ8,2),0))</f>
        <v>30000</v>
      </c>
      <c r="FB8" s="53">
        <f t="shared" si="241"/>
        <v>0</v>
      </c>
      <c r="FC8" s="51">
        <f t="shared" si="228"/>
        <v>0</v>
      </c>
      <c r="FD8" s="51">
        <f t="shared" si="291"/>
        <v>0</v>
      </c>
      <c r="FE8" s="51">
        <f t="shared" si="244"/>
        <v>0</v>
      </c>
      <c r="FF8" s="51">
        <f t="shared" si="292"/>
        <v>0</v>
      </c>
      <c r="FG8" s="51">
        <f t="shared" si="246"/>
        <v>30000</v>
      </c>
      <c r="FH8" s="51">
        <f t="shared" si="293"/>
        <v>0</v>
      </c>
      <c r="FI8" s="51">
        <f t="shared" si="248"/>
        <v>0</v>
      </c>
      <c r="FJ8" s="51">
        <f t="shared" si="294"/>
        <v>0</v>
      </c>
      <c r="FK8" s="51">
        <f t="shared" si="250"/>
        <v>30000</v>
      </c>
      <c r="FL8" s="51">
        <f t="shared" si="295"/>
        <v>30000</v>
      </c>
      <c r="FM8" s="51">
        <f t="shared" si="252"/>
        <v>0</v>
      </c>
      <c r="FN8" s="54">
        <f t="shared" si="253"/>
        <v>0</v>
      </c>
      <c r="FO8" s="55">
        <f t="shared" si="254"/>
        <v>0</v>
      </c>
      <c r="FP8" s="56">
        <f>IF(AND($E8&lt;&gt;0,$F8&gt;0,YEAR($F8)&gt;=Preisindex!$A$6,YEAR(FK$4)&gt;=YEAR($F8),AND($K8&lt;&gt;"a",$K8&lt;&gt;"b",$K8&lt;&gt;"g",$K8&lt;&gt;"k")),1,IF(AND($E8&lt;&gt;0,$F8&gt;0,YEAR($F8)&gt;=Preisindex!$A$6,YEAR(FK$4)&gt;=YEAR($F8),$K8="a"),ROUND(VLOOKUP(FP$4,Preisindex,5,FALSE)/VLOOKUP(YEAR($F8),Preisindex,5,FALSE),2),IF(AND($E8&lt;&gt;0,$F8&gt;0,YEAR($F8)&gt;=Preisindex!$A$6,YEAR(FK$4)&gt;=YEAR($F8),$K8="b"),ROUND(VLOOKUP(FP$4,Preisindex,3,FALSE)/VLOOKUP(YEAR($F8),Preisindex,3,FALSE),2),IF(AND($E8&lt;&gt;0,$F8&gt;0,YEAR($F8)&gt;=Preisindex!$A$6,YEAR(FK$4)&gt;=YEAR($F8),$K8="g"),ROUND(VLOOKUP(FP$4,Preisindex,4,FALSE)/VLOOKUP(YEAR($F8),Preisindex,4,FALSE),2),IF(AND($E8&lt;&gt;0,$F8&gt;0,YEAR($F8)&gt;=Preisindex!$A$6,YEAR(FK$4)&gt;=YEAR($F8),$K8="k"),ROUND(VLOOKUP(FP$4,Preisindex,2,FALSE)/VLOOKUP(YEAR($F8),Preisindex,2,FALSE),2),0)))))</f>
        <v>1</v>
      </c>
      <c r="FQ8" s="56">
        <f>IF(AND($E8&lt;&gt;0,$F8&gt;0,YEAR($F8)&lt;Preisindex!$A$6,YEAR(FK$4)&gt;=YEAR($F8),AND($K8&lt;&gt;"a",$K8&lt;&gt;"b",$K8&lt;&gt;"g",$K8&lt;&gt;"k")),1,IF(AND($E8&lt;&gt;0,$F8&gt;0,YEAR($F8)&lt;Preisindex!$A$6,YEAR(FK$4)&gt;=YEAR($F8),$K8="a"),ROUND(VLOOKUP(FP$4,Preisindex,5,FALSE)/VLOOKUP(Preisindex!$A$6,Preisindex,5,FALSE),2),IF(AND($E8&lt;&gt;0,$F8&gt;0,YEAR($F8)&lt;Preisindex!$A$6,YEAR(FK$4)&gt;=YEAR($F8),$K8="b"),ROUND(VLOOKUP(FP$4,Preisindex,3,FALSE)/VLOOKUP(Preisindex!$A$6,Preisindex,3,FALSE),2),IF(AND($E8&lt;&gt;0,$F8&gt;0,YEAR($F8)&lt;Preisindex!$A$6,YEAR(FK$4)&gt;=YEAR($F8),$K8="g"),ROUND(VLOOKUP(FP$4,Preisindex,4,FALSE)/VLOOKUP(Preisindex!$A$6,Preisindex,4,FALSE),2),IF(AND($E8&lt;&gt;0,$F8&gt;0,YEAR($F8)&lt;Preisindex!$A$6,YEAR(FK$4)&gt;=YEAR($F8),$K8="k"),ROUND(VLOOKUP(FP$4,Preisindex,2,FALSE)/VLOOKUP(Preisindex!$A$6,Preisindex,2,FALSE),2),0)))))</f>
        <v>0</v>
      </c>
      <c r="FR8" s="51">
        <f>IF(AND($E8&lt;&gt;0,$F8&gt;0,YEAR($F8)&lt;=FP$4,YEAR($F8)&gt;=Preisindex!$A$6),ROUND($E8*FP8,2),IF(AND($E8&lt;&gt;0,$F8&gt;0,YEAR($F8)&lt;=FP$4,YEAR($F8)&lt;Preisindex!$A$6),ROUND($E8*FQ8,2),0))</f>
        <v>30000</v>
      </c>
      <c r="FS8" s="53">
        <f t="shared" si="255"/>
        <v>0</v>
      </c>
    </row>
    <row r="9" spans="1:175" x14ac:dyDescent="0.3">
      <c r="A9" s="93">
        <v>1996</v>
      </c>
      <c r="B9" s="94" t="s">
        <v>200</v>
      </c>
      <c r="C9" s="94"/>
      <c r="D9" s="95" t="s">
        <v>49</v>
      </c>
      <c r="E9" s="99">
        <v>30000</v>
      </c>
      <c r="F9" s="97">
        <v>35065</v>
      </c>
      <c r="G9" s="98"/>
      <c r="H9" s="620"/>
      <c r="I9" s="621"/>
      <c r="J9" s="194"/>
      <c r="K9" s="630"/>
      <c r="L9" s="49">
        <f t="shared" si="296"/>
        <v>0</v>
      </c>
      <c r="M9" s="50">
        <f t="shared" si="297"/>
        <v>0</v>
      </c>
      <c r="N9" s="51">
        <f t="shared" si="298"/>
        <v>30000</v>
      </c>
      <c r="O9" s="51"/>
      <c r="P9" s="51">
        <f t="shared" si="299"/>
        <v>0</v>
      </c>
      <c r="Q9" s="52"/>
      <c r="R9" s="52"/>
      <c r="S9" s="52"/>
      <c r="T9" s="52"/>
      <c r="U9" s="52"/>
      <c r="V9" s="53">
        <f t="shared" si="300"/>
        <v>30000</v>
      </c>
      <c r="W9" s="51">
        <f t="shared" si="301"/>
        <v>0</v>
      </c>
      <c r="X9" s="51">
        <f t="shared" si="302"/>
        <v>0</v>
      </c>
      <c r="Y9" s="51">
        <f t="shared" si="303"/>
        <v>0</v>
      </c>
      <c r="Z9" s="51">
        <f t="shared" si="304"/>
        <v>0</v>
      </c>
      <c r="AA9" s="51">
        <f t="shared" si="305"/>
        <v>30000</v>
      </c>
      <c r="AB9" s="51">
        <f t="shared" si="306"/>
        <v>0</v>
      </c>
      <c r="AC9" s="51">
        <f t="shared" si="307"/>
        <v>0</v>
      </c>
      <c r="AD9" s="51">
        <f t="shared" si="308"/>
        <v>0</v>
      </c>
      <c r="AE9" s="51">
        <f t="shared" si="309"/>
        <v>30000</v>
      </c>
      <c r="AF9" s="51">
        <f t="shared" si="310"/>
        <v>30000</v>
      </c>
      <c r="AG9" s="51">
        <f t="shared" si="311"/>
        <v>0</v>
      </c>
      <c r="AH9" s="54">
        <f t="shared" si="312"/>
        <v>0</v>
      </c>
      <c r="AI9" s="55">
        <f t="shared" si="313"/>
        <v>0</v>
      </c>
      <c r="AJ9" s="56">
        <f>IF(AND($E9&lt;&gt;0,$F9&gt;0,YEAR($F9)&gt;=Preisindex!$A$6,YEAR(AE$4)&gt;=YEAR($F9),AND($K9&lt;&gt;"a",$K9&lt;&gt;"b",$K9&lt;&gt;"g",$K9&lt;&gt;"k")),1,IF(AND($E9&lt;&gt;0,$F9&gt;0,YEAR($F9)&gt;=Preisindex!$A$6,YEAR(AE$4)&gt;=YEAR($F9),$K9="a"),ROUND(VLOOKUP(AJ$4,Preisindex,5,FALSE)/VLOOKUP(YEAR($F9),Preisindex,5,FALSE),2),IF(AND($E9&lt;&gt;0,$F9&gt;0,YEAR($F9)&gt;=Preisindex!$A$6,YEAR(AE$4)&gt;=YEAR($F9),$K9="b"),ROUND(VLOOKUP(AJ$4,Preisindex,3,FALSE)/VLOOKUP(YEAR($F9),Preisindex,3,FALSE),2),IF(AND($E9&lt;&gt;0,$F9&gt;0,YEAR($F9)&gt;=Preisindex!$A$6,YEAR(AE$4)&gt;=YEAR($F9),$K9="g"),ROUND(VLOOKUP(AJ$4,Preisindex,4,FALSE)/VLOOKUP(YEAR($F9),Preisindex,4,FALSE),2),IF(AND($E9&lt;&gt;0,$F9&gt;0,YEAR($F9)&gt;=Preisindex!$A$6,YEAR(AE$4)&gt;=YEAR($F9),$K9="k"),ROUND(VLOOKUP(AJ$4,Preisindex,2,FALSE)/VLOOKUP(YEAR($F9),Preisindex,2,FALSE),2),0)))))</f>
        <v>1</v>
      </c>
      <c r="AK9" s="56">
        <f>IF(AND($E9&lt;&gt;0,$F9&gt;0,YEAR($F9)&lt;Preisindex!$A$6,YEAR(AE$4)&gt;=YEAR($F9),AND($K9&lt;&gt;"a",$K9&lt;&gt;"b",$K9&lt;&gt;"g",$K9&lt;&gt;"k")),1,IF(AND($E9&lt;&gt;0,$F9&gt;0,YEAR($F9)&lt;Preisindex!$A$6,YEAR(AE$4)&gt;=YEAR($F9),$K9="a"),ROUND(VLOOKUP(AJ$4,Preisindex,5,FALSE)/VLOOKUP(Preisindex!$A$6,Preisindex,5,FALSE),2),IF(AND($E9&lt;&gt;0,$F9&gt;0,YEAR($F9)&lt;Preisindex!$A$6,YEAR(AE$4)&gt;=YEAR($F9),$K9="b"),ROUND(VLOOKUP(AJ$4,Preisindex,3,FALSE)/VLOOKUP(Preisindex!$A$6,Preisindex,3,FALSE),2),IF(AND($E9&lt;&gt;0,$F9&gt;0,YEAR($F9)&lt;Preisindex!$A$6,YEAR(AE$4)&gt;=YEAR($F9),$K9="g"),ROUND(VLOOKUP(AJ$4,Preisindex,4,FALSE)/VLOOKUP(Preisindex!$A$6,Preisindex,4,FALSE),2),IF(AND($E9&lt;&gt;0,$F9&gt;0,YEAR($F9)&lt;Preisindex!$A$6,YEAR(AE$4)&gt;=YEAR($F9),$K9="k"),ROUND(VLOOKUP(AJ$4,Preisindex,2,FALSE)/VLOOKUP(Preisindex!$A$6,Preisindex,2,FALSE),2),0)))))</f>
        <v>0</v>
      </c>
      <c r="AL9" s="51">
        <f>IF(AND($E9&lt;&gt;0,$F9&gt;0,YEAR($F9)&lt;=AJ$4,YEAR($F9)&gt;=Preisindex!$A$6),ROUND($E9*AJ9,2),IF(AND($E9&lt;&gt;0,$F9&gt;0,YEAR($F9)&lt;=AJ$4,YEAR($F9)&lt;Preisindex!$A$6),ROUND($E9*AK9,2),0))</f>
        <v>30000</v>
      </c>
      <c r="AM9" s="53">
        <f t="shared" si="314"/>
        <v>0</v>
      </c>
      <c r="AN9" s="51">
        <f t="shared" si="144"/>
        <v>0</v>
      </c>
      <c r="AO9" s="51">
        <f t="shared" si="256"/>
        <v>0</v>
      </c>
      <c r="AP9" s="51">
        <f t="shared" si="146"/>
        <v>0</v>
      </c>
      <c r="AQ9" s="51">
        <f t="shared" si="257"/>
        <v>0</v>
      </c>
      <c r="AR9" s="51">
        <f t="shared" si="148"/>
        <v>30000</v>
      </c>
      <c r="AS9" s="51">
        <f t="shared" si="258"/>
        <v>0</v>
      </c>
      <c r="AT9" s="51">
        <f t="shared" si="150"/>
        <v>0</v>
      </c>
      <c r="AU9" s="51">
        <f t="shared" si="259"/>
        <v>0</v>
      </c>
      <c r="AV9" s="51">
        <f t="shared" si="152"/>
        <v>30000</v>
      </c>
      <c r="AW9" s="51">
        <f t="shared" si="260"/>
        <v>30000</v>
      </c>
      <c r="AX9" s="51">
        <f t="shared" si="154"/>
        <v>0</v>
      </c>
      <c r="AY9" s="54">
        <f t="shared" si="155"/>
        <v>0</v>
      </c>
      <c r="AZ9" s="55">
        <f t="shared" si="156"/>
        <v>0</v>
      </c>
      <c r="BA9" s="56">
        <f>IF(AND($E9&lt;&gt;0,$F9&gt;0,YEAR($F9)&gt;=Preisindex!$A$6,YEAR(AV$4)&gt;=YEAR($F9),AND($K9&lt;&gt;"a",$K9&lt;&gt;"b",$K9&lt;&gt;"g",$K9&lt;&gt;"k")),1,IF(AND($E9&lt;&gt;0,$F9&gt;0,YEAR($F9)&gt;=Preisindex!$A$6,YEAR(AV$4)&gt;=YEAR($F9),$K9="a"),ROUND(VLOOKUP(BA$4,Preisindex,5,FALSE)/VLOOKUP(YEAR($F9),Preisindex,5,FALSE),2),IF(AND($E9&lt;&gt;0,$F9&gt;0,YEAR($F9)&gt;=Preisindex!$A$6,YEAR(AV$4)&gt;=YEAR($F9),$K9="b"),ROUND(VLOOKUP(BA$4,Preisindex,3,FALSE)/VLOOKUP(YEAR($F9),Preisindex,3,FALSE),2),IF(AND($E9&lt;&gt;0,$F9&gt;0,YEAR($F9)&gt;=Preisindex!$A$6,YEAR(AV$4)&gt;=YEAR($F9),$K9="g"),ROUND(VLOOKUP(BA$4,Preisindex,4,FALSE)/VLOOKUP(YEAR($F9),Preisindex,4,FALSE),2),IF(AND($E9&lt;&gt;0,$F9&gt;0,YEAR($F9)&gt;=Preisindex!$A$6,YEAR(AV$4)&gt;=YEAR($F9),$K9="k"),ROUND(VLOOKUP(BA$4,Preisindex,2,FALSE)/VLOOKUP(YEAR($F9),Preisindex,2,FALSE),2),0)))))</f>
        <v>1</v>
      </c>
      <c r="BB9" s="56">
        <f>IF(AND($E9&lt;&gt;0,$F9&gt;0,YEAR($F9)&lt;Preisindex!$A$6,YEAR(AV$4)&gt;=YEAR($F9),AND($K9&lt;&gt;"a",$K9&lt;&gt;"b",$K9&lt;&gt;"g",$K9&lt;&gt;"k")),1,IF(AND($E9&lt;&gt;0,$F9&gt;0,YEAR($F9)&lt;Preisindex!$A$6,YEAR(AV$4)&gt;=YEAR($F9),$K9="a"),ROUND(VLOOKUP(BA$4,Preisindex,5,FALSE)/VLOOKUP(Preisindex!$A$6,Preisindex,5,FALSE),2),IF(AND($E9&lt;&gt;0,$F9&gt;0,YEAR($F9)&lt;Preisindex!$A$6,YEAR(AV$4)&gt;=YEAR($F9),$K9="b"),ROUND(VLOOKUP(BA$4,Preisindex,3,FALSE)/VLOOKUP(Preisindex!$A$6,Preisindex,3,FALSE),2),IF(AND($E9&lt;&gt;0,$F9&gt;0,YEAR($F9)&lt;Preisindex!$A$6,YEAR(AV$4)&gt;=YEAR($F9),$K9="g"),ROUND(VLOOKUP(BA$4,Preisindex,4,FALSE)/VLOOKUP(Preisindex!$A$6,Preisindex,4,FALSE),2),IF(AND($E9&lt;&gt;0,$F9&gt;0,YEAR($F9)&lt;Preisindex!$A$6,YEAR(AV$4)&gt;=YEAR($F9),$K9="k"),ROUND(VLOOKUP(BA$4,Preisindex,2,FALSE)/VLOOKUP(Preisindex!$A$6,Preisindex,2,FALSE),2),0)))))</f>
        <v>0</v>
      </c>
      <c r="BC9" s="51">
        <f>IF(AND($E9&lt;&gt;0,$F9&gt;0,YEAR($F9)&lt;=BA$4,YEAR($F9)&gt;=Preisindex!$A$6),ROUND($E9*BA9,2),IF(AND($E9&lt;&gt;0,$F9&gt;0,YEAR($F9)&lt;=BA$4,YEAR($F9)&lt;Preisindex!$A$6),ROUND($E9*BB9,2),0))</f>
        <v>30000</v>
      </c>
      <c r="BD9" s="53">
        <f t="shared" si="157"/>
        <v>0</v>
      </c>
      <c r="BE9" s="51">
        <f t="shared" si="144"/>
        <v>0</v>
      </c>
      <c r="BF9" s="51">
        <f t="shared" si="261"/>
        <v>0</v>
      </c>
      <c r="BG9" s="51">
        <f t="shared" si="160"/>
        <v>0</v>
      </c>
      <c r="BH9" s="51">
        <f t="shared" si="262"/>
        <v>0</v>
      </c>
      <c r="BI9" s="51">
        <f t="shared" si="162"/>
        <v>30000</v>
      </c>
      <c r="BJ9" s="51">
        <f t="shared" si="263"/>
        <v>0</v>
      </c>
      <c r="BK9" s="51">
        <f t="shared" si="164"/>
        <v>0</v>
      </c>
      <c r="BL9" s="51">
        <f t="shared" si="264"/>
        <v>0</v>
      </c>
      <c r="BM9" s="51">
        <f t="shared" si="166"/>
        <v>30000</v>
      </c>
      <c r="BN9" s="51">
        <f t="shared" si="265"/>
        <v>30000</v>
      </c>
      <c r="BO9" s="51">
        <f t="shared" si="168"/>
        <v>0</v>
      </c>
      <c r="BP9" s="54">
        <f t="shared" si="169"/>
        <v>0</v>
      </c>
      <c r="BQ9" s="55">
        <f t="shared" si="170"/>
        <v>0</v>
      </c>
      <c r="BR9" s="56">
        <f>IF(AND($E9&lt;&gt;0,$F9&gt;0,YEAR($F9)&gt;=Preisindex!$A$6,YEAR(BM$4)&gt;=YEAR($F9),AND($K9&lt;&gt;"a",$K9&lt;&gt;"b",$K9&lt;&gt;"g",$K9&lt;&gt;"k")),1,IF(AND($E9&lt;&gt;0,$F9&gt;0,YEAR($F9)&gt;=Preisindex!$A$6,YEAR(BM$4)&gt;=YEAR($F9),$K9="a"),ROUND(VLOOKUP(BR$4,Preisindex,5,FALSE)/VLOOKUP(YEAR($F9),Preisindex,5,FALSE),2),IF(AND($E9&lt;&gt;0,$F9&gt;0,YEAR($F9)&gt;=Preisindex!$A$6,YEAR(BM$4)&gt;=YEAR($F9),$K9="b"),ROUND(VLOOKUP(BR$4,Preisindex,3,FALSE)/VLOOKUP(YEAR($F9),Preisindex,3,FALSE),2),IF(AND($E9&lt;&gt;0,$F9&gt;0,YEAR($F9)&gt;=Preisindex!$A$6,YEAR(BM$4)&gt;=YEAR($F9),$K9="g"),ROUND(VLOOKUP(BR$4,Preisindex,4,FALSE)/VLOOKUP(YEAR($F9),Preisindex,4,FALSE),2),IF(AND($E9&lt;&gt;0,$F9&gt;0,YEAR($F9)&gt;=Preisindex!$A$6,YEAR(BM$4)&gt;=YEAR($F9),$K9="k"),ROUND(VLOOKUP(BR$4,Preisindex,2,FALSE)/VLOOKUP(YEAR($F9),Preisindex,2,FALSE),2),0)))))</f>
        <v>1</v>
      </c>
      <c r="BS9" s="56">
        <f>IF(AND($E9&lt;&gt;0,$F9&gt;0,YEAR($F9)&lt;Preisindex!$A$6,YEAR(BM$4)&gt;=YEAR($F9),AND($K9&lt;&gt;"a",$K9&lt;&gt;"b",$K9&lt;&gt;"g",$K9&lt;&gt;"k")),1,IF(AND($E9&lt;&gt;0,$F9&gt;0,YEAR($F9)&lt;Preisindex!$A$6,YEAR(BM$4)&gt;=YEAR($F9),$K9="a"),ROUND(VLOOKUP(BR$4,Preisindex,5,FALSE)/VLOOKUP(Preisindex!$A$6,Preisindex,5,FALSE),2),IF(AND($E9&lt;&gt;0,$F9&gt;0,YEAR($F9)&lt;Preisindex!$A$6,YEAR(BM$4)&gt;=YEAR($F9),$K9="b"),ROUND(VLOOKUP(BR$4,Preisindex,3,FALSE)/VLOOKUP(Preisindex!$A$6,Preisindex,3,FALSE),2),IF(AND($E9&lt;&gt;0,$F9&gt;0,YEAR($F9)&lt;Preisindex!$A$6,YEAR(BM$4)&gt;=YEAR($F9),$K9="g"),ROUND(VLOOKUP(BR$4,Preisindex,4,FALSE)/VLOOKUP(Preisindex!$A$6,Preisindex,4,FALSE),2),IF(AND($E9&lt;&gt;0,$F9&gt;0,YEAR($F9)&lt;Preisindex!$A$6,YEAR(BM$4)&gt;=YEAR($F9),$K9="k"),ROUND(VLOOKUP(BR$4,Preisindex,2,FALSE)/VLOOKUP(Preisindex!$A$6,Preisindex,2,FALSE),2),0)))))</f>
        <v>0</v>
      </c>
      <c r="BT9" s="51">
        <f>IF(AND($E9&lt;&gt;0,$F9&gt;0,YEAR($F9)&lt;=BR$4,YEAR($F9)&gt;=Preisindex!$A$6),ROUND($E9*BR9,2),IF(AND($E9&lt;&gt;0,$F9&gt;0,YEAR($F9)&lt;=BR$4,YEAR($F9)&lt;Preisindex!$A$6),ROUND($E9*BS9,2),0))</f>
        <v>30000</v>
      </c>
      <c r="BU9" s="53">
        <f t="shared" si="171"/>
        <v>0</v>
      </c>
      <c r="BV9" s="51">
        <f t="shared" si="172"/>
        <v>0</v>
      </c>
      <c r="BW9" s="51">
        <f t="shared" si="266"/>
        <v>0</v>
      </c>
      <c r="BX9" s="51">
        <f t="shared" si="174"/>
        <v>0</v>
      </c>
      <c r="BY9" s="51">
        <f t="shared" si="267"/>
        <v>0</v>
      </c>
      <c r="BZ9" s="51">
        <f t="shared" si="176"/>
        <v>30000</v>
      </c>
      <c r="CA9" s="51">
        <f t="shared" si="268"/>
        <v>0</v>
      </c>
      <c r="CB9" s="51">
        <f t="shared" si="178"/>
        <v>0</v>
      </c>
      <c r="CC9" s="51">
        <f t="shared" si="269"/>
        <v>0</v>
      </c>
      <c r="CD9" s="51">
        <f t="shared" si="180"/>
        <v>30000</v>
      </c>
      <c r="CE9" s="51">
        <f t="shared" si="270"/>
        <v>30000</v>
      </c>
      <c r="CF9" s="51">
        <f t="shared" si="182"/>
        <v>0</v>
      </c>
      <c r="CG9" s="54">
        <f t="shared" si="183"/>
        <v>0</v>
      </c>
      <c r="CH9" s="55">
        <f t="shared" si="184"/>
        <v>0</v>
      </c>
      <c r="CI9" s="56">
        <f>IF(AND($E9&lt;&gt;0,$F9&gt;0,YEAR($F9)&gt;=Preisindex!$A$6,YEAR(CD$4)&gt;=YEAR($F9),AND($K9&lt;&gt;"a",$K9&lt;&gt;"b",$K9&lt;&gt;"g",$K9&lt;&gt;"k")),1,IF(AND($E9&lt;&gt;0,$F9&gt;0,YEAR($F9)&gt;=Preisindex!$A$6,YEAR(CD$4)&gt;=YEAR($F9),$K9="a"),ROUND(VLOOKUP(CI$4,Preisindex,5,FALSE)/VLOOKUP(YEAR($F9),Preisindex,5,FALSE),2),IF(AND($E9&lt;&gt;0,$F9&gt;0,YEAR($F9)&gt;=Preisindex!$A$6,YEAR(CD$4)&gt;=YEAR($F9),$K9="b"),ROUND(VLOOKUP(CI$4,Preisindex,3,FALSE)/VLOOKUP(YEAR($F9),Preisindex,3,FALSE),2),IF(AND($E9&lt;&gt;0,$F9&gt;0,YEAR($F9)&gt;=Preisindex!$A$6,YEAR(CD$4)&gt;=YEAR($F9),$K9="g"),ROUND(VLOOKUP(CI$4,Preisindex,4,FALSE)/VLOOKUP(YEAR($F9),Preisindex,4,FALSE),2),IF(AND($E9&lt;&gt;0,$F9&gt;0,YEAR($F9)&gt;=Preisindex!$A$6,YEAR(CD$4)&gt;=YEAR($F9),$K9="k"),ROUND(VLOOKUP(CI$4,Preisindex,2,FALSE)/VLOOKUP(YEAR($F9),Preisindex,2,FALSE),2),0)))))</f>
        <v>1</v>
      </c>
      <c r="CJ9" s="56">
        <f>IF(AND($E9&lt;&gt;0,$F9&gt;0,YEAR($F9)&lt;Preisindex!$A$6,YEAR(CD$4)&gt;=YEAR($F9),AND($K9&lt;&gt;"a",$K9&lt;&gt;"b",$K9&lt;&gt;"g",$K9&lt;&gt;"k")),1,IF(AND($E9&lt;&gt;0,$F9&gt;0,YEAR($F9)&lt;Preisindex!$A$6,YEAR(CD$4)&gt;=YEAR($F9),$K9="a"),ROUND(VLOOKUP(CI$4,Preisindex,5,FALSE)/VLOOKUP(Preisindex!$A$6,Preisindex,5,FALSE),2),IF(AND($E9&lt;&gt;0,$F9&gt;0,YEAR($F9)&lt;Preisindex!$A$6,YEAR(CD$4)&gt;=YEAR($F9),$K9="b"),ROUND(VLOOKUP(CI$4,Preisindex,3,FALSE)/VLOOKUP(Preisindex!$A$6,Preisindex,3,FALSE),2),IF(AND($E9&lt;&gt;0,$F9&gt;0,YEAR($F9)&lt;Preisindex!$A$6,YEAR(CD$4)&gt;=YEAR($F9),$K9="g"),ROUND(VLOOKUP(CI$4,Preisindex,4,FALSE)/VLOOKUP(Preisindex!$A$6,Preisindex,4,FALSE),2),IF(AND($E9&lt;&gt;0,$F9&gt;0,YEAR($F9)&lt;Preisindex!$A$6,YEAR(CD$4)&gt;=YEAR($F9),$K9="k"),ROUND(VLOOKUP(CI$4,Preisindex,2,FALSE)/VLOOKUP(Preisindex!$A$6,Preisindex,2,FALSE),2),0)))))</f>
        <v>0</v>
      </c>
      <c r="CK9" s="51">
        <f>IF(AND($E9&lt;&gt;0,$F9&gt;0,YEAR($F9)&lt;=CI$4,YEAR($F9)&gt;=Preisindex!$A$6),ROUND($E9*CI9,2),IF(AND($E9&lt;&gt;0,$F9&gt;0,YEAR($F9)&lt;=CI$4,YEAR($F9)&lt;Preisindex!$A$6),ROUND($E9*CJ9,2),0))</f>
        <v>30000</v>
      </c>
      <c r="CL9" s="53">
        <f t="shared" si="185"/>
        <v>0</v>
      </c>
      <c r="CM9" s="51">
        <f t="shared" si="172"/>
        <v>0</v>
      </c>
      <c r="CN9" s="51">
        <f t="shared" si="271"/>
        <v>0</v>
      </c>
      <c r="CO9" s="51">
        <f t="shared" si="188"/>
        <v>0</v>
      </c>
      <c r="CP9" s="51">
        <f t="shared" si="272"/>
        <v>0</v>
      </c>
      <c r="CQ9" s="51">
        <f t="shared" si="190"/>
        <v>30000</v>
      </c>
      <c r="CR9" s="51">
        <f t="shared" si="273"/>
        <v>0</v>
      </c>
      <c r="CS9" s="51">
        <f t="shared" si="192"/>
        <v>0</v>
      </c>
      <c r="CT9" s="51">
        <f t="shared" si="274"/>
        <v>0</v>
      </c>
      <c r="CU9" s="51">
        <f t="shared" si="194"/>
        <v>30000</v>
      </c>
      <c r="CV9" s="51">
        <f t="shared" si="275"/>
        <v>30000</v>
      </c>
      <c r="CW9" s="51">
        <f t="shared" si="196"/>
        <v>0</v>
      </c>
      <c r="CX9" s="54">
        <f t="shared" si="197"/>
        <v>0</v>
      </c>
      <c r="CY9" s="55">
        <f t="shared" si="198"/>
        <v>0</v>
      </c>
      <c r="CZ9" s="56">
        <f>IF(AND($E9&lt;&gt;0,$F9&gt;0,YEAR($F9)&gt;=Preisindex!$A$6,YEAR(CU$4)&gt;=YEAR($F9),AND($K9&lt;&gt;"a",$K9&lt;&gt;"b",$K9&lt;&gt;"g",$K9&lt;&gt;"k")),1,IF(AND($E9&lt;&gt;0,$F9&gt;0,YEAR($F9)&gt;=Preisindex!$A$6,YEAR(CU$4)&gt;=YEAR($F9),$K9="a"),ROUND(VLOOKUP(CZ$4,Preisindex,5,FALSE)/VLOOKUP(YEAR($F9),Preisindex,5,FALSE),2),IF(AND($E9&lt;&gt;0,$F9&gt;0,YEAR($F9)&gt;=Preisindex!$A$6,YEAR(CU$4)&gt;=YEAR($F9),$K9="b"),ROUND(VLOOKUP(CZ$4,Preisindex,3,FALSE)/VLOOKUP(YEAR($F9),Preisindex,3,FALSE),2),IF(AND($E9&lt;&gt;0,$F9&gt;0,YEAR($F9)&gt;=Preisindex!$A$6,YEAR(CU$4)&gt;=YEAR($F9),$K9="g"),ROUND(VLOOKUP(CZ$4,Preisindex,4,FALSE)/VLOOKUP(YEAR($F9),Preisindex,4,FALSE),2),IF(AND($E9&lt;&gt;0,$F9&gt;0,YEAR($F9)&gt;=Preisindex!$A$6,YEAR(CU$4)&gt;=YEAR($F9),$K9="k"),ROUND(VLOOKUP(CZ$4,Preisindex,2,FALSE)/VLOOKUP(YEAR($F9),Preisindex,2,FALSE),2),0)))))</f>
        <v>1</v>
      </c>
      <c r="DA9" s="56">
        <f>IF(AND($E9&lt;&gt;0,$F9&gt;0,YEAR($F9)&lt;Preisindex!$A$6,YEAR(CU$4)&gt;=YEAR($F9),AND($K9&lt;&gt;"a",$K9&lt;&gt;"b",$K9&lt;&gt;"g",$K9&lt;&gt;"k")),1,IF(AND($E9&lt;&gt;0,$F9&gt;0,YEAR($F9)&lt;Preisindex!$A$6,YEAR(CU$4)&gt;=YEAR($F9),$K9="a"),ROUND(VLOOKUP(CZ$4,Preisindex,5,FALSE)/VLOOKUP(Preisindex!$A$6,Preisindex,5,FALSE),2),IF(AND($E9&lt;&gt;0,$F9&gt;0,YEAR($F9)&lt;Preisindex!$A$6,YEAR(CU$4)&gt;=YEAR($F9),$K9="b"),ROUND(VLOOKUP(CZ$4,Preisindex,3,FALSE)/VLOOKUP(Preisindex!$A$6,Preisindex,3,FALSE),2),IF(AND($E9&lt;&gt;0,$F9&gt;0,YEAR($F9)&lt;Preisindex!$A$6,YEAR(CU$4)&gt;=YEAR($F9),$K9="g"),ROUND(VLOOKUP(CZ$4,Preisindex,4,FALSE)/VLOOKUP(Preisindex!$A$6,Preisindex,4,FALSE),2),IF(AND($E9&lt;&gt;0,$F9&gt;0,YEAR($F9)&lt;Preisindex!$A$6,YEAR(CU$4)&gt;=YEAR($F9),$K9="k"),ROUND(VLOOKUP(CZ$4,Preisindex,2,FALSE)/VLOOKUP(Preisindex!$A$6,Preisindex,2,FALSE),2),0)))))</f>
        <v>0</v>
      </c>
      <c r="DB9" s="51">
        <f>IF(AND($E9&lt;&gt;0,$F9&gt;0,YEAR($F9)&lt;=CZ$4,YEAR($F9)&gt;=Preisindex!$A$6),ROUND($E9*CZ9,2),IF(AND($E9&lt;&gt;0,$F9&gt;0,YEAR($F9)&lt;=CZ$4,YEAR($F9)&lt;Preisindex!$A$6),ROUND($E9*DA9,2),0))</f>
        <v>30000</v>
      </c>
      <c r="DC9" s="53">
        <f t="shared" si="199"/>
        <v>0</v>
      </c>
      <c r="DD9" s="51">
        <f t="shared" si="200"/>
        <v>0</v>
      </c>
      <c r="DE9" s="51">
        <f t="shared" si="276"/>
        <v>0</v>
      </c>
      <c r="DF9" s="51">
        <f t="shared" si="202"/>
        <v>0</v>
      </c>
      <c r="DG9" s="51">
        <f t="shared" si="277"/>
        <v>0</v>
      </c>
      <c r="DH9" s="51">
        <f t="shared" si="204"/>
        <v>30000</v>
      </c>
      <c r="DI9" s="51">
        <f t="shared" si="278"/>
        <v>0</v>
      </c>
      <c r="DJ9" s="51">
        <f t="shared" si="206"/>
        <v>0</v>
      </c>
      <c r="DK9" s="51">
        <f t="shared" si="279"/>
        <v>0</v>
      </c>
      <c r="DL9" s="51">
        <f t="shared" si="208"/>
        <v>30000</v>
      </c>
      <c r="DM9" s="51">
        <f t="shared" si="280"/>
        <v>30000</v>
      </c>
      <c r="DN9" s="51">
        <f t="shared" si="210"/>
        <v>0</v>
      </c>
      <c r="DO9" s="54">
        <f t="shared" si="211"/>
        <v>0</v>
      </c>
      <c r="DP9" s="55">
        <f t="shared" si="212"/>
        <v>0</v>
      </c>
      <c r="DQ9" s="56">
        <f>IF(AND($E9&lt;&gt;0,$F9&gt;0,YEAR($F9)&gt;=Preisindex!$A$6,YEAR(DL$4)&gt;=YEAR($F9),AND($K9&lt;&gt;"a",$K9&lt;&gt;"b",$K9&lt;&gt;"g",$K9&lt;&gt;"k")),1,IF(AND($E9&lt;&gt;0,$F9&gt;0,YEAR($F9)&gt;=Preisindex!$A$6,YEAR(DL$4)&gt;=YEAR($F9),$K9="a"),ROUND(VLOOKUP(DQ$4,Preisindex,5,FALSE)/VLOOKUP(YEAR($F9),Preisindex,5,FALSE),2),IF(AND($E9&lt;&gt;0,$F9&gt;0,YEAR($F9)&gt;=Preisindex!$A$6,YEAR(DL$4)&gt;=YEAR($F9),$K9="b"),ROUND(VLOOKUP(DQ$4,Preisindex,3,FALSE)/VLOOKUP(YEAR($F9),Preisindex,3,FALSE),2),IF(AND($E9&lt;&gt;0,$F9&gt;0,YEAR($F9)&gt;=Preisindex!$A$6,YEAR(DL$4)&gt;=YEAR($F9),$K9="g"),ROUND(VLOOKUP(DQ$4,Preisindex,4,FALSE)/VLOOKUP(YEAR($F9),Preisindex,4,FALSE),2),IF(AND($E9&lt;&gt;0,$F9&gt;0,YEAR($F9)&gt;=Preisindex!$A$6,YEAR(DL$4)&gt;=YEAR($F9),$K9="k"),ROUND(VLOOKUP(DQ$4,Preisindex,2,FALSE)/VLOOKUP(YEAR($F9),Preisindex,2,FALSE),2),0)))))</f>
        <v>1</v>
      </c>
      <c r="DR9" s="56">
        <f>IF(AND($E9&lt;&gt;0,$F9&gt;0,YEAR($F9)&lt;Preisindex!$A$6,YEAR(DL$4)&gt;=YEAR($F9),AND($K9&lt;&gt;"a",$K9&lt;&gt;"b",$K9&lt;&gt;"g",$K9&lt;&gt;"k")),1,IF(AND($E9&lt;&gt;0,$F9&gt;0,YEAR($F9)&lt;Preisindex!$A$6,YEAR(DL$4)&gt;=YEAR($F9),$K9="a"),ROUND(VLOOKUP(DQ$4,Preisindex,5,FALSE)/VLOOKUP(Preisindex!$A$6,Preisindex,5,FALSE),2),IF(AND($E9&lt;&gt;0,$F9&gt;0,YEAR($F9)&lt;Preisindex!$A$6,YEAR(DL$4)&gt;=YEAR($F9),$K9="b"),ROUND(VLOOKUP(DQ$4,Preisindex,3,FALSE)/VLOOKUP(Preisindex!$A$6,Preisindex,3,FALSE),2),IF(AND($E9&lt;&gt;0,$F9&gt;0,YEAR($F9)&lt;Preisindex!$A$6,YEAR(DL$4)&gt;=YEAR($F9),$K9="g"),ROUND(VLOOKUP(DQ$4,Preisindex,4,FALSE)/VLOOKUP(Preisindex!$A$6,Preisindex,4,FALSE),2),IF(AND($E9&lt;&gt;0,$F9&gt;0,YEAR($F9)&lt;Preisindex!$A$6,YEAR(DL$4)&gt;=YEAR($F9),$K9="k"),ROUND(VLOOKUP(DQ$4,Preisindex,2,FALSE)/VLOOKUP(Preisindex!$A$6,Preisindex,2,FALSE),2),0)))))</f>
        <v>0</v>
      </c>
      <c r="DS9" s="51">
        <f>IF(AND($E9&lt;&gt;0,$F9&gt;0,YEAR($F9)&lt;=DQ$4,YEAR($F9)&gt;=Preisindex!$A$6),ROUND($E9*DQ9,2),IF(AND($E9&lt;&gt;0,$F9&gt;0,YEAR($F9)&lt;=DQ$4,YEAR($F9)&lt;Preisindex!$A$6),ROUND($E9*DR9,2),0))</f>
        <v>30000</v>
      </c>
      <c r="DT9" s="53">
        <f t="shared" si="213"/>
        <v>0</v>
      </c>
      <c r="DU9" s="51">
        <f t="shared" si="200"/>
        <v>0</v>
      </c>
      <c r="DV9" s="51">
        <f t="shared" si="281"/>
        <v>0</v>
      </c>
      <c r="DW9" s="51">
        <f t="shared" si="216"/>
        <v>0</v>
      </c>
      <c r="DX9" s="51">
        <f t="shared" si="282"/>
        <v>0</v>
      </c>
      <c r="DY9" s="51">
        <f t="shared" si="218"/>
        <v>30000</v>
      </c>
      <c r="DZ9" s="51">
        <f t="shared" si="283"/>
        <v>0</v>
      </c>
      <c r="EA9" s="51">
        <f t="shared" si="220"/>
        <v>0</v>
      </c>
      <c r="EB9" s="51">
        <f t="shared" si="284"/>
        <v>0</v>
      </c>
      <c r="EC9" s="51">
        <f t="shared" si="222"/>
        <v>30000</v>
      </c>
      <c r="ED9" s="51">
        <f t="shared" si="285"/>
        <v>30000</v>
      </c>
      <c r="EE9" s="51">
        <f t="shared" si="224"/>
        <v>0</v>
      </c>
      <c r="EF9" s="54">
        <f t="shared" si="225"/>
        <v>0</v>
      </c>
      <c r="EG9" s="55">
        <f t="shared" si="226"/>
        <v>0</v>
      </c>
      <c r="EH9" s="56">
        <f>IF(AND($E9&lt;&gt;0,$F9&gt;0,YEAR($F9)&gt;=Preisindex!$A$6,YEAR(EC$4)&gt;=YEAR($F9),AND($K9&lt;&gt;"a",$K9&lt;&gt;"b",$K9&lt;&gt;"g",$K9&lt;&gt;"k")),1,IF(AND($E9&lt;&gt;0,$F9&gt;0,YEAR($F9)&gt;=Preisindex!$A$6,YEAR(EC$4)&gt;=YEAR($F9),$K9="a"),ROUND(VLOOKUP(EH$4,Preisindex,5,FALSE)/VLOOKUP(YEAR($F9),Preisindex,5,FALSE),2),IF(AND($E9&lt;&gt;0,$F9&gt;0,YEAR($F9)&gt;=Preisindex!$A$6,YEAR(EC$4)&gt;=YEAR($F9),$K9="b"),ROUND(VLOOKUP(EH$4,Preisindex,3,FALSE)/VLOOKUP(YEAR($F9),Preisindex,3,FALSE),2),IF(AND($E9&lt;&gt;0,$F9&gt;0,YEAR($F9)&gt;=Preisindex!$A$6,YEAR(EC$4)&gt;=YEAR($F9),$K9="g"),ROUND(VLOOKUP(EH$4,Preisindex,4,FALSE)/VLOOKUP(YEAR($F9),Preisindex,4,FALSE),2),IF(AND($E9&lt;&gt;0,$F9&gt;0,YEAR($F9)&gt;=Preisindex!$A$6,YEAR(EC$4)&gt;=YEAR($F9),$K9="k"),ROUND(VLOOKUP(EH$4,Preisindex,2,FALSE)/VLOOKUP(YEAR($F9),Preisindex,2,FALSE),2),0)))))</f>
        <v>1</v>
      </c>
      <c r="EI9" s="56">
        <f>IF(AND($E9&lt;&gt;0,$F9&gt;0,YEAR($F9)&lt;Preisindex!$A$6,YEAR(EC$4)&gt;=YEAR($F9),AND($K9&lt;&gt;"a",$K9&lt;&gt;"b",$K9&lt;&gt;"g",$K9&lt;&gt;"k")),1,IF(AND($E9&lt;&gt;0,$F9&gt;0,YEAR($F9)&lt;Preisindex!$A$6,YEAR(EC$4)&gt;=YEAR($F9),$K9="a"),ROUND(VLOOKUP(EH$4,Preisindex,5,FALSE)/VLOOKUP(Preisindex!$A$6,Preisindex,5,FALSE),2),IF(AND($E9&lt;&gt;0,$F9&gt;0,YEAR($F9)&lt;Preisindex!$A$6,YEAR(EC$4)&gt;=YEAR($F9),$K9="b"),ROUND(VLOOKUP(EH$4,Preisindex,3,FALSE)/VLOOKUP(Preisindex!$A$6,Preisindex,3,FALSE),2),IF(AND($E9&lt;&gt;0,$F9&gt;0,YEAR($F9)&lt;Preisindex!$A$6,YEAR(EC$4)&gt;=YEAR($F9),$K9="g"),ROUND(VLOOKUP(EH$4,Preisindex,4,FALSE)/VLOOKUP(Preisindex!$A$6,Preisindex,4,FALSE),2),IF(AND($E9&lt;&gt;0,$F9&gt;0,YEAR($F9)&lt;Preisindex!$A$6,YEAR(EC$4)&gt;=YEAR($F9),$K9="k"),ROUND(VLOOKUP(EH$4,Preisindex,2,FALSE)/VLOOKUP(Preisindex!$A$6,Preisindex,2,FALSE),2),0)))))</f>
        <v>0</v>
      </c>
      <c r="EJ9" s="51">
        <f>IF(AND($E9&lt;&gt;0,$F9&gt;0,YEAR($F9)&lt;=EH$4,YEAR($F9)&gt;=Preisindex!$A$6),ROUND($E9*EH9,2),IF(AND($E9&lt;&gt;0,$F9&gt;0,YEAR($F9)&lt;=EH$4,YEAR($F9)&lt;Preisindex!$A$6),ROUND($E9*EI9,2),0))</f>
        <v>30000</v>
      </c>
      <c r="EK9" s="53">
        <f t="shared" si="227"/>
        <v>0</v>
      </c>
      <c r="EL9" s="51">
        <f t="shared" si="228"/>
        <v>0</v>
      </c>
      <c r="EM9" s="51">
        <f t="shared" si="286"/>
        <v>0</v>
      </c>
      <c r="EN9" s="51">
        <f t="shared" si="230"/>
        <v>0</v>
      </c>
      <c r="EO9" s="51">
        <f t="shared" si="287"/>
        <v>0</v>
      </c>
      <c r="EP9" s="51">
        <f t="shared" si="232"/>
        <v>30000</v>
      </c>
      <c r="EQ9" s="51">
        <f t="shared" si="288"/>
        <v>0</v>
      </c>
      <c r="ER9" s="51">
        <f t="shared" si="234"/>
        <v>0</v>
      </c>
      <c r="ES9" s="51">
        <f t="shared" si="289"/>
        <v>0</v>
      </c>
      <c r="ET9" s="51">
        <f t="shared" si="236"/>
        <v>30000</v>
      </c>
      <c r="EU9" s="51">
        <f t="shared" si="290"/>
        <v>30000</v>
      </c>
      <c r="EV9" s="51">
        <f t="shared" si="238"/>
        <v>0</v>
      </c>
      <c r="EW9" s="54">
        <f t="shared" si="239"/>
        <v>0</v>
      </c>
      <c r="EX9" s="55">
        <f t="shared" si="240"/>
        <v>0</v>
      </c>
      <c r="EY9" s="56">
        <f>IF(AND($E9&lt;&gt;0,$F9&gt;0,YEAR($F9)&gt;=Preisindex!$A$6,YEAR(ET$4)&gt;=YEAR($F9),AND($K9&lt;&gt;"a",$K9&lt;&gt;"b",$K9&lt;&gt;"g",$K9&lt;&gt;"k")),1,IF(AND($E9&lt;&gt;0,$F9&gt;0,YEAR($F9)&gt;=Preisindex!$A$6,YEAR(ET$4)&gt;=YEAR($F9),$K9="a"),ROUND(VLOOKUP(EY$4,Preisindex,5,FALSE)/VLOOKUP(YEAR($F9),Preisindex,5,FALSE),2),IF(AND($E9&lt;&gt;0,$F9&gt;0,YEAR($F9)&gt;=Preisindex!$A$6,YEAR(ET$4)&gt;=YEAR($F9),$K9="b"),ROUND(VLOOKUP(EY$4,Preisindex,3,FALSE)/VLOOKUP(YEAR($F9),Preisindex,3,FALSE),2),IF(AND($E9&lt;&gt;0,$F9&gt;0,YEAR($F9)&gt;=Preisindex!$A$6,YEAR(ET$4)&gt;=YEAR($F9),$K9="g"),ROUND(VLOOKUP(EY$4,Preisindex,4,FALSE)/VLOOKUP(YEAR($F9),Preisindex,4,FALSE),2),IF(AND($E9&lt;&gt;0,$F9&gt;0,YEAR($F9)&gt;=Preisindex!$A$6,YEAR(ET$4)&gt;=YEAR($F9),$K9="k"),ROUND(VLOOKUP(EY$4,Preisindex,2,FALSE)/VLOOKUP(YEAR($F9),Preisindex,2,FALSE),2),0)))))</f>
        <v>1</v>
      </c>
      <c r="EZ9" s="56">
        <f>IF(AND($E9&lt;&gt;0,$F9&gt;0,YEAR($F9)&lt;Preisindex!$A$6,YEAR(ET$4)&gt;=YEAR($F9),AND($K9&lt;&gt;"a",$K9&lt;&gt;"b",$K9&lt;&gt;"g",$K9&lt;&gt;"k")),1,IF(AND($E9&lt;&gt;0,$F9&gt;0,YEAR($F9)&lt;Preisindex!$A$6,YEAR(ET$4)&gt;=YEAR($F9),$K9="a"),ROUND(VLOOKUP(EY$4,Preisindex,5,FALSE)/VLOOKUP(Preisindex!$A$6,Preisindex,5,FALSE),2),IF(AND($E9&lt;&gt;0,$F9&gt;0,YEAR($F9)&lt;Preisindex!$A$6,YEAR(ET$4)&gt;=YEAR($F9),$K9="b"),ROUND(VLOOKUP(EY$4,Preisindex,3,FALSE)/VLOOKUP(Preisindex!$A$6,Preisindex,3,FALSE),2),IF(AND($E9&lt;&gt;0,$F9&gt;0,YEAR($F9)&lt;Preisindex!$A$6,YEAR(ET$4)&gt;=YEAR($F9),$K9="g"),ROUND(VLOOKUP(EY$4,Preisindex,4,FALSE)/VLOOKUP(Preisindex!$A$6,Preisindex,4,FALSE),2),IF(AND($E9&lt;&gt;0,$F9&gt;0,YEAR($F9)&lt;Preisindex!$A$6,YEAR(ET$4)&gt;=YEAR($F9),$K9="k"),ROUND(VLOOKUP(EY$4,Preisindex,2,FALSE)/VLOOKUP(Preisindex!$A$6,Preisindex,2,FALSE),2),0)))))</f>
        <v>0</v>
      </c>
      <c r="FA9" s="51">
        <f>IF(AND($E9&lt;&gt;0,$F9&gt;0,YEAR($F9)&lt;=EY$4,YEAR($F9)&gt;=Preisindex!$A$6),ROUND($E9*EY9,2),IF(AND($E9&lt;&gt;0,$F9&gt;0,YEAR($F9)&lt;=EY$4,YEAR($F9)&lt;Preisindex!$A$6),ROUND($E9*EZ9,2),0))</f>
        <v>30000</v>
      </c>
      <c r="FB9" s="53">
        <f t="shared" si="241"/>
        <v>0</v>
      </c>
      <c r="FC9" s="51">
        <f t="shared" si="228"/>
        <v>0</v>
      </c>
      <c r="FD9" s="51">
        <f t="shared" si="291"/>
        <v>0</v>
      </c>
      <c r="FE9" s="51">
        <f t="shared" si="244"/>
        <v>0</v>
      </c>
      <c r="FF9" s="51">
        <f t="shared" si="292"/>
        <v>0</v>
      </c>
      <c r="FG9" s="51">
        <f t="shared" si="246"/>
        <v>30000</v>
      </c>
      <c r="FH9" s="51">
        <f t="shared" si="293"/>
        <v>0</v>
      </c>
      <c r="FI9" s="51">
        <f t="shared" si="248"/>
        <v>0</v>
      </c>
      <c r="FJ9" s="51">
        <f t="shared" si="294"/>
        <v>0</v>
      </c>
      <c r="FK9" s="51">
        <f t="shared" si="250"/>
        <v>30000</v>
      </c>
      <c r="FL9" s="51">
        <f t="shared" si="295"/>
        <v>30000</v>
      </c>
      <c r="FM9" s="51">
        <f t="shared" si="252"/>
        <v>0</v>
      </c>
      <c r="FN9" s="54">
        <f t="shared" si="253"/>
        <v>0</v>
      </c>
      <c r="FO9" s="55">
        <f t="shared" si="254"/>
        <v>0</v>
      </c>
      <c r="FP9" s="56">
        <f>IF(AND($E9&lt;&gt;0,$F9&gt;0,YEAR($F9)&gt;=Preisindex!$A$6,YEAR(FK$4)&gt;=YEAR($F9),AND($K9&lt;&gt;"a",$K9&lt;&gt;"b",$K9&lt;&gt;"g",$K9&lt;&gt;"k")),1,IF(AND($E9&lt;&gt;0,$F9&gt;0,YEAR($F9)&gt;=Preisindex!$A$6,YEAR(FK$4)&gt;=YEAR($F9),$K9="a"),ROUND(VLOOKUP(FP$4,Preisindex,5,FALSE)/VLOOKUP(YEAR($F9),Preisindex,5,FALSE),2),IF(AND($E9&lt;&gt;0,$F9&gt;0,YEAR($F9)&gt;=Preisindex!$A$6,YEAR(FK$4)&gt;=YEAR($F9),$K9="b"),ROUND(VLOOKUP(FP$4,Preisindex,3,FALSE)/VLOOKUP(YEAR($F9),Preisindex,3,FALSE),2),IF(AND($E9&lt;&gt;0,$F9&gt;0,YEAR($F9)&gt;=Preisindex!$A$6,YEAR(FK$4)&gt;=YEAR($F9),$K9="g"),ROUND(VLOOKUP(FP$4,Preisindex,4,FALSE)/VLOOKUP(YEAR($F9),Preisindex,4,FALSE),2),IF(AND($E9&lt;&gt;0,$F9&gt;0,YEAR($F9)&gt;=Preisindex!$A$6,YEAR(FK$4)&gt;=YEAR($F9),$K9="k"),ROUND(VLOOKUP(FP$4,Preisindex,2,FALSE)/VLOOKUP(YEAR($F9),Preisindex,2,FALSE),2),0)))))</f>
        <v>1</v>
      </c>
      <c r="FQ9" s="56">
        <f>IF(AND($E9&lt;&gt;0,$F9&gt;0,YEAR($F9)&lt;Preisindex!$A$6,YEAR(FK$4)&gt;=YEAR($F9),AND($K9&lt;&gt;"a",$K9&lt;&gt;"b",$K9&lt;&gt;"g",$K9&lt;&gt;"k")),1,IF(AND($E9&lt;&gt;0,$F9&gt;0,YEAR($F9)&lt;Preisindex!$A$6,YEAR(FK$4)&gt;=YEAR($F9),$K9="a"),ROUND(VLOOKUP(FP$4,Preisindex,5,FALSE)/VLOOKUP(Preisindex!$A$6,Preisindex,5,FALSE),2),IF(AND($E9&lt;&gt;0,$F9&gt;0,YEAR($F9)&lt;Preisindex!$A$6,YEAR(FK$4)&gt;=YEAR($F9),$K9="b"),ROUND(VLOOKUP(FP$4,Preisindex,3,FALSE)/VLOOKUP(Preisindex!$A$6,Preisindex,3,FALSE),2),IF(AND($E9&lt;&gt;0,$F9&gt;0,YEAR($F9)&lt;Preisindex!$A$6,YEAR(FK$4)&gt;=YEAR($F9),$K9="g"),ROUND(VLOOKUP(FP$4,Preisindex,4,FALSE)/VLOOKUP(Preisindex!$A$6,Preisindex,4,FALSE),2),IF(AND($E9&lt;&gt;0,$F9&gt;0,YEAR($F9)&lt;Preisindex!$A$6,YEAR(FK$4)&gt;=YEAR($F9),$K9="k"),ROUND(VLOOKUP(FP$4,Preisindex,2,FALSE)/VLOOKUP(Preisindex!$A$6,Preisindex,2,FALSE),2),0)))))</f>
        <v>0</v>
      </c>
      <c r="FR9" s="51">
        <f>IF(AND($E9&lt;&gt;0,$F9&gt;0,YEAR($F9)&lt;=FP$4,YEAR($F9)&gt;=Preisindex!$A$6),ROUND($E9*FP9,2),IF(AND($E9&lt;&gt;0,$F9&gt;0,YEAR($F9)&lt;=FP$4,YEAR($F9)&lt;Preisindex!$A$6),ROUND($E9*FQ9,2),0))</f>
        <v>30000</v>
      </c>
      <c r="FS9" s="53">
        <f t="shared" si="255"/>
        <v>0</v>
      </c>
    </row>
    <row r="10" spans="1:175" x14ac:dyDescent="0.3">
      <c r="A10" s="93">
        <v>1998</v>
      </c>
      <c r="B10" s="94" t="s">
        <v>201</v>
      </c>
      <c r="C10" s="94"/>
      <c r="D10" s="95" t="s">
        <v>15</v>
      </c>
      <c r="E10" s="99">
        <v>21000</v>
      </c>
      <c r="F10" s="97">
        <v>35796</v>
      </c>
      <c r="G10" s="98"/>
      <c r="H10" s="620"/>
      <c r="I10" s="621"/>
      <c r="J10" s="194"/>
      <c r="K10" s="630"/>
      <c r="L10" s="49">
        <f t="shared" si="296"/>
        <v>0</v>
      </c>
      <c r="M10" s="50">
        <f t="shared" si="297"/>
        <v>0</v>
      </c>
      <c r="N10" s="51">
        <f t="shared" si="298"/>
        <v>21000</v>
      </c>
      <c r="O10" s="51"/>
      <c r="P10" s="51">
        <f t="shared" si="299"/>
        <v>0</v>
      </c>
      <c r="Q10" s="52"/>
      <c r="R10" s="52"/>
      <c r="S10" s="52"/>
      <c r="T10" s="52"/>
      <c r="U10" s="52"/>
      <c r="V10" s="53">
        <f t="shared" si="300"/>
        <v>21000</v>
      </c>
      <c r="W10" s="51">
        <f t="shared" si="301"/>
        <v>0</v>
      </c>
      <c r="X10" s="51">
        <f t="shared" si="302"/>
        <v>0</v>
      </c>
      <c r="Y10" s="51">
        <f t="shared" si="303"/>
        <v>0</v>
      </c>
      <c r="Z10" s="51">
        <f t="shared" si="304"/>
        <v>0</v>
      </c>
      <c r="AA10" s="51">
        <f t="shared" si="305"/>
        <v>21000</v>
      </c>
      <c r="AB10" s="51">
        <f t="shared" si="306"/>
        <v>0</v>
      </c>
      <c r="AC10" s="51">
        <f t="shared" si="307"/>
        <v>0</v>
      </c>
      <c r="AD10" s="51">
        <f t="shared" si="308"/>
        <v>0</v>
      </c>
      <c r="AE10" s="51">
        <f t="shared" si="309"/>
        <v>21000</v>
      </c>
      <c r="AF10" s="51">
        <f t="shared" si="310"/>
        <v>21000</v>
      </c>
      <c r="AG10" s="51">
        <f t="shared" si="311"/>
        <v>0</v>
      </c>
      <c r="AH10" s="54">
        <f t="shared" si="312"/>
        <v>0</v>
      </c>
      <c r="AI10" s="55">
        <f t="shared" si="313"/>
        <v>0</v>
      </c>
      <c r="AJ10" s="56">
        <f>IF(AND($E10&lt;&gt;0,$F10&gt;0,YEAR($F10)&gt;=Preisindex!$A$6,YEAR(AE$4)&gt;=YEAR($F10),AND($K10&lt;&gt;"a",$K10&lt;&gt;"b",$K10&lt;&gt;"g",$K10&lt;&gt;"k")),1,IF(AND($E10&lt;&gt;0,$F10&gt;0,YEAR($F10)&gt;=Preisindex!$A$6,YEAR(AE$4)&gt;=YEAR($F10),$K10="a"),ROUND(VLOOKUP(AJ$4,Preisindex,5,FALSE)/VLOOKUP(YEAR($F10),Preisindex,5,FALSE),2),IF(AND($E10&lt;&gt;0,$F10&gt;0,YEAR($F10)&gt;=Preisindex!$A$6,YEAR(AE$4)&gt;=YEAR($F10),$K10="b"),ROUND(VLOOKUP(AJ$4,Preisindex,3,FALSE)/VLOOKUP(YEAR($F10),Preisindex,3,FALSE),2),IF(AND($E10&lt;&gt;0,$F10&gt;0,YEAR($F10)&gt;=Preisindex!$A$6,YEAR(AE$4)&gt;=YEAR($F10),$K10="g"),ROUND(VLOOKUP(AJ$4,Preisindex,4,FALSE)/VLOOKUP(YEAR($F10),Preisindex,4,FALSE),2),IF(AND($E10&lt;&gt;0,$F10&gt;0,YEAR($F10)&gt;=Preisindex!$A$6,YEAR(AE$4)&gt;=YEAR($F10),$K10="k"),ROUND(VLOOKUP(AJ$4,Preisindex,2,FALSE)/VLOOKUP(YEAR($F10),Preisindex,2,FALSE),2),0)))))</f>
        <v>1</v>
      </c>
      <c r="AK10" s="56">
        <f>IF(AND($E10&lt;&gt;0,$F10&gt;0,YEAR($F10)&lt;Preisindex!$A$6,YEAR(AE$4)&gt;=YEAR($F10),AND($K10&lt;&gt;"a",$K10&lt;&gt;"b",$K10&lt;&gt;"g",$K10&lt;&gt;"k")),1,IF(AND($E10&lt;&gt;0,$F10&gt;0,YEAR($F10)&lt;Preisindex!$A$6,YEAR(AE$4)&gt;=YEAR($F10),$K10="a"),ROUND(VLOOKUP(AJ$4,Preisindex,5,FALSE)/VLOOKUP(Preisindex!$A$6,Preisindex,5,FALSE),2),IF(AND($E10&lt;&gt;0,$F10&gt;0,YEAR($F10)&lt;Preisindex!$A$6,YEAR(AE$4)&gt;=YEAR($F10),$K10="b"),ROUND(VLOOKUP(AJ$4,Preisindex,3,FALSE)/VLOOKUP(Preisindex!$A$6,Preisindex,3,FALSE),2),IF(AND($E10&lt;&gt;0,$F10&gt;0,YEAR($F10)&lt;Preisindex!$A$6,YEAR(AE$4)&gt;=YEAR($F10),$K10="g"),ROUND(VLOOKUP(AJ$4,Preisindex,4,FALSE)/VLOOKUP(Preisindex!$A$6,Preisindex,4,FALSE),2),IF(AND($E10&lt;&gt;0,$F10&gt;0,YEAR($F10)&lt;Preisindex!$A$6,YEAR(AE$4)&gt;=YEAR($F10),$K10="k"),ROUND(VLOOKUP(AJ$4,Preisindex,2,FALSE)/VLOOKUP(Preisindex!$A$6,Preisindex,2,FALSE),2),0)))))</f>
        <v>0</v>
      </c>
      <c r="AL10" s="51">
        <f>IF(AND($E10&lt;&gt;0,$F10&gt;0,YEAR($F10)&lt;=AJ$4,YEAR($F10)&gt;=Preisindex!$A$6),ROUND($E10*AJ10,2),IF(AND($E10&lt;&gt;0,$F10&gt;0,YEAR($F10)&lt;=AJ$4,YEAR($F10)&lt;Preisindex!$A$6),ROUND($E10*AK10,2),0))</f>
        <v>21000</v>
      </c>
      <c r="AM10" s="53">
        <f t="shared" si="314"/>
        <v>0</v>
      </c>
      <c r="AN10" s="51">
        <f t="shared" si="144"/>
        <v>0</v>
      </c>
      <c r="AO10" s="51">
        <f t="shared" si="256"/>
        <v>0</v>
      </c>
      <c r="AP10" s="51">
        <f t="shared" si="146"/>
        <v>0</v>
      </c>
      <c r="AQ10" s="51">
        <f t="shared" si="257"/>
        <v>0</v>
      </c>
      <c r="AR10" s="51">
        <f t="shared" si="148"/>
        <v>21000</v>
      </c>
      <c r="AS10" s="51">
        <f t="shared" si="258"/>
        <v>0</v>
      </c>
      <c r="AT10" s="51">
        <f t="shared" si="150"/>
        <v>0</v>
      </c>
      <c r="AU10" s="51">
        <f t="shared" si="259"/>
        <v>0</v>
      </c>
      <c r="AV10" s="51">
        <f t="shared" si="152"/>
        <v>21000</v>
      </c>
      <c r="AW10" s="51">
        <f t="shared" si="260"/>
        <v>21000</v>
      </c>
      <c r="AX10" s="51">
        <f t="shared" si="154"/>
        <v>0</v>
      </c>
      <c r="AY10" s="54">
        <f t="shared" si="155"/>
        <v>0</v>
      </c>
      <c r="AZ10" s="55">
        <f t="shared" si="156"/>
        <v>0</v>
      </c>
      <c r="BA10" s="56">
        <f>IF(AND($E10&lt;&gt;0,$F10&gt;0,YEAR($F10)&gt;=Preisindex!$A$6,YEAR(AV$4)&gt;=YEAR($F10),AND($K10&lt;&gt;"a",$K10&lt;&gt;"b",$K10&lt;&gt;"g",$K10&lt;&gt;"k")),1,IF(AND($E10&lt;&gt;0,$F10&gt;0,YEAR($F10)&gt;=Preisindex!$A$6,YEAR(AV$4)&gt;=YEAR($F10),$K10="a"),ROUND(VLOOKUP(BA$4,Preisindex,5,FALSE)/VLOOKUP(YEAR($F10),Preisindex,5,FALSE),2),IF(AND($E10&lt;&gt;0,$F10&gt;0,YEAR($F10)&gt;=Preisindex!$A$6,YEAR(AV$4)&gt;=YEAR($F10),$K10="b"),ROUND(VLOOKUP(BA$4,Preisindex,3,FALSE)/VLOOKUP(YEAR($F10),Preisindex,3,FALSE),2),IF(AND($E10&lt;&gt;0,$F10&gt;0,YEAR($F10)&gt;=Preisindex!$A$6,YEAR(AV$4)&gt;=YEAR($F10),$K10="g"),ROUND(VLOOKUP(BA$4,Preisindex,4,FALSE)/VLOOKUP(YEAR($F10),Preisindex,4,FALSE),2),IF(AND($E10&lt;&gt;0,$F10&gt;0,YEAR($F10)&gt;=Preisindex!$A$6,YEAR(AV$4)&gt;=YEAR($F10),$K10="k"),ROUND(VLOOKUP(BA$4,Preisindex,2,FALSE)/VLOOKUP(YEAR($F10),Preisindex,2,FALSE),2),0)))))</f>
        <v>1</v>
      </c>
      <c r="BB10" s="56">
        <f>IF(AND($E10&lt;&gt;0,$F10&gt;0,YEAR($F10)&lt;Preisindex!$A$6,YEAR(AV$4)&gt;=YEAR($F10),AND($K10&lt;&gt;"a",$K10&lt;&gt;"b",$K10&lt;&gt;"g",$K10&lt;&gt;"k")),1,IF(AND($E10&lt;&gt;0,$F10&gt;0,YEAR($F10)&lt;Preisindex!$A$6,YEAR(AV$4)&gt;=YEAR($F10),$K10="a"),ROUND(VLOOKUP(BA$4,Preisindex,5,FALSE)/VLOOKUP(Preisindex!$A$6,Preisindex,5,FALSE),2),IF(AND($E10&lt;&gt;0,$F10&gt;0,YEAR($F10)&lt;Preisindex!$A$6,YEAR(AV$4)&gt;=YEAR($F10),$K10="b"),ROUND(VLOOKUP(BA$4,Preisindex,3,FALSE)/VLOOKUP(Preisindex!$A$6,Preisindex,3,FALSE),2),IF(AND($E10&lt;&gt;0,$F10&gt;0,YEAR($F10)&lt;Preisindex!$A$6,YEAR(AV$4)&gt;=YEAR($F10),$K10="g"),ROUND(VLOOKUP(BA$4,Preisindex,4,FALSE)/VLOOKUP(Preisindex!$A$6,Preisindex,4,FALSE),2),IF(AND($E10&lt;&gt;0,$F10&gt;0,YEAR($F10)&lt;Preisindex!$A$6,YEAR(AV$4)&gt;=YEAR($F10),$K10="k"),ROUND(VLOOKUP(BA$4,Preisindex,2,FALSE)/VLOOKUP(Preisindex!$A$6,Preisindex,2,FALSE),2),0)))))</f>
        <v>0</v>
      </c>
      <c r="BC10" s="51">
        <f>IF(AND($E10&lt;&gt;0,$F10&gt;0,YEAR($F10)&lt;=BA$4,YEAR($F10)&gt;=Preisindex!$A$6),ROUND($E10*BA10,2),IF(AND($E10&lt;&gt;0,$F10&gt;0,YEAR($F10)&lt;=BA$4,YEAR($F10)&lt;Preisindex!$A$6),ROUND($E10*BB10,2),0))</f>
        <v>21000</v>
      </c>
      <c r="BD10" s="53">
        <f t="shared" si="157"/>
        <v>0</v>
      </c>
      <c r="BE10" s="51">
        <f t="shared" si="144"/>
        <v>0</v>
      </c>
      <c r="BF10" s="51">
        <f t="shared" si="261"/>
        <v>0</v>
      </c>
      <c r="BG10" s="51">
        <f t="shared" si="160"/>
        <v>0</v>
      </c>
      <c r="BH10" s="51">
        <f t="shared" si="262"/>
        <v>0</v>
      </c>
      <c r="BI10" s="51">
        <f t="shared" si="162"/>
        <v>21000</v>
      </c>
      <c r="BJ10" s="51">
        <f t="shared" si="263"/>
        <v>0</v>
      </c>
      <c r="BK10" s="51">
        <f t="shared" si="164"/>
        <v>0</v>
      </c>
      <c r="BL10" s="51">
        <f t="shared" si="264"/>
        <v>0</v>
      </c>
      <c r="BM10" s="51">
        <f t="shared" si="166"/>
        <v>21000</v>
      </c>
      <c r="BN10" s="51">
        <f t="shared" si="265"/>
        <v>21000</v>
      </c>
      <c r="BO10" s="51">
        <f t="shared" si="168"/>
        <v>0</v>
      </c>
      <c r="BP10" s="54">
        <f t="shared" si="169"/>
        <v>0</v>
      </c>
      <c r="BQ10" s="55">
        <f t="shared" si="170"/>
        <v>0</v>
      </c>
      <c r="BR10" s="56">
        <f>IF(AND($E10&lt;&gt;0,$F10&gt;0,YEAR($F10)&gt;=Preisindex!$A$6,YEAR(BM$4)&gt;=YEAR($F10),AND($K10&lt;&gt;"a",$K10&lt;&gt;"b",$K10&lt;&gt;"g",$K10&lt;&gt;"k")),1,IF(AND($E10&lt;&gt;0,$F10&gt;0,YEAR($F10)&gt;=Preisindex!$A$6,YEAR(BM$4)&gt;=YEAR($F10),$K10="a"),ROUND(VLOOKUP(BR$4,Preisindex,5,FALSE)/VLOOKUP(YEAR($F10),Preisindex,5,FALSE),2),IF(AND($E10&lt;&gt;0,$F10&gt;0,YEAR($F10)&gt;=Preisindex!$A$6,YEAR(BM$4)&gt;=YEAR($F10),$K10="b"),ROUND(VLOOKUP(BR$4,Preisindex,3,FALSE)/VLOOKUP(YEAR($F10),Preisindex,3,FALSE),2),IF(AND($E10&lt;&gt;0,$F10&gt;0,YEAR($F10)&gt;=Preisindex!$A$6,YEAR(BM$4)&gt;=YEAR($F10),$K10="g"),ROUND(VLOOKUP(BR$4,Preisindex,4,FALSE)/VLOOKUP(YEAR($F10),Preisindex,4,FALSE),2),IF(AND($E10&lt;&gt;0,$F10&gt;0,YEAR($F10)&gt;=Preisindex!$A$6,YEAR(BM$4)&gt;=YEAR($F10),$K10="k"),ROUND(VLOOKUP(BR$4,Preisindex,2,FALSE)/VLOOKUP(YEAR($F10),Preisindex,2,FALSE),2),0)))))</f>
        <v>1</v>
      </c>
      <c r="BS10" s="56">
        <f>IF(AND($E10&lt;&gt;0,$F10&gt;0,YEAR($F10)&lt;Preisindex!$A$6,YEAR(BM$4)&gt;=YEAR($F10),AND($K10&lt;&gt;"a",$K10&lt;&gt;"b",$K10&lt;&gt;"g",$K10&lt;&gt;"k")),1,IF(AND($E10&lt;&gt;0,$F10&gt;0,YEAR($F10)&lt;Preisindex!$A$6,YEAR(BM$4)&gt;=YEAR($F10),$K10="a"),ROUND(VLOOKUP(BR$4,Preisindex,5,FALSE)/VLOOKUP(Preisindex!$A$6,Preisindex,5,FALSE),2),IF(AND($E10&lt;&gt;0,$F10&gt;0,YEAR($F10)&lt;Preisindex!$A$6,YEAR(BM$4)&gt;=YEAR($F10),$K10="b"),ROUND(VLOOKUP(BR$4,Preisindex,3,FALSE)/VLOOKUP(Preisindex!$A$6,Preisindex,3,FALSE),2),IF(AND($E10&lt;&gt;0,$F10&gt;0,YEAR($F10)&lt;Preisindex!$A$6,YEAR(BM$4)&gt;=YEAR($F10),$K10="g"),ROUND(VLOOKUP(BR$4,Preisindex,4,FALSE)/VLOOKUP(Preisindex!$A$6,Preisindex,4,FALSE),2),IF(AND($E10&lt;&gt;0,$F10&gt;0,YEAR($F10)&lt;Preisindex!$A$6,YEAR(BM$4)&gt;=YEAR($F10),$K10="k"),ROUND(VLOOKUP(BR$4,Preisindex,2,FALSE)/VLOOKUP(Preisindex!$A$6,Preisindex,2,FALSE),2),0)))))</f>
        <v>0</v>
      </c>
      <c r="BT10" s="51">
        <f>IF(AND($E10&lt;&gt;0,$F10&gt;0,YEAR($F10)&lt;=BR$4,YEAR($F10)&gt;=Preisindex!$A$6),ROUND($E10*BR10,2),IF(AND($E10&lt;&gt;0,$F10&gt;0,YEAR($F10)&lt;=BR$4,YEAR($F10)&lt;Preisindex!$A$6),ROUND($E10*BS10,2),0))</f>
        <v>21000</v>
      </c>
      <c r="BU10" s="53">
        <f t="shared" si="171"/>
        <v>0</v>
      </c>
      <c r="BV10" s="51">
        <f t="shared" si="172"/>
        <v>0</v>
      </c>
      <c r="BW10" s="51">
        <f t="shared" si="266"/>
        <v>0</v>
      </c>
      <c r="BX10" s="51">
        <f t="shared" si="174"/>
        <v>0</v>
      </c>
      <c r="BY10" s="51">
        <f t="shared" si="267"/>
        <v>0</v>
      </c>
      <c r="BZ10" s="51">
        <f t="shared" si="176"/>
        <v>21000</v>
      </c>
      <c r="CA10" s="51">
        <f t="shared" si="268"/>
        <v>0</v>
      </c>
      <c r="CB10" s="51">
        <f t="shared" si="178"/>
        <v>0</v>
      </c>
      <c r="CC10" s="51">
        <f t="shared" si="269"/>
        <v>0</v>
      </c>
      <c r="CD10" s="51">
        <f t="shared" si="180"/>
        <v>21000</v>
      </c>
      <c r="CE10" s="51">
        <f t="shared" si="270"/>
        <v>21000</v>
      </c>
      <c r="CF10" s="51">
        <f t="shared" si="182"/>
        <v>0</v>
      </c>
      <c r="CG10" s="54">
        <f t="shared" si="183"/>
        <v>0</v>
      </c>
      <c r="CH10" s="55">
        <f t="shared" si="184"/>
        <v>0</v>
      </c>
      <c r="CI10" s="56">
        <f>IF(AND($E10&lt;&gt;0,$F10&gt;0,YEAR($F10)&gt;=Preisindex!$A$6,YEAR(CD$4)&gt;=YEAR($F10),AND($K10&lt;&gt;"a",$K10&lt;&gt;"b",$K10&lt;&gt;"g",$K10&lt;&gt;"k")),1,IF(AND($E10&lt;&gt;0,$F10&gt;0,YEAR($F10)&gt;=Preisindex!$A$6,YEAR(CD$4)&gt;=YEAR($F10),$K10="a"),ROUND(VLOOKUP(CI$4,Preisindex,5,FALSE)/VLOOKUP(YEAR($F10),Preisindex,5,FALSE),2),IF(AND($E10&lt;&gt;0,$F10&gt;0,YEAR($F10)&gt;=Preisindex!$A$6,YEAR(CD$4)&gt;=YEAR($F10),$K10="b"),ROUND(VLOOKUP(CI$4,Preisindex,3,FALSE)/VLOOKUP(YEAR($F10),Preisindex,3,FALSE),2),IF(AND($E10&lt;&gt;0,$F10&gt;0,YEAR($F10)&gt;=Preisindex!$A$6,YEAR(CD$4)&gt;=YEAR($F10),$K10="g"),ROUND(VLOOKUP(CI$4,Preisindex,4,FALSE)/VLOOKUP(YEAR($F10),Preisindex,4,FALSE),2),IF(AND($E10&lt;&gt;0,$F10&gt;0,YEAR($F10)&gt;=Preisindex!$A$6,YEAR(CD$4)&gt;=YEAR($F10),$K10="k"),ROUND(VLOOKUP(CI$4,Preisindex,2,FALSE)/VLOOKUP(YEAR($F10),Preisindex,2,FALSE),2),0)))))</f>
        <v>1</v>
      </c>
      <c r="CJ10" s="56">
        <f>IF(AND($E10&lt;&gt;0,$F10&gt;0,YEAR($F10)&lt;Preisindex!$A$6,YEAR(CD$4)&gt;=YEAR($F10),AND($K10&lt;&gt;"a",$K10&lt;&gt;"b",$K10&lt;&gt;"g",$K10&lt;&gt;"k")),1,IF(AND($E10&lt;&gt;0,$F10&gt;0,YEAR($F10)&lt;Preisindex!$A$6,YEAR(CD$4)&gt;=YEAR($F10),$K10="a"),ROUND(VLOOKUP(CI$4,Preisindex,5,FALSE)/VLOOKUP(Preisindex!$A$6,Preisindex,5,FALSE),2),IF(AND($E10&lt;&gt;0,$F10&gt;0,YEAR($F10)&lt;Preisindex!$A$6,YEAR(CD$4)&gt;=YEAR($F10),$K10="b"),ROUND(VLOOKUP(CI$4,Preisindex,3,FALSE)/VLOOKUP(Preisindex!$A$6,Preisindex,3,FALSE),2),IF(AND($E10&lt;&gt;0,$F10&gt;0,YEAR($F10)&lt;Preisindex!$A$6,YEAR(CD$4)&gt;=YEAR($F10),$K10="g"),ROUND(VLOOKUP(CI$4,Preisindex,4,FALSE)/VLOOKUP(Preisindex!$A$6,Preisindex,4,FALSE),2),IF(AND($E10&lt;&gt;0,$F10&gt;0,YEAR($F10)&lt;Preisindex!$A$6,YEAR(CD$4)&gt;=YEAR($F10),$K10="k"),ROUND(VLOOKUP(CI$4,Preisindex,2,FALSE)/VLOOKUP(Preisindex!$A$6,Preisindex,2,FALSE),2),0)))))</f>
        <v>0</v>
      </c>
      <c r="CK10" s="51">
        <f>IF(AND($E10&lt;&gt;0,$F10&gt;0,YEAR($F10)&lt;=CI$4,YEAR($F10)&gt;=Preisindex!$A$6),ROUND($E10*CI10,2),IF(AND($E10&lt;&gt;0,$F10&gt;0,YEAR($F10)&lt;=CI$4,YEAR($F10)&lt;Preisindex!$A$6),ROUND($E10*CJ10,2),0))</f>
        <v>21000</v>
      </c>
      <c r="CL10" s="53">
        <f t="shared" si="185"/>
        <v>0</v>
      </c>
      <c r="CM10" s="51">
        <f t="shared" si="172"/>
        <v>0</v>
      </c>
      <c r="CN10" s="51">
        <f t="shared" si="271"/>
        <v>0</v>
      </c>
      <c r="CO10" s="51">
        <f t="shared" si="188"/>
        <v>0</v>
      </c>
      <c r="CP10" s="51">
        <f t="shared" si="272"/>
        <v>0</v>
      </c>
      <c r="CQ10" s="51">
        <f t="shared" si="190"/>
        <v>21000</v>
      </c>
      <c r="CR10" s="51">
        <f t="shared" si="273"/>
        <v>0</v>
      </c>
      <c r="CS10" s="51">
        <f t="shared" si="192"/>
        <v>0</v>
      </c>
      <c r="CT10" s="51">
        <f t="shared" si="274"/>
        <v>0</v>
      </c>
      <c r="CU10" s="51">
        <f t="shared" si="194"/>
        <v>21000</v>
      </c>
      <c r="CV10" s="51">
        <f t="shared" si="275"/>
        <v>21000</v>
      </c>
      <c r="CW10" s="51">
        <f t="shared" si="196"/>
        <v>0</v>
      </c>
      <c r="CX10" s="54">
        <f t="shared" si="197"/>
        <v>0</v>
      </c>
      <c r="CY10" s="55">
        <f t="shared" si="198"/>
        <v>0</v>
      </c>
      <c r="CZ10" s="56">
        <f>IF(AND($E10&lt;&gt;0,$F10&gt;0,YEAR($F10)&gt;=Preisindex!$A$6,YEAR(CU$4)&gt;=YEAR($F10),AND($K10&lt;&gt;"a",$K10&lt;&gt;"b",$K10&lt;&gt;"g",$K10&lt;&gt;"k")),1,IF(AND($E10&lt;&gt;0,$F10&gt;0,YEAR($F10)&gt;=Preisindex!$A$6,YEAR(CU$4)&gt;=YEAR($F10),$K10="a"),ROUND(VLOOKUP(CZ$4,Preisindex,5,FALSE)/VLOOKUP(YEAR($F10),Preisindex,5,FALSE),2),IF(AND($E10&lt;&gt;0,$F10&gt;0,YEAR($F10)&gt;=Preisindex!$A$6,YEAR(CU$4)&gt;=YEAR($F10),$K10="b"),ROUND(VLOOKUP(CZ$4,Preisindex,3,FALSE)/VLOOKUP(YEAR($F10),Preisindex,3,FALSE),2),IF(AND($E10&lt;&gt;0,$F10&gt;0,YEAR($F10)&gt;=Preisindex!$A$6,YEAR(CU$4)&gt;=YEAR($F10),$K10="g"),ROUND(VLOOKUP(CZ$4,Preisindex,4,FALSE)/VLOOKUP(YEAR($F10),Preisindex,4,FALSE),2),IF(AND($E10&lt;&gt;0,$F10&gt;0,YEAR($F10)&gt;=Preisindex!$A$6,YEAR(CU$4)&gt;=YEAR($F10),$K10="k"),ROUND(VLOOKUP(CZ$4,Preisindex,2,FALSE)/VLOOKUP(YEAR($F10),Preisindex,2,FALSE),2),0)))))</f>
        <v>1</v>
      </c>
      <c r="DA10" s="56">
        <f>IF(AND($E10&lt;&gt;0,$F10&gt;0,YEAR($F10)&lt;Preisindex!$A$6,YEAR(CU$4)&gt;=YEAR($F10),AND($K10&lt;&gt;"a",$K10&lt;&gt;"b",$K10&lt;&gt;"g",$K10&lt;&gt;"k")),1,IF(AND($E10&lt;&gt;0,$F10&gt;0,YEAR($F10)&lt;Preisindex!$A$6,YEAR(CU$4)&gt;=YEAR($F10),$K10="a"),ROUND(VLOOKUP(CZ$4,Preisindex,5,FALSE)/VLOOKUP(Preisindex!$A$6,Preisindex,5,FALSE),2),IF(AND($E10&lt;&gt;0,$F10&gt;0,YEAR($F10)&lt;Preisindex!$A$6,YEAR(CU$4)&gt;=YEAR($F10),$K10="b"),ROUND(VLOOKUP(CZ$4,Preisindex,3,FALSE)/VLOOKUP(Preisindex!$A$6,Preisindex,3,FALSE),2),IF(AND($E10&lt;&gt;0,$F10&gt;0,YEAR($F10)&lt;Preisindex!$A$6,YEAR(CU$4)&gt;=YEAR($F10),$K10="g"),ROUND(VLOOKUP(CZ$4,Preisindex,4,FALSE)/VLOOKUP(Preisindex!$A$6,Preisindex,4,FALSE),2),IF(AND($E10&lt;&gt;0,$F10&gt;0,YEAR($F10)&lt;Preisindex!$A$6,YEAR(CU$4)&gt;=YEAR($F10),$K10="k"),ROUND(VLOOKUP(CZ$4,Preisindex,2,FALSE)/VLOOKUP(Preisindex!$A$6,Preisindex,2,FALSE),2),0)))))</f>
        <v>0</v>
      </c>
      <c r="DB10" s="51">
        <f>IF(AND($E10&lt;&gt;0,$F10&gt;0,YEAR($F10)&lt;=CZ$4,YEAR($F10)&gt;=Preisindex!$A$6),ROUND($E10*CZ10,2),IF(AND($E10&lt;&gt;0,$F10&gt;0,YEAR($F10)&lt;=CZ$4,YEAR($F10)&lt;Preisindex!$A$6),ROUND($E10*DA10,2),0))</f>
        <v>21000</v>
      </c>
      <c r="DC10" s="53">
        <f t="shared" si="199"/>
        <v>0</v>
      </c>
      <c r="DD10" s="51">
        <f t="shared" si="200"/>
        <v>0</v>
      </c>
      <c r="DE10" s="51">
        <f t="shared" si="276"/>
        <v>0</v>
      </c>
      <c r="DF10" s="51">
        <f t="shared" si="202"/>
        <v>0</v>
      </c>
      <c r="DG10" s="51">
        <f t="shared" si="277"/>
        <v>0</v>
      </c>
      <c r="DH10" s="51">
        <f t="shared" si="204"/>
        <v>21000</v>
      </c>
      <c r="DI10" s="51">
        <f t="shared" si="278"/>
        <v>0</v>
      </c>
      <c r="DJ10" s="51">
        <f t="shared" si="206"/>
        <v>0</v>
      </c>
      <c r="DK10" s="51">
        <f t="shared" si="279"/>
        <v>0</v>
      </c>
      <c r="DL10" s="51">
        <f t="shared" si="208"/>
        <v>21000</v>
      </c>
      <c r="DM10" s="51">
        <f t="shared" si="280"/>
        <v>21000</v>
      </c>
      <c r="DN10" s="51">
        <f t="shared" si="210"/>
        <v>0</v>
      </c>
      <c r="DO10" s="54">
        <f t="shared" si="211"/>
        <v>0</v>
      </c>
      <c r="DP10" s="55">
        <f t="shared" si="212"/>
        <v>0</v>
      </c>
      <c r="DQ10" s="56">
        <f>IF(AND($E10&lt;&gt;0,$F10&gt;0,YEAR($F10)&gt;=Preisindex!$A$6,YEAR(DL$4)&gt;=YEAR($F10),AND($K10&lt;&gt;"a",$K10&lt;&gt;"b",$K10&lt;&gt;"g",$K10&lt;&gt;"k")),1,IF(AND($E10&lt;&gt;0,$F10&gt;0,YEAR($F10)&gt;=Preisindex!$A$6,YEAR(DL$4)&gt;=YEAR($F10),$K10="a"),ROUND(VLOOKUP(DQ$4,Preisindex,5,FALSE)/VLOOKUP(YEAR($F10),Preisindex,5,FALSE),2),IF(AND($E10&lt;&gt;0,$F10&gt;0,YEAR($F10)&gt;=Preisindex!$A$6,YEAR(DL$4)&gt;=YEAR($F10),$K10="b"),ROUND(VLOOKUP(DQ$4,Preisindex,3,FALSE)/VLOOKUP(YEAR($F10),Preisindex,3,FALSE),2),IF(AND($E10&lt;&gt;0,$F10&gt;0,YEAR($F10)&gt;=Preisindex!$A$6,YEAR(DL$4)&gt;=YEAR($F10),$K10="g"),ROUND(VLOOKUP(DQ$4,Preisindex,4,FALSE)/VLOOKUP(YEAR($F10),Preisindex,4,FALSE),2),IF(AND($E10&lt;&gt;0,$F10&gt;0,YEAR($F10)&gt;=Preisindex!$A$6,YEAR(DL$4)&gt;=YEAR($F10),$K10="k"),ROUND(VLOOKUP(DQ$4,Preisindex,2,FALSE)/VLOOKUP(YEAR($F10),Preisindex,2,FALSE),2),0)))))</f>
        <v>1</v>
      </c>
      <c r="DR10" s="56">
        <f>IF(AND($E10&lt;&gt;0,$F10&gt;0,YEAR($F10)&lt;Preisindex!$A$6,YEAR(DL$4)&gt;=YEAR($F10),AND($K10&lt;&gt;"a",$K10&lt;&gt;"b",$K10&lt;&gt;"g",$K10&lt;&gt;"k")),1,IF(AND($E10&lt;&gt;0,$F10&gt;0,YEAR($F10)&lt;Preisindex!$A$6,YEAR(DL$4)&gt;=YEAR($F10),$K10="a"),ROUND(VLOOKUP(DQ$4,Preisindex,5,FALSE)/VLOOKUP(Preisindex!$A$6,Preisindex,5,FALSE),2),IF(AND($E10&lt;&gt;0,$F10&gt;0,YEAR($F10)&lt;Preisindex!$A$6,YEAR(DL$4)&gt;=YEAR($F10),$K10="b"),ROUND(VLOOKUP(DQ$4,Preisindex,3,FALSE)/VLOOKUP(Preisindex!$A$6,Preisindex,3,FALSE),2),IF(AND($E10&lt;&gt;0,$F10&gt;0,YEAR($F10)&lt;Preisindex!$A$6,YEAR(DL$4)&gt;=YEAR($F10),$K10="g"),ROUND(VLOOKUP(DQ$4,Preisindex,4,FALSE)/VLOOKUP(Preisindex!$A$6,Preisindex,4,FALSE),2),IF(AND($E10&lt;&gt;0,$F10&gt;0,YEAR($F10)&lt;Preisindex!$A$6,YEAR(DL$4)&gt;=YEAR($F10),$K10="k"),ROUND(VLOOKUP(DQ$4,Preisindex,2,FALSE)/VLOOKUP(Preisindex!$A$6,Preisindex,2,FALSE),2),0)))))</f>
        <v>0</v>
      </c>
      <c r="DS10" s="51">
        <f>IF(AND($E10&lt;&gt;0,$F10&gt;0,YEAR($F10)&lt;=DQ$4,YEAR($F10)&gt;=Preisindex!$A$6),ROUND($E10*DQ10,2),IF(AND($E10&lt;&gt;0,$F10&gt;0,YEAR($F10)&lt;=DQ$4,YEAR($F10)&lt;Preisindex!$A$6),ROUND($E10*DR10,2),0))</f>
        <v>21000</v>
      </c>
      <c r="DT10" s="53">
        <f t="shared" si="213"/>
        <v>0</v>
      </c>
      <c r="DU10" s="51">
        <f t="shared" si="200"/>
        <v>0</v>
      </c>
      <c r="DV10" s="51">
        <f t="shared" si="281"/>
        <v>0</v>
      </c>
      <c r="DW10" s="51">
        <f t="shared" si="216"/>
        <v>0</v>
      </c>
      <c r="DX10" s="51">
        <f t="shared" si="282"/>
        <v>0</v>
      </c>
      <c r="DY10" s="51">
        <f t="shared" si="218"/>
        <v>21000</v>
      </c>
      <c r="DZ10" s="51">
        <f t="shared" si="283"/>
        <v>0</v>
      </c>
      <c r="EA10" s="51">
        <f t="shared" si="220"/>
        <v>0</v>
      </c>
      <c r="EB10" s="51">
        <f t="shared" si="284"/>
        <v>0</v>
      </c>
      <c r="EC10" s="51">
        <f t="shared" si="222"/>
        <v>21000</v>
      </c>
      <c r="ED10" s="51">
        <f t="shared" si="285"/>
        <v>21000</v>
      </c>
      <c r="EE10" s="51">
        <f t="shared" si="224"/>
        <v>0</v>
      </c>
      <c r="EF10" s="54">
        <f t="shared" si="225"/>
        <v>0</v>
      </c>
      <c r="EG10" s="55">
        <f t="shared" si="226"/>
        <v>0</v>
      </c>
      <c r="EH10" s="56">
        <f>IF(AND($E10&lt;&gt;0,$F10&gt;0,YEAR($F10)&gt;=Preisindex!$A$6,YEAR(EC$4)&gt;=YEAR($F10),AND($K10&lt;&gt;"a",$K10&lt;&gt;"b",$K10&lt;&gt;"g",$K10&lt;&gt;"k")),1,IF(AND($E10&lt;&gt;0,$F10&gt;0,YEAR($F10)&gt;=Preisindex!$A$6,YEAR(EC$4)&gt;=YEAR($F10),$K10="a"),ROUND(VLOOKUP(EH$4,Preisindex,5,FALSE)/VLOOKUP(YEAR($F10),Preisindex,5,FALSE),2),IF(AND($E10&lt;&gt;0,$F10&gt;0,YEAR($F10)&gt;=Preisindex!$A$6,YEAR(EC$4)&gt;=YEAR($F10),$K10="b"),ROUND(VLOOKUP(EH$4,Preisindex,3,FALSE)/VLOOKUP(YEAR($F10),Preisindex,3,FALSE),2),IF(AND($E10&lt;&gt;0,$F10&gt;0,YEAR($F10)&gt;=Preisindex!$A$6,YEAR(EC$4)&gt;=YEAR($F10),$K10="g"),ROUND(VLOOKUP(EH$4,Preisindex,4,FALSE)/VLOOKUP(YEAR($F10),Preisindex,4,FALSE),2),IF(AND($E10&lt;&gt;0,$F10&gt;0,YEAR($F10)&gt;=Preisindex!$A$6,YEAR(EC$4)&gt;=YEAR($F10),$K10="k"),ROUND(VLOOKUP(EH$4,Preisindex,2,FALSE)/VLOOKUP(YEAR($F10),Preisindex,2,FALSE),2),0)))))</f>
        <v>1</v>
      </c>
      <c r="EI10" s="56">
        <f>IF(AND($E10&lt;&gt;0,$F10&gt;0,YEAR($F10)&lt;Preisindex!$A$6,YEAR(EC$4)&gt;=YEAR($F10),AND($K10&lt;&gt;"a",$K10&lt;&gt;"b",$K10&lt;&gt;"g",$K10&lt;&gt;"k")),1,IF(AND($E10&lt;&gt;0,$F10&gt;0,YEAR($F10)&lt;Preisindex!$A$6,YEAR(EC$4)&gt;=YEAR($F10),$K10="a"),ROUND(VLOOKUP(EH$4,Preisindex,5,FALSE)/VLOOKUP(Preisindex!$A$6,Preisindex,5,FALSE),2),IF(AND($E10&lt;&gt;0,$F10&gt;0,YEAR($F10)&lt;Preisindex!$A$6,YEAR(EC$4)&gt;=YEAR($F10),$K10="b"),ROUND(VLOOKUP(EH$4,Preisindex,3,FALSE)/VLOOKUP(Preisindex!$A$6,Preisindex,3,FALSE),2),IF(AND($E10&lt;&gt;0,$F10&gt;0,YEAR($F10)&lt;Preisindex!$A$6,YEAR(EC$4)&gt;=YEAR($F10),$K10="g"),ROUND(VLOOKUP(EH$4,Preisindex,4,FALSE)/VLOOKUP(Preisindex!$A$6,Preisindex,4,FALSE),2),IF(AND($E10&lt;&gt;0,$F10&gt;0,YEAR($F10)&lt;Preisindex!$A$6,YEAR(EC$4)&gt;=YEAR($F10),$K10="k"),ROUND(VLOOKUP(EH$4,Preisindex,2,FALSE)/VLOOKUP(Preisindex!$A$6,Preisindex,2,FALSE),2),0)))))</f>
        <v>0</v>
      </c>
      <c r="EJ10" s="51">
        <f>IF(AND($E10&lt;&gt;0,$F10&gt;0,YEAR($F10)&lt;=EH$4,YEAR($F10)&gt;=Preisindex!$A$6),ROUND($E10*EH10,2),IF(AND($E10&lt;&gt;0,$F10&gt;0,YEAR($F10)&lt;=EH$4,YEAR($F10)&lt;Preisindex!$A$6),ROUND($E10*EI10,2),0))</f>
        <v>21000</v>
      </c>
      <c r="EK10" s="53">
        <f t="shared" si="227"/>
        <v>0</v>
      </c>
      <c r="EL10" s="51">
        <f t="shared" si="228"/>
        <v>0</v>
      </c>
      <c r="EM10" s="51">
        <f t="shared" si="286"/>
        <v>0</v>
      </c>
      <c r="EN10" s="51">
        <f t="shared" si="230"/>
        <v>0</v>
      </c>
      <c r="EO10" s="51">
        <f t="shared" si="287"/>
        <v>0</v>
      </c>
      <c r="EP10" s="51">
        <f t="shared" si="232"/>
        <v>21000</v>
      </c>
      <c r="EQ10" s="51">
        <f t="shared" si="288"/>
        <v>0</v>
      </c>
      <c r="ER10" s="51">
        <f t="shared" si="234"/>
        <v>0</v>
      </c>
      <c r="ES10" s="51">
        <f t="shared" si="289"/>
        <v>0</v>
      </c>
      <c r="ET10" s="51">
        <f t="shared" si="236"/>
        <v>21000</v>
      </c>
      <c r="EU10" s="51">
        <f t="shared" si="290"/>
        <v>21000</v>
      </c>
      <c r="EV10" s="51">
        <f t="shared" si="238"/>
        <v>0</v>
      </c>
      <c r="EW10" s="54">
        <f t="shared" si="239"/>
        <v>0</v>
      </c>
      <c r="EX10" s="55">
        <f t="shared" si="240"/>
        <v>0</v>
      </c>
      <c r="EY10" s="56">
        <f>IF(AND($E10&lt;&gt;0,$F10&gt;0,YEAR($F10)&gt;=Preisindex!$A$6,YEAR(ET$4)&gt;=YEAR($F10),AND($K10&lt;&gt;"a",$K10&lt;&gt;"b",$K10&lt;&gt;"g",$K10&lt;&gt;"k")),1,IF(AND($E10&lt;&gt;0,$F10&gt;0,YEAR($F10)&gt;=Preisindex!$A$6,YEAR(ET$4)&gt;=YEAR($F10),$K10="a"),ROUND(VLOOKUP(EY$4,Preisindex,5,FALSE)/VLOOKUP(YEAR($F10),Preisindex,5,FALSE),2),IF(AND($E10&lt;&gt;0,$F10&gt;0,YEAR($F10)&gt;=Preisindex!$A$6,YEAR(ET$4)&gt;=YEAR($F10),$K10="b"),ROUND(VLOOKUP(EY$4,Preisindex,3,FALSE)/VLOOKUP(YEAR($F10),Preisindex,3,FALSE),2),IF(AND($E10&lt;&gt;0,$F10&gt;0,YEAR($F10)&gt;=Preisindex!$A$6,YEAR(ET$4)&gt;=YEAR($F10),$K10="g"),ROUND(VLOOKUP(EY$4,Preisindex,4,FALSE)/VLOOKUP(YEAR($F10),Preisindex,4,FALSE),2),IF(AND($E10&lt;&gt;0,$F10&gt;0,YEAR($F10)&gt;=Preisindex!$A$6,YEAR(ET$4)&gt;=YEAR($F10),$K10="k"),ROUND(VLOOKUP(EY$4,Preisindex,2,FALSE)/VLOOKUP(YEAR($F10),Preisindex,2,FALSE),2),0)))))</f>
        <v>1</v>
      </c>
      <c r="EZ10" s="56">
        <f>IF(AND($E10&lt;&gt;0,$F10&gt;0,YEAR($F10)&lt;Preisindex!$A$6,YEAR(ET$4)&gt;=YEAR($F10),AND($K10&lt;&gt;"a",$K10&lt;&gt;"b",$K10&lt;&gt;"g",$K10&lt;&gt;"k")),1,IF(AND($E10&lt;&gt;0,$F10&gt;0,YEAR($F10)&lt;Preisindex!$A$6,YEAR(ET$4)&gt;=YEAR($F10),$K10="a"),ROUND(VLOOKUP(EY$4,Preisindex,5,FALSE)/VLOOKUP(Preisindex!$A$6,Preisindex,5,FALSE),2),IF(AND($E10&lt;&gt;0,$F10&gt;0,YEAR($F10)&lt;Preisindex!$A$6,YEAR(ET$4)&gt;=YEAR($F10),$K10="b"),ROUND(VLOOKUP(EY$4,Preisindex,3,FALSE)/VLOOKUP(Preisindex!$A$6,Preisindex,3,FALSE),2),IF(AND($E10&lt;&gt;0,$F10&gt;0,YEAR($F10)&lt;Preisindex!$A$6,YEAR(ET$4)&gt;=YEAR($F10),$K10="g"),ROUND(VLOOKUP(EY$4,Preisindex,4,FALSE)/VLOOKUP(Preisindex!$A$6,Preisindex,4,FALSE),2),IF(AND($E10&lt;&gt;0,$F10&gt;0,YEAR($F10)&lt;Preisindex!$A$6,YEAR(ET$4)&gt;=YEAR($F10),$K10="k"),ROUND(VLOOKUP(EY$4,Preisindex,2,FALSE)/VLOOKUP(Preisindex!$A$6,Preisindex,2,FALSE),2),0)))))</f>
        <v>0</v>
      </c>
      <c r="FA10" s="51">
        <f>IF(AND($E10&lt;&gt;0,$F10&gt;0,YEAR($F10)&lt;=EY$4,YEAR($F10)&gt;=Preisindex!$A$6),ROUND($E10*EY10,2),IF(AND($E10&lt;&gt;0,$F10&gt;0,YEAR($F10)&lt;=EY$4,YEAR($F10)&lt;Preisindex!$A$6),ROUND($E10*EZ10,2),0))</f>
        <v>21000</v>
      </c>
      <c r="FB10" s="53">
        <f t="shared" si="241"/>
        <v>0</v>
      </c>
      <c r="FC10" s="51">
        <f t="shared" si="228"/>
        <v>0</v>
      </c>
      <c r="FD10" s="51">
        <f t="shared" si="291"/>
        <v>0</v>
      </c>
      <c r="FE10" s="51">
        <f t="shared" si="244"/>
        <v>0</v>
      </c>
      <c r="FF10" s="51">
        <f t="shared" si="292"/>
        <v>0</v>
      </c>
      <c r="FG10" s="51">
        <f t="shared" si="246"/>
        <v>21000</v>
      </c>
      <c r="FH10" s="51">
        <f t="shared" si="293"/>
        <v>0</v>
      </c>
      <c r="FI10" s="51">
        <f t="shared" si="248"/>
        <v>0</v>
      </c>
      <c r="FJ10" s="51">
        <f t="shared" si="294"/>
        <v>0</v>
      </c>
      <c r="FK10" s="51">
        <f t="shared" si="250"/>
        <v>21000</v>
      </c>
      <c r="FL10" s="51">
        <f t="shared" si="295"/>
        <v>21000</v>
      </c>
      <c r="FM10" s="51">
        <f t="shared" si="252"/>
        <v>0</v>
      </c>
      <c r="FN10" s="54">
        <f t="shared" si="253"/>
        <v>0</v>
      </c>
      <c r="FO10" s="55">
        <f t="shared" si="254"/>
        <v>0</v>
      </c>
      <c r="FP10" s="56">
        <f>IF(AND($E10&lt;&gt;0,$F10&gt;0,YEAR($F10)&gt;=Preisindex!$A$6,YEAR(FK$4)&gt;=YEAR($F10),AND($K10&lt;&gt;"a",$K10&lt;&gt;"b",$K10&lt;&gt;"g",$K10&lt;&gt;"k")),1,IF(AND($E10&lt;&gt;0,$F10&gt;0,YEAR($F10)&gt;=Preisindex!$A$6,YEAR(FK$4)&gt;=YEAR($F10),$K10="a"),ROUND(VLOOKUP(FP$4,Preisindex,5,FALSE)/VLOOKUP(YEAR($F10),Preisindex,5,FALSE),2),IF(AND($E10&lt;&gt;0,$F10&gt;0,YEAR($F10)&gt;=Preisindex!$A$6,YEAR(FK$4)&gt;=YEAR($F10),$K10="b"),ROUND(VLOOKUP(FP$4,Preisindex,3,FALSE)/VLOOKUP(YEAR($F10),Preisindex,3,FALSE),2),IF(AND($E10&lt;&gt;0,$F10&gt;0,YEAR($F10)&gt;=Preisindex!$A$6,YEAR(FK$4)&gt;=YEAR($F10),$K10="g"),ROUND(VLOOKUP(FP$4,Preisindex,4,FALSE)/VLOOKUP(YEAR($F10),Preisindex,4,FALSE),2),IF(AND($E10&lt;&gt;0,$F10&gt;0,YEAR($F10)&gt;=Preisindex!$A$6,YEAR(FK$4)&gt;=YEAR($F10),$K10="k"),ROUND(VLOOKUP(FP$4,Preisindex,2,FALSE)/VLOOKUP(YEAR($F10),Preisindex,2,FALSE),2),0)))))</f>
        <v>1</v>
      </c>
      <c r="FQ10" s="56">
        <f>IF(AND($E10&lt;&gt;0,$F10&gt;0,YEAR($F10)&lt;Preisindex!$A$6,YEAR(FK$4)&gt;=YEAR($F10),AND($K10&lt;&gt;"a",$K10&lt;&gt;"b",$K10&lt;&gt;"g",$K10&lt;&gt;"k")),1,IF(AND($E10&lt;&gt;0,$F10&gt;0,YEAR($F10)&lt;Preisindex!$A$6,YEAR(FK$4)&gt;=YEAR($F10),$K10="a"),ROUND(VLOOKUP(FP$4,Preisindex,5,FALSE)/VLOOKUP(Preisindex!$A$6,Preisindex,5,FALSE),2),IF(AND($E10&lt;&gt;0,$F10&gt;0,YEAR($F10)&lt;Preisindex!$A$6,YEAR(FK$4)&gt;=YEAR($F10),$K10="b"),ROUND(VLOOKUP(FP$4,Preisindex,3,FALSE)/VLOOKUP(Preisindex!$A$6,Preisindex,3,FALSE),2),IF(AND($E10&lt;&gt;0,$F10&gt;0,YEAR($F10)&lt;Preisindex!$A$6,YEAR(FK$4)&gt;=YEAR($F10),$K10="g"),ROUND(VLOOKUP(FP$4,Preisindex,4,FALSE)/VLOOKUP(Preisindex!$A$6,Preisindex,4,FALSE),2),IF(AND($E10&lt;&gt;0,$F10&gt;0,YEAR($F10)&lt;Preisindex!$A$6,YEAR(FK$4)&gt;=YEAR($F10),$K10="k"),ROUND(VLOOKUP(FP$4,Preisindex,2,FALSE)/VLOOKUP(Preisindex!$A$6,Preisindex,2,FALSE),2),0)))))</f>
        <v>0</v>
      </c>
      <c r="FR10" s="51">
        <f>IF(AND($E10&lt;&gt;0,$F10&gt;0,YEAR($F10)&lt;=FP$4,YEAR($F10)&gt;=Preisindex!$A$6),ROUND($E10*FP10,2),IF(AND($E10&lt;&gt;0,$F10&gt;0,YEAR($F10)&lt;=FP$4,YEAR($F10)&lt;Preisindex!$A$6),ROUND($E10*FQ10,2),0))</f>
        <v>21000</v>
      </c>
      <c r="FS10" s="53">
        <f t="shared" si="255"/>
        <v>0</v>
      </c>
    </row>
    <row r="11" spans="1:175" x14ac:dyDescent="0.3">
      <c r="A11" s="93">
        <v>1999</v>
      </c>
      <c r="B11" s="94" t="s">
        <v>202</v>
      </c>
      <c r="C11" s="94"/>
      <c r="D11" s="95" t="s">
        <v>49</v>
      </c>
      <c r="E11" s="99">
        <v>25000</v>
      </c>
      <c r="F11" s="97">
        <v>36161</v>
      </c>
      <c r="G11" s="98"/>
      <c r="H11" s="620"/>
      <c r="I11" s="621"/>
      <c r="J11" s="194"/>
      <c r="K11" s="630"/>
      <c r="L11" s="49">
        <f t="shared" si="296"/>
        <v>0</v>
      </c>
      <c r="M11" s="50">
        <f t="shared" si="297"/>
        <v>0</v>
      </c>
      <c r="N11" s="51">
        <f t="shared" si="298"/>
        <v>25000</v>
      </c>
      <c r="O11" s="51"/>
      <c r="P11" s="51">
        <f t="shared" si="299"/>
        <v>0</v>
      </c>
      <c r="Q11" s="52"/>
      <c r="R11" s="52"/>
      <c r="S11" s="52"/>
      <c r="T11" s="52"/>
      <c r="U11" s="52"/>
      <c r="V11" s="53">
        <f t="shared" si="300"/>
        <v>25000</v>
      </c>
      <c r="W11" s="51">
        <f t="shared" si="301"/>
        <v>0</v>
      </c>
      <c r="X11" s="51">
        <f t="shared" si="302"/>
        <v>0</v>
      </c>
      <c r="Y11" s="51">
        <f t="shared" si="303"/>
        <v>0</v>
      </c>
      <c r="Z11" s="51">
        <f t="shared" si="304"/>
        <v>0</v>
      </c>
      <c r="AA11" s="51">
        <f t="shared" si="305"/>
        <v>25000</v>
      </c>
      <c r="AB11" s="51">
        <f t="shared" si="306"/>
        <v>0</v>
      </c>
      <c r="AC11" s="51">
        <f t="shared" si="307"/>
        <v>0</v>
      </c>
      <c r="AD11" s="51">
        <f t="shared" si="308"/>
        <v>0</v>
      </c>
      <c r="AE11" s="51">
        <f t="shared" si="309"/>
        <v>25000</v>
      </c>
      <c r="AF11" s="51">
        <f t="shared" si="310"/>
        <v>25000</v>
      </c>
      <c r="AG11" s="51">
        <f t="shared" si="311"/>
        <v>0</v>
      </c>
      <c r="AH11" s="54">
        <f t="shared" si="312"/>
        <v>0</v>
      </c>
      <c r="AI11" s="55">
        <f t="shared" si="313"/>
        <v>0</v>
      </c>
      <c r="AJ11" s="56">
        <f>IF(AND($E11&lt;&gt;0,$F11&gt;0,YEAR($F11)&gt;=Preisindex!$A$6,YEAR(AE$4)&gt;=YEAR($F11),AND($K11&lt;&gt;"a",$K11&lt;&gt;"b",$K11&lt;&gt;"g",$K11&lt;&gt;"k")),1,IF(AND($E11&lt;&gt;0,$F11&gt;0,YEAR($F11)&gt;=Preisindex!$A$6,YEAR(AE$4)&gt;=YEAR($F11),$K11="a"),ROUND(VLOOKUP(AJ$4,Preisindex,5,FALSE)/VLOOKUP(YEAR($F11),Preisindex,5,FALSE),2),IF(AND($E11&lt;&gt;0,$F11&gt;0,YEAR($F11)&gt;=Preisindex!$A$6,YEAR(AE$4)&gt;=YEAR($F11),$K11="b"),ROUND(VLOOKUP(AJ$4,Preisindex,3,FALSE)/VLOOKUP(YEAR($F11),Preisindex,3,FALSE),2),IF(AND($E11&lt;&gt;0,$F11&gt;0,YEAR($F11)&gt;=Preisindex!$A$6,YEAR(AE$4)&gt;=YEAR($F11),$K11="g"),ROUND(VLOOKUP(AJ$4,Preisindex,4,FALSE)/VLOOKUP(YEAR($F11),Preisindex,4,FALSE),2),IF(AND($E11&lt;&gt;0,$F11&gt;0,YEAR($F11)&gt;=Preisindex!$A$6,YEAR(AE$4)&gt;=YEAR($F11),$K11="k"),ROUND(VLOOKUP(AJ$4,Preisindex,2,FALSE)/VLOOKUP(YEAR($F11),Preisindex,2,FALSE),2),0)))))</f>
        <v>1</v>
      </c>
      <c r="AK11" s="56">
        <f>IF(AND($E11&lt;&gt;0,$F11&gt;0,YEAR($F11)&lt;Preisindex!$A$6,YEAR(AE$4)&gt;=YEAR($F11),AND($K11&lt;&gt;"a",$K11&lt;&gt;"b",$K11&lt;&gt;"g",$K11&lt;&gt;"k")),1,IF(AND($E11&lt;&gt;0,$F11&gt;0,YEAR($F11)&lt;Preisindex!$A$6,YEAR(AE$4)&gt;=YEAR($F11),$K11="a"),ROUND(VLOOKUP(AJ$4,Preisindex,5,FALSE)/VLOOKUP(Preisindex!$A$6,Preisindex,5,FALSE),2),IF(AND($E11&lt;&gt;0,$F11&gt;0,YEAR($F11)&lt;Preisindex!$A$6,YEAR(AE$4)&gt;=YEAR($F11),$K11="b"),ROUND(VLOOKUP(AJ$4,Preisindex,3,FALSE)/VLOOKUP(Preisindex!$A$6,Preisindex,3,FALSE),2),IF(AND($E11&lt;&gt;0,$F11&gt;0,YEAR($F11)&lt;Preisindex!$A$6,YEAR(AE$4)&gt;=YEAR($F11),$K11="g"),ROUND(VLOOKUP(AJ$4,Preisindex,4,FALSE)/VLOOKUP(Preisindex!$A$6,Preisindex,4,FALSE),2),IF(AND($E11&lt;&gt;0,$F11&gt;0,YEAR($F11)&lt;Preisindex!$A$6,YEAR(AE$4)&gt;=YEAR($F11),$K11="k"),ROUND(VLOOKUP(AJ$4,Preisindex,2,FALSE)/VLOOKUP(Preisindex!$A$6,Preisindex,2,FALSE),2),0)))))</f>
        <v>0</v>
      </c>
      <c r="AL11" s="51">
        <f>IF(AND($E11&lt;&gt;0,$F11&gt;0,YEAR($F11)&lt;=AJ$4,YEAR($F11)&gt;=Preisindex!$A$6),ROUND($E11*AJ11,2),IF(AND($E11&lt;&gt;0,$F11&gt;0,YEAR($F11)&lt;=AJ$4,YEAR($F11)&lt;Preisindex!$A$6),ROUND($E11*AK11,2),0))</f>
        <v>25000</v>
      </c>
      <c r="AM11" s="53">
        <f t="shared" si="314"/>
        <v>0</v>
      </c>
      <c r="AN11" s="51">
        <f t="shared" si="144"/>
        <v>0</v>
      </c>
      <c r="AO11" s="51">
        <f t="shared" si="256"/>
        <v>0</v>
      </c>
      <c r="AP11" s="51">
        <f t="shared" si="146"/>
        <v>0</v>
      </c>
      <c r="AQ11" s="51">
        <f t="shared" si="257"/>
        <v>0</v>
      </c>
      <c r="AR11" s="51">
        <f t="shared" si="148"/>
        <v>25000</v>
      </c>
      <c r="AS11" s="51">
        <f t="shared" si="258"/>
        <v>0</v>
      </c>
      <c r="AT11" s="51">
        <f t="shared" si="150"/>
        <v>0</v>
      </c>
      <c r="AU11" s="51">
        <f t="shared" si="259"/>
        <v>0</v>
      </c>
      <c r="AV11" s="51">
        <f t="shared" si="152"/>
        <v>25000</v>
      </c>
      <c r="AW11" s="51">
        <f t="shared" si="260"/>
        <v>25000</v>
      </c>
      <c r="AX11" s="51">
        <f t="shared" si="154"/>
        <v>0</v>
      </c>
      <c r="AY11" s="54">
        <f t="shared" si="155"/>
        <v>0</v>
      </c>
      <c r="AZ11" s="55">
        <f t="shared" si="156"/>
        <v>0</v>
      </c>
      <c r="BA11" s="56">
        <f>IF(AND($E11&lt;&gt;0,$F11&gt;0,YEAR($F11)&gt;=Preisindex!$A$6,YEAR(AV$4)&gt;=YEAR($F11),AND($K11&lt;&gt;"a",$K11&lt;&gt;"b",$K11&lt;&gt;"g",$K11&lt;&gt;"k")),1,IF(AND($E11&lt;&gt;0,$F11&gt;0,YEAR($F11)&gt;=Preisindex!$A$6,YEAR(AV$4)&gt;=YEAR($F11),$K11="a"),ROUND(VLOOKUP(BA$4,Preisindex,5,FALSE)/VLOOKUP(YEAR($F11),Preisindex,5,FALSE),2),IF(AND($E11&lt;&gt;0,$F11&gt;0,YEAR($F11)&gt;=Preisindex!$A$6,YEAR(AV$4)&gt;=YEAR($F11),$K11="b"),ROUND(VLOOKUP(BA$4,Preisindex,3,FALSE)/VLOOKUP(YEAR($F11),Preisindex,3,FALSE),2),IF(AND($E11&lt;&gt;0,$F11&gt;0,YEAR($F11)&gt;=Preisindex!$A$6,YEAR(AV$4)&gt;=YEAR($F11),$K11="g"),ROUND(VLOOKUP(BA$4,Preisindex,4,FALSE)/VLOOKUP(YEAR($F11),Preisindex,4,FALSE),2),IF(AND($E11&lt;&gt;0,$F11&gt;0,YEAR($F11)&gt;=Preisindex!$A$6,YEAR(AV$4)&gt;=YEAR($F11),$K11="k"),ROUND(VLOOKUP(BA$4,Preisindex,2,FALSE)/VLOOKUP(YEAR($F11),Preisindex,2,FALSE),2),0)))))</f>
        <v>1</v>
      </c>
      <c r="BB11" s="56">
        <f>IF(AND($E11&lt;&gt;0,$F11&gt;0,YEAR($F11)&lt;Preisindex!$A$6,YEAR(AV$4)&gt;=YEAR($F11),AND($K11&lt;&gt;"a",$K11&lt;&gt;"b",$K11&lt;&gt;"g",$K11&lt;&gt;"k")),1,IF(AND($E11&lt;&gt;0,$F11&gt;0,YEAR($F11)&lt;Preisindex!$A$6,YEAR(AV$4)&gt;=YEAR($F11),$K11="a"),ROUND(VLOOKUP(BA$4,Preisindex,5,FALSE)/VLOOKUP(Preisindex!$A$6,Preisindex,5,FALSE),2),IF(AND($E11&lt;&gt;0,$F11&gt;0,YEAR($F11)&lt;Preisindex!$A$6,YEAR(AV$4)&gt;=YEAR($F11),$K11="b"),ROUND(VLOOKUP(BA$4,Preisindex,3,FALSE)/VLOOKUP(Preisindex!$A$6,Preisindex,3,FALSE),2),IF(AND($E11&lt;&gt;0,$F11&gt;0,YEAR($F11)&lt;Preisindex!$A$6,YEAR(AV$4)&gt;=YEAR($F11),$K11="g"),ROUND(VLOOKUP(BA$4,Preisindex,4,FALSE)/VLOOKUP(Preisindex!$A$6,Preisindex,4,FALSE),2),IF(AND($E11&lt;&gt;0,$F11&gt;0,YEAR($F11)&lt;Preisindex!$A$6,YEAR(AV$4)&gt;=YEAR($F11),$K11="k"),ROUND(VLOOKUP(BA$4,Preisindex,2,FALSE)/VLOOKUP(Preisindex!$A$6,Preisindex,2,FALSE),2),0)))))</f>
        <v>0</v>
      </c>
      <c r="BC11" s="51">
        <f>IF(AND($E11&lt;&gt;0,$F11&gt;0,YEAR($F11)&lt;=BA$4,YEAR($F11)&gt;=Preisindex!$A$6),ROUND($E11*BA11,2),IF(AND($E11&lt;&gt;0,$F11&gt;0,YEAR($F11)&lt;=BA$4,YEAR($F11)&lt;Preisindex!$A$6),ROUND($E11*BB11,2),0))</f>
        <v>25000</v>
      </c>
      <c r="BD11" s="53">
        <f t="shared" si="157"/>
        <v>0</v>
      </c>
      <c r="BE11" s="51">
        <f t="shared" si="144"/>
        <v>0</v>
      </c>
      <c r="BF11" s="51">
        <f t="shared" si="261"/>
        <v>0</v>
      </c>
      <c r="BG11" s="51">
        <f t="shared" si="160"/>
        <v>0</v>
      </c>
      <c r="BH11" s="51">
        <f t="shared" si="262"/>
        <v>0</v>
      </c>
      <c r="BI11" s="51">
        <f t="shared" si="162"/>
        <v>25000</v>
      </c>
      <c r="BJ11" s="51">
        <f t="shared" si="263"/>
        <v>0</v>
      </c>
      <c r="BK11" s="51">
        <f t="shared" si="164"/>
        <v>0</v>
      </c>
      <c r="BL11" s="51">
        <f t="shared" si="264"/>
        <v>0</v>
      </c>
      <c r="BM11" s="51">
        <f t="shared" si="166"/>
        <v>25000</v>
      </c>
      <c r="BN11" s="51">
        <f t="shared" si="265"/>
        <v>25000</v>
      </c>
      <c r="BO11" s="51">
        <f t="shared" si="168"/>
        <v>0</v>
      </c>
      <c r="BP11" s="54">
        <f t="shared" si="169"/>
        <v>0</v>
      </c>
      <c r="BQ11" s="55">
        <f t="shared" si="170"/>
        <v>0</v>
      </c>
      <c r="BR11" s="56">
        <f>IF(AND($E11&lt;&gt;0,$F11&gt;0,YEAR($F11)&gt;=Preisindex!$A$6,YEAR(BM$4)&gt;=YEAR($F11),AND($K11&lt;&gt;"a",$K11&lt;&gt;"b",$K11&lt;&gt;"g",$K11&lt;&gt;"k")),1,IF(AND($E11&lt;&gt;0,$F11&gt;0,YEAR($F11)&gt;=Preisindex!$A$6,YEAR(BM$4)&gt;=YEAR($F11),$K11="a"),ROUND(VLOOKUP(BR$4,Preisindex,5,FALSE)/VLOOKUP(YEAR($F11),Preisindex,5,FALSE),2),IF(AND($E11&lt;&gt;0,$F11&gt;0,YEAR($F11)&gt;=Preisindex!$A$6,YEAR(BM$4)&gt;=YEAR($F11),$K11="b"),ROUND(VLOOKUP(BR$4,Preisindex,3,FALSE)/VLOOKUP(YEAR($F11),Preisindex,3,FALSE),2),IF(AND($E11&lt;&gt;0,$F11&gt;0,YEAR($F11)&gt;=Preisindex!$A$6,YEAR(BM$4)&gt;=YEAR($F11),$K11="g"),ROUND(VLOOKUP(BR$4,Preisindex,4,FALSE)/VLOOKUP(YEAR($F11),Preisindex,4,FALSE),2),IF(AND($E11&lt;&gt;0,$F11&gt;0,YEAR($F11)&gt;=Preisindex!$A$6,YEAR(BM$4)&gt;=YEAR($F11),$K11="k"),ROUND(VLOOKUP(BR$4,Preisindex,2,FALSE)/VLOOKUP(YEAR($F11),Preisindex,2,FALSE),2),0)))))</f>
        <v>1</v>
      </c>
      <c r="BS11" s="56">
        <f>IF(AND($E11&lt;&gt;0,$F11&gt;0,YEAR($F11)&lt;Preisindex!$A$6,YEAR(BM$4)&gt;=YEAR($F11),AND($K11&lt;&gt;"a",$K11&lt;&gt;"b",$K11&lt;&gt;"g",$K11&lt;&gt;"k")),1,IF(AND($E11&lt;&gt;0,$F11&gt;0,YEAR($F11)&lt;Preisindex!$A$6,YEAR(BM$4)&gt;=YEAR($F11),$K11="a"),ROUND(VLOOKUP(BR$4,Preisindex,5,FALSE)/VLOOKUP(Preisindex!$A$6,Preisindex,5,FALSE),2),IF(AND($E11&lt;&gt;0,$F11&gt;0,YEAR($F11)&lt;Preisindex!$A$6,YEAR(BM$4)&gt;=YEAR($F11),$K11="b"),ROUND(VLOOKUP(BR$4,Preisindex,3,FALSE)/VLOOKUP(Preisindex!$A$6,Preisindex,3,FALSE),2),IF(AND($E11&lt;&gt;0,$F11&gt;0,YEAR($F11)&lt;Preisindex!$A$6,YEAR(BM$4)&gt;=YEAR($F11),$K11="g"),ROUND(VLOOKUP(BR$4,Preisindex,4,FALSE)/VLOOKUP(Preisindex!$A$6,Preisindex,4,FALSE),2),IF(AND($E11&lt;&gt;0,$F11&gt;0,YEAR($F11)&lt;Preisindex!$A$6,YEAR(BM$4)&gt;=YEAR($F11),$K11="k"),ROUND(VLOOKUP(BR$4,Preisindex,2,FALSE)/VLOOKUP(Preisindex!$A$6,Preisindex,2,FALSE),2),0)))))</f>
        <v>0</v>
      </c>
      <c r="BT11" s="51">
        <f>IF(AND($E11&lt;&gt;0,$F11&gt;0,YEAR($F11)&lt;=BR$4,YEAR($F11)&gt;=Preisindex!$A$6),ROUND($E11*BR11,2),IF(AND($E11&lt;&gt;0,$F11&gt;0,YEAR($F11)&lt;=BR$4,YEAR($F11)&lt;Preisindex!$A$6),ROUND($E11*BS11,2),0))</f>
        <v>25000</v>
      </c>
      <c r="BU11" s="53">
        <f t="shared" si="171"/>
        <v>0</v>
      </c>
      <c r="BV11" s="51">
        <f t="shared" si="172"/>
        <v>0</v>
      </c>
      <c r="BW11" s="51">
        <f t="shared" si="266"/>
        <v>0</v>
      </c>
      <c r="BX11" s="51">
        <f t="shared" si="174"/>
        <v>0</v>
      </c>
      <c r="BY11" s="51">
        <f t="shared" si="267"/>
        <v>0</v>
      </c>
      <c r="BZ11" s="51">
        <f t="shared" si="176"/>
        <v>25000</v>
      </c>
      <c r="CA11" s="51">
        <f t="shared" si="268"/>
        <v>0</v>
      </c>
      <c r="CB11" s="51">
        <f t="shared" si="178"/>
        <v>0</v>
      </c>
      <c r="CC11" s="51">
        <f t="shared" si="269"/>
        <v>0</v>
      </c>
      <c r="CD11" s="51">
        <f t="shared" si="180"/>
        <v>25000</v>
      </c>
      <c r="CE11" s="51">
        <f t="shared" si="270"/>
        <v>25000</v>
      </c>
      <c r="CF11" s="51">
        <f t="shared" si="182"/>
        <v>0</v>
      </c>
      <c r="CG11" s="54">
        <f t="shared" si="183"/>
        <v>0</v>
      </c>
      <c r="CH11" s="55">
        <f t="shared" si="184"/>
        <v>0</v>
      </c>
      <c r="CI11" s="56">
        <f>IF(AND($E11&lt;&gt;0,$F11&gt;0,YEAR($F11)&gt;=Preisindex!$A$6,YEAR(CD$4)&gt;=YEAR($F11),AND($K11&lt;&gt;"a",$K11&lt;&gt;"b",$K11&lt;&gt;"g",$K11&lt;&gt;"k")),1,IF(AND($E11&lt;&gt;0,$F11&gt;0,YEAR($F11)&gt;=Preisindex!$A$6,YEAR(CD$4)&gt;=YEAR($F11),$K11="a"),ROUND(VLOOKUP(CI$4,Preisindex,5,FALSE)/VLOOKUP(YEAR($F11),Preisindex,5,FALSE),2),IF(AND($E11&lt;&gt;0,$F11&gt;0,YEAR($F11)&gt;=Preisindex!$A$6,YEAR(CD$4)&gt;=YEAR($F11),$K11="b"),ROUND(VLOOKUP(CI$4,Preisindex,3,FALSE)/VLOOKUP(YEAR($F11),Preisindex,3,FALSE),2),IF(AND($E11&lt;&gt;0,$F11&gt;0,YEAR($F11)&gt;=Preisindex!$A$6,YEAR(CD$4)&gt;=YEAR($F11),$K11="g"),ROUND(VLOOKUP(CI$4,Preisindex,4,FALSE)/VLOOKUP(YEAR($F11),Preisindex,4,FALSE),2),IF(AND($E11&lt;&gt;0,$F11&gt;0,YEAR($F11)&gt;=Preisindex!$A$6,YEAR(CD$4)&gt;=YEAR($F11),$K11="k"),ROUND(VLOOKUP(CI$4,Preisindex,2,FALSE)/VLOOKUP(YEAR($F11),Preisindex,2,FALSE),2),0)))))</f>
        <v>1</v>
      </c>
      <c r="CJ11" s="56">
        <f>IF(AND($E11&lt;&gt;0,$F11&gt;0,YEAR($F11)&lt;Preisindex!$A$6,YEAR(CD$4)&gt;=YEAR($F11),AND($K11&lt;&gt;"a",$K11&lt;&gt;"b",$K11&lt;&gt;"g",$K11&lt;&gt;"k")),1,IF(AND($E11&lt;&gt;0,$F11&gt;0,YEAR($F11)&lt;Preisindex!$A$6,YEAR(CD$4)&gt;=YEAR($F11),$K11="a"),ROUND(VLOOKUP(CI$4,Preisindex,5,FALSE)/VLOOKUP(Preisindex!$A$6,Preisindex,5,FALSE),2),IF(AND($E11&lt;&gt;0,$F11&gt;0,YEAR($F11)&lt;Preisindex!$A$6,YEAR(CD$4)&gt;=YEAR($F11),$K11="b"),ROUND(VLOOKUP(CI$4,Preisindex,3,FALSE)/VLOOKUP(Preisindex!$A$6,Preisindex,3,FALSE),2),IF(AND($E11&lt;&gt;0,$F11&gt;0,YEAR($F11)&lt;Preisindex!$A$6,YEAR(CD$4)&gt;=YEAR($F11),$K11="g"),ROUND(VLOOKUP(CI$4,Preisindex,4,FALSE)/VLOOKUP(Preisindex!$A$6,Preisindex,4,FALSE),2),IF(AND($E11&lt;&gt;0,$F11&gt;0,YEAR($F11)&lt;Preisindex!$A$6,YEAR(CD$4)&gt;=YEAR($F11),$K11="k"),ROUND(VLOOKUP(CI$4,Preisindex,2,FALSE)/VLOOKUP(Preisindex!$A$6,Preisindex,2,FALSE),2),0)))))</f>
        <v>0</v>
      </c>
      <c r="CK11" s="51">
        <f>IF(AND($E11&lt;&gt;0,$F11&gt;0,YEAR($F11)&lt;=CI$4,YEAR($F11)&gt;=Preisindex!$A$6),ROUND($E11*CI11,2),IF(AND($E11&lt;&gt;0,$F11&gt;0,YEAR($F11)&lt;=CI$4,YEAR($F11)&lt;Preisindex!$A$6),ROUND($E11*CJ11,2),0))</f>
        <v>25000</v>
      </c>
      <c r="CL11" s="53">
        <f t="shared" si="185"/>
        <v>0</v>
      </c>
      <c r="CM11" s="51">
        <f t="shared" si="172"/>
        <v>0</v>
      </c>
      <c r="CN11" s="51">
        <f t="shared" si="271"/>
        <v>0</v>
      </c>
      <c r="CO11" s="51">
        <f t="shared" si="188"/>
        <v>0</v>
      </c>
      <c r="CP11" s="51">
        <f t="shared" si="272"/>
        <v>0</v>
      </c>
      <c r="CQ11" s="51">
        <f t="shared" si="190"/>
        <v>25000</v>
      </c>
      <c r="CR11" s="51">
        <f t="shared" si="273"/>
        <v>0</v>
      </c>
      <c r="CS11" s="51">
        <f t="shared" si="192"/>
        <v>0</v>
      </c>
      <c r="CT11" s="51">
        <f t="shared" si="274"/>
        <v>0</v>
      </c>
      <c r="CU11" s="51">
        <f t="shared" si="194"/>
        <v>25000</v>
      </c>
      <c r="CV11" s="51">
        <f t="shared" si="275"/>
        <v>25000</v>
      </c>
      <c r="CW11" s="51">
        <f t="shared" si="196"/>
        <v>0</v>
      </c>
      <c r="CX11" s="54">
        <f t="shared" si="197"/>
        <v>0</v>
      </c>
      <c r="CY11" s="55">
        <f t="shared" si="198"/>
        <v>0</v>
      </c>
      <c r="CZ11" s="56">
        <f>IF(AND($E11&lt;&gt;0,$F11&gt;0,YEAR($F11)&gt;=Preisindex!$A$6,YEAR(CU$4)&gt;=YEAR($F11),AND($K11&lt;&gt;"a",$K11&lt;&gt;"b",$K11&lt;&gt;"g",$K11&lt;&gt;"k")),1,IF(AND($E11&lt;&gt;0,$F11&gt;0,YEAR($F11)&gt;=Preisindex!$A$6,YEAR(CU$4)&gt;=YEAR($F11),$K11="a"),ROUND(VLOOKUP(CZ$4,Preisindex,5,FALSE)/VLOOKUP(YEAR($F11),Preisindex,5,FALSE),2),IF(AND($E11&lt;&gt;0,$F11&gt;0,YEAR($F11)&gt;=Preisindex!$A$6,YEAR(CU$4)&gt;=YEAR($F11),$K11="b"),ROUND(VLOOKUP(CZ$4,Preisindex,3,FALSE)/VLOOKUP(YEAR($F11),Preisindex,3,FALSE),2),IF(AND($E11&lt;&gt;0,$F11&gt;0,YEAR($F11)&gt;=Preisindex!$A$6,YEAR(CU$4)&gt;=YEAR($F11),$K11="g"),ROUND(VLOOKUP(CZ$4,Preisindex,4,FALSE)/VLOOKUP(YEAR($F11),Preisindex,4,FALSE),2),IF(AND($E11&lt;&gt;0,$F11&gt;0,YEAR($F11)&gt;=Preisindex!$A$6,YEAR(CU$4)&gt;=YEAR($F11),$K11="k"),ROUND(VLOOKUP(CZ$4,Preisindex,2,FALSE)/VLOOKUP(YEAR($F11),Preisindex,2,FALSE),2),0)))))</f>
        <v>1</v>
      </c>
      <c r="DA11" s="56">
        <f>IF(AND($E11&lt;&gt;0,$F11&gt;0,YEAR($F11)&lt;Preisindex!$A$6,YEAR(CU$4)&gt;=YEAR($F11),AND($K11&lt;&gt;"a",$K11&lt;&gt;"b",$K11&lt;&gt;"g",$K11&lt;&gt;"k")),1,IF(AND($E11&lt;&gt;0,$F11&gt;0,YEAR($F11)&lt;Preisindex!$A$6,YEAR(CU$4)&gt;=YEAR($F11),$K11="a"),ROUND(VLOOKUP(CZ$4,Preisindex,5,FALSE)/VLOOKUP(Preisindex!$A$6,Preisindex,5,FALSE),2),IF(AND($E11&lt;&gt;0,$F11&gt;0,YEAR($F11)&lt;Preisindex!$A$6,YEAR(CU$4)&gt;=YEAR($F11),$K11="b"),ROUND(VLOOKUP(CZ$4,Preisindex,3,FALSE)/VLOOKUP(Preisindex!$A$6,Preisindex,3,FALSE),2),IF(AND($E11&lt;&gt;0,$F11&gt;0,YEAR($F11)&lt;Preisindex!$A$6,YEAR(CU$4)&gt;=YEAR($F11),$K11="g"),ROUND(VLOOKUP(CZ$4,Preisindex,4,FALSE)/VLOOKUP(Preisindex!$A$6,Preisindex,4,FALSE),2),IF(AND($E11&lt;&gt;0,$F11&gt;0,YEAR($F11)&lt;Preisindex!$A$6,YEAR(CU$4)&gt;=YEAR($F11),$K11="k"),ROUND(VLOOKUP(CZ$4,Preisindex,2,FALSE)/VLOOKUP(Preisindex!$A$6,Preisindex,2,FALSE),2),0)))))</f>
        <v>0</v>
      </c>
      <c r="DB11" s="51">
        <f>IF(AND($E11&lt;&gt;0,$F11&gt;0,YEAR($F11)&lt;=CZ$4,YEAR($F11)&gt;=Preisindex!$A$6),ROUND($E11*CZ11,2),IF(AND($E11&lt;&gt;0,$F11&gt;0,YEAR($F11)&lt;=CZ$4,YEAR($F11)&lt;Preisindex!$A$6),ROUND($E11*DA11,2),0))</f>
        <v>25000</v>
      </c>
      <c r="DC11" s="53">
        <f t="shared" si="199"/>
        <v>0</v>
      </c>
      <c r="DD11" s="51">
        <f t="shared" si="200"/>
        <v>0</v>
      </c>
      <c r="DE11" s="51">
        <f t="shared" si="276"/>
        <v>0</v>
      </c>
      <c r="DF11" s="51">
        <f t="shared" si="202"/>
        <v>0</v>
      </c>
      <c r="DG11" s="51">
        <f t="shared" si="277"/>
        <v>0</v>
      </c>
      <c r="DH11" s="51">
        <f t="shared" si="204"/>
        <v>25000</v>
      </c>
      <c r="DI11" s="51">
        <f t="shared" si="278"/>
        <v>0</v>
      </c>
      <c r="DJ11" s="51">
        <f t="shared" si="206"/>
        <v>0</v>
      </c>
      <c r="DK11" s="51">
        <f t="shared" si="279"/>
        <v>0</v>
      </c>
      <c r="DL11" s="51">
        <f t="shared" si="208"/>
        <v>25000</v>
      </c>
      <c r="DM11" s="51">
        <f t="shared" si="280"/>
        <v>25000</v>
      </c>
      <c r="DN11" s="51">
        <f t="shared" si="210"/>
        <v>0</v>
      </c>
      <c r="DO11" s="54">
        <f t="shared" si="211"/>
        <v>0</v>
      </c>
      <c r="DP11" s="55">
        <f t="shared" si="212"/>
        <v>0</v>
      </c>
      <c r="DQ11" s="56">
        <f>IF(AND($E11&lt;&gt;0,$F11&gt;0,YEAR($F11)&gt;=Preisindex!$A$6,YEAR(DL$4)&gt;=YEAR($F11),AND($K11&lt;&gt;"a",$K11&lt;&gt;"b",$K11&lt;&gt;"g",$K11&lt;&gt;"k")),1,IF(AND($E11&lt;&gt;0,$F11&gt;0,YEAR($F11)&gt;=Preisindex!$A$6,YEAR(DL$4)&gt;=YEAR($F11),$K11="a"),ROUND(VLOOKUP(DQ$4,Preisindex,5,FALSE)/VLOOKUP(YEAR($F11),Preisindex,5,FALSE),2),IF(AND($E11&lt;&gt;0,$F11&gt;0,YEAR($F11)&gt;=Preisindex!$A$6,YEAR(DL$4)&gt;=YEAR($F11),$K11="b"),ROUND(VLOOKUP(DQ$4,Preisindex,3,FALSE)/VLOOKUP(YEAR($F11),Preisindex,3,FALSE),2),IF(AND($E11&lt;&gt;0,$F11&gt;0,YEAR($F11)&gt;=Preisindex!$A$6,YEAR(DL$4)&gt;=YEAR($F11),$K11="g"),ROUND(VLOOKUP(DQ$4,Preisindex,4,FALSE)/VLOOKUP(YEAR($F11),Preisindex,4,FALSE),2),IF(AND($E11&lt;&gt;0,$F11&gt;0,YEAR($F11)&gt;=Preisindex!$A$6,YEAR(DL$4)&gt;=YEAR($F11),$K11="k"),ROUND(VLOOKUP(DQ$4,Preisindex,2,FALSE)/VLOOKUP(YEAR($F11),Preisindex,2,FALSE),2),0)))))</f>
        <v>1</v>
      </c>
      <c r="DR11" s="56">
        <f>IF(AND($E11&lt;&gt;0,$F11&gt;0,YEAR($F11)&lt;Preisindex!$A$6,YEAR(DL$4)&gt;=YEAR($F11),AND($K11&lt;&gt;"a",$K11&lt;&gt;"b",$K11&lt;&gt;"g",$K11&lt;&gt;"k")),1,IF(AND($E11&lt;&gt;0,$F11&gt;0,YEAR($F11)&lt;Preisindex!$A$6,YEAR(DL$4)&gt;=YEAR($F11),$K11="a"),ROUND(VLOOKUP(DQ$4,Preisindex,5,FALSE)/VLOOKUP(Preisindex!$A$6,Preisindex,5,FALSE),2),IF(AND($E11&lt;&gt;0,$F11&gt;0,YEAR($F11)&lt;Preisindex!$A$6,YEAR(DL$4)&gt;=YEAR($F11),$K11="b"),ROUND(VLOOKUP(DQ$4,Preisindex,3,FALSE)/VLOOKUP(Preisindex!$A$6,Preisindex,3,FALSE),2),IF(AND($E11&lt;&gt;0,$F11&gt;0,YEAR($F11)&lt;Preisindex!$A$6,YEAR(DL$4)&gt;=YEAR($F11),$K11="g"),ROUND(VLOOKUP(DQ$4,Preisindex,4,FALSE)/VLOOKUP(Preisindex!$A$6,Preisindex,4,FALSE),2),IF(AND($E11&lt;&gt;0,$F11&gt;0,YEAR($F11)&lt;Preisindex!$A$6,YEAR(DL$4)&gt;=YEAR($F11),$K11="k"),ROUND(VLOOKUP(DQ$4,Preisindex,2,FALSE)/VLOOKUP(Preisindex!$A$6,Preisindex,2,FALSE),2),0)))))</f>
        <v>0</v>
      </c>
      <c r="DS11" s="51">
        <f>IF(AND($E11&lt;&gt;0,$F11&gt;0,YEAR($F11)&lt;=DQ$4,YEAR($F11)&gt;=Preisindex!$A$6),ROUND($E11*DQ11,2),IF(AND($E11&lt;&gt;0,$F11&gt;0,YEAR($F11)&lt;=DQ$4,YEAR($F11)&lt;Preisindex!$A$6),ROUND($E11*DR11,2),0))</f>
        <v>25000</v>
      </c>
      <c r="DT11" s="53">
        <f t="shared" si="213"/>
        <v>0</v>
      </c>
      <c r="DU11" s="51">
        <f t="shared" si="200"/>
        <v>0</v>
      </c>
      <c r="DV11" s="51">
        <f t="shared" si="281"/>
        <v>0</v>
      </c>
      <c r="DW11" s="51">
        <f t="shared" si="216"/>
        <v>0</v>
      </c>
      <c r="DX11" s="51">
        <f t="shared" si="282"/>
        <v>0</v>
      </c>
      <c r="DY11" s="51">
        <f t="shared" si="218"/>
        <v>25000</v>
      </c>
      <c r="DZ11" s="51">
        <f t="shared" si="283"/>
        <v>0</v>
      </c>
      <c r="EA11" s="51">
        <f t="shared" si="220"/>
        <v>0</v>
      </c>
      <c r="EB11" s="51">
        <f t="shared" si="284"/>
        <v>0</v>
      </c>
      <c r="EC11" s="51">
        <f t="shared" si="222"/>
        <v>25000</v>
      </c>
      <c r="ED11" s="51">
        <f t="shared" si="285"/>
        <v>25000</v>
      </c>
      <c r="EE11" s="51">
        <f t="shared" si="224"/>
        <v>0</v>
      </c>
      <c r="EF11" s="54">
        <f t="shared" si="225"/>
        <v>0</v>
      </c>
      <c r="EG11" s="55">
        <f t="shared" si="226"/>
        <v>0</v>
      </c>
      <c r="EH11" s="56">
        <f>IF(AND($E11&lt;&gt;0,$F11&gt;0,YEAR($F11)&gt;=Preisindex!$A$6,YEAR(EC$4)&gt;=YEAR($F11),AND($K11&lt;&gt;"a",$K11&lt;&gt;"b",$K11&lt;&gt;"g",$K11&lt;&gt;"k")),1,IF(AND($E11&lt;&gt;0,$F11&gt;0,YEAR($F11)&gt;=Preisindex!$A$6,YEAR(EC$4)&gt;=YEAR($F11),$K11="a"),ROUND(VLOOKUP(EH$4,Preisindex,5,FALSE)/VLOOKUP(YEAR($F11),Preisindex,5,FALSE),2),IF(AND($E11&lt;&gt;0,$F11&gt;0,YEAR($F11)&gt;=Preisindex!$A$6,YEAR(EC$4)&gt;=YEAR($F11),$K11="b"),ROUND(VLOOKUP(EH$4,Preisindex,3,FALSE)/VLOOKUP(YEAR($F11),Preisindex,3,FALSE),2),IF(AND($E11&lt;&gt;0,$F11&gt;0,YEAR($F11)&gt;=Preisindex!$A$6,YEAR(EC$4)&gt;=YEAR($F11),$K11="g"),ROUND(VLOOKUP(EH$4,Preisindex,4,FALSE)/VLOOKUP(YEAR($F11),Preisindex,4,FALSE),2),IF(AND($E11&lt;&gt;0,$F11&gt;0,YEAR($F11)&gt;=Preisindex!$A$6,YEAR(EC$4)&gt;=YEAR($F11),$K11="k"),ROUND(VLOOKUP(EH$4,Preisindex,2,FALSE)/VLOOKUP(YEAR($F11),Preisindex,2,FALSE),2),0)))))</f>
        <v>1</v>
      </c>
      <c r="EI11" s="56">
        <f>IF(AND($E11&lt;&gt;0,$F11&gt;0,YEAR($F11)&lt;Preisindex!$A$6,YEAR(EC$4)&gt;=YEAR($F11),AND($K11&lt;&gt;"a",$K11&lt;&gt;"b",$K11&lt;&gt;"g",$K11&lt;&gt;"k")),1,IF(AND($E11&lt;&gt;0,$F11&gt;0,YEAR($F11)&lt;Preisindex!$A$6,YEAR(EC$4)&gt;=YEAR($F11),$K11="a"),ROUND(VLOOKUP(EH$4,Preisindex,5,FALSE)/VLOOKUP(Preisindex!$A$6,Preisindex,5,FALSE),2),IF(AND($E11&lt;&gt;0,$F11&gt;0,YEAR($F11)&lt;Preisindex!$A$6,YEAR(EC$4)&gt;=YEAR($F11),$K11="b"),ROUND(VLOOKUP(EH$4,Preisindex,3,FALSE)/VLOOKUP(Preisindex!$A$6,Preisindex,3,FALSE),2),IF(AND($E11&lt;&gt;0,$F11&gt;0,YEAR($F11)&lt;Preisindex!$A$6,YEAR(EC$4)&gt;=YEAR($F11),$K11="g"),ROUND(VLOOKUP(EH$4,Preisindex,4,FALSE)/VLOOKUP(Preisindex!$A$6,Preisindex,4,FALSE),2),IF(AND($E11&lt;&gt;0,$F11&gt;0,YEAR($F11)&lt;Preisindex!$A$6,YEAR(EC$4)&gt;=YEAR($F11),$K11="k"),ROUND(VLOOKUP(EH$4,Preisindex,2,FALSE)/VLOOKUP(Preisindex!$A$6,Preisindex,2,FALSE),2),0)))))</f>
        <v>0</v>
      </c>
      <c r="EJ11" s="51">
        <f>IF(AND($E11&lt;&gt;0,$F11&gt;0,YEAR($F11)&lt;=EH$4,YEAR($F11)&gt;=Preisindex!$A$6),ROUND($E11*EH11,2),IF(AND($E11&lt;&gt;0,$F11&gt;0,YEAR($F11)&lt;=EH$4,YEAR($F11)&lt;Preisindex!$A$6),ROUND($E11*EI11,2),0))</f>
        <v>25000</v>
      </c>
      <c r="EK11" s="53">
        <f t="shared" si="227"/>
        <v>0</v>
      </c>
      <c r="EL11" s="51">
        <f t="shared" si="228"/>
        <v>0</v>
      </c>
      <c r="EM11" s="51">
        <f t="shared" si="286"/>
        <v>0</v>
      </c>
      <c r="EN11" s="51">
        <f t="shared" si="230"/>
        <v>0</v>
      </c>
      <c r="EO11" s="51">
        <f t="shared" si="287"/>
        <v>0</v>
      </c>
      <c r="EP11" s="51">
        <f t="shared" si="232"/>
        <v>25000</v>
      </c>
      <c r="EQ11" s="51">
        <f t="shared" si="288"/>
        <v>0</v>
      </c>
      <c r="ER11" s="51">
        <f t="shared" si="234"/>
        <v>0</v>
      </c>
      <c r="ES11" s="51">
        <f t="shared" si="289"/>
        <v>0</v>
      </c>
      <c r="ET11" s="51">
        <f t="shared" si="236"/>
        <v>25000</v>
      </c>
      <c r="EU11" s="51">
        <f t="shared" si="290"/>
        <v>25000</v>
      </c>
      <c r="EV11" s="51">
        <f t="shared" si="238"/>
        <v>0</v>
      </c>
      <c r="EW11" s="54">
        <f t="shared" si="239"/>
        <v>0</v>
      </c>
      <c r="EX11" s="55">
        <f t="shared" si="240"/>
        <v>0</v>
      </c>
      <c r="EY11" s="56">
        <f>IF(AND($E11&lt;&gt;0,$F11&gt;0,YEAR($F11)&gt;=Preisindex!$A$6,YEAR(ET$4)&gt;=YEAR($F11),AND($K11&lt;&gt;"a",$K11&lt;&gt;"b",$K11&lt;&gt;"g",$K11&lt;&gt;"k")),1,IF(AND($E11&lt;&gt;0,$F11&gt;0,YEAR($F11)&gt;=Preisindex!$A$6,YEAR(ET$4)&gt;=YEAR($F11),$K11="a"),ROUND(VLOOKUP(EY$4,Preisindex,5,FALSE)/VLOOKUP(YEAR($F11),Preisindex,5,FALSE),2),IF(AND($E11&lt;&gt;0,$F11&gt;0,YEAR($F11)&gt;=Preisindex!$A$6,YEAR(ET$4)&gt;=YEAR($F11),$K11="b"),ROUND(VLOOKUP(EY$4,Preisindex,3,FALSE)/VLOOKUP(YEAR($F11),Preisindex,3,FALSE),2),IF(AND($E11&lt;&gt;0,$F11&gt;0,YEAR($F11)&gt;=Preisindex!$A$6,YEAR(ET$4)&gt;=YEAR($F11),$K11="g"),ROUND(VLOOKUP(EY$4,Preisindex,4,FALSE)/VLOOKUP(YEAR($F11),Preisindex,4,FALSE),2),IF(AND($E11&lt;&gt;0,$F11&gt;0,YEAR($F11)&gt;=Preisindex!$A$6,YEAR(ET$4)&gt;=YEAR($F11),$K11="k"),ROUND(VLOOKUP(EY$4,Preisindex,2,FALSE)/VLOOKUP(YEAR($F11),Preisindex,2,FALSE),2),0)))))</f>
        <v>1</v>
      </c>
      <c r="EZ11" s="56">
        <f>IF(AND($E11&lt;&gt;0,$F11&gt;0,YEAR($F11)&lt;Preisindex!$A$6,YEAR(ET$4)&gt;=YEAR($F11),AND($K11&lt;&gt;"a",$K11&lt;&gt;"b",$K11&lt;&gt;"g",$K11&lt;&gt;"k")),1,IF(AND($E11&lt;&gt;0,$F11&gt;0,YEAR($F11)&lt;Preisindex!$A$6,YEAR(ET$4)&gt;=YEAR($F11),$K11="a"),ROUND(VLOOKUP(EY$4,Preisindex,5,FALSE)/VLOOKUP(Preisindex!$A$6,Preisindex,5,FALSE),2),IF(AND($E11&lt;&gt;0,$F11&gt;0,YEAR($F11)&lt;Preisindex!$A$6,YEAR(ET$4)&gt;=YEAR($F11),$K11="b"),ROUND(VLOOKUP(EY$4,Preisindex,3,FALSE)/VLOOKUP(Preisindex!$A$6,Preisindex,3,FALSE),2),IF(AND($E11&lt;&gt;0,$F11&gt;0,YEAR($F11)&lt;Preisindex!$A$6,YEAR(ET$4)&gt;=YEAR($F11),$K11="g"),ROUND(VLOOKUP(EY$4,Preisindex,4,FALSE)/VLOOKUP(Preisindex!$A$6,Preisindex,4,FALSE),2),IF(AND($E11&lt;&gt;0,$F11&gt;0,YEAR($F11)&lt;Preisindex!$A$6,YEAR(ET$4)&gt;=YEAR($F11),$K11="k"),ROUND(VLOOKUP(EY$4,Preisindex,2,FALSE)/VLOOKUP(Preisindex!$A$6,Preisindex,2,FALSE),2),0)))))</f>
        <v>0</v>
      </c>
      <c r="FA11" s="51">
        <f>IF(AND($E11&lt;&gt;0,$F11&gt;0,YEAR($F11)&lt;=EY$4,YEAR($F11)&gt;=Preisindex!$A$6),ROUND($E11*EY11,2),IF(AND($E11&lt;&gt;0,$F11&gt;0,YEAR($F11)&lt;=EY$4,YEAR($F11)&lt;Preisindex!$A$6),ROUND($E11*EZ11,2),0))</f>
        <v>25000</v>
      </c>
      <c r="FB11" s="53">
        <f t="shared" si="241"/>
        <v>0</v>
      </c>
      <c r="FC11" s="51">
        <f t="shared" si="228"/>
        <v>0</v>
      </c>
      <c r="FD11" s="51">
        <f t="shared" si="291"/>
        <v>0</v>
      </c>
      <c r="FE11" s="51">
        <f t="shared" si="244"/>
        <v>0</v>
      </c>
      <c r="FF11" s="51">
        <f t="shared" si="292"/>
        <v>0</v>
      </c>
      <c r="FG11" s="51">
        <f t="shared" si="246"/>
        <v>25000</v>
      </c>
      <c r="FH11" s="51">
        <f t="shared" si="293"/>
        <v>0</v>
      </c>
      <c r="FI11" s="51">
        <f t="shared" si="248"/>
        <v>0</v>
      </c>
      <c r="FJ11" s="51">
        <f t="shared" si="294"/>
        <v>0</v>
      </c>
      <c r="FK11" s="51">
        <f t="shared" si="250"/>
        <v>25000</v>
      </c>
      <c r="FL11" s="51">
        <f t="shared" si="295"/>
        <v>25000</v>
      </c>
      <c r="FM11" s="51">
        <f t="shared" si="252"/>
        <v>0</v>
      </c>
      <c r="FN11" s="54">
        <f t="shared" si="253"/>
        <v>0</v>
      </c>
      <c r="FO11" s="55">
        <f t="shared" si="254"/>
        <v>0</v>
      </c>
      <c r="FP11" s="56">
        <f>IF(AND($E11&lt;&gt;0,$F11&gt;0,YEAR($F11)&gt;=Preisindex!$A$6,YEAR(FK$4)&gt;=YEAR($F11),AND($K11&lt;&gt;"a",$K11&lt;&gt;"b",$K11&lt;&gt;"g",$K11&lt;&gt;"k")),1,IF(AND($E11&lt;&gt;0,$F11&gt;0,YEAR($F11)&gt;=Preisindex!$A$6,YEAR(FK$4)&gt;=YEAR($F11),$K11="a"),ROUND(VLOOKUP(FP$4,Preisindex,5,FALSE)/VLOOKUP(YEAR($F11),Preisindex,5,FALSE),2),IF(AND($E11&lt;&gt;0,$F11&gt;0,YEAR($F11)&gt;=Preisindex!$A$6,YEAR(FK$4)&gt;=YEAR($F11),$K11="b"),ROUND(VLOOKUP(FP$4,Preisindex,3,FALSE)/VLOOKUP(YEAR($F11),Preisindex,3,FALSE),2),IF(AND($E11&lt;&gt;0,$F11&gt;0,YEAR($F11)&gt;=Preisindex!$A$6,YEAR(FK$4)&gt;=YEAR($F11),$K11="g"),ROUND(VLOOKUP(FP$4,Preisindex,4,FALSE)/VLOOKUP(YEAR($F11),Preisindex,4,FALSE),2),IF(AND($E11&lt;&gt;0,$F11&gt;0,YEAR($F11)&gt;=Preisindex!$A$6,YEAR(FK$4)&gt;=YEAR($F11),$K11="k"),ROUND(VLOOKUP(FP$4,Preisindex,2,FALSE)/VLOOKUP(YEAR($F11),Preisindex,2,FALSE),2),0)))))</f>
        <v>1</v>
      </c>
      <c r="FQ11" s="56">
        <f>IF(AND($E11&lt;&gt;0,$F11&gt;0,YEAR($F11)&lt;Preisindex!$A$6,YEAR(FK$4)&gt;=YEAR($F11),AND($K11&lt;&gt;"a",$K11&lt;&gt;"b",$K11&lt;&gt;"g",$K11&lt;&gt;"k")),1,IF(AND($E11&lt;&gt;0,$F11&gt;0,YEAR($F11)&lt;Preisindex!$A$6,YEAR(FK$4)&gt;=YEAR($F11),$K11="a"),ROUND(VLOOKUP(FP$4,Preisindex,5,FALSE)/VLOOKUP(Preisindex!$A$6,Preisindex,5,FALSE),2),IF(AND($E11&lt;&gt;0,$F11&gt;0,YEAR($F11)&lt;Preisindex!$A$6,YEAR(FK$4)&gt;=YEAR($F11),$K11="b"),ROUND(VLOOKUP(FP$4,Preisindex,3,FALSE)/VLOOKUP(Preisindex!$A$6,Preisindex,3,FALSE),2),IF(AND($E11&lt;&gt;0,$F11&gt;0,YEAR($F11)&lt;Preisindex!$A$6,YEAR(FK$4)&gt;=YEAR($F11),$K11="g"),ROUND(VLOOKUP(FP$4,Preisindex,4,FALSE)/VLOOKUP(Preisindex!$A$6,Preisindex,4,FALSE),2),IF(AND($E11&lt;&gt;0,$F11&gt;0,YEAR($F11)&lt;Preisindex!$A$6,YEAR(FK$4)&gt;=YEAR($F11),$K11="k"),ROUND(VLOOKUP(FP$4,Preisindex,2,FALSE)/VLOOKUP(Preisindex!$A$6,Preisindex,2,FALSE),2),0)))))</f>
        <v>0</v>
      </c>
      <c r="FR11" s="51">
        <f>IF(AND($E11&lt;&gt;0,$F11&gt;0,YEAR($F11)&lt;=FP$4,YEAR($F11)&gt;=Preisindex!$A$6),ROUND($E11*FP11,2),IF(AND($E11&lt;&gt;0,$F11&gt;0,YEAR($F11)&lt;=FP$4,YEAR($F11)&lt;Preisindex!$A$6),ROUND($E11*FQ11,2),0))</f>
        <v>25000</v>
      </c>
      <c r="FS11" s="53">
        <f t="shared" si="255"/>
        <v>0</v>
      </c>
    </row>
    <row r="12" spans="1:175" x14ac:dyDescent="0.3">
      <c r="A12" s="93">
        <v>2007</v>
      </c>
      <c r="B12" s="94" t="s">
        <v>203</v>
      </c>
      <c r="C12" s="94"/>
      <c r="D12" s="95" t="s">
        <v>49</v>
      </c>
      <c r="E12" s="99">
        <v>25000</v>
      </c>
      <c r="F12" s="97">
        <v>39083</v>
      </c>
      <c r="G12" s="98"/>
      <c r="H12" s="620"/>
      <c r="I12" s="621"/>
      <c r="J12" s="194"/>
      <c r="K12" s="630"/>
      <c r="L12" s="49">
        <f t="shared" si="296"/>
        <v>0</v>
      </c>
      <c r="M12" s="50">
        <f t="shared" si="297"/>
        <v>0</v>
      </c>
      <c r="N12" s="51">
        <f t="shared" si="298"/>
        <v>25000</v>
      </c>
      <c r="O12" s="51"/>
      <c r="P12" s="51">
        <f t="shared" si="299"/>
        <v>0</v>
      </c>
      <c r="Q12" s="52"/>
      <c r="R12" s="52"/>
      <c r="S12" s="52"/>
      <c r="T12" s="52"/>
      <c r="U12" s="52"/>
      <c r="V12" s="53">
        <f t="shared" si="300"/>
        <v>25000</v>
      </c>
      <c r="W12" s="51">
        <f t="shared" si="301"/>
        <v>0</v>
      </c>
      <c r="X12" s="51">
        <f t="shared" si="302"/>
        <v>0</v>
      </c>
      <c r="Y12" s="51">
        <f t="shared" si="303"/>
        <v>0</v>
      </c>
      <c r="Z12" s="51">
        <f t="shared" si="304"/>
        <v>0</v>
      </c>
      <c r="AA12" s="51">
        <f t="shared" si="305"/>
        <v>25000</v>
      </c>
      <c r="AB12" s="51">
        <f t="shared" si="306"/>
        <v>0</v>
      </c>
      <c r="AC12" s="51">
        <f t="shared" si="307"/>
        <v>0</v>
      </c>
      <c r="AD12" s="51">
        <f t="shared" si="308"/>
        <v>0</v>
      </c>
      <c r="AE12" s="51">
        <f t="shared" si="309"/>
        <v>25000</v>
      </c>
      <c r="AF12" s="51">
        <f t="shared" si="310"/>
        <v>25000</v>
      </c>
      <c r="AG12" s="51">
        <f t="shared" si="311"/>
        <v>0</v>
      </c>
      <c r="AH12" s="54">
        <f t="shared" si="312"/>
        <v>0</v>
      </c>
      <c r="AI12" s="55">
        <f t="shared" si="313"/>
        <v>0</v>
      </c>
      <c r="AJ12" s="56">
        <f>IF(AND($E12&lt;&gt;0,$F12&gt;0,YEAR($F12)&gt;=Preisindex!$A$6,YEAR(AE$4)&gt;=YEAR($F12),AND($K12&lt;&gt;"a",$K12&lt;&gt;"b",$K12&lt;&gt;"g",$K12&lt;&gt;"k")),1,IF(AND($E12&lt;&gt;0,$F12&gt;0,YEAR($F12)&gt;=Preisindex!$A$6,YEAR(AE$4)&gt;=YEAR($F12),$K12="a"),ROUND(VLOOKUP(AJ$4,Preisindex,5,FALSE)/VLOOKUP(YEAR($F12),Preisindex,5,FALSE),2),IF(AND($E12&lt;&gt;0,$F12&gt;0,YEAR($F12)&gt;=Preisindex!$A$6,YEAR(AE$4)&gt;=YEAR($F12),$K12="b"),ROUND(VLOOKUP(AJ$4,Preisindex,3,FALSE)/VLOOKUP(YEAR($F12),Preisindex,3,FALSE),2),IF(AND($E12&lt;&gt;0,$F12&gt;0,YEAR($F12)&gt;=Preisindex!$A$6,YEAR(AE$4)&gt;=YEAR($F12),$K12="g"),ROUND(VLOOKUP(AJ$4,Preisindex,4,FALSE)/VLOOKUP(YEAR($F12),Preisindex,4,FALSE),2),IF(AND($E12&lt;&gt;0,$F12&gt;0,YEAR($F12)&gt;=Preisindex!$A$6,YEAR(AE$4)&gt;=YEAR($F12),$K12="k"),ROUND(VLOOKUP(AJ$4,Preisindex,2,FALSE)/VLOOKUP(YEAR($F12),Preisindex,2,FALSE),2),0)))))</f>
        <v>1</v>
      </c>
      <c r="AK12" s="56">
        <f>IF(AND($E12&lt;&gt;0,$F12&gt;0,YEAR($F12)&lt;Preisindex!$A$6,YEAR(AE$4)&gt;=YEAR($F12),AND($K12&lt;&gt;"a",$K12&lt;&gt;"b",$K12&lt;&gt;"g",$K12&lt;&gt;"k")),1,IF(AND($E12&lt;&gt;0,$F12&gt;0,YEAR($F12)&lt;Preisindex!$A$6,YEAR(AE$4)&gt;=YEAR($F12),$K12="a"),ROUND(VLOOKUP(AJ$4,Preisindex,5,FALSE)/VLOOKUP(Preisindex!$A$6,Preisindex,5,FALSE),2),IF(AND($E12&lt;&gt;0,$F12&gt;0,YEAR($F12)&lt;Preisindex!$A$6,YEAR(AE$4)&gt;=YEAR($F12),$K12="b"),ROUND(VLOOKUP(AJ$4,Preisindex,3,FALSE)/VLOOKUP(Preisindex!$A$6,Preisindex,3,FALSE),2),IF(AND($E12&lt;&gt;0,$F12&gt;0,YEAR($F12)&lt;Preisindex!$A$6,YEAR(AE$4)&gt;=YEAR($F12),$K12="g"),ROUND(VLOOKUP(AJ$4,Preisindex,4,FALSE)/VLOOKUP(Preisindex!$A$6,Preisindex,4,FALSE),2),IF(AND($E12&lt;&gt;0,$F12&gt;0,YEAR($F12)&lt;Preisindex!$A$6,YEAR(AE$4)&gt;=YEAR($F12),$K12="k"),ROUND(VLOOKUP(AJ$4,Preisindex,2,FALSE)/VLOOKUP(Preisindex!$A$6,Preisindex,2,FALSE),2),0)))))</f>
        <v>0</v>
      </c>
      <c r="AL12" s="51">
        <f>IF(AND($E12&lt;&gt;0,$F12&gt;0,YEAR($F12)&lt;=AJ$4,YEAR($F12)&gt;=Preisindex!$A$6),ROUND($E12*AJ12,2),IF(AND($E12&lt;&gt;0,$F12&gt;0,YEAR($F12)&lt;=AJ$4,YEAR($F12)&lt;Preisindex!$A$6),ROUND($E12*AK12,2),0))</f>
        <v>25000</v>
      </c>
      <c r="AM12" s="53">
        <f t="shared" si="314"/>
        <v>0</v>
      </c>
      <c r="AN12" s="51">
        <f t="shared" si="144"/>
        <v>0</v>
      </c>
      <c r="AO12" s="51">
        <f t="shared" si="256"/>
        <v>0</v>
      </c>
      <c r="AP12" s="51">
        <f t="shared" si="146"/>
        <v>0</v>
      </c>
      <c r="AQ12" s="51">
        <f t="shared" si="257"/>
        <v>0</v>
      </c>
      <c r="AR12" s="51">
        <f t="shared" si="148"/>
        <v>25000</v>
      </c>
      <c r="AS12" s="51">
        <f t="shared" si="258"/>
        <v>0</v>
      </c>
      <c r="AT12" s="51">
        <f t="shared" si="150"/>
        <v>0</v>
      </c>
      <c r="AU12" s="51">
        <f t="shared" si="259"/>
        <v>0</v>
      </c>
      <c r="AV12" s="51">
        <f t="shared" si="152"/>
        <v>25000</v>
      </c>
      <c r="AW12" s="51">
        <f t="shared" si="260"/>
        <v>25000</v>
      </c>
      <c r="AX12" s="51">
        <f t="shared" si="154"/>
        <v>0</v>
      </c>
      <c r="AY12" s="54">
        <f t="shared" si="155"/>
        <v>0</v>
      </c>
      <c r="AZ12" s="55">
        <f t="shared" si="156"/>
        <v>0</v>
      </c>
      <c r="BA12" s="56">
        <f>IF(AND($E12&lt;&gt;0,$F12&gt;0,YEAR($F12)&gt;=Preisindex!$A$6,YEAR(AV$4)&gt;=YEAR($F12),AND($K12&lt;&gt;"a",$K12&lt;&gt;"b",$K12&lt;&gt;"g",$K12&lt;&gt;"k")),1,IF(AND($E12&lt;&gt;0,$F12&gt;0,YEAR($F12)&gt;=Preisindex!$A$6,YEAR(AV$4)&gt;=YEAR($F12),$K12="a"),ROUND(VLOOKUP(BA$4,Preisindex,5,FALSE)/VLOOKUP(YEAR($F12),Preisindex,5,FALSE),2),IF(AND($E12&lt;&gt;0,$F12&gt;0,YEAR($F12)&gt;=Preisindex!$A$6,YEAR(AV$4)&gt;=YEAR($F12),$K12="b"),ROUND(VLOOKUP(BA$4,Preisindex,3,FALSE)/VLOOKUP(YEAR($F12),Preisindex,3,FALSE),2),IF(AND($E12&lt;&gt;0,$F12&gt;0,YEAR($F12)&gt;=Preisindex!$A$6,YEAR(AV$4)&gt;=YEAR($F12),$K12="g"),ROUND(VLOOKUP(BA$4,Preisindex,4,FALSE)/VLOOKUP(YEAR($F12),Preisindex,4,FALSE),2),IF(AND($E12&lt;&gt;0,$F12&gt;0,YEAR($F12)&gt;=Preisindex!$A$6,YEAR(AV$4)&gt;=YEAR($F12),$K12="k"),ROUND(VLOOKUP(BA$4,Preisindex,2,FALSE)/VLOOKUP(YEAR($F12),Preisindex,2,FALSE),2),0)))))</f>
        <v>1</v>
      </c>
      <c r="BB12" s="56">
        <f>IF(AND($E12&lt;&gt;0,$F12&gt;0,YEAR($F12)&lt;Preisindex!$A$6,YEAR(AV$4)&gt;=YEAR($F12),AND($K12&lt;&gt;"a",$K12&lt;&gt;"b",$K12&lt;&gt;"g",$K12&lt;&gt;"k")),1,IF(AND($E12&lt;&gt;0,$F12&gt;0,YEAR($F12)&lt;Preisindex!$A$6,YEAR(AV$4)&gt;=YEAR($F12),$K12="a"),ROUND(VLOOKUP(BA$4,Preisindex,5,FALSE)/VLOOKUP(Preisindex!$A$6,Preisindex,5,FALSE),2),IF(AND($E12&lt;&gt;0,$F12&gt;0,YEAR($F12)&lt;Preisindex!$A$6,YEAR(AV$4)&gt;=YEAR($F12),$K12="b"),ROUND(VLOOKUP(BA$4,Preisindex,3,FALSE)/VLOOKUP(Preisindex!$A$6,Preisindex,3,FALSE),2),IF(AND($E12&lt;&gt;0,$F12&gt;0,YEAR($F12)&lt;Preisindex!$A$6,YEAR(AV$4)&gt;=YEAR($F12),$K12="g"),ROUND(VLOOKUP(BA$4,Preisindex,4,FALSE)/VLOOKUP(Preisindex!$A$6,Preisindex,4,FALSE),2),IF(AND($E12&lt;&gt;0,$F12&gt;0,YEAR($F12)&lt;Preisindex!$A$6,YEAR(AV$4)&gt;=YEAR($F12),$K12="k"),ROUND(VLOOKUP(BA$4,Preisindex,2,FALSE)/VLOOKUP(Preisindex!$A$6,Preisindex,2,FALSE),2),0)))))</f>
        <v>0</v>
      </c>
      <c r="BC12" s="51">
        <f>IF(AND($E12&lt;&gt;0,$F12&gt;0,YEAR($F12)&lt;=BA$4,YEAR($F12)&gt;=Preisindex!$A$6),ROUND($E12*BA12,2),IF(AND($E12&lt;&gt;0,$F12&gt;0,YEAR($F12)&lt;=BA$4,YEAR($F12)&lt;Preisindex!$A$6),ROUND($E12*BB12,2),0))</f>
        <v>25000</v>
      </c>
      <c r="BD12" s="53">
        <f t="shared" si="157"/>
        <v>0</v>
      </c>
      <c r="BE12" s="51">
        <f t="shared" si="144"/>
        <v>0</v>
      </c>
      <c r="BF12" s="51">
        <f t="shared" si="261"/>
        <v>0</v>
      </c>
      <c r="BG12" s="51">
        <f t="shared" si="160"/>
        <v>0</v>
      </c>
      <c r="BH12" s="51">
        <f t="shared" si="262"/>
        <v>0</v>
      </c>
      <c r="BI12" s="51">
        <f t="shared" si="162"/>
        <v>25000</v>
      </c>
      <c r="BJ12" s="51">
        <f t="shared" si="263"/>
        <v>0</v>
      </c>
      <c r="BK12" s="51">
        <f t="shared" si="164"/>
        <v>0</v>
      </c>
      <c r="BL12" s="51">
        <f t="shared" si="264"/>
        <v>0</v>
      </c>
      <c r="BM12" s="51">
        <f t="shared" si="166"/>
        <v>25000</v>
      </c>
      <c r="BN12" s="51">
        <f t="shared" si="265"/>
        <v>25000</v>
      </c>
      <c r="BO12" s="51">
        <f t="shared" si="168"/>
        <v>0</v>
      </c>
      <c r="BP12" s="54">
        <f t="shared" si="169"/>
        <v>0</v>
      </c>
      <c r="BQ12" s="55">
        <f t="shared" si="170"/>
        <v>0</v>
      </c>
      <c r="BR12" s="56">
        <f>IF(AND($E12&lt;&gt;0,$F12&gt;0,YEAR($F12)&gt;=Preisindex!$A$6,YEAR(BM$4)&gt;=YEAR($F12),AND($K12&lt;&gt;"a",$K12&lt;&gt;"b",$K12&lt;&gt;"g",$K12&lt;&gt;"k")),1,IF(AND($E12&lt;&gt;0,$F12&gt;0,YEAR($F12)&gt;=Preisindex!$A$6,YEAR(BM$4)&gt;=YEAR($F12),$K12="a"),ROUND(VLOOKUP(BR$4,Preisindex,5,FALSE)/VLOOKUP(YEAR($F12),Preisindex,5,FALSE),2),IF(AND($E12&lt;&gt;0,$F12&gt;0,YEAR($F12)&gt;=Preisindex!$A$6,YEAR(BM$4)&gt;=YEAR($F12),$K12="b"),ROUND(VLOOKUP(BR$4,Preisindex,3,FALSE)/VLOOKUP(YEAR($F12),Preisindex,3,FALSE),2),IF(AND($E12&lt;&gt;0,$F12&gt;0,YEAR($F12)&gt;=Preisindex!$A$6,YEAR(BM$4)&gt;=YEAR($F12),$K12="g"),ROUND(VLOOKUP(BR$4,Preisindex,4,FALSE)/VLOOKUP(YEAR($F12),Preisindex,4,FALSE),2),IF(AND($E12&lt;&gt;0,$F12&gt;0,YEAR($F12)&gt;=Preisindex!$A$6,YEAR(BM$4)&gt;=YEAR($F12),$K12="k"),ROUND(VLOOKUP(BR$4,Preisindex,2,FALSE)/VLOOKUP(YEAR($F12),Preisindex,2,FALSE),2),0)))))</f>
        <v>1</v>
      </c>
      <c r="BS12" s="56">
        <f>IF(AND($E12&lt;&gt;0,$F12&gt;0,YEAR($F12)&lt;Preisindex!$A$6,YEAR(BM$4)&gt;=YEAR($F12),AND($K12&lt;&gt;"a",$K12&lt;&gt;"b",$K12&lt;&gt;"g",$K12&lt;&gt;"k")),1,IF(AND($E12&lt;&gt;0,$F12&gt;0,YEAR($F12)&lt;Preisindex!$A$6,YEAR(BM$4)&gt;=YEAR($F12),$K12="a"),ROUND(VLOOKUP(BR$4,Preisindex,5,FALSE)/VLOOKUP(Preisindex!$A$6,Preisindex,5,FALSE),2),IF(AND($E12&lt;&gt;0,$F12&gt;0,YEAR($F12)&lt;Preisindex!$A$6,YEAR(BM$4)&gt;=YEAR($F12),$K12="b"),ROUND(VLOOKUP(BR$4,Preisindex,3,FALSE)/VLOOKUP(Preisindex!$A$6,Preisindex,3,FALSE),2),IF(AND($E12&lt;&gt;0,$F12&gt;0,YEAR($F12)&lt;Preisindex!$A$6,YEAR(BM$4)&gt;=YEAR($F12),$K12="g"),ROUND(VLOOKUP(BR$4,Preisindex,4,FALSE)/VLOOKUP(Preisindex!$A$6,Preisindex,4,FALSE),2),IF(AND($E12&lt;&gt;0,$F12&gt;0,YEAR($F12)&lt;Preisindex!$A$6,YEAR(BM$4)&gt;=YEAR($F12),$K12="k"),ROUND(VLOOKUP(BR$4,Preisindex,2,FALSE)/VLOOKUP(Preisindex!$A$6,Preisindex,2,FALSE),2),0)))))</f>
        <v>0</v>
      </c>
      <c r="BT12" s="51">
        <f>IF(AND($E12&lt;&gt;0,$F12&gt;0,YEAR($F12)&lt;=BR$4,YEAR($F12)&gt;=Preisindex!$A$6),ROUND($E12*BR12,2),IF(AND($E12&lt;&gt;0,$F12&gt;0,YEAR($F12)&lt;=BR$4,YEAR($F12)&lt;Preisindex!$A$6),ROUND($E12*BS12,2),0))</f>
        <v>25000</v>
      </c>
      <c r="BU12" s="53">
        <f t="shared" si="171"/>
        <v>0</v>
      </c>
      <c r="BV12" s="51">
        <f t="shared" si="172"/>
        <v>0</v>
      </c>
      <c r="BW12" s="51">
        <f t="shared" si="266"/>
        <v>0</v>
      </c>
      <c r="BX12" s="51">
        <f t="shared" si="174"/>
        <v>0</v>
      </c>
      <c r="BY12" s="51">
        <f t="shared" si="267"/>
        <v>0</v>
      </c>
      <c r="BZ12" s="51">
        <f t="shared" si="176"/>
        <v>25000</v>
      </c>
      <c r="CA12" s="51">
        <f t="shared" si="268"/>
        <v>0</v>
      </c>
      <c r="CB12" s="51">
        <f t="shared" si="178"/>
        <v>0</v>
      </c>
      <c r="CC12" s="51">
        <f t="shared" si="269"/>
        <v>0</v>
      </c>
      <c r="CD12" s="51">
        <f t="shared" si="180"/>
        <v>25000</v>
      </c>
      <c r="CE12" s="51">
        <f t="shared" si="270"/>
        <v>25000</v>
      </c>
      <c r="CF12" s="51">
        <f t="shared" si="182"/>
        <v>0</v>
      </c>
      <c r="CG12" s="54">
        <f t="shared" si="183"/>
        <v>0</v>
      </c>
      <c r="CH12" s="55">
        <f t="shared" si="184"/>
        <v>0</v>
      </c>
      <c r="CI12" s="56">
        <f>IF(AND($E12&lt;&gt;0,$F12&gt;0,YEAR($F12)&gt;=Preisindex!$A$6,YEAR(CD$4)&gt;=YEAR($F12),AND($K12&lt;&gt;"a",$K12&lt;&gt;"b",$K12&lt;&gt;"g",$K12&lt;&gt;"k")),1,IF(AND($E12&lt;&gt;0,$F12&gt;0,YEAR($F12)&gt;=Preisindex!$A$6,YEAR(CD$4)&gt;=YEAR($F12),$K12="a"),ROUND(VLOOKUP(CI$4,Preisindex,5,FALSE)/VLOOKUP(YEAR($F12),Preisindex,5,FALSE),2),IF(AND($E12&lt;&gt;0,$F12&gt;0,YEAR($F12)&gt;=Preisindex!$A$6,YEAR(CD$4)&gt;=YEAR($F12),$K12="b"),ROUND(VLOOKUP(CI$4,Preisindex,3,FALSE)/VLOOKUP(YEAR($F12),Preisindex,3,FALSE),2),IF(AND($E12&lt;&gt;0,$F12&gt;0,YEAR($F12)&gt;=Preisindex!$A$6,YEAR(CD$4)&gt;=YEAR($F12),$K12="g"),ROUND(VLOOKUP(CI$4,Preisindex,4,FALSE)/VLOOKUP(YEAR($F12),Preisindex,4,FALSE),2),IF(AND($E12&lt;&gt;0,$F12&gt;0,YEAR($F12)&gt;=Preisindex!$A$6,YEAR(CD$4)&gt;=YEAR($F12),$K12="k"),ROUND(VLOOKUP(CI$4,Preisindex,2,FALSE)/VLOOKUP(YEAR($F12),Preisindex,2,FALSE),2),0)))))</f>
        <v>1</v>
      </c>
      <c r="CJ12" s="56">
        <f>IF(AND($E12&lt;&gt;0,$F12&gt;0,YEAR($F12)&lt;Preisindex!$A$6,YEAR(CD$4)&gt;=YEAR($F12),AND($K12&lt;&gt;"a",$K12&lt;&gt;"b",$K12&lt;&gt;"g",$K12&lt;&gt;"k")),1,IF(AND($E12&lt;&gt;0,$F12&gt;0,YEAR($F12)&lt;Preisindex!$A$6,YEAR(CD$4)&gt;=YEAR($F12),$K12="a"),ROUND(VLOOKUP(CI$4,Preisindex,5,FALSE)/VLOOKUP(Preisindex!$A$6,Preisindex,5,FALSE),2),IF(AND($E12&lt;&gt;0,$F12&gt;0,YEAR($F12)&lt;Preisindex!$A$6,YEAR(CD$4)&gt;=YEAR($F12),$K12="b"),ROUND(VLOOKUP(CI$4,Preisindex,3,FALSE)/VLOOKUP(Preisindex!$A$6,Preisindex,3,FALSE),2),IF(AND($E12&lt;&gt;0,$F12&gt;0,YEAR($F12)&lt;Preisindex!$A$6,YEAR(CD$4)&gt;=YEAR($F12),$K12="g"),ROUND(VLOOKUP(CI$4,Preisindex,4,FALSE)/VLOOKUP(Preisindex!$A$6,Preisindex,4,FALSE),2),IF(AND($E12&lt;&gt;0,$F12&gt;0,YEAR($F12)&lt;Preisindex!$A$6,YEAR(CD$4)&gt;=YEAR($F12),$K12="k"),ROUND(VLOOKUP(CI$4,Preisindex,2,FALSE)/VLOOKUP(Preisindex!$A$6,Preisindex,2,FALSE),2),0)))))</f>
        <v>0</v>
      </c>
      <c r="CK12" s="51">
        <f>IF(AND($E12&lt;&gt;0,$F12&gt;0,YEAR($F12)&lt;=CI$4,YEAR($F12)&gt;=Preisindex!$A$6),ROUND($E12*CI12,2),IF(AND($E12&lt;&gt;0,$F12&gt;0,YEAR($F12)&lt;=CI$4,YEAR($F12)&lt;Preisindex!$A$6),ROUND($E12*CJ12,2),0))</f>
        <v>25000</v>
      </c>
      <c r="CL12" s="53">
        <f t="shared" si="185"/>
        <v>0</v>
      </c>
      <c r="CM12" s="51">
        <f t="shared" si="172"/>
        <v>0</v>
      </c>
      <c r="CN12" s="51">
        <f t="shared" si="271"/>
        <v>0</v>
      </c>
      <c r="CO12" s="51">
        <f t="shared" si="188"/>
        <v>0</v>
      </c>
      <c r="CP12" s="51">
        <f t="shared" si="272"/>
        <v>0</v>
      </c>
      <c r="CQ12" s="51">
        <f t="shared" si="190"/>
        <v>25000</v>
      </c>
      <c r="CR12" s="51">
        <f t="shared" si="273"/>
        <v>0</v>
      </c>
      <c r="CS12" s="51">
        <f t="shared" si="192"/>
        <v>0</v>
      </c>
      <c r="CT12" s="51">
        <f t="shared" si="274"/>
        <v>0</v>
      </c>
      <c r="CU12" s="51">
        <f t="shared" si="194"/>
        <v>25000</v>
      </c>
      <c r="CV12" s="51">
        <f t="shared" si="275"/>
        <v>25000</v>
      </c>
      <c r="CW12" s="51">
        <f t="shared" si="196"/>
        <v>0</v>
      </c>
      <c r="CX12" s="54">
        <f t="shared" si="197"/>
        <v>0</v>
      </c>
      <c r="CY12" s="55">
        <f t="shared" si="198"/>
        <v>0</v>
      </c>
      <c r="CZ12" s="56">
        <f>IF(AND($E12&lt;&gt;0,$F12&gt;0,YEAR($F12)&gt;=Preisindex!$A$6,YEAR(CU$4)&gt;=YEAR($F12),AND($K12&lt;&gt;"a",$K12&lt;&gt;"b",$K12&lt;&gt;"g",$K12&lt;&gt;"k")),1,IF(AND($E12&lt;&gt;0,$F12&gt;0,YEAR($F12)&gt;=Preisindex!$A$6,YEAR(CU$4)&gt;=YEAR($F12),$K12="a"),ROUND(VLOOKUP(CZ$4,Preisindex,5,FALSE)/VLOOKUP(YEAR($F12),Preisindex,5,FALSE),2),IF(AND($E12&lt;&gt;0,$F12&gt;0,YEAR($F12)&gt;=Preisindex!$A$6,YEAR(CU$4)&gt;=YEAR($F12),$K12="b"),ROUND(VLOOKUP(CZ$4,Preisindex,3,FALSE)/VLOOKUP(YEAR($F12),Preisindex,3,FALSE),2),IF(AND($E12&lt;&gt;0,$F12&gt;0,YEAR($F12)&gt;=Preisindex!$A$6,YEAR(CU$4)&gt;=YEAR($F12),$K12="g"),ROUND(VLOOKUP(CZ$4,Preisindex,4,FALSE)/VLOOKUP(YEAR($F12),Preisindex,4,FALSE),2),IF(AND($E12&lt;&gt;0,$F12&gt;0,YEAR($F12)&gt;=Preisindex!$A$6,YEAR(CU$4)&gt;=YEAR($F12),$K12="k"),ROUND(VLOOKUP(CZ$4,Preisindex,2,FALSE)/VLOOKUP(YEAR($F12),Preisindex,2,FALSE),2),0)))))</f>
        <v>1</v>
      </c>
      <c r="DA12" s="56">
        <f>IF(AND($E12&lt;&gt;0,$F12&gt;0,YEAR($F12)&lt;Preisindex!$A$6,YEAR(CU$4)&gt;=YEAR($F12),AND($K12&lt;&gt;"a",$K12&lt;&gt;"b",$K12&lt;&gt;"g",$K12&lt;&gt;"k")),1,IF(AND($E12&lt;&gt;0,$F12&gt;0,YEAR($F12)&lt;Preisindex!$A$6,YEAR(CU$4)&gt;=YEAR($F12),$K12="a"),ROUND(VLOOKUP(CZ$4,Preisindex,5,FALSE)/VLOOKUP(Preisindex!$A$6,Preisindex,5,FALSE),2),IF(AND($E12&lt;&gt;0,$F12&gt;0,YEAR($F12)&lt;Preisindex!$A$6,YEAR(CU$4)&gt;=YEAR($F12),$K12="b"),ROUND(VLOOKUP(CZ$4,Preisindex,3,FALSE)/VLOOKUP(Preisindex!$A$6,Preisindex,3,FALSE),2),IF(AND($E12&lt;&gt;0,$F12&gt;0,YEAR($F12)&lt;Preisindex!$A$6,YEAR(CU$4)&gt;=YEAR($F12),$K12="g"),ROUND(VLOOKUP(CZ$4,Preisindex,4,FALSE)/VLOOKUP(Preisindex!$A$6,Preisindex,4,FALSE),2),IF(AND($E12&lt;&gt;0,$F12&gt;0,YEAR($F12)&lt;Preisindex!$A$6,YEAR(CU$4)&gt;=YEAR($F12),$K12="k"),ROUND(VLOOKUP(CZ$4,Preisindex,2,FALSE)/VLOOKUP(Preisindex!$A$6,Preisindex,2,FALSE),2),0)))))</f>
        <v>0</v>
      </c>
      <c r="DB12" s="51">
        <f>IF(AND($E12&lt;&gt;0,$F12&gt;0,YEAR($F12)&lt;=CZ$4,YEAR($F12)&gt;=Preisindex!$A$6),ROUND($E12*CZ12,2),IF(AND($E12&lt;&gt;0,$F12&gt;0,YEAR($F12)&lt;=CZ$4,YEAR($F12)&lt;Preisindex!$A$6),ROUND($E12*DA12,2),0))</f>
        <v>25000</v>
      </c>
      <c r="DC12" s="53">
        <f t="shared" si="199"/>
        <v>0</v>
      </c>
      <c r="DD12" s="51">
        <f t="shared" si="200"/>
        <v>0</v>
      </c>
      <c r="DE12" s="51">
        <f t="shared" si="276"/>
        <v>0</v>
      </c>
      <c r="DF12" s="51">
        <f t="shared" si="202"/>
        <v>0</v>
      </c>
      <c r="DG12" s="51">
        <f t="shared" si="277"/>
        <v>0</v>
      </c>
      <c r="DH12" s="51">
        <f t="shared" si="204"/>
        <v>25000</v>
      </c>
      <c r="DI12" s="51">
        <f t="shared" si="278"/>
        <v>0</v>
      </c>
      <c r="DJ12" s="51">
        <f t="shared" si="206"/>
        <v>0</v>
      </c>
      <c r="DK12" s="51">
        <f t="shared" si="279"/>
        <v>0</v>
      </c>
      <c r="DL12" s="51">
        <f t="shared" si="208"/>
        <v>25000</v>
      </c>
      <c r="DM12" s="51">
        <f t="shared" si="280"/>
        <v>25000</v>
      </c>
      <c r="DN12" s="51">
        <f t="shared" si="210"/>
        <v>0</v>
      </c>
      <c r="DO12" s="54">
        <f t="shared" si="211"/>
        <v>0</v>
      </c>
      <c r="DP12" s="55">
        <f t="shared" si="212"/>
        <v>0</v>
      </c>
      <c r="DQ12" s="56">
        <f>IF(AND($E12&lt;&gt;0,$F12&gt;0,YEAR($F12)&gt;=Preisindex!$A$6,YEAR(DL$4)&gt;=YEAR($F12),AND($K12&lt;&gt;"a",$K12&lt;&gt;"b",$K12&lt;&gt;"g",$K12&lt;&gt;"k")),1,IF(AND($E12&lt;&gt;0,$F12&gt;0,YEAR($F12)&gt;=Preisindex!$A$6,YEAR(DL$4)&gt;=YEAR($F12),$K12="a"),ROUND(VLOOKUP(DQ$4,Preisindex,5,FALSE)/VLOOKUP(YEAR($F12),Preisindex,5,FALSE),2),IF(AND($E12&lt;&gt;0,$F12&gt;0,YEAR($F12)&gt;=Preisindex!$A$6,YEAR(DL$4)&gt;=YEAR($F12),$K12="b"),ROUND(VLOOKUP(DQ$4,Preisindex,3,FALSE)/VLOOKUP(YEAR($F12),Preisindex,3,FALSE),2),IF(AND($E12&lt;&gt;0,$F12&gt;0,YEAR($F12)&gt;=Preisindex!$A$6,YEAR(DL$4)&gt;=YEAR($F12),$K12="g"),ROUND(VLOOKUP(DQ$4,Preisindex,4,FALSE)/VLOOKUP(YEAR($F12),Preisindex,4,FALSE),2),IF(AND($E12&lt;&gt;0,$F12&gt;0,YEAR($F12)&gt;=Preisindex!$A$6,YEAR(DL$4)&gt;=YEAR($F12),$K12="k"),ROUND(VLOOKUP(DQ$4,Preisindex,2,FALSE)/VLOOKUP(YEAR($F12),Preisindex,2,FALSE),2),0)))))</f>
        <v>1</v>
      </c>
      <c r="DR12" s="56">
        <f>IF(AND($E12&lt;&gt;0,$F12&gt;0,YEAR($F12)&lt;Preisindex!$A$6,YEAR(DL$4)&gt;=YEAR($F12),AND($K12&lt;&gt;"a",$K12&lt;&gt;"b",$K12&lt;&gt;"g",$K12&lt;&gt;"k")),1,IF(AND($E12&lt;&gt;0,$F12&gt;0,YEAR($F12)&lt;Preisindex!$A$6,YEAR(DL$4)&gt;=YEAR($F12),$K12="a"),ROUND(VLOOKUP(DQ$4,Preisindex,5,FALSE)/VLOOKUP(Preisindex!$A$6,Preisindex,5,FALSE),2),IF(AND($E12&lt;&gt;0,$F12&gt;0,YEAR($F12)&lt;Preisindex!$A$6,YEAR(DL$4)&gt;=YEAR($F12),$K12="b"),ROUND(VLOOKUP(DQ$4,Preisindex,3,FALSE)/VLOOKUP(Preisindex!$A$6,Preisindex,3,FALSE),2),IF(AND($E12&lt;&gt;0,$F12&gt;0,YEAR($F12)&lt;Preisindex!$A$6,YEAR(DL$4)&gt;=YEAR($F12),$K12="g"),ROUND(VLOOKUP(DQ$4,Preisindex,4,FALSE)/VLOOKUP(Preisindex!$A$6,Preisindex,4,FALSE),2),IF(AND($E12&lt;&gt;0,$F12&gt;0,YEAR($F12)&lt;Preisindex!$A$6,YEAR(DL$4)&gt;=YEAR($F12),$K12="k"),ROUND(VLOOKUP(DQ$4,Preisindex,2,FALSE)/VLOOKUP(Preisindex!$A$6,Preisindex,2,FALSE),2),0)))))</f>
        <v>0</v>
      </c>
      <c r="DS12" s="51">
        <f>IF(AND($E12&lt;&gt;0,$F12&gt;0,YEAR($F12)&lt;=DQ$4,YEAR($F12)&gt;=Preisindex!$A$6),ROUND($E12*DQ12,2),IF(AND($E12&lt;&gt;0,$F12&gt;0,YEAR($F12)&lt;=DQ$4,YEAR($F12)&lt;Preisindex!$A$6),ROUND($E12*DR12,2),0))</f>
        <v>25000</v>
      </c>
      <c r="DT12" s="53">
        <f t="shared" si="213"/>
        <v>0</v>
      </c>
      <c r="DU12" s="51">
        <f t="shared" si="200"/>
        <v>0</v>
      </c>
      <c r="DV12" s="51">
        <f t="shared" si="281"/>
        <v>0</v>
      </c>
      <c r="DW12" s="51">
        <f t="shared" si="216"/>
        <v>0</v>
      </c>
      <c r="DX12" s="51">
        <f t="shared" si="282"/>
        <v>0</v>
      </c>
      <c r="DY12" s="51">
        <f t="shared" si="218"/>
        <v>25000</v>
      </c>
      <c r="DZ12" s="51">
        <f t="shared" si="283"/>
        <v>0</v>
      </c>
      <c r="EA12" s="51">
        <f t="shared" si="220"/>
        <v>0</v>
      </c>
      <c r="EB12" s="51">
        <f t="shared" si="284"/>
        <v>0</v>
      </c>
      <c r="EC12" s="51">
        <f t="shared" si="222"/>
        <v>25000</v>
      </c>
      <c r="ED12" s="51">
        <f t="shared" si="285"/>
        <v>25000</v>
      </c>
      <c r="EE12" s="51">
        <f t="shared" si="224"/>
        <v>0</v>
      </c>
      <c r="EF12" s="54">
        <f t="shared" si="225"/>
        <v>0</v>
      </c>
      <c r="EG12" s="55">
        <f t="shared" si="226"/>
        <v>0</v>
      </c>
      <c r="EH12" s="56">
        <f>IF(AND($E12&lt;&gt;0,$F12&gt;0,YEAR($F12)&gt;=Preisindex!$A$6,YEAR(EC$4)&gt;=YEAR($F12),AND($K12&lt;&gt;"a",$K12&lt;&gt;"b",$K12&lt;&gt;"g",$K12&lt;&gt;"k")),1,IF(AND($E12&lt;&gt;0,$F12&gt;0,YEAR($F12)&gt;=Preisindex!$A$6,YEAR(EC$4)&gt;=YEAR($F12),$K12="a"),ROUND(VLOOKUP(EH$4,Preisindex,5,FALSE)/VLOOKUP(YEAR($F12),Preisindex,5,FALSE),2),IF(AND($E12&lt;&gt;0,$F12&gt;0,YEAR($F12)&gt;=Preisindex!$A$6,YEAR(EC$4)&gt;=YEAR($F12),$K12="b"),ROUND(VLOOKUP(EH$4,Preisindex,3,FALSE)/VLOOKUP(YEAR($F12),Preisindex,3,FALSE),2),IF(AND($E12&lt;&gt;0,$F12&gt;0,YEAR($F12)&gt;=Preisindex!$A$6,YEAR(EC$4)&gt;=YEAR($F12),$K12="g"),ROUND(VLOOKUP(EH$4,Preisindex,4,FALSE)/VLOOKUP(YEAR($F12),Preisindex,4,FALSE),2),IF(AND($E12&lt;&gt;0,$F12&gt;0,YEAR($F12)&gt;=Preisindex!$A$6,YEAR(EC$4)&gt;=YEAR($F12),$K12="k"),ROUND(VLOOKUP(EH$4,Preisindex,2,FALSE)/VLOOKUP(YEAR($F12),Preisindex,2,FALSE),2),0)))))</f>
        <v>1</v>
      </c>
      <c r="EI12" s="56">
        <f>IF(AND($E12&lt;&gt;0,$F12&gt;0,YEAR($F12)&lt;Preisindex!$A$6,YEAR(EC$4)&gt;=YEAR($F12),AND($K12&lt;&gt;"a",$K12&lt;&gt;"b",$K12&lt;&gt;"g",$K12&lt;&gt;"k")),1,IF(AND($E12&lt;&gt;0,$F12&gt;0,YEAR($F12)&lt;Preisindex!$A$6,YEAR(EC$4)&gt;=YEAR($F12),$K12="a"),ROUND(VLOOKUP(EH$4,Preisindex,5,FALSE)/VLOOKUP(Preisindex!$A$6,Preisindex,5,FALSE),2),IF(AND($E12&lt;&gt;0,$F12&gt;0,YEAR($F12)&lt;Preisindex!$A$6,YEAR(EC$4)&gt;=YEAR($F12),$K12="b"),ROUND(VLOOKUP(EH$4,Preisindex,3,FALSE)/VLOOKUP(Preisindex!$A$6,Preisindex,3,FALSE),2),IF(AND($E12&lt;&gt;0,$F12&gt;0,YEAR($F12)&lt;Preisindex!$A$6,YEAR(EC$4)&gt;=YEAR($F12),$K12="g"),ROUND(VLOOKUP(EH$4,Preisindex,4,FALSE)/VLOOKUP(Preisindex!$A$6,Preisindex,4,FALSE),2),IF(AND($E12&lt;&gt;0,$F12&gt;0,YEAR($F12)&lt;Preisindex!$A$6,YEAR(EC$4)&gt;=YEAR($F12),$K12="k"),ROUND(VLOOKUP(EH$4,Preisindex,2,FALSE)/VLOOKUP(Preisindex!$A$6,Preisindex,2,FALSE),2),0)))))</f>
        <v>0</v>
      </c>
      <c r="EJ12" s="51">
        <f>IF(AND($E12&lt;&gt;0,$F12&gt;0,YEAR($F12)&lt;=EH$4,YEAR($F12)&gt;=Preisindex!$A$6),ROUND($E12*EH12,2),IF(AND($E12&lt;&gt;0,$F12&gt;0,YEAR($F12)&lt;=EH$4,YEAR($F12)&lt;Preisindex!$A$6),ROUND($E12*EI12,2),0))</f>
        <v>25000</v>
      </c>
      <c r="EK12" s="53">
        <f t="shared" si="227"/>
        <v>0</v>
      </c>
      <c r="EL12" s="51">
        <f t="shared" si="228"/>
        <v>0</v>
      </c>
      <c r="EM12" s="51">
        <f t="shared" si="286"/>
        <v>0</v>
      </c>
      <c r="EN12" s="51">
        <f t="shared" si="230"/>
        <v>0</v>
      </c>
      <c r="EO12" s="51">
        <f t="shared" si="287"/>
        <v>0</v>
      </c>
      <c r="EP12" s="51">
        <f t="shared" si="232"/>
        <v>25000</v>
      </c>
      <c r="EQ12" s="51">
        <f t="shared" si="288"/>
        <v>0</v>
      </c>
      <c r="ER12" s="51">
        <f t="shared" si="234"/>
        <v>0</v>
      </c>
      <c r="ES12" s="51">
        <f t="shared" si="289"/>
        <v>0</v>
      </c>
      <c r="ET12" s="51">
        <f t="shared" si="236"/>
        <v>25000</v>
      </c>
      <c r="EU12" s="51">
        <f t="shared" si="290"/>
        <v>25000</v>
      </c>
      <c r="EV12" s="51">
        <f t="shared" si="238"/>
        <v>0</v>
      </c>
      <c r="EW12" s="54">
        <f t="shared" si="239"/>
        <v>0</v>
      </c>
      <c r="EX12" s="55">
        <f t="shared" si="240"/>
        <v>0</v>
      </c>
      <c r="EY12" s="56">
        <f>IF(AND($E12&lt;&gt;0,$F12&gt;0,YEAR($F12)&gt;=Preisindex!$A$6,YEAR(ET$4)&gt;=YEAR($F12),AND($K12&lt;&gt;"a",$K12&lt;&gt;"b",$K12&lt;&gt;"g",$K12&lt;&gt;"k")),1,IF(AND($E12&lt;&gt;0,$F12&gt;0,YEAR($F12)&gt;=Preisindex!$A$6,YEAR(ET$4)&gt;=YEAR($F12),$K12="a"),ROUND(VLOOKUP(EY$4,Preisindex,5,FALSE)/VLOOKUP(YEAR($F12),Preisindex,5,FALSE),2),IF(AND($E12&lt;&gt;0,$F12&gt;0,YEAR($F12)&gt;=Preisindex!$A$6,YEAR(ET$4)&gt;=YEAR($F12),$K12="b"),ROUND(VLOOKUP(EY$4,Preisindex,3,FALSE)/VLOOKUP(YEAR($F12),Preisindex,3,FALSE),2),IF(AND($E12&lt;&gt;0,$F12&gt;0,YEAR($F12)&gt;=Preisindex!$A$6,YEAR(ET$4)&gt;=YEAR($F12),$K12="g"),ROUND(VLOOKUP(EY$4,Preisindex,4,FALSE)/VLOOKUP(YEAR($F12),Preisindex,4,FALSE),2),IF(AND($E12&lt;&gt;0,$F12&gt;0,YEAR($F12)&gt;=Preisindex!$A$6,YEAR(ET$4)&gt;=YEAR($F12),$K12="k"),ROUND(VLOOKUP(EY$4,Preisindex,2,FALSE)/VLOOKUP(YEAR($F12),Preisindex,2,FALSE),2),0)))))</f>
        <v>1</v>
      </c>
      <c r="EZ12" s="56">
        <f>IF(AND($E12&lt;&gt;0,$F12&gt;0,YEAR($F12)&lt;Preisindex!$A$6,YEAR(ET$4)&gt;=YEAR($F12),AND($K12&lt;&gt;"a",$K12&lt;&gt;"b",$K12&lt;&gt;"g",$K12&lt;&gt;"k")),1,IF(AND($E12&lt;&gt;0,$F12&gt;0,YEAR($F12)&lt;Preisindex!$A$6,YEAR(ET$4)&gt;=YEAR($F12),$K12="a"),ROUND(VLOOKUP(EY$4,Preisindex,5,FALSE)/VLOOKUP(Preisindex!$A$6,Preisindex,5,FALSE),2),IF(AND($E12&lt;&gt;0,$F12&gt;0,YEAR($F12)&lt;Preisindex!$A$6,YEAR(ET$4)&gt;=YEAR($F12),$K12="b"),ROUND(VLOOKUP(EY$4,Preisindex,3,FALSE)/VLOOKUP(Preisindex!$A$6,Preisindex,3,FALSE),2),IF(AND($E12&lt;&gt;0,$F12&gt;0,YEAR($F12)&lt;Preisindex!$A$6,YEAR(ET$4)&gt;=YEAR($F12),$K12="g"),ROUND(VLOOKUP(EY$4,Preisindex,4,FALSE)/VLOOKUP(Preisindex!$A$6,Preisindex,4,FALSE),2),IF(AND($E12&lt;&gt;0,$F12&gt;0,YEAR($F12)&lt;Preisindex!$A$6,YEAR(ET$4)&gt;=YEAR($F12),$K12="k"),ROUND(VLOOKUP(EY$4,Preisindex,2,FALSE)/VLOOKUP(Preisindex!$A$6,Preisindex,2,FALSE),2),0)))))</f>
        <v>0</v>
      </c>
      <c r="FA12" s="51">
        <f>IF(AND($E12&lt;&gt;0,$F12&gt;0,YEAR($F12)&lt;=EY$4,YEAR($F12)&gt;=Preisindex!$A$6),ROUND($E12*EY12,2),IF(AND($E12&lt;&gt;0,$F12&gt;0,YEAR($F12)&lt;=EY$4,YEAR($F12)&lt;Preisindex!$A$6),ROUND($E12*EZ12,2),0))</f>
        <v>25000</v>
      </c>
      <c r="FB12" s="53">
        <f t="shared" si="241"/>
        <v>0</v>
      </c>
      <c r="FC12" s="51">
        <f t="shared" si="228"/>
        <v>0</v>
      </c>
      <c r="FD12" s="51">
        <f t="shared" si="291"/>
        <v>0</v>
      </c>
      <c r="FE12" s="51">
        <f t="shared" si="244"/>
        <v>0</v>
      </c>
      <c r="FF12" s="51">
        <f t="shared" si="292"/>
        <v>0</v>
      </c>
      <c r="FG12" s="51">
        <f t="shared" si="246"/>
        <v>25000</v>
      </c>
      <c r="FH12" s="51">
        <f t="shared" si="293"/>
        <v>0</v>
      </c>
      <c r="FI12" s="51">
        <f t="shared" si="248"/>
        <v>0</v>
      </c>
      <c r="FJ12" s="51">
        <f t="shared" si="294"/>
        <v>0</v>
      </c>
      <c r="FK12" s="51">
        <f t="shared" si="250"/>
        <v>25000</v>
      </c>
      <c r="FL12" s="51">
        <f t="shared" si="295"/>
        <v>25000</v>
      </c>
      <c r="FM12" s="51">
        <f t="shared" si="252"/>
        <v>0</v>
      </c>
      <c r="FN12" s="54">
        <f t="shared" si="253"/>
        <v>0</v>
      </c>
      <c r="FO12" s="55">
        <f t="shared" si="254"/>
        <v>0</v>
      </c>
      <c r="FP12" s="56">
        <f>IF(AND($E12&lt;&gt;0,$F12&gt;0,YEAR($F12)&gt;=Preisindex!$A$6,YEAR(FK$4)&gt;=YEAR($F12),AND($K12&lt;&gt;"a",$K12&lt;&gt;"b",$K12&lt;&gt;"g",$K12&lt;&gt;"k")),1,IF(AND($E12&lt;&gt;0,$F12&gt;0,YEAR($F12)&gt;=Preisindex!$A$6,YEAR(FK$4)&gt;=YEAR($F12),$K12="a"),ROUND(VLOOKUP(FP$4,Preisindex,5,FALSE)/VLOOKUP(YEAR($F12),Preisindex,5,FALSE),2),IF(AND($E12&lt;&gt;0,$F12&gt;0,YEAR($F12)&gt;=Preisindex!$A$6,YEAR(FK$4)&gt;=YEAR($F12),$K12="b"),ROUND(VLOOKUP(FP$4,Preisindex,3,FALSE)/VLOOKUP(YEAR($F12),Preisindex,3,FALSE),2),IF(AND($E12&lt;&gt;0,$F12&gt;0,YEAR($F12)&gt;=Preisindex!$A$6,YEAR(FK$4)&gt;=YEAR($F12),$K12="g"),ROUND(VLOOKUP(FP$4,Preisindex,4,FALSE)/VLOOKUP(YEAR($F12),Preisindex,4,FALSE),2),IF(AND($E12&lt;&gt;0,$F12&gt;0,YEAR($F12)&gt;=Preisindex!$A$6,YEAR(FK$4)&gt;=YEAR($F12),$K12="k"),ROUND(VLOOKUP(FP$4,Preisindex,2,FALSE)/VLOOKUP(YEAR($F12),Preisindex,2,FALSE),2),0)))))</f>
        <v>1</v>
      </c>
      <c r="FQ12" s="56">
        <f>IF(AND($E12&lt;&gt;0,$F12&gt;0,YEAR($F12)&lt;Preisindex!$A$6,YEAR(FK$4)&gt;=YEAR($F12),AND($K12&lt;&gt;"a",$K12&lt;&gt;"b",$K12&lt;&gt;"g",$K12&lt;&gt;"k")),1,IF(AND($E12&lt;&gt;0,$F12&gt;0,YEAR($F12)&lt;Preisindex!$A$6,YEAR(FK$4)&gt;=YEAR($F12),$K12="a"),ROUND(VLOOKUP(FP$4,Preisindex,5,FALSE)/VLOOKUP(Preisindex!$A$6,Preisindex,5,FALSE),2),IF(AND($E12&lt;&gt;0,$F12&gt;0,YEAR($F12)&lt;Preisindex!$A$6,YEAR(FK$4)&gt;=YEAR($F12),$K12="b"),ROUND(VLOOKUP(FP$4,Preisindex,3,FALSE)/VLOOKUP(Preisindex!$A$6,Preisindex,3,FALSE),2),IF(AND($E12&lt;&gt;0,$F12&gt;0,YEAR($F12)&lt;Preisindex!$A$6,YEAR(FK$4)&gt;=YEAR($F12),$K12="g"),ROUND(VLOOKUP(FP$4,Preisindex,4,FALSE)/VLOOKUP(Preisindex!$A$6,Preisindex,4,FALSE),2),IF(AND($E12&lt;&gt;0,$F12&gt;0,YEAR($F12)&lt;Preisindex!$A$6,YEAR(FK$4)&gt;=YEAR($F12),$K12="k"),ROUND(VLOOKUP(FP$4,Preisindex,2,FALSE)/VLOOKUP(Preisindex!$A$6,Preisindex,2,FALSE),2),0)))))</f>
        <v>0</v>
      </c>
      <c r="FR12" s="51">
        <f>IF(AND($E12&lt;&gt;0,$F12&gt;0,YEAR($F12)&lt;=FP$4,YEAR($F12)&gt;=Preisindex!$A$6),ROUND($E12*FP12,2),IF(AND($E12&lt;&gt;0,$F12&gt;0,YEAR($F12)&lt;=FP$4,YEAR($F12)&lt;Preisindex!$A$6),ROUND($E12*FQ12,2),0))</f>
        <v>25000</v>
      </c>
      <c r="FS12" s="53">
        <f t="shared" si="255"/>
        <v>0</v>
      </c>
    </row>
    <row r="13" spans="1:175" x14ac:dyDescent="0.3">
      <c r="A13" s="93"/>
      <c r="B13" s="94"/>
      <c r="C13" s="94"/>
      <c r="D13" s="95"/>
      <c r="E13" s="99"/>
      <c r="F13" s="97"/>
      <c r="G13" s="100"/>
      <c r="H13" s="622"/>
      <c r="I13" s="621"/>
      <c r="J13" s="194"/>
      <c r="K13" s="630"/>
      <c r="L13" s="49">
        <f t="shared" si="296"/>
        <v>0</v>
      </c>
      <c r="M13" s="50">
        <f t="shared" si="297"/>
        <v>0</v>
      </c>
      <c r="N13" s="51">
        <f t="shared" si="298"/>
        <v>0</v>
      </c>
      <c r="O13" s="51"/>
      <c r="P13" s="51">
        <f t="shared" si="299"/>
        <v>0</v>
      </c>
      <c r="Q13" s="52"/>
      <c r="R13" s="52"/>
      <c r="S13" s="52"/>
      <c r="T13" s="52"/>
      <c r="U13" s="52"/>
      <c r="V13" s="53">
        <f t="shared" si="300"/>
        <v>0</v>
      </c>
      <c r="W13" s="51">
        <f t="shared" si="301"/>
        <v>0</v>
      </c>
      <c r="X13" s="51">
        <f t="shared" si="302"/>
        <v>0</v>
      </c>
      <c r="Y13" s="51">
        <f t="shared" si="303"/>
        <v>0</v>
      </c>
      <c r="Z13" s="51">
        <f t="shared" si="304"/>
        <v>0</v>
      </c>
      <c r="AA13" s="51">
        <f t="shared" si="305"/>
        <v>0</v>
      </c>
      <c r="AB13" s="51">
        <f t="shared" si="306"/>
        <v>0</v>
      </c>
      <c r="AC13" s="51">
        <f t="shared" si="307"/>
        <v>0</v>
      </c>
      <c r="AD13" s="51">
        <f t="shared" si="308"/>
        <v>0</v>
      </c>
      <c r="AE13" s="51">
        <f t="shared" si="309"/>
        <v>0</v>
      </c>
      <c r="AF13" s="51">
        <f t="shared" si="310"/>
        <v>0</v>
      </c>
      <c r="AG13" s="51">
        <f t="shared" si="311"/>
        <v>0</v>
      </c>
      <c r="AH13" s="54">
        <f t="shared" si="312"/>
        <v>0</v>
      </c>
      <c r="AI13" s="55">
        <f t="shared" si="313"/>
        <v>0</v>
      </c>
      <c r="AJ13" s="56">
        <f>IF(AND($E13&lt;&gt;0,$F13&gt;0,YEAR($F13)&gt;=Preisindex!$A$6,YEAR(AE$4)&gt;=YEAR($F13),AND($K13&lt;&gt;"a",$K13&lt;&gt;"b",$K13&lt;&gt;"g",$K13&lt;&gt;"k")),1,IF(AND($E13&lt;&gt;0,$F13&gt;0,YEAR($F13)&gt;=Preisindex!$A$6,YEAR(AE$4)&gt;=YEAR($F13),$K13="a"),ROUND(VLOOKUP(AJ$4,Preisindex,5,FALSE)/VLOOKUP(YEAR($F13),Preisindex,5,FALSE),2),IF(AND($E13&lt;&gt;0,$F13&gt;0,YEAR($F13)&gt;=Preisindex!$A$6,YEAR(AE$4)&gt;=YEAR($F13),$K13="b"),ROUND(VLOOKUP(AJ$4,Preisindex,3,FALSE)/VLOOKUP(YEAR($F13),Preisindex,3,FALSE),2),IF(AND($E13&lt;&gt;0,$F13&gt;0,YEAR($F13)&gt;=Preisindex!$A$6,YEAR(AE$4)&gt;=YEAR($F13),$K13="g"),ROUND(VLOOKUP(AJ$4,Preisindex,4,FALSE)/VLOOKUP(YEAR($F13),Preisindex,4,FALSE),2),IF(AND($E13&lt;&gt;0,$F13&gt;0,YEAR($F13)&gt;=Preisindex!$A$6,YEAR(AE$4)&gt;=YEAR($F13),$K13="k"),ROUND(VLOOKUP(AJ$4,Preisindex,2,FALSE)/VLOOKUP(YEAR($F13),Preisindex,2,FALSE),2),0)))))</f>
        <v>0</v>
      </c>
      <c r="AK13" s="56">
        <f>IF(AND($E13&lt;&gt;0,$F13&gt;0,YEAR($F13)&lt;Preisindex!$A$6,YEAR(AE$4)&gt;=YEAR($F13),AND($K13&lt;&gt;"a",$K13&lt;&gt;"b",$K13&lt;&gt;"g",$K13&lt;&gt;"k")),1,IF(AND($E13&lt;&gt;0,$F13&gt;0,YEAR($F13)&lt;Preisindex!$A$6,YEAR(AE$4)&gt;=YEAR($F13),$K13="a"),ROUND(VLOOKUP(AJ$4,Preisindex,5,FALSE)/VLOOKUP(Preisindex!$A$6,Preisindex,5,FALSE),2),IF(AND($E13&lt;&gt;0,$F13&gt;0,YEAR($F13)&lt;Preisindex!$A$6,YEAR(AE$4)&gt;=YEAR($F13),$K13="b"),ROUND(VLOOKUP(AJ$4,Preisindex,3,FALSE)/VLOOKUP(Preisindex!$A$6,Preisindex,3,FALSE),2),IF(AND($E13&lt;&gt;0,$F13&gt;0,YEAR($F13)&lt;Preisindex!$A$6,YEAR(AE$4)&gt;=YEAR($F13),$K13="g"),ROUND(VLOOKUP(AJ$4,Preisindex,4,FALSE)/VLOOKUP(Preisindex!$A$6,Preisindex,4,FALSE),2),IF(AND($E13&lt;&gt;0,$F13&gt;0,YEAR($F13)&lt;Preisindex!$A$6,YEAR(AE$4)&gt;=YEAR($F13),$K13="k"),ROUND(VLOOKUP(AJ$4,Preisindex,2,FALSE)/VLOOKUP(Preisindex!$A$6,Preisindex,2,FALSE),2),0)))))</f>
        <v>0</v>
      </c>
      <c r="AL13" s="51">
        <f>IF(AND($E13&lt;&gt;0,$F13&gt;0,YEAR($F13)&lt;=AJ$4,YEAR($F13)&gt;=Preisindex!$A$6),ROUND($E13*AJ13,2),IF(AND($E13&lt;&gt;0,$F13&gt;0,YEAR($F13)&lt;=AJ$4,YEAR($F13)&lt;Preisindex!$A$6),ROUND($E13*AK13,2),0))</f>
        <v>0</v>
      </c>
      <c r="AM13" s="53">
        <f t="shared" si="314"/>
        <v>0</v>
      </c>
      <c r="AN13" s="51">
        <f t="shared" si="144"/>
        <v>0</v>
      </c>
      <c r="AO13" s="51">
        <f t="shared" si="256"/>
        <v>0</v>
      </c>
      <c r="AP13" s="51">
        <f t="shared" si="146"/>
        <v>0</v>
      </c>
      <c r="AQ13" s="51">
        <f t="shared" si="257"/>
        <v>0</v>
      </c>
      <c r="AR13" s="51">
        <f t="shared" si="148"/>
        <v>0</v>
      </c>
      <c r="AS13" s="51">
        <f t="shared" si="258"/>
        <v>0</v>
      </c>
      <c r="AT13" s="51">
        <f t="shared" si="150"/>
        <v>0</v>
      </c>
      <c r="AU13" s="51">
        <f t="shared" si="259"/>
        <v>0</v>
      </c>
      <c r="AV13" s="51">
        <f t="shared" si="152"/>
        <v>0</v>
      </c>
      <c r="AW13" s="51">
        <f t="shared" si="260"/>
        <v>0</v>
      </c>
      <c r="AX13" s="51">
        <f t="shared" si="154"/>
        <v>0</v>
      </c>
      <c r="AY13" s="54">
        <f t="shared" si="155"/>
        <v>0</v>
      </c>
      <c r="AZ13" s="55">
        <f t="shared" si="156"/>
        <v>0</v>
      </c>
      <c r="BA13" s="56">
        <f>IF(AND($E13&lt;&gt;0,$F13&gt;0,YEAR($F13)&gt;=Preisindex!$A$6,YEAR(AV$4)&gt;=YEAR($F13),AND($K13&lt;&gt;"a",$K13&lt;&gt;"b",$K13&lt;&gt;"g",$K13&lt;&gt;"k")),1,IF(AND($E13&lt;&gt;0,$F13&gt;0,YEAR($F13)&gt;=Preisindex!$A$6,YEAR(AV$4)&gt;=YEAR($F13),$K13="a"),ROUND(VLOOKUP(BA$4,Preisindex,5,FALSE)/VLOOKUP(YEAR($F13),Preisindex,5,FALSE),2),IF(AND($E13&lt;&gt;0,$F13&gt;0,YEAR($F13)&gt;=Preisindex!$A$6,YEAR(AV$4)&gt;=YEAR($F13),$K13="b"),ROUND(VLOOKUP(BA$4,Preisindex,3,FALSE)/VLOOKUP(YEAR($F13),Preisindex,3,FALSE),2),IF(AND($E13&lt;&gt;0,$F13&gt;0,YEAR($F13)&gt;=Preisindex!$A$6,YEAR(AV$4)&gt;=YEAR($F13),$K13="g"),ROUND(VLOOKUP(BA$4,Preisindex,4,FALSE)/VLOOKUP(YEAR($F13),Preisindex,4,FALSE),2),IF(AND($E13&lt;&gt;0,$F13&gt;0,YEAR($F13)&gt;=Preisindex!$A$6,YEAR(AV$4)&gt;=YEAR($F13),$K13="k"),ROUND(VLOOKUP(BA$4,Preisindex,2,FALSE)/VLOOKUP(YEAR($F13),Preisindex,2,FALSE),2),0)))))</f>
        <v>0</v>
      </c>
      <c r="BB13" s="56">
        <f>IF(AND($E13&lt;&gt;0,$F13&gt;0,YEAR($F13)&lt;Preisindex!$A$6,YEAR(AV$4)&gt;=YEAR($F13),AND($K13&lt;&gt;"a",$K13&lt;&gt;"b",$K13&lt;&gt;"g",$K13&lt;&gt;"k")),1,IF(AND($E13&lt;&gt;0,$F13&gt;0,YEAR($F13)&lt;Preisindex!$A$6,YEAR(AV$4)&gt;=YEAR($F13),$K13="a"),ROUND(VLOOKUP(BA$4,Preisindex,5,FALSE)/VLOOKUP(Preisindex!$A$6,Preisindex,5,FALSE),2),IF(AND($E13&lt;&gt;0,$F13&gt;0,YEAR($F13)&lt;Preisindex!$A$6,YEAR(AV$4)&gt;=YEAR($F13),$K13="b"),ROUND(VLOOKUP(BA$4,Preisindex,3,FALSE)/VLOOKUP(Preisindex!$A$6,Preisindex,3,FALSE),2),IF(AND($E13&lt;&gt;0,$F13&gt;0,YEAR($F13)&lt;Preisindex!$A$6,YEAR(AV$4)&gt;=YEAR($F13),$K13="g"),ROUND(VLOOKUP(BA$4,Preisindex,4,FALSE)/VLOOKUP(Preisindex!$A$6,Preisindex,4,FALSE),2),IF(AND($E13&lt;&gt;0,$F13&gt;0,YEAR($F13)&lt;Preisindex!$A$6,YEAR(AV$4)&gt;=YEAR($F13),$K13="k"),ROUND(VLOOKUP(BA$4,Preisindex,2,FALSE)/VLOOKUP(Preisindex!$A$6,Preisindex,2,FALSE),2),0)))))</f>
        <v>0</v>
      </c>
      <c r="BC13" s="51">
        <f>IF(AND($E13&lt;&gt;0,$F13&gt;0,YEAR($F13)&lt;=BA$4,YEAR($F13)&gt;=Preisindex!$A$6),ROUND($E13*BA13,2),IF(AND($E13&lt;&gt;0,$F13&gt;0,YEAR($F13)&lt;=BA$4,YEAR($F13)&lt;Preisindex!$A$6),ROUND($E13*BB13,2),0))</f>
        <v>0</v>
      </c>
      <c r="BD13" s="53">
        <f t="shared" si="157"/>
        <v>0</v>
      </c>
      <c r="BE13" s="51">
        <f t="shared" si="144"/>
        <v>0</v>
      </c>
      <c r="BF13" s="51">
        <f t="shared" si="261"/>
        <v>0</v>
      </c>
      <c r="BG13" s="51">
        <f t="shared" si="160"/>
        <v>0</v>
      </c>
      <c r="BH13" s="51">
        <f t="shared" si="262"/>
        <v>0</v>
      </c>
      <c r="BI13" s="51">
        <f t="shared" si="162"/>
        <v>0</v>
      </c>
      <c r="BJ13" s="51">
        <f t="shared" si="263"/>
        <v>0</v>
      </c>
      <c r="BK13" s="51">
        <f t="shared" si="164"/>
        <v>0</v>
      </c>
      <c r="BL13" s="51">
        <f t="shared" si="264"/>
        <v>0</v>
      </c>
      <c r="BM13" s="51">
        <f t="shared" si="166"/>
        <v>0</v>
      </c>
      <c r="BN13" s="51">
        <f t="shared" si="265"/>
        <v>0</v>
      </c>
      <c r="BO13" s="51">
        <f t="shared" si="168"/>
        <v>0</v>
      </c>
      <c r="BP13" s="54">
        <f t="shared" si="169"/>
        <v>0</v>
      </c>
      <c r="BQ13" s="55">
        <f t="shared" si="170"/>
        <v>0</v>
      </c>
      <c r="BR13" s="56">
        <f>IF(AND($E13&lt;&gt;0,$F13&gt;0,YEAR($F13)&gt;=Preisindex!$A$6,YEAR(BM$4)&gt;=YEAR($F13),AND($K13&lt;&gt;"a",$K13&lt;&gt;"b",$K13&lt;&gt;"g",$K13&lt;&gt;"k")),1,IF(AND($E13&lt;&gt;0,$F13&gt;0,YEAR($F13)&gt;=Preisindex!$A$6,YEAR(BM$4)&gt;=YEAR($F13),$K13="a"),ROUND(VLOOKUP(BR$4,Preisindex,5,FALSE)/VLOOKUP(YEAR($F13),Preisindex,5,FALSE),2),IF(AND($E13&lt;&gt;0,$F13&gt;0,YEAR($F13)&gt;=Preisindex!$A$6,YEAR(BM$4)&gt;=YEAR($F13),$K13="b"),ROUND(VLOOKUP(BR$4,Preisindex,3,FALSE)/VLOOKUP(YEAR($F13),Preisindex,3,FALSE),2),IF(AND($E13&lt;&gt;0,$F13&gt;0,YEAR($F13)&gt;=Preisindex!$A$6,YEAR(BM$4)&gt;=YEAR($F13),$K13="g"),ROUND(VLOOKUP(BR$4,Preisindex,4,FALSE)/VLOOKUP(YEAR($F13),Preisindex,4,FALSE),2),IF(AND($E13&lt;&gt;0,$F13&gt;0,YEAR($F13)&gt;=Preisindex!$A$6,YEAR(BM$4)&gt;=YEAR($F13),$K13="k"),ROUND(VLOOKUP(BR$4,Preisindex,2,FALSE)/VLOOKUP(YEAR($F13),Preisindex,2,FALSE),2),0)))))</f>
        <v>0</v>
      </c>
      <c r="BS13" s="56">
        <f>IF(AND($E13&lt;&gt;0,$F13&gt;0,YEAR($F13)&lt;Preisindex!$A$6,YEAR(BM$4)&gt;=YEAR($F13),AND($K13&lt;&gt;"a",$K13&lt;&gt;"b",$K13&lt;&gt;"g",$K13&lt;&gt;"k")),1,IF(AND($E13&lt;&gt;0,$F13&gt;0,YEAR($F13)&lt;Preisindex!$A$6,YEAR(BM$4)&gt;=YEAR($F13),$K13="a"),ROUND(VLOOKUP(BR$4,Preisindex,5,FALSE)/VLOOKUP(Preisindex!$A$6,Preisindex,5,FALSE),2),IF(AND($E13&lt;&gt;0,$F13&gt;0,YEAR($F13)&lt;Preisindex!$A$6,YEAR(BM$4)&gt;=YEAR($F13),$K13="b"),ROUND(VLOOKUP(BR$4,Preisindex,3,FALSE)/VLOOKUP(Preisindex!$A$6,Preisindex,3,FALSE),2),IF(AND($E13&lt;&gt;0,$F13&gt;0,YEAR($F13)&lt;Preisindex!$A$6,YEAR(BM$4)&gt;=YEAR($F13),$K13="g"),ROUND(VLOOKUP(BR$4,Preisindex,4,FALSE)/VLOOKUP(Preisindex!$A$6,Preisindex,4,FALSE),2),IF(AND($E13&lt;&gt;0,$F13&gt;0,YEAR($F13)&lt;Preisindex!$A$6,YEAR(BM$4)&gt;=YEAR($F13),$K13="k"),ROUND(VLOOKUP(BR$4,Preisindex,2,FALSE)/VLOOKUP(Preisindex!$A$6,Preisindex,2,FALSE),2),0)))))</f>
        <v>0</v>
      </c>
      <c r="BT13" s="51">
        <f>IF(AND($E13&lt;&gt;0,$F13&gt;0,YEAR($F13)&lt;=BR$4,YEAR($F13)&gt;=Preisindex!$A$6),ROUND($E13*BR13,2),IF(AND($E13&lt;&gt;0,$F13&gt;0,YEAR($F13)&lt;=BR$4,YEAR($F13)&lt;Preisindex!$A$6),ROUND($E13*BS13,2),0))</f>
        <v>0</v>
      </c>
      <c r="BU13" s="53">
        <f t="shared" si="171"/>
        <v>0</v>
      </c>
      <c r="BV13" s="51">
        <f t="shared" si="172"/>
        <v>0</v>
      </c>
      <c r="BW13" s="51">
        <f t="shared" si="266"/>
        <v>0</v>
      </c>
      <c r="BX13" s="51">
        <f t="shared" si="174"/>
        <v>0</v>
      </c>
      <c r="BY13" s="51">
        <f t="shared" si="267"/>
        <v>0</v>
      </c>
      <c r="BZ13" s="51">
        <f t="shared" si="176"/>
        <v>0</v>
      </c>
      <c r="CA13" s="51">
        <f t="shared" si="268"/>
        <v>0</v>
      </c>
      <c r="CB13" s="51">
        <f t="shared" si="178"/>
        <v>0</v>
      </c>
      <c r="CC13" s="51">
        <f t="shared" si="269"/>
        <v>0</v>
      </c>
      <c r="CD13" s="51">
        <f t="shared" si="180"/>
        <v>0</v>
      </c>
      <c r="CE13" s="51">
        <f t="shared" si="270"/>
        <v>0</v>
      </c>
      <c r="CF13" s="51">
        <f t="shared" si="182"/>
        <v>0</v>
      </c>
      <c r="CG13" s="54">
        <f t="shared" si="183"/>
        <v>0</v>
      </c>
      <c r="CH13" s="55">
        <f t="shared" si="184"/>
        <v>0</v>
      </c>
      <c r="CI13" s="56">
        <f>IF(AND($E13&lt;&gt;0,$F13&gt;0,YEAR($F13)&gt;=Preisindex!$A$6,YEAR(CD$4)&gt;=YEAR($F13),AND($K13&lt;&gt;"a",$K13&lt;&gt;"b",$K13&lt;&gt;"g",$K13&lt;&gt;"k")),1,IF(AND($E13&lt;&gt;0,$F13&gt;0,YEAR($F13)&gt;=Preisindex!$A$6,YEAR(CD$4)&gt;=YEAR($F13),$K13="a"),ROUND(VLOOKUP(CI$4,Preisindex,5,FALSE)/VLOOKUP(YEAR($F13),Preisindex,5,FALSE),2),IF(AND($E13&lt;&gt;0,$F13&gt;0,YEAR($F13)&gt;=Preisindex!$A$6,YEAR(CD$4)&gt;=YEAR($F13),$K13="b"),ROUND(VLOOKUP(CI$4,Preisindex,3,FALSE)/VLOOKUP(YEAR($F13),Preisindex,3,FALSE),2),IF(AND($E13&lt;&gt;0,$F13&gt;0,YEAR($F13)&gt;=Preisindex!$A$6,YEAR(CD$4)&gt;=YEAR($F13),$K13="g"),ROUND(VLOOKUP(CI$4,Preisindex,4,FALSE)/VLOOKUP(YEAR($F13),Preisindex,4,FALSE),2),IF(AND($E13&lt;&gt;0,$F13&gt;0,YEAR($F13)&gt;=Preisindex!$A$6,YEAR(CD$4)&gt;=YEAR($F13),$K13="k"),ROUND(VLOOKUP(CI$4,Preisindex,2,FALSE)/VLOOKUP(YEAR($F13),Preisindex,2,FALSE),2),0)))))</f>
        <v>0</v>
      </c>
      <c r="CJ13" s="56">
        <f>IF(AND($E13&lt;&gt;0,$F13&gt;0,YEAR($F13)&lt;Preisindex!$A$6,YEAR(CD$4)&gt;=YEAR($F13),AND($K13&lt;&gt;"a",$K13&lt;&gt;"b",$K13&lt;&gt;"g",$K13&lt;&gt;"k")),1,IF(AND($E13&lt;&gt;0,$F13&gt;0,YEAR($F13)&lt;Preisindex!$A$6,YEAR(CD$4)&gt;=YEAR($F13),$K13="a"),ROUND(VLOOKUP(CI$4,Preisindex,5,FALSE)/VLOOKUP(Preisindex!$A$6,Preisindex,5,FALSE),2),IF(AND($E13&lt;&gt;0,$F13&gt;0,YEAR($F13)&lt;Preisindex!$A$6,YEAR(CD$4)&gt;=YEAR($F13),$K13="b"),ROUND(VLOOKUP(CI$4,Preisindex,3,FALSE)/VLOOKUP(Preisindex!$A$6,Preisindex,3,FALSE),2),IF(AND($E13&lt;&gt;0,$F13&gt;0,YEAR($F13)&lt;Preisindex!$A$6,YEAR(CD$4)&gt;=YEAR($F13),$K13="g"),ROUND(VLOOKUP(CI$4,Preisindex,4,FALSE)/VLOOKUP(Preisindex!$A$6,Preisindex,4,FALSE),2),IF(AND($E13&lt;&gt;0,$F13&gt;0,YEAR($F13)&lt;Preisindex!$A$6,YEAR(CD$4)&gt;=YEAR($F13),$K13="k"),ROUND(VLOOKUP(CI$4,Preisindex,2,FALSE)/VLOOKUP(Preisindex!$A$6,Preisindex,2,FALSE),2),0)))))</f>
        <v>0</v>
      </c>
      <c r="CK13" s="51">
        <f>IF(AND($E13&lt;&gt;0,$F13&gt;0,YEAR($F13)&lt;=CI$4,YEAR($F13)&gt;=Preisindex!$A$6),ROUND($E13*CI13,2),IF(AND($E13&lt;&gt;0,$F13&gt;0,YEAR($F13)&lt;=CI$4,YEAR($F13)&lt;Preisindex!$A$6),ROUND($E13*CJ13,2),0))</f>
        <v>0</v>
      </c>
      <c r="CL13" s="53">
        <f t="shared" si="185"/>
        <v>0</v>
      </c>
      <c r="CM13" s="51">
        <f t="shared" si="172"/>
        <v>0</v>
      </c>
      <c r="CN13" s="51">
        <f t="shared" si="271"/>
        <v>0</v>
      </c>
      <c r="CO13" s="51">
        <f t="shared" si="188"/>
        <v>0</v>
      </c>
      <c r="CP13" s="51">
        <f t="shared" si="272"/>
        <v>0</v>
      </c>
      <c r="CQ13" s="51">
        <f t="shared" si="190"/>
        <v>0</v>
      </c>
      <c r="CR13" s="51">
        <f t="shared" si="273"/>
        <v>0</v>
      </c>
      <c r="CS13" s="51">
        <f t="shared" si="192"/>
        <v>0</v>
      </c>
      <c r="CT13" s="51">
        <f t="shared" si="274"/>
        <v>0</v>
      </c>
      <c r="CU13" s="51">
        <f t="shared" si="194"/>
        <v>0</v>
      </c>
      <c r="CV13" s="51">
        <f t="shared" si="275"/>
        <v>0</v>
      </c>
      <c r="CW13" s="51">
        <f t="shared" si="196"/>
        <v>0</v>
      </c>
      <c r="CX13" s="54">
        <f t="shared" si="197"/>
        <v>0</v>
      </c>
      <c r="CY13" s="55">
        <f t="shared" si="198"/>
        <v>0</v>
      </c>
      <c r="CZ13" s="56">
        <f>IF(AND($E13&lt;&gt;0,$F13&gt;0,YEAR($F13)&gt;=Preisindex!$A$6,YEAR(CU$4)&gt;=YEAR($F13),AND($K13&lt;&gt;"a",$K13&lt;&gt;"b",$K13&lt;&gt;"g",$K13&lt;&gt;"k")),1,IF(AND($E13&lt;&gt;0,$F13&gt;0,YEAR($F13)&gt;=Preisindex!$A$6,YEAR(CU$4)&gt;=YEAR($F13),$K13="a"),ROUND(VLOOKUP(CZ$4,Preisindex,5,FALSE)/VLOOKUP(YEAR($F13),Preisindex,5,FALSE),2),IF(AND($E13&lt;&gt;0,$F13&gt;0,YEAR($F13)&gt;=Preisindex!$A$6,YEAR(CU$4)&gt;=YEAR($F13),$K13="b"),ROUND(VLOOKUP(CZ$4,Preisindex,3,FALSE)/VLOOKUP(YEAR($F13),Preisindex,3,FALSE),2),IF(AND($E13&lt;&gt;0,$F13&gt;0,YEAR($F13)&gt;=Preisindex!$A$6,YEAR(CU$4)&gt;=YEAR($F13),$K13="g"),ROUND(VLOOKUP(CZ$4,Preisindex,4,FALSE)/VLOOKUP(YEAR($F13),Preisindex,4,FALSE),2),IF(AND($E13&lt;&gt;0,$F13&gt;0,YEAR($F13)&gt;=Preisindex!$A$6,YEAR(CU$4)&gt;=YEAR($F13),$K13="k"),ROUND(VLOOKUP(CZ$4,Preisindex,2,FALSE)/VLOOKUP(YEAR($F13),Preisindex,2,FALSE),2),0)))))</f>
        <v>0</v>
      </c>
      <c r="DA13" s="56">
        <f>IF(AND($E13&lt;&gt;0,$F13&gt;0,YEAR($F13)&lt;Preisindex!$A$6,YEAR(CU$4)&gt;=YEAR($F13),AND($K13&lt;&gt;"a",$K13&lt;&gt;"b",$K13&lt;&gt;"g",$K13&lt;&gt;"k")),1,IF(AND($E13&lt;&gt;0,$F13&gt;0,YEAR($F13)&lt;Preisindex!$A$6,YEAR(CU$4)&gt;=YEAR($F13),$K13="a"),ROUND(VLOOKUP(CZ$4,Preisindex,5,FALSE)/VLOOKUP(Preisindex!$A$6,Preisindex,5,FALSE),2),IF(AND($E13&lt;&gt;0,$F13&gt;0,YEAR($F13)&lt;Preisindex!$A$6,YEAR(CU$4)&gt;=YEAR($F13),$K13="b"),ROUND(VLOOKUP(CZ$4,Preisindex,3,FALSE)/VLOOKUP(Preisindex!$A$6,Preisindex,3,FALSE),2),IF(AND($E13&lt;&gt;0,$F13&gt;0,YEAR($F13)&lt;Preisindex!$A$6,YEAR(CU$4)&gt;=YEAR($F13),$K13="g"),ROUND(VLOOKUP(CZ$4,Preisindex,4,FALSE)/VLOOKUP(Preisindex!$A$6,Preisindex,4,FALSE),2),IF(AND($E13&lt;&gt;0,$F13&gt;0,YEAR($F13)&lt;Preisindex!$A$6,YEAR(CU$4)&gt;=YEAR($F13),$K13="k"),ROUND(VLOOKUP(CZ$4,Preisindex,2,FALSE)/VLOOKUP(Preisindex!$A$6,Preisindex,2,FALSE),2),0)))))</f>
        <v>0</v>
      </c>
      <c r="DB13" s="51">
        <f>IF(AND($E13&lt;&gt;0,$F13&gt;0,YEAR($F13)&lt;=CZ$4,YEAR($F13)&gt;=Preisindex!$A$6),ROUND($E13*CZ13,2),IF(AND($E13&lt;&gt;0,$F13&gt;0,YEAR($F13)&lt;=CZ$4,YEAR($F13)&lt;Preisindex!$A$6),ROUND($E13*DA13,2),0))</f>
        <v>0</v>
      </c>
      <c r="DC13" s="53">
        <f t="shared" si="199"/>
        <v>0</v>
      </c>
      <c r="DD13" s="51">
        <f t="shared" si="200"/>
        <v>0</v>
      </c>
      <c r="DE13" s="51">
        <f t="shared" si="276"/>
        <v>0</v>
      </c>
      <c r="DF13" s="51">
        <f t="shared" si="202"/>
        <v>0</v>
      </c>
      <c r="DG13" s="51">
        <f t="shared" si="277"/>
        <v>0</v>
      </c>
      <c r="DH13" s="51">
        <f t="shared" si="204"/>
        <v>0</v>
      </c>
      <c r="DI13" s="51">
        <f t="shared" si="278"/>
        <v>0</v>
      </c>
      <c r="DJ13" s="51">
        <f t="shared" si="206"/>
        <v>0</v>
      </c>
      <c r="DK13" s="51">
        <f t="shared" si="279"/>
        <v>0</v>
      </c>
      <c r="DL13" s="51">
        <f t="shared" si="208"/>
        <v>0</v>
      </c>
      <c r="DM13" s="51">
        <f t="shared" si="280"/>
        <v>0</v>
      </c>
      <c r="DN13" s="51">
        <f t="shared" si="210"/>
        <v>0</v>
      </c>
      <c r="DO13" s="54">
        <f t="shared" si="211"/>
        <v>0</v>
      </c>
      <c r="DP13" s="55">
        <f t="shared" si="212"/>
        <v>0</v>
      </c>
      <c r="DQ13" s="56">
        <f>IF(AND($E13&lt;&gt;0,$F13&gt;0,YEAR($F13)&gt;=Preisindex!$A$6,YEAR(DL$4)&gt;=YEAR($F13),AND($K13&lt;&gt;"a",$K13&lt;&gt;"b",$K13&lt;&gt;"g",$K13&lt;&gt;"k")),1,IF(AND($E13&lt;&gt;0,$F13&gt;0,YEAR($F13)&gt;=Preisindex!$A$6,YEAR(DL$4)&gt;=YEAR($F13),$K13="a"),ROUND(VLOOKUP(DQ$4,Preisindex,5,FALSE)/VLOOKUP(YEAR($F13),Preisindex,5,FALSE),2),IF(AND($E13&lt;&gt;0,$F13&gt;0,YEAR($F13)&gt;=Preisindex!$A$6,YEAR(DL$4)&gt;=YEAR($F13),$K13="b"),ROUND(VLOOKUP(DQ$4,Preisindex,3,FALSE)/VLOOKUP(YEAR($F13),Preisindex,3,FALSE),2),IF(AND($E13&lt;&gt;0,$F13&gt;0,YEAR($F13)&gt;=Preisindex!$A$6,YEAR(DL$4)&gt;=YEAR($F13),$K13="g"),ROUND(VLOOKUP(DQ$4,Preisindex,4,FALSE)/VLOOKUP(YEAR($F13),Preisindex,4,FALSE),2),IF(AND($E13&lt;&gt;0,$F13&gt;0,YEAR($F13)&gt;=Preisindex!$A$6,YEAR(DL$4)&gt;=YEAR($F13),$K13="k"),ROUND(VLOOKUP(DQ$4,Preisindex,2,FALSE)/VLOOKUP(YEAR($F13),Preisindex,2,FALSE),2),0)))))</f>
        <v>0</v>
      </c>
      <c r="DR13" s="56">
        <f>IF(AND($E13&lt;&gt;0,$F13&gt;0,YEAR($F13)&lt;Preisindex!$A$6,YEAR(DL$4)&gt;=YEAR($F13),AND($K13&lt;&gt;"a",$K13&lt;&gt;"b",$K13&lt;&gt;"g",$K13&lt;&gt;"k")),1,IF(AND($E13&lt;&gt;0,$F13&gt;0,YEAR($F13)&lt;Preisindex!$A$6,YEAR(DL$4)&gt;=YEAR($F13),$K13="a"),ROUND(VLOOKUP(DQ$4,Preisindex,5,FALSE)/VLOOKUP(Preisindex!$A$6,Preisindex,5,FALSE),2),IF(AND($E13&lt;&gt;0,$F13&gt;0,YEAR($F13)&lt;Preisindex!$A$6,YEAR(DL$4)&gt;=YEAR($F13),$K13="b"),ROUND(VLOOKUP(DQ$4,Preisindex,3,FALSE)/VLOOKUP(Preisindex!$A$6,Preisindex,3,FALSE),2),IF(AND($E13&lt;&gt;0,$F13&gt;0,YEAR($F13)&lt;Preisindex!$A$6,YEAR(DL$4)&gt;=YEAR($F13),$K13="g"),ROUND(VLOOKUP(DQ$4,Preisindex,4,FALSE)/VLOOKUP(Preisindex!$A$6,Preisindex,4,FALSE),2),IF(AND($E13&lt;&gt;0,$F13&gt;0,YEAR($F13)&lt;Preisindex!$A$6,YEAR(DL$4)&gt;=YEAR($F13),$K13="k"),ROUND(VLOOKUP(DQ$4,Preisindex,2,FALSE)/VLOOKUP(Preisindex!$A$6,Preisindex,2,FALSE),2),0)))))</f>
        <v>0</v>
      </c>
      <c r="DS13" s="51">
        <f>IF(AND($E13&lt;&gt;0,$F13&gt;0,YEAR($F13)&lt;=DQ$4,YEAR($F13)&gt;=Preisindex!$A$6),ROUND($E13*DQ13,2),IF(AND($E13&lt;&gt;0,$F13&gt;0,YEAR($F13)&lt;=DQ$4,YEAR($F13)&lt;Preisindex!$A$6),ROUND($E13*DR13,2),0))</f>
        <v>0</v>
      </c>
      <c r="DT13" s="53">
        <f t="shared" si="213"/>
        <v>0</v>
      </c>
      <c r="DU13" s="51">
        <f t="shared" si="200"/>
        <v>0</v>
      </c>
      <c r="DV13" s="51">
        <f t="shared" si="281"/>
        <v>0</v>
      </c>
      <c r="DW13" s="51">
        <f t="shared" si="216"/>
        <v>0</v>
      </c>
      <c r="DX13" s="51">
        <f t="shared" si="282"/>
        <v>0</v>
      </c>
      <c r="DY13" s="51">
        <f t="shared" si="218"/>
        <v>0</v>
      </c>
      <c r="DZ13" s="51">
        <f t="shared" si="283"/>
        <v>0</v>
      </c>
      <c r="EA13" s="51">
        <f t="shared" si="220"/>
        <v>0</v>
      </c>
      <c r="EB13" s="51">
        <f t="shared" si="284"/>
        <v>0</v>
      </c>
      <c r="EC13" s="51">
        <f t="shared" si="222"/>
        <v>0</v>
      </c>
      <c r="ED13" s="51">
        <f t="shared" si="285"/>
        <v>0</v>
      </c>
      <c r="EE13" s="51">
        <f t="shared" si="224"/>
        <v>0</v>
      </c>
      <c r="EF13" s="54">
        <f t="shared" si="225"/>
        <v>0</v>
      </c>
      <c r="EG13" s="55">
        <f t="shared" si="226"/>
        <v>0</v>
      </c>
      <c r="EH13" s="56">
        <f>IF(AND($E13&lt;&gt;0,$F13&gt;0,YEAR($F13)&gt;=Preisindex!$A$6,YEAR(EC$4)&gt;=YEAR($F13),AND($K13&lt;&gt;"a",$K13&lt;&gt;"b",$K13&lt;&gt;"g",$K13&lt;&gt;"k")),1,IF(AND($E13&lt;&gt;0,$F13&gt;0,YEAR($F13)&gt;=Preisindex!$A$6,YEAR(EC$4)&gt;=YEAR($F13),$K13="a"),ROUND(VLOOKUP(EH$4,Preisindex,5,FALSE)/VLOOKUP(YEAR($F13),Preisindex,5,FALSE),2),IF(AND($E13&lt;&gt;0,$F13&gt;0,YEAR($F13)&gt;=Preisindex!$A$6,YEAR(EC$4)&gt;=YEAR($F13),$K13="b"),ROUND(VLOOKUP(EH$4,Preisindex,3,FALSE)/VLOOKUP(YEAR($F13),Preisindex,3,FALSE),2),IF(AND($E13&lt;&gt;0,$F13&gt;0,YEAR($F13)&gt;=Preisindex!$A$6,YEAR(EC$4)&gt;=YEAR($F13),$K13="g"),ROUND(VLOOKUP(EH$4,Preisindex,4,FALSE)/VLOOKUP(YEAR($F13),Preisindex,4,FALSE),2),IF(AND($E13&lt;&gt;0,$F13&gt;0,YEAR($F13)&gt;=Preisindex!$A$6,YEAR(EC$4)&gt;=YEAR($F13),$K13="k"),ROUND(VLOOKUP(EH$4,Preisindex,2,FALSE)/VLOOKUP(YEAR($F13),Preisindex,2,FALSE),2),0)))))</f>
        <v>0</v>
      </c>
      <c r="EI13" s="56">
        <f>IF(AND($E13&lt;&gt;0,$F13&gt;0,YEAR($F13)&lt;Preisindex!$A$6,YEAR(EC$4)&gt;=YEAR($F13),AND($K13&lt;&gt;"a",$K13&lt;&gt;"b",$K13&lt;&gt;"g",$K13&lt;&gt;"k")),1,IF(AND($E13&lt;&gt;0,$F13&gt;0,YEAR($F13)&lt;Preisindex!$A$6,YEAR(EC$4)&gt;=YEAR($F13),$K13="a"),ROUND(VLOOKUP(EH$4,Preisindex,5,FALSE)/VLOOKUP(Preisindex!$A$6,Preisindex,5,FALSE),2),IF(AND($E13&lt;&gt;0,$F13&gt;0,YEAR($F13)&lt;Preisindex!$A$6,YEAR(EC$4)&gt;=YEAR($F13),$K13="b"),ROUND(VLOOKUP(EH$4,Preisindex,3,FALSE)/VLOOKUP(Preisindex!$A$6,Preisindex,3,FALSE),2),IF(AND($E13&lt;&gt;0,$F13&gt;0,YEAR($F13)&lt;Preisindex!$A$6,YEAR(EC$4)&gt;=YEAR($F13),$K13="g"),ROUND(VLOOKUP(EH$4,Preisindex,4,FALSE)/VLOOKUP(Preisindex!$A$6,Preisindex,4,FALSE),2),IF(AND($E13&lt;&gt;0,$F13&gt;0,YEAR($F13)&lt;Preisindex!$A$6,YEAR(EC$4)&gt;=YEAR($F13),$K13="k"),ROUND(VLOOKUP(EH$4,Preisindex,2,FALSE)/VLOOKUP(Preisindex!$A$6,Preisindex,2,FALSE),2),0)))))</f>
        <v>0</v>
      </c>
      <c r="EJ13" s="51">
        <f>IF(AND($E13&lt;&gt;0,$F13&gt;0,YEAR($F13)&lt;=EH$4,YEAR($F13)&gt;=Preisindex!$A$6),ROUND($E13*EH13,2),IF(AND($E13&lt;&gt;0,$F13&gt;0,YEAR($F13)&lt;=EH$4,YEAR($F13)&lt;Preisindex!$A$6),ROUND($E13*EI13,2),0))</f>
        <v>0</v>
      </c>
      <c r="EK13" s="53">
        <f t="shared" si="227"/>
        <v>0</v>
      </c>
      <c r="EL13" s="51">
        <f t="shared" si="228"/>
        <v>0</v>
      </c>
      <c r="EM13" s="51">
        <f t="shared" si="286"/>
        <v>0</v>
      </c>
      <c r="EN13" s="51">
        <f t="shared" si="230"/>
        <v>0</v>
      </c>
      <c r="EO13" s="51">
        <f t="shared" si="287"/>
        <v>0</v>
      </c>
      <c r="EP13" s="51">
        <f t="shared" si="232"/>
        <v>0</v>
      </c>
      <c r="EQ13" s="51">
        <f t="shared" si="288"/>
        <v>0</v>
      </c>
      <c r="ER13" s="51">
        <f t="shared" si="234"/>
        <v>0</v>
      </c>
      <c r="ES13" s="51">
        <f t="shared" si="289"/>
        <v>0</v>
      </c>
      <c r="ET13" s="51">
        <f t="shared" si="236"/>
        <v>0</v>
      </c>
      <c r="EU13" s="51">
        <f t="shared" si="290"/>
        <v>0</v>
      </c>
      <c r="EV13" s="51">
        <f t="shared" si="238"/>
        <v>0</v>
      </c>
      <c r="EW13" s="54">
        <f t="shared" si="239"/>
        <v>0</v>
      </c>
      <c r="EX13" s="55">
        <f t="shared" si="240"/>
        <v>0</v>
      </c>
      <c r="EY13" s="56">
        <f>IF(AND($E13&lt;&gt;0,$F13&gt;0,YEAR($F13)&gt;=Preisindex!$A$6,YEAR(ET$4)&gt;=YEAR($F13),AND($K13&lt;&gt;"a",$K13&lt;&gt;"b",$K13&lt;&gt;"g",$K13&lt;&gt;"k")),1,IF(AND($E13&lt;&gt;0,$F13&gt;0,YEAR($F13)&gt;=Preisindex!$A$6,YEAR(ET$4)&gt;=YEAR($F13),$K13="a"),ROUND(VLOOKUP(EY$4,Preisindex,5,FALSE)/VLOOKUP(YEAR($F13),Preisindex,5,FALSE),2),IF(AND($E13&lt;&gt;0,$F13&gt;0,YEAR($F13)&gt;=Preisindex!$A$6,YEAR(ET$4)&gt;=YEAR($F13),$K13="b"),ROUND(VLOOKUP(EY$4,Preisindex,3,FALSE)/VLOOKUP(YEAR($F13),Preisindex,3,FALSE),2),IF(AND($E13&lt;&gt;0,$F13&gt;0,YEAR($F13)&gt;=Preisindex!$A$6,YEAR(ET$4)&gt;=YEAR($F13),$K13="g"),ROUND(VLOOKUP(EY$4,Preisindex,4,FALSE)/VLOOKUP(YEAR($F13),Preisindex,4,FALSE),2),IF(AND($E13&lt;&gt;0,$F13&gt;0,YEAR($F13)&gt;=Preisindex!$A$6,YEAR(ET$4)&gt;=YEAR($F13),$K13="k"),ROUND(VLOOKUP(EY$4,Preisindex,2,FALSE)/VLOOKUP(YEAR($F13),Preisindex,2,FALSE),2),0)))))</f>
        <v>0</v>
      </c>
      <c r="EZ13" s="56">
        <f>IF(AND($E13&lt;&gt;0,$F13&gt;0,YEAR($F13)&lt;Preisindex!$A$6,YEAR(ET$4)&gt;=YEAR($F13),AND($K13&lt;&gt;"a",$K13&lt;&gt;"b",$K13&lt;&gt;"g",$K13&lt;&gt;"k")),1,IF(AND($E13&lt;&gt;0,$F13&gt;0,YEAR($F13)&lt;Preisindex!$A$6,YEAR(ET$4)&gt;=YEAR($F13),$K13="a"),ROUND(VLOOKUP(EY$4,Preisindex,5,FALSE)/VLOOKUP(Preisindex!$A$6,Preisindex,5,FALSE),2),IF(AND($E13&lt;&gt;0,$F13&gt;0,YEAR($F13)&lt;Preisindex!$A$6,YEAR(ET$4)&gt;=YEAR($F13),$K13="b"),ROUND(VLOOKUP(EY$4,Preisindex,3,FALSE)/VLOOKUP(Preisindex!$A$6,Preisindex,3,FALSE),2),IF(AND($E13&lt;&gt;0,$F13&gt;0,YEAR($F13)&lt;Preisindex!$A$6,YEAR(ET$4)&gt;=YEAR($F13),$K13="g"),ROUND(VLOOKUP(EY$4,Preisindex,4,FALSE)/VLOOKUP(Preisindex!$A$6,Preisindex,4,FALSE),2),IF(AND($E13&lt;&gt;0,$F13&gt;0,YEAR($F13)&lt;Preisindex!$A$6,YEAR(ET$4)&gt;=YEAR($F13),$K13="k"),ROUND(VLOOKUP(EY$4,Preisindex,2,FALSE)/VLOOKUP(Preisindex!$A$6,Preisindex,2,FALSE),2),0)))))</f>
        <v>0</v>
      </c>
      <c r="FA13" s="51">
        <f>IF(AND($E13&lt;&gt;0,$F13&gt;0,YEAR($F13)&lt;=EY$4,YEAR($F13)&gt;=Preisindex!$A$6),ROUND($E13*EY13,2),IF(AND($E13&lt;&gt;0,$F13&gt;0,YEAR($F13)&lt;=EY$4,YEAR($F13)&lt;Preisindex!$A$6),ROUND($E13*EZ13,2),0))</f>
        <v>0</v>
      </c>
      <c r="FB13" s="53">
        <f t="shared" si="241"/>
        <v>0</v>
      </c>
      <c r="FC13" s="51">
        <f t="shared" si="228"/>
        <v>0</v>
      </c>
      <c r="FD13" s="51">
        <f t="shared" si="291"/>
        <v>0</v>
      </c>
      <c r="FE13" s="51">
        <f t="shared" si="244"/>
        <v>0</v>
      </c>
      <c r="FF13" s="51">
        <f t="shared" si="292"/>
        <v>0</v>
      </c>
      <c r="FG13" s="51">
        <f t="shared" si="246"/>
        <v>0</v>
      </c>
      <c r="FH13" s="51">
        <f t="shared" si="293"/>
        <v>0</v>
      </c>
      <c r="FI13" s="51">
        <f t="shared" si="248"/>
        <v>0</v>
      </c>
      <c r="FJ13" s="51">
        <f t="shared" si="294"/>
        <v>0</v>
      </c>
      <c r="FK13" s="51">
        <f t="shared" si="250"/>
        <v>0</v>
      </c>
      <c r="FL13" s="51">
        <f t="shared" si="295"/>
        <v>0</v>
      </c>
      <c r="FM13" s="51">
        <f t="shared" si="252"/>
        <v>0</v>
      </c>
      <c r="FN13" s="54">
        <f t="shared" si="253"/>
        <v>0</v>
      </c>
      <c r="FO13" s="55">
        <f t="shared" si="254"/>
        <v>0</v>
      </c>
      <c r="FP13" s="56">
        <f>IF(AND($E13&lt;&gt;0,$F13&gt;0,YEAR($F13)&gt;=Preisindex!$A$6,YEAR(FK$4)&gt;=YEAR($F13),AND($K13&lt;&gt;"a",$K13&lt;&gt;"b",$K13&lt;&gt;"g",$K13&lt;&gt;"k")),1,IF(AND($E13&lt;&gt;0,$F13&gt;0,YEAR($F13)&gt;=Preisindex!$A$6,YEAR(FK$4)&gt;=YEAR($F13),$K13="a"),ROUND(VLOOKUP(FP$4,Preisindex,5,FALSE)/VLOOKUP(YEAR($F13),Preisindex,5,FALSE),2),IF(AND($E13&lt;&gt;0,$F13&gt;0,YEAR($F13)&gt;=Preisindex!$A$6,YEAR(FK$4)&gt;=YEAR($F13),$K13="b"),ROUND(VLOOKUP(FP$4,Preisindex,3,FALSE)/VLOOKUP(YEAR($F13),Preisindex,3,FALSE),2),IF(AND($E13&lt;&gt;0,$F13&gt;0,YEAR($F13)&gt;=Preisindex!$A$6,YEAR(FK$4)&gt;=YEAR($F13),$K13="g"),ROUND(VLOOKUP(FP$4,Preisindex,4,FALSE)/VLOOKUP(YEAR($F13),Preisindex,4,FALSE),2),IF(AND($E13&lt;&gt;0,$F13&gt;0,YEAR($F13)&gt;=Preisindex!$A$6,YEAR(FK$4)&gt;=YEAR($F13),$K13="k"),ROUND(VLOOKUP(FP$4,Preisindex,2,FALSE)/VLOOKUP(YEAR($F13),Preisindex,2,FALSE),2),0)))))</f>
        <v>0</v>
      </c>
      <c r="FQ13" s="56">
        <f>IF(AND($E13&lt;&gt;0,$F13&gt;0,YEAR($F13)&lt;Preisindex!$A$6,YEAR(FK$4)&gt;=YEAR($F13),AND($K13&lt;&gt;"a",$K13&lt;&gt;"b",$K13&lt;&gt;"g",$K13&lt;&gt;"k")),1,IF(AND($E13&lt;&gt;0,$F13&gt;0,YEAR($F13)&lt;Preisindex!$A$6,YEAR(FK$4)&gt;=YEAR($F13),$K13="a"),ROUND(VLOOKUP(FP$4,Preisindex,5,FALSE)/VLOOKUP(Preisindex!$A$6,Preisindex,5,FALSE),2),IF(AND($E13&lt;&gt;0,$F13&gt;0,YEAR($F13)&lt;Preisindex!$A$6,YEAR(FK$4)&gt;=YEAR($F13),$K13="b"),ROUND(VLOOKUP(FP$4,Preisindex,3,FALSE)/VLOOKUP(Preisindex!$A$6,Preisindex,3,FALSE),2),IF(AND($E13&lt;&gt;0,$F13&gt;0,YEAR($F13)&lt;Preisindex!$A$6,YEAR(FK$4)&gt;=YEAR($F13),$K13="g"),ROUND(VLOOKUP(FP$4,Preisindex,4,FALSE)/VLOOKUP(Preisindex!$A$6,Preisindex,4,FALSE),2),IF(AND($E13&lt;&gt;0,$F13&gt;0,YEAR($F13)&lt;Preisindex!$A$6,YEAR(FK$4)&gt;=YEAR($F13),$K13="k"),ROUND(VLOOKUP(FP$4,Preisindex,2,FALSE)/VLOOKUP(Preisindex!$A$6,Preisindex,2,FALSE),2),0)))))</f>
        <v>0</v>
      </c>
      <c r="FR13" s="51">
        <f>IF(AND($E13&lt;&gt;0,$F13&gt;0,YEAR($F13)&lt;=FP$4,YEAR($F13)&gt;=Preisindex!$A$6),ROUND($E13*FP13,2),IF(AND($E13&lt;&gt;0,$F13&gt;0,YEAR($F13)&lt;=FP$4,YEAR($F13)&lt;Preisindex!$A$6),ROUND($E13*FQ13,2),0))</f>
        <v>0</v>
      </c>
      <c r="FS13" s="53">
        <f t="shared" si="255"/>
        <v>0</v>
      </c>
    </row>
    <row r="14" spans="1:175" x14ac:dyDescent="0.3">
      <c r="A14" s="93"/>
      <c r="B14" s="94" t="s">
        <v>204</v>
      </c>
      <c r="C14" s="94"/>
      <c r="D14" s="95"/>
      <c r="E14" s="96"/>
      <c r="F14" s="97"/>
      <c r="G14" s="100"/>
      <c r="H14" s="622"/>
      <c r="I14" s="621"/>
      <c r="J14" s="194"/>
      <c r="K14" s="630"/>
      <c r="L14" s="49">
        <f t="shared" si="296"/>
        <v>0</v>
      </c>
      <c r="M14" s="50">
        <f t="shared" si="297"/>
        <v>0</v>
      </c>
      <c r="N14" s="51">
        <f t="shared" si="298"/>
        <v>0</v>
      </c>
      <c r="O14" s="51"/>
      <c r="P14" s="51">
        <f t="shared" si="299"/>
        <v>0</v>
      </c>
      <c r="Q14" s="52"/>
      <c r="R14" s="52"/>
      <c r="S14" s="52"/>
      <c r="T14" s="52"/>
      <c r="U14" s="52"/>
      <c r="V14" s="53">
        <f t="shared" si="300"/>
        <v>0</v>
      </c>
      <c r="W14" s="51">
        <f t="shared" si="301"/>
        <v>0</v>
      </c>
      <c r="X14" s="51">
        <f t="shared" si="302"/>
        <v>0</v>
      </c>
      <c r="Y14" s="51">
        <f t="shared" si="303"/>
        <v>0</v>
      </c>
      <c r="Z14" s="51">
        <f t="shared" si="304"/>
        <v>0</v>
      </c>
      <c r="AA14" s="51">
        <f t="shared" si="305"/>
        <v>0</v>
      </c>
      <c r="AB14" s="51">
        <f t="shared" si="306"/>
        <v>0</v>
      </c>
      <c r="AC14" s="51">
        <f t="shared" si="307"/>
        <v>0</v>
      </c>
      <c r="AD14" s="51">
        <f t="shared" si="308"/>
        <v>0</v>
      </c>
      <c r="AE14" s="51">
        <f t="shared" si="309"/>
        <v>0</v>
      </c>
      <c r="AF14" s="51">
        <f t="shared" si="310"/>
        <v>0</v>
      </c>
      <c r="AG14" s="51">
        <f t="shared" si="311"/>
        <v>0</v>
      </c>
      <c r="AH14" s="54">
        <f t="shared" si="312"/>
        <v>0</v>
      </c>
      <c r="AI14" s="55">
        <f t="shared" si="313"/>
        <v>0</v>
      </c>
      <c r="AJ14" s="56">
        <f>IF(AND($E14&lt;&gt;0,$F14&gt;0,YEAR($F14)&gt;=Preisindex!$A$6,YEAR(AE$4)&gt;=YEAR($F14),AND($K14&lt;&gt;"a",$K14&lt;&gt;"b",$K14&lt;&gt;"g",$K14&lt;&gt;"k")),1,IF(AND($E14&lt;&gt;0,$F14&gt;0,YEAR($F14)&gt;=Preisindex!$A$6,YEAR(AE$4)&gt;=YEAR($F14),$K14="a"),ROUND(VLOOKUP(AJ$4,Preisindex,5,FALSE)/VLOOKUP(YEAR($F14),Preisindex,5,FALSE),2),IF(AND($E14&lt;&gt;0,$F14&gt;0,YEAR($F14)&gt;=Preisindex!$A$6,YEAR(AE$4)&gt;=YEAR($F14),$K14="b"),ROUND(VLOOKUP(AJ$4,Preisindex,3,FALSE)/VLOOKUP(YEAR($F14),Preisindex,3,FALSE),2),IF(AND($E14&lt;&gt;0,$F14&gt;0,YEAR($F14)&gt;=Preisindex!$A$6,YEAR(AE$4)&gt;=YEAR($F14),$K14="g"),ROUND(VLOOKUP(AJ$4,Preisindex,4,FALSE)/VLOOKUP(YEAR($F14),Preisindex,4,FALSE),2),IF(AND($E14&lt;&gt;0,$F14&gt;0,YEAR($F14)&gt;=Preisindex!$A$6,YEAR(AE$4)&gt;=YEAR($F14),$K14="k"),ROUND(VLOOKUP(AJ$4,Preisindex,2,FALSE)/VLOOKUP(YEAR($F14),Preisindex,2,FALSE),2),0)))))</f>
        <v>0</v>
      </c>
      <c r="AK14" s="56">
        <f>IF(AND($E14&lt;&gt;0,$F14&gt;0,YEAR($F14)&lt;Preisindex!$A$6,YEAR(AE$4)&gt;=YEAR($F14),AND($K14&lt;&gt;"a",$K14&lt;&gt;"b",$K14&lt;&gt;"g",$K14&lt;&gt;"k")),1,IF(AND($E14&lt;&gt;0,$F14&gt;0,YEAR($F14)&lt;Preisindex!$A$6,YEAR(AE$4)&gt;=YEAR($F14),$K14="a"),ROUND(VLOOKUP(AJ$4,Preisindex,5,FALSE)/VLOOKUP(Preisindex!$A$6,Preisindex,5,FALSE),2),IF(AND($E14&lt;&gt;0,$F14&gt;0,YEAR($F14)&lt;Preisindex!$A$6,YEAR(AE$4)&gt;=YEAR($F14),$K14="b"),ROUND(VLOOKUP(AJ$4,Preisindex,3,FALSE)/VLOOKUP(Preisindex!$A$6,Preisindex,3,FALSE),2),IF(AND($E14&lt;&gt;0,$F14&gt;0,YEAR($F14)&lt;Preisindex!$A$6,YEAR(AE$4)&gt;=YEAR($F14),$K14="g"),ROUND(VLOOKUP(AJ$4,Preisindex,4,FALSE)/VLOOKUP(Preisindex!$A$6,Preisindex,4,FALSE),2),IF(AND($E14&lt;&gt;0,$F14&gt;0,YEAR($F14)&lt;Preisindex!$A$6,YEAR(AE$4)&gt;=YEAR($F14),$K14="k"),ROUND(VLOOKUP(AJ$4,Preisindex,2,FALSE)/VLOOKUP(Preisindex!$A$6,Preisindex,2,FALSE),2),0)))))</f>
        <v>0</v>
      </c>
      <c r="AL14" s="51">
        <f>IF(AND($E14&lt;&gt;0,$F14&gt;0,YEAR($F14)&lt;=AJ$4,YEAR($F14)&gt;=Preisindex!$A$6),ROUND($E14*AJ14,2),IF(AND($E14&lt;&gt;0,$F14&gt;0,YEAR($F14)&lt;=AJ$4,YEAR($F14)&lt;Preisindex!$A$6),ROUND($E14*AK14,2),0))</f>
        <v>0</v>
      </c>
      <c r="AM14" s="53">
        <f t="shared" si="314"/>
        <v>0</v>
      </c>
      <c r="AN14" s="51">
        <f t="shared" si="144"/>
        <v>0</v>
      </c>
      <c r="AO14" s="51">
        <f t="shared" si="256"/>
        <v>0</v>
      </c>
      <c r="AP14" s="51">
        <f t="shared" si="146"/>
        <v>0</v>
      </c>
      <c r="AQ14" s="51">
        <f t="shared" si="257"/>
        <v>0</v>
      </c>
      <c r="AR14" s="51">
        <f t="shared" si="148"/>
        <v>0</v>
      </c>
      <c r="AS14" s="51">
        <f t="shared" si="258"/>
        <v>0</v>
      </c>
      <c r="AT14" s="51">
        <f t="shared" si="150"/>
        <v>0</v>
      </c>
      <c r="AU14" s="51">
        <f t="shared" si="259"/>
        <v>0</v>
      </c>
      <c r="AV14" s="51">
        <f t="shared" si="152"/>
        <v>0</v>
      </c>
      <c r="AW14" s="51">
        <f t="shared" si="260"/>
        <v>0</v>
      </c>
      <c r="AX14" s="51">
        <f t="shared" si="154"/>
        <v>0</v>
      </c>
      <c r="AY14" s="54">
        <f t="shared" si="155"/>
        <v>0</v>
      </c>
      <c r="AZ14" s="55">
        <f t="shared" si="156"/>
        <v>0</v>
      </c>
      <c r="BA14" s="56">
        <f>IF(AND($E14&lt;&gt;0,$F14&gt;0,YEAR($F14)&gt;=Preisindex!$A$6,YEAR(AV$4)&gt;=YEAR($F14),AND($K14&lt;&gt;"a",$K14&lt;&gt;"b",$K14&lt;&gt;"g",$K14&lt;&gt;"k")),1,IF(AND($E14&lt;&gt;0,$F14&gt;0,YEAR($F14)&gt;=Preisindex!$A$6,YEAR(AV$4)&gt;=YEAR($F14),$K14="a"),ROUND(VLOOKUP(BA$4,Preisindex,5,FALSE)/VLOOKUP(YEAR($F14),Preisindex,5,FALSE),2),IF(AND($E14&lt;&gt;0,$F14&gt;0,YEAR($F14)&gt;=Preisindex!$A$6,YEAR(AV$4)&gt;=YEAR($F14),$K14="b"),ROUND(VLOOKUP(BA$4,Preisindex,3,FALSE)/VLOOKUP(YEAR($F14),Preisindex,3,FALSE),2),IF(AND($E14&lt;&gt;0,$F14&gt;0,YEAR($F14)&gt;=Preisindex!$A$6,YEAR(AV$4)&gt;=YEAR($F14),$K14="g"),ROUND(VLOOKUP(BA$4,Preisindex,4,FALSE)/VLOOKUP(YEAR($F14),Preisindex,4,FALSE),2),IF(AND($E14&lt;&gt;0,$F14&gt;0,YEAR($F14)&gt;=Preisindex!$A$6,YEAR(AV$4)&gt;=YEAR($F14),$K14="k"),ROUND(VLOOKUP(BA$4,Preisindex,2,FALSE)/VLOOKUP(YEAR($F14),Preisindex,2,FALSE),2),0)))))</f>
        <v>0</v>
      </c>
      <c r="BB14" s="56">
        <f>IF(AND($E14&lt;&gt;0,$F14&gt;0,YEAR($F14)&lt;Preisindex!$A$6,YEAR(AV$4)&gt;=YEAR($F14),AND($K14&lt;&gt;"a",$K14&lt;&gt;"b",$K14&lt;&gt;"g",$K14&lt;&gt;"k")),1,IF(AND($E14&lt;&gt;0,$F14&gt;0,YEAR($F14)&lt;Preisindex!$A$6,YEAR(AV$4)&gt;=YEAR($F14),$K14="a"),ROUND(VLOOKUP(BA$4,Preisindex,5,FALSE)/VLOOKUP(Preisindex!$A$6,Preisindex,5,FALSE),2),IF(AND($E14&lt;&gt;0,$F14&gt;0,YEAR($F14)&lt;Preisindex!$A$6,YEAR(AV$4)&gt;=YEAR($F14),$K14="b"),ROUND(VLOOKUP(BA$4,Preisindex,3,FALSE)/VLOOKUP(Preisindex!$A$6,Preisindex,3,FALSE),2),IF(AND($E14&lt;&gt;0,$F14&gt;0,YEAR($F14)&lt;Preisindex!$A$6,YEAR(AV$4)&gt;=YEAR($F14),$K14="g"),ROUND(VLOOKUP(BA$4,Preisindex,4,FALSE)/VLOOKUP(Preisindex!$A$6,Preisindex,4,FALSE),2),IF(AND($E14&lt;&gt;0,$F14&gt;0,YEAR($F14)&lt;Preisindex!$A$6,YEAR(AV$4)&gt;=YEAR($F14),$K14="k"),ROUND(VLOOKUP(BA$4,Preisindex,2,FALSE)/VLOOKUP(Preisindex!$A$6,Preisindex,2,FALSE),2),0)))))</f>
        <v>0</v>
      </c>
      <c r="BC14" s="51">
        <f>IF(AND($E14&lt;&gt;0,$F14&gt;0,YEAR($F14)&lt;=BA$4,YEAR($F14)&gt;=Preisindex!$A$6),ROUND($E14*BA14,2),IF(AND($E14&lt;&gt;0,$F14&gt;0,YEAR($F14)&lt;=BA$4,YEAR($F14)&lt;Preisindex!$A$6),ROUND($E14*BB14,2),0))</f>
        <v>0</v>
      </c>
      <c r="BD14" s="53">
        <f t="shared" si="157"/>
        <v>0</v>
      </c>
      <c r="BE14" s="51">
        <f t="shared" si="144"/>
        <v>0</v>
      </c>
      <c r="BF14" s="51">
        <f t="shared" si="261"/>
        <v>0</v>
      </c>
      <c r="BG14" s="51">
        <f t="shared" si="160"/>
        <v>0</v>
      </c>
      <c r="BH14" s="51">
        <f t="shared" si="262"/>
        <v>0</v>
      </c>
      <c r="BI14" s="51">
        <f t="shared" si="162"/>
        <v>0</v>
      </c>
      <c r="BJ14" s="51">
        <f t="shared" si="263"/>
        <v>0</v>
      </c>
      <c r="BK14" s="51">
        <f t="shared" si="164"/>
        <v>0</v>
      </c>
      <c r="BL14" s="51">
        <f t="shared" si="264"/>
        <v>0</v>
      </c>
      <c r="BM14" s="51">
        <f t="shared" si="166"/>
        <v>0</v>
      </c>
      <c r="BN14" s="51">
        <f t="shared" si="265"/>
        <v>0</v>
      </c>
      <c r="BO14" s="51">
        <f t="shared" si="168"/>
        <v>0</v>
      </c>
      <c r="BP14" s="54">
        <f t="shared" si="169"/>
        <v>0</v>
      </c>
      <c r="BQ14" s="55">
        <f t="shared" si="170"/>
        <v>0</v>
      </c>
      <c r="BR14" s="56">
        <f>IF(AND($E14&lt;&gt;0,$F14&gt;0,YEAR($F14)&gt;=Preisindex!$A$6,YEAR(BM$4)&gt;=YEAR($F14),AND($K14&lt;&gt;"a",$K14&lt;&gt;"b",$K14&lt;&gt;"g",$K14&lt;&gt;"k")),1,IF(AND($E14&lt;&gt;0,$F14&gt;0,YEAR($F14)&gt;=Preisindex!$A$6,YEAR(BM$4)&gt;=YEAR($F14),$K14="a"),ROUND(VLOOKUP(BR$4,Preisindex,5,FALSE)/VLOOKUP(YEAR($F14),Preisindex,5,FALSE),2),IF(AND($E14&lt;&gt;0,$F14&gt;0,YEAR($F14)&gt;=Preisindex!$A$6,YEAR(BM$4)&gt;=YEAR($F14),$K14="b"),ROUND(VLOOKUP(BR$4,Preisindex,3,FALSE)/VLOOKUP(YEAR($F14),Preisindex,3,FALSE),2),IF(AND($E14&lt;&gt;0,$F14&gt;0,YEAR($F14)&gt;=Preisindex!$A$6,YEAR(BM$4)&gt;=YEAR($F14),$K14="g"),ROUND(VLOOKUP(BR$4,Preisindex,4,FALSE)/VLOOKUP(YEAR($F14),Preisindex,4,FALSE),2),IF(AND($E14&lt;&gt;0,$F14&gt;0,YEAR($F14)&gt;=Preisindex!$A$6,YEAR(BM$4)&gt;=YEAR($F14),$K14="k"),ROUND(VLOOKUP(BR$4,Preisindex,2,FALSE)/VLOOKUP(YEAR($F14),Preisindex,2,FALSE),2),0)))))</f>
        <v>0</v>
      </c>
      <c r="BS14" s="56">
        <f>IF(AND($E14&lt;&gt;0,$F14&gt;0,YEAR($F14)&lt;Preisindex!$A$6,YEAR(BM$4)&gt;=YEAR($F14),AND($K14&lt;&gt;"a",$K14&lt;&gt;"b",$K14&lt;&gt;"g",$K14&lt;&gt;"k")),1,IF(AND($E14&lt;&gt;0,$F14&gt;0,YEAR($F14)&lt;Preisindex!$A$6,YEAR(BM$4)&gt;=YEAR($F14),$K14="a"),ROUND(VLOOKUP(BR$4,Preisindex,5,FALSE)/VLOOKUP(Preisindex!$A$6,Preisindex,5,FALSE),2),IF(AND($E14&lt;&gt;0,$F14&gt;0,YEAR($F14)&lt;Preisindex!$A$6,YEAR(BM$4)&gt;=YEAR($F14),$K14="b"),ROUND(VLOOKUP(BR$4,Preisindex,3,FALSE)/VLOOKUP(Preisindex!$A$6,Preisindex,3,FALSE),2),IF(AND($E14&lt;&gt;0,$F14&gt;0,YEAR($F14)&lt;Preisindex!$A$6,YEAR(BM$4)&gt;=YEAR($F14),$K14="g"),ROUND(VLOOKUP(BR$4,Preisindex,4,FALSE)/VLOOKUP(Preisindex!$A$6,Preisindex,4,FALSE),2),IF(AND($E14&lt;&gt;0,$F14&gt;0,YEAR($F14)&lt;Preisindex!$A$6,YEAR(BM$4)&gt;=YEAR($F14),$K14="k"),ROUND(VLOOKUP(BR$4,Preisindex,2,FALSE)/VLOOKUP(Preisindex!$A$6,Preisindex,2,FALSE),2),0)))))</f>
        <v>0</v>
      </c>
      <c r="BT14" s="51">
        <f>IF(AND($E14&lt;&gt;0,$F14&gt;0,YEAR($F14)&lt;=BR$4,YEAR($F14)&gt;=Preisindex!$A$6),ROUND($E14*BR14,2),IF(AND($E14&lt;&gt;0,$F14&gt;0,YEAR($F14)&lt;=BR$4,YEAR($F14)&lt;Preisindex!$A$6),ROUND($E14*BS14,2),0))</f>
        <v>0</v>
      </c>
      <c r="BU14" s="53">
        <f t="shared" si="171"/>
        <v>0</v>
      </c>
      <c r="BV14" s="51">
        <f t="shared" si="172"/>
        <v>0</v>
      </c>
      <c r="BW14" s="51">
        <f t="shared" si="266"/>
        <v>0</v>
      </c>
      <c r="BX14" s="51">
        <f t="shared" si="174"/>
        <v>0</v>
      </c>
      <c r="BY14" s="51">
        <f t="shared" si="267"/>
        <v>0</v>
      </c>
      <c r="BZ14" s="51">
        <f t="shared" si="176"/>
        <v>0</v>
      </c>
      <c r="CA14" s="51">
        <f t="shared" si="268"/>
        <v>0</v>
      </c>
      <c r="CB14" s="51">
        <f t="shared" si="178"/>
        <v>0</v>
      </c>
      <c r="CC14" s="51">
        <f t="shared" si="269"/>
        <v>0</v>
      </c>
      <c r="CD14" s="51">
        <f t="shared" si="180"/>
        <v>0</v>
      </c>
      <c r="CE14" s="51">
        <f t="shared" si="270"/>
        <v>0</v>
      </c>
      <c r="CF14" s="51">
        <f t="shared" si="182"/>
        <v>0</v>
      </c>
      <c r="CG14" s="54">
        <f t="shared" si="183"/>
        <v>0</v>
      </c>
      <c r="CH14" s="55">
        <f t="shared" si="184"/>
        <v>0</v>
      </c>
      <c r="CI14" s="56">
        <f>IF(AND($E14&lt;&gt;0,$F14&gt;0,YEAR($F14)&gt;=Preisindex!$A$6,YEAR(CD$4)&gt;=YEAR($F14),AND($K14&lt;&gt;"a",$K14&lt;&gt;"b",$K14&lt;&gt;"g",$K14&lt;&gt;"k")),1,IF(AND($E14&lt;&gt;0,$F14&gt;0,YEAR($F14)&gt;=Preisindex!$A$6,YEAR(CD$4)&gt;=YEAR($F14),$K14="a"),ROUND(VLOOKUP(CI$4,Preisindex,5,FALSE)/VLOOKUP(YEAR($F14),Preisindex,5,FALSE),2),IF(AND($E14&lt;&gt;0,$F14&gt;0,YEAR($F14)&gt;=Preisindex!$A$6,YEAR(CD$4)&gt;=YEAR($F14),$K14="b"),ROUND(VLOOKUP(CI$4,Preisindex,3,FALSE)/VLOOKUP(YEAR($F14),Preisindex,3,FALSE),2),IF(AND($E14&lt;&gt;0,$F14&gt;0,YEAR($F14)&gt;=Preisindex!$A$6,YEAR(CD$4)&gt;=YEAR($F14),$K14="g"),ROUND(VLOOKUP(CI$4,Preisindex,4,FALSE)/VLOOKUP(YEAR($F14),Preisindex,4,FALSE),2),IF(AND($E14&lt;&gt;0,$F14&gt;0,YEAR($F14)&gt;=Preisindex!$A$6,YEAR(CD$4)&gt;=YEAR($F14),$K14="k"),ROUND(VLOOKUP(CI$4,Preisindex,2,FALSE)/VLOOKUP(YEAR($F14),Preisindex,2,FALSE),2),0)))))</f>
        <v>0</v>
      </c>
      <c r="CJ14" s="56">
        <f>IF(AND($E14&lt;&gt;0,$F14&gt;0,YEAR($F14)&lt;Preisindex!$A$6,YEAR(CD$4)&gt;=YEAR($F14),AND($K14&lt;&gt;"a",$K14&lt;&gt;"b",$K14&lt;&gt;"g",$K14&lt;&gt;"k")),1,IF(AND($E14&lt;&gt;0,$F14&gt;0,YEAR($F14)&lt;Preisindex!$A$6,YEAR(CD$4)&gt;=YEAR($F14),$K14="a"),ROUND(VLOOKUP(CI$4,Preisindex,5,FALSE)/VLOOKUP(Preisindex!$A$6,Preisindex,5,FALSE),2),IF(AND($E14&lt;&gt;0,$F14&gt;0,YEAR($F14)&lt;Preisindex!$A$6,YEAR(CD$4)&gt;=YEAR($F14),$K14="b"),ROUND(VLOOKUP(CI$4,Preisindex,3,FALSE)/VLOOKUP(Preisindex!$A$6,Preisindex,3,FALSE),2),IF(AND($E14&lt;&gt;0,$F14&gt;0,YEAR($F14)&lt;Preisindex!$A$6,YEAR(CD$4)&gt;=YEAR($F14),$K14="g"),ROUND(VLOOKUP(CI$4,Preisindex,4,FALSE)/VLOOKUP(Preisindex!$A$6,Preisindex,4,FALSE),2),IF(AND($E14&lt;&gt;0,$F14&gt;0,YEAR($F14)&lt;Preisindex!$A$6,YEAR(CD$4)&gt;=YEAR($F14),$K14="k"),ROUND(VLOOKUP(CI$4,Preisindex,2,FALSE)/VLOOKUP(Preisindex!$A$6,Preisindex,2,FALSE),2),0)))))</f>
        <v>0</v>
      </c>
      <c r="CK14" s="51">
        <f>IF(AND($E14&lt;&gt;0,$F14&gt;0,YEAR($F14)&lt;=CI$4,YEAR($F14)&gt;=Preisindex!$A$6),ROUND($E14*CI14,2),IF(AND($E14&lt;&gt;0,$F14&gt;0,YEAR($F14)&lt;=CI$4,YEAR($F14)&lt;Preisindex!$A$6),ROUND($E14*CJ14,2),0))</f>
        <v>0</v>
      </c>
      <c r="CL14" s="53">
        <f t="shared" si="185"/>
        <v>0</v>
      </c>
      <c r="CM14" s="51">
        <f t="shared" si="172"/>
        <v>0</v>
      </c>
      <c r="CN14" s="51">
        <f t="shared" si="271"/>
        <v>0</v>
      </c>
      <c r="CO14" s="51">
        <f t="shared" si="188"/>
        <v>0</v>
      </c>
      <c r="CP14" s="51">
        <f t="shared" si="272"/>
        <v>0</v>
      </c>
      <c r="CQ14" s="51">
        <f t="shared" si="190"/>
        <v>0</v>
      </c>
      <c r="CR14" s="51">
        <f t="shared" si="273"/>
        <v>0</v>
      </c>
      <c r="CS14" s="51">
        <f t="shared" si="192"/>
        <v>0</v>
      </c>
      <c r="CT14" s="51">
        <f t="shared" si="274"/>
        <v>0</v>
      </c>
      <c r="CU14" s="51">
        <f t="shared" si="194"/>
        <v>0</v>
      </c>
      <c r="CV14" s="51">
        <f t="shared" si="275"/>
        <v>0</v>
      </c>
      <c r="CW14" s="51">
        <f t="shared" si="196"/>
        <v>0</v>
      </c>
      <c r="CX14" s="54">
        <f t="shared" si="197"/>
        <v>0</v>
      </c>
      <c r="CY14" s="55">
        <f t="shared" si="198"/>
        <v>0</v>
      </c>
      <c r="CZ14" s="56">
        <f>IF(AND($E14&lt;&gt;0,$F14&gt;0,YEAR($F14)&gt;=Preisindex!$A$6,YEAR(CU$4)&gt;=YEAR($F14),AND($K14&lt;&gt;"a",$K14&lt;&gt;"b",$K14&lt;&gt;"g",$K14&lt;&gt;"k")),1,IF(AND($E14&lt;&gt;0,$F14&gt;0,YEAR($F14)&gt;=Preisindex!$A$6,YEAR(CU$4)&gt;=YEAR($F14),$K14="a"),ROUND(VLOOKUP(CZ$4,Preisindex,5,FALSE)/VLOOKUP(YEAR($F14),Preisindex,5,FALSE),2),IF(AND($E14&lt;&gt;0,$F14&gt;0,YEAR($F14)&gt;=Preisindex!$A$6,YEAR(CU$4)&gt;=YEAR($F14),$K14="b"),ROUND(VLOOKUP(CZ$4,Preisindex,3,FALSE)/VLOOKUP(YEAR($F14),Preisindex,3,FALSE),2),IF(AND($E14&lt;&gt;0,$F14&gt;0,YEAR($F14)&gt;=Preisindex!$A$6,YEAR(CU$4)&gt;=YEAR($F14),$K14="g"),ROUND(VLOOKUP(CZ$4,Preisindex,4,FALSE)/VLOOKUP(YEAR($F14),Preisindex,4,FALSE),2),IF(AND($E14&lt;&gt;0,$F14&gt;0,YEAR($F14)&gt;=Preisindex!$A$6,YEAR(CU$4)&gt;=YEAR($F14),$K14="k"),ROUND(VLOOKUP(CZ$4,Preisindex,2,FALSE)/VLOOKUP(YEAR($F14),Preisindex,2,FALSE),2),0)))))</f>
        <v>0</v>
      </c>
      <c r="DA14" s="56">
        <f>IF(AND($E14&lt;&gt;0,$F14&gt;0,YEAR($F14)&lt;Preisindex!$A$6,YEAR(CU$4)&gt;=YEAR($F14),AND($K14&lt;&gt;"a",$K14&lt;&gt;"b",$K14&lt;&gt;"g",$K14&lt;&gt;"k")),1,IF(AND($E14&lt;&gt;0,$F14&gt;0,YEAR($F14)&lt;Preisindex!$A$6,YEAR(CU$4)&gt;=YEAR($F14),$K14="a"),ROUND(VLOOKUP(CZ$4,Preisindex,5,FALSE)/VLOOKUP(Preisindex!$A$6,Preisindex,5,FALSE),2),IF(AND($E14&lt;&gt;0,$F14&gt;0,YEAR($F14)&lt;Preisindex!$A$6,YEAR(CU$4)&gt;=YEAR($F14),$K14="b"),ROUND(VLOOKUP(CZ$4,Preisindex,3,FALSE)/VLOOKUP(Preisindex!$A$6,Preisindex,3,FALSE),2),IF(AND($E14&lt;&gt;0,$F14&gt;0,YEAR($F14)&lt;Preisindex!$A$6,YEAR(CU$4)&gt;=YEAR($F14),$K14="g"),ROUND(VLOOKUP(CZ$4,Preisindex,4,FALSE)/VLOOKUP(Preisindex!$A$6,Preisindex,4,FALSE),2),IF(AND($E14&lt;&gt;0,$F14&gt;0,YEAR($F14)&lt;Preisindex!$A$6,YEAR(CU$4)&gt;=YEAR($F14),$K14="k"),ROUND(VLOOKUP(CZ$4,Preisindex,2,FALSE)/VLOOKUP(Preisindex!$A$6,Preisindex,2,FALSE),2),0)))))</f>
        <v>0</v>
      </c>
      <c r="DB14" s="51">
        <f>IF(AND($E14&lt;&gt;0,$F14&gt;0,YEAR($F14)&lt;=CZ$4,YEAR($F14)&gt;=Preisindex!$A$6),ROUND($E14*CZ14,2),IF(AND($E14&lt;&gt;0,$F14&gt;0,YEAR($F14)&lt;=CZ$4,YEAR($F14)&lt;Preisindex!$A$6),ROUND($E14*DA14,2),0))</f>
        <v>0</v>
      </c>
      <c r="DC14" s="53">
        <f t="shared" si="199"/>
        <v>0</v>
      </c>
      <c r="DD14" s="51">
        <f t="shared" si="200"/>
        <v>0</v>
      </c>
      <c r="DE14" s="51">
        <f t="shared" si="276"/>
        <v>0</v>
      </c>
      <c r="DF14" s="51">
        <f t="shared" si="202"/>
        <v>0</v>
      </c>
      <c r="DG14" s="51">
        <f t="shared" si="277"/>
        <v>0</v>
      </c>
      <c r="DH14" s="51">
        <f t="shared" si="204"/>
        <v>0</v>
      </c>
      <c r="DI14" s="51">
        <f t="shared" si="278"/>
        <v>0</v>
      </c>
      <c r="DJ14" s="51">
        <f t="shared" si="206"/>
        <v>0</v>
      </c>
      <c r="DK14" s="51">
        <f t="shared" si="279"/>
        <v>0</v>
      </c>
      <c r="DL14" s="51">
        <f t="shared" si="208"/>
        <v>0</v>
      </c>
      <c r="DM14" s="51">
        <f t="shared" si="280"/>
        <v>0</v>
      </c>
      <c r="DN14" s="51">
        <f t="shared" si="210"/>
        <v>0</v>
      </c>
      <c r="DO14" s="54">
        <f t="shared" si="211"/>
        <v>0</v>
      </c>
      <c r="DP14" s="55">
        <f t="shared" si="212"/>
        <v>0</v>
      </c>
      <c r="DQ14" s="56">
        <f>IF(AND($E14&lt;&gt;0,$F14&gt;0,YEAR($F14)&gt;=Preisindex!$A$6,YEAR(DL$4)&gt;=YEAR($F14),AND($K14&lt;&gt;"a",$K14&lt;&gt;"b",$K14&lt;&gt;"g",$K14&lt;&gt;"k")),1,IF(AND($E14&lt;&gt;0,$F14&gt;0,YEAR($F14)&gt;=Preisindex!$A$6,YEAR(DL$4)&gt;=YEAR($F14),$K14="a"),ROUND(VLOOKUP(DQ$4,Preisindex,5,FALSE)/VLOOKUP(YEAR($F14),Preisindex,5,FALSE),2),IF(AND($E14&lt;&gt;0,$F14&gt;0,YEAR($F14)&gt;=Preisindex!$A$6,YEAR(DL$4)&gt;=YEAR($F14),$K14="b"),ROUND(VLOOKUP(DQ$4,Preisindex,3,FALSE)/VLOOKUP(YEAR($F14),Preisindex,3,FALSE),2),IF(AND($E14&lt;&gt;0,$F14&gt;0,YEAR($F14)&gt;=Preisindex!$A$6,YEAR(DL$4)&gt;=YEAR($F14),$K14="g"),ROUND(VLOOKUP(DQ$4,Preisindex,4,FALSE)/VLOOKUP(YEAR($F14),Preisindex,4,FALSE),2),IF(AND($E14&lt;&gt;0,$F14&gt;0,YEAR($F14)&gt;=Preisindex!$A$6,YEAR(DL$4)&gt;=YEAR($F14),$K14="k"),ROUND(VLOOKUP(DQ$4,Preisindex,2,FALSE)/VLOOKUP(YEAR($F14),Preisindex,2,FALSE),2),0)))))</f>
        <v>0</v>
      </c>
      <c r="DR14" s="56">
        <f>IF(AND($E14&lt;&gt;0,$F14&gt;0,YEAR($F14)&lt;Preisindex!$A$6,YEAR(DL$4)&gt;=YEAR($F14),AND($K14&lt;&gt;"a",$K14&lt;&gt;"b",$K14&lt;&gt;"g",$K14&lt;&gt;"k")),1,IF(AND($E14&lt;&gt;0,$F14&gt;0,YEAR($F14)&lt;Preisindex!$A$6,YEAR(DL$4)&gt;=YEAR($F14),$K14="a"),ROUND(VLOOKUP(DQ$4,Preisindex,5,FALSE)/VLOOKUP(Preisindex!$A$6,Preisindex,5,FALSE),2),IF(AND($E14&lt;&gt;0,$F14&gt;0,YEAR($F14)&lt;Preisindex!$A$6,YEAR(DL$4)&gt;=YEAR($F14),$K14="b"),ROUND(VLOOKUP(DQ$4,Preisindex,3,FALSE)/VLOOKUP(Preisindex!$A$6,Preisindex,3,FALSE),2),IF(AND($E14&lt;&gt;0,$F14&gt;0,YEAR($F14)&lt;Preisindex!$A$6,YEAR(DL$4)&gt;=YEAR($F14),$K14="g"),ROUND(VLOOKUP(DQ$4,Preisindex,4,FALSE)/VLOOKUP(Preisindex!$A$6,Preisindex,4,FALSE),2),IF(AND($E14&lt;&gt;0,$F14&gt;0,YEAR($F14)&lt;Preisindex!$A$6,YEAR(DL$4)&gt;=YEAR($F14),$K14="k"),ROUND(VLOOKUP(DQ$4,Preisindex,2,FALSE)/VLOOKUP(Preisindex!$A$6,Preisindex,2,FALSE),2),0)))))</f>
        <v>0</v>
      </c>
      <c r="DS14" s="51">
        <f>IF(AND($E14&lt;&gt;0,$F14&gt;0,YEAR($F14)&lt;=DQ$4,YEAR($F14)&gt;=Preisindex!$A$6),ROUND($E14*DQ14,2),IF(AND($E14&lt;&gt;0,$F14&gt;0,YEAR($F14)&lt;=DQ$4,YEAR($F14)&lt;Preisindex!$A$6),ROUND($E14*DR14,2),0))</f>
        <v>0</v>
      </c>
      <c r="DT14" s="53">
        <f t="shared" si="213"/>
        <v>0</v>
      </c>
      <c r="DU14" s="51">
        <f t="shared" si="200"/>
        <v>0</v>
      </c>
      <c r="DV14" s="51">
        <f t="shared" si="281"/>
        <v>0</v>
      </c>
      <c r="DW14" s="51">
        <f t="shared" si="216"/>
        <v>0</v>
      </c>
      <c r="DX14" s="51">
        <f t="shared" si="282"/>
        <v>0</v>
      </c>
      <c r="DY14" s="51">
        <f t="shared" si="218"/>
        <v>0</v>
      </c>
      <c r="DZ14" s="51">
        <f t="shared" si="283"/>
        <v>0</v>
      </c>
      <c r="EA14" s="51">
        <f t="shared" si="220"/>
        <v>0</v>
      </c>
      <c r="EB14" s="51">
        <f t="shared" si="284"/>
        <v>0</v>
      </c>
      <c r="EC14" s="51">
        <f t="shared" si="222"/>
        <v>0</v>
      </c>
      <c r="ED14" s="51">
        <f t="shared" si="285"/>
        <v>0</v>
      </c>
      <c r="EE14" s="51">
        <f t="shared" si="224"/>
        <v>0</v>
      </c>
      <c r="EF14" s="54">
        <f t="shared" si="225"/>
        <v>0</v>
      </c>
      <c r="EG14" s="55">
        <f t="shared" si="226"/>
        <v>0</v>
      </c>
      <c r="EH14" s="56">
        <f>IF(AND($E14&lt;&gt;0,$F14&gt;0,YEAR($F14)&gt;=Preisindex!$A$6,YEAR(EC$4)&gt;=YEAR($F14),AND($K14&lt;&gt;"a",$K14&lt;&gt;"b",$K14&lt;&gt;"g",$K14&lt;&gt;"k")),1,IF(AND($E14&lt;&gt;0,$F14&gt;0,YEAR($F14)&gt;=Preisindex!$A$6,YEAR(EC$4)&gt;=YEAR($F14),$K14="a"),ROUND(VLOOKUP(EH$4,Preisindex,5,FALSE)/VLOOKUP(YEAR($F14),Preisindex,5,FALSE),2),IF(AND($E14&lt;&gt;0,$F14&gt;0,YEAR($F14)&gt;=Preisindex!$A$6,YEAR(EC$4)&gt;=YEAR($F14),$K14="b"),ROUND(VLOOKUP(EH$4,Preisindex,3,FALSE)/VLOOKUP(YEAR($F14),Preisindex,3,FALSE),2),IF(AND($E14&lt;&gt;0,$F14&gt;0,YEAR($F14)&gt;=Preisindex!$A$6,YEAR(EC$4)&gt;=YEAR($F14),$K14="g"),ROUND(VLOOKUP(EH$4,Preisindex,4,FALSE)/VLOOKUP(YEAR($F14),Preisindex,4,FALSE),2),IF(AND($E14&lt;&gt;0,$F14&gt;0,YEAR($F14)&gt;=Preisindex!$A$6,YEAR(EC$4)&gt;=YEAR($F14),$K14="k"),ROUND(VLOOKUP(EH$4,Preisindex,2,FALSE)/VLOOKUP(YEAR($F14),Preisindex,2,FALSE),2),0)))))</f>
        <v>0</v>
      </c>
      <c r="EI14" s="56">
        <f>IF(AND($E14&lt;&gt;0,$F14&gt;0,YEAR($F14)&lt;Preisindex!$A$6,YEAR(EC$4)&gt;=YEAR($F14),AND($K14&lt;&gt;"a",$K14&lt;&gt;"b",$K14&lt;&gt;"g",$K14&lt;&gt;"k")),1,IF(AND($E14&lt;&gt;0,$F14&gt;0,YEAR($F14)&lt;Preisindex!$A$6,YEAR(EC$4)&gt;=YEAR($F14),$K14="a"),ROUND(VLOOKUP(EH$4,Preisindex,5,FALSE)/VLOOKUP(Preisindex!$A$6,Preisindex,5,FALSE),2),IF(AND($E14&lt;&gt;0,$F14&gt;0,YEAR($F14)&lt;Preisindex!$A$6,YEAR(EC$4)&gt;=YEAR($F14),$K14="b"),ROUND(VLOOKUP(EH$4,Preisindex,3,FALSE)/VLOOKUP(Preisindex!$A$6,Preisindex,3,FALSE),2),IF(AND($E14&lt;&gt;0,$F14&gt;0,YEAR($F14)&lt;Preisindex!$A$6,YEAR(EC$4)&gt;=YEAR($F14),$K14="g"),ROUND(VLOOKUP(EH$4,Preisindex,4,FALSE)/VLOOKUP(Preisindex!$A$6,Preisindex,4,FALSE),2),IF(AND($E14&lt;&gt;0,$F14&gt;0,YEAR($F14)&lt;Preisindex!$A$6,YEAR(EC$4)&gt;=YEAR($F14),$K14="k"),ROUND(VLOOKUP(EH$4,Preisindex,2,FALSE)/VLOOKUP(Preisindex!$A$6,Preisindex,2,FALSE),2),0)))))</f>
        <v>0</v>
      </c>
      <c r="EJ14" s="51">
        <f>IF(AND($E14&lt;&gt;0,$F14&gt;0,YEAR($F14)&lt;=EH$4,YEAR($F14)&gt;=Preisindex!$A$6),ROUND($E14*EH14,2),IF(AND($E14&lt;&gt;0,$F14&gt;0,YEAR($F14)&lt;=EH$4,YEAR($F14)&lt;Preisindex!$A$6),ROUND($E14*EI14,2),0))</f>
        <v>0</v>
      </c>
      <c r="EK14" s="53">
        <f t="shared" si="227"/>
        <v>0</v>
      </c>
      <c r="EL14" s="51">
        <f t="shared" si="228"/>
        <v>0</v>
      </c>
      <c r="EM14" s="51">
        <f t="shared" si="286"/>
        <v>0</v>
      </c>
      <c r="EN14" s="51">
        <f t="shared" si="230"/>
        <v>0</v>
      </c>
      <c r="EO14" s="51">
        <f t="shared" si="287"/>
        <v>0</v>
      </c>
      <c r="EP14" s="51">
        <f t="shared" si="232"/>
        <v>0</v>
      </c>
      <c r="EQ14" s="51">
        <f t="shared" si="288"/>
        <v>0</v>
      </c>
      <c r="ER14" s="51">
        <f t="shared" si="234"/>
        <v>0</v>
      </c>
      <c r="ES14" s="51">
        <f t="shared" si="289"/>
        <v>0</v>
      </c>
      <c r="ET14" s="51">
        <f t="shared" si="236"/>
        <v>0</v>
      </c>
      <c r="EU14" s="51">
        <f t="shared" si="290"/>
        <v>0</v>
      </c>
      <c r="EV14" s="51">
        <f t="shared" si="238"/>
        <v>0</v>
      </c>
      <c r="EW14" s="54">
        <f t="shared" si="239"/>
        <v>0</v>
      </c>
      <c r="EX14" s="55">
        <f t="shared" si="240"/>
        <v>0</v>
      </c>
      <c r="EY14" s="56">
        <f>IF(AND($E14&lt;&gt;0,$F14&gt;0,YEAR($F14)&gt;=Preisindex!$A$6,YEAR(ET$4)&gt;=YEAR($F14),AND($K14&lt;&gt;"a",$K14&lt;&gt;"b",$K14&lt;&gt;"g",$K14&lt;&gt;"k")),1,IF(AND($E14&lt;&gt;0,$F14&gt;0,YEAR($F14)&gt;=Preisindex!$A$6,YEAR(ET$4)&gt;=YEAR($F14),$K14="a"),ROUND(VLOOKUP(EY$4,Preisindex,5,FALSE)/VLOOKUP(YEAR($F14),Preisindex,5,FALSE),2),IF(AND($E14&lt;&gt;0,$F14&gt;0,YEAR($F14)&gt;=Preisindex!$A$6,YEAR(ET$4)&gt;=YEAR($F14),$K14="b"),ROUND(VLOOKUP(EY$4,Preisindex,3,FALSE)/VLOOKUP(YEAR($F14),Preisindex,3,FALSE),2),IF(AND($E14&lt;&gt;0,$F14&gt;0,YEAR($F14)&gt;=Preisindex!$A$6,YEAR(ET$4)&gt;=YEAR($F14),$K14="g"),ROUND(VLOOKUP(EY$4,Preisindex,4,FALSE)/VLOOKUP(YEAR($F14),Preisindex,4,FALSE),2),IF(AND($E14&lt;&gt;0,$F14&gt;0,YEAR($F14)&gt;=Preisindex!$A$6,YEAR(ET$4)&gt;=YEAR($F14),$K14="k"),ROUND(VLOOKUP(EY$4,Preisindex,2,FALSE)/VLOOKUP(YEAR($F14),Preisindex,2,FALSE),2),0)))))</f>
        <v>0</v>
      </c>
      <c r="EZ14" s="56">
        <f>IF(AND($E14&lt;&gt;0,$F14&gt;0,YEAR($F14)&lt;Preisindex!$A$6,YEAR(ET$4)&gt;=YEAR($F14),AND($K14&lt;&gt;"a",$K14&lt;&gt;"b",$K14&lt;&gt;"g",$K14&lt;&gt;"k")),1,IF(AND($E14&lt;&gt;0,$F14&gt;0,YEAR($F14)&lt;Preisindex!$A$6,YEAR(ET$4)&gt;=YEAR($F14),$K14="a"),ROUND(VLOOKUP(EY$4,Preisindex,5,FALSE)/VLOOKUP(Preisindex!$A$6,Preisindex,5,FALSE),2),IF(AND($E14&lt;&gt;0,$F14&gt;0,YEAR($F14)&lt;Preisindex!$A$6,YEAR(ET$4)&gt;=YEAR($F14),$K14="b"),ROUND(VLOOKUP(EY$4,Preisindex,3,FALSE)/VLOOKUP(Preisindex!$A$6,Preisindex,3,FALSE),2),IF(AND($E14&lt;&gt;0,$F14&gt;0,YEAR($F14)&lt;Preisindex!$A$6,YEAR(ET$4)&gt;=YEAR($F14),$K14="g"),ROUND(VLOOKUP(EY$4,Preisindex,4,FALSE)/VLOOKUP(Preisindex!$A$6,Preisindex,4,FALSE),2),IF(AND($E14&lt;&gt;0,$F14&gt;0,YEAR($F14)&lt;Preisindex!$A$6,YEAR(ET$4)&gt;=YEAR($F14),$K14="k"),ROUND(VLOOKUP(EY$4,Preisindex,2,FALSE)/VLOOKUP(Preisindex!$A$6,Preisindex,2,FALSE),2),0)))))</f>
        <v>0</v>
      </c>
      <c r="FA14" s="51">
        <f>IF(AND($E14&lt;&gt;0,$F14&gt;0,YEAR($F14)&lt;=EY$4,YEAR($F14)&gt;=Preisindex!$A$6),ROUND($E14*EY14,2),IF(AND($E14&lt;&gt;0,$F14&gt;0,YEAR($F14)&lt;=EY$4,YEAR($F14)&lt;Preisindex!$A$6),ROUND($E14*EZ14,2),0))</f>
        <v>0</v>
      </c>
      <c r="FB14" s="53">
        <f t="shared" si="241"/>
        <v>0</v>
      </c>
      <c r="FC14" s="51">
        <f t="shared" si="228"/>
        <v>0</v>
      </c>
      <c r="FD14" s="51">
        <f t="shared" si="291"/>
        <v>0</v>
      </c>
      <c r="FE14" s="51">
        <f t="shared" si="244"/>
        <v>0</v>
      </c>
      <c r="FF14" s="51">
        <f t="shared" si="292"/>
        <v>0</v>
      </c>
      <c r="FG14" s="51">
        <f t="shared" si="246"/>
        <v>0</v>
      </c>
      <c r="FH14" s="51">
        <f t="shared" si="293"/>
        <v>0</v>
      </c>
      <c r="FI14" s="51">
        <f t="shared" si="248"/>
        <v>0</v>
      </c>
      <c r="FJ14" s="51">
        <f t="shared" si="294"/>
        <v>0</v>
      </c>
      <c r="FK14" s="51">
        <f t="shared" si="250"/>
        <v>0</v>
      </c>
      <c r="FL14" s="51">
        <f t="shared" si="295"/>
        <v>0</v>
      </c>
      <c r="FM14" s="51">
        <f t="shared" si="252"/>
        <v>0</v>
      </c>
      <c r="FN14" s="54">
        <f t="shared" si="253"/>
        <v>0</v>
      </c>
      <c r="FO14" s="55">
        <f t="shared" si="254"/>
        <v>0</v>
      </c>
      <c r="FP14" s="56">
        <f>IF(AND($E14&lt;&gt;0,$F14&gt;0,YEAR($F14)&gt;=Preisindex!$A$6,YEAR(FK$4)&gt;=YEAR($F14),AND($K14&lt;&gt;"a",$K14&lt;&gt;"b",$K14&lt;&gt;"g",$K14&lt;&gt;"k")),1,IF(AND($E14&lt;&gt;0,$F14&gt;0,YEAR($F14)&gt;=Preisindex!$A$6,YEAR(FK$4)&gt;=YEAR($F14),$K14="a"),ROUND(VLOOKUP(FP$4,Preisindex,5,FALSE)/VLOOKUP(YEAR($F14),Preisindex,5,FALSE),2),IF(AND($E14&lt;&gt;0,$F14&gt;0,YEAR($F14)&gt;=Preisindex!$A$6,YEAR(FK$4)&gt;=YEAR($F14),$K14="b"),ROUND(VLOOKUP(FP$4,Preisindex,3,FALSE)/VLOOKUP(YEAR($F14),Preisindex,3,FALSE),2),IF(AND($E14&lt;&gt;0,$F14&gt;0,YEAR($F14)&gt;=Preisindex!$A$6,YEAR(FK$4)&gt;=YEAR($F14),$K14="g"),ROUND(VLOOKUP(FP$4,Preisindex,4,FALSE)/VLOOKUP(YEAR($F14),Preisindex,4,FALSE),2),IF(AND($E14&lt;&gt;0,$F14&gt;0,YEAR($F14)&gt;=Preisindex!$A$6,YEAR(FK$4)&gt;=YEAR($F14),$K14="k"),ROUND(VLOOKUP(FP$4,Preisindex,2,FALSE)/VLOOKUP(YEAR($F14),Preisindex,2,FALSE),2),0)))))</f>
        <v>0</v>
      </c>
      <c r="FQ14" s="56">
        <f>IF(AND($E14&lt;&gt;0,$F14&gt;0,YEAR($F14)&lt;Preisindex!$A$6,YEAR(FK$4)&gt;=YEAR($F14),AND($K14&lt;&gt;"a",$K14&lt;&gt;"b",$K14&lt;&gt;"g",$K14&lt;&gt;"k")),1,IF(AND($E14&lt;&gt;0,$F14&gt;0,YEAR($F14)&lt;Preisindex!$A$6,YEAR(FK$4)&gt;=YEAR($F14),$K14="a"),ROUND(VLOOKUP(FP$4,Preisindex,5,FALSE)/VLOOKUP(Preisindex!$A$6,Preisindex,5,FALSE),2),IF(AND($E14&lt;&gt;0,$F14&gt;0,YEAR($F14)&lt;Preisindex!$A$6,YEAR(FK$4)&gt;=YEAR($F14),$K14="b"),ROUND(VLOOKUP(FP$4,Preisindex,3,FALSE)/VLOOKUP(Preisindex!$A$6,Preisindex,3,FALSE),2),IF(AND($E14&lt;&gt;0,$F14&gt;0,YEAR($F14)&lt;Preisindex!$A$6,YEAR(FK$4)&gt;=YEAR($F14),$K14="g"),ROUND(VLOOKUP(FP$4,Preisindex,4,FALSE)/VLOOKUP(Preisindex!$A$6,Preisindex,4,FALSE),2),IF(AND($E14&lt;&gt;0,$F14&gt;0,YEAR($F14)&lt;Preisindex!$A$6,YEAR(FK$4)&gt;=YEAR($F14),$K14="k"),ROUND(VLOOKUP(FP$4,Preisindex,2,FALSE)/VLOOKUP(Preisindex!$A$6,Preisindex,2,FALSE),2),0)))))</f>
        <v>0</v>
      </c>
      <c r="FR14" s="51">
        <f>IF(AND($E14&lt;&gt;0,$F14&gt;0,YEAR($F14)&lt;=FP$4,YEAR($F14)&gt;=Preisindex!$A$6),ROUND($E14*FP14,2),IF(AND($E14&lt;&gt;0,$F14&gt;0,YEAR($F14)&lt;=FP$4,YEAR($F14)&lt;Preisindex!$A$6),ROUND($E14*FQ14,2),0))</f>
        <v>0</v>
      </c>
      <c r="FS14" s="53">
        <f t="shared" si="255"/>
        <v>0</v>
      </c>
    </row>
    <row r="15" spans="1:175" x14ac:dyDescent="0.3">
      <c r="A15" s="93"/>
      <c r="B15" s="94" t="s">
        <v>205</v>
      </c>
      <c r="C15" s="94"/>
      <c r="D15" s="95" t="s">
        <v>18</v>
      </c>
      <c r="E15" s="99">
        <v>1050000</v>
      </c>
      <c r="F15" s="97">
        <v>25873</v>
      </c>
      <c r="G15" s="100">
        <v>50</v>
      </c>
      <c r="H15" s="622"/>
      <c r="I15" s="621"/>
      <c r="J15" s="194"/>
      <c r="K15" s="630" t="s">
        <v>266</v>
      </c>
      <c r="L15" s="49">
        <f t="shared" si="296"/>
        <v>0.02</v>
      </c>
      <c r="M15" s="50">
        <f t="shared" si="297"/>
        <v>21000</v>
      </c>
      <c r="N15" s="51">
        <f t="shared" si="298"/>
        <v>185500</v>
      </c>
      <c r="O15" s="51"/>
      <c r="P15" s="51">
        <f t="shared" si="299"/>
        <v>864500</v>
      </c>
      <c r="Q15" s="52"/>
      <c r="R15" s="52"/>
      <c r="S15" s="52"/>
      <c r="T15" s="52"/>
      <c r="U15" s="52"/>
      <c r="V15" s="53">
        <f t="shared" si="300"/>
        <v>1050000</v>
      </c>
      <c r="W15" s="51">
        <f t="shared" si="301"/>
        <v>0</v>
      </c>
      <c r="X15" s="51">
        <f t="shared" si="302"/>
        <v>0</v>
      </c>
      <c r="Y15" s="51">
        <f t="shared" si="303"/>
        <v>0</v>
      </c>
      <c r="Z15" s="51">
        <f t="shared" si="304"/>
        <v>0</v>
      </c>
      <c r="AA15" s="51">
        <f t="shared" si="305"/>
        <v>1050000</v>
      </c>
      <c r="AB15" s="51">
        <f t="shared" si="306"/>
        <v>1050000</v>
      </c>
      <c r="AC15" s="51">
        <f t="shared" si="307"/>
        <v>21000</v>
      </c>
      <c r="AD15" s="51">
        <f t="shared" si="308"/>
        <v>21000</v>
      </c>
      <c r="AE15" s="51">
        <f t="shared" si="309"/>
        <v>164500</v>
      </c>
      <c r="AF15" s="51">
        <f t="shared" si="310"/>
        <v>164500</v>
      </c>
      <c r="AG15" s="51">
        <f t="shared" si="311"/>
        <v>885500</v>
      </c>
      <c r="AH15" s="54">
        <f t="shared" si="312"/>
        <v>0</v>
      </c>
      <c r="AI15" s="55">
        <f t="shared" si="313"/>
        <v>0</v>
      </c>
      <c r="AJ15" s="56">
        <f>IF(AND($E15&lt;&gt;0,$F15&gt;0,YEAR($F15)&gt;=Preisindex!$A$6,YEAR(AE$4)&gt;=YEAR($F15),AND($K15&lt;&gt;"a",$K15&lt;&gt;"b",$K15&lt;&gt;"g",$K15&lt;&gt;"k")),1,IF(AND($E15&lt;&gt;0,$F15&gt;0,YEAR($F15)&gt;=Preisindex!$A$6,YEAR(AE$4)&gt;=YEAR($F15),$K15="a"),ROUND(VLOOKUP(AJ$4,Preisindex,5,FALSE)/VLOOKUP(YEAR($F15),Preisindex,5,FALSE),2),IF(AND($E15&lt;&gt;0,$F15&gt;0,YEAR($F15)&gt;=Preisindex!$A$6,YEAR(AE$4)&gt;=YEAR($F15),$K15="b"),ROUND(VLOOKUP(AJ$4,Preisindex,3,FALSE)/VLOOKUP(YEAR($F15),Preisindex,3,FALSE),2),IF(AND($E15&lt;&gt;0,$F15&gt;0,YEAR($F15)&gt;=Preisindex!$A$6,YEAR(AE$4)&gt;=YEAR($F15),$K15="g"),ROUND(VLOOKUP(AJ$4,Preisindex,4,FALSE)/VLOOKUP(YEAR($F15),Preisindex,4,FALSE),2),IF(AND($E15&lt;&gt;0,$F15&gt;0,YEAR($F15)&gt;=Preisindex!$A$6,YEAR(AE$4)&gt;=YEAR($F15),$K15="k"),ROUND(VLOOKUP(AJ$4,Preisindex,2,FALSE)/VLOOKUP(YEAR($F15),Preisindex,2,FALSE),2),0)))))</f>
        <v>3.03</v>
      </c>
      <c r="AK15" s="56">
        <f>IF(AND($E15&lt;&gt;0,$F15&gt;0,YEAR($F15)&lt;Preisindex!$A$6,YEAR(AE$4)&gt;=YEAR($F15),AND($K15&lt;&gt;"a",$K15&lt;&gt;"b",$K15&lt;&gt;"g",$K15&lt;&gt;"k")),1,IF(AND($E15&lt;&gt;0,$F15&gt;0,YEAR($F15)&lt;Preisindex!$A$6,YEAR(AE$4)&gt;=YEAR($F15),$K15="a"),ROUND(VLOOKUP(AJ$4,Preisindex,5,FALSE)/VLOOKUP(Preisindex!$A$6,Preisindex,5,FALSE),2),IF(AND($E15&lt;&gt;0,$F15&gt;0,YEAR($F15)&lt;Preisindex!$A$6,YEAR(AE$4)&gt;=YEAR($F15),$K15="b"),ROUND(VLOOKUP(AJ$4,Preisindex,3,FALSE)/VLOOKUP(Preisindex!$A$6,Preisindex,3,FALSE),2),IF(AND($E15&lt;&gt;0,$F15&gt;0,YEAR($F15)&lt;Preisindex!$A$6,YEAR(AE$4)&gt;=YEAR($F15),$K15="g"),ROUND(VLOOKUP(AJ$4,Preisindex,4,FALSE)/VLOOKUP(Preisindex!$A$6,Preisindex,4,FALSE),2),IF(AND($E15&lt;&gt;0,$F15&gt;0,YEAR($F15)&lt;Preisindex!$A$6,YEAR(AE$4)&gt;=YEAR($F15),$K15="k"),ROUND(VLOOKUP(AJ$4,Preisindex,2,FALSE)/VLOOKUP(Preisindex!$A$6,Preisindex,2,FALSE),2),0)))))</f>
        <v>0</v>
      </c>
      <c r="AL15" s="51">
        <f>IF(AND($E15&lt;&gt;0,$F15&gt;0,YEAR($F15)&lt;=AJ$4,YEAR($F15)&gt;=Preisindex!$A$6),ROUND($E15*AJ15,2),IF(AND($E15&lt;&gt;0,$F15&gt;0,YEAR($F15)&lt;=AJ$4,YEAR($F15)&lt;Preisindex!$A$6),ROUND($E15*AK15,2),0))</f>
        <v>3181500</v>
      </c>
      <c r="AM15" s="53">
        <f t="shared" si="314"/>
        <v>63630</v>
      </c>
      <c r="AN15" s="51">
        <f t="shared" si="144"/>
        <v>0</v>
      </c>
      <c r="AO15" s="51">
        <f t="shared" si="256"/>
        <v>0</v>
      </c>
      <c r="AP15" s="51">
        <f t="shared" si="146"/>
        <v>0</v>
      </c>
      <c r="AQ15" s="51">
        <f t="shared" si="257"/>
        <v>0</v>
      </c>
      <c r="AR15" s="51">
        <f t="shared" si="148"/>
        <v>1050000</v>
      </c>
      <c r="AS15" s="51">
        <f t="shared" si="258"/>
        <v>1050000</v>
      </c>
      <c r="AT15" s="51">
        <f t="shared" si="150"/>
        <v>21000</v>
      </c>
      <c r="AU15" s="51">
        <f t="shared" si="259"/>
        <v>21000</v>
      </c>
      <c r="AV15" s="51">
        <f t="shared" si="152"/>
        <v>143500</v>
      </c>
      <c r="AW15" s="51">
        <f t="shared" si="260"/>
        <v>143500</v>
      </c>
      <c r="AX15" s="51">
        <f t="shared" si="154"/>
        <v>906500</v>
      </c>
      <c r="AY15" s="54">
        <f t="shared" si="155"/>
        <v>0</v>
      </c>
      <c r="AZ15" s="55">
        <f t="shared" si="156"/>
        <v>0</v>
      </c>
      <c r="BA15" s="56">
        <f>IF(AND($E15&lt;&gt;0,$F15&gt;0,YEAR($F15)&gt;=Preisindex!$A$6,YEAR(AV$4)&gt;=YEAR($F15),AND($K15&lt;&gt;"a",$K15&lt;&gt;"b",$K15&lt;&gt;"g",$K15&lt;&gt;"k")),1,IF(AND($E15&lt;&gt;0,$F15&gt;0,YEAR($F15)&gt;=Preisindex!$A$6,YEAR(AV$4)&gt;=YEAR($F15),$K15="a"),ROUND(VLOOKUP(BA$4,Preisindex,5,FALSE)/VLOOKUP(YEAR($F15),Preisindex,5,FALSE),2),IF(AND($E15&lt;&gt;0,$F15&gt;0,YEAR($F15)&gt;=Preisindex!$A$6,YEAR(AV$4)&gt;=YEAR($F15),$K15="b"),ROUND(VLOOKUP(BA$4,Preisindex,3,FALSE)/VLOOKUP(YEAR($F15),Preisindex,3,FALSE),2),IF(AND($E15&lt;&gt;0,$F15&gt;0,YEAR($F15)&gt;=Preisindex!$A$6,YEAR(AV$4)&gt;=YEAR($F15),$K15="g"),ROUND(VLOOKUP(BA$4,Preisindex,4,FALSE)/VLOOKUP(YEAR($F15),Preisindex,4,FALSE),2),IF(AND($E15&lt;&gt;0,$F15&gt;0,YEAR($F15)&gt;=Preisindex!$A$6,YEAR(AV$4)&gt;=YEAR($F15),$K15="k"),ROUND(VLOOKUP(BA$4,Preisindex,2,FALSE)/VLOOKUP(YEAR($F15),Preisindex,2,FALSE),2),0)))))</f>
        <v>3.09</v>
      </c>
      <c r="BB15" s="56">
        <f>IF(AND($E15&lt;&gt;0,$F15&gt;0,YEAR($F15)&lt;Preisindex!$A$6,YEAR(AV$4)&gt;=YEAR($F15),AND($K15&lt;&gt;"a",$K15&lt;&gt;"b",$K15&lt;&gt;"g",$K15&lt;&gt;"k")),1,IF(AND($E15&lt;&gt;0,$F15&gt;0,YEAR($F15)&lt;Preisindex!$A$6,YEAR(AV$4)&gt;=YEAR($F15),$K15="a"),ROUND(VLOOKUP(BA$4,Preisindex,5,FALSE)/VLOOKUP(Preisindex!$A$6,Preisindex,5,FALSE),2),IF(AND($E15&lt;&gt;0,$F15&gt;0,YEAR($F15)&lt;Preisindex!$A$6,YEAR(AV$4)&gt;=YEAR($F15),$K15="b"),ROUND(VLOOKUP(BA$4,Preisindex,3,FALSE)/VLOOKUP(Preisindex!$A$6,Preisindex,3,FALSE),2),IF(AND($E15&lt;&gt;0,$F15&gt;0,YEAR($F15)&lt;Preisindex!$A$6,YEAR(AV$4)&gt;=YEAR($F15),$K15="g"),ROUND(VLOOKUP(BA$4,Preisindex,4,FALSE)/VLOOKUP(Preisindex!$A$6,Preisindex,4,FALSE),2),IF(AND($E15&lt;&gt;0,$F15&gt;0,YEAR($F15)&lt;Preisindex!$A$6,YEAR(AV$4)&gt;=YEAR($F15),$K15="k"),ROUND(VLOOKUP(BA$4,Preisindex,2,FALSE)/VLOOKUP(Preisindex!$A$6,Preisindex,2,FALSE),2),0)))))</f>
        <v>0</v>
      </c>
      <c r="BC15" s="51">
        <f>IF(AND($E15&lt;&gt;0,$F15&gt;0,YEAR($F15)&lt;=BA$4,YEAR($F15)&gt;=Preisindex!$A$6),ROUND($E15*BA15,2),IF(AND($E15&lt;&gt;0,$F15&gt;0,YEAR($F15)&lt;=BA$4,YEAR($F15)&lt;Preisindex!$A$6),ROUND($E15*BB15,2),0))</f>
        <v>3244500</v>
      </c>
      <c r="BD15" s="53">
        <f t="shared" si="157"/>
        <v>64890</v>
      </c>
      <c r="BE15" s="51">
        <f t="shared" si="144"/>
        <v>0</v>
      </c>
      <c r="BF15" s="51">
        <f t="shared" si="261"/>
        <v>0</v>
      </c>
      <c r="BG15" s="51">
        <f t="shared" si="160"/>
        <v>0</v>
      </c>
      <c r="BH15" s="51">
        <f t="shared" si="262"/>
        <v>0</v>
      </c>
      <c r="BI15" s="51">
        <f t="shared" si="162"/>
        <v>1050000</v>
      </c>
      <c r="BJ15" s="51">
        <f t="shared" si="263"/>
        <v>1050000</v>
      </c>
      <c r="BK15" s="51">
        <f t="shared" si="164"/>
        <v>21000</v>
      </c>
      <c r="BL15" s="51">
        <f t="shared" si="264"/>
        <v>21000</v>
      </c>
      <c r="BM15" s="51">
        <f t="shared" si="166"/>
        <v>122500</v>
      </c>
      <c r="BN15" s="51">
        <f t="shared" si="265"/>
        <v>122500</v>
      </c>
      <c r="BO15" s="51">
        <f t="shared" si="168"/>
        <v>927500</v>
      </c>
      <c r="BP15" s="54">
        <f t="shared" si="169"/>
        <v>0</v>
      </c>
      <c r="BQ15" s="55">
        <f t="shared" si="170"/>
        <v>0</v>
      </c>
      <c r="BR15" s="56">
        <f>IF(AND($E15&lt;&gt;0,$F15&gt;0,YEAR($F15)&gt;=Preisindex!$A$6,YEAR(BM$4)&gt;=YEAR($F15),AND($K15&lt;&gt;"a",$K15&lt;&gt;"b",$K15&lt;&gt;"g",$K15&lt;&gt;"k")),1,IF(AND($E15&lt;&gt;0,$F15&gt;0,YEAR($F15)&gt;=Preisindex!$A$6,YEAR(BM$4)&gt;=YEAR($F15),$K15="a"),ROUND(VLOOKUP(BR$4,Preisindex,5,FALSE)/VLOOKUP(YEAR($F15),Preisindex,5,FALSE),2),IF(AND($E15&lt;&gt;0,$F15&gt;0,YEAR($F15)&gt;=Preisindex!$A$6,YEAR(BM$4)&gt;=YEAR($F15),$K15="b"),ROUND(VLOOKUP(BR$4,Preisindex,3,FALSE)/VLOOKUP(YEAR($F15),Preisindex,3,FALSE),2),IF(AND($E15&lt;&gt;0,$F15&gt;0,YEAR($F15)&gt;=Preisindex!$A$6,YEAR(BM$4)&gt;=YEAR($F15),$K15="g"),ROUND(VLOOKUP(BR$4,Preisindex,4,FALSE)/VLOOKUP(YEAR($F15),Preisindex,4,FALSE),2),IF(AND($E15&lt;&gt;0,$F15&gt;0,YEAR($F15)&gt;=Preisindex!$A$6,YEAR(BM$4)&gt;=YEAR($F15),$K15="k"),ROUND(VLOOKUP(BR$4,Preisindex,2,FALSE)/VLOOKUP(YEAR($F15),Preisindex,2,FALSE),2),0)))))</f>
        <v>3.14</v>
      </c>
      <c r="BS15" s="56">
        <f>IF(AND($E15&lt;&gt;0,$F15&gt;0,YEAR($F15)&lt;Preisindex!$A$6,YEAR(BM$4)&gt;=YEAR($F15),AND($K15&lt;&gt;"a",$K15&lt;&gt;"b",$K15&lt;&gt;"g",$K15&lt;&gt;"k")),1,IF(AND($E15&lt;&gt;0,$F15&gt;0,YEAR($F15)&lt;Preisindex!$A$6,YEAR(BM$4)&gt;=YEAR($F15),$K15="a"),ROUND(VLOOKUP(BR$4,Preisindex,5,FALSE)/VLOOKUP(Preisindex!$A$6,Preisindex,5,FALSE),2),IF(AND($E15&lt;&gt;0,$F15&gt;0,YEAR($F15)&lt;Preisindex!$A$6,YEAR(BM$4)&gt;=YEAR($F15),$K15="b"),ROUND(VLOOKUP(BR$4,Preisindex,3,FALSE)/VLOOKUP(Preisindex!$A$6,Preisindex,3,FALSE),2),IF(AND($E15&lt;&gt;0,$F15&gt;0,YEAR($F15)&lt;Preisindex!$A$6,YEAR(BM$4)&gt;=YEAR($F15),$K15="g"),ROUND(VLOOKUP(BR$4,Preisindex,4,FALSE)/VLOOKUP(Preisindex!$A$6,Preisindex,4,FALSE),2),IF(AND($E15&lt;&gt;0,$F15&gt;0,YEAR($F15)&lt;Preisindex!$A$6,YEAR(BM$4)&gt;=YEAR($F15),$K15="k"),ROUND(VLOOKUP(BR$4,Preisindex,2,FALSE)/VLOOKUP(Preisindex!$A$6,Preisindex,2,FALSE),2),0)))))</f>
        <v>0</v>
      </c>
      <c r="BT15" s="51">
        <f>IF(AND($E15&lt;&gt;0,$F15&gt;0,YEAR($F15)&lt;=BR$4,YEAR($F15)&gt;=Preisindex!$A$6),ROUND($E15*BR15,2),IF(AND($E15&lt;&gt;0,$F15&gt;0,YEAR($F15)&lt;=BR$4,YEAR($F15)&lt;Preisindex!$A$6),ROUND($E15*BS15,2),0))</f>
        <v>3297000</v>
      </c>
      <c r="BU15" s="53">
        <f t="shared" si="171"/>
        <v>65940</v>
      </c>
      <c r="BV15" s="51">
        <f t="shared" si="172"/>
        <v>0</v>
      </c>
      <c r="BW15" s="51">
        <f t="shared" si="266"/>
        <v>0</v>
      </c>
      <c r="BX15" s="51">
        <f t="shared" si="174"/>
        <v>0</v>
      </c>
      <c r="BY15" s="51">
        <f t="shared" si="267"/>
        <v>0</v>
      </c>
      <c r="BZ15" s="51">
        <f t="shared" si="176"/>
        <v>1050000</v>
      </c>
      <c r="CA15" s="51">
        <f t="shared" si="268"/>
        <v>1050000</v>
      </c>
      <c r="CB15" s="51">
        <f t="shared" si="178"/>
        <v>21000</v>
      </c>
      <c r="CC15" s="51">
        <f t="shared" si="269"/>
        <v>21000</v>
      </c>
      <c r="CD15" s="51">
        <f t="shared" si="180"/>
        <v>101500</v>
      </c>
      <c r="CE15" s="51">
        <f t="shared" si="270"/>
        <v>101500</v>
      </c>
      <c r="CF15" s="51">
        <f t="shared" si="182"/>
        <v>948500</v>
      </c>
      <c r="CG15" s="54">
        <f t="shared" si="183"/>
        <v>0</v>
      </c>
      <c r="CH15" s="55">
        <f t="shared" si="184"/>
        <v>0</v>
      </c>
      <c r="CI15" s="56">
        <f>IF(AND($E15&lt;&gt;0,$F15&gt;0,YEAR($F15)&gt;=Preisindex!$A$6,YEAR(CD$4)&gt;=YEAR($F15),AND($K15&lt;&gt;"a",$K15&lt;&gt;"b",$K15&lt;&gt;"g",$K15&lt;&gt;"k")),1,IF(AND($E15&lt;&gt;0,$F15&gt;0,YEAR($F15)&gt;=Preisindex!$A$6,YEAR(CD$4)&gt;=YEAR($F15),$K15="a"),ROUND(VLOOKUP(CI$4,Preisindex,5,FALSE)/VLOOKUP(YEAR($F15),Preisindex,5,FALSE),2),IF(AND($E15&lt;&gt;0,$F15&gt;0,YEAR($F15)&gt;=Preisindex!$A$6,YEAR(CD$4)&gt;=YEAR($F15),$K15="b"),ROUND(VLOOKUP(CI$4,Preisindex,3,FALSE)/VLOOKUP(YEAR($F15),Preisindex,3,FALSE),2),IF(AND($E15&lt;&gt;0,$F15&gt;0,YEAR($F15)&gt;=Preisindex!$A$6,YEAR(CD$4)&gt;=YEAR($F15),$K15="g"),ROUND(VLOOKUP(CI$4,Preisindex,4,FALSE)/VLOOKUP(YEAR($F15),Preisindex,4,FALSE),2),IF(AND($E15&lt;&gt;0,$F15&gt;0,YEAR($F15)&gt;=Preisindex!$A$6,YEAR(CD$4)&gt;=YEAR($F15),$K15="k"),ROUND(VLOOKUP(CI$4,Preisindex,2,FALSE)/VLOOKUP(YEAR($F15),Preisindex,2,FALSE),2),0)))))</f>
        <v>3.17</v>
      </c>
      <c r="CJ15" s="56">
        <f>IF(AND($E15&lt;&gt;0,$F15&gt;0,YEAR($F15)&lt;Preisindex!$A$6,YEAR(CD$4)&gt;=YEAR($F15),AND($K15&lt;&gt;"a",$K15&lt;&gt;"b",$K15&lt;&gt;"g",$K15&lt;&gt;"k")),1,IF(AND($E15&lt;&gt;0,$F15&gt;0,YEAR($F15)&lt;Preisindex!$A$6,YEAR(CD$4)&gt;=YEAR($F15),$K15="a"),ROUND(VLOOKUP(CI$4,Preisindex,5,FALSE)/VLOOKUP(Preisindex!$A$6,Preisindex,5,FALSE),2),IF(AND($E15&lt;&gt;0,$F15&gt;0,YEAR($F15)&lt;Preisindex!$A$6,YEAR(CD$4)&gt;=YEAR($F15),$K15="b"),ROUND(VLOOKUP(CI$4,Preisindex,3,FALSE)/VLOOKUP(Preisindex!$A$6,Preisindex,3,FALSE),2),IF(AND($E15&lt;&gt;0,$F15&gt;0,YEAR($F15)&lt;Preisindex!$A$6,YEAR(CD$4)&gt;=YEAR($F15),$K15="g"),ROUND(VLOOKUP(CI$4,Preisindex,4,FALSE)/VLOOKUP(Preisindex!$A$6,Preisindex,4,FALSE),2),IF(AND($E15&lt;&gt;0,$F15&gt;0,YEAR($F15)&lt;Preisindex!$A$6,YEAR(CD$4)&gt;=YEAR($F15),$K15="k"),ROUND(VLOOKUP(CI$4,Preisindex,2,FALSE)/VLOOKUP(Preisindex!$A$6,Preisindex,2,FALSE),2),0)))))</f>
        <v>0</v>
      </c>
      <c r="CK15" s="51">
        <f>IF(AND($E15&lt;&gt;0,$F15&gt;0,YEAR($F15)&lt;=CI$4,YEAR($F15)&gt;=Preisindex!$A$6),ROUND($E15*CI15,2),IF(AND($E15&lt;&gt;0,$F15&gt;0,YEAR($F15)&lt;=CI$4,YEAR($F15)&lt;Preisindex!$A$6),ROUND($E15*CJ15,2),0))</f>
        <v>3328500</v>
      </c>
      <c r="CL15" s="53">
        <f t="shared" si="185"/>
        <v>66570</v>
      </c>
      <c r="CM15" s="51">
        <f t="shared" si="172"/>
        <v>0</v>
      </c>
      <c r="CN15" s="51">
        <f t="shared" si="271"/>
        <v>0</v>
      </c>
      <c r="CO15" s="51">
        <f t="shared" si="188"/>
        <v>0</v>
      </c>
      <c r="CP15" s="51">
        <f t="shared" si="272"/>
        <v>0</v>
      </c>
      <c r="CQ15" s="51">
        <f t="shared" si="190"/>
        <v>1050000</v>
      </c>
      <c r="CR15" s="51">
        <f t="shared" si="273"/>
        <v>1050000</v>
      </c>
      <c r="CS15" s="51">
        <f t="shared" si="192"/>
        <v>21000</v>
      </c>
      <c r="CT15" s="51">
        <f t="shared" si="274"/>
        <v>21000</v>
      </c>
      <c r="CU15" s="51">
        <f t="shared" si="194"/>
        <v>80500</v>
      </c>
      <c r="CV15" s="51">
        <f t="shared" si="275"/>
        <v>80500</v>
      </c>
      <c r="CW15" s="51">
        <f t="shared" si="196"/>
        <v>969500</v>
      </c>
      <c r="CX15" s="54">
        <f t="shared" si="197"/>
        <v>0</v>
      </c>
      <c r="CY15" s="55">
        <f t="shared" si="198"/>
        <v>0</v>
      </c>
      <c r="CZ15" s="56">
        <f>IF(AND($E15&lt;&gt;0,$F15&gt;0,YEAR($F15)&gt;=Preisindex!$A$6,YEAR(CU$4)&gt;=YEAR($F15),AND($K15&lt;&gt;"a",$K15&lt;&gt;"b",$K15&lt;&gt;"g",$K15&lt;&gt;"k")),1,IF(AND($E15&lt;&gt;0,$F15&gt;0,YEAR($F15)&gt;=Preisindex!$A$6,YEAR(CU$4)&gt;=YEAR($F15),$K15="a"),ROUND(VLOOKUP(CZ$4,Preisindex,5,FALSE)/VLOOKUP(YEAR($F15),Preisindex,5,FALSE),2),IF(AND($E15&lt;&gt;0,$F15&gt;0,YEAR($F15)&gt;=Preisindex!$A$6,YEAR(CU$4)&gt;=YEAR($F15),$K15="b"),ROUND(VLOOKUP(CZ$4,Preisindex,3,FALSE)/VLOOKUP(YEAR($F15),Preisindex,3,FALSE),2),IF(AND($E15&lt;&gt;0,$F15&gt;0,YEAR($F15)&gt;=Preisindex!$A$6,YEAR(CU$4)&gt;=YEAR($F15),$K15="g"),ROUND(VLOOKUP(CZ$4,Preisindex,4,FALSE)/VLOOKUP(YEAR($F15),Preisindex,4,FALSE),2),IF(AND($E15&lt;&gt;0,$F15&gt;0,YEAR($F15)&gt;=Preisindex!$A$6,YEAR(CU$4)&gt;=YEAR($F15),$K15="k"),ROUND(VLOOKUP(CZ$4,Preisindex,2,FALSE)/VLOOKUP(YEAR($F15),Preisindex,2,FALSE),2),0)))))</f>
        <v>3.23</v>
      </c>
      <c r="DA15" s="56">
        <f>IF(AND($E15&lt;&gt;0,$F15&gt;0,YEAR($F15)&lt;Preisindex!$A$6,YEAR(CU$4)&gt;=YEAR($F15),AND($K15&lt;&gt;"a",$K15&lt;&gt;"b",$K15&lt;&gt;"g",$K15&lt;&gt;"k")),1,IF(AND($E15&lt;&gt;0,$F15&gt;0,YEAR($F15)&lt;Preisindex!$A$6,YEAR(CU$4)&gt;=YEAR($F15),$K15="a"),ROUND(VLOOKUP(CZ$4,Preisindex,5,FALSE)/VLOOKUP(Preisindex!$A$6,Preisindex,5,FALSE),2),IF(AND($E15&lt;&gt;0,$F15&gt;0,YEAR($F15)&lt;Preisindex!$A$6,YEAR(CU$4)&gt;=YEAR($F15),$K15="b"),ROUND(VLOOKUP(CZ$4,Preisindex,3,FALSE)/VLOOKUP(Preisindex!$A$6,Preisindex,3,FALSE),2),IF(AND($E15&lt;&gt;0,$F15&gt;0,YEAR($F15)&lt;Preisindex!$A$6,YEAR(CU$4)&gt;=YEAR($F15),$K15="g"),ROUND(VLOOKUP(CZ$4,Preisindex,4,FALSE)/VLOOKUP(Preisindex!$A$6,Preisindex,4,FALSE),2),IF(AND($E15&lt;&gt;0,$F15&gt;0,YEAR($F15)&lt;Preisindex!$A$6,YEAR(CU$4)&gt;=YEAR($F15),$K15="k"),ROUND(VLOOKUP(CZ$4,Preisindex,2,FALSE)/VLOOKUP(Preisindex!$A$6,Preisindex,2,FALSE),2),0)))))</f>
        <v>0</v>
      </c>
      <c r="DB15" s="51">
        <f>IF(AND($E15&lt;&gt;0,$F15&gt;0,YEAR($F15)&lt;=CZ$4,YEAR($F15)&gt;=Preisindex!$A$6),ROUND($E15*CZ15,2),IF(AND($E15&lt;&gt;0,$F15&gt;0,YEAR($F15)&lt;=CZ$4,YEAR($F15)&lt;Preisindex!$A$6),ROUND($E15*DA15,2),0))</f>
        <v>3391500</v>
      </c>
      <c r="DC15" s="53">
        <f t="shared" si="199"/>
        <v>67830</v>
      </c>
      <c r="DD15" s="51">
        <f t="shared" si="200"/>
        <v>0</v>
      </c>
      <c r="DE15" s="51">
        <f t="shared" si="276"/>
        <v>0</v>
      </c>
      <c r="DF15" s="51">
        <f t="shared" si="202"/>
        <v>0</v>
      </c>
      <c r="DG15" s="51">
        <f t="shared" si="277"/>
        <v>0</v>
      </c>
      <c r="DH15" s="51">
        <f t="shared" si="204"/>
        <v>1050000</v>
      </c>
      <c r="DI15" s="51">
        <f t="shared" si="278"/>
        <v>1050000</v>
      </c>
      <c r="DJ15" s="51">
        <f t="shared" si="206"/>
        <v>21000</v>
      </c>
      <c r="DK15" s="51">
        <f t="shared" si="279"/>
        <v>21000</v>
      </c>
      <c r="DL15" s="51">
        <f t="shared" si="208"/>
        <v>59500</v>
      </c>
      <c r="DM15" s="51">
        <f t="shared" si="280"/>
        <v>59500</v>
      </c>
      <c r="DN15" s="51">
        <f t="shared" si="210"/>
        <v>990500</v>
      </c>
      <c r="DO15" s="54">
        <f t="shared" si="211"/>
        <v>0</v>
      </c>
      <c r="DP15" s="55">
        <f t="shared" si="212"/>
        <v>0</v>
      </c>
      <c r="DQ15" s="56">
        <f>IF(AND($E15&lt;&gt;0,$F15&gt;0,YEAR($F15)&gt;=Preisindex!$A$6,YEAR(DL$4)&gt;=YEAR($F15),AND($K15&lt;&gt;"a",$K15&lt;&gt;"b",$K15&lt;&gt;"g",$K15&lt;&gt;"k")),1,IF(AND($E15&lt;&gt;0,$F15&gt;0,YEAR($F15)&gt;=Preisindex!$A$6,YEAR(DL$4)&gt;=YEAR($F15),$K15="a"),ROUND(VLOOKUP(DQ$4,Preisindex,5,FALSE)/VLOOKUP(YEAR($F15),Preisindex,5,FALSE),2),IF(AND($E15&lt;&gt;0,$F15&gt;0,YEAR($F15)&gt;=Preisindex!$A$6,YEAR(DL$4)&gt;=YEAR($F15),$K15="b"),ROUND(VLOOKUP(DQ$4,Preisindex,3,FALSE)/VLOOKUP(YEAR($F15),Preisindex,3,FALSE),2),IF(AND($E15&lt;&gt;0,$F15&gt;0,YEAR($F15)&gt;=Preisindex!$A$6,YEAR(DL$4)&gt;=YEAR($F15),$K15="g"),ROUND(VLOOKUP(DQ$4,Preisindex,4,FALSE)/VLOOKUP(YEAR($F15),Preisindex,4,FALSE),2),IF(AND($E15&lt;&gt;0,$F15&gt;0,YEAR($F15)&gt;=Preisindex!$A$6,YEAR(DL$4)&gt;=YEAR($F15),$K15="k"),ROUND(VLOOKUP(DQ$4,Preisindex,2,FALSE)/VLOOKUP(YEAR($F15),Preisindex,2,FALSE),2),0)))))</f>
        <v>3.33</v>
      </c>
      <c r="DR15" s="56">
        <f>IF(AND($E15&lt;&gt;0,$F15&gt;0,YEAR($F15)&lt;Preisindex!$A$6,YEAR(DL$4)&gt;=YEAR($F15),AND($K15&lt;&gt;"a",$K15&lt;&gt;"b",$K15&lt;&gt;"g",$K15&lt;&gt;"k")),1,IF(AND($E15&lt;&gt;0,$F15&gt;0,YEAR($F15)&lt;Preisindex!$A$6,YEAR(DL$4)&gt;=YEAR($F15),$K15="a"),ROUND(VLOOKUP(DQ$4,Preisindex,5,FALSE)/VLOOKUP(Preisindex!$A$6,Preisindex,5,FALSE),2),IF(AND($E15&lt;&gt;0,$F15&gt;0,YEAR($F15)&lt;Preisindex!$A$6,YEAR(DL$4)&gt;=YEAR($F15),$K15="b"),ROUND(VLOOKUP(DQ$4,Preisindex,3,FALSE)/VLOOKUP(Preisindex!$A$6,Preisindex,3,FALSE),2),IF(AND($E15&lt;&gt;0,$F15&gt;0,YEAR($F15)&lt;Preisindex!$A$6,YEAR(DL$4)&gt;=YEAR($F15),$K15="g"),ROUND(VLOOKUP(DQ$4,Preisindex,4,FALSE)/VLOOKUP(Preisindex!$A$6,Preisindex,4,FALSE),2),IF(AND($E15&lt;&gt;0,$F15&gt;0,YEAR($F15)&lt;Preisindex!$A$6,YEAR(DL$4)&gt;=YEAR($F15),$K15="k"),ROUND(VLOOKUP(DQ$4,Preisindex,2,FALSE)/VLOOKUP(Preisindex!$A$6,Preisindex,2,FALSE),2),0)))))</f>
        <v>0</v>
      </c>
      <c r="DS15" s="51">
        <f>IF(AND($E15&lt;&gt;0,$F15&gt;0,YEAR($F15)&lt;=DQ$4,YEAR($F15)&gt;=Preisindex!$A$6),ROUND($E15*DQ15,2),IF(AND($E15&lt;&gt;0,$F15&gt;0,YEAR($F15)&lt;=DQ$4,YEAR($F15)&lt;Preisindex!$A$6),ROUND($E15*DR15,2),0))</f>
        <v>3496500</v>
      </c>
      <c r="DT15" s="53">
        <f t="shared" si="213"/>
        <v>69930</v>
      </c>
      <c r="DU15" s="51">
        <f t="shared" si="200"/>
        <v>0</v>
      </c>
      <c r="DV15" s="51">
        <f t="shared" si="281"/>
        <v>0</v>
      </c>
      <c r="DW15" s="51">
        <f t="shared" si="216"/>
        <v>0</v>
      </c>
      <c r="DX15" s="51">
        <f t="shared" si="282"/>
        <v>0</v>
      </c>
      <c r="DY15" s="51">
        <f t="shared" si="218"/>
        <v>1050000</v>
      </c>
      <c r="DZ15" s="51">
        <f t="shared" si="283"/>
        <v>1050000</v>
      </c>
      <c r="EA15" s="51">
        <f t="shared" si="220"/>
        <v>21000</v>
      </c>
      <c r="EB15" s="51">
        <f t="shared" si="284"/>
        <v>21000</v>
      </c>
      <c r="EC15" s="51">
        <f t="shared" si="222"/>
        <v>38500</v>
      </c>
      <c r="ED15" s="51">
        <f t="shared" si="285"/>
        <v>38500</v>
      </c>
      <c r="EE15" s="51">
        <f t="shared" si="224"/>
        <v>1011500</v>
      </c>
      <c r="EF15" s="54">
        <f t="shared" si="225"/>
        <v>0</v>
      </c>
      <c r="EG15" s="55">
        <f t="shared" si="226"/>
        <v>0</v>
      </c>
      <c r="EH15" s="56">
        <f>IF(AND($E15&lt;&gt;0,$F15&gt;0,YEAR($F15)&gt;=Preisindex!$A$6,YEAR(EC$4)&gt;=YEAR($F15),AND($K15&lt;&gt;"a",$K15&lt;&gt;"b",$K15&lt;&gt;"g",$K15&lt;&gt;"k")),1,IF(AND($E15&lt;&gt;0,$F15&gt;0,YEAR($F15)&gt;=Preisindex!$A$6,YEAR(EC$4)&gt;=YEAR($F15),$K15="a"),ROUND(VLOOKUP(EH$4,Preisindex,5,FALSE)/VLOOKUP(YEAR($F15),Preisindex,5,FALSE),2),IF(AND($E15&lt;&gt;0,$F15&gt;0,YEAR($F15)&gt;=Preisindex!$A$6,YEAR(EC$4)&gt;=YEAR($F15),$K15="b"),ROUND(VLOOKUP(EH$4,Preisindex,3,FALSE)/VLOOKUP(YEAR($F15),Preisindex,3,FALSE),2),IF(AND($E15&lt;&gt;0,$F15&gt;0,YEAR($F15)&gt;=Preisindex!$A$6,YEAR(EC$4)&gt;=YEAR($F15),$K15="g"),ROUND(VLOOKUP(EH$4,Preisindex,4,FALSE)/VLOOKUP(YEAR($F15),Preisindex,4,FALSE),2),IF(AND($E15&lt;&gt;0,$F15&gt;0,YEAR($F15)&gt;=Preisindex!$A$6,YEAR(EC$4)&gt;=YEAR($F15),$K15="k"),ROUND(VLOOKUP(EH$4,Preisindex,2,FALSE)/VLOOKUP(YEAR($F15),Preisindex,2,FALSE),2),0)))))</f>
        <v>3.5</v>
      </c>
      <c r="EI15" s="56">
        <f>IF(AND($E15&lt;&gt;0,$F15&gt;0,YEAR($F15)&lt;Preisindex!$A$6,YEAR(EC$4)&gt;=YEAR($F15),AND($K15&lt;&gt;"a",$K15&lt;&gt;"b",$K15&lt;&gt;"g",$K15&lt;&gt;"k")),1,IF(AND($E15&lt;&gt;0,$F15&gt;0,YEAR($F15)&lt;Preisindex!$A$6,YEAR(EC$4)&gt;=YEAR($F15),$K15="a"),ROUND(VLOOKUP(EH$4,Preisindex,5,FALSE)/VLOOKUP(Preisindex!$A$6,Preisindex,5,FALSE),2),IF(AND($E15&lt;&gt;0,$F15&gt;0,YEAR($F15)&lt;Preisindex!$A$6,YEAR(EC$4)&gt;=YEAR($F15),$K15="b"),ROUND(VLOOKUP(EH$4,Preisindex,3,FALSE)/VLOOKUP(Preisindex!$A$6,Preisindex,3,FALSE),2),IF(AND($E15&lt;&gt;0,$F15&gt;0,YEAR($F15)&lt;Preisindex!$A$6,YEAR(EC$4)&gt;=YEAR($F15),$K15="g"),ROUND(VLOOKUP(EH$4,Preisindex,4,FALSE)/VLOOKUP(Preisindex!$A$6,Preisindex,4,FALSE),2),IF(AND($E15&lt;&gt;0,$F15&gt;0,YEAR($F15)&lt;Preisindex!$A$6,YEAR(EC$4)&gt;=YEAR($F15),$K15="k"),ROUND(VLOOKUP(EH$4,Preisindex,2,FALSE)/VLOOKUP(Preisindex!$A$6,Preisindex,2,FALSE),2),0)))))</f>
        <v>0</v>
      </c>
      <c r="EJ15" s="51">
        <f>IF(AND($E15&lt;&gt;0,$F15&gt;0,YEAR($F15)&lt;=EH$4,YEAR($F15)&gt;=Preisindex!$A$6),ROUND($E15*EH15,2),IF(AND($E15&lt;&gt;0,$F15&gt;0,YEAR($F15)&lt;=EH$4,YEAR($F15)&lt;Preisindex!$A$6),ROUND($E15*EI15,2),0))</f>
        <v>3675000</v>
      </c>
      <c r="EK15" s="53">
        <f t="shared" si="227"/>
        <v>73500</v>
      </c>
      <c r="EL15" s="51">
        <f t="shared" si="228"/>
        <v>0</v>
      </c>
      <c r="EM15" s="51">
        <f t="shared" si="286"/>
        <v>0</v>
      </c>
      <c r="EN15" s="51">
        <f t="shared" si="230"/>
        <v>0</v>
      </c>
      <c r="EO15" s="51">
        <f t="shared" si="287"/>
        <v>0</v>
      </c>
      <c r="EP15" s="51">
        <f t="shared" si="232"/>
        <v>1050000</v>
      </c>
      <c r="EQ15" s="51">
        <f t="shared" si="288"/>
        <v>1050000</v>
      </c>
      <c r="ER15" s="51">
        <f t="shared" si="234"/>
        <v>21000</v>
      </c>
      <c r="ES15" s="51">
        <f t="shared" si="289"/>
        <v>21000</v>
      </c>
      <c r="ET15" s="51">
        <f t="shared" si="236"/>
        <v>17500</v>
      </c>
      <c r="EU15" s="51">
        <f t="shared" si="290"/>
        <v>17500</v>
      </c>
      <c r="EV15" s="51">
        <f t="shared" si="238"/>
        <v>1032500</v>
      </c>
      <c r="EW15" s="54">
        <f t="shared" si="239"/>
        <v>0</v>
      </c>
      <c r="EX15" s="55">
        <f t="shared" si="240"/>
        <v>0</v>
      </c>
      <c r="EY15" s="56">
        <f>IF(AND($E15&lt;&gt;0,$F15&gt;0,YEAR($F15)&gt;=Preisindex!$A$6,YEAR(ET$4)&gt;=YEAR($F15),AND($K15&lt;&gt;"a",$K15&lt;&gt;"b",$K15&lt;&gt;"g",$K15&lt;&gt;"k")),1,IF(AND($E15&lt;&gt;0,$F15&gt;0,YEAR($F15)&gt;=Preisindex!$A$6,YEAR(ET$4)&gt;=YEAR($F15),$K15="a"),ROUND(VLOOKUP(EY$4,Preisindex,5,FALSE)/VLOOKUP(YEAR($F15),Preisindex,5,FALSE),2),IF(AND($E15&lt;&gt;0,$F15&gt;0,YEAR($F15)&gt;=Preisindex!$A$6,YEAR(ET$4)&gt;=YEAR($F15),$K15="b"),ROUND(VLOOKUP(EY$4,Preisindex,3,FALSE)/VLOOKUP(YEAR($F15),Preisindex,3,FALSE),2),IF(AND($E15&lt;&gt;0,$F15&gt;0,YEAR($F15)&gt;=Preisindex!$A$6,YEAR(ET$4)&gt;=YEAR($F15),$K15="g"),ROUND(VLOOKUP(EY$4,Preisindex,4,FALSE)/VLOOKUP(YEAR($F15),Preisindex,4,FALSE),2),IF(AND($E15&lt;&gt;0,$F15&gt;0,YEAR($F15)&gt;=Preisindex!$A$6,YEAR(ET$4)&gt;=YEAR($F15),$K15="k"),ROUND(VLOOKUP(EY$4,Preisindex,2,FALSE)/VLOOKUP(YEAR($F15),Preisindex,2,FALSE),2),0)))))</f>
        <v>3.5</v>
      </c>
      <c r="EZ15" s="56">
        <f>IF(AND($E15&lt;&gt;0,$F15&gt;0,YEAR($F15)&lt;Preisindex!$A$6,YEAR(ET$4)&gt;=YEAR($F15),AND($K15&lt;&gt;"a",$K15&lt;&gt;"b",$K15&lt;&gt;"g",$K15&lt;&gt;"k")),1,IF(AND($E15&lt;&gt;0,$F15&gt;0,YEAR($F15)&lt;Preisindex!$A$6,YEAR(ET$4)&gt;=YEAR($F15),$K15="a"),ROUND(VLOOKUP(EY$4,Preisindex,5,FALSE)/VLOOKUP(Preisindex!$A$6,Preisindex,5,FALSE),2),IF(AND($E15&lt;&gt;0,$F15&gt;0,YEAR($F15)&lt;Preisindex!$A$6,YEAR(ET$4)&gt;=YEAR($F15),$K15="b"),ROUND(VLOOKUP(EY$4,Preisindex,3,FALSE)/VLOOKUP(Preisindex!$A$6,Preisindex,3,FALSE),2),IF(AND($E15&lt;&gt;0,$F15&gt;0,YEAR($F15)&lt;Preisindex!$A$6,YEAR(ET$4)&gt;=YEAR($F15),$K15="g"),ROUND(VLOOKUP(EY$4,Preisindex,4,FALSE)/VLOOKUP(Preisindex!$A$6,Preisindex,4,FALSE),2),IF(AND($E15&lt;&gt;0,$F15&gt;0,YEAR($F15)&lt;Preisindex!$A$6,YEAR(ET$4)&gt;=YEAR($F15),$K15="k"),ROUND(VLOOKUP(EY$4,Preisindex,2,FALSE)/VLOOKUP(Preisindex!$A$6,Preisindex,2,FALSE),2),0)))))</f>
        <v>0</v>
      </c>
      <c r="FA15" s="51">
        <f>IF(AND($E15&lt;&gt;0,$F15&gt;0,YEAR($F15)&lt;=EY$4,YEAR($F15)&gt;=Preisindex!$A$6),ROUND($E15*EY15,2),IF(AND($E15&lt;&gt;0,$F15&gt;0,YEAR($F15)&lt;=EY$4,YEAR($F15)&lt;Preisindex!$A$6),ROUND($E15*EZ15,2),0))</f>
        <v>3675000</v>
      </c>
      <c r="FB15" s="53">
        <f t="shared" si="241"/>
        <v>73500</v>
      </c>
      <c r="FC15" s="51">
        <f t="shared" si="228"/>
        <v>0</v>
      </c>
      <c r="FD15" s="51">
        <f t="shared" si="291"/>
        <v>0</v>
      </c>
      <c r="FE15" s="51">
        <f t="shared" si="244"/>
        <v>0</v>
      </c>
      <c r="FF15" s="51">
        <f t="shared" si="292"/>
        <v>0</v>
      </c>
      <c r="FG15" s="51">
        <f t="shared" si="246"/>
        <v>1050000</v>
      </c>
      <c r="FH15" s="51">
        <f t="shared" si="293"/>
        <v>875000</v>
      </c>
      <c r="FI15" s="51">
        <f t="shared" si="248"/>
        <v>17500</v>
      </c>
      <c r="FJ15" s="51">
        <f t="shared" si="294"/>
        <v>17500</v>
      </c>
      <c r="FK15" s="51">
        <f t="shared" si="250"/>
        <v>0</v>
      </c>
      <c r="FL15" s="51">
        <f t="shared" si="295"/>
        <v>0</v>
      </c>
      <c r="FM15" s="51">
        <f t="shared" si="252"/>
        <v>1050000</v>
      </c>
      <c r="FN15" s="54">
        <f t="shared" si="253"/>
        <v>0</v>
      </c>
      <c r="FO15" s="55">
        <f t="shared" si="254"/>
        <v>0</v>
      </c>
      <c r="FP15" s="56">
        <f>IF(AND($E15&lt;&gt;0,$F15&gt;0,YEAR($F15)&gt;=Preisindex!$A$6,YEAR(FK$4)&gt;=YEAR($F15),AND($K15&lt;&gt;"a",$K15&lt;&gt;"b",$K15&lt;&gt;"g",$K15&lt;&gt;"k")),1,IF(AND($E15&lt;&gt;0,$F15&gt;0,YEAR($F15)&gt;=Preisindex!$A$6,YEAR(FK$4)&gt;=YEAR($F15),$K15="a"),ROUND(VLOOKUP(FP$4,Preisindex,5,FALSE)/VLOOKUP(YEAR($F15),Preisindex,5,FALSE),2),IF(AND($E15&lt;&gt;0,$F15&gt;0,YEAR($F15)&gt;=Preisindex!$A$6,YEAR(FK$4)&gt;=YEAR($F15),$K15="b"),ROUND(VLOOKUP(FP$4,Preisindex,3,FALSE)/VLOOKUP(YEAR($F15),Preisindex,3,FALSE),2),IF(AND($E15&lt;&gt;0,$F15&gt;0,YEAR($F15)&gt;=Preisindex!$A$6,YEAR(FK$4)&gt;=YEAR($F15),$K15="g"),ROUND(VLOOKUP(FP$4,Preisindex,4,FALSE)/VLOOKUP(YEAR($F15),Preisindex,4,FALSE),2),IF(AND($E15&lt;&gt;0,$F15&gt;0,YEAR($F15)&gt;=Preisindex!$A$6,YEAR(FK$4)&gt;=YEAR($F15),$K15="k"),ROUND(VLOOKUP(FP$4,Preisindex,2,FALSE)/VLOOKUP(YEAR($F15),Preisindex,2,FALSE),2),0)))))</f>
        <v>3.5</v>
      </c>
      <c r="FQ15" s="56">
        <f>IF(AND($E15&lt;&gt;0,$F15&gt;0,YEAR($F15)&lt;Preisindex!$A$6,YEAR(FK$4)&gt;=YEAR($F15),AND($K15&lt;&gt;"a",$K15&lt;&gt;"b",$K15&lt;&gt;"g",$K15&lt;&gt;"k")),1,IF(AND($E15&lt;&gt;0,$F15&gt;0,YEAR($F15)&lt;Preisindex!$A$6,YEAR(FK$4)&gt;=YEAR($F15),$K15="a"),ROUND(VLOOKUP(FP$4,Preisindex,5,FALSE)/VLOOKUP(Preisindex!$A$6,Preisindex,5,FALSE),2),IF(AND($E15&lt;&gt;0,$F15&gt;0,YEAR($F15)&lt;Preisindex!$A$6,YEAR(FK$4)&gt;=YEAR($F15),$K15="b"),ROUND(VLOOKUP(FP$4,Preisindex,3,FALSE)/VLOOKUP(Preisindex!$A$6,Preisindex,3,FALSE),2),IF(AND($E15&lt;&gt;0,$F15&gt;0,YEAR($F15)&lt;Preisindex!$A$6,YEAR(FK$4)&gt;=YEAR($F15),$K15="g"),ROUND(VLOOKUP(FP$4,Preisindex,4,FALSE)/VLOOKUP(Preisindex!$A$6,Preisindex,4,FALSE),2),IF(AND($E15&lt;&gt;0,$F15&gt;0,YEAR($F15)&lt;Preisindex!$A$6,YEAR(FK$4)&gt;=YEAR($F15),$K15="k"),ROUND(VLOOKUP(FP$4,Preisindex,2,FALSE)/VLOOKUP(Preisindex!$A$6,Preisindex,2,FALSE),2),0)))))</f>
        <v>0</v>
      </c>
      <c r="FR15" s="51">
        <f>IF(AND($E15&lt;&gt;0,$F15&gt;0,YEAR($F15)&lt;=FP$4,YEAR($F15)&gt;=Preisindex!$A$6),ROUND($E15*FP15,2),IF(AND($E15&lt;&gt;0,$F15&gt;0,YEAR($F15)&lt;=FP$4,YEAR($F15)&lt;Preisindex!$A$6),ROUND($E15*FQ15,2),0))</f>
        <v>3675000</v>
      </c>
      <c r="FS15" s="53">
        <f t="shared" si="255"/>
        <v>61250</v>
      </c>
    </row>
    <row r="16" spans="1:175" x14ac:dyDescent="0.3">
      <c r="A16" s="93">
        <v>1960</v>
      </c>
      <c r="B16" s="94" t="s">
        <v>205</v>
      </c>
      <c r="C16" s="94"/>
      <c r="D16" s="95" t="s">
        <v>18</v>
      </c>
      <c r="E16" s="99">
        <v>5250000</v>
      </c>
      <c r="F16" s="97">
        <v>25781</v>
      </c>
      <c r="G16" s="100">
        <v>50</v>
      </c>
      <c r="H16" s="622"/>
      <c r="I16" s="621"/>
      <c r="J16" s="194"/>
      <c r="K16" s="630" t="s">
        <v>266</v>
      </c>
      <c r="L16" s="49">
        <f t="shared" si="296"/>
        <v>0.02</v>
      </c>
      <c r="M16" s="50">
        <f t="shared" si="297"/>
        <v>105000</v>
      </c>
      <c r="N16" s="51">
        <f t="shared" si="298"/>
        <v>901250</v>
      </c>
      <c r="O16" s="51"/>
      <c r="P16" s="51">
        <f t="shared" si="299"/>
        <v>4348750</v>
      </c>
      <c r="Q16" s="52"/>
      <c r="R16" s="52"/>
      <c r="S16" s="52"/>
      <c r="T16" s="52"/>
      <c r="U16" s="52"/>
      <c r="V16" s="53">
        <f t="shared" si="300"/>
        <v>5250000</v>
      </c>
      <c r="W16" s="51">
        <f t="shared" si="301"/>
        <v>0</v>
      </c>
      <c r="X16" s="51">
        <f t="shared" si="302"/>
        <v>0</v>
      </c>
      <c r="Y16" s="51">
        <f t="shared" si="303"/>
        <v>0</v>
      </c>
      <c r="Z16" s="51">
        <f t="shared" si="304"/>
        <v>0</v>
      </c>
      <c r="AA16" s="51">
        <f t="shared" si="305"/>
        <v>5250000</v>
      </c>
      <c r="AB16" s="51">
        <f t="shared" si="306"/>
        <v>5250000</v>
      </c>
      <c r="AC16" s="51">
        <f t="shared" si="307"/>
        <v>105000</v>
      </c>
      <c r="AD16" s="51">
        <f t="shared" si="308"/>
        <v>105000</v>
      </c>
      <c r="AE16" s="51">
        <f t="shared" si="309"/>
        <v>796250</v>
      </c>
      <c r="AF16" s="51">
        <f t="shared" si="310"/>
        <v>796250</v>
      </c>
      <c r="AG16" s="51">
        <f t="shared" si="311"/>
        <v>4453750</v>
      </c>
      <c r="AH16" s="54">
        <f t="shared" si="312"/>
        <v>0</v>
      </c>
      <c r="AI16" s="55">
        <f t="shared" si="313"/>
        <v>0</v>
      </c>
      <c r="AJ16" s="56">
        <f>IF(AND($E16&lt;&gt;0,$F16&gt;0,YEAR($F16)&gt;=Preisindex!$A$6,YEAR(AE$4)&gt;=YEAR($F16),AND($K16&lt;&gt;"a",$K16&lt;&gt;"b",$K16&lt;&gt;"g",$K16&lt;&gt;"k")),1,IF(AND($E16&lt;&gt;0,$F16&gt;0,YEAR($F16)&gt;=Preisindex!$A$6,YEAR(AE$4)&gt;=YEAR($F16),$K16="a"),ROUND(VLOOKUP(AJ$4,Preisindex,5,FALSE)/VLOOKUP(YEAR($F16),Preisindex,5,FALSE),2),IF(AND($E16&lt;&gt;0,$F16&gt;0,YEAR($F16)&gt;=Preisindex!$A$6,YEAR(AE$4)&gt;=YEAR($F16),$K16="b"),ROUND(VLOOKUP(AJ$4,Preisindex,3,FALSE)/VLOOKUP(YEAR($F16),Preisindex,3,FALSE),2),IF(AND($E16&lt;&gt;0,$F16&gt;0,YEAR($F16)&gt;=Preisindex!$A$6,YEAR(AE$4)&gt;=YEAR($F16),$K16="g"),ROUND(VLOOKUP(AJ$4,Preisindex,4,FALSE)/VLOOKUP(YEAR($F16),Preisindex,4,FALSE),2),IF(AND($E16&lt;&gt;0,$F16&gt;0,YEAR($F16)&gt;=Preisindex!$A$6,YEAR(AE$4)&gt;=YEAR($F16),$K16="k"),ROUND(VLOOKUP(AJ$4,Preisindex,2,FALSE)/VLOOKUP(YEAR($F16),Preisindex,2,FALSE),2),0)))))</f>
        <v>3.03</v>
      </c>
      <c r="AK16" s="56">
        <f>IF(AND($E16&lt;&gt;0,$F16&gt;0,YEAR($F16)&lt;Preisindex!$A$6,YEAR(AE$4)&gt;=YEAR($F16),AND($K16&lt;&gt;"a",$K16&lt;&gt;"b",$K16&lt;&gt;"g",$K16&lt;&gt;"k")),1,IF(AND($E16&lt;&gt;0,$F16&gt;0,YEAR($F16)&lt;Preisindex!$A$6,YEAR(AE$4)&gt;=YEAR($F16),$K16="a"),ROUND(VLOOKUP(AJ$4,Preisindex,5,FALSE)/VLOOKUP(Preisindex!$A$6,Preisindex,5,FALSE),2),IF(AND($E16&lt;&gt;0,$F16&gt;0,YEAR($F16)&lt;Preisindex!$A$6,YEAR(AE$4)&gt;=YEAR($F16),$K16="b"),ROUND(VLOOKUP(AJ$4,Preisindex,3,FALSE)/VLOOKUP(Preisindex!$A$6,Preisindex,3,FALSE),2),IF(AND($E16&lt;&gt;0,$F16&gt;0,YEAR($F16)&lt;Preisindex!$A$6,YEAR(AE$4)&gt;=YEAR($F16),$K16="g"),ROUND(VLOOKUP(AJ$4,Preisindex,4,FALSE)/VLOOKUP(Preisindex!$A$6,Preisindex,4,FALSE),2),IF(AND($E16&lt;&gt;0,$F16&gt;0,YEAR($F16)&lt;Preisindex!$A$6,YEAR(AE$4)&gt;=YEAR($F16),$K16="k"),ROUND(VLOOKUP(AJ$4,Preisindex,2,FALSE)/VLOOKUP(Preisindex!$A$6,Preisindex,2,FALSE),2),0)))))</f>
        <v>0</v>
      </c>
      <c r="AL16" s="51">
        <f>IF(AND($E16&lt;&gt;0,$F16&gt;0,YEAR($F16)&lt;=AJ$4,YEAR($F16)&gt;=Preisindex!$A$6),ROUND($E16*AJ16,2),IF(AND($E16&lt;&gt;0,$F16&gt;0,YEAR($F16)&lt;=AJ$4,YEAR($F16)&lt;Preisindex!$A$6),ROUND($E16*AK16,2),0))</f>
        <v>15907500</v>
      </c>
      <c r="AM16" s="53">
        <f t="shared" si="314"/>
        <v>318150</v>
      </c>
      <c r="AN16" s="51">
        <f t="shared" si="144"/>
        <v>0</v>
      </c>
      <c r="AO16" s="51">
        <f t="shared" si="256"/>
        <v>0</v>
      </c>
      <c r="AP16" s="51">
        <f t="shared" si="146"/>
        <v>0</v>
      </c>
      <c r="AQ16" s="51">
        <f t="shared" si="257"/>
        <v>0</v>
      </c>
      <c r="AR16" s="51">
        <f t="shared" si="148"/>
        <v>5250000</v>
      </c>
      <c r="AS16" s="51">
        <f t="shared" si="258"/>
        <v>5250000</v>
      </c>
      <c r="AT16" s="51">
        <f t="shared" si="150"/>
        <v>105000</v>
      </c>
      <c r="AU16" s="51">
        <f t="shared" si="259"/>
        <v>105000</v>
      </c>
      <c r="AV16" s="51">
        <f t="shared" si="152"/>
        <v>691250</v>
      </c>
      <c r="AW16" s="51">
        <f t="shared" si="260"/>
        <v>691250</v>
      </c>
      <c r="AX16" s="51">
        <f t="shared" si="154"/>
        <v>4558750</v>
      </c>
      <c r="AY16" s="54">
        <f t="shared" si="155"/>
        <v>0</v>
      </c>
      <c r="AZ16" s="55">
        <f t="shared" si="156"/>
        <v>0</v>
      </c>
      <c r="BA16" s="56">
        <f>IF(AND($E16&lt;&gt;0,$F16&gt;0,YEAR($F16)&gt;=Preisindex!$A$6,YEAR(AV$4)&gt;=YEAR($F16),AND($K16&lt;&gt;"a",$K16&lt;&gt;"b",$K16&lt;&gt;"g",$K16&lt;&gt;"k")),1,IF(AND($E16&lt;&gt;0,$F16&gt;0,YEAR($F16)&gt;=Preisindex!$A$6,YEAR(AV$4)&gt;=YEAR($F16),$K16="a"),ROUND(VLOOKUP(BA$4,Preisindex,5,FALSE)/VLOOKUP(YEAR($F16),Preisindex,5,FALSE),2),IF(AND($E16&lt;&gt;0,$F16&gt;0,YEAR($F16)&gt;=Preisindex!$A$6,YEAR(AV$4)&gt;=YEAR($F16),$K16="b"),ROUND(VLOOKUP(BA$4,Preisindex,3,FALSE)/VLOOKUP(YEAR($F16),Preisindex,3,FALSE),2),IF(AND($E16&lt;&gt;0,$F16&gt;0,YEAR($F16)&gt;=Preisindex!$A$6,YEAR(AV$4)&gt;=YEAR($F16),$K16="g"),ROUND(VLOOKUP(BA$4,Preisindex,4,FALSE)/VLOOKUP(YEAR($F16),Preisindex,4,FALSE),2),IF(AND($E16&lt;&gt;0,$F16&gt;0,YEAR($F16)&gt;=Preisindex!$A$6,YEAR(AV$4)&gt;=YEAR($F16),$K16="k"),ROUND(VLOOKUP(BA$4,Preisindex,2,FALSE)/VLOOKUP(YEAR($F16),Preisindex,2,FALSE),2),0)))))</f>
        <v>3.09</v>
      </c>
      <c r="BB16" s="56">
        <f>IF(AND($E16&lt;&gt;0,$F16&gt;0,YEAR($F16)&lt;Preisindex!$A$6,YEAR(AV$4)&gt;=YEAR($F16),AND($K16&lt;&gt;"a",$K16&lt;&gt;"b",$K16&lt;&gt;"g",$K16&lt;&gt;"k")),1,IF(AND($E16&lt;&gt;0,$F16&gt;0,YEAR($F16)&lt;Preisindex!$A$6,YEAR(AV$4)&gt;=YEAR($F16),$K16="a"),ROUND(VLOOKUP(BA$4,Preisindex,5,FALSE)/VLOOKUP(Preisindex!$A$6,Preisindex,5,FALSE),2),IF(AND($E16&lt;&gt;0,$F16&gt;0,YEAR($F16)&lt;Preisindex!$A$6,YEAR(AV$4)&gt;=YEAR($F16),$K16="b"),ROUND(VLOOKUP(BA$4,Preisindex,3,FALSE)/VLOOKUP(Preisindex!$A$6,Preisindex,3,FALSE),2),IF(AND($E16&lt;&gt;0,$F16&gt;0,YEAR($F16)&lt;Preisindex!$A$6,YEAR(AV$4)&gt;=YEAR($F16),$K16="g"),ROUND(VLOOKUP(BA$4,Preisindex,4,FALSE)/VLOOKUP(Preisindex!$A$6,Preisindex,4,FALSE),2),IF(AND($E16&lt;&gt;0,$F16&gt;0,YEAR($F16)&lt;Preisindex!$A$6,YEAR(AV$4)&gt;=YEAR($F16),$K16="k"),ROUND(VLOOKUP(BA$4,Preisindex,2,FALSE)/VLOOKUP(Preisindex!$A$6,Preisindex,2,FALSE),2),0)))))</f>
        <v>0</v>
      </c>
      <c r="BC16" s="51">
        <f>IF(AND($E16&lt;&gt;0,$F16&gt;0,YEAR($F16)&lt;=BA$4,YEAR($F16)&gt;=Preisindex!$A$6),ROUND($E16*BA16,2),IF(AND($E16&lt;&gt;0,$F16&gt;0,YEAR($F16)&lt;=BA$4,YEAR($F16)&lt;Preisindex!$A$6),ROUND($E16*BB16,2),0))</f>
        <v>16222500</v>
      </c>
      <c r="BD16" s="53">
        <f t="shared" si="157"/>
        <v>324450</v>
      </c>
      <c r="BE16" s="51">
        <f t="shared" si="144"/>
        <v>0</v>
      </c>
      <c r="BF16" s="51">
        <f t="shared" si="261"/>
        <v>0</v>
      </c>
      <c r="BG16" s="51">
        <f t="shared" si="160"/>
        <v>0</v>
      </c>
      <c r="BH16" s="51">
        <f t="shared" si="262"/>
        <v>0</v>
      </c>
      <c r="BI16" s="51">
        <f t="shared" si="162"/>
        <v>5250000</v>
      </c>
      <c r="BJ16" s="51">
        <f t="shared" si="263"/>
        <v>5250000</v>
      </c>
      <c r="BK16" s="51">
        <f t="shared" si="164"/>
        <v>105000</v>
      </c>
      <c r="BL16" s="51">
        <f t="shared" si="264"/>
        <v>105000</v>
      </c>
      <c r="BM16" s="51">
        <f t="shared" si="166"/>
        <v>586250</v>
      </c>
      <c r="BN16" s="51">
        <f t="shared" si="265"/>
        <v>586250</v>
      </c>
      <c r="BO16" s="51">
        <f t="shared" si="168"/>
        <v>4663750</v>
      </c>
      <c r="BP16" s="54">
        <f t="shared" si="169"/>
        <v>0</v>
      </c>
      <c r="BQ16" s="55">
        <f t="shared" si="170"/>
        <v>0</v>
      </c>
      <c r="BR16" s="56">
        <f>IF(AND($E16&lt;&gt;0,$F16&gt;0,YEAR($F16)&gt;=Preisindex!$A$6,YEAR(BM$4)&gt;=YEAR($F16),AND($K16&lt;&gt;"a",$K16&lt;&gt;"b",$K16&lt;&gt;"g",$K16&lt;&gt;"k")),1,IF(AND($E16&lt;&gt;0,$F16&gt;0,YEAR($F16)&gt;=Preisindex!$A$6,YEAR(BM$4)&gt;=YEAR($F16),$K16="a"),ROUND(VLOOKUP(BR$4,Preisindex,5,FALSE)/VLOOKUP(YEAR($F16),Preisindex,5,FALSE),2),IF(AND($E16&lt;&gt;0,$F16&gt;0,YEAR($F16)&gt;=Preisindex!$A$6,YEAR(BM$4)&gt;=YEAR($F16),$K16="b"),ROUND(VLOOKUP(BR$4,Preisindex,3,FALSE)/VLOOKUP(YEAR($F16),Preisindex,3,FALSE),2),IF(AND($E16&lt;&gt;0,$F16&gt;0,YEAR($F16)&gt;=Preisindex!$A$6,YEAR(BM$4)&gt;=YEAR($F16),$K16="g"),ROUND(VLOOKUP(BR$4,Preisindex,4,FALSE)/VLOOKUP(YEAR($F16),Preisindex,4,FALSE),2),IF(AND($E16&lt;&gt;0,$F16&gt;0,YEAR($F16)&gt;=Preisindex!$A$6,YEAR(BM$4)&gt;=YEAR($F16),$K16="k"),ROUND(VLOOKUP(BR$4,Preisindex,2,FALSE)/VLOOKUP(YEAR($F16),Preisindex,2,FALSE),2),0)))))</f>
        <v>3.14</v>
      </c>
      <c r="BS16" s="56">
        <f>IF(AND($E16&lt;&gt;0,$F16&gt;0,YEAR($F16)&lt;Preisindex!$A$6,YEAR(BM$4)&gt;=YEAR($F16),AND($K16&lt;&gt;"a",$K16&lt;&gt;"b",$K16&lt;&gt;"g",$K16&lt;&gt;"k")),1,IF(AND($E16&lt;&gt;0,$F16&gt;0,YEAR($F16)&lt;Preisindex!$A$6,YEAR(BM$4)&gt;=YEAR($F16),$K16="a"),ROUND(VLOOKUP(BR$4,Preisindex,5,FALSE)/VLOOKUP(Preisindex!$A$6,Preisindex,5,FALSE),2),IF(AND($E16&lt;&gt;0,$F16&gt;0,YEAR($F16)&lt;Preisindex!$A$6,YEAR(BM$4)&gt;=YEAR($F16),$K16="b"),ROUND(VLOOKUP(BR$4,Preisindex,3,FALSE)/VLOOKUP(Preisindex!$A$6,Preisindex,3,FALSE),2),IF(AND($E16&lt;&gt;0,$F16&gt;0,YEAR($F16)&lt;Preisindex!$A$6,YEAR(BM$4)&gt;=YEAR($F16),$K16="g"),ROUND(VLOOKUP(BR$4,Preisindex,4,FALSE)/VLOOKUP(Preisindex!$A$6,Preisindex,4,FALSE),2),IF(AND($E16&lt;&gt;0,$F16&gt;0,YEAR($F16)&lt;Preisindex!$A$6,YEAR(BM$4)&gt;=YEAR($F16),$K16="k"),ROUND(VLOOKUP(BR$4,Preisindex,2,FALSE)/VLOOKUP(Preisindex!$A$6,Preisindex,2,FALSE),2),0)))))</f>
        <v>0</v>
      </c>
      <c r="BT16" s="51">
        <f>IF(AND($E16&lt;&gt;0,$F16&gt;0,YEAR($F16)&lt;=BR$4,YEAR($F16)&gt;=Preisindex!$A$6),ROUND($E16*BR16,2),IF(AND($E16&lt;&gt;0,$F16&gt;0,YEAR($F16)&lt;=BR$4,YEAR($F16)&lt;Preisindex!$A$6),ROUND($E16*BS16,2),0))</f>
        <v>16485000</v>
      </c>
      <c r="BU16" s="53">
        <f t="shared" si="171"/>
        <v>329700</v>
      </c>
      <c r="BV16" s="51">
        <f t="shared" si="172"/>
        <v>0</v>
      </c>
      <c r="BW16" s="51">
        <f t="shared" si="266"/>
        <v>0</v>
      </c>
      <c r="BX16" s="51">
        <f t="shared" si="174"/>
        <v>0</v>
      </c>
      <c r="BY16" s="51">
        <f t="shared" si="267"/>
        <v>0</v>
      </c>
      <c r="BZ16" s="51">
        <f t="shared" si="176"/>
        <v>5250000</v>
      </c>
      <c r="CA16" s="51">
        <f t="shared" si="268"/>
        <v>5250000</v>
      </c>
      <c r="CB16" s="51">
        <f t="shared" si="178"/>
        <v>105000</v>
      </c>
      <c r="CC16" s="51">
        <f t="shared" si="269"/>
        <v>105000</v>
      </c>
      <c r="CD16" s="51">
        <f t="shared" si="180"/>
        <v>481250</v>
      </c>
      <c r="CE16" s="51">
        <f t="shared" si="270"/>
        <v>481250</v>
      </c>
      <c r="CF16" s="51">
        <f t="shared" si="182"/>
        <v>4768750</v>
      </c>
      <c r="CG16" s="54">
        <f t="shared" si="183"/>
        <v>0</v>
      </c>
      <c r="CH16" s="55">
        <f t="shared" si="184"/>
        <v>0</v>
      </c>
      <c r="CI16" s="56">
        <f>IF(AND($E16&lt;&gt;0,$F16&gt;0,YEAR($F16)&gt;=Preisindex!$A$6,YEAR(CD$4)&gt;=YEAR($F16),AND($K16&lt;&gt;"a",$K16&lt;&gt;"b",$K16&lt;&gt;"g",$K16&lt;&gt;"k")),1,IF(AND($E16&lt;&gt;0,$F16&gt;0,YEAR($F16)&gt;=Preisindex!$A$6,YEAR(CD$4)&gt;=YEAR($F16),$K16="a"),ROUND(VLOOKUP(CI$4,Preisindex,5,FALSE)/VLOOKUP(YEAR($F16),Preisindex,5,FALSE),2),IF(AND($E16&lt;&gt;0,$F16&gt;0,YEAR($F16)&gt;=Preisindex!$A$6,YEAR(CD$4)&gt;=YEAR($F16),$K16="b"),ROUND(VLOOKUP(CI$4,Preisindex,3,FALSE)/VLOOKUP(YEAR($F16),Preisindex,3,FALSE),2),IF(AND($E16&lt;&gt;0,$F16&gt;0,YEAR($F16)&gt;=Preisindex!$A$6,YEAR(CD$4)&gt;=YEAR($F16),$K16="g"),ROUND(VLOOKUP(CI$4,Preisindex,4,FALSE)/VLOOKUP(YEAR($F16),Preisindex,4,FALSE),2),IF(AND($E16&lt;&gt;0,$F16&gt;0,YEAR($F16)&gt;=Preisindex!$A$6,YEAR(CD$4)&gt;=YEAR($F16),$K16="k"),ROUND(VLOOKUP(CI$4,Preisindex,2,FALSE)/VLOOKUP(YEAR($F16),Preisindex,2,FALSE),2),0)))))</f>
        <v>3.17</v>
      </c>
      <c r="CJ16" s="56">
        <f>IF(AND($E16&lt;&gt;0,$F16&gt;0,YEAR($F16)&lt;Preisindex!$A$6,YEAR(CD$4)&gt;=YEAR($F16),AND($K16&lt;&gt;"a",$K16&lt;&gt;"b",$K16&lt;&gt;"g",$K16&lt;&gt;"k")),1,IF(AND($E16&lt;&gt;0,$F16&gt;0,YEAR($F16)&lt;Preisindex!$A$6,YEAR(CD$4)&gt;=YEAR($F16),$K16="a"),ROUND(VLOOKUP(CI$4,Preisindex,5,FALSE)/VLOOKUP(Preisindex!$A$6,Preisindex,5,FALSE),2),IF(AND($E16&lt;&gt;0,$F16&gt;0,YEAR($F16)&lt;Preisindex!$A$6,YEAR(CD$4)&gt;=YEAR($F16),$K16="b"),ROUND(VLOOKUP(CI$4,Preisindex,3,FALSE)/VLOOKUP(Preisindex!$A$6,Preisindex,3,FALSE),2),IF(AND($E16&lt;&gt;0,$F16&gt;0,YEAR($F16)&lt;Preisindex!$A$6,YEAR(CD$4)&gt;=YEAR($F16),$K16="g"),ROUND(VLOOKUP(CI$4,Preisindex,4,FALSE)/VLOOKUP(Preisindex!$A$6,Preisindex,4,FALSE),2),IF(AND($E16&lt;&gt;0,$F16&gt;0,YEAR($F16)&lt;Preisindex!$A$6,YEAR(CD$4)&gt;=YEAR($F16),$K16="k"),ROUND(VLOOKUP(CI$4,Preisindex,2,FALSE)/VLOOKUP(Preisindex!$A$6,Preisindex,2,FALSE),2),0)))))</f>
        <v>0</v>
      </c>
      <c r="CK16" s="51">
        <f>IF(AND($E16&lt;&gt;0,$F16&gt;0,YEAR($F16)&lt;=CI$4,YEAR($F16)&gt;=Preisindex!$A$6),ROUND($E16*CI16,2),IF(AND($E16&lt;&gt;0,$F16&gt;0,YEAR($F16)&lt;=CI$4,YEAR($F16)&lt;Preisindex!$A$6),ROUND($E16*CJ16,2),0))</f>
        <v>16642500</v>
      </c>
      <c r="CL16" s="53">
        <f t="shared" si="185"/>
        <v>332850</v>
      </c>
      <c r="CM16" s="51">
        <f t="shared" si="172"/>
        <v>0</v>
      </c>
      <c r="CN16" s="51">
        <f t="shared" si="271"/>
        <v>0</v>
      </c>
      <c r="CO16" s="51">
        <f t="shared" si="188"/>
        <v>0</v>
      </c>
      <c r="CP16" s="51">
        <f t="shared" si="272"/>
        <v>0</v>
      </c>
      <c r="CQ16" s="51">
        <f t="shared" si="190"/>
        <v>5250000</v>
      </c>
      <c r="CR16" s="51">
        <f t="shared" si="273"/>
        <v>5250000</v>
      </c>
      <c r="CS16" s="51">
        <f t="shared" si="192"/>
        <v>105000</v>
      </c>
      <c r="CT16" s="51">
        <f t="shared" si="274"/>
        <v>105000</v>
      </c>
      <c r="CU16" s="51">
        <f t="shared" si="194"/>
        <v>376250</v>
      </c>
      <c r="CV16" s="51">
        <f t="shared" si="275"/>
        <v>376250</v>
      </c>
      <c r="CW16" s="51">
        <f t="shared" si="196"/>
        <v>4873750</v>
      </c>
      <c r="CX16" s="54">
        <f t="shared" si="197"/>
        <v>0</v>
      </c>
      <c r="CY16" s="55">
        <f t="shared" si="198"/>
        <v>0</v>
      </c>
      <c r="CZ16" s="56">
        <f>IF(AND($E16&lt;&gt;0,$F16&gt;0,YEAR($F16)&gt;=Preisindex!$A$6,YEAR(CU$4)&gt;=YEAR($F16),AND($K16&lt;&gt;"a",$K16&lt;&gt;"b",$K16&lt;&gt;"g",$K16&lt;&gt;"k")),1,IF(AND($E16&lt;&gt;0,$F16&gt;0,YEAR($F16)&gt;=Preisindex!$A$6,YEAR(CU$4)&gt;=YEAR($F16),$K16="a"),ROUND(VLOOKUP(CZ$4,Preisindex,5,FALSE)/VLOOKUP(YEAR($F16),Preisindex,5,FALSE),2),IF(AND($E16&lt;&gt;0,$F16&gt;0,YEAR($F16)&gt;=Preisindex!$A$6,YEAR(CU$4)&gt;=YEAR($F16),$K16="b"),ROUND(VLOOKUP(CZ$4,Preisindex,3,FALSE)/VLOOKUP(YEAR($F16),Preisindex,3,FALSE),2),IF(AND($E16&lt;&gt;0,$F16&gt;0,YEAR($F16)&gt;=Preisindex!$A$6,YEAR(CU$4)&gt;=YEAR($F16),$K16="g"),ROUND(VLOOKUP(CZ$4,Preisindex,4,FALSE)/VLOOKUP(YEAR($F16),Preisindex,4,FALSE),2),IF(AND($E16&lt;&gt;0,$F16&gt;0,YEAR($F16)&gt;=Preisindex!$A$6,YEAR(CU$4)&gt;=YEAR($F16),$K16="k"),ROUND(VLOOKUP(CZ$4,Preisindex,2,FALSE)/VLOOKUP(YEAR($F16),Preisindex,2,FALSE),2),0)))))</f>
        <v>3.23</v>
      </c>
      <c r="DA16" s="56">
        <f>IF(AND($E16&lt;&gt;0,$F16&gt;0,YEAR($F16)&lt;Preisindex!$A$6,YEAR(CU$4)&gt;=YEAR($F16),AND($K16&lt;&gt;"a",$K16&lt;&gt;"b",$K16&lt;&gt;"g",$K16&lt;&gt;"k")),1,IF(AND($E16&lt;&gt;0,$F16&gt;0,YEAR($F16)&lt;Preisindex!$A$6,YEAR(CU$4)&gt;=YEAR($F16),$K16="a"),ROUND(VLOOKUP(CZ$4,Preisindex,5,FALSE)/VLOOKUP(Preisindex!$A$6,Preisindex,5,FALSE),2),IF(AND($E16&lt;&gt;0,$F16&gt;0,YEAR($F16)&lt;Preisindex!$A$6,YEAR(CU$4)&gt;=YEAR($F16),$K16="b"),ROUND(VLOOKUP(CZ$4,Preisindex,3,FALSE)/VLOOKUP(Preisindex!$A$6,Preisindex,3,FALSE),2),IF(AND($E16&lt;&gt;0,$F16&gt;0,YEAR($F16)&lt;Preisindex!$A$6,YEAR(CU$4)&gt;=YEAR($F16),$K16="g"),ROUND(VLOOKUP(CZ$4,Preisindex,4,FALSE)/VLOOKUP(Preisindex!$A$6,Preisindex,4,FALSE),2),IF(AND($E16&lt;&gt;0,$F16&gt;0,YEAR($F16)&lt;Preisindex!$A$6,YEAR(CU$4)&gt;=YEAR($F16),$K16="k"),ROUND(VLOOKUP(CZ$4,Preisindex,2,FALSE)/VLOOKUP(Preisindex!$A$6,Preisindex,2,FALSE),2),0)))))</f>
        <v>0</v>
      </c>
      <c r="DB16" s="51">
        <f>IF(AND($E16&lt;&gt;0,$F16&gt;0,YEAR($F16)&lt;=CZ$4,YEAR($F16)&gt;=Preisindex!$A$6),ROUND($E16*CZ16,2),IF(AND($E16&lt;&gt;0,$F16&gt;0,YEAR($F16)&lt;=CZ$4,YEAR($F16)&lt;Preisindex!$A$6),ROUND($E16*DA16,2),0))</f>
        <v>16957500</v>
      </c>
      <c r="DC16" s="53">
        <f t="shared" si="199"/>
        <v>339150</v>
      </c>
      <c r="DD16" s="51">
        <f t="shared" si="200"/>
        <v>0</v>
      </c>
      <c r="DE16" s="51">
        <f t="shared" si="276"/>
        <v>0</v>
      </c>
      <c r="DF16" s="51">
        <f t="shared" si="202"/>
        <v>0</v>
      </c>
      <c r="DG16" s="51">
        <f t="shared" si="277"/>
        <v>0</v>
      </c>
      <c r="DH16" s="51">
        <f t="shared" si="204"/>
        <v>5250000</v>
      </c>
      <c r="DI16" s="51">
        <f t="shared" si="278"/>
        <v>5250000</v>
      </c>
      <c r="DJ16" s="51">
        <f t="shared" si="206"/>
        <v>105000</v>
      </c>
      <c r="DK16" s="51">
        <f t="shared" si="279"/>
        <v>105000</v>
      </c>
      <c r="DL16" s="51">
        <f t="shared" si="208"/>
        <v>271250</v>
      </c>
      <c r="DM16" s="51">
        <f t="shared" si="280"/>
        <v>271250</v>
      </c>
      <c r="DN16" s="51">
        <f t="shared" si="210"/>
        <v>4978750</v>
      </c>
      <c r="DO16" s="54">
        <f t="shared" si="211"/>
        <v>0</v>
      </c>
      <c r="DP16" s="55">
        <f t="shared" si="212"/>
        <v>0</v>
      </c>
      <c r="DQ16" s="56">
        <f>IF(AND($E16&lt;&gt;0,$F16&gt;0,YEAR($F16)&gt;=Preisindex!$A$6,YEAR(DL$4)&gt;=YEAR($F16),AND($K16&lt;&gt;"a",$K16&lt;&gt;"b",$K16&lt;&gt;"g",$K16&lt;&gt;"k")),1,IF(AND($E16&lt;&gt;0,$F16&gt;0,YEAR($F16)&gt;=Preisindex!$A$6,YEAR(DL$4)&gt;=YEAR($F16),$K16="a"),ROUND(VLOOKUP(DQ$4,Preisindex,5,FALSE)/VLOOKUP(YEAR($F16),Preisindex,5,FALSE),2),IF(AND($E16&lt;&gt;0,$F16&gt;0,YEAR($F16)&gt;=Preisindex!$A$6,YEAR(DL$4)&gt;=YEAR($F16),$K16="b"),ROUND(VLOOKUP(DQ$4,Preisindex,3,FALSE)/VLOOKUP(YEAR($F16),Preisindex,3,FALSE),2),IF(AND($E16&lt;&gt;0,$F16&gt;0,YEAR($F16)&gt;=Preisindex!$A$6,YEAR(DL$4)&gt;=YEAR($F16),$K16="g"),ROUND(VLOOKUP(DQ$4,Preisindex,4,FALSE)/VLOOKUP(YEAR($F16),Preisindex,4,FALSE),2),IF(AND($E16&lt;&gt;0,$F16&gt;0,YEAR($F16)&gt;=Preisindex!$A$6,YEAR(DL$4)&gt;=YEAR($F16),$K16="k"),ROUND(VLOOKUP(DQ$4,Preisindex,2,FALSE)/VLOOKUP(YEAR($F16),Preisindex,2,FALSE),2),0)))))</f>
        <v>3.33</v>
      </c>
      <c r="DR16" s="56">
        <f>IF(AND($E16&lt;&gt;0,$F16&gt;0,YEAR($F16)&lt;Preisindex!$A$6,YEAR(DL$4)&gt;=YEAR($F16),AND($K16&lt;&gt;"a",$K16&lt;&gt;"b",$K16&lt;&gt;"g",$K16&lt;&gt;"k")),1,IF(AND($E16&lt;&gt;0,$F16&gt;0,YEAR($F16)&lt;Preisindex!$A$6,YEAR(DL$4)&gt;=YEAR($F16),$K16="a"),ROUND(VLOOKUP(DQ$4,Preisindex,5,FALSE)/VLOOKUP(Preisindex!$A$6,Preisindex,5,FALSE),2),IF(AND($E16&lt;&gt;0,$F16&gt;0,YEAR($F16)&lt;Preisindex!$A$6,YEAR(DL$4)&gt;=YEAR($F16),$K16="b"),ROUND(VLOOKUP(DQ$4,Preisindex,3,FALSE)/VLOOKUP(Preisindex!$A$6,Preisindex,3,FALSE),2),IF(AND($E16&lt;&gt;0,$F16&gt;0,YEAR($F16)&lt;Preisindex!$A$6,YEAR(DL$4)&gt;=YEAR($F16),$K16="g"),ROUND(VLOOKUP(DQ$4,Preisindex,4,FALSE)/VLOOKUP(Preisindex!$A$6,Preisindex,4,FALSE),2),IF(AND($E16&lt;&gt;0,$F16&gt;0,YEAR($F16)&lt;Preisindex!$A$6,YEAR(DL$4)&gt;=YEAR($F16),$K16="k"),ROUND(VLOOKUP(DQ$4,Preisindex,2,FALSE)/VLOOKUP(Preisindex!$A$6,Preisindex,2,FALSE),2),0)))))</f>
        <v>0</v>
      </c>
      <c r="DS16" s="51">
        <f>IF(AND($E16&lt;&gt;0,$F16&gt;0,YEAR($F16)&lt;=DQ$4,YEAR($F16)&gt;=Preisindex!$A$6),ROUND($E16*DQ16,2),IF(AND($E16&lt;&gt;0,$F16&gt;0,YEAR($F16)&lt;=DQ$4,YEAR($F16)&lt;Preisindex!$A$6),ROUND($E16*DR16,2),0))</f>
        <v>17482500</v>
      </c>
      <c r="DT16" s="53">
        <f t="shared" si="213"/>
        <v>349650</v>
      </c>
      <c r="DU16" s="51">
        <f t="shared" si="200"/>
        <v>0</v>
      </c>
      <c r="DV16" s="51">
        <f t="shared" si="281"/>
        <v>0</v>
      </c>
      <c r="DW16" s="51">
        <f t="shared" si="216"/>
        <v>0</v>
      </c>
      <c r="DX16" s="51">
        <f t="shared" si="282"/>
        <v>0</v>
      </c>
      <c r="DY16" s="51">
        <f t="shared" si="218"/>
        <v>5250000</v>
      </c>
      <c r="DZ16" s="51">
        <f t="shared" si="283"/>
        <v>5250000</v>
      </c>
      <c r="EA16" s="51">
        <f t="shared" si="220"/>
        <v>105000</v>
      </c>
      <c r="EB16" s="51">
        <f t="shared" si="284"/>
        <v>105000</v>
      </c>
      <c r="EC16" s="51">
        <f t="shared" si="222"/>
        <v>166250</v>
      </c>
      <c r="ED16" s="51">
        <f t="shared" si="285"/>
        <v>166250</v>
      </c>
      <c r="EE16" s="51">
        <f t="shared" si="224"/>
        <v>5083750</v>
      </c>
      <c r="EF16" s="54">
        <f t="shared" si="225"/>
        <v>0</v>
      </c>
      <c r="EG16" s="55">
        <f t="shared" si="226"/>
        <v>0</v>
      </c>
      <c r="EH16" s="56">
        <f>IF(AND($E16&lt;&gt;0,$F16&gt;0,YEAR($F16)&gt;=Preisindex!$A$6,YEAR(EC$4)&gt;=YEAR($F16),AND($K16&lt;&gt;"a",$K16&lt;&gt;"b",$K16&lt;&gt;"g",$K16&lt;&gt;"k")),1,IF(AND($E16&lt;&gt;0,$F16&gt;0,YEAR($F16)&gt;=Preisindex!$A$6,YEAR(EC$4)&gt;=YEAR($F16),$K16="a"),ROUND(VLOOKUP(EH$4,Preisindex,5,FALSE)/VLOOKUP(YEAR($F16),Preisindex,5,FALSE),2),IF(AND($E16&lt;&gt;0,$F16&gt;0,YEAR($F16)&gt;=Preisindex!$A$6,YEAR(EC$4)&gt;=YEAR($F16),$K16="b"),ROUND(VLOOKUP(EH$4,Preisindex,3,FALSE)/VLOOKUP(YEAR($F16),Preisindex,3,FALSE),2),IF(AND($E16&lt;&gt;0,$F16&gt;0,YEAR($F16)&gt;=Preisindex!$A$6,YEAR(EC$4)&gt;=YEAR($F16),$K16="g"),ROUND(VLOOKUP(EH$4,Preisindex,4,FALSE)/VLOOKUP(YEAR($F16),Preisindex,4,FALSE),2),IF(AND($E16&lt;&gt;0,$F16&gt;0,YEAR($F16)&gt;=Preisindex!$A$6,YEAR(EC$4)&gt;=YEAR($F16),$K16="k"),ROUND(VLOOKUP(EH$4,Preisindex,2,FALSE)/VLOOKUP(YEAR($F16),Preisindex,2,FALSE),2),0)))))</f>
        <v>3.5</v>
      </c>
      <c r="EI16" s="56">
        <f>IF(AND($E16&lt;&gt;0,$F16&gt;0,YEAR($F16)&lt;Preisindex!$A$6,YEAR(EC$4)&gt;=YEAR($F16),AND($K16&lt;&gt;"a",$K16&lt;&gt;"b",$K16&lt;&gt;"g",$K16&lt;&gt;"k")),1,IF(AND($E16&lt;&gt;0,$F16&gt;0,YEAR($F16)&lt;Preisindex!$A$6,YEAR(EC$4)&gt;=YEAR($F16),$K16="a"),ROUND(VLOOKUP(EH$4,Preisindex,5,FALSE)/VLOOKUP(Preisindex!$A$6,Preisindex,5,FALSE),2),IF(AND($E16&lt;&gt;0,$F16&gt;0,YEAR($F16)&lt;Preisindex!$A$6,YEAR(EC$4)&gt;=YEAR($F16),$K16="b"),ROUND(VLOOKUP(EH$4,Preisindex,3,FALSE)/VLOOKUP(Preisindex!$A$6,Preisindex,3,FALSE),2),IF(AND($E16&lt;&gt;0,$F16&gt;0,YEAR($F16)&lt;Preisindex!$A$6,YEAR(EC$4)&gt;=YEAR($F16),$K16="g"),ROUND(VLOOKUP(EH$4,Preisindex,4,FALSE)/VLOOKUP(Preisindex!$A$6,Preisindex,4,FALSE),2),IF(AND($E16&lt;&gt;0,$F16&gt;0,YEAR($F16)&lt;Preisindex!$A$6,YEAR(EC$4)&gt;=YEAR($F16),$K16="k"),ROUND(VLOOKUP(EH$4,Preisindex,2,FALSE)/VLOOKUP(Preisindex!$A$6,Preisindex,2,FALSE),2),0)))))</f>
        <v>0</v>
      </c>
      <c r="EJ16" s="51">
        <f>IF(AND($E16&lt;&gt;0,$F16&gt;0,YEAR($F16)&lt;=EH$4,YEAR($F16)&gt;=Preisindex!$A$6),ROUND($E16*EH16,2),IF(AND($E16&lt;&gt;0,$F16&gt;0,YEAR($F16)&lt;=EH$4,YEAR($F16)&lt;Preisindex!$A$6),ROUND($E16*EI16,2),0))</f>
        <v>18375000</v>
      </c>
      <c r="EK16" s="53">
        <f t="shared" si="227"/>
        <v>367500</v>
      </c>
      <c r="EL16" s="51">
        <f t="shared" si="228"/>
        <v>0</v>
      </c>
      <c r="EM16" s="51">
        <f t="shared" si="286"/>
        <v>0</v>
      </c>
      <c r="EN16" s="51">
        <f t="shared" si="230"/>
        <v>0</v>
      </c>
      <c r="EO16" s="51">
        <f t="shared" si="287"/>
        <v>0</v>
      </c>
      <c r="EP16" s="51">
        <f t="shared" si="232"/>
        <v>5250000</v>
      </c>
      <c r="EQ16" s="51">
        <f t="shared" si="288"/>
        <v>5250000</v>
      </c>
      <c r="ER16" s="51">
        <f t="shared" si="234"/>
        <v>105000</v>
      </c>
      <c r="ES16" s="51">
        <f t="shared" si="289"/>
        <v>105000</v>
      </c>
      <c r="ET16" s="51">
        <f t="shared" si="236"/>
        <v>61250</v>
      </c>
      <c r="EU16" s="51">
        <f t="shared" si="290"/>
        <v>61250</v>
      </c>
      <c r="EV16" s="51">
        <f t="shared" si="238"/>
        <v>5188750</v>
      </c>
      <c r="EW16" s="54">
        <f t="shared" si="239"/>
        <v>0</v>
      </c>
      <c r="EX16" s="55">
        <f t="shared" si="240"/>
        <v>0</v>
      </c>
      <c r="EY16" s="56">
        <f>IF(AND($E16&lt;&gt;0,$F16&gt;0,YEAR($F16)&gt;=Preisindex!$A$6,YEAR(ET$4)&gt;=YEAR($F16),AND($K16&lt;&gt;"a",$K16&lt;&gt;"b",$K16&lt;&gt;"g",$K16&lt;&gt;"k")),1,IF(AND($E16&lt;&gt;0,$F16&gt;0,YEAR($F16)&gt;=Preisindex!$A$6,YEAR(ET$4)&gt;=YEAR($F16),$K16="a"),ROUND(VLOOKUP(EY$4,Preisindex,5,FALSE)/VLOOKUP(YEAR($F16),Preisindex,5,FALSE),2),IF(AND($E16&lt;&gt;0,$F16&gt;0,YEAR($F16)&gt;=Preisindex!$A$6,YEAR(ET$4)&gt;=YEAR($F16),$K16="b"),ROUND(VLOOKUP(EY$4,Preisindex,3,FALSE)/VLOOKUP(YEAR($F16),Preisindex,3,FALSE),2),IF(AND($E16&lt;&gt;0,$F16&gt;0,YEAR($F16)&gt;=Preisindex!$A$6,YEAR(ET$4)&gt;=YEAR($F16),$K16="g"),ROUND(VLOOKUP(EY$4,Preisindex,4,FALSE)/VLOOKUP(YEAR($F16),Preisindex,4,FALSE),2),IF(AND($E16&lt;&gt;0,$F16&gt;0,YEAR($F16)&gt;=Preisindex!$A$6,YEAR(ET$4)&gt;=YEAR($F16),$K16="k"),ROUND(VLOOKUP(EY$4,Preisindex,2,FALSE)/VLOOKUP(YEAR($F16),Preisindex,2,FALSE),2),0)))))</f>
        <v>3.5</v>
      </c>
      <c r="EZ16" s="56">
        <f>IF(AND($E16&lt;&gt;0,$F16&gt;0,YEAR($F16)&lt;Preisindex!$A$6,YEAR(ET$4)&gt;=YEAR($F16),AND($K16&lt;&gt;"a",$K16&lt;&gt;"b",$K16&lt;&gt;"g",$K16&lt;&gt;"k")),1,IF(AND($E16&lt;&gt;0,$F16&gt;0,YEAR($F16)&lt;Preisindex!$A$6,YEAR(ET$4)&gt;=YEAR($F16),$K16="a"),ROUND(VLOOKUP(EY$4,Preisindex,5,FALSE)/VLOOKUP(Preisindex!$A$6,Preisindex,5,FALSE),2),IF(AND($E16&lt;&gt;0,$F16&gt;0,YEAR($F16)&lt;Preisindex!$A$6,YEAR(ET$4)&gt;=YEAR($F16),$K16="b"),ROUND(VLOOKUP(EY$4,Preisindex,3,FALSE)/VLOOKUP(Preisindex!$A$6,Preisindex,3,FALSE),2),IF(AND($E16&lt;&gt;0,$F16&gt;0,YEAR($F16)&lt;Preisindex!$A$6,YEAR(ET$4)&gt;=YEAR($F16),$K16="g"),ROUND(VLOOKUP(EY$4,Preisindex,4,FALSE)/VLOOKUP(Preisindex!$A$6,Preisindex,4,FALSE),2),IF(AND($E16&lt;&gt;0,$F16&gt;0,YEAR($F16)&lt;Preisindex!$A$6,YEAR(ET$4)&gt;=YEAR($F16),$K16="k"),ROUND(VLOOKUP(EY$4,Preisindex,2,FALSE)/VLOOKUP(Preisindex!$A$6,Preisindex,2,FALSE),2),0)))))</f>
        <v>0</v>
      </c>
      <c r="FA16" s="51">
        <f>IF(AND($E16&lt;&gt;0,$F16&gt;0,YEAR($F16)&lt;=EY$4,YEAR($F16)&gt;=Preisindex!$A$6),ROUND($E16*EY16,2),IF(AND($E16&lt;&gt;0,$F16&gt;0,YEAR($F16)&lt;=EY$4,YEAR($F16)&lt;Preisindex!$A$6),ROUND($E16*EZ16,2),0))</f>
        <v>18375000</v>
      </c>
      <c r="FB16" s="53">
        <f t="shared" si="241"/>
        <v>367500</v>
      </c>
      <c r="FC16" s="51">
        <f t="shared" si="228"/>
        <v>0</v>
      </c>
      <c r="FD16" s="51">
        <f t="shared" si="291"/>
        <v>0</v>
      </c>
      <c r="FE16" s="51">
        <f t="shared" si="244"/>
        <v>0</v>
      </c>
      <c r="FF16" s="51">
        <f t="shared" si="292"/>
        <v>0</v>
      </c>
      <c r="FG16" s="51">
        <f t="shared" si="246"/>
        <v>5250000</v>
      </c>
      <c r="FH16" s="51">
        <f t="shared" si="293"/>
        <v>3062500</v>
      </c>
      <c r="FI16" s="51">
        <f t="shared" si="248"/>
        <v>61250</v>
      </c>
      <c r="FJ16" s="51">
        <f t="shared" si="294"/>
        <v>61250</v>
      </c>
      <c r="FK16" s="51">
        <f t="shared" si="250"/>
        <v>0</v>
      </c>
      <c r="FL16" s="51">
        <f t="shared" si="295"/>
        <v>0</v>
      </c>
      <c r="FM16" s="51">
        <f t="shared" si="252"/>
        <v>5250000</v>
      </c>
      <c r="FN16" s="54">
        <f t="shared" si="253"/>
        <v>0</v>
      </c>
      <c r="FO16" s="55">
        <f t="shared" si="254"/>
        <v>0</v>
      </c>
      <c r="FP16" s="56">
        <f>IF(AND($E16&lt;&gt;0,$F16&gt;0,YEAR($F16)&gt;=Preisindex!$A$6,YEAR(FK$4)&gt;=YEAR($F16),AND($K16&lt;&gt;"a",$K16&lt;&gt;"b",$K16&lt;&gt;"g",$K16&lt;&gt;"k")),1,IF(AND($E16&lt;&gt;0,$F16&gt;0,YEAR($F16)&gt;=Preisindex!$A$6,YEAR(FK$4)&gt;=YEAR($F16),$K16="a"),ROUND(VLOOKUP(FP$4,Preisindex,5,FALSE)/VLOOKUP(YEAR($F16),Preisindex,5,FALSE),2),IF(AND($E16&lt;&gt;0,$F16&gt;0,YEAR($F16)&gt;=Preisindex!$A$6,YEAR(FK$4)&gt;=YEAR($F16),$K16="b"),ROUND(VLOOKUP(FP$4,Preisindex,3,FALSE)/VLOOKUP(YEAR($F16),Preisindex,3,FALSE),2),IF(AND($E16&lt;&gt;0,$F16&gt;0,YEAR($F16)&gt;=Preisindex!$A$6,YEAR(FK$4)&gt;=YEAR($F16),$K16="g"),ROUND(VLOOKUP(FP$4,Preisindex,4,FALSE)/VLOOKUP(YEAR($F16),Preisindex,4,FALSE),2),IF(AND($E16&lt;&gt;0,$F16&gt;0,YEAR($F16)&gt;=Preisindex!$A$6,YEAR(FK$4)&gt;=YEAR($F16),$K16="k"),ROUND(VLOOKUP(FP$4,Preisindex,2,FALSE)/VLOOKUP(YEAR($F16),Preisindex,2,FALSE),2),0)))))</f>
        <v>3.5</v>
      </c>
      <c r="FQ16" s="56">
        <f>IF(AND($E16&lt;&gt;0,$F16&gt;0,YEAR($F16)&lt;Preisindex!$A$6,YEAR(FK$4)&gt;=YEAR($F16),AND($K16&lt;&gt;"a",$K16&lt;&gt;"b",$K16&lt;&gt;"g",$K16&lt;&gt;"k")),1,IF(AND($E16&lt;&gt;0,$F16&gt;0,YEAR($F16)&lt;Preisindex!$A$6,YEAR(FK$4)&gt;=YEAR($F16),$K16="a"),ROUND(VLOOKUP(FP$4,Preisindex,5,FALSE)/VLOOKUP(Preisindex!$A$6,Preisindex,5,FALSE),2),IF(AND($E16&lt;&gt;0,$F16&gt;0,YEAR($F16)&lt;Preisindex!$A$6,YEAR(FK$4)&gt;=YEAR($F16),$K16="b"),ROUND(VLOOKUP(FP$4,Preisindex,3,FALSE)/VLOOKUP(Preisindex!$A$6,Preisindex,3,FALSE),2),IF(AND($E16&lt;&gt;0,$F16&gt;0,YEAR($F16)&lt;Preisindex!$A$6,YEAR(FK$4)&gt;=YEAR($F16),$K16="g"),ROUND(VLOOKUP(FP$4,Preisindex,4,FALSE)/VLOOKUP(Preisindex!$A$6,Preisindex,4,FALSE),2),IF(AND($E16&lt;&gt;0,$F16&gt;0,YEAR($F16)&lt;Preisindex!$A$6,YEAR(FK$4)&gt;=YEAR($F16),$K16="k"),ROUND(VLOOKUP(FP$4,Preisindex,2,FALSE)/VLOOKUP(Preisindex!$A$6,Preisindex,2,FALSE),2),0)))))</f>
        <v>0</v>
      </c>
      <c r="FR16" s="51">
        <f>IF(AND($E16&lt;&gt;0,$F16&gt;0,YEAR($F16)&lt;=FP$4,YEAR($F16)&gt;=Preisindex!$A$6),ROUND($E16*FP16,2),IF(AND($E16&lt;&gt;0,$F16&gt;0,YEAR($F16)&lt;=FP$4,YEAR($F16)&lt;Preisindex!$A$6),ROUND($E16*FQ16,2),0))</f>
        <v>18375000</v>
      </c>
      <c r="FS16" s="53">
        <f t="shared" si="255"/>
        <v>214375</v>
      </c>
    </row>
    <row r="17" spans="1:175" x14ac:dyDescent="0.3">
      <c r="A17" s="93">
        <v>1978</v>
      </c>
      <c r="B17" s="94" t="s">
        <v>206</v>
      </c>
      <c r="C17" s="94"/>
      <c r="D17" s="95" t="s">
        <v>18</v>
      </c>
      <c r="E17" s="99">
        <v>250000</v>
      </c>
      <c r="F17" s="97">
        <v>28672</v>
      </c>
      <c r="G17" s="100">
        <v>50</v>
      </c>
      <c r="H17" s="622"/>
      <c r="I17" s="621"/>
      <c r="J17" s="194"/>
      <c r="K17" s="630" t="s">
        <v>266</v>
      </c>
      <c r="L17" s="49">
        <f t="shared" si="296"/>
        <v>0.02</v>
      </c>
      <c r="M17" s="50">
        <f t="shared" si="297"/>
        <v>5000</v>
      </c>
      <c r="N17" s="51">
        <f t="shared" si="298"/>
        <v>82500</v>
      </c>
      <c r="O17" s="51"/>
      <c r="P17" s="51">
        <f t="shared" si="299"/>
        <v>167500</v>
      </c>
      <c r="Q17" s="52"/>
      <c r="R17" s="52"/>
      <c r="S17" s="52"/>
      <c r="T17" s="52"/>
      <c r="U17" s="52"/>
      <c r="V17" s="53">
        <f t="shared" si="300"/>
        <v>250000</v>
      </c>
      <c r="W17" s="51">
        <f t="shared" si="301"/>
        <v>0</v>
      </c>
      <c r="X17" s="51">
        <f t="shared" si="302"/>
        <v>0</v>
      </c>
      <c r="Y17" s="51">
        <f t="shared" si="303"/>
        <v>0</v>
      </c>
      <c r="Z17" s="51">
        <f t="shared" si="304"/>
        <v>0</v>
      </c>
      <c r="AA17" s="51">
        <f t="shared" si="305"/>
        <v>250000</v>
      </c>
      <c r="AB17" s="51">
        <f t="shared" si="306"/>
        <v>250000</v>
      </c>
      <c r="AC17" s="51">
        <f t="shared" si="307"/>
        <v>5000</v>
      </c>
      <c r="AD17" s="51">
        <f t="shared" si="308"/>
        <v>5000</v>
      </c>
      <c r="AE17" s="51">
        <f t="shared" si="309"/>
        <v>77500</v>
      </c>
      <c r="AF17" s="51">
        <f t="shared" si="310"/>
        <v>77500</v>
      </c>
      <c r="AG17" s="51">
        <f t="shared" si="311"/>
        <v>172500</v>
      </c>
      <c r="AH17" s="54">
        <f t="shared" si="312"/>
        <v>0</v>
      </c>
      <c r="AI17" s="55">
        <f t="shared" si="313"/>
        <v>0</v>
      </c>
      <c r="AJ17" s="56">
        <f>IF(AND($E17&lt;&gt;0,$F17&gt;0,YEAR($F17)&gt;=Preisindex!$A$6,YEAR(AE$4)&gt;=YEAR($F17),AND($K17&lt;&gt;"a",$K17&lt;&gt;"b",$K17&lt;&gt;"g",$K17&lt;&gt;"k")),1,IF(AND($E17&lt;&gt;0,$F17&gt;0,YEAR($F17)&gt;=Preisindex!$A$6,YEAR(AE$4)&gt;=YEAR($F17),$K17="a"),ROUND(VLOOKUP(AJ$4,Preisindex,5,FALSE)/VLOOKUP(YEAR($F17),Preisindex,5,FALSE),2),IF(AND($E17&lt;&gt;0,$F17&gt;0,YEAR($F17)&gt;=Preisindex!$A$6,YEAR(AE$4)&gt;=YEAR($F17),$K17="b"),ROUND(VLOOKUP(AJ$4,Preisindex,3,FALSE)/VLOOKUP(YEAR($F17),Preisindex,3,FALSE),2),IF(AND($E17&lt;&gt;0,$F17&gt;0,YEAR($F17)&gt;=Preisindex!$A$6,YEAR(AE$4)&gt;=YEAR($F17),$K17="g"),ROUND(VLOOKUP(AJ$4,Preisindex,4,FALSE)/VLOOKUP(YEAR($F17),Preisindex,4,FALSE),2),IF(AND($E17&lt;&gt;0,$F17&gt;0,YEAR($F17)&gt;=Preisindex!$A$6,YEAR(AE$4)&gt;=YEAR($F17),$K17="k"),ROUND(VLOOKUP(AJ$4,Preisindex,2,FALSE)/VLOOKUP(YEAR($F17),Preisindex,2,FALSE),2),0)))))</f>
        <v>2.23</v>
      </c>
      <c r="AK17" s="56">
        <f>IF(AND($E17&lt;&gt;0,$F17&gt;0,YEAR($F17)&lt;Preisindex!$A$6,YEAR(AE$4)&gt;=YEAR($F17),AND($K17&lt;&gt;"a",$K17&lt;&gt;"b",$K17&lt;&gt;"g",$K17&lt;&gt;"k")),1,IF(AND($E17&lt;&gt;0,$F17&gt;0,YEAR($F17)&lt;Preisindex!$A$6,YEAR(AE$4)&gt;=YEAR($F17),$K17="a"),ROUND(VLOOKUP(AJ$4,Preisindex,5,FALSE)/VLOOKUP(Preisindex!$A$6,Preisindex,5,FALSE),2),IF(AND($E17&lt;&gt;0,$F17&gt;0,YEAR($F17)&lt;Preisindex!$A$6,YEAR(AE$4)&gt;=YEAR($F17),$K17="b"),ROUND(VLOOKUP(AJ$4,Preisindex,3,FALSE)/VLOOKUP(Preisindex!$A$6,Preisindex,3,FALSE),2),IF(AND($E17&lt;&gt;0,$F17&gt;0,YEAR($F17)&lt;Preisindex!$A$6,YEAR(AE$4)&gt;=YEAR($F17),$K17="g"),ROUND(VLOOKUP(AJ$4,Preisindex,4,FALSE)/VLOOKUP(Preisindex!$A$6,Preisindex,4,FALSE),2),IF(AND($E17&lt;&gt;0,$F17&gt;0,YEAR($F17)&lt;Preisindex!$A$6,YEAR(AE$4)&gt;=YEAR($F17),$K17="k"),ROUND(VLOOKUP(AJ$4,Preisindex,2,FALSE)/VLOOKUP(Preisindex!$A$6,Preisindex,2,FALSE),2),0)))))</f>
        <v>0</v>
      </c>
      <c r="AL17" s="51">
        <f>IF(AND($E17&lt;&gt;0,$F17&gt;0,YEAR($F17)&lt;=AJ$4,YEAR($F17)&gt;=Preisindex!$A$6),ROUND($E17*AJ17,2),IF(AND($E17&lt;&gt;0,$F17&gt;0,YEAR($F17)&lt;=AJ$4,YEAR($F17)&lt;Preisindex!$A$6),ROUND($E17*AK17,2),0))</f>
        <v>557500</v>
      </c>
      <c r="AM17" s="53">
        <f t="shared" si="314"/>
        <v>11150</v>
      </c>
      <c r="AN17" s="51">
        <f t="shared" si="144"/>
        <v>0</v>
      </c>
      <c r="AO17" s="51">
        <f t="shared" si="256"/>
        <v>0</v>
      </c>
      <c r="AP17" s="51">
        <f t="shared" si="146"/>
        <v>0</v>
      </c>
      <c r="AQ17" s="51">
        <f t="shared" si="257"/>
        <v>0</v>
      </c>
      <c r="AR17" s="51">
        <f t="shared" si="148"/>
        <v>250000</v>
      </c>
      <c r="AS17" s="51">
        <f t="shared" si="258"/>
        <v>250000</v>
      </c>
      <c r="AT17" s="51">
        <f t="shared" si="150"/>
        <v>5000</v>
      </c>
      <c r="AU17" s="51">
        <f t="shared" si="259"/>
        <v>5000</v>
      </c>
      <c r="AV17" s="51">
        <f t="shared" si="152"/>
        <v>72500</v>
      </c>
      <c r="AW17" s="51">
        <f t="shared" si="260"/>
        <v>72500</v>
      </c>
      <c r="AX17" s="51">
        <f t="shared" si="154"/>
        <v>177500</v>
      </c>
      <c r="AY17" s="54">
        <f t="shared" si="155"/>
        <v>0</v>
      </c>
      <c r="AZ17" s="55">
        <f t="shared" si="156"/>
        <v>0</v>
      </c>
      <c r="BA17" s="56">
        <f>IF(AND($E17&lt;&gt;0,$F17&gt;0,YEAR($F17)&gt;=Preisindex!$A$6,YEAR(AV$4)&gt;=YEAR($F17),AND($K17&lt;&gt;"a",$K17&lt;&gt;"b",$K17&lt;&gt;"g",$K17&lt;&gt;"k")),1,IF(AND($E17&lt;&gt;0,$F17&gt;0,YEAR($F17)&gt;=Preisindex!$A$6,YEAR(AV$4)&gt;=YEAR($F17),$K17="a"),ROUND(VLOOKUP(BA$4,Preisindex,5,FALSE)/VLOOKUP(YEAR($F17),Preisindex,5,FALSE),2),IF(AND($E17&lt;&gt;0,$F17&gt;0,YEAR($F17)&gt;=Preisindex!$A$6,YEAR(AV$4)&gt;=YEAR($F17),$K17="b"),ROUND(VLOOKUP(BA$4,Preisindex,3,FALSE)/VLOOKUP(YEAR($F17),Preisindex,3,FALSE),2),IF(AND($E17&lt;&gt;0,$F17&gt;0,YEAR($F17)&gt;=Preisindex!$A$6,YEAR(AV$4)&gt;=YEAR($F17),$K17="g"),ROUND(VLOOKUP(BA$4,Preisindex,4,FALSE)/VLOOKUP(YEAR($F17),Preisindex,4,FALSE),2),IF(AND($E17&lt;&gt;0,$F17&gt;0,YEAR($F17)&gt;=Preisindex!$A$6,YEAR(AV$4)&gt;=YEAR($F17),$K17="k"),ROUND(VLOOKUP(BA$4,Preisindex,2,FALSE)/VLOOKUP(YEAR($F17),Preisindex,2,FALSE),2),0)))))</f>
        <v>2.27</v>
      </c>
      <c r="BB17" s="56">
        <f>IF(AND($E17&lt;&gt;0,$F17&gt;0,YEAR($F17)&lt;Preisindex!$A$6,YEAR(AV$4)&gt;=YEAR($F17),AND($K17&lt;&gt;"a",$K17&lt;&gt;"b",$K17&lt;&gt;"g",$K17&lt;&gt;"k")),1,IF(AND($E17&lt;&gt;0,$F17&gt;0,YEAR($F17)&lt;Preisindex!$A$6,YEAR(AV$4)&gt;=YEAR($F17),$K17="a"),ROUND(VLOOKUP(BA$4,Preisindex,5,FALSE)/VLOOKUP(Preisindex!$A$6,Preisindex,5,FALSE),2),IF(AND($E17&lt;&gt;0,$F17&gt;0,YEAR($F17)&lt;Preisindex!$A$6,YEAR(AV$4)&gt;=YEAR($F17),$K17="b"),ROUND(VLOOKUP(BA$4,Preisindex,3,FALSE)/VLOOKUP(Preisindex!$A$6,Preisindex,3,FALSE),2),IF(AND($E17&lt;&gt;0,$F17&gt;0,YEAR($F17)&lt;Preisindex!$A$6,YEAR(AV$4)&gt;=YEAR($F17),$K17="g"),ROUND(VLOOKUP(BA$4,Preisindex,4,FALSE)/VLOOKUP(Preisindex!$A$6,Preisindex,4,FALSE),2),IF(AND($E17&lt;&gt;0,$F17&gt;0,YEAR($F17)&lt;Preisindex!$A$6,YEAR(AV$4)&gt;=YEAR($F17),$K17="k"),ROUND(VLOOKUP(BA$4,Preisindex,2,FALSE)/VLOOKUP(Preisindex!$A$6,Preisindex,2,FALSE),2),0)))))</f>
        <v>0</v>
      </c>
      <c r="BC17" s="51">
        <f>IF(AND($E17&lt;&gt;0,$F17&gt;0,YEAR($F17)&lt;=BA$4,YEAR($F17)&gt;=Preisindex!$A$6),ROUND($E17*BA17,2),IF(AND($E17&lt;&gt;0,$F17&gt;0,YEAR($F17)&lt;=BA$4,YEAR($F17)&lt;Preisindex!$A$6),ROUND($E17*BB17,2),0))</f>
        <v>567500</v>
      </c>
      <c r="BD17" s="53">
        <f t="shared" si="157"/>
        <v>11350</v>
      </c>
      <c r="BE17" s="51">
        <f t="shared" si="144"/>
        <v>0</v>
      </c>
      <c r="BF17" s="51">
        <f t="shared" si="261"/>
        <v>0</v>
      </c>
      <c r="BG17" s="51">
        <f t="shared" si="160"/>
        <v>0</v>
      </c>
      <c r="BH17" s="51">
        <f t="shared" si="262"/>
        <v>0</v>
      </c>
      <c r="BI17" s="51">
        <f t="shared" si="162"/>
        <v>250000</v>
      </c>
      <c r="BJ17" s="51">
        <f t="shared" si="263"/>
        <v>250000</v>
      </c>
      <c r="BK17" s="51">
        <f t="shared" si="164"/>
        <v>5000</v>
      </c>
      <c r="BL17" s="51">
        <f t="shared" si="264"/>
        <v>5000</v>
      </c>
      <c r="BM17" s="51">
        <f t="shared" si="166"/>
        <v>67500</v>
      </c>
      <c r="BN17" s="51">
        <f t="shared" si="265"/>
        <v>67500</v>
      </c>
      <c r="BO17" s="51">
        <f t="shared" si="168"/>
        <v>182500</v>
      </c>
      <c r="BP17" s="54">
        <f t="shared" si="169"/>
        <v>0</v>
      </c>
      <c r="BQ17" s="55">
        <f t="shared" si="170"/>
        <v>0</v>
      </c>
      <c r="BR17" s="56">
        <f>IF(AND($E17&lt;&gt;0,$F17&gt;0,YEAR($F17)&gt;=Preisindex!$A$6,YEAR(BM$4)&gt;=YEAR($F17),AND($K17&lt;&gt;"a",$K17&lt;&gt;"b",$K17&lt;&gt;"g",$K17&lt;&gt;"k")),1,IF(AND($E17&lt;&gt;0,$F17&gt;0,YEAR($F17)&gt;=Preisindex!$A$6,YEAR(BM$4)&gt;=YEAR($F17),$K17="a"),ROUND(VLOOKUP(BR$4,Preisindex,5,FALSE)/VLOOKUP(YEAR($F17),Preisindex,5,FALSE),2),IF(AND($E17&lt;&gt;0,$F17&gt;0,YEAR($F17)&gt;=Preisindex!$A$6,YEAR(BM$4)&gt;=YEAR($F17),$K17="b"),ROUND(VLOOKUP(BR$4,Preisindex,3,FALSE)/VLOOKUP(YEAR($F17),Preisindex,3,FALSE),2),IF(AND($E17&lt;&gt;0,$F17&gt;0,YEAR($F17)&gt;=Preisindex!$A$6,YEAR(BM$4)&gt;=YEAR($F17),$K17="g"),ROUND(VLOOKUP(BR$4,Preisindex,4,FALSE)/VLOOKUP(YEAR($F17),Preisindex,4,FALSE),2),IF(AND($E17&lt;&gt;0,$F17&gt;0,YEAR($F17)&gt;=Preisindex!$A$6,YEAR(BM$4)&gt;=YEAR($F17),$K17="k"),ROUND(VLOOKUP(BR$4,Preisindex,2,FALSE)/VLOOKUP(YEAR($F17),Preisindex,2,FALSE),2),0)))))</f>
        <v>2.31</v>
      </c>
      <c r="BS17" s="56">
        <f>IF(AND($E17&lt;&gt;0,$F17&gt;0,YEAR($F17)&lt;Preisindex!$A$6,YEAR(BM$4)&gt;=YEAR($F17),AND($K17&lt;&gt;"a",$K17&lt;&gt;"b",$K17&lt;&gt;"g",$K17&lt;&gt;"k")),1,IF(AND($E17&lt;&gt;0,$F17&gt;0,YEAR($F17)&lt;Preisindex!$A$6,YEAR(BM$4)&gt;=YEAR($F17),$K17="a"),ROUND(VLOOKUP(BR$4,Preisindex,5,FALSE)/VLOOKUP(Preisindex!$A$6,Preisindex,5,FALSE),2),IF(AND($E17&lt;&gt;0,$F17&gt;0,YEAR($F17)&lt;Preisindex!$A$6,YEAR(BM$4)&gt;=YEAR($F17),$K17="b"),ROUND(VLOOKUP(BR$4,Preisindex,3,FALSE)/VLOOKUP(Preisindex!$A$6,Preisindex,3,FALSE),2),IF(AND($E17&lt;&gt;0,$F17&gt;0,YEAR($F17)&lt;Preisindex!$A$6,YEAR(BM$4)&gt;=YEAR($F17),$K17="g"),ROUND(VLOOKUP(BR$4,Preisindex,4,FALSE)/VLOOKUP(Preisindex!$A$6,Preisindex,4,FALSE),2),IF(AND($E17&lt;&gt;0,$F17&gt;0,YEAR($F17)&lt;Preisindex!$A$6,YEAR(BM$4)&gt;=YEAR($F17),$K17="k"),ROUND(VLOOKUP(BR$4,Preisindex,2,FALSE)/VLOOKUP(Preisindex!$A$6,Preisindex,2,FALSE),2),0)))))</f>
        <v>0</v>
      </c>
      <c r="BT17" s="51">
        <f>IF(AND($E17&lt;&gt;0,$F17&gt;0,YEAR($F17)&lt;=BR$4,YEAR($F17)&gt;=Preisindex!$A$6),ROUND($E17*BR17,2),IF(AND($E17&lt;&gt;0,$F17&gt;0,YEAR($F17)&lt;=BR$4,YEAR($F17)&lt;Preisindex!$A$6),ROUND($E17*BS17,2),0))</f>
        <v>577500</v>
      </c>
      <c r="BU17" s="53">
        <f t="shared" si="171"/>
        <v>11550</v>
      </c>
      <c r="BV17" s="51">
        <f t="shared" si="172"/>
        <v>0</v>
      </c>
      <c r="BW17" s="51">
        <f t="shared" si="266"/>
        <v>0</v>
      </c>
      <c r="BX17" s="51">
        <f t="shared" si="174"/>
        <v>0</v>
      </c>
      <c r="BY17" s="51">
        <f t="shared" si="267"/>
        <v>0</v>
      </c>
      <c r="BZ17" s="51">
        <f t="shared" si="176"/>
        <v>250000</v>
      </c>
      <c r="CA17" s="51">
        <f t="shared" si="268"/>
        <v>250000</v>
      </c>
      <c r="CB17" s="51">
        <f t="shared" si="178"/>
        <v>5000</v>
      </c>
      <c r="CC17" s="51">
        <f t="shared" si="269"/>
        <v>5000</v>
      </c>
      <c r="CD17" s="51">
        <f t="shared" si="180"/>
        <v>62500</v>
      </c>
      <c r="CE17" s="51">
        <f t="shared" si="270"/>
        <v>62500</v>
      </c>
      <c r="CF17" s="51">
        <f t="shared" si="182"/>
        <v>187500</v>
      </c>
      <c r="CG17" s="54">
        <f t="shared" si="183"/>
        <v>0</v>
      </c>
      <c r="CH17" s="55">
        <f t="shared" si="184"/>
        <v>0</v>
      </c>
      <c r="CI17" s="56">
        <f>IF(AND($E17&lt;&gt;0,$F17&gt;0,YEAR($F17)&gt;=Preisindex!$A$6,YEAR(CD$4)&gt;=YEAR($F17),AND($K17&lt;&gt;"a",$K17&lt;&gt;"b",$K17&lt;&gt;"g",$K17&lt;&gt;"k")),1,IF(AND($E17&lt;&gt;0,$F17&gt;0,YEAR($F17)&gt;=Preisindex!$A$6,YEAR(CD$4)&gt;=YEAR($F17),$K17="a"),ROUND(VLOOKUP(CI$4,Preisindex,5,FALSE)/VLOOKUP(YEAR($F17),Preisindex,5,FALSE),2),IF(AND($E17&lt;&gt;0,$F17&gt;0,YEAR($F17)&gt;=Preisindex!$A$6,YEAR(CD$4)&gt;=YEAR($F17),$K17="b"),ROUND(VLOOKUP(CI$4,Preisindex,3,FALSE)/VLOOKUP(YEAR($F17),Preisindex,3,FALSE),2),IF(AND($E17&lt;&gt;0,$F17&gt;0,YEAR($F17)&gt;=Preisindex!$A$6,YEAR(CD$4)&gt;=YEAR($F17),$K17="g"),ROUND(VLOOKUP(CI$4,Preisindex,4,FALSE)/VLOOKUP(YEAR($F17),Preisindex,4,FALSE),2),IF(AND($E17&lt;&gt;0,$F17&gt;0,YEAR($F17)&gt;=Preisindex!$A$6,YEAR(CD$4)&gt;=YEAR($F17),$K17="k"),ROUND(VLOOKUP(CI$4,Preisindex,2,FALSE)/VLOOKUP(YEAR($F17),Preisindex,2,FALSE),2),0)))))</f>
        <v>2.34</v>
      </c>
      <c r="CJ17" s="56">
        <f>IF(AND($E17&lt;&gt;0,$F17&gt;0,YEAR($F17)&lt;Preisindex!$A$6,YEAR(CD$4)&gt;=YEAR($F17),AND($K17&lt;&gt;"a",$K17&lt;&gt;"b",$K17&lt;&gt;"g",$K17&lt;&gt;"k")),1,IF(AND($E17&lt;&gt;0,$F17&gt;0,YEAR($F17)&lt;Preisindex!$A$6,YEAR(CD$4)&gt;=YEAR($F17),$K17="a"),ROUND(VLOOKUP(CI$4,Preisindex,5,FALSE)/VLOOKUP(Preisindex!$A$6,Preisindex,5,FALSE),2),IF(AND($E17&lt;&gt;0,$F17&gt;0,YEAR($F17)&lt;Preisindex!$A$6,YEAR(CD$4)&gt;=YEAR($F17),$K17="b"),ROUND(VLOOKUP(CI$4,Preisindex,3,FALSE)/VLOOKUP(Preisindex!$A$6,Preisindex,3,FALSE),2),IF(AND($E17&lt;&gt;0,$F17&gt;0,YEAR($F17)&lt;Preisindex!$A$6,YEAR(CD$4)&gt;=YEAR($F17),$K17="g"),ROUND(VLOOKUP(CI$4,Preisindex,4,FALSE)/VLOOKUP(Preisindex!$A$6,Preisindex,4,FALSE),2),IF(AND($E17&lt;&gt;0,$F17&gt;0,YEAR($F17)&lt;Preisindex!$A$6,YEAR(CD$4)&gt;=YEAR($F17),$K17="k"),ROUND(VLOOKUP(CI$4,Preisindex,2,FALSE)/VLOOKUP(Preisindex!$A$6,Preisindex,2,FALSE),2),0)))))</f>
        <v>0</v>
      </c>
      <c r="CK17" s="51">
        <f>IF(AND($E17&lt;&gt;0,$F17&gt;0,YEAR($F17)&lt;=CI$4,YEAR($F17)&gt;=Preisindex!$A$6),ROUND($E17*CI17,2),IF(AND($E17&lt;&gt;0,$F17&gt;0,YEAR($F17)&lt;=CI$4,YEAR($F17)&lt;Preisindex!$A$6),ROUND($E17*CJ17,2),0))</f>
        <v>585000</v>
      </c>
      <c r="CL17" s="53">
        <f t="shared" si="185"/>
        <v>11700</v>
      </c>
      <c r="CM17" s="51">
        <f t="shared" si="172"/>
        <v>0</v>
      </c>
      <c r="CN17" s="51">
        <f t="shared" si="271"/>
        <v>0</v>
      </c>
      <c r="CO17" s="51">
        <f t="shared" si="188"/>
        <v>0</v>
      </c>
      <c r="CP17" s="51">
        <f t="shared" si="272"/>
        <v>0</v>
      </c>
      <c r="CQ17" s="51">
        <f t="shared" si="190"/>
        <v>250000</v>
      </c>
      <c r="CR17" s="51">
        <f t="shared" si="273"/>
        <v>250000</v>
      </c>
      <c r="CS17" s="51">
        <f t="shared" si="192"/>
        <v>5000</v>
      </c>
      <c r="CT17" s="51">
        <f t="shared" si="274"/>
        <v>5000</v>
      </c>
      <c r="CU17" s="51">
        <f t="shared" si="194"/>
        <v>57500</v>
      </c>
      <c r="CV17" s="51">
        <f t="shared" si="275"/>
        <v>57500</v>
      </c>
      <c r="CW17" s="51">
        <f t="shared" si="196"/>
        <v>192500</v>
      </c>
      <c r="CX17" s="54">
        <f t="shared" si="197"/>
        <v>0</v>
      </c>
      <c r="CY17" s="55">
        <f t="shared" si="198"/>
        <v>0</v>
      </c>
      <c r="CZ17" s="56">
        <f>IF(AND($E17&lt;&gt;0,$F17&gt;0,YEAR($F17)&gt;=Preisindex!$A$6,YEAR(CU$4)&gt;=YEAR($F17),AND($K17&lt;&gt;"a",$K17&lt;&gt;"b",$K17&lt;&gt;"g",$K17&lt;&gt;"k")),1,IF(AND($E17&lt;&gt;0,$F17&gt;0,YEAR($F17)&gt;=Preisindex!$A$6,YEAR(CU$4)&gt;=YEAR($F17),$K17="a"),ROUND(VLOOKUP(CZ$4,Preisindex,5,FALSE)/VLOOKUP(YEAR($F17),Preisindex,5,FALSE),2),IF(AND($E17&lt;&gt;0,$F17&gt;0,YEAR($F17)&gt;=Preisindex!$A$6,YEAR(CU$4)&gt;=YEAR($F17),$K17="b"),ROUND(VLOOKUP(CZ$4,Preisindex,3,FALSE)/VLOOKUP(YEAR($F17),Preisindex,3,FALSE),2),IF(AND($E17&lt;&gt;0,$F17&gt;0,YEAR($F17)&gt;=Preisindex!$A$6,YEAR(CU$4)&gt;=YEAR($F17),$K17="g"),ROUND(VLOOKUP(CZ$4,Preisindex,4,FALSE)/VLOOKUP(YEAR($F17),Preisindex,4,FALSE),2),IF(AND($E17&lt;&gt;0,$F17&gt;0,YEAR($F17)&gt;=Preisindex!$A$6,YEAR(CU$4)&gt;=YEAR($F17),$K17="k"),ROUND(VLOOKUP(CZ$4,Preisindex,2,FALSE)/VLOOKUP(YEAR($F17),Preisindex,2,FALSE),2),0)))))</f>
        <v>2.38</v>
      </c>
      <c r="DA17" s="56">
        <f>IF(AND($E17&lt;&gt;0,$F17&gt;0,YEAR($F17)&lt;Preisindex!$A$6,YEAR(CU$4)&gt;=YEAR($F17),AND($K17&lt;&gt;"a",$K17&lt;&gt;"b",$K17&lt;&gt;"g",$K17&lt;&gt;"k")),1,IF(AND($E17&lt;&gt;0,$F17&gt;0,YEAR($F17)&lt;Preisindex!$A$6,YEAR(CU$4)&gt;=YEAR($F17),$K17="a"),ROUND(VLOOKUP(CZ$4,Preisindex,5,FALSE)/VLOOKUP(Preisindex!$A$6,Preisindex,5,FALSE),2),IF(AND($E17&lt;&gt;0,$F17&gt;0,YEAR($F17)&lt;Preisindex!$A$6,YEAR(CU$4)&gt;=YEAR($F17),$K17="b"),ROUND(VLOOKUP(CZ$4,Preisindex,3,FALSE)/VLOOKUP(Preisindex!$A$6,Preisindex,3,FALSE),2),IF(AND($E17&lt;&gt;0,$F17&gt;0,YEAR($F17)&lt;Preisindex!$A$6,YEAR(CU$4)&gt;=YEAR($F17),$K17="g"),ROUND(VLOOKUP(CZ$4,Preisindex,4,FALSE)/VLOOKUP(Preisindex!$A$6,Preisindex,4,FALSE),2),IF(AND($E17&lt;&gt;0,$F17&gt;0,YEAR($F17)&lt;Preisindex!$A$6,YEAR(CU$4)&gt;=YEAR($F17),$K17="k"),ROUND(VLOOKUP(CZ$4,Preisindex,2,FALSE)/VLOOKUP(Preisindex!$A$6,Preisindex,2,FALSE),2),0)))))</f>
        <v>0</v>
      </c>
      <c r="DB17" s="51">
        <f>IF(AND($E17&lt;&gt;0,$F17&gt;0,YEAR($F17)&lt;=CZ$4,YEAR($F17)&gt;=Preisindex!$A$6),ROUND($E17*CZ17,2),IF(AND($E17&lt;&gt;0,$F17&gt;0,YEAR($F17)&lt;=CZ$4,YEAR($F17)&lt;Preisindex!$A$6),ROUND($E17*DA17,2),0))</f>
        <v>595000</v>
      </c>
      <c r="DC17" s="53">
        <f t="shared" si="199"/>
        <v>11900</v>
      </c>
      <c r="DD17" s="51">
        <f t="shared" si="200"/>
        <v>0</v>
      </c>
      <c r="DE17" s="51">
        <f t="shared" si="276"/>
        <v>0</v>
      </c>
      <c r="DF17" s="51">
        <f t="shared" si="202"/>
        <v>0</v>
      </c>
      <c r="DG17" s="51">
        <f t="shared" si="277"/>
        <v>0</v>
      </c>
      <c r="DH17" s="51">
        <f t="shared" si="204"/>
        <v>250000</v>
      </c>
      <c r="DI17" s="51">
        <f t="shared" si="278"/>
        <v>250000</v>
      </c>
      <c r="DJ17" s="51">
        <f t="shared" si="206"/>
        <v>5000</v>
      </c>
      <c r="DK17" s="51">
        <f t="shared" si="279"/>
        <v>5000</v>
      </c>
      <c r="DL17" s="51">
        <f t="shared" si="208"/>
        <v>52500</v>
      </c>
      <c r="DM17" s="51">
        <f t="shared" si="280"/>
        <v>52500</v>
      </c>
      <c r="DN17" s="51">
        <f t="shared" si="210"/>
        <v>197500</v>
      </c>
      <c r="DO17" s="54">
        <f t="shared" si="211"/>
        <v>0</v>
      </c>
      <c r="DP17" s="55">
        <f t="shared" si="212"/>
        <v>0</v>
      </c>
      <c r="DQ17" s="56">
        <f>IF(AND($E17&lt;&gt;0,$F17&gt;0,YEAR($F17)&gt;=Preisindex!$A$6,YEAR(DL$4)&gt;=YEAR($F17),AND($K17&lt;&gt;"a",$K17&lt;&gt;"b",$K17&lt;&gt;"g",$K17&lt;&gt;"k")),1,IF(AND($E17&lt;&gt;0,$F17&gt;0,YEAR($F17)&gt;=Preisindex!$A$6,YEAR(DL$4)&gt;=YEAR($F17),$K17="a"),ROUND(VLOOKUP(DQ$4,Preisindex,5,FALSE)/VLOOKUP(YEAR($F17),Preisindex,5,FALSE),2),IF(AND($E17&lt;&gt;0,$F17&gt;0,YEAR($F17)&gt;=Preisindex!$A$6,YEAR(DL$4)&gt;=YEAR($F17),$K17="b"),ROUND(VLOOKUP(DQ$4,Preisindex,3,FALSE)/VLOOKUP(YEAR($F17),Preisindex,3,FALSE),2),IF(AND($E17&lt;&gt;0,$F17&gt;0,YEAR($F17)&gt;=Preisindex!$A$6,YEAR(DL$4)&gt;=YEAR($F17),$K17="g"),ROUND(VLOOKUP(DQ$4,Preisindex,4,FALSE)/VLOOKUP(YEAR($F17),Preisindex,4,FALSE),2),IF(AND($E17&lt;&gt;0,$F17&gt;0,YEAR($F17)&gt;=Preisindex!$A$6,YEAR(DL$4)&gt;=YEAR($F17),$K17="k"),ROUND(VLOOKUP(DQ$4,Preisindex,2,FALSE)/VLOOKUP(YEAR($F17),Preisindex,2,FALSE),2),0)))))</f>
        <v>2.4500000000000002</v>
      </c>
      <c r="DR17" s="56">
        <f>IF(AND($E17&lt;&gt;0,$F17&gt;0,YEAR($F17)&lt;Preisindex!$A$6,YEAR(DL$4)&gt;=YEAR($F17),AND($K17&lt;&gt;"a",$K17&lt;&gt;"b",$K17&lt;&gt;"g",$K17&lt;&gt;"k")),1,IF(AND($E17&lt;&gt;0,$F17&gt;0,YEAR($F17)&lt;Preisindex!$A$6,YEAR(DL$4)&gt;=YEAR($F17),$K17="a"),ROUND(VLOOKUP(DQ$4,Preisindex,5,FALSE)/VLOOKUP(Preisindex!$A$6,Preisindex,5,FALSE),2),IF(AND($E17&lt;&gt;0,$F17&gt;0,YEAR($F17)&lt;Preisindex!$A$6,YEAR(DL$4)&gt;=YEAR($F17),$K17="b"),ROUND(VLOOKUP(DQ$4,Preisindex,3,FALSE)/VLOOKUP(Preisindex!$A$6,Preisindex,3,FALSE),2),IF(AND($E17&lt;&gt;0,$F17&gt;0,YEAR($F17)&lt;Preisindex!$A$6,YEAR(DL$4)&gt;=YEAR($F17),$K17="g"),ROUND(VLOOKUP(DQ$4,Preisindex,4,FALSE)/VLOOKUP(Preisindex!$A$6,Preisindex,4,FALSE),2),IF(AND($E17&lt;&gt;0,$F17&gt;0,YEAR($F17)&lt;Preisindex!$A$6,YEAR(DL$4)&gt;=YEAR($F17),$K17="k"),ROUND(VLOOKUP(DQ$4,Preisindex,2,FALSE)/VLOOKUP(Preisindex!$A$6,Preisindex,2,FALSE),2),0)))))</f>
        <v>0</v>
      </c>
      <c r="DS17" s="51">
        <f>IF(AND($E17&lt;&gt;0,$F17&gt;0,YEAR($F17)&lt;=DQ$4,YEAR($F17)&gt;=Preisindex!$A$6),ROUND($E17*DQ17,2),IF(AND($E17&lt;&gt;0,$F17&gt;0,YEAR($F17)&lt;=DQ$4,YEAR($F17)&lt;Preisindex!$A$6),ROUND($E17*DR17,2),0))</f>
        <v>612500</v>
      </c>
      <c r="DT17" s="53">
        <f t="shared" si="213"/>
        <v>12250</v>
      </c>
      <c r="DU17" s="51">
        <f t="shared" si="200"/>
        <v>0</v>
      </c>
      <c r="DV17" s="51">
        <f t="shared" si="281"/>
        <v>0</v>
      </c>
      <c r="DW17" s="51">
        <f t="shared" si="216"/>
        <v>0</v>
      </c>
      <c r="DX17" s="51">
        <f t="shared" si="282"/>
        <v>0</v>
      </c>
      <c r="DY17" s="51">
        <f t="shared" si="218"/>
        <v>250000</v>
      </c>
      <c r="DZ17" s="51">
        <f t="shared" si="283"/>
        <v>250000</v>
      </c>
      <c r="EA17" s="51">
        <f t="shared" si="220"/>
        <v>5000</v>
      </c>
      <c r="EB17" s="51">
        <f t="shared" si="284"/>
        <v>5000</v>
      </c>
      <c r="EC17" s="51">
        <f t="shared" si="222"/>
        <v>47500</v>
      </c>
      <c r="ED17" s="51">
        <f t="shared" si="285"/>
        <v>47500</v>
      </c>
      <c r="EE17" s="51">
        <f t="shared" si="224"/>
        <v>202500</v>
      </c>
      <c r="EF17" s="54">
        <f t="shared" si="225"/>
        <v>0</v>
      </c>
      <c r="EG17" s="55">
        <f t="shared" si="226"/>
        <v>0</v>
      </c>
      <c r="EH17" s="56">
        <f>IF(AND($E17&lt;&gt;0,$F17&gt;0,YEAR($F17)&gt;=Preisindex!$A$6,YEAR(EC$4)&gt;=YEAR($F17),AND($K17&lt;&gt;"a",$K17&lt;&gt;"b",$K17&lt;&gt;"g",$K17&lt;&gt;"k")),1,IF(AND($E17&lt;&gt;0,$F17&gt;0,YEAR($F17)&gt;=Preisindex!$A$6,YEAR(EC$4)&gt;=YEAR($F17),$K17="a"),ROUND(VLOOKUP(EH$4,Preisindex,5,FALSE)/VLOOKUP(YEAR($F17),Preisindex,5,FALSE),2),IF(AND($E17&lt;&gt;0,$F17&gt;0,YEAR($F17)&gt;=Preisindex!$A$6,YEAR(EC$4)&gt;=YEAR($F17),$K17="b"),ROUND(VLOOKUP(EH$4,Preisindex,3,FALSE)/VLOOKUP(YEAR($F17),Preisindex,3,FALSE),2),IF(AND($E17&lt;&gt;0,$F17&gt;0,YEAR($F17)&gt;=Preisindex!$A$6,YEAR(EC$4)&gt;=YEAR($F17),$K17="g"),ROUND(VLOOKUP(EH$4,Preisindex,4,FALSE)/VLOOKUP(YEAR($F17),Preisindex,4,FALSE),2),IF(AND($E17&lt;&gt;0,$F17&gt;0,YEAR($F17)&gt;=Preisindex!$A$6,YEAR(EC$4)&gt;=YEAR($F17),$K17="k"),ROUND(VLOOKUP(EH$4,Preisindex,2,FALSE)/VLOOKUP(YEAR($F17),Preisindex,2,FALSE),2),0)))))</f>
        <v>2.58</v>
      </c>
      <c r="EI17" s="56">
        <f>IF(AND($E17&lt;&gt;0,$F17&gt;0,YEAR($F17)&lt;Preisindex!$A$6,YEAR(EC$4)&gt;=YEAR($F17),AND($K17&lt;&gt;"a",$K17&lt;&gt;"b",$K17&lt;&gt;"g",$K17&lt;&gt;"k")),1,IF(AND($E17&lt;&gt;0,$F17&gt;0,YEAR($F17)&lt;Preisindex!$A$6,YEAR(EC$4)&gt;=YEAR($F17),$K17="a"),ROUND(VLOOKUP(EH$4,Preisindex,5,FALSE)/VLOOKUP(Preisindex!$A$6,Preisindex,5,FALSE),2),IF(AND($E17&lt;&gt;0,$F17&gt;0,YEAR($F17)&lt;Preisindex!$A$6,YEAR(EC$4)&gt;=YEAR($F17),$K17="b"),ROUND(VLOOKUP(EH$4,Preisindex,3,FALSE)/VLOOKUP(Preisindex!$A$6,Preisindex,3,FALSE),2),IF(AND($E17&lt;&gt;0,$F17&gt;0,YEAR($F17)&lt;Preisindex!$A$6,YEAR(EC$4)&gt;=YEAR($F17),$K17="g"),ROUND(VLOOKUP(EH$4,Preisindex,4,FALSE)/VLOOKUP(Preisindex!$A$6,Preisindex,4,FALSE),2),IF(AND($E17&lt;&gt;0,$F17&gt;0,YEAR($F17)&lt;Preisindex!$A$6,YEAR(EC$4)&gt;=YEAR($F17),$K17="k"),ROUND(VLOOKUP(EH$4,Preisindex,2,FALSE)/VLOOKUP(Preisindex!$A$6,Preisindex,2,FALSE),2),0)))))</f>
        <v>0</v>
      </c>
      <c r="EJ17" s="51">
        <f>IF(AND($E17&lt;&gt;0,$F17&gt;0,YEAR($F17)&lt;=EH$4,YEAR($F17)&gt;=Preisindex!$A$6),ROUND($E17*EH17,2),IF(AND($E17&lt;&gt;0,$F17&gt;0,YEAR($F17)&lt;=EH$4,YEAR($F17)&lt;Preisindex!$A$6),ROUND($E17*EI17,2),0))</f>
        <v>645000</v>
      </c>
      <c r="EK17" s="53">
        <f t="shared" si="227"/>
        <v>12900</v>
      </c>
      <c r="EL17" s="51">
        <f t="shared" si="228"/>
        <v>0</v>
      </c>
      <c r="EM17" s="51">
        <f t="shared" si="286"/>
        <v>0</v>
      </c>
      <c r="EN17" s="51">
        <f t="shared" si="230"/>
        <v>0</v>
      </c>
      <c r="EO17" s="51">
        <f t="shared" si="287"/>
        <v>0</v>
      </c>
      <c r="EP17" s="51">
        <f t="shared" si="232"/>
        <v>250000</v>
      </c>
      <c r="EQ17" s="51">
        <f t="shared" si="288"/>
        <v>250000</v>
      </c>
      <c r="ER17" s="51">
        <f t="shared" si="234"/>
        <v>5000</v>
      </c>
      <c r="ES17" s="51">
        <f t="shared" si="289"/>
        <v>5000</v>
      </c>
      <c r="ET17" s="51">
        <f t="shared" si="236"/>
        <v>42500</v>
      </c>
      <c r="EU17" s="51">
        <f t="shared" si="290"/>
        <v>42500</v>
      </c>
      <c r="EV17" s="51">
        <f t="shared" si="238"/>
        <v>207500</v>
      </c>
      <c r="EW17" s="54">
        <f t="shared" si="239"/>
        <v>0</v>
      </c>
      <c r="EX17" s="55">
        <f t="shared" si="240"/>
        <v>0</v>
      </c>
      <c r="EY17" s="56">
        <f>IF(AND($E17&lt;&gt;0,$F17&gt;0,YEAR($F17)&gt;=Preisindex!$A$6,YEAR(ET$4)&gt;=YEAR($F17),AND($K17&lt;&gt;"a",$K17&lt;&gt;"b",$K17&lt;&gt;"g",$K17&lt;&gt;"k")),1,IF(AND($E17&lt;&gt;0,$F17&gt;0,YEAR($F17)&gt;=Preisindex!$A$6,YEAR(ET$4)&gt;=YEAR($F17),$K17="a"),ROUND(VLOOKUP(EY$4,Preisindex,5,FALSE)/VLOOKUP(YEAR($F17),Preisindex,5,FALSE),2),IF(AND($E17&lt;&gt;0,$F17&gt;0,YEAR($F17)&gt;=Preisindex!$A$6,YEAR(ET$4)&gt;=YEAR($F17),$K17="b"),ROUND(VLOOKUP(EY$4,Preisindex,3,FALSE)/VLOOKUP(YEAR($F17),Preisindex,3,FALSE),2),IF(AND($E17&lt;&gt;0,$F17&gt;0,YEAR($F17)&gt;=Preisindex!$A$6,YEAR(ET$4)&gt;=YEAR($F17),$K17="g"),ROUND(VLOOKUP(EY$4,Preisindex,4,FALSE)/VLOOKUP(YEAR($F17),Preisindex,4,FALSE),2),IF(AND($E17&lt;&gt;0,$F17&gt;0,YEAR($F17)&gt;=Preisindex!$A$6,YEAR(ET$4)&gt;=YEAR($F17),$K17="k"),ROUND(VLOOKUP(EY$4,Preisindex,2,FALSE)/VLOOKUP(YEAR($F17),Preisindex,2,FALSE),2),0)))))</f>
        <v>2.58</v>
      </c>
      <c r="EZ17" s="56">
        <f>IF(AND($E17&lt;&gt;0,$F17&gt;0,YEAR($F17)&lt;Preisindex!$A$6,YEAR(ET$4)&gt;=YEAR($F17),AND($K17&lt;&gt;"a",$K17&lt;&gt;"b",$K17&lt;&gt;"g",$K17&lt;&gt;"k")),1,IF(AND($E17&lt;&gt;0,$F17&gt;0,YEAR($F17)&lt;Preisindex!$A$6,YEAR(ET$4)&gt;=YEAR($F17),$K17="a"),ROUND(VLOOKUP(EY$4,Preisindex,5,FALSE)/VLOOKUP(Preisindex!$A$6,Preisindex,5,FALSE),2),IF(AND($E17&lt;&gt;0,$F17&gt;0,YEAR($F17)&lt;Preisindex!$A$6,YEAR(ET$4)&gt;=YEAR($F17),$K17="b"),ROUND(VLOOKUP(EY$4,Preisindex,3,FALSE)/VLOOKUP(Preisindex!$A$6,Preisindex,3,FALSE),2),IF(AND($E17&lt;&gt;0,$F17&gt;0,YEAR($F17)&lt;Preisindex!$A$6,YEAR(ET$4)&gt;=YEAR($F17),$K17="g"),ROUND(VLOOKUP(EY$4,Preisindex,4,FALSE)/VLOOKUP(Preisindex!$A$6,Preisindex,4,FALSE),2),IF(AND($E17&lt;&gt;0,$F17&gt;0,YEAR($F17)&lt;Preisindex!$A$6,YEAR(ET$4)&gt;=YEAR($F17),$K17="k"),ROUND(VLOOKUP(EY$4,Preisindex,2,FALSE)/VLOOKUP(Preisindex!$A$6,Preisindex,2,FALSE),2),0)))))</f>
        <v>0</v>
      </c>
      <c r="FA17" s="51">
        <f>IF(AND($E17&lt;&gt;0,$F17&gt;0,YEAR($F17)&lt;=EY$4,YEAR($F17)&gt;=Preisindex!$A$6),ROUND($E17*EY17,2),IF(AND($E17&lt;&gt;0,$F17&gt;0,YEAR($F17)&lt;=EY$4,YEAR($F17)&lt;Preisindex!$A$6),ROUND($E17*EZ17,2),0))</f>
        <v>645000</v>
      </c>
      <c r="FB17" s="53">
        <f t="shared" si="241"/>
        <v>12900</v>
      </c>
      <c r="FC17" s="51">
        <f t="shared" si="228"/>
        <v>0</v>
      </c>
      <c r="FD17" s="51">
        <f t="shared" si="291"/>
        <v>0</v>
      </c>
      <c r="FE17" s="51">
        <f t="shared" si="244"/>
        <v>0</v>
      </c>
      <c r="FF17" s="51">
        <f t="shared" si="292"/>
        <v>0</v>
      </c>
      <c r="FG17" s="51">
        <f t="shared" si="246"/>
        <v>250000</v>
      </c>
      <c r="FH17" s="51">
        <f t="shared" si="293"/>
        <v>250000</v>
      </c>
      <c r="FI17" s="51">
        <f t="shared" si="248"/>
        <v>5000</v>
      </c>
      <c r="FJ17" s="51">
        <f t="shared" si="294"/>
        <v>5000</v>
      </c>
      <c r="FK17" s="51">
        <f t="shared" si="250"/>
        <v>37500</v>
      </c>
      <c r="FL17" s="51">
        <f t="shared" si="295"/>
        <v>37500</v>
      </c>
      <c r="FM17" s="51">
        <f t="shared" si="252"/>
        <v>212500</v>
      </c>
      <c r="FN17" s="54">
        <f t="shared" si="253"/>
        <v>0</v>
      </c>
      <c r="FO17" s="55">
        <f t="shared" si="254"/>
        <v>0</v>
      </c>
      <c r="FP17" s="56">
        <f>IF(AND($E17&lt;&gt;0,$F17&gt;0,YEAR($F17)&gt;=Preisindex!$A$6,YEAR(FK$4)&gt;=YEAR($F17),AND($K17&lt;&gt;"a",$K17&lt;&gt;"b",$K17&lt;&gt;"g",$K17&lt;&gt;"k")),1,IF(AND($E17&lt;&gt;0,$F17&gt;0,YEAR($F17)&gt;=Preisindex!$A$6,YEAR(FK$4)&gt;=YEAR($F17),$K17="a"),ROUND(VLOOKUP(FP$4,Preisindex,5,FALSE)/VLOOKUP(YEAR($F17),Preisindex,5,FALSE),2),IF(AND($E17&lt;&gt;0,$F17&gt;0,YEAR($F17)&gt;=Preisindex!$A$6,YEAR(FK$4)&gt;=YEAR($F17),$K17="b"),ROUND(VLOOKUP(FP$4,Preisindex,3,FALSE)/VLOOKUP(YEAR($F17),Preisindex,3,FALSE),2),IF(AND($E17&lt;&gt;0,$F17&gt;0,YEAR($F17)&gt;=Preisindex!$A$6,YEAR(FK$4)&gt;=YEAR($F17),$K17="g"),ROUND(VLOOKUP(FP$4,Preisindex,4,FALSE)/VLOOKUP(YEAR($F17),Preisindex,4,FALSE),2),IF(AND($E17&lt;&gt;0,$F17&gt;0,YEAR($F17)&gt;=Preisindex!$A$6,YEAR(FK$4)&gt;=YEAR($F17),$K17="k"),ROUND(VLOOKUP(FP$4,Preisindex,2,FALSE)/VLOOKUP(YEAR($F17),Preisindex,2,FALSE),2),0)))))</f>
        <v>2.58</v>
      </c>
      <c r="FQ17" s="56">
        <f>IF(AND($E17&lt;&gt;0,$F17&gt;0,YEAR($F17)&lt;Preisindex!$A$6,YEAR(FK$4)&gt;=YEAR($F17),AND($K17&lt;&gt;"a",$K17&lt;&gt;"b",$K17&lt;&gt;"g",$K17&lt;&gt;"k")),1,IF(AND($E17&lt;&gt;0,$F17&gt;0,YEAR($F17)&lt;Preisindex!$A$6,YEAR(FK$4)&gt;=YEAR($F17),$K17="a"),ROUND(VLOOKUP(FP$4,Preisindex,5,FALSE)/VLOOKUP(Preisindex!$A$6,Preisindex,5,FALSE),2),IF(AND($E17&lt;&gt;0,$F17&gt;0,YEAR($F17)&lt;Preisindex!$A$6,YEAR(FK$4)&gt;=YEAR($F17),$K17="b"),ROUND(VLOOKUP(FP$4,Preisindex,3,FALSE)/VLOOKUP(Preisindex!$A$6,Preisindex,3,FALSE),2),IF(AND($E17&lt;&gt;0,$F17&gt;0,YEAR($F17)&lt;Preisindex!$A$6,YEAR(FK$4)&gt;=YEAR($F17),$K17="g"),ROUND(VLOOKUP(FP$4,Preisindex,4,FALSE)/VLOOKUP(Preisindex!$A$6,Preisindex,4,FALSE),2),IF(AND($E17&lt;&gt;0,$F17&gt;0,YEAR($F17)&lt;Preisindex!$A$6,YEAR(FK$4)&gt;=YEAR($F17),$K17="k"),ROUND(VLOOKUP(FP$4,Preisindex,2,FALSE)/VLOOKUP(Preisindex!$A$6,Preisindex,2,FALSE),2),0)))))</f>
        <v>0</v>
      </c>
      <c r="FR17" s="51">
        <f>IF(AND($E17&lt;&gt;0,$F17&gt;0,YEAR($F17)&lt;=FP$4,YEAR($F17)&gt;=Preisindex!$A$6),ROUND($E17*FP17,2),IF(AND($E17&lt;&gt;0,$F17&gt;0,YEAR($F17)&lt;=FP$4,YEAR($F17)&lt;Preisindex!$A$6),ROUND($E17*FQ17,2),0))</f>
        <v>645000</v>
      </c>
      <c r="FS17" s="53">
        <f t="shared" si="255"/>
        <v>12900</v>
      </c>
    </row>
    <row r="18" spans="1:175" x14ac:dyDescent="0.3">
      <c r="A18" s="93">
        <v>1980</v>
      </c>
      <c r="B18" s="94" t="s">
        <v>207</v>
      </c>
      <c r="C18" s="94"/>
      <c r="D18" s="95" t="s">
        <v>18</v>
      </c>
      <c r="E18" s="99">
        <v>400000</v>
      </c>
      <c r="F18" s="97">
        <v>29403</v>
      </c>
      <c r="G18" s="100">
        <v>50</v>
      </c>
      <c r="H18" s="622"/>
      <c r="I18" s="621"/>
      <c r="J18" s="194"/>
      <c r="K18" s="630" t="s">
        <v>266</v>
      </c>
      <c r="L18" s="49">
        <f t="shared" si="296"/>
        <v>0.02</v>
      </c>
      <c r="M18" s="50">
        <f t="shared" si="297"/>
        <v>8000</v>
      </c>
      <c r="N18" s="51">
        <f t="shared" si="298"/>
        <v>148000</v>
      </c>
      <c r="O18" s="51"/>
      <c r="P18" s="51">
        <f t="shared" si="299"/>
        <v>252000</v>
      </c>
      <c r="Q18" s="52"/>
      <c r="R18" s="52"/>
      <c r="S18" s="52"/>
      <c r="T18" s="52"/>
      <c r="U18" s="52"/>
      <c r="V18" s="53">
        <f t="shared" si="300"/>
        <v>400000</v>
      </c>
      <c r="W18" s="51">
        <f t="shared" si="301"/>
        <v>0</v>
      </c>
      <c r="X18" s="51">
        <f t="shared" si="302"/>
        <v>0</v>
      </c>
      <c r="Y18" s="51">
        <f t="shared" si="303"/>
        <v>0</v>
      </c>
      <c r="Z18" s="51">
        <f t="shared" si="304"/>
        <v>0</v>
      </c>
      <c r="AA18" s="51">
        <f t="shared" si="305"/>
        <v>400000</v>
      </c>
      <c r="AB18" s="51">
        <f t="shared" si="306"/>
        <v>400000</v>
      </c>
      <c r="AC18" s="51">
        <f t="shared" si="307"/>
        <v>8000</v>
      </c>
      <c r="AD18" s="51">
        <f t="shared" si="308"/>
        <v>8000</v>
      </c>
      <c r="AE18" s="51">
        <f t="shared" si="309"/>
        <v>140000</v>
      </c>
      <c r="AF18" s="51">
        <f t="shared" si="310"/>
        <v>140000</v>
      </c>
      <c r="AG18" s="51">
        <f t="shared" si="311"/>
        <v>260000</v>
      </c>
      <c r="AH18" s="54">
        <f t="shared" si="312"/>
        <v>0</v>
      </c>
      <c r="AI18" s="55">
        <f t="shared" si="313"/>
        <v>0</v>
      </c>
      <c r="AJ18" s="56">
        <f>IF(AND($E18&lt;&gt;0,$F18&gt;0,YEAR($F18)&gt;=Preisindex!$A$6,YEAR(AE$4)&gt;=YEAR($F18),AND($K18&lt;&gt;"a",$K18&lt;&gt;"b",$K18&lt;&gt;"g",$K18&lt;&gt;"k")),1,IF(AND($E18&lt;&gt;0,$F18&gt;0,YEAR($F18)&gt;=Preisindex!$A$6,YEAR(AE$4)&gt;=YEAR($F18),$K18="a"),ROUND(VLOOKUP(AJ$4,Preisindex,5,FALSE)/VLOOKUP(YEAR($F18),Preisindex,5,FALSE),2),IF(AND($E18&lt;&gt;0,$F18&gt;0,YEAR($F18)&gt;=Preisindex!$A$6,YEAR(AE$4)&gt;=YEAR($F18),$K18="b"),ROUND(VLOOKUP(AJ$4,Preisindex,3,FALSE)/VLOOKUP(YEAR($F18),Preisindex,3,FALSE),2),IF(AND($E18&lt;&gt;0,$F18&gt;0,YEAR($F18)&gt;=Preisindex!$A$6,YEAR(AE$4)&gt;=YEAR($F18),$K18="g"),ROUND(VLOOKUP(AJ$4,Preisindex,4,FALSE)/VLOOKUP(YEAR($F18),Preisindex,4,FALSE),2),IF(AND($E18&lt;&gt;0,$F18&gt;0,YEAR($F18)&gt;=Preisindex!$A$6,YEAR(AE$4)&gt;=YEAR($F18),$K18="k"),ROUND(VLOOKUP(AJ$4,Preisindex,2,FALSE)/VLOOKUP(YEAR($F18),Preisindex,2,FALSE),2),0)))))</f>
        <v>1.79</v>
      </c>
      <c r="AK18" s="56">
        <f>IF(AND($E18&lt;&gt;0,$F18&gt;0,YEAR($F18)&lt;Preisindex!$A$6,YEAR(AE$4)&gt;=YEAR($F18),AND($K18&lt;&gt;"a",$K18&lt;&gt;"b",$K18&lt;&gt;"g",$K18&lt;&gt;"k")),1,IF(AND($E18&lt;&gt;0,$F18&gt;0,YEAR($F18)&lt;Preisindex!$A$6,YEAR(AE$4)&gt;=YEAR($F18),$K18="a"),ROUND(VLOOKUP(AJ$4,Preisindex,5,FALSE)/VLOOKUP(Preisindex!$A$6,Preisindex,5,FALSE),2),IF(AND($E18&lt;&gt;0,$F18&gt;0,YEAR($F18)&lt;Preisindex!$A$6,YEAR(AE$4)&gt;=YEAR($F18),$K18="b"),ROUND(VLOOKUP(AJ$4,Preisindex,3,FALSE)/VLOOKUP(Preisindex!$A$6,Preisindex,3,FALSE),2),IF(AND($E18&lt;&gt;0,$F18&gt;0,YEAR($F18)&lt;Preisindex!$A$6,YEAR(AE$4)&gt;=YEAR($F18),$K18="g"),ROUND(VLOOKUP(AJ$4,Preisindex,4,FALSE)/VLOOKUP(Preisindex!$A$6,Preisindex,4,FALSE),2),IF(AND($E18&lt;&gt;0,$F18&gt;0,YEAR($F18)&lt;Preisindex!$A$6,YEAR(AE$4)&gt;=YEAR($F18),$K18="k"),ROUND(VLOOKUP(AJ$4,Preisindex,2,FALSE)/VLOOKUP(Preisindex!$A$6,Preisindex,2,FALSE),2),0)))))</f>
        <v>0</v>
      </c>
      <c r="AL18" s="51">
        <f>IF(AND($E18&lt;&gt;0,$F18&gt;0,YEAR($F18)&lt;=AJ$4,YEAR($F18)&gt;=Preisindex!$A$6),ROUND($E18*AJ18,2),IF(AND($E18&lt;&gt;0,$F18&gt;0,YEAR($F18)&lt;=AJ$4,YEAR($F18)&lt;Preisindex!$A$6),ROUND($E18*AK18,2),0))</f>
        <v>716000</v>
      </c>
      <c r="AM18" s="53">
        <f t="shared" si="314"/>
        <v>14320</v>
      </c>
      <c r="AN18" s="51">
        <f t="shared" si="144"/>
        <v>0</v>
      </c>
      <c r="AO18" s="51">
        <f t="shared" si="256"/>
        <v>0</v>
      </c>
      <c r="AP18" s="51">
        <f t="shared" si="146"/>
        <v>0</v>
      </c>
      <c r="AQ18" s="51">
        <f t="shared" si="257"/>
        <v>0</v>
      </c>
      <c r="AR18" s="51">
        <f t="shared" si="148"/>
        <v>400000</v>
      </c>
      <c r="AS18" s="51">
        <f t="shared" si="258"/>
        <v>400000</v>
      </c>
      <c r="AT18" s="51">
        <f t="shared" si="150"/>
        <v>8000</v>
      </c>
      <c r="AU18" s="51">
        <f t="shared" si="259"/>
        <v>8000</v>
      </c>
      <c r="AV18" s="51">
        <f t="shared" si="152"/>
        <v>132000</v>
      </c>
      <c r="AW18" s="51">
        <f t="shared" si="260"/>
        <v>132000</v>
      </c>
      <c r="AX18" s="51">
        <f t="shared" si="154"/>
        <v>268000</v>
      </c>
      <c r="AY18" s="54">
        <f t="shared" si="155"/>
        <v>0</v>
      </c>
      <c r="AZ18" s="55">
        <f t="shared" si="156"/>
        <v>0</v>
      </c>
      <c r="BA18" s="56">
        <f>IF(AND($E18&lt;&gt;0,$F18&gt;0,YEAR($F18)&gt;=Preisindex!$A$6,YEAR(AV$4)&gt;=YEAR($F18),AND($K18&lt;&gt;"a",$K18&lt;&gt;"b",$K18&lt;&gt;"g",$K18&lt;&gt;"k")),1,IF(AND($E18&lt;&gt;0,$F18&gt;0,YEAR($F18)&gt;=Preisindex!$A$6,YEAR(AV$4)&gt;=YEAR($F18),$K18="a"),ROUND(VLOOKUP(BA$4,Preisindex,5,FALSE)/VLOOKUP(YEAR($F18),Preisindex,5,FALSE),2),IF(AND($E18&lt;&gt;0,$F18&gt;0,YEAR($F18)&gt;=Preisindex!$A$6,YEAR(AV$4)&gt;=YEAR($F18),$K18="b"),ROUND(VLOOKUP(BA$4,Preisindex,3,FALSE)/VLOOKUP(YEAR($F18),Preisindex,3,FALSE),2),IF(AND($E18&lt;&gt;0,$F18&gt;0,YEAR($F18)&gt;=Preisindex!$A$6,YEAR(AV$4)&gt;=YEAR($F18),$K18="g"),ROUND(VLOOKUP(BA$4,Preisindex,4,FALSE)/VLOOKUP(YEAR($F18),Preisindex,4,FALSE),2),IF(AND($E18&lt;&gt;0,$F18&gt;0,YEAR($F18)&gt;=Preisindex!$A$6,YEAR(AV$4)&gt;=YEAR($F18),$K18="k"),ROUND(VLOOKUP(BA$4,Preisindex,2,FALSE)/VLOOKUP(YEAR($F18),Preisindex,2,FALSE),2),0)))))</f>
        <v>1.82</v>
      </c>
      <c r="BB18" s="56">
        <f>IF(AND($E18&lt;&gt;0,$F18&gt;0,YEAR($F18)&lt;Preisindex!$A$6,YEAR(AV$4)&gt;=YEAR($F18),AND($K18&lt;&gt;"a",$K18&lt;&gt;"b",$K18&lt;&gt;"g",$K18&lt;&gt;"k")),1,IF(AND($E18&lt;&gt;0,$F18&gt;0,YEAR($F18)&lt;Preisindex!$A$6,YEAR(AV$4)&gt;=YEAR($F18),$K18="a"),ROUND(VLOOKUP(BA$4,Preisindex,5,FALSE)/VLOOKUP(Preisindex!$A$6,Preisindex,5,FALSE),2),IF(AND($E18&lt;&gt;0,$F18&gt;0,YEAR($F18)&lt;Preisindex!$A$6,YEAR(AV$4)&gt;=YEAR($F18),$K18="b"),ROUND(VLOOKUP(BA$4,Preisindex,3,FALSE)/VLOOKUP(Preisindex!$A$6,Preisindex,3,FALSE),2),IF(AND($E18&lt;&gt;0,$F18&gt;0,YEAR($F18)&lt;Preisindex!$A$6,YEAR(AV$4)&gt;=YEAR($F18),$K18="g"),ROUND(VLOOKUP(BA$4,Preisindex,4,FALSE)/VLOOKUP(Preisindex!$A$6,Preisindex,4,FALSE),2),IF(AND($E18&lt;&gt;0,$F18&gt;0,YEAR($F18)&lt;Preisindex!$A$6,YEAR(AV$4)&gt;=YEAR($F18),$K18="k"),ROUND(VLOOKUP(BA$4,Preisindex,2,FALSE)/VLOOKUP(Preisindex!$A$6,Preisindex,2,FALSE),2),0)))))</f>
        <v>0</v>
      </c>
      <c r="BC18" s="51">
        <f>IF(AND($E18&lt;&gt;0,$F18&gt;0,YEAR($F18)&lt;=BA$4,YEAR($F18)&gt;=Preisindex!$A$6),ROUND($E18*BA18,2),IF(AND($E18&lt;&gt;0,$F18&gt;0,YEAR($F18)&lt;=BA$4,YEAR($F18)&lt;Preisindex!$A$6),ROUND($E18*BB18,2),0))</f>
        <v>728000</v>
      </c>
      <c r="BD18" s="53">
        <f t="shared" si="157"/>
        <v>14560</v>
      </c>
      <c r="BE18" s="51">
        <f t="shared" si="144"/>
        <v>0</v>
      </c>
      <c r="BF18" s="51">
        <f t="shared" si="261"/>
        <v>0</v>
      </c>
      <c r="BG18" s="51">
        <f t="shared" si="160"/>
        <v>0</v>
      </c>
      <c r="BH18" s="51">
        <f t="shared" si="262"/>
        <v>0</v>
      </c>
      <c r="BI18" s="51">
        <f t="shared" si="162"/>
        <v>400000</v>
      </c>
      <c r="BJ18" s="51">
        <f t="shared" si="263"/>
        <v>400000</v>
      </c>
      <c r="BK18" s="51">
        <f t="shared" si="164"/>
        <v>8000</v>
      </c>
      <c r="BL18" s="51">
        <f t="shared" si="264"/>
        <v>8000</v>
      </c>
      <c r="BM18" s="51">
        <f t="shared" si="166"/>
        <v>124000</v>
      </c>
      <c r="BN18" s="51">
        <f t="shared" si="265"/>
        <v>124000</v>
      </c>
      <c r="BO18" s="51">
        <f t="shared" si="168"/>
        <v>276000</v>
      </c>
      <c r="BP18" s="54">
        <f t="shared" si="169"/>
        <v>0</v>
      </c>
      <c r="BQ18" s="55">
        <f t="shared" si="170"/>
        <v>0</v>
      </c>
      <c r="BR18" s="56">
        <f>IF(AND($E18&lt;&gt;0,$F18&gt;0,YEAR($F18)&gt;=Preisindex!$A$6,YEAR(BM$4)&gt;=YEAR($F18),AND($K18&lt;&gt;"a",$K18&lt;&gt;"b",$K18&lt;&gt;"g",$K18&lt;&gt;"k")),1,IF(AND($E18&lt;&gt;0,$F18&gt;0,YEAR($F18)&gt;=Preisindex!$A$6,YEAR(BM$4)&gt;=YEAR($F18),$K18="a"),ROUND(VLOOKUP(BR$4,Preisindex,5,FALSE)/VLOOKUP(YEAR($F18),Preisindex,5,FALSE),2),IF(AND($E18&lt;&gt;0,$F18&gt;0,YEAR($F18)&gt;=Preisindex!$A$6,YEAR(BM$4)&gt;=YEAR($F18),$K18="b"),ROUND(VLOOKUP(BR$4,Preisindex,3,FALSE)/VLOOKUP(YEAR($F18),Preisindex,3,FALSE),2),IF(AND($E18&lt;&gt;0,$F18&gt;0,YEAR($F18)&gt;=Preisindex!$A$6,YEAR(BM$4)&gt;=YEAR($F18),$K18="g"),ROUND(VLOOKUP(BR$4,Preisindex,4,FALSE)/VLOOKUP(YEAR($F18),Preisindex,4,FALSE),2),IF(AND($E18&lt;&gt;0,$F18&gt;0,YEAR($F18)&gt;=Preisindex!$A$6,YEAR(BM$4)&gt;=YEAR($F18),$K18="k"),ROUND(VLOOKUP(BR$4,Preisindex,2,FALSE)/VLOOKUP(YEAR($F18),Preisindex,2,FALSE),2),0)))))</f>
        <v>1.86</v>
      </c>
      <c r="BS18" s="56">
        <f>IF(AND($E18&lt;&gt;0,$F18&gt;0,YEAR($F18)&lt;Preisindex!$A$6,YEAR(BM$4)&gt;=YEAR($F18),AND($K18&lt;&gt;"a",$K18&lt;&gt;"b",$K18&lt;&gt;"g",$K18&lt;&gt;"k")),1,IF(AND($E18&lt;&gt;0,$F18&gt;0,YEAR($F18)&lt;Preisindex!$A$6,YEAR(BM$4)&gt;=YEAR($F18),$K18="a"),ROUND(VLOOKUP(BR$4,Preisindex,5,FALSE)/VLOOKUP(Preisindex!$A$6,Preisindex,5,FALSE),2),IF(AND($E18&lt;&gt;0,$F18&gt;0,YEAR($F18)&lt;Preisindex!$A$6,YEAR(BM$4)&gt;=YEAR($F18),$K18="b"),ROUND(VLOOKUP(BR$4,Preisindex,3,FALSE)/VLOOKUP(Preisindex!$A$6,Preisindex,3,FALSE),2),IF(AND($E18&lt;&gt;0,$F18&gt;0,YEAR($F18)&lt;Preisindex!$A$6,YEAR(BM$4)&gt;=YEAR($F18),$K18="g"),ROUND(VLOOKUP(BR$4,Preisindex,4,FALSE)/VLOOKUP(Preisindex!$A$6,Preisindex,4,FALSE),2),IF(AND($E18&lt;&gt;0,$F18&gt;0,YEAR($F18)&lt;Preisindex!$A$6,YEAR(BM$4)&gt;=YEAR($F18),$K18="k"),ROUND(VLOOKUP(BR$4,Preisindex,2,FALSE)/VLOOKUP(Preisindex!$A$6,Preisindex,2,FALSE),2),0)))))</f>
        <v>0</v>
      </c>
      <c r="BT18" s="51">
        <f>IF(AND($E18&lt;&gt;0,$F18&gt;0,YEAR($F18)&lt;=BR$4,YEAR($F18)&gt;=Preisindex!$A$6),ROUND($E18*BR18,2),IF(AND($E18&lt;&gt;0,$F18&gt;0,YEAR($F18)&lt;=BR$4,YEAR($F18)&lt;Preisindex!$A$6),ROUND($E18*BS18,2),0))</f>
        <v>744000</v>
      </c>
      <c r="BU18" s="53">
        <f t="shared" si="171"/>
        <v>14880</v>
      </c>
      <c r="BV18" s="51">
        <f t="shared" si="172"/>
        <v>0</v>
      </c>
      <c r="BW18" s="51">
        <f t="shared" si="266"/>
        <v>0</v>
      </c>
      <c r="BX18" s="51">
        <f t="shared" si="174"/>
        <v>0</v>
      </c>
      <c r="BY18" s="51">
        <f t="shared" si="267"/>
        <v>0</v>
      </c>
      <c r="BZ18" s="51">
        <f t="shared" si="176"/>
        <v>400000</v>
      </c>
      <c r="CA18" s="51">
        <f t="shared" si="268"/>
        <v>400000</v>
      </c>
      <c r="CB18" s="51">
        <f t="shared" si="178"/>
        <v>8000</v>
      </c>
      <c r="CC18" s="51">
        <f t="shared" si="269"/>
        <v>8000</v>
      </c>
      <c r="CD18" s="51">
        <f t="shared" si="180"/>
        <v>116000</v>
      </c>
      <c r="CE18" s="51">
        <f t="shared" si="270"/>
        <v>116000</v>
      </c>
      <c r="CF18" s="51">
        <f t="shared" si="182"/>
        <v>284000</v>
      </c>
      <c r="CG18" s="54">
        <f t="shared" si="183"/>
        <v>0</v>
      </c>
      <c r="CH18" s="55">
        <f t="shared" si="184"/>
        <v>0</v>
      </c>
      <c r="CI18" s="56">
        <f>IF(AND($E18&lt;&gt;0,$F18&gt;0,YEAR($F18)&gt;=Preisindex!$A$6,YEAR(CD$4)&gt;=YEAR($F18),AND($K18&lt;&gt;"a",$K18&lt;&gt;"b",$K18&lt;&gt;"g",$K18&lt;&gt;"k")),1,IF(AND($E18&lt;&gt;0,$F18&gt;0,YEAR($F18)&gt;=Preisindex!$A$6,YEAR(CD$4)&gt;=YEAR($F18),$K18="a"),ROUND(VLOOKUP(CI$4,Preisindex,5,FALSE)/VLOOKUP(YEAR($F18),Preisindex,5,FALSE),2),IF(AND($E18&lt;&gt;0,$F18&gt;0,YEAR($F18)&gt;=Preisindex!$A$6,YEAR(CD$4)&gt;=YEAR($F18),$K18="b"),ROUND(VLOOKUP(CI$4,Preisindex,3,FALSE)/VLOOKUP(YEAR($F18),Preisindex,3,FALSE),2),IF(AND($E18&lt;&gt;0,$F18&gt;0,YEAR($F18)&gt;=Preisindex!$A$6,YEAR(CD$4)&gt;=YEAR($F18),$K18="g"),ROUND(VLOOKUP(CI$4,Preisindex,4,FALSE)/VLOOKUP(YEAR($F18),Preisindex,4,FALSE),2),IF(AND($E18&lt;&gt;0,$F18&gt;0,YEAR($F18)&gt;=Preisindex!$A$6,YEAR(CD$4)&gt;=YEAR($F18),$K18="k"),ROUND(VLOOKUP(CI$4,Preisindex,2,FALSE)/VLOOKUP(YEAR($F18),Preisindex,2,FALSE),2),0)))))</f>
        <v>1.88</v>
      </c>
      <c r="CJ18" s="56">
        <f>IF(AND($E18&lt;&gt;0,$F18&gt;0,YEAR($F18)&lt;Preisindex!$A$6,YEAR(CD$4)&gt;=YEAR($F18),AND($K18&lt;&gt;"a",$K18&lt;&gt;"b",$K18&lt;&gt;"g",$K18&lt;&gt;"k")),1,IF(AND($E18&lt;&gt;0,$F18&gt;0,YEAR($F18)&lt;Preisindex!$A$6,YEAR(CD$4)&gt;=YEAR($F18),$K18="a"),ROUND(VLOOKUP(CI$4,Preisindex,5,FALSE)/VLOOKUP(Preisindex!$A$6,Preisindex,5,FALSE),2),IF(AND($E18&lt;&gt;0,$F18&gt;0,YEAR($F18)&lt;Preisindex!$A$6,YEAR(CD$4)&gt;=YEAR($F18),$K18="b"),ROUND(VLOOKUP(CI$4,Preisindex,3,FALSE)/VLOOKUP(Preisindex!$A$6,Preisindex,3,FALSE),2),IF(AND($E18&lt;&gt;0,$F18&gt;0,YEAR($F18)&lt;Preisindex!$A$6,YEAR(CD$4)&gt;=YEAR($F18),$K18="g"),ROUND(VLOOKUP(CI$4,Preisindex,4,FALSE)/VLOOKUP(Preisindex!$A$6,Preisindex,4,FALSE),2),IF(AND($E18&lt;&gt;0,$F18&gt;0,YEAR($F18)&lt;Preisindex!$A$6,YEAR(CD$4)&gt;=YEAR($F18),$K18="k"),ROUND(VLOOKUP(CI$4,Preisindex,2,FALSE)/VLOOKUP(Preisindex!$A$6,Preisindex,2,FALSE),2),0)))))</f>
        <v>0</v>
      </c>
      <c r="CK18" s="51">
        <f>IF(AND($E18&lt;&gt;0,$F18&gt;0,YEAR($F18)&lt;=CI$4,YEAR($F18)&gt;=Preisindex!$A$6),ROUND($E18*CI18,2),IF(AND($E18&lt;&gt;0,$F18&gt;0,YEAR($F18)&lt;=CI$4,YEAR($F18)&lt;Preisindex!$A$6),ROUND($E18*CJ18,2),0))</f>
        <v>752000</v>
      </c>
      <c r="CL18" s="53">
        <f t="shared" si="185"/>
        <v>15040</v>
      </c>
      <c r="CM18" s="51">
        <f t="shared" si="172"/>
        <v>0</v>
      </c>
      <c r="CN18" s="51">
        <f t="shared" si="271"/>
        <v>0</v>
      </c>
      <c r="CO18" s="51">
        <f t="shared" si="188"/>
        <v>0</v>
      </c>
      <c r="CP18" s="51">
        <f t="shared" si="272"/>
        <v>0</v>
      </c>
      <c r="CQ18" s="51">
        <f t="shared" si="190"/>
        <v>400000</v>
      </c>
      <c r="CR18" s="51">
        <f t="shared" si="273"/>
        <v>400000</v>
      </c>
      <c r="CS18" s="51">
        <f t="shared" si="192"/>
        <v>8000</v>
      </c>
      <c r="CT18" s="51">
        <f t="shared" si="274"/>
        <v>8000</v>
      </c>
      <c r="CU18" s="51">
        <f t="shared" si="194"/>
        <v>108000</v>
      </c>
      <c r="CV18" s="51">
        <f t="shared" si="275"/>
        <v>108000</v>
      </c>
      <c r="CW18" s="51">
        <f t="shared" si="196"/>
        <v>292000</v>
      </c>
      <c r="CX18" s="54">
        <f t="shared" si="197"/>
        <v>0</v>
      </c>
      <c r="CY18" s="55">
        <f t="shared" si="198"/>
        <v>0</v>
      </c>
      <c r="CZ18" s="56">
        <f>IF(AND($E18&lt;&gt;0,$F18&gt;0,YEAR($F18)&gt;=Preisindex!$A$6,YEAR(CU$4)&gt;=YEAR($F18),AND($K18&lt;&gt;"a",$K18&lt;&gt;"b",$K18&lt;&gt;"g",$K18&lt;&gt;"k")),1,IF(AND($E18&lt;&gt;0,$F18&gt;0,YEAR($F18)&gt;=Preisindex!$A$6,YEAR(CU$4)&gt;=YEAR($F18),$K18="a"),ROUND(VLOOKUP(CZ$4,Preisindex,5,FALSE)/VLOOKUP(YEAR($F18),Preisindex,5,FALSE),2),IF(AND($E18&lt;&gt;0,$F18&gt;0,YEAR($F18)&gt;=Preisindex!$A$6,YEAR(CU$4)&gt;=YEAR($F18),$K18="b"),ROUND(VLOOKUP(CZ$4,Preisindex,3,FALSE)/VLOOKUP(YEAR($F18),Preisindex,3,FALSE),2),IF(AND($E18&lt;&gt;0,$F18&gt;0,YEAR($F18)&gt;=Preisindex!$A$6,YEAR(CU$4)&gt;=YEAR($F18),$K18="g"),ROUND(VLOOKUP(CZ$4,Preisindex,4,FALSE)/VLOOKUP(YEAR($F18),Preisindex,4,FALSE),2),IF(AND($E18&lt;&gt;0,$F18&gt;0,YEAR($F18)&gt;=Preisindex!$A$6,YEAR(CU$4)&gt;=YEAR($F18),$K18="k"),ROUND(VLOOKUP(CZ$4,Preisindex,2,FALSE)/VLOOKUP(YEAR($F18),Preisindex,2,FALSE),2),0)))))</f>
        <v>1.91</v>
      </c>
      <c r="DA18" s="56">
        <f>IF(AND($E18&lt;&gt;0,$F18&gt;0,YEAR($F18)&lt;Preisindex!$A$6,YEAR(CU$4)&gt;=YEAR($F18),AND($K18&lt;&gt;"a",$K18&lt;&gt;"b",$K18&lt;&gt;"g",$K18&lt;&gt;"k")),1,IF(AND($E18&lt;&gt;0,$F18&gt;0,YEAR($F18)&lt;Preisindex!$A$6,YEAR(CU$4)&gt;=YEAR($F18),$K18="a"),ROUND(VLOOKUP(CZ$4,Preisindex,5,FALSE)/VLOOKUP(Preisindex!$A$6,Preisindex,5,FALSE),2),IF(AND($E18&lt;&gt;0,$F18&gt;0,YEAR($F18)&lt;Preisindex!$A$6,YEAR(CU$4)&gt;=YEAR($F18),$K18="b"),ROUND(VLOOKUP(CZ$4,Preisindex,3,FALSE)/VLOOKUP(Preisindex!$A$6,Preisindex,3,FALSE),2),IF(AND($E18&lt;&gt;0,$F18&gt;0,YEAR($F18)&lt;Preisindex!$A$6,YEAR(CU$4)&gt;=YEAR($F18),$K18="g"),ROUND(VLOOKUP(CZ$4,Preisindex,4,FALSE)/VLOOKUP(Preisindex!$A$6,Preisindex,4,FALSE),2),IF(AND($E18&lt;&gt;0,$F18&gt;0,YEAR($F18)&lt;Preisindex!$A$6,YEAR(CU$4)&gt;=YEAR($F18),$K18="k"),ROUND(VLOOKUP(CZ$4,Preisindex,2,FALSE)/VLOOKUP(Preisindex!$A$6,Preisindex,2,FALSE),2),0)))))</f>
        <v>0</v>
      </c>
      <c r="DB18" s="51">
        <f>IF(AND($E18&lt;&gt;0,$F18&gt;0,YEAR($F18)&lt;=CZ$4,YEAR($F18)&gt;=Preisindex!$A$6),ROUND($E18*CZ18,2),IF(AND($E18&lt;&gt;0,$F18&gt;0,YEAR($F18)&lt;=CZ$4,YEAR($F18)&lt;Preisindex!$A$6),ROUND($E18*DA18,2),0))</f>
        <v>764000</v>
      </c>
      <c r="DC18" s="53">
        <f t="shared" si="199"/>
        <v>15280</v>
      </c>
      <c r="DD18" s="51">
        <f t="shared" si="200"/>
        <v>0</v>
      </c>
      <c r="DE18" s="51">
        <f t="shared" si="276"/>
        <v>0</v>
      </c>
      <c r="DF18" s="51">
        <f t="shared" si="202"/>
        <v>0</v>
      </c>
      <c r="DG18" s="51">
        <f t="shared" si="277"/>
        <v>0</v>
      </c>
      <c r="DH18" s="51">
        <f t="shared" si="204"/>
        <v>400000</v>
      </c>
      <c r="DI18" s="51">
        <f t="shared" si="278"/>
        <v>400000</v>
      </c>
      <c r="DJ18" s="51">
        <f t="shared" si="206"/>
        <v>8000</v>
      </c>
      <c r="DK18" s="51">
        <f t="shared" si="279"/>
        <v>8000</v>
      </c>
      <c r="DL18" s="51">
        <f t="shared" si="208"/>
        <v>100000</v>
      </c>
      <c r="DM18" s="51">
        <f t="shared" si="280"/>
        <v>100000</v>
      </c>
      <c r="DN18" s="51">
        <f t="shared" si="210"/>
        <v>300000</v>
      </c>
      <c r="DO18" s="54">
        <f t="shared" si="211"/>
        <v>0</v>
      </c>
      <c r="DP18" s="55">
        <f t="shared" si="212"/>
        <v>0</v>
      </c>
      <c r="DQ18" s="56">
        <f>IF(AND($E18&lt;&gt;0,$F18&gt;0,YEAR($F18)&gt;=Preisindex!$A$6,YEAR(DL$4)&gt;=YEAR($F18),AND($K18&lt;&gt;"a",$K18&lt;&gt;"b",$K18&lt;&gt;"g",$K18&lt;&gt;"k")),1,IF(AND($E18&lt;&gt;0,$F18&gt;0,YEAR($F18)&gt;=Preisindex!$A$6,YEAR(DL$4)&gt;=YEAR($F18),$K18="a"),ROUND(VLOOKUP(DQ$4,Preisindex,5,FALSE)/VLOOKUP(YEAR($F18),Preisindex,5,FALSE),2),IF(AND($E18&lt;&gt;0,$F18&gt;0,YEAR($F18)&gt;=Preisindex!$A$6,YEAR(DL$4)&gt;=YEAR($F18),$K18="b"),ROUND(VLOOKUP(DQ$4,Preisindex,3,FALSE)/VLOOKUP(YEAR($F18),Preisindex,3,FALSE),2),IF(AND($E18&lt;&gt;0,$F18&gt;0,YEAR($F18)&gt;=Preisindex!$A$6,YEAR(DL$4)&gt;=YEAR($F18),$K18="g"),ROUND(VLOOKUP(DQ$4,Preisindex,4,FALSE)/VLOOKUP(YEAR($F18),Preisindex,4,FALSE),2),IF(AND($E18&lt;&gt;0,$F18&gt;0,YEAR($F18)&gt;=Preisindex!$A$6,YEAR(DL$4)&gt;=YEAR($F18),$K18="k"),ROUND(VLOOKUP(DQ$4,Preisindex,2,FALSE)/VLOOKUP(YEAR($F18),Preisindex,2,FALSE),2),0)))))</f>
        <v>1.97</v>
      </c>
      <c r="DR18" s="56">
        <f>IF(AND($E18&lt;&gt;0,$F18&gt;0,YEAR($F18)&lt;Preisindex!$A$6,YEAR(DL$4)&gt;=YEAR($F18),AND($K18&lt;&gt;"a",$K18&lt;&gt;"b",$K18&lt;&gt;"g",$K18&lt;&gt;"k")),1,IF(AND($E18&lt;&gt;0,$F18&gt;0,YEAR($F18)&lt;Preisindex!$A$6,YEAR(DL$4)&gt;=YEAR($F18),$K18="a"),ROUND(VLOOKUP(DQ$4,Preisindex,5,FALSE)/VLOOKUP(Preisindex!$A$6,Preisindex,5,FALSE),2),IF(AND($E18&lt;&gt;0,$F18&gt;0,YEAR($F18)&lt;Preisindex!$A$6,YEAR(DL$4)&gt;=YEAR($F18),$K18="b"),ROUND(VLOOKUP(DQ$4,Preisindex,3,FALSE)/VLOOKUP(Preisindex!$A$6,Preisindex,3,FALSE),2),IF(AND($E18&lt;&gt;0,$F18&gt;0,YEAR($F18)&lt;Preisindex!$A$6,YEAR(DL$4)&gt;=YEAR($F18),$K18="g"),ROUND(VLOOKUP(DQ$4,Preisindex,4,FALSE)/VLOOKUP(Preisindex!$A$6,Preisindex,4,FALSE),2),IF(AND($E18&lt;&gt;0,$F18&gt;0,YEAR($F18)&lt;Preisindex!$A$6,YEAR(DL$4)&gt;=YEAR($F18),$K18="k"),ROUND(VLOOKUP(DQ$4,Preisindex,2,FALSE)/VLOOKUP(Preisindex!$A$6,Preisindex,2,FALSE),2),0)))))</f>
        <v>0</v>
      </c>
      <c r="DS18" s="51">
        <f>IF(AND($E18&lt;&gt;0,$F18&gt;0,YEAR($F18)&lt;=DQ$4,YEAR($F18)&gt;=Preisindex!$A$6),ROUND($E18*DQ18,2),IF(AND($E18&lt;&gt;0,$F18&gt;0,YEAR($F18)&lt;=DQ$4,YEAR($F18)&lt;Preisindex!$A$6),ROUND($E18*DR18,2),0))</f>
        <v>788000</v>
      </c>
      <c r="DT18" s="53">
        <f t="shared" si="213"/>
        <v>15760</v>
      </c>
      <c r="DU18" s="51">
        <f t="shared" si="200"/>
        <v>0</v>
      </c>
      <c r="DV18" s="51">
        <f t="shared" si="281"/>
        <v>0</v>
      </c>
      <c r="DW18" s="51">
        <f t="shared" si="216"/>
        <v>0</v>
      </c>
      <c r="DX18" s="51">
        <f t="shared" si="282"/>
        <v>0</v>
      </c>
      <c r="DY18" s="51">
        <f t="shared" si="218"/>
        <v>400000</v>
      </c>
      <c r="DZ18" s="51">
        <f t="shared" si="283"/>
        <v>400000</v>
      </c>
      <c r="EA18" s="51">
        <f t="shared" si="220"/>
        <v>8000</v>
      </c>
      <c r="EB18" s="51">
        <f t="shared" si="284"/>
        <v>8000</v>
      </c>
      <c r="EC18" s="51">
        <f t="shared" si="222"/>
        <v>92000</v>
      </c>
      <c r="ED18" s="51">
        <f t="shared" si="285"/>
        <v>92000</v>
      </c>
      <c r="EE18" s="51">
        <f t="shared" si="224"/>
        <v>308000</v>
      </c>
      <c r="EF18" s="54">
        <f t="shared" si="225"/>
        <v>0</v>
      </c>
      <c r="EG18" s="55">
        <f t="shared" si="226"/>
        <v>0</v>
      </c>
      <c r="EH18" s="56">
        <f>IF(AND($E18&lt;&gt;0,$F18&gt;0,YEAR($F18)&gt;=Preisindex!$A$6,YEAR(EC$4)&gt;=YEAR($F18),AND($K18&lt;&gt;"a",$K18&lt;&gt;"b",$K18&lt;&gt;"g",$K18&lt;&gt;"k")),1,IF(AND($E18&lt;&gt;0,$F18&gt;0,YEAR($F18)&gt;=Preisindex!$A$6,YEAR(EC$4)&gt;=YEAR($F18),$K18="a"),ROUND(VLOOKUP(EH$4,Preisindex,5,FALSE)/VLOOKUP(YEAR($F18),Preisindex,5,FALSE),2),IF(AND($E18&lt;&gt;0,$F18&gt;0,YEAR($F18)&gt;=Preisindex!$A$6,YEAR(EC$4)&gt;=YEAR($F18),$K18="b"),ROUND(VLOOKUP(EH$4,Preisindex,3,FALSE)/VLOOKUP(YEAR($F18),Preisindex,3,FALSE),2),IF(AND($E18&lt;&gt;0,$F18&gt;0,YEAR($F18)&gt;=Preisindex!$A$6,YEAR(EC$4)&gt;=YEAR($F18),$K18="g"),ROUND(VLOOKUP(EH$4,Preisindex,4,FALSE)/VLOOKUP(YEAR($F18),Preisindex,4,FALSE),2),IF(AND($E18&lt;&gt;0,$F18&gt;0,YEAR($F18)&gt;=Preisindex!$A$6,YEAR(EC$4)&gt;=YEAR($F18),$K18="k"),ROUND(VLOOKUP(EH$4,Preisindex,2,FALSE)/VLOOKUP(YEAR($F18),Preisindex,2,FALSE),2),0)))))</f>
        <v>2.0699999999999998</v>
      </c>
      <c r="EI18" s="56">
        <f>IF(AND($E18&lt;&gt;0,$F18&gt;0,YEAR($F18)&lt;Preisindex!$A$6,YEAR(EC$4)&gt;=YEAR($F18),AND($K18&lt;&gt;"a",$K18&lt;&gt;"b",$K18&lt;&gt;"g",$K18&lt;&gt;"k")),1,IF(AND($E18&lt;&gt;0,$F18&gt;0,YEAR($F18)&lt;Preisindex!$A$6,YEAR(EC$4)&gt;=YEAR($F18),$K18="a"),ROUND(VLOOKUP(EH$4,Preisindex,5,FALSE)/VLOOKUP(Preisindex!$A$6,Preisindex,5,FALSE),2),IF(AND($E18&lt;&gt;0,$F18&gt;0,YEAR($F18)&lt;Preisindex!$A$6,YEAR(EC$4)&gt;=YEAR($F18),$K18="b"),ROUND(VLOOKUP(EH$4,Preisindex,3,FALSE)/VLOOKUP(Preisindex!$A$6,Preisindex,3,FALSE),2),IF(AND($E18&lt;&gt;0,$F18&gt;0,YEAR($F18)&lt;Preisindex!$A$6,YEAR(EC$4)&gt;=YEAR($F18),$K18="g"),ROUND(VLOOKUP(EH$4,Preisindex,4,FALSE)/VLOOKUP(Preisindex!$A$6,Preisindex,4,FALSE),2),IF(AND($E18&lt;&gt;0,$F18&gt;0,YEAR($F18)&lt;Preisindex!$A$6,YEAR(EC$4)&gt;=YEAR($F18),$K18="k"),ROUND(VLOOKUP(EH$4,Preisindex,2,FALSE)/VLOOKUP(Preisindex!$A$6,Preisindex,2,FALSE),2),0)))))</f>
        <v>0</v>
      </c>
      <c r="EJ18" s="51">
        <f>IF(AND($E18&lt;&gt;0,$F18&gt;0,YEAR($F18)&lt;=EH$4,YEAR($F18)&gt;=Preisindex!$A$6),ROUND($E18*EH18,2),IF(AND($E18&lt;&gt;0,$F18&gt;0,YEAR($F18)&lt;=EH$4,YEAR($F18)&lt;Preisindex!$A$6),ROUND($E18*EI18,2),0))</f>
        <v>828000</v>
      </c>
      <c r="EK18" s="53">
        <f t="shared" si="227"/>
        <v>16560</v>
      </c>
      <c r="EL18" s="51">
        <f t="shared" si="228"/>
        <v>0</v>
      </c>
      <c r="EM18" s="51">
        <f t="shared" si="286"/>
        <v>0</v>
      </c>
      <c r="EN18" s="51">
        <f t="shared" si="230"/>
        <v>0</v>
      </c>
      <c r="EO18" s="51">
        <f t="shared" si="287"/>
        <v>0</v>
      </c>
      <c r="EP18" s="51">
        <f t="shared" si="232"/>
        <v>400000</v>
      </c>
      <c r="EQ18" s="51">
        <f t="shared" si="288"/>
        <v>400000</v>
      </c>
      <c r="ER18" s="51">
        <f t="shared" si="234"/>
        <v>8000</v>
      </c>
      <c r="ES18" s="51">
        <f t="shared" si="289"/>
        <v>8000</v>
      </c>
      <c r="ET18" s="51">
        <f t="shared" si="236"/>
        <v>84000</v>
      </c>
      <c r="EU18" s="51">
        <f t="shared" si="290"/>
        <v>84000</v>
      </c>
      <c r="EV18" s="51">
        <f t="shared" si="238"/>
        <v>316000</v>
      </c>
      <c r="EW18" s="54">
        <f t="shared" si="239"/>
        <v>0</v>
      </c>
      <c r="EX18" s="55">
        <f t="shared" si="240"/>
        <v>0</v>
      </c>
      <c r="EY18" s="56">
        <f>IF(AND($E18&lt;&gt;0,$F18&gt;0,YEAR($F18)&gt;=Preisindex!$A$6,YEAR(ET$4)&gt;=YEAR($F18),AND($K18&lt;&gt;"a",$K18&lt;&gt;"b",$K18&lt;&gt;"g",$K18&lt;&gt;"k")),1,IF(AND($E18&lt;&gt;0,$F18&gt;0,YEAR($F18)&gt;=Preisindex!$A$6,YEAR(ET$4)&gt;=YEAR($F18),$K18="a"),ROUND(VLOOKUP(EY$4,Preisindex,5,FALSE)/VLOOKUP(YEAR($F18),Preisindex,5,FALSE),2),IF(AND($E18&lt;&gt;0,$F18&gt;0,YEAR($F18)&gt;=Preisindex!$A$6,YEAR(ET$4)&gt;=YEAR($F18),$K18="b"),ROUND(VLOOKUP(EY$4,Preisindex,3,FALSE)/VLOOKUP(YEAR($F18),Preisindex,3,FALSE),2),IF(AND($E18&lt;&gt;0,$F18&gt;0,YEAR($F18)&gt;=Preisindex!$A$6,YEAR(ET$4)&gt;=YEAR($F18),$K18="g"),ROUND(VLOOKUP(EY$4,Preisindex,4,FALSE)/VLOOKUP(YEAR($F18),Preisindex,4,FALSE),2),IF(AND($E18&lt;&gt;0,$F18&gt;0,YEAR($F18)&gt;=Preisindex!$A$6,YEAR(ET$4)&gt;=YEAR($F18),$K18="k"),ROUND(VLOOKUP(EY$4,Preisindex,2,FALSE)/VLOOKUP(YEAR($F18),Preisindex,2,FALSE),2),0)))))</f>
        <v>2.0699999999999998</v>
      </c>
      <c r="EZ18" s="56">
        <f>IF(AND($E18&lt;&gt;0,$F18&gt;0,YEAR($F18)&lt;Preisindex!$A$6,YEAR(ET$4)&gt;=YEAR($F18),AND($K18&lt;&gt;"a",$K18&lt;&gt;"b",$K18&lt;&gt;"g",$K18&lt;&gt;"k")),1,IF(AND($E18&lt;&gt;0,$F18&gt;0,YEAR($F18)&lt;Preisindex!$A$6,YEAR(ET$4)&gt;=YEAR($F18),$K18="a"),ROUND(VLOOKUP(EY$4,Preisindex,5,FALSE)/VLOOKUP(Preisindex!$A$6,Preisindex,5,FALSE),2),IF(AND($E18&lt;&gt;0,$F18&gt;0,YEAR($F18)&lt;Preisindex!$A$6,YEAR(ET$4)&gt;=YEAR($F18),$K18="b"),ROUND(VLOOKUP(EY$4,Preisindex,3,FALSE)/VLOOKUP(Preisindex!$A$6,Preisindex,3,FALSE),2),IF(AND($E18&lt;&gt;0,$F18&gt;0,YEAR($F18)&lt;Preisindex!$A$6,YEAR(ET$4)&gt;=YEAR($F18),$K18="g"),ROUND(VLOOKUP(EY$4,Preisindex,4,FALSE)/VLOOKUP(Preisindex!$A$6,Preisindex,4,FALSE),2),IF(AND($E18&lt;&gt;0,$F18&gt;0,YEAR($F18)&lt;Preisindex!$A$6,YEAR(ET$4)&gt;=YEAR($F18),$K18="k"),ROUND(VLOOKUP(EY$4,Preisindex,2,FALSE)/VLOOKUP(Preisindex!$A$6,Preisindex,2,FALSE),2),0)))))</f>
        <v>0</v>
      </c>
      <c r="FA18" s="51">
        <f>IF(AND($E18&lt;&gt;0,$F18&gt;0,YEAR($F18)&lt;=EY$4,YEAR($F18)&gt;=Preisindex!$A$6),ROUND($E18*EY18,2),IF(AND($E18&lt;&gt;0,$F18&gt;0,YEAR($F18)&lt;=EY$4,YEAR($F18)&lt;Preisindex!$A$6),ROUND($E18*EZ18,2),0))</f>
        <v>828000</v>
      </c>
      <c r="FB18" s="53">
        <f t="shared" si="241"/>
        <v>16560</v>
      </c>
      <c r="FC18" s="51">
        <f t="shared" si="228"/>
        <v>0</v>
      </c>
      <c r="FD18" s="51">
        <f t="shared" si="291"/>
        <v>0</v>
      </c>
      <c r="FE18" s="51">
        <f t="shared" si="244"/>
        <v>0</v>
      </c>
      <c r="FF18" s="51">
        <f t="shared" si="292"/>
        <v>0</v>
      </c>
      <c r="FG18" s="51">
        <f t="shared" si="246"/>
        <v>400000</v>
      </c>
      <c r="FH18" s="51">
        <f t="shared" si="293"/>
        <v>400000</v>
      </c>
      <c r="FI18" s="51">
        <f t="shared" si="248"/>
        <v>8000</v>
      </c>
      <c r="FJ18" s="51">
        <f t="shared" si="294"/>
        <v>8000</v>
      </c>
      <c r="FK18" s="51">
        <f t="shared" si="250"/>
        <v>76000</v>
      </c>
      <c r="FL18" s="51">
        <f t="shared" si="295"/>
        <v>76000</v>
      </c>
      <c r="FM18" s="51">
        <f t="shared" si="252"/>
        <v>324000</v>
      </c>
      <c r="FN18" s="54">
        <f t="shared" si="253"/>
        <v>0</v>
      </c>
      <c r="FO18" s="55">
        <f t="shared" si="254"/>
        <v>0</v>
      </c>
      <c r="FP18" s="56">
        <f>IF(AND($E18&lt;&gt;0,$F18&gt;0,YEAR($F18)&gt;=Preisindex!$A$6,YEAR(FK$4)&gt;=YEAR($F18),AND($K18&lt;&gt;"a",$K18&lt;&gt;"b",$K18&lt;&gt;"g",$K18&lt;&gt;"k")),1,IF(AND($E18&lt;&gt;0,$F18&gt;0,YEAR($F18)&gt;=Preisindex!$A$6,YEAR(FK$4)&gt;=YEAR($F18),$K18="a"),ROUND(VLOOKUP(FP$4,Preisindex,5,FALSE)/VLOOKUP(YEAR($F18),Preisindex,5,FALSE),2),IF(AND($E18&lt;&gt;0,$F18&gt;0,YEAR($F18)&gt;=Preisindex!$A$6,YEAR(FK$4)&gt;=YEAR($F18),$K18="b"),ROUND(VLOOKUP(FP$4,Preisindex,3,FALSE)/VLOOKUP(YEAR($F18),Preisindex,3,FALSE),2),IF(AND($E18&lt;&gt;0,$F18&gt;0,YEAR($F18)&gt;=Preisindex!$A$6,YEAR(FK$4)&gt;=YEAR($F18),$K18="g"),ROUND(VLOOKUP(FP$4,Preisindex,4,FALSE)/VLOOKUP(YEAR($F18),Preisindex,4,FALSE),2),IF(AND($E18&lt;&gt;0,$F18&gt;0,YEAR($F18)&gt;=Preisindex!$A$6,YEAR(FK$4)&gt;=YEAR($F18),$K18="k"),ROUND(VLOOKUP(FP$4,Preisindex,2,FALSE)/VLOOKUP(YEAR($F18),Preisindex,2,FALSE),2),0)))))</f>
        <v>2.0699999999999998</v>
      </c>
      <c r="FQ18" s="56">
        <f>IF(AND($E18&lt;&gt;0,$F18&gt;0,YEAR($F18)&lt;Preisindex!$A$6,YEAR(FK$4)&gt;=YEAR($F18),AND($K18&lt;&gt;"a",$K18&lt;&gt;"b",$K18&lt;&gt;"g",$K18&lt;&gt;"k")),1,IF(AND($E18&lt;&gt;0,$F18&gt;0,YEAR($F18)&lt;Preisindex!$A$6,YEAR(FK$4)&gt;=YEAR($F18),$K18="a"),ROUND(VLOOKUP(FP$4,Preisindex,5,FALSE)/VLOOKUP(Preisindex!$A$6,Preisindex,5,FALSE),2),IF(AND($E18&lt;&gt;0,$F18&gt;0,YEAR($F18)&lt;Preisindex!$A$6,YEAR(FK$4)&gt;=YEAR($F18),$K18="b"),ROUND(VLOOKUP(FP$4,Preisindex,3,FALSE)/VLOOKUP(Preisindex!$A$6,Preisindex,3,FALSE),2),IF(AND($E18&lt;&gt;0,$F18&gt;0,YEAR($F18)&lt;Preisindex!$A$6,YEAR(FK$4)&gt;=YEAR($F18),$K18="g"),ROUND(VLOOKUP(FP$4,Preisindex,4,FALSE)/VLOOKUP(Preisindex!$A$6,Preisindex,4,FALSE),2),IF(AND($E18&lt;&gt;0,$F18&gt;0,YEAR($F18)&lt;Preisindex!$A$6,YEAR(FK$4)&gt;=YEAR($F18),$K18="k"),ROUND(VLOOKUP(FP$4,Preisindex,2,FALSE)/VLOOKUP(Preisindex!$A$6,Preisindex,2,FALSE),2),0)))))</f>
        <v>0</v>
      </c>
      <c r="FR18" s="51">
        <f>IF(AND($E18&lt;&gt;0,$F18&gt;0,YEAR($F18)&lt;=FP$4,YEAR($F18)&gt;=Preisindex!$A$6),ROUND($E18*FP18,2),IF(AND($E18&lt;&gt;0,$F18&gt;0,YEAR($F18)&lt;=FP$4,YEAR($F18)&lt;Preisindex!$A$6),ROUND($E18*FQ18,2),0))</f>
        <v>828000</v>
      </c>
      <c r="FS18" s="53">
        <f t="shared" si="255"/>
        <v>16560</v>
      </c>
    </row>
    <row r="19" spans="1:175" x14ac:dyDescent="0.3">
      <c r="A19" s="93">
        <v>1985</v>
      </c>
      <c r="B19" s="94" t="s">
        <v>208</v>
      </c>
      <c r="C19" s="94"/>
      <c r="D19" s="95" t="s">
        <v>18</v>
      </c>
      <c r="E19" s="99">
        <v>200000</v>
      </c>
      <c r="F19" s="97">
        <v>31229</v>
      </c>
      <c r="G19" s="100">
        <v>50</v>
      </c>
      <c r="H19" s="622"/>
      <c r="I19" s="621"/>
      <c r="J19" s="194"/>
      <c r="K19" s="630" t="s">
        <v>266</v>
      </c>
      <c r="L19" s="49">
        <f t="shared" si="296"/>
        <v>0.02</v>
      </c>
      <c r="M19" s="50">
        <f t="shared" si="297"/>
        <v>4000</v>
      </c>
      <c r="N19" s="51">
        <f t="shared" si="298"/>
        <v>94000</v>
      </c>
      <c r="O19" s="51"/>
      <c r="P19" s="51">
        <f t="shared" si="299"/>
        <v>106000</v>
      </c>
      <c r="Q19" s="52"/>
      <c r="R19" s="52"/>
      <c r="S19" s="52"/>
      <c r="T19" s="52"/>
      <c r="U19" s="52"/>
      <c r="V19" s="53">
        <f t="shared" si="300"/>
        <v>200000</v>
      </c>
      <c r="W19" s="51">
        <f t="shared" si="301"/>
        <v>0</v>
      </c>
      <c r="X19" s="51">
        <f t="shared" si="302"/>
        <v>0</v>
      </c>
      <c r="Y19" s="51">
        <f t="shared" si="303"/>
        <v>0</v>
      </c>
      <c r="Z19" s="51">
        <f t="shared" si="304"/>
        <v>0</v>
      </c>
      <c r="AA19" s="51">
        <f t="shared" si="305"/>
        <v>200000</v>
      </c>
      <c r="AB19" s="51">
        <f t="shared" si="306"/>
        <v>200000</v>
      </c>
      <c r="AC19" s="51">
        <f t="shared" si="307"/>
        <v>4000</v>
      </c>
      <c r="AD19" s="51">
        <f t="shared" si="308"/>
        <v>4000</v>
      </c>
      <c r="AE19" s="51">
        <f t="shared" si="309"/>
        <v>90000</v>
      </c>
      <c r="AF19" s="51">
        <f t="shared" si="310"/>
        <v>90000</v>
      </c>
      <c r="AG19" s="51">
        <f t="shared" si="311"/>
        <v>110000</v>
      </c>
      <c r="AH19" s="54">
        <f t="shared" si="312"/>
        <v>0</v>
      </c>
      <c r="AI19" s="55">
        <f t="shared" si="313"/>
        <v>0</v>
      </c>
      <c r="AJ19" s="56">
        <f>IF(AND($E19&lt;&gt;0,$F19&gt;0,YEAR($F19)&gt;=Preisindex!$A$6,YEAR(AE$4)&gt;=YEAR($F19),AND($K19&lt;&gt;"a",$K19&lt;&gt;"b",$K19&lt;&gt;"g",$K19&lt;&gt;"k")),1,IF(AND($E19&lt;&gt;0,$F19&gt;0,YEAR($F19)&gt;=Preisindex!$A$6,YEAR(AE$4)&gt;=YEAR($F19),$K19="a"),ROUND(VLOOKUP(AJ$4,Preisindex,5,FALSE)/VLOOKUP(YEAR($F19),Preisindex,5,FALSE),2),IF(AND($E19&lt;&gt;0,$F19&gt;0,YEAR($F19)&gt;=Preisindex!$A$6,YEAR(AE$4)&gt;=YEAR($F19),$K19="b"),ROUND(VLOOKUP(AJ$4,Preisindex,3,FALSE)/VLOOKUP(YEAR($F19),Preisindex,3,FALSE),2),IF(AND($E19&lt;&gt;0,$F19&gt;0,YEAR($F19)&gt;=Preisindex!$A$6,YEAR(AE$4)&gt;=YEAR($F19),$K19="g"),ROUND(VLOOKUP(AJ$4,Preisindex,4,FALSE)/VLOOKUP(YEAR($F19),Preisindex,4,FALSE),2),IF(AND($E19&lt;&gt;0,$F19&gt;0,YEAR($F19)&gt;=Preisindex!$A$6,YEAR(AE$4)&gt;=YEAR($F19),$K19="k"),ROUND(VLOOKUP(AJ$4,Preisindex,2,FALSE)/VLOOKUP(YEAR($F19),Preisindex,2,FALSE),2),0)))))</f>
        <v>1.73</v>
      </c>
      <c r="AK19" s="56">
        <f>IF(AND($E19&lt;&gt;0,$F19&gt;0,YEAR($F19)&lt;Preisindex!$A$6,YEAR(AE$4)&gt;=YEAR($F19),AND($K19&lt;&gt;"a",$K19&lt;&gt;"b",$K19&lt;&gt;"g",$K19&lt;&gt;"k")),1,IF(AND($E19&lt;&gt;0,$F19&gt;0,YEAR($F19)&lt;Preisindex!$A$6,YEAR(AE$4)&gt;=YEAR($F19),$K19="a"),ROUND(VLOOKUP(AJ$4,Preisindex,5,FALSE)/VLOOKUP(Preisindex!$A$6,Preisindex,5,FALSE),2),IF(AND($E19&lt;&gt;0,$F19&gt;0,YEAR($F19)&lt;Preisindex!$A$6,YEAR(AE$4)&gt;=YEAR($F19),$K19="b"),ROUND(VLOOKUP(AJ$4,Preisindex,3,FALSE)/VLOOKUP(Preisindex!$A$6,Preisindex,3,FALSE),2),IF(AND($E19&lt;&gt;0,$F19&gt;0,YEAR($F19)&lt;Preisindex!$A$6,YEAR(AE$4)&gt;=YEAR($F19),$K19="g"),ROUND(VLOOKUP(AJ$4,Preisindex,4,FALSE)/VLOOKUP(Preisindex!$A$6,Preisindex,4,FALSE),2),IF(AND($E19&lt;&gt;0,$F19&gt;0,YEAR($F19)&lt;Preisindex!$A$6,YEAR(AE$4)&gt;=YEAR($F19),$K19="k"),ROUND(VLOOKUP(AJ$4,Preisindex,2,FALSE)/VLOOKUP(Preisindex!$A$6,Preisindex,2,FALSE),2),0)))))</f>
        <v>0</v>
      </c>
      <c r="AL19" s="51">
        <f>IF(AND($E19&lt;&gt;0,$F19&gt;0,YEAR($F19)&lt;=AJ$4,YEAR($F19)&gt;=Preisindex!$A$6),ROUND($E19*AJ19,2),IF(AND($E19&lt;&gt;0,$F19&gt;0,YEAR($F19)&lt;=AJ$4,YEAR($F19)&lt;Preisindex!$A$6),ROUND($E19*AK19,2),0))</f>
        <v>346000</v>
      </c>
      <c r="AM19" s="53">
        <f t="shared" si="314"/>
        <v>6920</v>
      </c>
      <c r="AN19" s="51">
        <f t="shared" si="144"/>
        <v>0</v>
      </c>
      <c r="AO19" s="51">
        <f t="shared" si="256"/>
        <v>0</v>
      </c>
      <c r="AP19" s="51">
        <f t="shared" si="146"/>
        <v>0</v>
      </c>
      <c r="AQ19" s="51">
        <f t="shared" si="257"/>
        <v>0</v>
      </c>
      <c r="AR19" s="51">
        <f t="shared" si="148"/>
        <v>200000</v>
      </c>
      <c r="AS19" s="51">
        <f t="shared" si="258"/>
        <v>200000</v>
      </c>
      <c r="AT19" s="51">
        <f t="shared" si="150"/>
        <v>4000</v>
      </c>
      <c r="AU19" s="51">
        <f t="shared" si="259"/>
        <v>4000</v>
      </c>
      <c r="AV19" s="51">
        <f t="shared" si="152"/>
        <v>86000</v>
      </c>
      <c r="AW19" s="51">
        <f t="shared" si="260"/>
        <v>86000</v>
      </c>
      <c r="AX19" s="51">
        <f t="shared" si="154"/>
        <v>114000</v>
      </c>
      <c r="AY19" s="54">
        <f t="shared" si="155"/>
        <v>0</v>
      </c>
      <c r="AZ19" s="55">
        <f t="shared" si="156"/>
        <v>0</v>
      </c>
      <c r="BA19" s="56">
        <f>IF(AND($E19&lt;&gt;0,$F19&gt;0,YEAR($F19)&gt;=Preisindex!$A$6,YEAR(AV$4)&gt;=YEAR($F19),AND($K19&lt;&gt;"a",$K19&lt;&gt;"b",$K19&lt;&gt;"g",$K19&lt;&gt;"k")),1,IF(AND($E19&lt;&gt;0,$F19&gt;0,YEAR($F19)&gt;=Preisindex!$A$6,YEAR(AV$4)&gt;=YEAR($F19),$K19="a"),ROUND(VLOOKUP(BA$4,Preisindex,5,FALSE)/VLOOKUP(YEAR($F19),Preisindex,5,FALSE),2),IF(AND($E19&lt;&gt;0,$F19&gt;0,YEAR($F19)&gt;=Preisindex!$A$6,YEAR(AV$4)&gt;=YEAR($F19),$K19="b"),ROUND(VLOOKUP(BA$4,Preisindex,3,FALSE)/VLOOKUP(YEAR($F19),Preisindex,3,FALSE),2),IF(AND($E19&lt;&gt;0,$F19&gt;0,YEAR($F19)&gt;=Preisindex!$A$6,YEAR(AV$4)&gt;=YEAR($F19),$K19="g"),ROUND(VLOOKUP(BA$4,Preisindex,4,FALSE)/VLOOKUP(YEAR($F19),Preisindex,4,FALSE),2),IF(AND($E19&lt;&gt;0,$F19&gt;0,YEAR($F19)&gt;=Preisindex!$A$6,YEAR(AV$4)&gt;=YEAR($F19),$K19="k"),ROUND(VLOOKUP(BA$4,Preisindex,2,FALSE)/VLOOKUP(YEAR($F19),Preisindex,2,FALSE),2),0)))))</f>
        <v>1.76</v>
      </c>
      <c r="BB19" s="56">
        <f>IF(AND($E19&lt;&gt;0,$F19&gt;0,YEAR($F19)&lt;Preisindex!$A$6,YEAR(AV$4)&gt;=YEAR($F19),AND($K19&lt;&gt;"a",$K19&lt;&gt;"b",$K19&lt;&gt;"g",$K19&lt;&gt;"k")),1,IF(AND($E19&lt;&gt;0,$F19&gt;0,YEAR($F19)&lt;Preisindex!$A$6,YEAR(AV$4)&gt;=YEAR($F19),$K19="a"),ROUND(VLOOKUP(BA$4,Preisindex,5,FALSE)/VLOOKUP(Preisindex!$A$6,Preisindex,5,FALSE),2),IF(AND($E19&lt;&gt;0,$F19&gt;0,YEAR($F19)&lt;Preisindex!$A$6,YEAR(AV$4)&gt;=YEAR($F19),$K19="b"),ROUND(VLOOKUP(BA$4,Preisindex,3,FALSE)/VLOOKUP(Preisindex!$A$6,Preisindex,3,FALSE),2),IF(AND($E19&lt;&gt;0,$F19&gt;0,YEAR($F19)&lt;Preisindex!$A$6,YEAR(AV$4)&gt;=YEAR($F19),$K19="g"),ROUND(VLOOKUP(BA$4,Preisindex,4,FALSE)/VLOOKUP(Preisindex!$A$6,Preisindex,4,FALSE),2),IF(AND($E19&lt;&gt;0,$F19&gt;0,YEAR($F19)&lt;Preisindex!$A$6,YEAR(AV$4)&gt;=YEAR($F19),$K19="k"),ROUND(VLOOKUP(BA$4,Preisindex,2,FALSE)/VLOOKUP(Preisindex!$A$6,Preisindex,2,FALSE),2),0)))))</f>
        <v>0</v>
      </c>
      <c r="BC19" s="51">
        <f>IF(AND($E19&lt;&gt;0,$F19&gt;0,YEAR($F19)&lt;=BA$4,YEAR($F19)&gt;=Preisindex!$A$6),ROUND($E19*BA19,2),IF(AND($E19&lt;&gt;0,$F19&gt;0,YEAR($F19)&lt;=BA$4,YEAR($F19)&lt;Preisindex!$A$6),ROUND($E19*BB19,2),0))</f>
        <v>352000</v>
      </c>
      <c r="BD19" s="53">
        <f t="shared" si="157"/>
        <v>7040</v>
      </c>
      <c r="BE19" s="51">
        <f t="shared" si="144"/>
        <v>0</v>
      </c>
      <c r="BF19" s="51">
        <f t="shared" si="261"/>
        <v>0</v>
      </c>
      <c r="BG19" s="51">
        <f t="shared" si="160"/>
        <v>0</v>
      </c>
      <c r="BH19" s="51">
        <f t="shared" si="262"/>
        <v>0</v>
      </c>
      <c r="BI19" s="51">
        <f t="shared" si="162"/>
        <v>200000</v>
      </c>
      <c r="BJ19" s="51">
        <f t="shared" si="263"/>
        <v>200000</v>
      </c>
      <c r="BK19" s="51">
        <f t="shared" si="164"/>
        <v>4000</v>
      </c>
      <c r="BL19" s="51">
        <f t="shared" si="264"/>
        <v>4000</v>
      </c>
      <c r="BM19" s="51">
        <f t="shared" si="166"/>
        <v>82000</v>
      </c>
      <c r="BN19" s="51">
        <f t="shared" si="265"/>
        <v>82000</v>
      </c>
      <c r="BO19" s="51">
        <f t="shared" si="168"/>
        <v>118000</v>
      </c>
      <c r="BP19" s="54">
        <f t="shared" si="169"/>
        <v>0</v>
      </c>
      <c r="BQ19" s="55">
        <f t="shared" si="170"/>
        <v>0</v>
      </c>
      <c r="BR19" s="56">
        <f>IF(AND($E19&lt;&gt;0,$F19&gt;0,YEAR($F19)&gt;=Preisindex!$A$6,YEAR(BM$4)&gt;=YEAR($F19),AND($K19&lt;&gt;"a",$K19&lt;&gt;"b",$K19&lt;&gt;"g",$K19&lt;&gt;"k")),1,IF(AND($E19&lt;&gt;0,$F19&gt;0,YEAR($F19)&gt;=Preisindex!$A$6,YEAR(BM$4)&gt;=YEAR($F19),$K19="a"),ROUND(VLOOKUP(BR$4,Preisindex,5,FALSE)/VLOOKUP(YEAR($F19),Preisindex,5,FALSE),2),IF(AND($E19&lt;&gt;0,$F19&gt;0,YEAR($F19)&gt;=Preisindex!$A$6,YEAR(BM$4)&gt;=YEAR($F19),$K19="b"),ROUND(VLOOKUP(BR$4,Preisindex,3,FALSE)/VLOOKUP(YEAR($F19),Preisindex,3,FALSE),2),IF(AND($E19&lt;&gt;0,$F19&gt;0,YEAR($F19)&gt;=Preisindex!$A$6,YEAR(BM$4)&gt;=YEAR($F19),$K19="g"),ROUND(VLOOKUP(BR$4,Preisindex,4,FALSE)/VLOOKUP(YEAR($F19),Preisindex,4,FALSE),2),IF(AND($E19&lt;&gt;0,$F19&gt;0,YEAR($F19)&gt;=Preisindex!$A$6,YEAR(BM$4)&gt;=YEAR($F19),$K19="k"),ROUND(VLOOKUP(BR$4,Preisindex,2,FALSE)/VLOOKUP(YEAR($F19),Preisindex,2,FALSE),2),0)))))</f>
        <v>1.79</v>
      </c>
      <c r="BS19" s="56">
        <f>IF(AND($E19&lt;&gt;0,$F19&gt;0,YEAR($F19)&lt;Preisindex!$A$6,YEAR(BM$4)&gt;=YEAR($F19),AND($K19&lt;&gt;"a",$K19&lt;&gt;"b",$K19&lt;&gt;"g",$K19&lt;&gt;"k")),1,IF(AND($E19&lt;&gt;0,$F19&gt;0,YEAR($F19)&lt;Preisindex!$A$6,YEAR(BM$4)&gt;=YEAR($F19),$K19="a"),ROUND(VLOOKUP(BR$4,Preisindex,5,FALSE)/VLOOKUP(Preisindex!$A$6,Preisindex,5,FALSE),2),IF(AND($E19&lt;&gt;0,$F19&gt;0,YEAR($F19)&lt;Preisindex!$A$6,YEAR(BM$4)&gt;=YEAR($F19),$K19="b"),ROUND(VLOOKUP(BR$4,Preisindex,3,FALSE)/VLOOKUP(Preisindex!$A$6,Preisindex,3,FALSE),2),IF(AND($E19&lt;&gt;0,$F19&gt;0,YEAR($F19)&lt;Preisindex!$A$6,YEAR(BM$4)&gt;=YEAR($F19),$K19="g"),ROUND(VLOOKUP(BR$4,Preisindex,4,FALSE)/VLOOKUP(Preisindex!$A$6,Preisindex,4,FALSE),2),IF(AND($E19&lt;&gt;0,$F19&gt;0,YEAR($F19)&lt;Preisindex!$A$6,YEAR(BM$4)&gt;=YEAR($F19),$K19="k"),ROUND(VLOOKUP(BR$4,Preisindex,2,FALSE)/VLOOKUP(Preisindex!$A$6,Preisindex,2,FALSE),2),0)))))</f>
        <v>0</v>
      </c>
      <c r="BT19" s="51">
        <f>IF(AND($E19&lt;&gt;0,$F19&gt;0,YEAR($F19)&lt;=BR$4,YEAR($F19)&gt;=Preisindex!$A$6),ROUND($E19*BR19,2),IF(AND($E19&lt;&gt;0,$F19&gt;0,YEAR($F19)&lt;=BR$4,YEAR($F19)&lt;Preisindex!$A$6),ROUND($E19*BS19,2),0))</f>
        <v>358000</v>
      </c>
      <c r="BU19" s="53">
        <f t="shared" si="171"/>
        <v>7160</v>
      </c>
      <c r="BV19" s="51">
        <f t="shared" si="172"/>
        <v>0</v>
      </c>
      <c r="BW19" s="51">
        <f t="shared" si="266"/>
        <v>0</v>
      </c>
      <c r="BX19" s="51">
        <f t="shared" si="174"/>
        <v>0</v>
      </c>
      <c r="BY19" s="51">
        <f t="shared" si="267"/>
        <v>0</v>
      </c>
      <c r="BZ19" s="51">
        <f t="shared" si="176"/>
        <v>200000</v>
      </c>
      <c r="CA19" s="51">
        <f t="shared" si="268"/>
        <v>200000</v>
      </c>
      <c r="CB19" s="51">
        <f t="shared" si="178"/>
        <v>4000</v>
      </c>
      <c r="CC19" s="51">
        <f t="shared" si="269"/>
        <v>4000</v>
      </c>
      <c r="CD19" s="51">
        <f t="shared" si="180"/>
        <v>78000</v>
      </c>
      <c r="CE19" s="51">
        <f t="shared" si="270"/>
        <v>78000</v>
      </c>
      <c r="CF19" s="51">
        <f t="shared" si="182"/>
        <v>122000</v>
      </c>
      <c r="CG19" s="54">
        <f t="shared" si="183"/>
        <v>0</v>
      </c>
      <c r="CH19" s="55">
        <f t="shared" si="184"/>
        <v>0</v>
      </c>
      <c r="CI19" s="56">
        <f>IF(AND($E19&lt;&gt;0,$F19&gt;0,YEAR($F19)&gt;=Preisindex!$A$6,YEAR(CD$4)&gt;=YEAR($F19),AND($K19&lt;&gt;"a",$K19&lt;&gt;"b",$K19&lt;&gt;"g",$K19&lt;&gt;"k")),1,IF(AND($E19&lt;&gt;0,$F19&gt;0,YEAR($F19)&gt;=Preisindex!$A$6,YEAR(CD$4)&gt;=YEAR($F19),$K19="a"),ROUND(VLOOKUP(CI$4,Preisindex,5,FALSE)/VLOOKUP(YEAR($F19),Preisindex,5,FALSE),2),IF(AND($E19&lt;&gt;0,$F19&gt;0,YEAR($F19)&gt;=Preisindex!$A$6,YEAR(CD$4)&gt;=YEAR($F19),$K19="b"),ROUND(VLOOKUP(CI$4,Preisindex,3,FALSE)/VLOOKUP(YEAR($F19),Preisindex,3,FALSE),2),IF(AND($E19&lt;&gt;0,$F19&gt;0,YEAR($F19)&gt;=Preisindex!$A$6,YEAR(CD$4)&gt;=YEAR($F19),$K19="g"),ROUND(VLOOKUP(CI$4,Preisindex,4,FALSE)/VLOOKUP(YEAR($F19),Preisindex,4,FALSE),2),IF(AND($E19&lt;&gt;0,$F19&gt;0,YEAR($F19)&gt;=Preisindex!$A$6,YEAR(CD$4)&gt;=YEAR($F19),$K19="k"),ROUND(VLOOKUP(CI$4,Preisindex,2,FALSE)/VLOOKUP(YEAR($F19),Preisindex,2,FALSE),2),0)))))</f>
        <v>1.81</v>
      </c>
      <c r="CJ19" s="56">
        <f>IF(AND($E19&lt;&gt;0,$F19&gt;0,YEAR($F19)&lt;Preisindex!$A$6,YEAR(CD$4)&gt;=YEAR($F19),AND($K19&lt;&gt;"a",$K19&lt;&gt;"b",$K19&lt;&gt;"g",$K19&lt;&gt;"k")),1,IF(AND($E19&lt;&gt;0,$F19&gt;0,YEAR($F19)&lt;Preisindex!$A$6,YEAR(CD$4)&gt;=YEAR($F19),$K19="a"),ROUND(VLOOKUP(CI$4,Preisindex,5,FALSE)/VLOOKUP(Preisindex!$A$6,Preisindex,5,FALSE),2),IF(AND($E19&lt;&gt;0,$F19&gt;0,YEAR($F19)&lt;Preisindex!$A$6,YEAR(CD$4)&gt;=YEAR($F19),$K19="b"),ROUND(VLOOKUP(CI$4,Preisindex,3,FALSE)/VLOOKUP(Preisindex!$A$6,Preisindex,3,FALSE),2),IF(AND($E19&lt;&gt;0,$F19&gt;0,YEAR($F19)&lt;Preisindex!$A$6,YEAR(CD$4)&gt;=YEAR($F19),$K19="g"),ROUND(VLOOKUP(CI$4,Preisindex,4,FALSE)/VLOOKUP(Preisindex!$A$6,Preisindex,4,FALSE),2),IF(AND($E19&lt;&gt;0,$F19&gt;0,YEAR($F19)&lt;Preisindex!$A$6,YEAR(CD$4)&gt;=YEAR($F19),$K19="k"),ROUND(VLOOKUP(CI$4,Preisindex,2,FALSE)/VLOOKUP(Preisindex!$A$6,Preisindex,2,FALSE),2),0)))))</f>
        <v>0</v>
      </c>
      <c r="CK19" s="51">
        <f>IF(AND($E19&lt;&gt;0,$F19&gt;0,YEAR($F19)&lt;=CI$4,YEAR($F19)&gt;=Preisindex!$A$6),ROUND($E19*CI19,2),IF(AND($E19&lt;&gt;0,$F19&gt;0,YEAR($F19)&lt;=CI$4,YEAR($F19)&lt;Preisindex!$A$6),ROUND($E19*CJ19,2),0))</f>
        <v>362000</v>
      </c>
      <c r="CL19" s="53">
        <f t="shared" si="185"/>
        <v>7240</v>
      </c>
      <c r="CM19" s="51">
        <f t="shared" si="172"/>
        <v>0</v>
      </c>
      <c r="CN19" s="51">
        <f t="shared" si="271"/>
        <v>0</v>
      </c>
      <c r="CO19" s="51">
        <f t="shared" si="188"/>
        <v>0</v>
      </c>
      <c r="CP19" s="51">
        <f t="shared" si="272"/>
        <v>0</v>
      </c>
      <c r="CQ19" s="51">
        <f t="shared" si="190"/>
        <v>200000</v>
      </c>
      <c r="CR19" s="51">
        <f t="shared" si="273"/>
        <v>200000</v>
      </c>
      <c r="CS19" s="51">
        <f t="shared" si="192"/>
        <v>4000</v>
      </c>
      <c r="CT19" s="51">
        <f t="shared" si="274"/>
        <v>4000</v>
      </c>
      <c r="CU19" s="51">
        <f t="shared" si="194"/>
        <v>74000</v>
      </c>
      <c r="CV19" s="51">
        <f t="shared" si="275"/>
        <v>74000</v>
      </c>
      <c r="CW19" s="51">
        <f t="shared" si="196"/>
        <v>126000</v>
      </c>
      <c r="CX19" s="54">
        <f t="shared" si="197"/>
        <v>0</v>
      </c>
      <c r="CY19" s="55">
        <f t="shared" si="198"/>
        <v>0</v>
      </c>
      <c r="CZ19" s="56">
        <f>IF(AND($E19&lt;&gt;0,$F19&gt;0,YEAR($F19)&gt;=Preisindex!$A$6,YEAR(CU$4)&gt;=YEAR($F19),AND($K19&lt;&gt;"a",$K19&lt;&gt;"b",$K19&lt;&gt;"g",$K19&lt;&gt;"k")),1,IF(AND($E19&lt;&gt;0,$F19&gt;0,YEAR($F19)&gt;=Preisindex!$A$6,YEAR(CU$4)&gt;=YEAR($F19),$K19="a"),ROUND(VLOOKUP(CZ$4,Preisindex,5,FALSE)/VLOOKUP(YEAR($F19),Preisindex,5,FALSE),2),IF(AND($E19&lt;&gt;0,$F19&gt;0,YEAR($F19)&gt;=Preisindex!$A$6,YEAR(CU$4)&gt;=YEAR($F19),$K19="b"),ROUND(VLOOKUP(CZ$4,Preisindex,3,FALSE)/VLOOKUP(YEAR($F19),Preisindex,3,FALSE),2),IF(AND($E19&lt;&gt;0,$F19&gt;0,YEAR($F19)&gt;=Preisindex!$A$6,YEAR(CU$4)&gt;=YEAR($F19),$K19="g"),ROUND(VLOOKUP(CZ$4,Preisindex,4,FALSE)/VLOOKUP(YEAR($F19),Preisindex,4,FALSE),2),IF(AND($E19&lt;&gt;0,$F19&gt;0,YEAR($F19)&gt;=Preisindex!$A$6,YEAR(CU$4)&gt;=YEAR($F19),$K19="k"),ROUND(VLOOKUP(CZ$4,Preisindex,2,FALSE)/VLOOKUP(YEAR($F19),Preisindex,2,FALSE),2),0)))))</f>
        <v>1.84</v>
      </c>
      <c r="DA19" s="56">
        <f>IF(AND($E19&lt;&gt;0,$F19&gt;0,YEAR($F19)&lt;Preisindex!$A$6,YEAR(CU$4)&gt;=YEAR($F19),AND($K19&lt;&gt;"a",$K19&lt;&gt;"b",$K19&lt;&gt;"g",$K19&lt;&gt;"k")),1,IF(AND($E19&lt;&gt;0,$F19&gt;0,YEAR($F19)&lt;Preisindex!$A$6,YEAR(CU$4)&gt;=YEAR($F19),$K19="a"),ROUND(VLOOKUP(CZ$4,Preisindex,5,FALSE)/VLOOKUP(Preisindex!$A$6,Preisindex,5,FALSE),2),IF(AND($E19&lt;&gt;0,$F19&gt;0,YEAR($F19)&lt;Preisindex!$A$6,YEAR(CU$4)&gt;=YEAR($F19),$K19="b"),ROUND(VLOOKUP(CZ$4,Preisindex,3,FALSE)/VLOOKUP(Preisindex!$A$6,Preisindex,3,FALSE),2),IF(AND($E19&lt;&gt;0,$F19&gt;0,YEAR($F19)&lt;Preisindex!$A$6,YEAR(CU$4)&gt;=YEAR($F19),$K19="g"),ROUND(VLOOKUP(CZ$4,Preisindex,4,FALSE)/VLOOKUP(Preisindex!$A$6,Preisindex,4,FALSE),2),IF(AND($E19&lt;&gt;0,$F19&gt;0,YEAR($F19)&lt;Preisindex!$A$6,YEAR(CU$4)&gt;=YEAR($F19),$K19="k"),ROUND(VLOOKUP(CZ$4,Preisindex,2,FALSE)/VLOOKUP(Preisindex!$A$6,Preisindex,2,FALSE),2),0)))))</f>
        <v>0</v>
      </c>
      <c r="DB19" s="51">
        <f>IF(AND($E19&lt;&gt;0,$F19&gt;0,YEAR($F19)&lt;=CZ$4,YEAR($F19)&gt;=Preisindex!$A$6),ROUND($E19*CZ19,2),IF(AND($E19&lt;&gt;0,$F19&gt;0,YEAR($F19)&lt;=CZ$4,YEAR($F19)&lt;Preisindex!$A$6),ROUND($E19*DA19,2),0))</f>
        <v>368000</v>
      </c>
      <c r="DC19" s="53">
        <f t="shared" si="199"/>
        <v>7360</v>
      </c>
      <c r="DD19" s="51">
        <f t="shared" si="200"/>
        <v>0</v>
      </c>
      <c r="DE19" s="51">
        <f t="shared" si="276"/>
        <v>0</v>
      </c>
      <c r="DF19" s="51">
        <f t="shared" si="202"/>
        <v>0</v>
      </c>
      <c r="DG19" s="51">
        <f t="shared" si="277"/>
        <v>0</v>
      </c>
      <c r="DH19" s="51">
        <f t="shared" si="204"/>
        <v>200000</v>
      </c>
      <c r="DI19" s="51">
        <f t="shared" si="278"/>
        <v>200000</v>
      </c>
      <c r="DJ19" s="51">
        <f t="shared" si="206"/>
        <v>4000</v>
      </c>
      <c r="DK19" s="51">
        <f t="shared" si="279"/>
        <v>4000</v>
      </c>
      <c r="DL19" s="51">
        <f t="shared" si="208"/>
        <v>70000</v>
      </c>
      <c r="DM19" s="51">
        <f t="shared" si="280"/>
        <v>70000</v>
      </c>
      <c r="DN19" s="51">
        <f t="shared" si="210"/>
        <v>130000</v>
      </c>
      <c r="DO19" s="54">
        <f t="shared" si="211"/>
        <v>0</v>
      </c>
      <c r="DP19" s="55">
        <f t="shared" si="212"/>
        <v>0</v>
      </c>
      <c r="DQ19" s="56">
        <f>IF(AND($E19&lt;&gt;0,$F19&gt;0,YEAR($F19)&gt;=Preisindex!$A$6,YEAR(DL$4)&gt;=YEAR($F19),AND($K19&lt;&gt;"a",$K19&lt;&gt;"b",$K19&lt;&gt;"g",$K19&lt;&gt;"k")),1,IF(AND($E19&lt;&gt;0,$F19&gt;0,YEAR($F19)&gt;=Preisindex!$A$6,YEAR(DL$4)&gt;=YEAR($F19),$K19="a"),ROUND(VLOOKUP(DQ$4,Preisindex,5,FALSE)/VLOOKUP(YEAR($F19),Preisindex,5,FALSE),2),IF(AND($E19&lt;&gt;0,$F19&gt;0,YEAR($F19)&gt;=Preisindex!$A$6,YEAR(DL$4)&gt;=YEAR($F19),$K19="b"),ROUND(VLOOKUP(DQ$4,Preisindex,3,FALSE)/VLOOKUP(YEAR($F19),Preisindex,3,FALSE),2),IF(AND($E19&lt;&gt;0,$F19&gt;0,YEAR($F19)&gt;=Preisindex!$A$6,YEAR(DL$4)&gt;=YEAR($F19),$K19="g"),ROUND(VLOOKUP(DQ$4,Preisindex,4,FALSE)/VLOOKUP(YEAR($F19),Preisindex,4,FALSE),2),IF(AND($E19&lt;&gt;0,$F19&gt;0,YEAR($F19)&gt;=Preisindex!$A$6,YEAR(DL$4)&gt;=YEAR($F19),$K19="k"),ROUND(VLOOKUP(DQ$4,Preisindex,2,FALSE)/VLOOKUP(YEAR($F19),Preisindex,2,FALSE),2),0)))))</f>
        <v>1.9</v>
      </c>
      <c r="DR19" s="56">
        <f>IF(AND($E19&lt;&gt;0,$F19&gt;0,YEAR($F19)&lt;Preisindex!$A$6,YEAR(DL$4)&gt;=YEAR($F19),AND($K19&lt;&gt;"a",$K19&lt;&gt;"b",$K19&lt;&gt;"g",$K19&lt;&gt;"k")),1,IF(AND($E19&lt;&gt;0,$F19&gt;0,YEAR($F19)&lt;Preisindex!$A$6,YEAR(DL$4)&gt;=YEAR($F19),$K19="a"),ROUND(VLOOKUP(DQ$4,Preisindex,5,FALSE)/VLOOKUP(Preisindex!$A$6,Preisindex,5,FALSE),2),IF(AND($E19&lt;&gt;0,$F19&gt;0,YEAR($F19)&lt;Preisindex!$A$6,YEAR(DL$4)&gt;=YEAR($F19),$K19="b"),ROUND(VLOOKUP(DQ$4,Preisindex,3,FALSE)/VLOOKUP(Preisindex!$A$6,Preisindex,3,FALSE),2),IF(AND($E19&lt;&gt;0,$F19&gt;0,YEAR($F19)&lt;Preisindex!$A$6,YEAR(DL$4)&gt;=YEAR($F19),$K19="g"),ROUND(VLOOKUP(DQ$4,Preisindex,4,FALSE)/VLOOKUP(Preisindex!$A$6,Preisindex,4,FALSE),2),IF(AND($E19&lt;&gt;0,$F19&gt;0,YEAR($F19)&lt;Preisindex!$A$6,YEAR(DL$4)&gt;=YEAR($F19),$K19="k"),ROUND(VLOOKUP(DQ$4,Preisindex,2,FALSE)/VLOOKUP(Preisindex!$A$6,Preisindex,2,FALSE),2),0)))))</f>
        <v>0</v>
      </c>
      <c r="DS19" s="51">
        <f>IF(AND($E19&lt;&gt;0,$F19&gt;0,YEAR($F19)&lt;=DQ$4,YEAR($F19)&gt;=Preisindex!$A$6),ROUND($E19*DQ19,2),IF(AND($E19&lt;&gt;0,$F19&gt;0,YEAR($F19)&lt;=DQ$4,YEAR($F19)&lt;Preisindex!$A$6),ROUND($E19*DR19,2),0))</f>
        <v>380000</v>
      </c>
      <c r="DT19" s="53">
        <f t="shared" si="213"/>
        <v>7600</v>
      </c>
      <c r="DU19" s="51">
        <f t="shared" si="200"/>
        <v>0</v>
      </c>
      <c r="DV19" s="51">
        <f t="shared" si="281"/>
        <v>0</v>
      </c>
      <c r="DW19" s="51">
        <f t="shared" si="216"/>
        <v>0</v>
      </c>
      <c r="DX19" s="51">
        <f t="shared" si="282"/>
        <v>0</v>
      </c>
      <c r="DY19" s="51">
        <f t="shared" si="218"/>
        <v>200000</v>
      </c>
      <c r="DZ19" s="51">
        <f t="shared" si="283"/>
        <v>200000</v>
      </c>
      <c r="EA19" s="51">
        <f t="shared" si="220"/>
        <v>4000</v>
      </c>
      <c r="EB19" s="51">
        <f t="shared" si="284"/>
        <v>4000</v>
      </c>
      <c r="EC19" s="51">
        <f t="shared" si="222"/>
        <v>66000</v>
      </c>
      <c r="ED19" s="51">
        <f t="shared" si="285"/>
        <v>66000</v>
      </c>
      <c r="EE19" s="51">
        <f t="shared" si="224"/>
        <v>134000</v>
      </c>
      <c r="EF19" s="54">
        <f t="shared" si="225"/>
        <v>0</v>
      </c>
      <c r="EG19" s="55">
        <f t="shared" si="226"/>
        <v>0</v>
      </c>
      <c r="EH19" s="56">
        <f>IF(AND($E19&lt;&gt;0,$F19&gt;0,YEAR($F19)&gt;=Preisindex!$A$6,YEAR(EC$4)&gt;=YEAR($F19),AND($K19&lt;&gt;"a",$K19&lt;&gt;"b",$K19&lt;&gt;"g",$K19&lt;&gt;"k")),1,IF(AND($E19&lt;&gt;0,$F19&gt;0,YEAR($F19)&gt;=Preisindex!$A$6,YEAR(EC$4)&gt;=YEAR($F19),$K19="a"),ROUND(VLOOKUP(EH$4,Preisindex,5,FALSE)/VLOOKUP(YEAR($F19),Preisindex,5,FALSE),2),IF(AND($E19&lt;&gt;0,$F19&gt;0,YEAR($F19)&gt;=Preisindex!$A$6,YEAR(EC$4)&gt;=YEAR($F19),$K19="b"),ROUND(VLOOKUP(EH$4,Preisindex,3,FALSE)/VLOOKUP(YEAR($F19),Preisindex,3,FALSE),2),IF(AND($E19&lt;&gt;0,$F19&gt;0,YEAR($F19)&gt;=Preisindex!$A$6,YEAR(EC$4)&gt;=YEAR($F19),$K19="g"),ROUND(VLOOKUP(EH$4,Preisindex,4,FALSE)/VLOOKUP(YEAR($F19),Preisindex,4,FALSE),2),IF(AND($E19&lt;&gt;0,$F19&gt;0,YEAR($F19)&gt;=Preisindex!$A$6,YEAR(EC$4)&gt;=YEAR($F19),$K19="k"),ROUND(VLOOKUP(EH$4,Preisindex,2,FALSE)/VLOOKUP(YEAR($F19),Preisindex,2,FALSE),2),0)))))</f>
        <v>2</v>
      </c>
      <c r="EI19" s="56">
        <f>IF(AND($E19&lt;&gt;0,$F19&gt;0,YEAR($F19)&lt;Preisindex!$A$6,YEAR(EC$4)&gt;=YEAR($F19),AND($K19&lt;&gt;"a",$K19&lt;&gt;"b",$K19&lt;&gt;"g",$K19&lt;&gt;"k")),1,IF(AND($E19&lt;&gt;0,$F19&gt;0,YEAR($F19)&lt;Preisindex!$A$6,YEAR(EC$4)&gt;=YEAR($F19),$K19="a"),ROUND(VLOOKUP(EH$4,Preisindex,5,FALSE)/VLOOKUP(Preisindex!$A$6,Preisindex,5,FALSE),2),IF(AND($E19&lt;&gt;0,$F19&gt;0,YEAR($F19)&lt;Preisindex!$A$6,YEAR(EC$4)&gt;=YEAR($F19),$K19="b"),ROUND(VLOOKUP(EH$4,Preisindex,3,FALSE)/VLOOKUP(Preisindex!$A$6,Preisindex,3,FALSE),2),IF(AND($E19&lt;&gt;0,$F19&gt;0,YEAR($F19)&lt;Preisindex!$A$6,YEAR(EC$4)&gt;=YEAR($F19),$K19="g"),ROUND(VLOOKUP(EH$4,Preisindex,4,FALSE)/VLOOKUP(Preisindex!$A$6,Preisindex,4,FALSE),2),IF(AND($E19&lt;&gt;0,$F19&gt;0,YEAR($F19)&lt;Preisindex!$A$6,YEAR(EC$4)&gt;=YEAR($F19),$K19="k"),ROUND(VLOOKUP(EH$4,Preisindex,2,FALSE)/VLOOKUP(Preisindex!$A$6,Preisindex,2,FALSE),2),0)))))</f>
        <v>0</v>
      </c>
      <c r="EJ19" s="51">
        <f>IF(AND($E19&lt;&gt;0,$F19&gt;0,YEAR($F19)&lt;=EH$4,YEAR($F19)&gt;=Preisindex!$A$6),ROUND($E19*EH19,2),IF(AND($E19&lt;&gt;0,$F19&gt;0,YEAR($F19)&lt;=EH$4,YEAR($F19)&lt;Preisindex!$A$6),ROUND($E19*EI19,2),0))</f>
        <v>400000</v>
      </c>
      <c r="EK19" s="53">
        <f t="shared" si="227"/>
        <v>8000</v>
      </c>
      <c r="EL19" s="51">
        <f t="shared" si="228"/>
        <v>0</v>
      </c>
      <c r="EM19" s="51">
        <f t="shared" si="286"/>
        <v>0</v>
      </c>
      <c r="EN19" s="51">
        <f t="shared" si="230"/>
        <v>0</v>
      </c>
      <c r="EO19" s="51">
        <f t="shared" si="287"/>
        <v>0</v>
      </c>
      <c r="EP19" s="51">
        <f t="shared" si="232"/>
        <v>200000</v>
      </c>
      <c r="EQ19" s="51">
        <f t="shared" si="288"/>
        <v>200000</v>
      </c>
      <c r="ER19" s="51">
        <f t="shared" si="234"/>
        <v>4000</v>
      </c>
      <c r="ES19" s="51">
        <f t="shared" si="289"/>
        <v>4000</v>
      </c>
      <c r="ET19" s="51">
        <f t="shared" si="236"/>
        <v>62000</v>
      </c>
      <c r="EU19" s="51">
        <f t="shared" si="290"/>
        <v>62000</v>
      </c>
      <c r="EV19" s="51">
        <f t="shared" si="238"/>
        <v>138000</v>
      </c>
      <c r="EW19" s="54">
        <f t="shared" si="239"/>
        <v>0</v>
      </c>
      <c r="EX19" s="55">
        <f t="shared" si="240"/>
        <v>0</v>
      </c>
      <c r="EY19" s="56">
        <f>IF(AND($E19&lt;&gt;0,$F19&gt;0,YEAR($F19)&gt;=Preisindex!$A$6,YEAR(ET$4)&gt;=YEAR($F19),AND($K19&lt;&gt;"a",$K19&lt;&gt;"b",$K19&lt;&gt;"g",$K19&lt;&gt;"k")),1,IF(AND($E19&lt;&gt;0,$F19&gt;0,YEAR($F19)&gt;=Preisindex!$A$6,YEAR(ET$4)&gt;=YEAR($F19),$K19="a"),ROUND(VLOOKUP(EY$4,Preisindex,5,FALSE)/VLOOKUP(YEAR($F19),Preisindex,5,FALSE),2),IF(AND($E19&lt;&gt;0,$F19&gt;0,YEAR($F19)&gt;=Preisindex!$A$6,YEAR(ET$4)&gt;=YEAR($F19),$K19="b"),ROUND(VLOOKUP(EY$4,Preisindex,3,FALSE)/VLOOKUP(YEAR($F19),Preisindex,3,FALSE),2),IF(AND($E19&lt;&gt;0,$F19&gt;0,YEAR($F19)&gt;=Preisindex!$A$6,YEAR(ET$4)&gt;=YEAR($F19),$K19="g"),ROUND(VLOOKUP(EY$4,Preisindex,4,FALSE)/VLOOKUP(YEAR($F19),Preisindex,4,FALSE),2),IF(AND($E19&lt;&gt;0,$F19&gt;0,YEAR($F19)&gt;=Preisindex!$A$6,YEAR(ET$4)&gt;=YEAR($F19),$K19="k"),ROUND(VLOOKUP(EY$4,Preisindex,2,FALSE)/VLOOKUP(YEAR($F19),Preisindex,2,FALSE),2),0)))))</f>
        <v>2</v>
      </c>
      <c r="EZ19" s="56">
        <f>IF(AND($E19&lt;&gt;0,$F19&gt;0,YEAR($F19)&lt;Preisindex!$A$6,YEAR(ET$4)&gt;=YEAR($F19),AND($K19&lt;&gt;"a",$K19&lt;&gt;"b",$K19&lt;&gt;"g",$K19&lt;&gt;"k")),1,IF(AND($E19&lt;&gt;0,$F19&gt;0,YEAR($F19)&lt;Preisindex!$A$6,YEAR(ET$4)&gt;=YEAR($F19),$K19="a"),ROUND(VLOOKUP(EY$4,Preisindex,5,FALSE)/VLOOKUP(Preisindex!$A$6,Preisindex,5,FALSE),2),IF(AND($E19&lt;&gt;0,$F19&gt;0,YEAR($F19)&lt;Preisindex!$A$6,YEAR(ET$4)&gt;=YEAR($F19),$K19="b"),ROUND(VLOOKUP(EY$4,Preisindex,3,FALSE)/VLOOKUP(Preisindex!$A$6,Preisindex,3,FALSE),2),IF(AND($E19&lt;&gt;0,$F19&gt;0,YEAR($F19)&lt;Preisindex!$A$6,YEAR(ET$4)&gt;=YEAR($F19),$K19="g"),ROUND(VLOOKUP(EY$4,Preisindex,4,FALSE)/VLOOKUP(Preisindex!$A$6,Preisindex,4,FALSE),2),IF(AND($E19&lt;&gt;0,$F19&gt;0,YEAR($F19)&lt;Preisindex!$A$6,YEAR(ET$4)&gt;=YEAR($F19),$K19="k"),ROUND(VLOOKUP(EY$4,Preisindex,2,FALSE)/VLOOKUP(Preisindex!$A$6,Preisindex,2,FALSE),2),0)))))</f>
        <v>0</v>
      </c>
      <c r="FA19" s="51">
        <f>IF(AND($E19&lt;&gt;0,$F19&gt;0,YEAR($F19)&lt;=EY$4,YEAR($F19)&gt;=Preisindex!$A$6),ROUND($E19*EY19,2),IF(AND($E19&lt;&gt;0,$F19&gt;0,YEAR($F19)&lt;=EY$4,YEAR($F19)&lt;Preisindex!$A$6),ROUND($E19*EZ19,2),0))</f>
        <v>400000</v>
      </c>
      <c r="FB19" s="53">
        <f t="shared" si="241"/>
        <v>8000</v>
      </c>
      <c r="FC19" s="51">
        <f t="shared" si="228"/>
        <v>0</v>
      </c>
      <c r="FD19" s="51">
        <f t="shared" si="291"/>
        <v>0</v>
      </c>
      <c r="FE19" s="51">
        <f t="shared" si="244"/>
        <v>0</v>
      </c>
      <c r="FF19" s="51">
        <f t="shared" si="292"/>
        <v>0</v>
      </c>
      <c r="FG19" s="51">
        <f t="shared" si="246"/>
        <v>200000</v>
      </c>
      <c r="FH19" s="51">
        <f t="shared" si="293"/>
        <v>200000</v>
      </c>
      <c r="FI19" s="51">
        <f t="shared" si="248"/>
        <v>4000</v>
      </c>
      <c r="FJ19" s="51">
        <f t="shared" si="294"/>
        <v>4000</v>
      </c>
      <c r="FK19" s="51">
        <f t="shared" si="250"/>
        <v>58000</v>
      </c>
      <c r="FL19" s="51">
        <f t="shared" si="295"/>
        <v>58000</v>
      </c>
      <c r="FM19" s="51">
        <f t="shared" si="252"/>
        <v>142000</v>
      </c>
      <c r="FN19" s="54">
        <f t="shared" si="253"/>
        <v>0</v>
      </c>
      <c r="FO19" s="55">
        <f t="shared" si="254"/>
        <v>0</v>
      </c>
      <c r="FP19" s="56">
        <f>IF(AND($E19&lt;&gt;0,$F19&gt;0,YEAR($F19)&gt;=Preisindex!$A$6,YEAR(FK$4)&gt;=YEAR($F19),AND($K19&lt;&gt;"a",$K19&lt;&gt;"b",$K19&lt;&gt;"g",$K19&lt;&gt;"k")),1,IF(AND($E19&lt;&gt;0,$F19&gt;0,YEAR($F19)&gt;=Preisindex!$A$6,YEAR(FK$4)&gt;=YEAR($F19),$K19="a"),ROUND(VLOOKUP(FP$4,Preisindex,5,FALSE)/VLOOKUP(YEAR($F19),Preisindex,5,FALSE),2),IF(AND($E19&lt;&gt;0,$F19&gt;0,YEAR($F19)&gt;=Preisindex!$A$6,YEAR(FK$4)&gt;=YEAR($F19),$K19="b"),ROUND(VLOOKUP(FP$4,Preisindex,3,FALSE)/VLOOKUP(YEAR($F19),Preisindex,3,FALSE),2),IF(AND($E19&lt;&gt;0,$F19&gt;0,YEAR($F19)&gt;=Preisindex!$A$6,YEAR(FK$4)&gt;=YEAR($F19),$K19="g"),ROUND(VLOOKUP(FP$4,Preisindex,4,FALSE)/VLOOKUP(YEAR($F19),Preisindex,4,FALSE),2),IF(AND($E19&lt;&gt;0,$F19&gt;0,YEAR($F19)&gt;=Preisindex!$A$6,YEAR(FK$4)&gt;=YEAR($F19),$K19="k"),ROUND(VLOOKUP(FP$4,Preisindex,2,FALSE)/VLOOKUP(YEAR($F19),Preisindex,2,FALSE),2),0)))))</f>
        <v>2</v>
      </c>
      <c r="FQ19" s="56">
        <f>IF(AND($E19&lt;&gt;0,$F19&gt;0,YEAR($F19)&lt;Preisindex!$A$6,YEAR(FK$4)&gt;=YEAR($F19),AND($K19&lt;&gt;"a",$K19&lt;&gt;"b",$K19&lt;&gt;"g",$K19&lt;&gt;"k")),1,IF(AND($E19&lt;&gt;0,$F19&gt;0,YEAR($F19)&lt;Preisindex!$A$6,YEAR(FK$4)&gt;=YEAR($F19),$K19="a"),ROUND(VLOOKUP(FP$4,Preisindex,5,FALSE)/VLOOKUP(Preisindex!$A$6,Preisindex,5,FALSE),2),IF(AND($E19&lt;&gt;0,$F19&gt;0,YEAR($F19)&lt;Preisindex!$A$6,YEAR(FK$4)&gt;=YEAR($F19),$K19="b"),ROUND(VLOOKUP(FP$4,Preisindex,3,FALSE)/VLOOKUP(Preisindex!$A$6,Preisindex,3,FALSE),2),IF(AND($E19&lt;&gt;0,$F19&gt;0,YEAR($F19)&lt;Preisindex!$A$6,YEAR(FK$4)&gt;=YEAR($F19),$K19="g"),ROUND(VLOOKUP(FP$4,Preisindex,4,FALSE)/VLOOKUP(Preisindex!$A$6,Preisindex,4,FALSE),2),IF(AND($E19&lt;&gt;0,$F19&gt;0,YEAR($F19)&lt;Preisindex!$A$6,YEAR(FK$4)&gt;=YEAR($F19),$K19="k"),ROUND(VLOOKUP(FP$4,Preisindex,2,FALSE)/VLOOKUP(Preisindex!$A$6,Preisindex,2,FALSE),2),0)))))</f>
        <v>0</v>
      </c>
      <c r="FR19" s="51">
        <f>IF(AND($E19&lt;&gt;0,$F19&gt;0,YEAR($F19)&lt;=FP$4,YEAR($F19)&gt;=Preisindex!$A$6),ROUND($E19*FP19,2),IF(AND($E19&lt;&gt;0,$F19&gt;0,YEAR($F19)&lt;=FP$4,YEAR($F19)&lt;Preisindex!$A$6),ROUND($E19*FQ19,2),0))</f>
        <v>400000</v>
      </c>
      <c r="FS19" s="53">
        <f t="shared" si="255"/>
        <v>8000</v>
      </c>
    </row>
    <row r="20" spans="1:175" x14ac:dyDescent="0.3">
      <c r="A20" s="93">
        <v>1989</v>
      </c>
      <c r="B20" s="94" t="s">
        <v>209</v>
      </c>
      <c r="C20" s="94"/>
      <c r="D20" s="95" t="s">
        <v>18</v>
      </c>
      <c r="E20" s="99">
        <v>180000</v>
      </c>
      <c r="F20" s="97">
        <v>32690</v>
      </c>
      <c r="G20" s="100">
        <v>50</v>
      </c>
      <c r="H20" s="622"/>
      <c r="I20" s="621"/>
      <c r="J20" s="194"/>
      <c r="K20" s="630" t="s">
        <v>266</v>
      </c>
      <c r="L20" s="49">
        <f t="shared" si="296"/>
        <v>0.02</v>
      </c>
      <c r="M20" s="50">
        <f t="shared" si="297"/>
        <v>3600</v>
      </c>
      <c r="N20" s="51">
        <f t="shared" si="298"/>
        <v>99000</v>
      </c>
      <c r="O20" s="51"/>
      <c r="P20" s="51">
        <f t="shared" si="299"/>
        <v>81000</v>
      </c>
      <c r="Q20" s="52"/>
      <c r="R20" s="52"/>
      <c r="S20" s="52"/>
      <c r="T20" s="52"/>
      <c r="U20" s="52"/>
      <c r="V20" s="53">
        <f t="shared" si="300"/>
        <v>180000</v>
      </c>
      <c r="W20" s="51">
        <f t="shared" si="301"/>
        <v>0</v>
      </c>
      <c r="X20" s="51">
        <f t="shared" si="302"/>
        <v>0</v>
      </c>
      <c r="Y20" s="51">
        <f t="shared" si="303"/>
        <v>0</v>
      </c>
      <c r="Z20" s="51">
        <f t="shared" si="304"/>
        <v>0</v>
      </c>
      <c r="AA20" s="51">
        <f t="shared" si="305"/>
        <v>180000</v>
      </c>
      <c r="AB20" s="51">
        <f t="shared" si="306"/>
        <v>180000</v>
      </c>
      <c r="AC20" s="51">
        <f t="shared" si="307"/>
        <v>3600</v>
      </c>
      <c r="AD20" s="51">
        <f t="shared" si="308"/>
        <v>3600</v>
      </c>
      <c r="AE20" s="51">
        <f t="shared" si="309"/>
        <v>95400</v>
      </c>
      <c r="AF20" s="51">
        <f t="shared" si="310"/>
        <v>95400</v>
      </c>
      <c r="AG20" s="51">
        <f t="shared" si="311"/>
        <v>84600</v>
      </c>
      <c r="AH20" s="54">
        <f t="shared" si="312"/>
        <v>0</v>
      </c>
      <c r="AI20" s="55">
        <f t="shared" si="313"/>
        <v>0</v>
      </c>
      <c r="AJ20" s="56">
        <f>IF(AND($E20&lt;&gt;0,$F20&gt;0,YEAR($F20)&gt;=Preisindex!$A$6,YEAR(AE$4)&gt;=YEAR($F20),AND($K20&lt;&gt;"a",$K20&lt;&gt;"b",$K20&lt;&gt;"g",$K20&lt;&gt;"k")),1,IF(AND($E20&lt;&gt;0,$F20&gt;0,YEAR($F20)&gt;=Preisindex!$A$6,YEAR(AE$4)&gt;=YEAR($F20),$K20="a"),ROUND(VLOOKUP(AJ$4,Preisindex,5,FALSE)/VLOOKUP(YEAR($F20),Preisindex,5,FALSE),2),IF(AND($E20&lt;&gt;0,$F20&gt;0,YEAR($F20)&gt;=Preisindex!$A$6,YEAR(AE$4)&gt;=YEAR($F20),$K20="b"),ROUND(VLOOKUP(AJ$4,Preisindex,3,FALSE)/VLOOKUP(YEAR($F20),Preisindex,3,FALSE),2),IF(AND($E20&lt;&gt;0,$F20&gt;0,YEAR($F20)&gt;=Preisindex!$A$6,YEAR(AE$4)&gt;=YEAR($F20),$K20="g"),ROUND(VLOOKUP(AJ$4,Preisindex,4,FALSE)/VLOOKUP(YEAR($F20),Preisindex,4,FALSE),2),IF(AND($E20&lt;&gt;0,$F20&gt;0,YEAR($F20)&gt;=Preisindex!$A$6,YEAR(AE$4)&gt;=YEAR($F20),$K20="k"),ROUND(VLOOKUP(AJ$4,Preisindex,2,FALSE)/VLOOKUP(YEAR($F20),Preisindex,2,FALSE),2),0)))))</f>
        <v>1.56</v>
      </c>
      <c r="AK20" s="56">
        <f>IF(AND($E20&lt;&gt;0,$F20&gt;0,YEAR($F20)&lt;Preisindex!$A$6,YEAR(AE$4)&gt;=YEAR($F20),AND($K20&lt;&gt;"a",$K20&lt;&gt;"b",$K20&lt;&gt;"g",$K20&lt;&gt;"k")),1,IF(AND($E20&lt;&gt;0,$F20&gt;0,YEAR($F20)&lt;Preisindex!$A$6,YEAR(AE$4)&gt;=YEAR($F20),$K20="a"),ROUND(VLOOKUP(AJ$4,Preisindex,5,FALSE)/VLOOKUP(Preisindex!$A$6,Preisindex,5,FALSE),2),IF(AND($E20&lt;&gt;0,$F20&gt;0,YEAR($F20)&lt;Preisindex!$A$6,YEAR(AE$4)&gt;=YEAR($F20),$K20="b"),ROUND(VLOOKUP(AJ$4,Preisindex,3,FALSE)/VLOOKUP(Preisindex!$A$6,Preisindex,3,FALSE),2),IF(AND($E20&lt;&gt;0,$F20&gt;0,YEAR($F20)&lt;Preisindex!$A$6,YEAR(AE$4)&gt;=YEAR($F20),$K20="g"),ROUND(VLOOKUP(AJ$4,Preisindex,4,FALSE)/VLOOKUP(Preisindex!$A$6,Preisindex,4,FALSE),2),IF(AND($E20&lt;&gt;0,$F20&gt;0,YEAR($F20)&lt;Preisindex!$A$6,YEAR(AE$4)&gt;=YEAR($F20),$K20="k"),ROUND(VLOOKUP(AJ$4,Preisindex,2,FALSE)/VLOOKUP(Preisindex!$A$6,Preisindex,2,FALSE),2),0)))))</f>
        <v>0</v>
      </c>
      <c r="AL20" s="51">
        <f>IF(AND($E20&lt;&gt;0,$F20&gt;0,YEAR($F20)&lt;=AJ$4,YEAR($F20)&gt;=Preisindex!$A$6),ROUND($E20*AJ20,2),IF(AND($E20&lt;&gt;0,$F20&gt;0,YEAR($F20)&lt;=AJ$4,YEAR($F20)&lt;Preisindex!$A$6),ROUND($E20*AK20,2),0))</f>
        <v>280800</v>
      </c>
      <c r="AM20" s="53">
        <f t="shared" si="314"/>
        <v>5616</v>
      </c>
      <c r="AN20" s="51">
        <f t="shared" si="144"/>
        <v>0</v>
      </c>
      <c r="AO20" s="51">
        <f t="shared" si="256"/>
        <v>0</v>
      </c>
      <c r="AP20" s="51">
        <f t="shared" si="146"/>
        <v>0</v>
      </c>
      <c r="AQ20" s="51">
        <f t="shared" si="257"/>
        <v>0</v>
      </c>
      <c r="AR20" s="51">
        <f t="shared" si="148"/>
        <v>180000</v>
      </c>
      <c r="AS20" s="51">
        <f t="shared" si="258"/>
        <v>180000</v>
      </c>
      <c r="AT20" s="51">
        <f t="shared" si="150"/>
        <v>3600</v>
      </c>
      <c r="AU20" s="51">
        <f t="shared" si="259"/>
        <v>3600</v>
      </c>
      <c r="AV20" s="51">
        <f t="shared" si="152"/>
        <v>91800</v>
      </c>
      <c r="AW20" s="51">
        <f t="shared" si="260"/>
        <v>91800</v>
      </c>
      <c r="AX20" s="51">
        <f t="shared" si="154"/>
        <v>88200</v>
      </c>
      <c r="AY20" s="54">
        <f t="shared" si="155"/>
        <v>0</v>
      </c>
      <c r="AZ20" s="55">
        <f t="shared" si="156"/>
        <v>0</v>
      </c>
      <c r="BA20" s="56">
        <f>IF(AND($E20&lt;&gt;0,$F20&gt;0,YEAR($F20)&gt;=Preisindex!$A$6,YEAR(AV$4)&gt;=YEAR($F20),AND($K20&lt;&gt;"a",$K20&lt;&gt;"b",$K20&lt;&gt;"g",$K20&lt;&gt;"k")),1,IF(AND($E20&lt;&gt;0,$F20&gt;0,YEAR($F20)&gt;=Preisindex!$A$6,YEAR(AV$4)&gt;=YEAR($F20),$K20="a"),ROUND(VLOOKUP(BA$4,Preisindex,5,FALSE)/VLOOKUP(YEAR($F20),Preisindex,5,FALSE),2),IF(AND($E20&lt;&gt;0,$F20&gt;0,YEAR($F20)&gt;=Preisindex!$A$6,YEAR(AV$4)&gt;=YEAR($F20),$K20="b"),ROUND(VLOOKUP(BA$4,Preisindex,3,FALSE)/VLOOKUP(YEAR($F20),Preisindex,3,FALSE),2),IF(AND($E20&lt;&gt;0,$F20&gt;0,YEAR($F20)&gt;=Preisindex!$A$6,YEAR(AV$4)&gt;=YEAR($F20),$K20="g"),ROUND(VLOOKUP(BA$4,Preisindex,4,FALSE)/VLOOKUP(YEAR($F20),Preisindex,4,FALSE),2),IF(AND($E20&lt;&gt;0,$F20&gt;0,YEAR($F20)&gt;=Preisindex!$A$6,YEAR(AV$4)&gt;=YEAR($F20),$K20="k"),ROUND(VLOOKUP(BA$4,Preisindex,2,FALSE)/VLOOKUP(YEAR($F20),Preisindex,2,FALSE),2),0)))))</f>
        <v>1.59</v>
      </c>
      <c r="BB20" s="56">
        <f>IF(AND($E20&lt;&gt;0,$F20&gt;0,YEAR($F20)&lt;Preisindex!$A$6,YEAR(AV$4)&gt;=YEAR($F20),AND($K20&lt;&gt;"a",$K20&lt;&gt;"b",$K20&lt;&gt;"g",$K20&lt;&gt;"k")),1,IF(AND($E20&lt;&gt;0,$F20&gt;0,YEAR($F20)&lt;Preisindex!$A$6,YEAR(AV$4)&gt;=YEAR($F20),$K20="a"),ROUND(VLOOKUP(BA$4,Preisindex,5,FALSE)/VLOOKUP(Preisindex!$A$6,Preisindex,5,FALSE),2),IF(AND($E20&lt;&gt;0,$F20&gt;0,YEAR($F20)&lt;Preisindex!$A$6,YEAR(AV$4)&gt;=YEAR($F20),$K20="b"),ROUND(VLOOKUP(BA$4,Preisindex,3,FALSE)/VLOOKUP(Preisindex!$A$6,Preisindex,3,FALSE),2),IF(AND($E20&lt;&gt;0,$F20&gt;0,YEAR($F20)&lt;Preisindex!$A$6,YEAR(AV$4)&gt;=YEAR($F20),$K20="g"),ROUND(VLOOKUP(BA$4,Preisindex,4,FALSE)/VLOOKUP(Preisindex!$A$6,Preisindex,4,FALSE),2),IF(AND($E20&lt;&gt;0,$F20&gt;0,YEAR($F20)&lt;Preisindex!$A$6,YEAR(AV$4)&gt;=YEAR($F20),$K20="k"),ROUND(VLOOKUP(BA$4,Preisindex,2,FALSE)/VLOOKUP(Preisindex!$A$6,Preisindex,2,FALSE),2),0)))))</f>
        <v>0</v>
      </c>
      <c r="BC20" s="51">
        <f>IF(AND($E20&lt;&gt;0,$F20&gt;0,YEAR($F20)&lt;=BA$4,YEAR($F20)&gt;=Preisindex!$A$6),ROUND($E20*BA20,2),IF(AND($E20&lt;&gt;0,$F20&gt;0,YEAR($F20)&lt;=BA$4,YEAR($F20)&lt;Preisindex!$A$6),ROUND($E20*BB20,2),0))</f>
        <v>286200</v>
      </c>
      <c r="BD20" s="53">
        <f t="shared" si="157"/>
        <v>5724</v>
      </c>
      <c r="BE20" s="51">
        <f t="shared" si="144"/>
        <v>0</v>
      </c>
      <c r="BF20" s="51">
        <f t="shared" si="261"/>
        <v>0</v>
      </c>
      <c r="BG20" s="51">
        <f t="shared" si="160"/>
        <v>0</v>
      </c>
      <c r="BH20" s="51">
        <f t="shared" si="262"/>
        <v>0</v>
      </c>
      <c r="BI20" s="51">
        <f t="shared" si="162"/>
        <v>180000</v>
      </c>
      <c r="BJ20" s="51">
        <f t="shared" si="263"/>
        <v>180000</v>
      </c>
      <c r="BK20" s="51">
        <f t="shared" si="164"/>
        <v>3600</v>
      </c>
      <c r="BL20" s="51">
        <f t="shared" si="264"/>
        <v>3600</v>
      </c>
      <c r="BM20" s="51">
        <f t="shared" si="166"/>
        <v>88200</v>
      </c>
      <c r="BN20" s="51">
        <f t="shared" si="265"/>
        <v>88200</v>
      </c>
      <c r="BO20" s="51">
        <f t="shared" si="168"/>
        <v>91800</v>
      </c>
      <c r="BP20" s="54">
        <f t="shared" si="169"/>
        <v>0</v>
      </c>
      <c r="BQ20" s="55">
        <f t="shared" si="170"/>
        <v>0</v>
      </c>
      <c r="BR20" s="56">
        <f>IF(AND($E20&lt;&gt;0,$F20&gt;0,YEAR($F20)&gt;=Preisindex!$A$6,YEAR(BM$4)&gt;=YEAR($F20),AND($K20&lt;&gt;"a",$K20&lt;&gt;"b",$K20&lt;&gt;"g",$K20&lt;&gt;"k")),1,IF(AND($E20&lt;&gt;0,$F20&gt;0,YEAR($F20)&gt;=Preisindex!$A$6,YEAR(BM$4)&gt;=YEAR($F20),$K20="a"),ROUND(VLOOKUP(BR$4,Preisindex,5,FALSE)/VLOOKUP(YEAR($F20),Preisindex,5,FALSE),2),IF(AND($E20&lt;&gt;0,$F20&gt;0,YEAR($F20)&gt;=Preisindex!$A$6,YEAR(BM$4)&gt;=YEAR($F20),$K20="b"),ROUND(VLOOKUP(BR$4,Preisindex,3,FALSE)/VLOOKUP(YEAR($F20),Preisindex,3,FALSE),2),IF(AND($E20&lt;&gt;0,$F20&gt;0,YEAR($F20)&gt;=Preisindex!$A$6,YEAR(BM$4)&gt;=YEAR($F20),$K20="g"),ROUND(VLOOKUP(BR$4,Preisindex,4,FALSE)/VLOOKUP(YEAR($F20),Preisindex,4,FALSE),2),IF(AND($E20&lt;&gt;0,$F20&gt;0,YEAR($F20)&gt;=Preisindex!$A$6,YEAR(BM$4)&gt;=YEAR($F20),$K20="k"),ROUND(VLOOKUP(BR$4,Preisindex,2,FALSE)/VLOOKUP(YEAR($F20),Preisindex,2,FALSE),2),0)))))</f>
        <v>1.61</v>
      </c>
      <c r="BS20" s="56">
        <f>IF(AND($E20&lt;&gt;0,$F20&gt;0,YEAR($F20)&lt;Preisindex!$A$6,YEAR(BM$4)&gt;=YEAR($F20),AND($K20&lt;&gt;"a",$K20&lt;&gt;"b",$K20&lt;&gt;"g",$K20&lt;&gt;"k")),1,IF(AND($E20&lt;&gt;0,$F20&gt;0,YEAR($F20)&lt;Preisindex!$A$6,YEAR(BM$4)&gt;=YEAR($F20),$K20="a"),ROUND(VLOOKUP(BR$4,Preisindex,5,FALSE)/VLOOKUP(Preisindex!$A$6,Preisindex,5,FALSE),2),IF(AND($E20&lt;&gt;0,$F20&gt;0,YEAR($F20)&lt;Preisindex!$A$6,YEAR(BM$4)&gt;=YEAR($F20),$K20="b"),ROUND(VLOOKUP(BR$4,Preisindex,3,FALSE)/VLOOKUP(Preisindex!$A$6,Preisindex,3,FALSE),2),IF(AND($E20&lt;&gt;0,$F20&gt;0,YEAR($F20)&lt;Preisindex!$A$6,YEAR(BM$4)&gt;=YEAR($F20),$K20="g"),ROUND(VLOOKUP(BR$4,Preisindex,4,FALSE)/VLOOKUP(Preisindex!$A$6,Preisindex,4,FALSE),2),IF(AND($E20&lt;&gt;0,$F20&gt;0,YEAR($F20)&lt;Preisindex!$A$6,YEAR(BM$4)&gt;=YEAR($F20),$K20="k"),ROUND(VLOOKUP(BR$4,Preisindex,2,FALSE)/VLOOKUP(Preisindex!$A$6,Preisindex,2,FALSE),2),0)))))</f>
        <v>0</v>
      </c>
      <c r="BT20" s="51">
        <f>IF(AND($E20&lt;&gt;0,$F20&gt;0,YEAR($F20)&lt;=BR$4,YEAR($F20)&gt;=Preisindex!$A$6),ROUND($E20*BR20,2),IF(AND($E20&lt;&gt;0,$F20&gt;0,YEAR($F20)&lt;=BR$4,YEAR($F20)&lt;Preisindex!$A$6),ROUND($E20*BS20,2),0))</f>
        <v>289800</v>
      </c>
      <c r="BU20" s="53">
        <f t="shared" si="171"/>
        <v>5796</v>
      </c>
      <c r="BV20" s="51">
        <f t="shared" si="172"/>
        <v>0</v>
      </c>
      <c r="BW20" s="51">
        <f t="shared" si="266"/>
        <v>0</v>
      </c>
      <c r="BX20" s="51">
        <f t="shared" si="174"/>
        <v>0</v>
      </c>
      <c r="BY20" s="51">
        <f t="shared" si="267"/>
        <v>0</v>
      </c>
      <c r="BZ20" s="51">
        <f t="shared" si="176"/>
        <v>180000</v>
      </c>
      <c r="CA20" s="51">
        <f t="shared" si="268"/>
        <v>180000</v>
      </c>
      <c r="CB20" s="51">
        <f t="shared" si="178"/>
        <v>3600</v>
      </c>
      <c r="CC20" s="51">
        <f t="shared" si="269"/>
        <v>3600</v>
      </c>
      <c r="CD20" s="51">
        <f t="shared" si="180"/>
        <v>84600</v>
      </c>
      <c r="CE20" s="51">
        <f t="shared" si="270"/>
        <v>84600</v>
      </c>
      <c r="CF20" s="51">
        <f t="shared" si="182"/>
        <v>95400</v>
      </c>
      <c r="CG20" s="54">
        <f t="shared" si="183"/>
        <v>0</v>
      </c>
      <c r="CH20" s="55">
        <f t="shared" si="184"/>
        <v>0</v>
      </c>
      <c r="CI20" s="56">
        <f>IF(AND($E20&lt;&gt;0,$F20&gt;0,YEAR($F20)&gt;=Preisindex!$A$6,YEAR(CD$4)&gt;=YEAR($F20),AND($K20&lt;&gt;"a",$K20&lt;&gt;"b",$K20&lt;&gt;"g",$K20&lt;&gt;"k")),1,IF(AND($E20&lt;&gt;0,$F20&gt;0,YEAR($F20)&gt;=Preisindex!$A$6,YEAR(CD$4)&gt;=YEAR($F20),$K20="a"),ROUND(VLOOKUP(CI$4,Preisindex,5,FALSE)/VLOOKUP(YEAR($F20),Preisindex,5,FALSE),2),IF(AND($E20&lt;&gt;0,$F20&gt;0,YEAR($F20)&gt;=Preisindex!$A$6,YEAR(CD$4)&gt;=YEAR($F20),$K20="b"),ROUND(VLOOKUP(CI$4,Preisindex,3,FALSE)/VLOOKUP(YEAR($F20),Preisindex,3,FALSE),2),IF(AND($E20&lt;&gt;0,$F20&gt;0,YEAR($F20)&gt;=Preisindex!$A$6,YEAR(CD$4)&gt;=YEAR($F20),$K20="g"),ROUND(VLOOKUP(CI$4,Preisindex,4,FALSE)/VLOOKUP(YEAR($F20),Preisindex,4,FALSE),2),IF(AND($E20&lt;&gt;0,$F20&gt;0,YEAR($F20)&gt;=Preisindex!$A$6,YEAR(CD$4)&gt;=YEAR($F20),$K20="k"),ROUND(VLOOKUP(CI$4,Preisindex,2,FALSE)/VLOOKUP(YEAR($F20),Preisindex,2,FALSE),2),0)))))</f>
        <v>1.63</v>
      </c>
      <c r="CJ20" s="56">
        <f>IF(AND($E20&lt;&gt;0,$F20&gt;0,YEAR($F20)&lt;Preisindex!$A$6,YEAR(CD$4)&gt;=YEAR($F20),AND($K20&lt;&gt;"a",$K20&lt;&gt;"b",$K20&lt;&gt;"g",$K20&lt;&gt;"k")),1,IF(AND($E20&lt;&gt;0,$F20&gt;0,YEAR($F20)&lt;Preisindex!$A$6,YEAR(CD$4)&gt;=YEAR($F20),$K20="a"),ROUND(VLOOKUP(CI$4,Preisindex,5,FALSE)/VLOOKUP(Preisindex!$A$6,Preisindex,5,FALSE),2),IF(AND($E20&lt;&gt;0,$F20&gt;0,YEAR($F20)&lt;Preisindex!$A$6,YEAR(CD$4)&gt;=YEAR($F20),$K20="b"),ROUND(VLOOKUP(CI$4,Preisindex,3,FALSE)/VLOOKUP(Preisindex!$A$6,Preisindex,3,FALSE),2),IF(AND($E20&lt;&gt;0,$F20&gt;0,YEAR($F20)&lt;Preisindex!$A$6,YEAR(CD$4)&gt;=YEAR($F20),$K20="g"),ROUND(VLOOKUP(CI$4,Preisindex,4,FALSE)/VLOOKUP(Preisindex!$A$6,Preisindex,4,FALSE),2),IF(AND($E20&lt;&gt;0,$F20&gt;0,YEAR($F20)&lt;Preisindex!$A$6,YEAR(CD$4)&gt;=YEAR($F20),$K20="k"),ROUND(VLOOKUP(CI$4,Preisindex,2,FALSE)/VLOOKUP(Preisindex!$A$6,Preisindex,2,FALSE),2),0)))))</f>
        <v>0</v>
      </c>
      <c r="CK20" s="51">
        <f>IF(AND($E20&lt;&gt;0,$F20&gt;0,YEAR($F20)&lt;=CI$4,YEAR($F20)&gt;=Preisindex!$A$6),ROUND($E20*CI20,2),IF(AND($E20&lt;&gt;0,$F20&gt;0,YEAR($F20)&lt;=CI$4,YEAR($F20)&lt;Preisindex!$A$6),ROUND($E20*CJ20,2),0))</f>
        <v>293400</v>
      </c>
      <c r="CL20" s="53">
        <f t="shared" si="185"/>
        <v>5868</v>
      </c>
      <c r="CM20" s="51">
        <f t="shared" si="172"/>
        <v>0</v>
      </c>
      <c r="CN20" s="51">
        <f t="shared" si="271"/>
        <v>0</v>
      </c>
      <c r="CO20" s="51">
        <f t="shared" si="188"/>
        <v>0</v>
      </c>
      <c r="CP20" s="51">
        <f t="shared" si="272"/>
        <v>0</v>
      </c>
      <c r="CQ20" s="51">
        <f t="shared" si="190"/>
        <v>180000</v>
      </c>
      <c r="CR20" s="51">
        <f t="shared" si="273"/>
        <v>180000</v>
      </c>
      <c r="CS20" s="51">
        <f t="shared" si="192"/>
        <v>3600</v>
      </c>
      <c r="CT20" s="51">
        <f t="shared" si="274"/>
        <v>3600</v>
      </c>
      <c r="CU20" s="51">
        <f t="shared" si="194"/>
        <v>81000</v>
      </c>
      <c r="CV20" s="51">
        <f t="shared" si="275"/>
        <v>81000</v>
      </c>
      <c r="CW20" s="51">
        <f t="shared" si="196"/>
        <v>99000</v>
      </c>
      <c r="CX20" s="54">
        <f t="shared" si="197"/>
        <v>0</v>
      </c>
      <c r="CY20" s="55">
        <f t="shared" si="198"/>
        <v>0</v>
      </c>
      <c r="CZ20" s="56">
        <f>IF(AND($E20&lt;&gt;0,$F20&gt;0,YEAR($F20)&gt;=Preisindex!$A$6,YEAR(CU$4)&gt;=YEAR($F20),AND($K20&lt;&gt;"a",$K20&lt;&gt;"b",$K20&lt;&gt;"g",$K20&lt;&gt;"k")),1,IF(AND($E20&lt;&gt;0,$F20&gt;0,YEAR($F20)&gt;=Preisindex!$A$6,YEAR(CU$4)&gt;=YEAR($F20),$K20="a"),ROUND(VLOOKUP(CZ$4,Preisindex,5,FALSE)/VLOOKUP(YEAR($F20),Preisindex,5,FALSE),2),IF(AND($E20&lt;&gt;0,$F20&gt;0,YEAR($F20)&gt;=Preisindex!$A$6,YEAR(CU$4)&gt;=YEAR($F20),$K20="b"),ROUND(VLOOKUP(CZ$4,Preisindex,3,FALSE)/VLOOKUP(YEAR($F20),Preisindex,3,FALSE),2),IF(AND($E20&lt;&gt;0,$F20&gt;0,YEAR($F20)&gt;=Preisindex!$A$6,YEAR(CU$4)&gt;=YEAR($F20),$K20="g"),ROUND(VLOOKUP(CZ$4,Preisindex,4,FALSE)/VLOOKUP(YEAR($F20),Preisindex,4,FALSE),2),IF(AND($E20&lt;&gt;0,$F20&gt;0,YEAR($F20)&gt;=Preisindex!$A$6,YEAR(CU$4)&gt;=YEAR($F20),$K20="k"),ROUND(VLOOKUP(CZ$4,Preisindex,2,FALSE)/VLOOKUP(YEAR($F20),Preisindex,2,FALSE),2),0)))))</f>
        <v>1.66</v>
      </c>
      <c r="DA20" s="56">
        <f>IF(AND($E20&lt;&gt;0,$F20&gt;0,YEAR($F20)&lt;Preisindex!$A$6,YEAR(CU$4)&gt;=YEAR($F20),AND($K20&lt;&gt;"a",$K20&lt;&gt;"b",$K20&lt;&gt;"g",$K20&lt;&gt;"k")),1,IF(AND($E20&lt;&gt;0,$F20&gt;0,YEAR($F20)&lt;Preisindex!$A$6,YEAR(CU$4)&gt;=YEAR($F20),$K20="a"),ROUND(VLOOKUP(CZ$4,Preisindex,5,FALSE)/VLOOKUP(Preisindex!$A$6,Preisindex,5,FALSE),2),IF(AND($E20&lt;&gt;0,$F20&gt;0,YEAR($F20)&lt;Preisindex!$A$6,YEAR(CU$4)&gt;=YEAR($F20),$K20="b"),ROUND(VLOOKUP(CZ$4,Preisindex,3,FALSE)/VLOOKUP(Preisindex!$A$6,Preisindex,3,FALSE),2),IF(AND($E20&lt;&gt;0,$F20&gt;0,YEAR($F20)&lt;Preisindex!$A$6,YEAR(CU$4)&gt;=YEAR($F20),$K20="g"),ROUND(VLOOKUP(CZ$4,Preisindex,4,FALSE)/VLOOKUP(Preisindex!$A$6,Preisindex,4,FALSE),2),IF(AND($E20&lt;&gt;0,$F20&gt;0,YEAR($F20)&lt;Preisindex!$A$6,YEAR(CU$4)&gt;=YEAR($F20),$K20="k"),ROUND(VLOOKUP(CZ$4,Preisindex,2,FALSE)/VLOOKUP(Preisindex!$A$6,Preisindex,2,FALSE),2),0)))))</f>
        <v>0</v>
      </c>
      <c r="DB20" s="51">
        <f>IF(AND($E20&lt;&gt;0,$F20&gt;0,YEAR($F20)&lt;=CZ$4,YEAR($F20)&gt;=Preisindex!$A$6),ROUND($E20*CZ20,2),IF(AND($E20&lt;&gt;0,$F20&gt;0,YEAR($F20)&lt;=CZ$4,YEAR($F20)&lt;Preisindex!$A$6),ROUND($E20*DA20,2),0))</f>
        <v>298800</v>
      </c>
      <c r="DC20" s="53">
        <f t="shared" si="199"/>
        <v>5976</v>
      </c>
      <c r="DD20" s="51">
        <f t="shared" si="200"/>
        <v>0</v>
      </c>
      <c r="DE20" s="51">
        <f t="shared" si="276"/>
        <v>0</v>
      </c>
      <c r="DF20" s="51">
        <f t="shared" si="202"/>
        <v>0</v>
      </c>
      <c r="DG20" s="51">
        <f t="shared" si="277"/>
        <v>0</v>
      </c>
      <c r="DH20" s="51">
        <f t="shared" si="204"/>
        <v>180000</v>
      </c>
      <c r="DI20" s="51">
        <f t="shared" si="278"/>
        <v>180000</v>
      </c>
      <c r="DJ20" s="51">
        <f t="shared" si="206"/>
        <v>3600</v>
      </c>
      <c r="DK20" s="51">
        <f t="shared" si="279"/>
        <v>3600</v>
      </c>
      <c r="DL20" s="51">
        <f t="shared" si="208"/>
        <v>77400</v>
      </c>
      <c r="DM20" s="51">
        <f t="shared" si="280"/>
        <v>77400</v>
      </c>
      <c r="DN20" s="51">
        <f t="shared" si="210"/>
        <v>102600</v>
      </c>
      <c r="DO20" s="54">
        <f t="shared" si="211"/>
        <v>0</v>
      </c>
      <c r="DP20" s="55">
        <f t="shared" si="212"/>
        <v>0</v>
      </c>
      <c r="DQ20" s="56">
        <f>IF(AND($E20&lt;&gt;0,$F20&gt;0,YEAR($F20)&gt;=Preisindex!$A$6,YEAR(DL$4)&gt;=YEAR($F20),AND($K20&lt;&gt;"a",$K20&lt;&gt;"b",$K20&lt;&gt;"g",$K20&lt;&gt;"k")),1,IF(AND($E20&lt;&gt;0,$F20&gt;0,YEAR($F20)&gt;=Preisindex!$A$6,YEAR(DL$4)&gt;=YEAR($F20),$K20="a"),ROUND(VLOOKUP(DQ$4,Preisindex,5,FALSE)/VLOOKUP(YEAR($F20),Preisindex,5,FALSE),2),IF(AND($E20&lt;&gt;0,$F20&gt;0,YEAR($F20)&gt;=Preisindex!$A$6,YEAR(DL$4)&gt;=YEAR($F20),$K20="b"),ROUND(VLOOKUP(DQ$4,Preisindex,3,FALSE)/VLOOKUP(YEAR($F20),Preisindex,3,FALSE),2),IF(AND($E20&lt;&gt;0,$F20&gt;0,YEAR($F20)&gt;=Preisindex!$A$6,YEAR(DL$4)&gt;=YEAR($F20),$K20="g"),ROUND(VLOOKUP(DQ$4,Preisindex,4,FALSE)/VLOOKUP(YEAR($F20),Preisindex,4,FALSE),2),IF(AND($E20&lt;&gt;0,$F20&gt;0,YEAR($F20)&gt;=Preisindex!$A$6,YEAR(DL$4)&gt;=YEAR($F20),$K20="k"),ROUND(VLOOKUP(DQ$4,Preisindex,2,FALSE)/VLOOKUP(YEAR($F20),Preisindex,2,FALSE),2),0)))))</f>
        <v>1.71</v>
      </c>
      <c r="DR20" s="56">
        <f>IF(AND($E20&lt;&gt;0,$F20&gt;0,YEAR($F20)&lt;Preisindex!$A$6,YEAR(DL$4)&gt;=YEAR($F20),AND($K20&lt;&gt;"a",$K20&lt;&gt;"b",$K20&lt;&gt;"g",$K20&lt;&gt;"k")),1,IF(AND($E20&lt;&gt;0,$F20&gt;0,YEAR($F20)&lt;Preisindex!$A$6,YEAR(DL$4)&gt;=YEAR($F20),$K20="a"),ROUND(VLOOKUP(DQ$4,Preisindex,5,FALSE)/VLOOKUP(Preisindex!$A$6,Preisindex,5,FALSE),2),IF(AND($E20&lt;&gt;0,$F20&gt;0,YEAR($F20)&lt;Preisindex!$A$6,YEAR(DL$4)&gt;=YEAR($F20),$K20="b"),ROUND(VLOOKUP(DQ$4,Preisindex,3,FALSE)/VLOOKUP(Preisindex!$A$6,Preisindex,3,FALSE),2),IF(AND($E20&lt;&gt;0,$F20&gt;0,YEAR($F20)&lt;Preisindex!$A$6,YEAR(DL$4)&gt;=YEAR($F20),$K20="g"),ROUND(VLOOKUP(DQ$4,Preisindex,4,FALSE)/VLOOKUP(Preisindex!$A$6,Preisindex,4,FALSE),2),IF(AND($E20&lt;&gt;0,$F20&gt;0,YEAR($F20)&lt;Preisindex!$A$6,YEAR(DL$4)&gt;=YEAR($F20),$K20="k"),ROUND(VLOOKUP(DQ$4,Preisindex,2,FALSE)/VLOOKUP(Preisindex!$A$6,Preisindex,2,FALSE),2),0)))))</f>
        <v>0</v>
      </c>
      <c r="DS20" s="51">
        <f>IF(AND($E20&lt;&gt;0,$F20&gt;0,YEAR($F20)&lt;=DQ$4,YEAR($F20)&gt;=Preisindex!$A$6),ROUND($E20*DQ20,2),IF(AND($E20&lt;&gt;0,$F20&gt;0,YEAR($F20)&lt;=DQ$4,YEAR($F20)&lt;Preisindex!$A$6),ROUND($E20*DR20,2),0))</f>
        <v>307800</v>
      </c>
      <c r="DT20" s="53">
        <f t="shared" si="213"/>
        <v>6156</v>
      </c>
      <c r="DU20" s="51">
        <f t="shared" si="200"/>
        <v>0</v>
      </c>
      <c r="DV20" s="51">
        <f t="shared" si="281"/>
        <v>0</v>
      </c>
      <c r="DW20" s="51">
        <f t="shared" si="216"/>
        <v>0</v>
      </c>
      <c r="DX20" s="51">
        <f t="shared" si="282"/>
        <v>0</v>
      </c>
      <c r="DY20" s="51">
        <f t="shared" si="218"/>
        <v>180000</v>
      </c>
      <c r="DZ20" s="51">
        <f t="shared" si="283"/>
        <v>180000</v>
      </c>
      <c r="EA20" s="51">
        <f t="shared" si="220"/>
        <v>3600</v>
      </c>
      <c r="EB20" s="51">
        <f t="shared" si="284"/>
        <v>3600</v>
      </c>
      <c r="EC20" s="51">
        <f t="shared" si="222"/>
        <v>73800</v>
      </c>
      <c r="ED20" s="51">
        <f t="shared" si="285"/>
        <v>73800</v>
      </c>
      <c r="EE20" s="51">
        <f t="shared" si="224"/>
        <v>106200</v>
      </c>
      <c r="EF20" s="54">
        <f t="shared" si="225"/>
        <v>0</v>
      </c>
      <c r="EG20" s="55">
        <f t="shared" si="226"/>
        <v>0</v>
      </c>
      <c r="EH20" s="56">
        <f>IF(AND($E20&lt;&gt;0,$F20&gt;0,YEAR($F20)&gt;=Preisindex!$A$6,YEAR(EC$4)&gt;=YEAR($F20),AND($K20&lt;&gt;"a",$K20&lt;&gt;"b",$K20&lt;&gt;"g",$K20&lt;&gt;"k")),1,IF(AND($E20&lt;&gt;0,$F20&gt;0,YEAR($F20)&gt;=Preisindex!$A$6,YEAR(EC$4)&gt;=YEAR($F20),$K20="a"),ROUND(VLOOKUP(EH$4,Preisindex,5,FALSE)/VLOOKUP(YEAR($F20),Preisindex,5,FALSE),2),IF(AND($E20&lt;&gt;0,$F20&gt;0,YEAR($F20)&gt;=Preisindex!$A$6,YEAR(EC$4)&gt;=YEAR($F20),$K20="b"),ROUND(VLOOKUP(EH$4,Preisindex,3,FALSE)/VLOOKUP(YEAR($F20),Preisindex,3,FALSE),2),IF(AND($E20&lt;&gt;0,$F20&gt;0,YEAR($F20)&gt;=Preisindex!$A$6,YEAR(EC$4)&gt;=YEAR($F20),$K20="g"),ROUND(VLOOKUP(EH$4,Preisindex,4,FALSE)/VLOOKUP(YEAR($F20),Preisindex,4,FALSE),2),IF(AND($E20&lt;&gt;0,$F20&gt;0,YEAR($F20)&gt;=Preisindex!$A$6,YEAR(EC$4)&gt;=YEAR($F20),$K20="k"),ROUND(VLOOKUP(EH$4,Preisindex,2,FALSE)/VLOOKUP(YEAR($F20),Preisindex,2,FALSE),2),0)))))</f>
        <v>1.8</v>
      </c>
      <c r="EI20" s="56">
        <f>IF(AND($E20&lt;&gt;0,$F20&gt;0,YEAR($F20)&lt;Preisindex!$A$6,YEAR(EC$4)&gt;=YEAR($F20),AND($K20&lt;&gt;"a",$K20&lt;&gt;"b",$K20&lt;&gt;"g",$K20&lt;&gt;"k")),1,IF(AND($E20&lt;&gt;0,$F20&gt;0,YEAR($F20)&lt;Preisindex!$A$6,YEAR(EC$4)&gt;=YEAR($F20),$K20="a"),ROUND(VLOOKUP(EH$4,Preisindex,5,FALSE)/VLOOKUP(Preisindex!$A$6,Preisindex,5,FALSE),2),IF(AND($E20&lt;&gt;0,$F20&gt;0,YEAR($F20)&lt;Preisindex!$A$6,YEAR(EC$4)&gt;=YEAR($F20),$K20="b"),ROUND(VLOOKUP(EH$4,Preisindex,3,FALSE)/VLOOKUP(Preisindex!$A$6,Preisindex,3,FALSE),2),IF(AND($E20&lt;&gt;0,$F20&gt;0,YEAR($F20)&lt;Preisindex!$A$6,YEAR(EC$4)&gt;=YEAR($F20),$K20="g"),ROUND(VLOOKUP(EH$4,Preisindex,4,FALSE)/VLOOKUP(Preisindex!$A$6,Preisindex,4,FALSE),2),IF(AND($E20&lt;&gt;0,$F20&gt;0,YEAR($F20)&lt;Preisindex!$A$6,YEAR(EC$4)&gt;=YEAR($F20),$K20="k"),ROUND(VLOOKUP(EH$4,Preisindex,2,FALSE)/VLOOKUP(Preisindex!$A$6,Preisindex,2,FALSE),2),0)))))</f>
        <v>0</v>
      </c>
      <c r="EJ20" s="51">
        <f>IF(AND($E20&lt;&gt;0,$F20&gt;0,YEAR($F20)&lt;=EH$4,YEAR($F20)&gt;=Preisindex!$A$6),ROUND($E20*EH20,2),IF(AND($E20&lt;&gt;0,$F20&gt;0,YEAR($F20)&lt;=EH$4,YEAR($F20)&lt;Preisindex!$A$6),ROUND($E20*EI20,2),0))</f>
        <v>324000</v>
      </c>
      <c r="EK20" s="53">
        <f t="shared" si="227"/>
        <v>6480</v>
      </c>
      <c r="EL20" s="51">
        <f t="shared" si="228"/>
        <v>0</v>
      </c>
      <c r="EM20" s="51">
        <f t="shared" si="286"/>
        <v>0</v>
      </c>
      <c r="EN20" s="51">
        <f t="shared" si="230"/>
        <v>0</v>
      </c>
      <c r="EO20" s="51">
        <f t="shared" si="287"/>
        <v>0</v>
      </c>
      <c r="EP20" s="51">
        <f t="shared" si="232"/>
        <v>180000</v>
      </c>
      <c r="EQ20" s="51">
        <f t="shared" si="288"/>
        <v>180000</v>
      </c>
      <c r="ER20" s="51">
        <f t="shared" si="234"/>
        <v>3600</v>
      </c>
      <c r="ES20" s="51">
        <f t="shared" si="289"/>
        <v>3600</v>
      </c>
      <c r="ET20" s="51">
        <f t="shared" si="236"/>
        <v>70200</v>
      </c>
      <c r="EU20" s="51">
        <f t="shared" si="290"/>
        <v>70200</v>
      </c>
      <c r="EV20" s="51">
        <f t="shared" si="238"/>
        <v>109800</v>
      </c>
      <c r="EW20" s="54">
        <f t="shared" si="239"/>
        <v>0</v>
      </c>
      <c r="EX20" s="55">
        <f t="shared" si="240"/>
        <v>0</v>
      </c>
      <c r="EY20" s="56">
        <f>IF(AND($E20&lt;&gt;0,$F20&gt;0,YEAR($F20)&gt;=Preisindex!$A$6,YEAR(ET$4)&gt;=YEAR($F20),AND($K20&lt;&gt;"a",$K20&lt;&gt;"b",$K20&lt;&gt;"g",$K20&lt;&gt;"k")),1,IF(AND($E20&lt;&gt;0,$F20&gt;0,YEAR($F20)&gt;=Preisindex!$A$6,YEAR(ET$4)&gt;=YEAR($F20),$K20="a"),ROUND(VLOOKUP(EY$4,Preisindex,5,FALSE)/VLOOKUP(YEAR($F20),Preisindex,5,FALSE),2),IF(AND($E20&lt;&gt;0,$F20&gt;0,YEAR($F20)&gt;=Preisindex!$A$6,YEAR(ET$4)&gt;=YEAR($F20),$K20="b"),ROUND(VLOOKUP(EY$4,Preisindex,3,FALSE)/VLOOKUP(YEAR($F20),Preisindex,3,FALSE),2),IF(AND($E20&lt;&gt;0,$F20&gt;0,YEAR($F20)&gt;=Preisindex!$A$6,YEAR(ET$4)&gt;=YEAR($F20),$K20="g"),ROUND(VLOOKUP(EY$4,Preisindex,4,FALSE)/VLOOKUP(YEAR($F20),Preisindex,4,FALSE),2),IF(AND($E20&lt;&gt;0,$F20&gt;0,YEAR($F20)&gt;=Preisindex!$A$6,YEAR(ET$4)&gt;=YEAR($F20),$K20="k"),ROUND(VLOOKUP(EY$4,Preisindex,2,FALSE)/VLOOKUP(YEAR($F20),Preisindex,2,FALSE),2),0)))))</f>
        <v>1.8</v>
      </c>
      <c r="EZ20" s="56">
        <f>IF(AND($E20&lt;&gt;0,$F20&gt;0,YEAR($F20)&lt;Preisindex!$A$6,YEAR(ET$4)&gt;=YEAR($F20),AND($K20&lt;&gt;"a",$K20&lt;&gt;"b",$K20&lt;&gt;"g",$K20&lt;&gt;"k")),1,IF(AND($E20&lt;&gt;0,$F20&gt;0,YEAR($F20)&lt;Preisindex!$A$6,YEAR(ET$4)&gt;=YEAR($F20),$K20="a"),ROUND(VLOOKUP(EY$4,Preisindex,5,FALSE)/VLOOKUP(Preisindex!$A$6,Preisindex,5,FALSE),2),IF(AND($E20&lt;&gt;0,$F20&gt;0,YEAR($F20)&lt;Preisindex!$A$6,YEAR(ET$4)&gt;=YEAR($F20),$K20="b"),ROUND(VLOOKUP(EY$4,Preisindex,3,FALSE)/VLOOKUP(Preisindex!$A$6,Preisindex,3,FALSE),2),IF(AND($E20&lt;&gt;0,$F20&gt;0,YEAR($F20)&lt;Preisindex!$A$6,YEAR(ET$4)&gt;=YEAR($F20),$K20="g"),ROUND(VLOOKUP(EY$4,Preisindex,4,FALSE)/VLOOKUP(Preisindex!$A$6,Preisindex,4,FALSE),2),IF(AND($E20&lt;&gt;0,$F20&gt;0,YEAR($F20)&lt;Preisindex!$A$6,YEAR(ET$4)&gt;=YEAR($F20),$K20="k"),ROUND(VLOOKUP(EY$4,Preisindex,2,FALSE)/VLOOKUP(Preisindex!$A$6,Preisindex,2,FALSE),2),0)))))</f>
        <v>0</v>
      </c>
      <c r="FA20" s="51">
        <f>IF(AND($E20&lt;&gt;0,$F20&gt;0,YEAR($F20)&lt;=EY$4,YEAR($F20)&gt;=Preisindex!$A$6),ROUND($E20*EY20,2),IF(AND($E20&lt;&gt;0,$F20&gt;0,YEAR($F20)&lt;=EY$4,YEAR($F20)&lt;Preisindex!$A$6),ROUND($E20*EZ20,2),0))</f>
        <v>324000</v>
      </c>
      <c r="FB20" s="53">
        <f t="shared" si="241"/>
        <v>6480</v>
      </c>
      <c r="FC20" s="51">
        <f t="shared" si="228"/>
        <v>0</v>
      </c>
      <c r="FD20" s="51">
        <f t="shared" si="291"/>
        <v>0</v>
      </c>
      <c r="FE20" s="51">
        <f t="shared" si="244"/>
        <v>0</v>
      </c>
      <c r="FF20" s="51">
        <f t="shared" si="292"/>
        <v>0</v>
      </c>
      <c r="FG20" s="51">
        <f t="shared" si="246"/>
        <v>180000</v>
      </c>
      <c r="FH20" s="51">
        <f t="shared" si="293"/>
        <v>180000</v>
      </c>
      <c r="FI20" s="51">
        <f t="shared" si="248"/>
        <v>3600</v>
      </c>
      <c r="FJ20" s="51">
        <f t="shared" si="294"/>
        <v>3600</v>
      </c>
      <c r="FK20" s="51">
        <f t="shared" si="250"/>
        <v>66600</v>
      </c>
      <c r="FL20" s="51">
        <f t="shared" si="295"/>
        <v>66600</v>
      </c>
      <c r="FM20" s="51">
        <f t="shared" si="252"/>
        <v>113400</v>
      </c>
      <c r="FN20" s="54">
        <f t="shared" si="253"/>
        <v>0</v>
      </c>
      <c r="FO20" s="55">
        <f t="shared" si="254"/>
        <v>0</v>
      </c>
      <c r="FP20" s="56">
        <f>IF(AND($E20&lt;&gt;0,$F20&gt;0,YEAR($F20)&gt;=Preisindex!$A$6,YEAR(FK$4)&gt;=YEAR($F20),AND($K20&lt;&gt;"a",$K20&lt;&gt;"b",$K20&lt;&gt;"g",$K20&lt;&gt;"k")),1,IF(AND($E20&lt;&gt;0,$F20&gt;0,YEAR($F20)&gt;=Preisindex!$A$6,YEAR(FK$4)&gt;=YEAR($F20),$K20="a"),ROUND(VLOOKUP(FP$4,Preisindex,5,FALSE)/VLOOKUP(YEAR($F20),Preisindex,5,FALSE),2),IF(AND($E20&lt;&gt;0,$F20&gt;0,YEAR($F20)&gt;=Preisindex!$A$6,YEAR(FK$4)&gt;=YEAR($F20),$K20="b"),ROUND(VLOOKUP(FP$4,Preisindex,3,FALSE)/VLOOKUP(YEAR($F20),Preisindex,3,FALSE),2),IF(AND($E20&lt;&gt;0,$F20&gt;0,YEAR($F20)&gt;=Preisindex!$A$6,YEAR(FK$4)&gt;=YEAR($F20),$K20="g"),ROUND(VLOOKUP(FP$4,Preisindex,4,FALSE)/VLOOKUP(YEAR($F20),Preisindex,4,FALSE),2),IF(AND($E20&lt;&gt;0,$F20&gt;0,YEAR($F20)&gt;=Preisindex!$A$6,YEAR(FK$4)&gt;=YEAR($F20),$K20="k"),ROUND(VLOOKUP(FP$4,Preisindex,2,FALSE)/VLOOKUP(YEAR($F20),Preisindex,2,FALSE),2),0)))))</f>
        <v>1.8</v>
      </c>
      <c r="FQ20" s="56">
        <f>IF(AND($E20&lt;&gt;0,$F20&gt;0,YEAR($F20)&lt;Preisindex!$A$6,YEAR(FK$4)&gt;=YEAR($F20),AND($K20&lt;&gt;"a",$K20&lt;&gt;"b",$K20&lt;&gt;"g",$K20&lt;&gt;"k")),1,IF(AND($E20&lt;&gt;0,$F20&gt;0,YEAR($F20)&lt;Preisindex!$A$6,YEAR(FK$4)&gt;=YEAR($F20),$K20="a"),ROUND(VLOOKUP(FP$4,Preisindex,5,FALSE)/VLOOKUP(Preisindex!$A$6,Preisindex,5,FALSE),2),IF(AND($E20&lt;&gt;0,$F20&gt;0,YEAR($F20)&lt;Preisindex!$A$6,YEAR(FK$4)&gt;=YEAR($F20),$K20="b"),ROUND(VLOOKUP(FP$4,Preisindex,3,FALSE)/VLOOKUP(Preisindex!$A$6,Preisindex,3,FALSE),2),IF(AND($E20&lt;&gt;0,$F20&gt;0,YEAR($F20)&lt;Preisindex!$A$6,YEAR(FK$4)&gt;=YEAR($F20),$K20="g"),ROUND(VLOOKUP(FP$4,Preisindex,4,FALSE)/VLOOKUP(Preisindex!$A$6,Preisindex,4,FALSE),2),IF(AND($E20&lt;&gt;0,$F20&gt;0,YEAR($F20)&lt;Preisindex!$A$6,YEAR(FK$4)&gt;=YEAR($F20),$K20="k"),ROUND(VLOOKUP(FP$4,Preisindex,2,FALSE)/VLOOKUP(Preisindex!$A$6,Preisindex,2,FALSE),2),0)))))</f>
        <v>0</v>
      </c>
      <c r="FR20" s="51">
        <f>IF(AND($E20&lt;&gt;0,$F20&gt;0,YEAR($F20)&lt;=FP$4,YEAR($F20)&gt;=Preisindex!$A$6),ROUND($E20*FP20,2),IF(AND($E20&lt;&gt;0,$F20&gt;0,YEAR($F20)&lt;=FP$4,YEAR($F20)&lt;Preisindex!$A$6),ROUND($E20*FQ20,2),0))</f>
        <v>324000</v>
      </c>
      <c r="FS20" s="53">
        <f t="shared" si="255"/>
        <v>6480</v>
      </c>
    </row>
    <row r="21" spans="1:175" x14ac:dyDescent="0.3">
      <c r="A21" s="93">
        <v>1990</v>
      </c>
      <c r="B21" s="94" t="s">
        <v>210</v>
      </c>
      <c r="C21" s="94"/>
      <c r="D21" s="95" t="s">
        <v>18</v>
      </c>
      <c r="E21" s="99">
        <v>600000</v>
      </c>
      <c r="F21" s="97">
        <v>33055</v>
      </c>
      <c r="G21" s="100">
        <v>50</v>
      </c>
      <c r="H21" s="622"/>
      <c r="I21" s="621"/>
      <c r="J21" s="194"/>
      <c r="K21" s="630" t="s">
        <v>266</v>
      </c>
      <c r="L21" s="49">
        <f t="shared" si="296"/>
        <v>0.02</v>
      </c>
      <c r="M21" s="50">
        <f t="shared" si="297"/>
        <v>12000</v>
      </c>
      <c r="N21" s="51">
        <f t="shared" si="298"/>
        <v>342000</v>
      </c>
      <c r="O21" s="51"/>
      <c r="P21" s="51">
        <f t="shared" si="299"/>
        <v>258000</v>
      </c>
      <c r="Q21" s="52"/>
      <c r="R21" s="52"/>
      <c r="S21" s="52"/>
      <c r="T21" s="52"/>
      <c r="U21" s="52"/>
      <c r="V21" s="53">
        <f t="shared" si="300"/>
        <v>600000</v>
      </c>
      <c r="W21" s="51">
        <f t="shared" si="301"/>
        <v>0</v>
      </c>
      <c r="X21" s="51">
        <f t="shared" si="302"/>
        <v>0</v>
      </c>
      <c r="Y21" s="51">
        <f t="shared" si="303"/>
        <v>0</v>
      </c>
      <c r="Z21" s="51">
        <f t="shared" si="304"/>
        <v>0</v>
      </c>
      <c r="AA21" s="51">
        <f t="shared" si="305"/>
        <v>600000</v>
      </c>
      <c r="AB21" s="51">
        <f t="shared" si="306"/>
        <v>600000</v>
      </c>
      <c r="AC21" s="51">
        <f t="shared" si="307"/>
        <v>12000</v>
      </c>
      <c r="AD21" s="51">
        <f t="shared" si="308"/>
        <v>12000</v>
      </c>
      <c r="AE21" s="51">
        <f t="shared" si="309"/>
        <v>330000</v>
      </c>
      <c r="AF21" s="51">
        <f t="shared" si="310"/>
        <v>330000</v>
      </c>
      <c r="AG21" s="51">
        <f t="shared" si="311"/>
        <v>270000</v>
      </c>
      <c r="AH21" s="54">
        <f t="shared" si="312"/>
        <v>0</v>
      </c>
      <c r="AI21" s="55">
        <f t="shared" si="313"/>
        <v>0</v>
      </c>
      <c r="AJ21" s="56">
        <f>IF(AND($E21&lt;&gt;0,$F21&gt;0,YEAR($F21)&gt;=Preisindex!$A$6,YEAR(AE$4)&gt;=YEAR($F21),AND($K21&lt;&gt;"a",$K21&lt;&gt;"b",$K21&lt;&gt;"g",$K21&lt;&gt;"k")),1,IF(AND($E21&lt;&gt;0,$F21&gt;0,YEAR($F21)&gt;=Preisindex!$A$6,YEAR(AE$4)&gt;=YEAR($F21),$K21="a"),ROUND(VLOOKUP(AJ$4,Preisindex,5,FALSE)/VLOOKUP(YEAR($F21),Preisindex,5,FALSE),2),IF(AND($E21&lt;&gt;0,$F21&gt;0,YEAR($F21)&gt;=Preisindex!$A$6,YEAR(AE$4)&gt;=YEAR($F21),$K21="b"),ROUND(VLOOKUP(AJ$4,Preisindex,3,FALSE)/VLOOKUP(YEAR($F21),Preisindex,3,FALSE),2),IF(AND($E21&lt;&gt;0,$F21&gt;0,YEAR($F21)&gt;=Preisindex!$A$6,YEAR(AE$4)&gt;=YEAR($F21),$K21="g"),ROUND(VLOOKUP(AJ$4,Preisindex,4,FALSE)/VLOOKUP(YEAR($F21),Preisindex,4,FALSE),2),IF(AND($E21&lt;&gt;0,$F21&gt;0,YEAR($F21)&gt;=Preisindex!$A$6,YEAR(AE$4)&gt;=YEAR($F21),$K21="k"),ROUND(VLOOKUP(AJ$4,Preisindex,2,FALSE)/VLOOKUP(YEAR($F21),Preisindex,2,FALSE),2),0)))))</f>
        <v>1.46</v>
      </c>
      <c r="AK21" s="56">
        <f>IF(AND($E21&lt;&gt;0,$F21&gt;0,YEAR($F21)&lt;Preisindex!$A$6,YEAR(AE$4)&gt;=YEAR($F21),AND($K21&lt;&gt;"a",$K21&lt;&gt;"b",$K21&lt;&gt;"g",$K21&lt;&gt;"k")),1,IF(AND($E21&lt;&gt;0,$F21&gt;0,YEAR($F21)&lt;Preisindex!$A$6,YEAR(AE$4)&gt;=YEAR($F21),$K21="a"),ROUND(VLOOKUP(AJ$4,Preisindex,5,FALSE)/VLOOKUP(Preisindex!$A$6,Preisindex,5,FALSE),2),IF(AND($E21&lt;&gt;0,$F21&gt;0,YEAR($F21)&lt;Preisindex!$A$6,YEAR(AE$4)&gt;=YEAR($F21),$K21="b"),ROUND(VLOOKUP(AJ$4,Preisindex,3,FALSE)/VLOOKUP(Preisindex!$A$6,Preisindex,3,FALSE),2),IF(AND($E21&lt;&gt;0,$F21&gt;0,YEAR($F21)&lt;Preisindex!$A$6,YEAR(AE$4)&gt;=YEAR($F21),$K21="g"),ROUND(VLOOKUP(AJ$4,Preisindex,4,FALSE)/VLOOKUP(Preisindex!$A$6,Preisindex,4,FALSE),2),IF(AND($E21&lt;&gt;0,$F21&gt;0,YEAR($F21)&lt;Preisindex!$A$6,YEAR(AE$4)&gt;=YEAR($F21),$K21="k"),ROUND(VLOOKUP(AJ$4,Preisindex,2,FALSE)/VLOOKUP(Preisindex!$A$6,Preisindex,2,FALSE),2),0)))))</f>
        <v>0</v>
      </c>
      <c r="AL21" s="51">
        <f>IF(AND($E21&lt;&gt;0,$F21&gt;0,YEAR($F21)&lt;=AJ$4,YEAR($F21)&gt;=Preisindex!$A$6),ROUND($E21*AJ21,2),IF(AND($E21&lt;&gt;0,$F21&gt;0,YEAR($F21)&lt;=AJ$4,YEAR($F21)&lt;Preisindex!$A$6),ROUND($E21*AK21,2),0))</f>
        <v>876000</v>
      </c>
      <c r="AM21" s="53">
        <f t="shared" si="314"/>
        <v>17520</v>
      </c>
      <c r="AN21" s="51">
        <f t="shared" ref="AN21:CM36" si="315">IF(YEAR($F21)=AN$4,$E21,0)</f>
        <v>0</v>
      </c>
      <c r="AO21" s="51">
        <f t="shared" si="256"/>
        <v>0</v>
      </c>
      <c r="AP21" s="51">
        <f t="shared" si="146"/>
        <v>0</v>
      </c>
      <c r="AQ21" s="51">
        <f t="shared" si="257"/>
        <v>0</v>
      </c>
      <c r="AR21" s="51">
        <f t="shared" si="148"/>
        <v>600000</v>
      </c>
      <c r="AS21" s="51">
        <f t="shared" si="258"/>
        <v>600000</v>
      </c>
      <c r="AT21" s="51">
        <f t="shared" si="150"/>
        <v>12000</v>
      </c>
      <c r="AU21" s="51">
        <f t="shared" si="259"/>
        <v>12000</v>
      </c>
      <c r="AV21" s="51">
        <f t="shared" si="152"/>
        <v>318000</v>
      </c>
      <c r="AW21" s="51">
        <f t="shared" si="260"/>
        <v>318000</v>
      </c>
      <c r="AX21" s="51">
        <f t="shared" si="154"/>
        <v>282000</v>
      </c>
      <c r="AY21" s="54">
        <f t="shared" si="155"/>
        <v>0</v>
      </c>
      <c r="AZ21" s="55">
        <f t="shared" si="156"/>
        <v>0</v>
      </c>
      <c r="BA21" s="56">
        <f>IF(AND($E21&lt;&gt;0,$F21&gt;0,YEAR($F21)&gt;=Preisindex!$A$6,YEAR(AV$4)&gt;=YEAR($F21),AND($K21&lt;&gt;"a",$K21&lt;&gt;"b",$K21&lt;&gt;"g",$K21&lt;&gt;"k")),1,IF(AND($E21&lt;&gt;0,$F21&gt;0,YEAR($F21)&gt;=Preisindex!$A$6,YEAR(AV$4)&gt;=YEAR($F21),$K21="a"),ROUND(VLOOKUP(BA$4,Preisindex,5,FALSE)/VLOOKUP(YEAR($F21),Preisindex,5,FALSE),2),IF(AND($E21&lt;&gt;0,$F21&gt;0,YEAR($F21)&gt;=Preisindex!$A$6,YEAR(AV$4)&gt;=YEAR($F21),$K21="b"),ROUND(VLOOKUP(BA$4,Preisindex,3,FALSE)/VLOOKUP(YEAR($F21),Preisindex,3,FALSE),2),IF(AND($E21&lt;&gt;0,$F21&gt;0,YEAR($F21)&gt;=Preisindex!$A$6,YEAR(AV$4)&gt;=YEAR($F21),$K21="g"),ROUND(VLOOKUP(BA$4,Preisindex,4,FALSE)/VLOOKUP(YEAR($F21),Preisindex,4,FALSE),2),IF(AND($E21&lt;&gt;0,$F21&gt;0,YEAR($F21)&gt;=Preisindex!$A$6,YEAR(AV$4)&gt;=YEAR($F21),$K21="k"),ROUND(VLOOKUP(BA$4,Preisindex,2,FALSE)/VLOOKUP(YEAR($F21),Preisindex,2,FALSE),2),0)))))</f>
        <v>1.49</v>
      </c>
      <c r="BB21" s="56">
        <f>IF(AND($E21&lt;&gt;0,$F21&gt;0,YEAR($F21)&lt;Preisindex!$A$6,YEAR(AV$4)&gt;=YEAR($F21),AND($K21&lt;&gt;"a",$K21&lt;&gt;"b",$K21&lt;&gt;"g",$K21&lt;&gt;"k")),1,IF(AND($E21&lt;&gt;0,$F21&gt;0,YEAR($F21)&lt;Preisindex!$A$6,YEAR(AV$4)&gt;=YEAR($F21),$K21="a"),ROUND(VLOOKUP(BA$4,Preisindex,5,FALSE)/VLOOKUP(Preisindex!$A$6,Preisindex,5,FALSE),2),IF(AND($E21&lt;&gt;0,$F21&gt;0,YEAR($F21)&lt;Preisindex!$A$6,YEAR(AV$4)&gt;=YEAR($F21),$K21="b"),ROUND(VLOOKUP(BA$4,Preisindex,3,FALSE)/VLOOKUP(Preisindex!$A$6,Preisindex,3,FALSE),2),IF(AND($E21&lt;&gt;0,$F21&gt;0,YEAR($F21)&lt;Preisindex!$A$6,YEAR(AV$4)&gt;=YEAR($F21),$K21="g"),ROUND(VLOOKUP(BA$4,Preisindex,4,FALSE)/VLOOKUP(Preisindex!$A$6,Preisindex,4,FALSE),2),IF(AND($E21&lt;&gt;0,$F21&gt;0,YEAR($F21)&lt;Preisindex!$A$6,YEAR(AV$4)&gt;=YEAR($F21),$K21="k"),ROUND(VLOOKUP(BA$4,Preisindex,2,FALSE)/VLOOKUP(Preisindex!$A$6,Preisindex,2,FALSE),2),0)))))</f>
        <v>0</v>
      </c>
      <c r="BC21" s="51">
        <f>IF(AND($E21&lt;&gt;0,$F21&gt;0,YEAR($F21)&lt;=BA$4,YEAR($F21)&gt;=Preisindex!$A$6),ROUND($E21*BA21,2),IF(AND($E21&lt;&gt;0,$F21&gt;0,YEAR($F21)&lt;=BA$4,YEAR($F21)&lt;Preisindex!$A$6),ROUND($E21*BB21,2),0))</f>
        <v>894000</v>
      </c>
      <c r="BD21" s="53">
        <f t="shared" si="157"/>
        <v>17880</v>
      </c>
      <c r="BE21" s="51">
        <f t="shared" si="315"/>
        <v>0</v>
      </c>
      <c r="BF21" s="51">
        <f t="shared" si="261"/>
        <v>0</v>
      </c>
      <c r="BG21" s="51">
        <f t="shared" si="160"/>
        <v>0</v>
      </c>
      <c r="BH21" s="51">
        <f t="shared" si="262"/>
        <v>0</v>
      </c>
      <c r="BI21" s="51">
        <f t="shared" si="162"/>
        <v>600000</v>
      </c>
      <c r="BJ21" s="51">
        <f t="shared" si="263"/>
        <v>600000</v>
      </c>
      <c r="BK21" s="51">
        <f t="shared" si="164"/>
        <v>12000</v>
      </c>
      <c r="BL21" s="51">
        <f t="shared" si="264"/>
        <v>12000</v>
      </c>
      <c r="BM21" s="51">
        <f t="shared" si="166"/>
        <v>306000</v>
      </c>
      <c r="BN21" s="51">
        <f t="shared" si="265"/>
        <v>306000</v>
      </c>
      <c r="BO21" s="51">
        <f t="shared" si="168"/>
        <v>294000</v>
      </c>
      <c r="BP21" s="54">
        <f t="shared" si="169"/>
        <v>0</v>
      </c>
      <c r="BQ21" s="55">
        <f t="shared" si="170"/>
        <v>0</v>
      </c>
      <c r="BR21" s="56">
        <f>IF(AND($E21&lt;&gt;0,$F21&gt;0,YEAR($F21)&gt;=Preisindex!$A$6,YEAR(BM$4)&gt;=YEAR($F21),AND($K21&lt;&gt;"a",$K21&lt;&gt;"b",$K21&lt;&gt;"g",$K21&lt;&gt;"k")),1,IF(AND($E21&lt;&gt;0,$F21&gt;0,YEAR($F21)&gt;=Preisindex!$A$6,YEAR(BM$4)&gt;=YEAR($F21),$K21="a"),ROUND(VLOOKUP(BR$4,Preisindex,5,FALSE)/VLOOKUP(YEAR($F21),Preisindex,5,FALSE),2),IF(AND($E21&lt;&gt;0,$F21&gt;0,YEAR($F21)&gt;=Preisindex!$A$6,YEAR(BM$4)&gt;=YEAR($F21),$K21="b"),ROUND(VLOOKUP(BR$4,Preisindex,3,FALSE)/VLOOKUP(YEAR($F21),Preisindex,3,FALSE),2),IF(AND($E21&lt;&gt;0,$F21&gt;0,YEAR($F21)&gt;=Preisindex!$A$6,YEAR(BM$4)&gt;=YEAR($F21),$K21="g"),ROUND(VLOOKUP(BR$4,Preisindex,4,FALSE)/VLOOKUP(YEAR($F21),Preisindex,4,FALSE),2),IF(AND($E21&lt;&gt;0,$F21&gt;0,YEAR($F21)&gt;=Preisindex!$A$6,YEAR(BM$4)&gt;=YEAR($F21),$K21="k"),ROUND(VLOOKUP(BR$4,Preisindex,2,FALSE)/VLOOKUP(YEAR($F21),Preisindex,2,FALSE),2),0)))))</f>
        <v>1.51</v>
      </c>
      <c r="BS21" s="56">
        <f>IF(AND($E21&lt;&gt;0,$F21&gt;0,YEAR($F21)&lt;Preisindex!$A$6,YEAR(BM$4)&gt;=YEAR($F21),AND($K21&lt;&gt;"a",$K21&lt;&gt;"b",$K21&lt;&gt;"g",$K21&lt;&gt;"k")),1,IF(AND($E21&lt;&gt;0,$F21&gt;0,YEAR($F21)&lt;Preisindex!$A$6,YEAR(BM$4)&gt;=YEAR($F21),$K21="a"),ROUND(VLOOKUP(BR$4,Preisindex,5,FALSE)/VLOOKUP(Preisindex!$A$6,Preisindex,5,FALSE),2),IF(AND($E21&lt;&gt;0,$F21&gt;0,YEAR($F21)&lt;Preisindex!$A$6,YEAR(BM$4)&gt;=YEAR($F21),$K21="b"),ROUND(VLOOKUP(BR$4,Preisindex,3,FALSE)/VLOOKUP(Preisindex!$A$6,Preisindex,3,FALSE),2),IF(AND($E21&lt;&gt;0,$F21&gt;0,YEAR($F21)&lt;Preisindex!$A$6,YEAR(BM$4)&gt;=YEAR($F21),$K21="g"),ROUND(VLOOKUP(BR$4,Preisindex,4,FALSE)/VLOOKUP(Preisindex!$A$6,Preisindex,4,FALSE),2),IF(AND($E21&lt;&gt;0,$F21&gt;0,YEAR($F21)&lt;Preisindex!$A$6,YEAR(BM$4)&gt;=YEAR($F21),$K21="k"),ROUND(VLOOKUP(BR$4,Preisindex,2,FALSE)/VLOOKUP(Preisindex!$A$6,Preisindex,2,FALSE),2),0)))))</f>
        <v>0</v>
      </c>
      <c r="BT21" s="51">
        <f>IF(AND($E21&lt;&gt;0,$F21&gt;0,YEAR($F21)&lt;=BR$4,YEAR($F21)&gt;=Preisindex!$A$6),ROUND($E21*BR21,2),IF(AND($E21&lt;&gt;0,$F21&gt;0,YEAR($F21)&lt;=BR$4,YEAR($F21)&lt;Preisindex!$A$6),ROUND($E21*BS21,2),0))</f>
        <v>906000</v>
      </c>
      <c r="BU21" s="53">
        <f t="shared" si="171"/>
        <v>18120</v>
      </c>
      <c r="BV21" s="51">
        <f t="shared" si="315"/>
        <v>0</v>
      </c>
      <c r="BW21" s="51">
        <f t="shared" si="266"/>
        <v>0</v>
      </c>
      <c r="BX21" s="51">
        <f t="shared" si="174"/>
        <v>0</v>
      </c>
      <c r="BY21" s="51">
        <f t="shared" si="267"/>
        <v>0</v>
      </c>
      <c r="BZ21" s="51">
        <f t="shared" si="176"/>
        <v>600000</v>
      </c>
      <c r="CA21" s="51">
        <f t="shared" si="268"/>
        <v>600000</v>
      </c>
      <c r="CB21" s="51">
        <f t="shared" si="178"/>
        <v>12000</v>
      </c>
      <c r="CC21" s="51">
        <f t="shared" si="269"/>
        <v>12000</v>
      </c>
      <c r="CD21" s="51">
        <f t="shared" si="180"/>
        <v>294000</v>
      </c>
      <c r="CE21" s="51">
        <f t="shared" si="270"/>
        <v>294000</v>
      </c>
      <c r="CF21" s="51">
        <f t="shared" si="182"/>
        <v>306000</v>
      </c>
      <c r="CG21" s="54">
        <f t="shared" si="183"/>
        <v>0</v>
      </c>
      <c r="CH21" s="55">
        <f t="shared" si="184"/>
        <v>0</v>
      </c>
      <c r="CI21" s="56">
        <f>IF(AND($E21&lt;&gt;0,$F21&gt;0,YEAR($F21)&gt;=Preisindex!$A$6,YEAR(CD$4)&gt;=YEAR($F21),AND($K21&lt;&gt;"a",$K21&lt;&gt;"b",$K21&lt;&gt;"g",$K21&lt;&gt;"k")),1,IF(AND($E21&lt;&gt;0,$F21&gt;0,YEAR($F21)&gt;=Preisindex!$A$6,YEAR(CD$4)&gt;=YEAR($F21),$K21="a"),ROUND(VLOOKUP(CI$4,Preisindex,5,FALSE)/VLOOKUP(YEAR($F21),Preisindex,5,FALSE),2),IF(AND($E21&lt;&gt;0,$F21&gt;0,YEAR($F21)&gt;=Preisindex!$A$6,YEAR(CD$4)&gt;=YEAR($F21),$K21="b"),ROUND(VLOOKUP(CI$4,Preisindex,3,FALSE)/VLOOKUP(YEAR($F21),Preisindex,3,FALSE),2),IF(AND($E21&lt;&gt;0,$F21&gt;0,YEAR($F21)&gt;=Preisindex!$A$6,YEAR(CD$4)&gt;=YEAR($F21),$K21="g"),ROUND(VLOOKUP(CI$4,Preisindex,4,FALSE)/VLOOKUP(YEAR($F21),Preisindex,4,FALSE),2),IF(AND($E21&lt;&gt;0,$F21&gt;0,YEAR($F21)&gt;=Preisindex!$A$6,YEAR(CD$4)&gt;=YEAR($F21),$K21="k"),ROUND(VLOOKUP(CI$4,Preisindex,2,FALSE)/VLOOKUP(YEAR($F21),Preisindex,2,FALSE),2),0)))))</f>
        <v>1.53</v>
      </c>
      <c r="CJ21" s="56">
        <f>IF(AND($E21&lt;&gt;0,$F21&gt;0,YEAR($F21)&lt;Preisindex!$A$6,YEAR(CD$4)&gt;=YEAR($F21),AND($K21&lt;&gt;"a",$K21&lt;&gt;"b",$K21&lt;&gt;"g",$K21&lt;&gt;"k")),1,IF(AND($E21&lt;&gt;0,$F21&gt;0,YEAR($F21)&lt;Preisindex!$A$6,YEAR(CD$4)&gt;=YEAR($F21),$K21="a"),ROUND(VLOOKUP(CI$4,Preisindex,5,FALSE)/VLOOKUP(Preisindex!$A$6,Preisindex,5,FALSE),2),IF(AND($E21&lt;&gt;0,$F21&gt;0,YEAR($F21)&lt;Preisindex!$A$6,YEAR(CD$4)&gt;=YEAR($F21),$K21="b"),ROUND(VLOOKUP(CI$4,Preisindex,3,FALSE)/VLOOKUP(Preisindex!$A$6,Preisindex,3,FALSE),2),IF(AND($E21&lt;&gt;0,$F21&gt;0,YEAR($F21)&lt;Preisindex!$A$6,YEAR(CD$4)&gt;=YEAR($F21),$K21="g"),ROUND(VLOOKUP(CI$4,Preisindex,4,FALSE)/VLOOKUP(Preisindex!$A$6,Preisindex,4,FALSE),2),IF(AND($E21&lt;&gt;0,$F21&gt;0,YEAR($F21)&lt;Preisindex!$A$6,YEAR(CD$4)&gt;=YEAR($F21),$K21="k"),ROUND(VLOOKUP(CI$4,Preisindex,2,FALSE)/VLOOKUP(Preisindex!$A$6,Preisindex,2,FALSE),2),0)))))</f>
        <v>0</v>
      </c>
      <c r="CK21" s="51">
        <f>IF(AND($E21&lt;&gt;0,$F21&gt;0,YEAR($F21)&lt;=CI$4,YEAR($F21)&gt;=Preisindex!$A$6),ROUND($E21*CI21,2),IF(AND($E21&lt;&gt;0,$F21&gt;0,YEAR($F21)&lt;=CI$4,YEAR($F21)&lt;Preisindex!$A$6),ROUND($E21*CJ21,2),0))</f>
        <v>918000</v>
      </c>
      <c r="CL21" s="53">
        <f t="shared" si="185"/>
        <v>18360</v>
      </c>
      <c r="CM21" s="51">
        <f t="shared" si="315"/>
        <v>0</v>
      </c>
      <c r="CN21" s="51">
        <f t="shared" si="271"/>
        <v>0</v>
      </c>
      <c r="CO21" s="51">
        <f t="shared" si="188"/>
        <v>0</v>
      </c>
      <c r="CP21" s="51">
        <f t="shared" si="272"/>
        <v>0</v>
      </c>
      <c r="CQ21" s="51">
        <f t="shared" si="190"/>
        <v>600000</v>
      </c>
      <c r="CR21" s="51">
        <f t="shared" si="273"/>
        <v>600000</v>
      </c>
      <c r="CS21" s="51">
        <f t="shared" si="192"/>
        <v>12000</v>
      </c>
      <c r="CT21" s="51">
        <f t="shared" si="274"/>
        <v>12000</v>
      </c>
      <c r="CU21" s="51">
        <f t="shared" si="194"/>
        <v>282000</v>
      </c>
      <c r="CV21" s="51">
        <f t="shared" si="275"/>
        <v>282000</v>
      </c>
      <c r="CW21" s="51">
        <f t="shared" si="196"/>
        <v>318000</v>
      </c>
      <c r="CX21" s="54">
        <f t="shared" si="197"/>
        <v>0</v>
      </c>
      <c r="CY21" s="55">
        <f t="shared" si="198"/>
        <v>0</v>
      </c>
      <c r="CZ21" s="56">
        <f>IF(AND($E21&lt;&gt;0,$F21&gt;0,YEAR($F21)&gt;=Preisindex!$A$6,YEAR(CU$4)&gt;=YEAR($F21),AND($K21&lt;&gt;"a",$K21&lt;&gt;"b",$K21&lt;&gt;"g",$K21&lt;&gt;"k")),1,IF(AND($E21&lt;&gt;0,$F21&gt;0,YEAR($F21)&gt;=Preisindex!$A$6,YEAR(CU$4)&gt;=YEAR($F21),$K21="a"),ROUND(VLOOKUP(CZ$4,Preisindex,5,FALSE)/VLOOKUP(YEAR($F21),Preisindex,5,FALSE),2),IF(AND($E21&lt;&gt;0,$F21&gt;0,YEAR($F21)&gt;=Preisindex!$A$6,YEAR(CU$4)&gt;=YEAR($F21),$K21="b"),ROUND(VLOOKUP(CZ$4,Preisindex,3,FALSE)/VLOOKUP(YEAR($F21),Preisindex,3,FALSE),2),IF(AND($E21&lt;&gt;0,$F21&gt;0,YEAR($F21)&gt;=Preisindex!$A$6,YEAR(CU$4)&gt;=YEAR($F21),$K21="g"),ROUND(VLOOKUP(CZ$4,Preisindex,4,FALSE)/VLOOKUP(YEAR($F21),Preisindex,4,FALSE),2),IF(AND($E21&lt;&gt;0,$F21&gt;0,YEAR($F21)&gt;=Preisindex!$A$6,YEAR(CU$4)&gt;=YEAR($F21),$K21="k"),ROUND(VLOOKUP(CZ$4,Preisindex,2,FALSE)/VLOOKUP(YEAR($F21),Preisindex,2,FALSE),2),0)))))</f>
        <v>1.56</v>
      </c>
      <c r="DA21" s="56">
        <f>IF(AND($E21&lt;&gt;0,$F21&gt;0,YEAR($F21)&lt;Preisindex!$A$6,YEAR(CU$4)&gt;=YEAR($F21),AND($K21&lt;&gt;"a",$K21&lt;&gt;"b",$K21&lt;&gt;"g",$K21&lt;&gt;"k")),1,IF(AND($E21&lt;&gt;0,$F21&gt;0,YEAR($F21)&lt;Preisindex!$A$6,YEAR(CU$4)&gt;=YEAR($F21),$K21="a"),ROUND(VLOOKUP(CZ$4,Preisindex,5,FALSE)/VLOOKUP(Preisindex!$A$6,Preisindex,5,FALSE),2),IF(AND($E21&lt;&gt;0,$F21&gt;0,YEAR($F21)&lt;Preisindex!$A$6,YEAR(CU$4)&gt;=YEAR($F21),$K21="b"),ROUND(VLOOKUP(CZ$4,Preisindex,3,FALSE)/VLOOKUP(Preisindex!$A$6,Preisindex,3,FALSE),2),IF(AND($E21&lt;&gt;0,$F21&gt;0,YEAR($F21)&lt;Preisindex!$A$6,YEAR(CU$4)&gt;=YEAR($F21),$K21="g"),ROUND(VLOOKUP(CZ$4,Preisindex,4,FALSE)/VLOOKUP(Preisindex!$A$6,Preisindex,4,FALSE),2),IF(AND($E21&lt;&gt;0,$F21&gt;0,YEAR($F21)&lt;Preisindex!$A$6,YEAR(CU$4)&gt;=YEAR($F21),$K21="k"),ROUND(VLOOKUP(CZ$4,Preisindex,2,FALSE)/VLOOKUP(Preisindex!$A$6,Preisindex,2,FALSE),2),0)))))</f>
        <v>0</v>
      </c>
      <c r="DB21" s="51">
        <f>IF(AND($E21&lt;&gt;0,$F21&gt;0,YEAR($F21)&lt;=CZ$4,YEAR($F21)&gt;=Preisindex!$A$6),ROUND($E21*CZ21,2),IF(AND($E21&lt;&gt;0,$F21&gt;0,YEAR($F21)&lt;=CZ$4,YEAR($F21)&lt;Preisindex!$A$6),ROUND($E21*DA21,2),0))</f>
        <v>936000</v>
      </c>
      <c r="DC21" s="53">
        <f t="shared" si="199"/>
        <v>18720</v>
      </c>
      <c r="DD21" s="51">
        <f t="shared" ref="DD21:FC36" si="316">IF(YEAR($F21)=DD$4,$E21,0)</f>
        <v>0</v>
      </c>
      <c r="DE21" s="51">
        <f t="shared" si="276"/>
        <v>0</v>
      </c>
      <c r="DF21" s="51">
        <f t="shared" si="202"/>
        <v>0</v>
      </c>
      <c r="DG21" s="51">
        <f t="shared" si="277"/>
        <v>0</v>
      </c>
      <c r="DH21" s="51">
        <f t="shared" si="204"/>
        <v>600000</v>
      </c>
      <c r="DI21" s="51">
        <f t="shared" si="278"/>
        <v>600000</v>
      </c>
      <c r="DJ21" s="51">
        <f t="shared" si="206"/>
        <v>12000</v>
      </c>
      <c r="DK21" s="51">
        <f t="shared" si="279"/>
        <v>12000</v>
      </c>
      <c r="DL21" s="51">
        <f t="shared" si="208"/>
        <v>270000</v>
      </c>
      <c r="DM21" s="51">
        <f t="shared" si="280"/>
        <v>270000</v>
      </c>
      <c r="DN21" s="51">
        <f t="shared" si="210"/>
        <v>330000</v>
      </c>
      <c r="DO21" s="54">
        <f t="shared" si="211"/>
        <v>0</v>
      </c>
      <c r="DP21" s="55">
        <f t="shared" si="212"/>
        <v>0</v>
      </c>
      <c r="DQ21" s="56">
        <f>IF(AND($E21&lt;&gt;0,$F21&gt;0,YEAR($F21)&gt;=Preisindex!$A$6,YEAR(DL$4)&gt;=YEAR($F21),AND($K21&lt;&gt;"a",$K21&lt;&gt;"b",$K21&lt;&gt;"g",$K21&lt;&gt;"k")),1,IF(AND($E21&lt;&gt;0,$F21&gt;0,YEAR($F21)&gt;=Preisindex!$A$6,YEAR(DL$4)&gt;=YEAR($F21),$K21="a"),ROUND(VLOOKUP(DQ$4,Preisindex,5,FALSE)/VLOOKUP(YEAR($F21),Preisindex,5,FALSE),2),IF(AND($E21&lt;&gt;0,$F21&gt;0,YEAR($F21)&gt;=Preisindex!$A$6,YEAR(DL$4)&gt;=YEAR($F21),$K21="b"),ROUND(VLOOKUP(DQ$4,Preisindex,3,FALSE)/VLOOKUP(YEAR($F21),Preisindex,3,FALSE),2),IF(AND($E21&lt;&gt;0,$F21&gt;0,YEAR($F21)&gt;=Preisindex!$A$6,YEAR(DL$4)&gt;=YEAR($F21),$K21="g"),ROUND(VLOOKUP(DQ$4,Preisindex,4,FALSE)/VLOOKUP(YEAR($F21),Preisindex,4,FALSE),2),IF(AND($E21&lt;&gt;0,$F21&gt;0,YEAR($F21)&gt;=Preisindex!$A$6,YEAR(DL$4)&gt;=YEAR($F21),$K21="k"),ROUND(VLOOKUP(DQ$4,Preisindex,2,FALSE)/VLOOKUP(YEAR($F21),Preisindex,2,FALSE),2),0)))))</f>
        <v>1.61</v>
      </c>
      <c r="DR21" s="56">
        <f>IF(AND($E21&lt;&gt;0,$F21&gt;0,YEAR($F21)&lt;Preisindex!$A$6,YEAR(DL$4)&gt;=YEAR($F21),AND($K21&lt;&gt;"a",$K21&lt;&gt;"b",$K21&lt;&gt;"g",$K21&lt;&gt;"k")),1,IF(AND($E21&lt;&gt;0,$F21&gt;0,YEAR($F21)&lt;Preisindex!$A$6,YEAR(DL$4)&gt;=YEAR($F21),$K21="a"),ROUND(VLOOKUP(DQ$4,Preisindex,5,FALSE)/VLOOKUP(Preisindex!$A$6,Preisindex,5,FALSE),2),IF(AND($E21&lt;&gt;0,$F21&gt;0,YEAR($F21)&lt;Preisindex!$A$6,YEAR(DL$4)&gt;=YEAR($F21),$K21="b"),ROUND(VLOOKUP(DQ$4,Preisindex,3,FALSE)/VLOOKUP(Preisindex!$A$6,Preisindex,3,FALSE),2),IF(AND($E21&lt;&gt;0,$F21&gt;0,YEAR($F21)&lt;Preisindex!$A$6,YEAR(DL$4)&gt;=YEAR($F21),$K21="g"),ROUND(VLOOKUP(DQ$4,Preisindex,4,FALSE)/VLOOKUP(Preisindex!$A$6,Preisindex,4,FALSE),2),IF(AND($E21&lt;&gt;0,$F21&gt;0,YEAR($F21)&lt;Preisindex!$A$6,YEAR(DL$4)&gt;=YEAR($F21),$K21="k"),ROUND(VLOOKUP(DQ$4,Preisindex,2,FALSE)/VLOOKUP(Preisindex!$A$6,Preisindex,2,FALSE),2),0)))))</f>
        <v>0</v>
      </c>
      <c r="DS21" s="51">
        <f>IF(AND($E21&lt;&gt;0,$F21&gt;0,YEAR($F21)&lt;=DQ$4,YEAR($F21)&gt;=Preisindex!$A$6),ROUND($E21*DQ21,2),IF(AND($E21&lt;&gt;0,$F21&gt;0,YEAR($F21)&lt;=DQ$4,YEAR($F21)&lt;Preisindex!$A$6),ROUND($E21*DR21,2),0))</f>
        <v>966000</v>
      </c>
      <c r="DT21" s="53">
        <f t="shared" si="213"/>
        <v>19320</v>
      </c>
      <c r="DU21" s="51">
        <f t="shared" si="316"/>
        <v>0</v>
      </c>
      <c r="DV21" s="51">
        <f t="shared" si="281"/>
        <v>0</v>
      </c>
      <c r="DW21" s="51">
        <f t="shared" si="216"/>
        <v>0</v>
      </c>
      <c r="DX21" s="51">
        <f t="shared" si="282"/>
        <v>0</v>
      </c>
      <c r="DY21" s="51">
        <f t="shared" si="218"/>
        <v>600000</v>
      </c>
      <c r="DZ21" s="51">
        <f t="shared" si="283"/>
        <v>600000</v>
      </c>
      <c r="EA21" s="51">
        <f t="shared" si="220"/>
        <v>12000</v>
      </c>
      <c r="EB21" s="51">
        <f t="shared" si="284"/>
        <v>12000</v>
      </c>
      <c r="EC21" s="51">
        <f t="shared" si="222"/>
        <v>258000</v>
      </c>
      <c r="ED21" s="51">
        <f t="shared" si="285"/>
        <v>258000</v>
      </c>
      <c r="EE21" s="51">
        <f t="shared" si="224"/>
        <v>342000</v>
      </c>
      <c r="EF21" s="54">
        <f t="shared" si="225"/>
        <v>0</v>
      </c>
      <c r="EG21" s="55">
        <f t="shared" si="226"/>
        <v>0</v>
      </c>
      <c r="EH21" s="56">
        <f>IF(AND($E21&lt;&gt;0,$F21&gt;0,YEAR($F21)&gt;=Preisindex!$A$6,YEAR(EC$4)&gt;=YEAR($F21),AND($K21&lt;&gt;"a",$K21&lt;&gt;"b",$K21&lt;&gt;"g",$K21&lt;&gt;"k")),1,IF(AND($E21&lt;&gt;0,$F21&gt;0,YEAR($F21)&gt;=Preisindex!$A$6,YEAR(EC$4)&gt;=YEAR($F21),$K21="a"),ROUND(VLOOKUP(EH$4,Preisindex,5,FALSE)/VLOOKUP(YEAR($F21),Preisindex,5,FALSE),2),IF(AND($E21&lt;&gt;0,$F21&gt;0,YEAR($F21)&gt;=Preisindex!$A$6,YEAR(EC$4)&gt;=YEAR($F21),$K21="b"),ROUND(VLOOKUP(EH$4,Preisindex,3,FALSE)/VLOOKUP(YEAR($F21),Preisindex,3,FALSE),2),IF(AND($E21&lt;&gt;0,$F21&gt;0,YEAR($F21)&gt;=Preisindex!$A$6,YEAR(EC$4)&gt;=YEAR($F21),$K21="g"),ROUND(VLOOKUP(EH$4,Preisindex,4,FALSE)/VLOOKUP(YEAR($F21),Preisindex,4,FALSE),2),IF(AND($E21&lt;&gt;0,$F21&gt;0,YEAR($F21)&gt;=Preisindex!$A$6,YEAR(EC$4)&gt;=YEAR($F21),$K21="k"),ROUND(VLOOKUP(EH$4,Preisindex,2,FALSE)/VLOOKUP(YEAR($F21),Preisindex,2,FALSE),2),0)))))</f>
        <v>1.69</v>
      </c>
      <c r="EI21" s="56">
        <f>IF(AND($E21&lt;&gt;0,$F21&gt;0,YEAR($F21)&lt;Preisindex!$A$6,YEAR(EC$4)&gt;=YEAR($F21),AND($K21&lt;&gt;"a",$K21&lt;&gt;"b",$K21&lt;&gt;"g",$K21&lt;&gt;"k")),1,IF(AND($E21&lt;&gt;0,$F21&gt;0,YEAR($F21)&lt;Preisindex!$A$6,YEAR(EC$4)&gt;=YEAR($F21),$K21="a"),ROUND(VLOOKUP(EH$4,Preisindex,5,FALSE)/VLOOKUP(Preisindex!$A$6,Preisindex,5,FALSE),2),IF(AND($E21&lt;&gt;0,$F21&gt;0,YEAR($F21)&lt;Preisindex!$A$6,YEAR(EC$4)&gt;=YEAR($F21),$K21="b"),ROUND(VLOOKUP(EH$4,Preisindex,3,FALSE)/VLOOKUP(Preisindex!$A$6,Preisindex,3,FALSE),2),IF(AND($E21&lt;&gt;0,$F21&gt;0,YEAR($F21)&lt;Preisindex!$A$6,YEAR(EC$4)&gt;=YEAR($F21),$K21="g"),ROUND(VLOOKUP(EH$4,Preisindex,4,FALSE)/VLOOKUP(Preisindex!$A$6,Preisindex,4,FALSE),2),IF(AND($E21&lt;&gt;0,$F21&gt;0,YEAR($F21)&lt;Preisindex!$A$6,YEAR(EC$4)&gt;=YEAR($F21),$K21="k"),ROUND(VLOOKUP(EH$4,Preisindex,2,FALSE)/VLOOKUP(Preisindex!$A$6,Preisindex,2,FALSE),2),0)))))</f>
        <v>0</v>
      </c>
      <c r="EJ21" s="51">
        <f>IF(AND($E21&lt;&gt;0,$F21&gt;0,YEAR($F21)&lt;=EH$4,YEAR($F21)&gt;=Preisindex!$A$6),ROUND($E21*EH21,2),IF(AND($E21&lt;&gt;0,$F21&gt;0,YEAR($F21)&lt;=EH$4,YEAR($F21)&lt;Preisindex!$A$6),ROUND($E21*EI21,2),0))</f>
        <v>1014000</v>
      </c>
      <c r="EK21" s="53">
        <f t="shared" si="227"/>
        <v>20280</v>
      </c>
      <c r="EL21" s="51">
        <f t="shared" si="316"/>
        <v>0</v>
      </c>
      <c r="EM21" s="51">
        <f t="shared" si="286"/>
        <v>0</v>
      </c>
      <c r="EN21" s="51">
        <f t="shared" si="230"/>
        <v>0</v>
      </c>
      <c r="EO21" s="51">
        <f t="shared" si="287"/>
        <v>0</v>
      </c>
      <c r="EP21" s="51">
        <f t="shared" si="232"/>
        <v>600000</v>
      </c>
      <c r="EQ21" s="51">
        <f t="shared" si="288"/>
        <v>600000</v>
      </c>
      <c r="ER21" s="51">
        <f t="shared" si="234"/>
        <v>12000</v>
      </c>
      <c r="ES21" s="51">
        <f t="shared" si="289"/>
        <v>12000</v>
      </c>
      <c r="ET21" s="51">
        <f t="shared" si="236"/>
        <v>246000</v>
      </c>
      <c r="EU21" s="51">
        <f t="shared" si="290"/>
        <v>246000</v>
      </c>
      <c r="EV21" s="51">
        <f t="shared" si="238"/>
        <v>354000</v>
      </c>
      <c r="EW21" s="54">
        <f t="shared" si="239"/>
        <v>0</v>
      </c>
      <c r="EX21" s="55">
        <f t="shared" si="240"/>
        <v>0</v>
      </c>
      <c r="EY21" s="56">
        <f>IF(AND($E21&lt;&gt;0,$F21&gt;0,YEAR($F21)&gt;=Preisindex!$A$6,YEAR(ET$4)&gt;=YEAR($F21),AND($K21&lt;&gt;"a",$K21&lt;&gt;"b",$K21&lt;&gt;"g",$K21&lt;&gt;"k")),1,IF(AND($E21&lt;&gt;0,$F21&gt;0,YEAR($F21)&gt;=Preisindex!$A$6,YEAR(ET$4)&gt;=YEAR($F21),$K21="a"),ROUND(VLOOKUP(EY$4,Preisindex,5,FALSE)/VLOOKUP(YEAR($F21),Preisindex,5,FALSE),2),IF(AND($E21&lt;&gt;0,$F21&gt;0,YEAR($F21)&gt;=Preisindex!$A$6,YEAR(ET$4)&gt;=YEAR($F21),$K21="b"),ROUND(VLOOKUP(EY$4,Preisindex,3,FALSE)/VLOOKUP(YEAR($F21),Preisindex,3,FALSE),2),IF(AND($E21&lt;&gt;0,$F21&gt;0,YEAR($F21)&gt;=Preisindex!$A$6,YEAR(ET$4)&gt;=YEAR($F21),$K21="g"),ROUND(VLOOKUP(EY$4,Preisindex,4,FALSE)/VLOOKUP(YEAR($F21),Preisindex,4,FALSE),2),IF(AND($E21&lt;&gt;0,$F21&gt;0,YEAR($F21)&gt;=Preisindex!$A$6,YEAR(ET$4)&gt;=YEAR($F21),$K21="k"),ROUND(VLOOKUP(EY$4,Preisindex,2,FALSE)/VLOOKUP(YEAR($F21),Preisindex,2,FALSE),2),0)))))</f>
        <v>1.69</v>
      </c>
      <c r="EZ21" s="56">
        <f>IF(AND($E21&lt;&gt;0,$F21&gt;0,YEAR($F21)&lt;Preisindex!$A$6,YEAR(ET$4)&gt;=YEAR($F21),AND($K21&lt;&gt;"a",$K21&lt;&gt;"b",$K21&lt;&gt;"g",$K21&lt;&gt;"k")),1,IF(AND($E21&lt;&gt;0,$F21&gt;0,YEAR($F21)&lt;Preisindex!$A$6,YEAR(ET$4)&gt;=YEAR($F21),$K21="a"),ROUND(VLOOKUP(EY$4,Preisindex,5,FALSE)/VLOOKUP(Preisindex!$A$6,Preisindex,5,FALSE),2),IF(AND($E21&lt;&gt;0,$F21&gt;0,YEAR($F21)&lt;Preisindex!$A$6,YEAR(ET$4)&gt;=YEAR($F21),$K21="b"),ROUND(VLOOKUP(EY$4,Preisindex,3,FALSE)/VLOOKUP(Preisindex!$A$6,Preisindex,3,FALSE),2),IF(AND($E21&lt;&gt;0,$F21&gt;0,YEAR($F21)&lt;Preisindex!$A$6,YEAR(ET$4)&gt;=YEAR($F21),$K21="g"),ROUND(VLOOKUP(EY$4,Preisindex,4,FALSE)/VLOOKUP(Preisindex!$A$6,Preisindex,4,FALSE),2),IF(AND($E21&lt;&gt;0,$F21&gt;0,YEAR($F21)&lt;Preisindex!$A$6,YEAR(ET$4)&gt;=YEAR($F21),$K21="k"),ROUND(VLOOKUP(EY$4,Preisindex,2,FALSE)/VLOOKUP(Preisindex!$A$6,Preisindex,2,FALSE),2),0)))))</f>
        <v>0</v>
      </c>
      <c r="FA21" s="51">
        <f>IF(AND($E21&lt;&gt;0,$F21&gt;0,YEAR($F21)&lt;=EY$4,YEAR($F21)&gt;=Preisindex!$A$6),ROUND($E21*EY21,2),IF(AND($E21&lt;&gt;0,$F21&gt;0,YEAR($F21)&lt;=EY$4,YEAR($F21)&lt;Preisindex!$A$6),ROUND($E21*EZ21,2),0))</f>
        <v>1014000</v>
      </c>
      <c r="FB21" s="53">
        <f t="shared" si="241"/>
        <v>20280</v>
      </c>
      <c r="FC21" s="51">
        <f t="shared" si="316"/>
        <v>0</v>
      </c>
      <c r="FD21" s="51">
        <f t="shared" si="291"/>
        <v>0</v>
      </c>
      <c r="FE21" s="51">
        <f t="shared" si="244"/>
        <v>0</v>
      </c>
      <c r="FF21" s="51">
        <f t="shared" si="292"/>
        <v>0</v>
      </c>
      <c r="FG21" s="51">
        <f t="shared" si="246"/>
        <v>600000</v>
      </c>
      <c r="FH21" s="51">
        <f t="shared" si="293"/>
        <v>600000</v>
      </c>
      <c r="FI21" s="51">
        <f t="shared" si="248"/>
        <v>12000</v>
      </c>
      <c r="FJ21" s="51">
        <f t="shared" si="294"/>
        <v>12000</v>
      </c>
      <c r="FK21" s="51">
        <f t="shared" si="250"/>
        <v>234000</v>
      </c>
      <c r="FL21" s="51">
        <f t="shared" si="295"/>
        <v>234000</v>
      </c>
      <c r="FM21" s="51">
        <f t="shared" si="252"/>
        <v>366000</v>
      </c>
      <c r="FN21" s="54">
        <f t="shared" si="253"/>
        <v>0</v>
      </c>
      <c r="FO21" s="55">
        <f t="shared" si="254"/>
        <v>0</v>
      </c>
      <c r="FP21" s="56">
        <f>IF(AND($E21&lt;&gt;0,$F21&gt;0,YEAR($F21)&gt;=Preisindex!$A$6,YEAR(FK$4)&gt;=YEAR($F21),AND($K21&lt;&gt;"a",$K21&lt;&gt;"b",$K21&lt;&gt;"g",$K21&lt;&gt;"k")),1,IF(AND($E21&lt;&gt;0,$F21&gt;0,YEAR($F21)&gt;=Preisindex!$A$6,YEAR(FK$4)&gt;=YEAR($F21),$K21="a"),ROUND(VLOOKUP(FP$4,Preisindex,5,FALSE)/VLOOKUP(YEAR($F21),Preisindex,5,FALSE),2),IF(AND($E21&lt;&gt;0,$F21&gt;0,YEAR($F21)&gt;=Preisindex!$A$6,YEAR(FK$4)&gt;=YEAR($F21),$K21="b"),ROUND(VLOOKUP(FP$4,Preisindex,3,FALSE)/VLOOKUP(YEAR($F21),Preisindex,3,FALSE),2),IF(AND($E21&lt;&gt;0,$F21&gt;0,YEAR($F21)&gt;=Preisindex!$A$6,YEAR(FK$4)&gt;=YEAR($F21),$K21="g"),ROUND(VLOOKUP(FP$4,Preisindex,4,FALSE)/VLOOKUP(YEAR($F21),Preisindex,4,FALSE),2),IF(AND($E21&lt;&gt;0,$F21&gt;0,YEAR($F21)&gt;=Preisindex!$A$6,YEAR(FK$4)&gt;=YEAR($F21),$K21="k"),ROUND(VLOOKUP(FP$4,Preisindex,2,FALSE)/VLOOKUP(YEAR($F21),Preisindex,2,FALSE),2),0)))))</f>
        <v>1.69</v>
      </c>
      <c r="FQ21" s="56">
        <f>IF(AND($E21&lt;&gt;0,$F21&gt;0,YEAR($F21)&lt;Preisindex!$A$6,YEAR(FK$4)&gt;=YEAR($F21),AND($K21&lt;&gt;"a",$K21&lt;&gt;"b",$K21&lt;&gt;"g",$K21&lt;&gt;"k")),1,IF(AND($E21&lt;&gt;0,$F21&gt;0,YEAR($F21)&lt;Preisindex!$A$6,YEAR(FK$4)&gt;=YEAR($F21),$K21="a"),ROUND(VLOOKUP(FP$4,Preisindex,5,FALSE)/VLOOKUP(Preisindex!$A$6,Preisindex,5,FALSE),2),IF(AND($E21&lt;&gt;0,$F21&gt;0,YEAR($F21)&lt;Preisindex!$A$6,YEAR(FK$4)&gt;=YEAR($F21),$K21="b"),ROUND(VLOOKUP(FP$4,Preisindex,3,FALSE)/VLOOKUP(Preisindex!$A$6,Preisindex,3,FALSE),2),IF(AND($E21&lt;&gt;0,$F21&gt;0,YEAR($F21)&lt;Preisindex!$A$6,YEAR(FK$4)&gt;=YEAR($F21),$K21="g"),ROUND(VLOOKUP(FP$4,Preisindex,4,FALSE)/VLOOKUP(Preisindex!$A$6,Preisindex,4,FALSE),2),IF(AND($E21&lt;&gt;0,$F21&gt;0,YEAR($F21)&lt;Preisindex!$A$6,YEAR(FK$4)&gt;=YEAR($F21),$K21="k"),ROUND(VLOOKUP(FP$4,Preisindex,2,FALSE)/VLOOKUP(Preisindex!$A$6,Preisindex,2,FALSE),2),0)))))</f>
        <v>0</v>
      </c>
      <c r="FR21" s="51">
        <f>IF(AND($E21&lt;&gt;0,$F21&gt;0,YEAR($F21)&lt;=FP$4,YEAR($F21)&gt;=Preisindex!$A$6),ROUND($E21*FP21,2),IF(AND($E21&lt;&gt;0,$F21&gt;0,YEAR($F21)&lt;=FP$4,YEAR($F21)&lt;Preisindex!$A$6),ROUND($E21*FQ21,2),0))</f>
        <v>1014000</v>
      </c>
      <c r="FS21" s="53">
        <f t="shared" si="255"/>
        <v>20280</v>
      </c>
    </row>
    <row r="22" spans="1:175" x14ac:dyDescent="0.3">
      <c r="A22" s="93">
        <v>1993</v>
      </c>
      <c r="B22" s="94" t="s">
        <v>211</v>
      </c>
      <c r="C22" s="94"/>
      <c r="D22" s="95" t="s">
        <v>18</v>
      </c>
      <c r="E22" s="99">
        <v>350000</v>
      </c>
      <c r="F22" s="97">
        <v>34151</v>
      </c>
      <c r="G22" s="100">
        <v>50</v>
      </c>
      <c r="H22" s="622"/>
      <c r="I22" s="621"/>
      <c r="J22" s="194"/>
      <c r="K22" s="630" t="s">
        <v>266</v>
      </c>
      <c r="L22" s="49">
        <f t="shared" si="296"/>
        <v>0.02</v>
      </c>
      <c r="M22" s="50">
        <f t="shared" si="297"/>
        <v>7000</v>
      </c>
      <c r="N22" s="51">
        <f t="shared" si="298"/>
        <v>220500</v>
      </c>
      <c r="O22" s="51"/>
      <c r="P22" s="51">
        <f t="shared" si="299"/>
        <v>129500</v>
      </c>
      <c r="Q22" s="52"/>
      <c r="R22" s="52"/>
      <c r="S22" s="52"/>
      <c r="T22" s="52"/>
      <c r="U22" s="52"/>
      <c r="V22" s="53">
        <f t="shared" si="300"/>
        <v>350000</v>
      </c>
      <c r="W22" s="51">
        <f t="shared" si="301"/>
        <v>0</v>
      </c>
      <c r="X22" s="51">
        <f t="shared" si="302"/>
        <v>0</v>
      </c>
      <c r="Y22" s="51">
        <f t="shared" si="303"/>
        <v>0</v>
      </c>
      <c r="Z22" s="51">
        <f t="shared" si="304"/>
        <v>0</v>
      </c>
      <c r="AA22" s="51">
        <f t="shared" si="305"/>
        <v>350000</v>
      </c>
      <c r="AB22" s="51">
        <f t="shared" si="306"/>
        <v>350000</v>
      </c>
      <c r="AC22" s="51">
        <f t="shared" si="307"/>
        <v>7000</v>
      </c>
      <c r="AD22" s="51">
        <f t="shared" si="308"/>
        <v>7000</v>
      </c>
      <c r="AE22" s="51">
        <f t="shared" si="309"/>
        <v>213500</v>
      </c>
      <c r="AF22" s="51">
        <f t="shared" si="310"/>
        <v>213500</v>
      </c>
      <c r="AG22" s="51">
        <f t="shared" si="311"/>
        <v>136500</v>
      </c>
      <c r="AH22" s="54">
        <f t="shared" si="312"/>
        <v>0</v>
      </c>
      <c r="AI22" s="55">
        <f t="shared" si="313"/>
        <v>0</v>
      </c>
      <c r="AJ22" s="56">
        <f>IF(AND($E22&lt;&gt;0,$F22&gt;0,YEAR($F22)&gt;=Preisindex!$A$6,YEAR(AE$4)&gt;=YEAR($F22),AND($K22&lt;&gt;"a",$K22&lt;&gt;"b",$K22&lt;&gt;"g",$K22&lt;&gt;"k")),1,IF(AND($E22&lt;&gt;0,$F22&gt;0,YEAR($F22)&gt;=Preisindex!$A$6,YEAR(AE$4)&gt;=YEAR($F22),$K22="a"),ROUND(VLOOKUP(AJ$4,Preisindex,5,FALSE)/VLOOKUP(YEAR($F22),Preisindex,5,FALSE),2),IF(AND($E22&lt;&gt;0,$F22&gt;0,YEAR($F22)&gt;=Preisindex!$A$6,YEAR(AE$4)&gt;=YEAR($F22),$K22="b"),ROUND(VLOOKUP(AJ$4,Preisindex,3,FALSE)/VLOOKUP(YEAR($F22),Preisindex,3,FALSE),2),IF(AND($E22&lt;&gt;0,$F22&gt;0,YEAR($F22)&gt;=Preisindex!$A$6,YEAR(AE$4)&gt;=YEAR($F22),$K22="g"),ROUND(VLOOKUP(AJ$4,Preisindex,4,FALSE)/VLOOKUP(YEAR($F22),Preisindex,4,FALSE),2),IF(AND($E22&lt;&gt;0,$F22&gt;0,YEAR($F22)&gt;=Preisindex!$A$6,YEAR(AE$4)&gt;=YEAR($F22),$K22="k"),ROUND(VLOOKUP(AJ$4,Preisindex,2,FALSE)/VLOOKUP(YEAR($F22),Preisindex,2,FALSE),2),0)))))</f>
        <v>1.23</v>
      </c>
      <c r="AK22" s="56">
        <f>IF(AND($E22&lt;&gt;0,$F22&gt;0,YEAR($F22)&lt;Preisindex!$A$6,YEAR(AE$4)&gt;=YEAR($F22),AND($K22&lt;&gt;"a",$K22&lt;&gt;"b",$K22&lt;&gt;"g",$K22&lt;&gt;"k")),1,IF(AND($E22&lt;&gt;0,$F22&gt;0,YEAR($F22)&lt;Preisindex!$A$6,YEAR(AE$4)&gt;=YEAR($F22),$K22="a"),ROUND(VLOOKUP(AJ$4,Preisindex,5,FALSE)/VLOOKUP(Preisindex!$A$6,Preisindex,5,FALSE),2),IF(AND($E22&lt;&gt;0,$F22&gt;0,YEAR($F22)&lt;Preisindex!$A$6,YEAR(AE$4)&gt;=YEAR($F22),$K22="b"),ROUND(VLOOKUP(AJ$4,Preisindex,3,FALSE)/VLOOKUP(Preisindex!$A$6,Preisindex,3,FALSE),2),IF(AND($E22&lt;&gt;0,$F22&gt;0,YEAR($F22)&lt;Preisindex!$A$6,YEAR(AE$4)&gt;=YEAR($F22),$K22="g"),ROUND(VLOOKUP(AJ$4,Preisindex,4,FALSE)/VLOOKUP(Preisindex!$A$6,Preisindex,4,FALSE),2),IF(AND($E22&lt;&gt;0,$F22&gt;0,YEAR($F22)&lt;Preisindex!$A$6,YEAR(AE$4)&gt;=YEAR($F22),$K22="k"),ROUND(VLOOKUP(AJ$4,Preisindex,2,FALSE)/VLOOKUP(Preisindex!$A$6,Preisindex,2,FALSE),2),0)))))</f>
        <v>0</v>
      </c>
      <c r="AL22" s="51">
        <f>IF(AND($E22&lt;&gt;0,$F22&gt;0,YEAR($F22)&lt;=AJ$4,YEAR($F22)&gt;=Preisindex!$A$6),ROUND($E22*AJ22,2),IF(AND($E22&lt;&gt;0,$F22&gt;0,YEAR($F22)&lt;=AJ$4,YEAR($F22)&lt;Preisindex!$A$6),ROUND($E22*AK22,2),0))</f>
        <v>430500</v>
      </c>
      <c r="AM22" s="53">
        <f t="shared" si="314"/>
        <v>8610</v>
      </c>
      <c r="AN22" s="51">
        <f t="shared" si="315"/>
        <v>0</v>
      </c>
      <c r="AO22" s="51">
        <f t="shared" ref="AO22:AO85" si="317">IF($J22&lt;&gt;"H",AN22,0)</f>
        <v>0</v>
      </c>
      <c r="AP22" s="51">
        <f t="shared" si="146"/>
        <v>0</v>
      </c>
      <c r="AQ22" s="51">
        <f t="shared" ref="AQ22:AQ85" si="318">IF($J22&lt;&gt;"H",AP22,0)</f>
        <v>0</v>
      </c>
      <c r="AR22" s="51">
        <f t="shared" si="148"/>
        <v>350000</v>
      </c>
      <c r="AS22" s="51">
        <f t="shared" ref="AS22:AS85" si="319">IF(AT22&lt;&gt;0,ROUND(AT22/$M22*AR22,2),0)</f>
        <v>350000</v>
      </c>
      <c r="AT22" s="51">
        <f t="shared" si="150"/>
        <v>7000</v>
      </c>
      <c r="AU22" s="51">
        <f t="shared" ref="AU22:AU85" si="320">IF($J22&lt;&gt;"H",AT22,0)</f>
        <v>7000</v>
      </c>
      <c r="AV22" s="51">
        <f t="shared" si="152"/>
        <v>206500</v>
      </c>
      <c r="AW22" s="51">
        <f t="shared" ref="AW22:AW85" si="321">IF($J22&lt;&gt;"H",AV22,0)</f>
        <v>206500</v>
      </c>
      <c r="AX22" s="51">
        <f t="shared" si="154"/>
        <v>143500</v>
      </c>
      <c r="AY22" s="54">
        <f t="shared" si="155"/>
        <v>0</v>
      </c>
      <c r="AZ22" s="55">
        <f t="shared" si="156"/>
        <v>0</v>
      </c>
      <c r="BA22" s="56">
        <f>IF(AND($E22&lt;&gt;0,$F22&gt;0,YEAR($F22)&gt;=Preisindex!$A$6,YEAR(AV$4)&gt;=YEAR($F22),AND($K22&lt;&gt;"a",$K22&lt;&gt;"b",$K22&lt;&gt;"g",$K22&lt;&gt;"k")),1,IF(AND($E22&lt;&gt;0,$F22&gt;0,YEAR($F22)&gt;=Preisindex!$A$6,YEAR(AV$4)&gt;=YEAR($F22),$K22="a"),ROUND(VLOOKUP(BA$4,Preisindex,5,FALSE)/VLOOKUP(YEAR($F22),Preisindex,5,FALSE),2),IF(AND($E22&lt;&gt;0,$F22&gt;0,YEAR($F22)&gt;=Preisindex!$A$6,YEAR(AV$4)&gt;=YEAR($F22),$K22="b"),ROUND(VLOOKUP(BA$4,Preisindex,3,FALSE)/VLOOKUP(YEAR($F22),Preisindex,3,FALSE),2),IF(AND($E22&lt;&gt;0,$F22&gt;0,YEAR($F22)&gt;=Preisindex!$A$6,YEAR(AV$4)&gt;=YEAR($F22),$K22="g"),ROUND(VLOOKUP(BA$4,Preisindex,4,FALSE)/VLOOKUP(YEAR($F22),Preisindex,4,FALSE),2),IF(AND($E22&lt;&gt;0,$F22&gt;0,YEAR($F22)&gt;=Preisindex!$A$6,YEAR(AV$4)&gt;=YEAR($F22),$K22="k"),ROUND(VLOOKUP(BA$4,Preisindex,2,FALSE)/VLOOKUP(YEAR($F22),Preisindex,2,FALSE),2),0)))))</f>
        <v>1.25</v>
      </c>
      <c r="BB22" s="56">
        <f>IF(AND($E22&lt;&gt;0,$F22&gt;0,YEAR($F22)&lt;Preisindex!$A$6,YEAR(AV$4)&gt;=YEAR($F22),AND($K22&lt;&gt;"a",$K22&lt;&gt;"b",$K22&lt;&gt;"g",$K22&lt;&gt;"k")),1,IF(AND($E22&lt;&gt;0,$F22&gt;0,YEAR($F22)&lt;Preisindex!$A$6,YEAR(AV$4)&gt;=YEAR($F22),$K22="a"),ROUND(VLOOKUP(BA$4,Preisindex,5,FALSE)/VLOOKUP(Preisindex!$A$6,Preisindex,5,FALSE),2),IF(AND($E22&lt;&gt;0,$F22&gt;0,YEAR($F22)&lt;Preisindex!$A$6,YEAR(AV$4)&gt;=YEAR($F22),$K22="b"),ROUND(VLOOKUP(BA$4,Preisindex,3,FALSE)/VLOOKUP(Preisindex!$A$6,Preisindex,3,FALSE),2),IF(AND($E22&lt;&gt;0,$F22&gt;0,YEAR($F22)&lt;Preisindex!$A$6,YEAR(AV$4)&gt;=YEAR($F22),$K22="g"),ROUND(VLOOKUP(BA$4,Preisindex,4,FALSE)/VLOOKUP(Preisindex!$A$6,Preisindex,4,FALSE),2),IF(AND($E22&lt;&gt;0,$F22&gt;0,YEAR($F22)&lt;Preisindex!$A$6,YEAR(AV$4)&gt;=YEAR($F22),$K22="k"),ROUND(VLOOKUP(BA$4,Preisindex,2,FALSE)/VLOOKUP(Preisindex!$A$6,Preisindex,2,FALSE),2),0)))))</f>
        <v>0</v>
      </c>
      <c r="BC22" s="51">
        <f>IF(AND($E22&lt;&gt;0,$F22&gt;0,YEAR($F22)&lt;=BA$4,YEAR($F22)&gt;=Preisindex!$A$6),ROUND($E22*BA22,2),IF(AND($E22&lt;&gt;0,$F22&gt;0,YEAR($F22)&lt;=BA$4,YEAR($F22)&lt;Preisindex!$A$6),ROUND($E22*BB22,2),0))</f>
        <v>437500</v>
      </c>
      <c r="BD22" s="53">
        <f t="shared" si="157"/>
        <v>8750</v>
      </c>
      <c r="BE22" s="51">
        <f t="shared" si="315"/>
        <v>0</v>
      </c>
      <c r="BF22" s="51">
        <f t="shared" ref="BF22:BF85" si="322">IF($J22&lt;&gt;"H",BE22,0)</f>
        <v>0</v>
      </c>
      <c r="BG22" s="51">
        <f t="shared" si="160"/>
        <v>0</v>
      </c>
      <c r="BH22" s="51">
        <f t="shared" ref="BH22:BH85" si="323">IF($J22&lt;&gt;"H",BG22,0)</f>
        <v>0</v>
      </c>
      <c r="BI22" s="51">
        <f t="shared" si="162"/>
        <v>350000</v>
      </c>
      <c r="BJ22" s="51">
        <f t="shared" ref="BJ22:BJ85" si="324">IF(BK22&lt;&gt;0,ROUND(BK22/$M22*BI22,2),0)</f>
        <v>350000</v>
      </c>
      <c r="BK22" s="51">
        <f t="shared" si="164"/>
        <v>7000</v>
      </c>
      <c r="BL22" s="51">
        <f t="shared" ref="BL22:BL85" si="325">IF($J22&lt;&gt;"H",BK22,0)</f>
        <v>7000</v>
      </c>
      <c r="BM22" s="51">
        <f t="shared" si="166"/>
        <v>199500</v>
      </c>
      <c r="BN22" s="51">
        <f t="shared" ref="BN22:BN85" si="326">IF($J22&lt;&gt;"H",BM22,0)</f>
        <v>199500</v>
      </c>
      <c r="BO22" s="51">
        <f t="shared" si="168"/>
        <v>150500</v>
      </c>
      <c r="BP22" s="54">
        <f t="shared" si="169"/>
        <v>0</v>
      </c>
      <c r="BQ22" s="55">
        <f t="shared" si="170"/>
        <v>0</v>
      </c>
      <c r="BR22" s="56">
        <f>IF(AND($E22&lt;&gt;0,$F22&gt;0,YEAR($F22)&gt;=Preisindex!$A$6,YEAR(BM$4)&gt;=YEAR($F22),AND($K22&lt;&gt;"a",$K22&lt;&gt;"b",$K22&lt;&gt;"g",$K22&lt;&gt;"k")),1,IF(AND($E22&lt;&gt;0,$F22&gt;0,YEAR($F22)&gt;=Preisindex!$A$6,YEAR(BM$4)&gt;=YEAR($F22),$K22="a"),ROUND(VLOOKUP(BR$4,Preisindex,5,FALSE)/VLOOKUP(YEAR($F22),Preisindex,5,FALSE),2),IF(AND($E22&lt;&gt;0,$F22&gt;0,YEAR($F22)&gt;=Preisindex!$A$6,YEAR(BM$4)&gt;=YEAR($F22),$K22="b"),ROUND(VLOOKUP(BR$4,Preisindex,3,FALSE)/VLOOKUP(YEAR($F22),Preisindex,3,FALSE),2),IF(AND($E22&lt;&gt;0,$F22&gt;0,YEAR($F22)&gt;=Preisindex!$A$6,YEAR(BM$4)&gt;=YEAR($F22),$K22="g"),ROUND(VLOOKUP(BR$4,Preisindex,4,FALSE)/VLOOKUP(YEAR($F22),Preisindex,4,FALSE),2),IF(AND($E22&lt;&gt;0,$F22&gt;0,YEAR($F22)&gt;=Preisindex!$A$6,YEAR(BM$4)&gt;=YEAR($F22),$K22="k"),ROUND(VLOOKUP(BR$4,Preisindex,2,FALSE)/VLOOKUP(YEAR($F22),Preisindex,2,FALSE),2),0)))))</f>
        <v>1.27</v>
      </c>
      <c r="BS22" s="56">
        <f>IF(AND($E22&lt;&gt;0,$F22&gt;0,YEAR($F22)&lt;Preisindex!$A$6,YEAR(BM$4)&gt;=YEAR($F22),AND($K22&lt;&gt;"a",$K22&lt;&gt;"b",$K22&lt;&gt;"g",$K22&lt;&gt;"k")),1,IF(AND($E22&lt;&gt;0,$F22&gt;0,YEAR($F22)&lt;Preisindex!$A$6,YEAR(BM$4)&gt;=YEAR($F22),$K22="a"),ROUND(VLOOKUP(BR$4,Preisindex,5,FALSE)/VLOOKUP(Preisindex!$A$6,Preisindex,5,FALSE),2),IF(AND($E22&lt;&gt;0,$F22&gt;0,YEAR($F22)&lt;Preisindex!$A$6,YEAR(BM$4)&gt;=YEAR($F22),$K22="b"),ROUND(VLOOKUP(BR$4,Preisindex,3,FALSE)/VLOOKUP(Preisindex!$A$6,Preisindex,3,FALSE),2),IF(AND($E22&lt;&gt;0,$F22&gt;0,YEAR($F22)&lt;Preisindex!$A$6,YEAR(BM$4)&gt;=YEAR($F22),$K22="g"),ROUND(VLOOKUP(BR$4,Preisindex,4,FALSE)/VLOOKUP(Preisindex!$A$6,Preisindex,4,FALSE),2),IF(AND($E22&lt;&gt;0,$F22&gt;0,YEAR($F22)&lt;Preisindex!$A$6,YEAR(BM$4)&gt;=YEAR($F22),$K22="k"),ROUND(VLOOKUP(BR$4,Preisindex,2,FALSE)/VLOOKUP(Preisindex!$A$6,Preisindex,2,FALSE),2),0)))))</f>
        <v>0</v>
      </c>
      <c r="BT22" s="51">
        <f>IF(AND($E22&lt;&gt;0,$F22&gt;0,YEAR($F22)&lt;=BR$4,YEAR($F22)&gt;=Preisindex!$A$6),ROUND($E22*BR22,2),IF(AND($E22&lt;&gt;0,$F22&gt;0,YEAR($F22)&lt;=BR$4,YEAR($F22)&lt;Preisindex!$A$6),ROUND($E22*BS22,2),0))</f>
        <v>444500</v>
      </c>
      <c r="BU22" s="53">
        <f t="shared" si="171"/>
        <v>8890</v>
      </c>
      <c r="BV22" s="51">
        <f t="shared" si="315"/>
        <v>0</v>
      </c>
      <c r="BW22" s="51">
        <f t="shared" ref="BW22:BW85" si="327">IF($J22&lt;&gt;"H",BV22,0)</f>
        <v>0</v>
      </c>
      <c r="BX22" s="51">
        <f t="shared" si="174"/>
        <v>0</v>
      </c>
      <c r="BY22" s="51">
        <f t="shared" ref="BY22:BY85" si="328">IF($J22&lt;&gt;"H",BX22,0)</f>
        <v>0</v>
      </c>
      <c r="BZ22" s="51">
        <f t="shared" si="176"/>
        <v>350000</v>
      </c>
      <c r="CA22" s="51">
        <f t="shared" ref="CA22:CA85" si="329">IF(CB22&lt;&gt;0,ROUND(CB22/$M22*BZ22,2),0)</f>
        <v>350000</v>
      </c>
      <c r="CB22" s="51">
        <f t="shared" si="178"/>
        <v>7000</v>
      </c>
      <c r="CC22" s="51">
        <f t="shared" ref="CC22:CC85" si="330">IF($J22&lt;&gt;"H",CB22,0)</f>
        <v>7000</v>
      </c>
      <c r="CD22" s="51">
        <f t="shared" si="180"/>
        <v>192500</v>
      </c>
      <c r="CE22" s="51">
        <f t="shared" ref="CE22:CE85" si="331">IF($J22&lt;&gt;"H",CD22,0)</f>
        <v>192500</v>
      </c>
      <c r="CF22" s="51">
        <f t="shared" si="182"/>
        <v>157500</v>
      </c>
      <c r="CG22" s="54">
        <f t="shared" si="183"/>
        <v>0</v>
      </c>
      <c r="CH22" s="55">
        <f t="shared" si="184"/>
        <v>0</v>
      </c>
      <c r="CI22" s="56">
        <f>IF(AND($E22&lt;&gt;0,$F22&gt;0,YEAR($F22)&gt;=Preisindex!$A$6,YEAR(CD$4)&gt;=YEAR($F22),AND($K22&lt;&gt;"a",$K22&lt;&gt;"b",$K22&lt;&gt;"g",$K22&lt;&gt;"k")),1,IF(AND($E22&lt;&gt;0,$F22&gt;0,YEAR($F22)&gt;=Preisindex!$A$6,YEAR(CD$4)&gt;=YEAR($F22),$K22="a"),ROUND(VLOOKUP(CI$4,Preisindex,5,FALSE)/VLOOKUP(YEAR($F22),Preisindex,5,FALSE),2),IF(AND($E22&lt;&gt;0,$F22&gt;0,YEAR($F22)&gt;=Preisindex!$A$6,YEAR(CD$4)&gt;=YEAR($F22),$K22="b"),ROUND(VLOOKUP(CI$4,Preisindex,3,FALSE)/VLOOKUP(YEAR($F22),Preisindex,3,FALSE),2),IF(AND($E22&lt;&gt;0,$F22&gt;0,YEAR($F22)&gt;=Preisindex!$A$6,YEAR(CD$4)&gt;=YEAR($F22),$K22="g"),ROUND(VLOOKUP(CI$4,Preisindex,4,FALSE)/VLOOKUP(YEAR($F22),Preisindex,4,FALSE),2),IF(AND($E22&lt;&gt;0,$F22&gt;0,YEAR($F22)&gt;=Preisindex!$A$6,YEAR(CD$4)&gt;=YEAR($F22),$K22="k"),ROUND(VLOOKUP(CI$4,Preisindex,2,FALSE)/VLOOKUP(YEAR($F22),Preisindex,2,FALSE),2),0)))))</f>
        <v>1.29</v>
      </c>
      <c r="CJ22" s="56">
        <f>IF(AND($E22&lt;&gt;0,$F22&gt;0,YEAR($F22)&lt;Preisindex!$A$6,YEAR(CD$4)&gt;=YEAR($F22),AND($K22&lt;&gt;"a",$K22&lt;&gt;"b",$K22&lt;&gt;"g",$K22&lt;&gt;"k")),1,IF(AND($E22&lt;&gt;0,$F22&gt;0,YEAR($F22)&lt;Preisindex!$A$6,YEAR(CD$4)&gt;=YEAR($F22),$K22="a"),ROUND(VLOOKUP(CI$4,Preisindex,5,FALSE)/VLOOKUP(Preisindex!$A$6,Preisindex,5,FALSE),2),IF(AND($E22&lt;&gt;0,$F22&gt;0,YEAR($F22)&lt;Preisindex!$A$6,YEAR(CD$4)&gt;=YEAR($F22),$K22="b"),ROUND(VLOOKUP(CI$4,Preisindex,3,FALSE)/VLOOKUP(Preisindex!$A$6,Preisindex,3,FALSE),2),IF(AND($E22&lt;&gt;0,$F22&gt;0,YEAR($F22)&lt;Preisindex!$A$6,YEAR(CD$4)&gt;=YEAR($F22),$K22="g"),ROUND(VLOOKUP(CI$4,Preisindex,4,FALSE)/VLOOKUP(Preisindex!$A$6,Preisindex,4,FALSE),2),IF(AND($E22&lt;&gt;0,$F22&gt;0,YEAR($F22)&lt;Preisindex!$A$6,YEAR(CD$4)&gt;=YEAR($F22),$K22="k"),ROUND(VLOOKUP(CI$4,Preisindex,2,FALSE)/VLOOKUP(Preisindex!$A$6,Preisindex,2,FALSE),2),0)))))</f>
        <v>0</v>
      </c>
      <c r="CK22" s="51">
        <f>IF(AND($E22&lt;&gt;0,$F22&gt;0,YEAR($F22)&lt;=CI$4,YEAR($F22)&gt;=Preisindex!$A$6),ROUND($E22*CI22,2),IF(AND($E22&lt;&gt;0,$F22&gt;0,YEAR($F22)&lt;=CI$4,YEAR($F22)&lt;Preisindex!$A$6),ROUND($E22*CJ22,2),0))</f>
        <v>451500</v>
      </c>
      <c r="CL22" s="53">
        <f t="shared" si="185"/>
        <v>9030</v>
      </c>
      <c r="CM22" s="51">
        <f t="shared" si="315"/>
        <v>0</v>
      </c>
      <c r="CN22" s="51">
        <f t="shared" ref="CN22:CN85" si="332">IF($J22&lt;&gt;"H",CM22,0)</f>
        <v>0</v>
      </c>
      <c r="CO22" s="51">
        <f t="shared" si="188"/>
        <v>0</v>
      </c>
      <c r="CP22" s="51">
        <f t="shared" ref="CP22:CP85" si="333">IF($J22&lt;&gt;"H",CO22,0)</f>
        <v>0</v>
      </c>
      <c r="CQ22" s="51">
        <f t="shared" si="190"/>
        <v>350000</v>
      </c>
      <c r="CR22" s="51">
        <f t="shared" ref="CR22:CR85" si="334">IF(CS22&lt;&gt;0,ROUND(CS22/$M22*CQ22,2),0)</f>
        <v>350000</v>
      </c>
      <c r="CS22" s="51">
        <f t="shared" si="192"/>
        <v>7000</v>
      </c>
      <c r="CT22" s="51">
        <f t="shared" ref="CT22:CT85" si="335">IF($J22&lt;&gt;"H",CS22,0)</f>
        <v>7000</v>
      </c>
      <c r="CU22" s="51">
        <f t="shared" si="194"/>
        <v>185500</v>
      </c>
      <c r="CV22" s="51">
        <f t="shared" ref="CV22:CV85" si="336">IF($J22&lt;&gt;"H",CU22,0)</f>
        <v>185500</v>
      </c>
      <c r="CW22" s="51">
        <f t="shared" si="196"/>
        <v>164500</v>
      </c>
      <c r="CX22" s="54">
        <f t="shared" si="197"/>
        <v>0</v>
      </c>
      <c r="CY22" s="55">
        <f t="shared" si="198"/>
        <v>0</v>
      </c>
      <c r="CZ22" s="56">
        <f>IF(AND($E22&lt;&gt;0,$F22&gt;0,YEAR($F22)&gt;=Preisindex!$A$6,YEAR(CU$4)&gt;=YEAR($F22),AND($K22&lt;&gt;"a",$K22&lt;&gt;"b",$K22&lt;&gt;"g",$K22&lt;&gt;"k")),1,IF(AND($E22&lt;&gt;0,$F22&gt;0,YEAR($F22)&gt;=Preisindex!$A$6,YEAR(CU$4)&gt;=YEAR($F22),$K22="a"),ROUND(VLOOKUP(CZ$4,Preisindex,5,FALSE)/VLOOKUP(YEAR($F22),Preisindex,5,FALSE),2),IF(AND($E22&lt;&gt;0,$F22&gt;0,YEAR($F22)&gt;=Preisindex!$A$6,YEAR(CU$4)&gt;=YEAR($F22),$K22="b"),ROUND(VLOOKUP(CZ$4,Preisindex,3,FALSE)/VLOOKUP(YEAR($F22),Preisindex,3,FALSE),2),IF(AND($E22&lt;&gt;0,$F22&gt;0,YEAR($F22)&gt;=Preisindex!$A$6,YEAR(CU$4)&gt;=YEAR($F22),$K22="g"),ROUND(VLOOKUP(CZ$4,Preisindex,4,FALSE)/VLOOKUP(YEAR($F22),Preisindex,4,FALSE),2),IF(AND($E22&lt;&gt;0,$F22&gt;0,YEAR($F22)&gt;=Preisindex!$A$6,YEAR(CU$4)&gt;=YEAR($F22),$K22="k"),ROUND(VLOOKUP(CZ$4,Preisindex,2,FALSE)/VLOOKUP(YEAR($F22),Preisindex,2,FALSE),2),0)))))</f>
        <v>1.31</v>
      </c>
      <c r="DA22" s="56">
        <f>IF(AND($E22&lt;&gt;0,$F22&gt;0,YEAR($F22)&lt;Preisindex!$A$6,YEAR(CU$4)&gt;=YEAR($F22),AND($K22&lt;&gt;"a",$K22&lt;&gt;"b",$K22&lt;&gt;"g",$K22&lt;&gt;"k")),1,IF(AND($E22&lt;&gt;0,$F22&gt;0,YEAR($F22)&lt;Preisindex!$A$6,YEAR(CU$4)&gt;=YEAR($F22),$K22="a"),ROUND(VLOOKUP(CZ$4,Preisindex,5,FALSE)/VLOOKUP(Preisindex!$A$6,Preisindex,5,FALSE),2),IF(AND($E22&lt;&gt;0,$F22&gt;0,YEAR($F22)&lt;Preisindex!$A$6,YEAR(CU$4)&gt;=YEAR($F22),$K22="b"),ROUND(VLOOKUP(CZ$4,Preisindex,3,FALSE)/VLOOKUP(Preisindex!$A$6,Preisindex,3,FALSE),2),IF(AND($E22&lt;&gt;0,$F22&gt;0,YEAR($F22)&lt;Preisindex!$A$6,YEAR(CU$4)&gt;=YEAR($F22),$K22="g"),ROUND(VLOOKUP(CZ$4,Preisindex,4,FALSE)/VLOOKUP(Preisindex!$A$6,Preisindex,4,FALSE),2),IF(AND($E22&lt;&gt;0,$F22&gt;0,YEAR($F22)&lt;Preisindex!$A$6,YEAR(CU$4)&gt;=YEAR($F22),$K22="k"),ROUND(VLOOKUP(CZ$4,Preisindex,2,FALSE)/VLOOKUP(Preisindex!$A$6,Preisindex,2,FALSE),2),0)))))</f>
        <v>0</v>
      </c>
      <c r="DB22" s="51">
        <f>IF(AND($E22&lt;&gt;0,$F22&gt;0,YEAR($F22)&lt;=CZ$4,YEAR($F22)&gt;=Preisindex!$A$6),ROUND($E22*CZ22,2),IF(AND($E22&lt;&gt;0,$F22&gt;0,YEAR($F22)&lt;=CZ$4,YEAR($F22)&lt;Preisindex!$A$6),ROUND($E22*DA22,2),0))</f>
        <v>458500</v>
      </c>
      <c r="DC22" s="53">
        <f t="shared" si="199"/>
        <v>9170</v>
      </c>
      <c r="DD22" s="51">
        <f t="shared" si="316"/>
        <v>0</v>
      </c>
      <c r="DE22" s="51">
        <f t="shared" ref="DE22:DE85" si="337">IF($J22&lt;&gt;"H",DD22,0)</f>
        <v>0</v>
      </c>
      <c r="DF22" s="51">
        <f t="shared" si="202"/>
        <v>0</v>
      </c>
      <c r="DG22" s="51">
        <f t="shared" ref="DG22:DG85" si="338">IF($J22&lt;&gt;"H",DF22,0)</f>
        <v>0</v>
      </c>
      <c r="DH22" s="51">
        <f t="shared" si="204"/>
        <v>350000</v>
      </c>
      <c r="DI22" s="51">
        <f t="shared" ref="DI22:DI85" si="339">IF(DJ22&lt;&gt;0,ROUND(DJ22/$M22*DH22,2),0)</f>
        <v>350000</v>
      </c>
      <c r="DJ22" s="51">
        <f t="shared" si="206"/>
        <v>7000</v>
      </c>
      <c r="DK22" s="51">
        <f t="shared" ref="DK22:DK85" si="340">IF($J22&lt;&gt;"H",DJ22,0)</f>
        <v>7000</v>
      </c>
      <c r="DL22" s="51">
        <f t="shared" si="208"/>
        <v>178500</v>
      </c>
      <c r="DM22" s="51">
        <f t="shared" ref="DM22:DM85" si="341">IF($J22&lt;&gt;"H",DL22,0)</f>
        <v>178500</v>
      </c>
      <c r="DN22" s="51">
        <f t="shared" si="210"/>
        <v>171500</v>
      </c>
      <c r="DO22" s="54">
        <f t="shared" si="211"/>
        <v>0</v>
      </c>
      <c r="DP22" s="55">
        <f t="shared" si="212"/>
        <v>0</v>
      </c>
      <c r="DQ22" s="56">
        <f>IF(AND($E22&lt;&gt;0,$F22&gt;0,YEAR($F22)&gt;=Preisindex!$A$6,YEAR(DL$4)&gt;=YEAR($F22),AND($K22&lt;&gt;"a",$K22&lt;&gt;"b",$K22&lt;&gt;"g",$K22&lt;&gt;"k")),1,IF(AND($E22&lt;&gt;0,$F22&gt;0,YEAR($F22)&gt;=Preisindex!$A$6,YEAR(DL$4)&gt;=YEAR($F22),$K22="a"),ROUND(VLOOKUP(DQ$4,Preisindex,5,FALSE)/VLOOKUP(YEAR($F22),Preisindex,5,FALSE),2),IF(AND($E22&lt;&gt;0,$F22&gt;0,YEAR($F22)&gt;=Preisindex!$A$6,YEAR(DL$4)&gt;=YEAR($F22),$K22="b"),ROUND(VLOOKUP(DQ$4,Preisindex,3,FALSE)/VLOOKUP(YEAR($F22),Preisindex,3,FALSE),2),IF(AND($E22&lt;&gt;0,$F22&gt;0,YEAR($F22)&gt;=Preisindex!$A$6,YEAR(DL$4)&gt;=YEAR($F22),$K22="g"),ROUND(VLOOKUP(DQ$4,Preisindex,4,FALSE)/VLOOKUP(YEAR($F22),Preisindex,4,FALSE),2),IF(AND($E22&lt;&gt;0,$F22&gt;0,YEAR($F22)&gt;=Preisindex!$A$6,YEAR(DL$4)&gt;=YEAR($F22),$K22="k"),ROUND(VLOOKUP(DQ$4,Preisindex,2,FALSE)/VLOOKUP(YEAR($F22),Preisindex,2,FALSE),2),0)))))</f>
        <v>1.35</v>
      </c>
      <c r="DR22" s="56">
        <f>IF(AND($E22&lt;&gt;0,$F22&gt;0,YEAR($F22)&lt;Preisindex!$A$6,YEAR(DL$4)&gt;=YEAR($F22),AND($K22&lt;&gt;"a",$K22&lt;&gt;"b",$K22&lt;&gt;"g",$K22&lt;&gt;"k")),1,IF(AND($E22&lt;&gt;0,$F22&gt;0,YEAR($F22)&lt;Preisindex!$A$6,YEAR(DL$4)&gt;=YEAR($F22),$K22="a"),ROUND(VLOOKUP(DQ$4,Preisindex,5,FALSE)/VLOOKUP(Preisindex!$A$6,Preisindex,5,FALSE),2),IF(AND($E22&lt;&gt;0,$F22&gt;0,YEAR($F22)&lt;Preisindex!$A$6,YEAR(DL$4)&gt;=YEAR($F22),$K22="b"),ROUND(VLOOKUP(DQ$4,Preisindex,3,FALSE)/VLOOKUP(Preisindex!$A$6,Preisindex,3,FALSE),2),IF(AND($E22&lt;&gt;0,$F22&gt;0,YEAR($F22)&lt;Preisindex!$A$6,YEAR(DL$4)&gt;=YEAR($F22),$K22="g"),ROUND(VLOOKUP(DQ$4,Preisindex,4,FALSE)/VLOOKUP(Preisindex!$A$6,Preisindex,4,FALSE),2),IF(AND($E22&lt;&gt;0,$F22&gt;0,YEAR($F22)&lt;Preisindex!$A$6,YEAR(DL$4)&gt;=YEAR($F22),$K22="k"),ROUND(VLOOKUP(DQ$4,Preisindex,2,FALSE)/VLOOKUP(Preisindex!$A$6,Preisindex,2,FALSE),2),0)))))</f>
        <v>0</v>
      </c>
      <c r="DS22" s="51">
        <f>IF(AND($E22&lt;&gt;0,$F22&gt;0,YEAR($F22)&lt;=DQ$4,YEAR($F22)&gt;=Preisindex!$A$6),ROUND($E22*DQ22,2),IF(AND($E22&lt;&gt;0,$F22&gt;0,YEAR($F22)&lt;=DQ$4,YEAR($F22)&lt;Preisindex!$A$6),ROUND($E22*DR22,2),0))</f>
        <v>472500</v>
      </c>
      <c r="DT22" s="53">
        <f t="shared" si="213"/>
        <v>9450</v>
      </c>
      <c r="DU22" s="51">
        <f t="shared" si="316"/>
        <v>0</v>
      </c>
      <c r="DV22" s="51">
        <f t="shared" ref="DV22:DV85" si="342">IF($J22&lt;&gt;"H",DU22,0)</f>
        <v>0</v>
      </c>
      <c r="DW22" s="51">
        <f t="shared" si="216"/>
        <v>0</v>
      </c>
      <c r="DX22" s="51">
        <f t="shared" ref="DX22:DX85" si="343">IF($J22&lt;&gt;"H",DW22,0)</f>
        <v>0</v>
      </c>
      <c r="DY22" s="51">
        <f t="shared" si="218"/>
        <v>350000</v>
      </c>
      <c r="DZ22" s="51">
        <f t="shared" ref="DZ22:DZ85" si="344">IF(EA22&lt;&gt;0,ROUND(EA22/$M22*DY22,2),0)</f>
        <v>350000</v>
      </c>
      <c r="EA22" s="51">
        <f t="shared" si="220"/>
        <v>7000</v>
      </c>
      <c r="EB22" s="51">
        <f t="shared" ref="EB22:EB85" si="345">IF($J22&lt;&gt;"H",EA22,0)</f>
        <v>7000</v>
      </c>
      <c r="EC22" s="51">
        <f t="shared" si="222"/>
        <v>171500</v>
      </c>
      <c r="ED22" s="51">
        <f t="shared" ref="ED22:ED85" si="346">IF($J22&lt;&gt;"H",EC22,0)</f>
        <v>171500</v>
      </c>
      <c r="EE22" s="51">
        <f t="shared" si="224"/>
        <v>178500</v>
      </c>
      <c r="EF22" s="54">
        <f t="shared" si="225"/>
        <v>0</v>
      </c>
      <c r="EG22" s="55">
        <f t="shared" si="226"/>
        <v>0</v>
      </c>
      <c r="EH22" s="56">
        <f>IF(AND($E22&lt;&gt;0,$F22&gt;0,YEAR($F22)&gt;=Preisindex!$A$6,YEAR(EC$4)&gt;=YEAR($F22),AND($K22&lt;&gt;"a",$K22&lt;&gt;"b",$K22&lt;&gt;"g",$K22&lt;&gt;"k")),1,IF(AND($E22&lt;&gt;0,$F22&gt;0,YEAR($F22)&gt;=Preisindex!$A$6,YEAR(EC$4)&gt;=YEAR($F22),$K22="a"),ROUND(VLOOKUP(EH$4,Preisindex,5,FALSE)/VLOOKUP(YEAR($F22),Preisindex,5,FALSE),2),IF(AND($E22&lt;&gt;0,$F22&gt;0,YEAR($F22)&gt;=Preisindex!$A$6,YEAR(EC$4)&gt;=YEAR($F22),$K22="b"),ROUND(VLOOKUP(EH$4,Preisindex,3,FALSE)/VLOOKUP(YEAR($F22),Preisindex,3,FALSE),2),IF(AND($E22&lt;&gt;0,$F22&gt;0,YEAR($F22)&gt;=Preisindex!$A$6,YEAR(EC$4)&gt;=YEAR($F22),$K22="g"),ROUND(VLOOKUP(EH$4,Preisindex,4,FALSE)/VLOOKUP(YEAR($F22),Preisindex,4,FALSE),2),IF(AND($E22&lt;&gt;0,$F22&gt;0,YEAR($F22)&gt;=Preisindex!$A$6,YEAR(EC$4)&gt;=YEAR($F22),$K22="k"),ROUND(VLOOKUP(EH$4,Preisindex,2,FALSE)/VLOOKUP(YEAR($F22),Preisindex,2,FALSE),2),0)))))</f>
        <v>1.42</v>
      </c>
      <c r="EI22" s="56">
        <f>IF(AND($E22&lt;&gt;0,$F22&gt;0,YEAR($F22)&lt;Preisindex!$A$6,YEAR(EC$4)&gt;=YEAR($F22),AND($K22&lt;&gt;"a",$K22&lt;&gt;"b",$K22&lt;&gt;"g",$K22&lt;&gt;"k")),1,IF(AND($E22&lt;&gt;0,$F22&gt;0,YEAR($F22)&lt;Preisindex!$A$6,YEAR(EC$4)&gt;=YEAR($F22),$K22="a"),ROUND(VLOOKUP(EH$4,Preisindex,5,FALSE)/VLOOKUP(Preisindex!$A$6,Preisindex,5,FALSE),2),IF(AND($E22&lt;&gt;0,$F22&gt;0,YEAR($F22)&lt;Preisindex!$A$6,YEAR(EC$4)&gt;=YEAR($F22),$K22="b"),ROUND(VLOOKUP(EH$4,Preisindex,3,FALSE)/VLOOKUP(Preisindex!$A$6,Preisindex,3,FALSE),2),IF(AND($E22&lt;&gt;0,$F22&gt;0,YEAR($F22)&lt;Preisindex!$A$6,YEAR(EC$4)&gt;=YEAR($F22),$K22="g"),ROUND(VLOOKUP(EH$4,Preisindex,4,FALSE)/VLOOKUP(Preisindex!$A$6,Preisindex,4,FALSE),2),IF(AND($E22&lt;&gt;0,$F22&gt;0,YEAR($F22)&lt;Preisindex!$A$6,YEAR(EC$4)&gt;=YEAR($F22),$K22="k"),ROUND(VLOOKUP(EH$4,Preisindex,2,FALSE)/VLOOKUP(Preisindex!$A$6,Preisindex,2,FALSE),2),0)))))</f>
        <v>0</v>
      </c>
      <c r="EJ22" s="51">
        <f>IF(AND($E22&lt;&gt;0,$F22&gt;0,YEAR($F22)&lt;=EH$4,YEAR($F22)&gt;=Preisindex!$A$6),ROUND($E22*EH22,2),IF(AND($E22&lt;&gt;0,$F22&gt;0,YEAR($F22)&lt;=EH$4,YEAR($F22)&lt;Preisindex!$A$6),ROUND($E22*EI22,2),0))</f>
        <v>497000</v>
      </c>
      <c r="EK22" s="53">
        <f t="shared" si="227"/>
        <v>9940</v>
      </c>
      <c r="EL22" s="51">
        <f t="shared" si="316"/>
        <v>0</v>
      </c>
      <c r="EM22" s="51">
        <f t="shared" ref="EM22:EM85" si="347">IF($J22&lt;&gt;"H",EL22,0)</f>
        <v>0</v>
      </c>
      <c r="EN22" s="51">
        <f t="shared" si="230"/>
        <v>0</v>
      </c>
      <c r="EO22" s="51">
        <f t="shared" ref="EO22:EO85" si="348">IF($J22&lt;&gt;"H",EN22,0)</f>
        <v>0</v>
      </c>
      <c r="EP22" s="51">
        <f t="shared" si="232"/>
        <v>350000</v>
      </c>
      <c r="EQ22" s="51">
        <f t="shared" ref="EQ22:EQ85" si="349">IF(ER22&lt;&gt;0,ROUND(ER22/$M22*EP22,2),0)</f>
        <v>350000</v>
      </c>
      <c r="ER22" s="51">
        <f t="shared" si="234"/>
        <v>7000</v>
      </c>
      <c r="ES22" s="51">
        <f t="shared" ref="ES22:ES85" si="350">IF($J22&lt;&gt;"H",ER22,0)</f>
        <v>7000</v>
      </c>
      <c r="ET22" s="51">
        <f t="shared" si="236"/>
        <v>164500</v>
      </c>
      <c r="EU22" s="51">
        <f t="shared" ref="EU22:EU85" si="351">IF($J22&lt;&gt;"H",ET22,0)</f>
        <v>164500</v>
      </c>
      <c r="EV22" s="51">
        <f t="shared" si="238"/>
        <v>185500</v>
      </c>
      <c r="EW22" s="54">
        <f t="shared" si="239"/>
        <v>0</v>
      </c>
      <c r="EX22" s="55">
        <f t="shared" si="240"/>
        <v>0</v>
      </c>
      <c r="EY22" s="56">
        <f>IF(AND($E22&lt;&gt;0,$F22&gt;0,YEAR($F22)&gt;=Preisindex!$A$6,YEAR(ET$4)&gt;=YEAR($F22),AND($K22&lt;&gt;"a",$K22&lt;&gt;"b",$K22&lt;&gt;"g",$K22&lt;&gt;"k")),1,IF(AND($E22&lt;&gt;0,$F22&gt;0,YEAR($F22)&gt;=Preisindex!$A$6,YEAR(ET$4)&gt;=YEAR($F22),$K22="a"),ROUND(VLOOKUP(EY$4,Preisindex,5,FALSE)/VLOOKUP(YEAR($F22),Preisindex,5,FALSE),2),IF(AND($E22&lt;&gt;0,$F22&gt;0,YEAR($F22)&gt;=Preisindex!$A$6,YEAR(ET$4)&gt;=YEAR($F22),$K22="b"),ROUND(VLOOKUP(EY$4,Preisindex,3,FALSE)/VLOOKUP(YEAR($F22),Preisindex,3,FALSE),2),IF(AND($E22&lt;&gt;0,$F22&gt;0,YEAR($F22)&gt;=Preisindex!$A$6,YEAR(ET$4)&gt;=YEAR($F22),$K22="g"),ROUND(VLOOKUP(EY$4,Preisindex,4,FALSE)/VLOOKUP(YEAR($F22),Preisindex,4,FALSE),2),IF(AND($E22&lt;&gt;0,$F22&gt;0,YEAR($F22)&gt;=Preisindex!$A$6,YEAR(ET$4)&gt;=YEAR($F22),$K22="k"),ROUND(VLOOKUP(EY$4,Preisindex,2,FALSE)/VLOOKUP(YEAR($F22),Preisindex,2,FALSE),2),0)))))</f>
        <v>1.42</v>
      </c>
      <c r="EZ22" s="56">
        <f>IF(AND($E22&lt;&gt;0,$F22&gt;0,YEAR($F22)&lt;Preisindex!$A$6,YEAR(ET$4)&gt;=YEAR($F22),AND($K22&lt;&gt;"a",$K22&lt;&gt;"b",$K22&lt;&gt;"g",$K22&lt;&gt;"k")),1,IF(AND($E22&lt;&gt;0,$F22&gt;0,YEAR($F22)&lt;Preisindex!$A$6,YEAR(ET$4)&gt;=YEAR($F22),$K22="a"),ROUND(VLOOKUP(EY$4,Preisindex,5,FALSE)/VLOOKUP(Preisindex!$A$6,Preisindex,5,FALSE),2),IF(AND($E22&lt;&gt;0,$F22&gt;0,YEAR($F22)&lt;Preisindex!$A$6,YEAR(ET$4)&gt;=YEAR($F22),$K22="b"),ROUND(VLOOKUP(EY$4,Preisindex,3,FALSE)/VLOOKUP(Preisindex!$A$6,Preisindex,3,FALSE),2),IF(AND($E22&lt;&gt;0,$F22&gt;0,YEAR($F22)&lt;Preisindex!$A$6,YEAR(ET$4)&gt;=YEAR($F22),$K22="g"),ROUND(VLOOKUP(EY$4,Preisindex,4,FALSE)/VLOOKUP(Preisindex!$A$6,Preisindex,4,FALSE),2),IF(AND($E22&lt;&gt;0,$F22&gt;0,YEAR($F22)&lt;Preisindex!$A$6,YEAR(ET$4)&gt;=YEAR($F22),$K22="k"),ROUND(VLOOKUP(EY$4,Preisindex,2,FALSE)/VLOOKUP(Preisindex!$A$6,Preisindex,2,FALSE),2),0)))))</f>
        <v>0</v>
      </c>
      <c r="FA22" s="51">
        <f>IF(AND($E22&lt;&gt;0,$F22&gt;0,YEAR($F22)&lt;=EY$4,YEAR($F22)&gt;=Preisindex!$A$6),ROUND($E22*EY22,2),IF(AND($E22&lt;&gt;0,$F22&gt;0,YEAR($F22)&lt;=EY$4,YEAR($F22)&lt;Preisindex!$A$6),ROUND($E22*EZ22,2),0))</f>
        <v>497000</v>
      </c>
      <c r="FB22" s="53">
        <f t="shared" si="241"/>
        <v>9940</v>
      </c>
      <c r="FC22" s="51">
        <f t="shared" si="316"/>
        <v>0</v>
      </c>
      <c r="FD22" s="51">
        <f t="shared" ref="FD22:FD85" si="352">IF($J22&lt;&gt;"H",FC22,0)</f>
        <v>0</v>
      </c>
      <c r="FE22" s="51">
        <f t="shared" si="244"/>
        <v>0</v>
      </c>
      <c r="FF22" s="51">
        <f t="shared" ref="FF22:FF85" si="353">IF($J22&lt;&gt;"H",FE22,0)</f>
        <v>0</v>
      </c>
      <c r="FG22" s="51">
        <f t="shared" si="246"/>
        <v>350000</v>
      </c>
      <c r="FH22" s="51">
        <f t="shared" ref="FH22:FH85" si="354">IF(FI22&lt;&gt;0,ROUND(FI22/$M22*FG22,2),0)</f>
        <v>350000</v>
      </c>
      <c r="FI22" s="51">
        <f t="shared" si="248"/>
        <v>7000</v>
      </c>
      <c r="FJ22" s="51">
        <f t="shared" ref="FJ22:FJ85" si="355">IF($J22&lt;&gt;"H",FI22,0)</f>
        <v>7000</v>
      </c>
      <c r="FK22" s="51">
        <f t="shared" si="250"/>
        <v>157500</v>
      </c>
      <c r="FL22" s="51">
        <f t="shared" ref="FL22:FL85" si="356">IF($J22&lt;&gt;"H",FK22,0)</f>
        <v>157500</v>
      </c>
      <c r="FM22" s="51">
        <f t="shared" si="252"/>
        <v>192500</v>
      </c>
      <c r="FN22" s="54">
        <f t="shared" si="253"/>
        <v>0</v>
      </c>
      <c r="FO22" s="55">
        <f t="shared" si="254"/>
        <v>0</v>
      </c>
      <c r="FP22" s="56">
        <f>IF(AND($E22&lt;&gt;0,$F22&gt;0,YEAR($F22)&gt;=Preisindex!$A$6,YEAR(FK$4)&gt;=YEAR($F22),AND($K22&lt;&gt;"a",$K22&lt;&gt;"b",$K22&lt;&gt;"g",$K22&lt;&gt;"k")),1,IF(AND($E22&lt;&gt;0,$F22&gt;0,YEAR($F22)&gt;=Preisindex!$A$6,YEAR(FK$4)&gt;=YEAR($F22),$K22="a"),ROUND(VLOOKUP(FP$4,Preisindex,5,FALSE)/VLOOKUP(YEAR($F22),Preisindex,5,FALSE),2),IF(AND($E22&lt;&gt;0,$F22&gt;0,YEAR($F22)&gt;=Preisindex!$A$6,YEAR(FK$4)&gt;=YEAR($F22),$K22="b"),ROUND(VLOOKUP(FP$4,Preisindex,3,FALSE)/VLOOKUP(YEAR($F22),Preisindex,3,FALSE),2),IF(AND($E22&lt;&gt;0,$F22&gt;0,YEAR($F22)&gt;=Preisindex!$A$6,YEAR(FK$4)&gt;=YEAR($F22),$K22="g"),ROUND(VLOOKUP(FP$4,Preisindex,4,FALSE)/VLOOKUP(YEAR($F22),Preisindex,4,FALSE),2),IF(AND($E22&lt;&gt;0,$F22&gt;0,YEAR($F22)&gt;=Preisindex!$A$6,YEAR(FK$4)&gt;=YEAR($F22),$K22="k"),ROUND(VLOOKUP(FP$4,Preisindex,2,FALSE)/VLOOKUP(YEAR($F22),Preisindex,2,FALSE),2),0)))))</f>
        <v>1.42</v>
      </c>
      <c r="FQ22" s="56">
        <f>IF(AND($E22&lt;&gt;0,$F22&gt;0,YEAR($F22)&lt;Preisindex!$A$6,YEAR(FK$4)&gt;=YEAR($F22),AND($K22&lt;&gt;"a",$K22&lt;&gt;"b",$K22&lt;&gt;"g",$K22&lt;&gt;"k")),1,IF(AND($E22&lt;&gt;0,$F22&gt;0,YEAR($F22)&lt;Preisindex!$A$6,YEAR(FK$4)&gt;=YEAR($F22),$K22="a"),ROUND(VLOOKUP(FP$4,Preisindex,5,FALSE)/VLOOKUP(Preisindex!$A$6,Preisindex,5,FALSE),2),IF(AND($E22&lt;&gt;0,$F22&gt;0,YEAR($F22)&lt;Preisindex!$A$6,YEAR(FK$4)&gt;=YEAR($F22),$K22="b"),ROUND(VLOOKUP(FP$4,Preisindex,3,FALSE)/VLOOKUP(Preisindex!$A$6,Preisindex,3,FALSE),2),IF(AND($E22&lt;&gt;0,$F22&gt;0,YEAR($F22)&lt;Preisindex!$A$6,YEAR(FK$4)&gt;=YEAR($F22),$K22="g"),ROUND(VLOOKUP(FP$4,Preisindex,4,FALSE)/VLOOKUP(Preisindex!$A$6,Preisindex,4,FALSE),2),IF(AND($E22&lt;&gt;0,$F22&gt;0,YEAR($F22)&lt;Preisindex!$A$6,YEAR(FK$4)&gt;=YEAR($F22),$K22="k"),ROUND(VLOOKUP(FP$4,Preisindex,2,FALSE)/VLOOKUP(Preisindex!$A$6,Preisindex,2,FALSE),2),0)))))</f>
        <v>0</v>
      </c>
      <c r="FR22" s="51">
        <f>IF(AND($E22&lt;&gt;0,$F22&gt;0,YEAR($F22)&lt;=FP$4,YEAR($F22)&gt;=Preisindex!$A$6),ROUND($E22*FP22,2),IF(AND($E22&lt;&gt;0,$F22&gt;0,YEAR($F22)&lt;=FP$4,YEAR($F22)&lt;Preisindex!$A$6),ROUND($E22*FQ22,2),0))</f>
        <v>497000</v>
      </c>
      <c r="FS22" s="53">
        <f t="shared" si="255"/>
        <v>9940</v>
      </c>
    </row>
    <row r="23" spans="1:175" x14ac:dyDescent="0.3">
      <c r="A23" s="93">
        <v>1998</v>
      </c>
      <c r="B23" s="94" t="s">
        <v>212</v>
      </c>
      <c r="C23" s="94"/>
      <c r="D23" s="95" t="s">
        <v>18</v>
      </c>
      <c r="E23" s="99">
        <v>240000</v>
      </c>
      <c r="F23" s="97">
        <v>35977</v>
      </c>
      <c r="G23" s="100">
        <v>50</v>
      </c>
      <c r="H23" s="622"/>
      <c r="I23" s="621"/>
      <c r="J23" s="194"/>
      <c r="K23" s="630" t="s">
        <v>266</v>
      </c>
      <c r="L23" s="49">
        <f t="shared" si="296"/>
        <v>0.02</v>
      </c>
      <c r="M23" s="50">
        <f t="shared" si="297"/>
        <v>4800</v>
      </c>
      <c r="N23" s="51">
        <f t="shared" si="298"/>
        <v>175200</v>
      </c>
      <c r="O23" s="51"/>
      <c r="P23" s="51">
        <f t="shared" si="299"/>
        <v>64800</v>
      </c>
      <c r="Q23" s="52"/>
      <c r="R23" s="52"/>
      <c r="S23" s="52"/>
      <c r="T23" s="52"/>
      <c r="U23" s="52"/>
      <c r="V23" s="53">
        <f t="shared" si="300"/>
        <v>240000</v>
      </c>
      <c r="W23" s="51">
        <f t="shared" si="301"/>
        <v>0</v>
      </c>
      <c r="X23" s="51">
        <f t="shared" si="302"/>
        <v>0</v>
      </c>
      <c r="Y23" s="51">
        <f t="shared" si="303"/>
        <v>0</v>
      </c>
      <c r="Z23" s="51">
        <f t="shared" si="304"/>
        <v>0</v>
      </c>
      <c r="AA23" s="51">
        <f t="shared" si="305"/>
        <v>240000</v>
      </c>
      <c r="AB23" s="51">
        <f t="shared" si="306"/>
        <v>240000</v>
      </c>
      <c r="AC23" s="51">
        <f t="shared" si="307"/>
        <v>4800</v>
      </c>
      <c r="AD23" s="51">
        <f t="shared" si="308"/>
        <v>4800</v>
      </c>
      <c r="AE23" s="51">
        <f t="shared" si="309"/>
        <v>170400</v>
      </c>
      <c r="AF23" s="51">
        <f t="shared" si="310"/>
        <v>170400</v>
      </c>
      <c r="AG23" s="51">
        <f t="shared" si="311"/>
        <v>69600</v>
      </c>
      <c r="AH23" s="54">
        <f t="shared" si="312"/>
        <v>0</v>
      </c>
      <c r="AI23" s="55">
        <f t="shared" si="313"/>
        <v>0</v>
      </c>
      <c r="AJ23" s="56">
        <f>IF(AND($E23&lt;&gt;0,$F23&gt;0,YEAR($F23)&gt;=Preisindex!$A$6,YEAR(AE$4)&gt;=YEAR($F23),AND($K23&lt;&gt;"a",$K23&lt;&gt;"b",$K23&lt;&gt;"g",$K23&lt;&gt;"k")),1,IF(AND($E23&lt;&gt;0,$F23&gt;0,YEAR($F23)&gt;=Preisindex!$A$6,YEAR(AE$4)&gt;=YEAR($F23),$K23="a"),ROUND(VLOOKUP(AJ$4,Preisindex,5,FALSE)/VLOOKUP(YEAR($F23),Preisindex,5,FALSE),2),IF(AND($E23&lt;&gt;0,$F23&gt;0,YEAR($F23)&gt;=Preisindex!$A$6,YEAR(AE$4)&gt;=YEAR($F23),$K23="b"),ROUND(VLOOKUP(AJ$4,Preisindex,3,FALSE)/VLOOKUP(YEAR($F23),Preisindex,3,FALSE),2),IF(AND($E23&lt;&gt;0,$F23&gt;0,YEAR($F23)&gt;=Preisindex!$A$6,YEAR(AE$4)&gt;=YEAR($F23),$K23="g"),ROUND(VLOOKUP(AJ$4,Preisindex,4,FALSE)/VLOOKUP(YEAR($F23),Preisindex,4,FALSE),2),IF(AND($E23&lt;&gt;0,$F23&gt;0,YEAR($F23)&gt;=Preisindex!$A$6,YEAR(AE$4)&gt;=YEAR($F23),$K23="k"),ROUND(VLOOKUP(AJ$4,Preisindex,2,FALSE)/VLOOKUP(YEAR($F23),Preisindex,2,FALSE),2),0)))))</f>
        <v>1.25</v>
      </c>
      <c r="AK23" s="56">
        <f>IF(AND($E23&lt;&gt;0,$F23&gt;0,YEAR($F23)&lt;Preisindex!$A$6,YEAR(AE$4)&gt;=YEAR($F23),AND($K23&lt;&gt;"a",$K23&lt;&gt;"b",$K23&lt;&gt;"g",$K23&lt;&gt;"k")),1,IF(AND($E23&lt;&gt;0,$F23&gt;0,YEAR($F23)&lt;Preisindex!$A$6,YEAR(AE$4)&gt;=YEAR($F23),$K23="a"),ROUND(VLOOKUP(AJ$4,Preisindex,5,FALSE)/VLOOKUP(Preisindex!$A$6,Preisindex,5,FALSE),2),IF(AND($E23&lt;&gt;0,$F23&gt;0,YEAR($F23)&lt;Preisindex!$A$6,YEAR(AE$4)&gt;=YEAR($F23),$K23="b"),ROUND(VLOOKUP(AJ$4,Preisindex,3,FALSE)/VLOOKUP(Preisindex!$A$6,Preisindex,3,FALSE),2),IF(AND($E23&lt;&gt;0,$F23&gt;0,YEAR($F23)&lt;Preisindex!$A$6,YEAR(AE$4)&gt;=YEAR($F23),$K23="g"),ROUND(VLOOKUP(AJ$4,Preisindex,4,FALSE)/VLOOKUP(Preisindex!$A$6,Preisindex,4,FALSE),2),IF(AND($E23&lt;&gt;0,$F23&gt;0,YEAR($F23)&lt;Preisindex!$A$6,YEAR(AE$4)&gt;=YEAR($F23),$K23="k"),ROUND(VLOOKUP(AJ$4,Preisindex,2,FALSE)/VLOOKUP(Preisindex!$A$6,Preisindex,2,FALSE),2),0)))))</f>
        <v>0</v>
      </c>
      <c r="AL23" s="51">
        <f>IF(AND($E23&lt;&gt;0,$F23&gt;0,YEAR($F23)&lt;=AJ$4,YEAR($F23)&gt;=Preisindex!$A$6),ROUND($E23*AJ23,2),IF(AND($E23&lt;&gt;0,$F23&gt;0,YEAR($F23)&lt;=AJ$4,YEAR($F23)&lt;Preisindex!$A$6),ROUND($E23*AK23,2),0))</f>
        <v>300000</v>
      </c>
      <c r="AM23" s="53">
        <f t="shared" si="314"/>
        <v>6000</v>
      </c>
      <c r="AN23" s="51">
        <f t="shared" si="315"/>
        <v>0</v>
      </c>
      <c r="AO23" s="51">
        <f t="shared" si="317"/>
        <v>0</v>
      </c>
      <c r="AP23" s="51">
        <f t="shared" si="146"/>
        <v>0</v>
      </c>
      <c r="AQ23" s="51">
        <f t="shared" si="318"/>
        <v>0</v>
      </c>
      <c r="AR23" s="51">
        <f t="shared" si="148"/>
        <v>240000</v>
      </c>
      <c r="AS23" s="51">
        <f t="shared" si="319"/>
        <v>240000</v>
      </c>
      <c r="AT23" s="51">
        <f t="shared" si="150"/>
        <v>4800</v>
      </c>
      <c r="AU23" s="51">
        <f t="shared" si="320"/>
        <v>4800</v>
      </c>
      <c r="AV23" s="51">
        <f t="shared" si="152"/>
        <v>165600</v>
      </c>
      <c r="AW23" s="51">
        <f t="shared" si="321"/>
        <v>165600</v>
      </c>
      <c r="AX23" s="51">
        <f t="shared" si="154"/>
        <v>74400</v>
      </c>
      <c r="AY23" s="54">
        <f t="shared" si="155"/>
        <v>0</v>
      </c>
      <c r="AZ23" s="55">
        <f t="shared" si="156"/>
        <v>0</v>
      </c>
      <c r="BA23" s="56">
        <f>IF(AND($E23&lt;&gt;0,$F23&gt;0,YEAR($F23)&gt;=Preisindex!$A$6,YEAR(AV$4)&gt;=YEAR($F23),AND($K23&lt;&gt;"a",$K23&lt;&gt;"b",$K23&lt;&gt;"g",$K23&lt;&gt;"k")),1,IF(AND($E23&lt;&gt;0,$F23&gt;0,YEAR($F23)&gt;=Preisindex!$A$6,YEAR(AV$4)&gt;=YEAR($F23),$K23="a"),ROUND(VLOOKUP(BA$4,Preisindex,5,FALSE)/VLOOKUP(YEAR($F23),Preisindex,5,FALSE),2),IF(AND($E23&lt;&gt;0,$F23&gt;0,YEAR($F23)&gt;=Preisindex!$A$6,YEAR(AV$4)&gt;=YEAR($F23),$K23="b"),ROUND(VLOOKUP(BA$4,Preisindex,3,FALSE)/VLOOKUP(YEAR($F23),Preisindex,3,FALSE),2),IF(AND($E23&lt;&gt;0,$F23&gt;0,YEAR($F23)&gt;=Preisindex!$A$6,YEAR(AV$4)&gt;=YEAR($F23),$K23="g"),ROUND(VLOOKUP(BA$4,Preisindex,4,FALSE)/VLOOKUP(YEAR($F23),Preisindex,4,FALSE),2),IF(AND($E23&lt;&gt;0,$F23&gt;0,YEAR($F23)&gt;=Preisindex!$A$6,YEAR(AV$4)&gt;=YEAR($F23),$K23="k"),ROUND(VLOOKUP(BA$4,Preisindex,2,FALSE)/VLOOKUP(YEAR($F23),Preisindex,2,FALSE),2),0)))))</f>
        <v>1.28</v>
      </c>
      <c r="BB23" s="56">
        <f>IF(AND($E23&lt;&gt;0,$F23&gt;0,YEAR($F23)&lt;Preisindex!$A$6,YEAR(AV$4)&gt;=YEAR($F23),AND($K23&lt;&gt;"a",$K23&lt;&gt;"b",$K23&lt;&gt;"g",$K23&lt;&gt;"k")),1,IF(AND($E23&lt;&gt;0,$F23&gt;0,YEAR($F23)&lt;Preisindex!$A$6,YEAR(AV$4)&gt;=YEAR($F23),$K23="a"),ROUND(VLOOKUP(BA$4,Preisindex,5,FALSE)/VLOOKUP(Preisindex!$A$6,Preisindex,5,FALSE),2),IF(AND($E23&lt;&gt;0,$F23&gt;0,YEAR($F23)&lt;Preisindex!$A$6,YEAR(AV$4)&gt;=YEAR($F23),$K23="b"),ROUND(VLOOKUP(BA$4,Preisindex,3,FALSE)/VLOOKUP(Preisindex!$A$6,Preisindex,3,FALSE),2),IF(AND($E23&lt;&gt;0,$F23&gt;0,YEAR($F23)&lt;Preisindex!$A$6,YEAR(AV$4)&gt;=YEAR($F23),$K23="g"),ROUND(VLOOKUP(BA$4,Preisindex,4,FALSE)/VLOOKUP(Preisindex!$A$6,Preisindex,4,FALSE),2),IF(AND($E23&lt;&gt;0,$F23&gt;0,YEAR($F23)&lt;Preisindex!$A$6,YEAR(AV$4)&gt;=YEAR($F23),$K23="k"),ROUND(VLOOKUP(BA$4,Preisindex,2,FALSE)/VLOOKUP(Preisindex!$A$6,Preisindex,2,FALSE),2),0)))))</f>
        <v>0</v>
      </c>
      <c r="BC23" s="51">
        <f>IF(AND($E23&lt;&gt;0,$F23&gt;0,YEAR($F23)&lt;=BA$4,YEAR($F23)&gt;=Preisindex!$A$6),ROUND($E23*BA23,2),IF(AND($E23&lt;&gt;0,$F23&gt;0,YEAR($F23)&lt;=BA$4,YEAR($F23)&lt;Preisindex!$A$6),ROUND($E23*BB23,2),0))</f>
        <v>307200</v>
      </c>
      <c r="BD23" s="53">
        <f t="shared" si="157"/>
        <v>6144</v>
      </c>
      <c r="BE23" s="51">
        <f t="shared" si="315"/>
        <v>0</v>
      </c>
      <c r="BF23" s="51">
        <f t="shared" si="322"/>
        <v>0</v>
      </c>
      <c r="BG23" s="51">
        <f t="shared" si="160"/>
        <v>0</v>
      </c>
      <c r="BH23" s="51">
        <f t="shared" si="323"/>
        <v>0</v>
      </c>
      <c r="BI23" s="51">
        <f t="shared" si="162"/>
        <v>240000</v>
      </c>
      <c r="BJ23" s="51">
        <f t="shared" si="324"/>
        <v>240000</v>
      </c>
      <c r="BK23" s="51">
        <f t="shared" si="164"/>
        <v>4800</v>
      </c>
      <c r="BL23" s="51">
        <f t="shared" si="325"/>
        <v>4800</v>
      </c>
      <c r="BM23" s="51">
        <f t="shared" si="166"/>
        <v>160800</v>
      </c>
      <c r="BN23" s="51">
        <f t="shared" si="326"/>
        <v>160800</v>
      </c>
      <c r="BO23" s="51">
        <f t="shared" si="168"/>
        <v>79200</v>
      </c>
      <c r="BP23" s="54">
        <f t="shared" si="169"/>
        <v>0</v>
      </c>
      <c r="BQ23" s="55">
        <f t="shared" si="170"/>
        <v>0</v>
      </c>
      <c r="BR23" s="56">
        <f>IF(AND($E23&lt;&gt;0,$F23&gt;0,YEAR($F23)&gt;=Preisindex!$A$6,YEAR(BM$4)&gt;=YEAR($F23),AND($K23&lt;&gt;"a",$K23&lt;&gt;"b",$K23&lt;&gt;"g",$K23&lt;&gt;"k")),1,IF(AND($E23&lt;&gt;0,$F23&gt;0,YEAR($F23)&gt;=Preisindex!$A$6,YEAR(BM$4)&gt;=YEAR($F23),$K23="a"),ROUND(VLOOKUP(BR$4,Preisindex,5,FALSE)/VLOOKUP(YEAR($F23),Preisindex,5,FALSE),2),IF(AND($E23&lt;&gt;0,$F23&gt;0,YEAR($F23)&gt;=Preisindex!$A$6,YEAR(BM$4)&gt;=YEAR($F23),$K23="b"),ROUND(VLOOKUP(BR$4,Preisindex,3,FALSE)/VLOOKUP(YEAR($F23),Preisindex,3,FALSE),2),IF(AND($E23&lt;&gt;0,$F23&gt;0,YEAR($F23)&gt;=Preisindex!$A$6,YEAR(BM$4)&gt;=YEAR($F23),$K23="g"),ROUND(VLOOKUP(BR$4,Preisindex,4,FALSE)/VLOOKUP(YEAR($F23),Preisindex,4,FALSE),2),IF(AND($E23&lt;&gt;0,$F23&gt;0,YEAR($F23)&gt;=Preisindex!$A$6,YEAR(BM$4)&gt;=YEAR($F23),$K23="k"),ROUND(VLOOKUP(BR$4,Preisindex,2,FALSE)/VLOOKUP(YEAR($F23),Preisindex,2,FALSE),2),0)))))</f>
        <v>1.3</v>
      </c>
      <c r="BS23" s="56">
        <f>IF(AND($E23&lt;&gt;0,$F23&gt;0,YEAR($F23)&lt;Preisindex!$A$6,YEAR(BM$4)&gt;=YEAR($F23),AND($K23&lt;&gt;"a",$K23&lt;&gt;"b",$K23&lt;&gt;"g",$K23&lt;&gt;"k")),1,IF(AND($E23&lt;&gt;0,$F23&gt;0,YEAR($F23)&lt;Preisindex!$A$6,YEAR(BM$4)&gt;=YEAR($F23),$K23="a"),ROUND(VLOOKUP(BR$4,Preisindex,5,FALSE)/VLOOKUP(Preisindex!$A$6,Preisindex,5,FALSE),2),IF(AND($E23&lt;&gt;0,$F23&gt;0,YEAR($F23)&lt;Preisindex!$A$6,YEAR(BM$4)&gt;=YEAR($F23),$K23="b"),ROUND(VLOOKUP(BR$4,Preisindex,3,FALSE)/VLOOKUP(Preisindex!$A$6,Preisindex,3,FALSE),2),IF(AND($E23&lt;&gt;0,$F23&gt;0,YEAR($F23)&lt;Preisindex!$A$6,YEAR(BM$4)&gt;=YEAR($F23),$K23="g"),ROUND(VLOOKUP(BR$4,Preisindex,4,FALSE)/VLOOKUP(Preisindex!$A$6,Preisindex,4,FALSE),2),IF(AND($E23&lt;&gt;0,$F23&gt;0,YEAR($F23)&lt;Preisindex!$A$6,YEAR(BM$4)&gt;=YEAR($F23),$K23="k"),ROUND(VLOOKUP(BR$4,Preisindex,2,FALSE)/VLOOKUP(Preisindex!$A$6,Preisindex,2,FALSE),2),0)))))</f>
        <v>0</v>
      </c>
      <c r="BT23" s="51">
        <f>IF(AND($E23&lt;&gt;0,$F23&gt;0,YEAR($F23)&lt;=BR$4,YEAR($F23)&gt;=Preisindex!$A$6),ROUND($E23*BR23,2),IF(AND($E23&lt;&gt;0,$F23&gt;0,YEAR($F23)&lt;=BR$4,YEAR($F23)&lt;Preisindex!$A$6),ROUND($E23*BS23,2),0))</f>
        <v>312000</v>
      </c>
      <c r="BU23" s="53">
        <f t="shared" si="171"/>
        <v>6240</v>
      </c>
      <c r="BV23" s="51">
        <f t="shared" si="315"/>
        <v>0</v>
      </c>
      <c r="BW23" s="51">
        <f t="shared" si="327"/>
        <v>0</v>
      </c>
      <c r="BX23" s="51">
        <f t="shared" si="174"/>
        <v>0</v>
      </c>
      <c r="BY23" s="51">
        <f t="shared" si="328"/>
        <v>0</v>
      </c>
      <c r="BZ23" s="51">
        <f t="shared" si="176"/>
        <v>240000</v>
      </c>
      <c r="CA23" s="51">
        <f t="shared" si="329"/>
        <v>240000</v>
      </c>
      <c r="CB23" s="51">
        <f t="shared" si="178"/>
        <v>4800</v>
      </c>
      <c r="CC23" s="51">
        <f t="shared" si="330"/>
        <v>4800</v>
      </c>
      <c r="CD23" s="51">
        <f t="shared" si="180"/>
        <v>156000</v>
      </c>
      <c r="CE23" s="51">
        <f t="shared" si="331"/>
        <v>156000</v>
      </c>
      <c r="CF23" s="51">
        <f t="shared" si="182"/>
        <v>84000</v>
      </c>
      <c r="CG23" s="54">
        <f t="shared" si="183"/>
        <v>0</v>
      </c>
      <c r="CH23" s="55">
        <f t="shared" si="184"/>
        <v>0</v>
      </c>
      <c r="CI23" s="56">
        <f>IF(AND($E23&lt;&gt;0,$F23&gt;0,YEAR($F23)&gt;=Preisindex!$A$6,YEAR(CD$4)&gt;=YEAR($F23),AND($K23&lt;&gt;"a",$K23&lt;&gt;"b",$K23&lt;&gt;"g",$K23&lt;&gt;"k")),1,IF(AND($E23&lt;&gt;0,$F23&gt;0,YEAR($F23)&gt;=Preisindex!$A$6,YEAR(CD$4)&gt;=YEAR($F23),$K23="a"),ROUND(VLOOKUP(CI$4,Preisindex,5,FALSE)/VLOOKUP(YEAR($F23),Preisindex,5,FALSE),2),IF(AND($E23&lt;&gt;0,$F23&gt;0,YEAR($F23)&gt;=Preisindex!$A$6,YEAR(CD$4)&gt;=YEAR($F23),$K23="b"),ROUND(VLOOKUP(CI$4,Preisindex,3,FALSE)/VLOOKUP(YEAR($F23),Preisindex,3,FALSE),2),IF(AND($E23&lt;&gt;0,$F23&gt;0,YEAR($F23)&gt;=Preisindex!$A$6,YEAR(CD$4)&gt;=YEAR($F23),$K23="g"),ROUND(VLOOKUP(CI$4,Preisindex,4,FALSE)/VLOOKUP(YEAR($F23),Preisindex,4,FALSE),2),IF(AND($E23&lt;&gt;0,$F23&gt;0,YEAR($F23)&gt;=Preisindex!$A$6,YEAR(CD$4)&gt;=YEAR($F23),$K23="k"),ROUND(VLOOKUP(CI$4,Preisindex,2,FALSE)/VLOOKUP(YEAR($F23),Preisindex,2,FALSE),2),0)))))</f>
        <v>1.31</v>
      </c>
      <c r="CJ23" s="56">
        <f>IF(AND($E23&lt;&gt;0,$F23&gt;0,YEAR($F23)&lt;Preisindex!$A$6,YEAR(CD$4)&gt;=YEAR($F23),AND($K23&lt;&gt;"a",$K23&lt;&gt;"b",$K23&lt;&gt;"g",$K23&lt;&gt;"k")),1,IF(AND($E23&lt;&gt;0,$F23&gt;0,YEAR($F23)&lt;Preisindex!$A$6,YEAR(CD$4)&gt;=YEAR($F23),$K23="a"),ROUND(VLOOKUP(CI$4,Preisindex,5,FALSE)/VLOOKUP(Preisindex!$A$6,Preisindex,5,FALSE),2),IF(AND($E23&lt;&gt;0,$F23&gt;0,YEAR($F23)&lt;Preisindex!$A$6,YEAR(CD$4)&gt;=YEAR($F23),$K23="b"),ROUND(VLOOKUP(CI$4,Preisindex,3,FALSE)/VLOOKUP(Preisindex!$A$6,Preisindex,3,FALSE),2),IF(AND($E23&lt;&gt;0,$F23&gt;0,YEAR($F23)&lt;Preisindex!$A$6,YEAR(CD$4)&gt;=YEAR($F23),$K23="g"),ROUND(VLOOKUP(CI$4,Preisindex,4,FALSE)/VLOOKUP(Preisindex!$A$6,Preisindex,4,FALSE),2),IF(AND($E23&lt;&gt;0,$F23&gt;0,YEAR($F23)&lt;Preisindex!$A$6,YEAR(CD$4)&gt;=YEAR($F23),$K23="k"),ROUND(VLOOKUP(CI$4,Preisindex,2,FALSE)/VLOOKUP(Preisindex!$A$6,Preisindex,2,FALSE),2),0)))))</f>
        <v>0</v>
      </c>
      <c r="CK23" s="51">
        <f>IF(AND($E23&lt;&gt;0,$F23&gt;0,YEAR($F23)&lt;=CI$4,YEAR($F23)&gt;=Preisindex!$A$6),ROUND($E23*CI23,2),IF(AND($E23&lt;&gt;0,$F23&gt;0,YEAR($F23)&lt;=CI$4,YEAR($F23)&lt;Preisindex!$A$6),ROUND($E23*CJ23,2),0))</f>
        <v>314400</v>
      </c>
      <c r="CL23" s="53">
        <f t="shared" si="185"/>
        <v>6288</v>
      </c>
      <c r="CM23" s="51">
        <f t="shared" si="315"/>
        <v>0</v>
      </c>
      <c r="CN23" s="51">
        <f t="shared" si="332"/>
        <v>0</v>
      </c>
      <c r="CO23" s="51">
        <f t="shared" si="188"/>
        <v>0</v>
      </c>
      <c r="CP23" s="51">
        <f t="shared" si="333"/>
        <v>0</v>
      </c>
      <c r="CQ23" s="51">
        <f t="shared" si="190"/>
        <v>240000</v>
      </c>
      <c r="CR23" s="51">
        <f t="shared" si="334"/>
        <v>240000</v>
      </c>
      <c r="CS23" s="51">
        <f t="shared" si="192"/>
        <v>4800</v>
      </c>
      <c r="CT23" s="51">
        <f t="shared" si="335"/>
        <v>4800</v>
      </c>
      <c r="CU23" s="51">
        <f t="shared" si="194"/>
        <v>151200</v>
      </c>
      <c r="CV23" s="51">
        <f t="shared" si="336"/>
        <v>151200</v>
      </c>
      <c r="CW23" s="51">
        <f t="shared" si="196"/>
        <v>88800</v>
      </c>
      <c r="CX23" s="54">
        <f t="shared" si="197"/>
        <v>0</v>
      </c>
      <c r="CY23" s="55">
        <f t="shared" si="198"/>
        <v>0</v>
      </c>
      <c r="CZ23" s="56">
        <f>IF(AND($E23&lt;&gt;0,$F23&gt;0,YEAR($F23)&gt;=Preisindex!$A$6,YEAR(CU$4)&gt;=YEAR($F23),AND($K23&lt;&gt;"a",$K23&lt;&gt;"b",$K23&lt;&gt;"g",$K23&lt;&gt;"k")),1,IF(AND($E23&lt;&gt;0,$F23&gt;0,YEAR($F23)&gt;=Preisindex!$A$6,YEAR(CU$4)&gt;=YEAR($F23),$K23="a"),ROUND(VLOOKUP(CZ$4,Preisindex,5,FALSE)/VLOOKUP(YEAR($F23),Preisindex,5,FALSE),2),IF(AND($E23&lt;&gt;0,$F23&gt;0,YEAR($F23)&gt;=Preisindex!$A$6,YEAR(CU$4)&gt;=YEAR($F23),$K23="b"),ROUND(VLOOKUP(CZ$4,Preisindex,3,FALSE)/VLOOKUP(YEAR($F23),Preisindex,3,FALSE),2),IF(AND($E23&lt;&gt;0,$F23&gt;0,YEAR($F23)&gt;=Preisindex!$A$6,YEAR(CU$4)&gt;=YEAR($F23),$K23="g"),ROUND(VLOOKUP(CZ$4,Preisindex,4,FALSE)/VLOOKUP(YEAR($F23),Preisindex,4,FALSE),2),IF(AND($E23&lt;&gt;0,$F23&gt;0,YEAR($F23)&gt;=Preisindex!$A$6,YEAR(CU$4)&gt;=YEAR($F23),$K23="k"),ROUND(VLOOKUP(CZ$4,Preisindex,2,FALSE)/VLOOKUP(YEAR($F23),Preisindex,2,FALSE),2),0)))))</f>
        <v>1.34</v>
      </c>
      <c r="DA23" s="56">
        <f>IF(AND($E23&lt;&gt;0,$F23&gt;0,YEAR($F23)&lt;Preisindex!$A$6,YEAR(CU$4)&gt;=YEAR($F23),AND($K23&lt;&gt;"a",$K23&lt;&gt;"b",$K23&lt;&gt;"g",$K23&lt;&gt;"k")),1,IF(AND($E23&lt;&gt;0,$F23&gt;0,YEAR($F23)&lt;Preisindex!$A$6,YEAR(CU$4)&gt;=YEAR($F23),$K23="a"),ROUND(VLOOKUP(CZ$4,Preisindex,5,FALSE)/VLOOKUP(Preisindex!$A$6,Preisindex,5,FALSE),2),IF(AND($E23&lt;&gt;0,$F23&gt;0,YEAR($F23)&lt;Preisindex!$A$6,YEAR(CU$4)&gt;=YEAR($F23),$K23="b"),ROUND(VLOOKUP(CZ$4,Preisindex,3,FALSE)/VLOOKUP(Preisindex!$A$6,Preisindex,3,FALSE),2),IF(AND($E23&lt;&gt;0,$F23&gt;0,YEAR($F23)&lt;Preisindex!$A$6,YEAR(CU$4)&gt;=YEAR($F23),$K23="g"),ROUND(VLOOKUP(CZ$4,Preisindex,4,FALSE)/VLOOKUP(Preisindex!$A$6,Preisindex,4,FALSE),2),IF(AND($E23&lt;&gt;0,$F23&gt;0,YEAR($F23)&lt;Preisindex!$A$6,YEAR(CU$4)&gt;=YEAR($F23),$K23="k"),ROUND(VLOOKUP(CZ$4,Preisindex,2,FALSE)/VLOOKUP(Preisindex!$A$6,Preisindex,2,FALSE),2),0)))))</f>
        <v>0</v>
      </c>
      <c r="DB23" s="51">
        <f>IF(AND($E23&lt;&gt;0,$F23&gt;0,YEAR($F23)&lt;=CZ$4,YEAR($F23)&gt;=Preisindex!$A$6),ROUND($E23*CZ23,2),IF(AND($E23&lt;&gt;0,$F23&gt;0,YEAR($F23)&lt;=CZ$4,YEAR($F23)&lt;Preisindex!$A$6),ROUND($E23*DA23,2),0))</f>
        <v>321600</v>
      </c>
      <c r="DC23" s="53">
        <f t="shared" si="199"/>
        <v>6432</v>
      </c>
      <c r="DD23" s="51">
        <f t="shared" si="316"/>
        <v>0</v>
      </c>
      <c r="DE23" s="51">
        <f t="shared" si="337"/>
        <v>0</v>
      </c>
      <c r="DF23" s="51">
        <f t="shared" si="202"/>
        <v>0</v>
      </c>
      <c r="DG23" s="51">
        <f t="shared" si="338"/>
        <v>0</v>
      </c>
      <c r="DH23" s="51">
        <f t="shared" si="204"/>
        <v>240000</v>
      </c>
      <c r="DI23" s="51">
        <f t="shared" si="339"/>
        <v>240000</v>
      </c>
      <c r="DJ23" s="51">
        <f t="shared" si="206"/>
        <v>4800</v>
      </c>
      <c r="DK23" s="51">
        <f t="shared" si="340"/>
        <v>4800</v>
      </c>
      <c r="DL23" s="51">
        <f t="shared" si="208"/>
        <v>146400</v>
      </c>
      <c r="DM23" s="51">
        <f t="shared" si="341"/>
        <v>146400</v>
      </c>
      <c r="DN23" s="51">
        <f t="shared" si="210"/>
        <v>93600</v>
      </c>
      <c r="DO23" s="54">
        <f t="shared" si="211"/>
        <v>0</v>
      </c>
      <c r="DP23" s="55">
        <f t="shared" si="212"/>
        <v>0</v>
      </c>
      <c r="DQ23" s="56">
        <f>IF(AND($E23&lt;&gt;0,$F23&gt;0,YEAR($F23)&gt;=Preisindex!$A$6,YEAR(DL$4)&gt;=YEAR($F23),AND($K23&lt;&gt;"a",$K23&lt;&gt;"b",$K23&lt;&gt;"g",$K23&lt;&gt;"k")),1,IF(AND($E23&lt;&gt;0,$F23&gt;0,YEAR($F23)&gt;=Preisindex!$A$6,YEAR(DL$4)&gt;=YEAR($F23),$K23="a"),ROUND(VLOOKUP(DQ$4,Preisindex,5,FALSE)/VLOOKUP(YEAR($F23),Preisindex,5,FALSE),2),IF(AND($E23&lt;&gt;0,$F23&gt;0,YEAR($F23)&gt;=Preisindex!$A$6,YEAR(DL$4)&gt;=YEAR($F23),$K23="b"),ROUND(VLOOKUP(DQ$4,Preisindex,3,FALSE)/VLOOKUP(YEAR($F23),Preisindex,3,FALSE),2),IF(AND($E23&lt;&gt;0,$F23&gt;0,YEAR($F23)&gt;=Preisindex!$A$6,YEAR(DL$4)&gt;=YEAR($F23),$K23="g"),ROUND(VLOOKUP(DQ$4,Preisindex,4,FALSE)/VLOOKUP(YEAR($F23),Preisindex,4,FALSE),2),IF(AND($E23&lt;&gt;0,$F23&gt;0,YEAR($F23)&gt;=Preisindex!$A$6,YEAR(DL$4)&gt;=YEAR($F23),$K23="k"),ROUND(VLOOKUP(DQ$4,Preisindex,2,FALSE)/VLOOKUP(YEAR($F23),Preisindex,2,FALSE),2),0)))))</f>
        <v>1.38</v>
      </c>
      <c r="DR23" s="56">
        <f>IF(AND($E23&lt;&gt;0,$F23&gt;0,YEAR($F23)&lt;Preisindex!$A$6,YEAR(DL$4)&gt;=YEAR($F23),AND($K23&lt;&gt;"a",$K23&lt;&gt;"b",$K23&lt;&gt;"g",$K23&lt;&gt;"k")),1,IF(AND($E23&lt;&gt;0,$F23&gt;0,YEAR($F23)&lt;Preisindex!$A$6,YEAR(DL$4)&gt;=YEAR($F23),$K23="a"),ROUND(VLOOKUP(DQ$4,Preisindex,5,FALSE)/VLOOKUP(Preisindex!$A$6,Preisindex,5,FALSE),2),IF(AND($E23&lt;&gt;0,$F23&gt;0,YEAR($F23)&lt;Preisindex!$A$6,YEAR(DL$4)&gt;=YEAR($F23),$K23="b"),ROUND(VLOOKUP(DQ$4,Preisindex,3,FALSE)/VLOOKUP(Preisindex!$A$6,Preisindex,3,FALSE),2),IF(AND($E23&lt;&gt;0,$F23&gt;0,YEAR($F23)&lt;Preisindex!$A$6,YEAR(DL$4)&gt;=YEAR($F23),$K23="g"),ROUND(VLOOKUP(DQ$4,Preisindex,4,FALSE)/VLOOKUP(Preisindex!$A$6,Preisindex,4,FALSE),2),IF(AND($E23&lt;&gt;0,$F23&gt;0,YEAR($F23)&lt;Preisindex!$A$6,YEAR(DL$4)&gt;=YEAR($F23),$K23="k"),ROUND(VLOOKUP(DQ$4,Preisindex,2,FALSE)/VLOOKUP(Preisindex!$A$6,Preisindex,2,FALSE),2),0)))))</f>
        <v>0</v>
      </c>
      <c r="DS23" s="51">
        <f>IF(AND($E23&lt;&gt;0,$F23&gt;0,YEAR($F23)&lt;=DQ$4,YEAR($F23)&gt;=Preisindex!$A$6),ROUND($E23*DQ23,2),IF(AND($E23&lt;&gt;0,$F23&gt;0,YEAR($F23)&lt;=DQ$4,YEAR($F23)&lt;Preisindex!$A$6),ROUND($E23*DR23,2),0))</f>
        <v>331200</v>
      </c>
      <c r="DT23" s="53">
        <f t="shared" si="213"/>
        <v>6624</v>
      </c>
      <c r="DU23" s="51">
        <f t="shared" si="316"/>
        <v>0</v>
      </c>
      <c r="DV23" s="51">
        <f t="shared" si="342"/>
        <v>0</v>
      </c>
      <c r="DW23" s="51">
        <f t="shared" si="216"/>
        <v>0</v>
      </c>
      <c r="DX23" s="51">
        <f t="shared" si="343"/>
        <v>0</v>
      </c>
      <c r="DY23" s="51">
        <f t="shared" si="218"/>
        <v>240000</v>
      </c>
      <c r="DZ23" s="51">
        <f t="shared" si="344"/>
        <v>240000</v>
      </c>
      <c r="EA23" s="51">
        <f t="shared" si="220"/>
        <v>4800</v>
      </c>
      <c r="EB23" s="51">
        <f t="shared" si="345"/>
        <v>4800</v>
      </c>
      <c r="EC23" s="51">
        <f t="shared" si="222"/>
        <v>141600</v>
      </c>
      <c r="ED23" s="51">
        <f t="shared" si="346"/>
        <v>141600</v>
      </c>
      <c r="EE23" s="51">
        <f t="shared" si="224"/>
        <v>98400</v>
      </c>
      <c r="EF23" s="54">
        <f t="shared" si="225"/>
        <v>0</v>
      </c>
      <c r="EG23" s="55">
        <f t="shared" si="226"/>
        <v>0</v>
      </c>
      <c r="EH23" s="56">
        <f>IF(AND($E23&lt;&gt;0,$F23&gt;0,YEAR($F23)&gt;=Preisindex!$A$6,YEAR(EC$4)&gt;=YEAR($F23),AND($K23&lt;&gt;"a",$K23&lt;&gt;"b",$K23&lt;&gt;"g",$K23&lt;&gt;"k")),1,IF(AND($E23&lt;&gt;0,$F23&gt;0,YEAR($F23)&gt;=Preisindex!$A$6,YEAR(EC$4)&gt;=YEAR($F23),$K23="a"),ROUND(VLOOKUP(EH$4,Preisindex,5,FALSE)/VLOOKUP(YEAR($F23),Preisindex,5,FALSE),2),IF(AND($E23&lt;&gt;0,$F23&gt;0,YEAR($F23)&gt;=Preisindex!$A$6,YEAR(EC$4)&gt;=YEAR($F23),$K23="b"),ROUND(VLOOKUP(EH$4,Preisindex,3,FALSE)/VLOOKUP(YEAR($F23),Preisindex,3,FALSE),2),IF(AND($E23&lt;&gt;0,$F23&gt;0,YEAR($F23)&gt;=Preisindex!$A$6,YEAR(EC$4)&gt;=YEAR($F23),$K23="g"),ROUND(VLOOKUP(EH$4,Preisindex,4,FALSE)/VLOOKUP(YEAR($F23),Preisindex,4,FALSE),2),IF(AND($E23&lt;&gt;0,$F23&gt;0,YEAR($F23)&gt;=Preisindex!$A$6,YEAR(EC$4)&gt;=YEAR($F23),$K23="k"),ROUND(VLOOKUP(EH$4,Preisindex,2,FALSE)/VLOOKUP(YEAR($F23),Preisindex,2,FALSE),2),0)))))</f>
        <v>1.45</v>
      </c>
      <c r="EI23" s="56">
        <f>IF(AND($E23&lt;&gt;0,$F23&gt;0,YEAR($F23)&lt;Preisindex!$A$6,YEAR(EC$4)&gt;=YEAR($F23),AND($K23&lt;&gt;"a",$K23&lt;&gt;"b",$K23&lt;&gt;"g",$K23&lt;&gt;"k")),1,IF(AND($E23&lt;&gt;0,$F23&gt;0,YEAR($F23)&lt;Preisindex!$A$6,YEAR(EC$4)&gt;=YEAR($F23),$K23="a"),ROUND(VLOOKUP(EH$4,Preisindex,5,FALSE)/VLOOKUP(Preisindex!$A$6,Preisindex,5,FALSE),2),IF(AND($E23&lt;&gt;0,$F23&gt;0,YEAR($F23)&lt;Preisindex!$A$6,YEAR(EC$4)&gt;=YEAR($F23),$K23="b"),ROUND(VLOOKUP(EH$4,Preisindex,3,FALSE)/VLOOKUP(Preisindex!$A$6,Preisindex,3,FALSE),2),IF(AND($E23&lt;&gt;0,$F23&gt;0,YEAR($F23)&lt;Preisindex!$A$6,YEAR(EC$4)&gt;=YEAR($F23),$K23="g"),ROUND(VLOOKUP(EH$4,Preisindex,4,FALSE)/VLOOKUP(Preisindex!$A$6,Preisindex,4,FALSE),2),IF(AND($E23&lt;&gt;0,$F23&gt;0,YEAR($F23)&lt;Preisindex!$A$6,YEAR(EC$4)&gt;=YEAR($F23),$K23="k"),ROUND(VLOOKUP(EH$4,Preisindex,2,FALSE)/VLOOKUP(Preisindex!$A$6,Preisindex,2,FALSE),2),0)))))</f>
        <v>0</v>
      </c>
      <c r="EJ23" s="51">
        <f>IF(AND($E23&lt;&gt;0,$F23&gt;0,YEAR($F23)&lt;=EH$4,YEAR($F23)&gt;=Preisindex!$A$6),ROUND($E23*EH23,2),IF(AND($E23&lt;&gt;0,$F23&gt;0,YEAR($F23)&lt;=EH$4,YEAR($F23)&lt;Preisindex!$A$6),ROUND($E23*EI23,2),0))</f>
        <v>348000</v>
      </c>
      <c r="EK23" s="53">
        <f t="shared" si="227"/>
        <v>6960</v>
      </c>
      <c r="EL23" s="51">
        <f t="shared" si="316"/>
        <v>0</v>
      </c>
      <c r="EM23" s="51">
        <f t="shared" si="347"/>
        <v>0</v>
      </c>
      <c r="EN23" s="51">
        <f t="shared" si="230"/>
        <v>0</v>
      </c>
      <c r="EO23" s="51">
        <f t="shared" si="348"/>
        <v>0</v>
      </c>
      <c r="EP23" s="51">
        <f t="shared" si="232"/>
        <v>240000</v>
      </c>
      <c r="EQ23" s="51">
        <f t="shared" si="349"/>
        <v>240000</v>
      </c>
      <c r="ER23" s="51">
        <f t="shared" si="234"/>
        <v>4800</v>
      </c>
      <c r="ES23" s="51">
        <f t="shared" si="350"/>
        <v>4800</v>
      </c>
      <c r="ET23" s="51">
        <f t="shared" si="236"/>
        <v>136800</v>
      </c>
      <c r="EU23" s="51">
        <f t="shared" si="351"/>
        <v>136800</v>
      </c>
      <c r="EV23" s="51">
        <f t="shared" si="238"/>
        <v>103200</v>
      </c>
      <c r="EW23" s="54">
        <f t="shared" si="239"/>
        <v>0</v>
      </c>
      <c r="EX23" s="55">
        <f t="shared" si="240"/>
        <v>0</v>
      </c>
      <c r="EY23" s="56">
        <f>IF(AND($E23&lt;&gt;0,$F23&gt;0,YEAR($F23)&gt;=Preisindex!$A$6,YEAR(ET$4)&gt;=YEAR($F23),AND($K23&lt;&gt;"a",$K23&lt;&gt;"b",$K23&lt;&gt;"g",$K23&lt;&gt;"k")),1,IF(AND($E23&lt;&gt;0,$F23&gt;0,YEAR($F23)&gt;=Preisindex!$A$6,YEAR(ET$4)&gt;=YEAR($F23),$K23="a"),ROUND(VLOOKUP(EY$4,Preisindex,5,FALSE)/VLOOKUP(YEAR($F23),Preisindex,5,FALSE),2),IF(AND($E23&lt;&gt;0,$F23&gt;0,YEAR($F23)&gt;=Preisindex!$A$6,YEAR(ET$4)&gt;=YEAR($F23),$K23="b"),ROUND(VLOOKUP(EY$4,Preisindex,3,FALSE)/VLOOKUP(YEAR($F23),Preisindex,3,FALSE),2),IF(AND($E23&lt;&gt;0,$F23&gt;0,YEAR($F23)&gt;=Preisindex!$A$6,YEAR(ET$4)&gt;=YEAR($F23),$K23="g"),ROUND(VLOOKUP(EY$4,Preisindex,4,FALSE)/VLOOKUP(YEAR($F23),Preisindex,4,FALSE),2),IF(AND($E23&lt;&gt;0,$F23&gt;0,YEAR($F23)&gt;=Preisindex!$A$6,YEAR(ET$4)&gt;=YEAR($F23),$K23="k"),ROUND(VLOOKUP(EY$4,Preisindex,2,FALSE)/VLOOKUP(YEAR($F23),Preisindex,2,FALSE),2),0)))))</f>
        <v>1.45</v>
      </c>
      <c r="EZ23" s="56">
        <f>IF(AND($E23&lt;&gt;0,$F23&gt;0,YEAR($F23)&lt;Preisindex!$A$6,YEAR(ET$4)&gt;=YEAR($F23),AND($K23&lt;&gt;"a",$K23&lt;&gt;"b",$K23&lt;&gt;"g",$K23&lt;&gt;"k")),1,IF(AND($E23&lt;&gt;0,$F23&gt;0,YEAR($F23)&lt;Preisindex!$A$6,YEAR(ET$4)&gt;=YEAR($F23),$K23="a"),ROUND(VLOOKUP(EY$4,Preisindex,5,FALSE)/VLOOKUP(Preisindex!$A$6,Preisindex,5,FALSE),2),IF(AND($E23&lt;&gt;0,$F23&gt;0,YEAR($F23)&lt;Preisindex!$A$6,YEAR(ET$4)&gt;=YEAR($F23),$K23="b"),ROUND(VLOOKUP(EY$4,Preisindex,3,FALSE)/VLOOKUP(Preisindex!$A$6,Preisindex,3,FALSE),2),IF(AND($E23&lt;&gt;0,$F23&gt;0,YEAR($F23)&lt;Preisindex!$A$6,YEAR(ET$4)&gt;=YEAR($F23),$K23="g"),ROUND(VLOOKUP(EY$4,Preisindex,4,FALSE)/VLOOKUP(Preisindex!$A$6,Preisindex,4,FALSE),2),IF(AND($E23&lt;&gt;0,$F23&gt;0,YEAR($F23)&lt;Preisindex!$A$6,YEAR(ET$4)&gt;=YEAR($F23),$K23="k"),ROUND(VLOOKUP(EY$4,Preisindex,2,FALSE)/VLOOKUP(Preisindex!$A$6,Preisindex,2,FALSE),2),0)))))</f>
        <v>0</v>
      </c>
      <c r="FA23" s="51">
        <f>IF(AND($E23&lt;&gt;0,$F23&gt;0,YEAR($F23)&lt;=EY$4,YEAR($F23)&gt;=Preisindex!$A$6),ROUND($E23*EY23,2),IF(AND($E23&lt;&gt;0,$F23&gt;0,YEAR($F23)&lt;=EY$4,YEAR($F23)&lt;Preisindex!$A$6),ROUND($E23*EZ23,2),0))</f>
        <v>348000</v>
      </c>
      <c r="FB23" s="53">
        <f t="shared" si="241"/>
        <v>6960</v>
      </c>
      <c r="FC23" s="51">
        <f t="shared" si="316"/>
        <v>0</v>
      </c>
      <c r="FD23" s="51">
        <f t="shared" si="352"/>
        <v>0</v>
      </c>
      <c r="FE23" s="51">
        <f t="shared" si="244"/>
        <v>0</v>
      </c>
      <c r="FF23" s="51">
        <f t="shared" si="353"/>
        <v>0</v>
      </c>
      <c r="FG23" s="51">
        <f t="shared" si="246"/>
        <v>240000</v>
      </c>
      <c r="FH23" s="51">
        <f t="shared" si="354"/>
        <v>240000</v>
      </c>
      <c r="FI23" s="51">
        <f t="shared" si="248"/>
        <v>4800</v>
      </c>
      <c r="FJ23" s="51">
        <f t="shared" si="355"/>
        <v>4800</v>
      </c>
      <c r="FK23" s="51">
        <f t="shared" si="250"/>
        <v>132000</v>
      </c>
      <c r="FL23" s="51">
        <f t="shared" si="356"/>
        <v>132000</v>
      </c>
      <c r="FM23" s="51">
        <f t="shared" si="252"/>
        <v>108000</v>
      </c>
      <c r="FN23" s="54">
        <f t="shared" si="253"/>
        <v>0</v>
      </c>
      <c r="FO23" s="55">
        <f t="shared" si="254"/>
        <v>0</v>
      </c>
      <c r="FP23" s="56">
        <f>IF(AND($E23&lt;&gt;0,$F23&gt;0,YEAR($F23)&gt;=Preisindex!$A$6,YEAR(FK$4)&gt;=YEAR($F23),AND($K23&lt;&gt;"a",$K23&lt;&gt;"b",$K23&lt;&gt;"g",$K23&lt;&gt;"k")),1,IF(AND($E23&lt;&gt;0,$F23&gt;0,YEAR($F23)&gt;=Preisindex!$A$6,YEAR(FK$4)&gt;=YEAR($F23),$K23="a"),ROUND(VLOOKUP(FP$4,Preisindex,5,FALSE)/VLOOKUP(YEAR($F23),Preisindex,5,FALSE),2),IF(AND($E23&lt;&gt;0,$F23&gt;0,YEAR($F23)&gt;=Preisindex!$A$6,YEAR(FK$4)&gt;=YEAR($F23),$K23="b"),ROUND(VLOOKUP(FP$4,Preisindex,3,FALSE)/VLOOKUP(YEAR($F23),Preisindex,3,FALSE),2),IF(AND($E23&lt;&gt;0,$F23&gt;0,YEAR($F23)&gt;=Preisindex!$A$6,YEAR(FK$4)&gt;=YEAR($F23),$K23="g"),ROUND(VLOOKUP(FP$4,Preisindex,4,FALSE)/VLOOKUP(YEAR($F23),Preisindex,4,FALSE),2),IF(AND($E23&lt;&gt;0,$F23&gt;0,YEAR($F23)&gt;=Preisindex!$A$6,YEAR(FK$4)&gt;=YEAR($F23),$K23="k"),ROUND(VLOOKUP(FP$4,Preisindex,2,FALSE)/VLOOKUP(YEAR($F23),Preisindex,2,FALSE),2),0)))))</f>
        <v>1.45</v>
      </c>
      <c r="FQ23" s="56">
        <f>IF(AND($E23&lt;&gt;0,$F23&gt;0,YEAR($F23)&lt;Preisindex!$A$6,YEAR(FK$4)&gt;=YEAR($F23),AND($K23&lt;&gt;"a",$K23&lt;&gt;"b",$K23&lt;&gt;"g",$K23&lt;&gt;"k")),1,IF(AND($E23&lt;&gt;0,$F23&gt;0,YEAR($F23)&lt;Preisindex!$A$6,YEAR(FK$4)&gt;=YEAR($F23),$K23="a"),ROUND(VLOOKUP(FP$4,Preisindex,5,FALSE)/VLOOKUP(Preisindex!$A$6,Preisindex,5,FALSE),2),IF(AND($E23&lt;&gt;0,$F23&gt;0,YEAR($F23)&lt;Preisindex!$A$6,YEAR(FK$4)&gt;=YEAR($F23),$K23="b"),ROUND(VLOOKUP(FP$4,Preisindex,3,FALSE)/VLOOKUP(Preisindex!$A$6,Preisindex,3,FALSE),2),IF(AND($E23&lt;&gt;0,$F23&gt;0,YEAR($F23)&lt;Preisindex!$A$6,YEAR(FK$4)&gt;=YEAR($F23),$K23="g"),ROUND(VLOOKUP(FP$4,Preisindex,4,FALSE)/VLOOKUP(Preisindex!$A$6,Preisindex,4,FALSE),2),IF(AND($E23&lt;&gt;0,$F23&gt;0,YEAR($F23)&lt;Preisindex!$A$6,YEAR(FK$4)&gt;=YEAR($F23),$K23="k"),ROUND(VLOOKUP(FP$4,Preisindex,2,FALSE)/VLOOKUP(Preisindex!$A$6,Preisindex,2,FALSE),2),0)))))</f>
        <v>0</v>
      </c>
      <c r="FR23" s="51">
        <f>IF(AND($E23&lt;&gt;0,$F23&gt;0,YEAR($F23)&lt;=FP$4,YEAR($F23)&gt;=Preisindex!$A$6),ROUND($E23*FP23,2),IF(AND($E23&lt;&gt;0,$F23&gt;0,YEAR($F23)&lt;=FP$4,YEAR($F23)&lt;Preisindex!$A$6),ROUND($E23*FQ23,2),0))</f>
        <v>348000</v>
      </c>
      <c r="FS23" s="53">
        <f t="shared" si="255"/>
        <v>6960</v>
      </c>
    </row>
    <row r="24" spans="1:175" x14ac:dyDescent="0.3">
      <c r="A24" s="93">
        <v>2000</v>
      </c>
      <c r="B24" s="94" t="s">
        <v>213</v>
      </c>
      <c r="C24" s="94"/>
      <c r="D24" s="95" t="s">
        <v>18</v>
      </c>
      <c r="E24" s="99">
        <v>520000</v>
      </c>
      <c r="F24" s="97">
        <v>36708</v>
      </c>
      <c r="G24" s="100">
        <v>50</v>
      </c>
      <c r="H24" s="622"/>
      <c r="I24" s="621"/>
      <c r="J24" s="194"/>
      <c r="K24" s="630" t="s">
        <v>266</v>
      </c>
      <c r="L24" s="49">
        <f t="shared" si="296"/>
        <v>0.02</v>
      </c>
      <c r="M24" s="50">
        <f t="shared" si="297"/>
        <v>10400</v>
      </c>
      <c r="N24" s="51">
        <f t="shared" si="298"/>
        <v>400400</v>
      </c>
      <c r="O24" s="51"/>
      <c r="P24" s="51">
        <f t="shared" si="299"/>
        <v>119600</v>
      </c>
      <c r="Q24" s="52"/>
      <c r="R24" s="52"/>
      <c r="S24" s="52"/>
      <c r="T24" s="52"/>
      <c r="U24" s="52"/>
      <c r="V24" s="53">
        <f t="shared" si="300"/>
        <v>520000</v>
      </c>
      <c r="W24" s="51">
        <f t="shared" si="301"/>
        <v>0</v>
      </c>
      <c r="X24" s="51">
        <f t="shared" si="302"/>
        <v>0</v>
      </c>
      <c r="Y24" s="51">
        <f t="shared" si="303"/>
        <v>0</v>
      </c>
      <c r="Z24" s="51">
        <f t="shared" si="304"/>
        <v>0</v>
      </c>
      <c r="AA24" s="51">
        <f t="shared" si="305"/>
        <v>520000</v>
      </c>
      <c r="AB24" s="51">
        <f t="shared" si="306"/>
        <v>520000</v>
      </c>
      <c r="AC24" s="51">
        <f t="shared" si="307"/>
        <v>10400</v>
      </c>
      <c r="AD24" s="51">
        <f t="shared" si="308"/>
        <v>10400</v>
      </c>
      <c r="AE24" s="51">
        <f t="shared" si="309"/>
        <v>390000</v>
      </c>
      <c r="AF24" s="51">
        <f t="shared" si="310"/>
        <v>390000</v>
      </c>
      <c r="AG24" s="51">
        <f t="shared" si="311"/>
        <v>130000</v>
      </c>
      <c r="AH24" s="54">
        <f t="shared" si="312"/>
        <v>0</v>
      </c>
      <c r="AI24" s="55">
        <f t="shared" si="313"/>
        <v>0</v>
      </c>
      <c r="AJ24" s="56">
        <f>IF(AND($E24&lt;&gt;0,$F24&gt;0,YEAR($F24)&gt;=Preisindex!$A$6,YEAR(AE$4)&gt;=YEAR($F24),AND($K24&lt;&gt;"a",$K24&lt;&gt;"b",$K24&lt;&gt;"g",$K24&lt;&gt;"k")),1,IF(AND($E24&lt;&gt;0,$F24&gt;0,YEAR($F24)&gt;=Preisindex!$A$6,YEAR(AE$4)&gt;=YEAR($F24),$K24="a"),ROUND(VLOOKUP(AJ$4,Preisindex,5,FALSE)/VLOOKUP(YEAR($F24),Preisindex,5,FALSE),2),IF(AND($E24&lt;&gt;0,$F24&gt;0,YEAR($F24)&gt;=Preisindex!$A$6,YEAR(AE$4)&gt;=YEAR($F24),$K24="b"),ROUND(VLOOKUP(AJ$4,Preisindex,3,FALSE)/VLOOKUP(YEAR($F24),Preisindex,3,FALSE),2),IF(AND($E24&lt;&gt;0,$F24&gt;0,YEAR($F24)&gt;=Preisindex!$A$6,YEAR(AE$4)&gt;=YEAR($F24),$K24="g"),ROUND(VLOOKUP(AJ$4,Preisindex,4,FALSE)/VLOOKUP(YEAR($F24),Preisindex,4,FALSE),2),IF(AND($E24&lt;&gt;0,$F24&gt;0,YEAR($F24)&gt;=Preisindex!$A$6,YEAR(AE$4)&gt;=YEAR($F24),$K24="k"),ROUND(VLOOKUP(AJ$4,Preisindex,2,FALSE)/VLOOKUP(YEAR($F24),Preisindex,2,FALSE),2),0)))))</f>
        <v>1.23</v>
      </c>
      <c r="AK24" s="56">
        <f>IF(AND($E24&lt;&gt;0,$F24&gt;0,YEAR($F24)&lt;Preisindex!$A$6,YEAR(AE$4)&gt;=YEAR($F24),AND($K24&lt;&gt;"a",$K24&lt;&gt;"b",$K24&lt;&gt;"g",$K24&lt;&gt;"k")),1,IF(AND($E24&lt;&gt;0,$F24&gt;0,YEAR($F24)&lt;Preisindex!$A$6,YEAR(AE$4)&gt;=YEAR($F24),$K24="a"),ROUND(VLOOKUP(AJ$4,Preisindex,5,FALSE)/VLOOKUP(Preisindex!$A$6,Preisindex,5,FALSE),2),IF(AND($E24&lt;&gt;0,$F24&gt;0,YEAR($F24)&lt;Preisindex!$A$6,YEAR(AE$4)&gt;=YEAR($F24),$K24="b"),ROUND(VLOOKUP(AJ$4,Preisindex,3,FALSE)/VLOOKUP(Preisindex!$A$6,Preisindex,3,FALSE),2),IF(AND($E24&lt;&gt;0,$F24&gt;0,YEAR($F24)&lt;Preisindex!$A$6,YEAR(AE$4)&gt;=YEAR($F24),$K24="g"),ROUND(VLOOKUP(AJ$4,Preisindex,4,FALSE)/VLOOKUP(Preisindex!$A$6,Preisindex,4,FALSE),2),IF(AND($E24&lt;&gt;0,$F24&gt;0,YEAR($F24)&lt;Preisindex!$A$6,YEAR(AE$4)&gt;=YEAR($F24),$K24="k"),ROUND(VLOOKUP(AJ$4,Preisindex,2,FALSE)/VLOOKUP(Preisindex!$A$6,Preisindex,2,FALSE),2),0)))))</f>
        <v>0</v>
      </c>
      <c r="AL24" s="51">
        <f>IF(AND($E24&lt;&gt;0,$F24&gt;0,YEAR($F24)&lt;=AJ$4,YEAR($F24)&gt;=Preisindex!$A$6),ROUND($E24*AJ24,2),IF(AND($E24&lt;&gt;0,$F24&gt;0,YEAR($F24)&lt;=AJ$4,YEAR($F24)&lt;Preisindex!$A$6),ROUND($E24*AK24,2),0))</f>
        <v>639600</v>
      </c>
      <c r="AM24" s="53">
        <f t="shared" si="314"/>
        <v>12792</v>
      </c>
      <c r="AN24" s="51">
        <f t="shared" si="315"/>
        <v>0</v>
      </c>
      <c r="AO24" s="51">
        <f t="shared" si="317"/>
        <v>0</v>
      </c>
      <c r="AP24" s="51">
        <f t="shared" si="146"/>
        <v>0</v>
      </c>
      <c r="AQ24" s="51">
        <f t="shared" si="318"/>
        <v>0</v>
      </c>
      <c r="AR24" s="51">
        <f t="shared" si="148"/>
        <v>520000</v>
      </c>
      <c r="AS24" s="51">
        <f t="shared" si="319"/>
        <v>520000</v>
      </c>
      <c r="AT24" s="51">
        <f t="shared" si="150"/>
        <v>10400</v>
      </c>
      <c r="AU24" s="51">
        <f t="shared" si="320"/>
        <v>10400</v>
      </c>
      <c r="AV24" s="51">
        <f t="shared" si="152"/>
        <v>379600</v>
      </c>
      <c r="AW24" s="51">
        <f t="shared" si="321"/>
        <v>379600</v>
      </c>
      <c r="AX24" s="51">
        <f t="shared" si="154"/>
        <v>140400</v>
      </c>
      <c r="AY24" s="54">
        <f t="shared" si="155"/>
        <v>0</v>
      </c>
      <c r="AZ24" s="55">
        <f t="shared" si="156"/>
        <v>0</v>
      </c>
      <c r="BA24" s="56">
        <f>IF(AND($E24&lt;&gt;0,$F24&gt;0,YEAR($F24)&gt;=Preisindex!$A$6,YEAR(AV$4)&gt;=YEAR($F24),AND($K24&lt;&gt;"a",$K24&lt;&gt;"b",$K24&lt;&gt;"g",$K24&lt;&gt;"k")),1,IF(AND($E24&lt;&gt;0,$F24&gt;0,YEAR($F24)&gt;=Preisindex!$A$6,YEAR(AV$4)&gt;=YEAR($F24),$K24="a"),ROUND(VLOOKUP(BA$4,Preisindex,5,FALSE)/VLOOKUP(YEAR($F24),Preisindex,5,FALSE),2),IF(AND($E24&lt;&gt;0,$F24&gt;0,YEAR($F24)&gt;=Preisindex!$A$6,YEAR(AV$4)&gt;=YEAR($F24),$K24="b"),ROUND(VLOOKUP(BA$4,Preisindex,3,FALSE)/VLOOKUP(YEAR($F24),Preisindex,3,FALSE),2),IF(AND($E24&lt;&gt;0,$F24&gt;0,YEAR($F24)&gt;=Preisindex!$A$6,YEAR(AV$4)&gt;=YEAR($F24),$K24="g"),ROUND(VLOOKUP(BA$4,Preisindex,4,FALSE)/VLOOKUP(YEAR($F24),Preisindex,4,FALSE),2),IF(AND($E24&lt;&gt;0,$F24&gt;0,YEAR($F24)&gt;=Preisindex!$A$6,YEAR(AV$4)&gt;=YEAR($F24),$K24="k"),ROUND(VLOOKUP(BA$4,Preisindex,2,FALSE)/VLOOKUP(YEAR($F24),Preisindex,2,FALSE),2),0)))))</f>
        <v>1.25</v>
      </c>
      <c r="BB24" s="56">
        <f>IF(AND($E24&lt;&gt;0,$F24&gt;0,YEAR($F24)&lt;Preisindex!$A$6,YEAR(AV$4)&gt;=YEAR($F24),AND($K24&lt;&gt;"a",$K24&lt;&gt;"b",$K24&lt;&gt;"g",$K24&lt;&gt;"k")),1,IF(AND($E24&lt;&gt;0,$F24&gt;0,YEAR($F24)&lt;Preisindex!$A$6,YEAR(AV$4)&gt;=YEAR($F24),$K24="a"),ROUND(VLOOKUP(BA$4,Preisindex,5,FALSE)/VLOOKUP(Preisindex!$A$6,Preisindex,5,FALSE),2),IF(AND($E24&lt;&gt;0,$F24&gt;0,YEAR($F24)&lt;Preisindex!$A$6,YEAR(AV$4)&gt;=YEAR($F24),$K24="b"),ROUND(VLOOKUP(BA$4,Preisindex,3,FALSE)/VLOOKUP(Preisindex!$A$6,Preisindex,3,FALSE),2),IF(AND($E24&lt;&gt;0,$F24&gt;0,YEAR($F24)&lt;Preisindex!$A$6,YEAR(AV$4)&gt;=YEAR($F24),$K24="g"),ROUND(VLOOKUP(BA$4,Preisindex,4,FALSE)/VLOOKUP(Preisindex!$A$6,Preisindex,4,FALSE),2),IF(AND($E24&lt;&gt;0,$F24&gt;0,YEAR($F24)&lt;Preisindex!$A$6,YEAR(AV$4)&gt;=YEAR($F24),$K24="k"),ROUND(VLOOKUP(BA$4,Preisindex,2,FALSE)/VLOOKUP(Preisindex!$A$6,Preisindex,2,FALSE),2),0)))))</f>
        <v>0</v>
      </c>
      <c r="BC24" s="51">
        <f>IF(AND($E24&lt;&gt;0,$F24&gt;0,YEAR($F24)&lt;=BA$4,YEAR($F24)&gt;=Preisindex!$A$6),ROUND($E24*BA24,2),IF(AND($E24&lt;&gt;0,$F24&gt;0,YEAR($F24)&lt;=BA$4,YEAR($F24)&lt;Preisindex!$A$6),ROUND($E24*BB24,2),0))</f>
        <v>650000</v>
      </c>
      <c r="BD24" s="53">
        <f t="shared" si="157"/>
        <v>13000</v>
      </c>
      <c r="BE24" s="51">
        <f t="shared" si="315"/>
        <v>0</v>
      </c>
      <c r="BF24" s="51">
        <f t="shared" si="322"/>
        <v>0</v>
      </c>
      <c r="BG24" s="51">
        <f t="shared" si="160"/>
        <v>0</v>
      </c>
      <c r="BH24" s="51">
        <f t="shared" si="323"/>
        <v>0</v>
      </c>
      <c r="BI24" s="51">
        <f t="shared" si="162"/>
        <v>520000</v>
      </c>
      <c r="BJ24" s="51">
        <f t="shared" si="324"/>
        <v>520000</v>
      </c>
      <c r="BK24" s="51">
        <f t="shared" si="164"/>
        <v>10400</v>
      </c>
      <c r="BL24" s="51">
        <f t="shared" si="325"/>
        <v>10400</v>
      </c>
      <c r="BM24" s="51">
        <f t="shared" si="166"/>
        <v>369200</v>
      </c>
      <c r="BN24" s="51">
        <f t="shared" si="326"/>
        <v>369200</v>
      </c>
      <c r="BO24" s="51">
        <f t="shared" si="168"/>
        <v>150800</v>
      </c>
      <c r="BP24" s="54">
        <f t="shared" si="169"/>
        <v>0</v>
      </c>
      <c r="BQ24" s="55">
        <f t="shared" si="170"/>
        <v>0</v>
      </c>
      <c r="BR24" s="56">
        <f>IF(AND($E24&lt;&gt;0,$F24&gt;0,YEAR($F24)&gt;=Preisindex!$A$6,YEAR(BM$4)&gt;=YEAR($F24),AND($K24&lt;&gt;"a",$K24&lt;&gt;"b",$K24&lt;&gt;"g",$K24&lt;&gt;"k")),1,IF(AND($E24&lt;&gt;0,$F24&gt;0,YEAR($F24)&gt;=Preisindex!$A$6,YEAR(BM$4)&gt;=YEAR($F24),$K24="a"),ROUND(VLOOKUP(BR$4,Preisindex,5,FALSE)/VLOOKUP(YEAR($F24),Preisindex,5,FALSE),2),IF(AND($E24&lt;&gt;0,$F24&gt;0,YEAR($F24)&gt;=Preisindex!$A$6,YEAR(BM$4)&gt;=YEAR($F24),$K24="b"),ROUND(VLOOKUP(BR$4,Preisindex,3,FALSE)/VLOOKUP(YEAR($F24),Preisindex,3,FALSE),2),IF(AND($E24&lt;&gt;0,$F24&gt;0,YEAR($F24)&gt;=Preisindex!$A$6,YEAR(BM$4)&gt;=YEAR($F24),$K24="g"),ROUND(VLOOKUP(BR$4,Preisindex,4,FALSE)/VLOOKUP(YEAR($F24),Preisindex,4,FALSE),2),IF(AND($E24&lt;&gt;0,$F24&gt;0,YEAR($F24)&gt;=Preisindex!$A$6,YEAR(BM$4)&gt;=YEAR($F24),$K24="k"),ROUND(VLOOKUP(BR$4,Preisindex,2,FALSE)/VLOOKUP(YEAR($F24),Preisindex,2,FALSE),2),0)))))</f>
        <v>1.27</v>
      </c>
      <c r="BS24" s="56">
        <f>IF(AND($E24&lt;&gt;0,$F24&gt;0,YEAR($F24)&lt;Preisindex!$A$6,YEAR(BM$4)&gt;=YEAR($F24),AND($K24&lt;&gt;"a",$K24&lt;&gt;"b",$K24&lt;&gt;"g",$K24&lt;&gt;"k")),1,IF(AND($E24&lt;&gt;0,$F24&gt;0,YEAR($F24)&lt;Preisindex!$A$6,YEAR(BM$4)&gt;=YEAR($F24),$K24="a"),ROUND(VLOOKUP(BR$4,Preisindex,5,FALSE)/VLOOKUP(Preisindex!$A$6,Preisindex,5,FALSE),2),IF(AND($E24&lt;&gt;0,$F24&gt;0,YEAR($F24)&lt;Preisindex!$A$6,YEAR(BM$4)&gt;=YEAR($F24),$K24="b"),ROUND(VLOOKUP(BR$4,Preisindex,3,FALSE)/VLOOKUP(Preisindex!$A$6,Preisindex,3,FALSE),2),IF(AND($E24&lt;&gt;0,$F24&gt;0,YEAR($F24)&lt;Preisindex!$A$6,YEAR(BM$4)&gt;=YEAR($F24),$K24="g"),ROUND(VLOOKUP(BR$4,Preisindex,4,FALSE)/VLOOKUP(Preisindex!$A$6,Preisindex,4,FALSE),2),IF(AND($E24&lt;&gt;0,$F24&gt;0,YEAR($F24)&lt;Preisindex!$A$6,YEAR(BM$4)&gt;=YEAR($F24),$K24="k"),ROUND(VLOOKUP(BR$4,Preisindex,2,FALSE)/VLOOKUP(Preisindex!$A$6,Preisindex,2,FALSE),2),0)))))</f>
        <v>0</v>
      </c>
      <c r="BT24" s="51">
        <f>IF(AND($E24&lt;&gt;0,$F24&gt;0,YEAR($F24)&lt;=BR$4,YEAR($F24)&gt;=Preisindex!$A$6),ROUND($E24*BR24,2),IF(AND($E24&lt;&gt;0,$F24&gt;0,YEAR($F24)&lt;=BR$4,YEAR($F24)&lt;Preisindex!$A$6),ROUND($E24*BS24,2),0))</f>
        <v>660400</v>
      </c>
      <c r="BU24" s="53">
        <f t="shared" si="171"/>
        <v>13208</v>
      </c>
      <c r="BV24" s="51">
        <f t="shared" si="315"/>
        <v>0</v>
      </c>
      <c r="BW24" s="51">
        <f t="shared" si="327"/>
        <v>0</v>
      </c>
      <c r="BX24" s="51">
        <f t="shared" si="174"/>
        <v>0</v>
      </c>
      <c r="BY24" s="51">
        <f t="shared" si="328"/>
        <v>0</v>
      </c>
      <c r="BZ24" s="51">
        <f t="shared" si="176"/>
        <v>520000</v>
      </c>
      <c r="CA24" s="51">
        <f t="shared" si="329"/>
        <v>520000</v>
      </c>
      <c r="CB24" s="51">
        <f t="shared" si="178"/>
        <v>10400</v>
      </c>
      <c r="CC24" s="51">
        <f t="shared" si="330"/>
        <v>10400</v>
      </c>
      <c r="CD24" s="51">
        <f t="shared" si="180"/>
        <v>358800</v>
      </c>
      <c r="CE24" s="51">
        <f t="shared" si="331"/>
        <v>358800</v>
      </c>
      <c r="CF24" s="51">
        <f t="shared" si="182"/>
        <v>161200</v>
      </c>
      <c r="CG24" s="54">
        <f t="shared" si="183"/>
        <v>0</v>
      </c>
      <c r="CH24" s="55">
        <f t="shared" si="184"/>
        <v>0</v>
      </c>
      <c r="CI24" s="56">
        <f>IF(AND($E24&lt;&gt;0,$F24&gt;0,YEAR($F24)&gt;=Preisindex!$A$6,YEAR(CD$4)&gt;=YEAR($F24),AND($K24&lt;&gt;"a",$K24&lt;&gt;"b",$K24&lt;&gt;"g",$K24&lt;&gt;"k")),1,IF(AND($E24&lt;&gt;0,$F24&gt;0,YEAR($F24)&gt;=Preisindex!$A$6,YEAR(CD$4)&gt;=YEAR($F24),$K24="a"),ROUND(VLOOKUP(CI$4,Preisindex,5,FALSE)/VLOOKUP(YEAR($F24),Preisindex,5,FALSE),2),IF(AND($E24&lt;&gt;0,$F24&gt;0,YEAR($F24)&gt;=Preisindex!$A$6,YEAR(CD$4)&gt;=YEAR($F24),$K24="b"),ROUND(VLOOKUP(CI$4,Preisindex,3,FALSE)/VLOOKUP(YEAR($F24),Preisindex,3,FALSE),2),IF(AND($E24&lt;&gt;0,$F24&gt;0,YEAR($F24)&gt;=Preisindex!$A$6,YEAR(CD$4)&gt;=YEAR($F24),$K24="g"),ROUND(VLOOKUP(CI$4,Preisindex,4,FALSE)/VLOOKUP(YEAR($F24),Preisindex,4,FALSE),2),IF(AND($E24&lt;&gt;0,$F24&gt;0,YEAR($F24)&gt;=Preisindex!$A$6,YEAR(CD$4)&gt;=YEAR($F24),$K24="k"),ROUND(VLOOKUP(CI$4,Preisindex,2,FALSE)/VLOOKUP(YEAR($F24),Preisindex,2,FALSE),2),0)))))</f>
        <v>1.28</v>
      </c>
      <c r="CJ24" s="56">
        <f>IF(AND($E24&lt;&gt;0,$F24&gt;0,YEAR($F24)&lt;Preisindex!$A$6,YEAR(CD$4)&gt;=YEAR($F24),AND($K24&lt;&gt;"a",$K24&lt;&gt;"b",$K24&lt;&gt;"g",$K24&lt;&gt;"k")),1,IF(AND($E24&lt;&gt;0,$F24&gt;0,YEAR($F24)&lt;Preisindex!$A$6,YEAR(CD$4)&gt;=YEAR($F24),$K24="a"),ROUND(VLOOKUP(CI$4,Preisindex,5,FALSE)/VLOOKUP(Preisindex!$A$6,Preisindex,5,FALSE),2),IF(AND($E24&lt;&gt;0,$F24&gt;0,YEAR($F24)&lt;Preisindex!$A$6,YEAR(CD$4)&gt;=YEAR($F24),$K24="b"),ROUND(VLOOKUP(CI$4,Preisindex,3,FALSE)/VLOOKUP(Preisindex!$A$6,Preisindex,3,FALSE),2),IF(AND($E24&lt;&gt;0,$F24&gt;0,YEAR($F24)&lt;Preisindex!$A$6,YEAR(CD$4)&gt;=YEAR($F24),$K24="g"),ROUND(VLOOKUP(CI$4,Preisindex,4,FALSE)/VLOOKUP(Preisindex!$A$6,Preisindex,4,FALSE),2),IF(AND($E24&lt;&gt;0,$F24&gt;0,YEAR($F24)&lt;Preisindex!$A$6,YEAR(CD$4)&gt;=YEAR($F24),$K24="k"),ROUND(VLOOKUP(CI$4,Preisindex,2,FALSE)/VLOOKUP(Preisindex!$A$6,Preisindex,2,FALSE),2),0)))))</f>
        <v>0</v>
      </c>
      <c r="CK24" s="51">
        <f>IF(AND($E24&lt;&gt;0,$F24&gt;0,YEAR($F24)&lt;=CI$4,YEAR($F24)&gt;=Preisindex!$A$6),ROUND($E24*CI24,2),IF(AND($E24&lt;&gt;0,$F24&gt;0,YEAR($F24)&lt;=CI$4,YEAR($F24)&lt;Preisindex!$A$6),ROUND($E24*CJ24,2),0))</f>
        <v>665600</v>
      </c>
      <c r="CL24" s="53">
        <f t="shared" si="185"/>
        <v>13312</v>
      </c>
      <c r="CM24" s="51">
        <f t="shared" si="315"/>
        <v>0</v>
      </c>
      <c r="CN24" s="51">
        <f t="shared" si="332"/>
        <v>0</v>
      </c>
      <c r="CO24" s="51">
        <f t="shared" si="188"/>
        <v>0</v>
      </c>
      <c r="CP24" s="51">
        <f t="shared" si="333"/>
        <v>0</v>
      </c>
      <c r="CQ24" s="51">
        <f t="shared" si="190"/>
        <v>520000</v>
      </c>
      <c r="CR24" s="51">
        <f t="shared" si="334"/>
        <v>520000</v>
      </c>
      <c r="CS24" s="51">
        <f t="shared" si="192"/>
        <v>10400</v>
      </c>
      <c r="CT24" s="51">
        <f t="shared" si="335"/>
        <v>10400</v>
      </c>
      <c r="CU24" s="51">
        <f t="shared" si="194"/>
        <v>348400</v>
      </c>
      <c r="CV24" s="51">
        <f t="shared" si="336"/>
        <v>348400</v>
      </c>
      <c r="CW24" s="51">
        <f t="shared" si="196"/>
        <v>171600</v>
      </c>
      <c r="CX24" s="54">
        <f t="shared" si="197"/>
        <v>0</v>
      </c>
      <c r="CY24" s="55">
        <f t="shared" si="198"/>
        <v>0</v>
      </c>
      <c r="CZ24" s="56">
        <f>IF(AND($E24&lt;&gt;0,$F24&gt;0,YEAR($F24)&gt;=Preisindex!$A$6,YEAR(CU$4)&gt;=YEAR($F24),AND($K24&lt;&gt;"a",$K24&lt;&gt;"b",$K24&lt;&gt;"g",$K24&lt;&gt;"k")),1,IF(AND($E24&lt;&gt;0,$F24&gt;0,YEAR($F24)&gt;=Preisindex!$A$6,YEAR(CU$4)&gt;=YEAR($F24),$K24="a"),ROUND(VLOOKUP(CZ$4,Preisindex,5,FALSE)/VLOOKUP(YEAR($F24),Preisindex,5,FALSE),2),IF(AND($E24&lt;&gt;0,$F24&gt;0,YEAR($F24)&gt;=Preisindex!$A$6,YEAR(CU$4)&gt;=YEAR($F24),$K24="b"),ROUND(VLOOKUP(CZ$4,Preisindex,3,FALSE)/VLOOKUP(YEAR($F24),Preisindex,3,FALSE),2),IF(AND($E24&lt;&gt;0,$F24&gt;0,YEAR($F24)&gt;=Preisindex!$A$6,YEAR(CU$4)&gt;=YEAR($F24),$K24="g"),ROUND(VLOOKUP(CZ$4,Preisindex,4,FALSE)/VLOOKUP(YEAR($F24),Preisindex,4,FALSE),2),IF(AND($E24&lt;&gt;0,$F24&gt;0,YEAR($F24)&gt;=Preisindex!$A$6,YEAR(CU$4)&gt;=YEAR($F24),$K24="k"),ROUND(VLOOKUP(CZ$4,Preisindex,2,FALSE)/VLOOKUP(YEAR($F24),Preisindex,2,FALSE),2),0)))))</f>
        <v>1.31</v>
      </c>
      <c r="DA24" s="56">
        <f>IF(AND($E24&lt;&gt;0,$F24&gt;0,YEAR($F24)&lt;Preisindex!$A$6,YEAR(CU$4)&gt;=YEAR($F24),AND($K24&lt;&gt;"a",$K24&lt;&gt;"b",$K24&lt;&gt;"g",$K24&lt;&gt;"k")),1,IF(AND($E24&lt;&gt;0,$F24&gt;0,YEAR($F24)&lt;Preisindex!$A$6,YEAR(CU$4)&gt;=YEAR($F24),$K24="a"),ROUND(VLOOKUP(CZ$4,Preisindex,5,FALSE)/VLOOKUP(Preisindex!$A$6,Preisindex,5,FALSE),2),IF(AND($E24&lt;&gt;0,$F24&gt;0,YEAR($F24)&lt;Preisindex!$A$6,YEAR(CU$4)&gt;=YEAR($F24),$K24="b"),ROUND(VLOOKUP(CZ$4,Preisindex,3,FALSE)/VLOOKUP(Preisindex!$A$6,Preisindex,3,FALSE),2),IF(AND($E24&lt;&gt;0,$F24&gt;0,YEAR($F24)&lt;Preisindex!$A$6,YEAR(CU$4)&gt;=YEAR($F24),$K24="g"),ROUND(VLOOKUP(CZ$4,Preisindex,4,FALSE)/VLOOKUP(Preisindex!$A$6,Preisindex,4,FALSE),2),IF(AND($E24&lt;&gt;0,$F24&gt;0,YEAR($F24)&lt;Preisindex!$A$6,YEAR(CU$4)&gt;=YEAR($F24),$K24="k"),ROUND(VLOOKUP(CZ$4,Preisindex,2,FALSE)/VLOOKUP(Preisindex!$A$6,Preisindex,2,FALSE),2),0)))))</f>
        <v>0</v>
      </c>
      <c r="DB24" s="51">
        <f>IF(AND($E24&lt;&gt;0,$F24&gt;0,YEAR($F24)&lt;=CZ$4,YEAR($F24)&gt;=Preisindex!$A$6),ROUND($E24*CZ24,2),IF(AND($E24&lt;&gt;0,$F24&gt;0,YEAR($F24)&lt;=CZ$4,YEAR($F24)&lt;Preisindex!$A$6),ROUND($E24*DA24,2),0))</f>
        <v>681200</v>
      </c>
      <c r="DC24" s="53">
        <f t="shared" si="199"/>
        <v>13624</v>
      </c>
      <c r="DD24" s="51">
        <f t="shared" si="316"/>
        <v>0</v>
      </c>
      <c r="DE24" s="51">
        <f t="shared" si="337"/>
        <v>0</v>
      </c>
      <c r="DF24" s="51">
        <f t="shared" si="202"/>
        <v>0</v>
      </c>
      <c r="DG24" s="51">
        <f t="shared" si="338"/>
        <v>0</v>
      </c>
      <c r="DH24" s="51">
        <f t="shared" si="204"/>
        <v>520000</v>
      </c>
      <c r="DI24" s="51">
        <f t="shared" si="339"/>
        <v>520000</v>
      </c>
      <c r="DJ24" s="51">
        <f t="shared" si="206"/>
        <v>10400</v>
      </c>
      <c r="DK24" s="51">
        <f t="shared" si="340"/>
        <v>10400</v>
      </c>
      <c r="DL24" s="51">
        <f t="shared" si="208"/>
        <v>338000</v>
      </c>
      <c r="DM24" s="51">
        <f t="shared" si="341"/>
        <v>338000</v>
      </c>
      <c r="DN24" s="51">
        <f t="shared" si="210"/>
        <v>182000</v>
      </c>
      <c r="DO24" s="54">
        <f t="shared" si="211"/>
        <v>0</v>
      </c>
      <c r="DP24" s="55">
        <f t="shared" si="212"/>
        <v>0</v>
      </c>
      <c r="DQ24" s="56">
        <f>IF(AND($E24&lt;&gt;0,$F24&gt;0,YEAR($F24)&gt;=Preisindex!$A$6,YEAR(DL$4)&gt;=YEAR($F24),AND($K24&lt;&gt;"a",$K24&lt;&gt;"b",$K24&lt;&gt;"g",$K24&lt;&gt;"k")),1,IF(AND($E24&lt;&gt;0,$F24&gt;0,YEAR($F24)&gt;=Preisindex!$A$6,YEAR(DL$4)&gt;=YEAR($F24),$K24="a"),ROUND(VLOOKUP(DQ$4,Preisindex,5,FALSE)/VLOOKUP(YEAR($F24),Preisindex,5,FALSE),2),IF(AND($E24&lt;&gt;0,$F24&gt;0,YEAR($F24)&gt;=Preisindex!$A$6,YEAR(DL$4)&gt;=YEAR($F24),$K24="b"),ROUND(VLOOKUP(DQ$4,Preisindex,3,FALSE)/VLOOKUP(YEAR($F24),Preisindex,3,FALSE),2),IF(AND($E24&lt;&gt;0,$F24&gt;0,YEAR($F24)&gt;=Preisindex!$A$6,YEAR(DL$4)&gt;=YEAR($F24),$K24="g"),ROUND(VLOOKUP(DQ$4,Preisindex,4,FALSE)/VLOOKUP(YEAR($F24),Preisindex,4,FALSE),2),IF(AND($E24&lt;&gt;0,$F24&gt;0,YEAR($F24)&gt;=Preisindex!$A$6,YEAR(DL$4)&gt;=YEAR($F24),$K24="k"),ROUND(VLOOKUP(DQ$4,Preisindex,2,FALSE)/VLOOKUP(YEAR($F24),Preisindex,2,FALSE),2),0)))))</f>
        <v>1.35</v>
      </c>
      <c r="DR24" s="56">
        <f>IF(AND($E24&lt;&gt;0,$F24&gt;0,YEAR($F24)&lt;Preisindex!$A$6,YEAR(DL$4)&gt;=YEAR($F24),AND($K24&lt;&gt;"a",$K24&lt;&gt;"b",$K24&lt;&gt;"g",$K24&lt;&gt;"k")),1,IF(AND($E24&lt;&gt;0,$F24&gt;0,YEAR($F24)&lt;Preisindex!$A$6,YEAR(DL$4)&gt;=YEAR($F24),$K24="a"),ROUND(VLOOKUP(DQ$4,Preisindex,5,FALSE)/VLOOKUP(Preisindex!$A$6,Preisindex,5,FALSE),2),IF(AND($E24&lt;&gt;0,$F24&gt;0,YEAR($F24)&lt;Preisindex!$A$6,YEAR(DL$4)&gt;=YEAR($F24),$K24="b"),ROUND(VLOOKUP(DQ$4,Preisindex,3,FALSE)/VLOOKUP(Preisindex!$A$6,Preisindex,3,FALSE),2),IF(AND($E24&lt;&gt;0,$F24&gt;0,YEAR($F24)&lt;Preisindex!$A$6,YEAR(DL$4)&gt;=YEAR($F24),$K24="g"),ROUND(VLOOKUP(DQ$4,Preisindex,4,FALSE)/VLOOKUP(Preisindex!$A$6,Preisindex,4,FALSE),2),IF(AND($E24&lt;&gt;0,$F24&gt;0,YEAR($F24)&lt;Preisindex!$A$6,YEAR(DL$4)&gt;=YEAR($F24),$K24="k"),ROUND(VLOOKUP(DQ$4,Preisindex,2,FALSE)/VLOOKUP(Preisindex!$A$6,Preisindex,2,FALSE),2),0)))))</f>
        <v>0</v>
      </c>
      <c r="DS24" s="51">
        <f>IF(AND($E24&lt;&gt;0,$F24&gt;0,YEAR($F24)&lt;=DQ$4,YEAR($F24)&gt;=Preisindex!$A$6),ROUND($E24*DQ24,2),IF(AND($E24&lt;&gt;0,$F24&gt;0,YEAR($F24)&lt;=DQ$4,YEAR($F24)&lt;Preisindex!$A$6),ROUND($E24*DR24,2),0))</f>
        <v>702000</v>
      </c>
      <c r="DT24" s="53">
        <f t="shared" si="213"/>
        <v>14040</v>
      </c>
      <c r="DU24" s="51">
        <f t="shared" si="316"/>
        <v>0</v>
      </c>
      <c r="DV24" s="51">
        <f t="shared" si="342"/>
        <v>0</v>
      </c>
      <c r="DW24" s="51">
        <f t="shared" si="216"/>
        <v>0</v>
      </c>
      <c r="DX24" s="51">
        <f t="shared" si="343"/>
        <v>0</v>
      </c>
      <c r="DY24" s="51">
        <f t="shared" si="218"/>
        <v>520000</v>
      </c>
      <c r="DZ24" s="51">
        <f t="shared" si="344"/>
        <v>520000</v>
      </c>
      <c r="EA24" s="51">
        <f t="shared" si="220"/>
        <v>10400</v>
      </c>
      <c r="EB24" s="51">
        <f t="shared" si="345"/>
        <v>10400</v>
      </c>
      <c r="EC24" s="51">
        <f t="shared" si="222"/>
        <v>327600</v>
      </c>
      <c r="ED24" s="51">
        <f t="shared" si="346"/>
        <v>327600</v>
      </c>
      <c r="EE24" s="51">
        <f t="shared" si="224"/>
        <v>192400</v>
      </c>
      <c r="EF24" s="54">
        <f t="shared" si="225"/>
        <v>0</v>
      </c>
      <c r="EG24" s="55">
        <f t="shared" si="226"/>
        <v>0</v>
      </c>
      <c r="EH24" s="56">
        <f>IF(AND($E24&lt;&gt;0,$F24&gt;0,YEAR($F24)&gt;=Preisindex!$A$6,YEAR(EC$4)&gt;=YEAR($F24),AND($K24&lt;&gt;"a",$K24&lt;&gt;"b",$K24&lt;&gt;"g",$K24&lt;&gt;"k")),1,IF(AND($E24&lt;&gt;0,$F24&gt;0,YEAR($F24)&gt;=Preisindex!$A$6,YEAR(EC$4)&gt;=YEAR($F24),$K24="a"),ROUND(VLOOKUP(EH$4,Preisindex,5,FALSE)/VLOOKUP(YEAR($F24),Preisindex,5,FALSE),2),IF(AND($E24&lt;&gt;0,$F24&gt;0,YEAR($F24)&gt;=Preisindex!$A$6,YEAR(EC$4)&gt;=YEAR($F24),$K24="b"),ROUND(VLOOKUP(EH$4,Preisindex,3,FALSE)/VLOOKUP(YEAR($F24),Preisindex,3,FALSE),2),IF(AND($E24&lt;&gt;0,$F24&gt;0,YEAR($F24)&gt;=Preisindex!$A$6,YEAR(EC$4)&gt;=YEAR($F24),$K24="g"),ROUND(VLOOKUP(EH$4,Preisindex,4,FALSE)/VLOOKUP(YEAR($F24),Preisindex,4,FALSE),2),IF(AND($E24&lt;&gt;0,$F24&gt;0,YEAR($F24)&gt;=Preisindex!$A$6,YEAR(EC$4)&gt;=YEAR($F24),$K24="k"),ROUND(VLOOKUP(EH$4,Preisindex,2,FALSE)/VLOOKUP(YEAR($F24),Preisindex,2,FALSE),2),0)))))</f>
        <v>1.42</v>
      </c>
      <c r="EI24" s="56">
        <f>IF(AND($E24&lt;&gt;0,$F24&gt;0,YEAR($F24)&lt;Preisindex!$A$6,YEAR(EC$4)&gt;=YEAR($F24),AND($K24&lt;&gt;"a",$K24&lt;&gt;"b",$K24&lt;&gt;"g",$K24&lt;&gt;"k")),1,IF(AND($E24&lt;&gt;0,$F24&gt;0,YEAR($F24)&lt;Preisindex!$A$6,YEAR(EC$4)&gt;=YEAR($F24),$K24="a"),ROUND(VLOOKUP(EH$4,Preisindex,5,FALSE)/VLOOKUP(Preisindex!$A$6,Preisindex,5,FALSE),2),IF(AND($E24&lt;&gt;0,$F24&gt;0,YEAR($F24)&lt;Preisindex!$A$6,YEAR(EC$4)&gt;=YEAR($F24),$K24="b"),ROUND(VLOOKUP(EH$4,Preisindex,3,FALSE)/VLOOKUP(Preisindex!$A$6,Preisindex,3,FALSE),2),IF(AND($E24&lt;&gt;0,$F24&gt;0,YEAR($F24)&lt;Preisindex!$A$6,YEAR(EC$4)&gt;=YEAR($F24),$K24="g"),ROUND(VLOOKUP(EH$4,Preisindex,4,FALSE)/VLOOKUP(Preisindex!$A$6,Preisindex,4,FALSE),2),IF(AND($E24&lt;&gt;0,$F24&gt;0,YEAR($F24)&lt;Preisindex!$A$6,YEAR(EC$4)&gt;=YEAR($F24),$K24="k"),ROUND(VLOOKUP(EH$4,Preisindex,2,FALSE)/VLOOKUP(Preisindex!$A$6,Preisindex,2,FALSE),2),0)))))</f>
        <v>0</v>
      </c>
      <c r="EJ24" s="51">
        <f>IF(AND($E24&lt;&gt;0,$F24&gt;0,YEAR($F24)&lt;=EH$4,YEAR($F24)&gt;=Preisindex!$A$6),ROUND($E24*EH24,2),IF(AND($E24&lt;&gt;0,$F24&gt;0,YEAR($F24)&lt;=EH$4,YEAR($F24)&lt;Preisindex!$A$6),ROUND($E24*EI24,2),0))</f>
        <v>738400</v>
      </c>
      <c r="EK24" s="53">
        <f t="shared" si="227"/>
        <v>14768</v>
      </c>
      <c r="EL24" s="51">
        <f t="shared" si="316"/>
        <v>0</v>
      </c>
      <c r="EM24" s="51">
        <f t="shared" si="347"/>
        <v>0</v>
      </c>
      <c r="EN24" s="51">
        <f t="shared" si="230"/>
        <v>0</v>
      </c>
      <c r="EO24" s="51">
        <f t="shared" si="348"/>
        <v>0</v>
      </c>
      <c r="EP24" s="51">
        <f t="shared" si="232"/>
        <v>520000</v>
      </c>
      <c r="EQ24" s="51">
        <f t="shared" si="349"/>
        <v>520000</v>
      </c>
      <c r="ER24" s="51">
        <f t="shared" si="234"/>
        <v>10400</v>
      </c>
      <c r="ES24" s="51">
        <f t="shared" si="350"/>
        <v>10400</v>
      </c>
      <c r="ET24" s="51">
        <f t="shared" si="236"/>
        <v>317200</v>
      </c>
      <c r="EU24" s="51">
        <f t="shared" si="351"/>
        <v>317200</v>
      </c>
      <c r="EV24" s="51">
        <f t="shared" si="238"/>
        <v>202800</v>
      </c>
      <c r="EW24" s="54">
        <f t="shared" si="239"/>
        <v>0</v>
      </c>
      <c r="EX24" s="55">
        <f t="shared" si="240"/>
        <v>0</v>
      </c>
      <c r="EY24" s="56">
        <f>IF(AND($E24&lt;&gt;0,$F24&gt;0,YEAR($F24)&gt;=Preisindex!$A$6,YEAR(ET$4)&gt;=YEAR($F24),AND($K24&lt;&gt;"a",$K24&lt;&gt;"b",$K24&lt;&gt;"g",$K24&lt;&gt;"k")),1,IF(AND($E24&lt;&gt;0,$F24&gt;0,YEAR($F24)&gt;=Preisindex!$A$6,YEAR(ET$4)&gt;=YEAR($F24),$K24="a"),ROUND(VLOOKUP(EY$4,Preisindex,5,FALSE)/VLOOKUP(YEAR($F24),Preisindex,5,FALSE),2),IF(AND($E24&lt;&gt;0,$F24&gt;0,YEAR($F24)&gt;=Preisindex!$A$6,YEAR(ET$4)&gt;=YEAR($F24),$K24="b"),ROUND(VLOOKUP(EY$4,Preisindex,3,FALSE)/VLOOKUP(YEAR($F24),Preisindex,3,FALSE),2),IF(AND($E24&lt;&gt;0,$F24&gt;0,YEAR($F24)&gt;=Preisindex!$A$6,YEAR(ET$4)&gt;=YEAR($F24),$K24="g"),ROUND(VLOOKUP(EY$4,Preisindex,4,FALSE)/VLOOKUP(YEAR($F24),Preisindex,4,FALSE),2),IF(AND($E24&lt;&gt;0,$F24&gt;0,YEAR($F24)&gt;=Preisindex!$A$6,YEAR(ET$4)&gt;=YEAR($F24),$K24="k"),ROUND(VLOOKUP(EY$4,Preisindex,2,FALSE)/VLOOKUP(YEAR($F24),Preisindex,2,FALSE),2),0)))))</f>
        <v>1.42</v>
      </c>
      <c r="EZ24" s="56">
        <f>IF(AND($E24&lt;&gt;0,$F24&gt;0,YEAR($F24)&lt;Preisindex!$A$6,YEAR(ET$4)&gt;=YEAR($F24),AND($K24&lt;&gt;"a",$K24&lt;&gt;"b",$K24&lt;&gt;"g",$K24&lt;&gt;"k")),1,IF(AND($E24&lt;&gt;0,$F24&gt;0,YEAR($F24)&lt;Preisindex!$A$6,YEAR(ET$4)&gt;=YEAR($F24),$K24="a"),ROUND(VLOOKUP(EY$4,Preisindex,5,FALSE)/VLOOKUP(Preisindex!$A$6,Preisindex,5,FALSE),2),IF(AND($E24&lt;&gt;0,$F24&gt;0,YEAR($F24)&lt;Preisindex!$A$6,YEAR(ET$4)&gt;=YEAR($F24),$K24="b"),ROUND(VLOOKUP(EY$4,Preisindex,3,FALSE)/VLOOKUP(Preisindex!$A$6,Preisindex,3,FALSE),2),IF(AND($E24&lt;&gt;0,$F24&gt;0,YEAR($F24)&lt;Preisindex!$A$6,YEAR(ET$4)&gt;=YEAR($F24),$K24="g"),ROUND(VLOOKUP(EY$4,Preisindex,4,FALSE)/VLOOKUP(Preisindex!$A$6,Preisindex,4,FALSE),2),IF(AND($E24&lt;&gt;0,$F24&gt;0,YEAR($F24)&lt;Preisindex!$A$6,YEAR(ET$4)&gt;=YEAR($F24),$K24="k"),ROUND(VLOOKUP(EY$4,Preisindex,2,FALSE)/VLOOKUP(Preisindex!$A$6,Preisindex,2,FALSE),2),0)))))</f>
        <v>0</v>
      </c>
      <c r="FA24" s="51">
        <f>IF(AND($E24&lt;&gt;0,$F24&gt;0,YEAR($F24)&lt;=EY$4,YEAR($F24)&gt;=Preisindex!$A$6),ROUND($E24*EY24,2),IF(AND($E24&lt;&gt;0,$F24&gt;0,YEAR($F24)&lt;=EY$4,YEAR($F24)&lt;Preisindex!$A$6),ROUND($E24*EZ24,2),0))</f>
        <v>738400</v>
      </c>
      <c r="FB24" s="53">
        <f t="shared" si="241"/>
        <v>14768</v>
      </c>
      <c r="FC24" s="51">
        <f t="shared" si="316"/>
        <v>0</v>
      </c>
      <c r="FD24" s="51">
        <f t="shared" si="352"/>
        <v>0</v>
      </c>
      <c r="FE24" s="51">
        <f t="shared" si="244"/>
        <v>0</v>
      </c>
      <c r="FF24" s="51">
        <f t="shared" si="353"/>
        <v>0</v>
      </c>
      <c r="FG24" s="51">
        <f t="shared" si="246"/>
        <v>520000</v>
      </c>
      <c r="FH24" s="51">
        <f t="shared" si="354"/>
        <v>520000</v>
      </c>
      <c r="FI24" s="51">
        <f t="shared" si="248"/>
        <v>10400</v>
      </c>
      <c r="FJ24" s="51">
        <f t="shared" si="355"/>
        <v>10400</v>
      </c>
      <c r="FK24" s="51">
        <f t="shared" si="250"/>
        <v>306800</v>
      </c>
      <c r="FL24" s="51">
        <f t="shared" si="356"/>
        <v>306800</v>
      </c>
      <c r="FM24" s="51">
        <f t="shared" si="252"/>
        <v>213200</v>
      </c>
      <c r="FN24" s="54">
        <f t="shared" si="253"/>
        <v>0</v>
      </c>
      <c r="FO24" s="55">
        <f t="shared" si="254"/>
        <v>0</v>
      </c>
      <c r="FP24" s="56">
        <f>IF(AND($E24&lt;&gt;0,$F24&gt;0,YEAR($F24)&gt;=Preisindex!$A$6,YEAR(FK$4)&gt;=YEAR($F24),AND($K24&lt;&gt;"a",$K24&lt;&gt;"b",$K24&lt;&gt;"g",$K24&lt;&gt;"k")),1,IF(AND($E24&lt;&gt;0,$F24&gt;0,YEAR($F24)&gt;=Preisindex!$A$6,YEAR(FK$4)&gt;=YEAR($F24),$K24="a"),ROUND(VLOOKUP(FP$4,Preisindex,5,FALSE)/VLOOKUP(YEAR($F24),Preisindex,5,FALSE),2),IF(AND($E24&lt;&gt;0,$F24&gt;0,YEAR($F24)&gt;=Preisindex!$A$6,YEAR(FK$4)&gt;=YEAR($F24),$K24="b"),ROUND(VLOOKUP(FP$4,Preisindex,3,FALSE)/VLOOKUP(YEAR($F24),Preisindex,3,FALSE),2),IF(AND($E24&lt;&gt;0,$F24&gt;0,YEAR($F24)&gt;=Preisindex!$A$6,YEAR(FK$4)&gt;=YEAR($F24),$K24="g"),ROUND(VLOOKUP(FP$4,Preisindex,4,FALSE)/VLOOKUP(YEAR($F24),Preisindex,4,FALSE),2),IF(AND($E24&lt;&gt;0,$F24&gt;0,YEAR($F24)&gt;=Preisindex!$A$6,YEAR(FK$4)&gt;=YEAR($F24),$K24="k"),ROUND(VLOOKUP(FP$4,Preisindex,2,FALSE)/VLOOKUP(YEAR($F24),Preisindex,2,FALSE),2),0)))))</f>
        <v>1.42</v>
      </c>
      <c r="FQ24" s="56">
        <f>IF(AND($E24&lt;&gt;0,$F24&gt;0,YEAR($F24)&lt;Preisindex!$A$6,YEAR(FK$4)&gt;=YEAR($F24),AND($K24&lt;&gt;"a",$K24&lt;&gt;"b",$K24&lt;&gt;"g",$K24&lt;&gt;"k")),1,IF(AND($E24&lt;&gt;0,$F24&gt;0,YEAR($F24)&lt;Preisindex!$A$6,YEAR(FK$4)&gt;=YEAR($F24),$K24="a"),ROUND(VLOOKUP(FP$4,Preisindex,5,FALSE)/VLOOKUP(Preisindex!$A$6,Preisindex,5,FALSE),2),IF(AND($E24&lt;&gt;0,$F24&gt;0,YEAR($F24)&lt;Preisindex!$A$6,YEAR(FK$4)&gt;=YEAR($F24),$K24="b"),ROUND(VLOOKUP(FP$4,Preisindex,3,FALSE)/VLOOKUP(Preisindex!$A$6,Preisindex,3,FALSE),2),IF(AND($E24&lt;&gt;0,$F24&gt;0,YEAR($F24)&lt;Preisindex!$A$6,YEAR(FK$4)&gt;=YEAR($F24),$K24="g"),ROUND(VLOOKUP(FP$4,Preisindex,4,FALSE)/VLOOKUP(Preisindex!$A$6,Preisindex,4,FALSE),2),IF(AND($E24&lt;&gt;0,$F24&gt;0,YEAR($F24)&lt;Preisindex!$A$6,YEAR(FK$4)&gt;=YEAR($F24),$K24="k"),ROUND(VLOOKUP(FP$4,Preisindex,2,FALSE)/VLOOKUP(Preisindex!$A$6,Preisindex,2,FALSE),2),0)))))</f>
        <v>0</v>
      </c>
      <c r="FR24" s="51">
        <f>IF(AND($E24&lt;&gt;0,$F24&gt;0,YEAR($F24)&lt;=FP$4,YEAR($F24)&gt;=Preisindex!$A$6),ROUND($E24*FP24,2),IF(AND($E24&lt;&gt;0,$F24&gt;0,YEAR($F24)&lt;=FP$4,YEAR($F24)&lt;Preisindex!$A$6),ROUND($E24*FQ24,2),0))</f>
        <v>738400</v>
      </c>
      <c r="FS24" s="53">
        <f t="shared" si="255"/>
        <v>14768</v>
      </c>
    </row>
    <row r="25" spans="1:175" x14ac:dyDescent="0.3">
      <c r="A25" s="93">
        <v>2001</v>
      </c>
      <c r="B25" s="94" t="s">
        <v>214</v>
      </c>
      <c r="C25" s="94"/>
      <c r="D25" s="95" t="s">
        <v>18</v>
      </c>
      <c r="E25" s="99">
        <v>500000</v>
      </c>
      <c r="F25" s="97">
        <v>37073</v>
      </c>
      <c r="G25" s="100">
        <v>50</v>
      </c>
      <c r="H25" s="622"/>
      <c r="I25" s="621"/>
      <c r="J25" s="194"/>
      <c r="K25" s="630" t="s">
        <v>266</v>
      </c>
      <c r="L25" s="49">
        <f t="shared" si="296"/>
        <v>0.02</v>
      </c>
      <c r="M25" s="50">
        <f t="shared" si="297"/>
        <v>10000</v>
      </c>
      <c r="N25" s="51">
        <f t="shared" si="298"/>
        <v>395000</v>
      </c>
      <c r="O25" s="51"/>
      <c r="P25" s="51">
        <f t="shared" si="299"/>
        <v>105000</v>
      </c>
      <c r="Q25" s="52"/>
      <c r="R25" s="52"/>
      <c r="S25" s="52"/>
      <c r="T25" s="52"/>
      <c r="U25" s="52"/>
      <c r="V25" s="53">
        <f t="shared" si="300"/>
        <v>500000</v>
      </c>
      <c r="W25" s="51">
        <f t="shared" si="301"/>
        <v>0</v>
      </c>
      <c r="X25" s="51">
        <f t="shared" si="302"/>
        <v>0</v>
      </c>
      <c r="Y25" s="51">
        <f t="shared" si="303"/>
        <v>0</v>
      </c>
      <c r="Z25" s="51">
        <f t="shared" si="304"/>
        <v>0</v>
      </c>
      <c r="AA25" s="51">
        <f t="shared" si="305"/>
        <v>500000</v>
      </c>
      <c r="AB25" s="51">
        <f t="shared" si="306"/>
        <v>500000</v>
      </c>
      <c r="AC25" s="51">
        <f t="shared" si="307"/>
        <v>10000</v>
      </c>
      <c r="AD25" s="51">
        <f t="shared" si="308"/>
        <v>10000</v>
      </c>
      <c r="AE25" s="51">
        <f t="shared" si="309"/>
        <v>385000</v>
      </c>
      <c r="AF25" s="51">
        <f t="shared" si="310"/>
        <v>385000</v>
      </c>
      <c r="AG25" s="51">
        <f t="shared" si="311"/>
        <v>115000</v>
      </c>
      <c r="AH25" s="54">
        <f t="shared" si="312"/>
        <v>0</v>
      </c>
      <c r="AI25" s="55">
        <f t="shared" si="313"/>
        <v>0</v>
      </c>
      <c r="AJ25" s="56">
        <f>IF(AND($E25&lt;&gt;0,$F25&gt;0,YEAR($F25)&gt;=Preisindex!$A$6,YEAR(AE$4)&gt;=YEAR($F25),AND($K25&lt;&gt;"a",$K25&lt;&gt;"b",$K25&lt;&gt;"g",$K25&lt;&gt;"k")),1,IF(AND($E25&lt;&gt;0,$F25&gt;0,YEAR($F25)&gt;=Preisindex!$A$6,YEAR(AE$4)&gt;=YEAR($F25),$K25="a"),ROUND(VLOOKUP(AJ$4,Preisindex,5,FALSE)/VLOOKUP(YEAR($F25),Preisindex,5,FALSE),2),IF(AND($E25&lt;&gt;0,$F25&gt;0,YEAR($F25)&gt;=Preisindex!$A$6,YEAR(AE$4)&gt;=YEAR($F25),$K25="b"),ROUND(VLOOKUP(AJ$4,Preisindex,3,FALSE)/VLOOKUP(YEAR($F25),Preisindex,3,FALSE),2),IF(AND($E25&lt;&gt;0,$F25&gt;0,YEAR($F25)&gt;=Preisindex!$A$6,YEAR(AE$4)&gt;=YEAR($F25),$K25="g"),ROUND(VLOOKUP(AJ$4,Preisindex,4,FALSE)/VLOOKUP(YEAR($F25),Preisindex,4,FALSE),2),IF(AND($E25&lt;&gt;0,$F25&gt;0,YEAR($F25)&gt;=Preisindex!$A$6,YEAR(AE$4)&gt;=YEAR($F25),$K25="k"),ROUND(VLOOKUP(AJ$4,Preisindex,2,FALSE)/VLOOKUP(YEAR($F25),Preisindex,2,FALSE),2),0)))))</f>
        <v>1.22</v>
      </c>
      <c r="AK25" s="56">
        <f>IF(AND($E25&lt;&gt;0,$F25&gt;0,YEAR($F25)&lt;Preisindex!$A$6,YEAR(AE$4)&gt;=YEAR($F25),AND($K25&lt;&gt;"a",$K25&lt;&gt;"b",$K25&lt;&gt;"g",$K25&lt;&gt;"k")),1,IF(AND($E25&lt;&gt;0,$F25&gt;0,YEAR($F25)&lt;Preisindex!$A$6,YEAR(AE$4)&gt;=YEAR($F25),$K25="a"),ROUND(VLOOKUP(AJ$4,Preisindex,5,FALSE)/VLOOKUP(Preisindex!$A$6,Preisindex,5,FALSE),2),IF(AND($E25&lt;&gt;0,$F25&gt;0,YEAR($F25)&lt;Preisindex!$A$6,YEAR(AE$4)&gt;=YEAR($F25),$K25="b"),ROUND(VLOOKUP(AJ$4,Preisindex,3,FALSE)/VLOOKUP(Preisindex!$A$6,Preisindex,3,FALSE),2),IF(AND($E25&lt;&gt;0,$F25&gt;0,YEAR($F25)&lt;Preisindex!$A$6,YEAR(AE$4)&gt;=YEAR($F25),$K25="g"),ROUND(VLOOKUP(AJ$4,Preisindex,4,FALSE)/VLOOKUP(Preisindex!$A$6,Preisindex,4,FALSE),2),IF(AND($E25&lt;&gt;0,$F25&gt;0,YEAR($F25)&lt;Preisindex!$A$6,YEAR(AE$4)&gt;=YEAR($F25),$K25="k"),ROUND(VLOOKUP(AJ$4,Preisindex,2,FALSE)/VLOOKUP(Preisindex!$A$6,Preisindex,2,FALSE),2),0)))))</f>
        <v>0</v>
      </c>
      <c r="AL25" s="51">
        <f>IF(AND($E25&lt;&gt;0,$F25&gt;0,YEAR($F25)&lt;=AJ$4,YEAR($F25)&gt;=Preisindex!$A$6),ROUND($E25*AJ25,2),IF(AND($E25&lt;&gt;0,$F25&gt;0,YEAR($F25)&lt;=AJ$4,YEAR($F25)&lt;Preisindex!$A$6),ROUND($E25*AK25,2),0))</f>
        <v>610000</v>
      </c>
      <c r="AM25" s="53">
        <f t="shared" si="314"/>
        <v>12200</v>
      </c>
      <c r="AN25" s="51">
        <f t="shared" si="315"/>
        <v>0</v>
      </c>
      <c r="AO25" s="51">
        <f t="shared" si="317"/>
        <v>0</v>
      </c>
      <c r="AP25" s="51">
        <f t="shared" si="146"/>
        <v>0</v>
      </c>
      <c r="AQ25" s="51">
        <f t="shared" si="318"/>
        <v>0</v>
      </c>
      <c r="AR25" s="51">
        <f t="shared" si="148"/>
        <v>500000</v>
      </c>
      <c r="AS25" s="51">
        <f t="shared" si="319"/>
        <v>500000</v>
      </c>
      <c r="AT25" s="51">
        <f t="shared" si="150"/>
        <v>10000</v>
      </c>
      <c r="AU25" s="51">
        <f t="shared" si="320"/>
        <v>10000</v>
      </c>
      <c r="AV25" s="51">
        <f t="shared" si="152"/>
        <v>375000</v>
      </c>
      <c r="AW25" s="51">
        <f t="shared" si="321"/>
        <v>375000</v>
      </c>
      <c r="AX25" s="51">
        <f t="shared" si="154"/>
        <v>125000</v>
      </c>
      <c r="AY25" s="54">
        <f t="shared" si="155"/>
        <v>0</v>
      </c>
      <c r="AZ25" s="55">
        <f t="shared" si="156"/>
        <v>0</v>
      </c>
      <c r="BA25" s="56">
        <f>IF(AND($E25&lt;&gt;0,$F25&gt;0,YEAR($F25)&gt;=Preisindex!$A$6,YEAR(AV$4)&gt;=YEAR($F25),AND($K25&lt;&gt;"a",$K25&lt;&gt;"b",$K25&lt;&gt;"g",$K25&lt;&gt;"k")),1,IF(AND($E25&lt;&gt;0,$F25&gt;0,YEAR($F25)&gt;=Preisindex!$A$6,YEAR(AV$4)&gt;=YEAR($F25),$K25="a"),ROUND(VLOOKUP(BA$4,Preisindex,5,FALSE)/VLOOKUP(YEAR($F25),Preisindex,5,FALSE),2),IF(AND($E25&lt;&gt;0,$F25&gt;0,YEAR($F25)&gt;=Preisindex!$A$6,YEAR(AV$4)&gt;=YEAR($F25),$K25="b"),ROUND(VLOOKUP(BA$4,Preisindex,3,FALSE)/VLOOKUP(YEAR($F25),Preisindex,3,FALSE),2),IF(AND($E25&lt;&gt;0,$F25&gt;0,YEAR($F25)&gt;=Preisindex!$A$6,YEAR(AV$4)&gt;=YEAR($F25),$K25="g"),ROUND(VLOOKUP(BA$4,Preisindex,4,FALSE)/VLOOKUP(YEAR($F25),Preisindex,4,FALSE),2),IF(AND($E25&lt;&gt;0,$F25&gt;0,YEAR($F25)&gt;=Preisindex!$A$6,YEAR(AV$4)&gt;=YEAR($F25),$K25="k"),ROUND(VLOOKUP(BA$4,Preisindex,2,FALSE)/VLOOKUP(YEAR($F25),Preisindex,2,FALSE),2),0)))))</f>
        <v>1.24</v>
      </c>
      <c r="BB25" s="56">
        <f>IF(AND($E25&lt;&gt;0,$F25&gt;0,YEAR($F25)&lt;Preisindex!$A$6,YEAR(AV$4)&gt;=YEAR($F25),AND($K25&lt;&gt;"a",$K25&lt;&gt;"b",$K25&lt;&gt;"g",$K25&lt;&gt;"k")),1,IF(AND($E25&lt;&gt;0,$F25&gt;0,YEAR($F25)&lt;Preisindex!$A$6,YEAR(AV$4)&gt;=YEAR($F25),$K25="a"),ROUND(VLOOKUP(BA$4,Preisindex,5,FALSE)/VLOOKUP(Preisindex!$A$6,Preisindex,5,FALSE),2),IF(AND($E25&lt;&gt;0,$F25&gt;0,YEAR($F25)&lt;Preisindex!$A$6,YEAR(AV$4)&gt;=YEAR($F25),$K25="b"),ROUND(VLOOKUP(BA$4,Preisindex,3,FALSE)/VLOOKUP(Preisindex!$A$6,Preisindex,3,FALSE),2),IF(AND($E25&lt;&gt;0,$F25&gt;0,YEAR($F25)&lt;Preisindex!$A$6,YEAR(AV$4)&gt;=YEAR($F25),$K25="g"),ROUND(VLOOKUP(BA$4,Preisindex,4,FALSE)/VLOOKUP(Preisindex!$A$6,Preisindex,4,FALSE),2),IF(AND($E25&lt;&gt;0,$F25&gt;0,YEAR($F25)&lt;Preisindex!$A$6,YEAR(AV$4)&gt;=YEAR($F25),$K25="k"),ROUND(VLOOKUP(BA$4,Preisindex,2,FALSE)/VLOOKUP(Preisindex!$A$6,Preisindex,2,FALSE),2),0)))))</f>
        <v>0</v>
      </c>
      <c r="BC25" s="51">
        <f>IF(AND($E25&lt;&gt;0,$F25&gt;0,YEAR($F25)&lt;=BA$4,YEAR($F25)&gt;=Preisindex!$A$6),ROUND($E25*BA25,2),IF(AND($E25&lt;&gt;0,$F25&gt;0,YEAR($F25)&lt;=BA$4,YEAR($F25)&lt;Preisindex!$A$6),ROUND($E25*BB25,2),0))</f>
        <v>620000</v>
      </c>
      <c r="BD25" s="53">
        <f t="shared" si="157"/>
        <v>12400</v>
      </c>
      <c r="BE25" s="51">
        <f t="shared" si="315"/>
        <v>0</v>
      </c>
      <c r="BF25" s="51">
        <f t="shared" si="322"/>
        <v>0</v>
      </c>
      <c r="BG25" s="51">
        <f t="shared" si="160"/>
        <v>0</v>
      </c>
      <c r="BH25" s="51">
        <f t="shared" si="323"/>
        <v>0</v>
      </c>
      <c r="BI25" s="51">
        <f t="shared" si="162"/>
        <v>500000</v>
      </c>
      <c r="BJ25" s="51">
        <f t="shared" si="324"/>
        <v>500000</v>
      </c>
      <c r="BK25" s="51">
        <f t="shared" si="164"/>
        <v>10000</v>
      </c>
      <c r="BL25" s="51">
        <f t="shared" si="325"/>
        <v>10000</v>
      </c>
      <c r="BM25" s="51">
        <f t="shared" si="166"/>
        <v>365000</v>
      </c>
      <c r="BN25" s="51">
        <f t="shared" si="326"/>
        <v>365000</v>
      </c>
      <c r="BO25" s="51">
        <f t="shared" si="168"/>
        <v>135000</v>
      </c>
      <c r="BP25" s="54">
        <f t="shared" si="169"/>
        <v>0</v>
      </c>
      <c r="BQ25" s="55">
        <f t="shared" si="170"/>
        <v>0</v>
      </c>
      <c r="BR25" s="56">
        <f>IF(AND($E25&lt;&gt;0,$F25&gt;0,YEAR($F25)&gt;=Preisindex!$A$6,YEAR(BM$4)&gt;=YEAR($F25),AND($K25&lt;&gt;"a",$K25&lt;&gt;"b",$K25&lt;&gt;"g",$K25&lt;&gt;"k")),1,IF(AND($E25&lt;&gt;0,$F25&gt;0,YEAR($F25)&gt;=Preisindex!$A$6,YEAR(BM$4)&gt;=YEAR($F25),$K25="a"),ROUND(VLOOKUP(BR$4,Preisindex,5,FALSE)/VLOOKUP(YEAR($F25),Preisindex,5,FALSE),2),IF(AND($E25&lt;&gt;0,$F25&gt;0,YEAR($F25)&gt;=Preisindex!$A$6,YEAR(BM$4)&gt;=YEAR($F25),$K25="b"),ROUND(VLOOKUP(BR$4,Preisindex,3,FALSE)/VLOOKUP(YEAR($F25),Preisindex,3,FALSE),2),IF(AND($E25&lt;&gt;0,$F25&gt;0,YEAR($F25)&gt;=Preisindex!$A$6,YEAR(BM$4)&gt;=YEAR($F25),$K25="g"),ROUND(VLOOKUP(BR$4,Preisindex,4,FALSE)/VLOOKUP(YEAR($F25),Preisindex,4,FALSE),2),IF(AND($E25&lt;&gt;0,$F25&gt;0,YEAR($F25)&gt;=Preisindex!$A$6,YEAR(BM$4)&gt;=YEAR($F25),$K25="k"),ROUND(VLOOKUP(BR$4,Preisindex,2,FALSE)/VLOOKUP(YEAR($F25),Preisindex,2,FALSE),2),0)))))</f>
        <v>1.26</v>
      </c>
      <c r="BS25" s="56">
        <f>IF(AND($E25&lt;&gt;0,$F25&gt;0,YEAR($F25)&lt;Preisindex!$A$6,YEAR(BM$4)&gt;=YEAR($F25),AND($K25&lt;&gt;"a",$K25&lt;&gt;"b",$K25&lt;&gt;"g",$K25&lt;&gt;"k")),1,IF(AND($E25&lt;&gt;0,$F25&gt;0,YEAR($F25)&lt;Preisindex!$A$6,YEAR(BM$4)&gt;=YEAR($F25),$K25="a"),ROUND(VLOOKUP(BR$4,Preisindex,5,FALSE)/VLOOKUP(Preisindex!$A$6,Preisindex,5,FALSE),2),IF(AND($E25&lt;&gt;0,$F25&gt;0,YEAR($F25)&lt;Preisindex!$A$6,YEAR(BM$4)&gt;=YEAR($F25),$K25="b"),ROUND(VLOOKUP(BR$4,Preisindex,3,FALSE)/VLOOKUP(Preisindex!$A$6,Preisindex,3,FALSE),2),IF(AND($E25&lt;&gt;0,$F25&gt;0,YEAR($F25)&lt;Preisindex!$A$6,YEAR(BM$4)&gt;=YEAR($F25),$K25="g"),ROUND(VLOOKUP(BR$4,Preisindex,4,FALSE)/VLOOKUP(Preisindex!$A$6,Preisindex,4,FALSE),2),IF(AND($E25&lt;&gt;0,$F25&gt;0,YEAR($F25)&lt;Preisindex!$A$6,YEAR(BM$4)&gt;=YEAR($F25),$K25="k"),ROUND(VLOOKUP(BR$4,Preisindex,2,FALSE)/VLOOKUP(Preisindex!$A$6,Preisindex,2,FALSE),2),0)))))</f>
        <v>0</v>
      </c>
      <c r="BT25" s="51">
        <f>IF(AND($E25&lt;&gt;0,$F25&gt;0,YEAR($F25)&lt;=BR$4,YEAR($F25)&gt;=Preisindex!$A$6),ROUND($E25*BR25,2),IF(AND($E25&lt;&gt;0,$F25&gt;0,YEAR($F25)&lt;=BR$4,YEAR($F25)&lt;Preisindex!$A$6),ROUND($E25*BS25,2),0))</f>
        <v>630000</v>
      </c>
      <c r="BU25" s="53">
        <f t="shared" si="171"/>
        <v>12600</v>
      </c>
      <c r="BV25" s="51">
        <f t="shared" si="315"/>
        <v>0</v>
      </c>
      <c r="BW25" s="51">
        <f t="shared" si="327"/>
        <v>0</v>
      </c>
      <c r="BX25" s="51">
        <f t="shared" si="174"/>
        <v>0</v>
      </c>
      <c r="BY25" s="51">
        <f t="shared" si="328"/>
        <v>0</v>
      </c>
      <c r="BZ25" s="51">
        <f t="shared" si="176"/>
        <v>500000</v>
      </c>
      <c r="CA25" s="51">
        <f t="shared" si="329"/>
        <v>500000</v>
      </c>
      <c r="CB25" s="51">
        <f t="shared" si="178"/>
        <v>10000</v>
      </c>
      <c r="CC25" s="51">
        <f t="shared" si="330"/>
        <v>10000</v>
      </c>
      <c r="CD25" s="51">
        <f t="shared" si="180"/>
        <v>355000</v>
      </c>
      <c r="CE25" s="51">
        <f t="shared" si="331"/>
        <v>355000</v>
      </c>
      <c r="CF25" s="51">
        <f t="shared" si="182"/>
        <v>145000</v>
      </c>
      <c r="CG25" s="54">
        <f t="shared" si="183"/>
        <v>0</v>
      </c>
      <c r="CH25" s="55">
        <f t="shared" si="184"/>
        <v>0</v>
      </c>
      <c r="CI25" s="56">
        <f>IF(AND($E25&lt;&gt;0,$F25&gt;0,YEAR($F25)&gt;=Preisindex!$A$6,YEAR(CD$4)&gt;=YEAR($F25),AND($K25&lt;&gt;"a",$K25&lt;&gt;"b",$K25&lt;&gt;"g",$K25&lt;&gt;"k")),1,IF(AND($E25&lt;&gt;0,$F25&gt;0,YEAR($F25)&gt;=Preisindex!$A$6,YEAR(CD$4)&gt;=YEAR($F25),$K25="a"),ROUND(VLOOKUP(CI$4,Preisindex,5,FALSE)/VLOOKUP(YEAR($F25),Preisindex,5,FALSE),2),IF(AND($E25&lt;&gt;0,$F25&gt;0,YEAR($F25)&gt;=Preisindex!$A$6,YEAR(CD$4)&gt;=YEAR($F25),$K25="b"),ROUND(VLOOKUP(CI$4,Preisindex,3,FALSE)/VLOOKUP(YEAR($F25),Preisindex,3,FALSE),2),IF(AND($E25&lt;&gt;0,$F25&gt;0,YEAR($F25)&gt;=Preisindex!$A$6,YEAR(CD$4)&gt;=YEAR($F25),$K25="g"),ROUND(VLOOKUP(CI$4,Preisindex,4,FALSE)/VLOOKUP(YEAR($F25),Preisindex,4,FALSE),2),IF(AND($E25&lt;&gt;0,$F25&gt;0,YEAR($F25)&gt;=Preisindex!$A$6,YEAR(CD$4)&gt;=YEAR($F25),$K25="k"),ROUND(VLOOKUP(CI$4,Preisindex,2,FALSE)/VLOOKUP(YEAR($F25),Preisindex,2,FALSE),2),0)))))</f>
        <v>1.27</v>
      </c>
      <c r="CJ25" s="56">
        <f>IF(AND($E25&lt;&gt;0,$F25&gt;0,YEAR($F25)&lt;Preisindex!$A$6,YEAR(CD$4)&gt;=YEAR($F25),AND($K25&lt;&gt;"a",$K25&lt;&gt;"b",$K25&lt;&gt;"g",$K25&lt;&gt;"k")),1,IF(AND($E25&lt;&gt;0,$F25&gt;0,YEAR($F25)&lt;Preisindex!$A$6,YEAR(CD$4)&gt;=YEAR($F25),$K25="a"),ROUND(VLOOKUP(CI$4,Preisindex,5,FALSE)/VLOOKUP(Preisindex!$A$6,Preisindex,5,FALSE),2),IF(AND($E25&lt;&gt;0,$F25&gt;0,YEAR($F25)&lt;Preisindex!$A$6,YEAR(CD$4)&gt;=YEAR($F25),$K25="b"),ROUND(VLOOKUP(CI$4,Preisindex,3,FALSE)/VLOOKUP(Preisindex!$A$6,Preisindex,3,FALSE),2),IF(AND($E25&lt;&gt;0,$F25&gt;0,YEAR($F25)&lt;Preisindex!$A$6,YEAR(CD$4)&gt;=YEAR($F25),$K25="g"),ROUND(VLOOKUP(CI$4,Preisindex,4,FALSE)/VLOOKUP(Preisindex!$A$6,Preisindex,4,FALSE),2),IF(AND($E25&lt;&gt;0,$F25&gt;0,YEAR($F25)&lt;Preisindex!$A$6,YEAR(CD$4)&gt;=YEAR($F25),$K25="k"),ROUND(VLOOKUP(CI$4,Preisindex,2,FALSE)/VLOOKUP(Preisindex!$A$6,Preisindex,2,FALSE),2),0)))))</f>
        <v>0</v>
      </c>
      <c r="CK25" s="51">
        <f>IF(AND($E25&lt;&gt;0,$F25&gt;0,YEAR($F25)&lt;=CI$4,YEAR($F25)&gt;=Preisindex!$A$6),ROUND($E25*CI25,2),IF(AND($E25&lt;&gt;0,$F25&gt;0,YEAR($F25)&lt;=CI$4,YEAR($F25)&lt;Preisindex!$A$6),ROUND($E25*CJ25,2),0))</f>
        <v>635000</v>
      </c>
      <c r="CL25" s="53">
        <f t="shared" si="185"/>
        <v>12700</v>
      </c>
      <c r="CM25" s="51">
        <f t="shared" si="315"/>
        <v>0</v>
      </c>
      <c r="CN25" s="51">
        <f t="shared" si="332"/>
        <v>0</v>
      </c>
      <c r="CO25" s="51">
        <f t="shared" si="188"/>
        <v>0</v>
      </c>
      <c r="CP25" s="51">
        <f t="shared" si="333"/>
        <v>0</v>
      </c>
      <c r="CQ25" s="51">
        <f t="shared" si="190"/>
        <v>500000</v>
      </c>
      <c r="CR25" s="51">
        <f t="shared" si="334"/>
        <v>500000</v>
      </c>
      <c r="CS25" s="51">
        <f t="shared" si="192"/>
        <v>10000</v>
      </c>
      <c r="CT25" s="51">
        <f t="shared" si="335"/>
        <v>10000</v>
      </c>
      <c r="CU25" s="51">
        <f t="shared" si="194"/>
        <v>345000</v>
      </c>
      <c r="CV25" s="51">
        <f t="shared" si="336"/>
        <v>345000</v>
      </c>
      <c r="CW25" s="51">
        <f t="shared" si="196"/>
        <v>155000</v>
      </c>
      <c r="CX25" s="54">
        <f t="shared" si="197"/>
        <v>0</v>
      </c>
      <c r="CY25" s="55">
        <f t="shared" si="198"/>
        <v>0</v>
      </c>
      <c r="CZ25" s="56">
        <f>IF(AND($E25&lt;&gt;0,$F25&gt;0,YEAR($F25)&gt;=Preisindex!$A$6,YEAR(CU$4)&gt;=YEAR($F25),AND($K25&lt;&gt;"a",$K25&lt;&gt;"b",$K25&lt;&gt;"g",$K25&lt;&gt;"k")),1,IF(AND($E25&lt;&gt;0,$F25&gt;0,YEAR($F25)&gt;=Preisindex!$A$6,YEAR(CU$4)&gt;=YEAR($F25),$K25="a"),ROUND(VLOOKUP(CZ$4,Preisindex,5,FALSE)/VLOOKUP(YEAR($F25),Preisindex,5,FALSE),2),IF(AND($E25&lt;&gt;0,$F25&gt;0,YEAR($F25)&gt;=Preisindex!$A$6,YEAR(CU$4)&gt;=YEAR($F25),$K25="b"),ROUND(VLOOKUP(CZ$4,Preisindex,3,FALSE)/VLOOKUP(YEAR($F25),Preisindex,3,FALSE),2),IF(AND($E25&lt;&gt;0,$F25&gt;0,YEAR($F25)&gt;=Preisindex!$A$6,YEAR(CU$4)&gt;=YEAR($F25),$K25="g"),ROUND(VLOOKUP(CZ$4,Preisindex,4,FALSE)/VLOOKUP(YEAR($F25),Preisindex,4,FALSE),2),IF(AND($E25&lt;&gt;0,$F25&gt;0,YEAR($F25)&gt;=Preisindex!$A$6,YEAR(CU$4)&gt;=YEAR($F25),$K25="k"),ROUND(VLOOKUP(CZ$4,Preisindex,2,FALSE)/VLOOKUP(YEAR($F25),Preisindex,2,FALSE),2),0)))))</f>
        <v>1.29</v>
      </c>
      <c r="DA25" s="56">
        <f>IF(AND($E25&lt;&gt;0,$F25&gt;0,YEAR($F25)&lt;Preisindex!$A$6,YEAR(CU$4)&gt;=YEAR($F25),AND($K25&lt;&gt;"a",$K25&lt;&gt;"b",$K25&lt;&gt;"g",$K25&lt;&gt;"k")),1,IF(AND($E25&lt;&gt;0,$F25&gt;0,YEAR($F25)&lt;Preisindex!$A$6,YEAR(CU$4)&gt;=YEAR($F25),$K25="a"),ROUND(VLOOKUP(CZ$4,Preisindex,5,FALSE)/VLOOKUP(Preisindex!$A$6,Preisindex,5,FALSE),2),IF(AND($E25&lt;&gt;0,$F25&gt;0,YEAR($F25)&lt;Preisindex!$A$6,YEAR(CU$4)&gt;=YEAR($F25),$K25="b"),ROUND(VLOOKUP(CZ$4,Preisindex,3,FALSE)/VLOOKUP(Preisindex!$A$6,Preisindex,3,FALSE),2),IF(AND($E25&lt;&gt;0,$F25&gt;0,YEAR($F25)&lt;Preisindex!$A$6,YEAR(CU$4)&gt;=YEAR($F25),$K25="g"),ROUND(VLOOKUP(CZ$4,Preisindex,4,FALSE)/VLOOKUP(Preisindex!$A$6,Preisindex,4,FALSE),2),IF(AND($E25&lt;&gt;0,$F25&gt;0,YEAR($F25)&lt;Preisindex!$A$6,YEAR(CU$4)&gt;=YEAR($F25),$K25="k"),ROUND(VLOOKUP(CZ$4,Preisindex,2,FALSE)/VLOOKUP(Preisindex!$A$6,Preisindex,2,FALSE),2),0)))))</f>
        <v>0</v>
      </c>
      <c r="DB25" s="51">
        <f>IF(AND($E25&lt;&gt;0,$F25&gt;0,YEAR($F25)&lt;=CZ$4,YEAR($F25)&gt;=Preisindex!$A$6),ROUND($E25*CZ25,2),IF(AND($E25&lt;&gt;0,$F25&gt;0,YEAR($F25)&lt;=CZ$4,YEAR($F25)&lt;Preisindex!$A$6),ROUND($E25*DA25,2),0))</f>
        <v>645000</v>
      </c>
      <c r="DC25" s="53">
        <f t="shared" si="199"/>
        <v>12900</v>
      </c>
      <c r="DD25" s="51">
        <f t="shared" si="316"/>
        <v>0</v>
      </c>
      <c r="DE25" s="51">
        <f t="shared" si="337"/>
        <v>0</v>
      </c>
      <c r="DF25" s="51">
        <f t="shared" si="202"/>
        <v>0</v>
      </c>
      <c r="DG25" s="51">
        <f t="shared" si="338"/>
        <v>0</v>
      </c>
      <c r="DH25" s="51">
        <f t="shared" si="204"/>
        <v>500000</v>
      </c>
      <c r="DI25" s="51">
        <f t="shared" si="339"/>
        <v>500000</v>
      </c>
      <c r="DJ25" s="51">
        <f t="shared" si="206"/>
        <v>10000</v>
      </c>
      <c r="DK25" s="51">
        <f t="shared" si="340"/>
        <v>10000</v>
      </c>
      <c r="DL25" s="51">
        <f t="shared" si="208"/>
        <v>335000</v>
      </c>
      <c r="DM25" s="51">
        <f t="shared" si="341"/>
        <v>335000</v>
      </c>
      <c r="DN25" s="51">
        <f t="shared" si="210"/>
        <v>165000</v>
      </c>
      <c r="DO25" s="54">
        <f t="shared" si="211"/>
        <v>0</v>
      </c>
      <c r="DP25" s="55">
        <f t="shared" si="212"/>
        <v>0</v>
      </c>
      <c r="DQ25" s="56">
        <f>IF(AND($E25&lt;&gt;0,$F25&gt;0,YEAR($F25)&gt;=Preisindex!$A$6,YEAR(DL$4)&gt;=YEAR($F25),AND($K25&lt;&gt;"a",$K25&lt;&gt;"b",$K25&lt;&gt;"g",$K25&lt;&gt;"k")),1,IF(AND($E25&lt;&gt;0,$F25&gt;0,YEAR($F25)&gt;=Preisindex!$A$6,YEAR(DL$4)&gt;=YEAR($F25),$K25="a"),ROUND(VLOOKUP(DQ$4,Preisindex,5,FALSE)/VLOOKUP(YEAR($F25),Preisindex,5,FALSE),2),IF(AND($E25&lt;&gt;0,$F25&gt;0,YEAR($F25)&gt;=Preisindex!$A$6,YEAR(DL$4)&gt;=YEAR($F25),$K25="b"),ROUND(VLOOKUP(DQ$4,Preisindex,3,FALSE)/VLOOKUP(YEAR($F25),Preisindex,3,FALSE),2),IF(AND($E25&lt;&gt;0,$F25&gt;0,YEAR($F25)&gt;=Preisindex!$A$6,YEAR(DL$4)&gt;=YEAR($F25),$K25="g"),ROUND(VLOOKUP(DQ$4,Preisindex,4,FALSE)/VLOOKUP(YEAR($F25),Preisindex,4,FALSE),2),IF(AND($E25&lt;&gt;0,$F25&gt;0,YEAR($F25)&gt;=Preisindex!$A$6,YEAR(DL$4)&gt;=YEAR($F25),$K25="k"),ROUND(VLOOKUP(DQ$4,Preisindex,2,FALSE)/VLOOKUP(YEAR($F25),Preisindex,2,FALSE),2),0)))))</f>
        <v>1.34</v>
      </c>
      <c r="DR25" s="56">
        <f>IF(AND($E25&lt;&gt;0,$F25&gt;0,YEAR($F25)&lt;Preisindex!$A$6,YEAR(DL$4)&gt;=YEAR($F25),AND($K25&lt;&gt;"a",$K25&lt;&gt;"b",$K25&lt;&gt;"g",$K25&lt;&gt;"k")),1,IF(AND($E25&lt;&gt;0,$F25&gt;0,YEAR($F25)&lt;Preisindex!$A$6,YEAR(DL$4)&gt;=YEAR($F25),$K25="a"),ROUND(VLOOKUP(DQ$4,Preisindex,5,FALSE)/VLOOKUP(Preisindex!$A$6,Preisindex,5,FALSE),2),IF(AND($E25&lt;&gt;0,$F25&gt;0,YEAR($F25)&lt;Preisindex!$A$6,YEAR(DL$4)&gt;=YEAR($F25),$K25="b"),ROUND(VLOOKUP(DQ$4,Preisindex,3,FALSE)/VLOOKUP(Preisindex!$A$6,Preisindex,3,FALSE),2),IF(AND($E25&lt;&gt;0,$F25&gt;0,YEAR($F25)&lt;Preisindex!$A$6,YEAR(DL$4)&gt;=YEAR($F25),$K25="g"),ROUND(VLOOKUP(DQ$4,Preisindex,4,FALSE)/VLOOKUP(Preisindex!$A$6,Preisindex,4,FALSE),2),IF(AND($E25&lt;&gt;0,$F25&gt;0,YEAR($F25)&lt;Preisindex!$A$6,YEAR(DL$4)&gt;=YEAR($F25),$K25="k"),ROUND(VLOOKUP(DQ$4,Preisindex,2,FALSE)/VLOOKUP(Preisindex!$A$6,Preisindex,2,FALSE),2),0)))))</f>
        <v>0</v>
      </c>
      <c r="DS25" s="51">
        <f>IF(AND($E25&lt;&gt;0,$F25&gt;0,YEAR($F25)&lt;=DQ$4,YEAR($F25)&gt;=Preisindex!$A$6),ROUND($E25*DQ25,2),IF(AND($E25&lt;&gt;0,$F25&gt;0,YEAR($F25)&lt;=DQ$4,YEAR($F25)&lt;Preisindex!$A$6),ROUND($E25*DR25,2),0))</f>
        <v>670000</v>
      </c>
      <c r="DT25" s="53">
        <f t="shared" si="213"/>
        <v>13400</v>
      </c>
      <c r="DU25" s="51">
        <f t="shared" si="316"/>
        <v>0</v>
      </c>
      <c r="DV25" s="51">
        <f t="shared" si="342"/>
        <v>0</v>
      </c>
      <c r="DW25" s="51">
        <f t="shared" si="216"/>
        <v>0</v>
      </c>
      <c r="DX25" s="51">
        <f t="shared" si="343"/>
        <v>0</v>
      </c>
      <c r="DY25" s="51">
        <f t="shared" si="218"/>
        <v>500000</v>
      </c>
      <c r="DZ25" s="51">
        <f t="shared" si="344"/>
        <v>500000</v>
      </c>
      <c r="EA25" s="51">
        <f t="shared" si="220"/>
        <v>10000</v>
      </c>
      <c r="EB25" s="51">
        <f t="shared" si="345"/>
        <v>10000</v>
      </c>
      <c r="EC25" s="51">
        <f t="shared" si="222"/>
        <v>325000</v>
      </c>
      <c r="ED25" s="51">
        <f t="shared" si="346"/>
        <v>325000</v>
      </c>
      <c r="EE25" s="51">
        <f t="shared" si="224"/>
        <v>175000</v>
      </c>
      <c r="EF25" s="54">
        <f t="shared" si="225"/>
        <v>0</v>
      </c>
      <c r="EG25" s="55">
        <f t="shared" si="226"/>
        <v>0</v>
      </c>
      <c r="EH25" s="56">
        <f>IF(AND($E25&lt;&gt;0,$F25&gt;0,YEAR($F25)&gt;=Preisindex!$A$6,YEAR(EC$4)&gt;=YEAR($F25),AND($K25&lt;&gt;"a",$K25&lt;&gt;"b",$K25&lt;&gt;"g",$K25&lt;&gt;"k")),1,IF(AND($E25&lt;&gt;0,$F25&gt;0,YEAR($F25)&gt;=Preisindex!$A$6,YEAR(EC$4)&gt;=YEAR($F25),$K25="a"),ROUND(VLOOKUP(EH$4,Preisindex,5,FALSE)/VLOOKUP(YEAR($F25),Preisindex,5,FALSE),2),IF(AND($E25&lt;&gt;0,$F25&gt;0,YEAR($F25)&gt;=Preisindex!$A$6,YEAR(EC$4)&gt;=YEAR($F25),$K25="b"),ROUND(VLOOKUP(EH$4,Preisindex,3,FALSE)/VLOOKUP(YEAR($F25),Preisindex,3,FALSE),2),IF(AND($E25&lt;&gt;0,$F25&gt;0,YEAR($F25)&gt;=Preisindex!$A$6,YEAR(EC$4)&gt;=YEAR($F25),$K25="g"),ROUND(VLOOKUP(EH$4,Preisindex,4,FALSE)/VLOOKUP(YEAR($F25),Preisindex,4,FALSE),2),IF(AND($E25&lt;&gt;0,$F25&gt;0,YEAR($F25)&gt;=Preisindex!$A$6,YEAR(EC$4)&gt;=YEAR($F25),$K25="k"),ROUND(VLOOKUP(EH$4,Preisindex,2,FALSE)/VLOOKUP(YEAR($F25),Preisindex,2,FALSE),2),0)))))</f>
        <v>1.4</v>
      </c>
      <c r="EI25" s="56">
        <f>IF(AND($E25&lt;&gt;0,$F25&gt;0,YEAR($F25)&lt;Preisindex!$A$6,YEAR(EC$4)&gt;=YEAR($F25),AND($K25&lt;&gt;"a",$K25&lt;&gt;"b",$K25&lt;&gt;"g",$K25&lt;&gt;"k")),1,IF(AND($E25&lt;&gt;0,$F25&gt;0,YEAR($F25)&lt;Preisindex!$A$6,YEAR(EC$4)&gt;=YEAR($F25),$K25="a"),ROUND(VLOOKUP(EH$4,Preisindex,5,FALSE)/VLOOKUP(Preisindex!$A$6,Preisindex,5,FALSE),2),IF(AND($E25&lt;&gt;0,$F25&gt;0,YEAR($F25)&lt;Preisindex!$A$6,YEAR(EC$4)&gt;=YEAR($F25),$K25="b"),ROUND(VLOOKUP(EH$4,Preisindex,3,FALSE)/VLOOKUP(Preisindex!$A$6,Preisindex,3,FALSE),2),IF(AND($E25&lt;&gt;0,$F25&gt;0,YEAR($F25)&lt;Preisindex!$A$6,YEAR(EC$4)&gt;=YEAR($F25),$K25="g"),ROUND(VLOOKUP(EH$4,Preisindex,4,FALSE)/VLOOKUP(Preisindex!$A$6,Preisindex,4,FALSE),2),IF(AND($E25&lt;&gt;0,$F25&gt;0,YEAR($F25)&lt;Preisindex!$A$6,YEAR(EC$4)&gt;=YEAR($F25),$K25="k"),ROUND(VLOOKUP(EH$4,Preisindex,2,FALSE)/VLOOKUP(Preisindex!$A$6,Preisindex,2,FALSE),2),0)))))</f>
        <v>0</v>
      </c>
      <c r="EJ25" s="51">
        <f>IF(AND($E25&lt;&gt;0,$F25&gt;0,YEAR($F25)&lt;=EH$4,YEAR($F25)&gt;=Preisindex!$A$6),ROUND($E25*EH25,2),IF(AND($E25&lt;&gt;0,$F25&gt;0,YEAR($F25)&lt;=EH$4,YEAR($F25)&lt;Preisindex!$A$6),ROUND($E25*EI25,2),0))</f>
        <v>700000</v>
      </c>
      <c r="EK25" s="53">
        <f t="shared" si="227"/>
        <v>14000</v>
      </c>
      <c r="EL25" s="51">
        <f t="shared" si="316"/>
        <v>0</v>
      </c>
      <c r="EM25" s="51">
        <f t="shared" si="347"/>
        <v>0</v>
      </c>
      <c r="EN25" s="51">
        <f t="shared" si="230"/>
        <v>0</v>
      </c>
      <c r="EO25" s="51">
        <f t="shared" si="348"/>
        <v>0</v>
      </c>
      <c r="EP25" s="51">
        <f t="shared" si="232"/>
        <v>500000</v>
      </c>
      <c r="EQ25" s="51">
        <f t="shared" si="349"/>
        <v>500000</v>
      </c>
      <c r="ER25" s="51">
        <f t="shared" si="234"/>
        <v>10000</v>
      </c>
      <c r="ES25" s="51">
        <f t="shared" si="350"/>
        <v>10000</v>
      </c>
      <c r="ET25" s="51">
        <f t="shared" si="236"/>
        <v>315000</v>
      </c>
      <c r="EU25" s="51">
        <f t="shared" si="351"/>
        <v>315000</v>
      </c>
      <c r="EV25" s="51">
        <f t="shared" si="238"/>
        <v>185000</v>
      </c>
      <c r="EW25" s="54">
        <f t="shared" si="239"/>
        <v>0</v>
      </c>
      <c r="EX25" s="55">
        <f t="shared" si="240"/>
        <v>0</v>
      </c>
      <c r="EY25" s="56">
        <f>IF(AND($E25&lt;&gt;0,$F25&gt;0,YEAR($F25)&gt;=Preisindex!$A$6,YEAR(ET$4)&gt;=YEAR($F25),AND($K25&lt;&gt;"a",$K25&lt;&gt;"b",$K25&lt;&gt;"g",$K25&lt;&gt;"k")),1,IF(AND($E25&lt;&gt;0,$F25&gt;0,YEAR($F25)&gt;=Preisindex!$A$6,YEAR(ET$4)&gt;=YEAR($F25),$K25="a"),ROUND(VLOOKUP(EY$4,Preisindex,5,FALSE)/VLOOKUP(YEAR($F25),Preisindex,5,FALSE),2),IF(AND($E25&lt;&gt;0,$F25&gt;0,YEAR($F25)&gt;=Preisindex!$A$6,YEAR(ET$4)&gt;=YEAR($F25),$K25="b"),ROUND(VLOOKUP(EY$4,Preisindex,3,FALSE)/VLOOKUP(YEAR($F25),Preisindex,3,FALSE),2),IF(AND($E25&lt;&gt;0,$F25&gt;0,YEAR($F25)&gt;=Preisindex!$A$6,YEAR(ET$4)&gt;=YEAR($F25),$K25="g"),ROUND(VLOOKUP(EY$4,Preisindex,4,FALSE)/VLOOKUP(YEAR($F25),Preisindex,4,FALSE),2),IF(AND($E25&lt;&gt;0,$F25&gt;0,YEAR($F25)&gt;=Preisindex!$A$6,YEAR(ET$4)&gt;=YEAR($F25),$K25="k"),ROUND(VLOOKUP(EY$4,Preisindex,2,FALSE)/VLOOKUP(YEAR($F25),Preisindex,2,FALSE),2),0)))))</f>
        <v>1.4</v>
      </c>
      <c r="EZ25" s="56">
        <f>IF(AND($E25&lt;&gt;0,$F25&gt;0,YEAR($F25)&lt;Preisindex!$A$6,YEAR(ET$4)&gt;=YEAR($F25),AND($K25&lt;&gt;"a",$K25&lt;&gt;"b",$K25&lt;&gt;"g",$K25&lt;&gt;"k")),1,IF(AND($E25&lt;&gt;0,$F25&gt;0,YEAR($F25)&lt;Preisindex!$A$6,YEAR(ET$4)&gt;=YEAR($F25),$K25="a"),ROUND(VLOOKUP(EY$4,Preisindex,5,FALSE)/VLOOKUP(Preisindex!$A$6,Preisindex,5,FALSE),2),IF(AND($E25&lt;&gt;0,$F25&gt;0,YEAR($F25)&lt;Preisindex!$A$6,YEAR(ET$4)&gt;=YEAR($F25),$K25="b"),ROUND(VLOOKUP(EY$4,Preisindex,3,FALSE)/VLOOKUP(Preisindex!$A$6,Preisindex,3,FALSE),2),IF(AND($E25&lt;&gt;0,$F25&gt;0,YEAR($F25)&lt;Preisindex!$A$6,YEAR(ET$4)&gt;=YEAR($F25),$K25="g"),ROUND(VLOOKUP(EY$4,Preisindex,4,FALSE)/VLOOKUP(Preisindex!$A$6,Preisindex,4,FALSE),2),IF(AND($E25&lt;&gt;0,$F25&gt;0,YEAR($F25)&lt;Preisindex!$A$6,YEAR(ET$4)&gt;=YEAR($F25),$K25="k"),ROUND(VLOOKUP(EY$4,Preisindex,2,FALSE)/VLOOKUP(Preisindex!$A$6,Preisindex,2,FALSE),2),0)))))</f>
        <v>0</v>
      </c>
      <c r="FA25" s="51">
        <f>IF(AND($E25&lt;&gt;0,$F25&gt;0,YEAR($F25)&lt;=EY$4,YEAR($F25)&gt;=Preisindex!$A$6),ROUND($E25*EY25,2),IF(AND($E25&lt;&gt;0,$F25&gt;0,YEAR($F25)&lt;=EY$4,YEAR($F25)&lt;Preisindex!$A$6),ROUND($E25*EZ25,2),0))</f>
        <v>700000</v>
      </c>
      <c r="FB25" s="53">
        <f t="shared" si="241"/>
        <v>14000</v>
      </c>
      <c r="FC25" s="51">
        <f t="shared" si="316"/>
        <v>0</v>
      </c>
      <c r="FD25" s="51">
        <f t="shared" si="352"/>
        <v>0</v>
      </c>
      <c r="FE25" s="51">
        <f t="shared" si="244"/>
        <v>0</v>
      </c>
      <c r="FF25" s="51">
        <f t="shared" si="353"/>
        <v>0</v>
      </c>
      <c r="FG25" s="51">
        <f t="shared" si="246"/>
        <v>500000</v>
      </c>
      <c r="FH25" s="51">
        <f t="shared" si="354"/>
        <v>500000</v>
      </c>
      <c r="FI25" s="51">
        <f t="shared" si="248"/>
        <v>10000</v>
      </c>
      <c r="FJ25" s="51">
        <f t="shared" si="355"/>
        <v>10000</v>
      </c>
      <c r="FK25" s="51">
        <f t="shared" si="250"/>
        <v>305000</v>
      </c>
      <c r="FL25" s="51">
        <f t="shared" si="356"/>
        <v>305000</v>
      </c>
      <c r="FM25" s="51">
        <f t="shared" si="252"/>
        <v>195000</v>
      </c>
      <c r="FN25" s="54">
        <f t="shared" si="253"/>
        <v>0</v>
      </c>
      <c r="FO25" s="55">
        <f t="shared" si="254"/>
        <v>0</v>
      </c>
      <c r="FP25" s="56">
        <f>IF(AND($E25&lt;&gt;0,$F25&gt;0,YEAR($F25)&gt;=Preisindex!$A$6,YEAR(FK$4)&gt;=YEAR($F25),AND($K25&lt;&gt;"a",$K25&lt;&gt;"b",$K25&lt;&gt;"g",$K25&lt;&gt;"k")),1,IF(AND($E25&lt;&gt;0,$F25&gt;0,YEAR($F25)&gt;=Preisindex!$A$6,YEAR(FK$4)&gt;=YEAR($F25),$K25="a"),ROUND(VLOOKUP(FP$4,Preisindex,5,FALSE)/VLOOKUP(YEAR($F25),Preisindex,5,FALSE),2),IF(AND($E25&lt;&gt;0,$F25&gt;0,YEAR($F25)&gt;=Preisindex!$A$6,YEAR(FK$4)&gt;=YEAR($F25),$K25="b"),ROUND(VLOOKUP(FP$4,Preisindex,3,FALSE)/VLOOKUP(YEAR($F25),Preisindex,3,FALSE),2),IF(AND($E25&lt;&gt;0,$F25&gt;0,YEAR($F25)&gt;=Preisindex!$A$6,YEAR(FK$4)&gt;=YEAR($F25),$K25="g"),ROUND(VLOOKUP(FP$4,Preisindex,4,FALSE)/VLOOKUP(YEAR($F25),Preisindex,4,FALSE),2),IF(AND($E25&lt;&gt;0,$F25&gt;0,YEAR($F25)&gt;=Preisindex!$A$6,YEAR(FK$4)&gt;=YEAR($F25),$K25="k"),ROUND(VLOOKUP(FP$4,Preisindex,2,FALSE)/VLOOKUP(YEAR($F25),Preisindex,2,FALSE),2),0)))))</f>
        <v>1.4</v>
      </c>
      <c r="FQ25" s="56">
        <f>IF(AND($E25&lt;&gt;0,$F25&gt;0,YEAR($F25)&lt;Preisindex!$A$6,YEAR(FK$4)&gt;=YEAR($F25),AND($K25&lt;&gt;"a",$K25&lt;&gt;"b",$K25&lt;&gt;"g",$K25&lt;&gt;"k")),1,IF(AND($E25&lt;&gt;0,$F25&gt;0,YEAR($F25)&lt;Preisindex!$A$6,YEAR(FK$4)&gt;=YEAR($F25),$K25="a"),ROUND(VLOOKUP(FP$4,Preisindex,5,FALSE)/VLOOKUP(Preisindex!$A$6,Preisindex,5,FALSE),2),IF(AND($E25&lt;&gt;0,$F25&gt;0,YEAR($F25)&lt;Preisindex!$A$6,YEAR(FK$4)&gt;=YEAR($F25),$K25="b"),ROUND(VLOOKUP(FP$4,Preisindex,3,FALSE)/VLOOKUP(Preisindex!$A$6,Preisindex,3,FALSE),2),IF(AND($E25&lt;&gt;0,$F25&gt;0,YEAR($F25)&lt;Preisindex!$A$6,YEAR(FK$4)&gt;=YEAR($F25),$K25="g"),ROUND(VLOOKUP(FP$4,Preisindex,4,FALSE)/VLOOKUP(Preisindex!$A$6,Preisindex,4,FALSE),2),IF(AND($E25&lt;&gt;0,$F25&gt;0,YEAR($F25)&lt;Preisindex!$A$6,YEAR(FK$4)&gt;=YEAR($F25),$K25="k"),ROUND(VLOOKUP(FP$4,Preisindex,2,FALSE)/VLOOKUP(Preisindex!$A$6,Preisindex,2,FALSE),2),0)))))</f>
        <v>0</v>
      </c>
      <c r="FR25" s="51">
        <f>IF(AND($E25&lt;&gt;0,$F25&gt;0,YEAR($F25)&lt;=FP$4,YEAR($F25)&gt;=Preisindex!$A$6),ROUND($E25*FP25,2),IF(AND($E25&lt;&gt;0,$F25&gt;0,YEAR($F25)&lt;=FP$4,YEAR($F25)&lt;Preisindex!$A$6),ROUND($E25*FQ25,2),0))</f>
        <v>700000</v>
      </c>
      <c r="FS25" s="53">
        <f t="shared" si="255"/>
        <v>14000</v>
      </c>
    </row>
    <row r="26" spans="1:175" x14ac:dyDescent="0.3">
      <c r="A26" s="93">
        <v>2004</v>
      </c>
      <c r="B26" s="94" t="s">
        <v>215</v>
      </c>
      <c r="C26" s="94"/>
      <c r="D26" s="95" t="s">
        <v>18</v>
      </c>
      <c r="E26" s="99">
        <v>360000</v>
      </c>
      <c r="F26" s="97">
        <v>38169</v>
      </c>
      <c r="G26" s="100">
        <v>50</v>
      </c>
      <c r="H26" s="622"/>
      <c r="I26" s="621"/>
      <c r="J26" s="194"/>
      <c r="K26" s="630" t="s">
        <v>266</v>
      </c>
      <c r="L26" s="49">
        <f t="shared" si="296"/>
        <v>0.02</v>
      </c>
      <c r="M26" s="50">
        <f t="shared" si="297"/>
        <v>7200</v>
      </c>
      <c r="N26" s="51">
        <f t="shared" si="298"/>
        <v>306000</v>
      </c>
      <c r="O26" s="51"/>
      <c r="P26" s="51">
        <f t="shared" si="299"/>
        <v>54000</v>
      </c>
      <c r="Q26" s="52"/>
      <c r="R26" s="52"/>
      <c r="S26" s="52"/>
      <c r="T26" s="52"/>
      <c r="U26" s="52"/>
      <c r="V26" s="53">
        <f t="shared" si="300"/>
        <v>360000</v>
      </c>
      <c r="W26" s="51">
        <f t="shared" si="301"/>
        <v>0</v>
      </c>
      <c r="X26" s="51">
        <f t="shared" si="302"/>
        <v>0</v>
      </c>
      <c r="Y26" s="51">
        <f t="shared" si="303"/>
        <v>0</v>
      </c>
      <c r="Z26" s="51">
        <f t="shared" si="304"/>
        <v>0</v>
      </c>
      <c r="AA26" s="51">
        <f t="shared" si="305"/>
        <v>360000</v>
      </c>
      <c r="AB26" s="51">
        <f t="shared" si="306"/>
        <v>360000</v>
      </c>
      <c r="AC26" s="51">
        <f t="shared" si="307"/>
        <v>7200</v>
      </c>
      <c r="AD26" s="51">
        <f t="shared" si="308"/>
        <v>7200</v>
      </c>
      <c r="AE26" s="51">
        <f t="shared" si="309"/>
        <v>298800</v>
      </c>
      <c r="AF26" s="51">
        <f t="shared" si="310"/>
        <v>298800</v>
      </c>
      <c r="AG26" s="51">
        <f t="shared" si="311"/>
        <v>61200</v>
      </c>
      <c r="AH26" s="54">
        <f t="shared" si="312"/>
        <v>0</v>
      </c>
      <c r="AI26" s="55">
        <f t="shared" si="313"/>
        <v>0</v>
      </c>
      <c r="AJ26" s="56">
        <f>IF(AND($E26&lt;&gt;0,$F26&gt;0,YEAR($F26)&gt;=Preisindex!$A$6,YEAR(AE$4)&gt;=YEAR($F26),AND($K26&lt;&gt;"a",$K26&lt;&gt;"b",$K26&lt;&gt;"g",$K26&lt;&gt;"k")),1,IF(AND($E26&lt;&gt;0,$F26&gt;0,YEAR($F26)&gt;=Preisindex!$A$6,YEAR(AE$4)&gt;=YEAR($F26),$K26="a"),ROUND(VLOOKUP(AJ$4,Preisindex,5,FALSE)/VLOOKUP(YEAR($F26),Preisindex,5,FALSE),2),IF(AND($E26&lt;&gt;0,$F26&gt;0,YEAR($F26)&gt;=Preisindex!$A$6,YEAR(AE$4)&gt;=YEAR($F26),$K26="b"),ROUND(VLOOKUP(AJ$4,Preisindex,3,FALSE)/VLOOKUP(YEAR($F26),Preisindex,3,FALSE),2),IF(AND($E26&lt;&gt;0,$F26&gt;0,YEAR($F26)&gt;=Preisindex!$A$6,YEAR(AE$4)&gt;=YEAR($F26),$K26="g"),ROUND(VLOOKUP(AJ$4,Preisindex,4,FALSE)/VLOOKUP(YEAR($F26),Preisindex,4,FALSE),2),IF(AND($E26&lt;&gt;0,$F26&gt;0,YEAR($F26)&gt;=Preisindex!$A$6,YEAR(AE$4)&gt;=YEAR($F26),$K26="k"),ROUND(VLOOKUP(AJ$4,Preisindex,2,FALSE)/VLOOKUP(YEAR($F26),Preisindex,2,FALSE),2),0)))))</f>
        <v>1.24</v>
      </c>
      <c r="AK26" s="56">
        <f>IF(AND($E26&lt;&gt;0,$F26&gt;0,YEAR($F26)&lt;Preisindex!$A$6,YEAR(AE$4)&gt;=YEAR($F26),AND($K26&lt;&gt;"a",$K26&lt;&gt;"b",$K26&lt;&gt;"g",$K26&lt;&gt;"k")),1,IF(AND($E26&lt;&gt;0,$F26&gt;0,YEAR($F26)&lt;Preisindex!$A$6,YEAR(AE$4)&gt;=YEAR($F26),$K26="a"),ROUND(VLOOKUP(AJ$4,Preisindex,5,FALSE)/VLOOKUP(Preisindex!$A$6,Preisindex,5,FALSE),2),IF(AND($E26&lt;&gt;0,$F26&gt;0,YEAR($F26)&lt;Preisindex!$A$6,YEAR(AE$4)&gt;=YEAR($F26),$K26="b"),ROUND(VLOOKUP(AJ$4,Preisindex,3,FALSE)/VLOOKUP(Preisindex!$A$6,Preisindex,3,FALSE),2),IF(AND($E26&lt;&gt;0,$F26&gt;0,YEAR($F26)&lt;Preisindex!$A$6,YEAR(AE$4)&gt;=YEAR($F26),$K26="g"),ROUND(VLOOKUP(AJ$4,Preisindex,4,FALSE)/VLOOKUP(Preisindex!$A$6,Preisindex,4,FALSE),2),IF(AND($E26&lt;&gt;0,$F26&gt;0,YEAR($F26)&lt;Preisindex!$A$6,YEAR(AE$4)&gt;=YEAR($F26),$K26="k"),ROUND(VLOOKUP(AJ$4,Preisindex,2,FALSE)/VLOOKUP(Preisindex!$A$6,Preisindex,2,FALSE),2),0)))))</f>
        <v>0</v>
      </c>
      <c r="AL26" s="51">
        <f>IF(AND($E26&lt;&gt;0,$F26&gt;0,YEAR($F26)&lt;=AJ$4,YEAR($F26)&gt;=Preisindex!$A$6),ROUND($E26*AJ26,2),IF(AND($E26&lt;&gt;0,$F26&gt;0,YEAR($F26)&lt;=AJ$4,YEAR($F26)&lt;Preisindex!$A$6),ROUND($E26*AK26,2),0))</f>
        <v>446400</v>
      </c>
      <c r="AM26" s="53">
        <f t="shared" si="314"/>
        <v>8928</v>
      </c>
      <c r="AN26" s="51">
        <f t="shared" si="315"/>
        <v>0</v>
      </c>
      <c r="AO26" s="51">
        <f t="shared" si="317"/>
        <v>0</v>
      </c>
      <c r="AP26" s="51">
        <f t="shared" si="146"/>
        <v>0</v>
      </c>
      <c r="AQ26" s="51">
        <f t="shared" si="318"/>
        <v>0</v>
      </c>
      <c r="AR26" s="51">
        <f t="shared" si="148"/>
        <v>360000</v>
      </c>
      <c r="AS26" s="51">
        <f t="shared" si="319"/>
        <v>360000</v>
      </c>
      <c r="AT26" s="51">
        <f t="shared" si="150"/>
        <v>7200</v>
      </c>
      <c r="AU26" s="51">
        <f t="shared" si="320"/>
        <v>7200</v>
      </c>
      <c r="AV26" s="51">
        <f t="shared" si="152"/>
        <v>291600</v>
      </c>
      <c r="AW26" s="51">
        <f t="shared" si="321"/>
        <v>291600</v>
      </c>
      <c r="AX26" s="51">
        <f t="shared" si="154"/>
        <v>68400</v>
      </c>
      <c r="AY26" s="54">
        <f t="shared" si="155"/>
        <v>0</v>
      </c>
      <c r="AZ26" s="55">
        <f t="shared" si="156"/>
        <v>0</v>
      </c>
      <c r="BA26" s="56">
        <f>IF(AND($E26&lt;&gt;0,$F26&gt;0,YEAR($F26)&gt;=Preisindex!$A$6,YEAR(AV$4)&gt;=YEAR($F26),AND($K26&lt;&gt;"a",$K26&lt;&gt;"b",$K26&lt;&gt;"g",$K26&lt;&gt;"k")),1,IF(AND($E26&lt;&gt;0,$F26&gt;0,YEAR($F26)&gt;=Preisindex!$A$6,YEAR(AV$4)&gt;=YEAR($F26),$K26="a"),ROUND(VLOOKUP(BA$4,Preisindex,5,FALSE)/VLOOKUP(YEAR($F26),Preisindex,5,FALSE),2),IF(AND($E26&lt;&gt;0,$F26&gt;0,YEAR($F26)&gt;=Preisindex!$A$6,YEAR(AV$4)&gt;=YEAR($F26),$K26="b"),ROUND(VLOOKUP(BA$4,Preisindex,3,FALSE)/VLOOKUP(YEAR($F26),Preisindex,3,FALSE),2),IF(AND($E26&lt;&gt;0,$F26&gt;0,YEAR($F26)&gt;=Preisindex!$A$6,YEAR(AV$4)&gt;=YEAR($F26),$K26="g"),ROUND(VLOOKUP(BA$4,Preisindex,4,FALSE)/VLOOKUP(YEAR($F26),Preisindex,4,FALSE),2),IF(AND($E26&lt;&gt;0,$F26&gt;0,YEAR($F26)&gt;=Preisindex!$A$6,YEAR(AV$4)&gt;=YEAR($F26),$K26="k"),ROUND(VLOOKUP(BA$4,Preisindex,2,FALSE)/VLOOKUP(YEAR($F26),Preisindex,2,FALSE),2),0)))))</f>
        <v>1.26</v>
      </c>
      <c r="BB26" s="56">
        <f>IF(AND($E26&lt;&gt;0,$F26&gt;0,YEAR($F26)&lt;Preisindex!$A$6,YEAR(AV$4)&gt;=YEAR($F26),AND($K26&lt;&gt;"a",$K26&lt;&gt;"b",$K26&lt;&gt;"g",$K26&lt;&gt;"k")),1,IF(AND($E26&lt;&gt;0,$F26&gt;0,YEAR($F26)&lt;Preisindex!$A$6,YEAR(AV$4)&gt;=YEAR($F26),$K26="a"),ROUND(VLOOKUP(BA$4,Preisindex,5,FALSE)/VLOOKUP(Preisindex!$A$6,Preisindex,5,FALSE),2),IF(AND($E26&lt;&gt;0,$F26&gt;0,YEAR($F26)&lt;Preisindex!$A$6,YEAR(AV$4)&gt;=YEAR($F26),$K26="b"),ROUND(VLOOKUP(BA$4,Preisindex,3,FALSE)/VLOOKUP(Preisindex!$A$6,Preisindex,3,FALSE),2),IF(AND($E26&lt;&gt;0,$F26&gt;0,YEAR($F26)&lt;Preisindex!$A$6,YEAR(AV$4)&gt;=YEAR($F26),$K26="g"),ROUND(VLOOKUP(BA$4,Preisindex,4,FALSE)/VLOOKUP(Preisindex!$A$6,Preisindex,4,FALSE),2),IF(AND($E26&lt;&gt;0,$F26&gt;0,YEAR($F26)&lt;Preisindex!$A$6,YEAR(AV$4)&gt;=YEAR($F26),$K26="k"),ROUND(VLOOKUP(BA$4,Preisindex,2,FALSE)/VLOOKUP(Preisindex!$A$6,Preisindex,2,FALSE),2),0)))))</f>
        <v>0</v>
      </c>
      <c r="BC26" s="51">
        <f>IF(AND($E26&lt;&gt;0,$F26&gt;0,YEAR($F26)&lt;=BA$4,YEAR($F26)&gt;=Preisindex!$A$6),ROUND($E26*BA26,2),IF(AND($E26&lt;&gt;0,$F26&gt;0,YEAR($F26)&lt;=BA$4,YEAR($F26)&lt;Preisindex!$A$6),ROUND($E26*BB26,2),0))</f>
        <v>453600</v>
      </c>
      <c r="BD26" s="53">
        <f t="shared" si="157"/>
        <v>9072</v>
      </c>
      <c r="BE26" s="51">
        <f t="shared" si="315"/>
        <v>0</v>
      </c>
      <c r="BF26" s="51">
        <f t="shared" si="322"/>
        <v>0</v>
      </c>
      <c r="BG26" s="51">
        <f t="shared" si="160"/>
        <v>0</v>
      </c>
      <c r="BH26" s="51">
        <f t="shared" si="323"/>
        <v>0</v>
      </c>
      <c r="BI26" s="51">
        <f t="shared" si="162"/>
        <v>360000</v>
      </c>
      <c r="BJ26" s="51">
        <f t="shared" si="324"/>
        <v>360000</v>
      </c>
      <c r="BK26" s="51">
        <f t="shared" si="164"/>
        <v>7200</v>
      </c>
      <c r="BL26" s="51">
        <f t="shared" si="325"/>
        <v>7200</v>
      </c>
      <c r="BM26" s="51">
        <f t="shared" si="166"/>
        <v>284400</v>
      </c>
      <c r="BN26" s="51">
        <f t="shared" si="326"/>
        <v>284400</v>
      </c>
      <c r="BO26" s="51">
        <f t="shared" si="168"/>
        <v>75600</v>
      </c>
      <c r="BP26" s="54">
        <f t="shared" si="169"/>
        <v>0</v>
      </c>
      <c r="BQ26" s="55">
        <f t="shared" si="170"/>
        <v>0</v>
      </c>
      <c r="BR26" s="56">
        <f>IF(AND($E26&lt;&gt;0,$F26&gt;0,YEAR($F26)&gt;=Preisindex!$A$6,YEAR(BM$4)&gt;=YEAR($F26),AND($K26&lt;&gt;"a",$K26&lt;&gt;"b",$K26&lt;&gt;"g",$K26&lt;&gt;"k")),1,IF(AND($E26&lt;&gt;0,$F26&gt;0,YEAR($F26)&gt;=Preisindex!$A$6,YEAR(BM$4)&gt;=YEAR($F26),$K26="a"),ROUND(VLOOKUP(BR$4,Preisindex,5,FALSE)/VLOOKUP(YEAR($F26),Preisindex,5,FALSE),2),IF(AND($E26&lt;&gt;0,$F26&gt;0,YEAR($F26)&gt;=Preisindex!$A$6,YEAR(BM$4)&gt;=YEAR($F26),$K26="b"),ROUND(VLOOKUP(BR$4,Preisindex,3,FALSE)/VLOOKUP(YEAR($F26),Preisindex,3,FALSE),2),IF(AND($E26&lt;&gt;0,$F26&gt;0,YEAR($F26)&gt;=Preisindex!$A$6,YEAR(BM$4)&gt;=YEAR($F26),$K26="g"),ROUND(VLOOKUP(BR$4,Preisindex,4,FALSE)/VLOOKUP(YEAR($F26),Preisindex,4,FALSE),2),IF(AND($E26&lt;&gt;0,$F26&gt;0,YEAR($F26)&gt;=Preisindex!$A$6,YEAR(BM$4)&gt;=YEAR($F26),$K26="k"),ROUND(VLOOKUP(BR$4,Preisindex,2,FALSE)/VLOOKUP(YEAR($F26),Preisindex,2,FALSE),2),0)))))</f>
        <v>1.28</v>
      </c>
      <c r="BS26" s="56">
        <f>IF(AND($E26&lt;&gt;0,$F26&gt;0,YEAR($F26)&lt;Preisindex!$A$6,YEAR(BM$4)&gt;=YEAR($F26),AND($K26&lt;&gt;"a",$K26&lt;&gt;"b",$K26&lt;&gt;"g",$K26&lt;&gt;"k")),1,IF(AND($E26&lt;&gt;0,$F26&gt;0,YEAR($F26)&lt;Preisindex!$A$6,YEAR(BM$4)&gt;=YEAR($F26),$K26="a"),ROUND(VLOOKUP(BR$4,Preisindex,5,FALSE)/VLOOKUP(Preisindex!$A$6,Preisindex,5,FALSE),2),IF(AND($E26&lt;&gt;0,$F26&gt;0,YEAR($F26)&lt;Preisindex!$A$6,YEAR(BM$4)&gt;=YEAR($F26),$K26="b"),ROUND(VLOOKUP(BR$4,Preisindex,3,FALSE)/VLOOKUP(Preisindex!$A$6,Preisindex,3,FALSE),2),IF(AND($E26&lt;&gt;0,$F26&gt;0,YEAR($F26)&lt;Preisindex!$A$6,YEAR(BM$4)&gt;=YEAR($F26),$K26="g"),ROUND(VLOOKUP(BR$4,Preisindex,4,FALSE)/VLOOKUP(Preisindex!$A$6,Preisindex,4,FALSE),2),IF(AND($E26&lt;&gt;0,$F26&gt;0,YEAR($F26)&lt;Preisindex!$A$6,YEAR(BM$4)&gt;=YEAR($F26),$K26="k"),ROUND(VLOOKUP(BR$4,Preisindex,2,FALSE)/VLOOKUP(Preisindex!$A$6,Preisindex,2,FALSE),2),0)))))</f>
        <v>0</v>
      </c>
      <c r="BT26" s="51">
        <f>IF(AND($E26&lt;&gt;0,$F26&gt;0,YEAR($F26)&lt;=BR$4,YEAR($F26)&gt;=Preisindex!$A$6),ROUND($E26*BR26,2),IF(AND($E26&lt;&gt;0,$F26&gt;0,YEAR($F26)&lt;=BR$4,YEAR($F26)&lt;Preisindex!$A$6),ROUND($E26*BS26,2),0))</f>
        <v>460800</v>
      </c>
      <c r="BU26" s="53">
        <f t="shared" si="171"/>
        <v>9216</v>
      </c>
      <c r="BV26" s="51">
        <f t="shared" si="315"/>
        <v>0</v>
      </c>
      <c r="BW26" s="51">
        <f t="shared" si="327"/>
        <v>0</v>
      </c>
      <c r="BX26" s="51">
        <f t="shared" si="174"/>
        <v>0</v>
      </c>
      <c r="BY26" s="51">
        <f t="shared" si="328"/>
        <v>0</v>
      </c>
      <c r="BZ26" s="51">
        <f t="shared" si="176"/>
        <v>360000</v>
      </c>
      <c r="CA26" s="51">
        <f t="shared" si="329"/>
        <v>360000</v>
      </c>
      <c r="CB26" s="51">
        <f t="shared" si="178"/>
        <v>7200</v>
      </c>
      <c r="CC26" s="51">
        <f t="shared" si="330"/>
        <v>7200</v>
      </c>
      <c r="CD26" s="51">
        <f t="shared" si="180"/>
        <v>277200</v>
      </c>
      <c r="CE26" s="51">
        <f t="shared" si="331"/>
        <v>277200</v>
      </c>
      <c r="CF26" s="51">
        <f t="shared" si="182"/>
        <v>82800</v>
      </c>
      <c r="CG26" s="54">
        <f t="shared" si="183"/>
        <v>0</v>
      </c>
      <c r="CH26" s="55">
        <f t="shared" si="184"/>
        <v>0</v>
      </c>
      <c r="CI26" s="56">
        <f>IF(AND($E26&lt;&gt;0,$F26&gt;0,YEAR($F26)&gt;=Preisindex!$A$6,YEAR(CD$4)&gt;=YEAR($F26),AND($K26&lt;&gt;"a",$K26&lt;&gt;"b",$K26&lt;&gt;"g",$K26&lt;&gt;"k")),1,IF(AND($E26&lt;&gt;0,$F26&gt;0,YEAR($F26)&gt;=Preisindex!$A$6,YEAR(CD$4)&gt;=YEAR($F26),$K26="a"),ROUND(VLOOKUP(CI$4,Preisindex,5,FALSE)/VLOOKUP(YEAR($F26),Preisindex,5,FALSE),2),IF(AND($E26&lt;&gt;0,$F26&gt;0,YEAR($F26)&gt;=Preisindex!$A$6,YEAR(CD$4)&gt;=YEAR($F26),$K26="b"),ROUND(VLOOKUP(CI$4,Preisindex,3,FALSE)/VLOOKUP(YEAR($F26),Preisindex,3,FALSE),2),IF(AND($E26&lt;&gt;0,$F26&gt;0,YEAR($F26)&gt;=Preisindex!$A$6,YEAR(CD$4)&gt;=YEAR($F26),$K26="g"),ROUND(VLOOKUP(CI$4,Preisindex,4,FALSE)/VLOOKUP(YEAR($F26),Preisindex,4,FALSE),2),IF(AND($E26&lt;&gt;0,$F26&gt;0,YEAR($F26)&gt;=Preisindex!$A$6,YEAR(CD$4)&gt;=YEAR($F26),$K26="k"),ROUND(VLOOKUP(CI$4,Preisindex,2,FALSE)/VLOOKUP(YEAR($F26),Preisindex,2,FALSE),2),0)))))</f>
        <v>1.29</v>
      </c>
      <c r="CJ26" s="56">
        <f>IF(AND($E26&lt;&gt;0,$F26&gt;0,YEAR($F26)&lt;Preisindex!$A$6,YEAR(CD$4)&gt;=YEAR($F26),AND($K26&lt;&gt;"a",$K26&lt;&gt;"b",$K26&lt;&gt;"g",$K26&lt;&gt;"k")),1,IF(AND($E26&lt;&gt;0,$F26&gt;0,YEAR($F26)&lt;Preisindex!$A$6,YEAR(CD$4)&gt;=YEAR($F26),$K26="a"),ROUND(VLOOKUP(CI$4,Preisindex,5,FALSE)/VLOOKUP(Preisindex!$A$6,Preisindex,5,FALSE),2),IF(AND($E26&lt;&gt;0,$F26&gt;0,YEAR($F26)&lt;Preisindex!$A$6,YEAR(CD$4)&gt;=YEAR($F26),$K26="b"),ROUND(VLOOKUP(CI$4,Preisindex,3,FALSE)/VLOOKUP(Preisindex!$A$6,Preisindex,3,FALSE),2),IF(AND($E26&lt;&gt;0,$F26&gt;0,YEAR($F26)&lt;Preisindex!$A$6,YEAR(CD$4)&gt;=YEAR($F26),$K26="g"),ROUND(VLOOKUP(CI$4,Preisindex,4,FALSE)/VLOOKUP(Preisindex!$A$6,Preisindex,4,FALSE),2),IF(AND($E26&lt;&gt;0,$F26&gt;0,YEAR($F26)&lt;Preisindex!$A$6,YEAR(CD$4)&gt;=YEAR($F26),$K26="k"),ROUND(VLOOKUP(CI$4,Preisindex,2,FALSE)/VLOOKUP(Preisindex!$A$6,Preisindex,2,FALSE),2),0)))))</f>
        <v>0</v>
      </c>
      <c r="CK26" s="51">
        <f>IF(AND($E26&lt;&gt;0,$F26&gt;0,YEAR($F26)&lt;=CI$4,YEAR($F26)&gt;=Preisindex!$A$6),ROUND($E26*CI26,2),IF(AND($E26&lt;&gt;0,$F26&gt;0,YEAR($F26)&lt;=CI$4,YEAR($F26)&lt;Preisindex!$A$6),ROUND($E26*CJ26,2),0))</f>
        <v>464400</v>
      </c>
      <c r="CL26" s="53">
        <f t="shared" si="185"/>
        <v>9288</v>
      </c>
      <c r="CM26" s="51">
        <f t="shared" si="315"/>
        <v>0</v>
      </c>
      <c r="CN26" s="51">
        <f t="shared" si="332"/>
        <v>0</v>
      </c>
      <c r="CO26" s="51">
        <f t="shared" si="188"/>
        <v>0</v>
      </c>
      <c r="CP26" s="51">
        <f t="shared" si="333"/>
        <v>0</v>
      </c>
      <c r="CQ26" s="51">
        <f t="shared" si="190"/>
        <v>360000</v>
      </c>
      <c r="CR26" s="51">
        <f t="shared" si="334"/>
        <v>360000</v>
      </c>
      <c r="CS26" s="51">
        <f t="shared" si="192"/>
        <v>7200</v>
      </c>
      <c r="CT26" s="51">
        <f t="shared" si="335"/>
        <v>7200</v>
      </c>
      <c r="CU26" s="51">
        <f t="shared" si="194"/>
        <v>270000</v>
      </c>
      <c r="CV26" s="51">
        <f t="shared" si="336"/>
        <v>270000</v>
      </c>
      <c r="CW26" s="51">
        <f t="shared" si="196"/>
        <v>90000</v>
      </c>
      <c r="CX26" s="54">
        <f t="shared" si="197"/>
        <v>0</v>
      </c>
      <c r="CY26" s="55">
        <f t="shared" si="198"/>
        <v>0</v>
      </c>
      <c r="CZ26" s="56">
        <f>IF(AND($E26&lt;&gt;0,$F26&gt;0,YEAR($F26)&gt;=Preisindex!$A$6,YEAR(CU$4)&gt;=YEAR($F26),AND($K26&lt;&gt;"a",$K26&lt;&gt;"b",$K26&lt;&gt;"g",$K26&lt;&gt;"k")),1,IF(AND($E26&lt;&gt;0,$F26&gt;0,YEAR($F26)&gt;=Preisindex!$A$6,YEAR(CU$4)&gt;=YEAR($F26),$K26="a"),ROUND(VLOOKUP(CZ$4,Preisindex,5,FALSE)/VLOOKUP(YEAR($F26),Preisindex,5,FALSE),2),IF(AND($E26&lt;&gt;0,$F26&gt;0,YEAR($F26)&gt;=Preisindex!$A$6,YEAR(CU$4)&gt;=YEAR($F26),$K26="b"),ROUND(VLOOKUP(CZ$4,Preisindex,3,FALSE)/VLOOKUP(YEAR($F26),Preisindex,3,FALSE),2),IF(AND($E26&lt;&gt;0,$F26&gt;0,YEAR($F26)&gt;=Preisindex!$A$6,YEAR(CU$4)&gt;=YEAR($F26),$K26="g"),ROUND(VLOOKUP(CZ$4,Preisindex,4,FALSE)/VLOOKUP(YEAR($F26),Preisindex,4,FALSE),2),IF(AND($E26&lt;&gt;0,$F26&gt;0,YEAR($F26)&gt;=Preisindex!$A$6,YEAR(CU$4)&gt;=YEAR($F26),$K26="k"),ROUND(VLOOKUP(CZ$4,Preisindex,2,FALSE)/VLOOKUP(YEAR($F26),Preisindex,2,FALSE),2),0)))))</f>
        <v>1.32</v>
      </c>
      <c r="DA26" s="56">
        <f>IF(AND($E26&lt;&gt;0,$F26&gt;0,YEAR($F26)&lt;Preisindex!$A$6,YEAR(CU$4)&gt;=YEAR($F26),AND($K26&lt;&gt;"a",$K26&lt;&gt;"b",$K26&lt;&gt;"g",$K26&lt;&gt;"k")),1,IF(AND($E26&lt;&gt;0,$F26&gt;0,YEAR($F26)&lt;Preisindex!$A$6,YEAR(CU$4)&gt;=YEAR($F26),$K26="a"),ROUND(VLOOKUP(CZ$4,Preisindex,5,FALSE)/VLOOKUP(Preisindex!$A$6,Preisindex,5,FALSE),2),IF(AND($E26&lt;&gt;0,$F26&gt;0,YEAR($F26)&lt;Preisindex!$A$6,YEAR(CU$4)&gt;=YEAR($F26),$K26="b"),ROUND(VLOOKUP(CZ$4,Preisindex,3,FALSE)/VLOOKUP(Preisindex!$A$6,Preisindex,3,FALSE),2),IF(AND($E26&lt;&gt;0,$F26&gt;0,YEAR($F26)&lt;Preisindex!$A$6,YEAR(CU$4)&gt;=YEAR($F26),$K26="g"),ROUND(VLOOKUP(CZ$4,Preisindex,4,FALSE)/VLOOKUP(Preisindex!$A$6,Preisindex,4,FALSE),2),IF(AND($E26&lt;&gt;0,$F26&gt;0,YEAR($F26)&lt;Preisindex!$A$6,YEAR(CU$4)&gt;=YEAR($F26),$K26="k"),ROUND(VLOOKUP(CZ$4,Preisindex,2,FALSE)/VLOOKUP(Preisindex!$A$6,Preisindex,2,FALSE),2),0)))))</f>
        <v>0</v>
      </c>
      <c r="DB26" s="51">
        <f>IF(AND($E26&lt;&gt;0,$F26&gt;0,YEAR($F26)&lt;=CZ$4,YEAR($F26)&gt;=Preisindex!$A$6),ROUND($E26*CZ26,2),IF(AND($E26&lt;&gt;0,$F26&gt;0,YEAR($F26)&lt;=CZ$4,YEAR($F26)&lt;Preisindex!$A$6),ROUND($E26*DA26,2),0))</f>
        <v>475200</v>
      </c>
      <c r="DC26" s="53">
        <f t="shared" si="199"/>
        <v>9504</v>
      </c>
      <c r="DD26" s="51">
        <f t="shared" si="316"/>
        <v>0</v>
      </c>
      <c r="DE26" s="51">
        <f t="shared" si="337"/>
        <v>0</v>
      </c>
      <c r="DF26" s="51">
        <f t="shared" si="202"/>
        <v>0</v>
      </c>
      <c r="DG26" s="51">
        <f t="shared" si="338"/>
        <v>0</v>
      </c>
      <c r="DH26" s="51">
        <f t="shared" si="204"/>
        <v>360000</v>
      </c>
      <c r="DI26" s="51">
        <f t="shared" si="339"/>
        <v>360000</v>
      </c>
      <c r="DJ26" s="51">
        <f t="shared" si="206"/>
        <v>7200</v>
      </c>
      <c r="DK26" s="51">
        <f t="shared" si="340"/>
        <v>7200</v>
      </c>
      <c r="DL26" s="51">
        <f t="shared" si="208"/>
        <v>262800</v>
      </c>
      <c r="DM26" s="51">
        <f t="shared" si="341"/>
        <v>262800</v>
      </c>
      <c r="DN26" s="51">
        <f t="shared" si="210"/>
        <v>97200</v>
      </c>
      <c r="DO26" s="54">
        <f t="shared" si="211"/>
        <v>0</v>
      </c>
      <c r="DP26" s="55">
        <f t="shared" si="212"/>
        <v>0</v>
      </c>
      <c r="DQ26" s="56">
        <f>IF(AND($E26&lt;&gt;0,$F26&gt;0,YEAR($F26)&gt;=Preisindex!$A$6,YEAR(DL$4)&gt;=YEAR($F26),AND($K26&lt;&gt;"a",$K26&lt;&gt;"b",$K26&lt;&gt;"g",$K26&lt;&gt;"k")),1,IF(AND($E26&lt;&gt;0,$F26&gt;0,YEAR($F26)&gt;=Preisindex!$A$6,YEAR(DL$4)&gt;=YEAR($F26),$K26="a"),ROUND(VLOOKUP(DQ$4,Preisindex,5,FALSE)/VLOOKUP(YEAR($F26),Preisindex,5,FALSE),2),IF(AND($E26&lt;&gt;0,$F26&gt;0,YEAR($F26)&gt;=Preisindex!$A$6,YEAR(DL$4)&gt;=YEAR($F26),$K26="b"),ROUND(VLOOKUP(DQ$4,Preisindex,3,FALSE)/VLOOKUP(YEAR($F26),Preisindex,3,FALSE),2),IF(AND($E26&lt;&gt;0,$F26&gt;0,YEAR($F26)&gt;=Preisindex!$A$6,YEAR(DL$4)&gt;=YEAR($F26),$K26="g"),ROUND(VLOOKUP(DQ$4,Preisindex,4,FALSE)/VLOOKUP(YEAR($F26),Preisindex,4,FALSE),2),IF(AND($E26&lt;&gt;0,$F26&gt;0,YEAR($F26)&gt;=Preisindex!$A$6,YEAR(DL$4)&gt;=YEAR($F26),$K26="k"),ROUND(VLOOKUP(DQ$4,Preisindex,2,FALSE)/VLOOKUP(YEAR($F26),Preisindex,2,FALSE),2),0)))))</f>
        <v>1.36</v>
      </c>
      <c r="DR26" s="56">
        <f>IF(AND($E26&lt;&gt;0,$F26&gt;0,YEAR($F26)&lt;Preisindex!$A$6,YEAR(DL$4)&gt;=YEAR($F26),AND($K26&lt;&gt;"a",$K26&lt;&gt;"b",$K26&lt;&gt;"g",$K26&lt;&gt;"k")),1,IF(AND($E26&lt;&gt;0,$F26&gt;0,YEAR($F26)&lt;Preisindex!$A$6,YEAR(DL$4)&gt;=YEAR($F26),$K26="a"),ROUND(VLOOKUP(DQ$4,Preisindex,5,FALSE)/VLOOKUP(Preisindex!$A$6,Preisindex,5,FALSE),2),IF(AND($E26&lt;&gt;0,$F26&gt;0,YEAR($F26)&lt;Preisindex!$A$6,YEAR(DL$4)&gt;=YEAR($F26),$K26="b"),ROUND(VLOOKUP(DQ$4,Preisindex,3,FALSE)/VLOOKUP(Preisindex!$A$6,Preisindex,3,FALSE),2),IF(AND($E26&lt;&gt;0,$F26&gt;0,YEAR($F26)&lt;Preisindex!$A$6,YEAR(DL$4)&gt;=YEAR($F26),$K26="g"),ROUND(VLOOKUP(DQ$4,Preisindex,4,FALSE)/VLOOKUP(Preisindex!$A$6,Preisindex,4,FALSE),2),IF(AND($E26&lt;&gt;0,$F26&gt;0,YEAR($F26)&lt;Preisindex!$A$6,YEAR(DL$4)&gt;=YEAR($F26),$K26="k"),ROUND(VLOOKUP(DQ$4,Preisindex,2,FALSE)/VLOOKUP(Preisindex!$A$6,Preisindex,2,FALSE),2),0)))))</f>
        <v>0</v>
      </c>
      <c r="DS26" s="51">
        <f>IF(AND($E26&lt;&gt;0,$F26&gt;0,YEAR($F26)&lt;=DQ$4,YEAR($F26)&gt;=Preisindex!$A$6),ROUND($E26*DQ26,2),IF(AND($E26&lt;&gt;0,$F26&gt;0,YEAR($F26)&lt;=DQ$4,YEAR($F26)&lt;Preisindex!$A$6),ROUND($E26*DR26,2),0))</f>
        <v>489600</v>
      </c>
      <c r="DT26" s="53">
        <f t="shared" si="213"/>
        <v>9792</v>
      </c>
      <c r="DU26" s="51">
        <f t="shared" si="316"/>
        <v>0</v>
      </c>
      <c r="DV26" s="51">
        <f t="shared" si="342"/>
        <v>0</v>
      </c>
      <c r="DW26" s="51">
        <f t="shared" si="216"/>
        <v>0</v>
      </c>
      <c r="DX26" s="51">
        <f t="shared" si="343"/>
        <v>0</v>
      </c>
      <c r="DY26" s="51">
        <f t="shared" si="218"/>
        <v>360000</v>
      </c>
      <c r="DZ26" s="51">
        <f t="shared" si="344"/>
        <v>360000</v>
      </c>
      <c r="EA26" s="51">
        <f t="shared" si="220"/>
        <v>7200</v>
      </c>
      <c r="EB26" s="51">
        <f t="shared" si="345"/>
        <v>7200</v>
      </c>
      <c r="EC26" s="51">
        <f t="shared" si="222"/>
        <v>255600</v>
      </c>
      <c r="ED26" s="51">
        <f t="shared" si="346"/>
        <v>255600</v>
      </c>
      <c r="EE26" s="51">
        <f t="shared" si="224"/>
        <v>104400</v>
      </c>
      <c r="EF26" s="54">
        <f t="shared" si="225"/>
        <v>0</v>
      </c>
      <c r="EG26" s="55">
        <f t="shared" si="226"/>
        <v>0</v>
      </c>
      <c r="EH26" s="56">
        <f>IF(AND($E26&lt;&gt;0,$F26&gt;0,YEAR($F26)&gt;=Preisindex!$A$6,YEAR(EC$4)&gt;=YEAR($F26),AND($K26&lt;&gt;"a",$K26&lt;&gt;"b",$K26&lt;&gt;"g",$K26&lt;&gt;"k")),1,IF(AND($E26&lt;&gt;0,$F26&gt;0,YEAR($F26)&gt;=Preisindex!$A$6,YEAR(EC$4)&gt;=YEAR($F26),$K26="a"),ROUND(VLOOKUP(EH$4,Preisindex,5,FALSE)/VLOOKUP(YEAR($F26),Preisindex,5,FALSE),2),IF(AND($E26&lt;&gt;0,$F26&gt;0,YEAR($F26)&gt;=Preisindex!$A$6,YEAR(EC$4)&gt;=YEAR($F26),$K26="b"),ROUND(VLOOKUP(EH$4,Preisindex,3,FALSE)/VLOOKUP(YEAR($F26),Preisindex,3,FALSE),2),IF(AND($E26&lt;&gt;0,$F26&gt;0,YEAR($F26)&gt;=Preisindex!$A$6,YEAR(EC$4)&gt;=YEAR($F26),$K26="g"),ROUND(VLOOKUP(EH$4,Preisindex,4,FALSE)/VLOOKUP(YEAR($F26),Preisindex,4,FALSE),2),IF(AND($E26&lt;&gt;0,$F26&gt;0,YEAR($F26)&gt;=Preisindex!$A$6,YEAR(EC$4)&gt;=YEAR($F26),$K26="k"),ROUND(VLOOKUP(EH$4,Preisindex,2,FALSE)/VLOOKUP(YEAR($F26),Preisindex,2,FALSE),2),0)))))</f>
        <v>1.43</v>
      </c>
      <c r="EI26" s="56">
        <f>IF(AND($E26&lt;&gt;0,$F26&gt;0,YEAR($F26)&lt;Preisindex!$A$6,YEAR(EC$4)&gt;=YEAR($F26),AND($K26&lt;&gt;"a",$K26&lt;&gt;"b",$K26&lt;&gt;"g",$K26&lt;&gt;"k")),1,IF(AND($E26&lt;&gt;0,$F26&gt;0,YEAR($F26)&lt;Preisindex!$A$6,YEAR(EC$4)&gt;=YEAR($F26),$K26="a"),ROUND(VLOOKUP(EH$4,Preisindex,5,FALSE)/VLOOKUP(Preisindex!$A$6,Preisindex,5,FALSE),2),IF(AND($E26&lt;&gt;0,$F26&gt;0,YEAR($F26)&lt;Preisindex!$A$6,YEAR(EC$4)&gt;=YEAR($F26),$K26="b"),ROUND(VLOOKUP(EH$4,Preisindex,3,FALSE)/VLOOKUP(Preisindex!$A$6,Preisindex,3,FALSE),2),IF(AND($E26&lt;&gt;0,$F26&gt;0,YEAR($F26)&lt;Preisindex!$A$6,YEAR(EC$4)&gt;=YEAR($F26),$K26="g"),ROUND(VLOOKUP(EH$4,Preisindex,4,FALSE)/VLOOKUP(Preisindex!$A$6,Preisindex,4,FALSE),2),IF(AND($E26&lt;&gt;0,$F26&gt;0,YEAR($F26)&lt;Preisindex!$A$6,YEAR(EC$4)&gt;=YEAR($F26),$K26="k"),ROUND(VLOOKUP(EH$4,Preisindex,2,FALSE)/VLOOKUP(Preisindex!$A$6,Preisindex,2,FALSE),2),0)))))</f>
        <v>0</v>
      </c>
      <c r="EJ26" s="51">
        <f>IF(AND($E26&lt;&gt;0,$F26&gt;0,YEAR($F26)&lt;=EH$4,YEAR($F26)&gt;=Preisindex!$A$6),ROUND($E26*EH26,2),IF(AND($E26&lt;&gt;0,$F26&gt;0,YEAR($F26)&lt;=EH$4,YEAR($F26)&lt;Preisindex!$A$6),ROUND($E26*EI26,2),0))</f>
        <v>514800</v>
      </c>
      <c r="EK26" s="53">
        <f t="shared" si="227"/>
        <v>10296</v>
      </c>
      <c r="EL26" s="51">
        <f t="shared" si="316"/>
        <v>0</v>
      </c>
      <c r="EM26" s="51">
        <f t="shared" si="347"/>
        <v>0</v>
      </c>
      <c r="EN26" s="51">
        <f t="shared" si="230"/>
        <v>0</v>
      </c>
      <c r="EO26" s="51">
        <f t="shared" si="348"/>
        <v>0</v>
      </c>
      <c r="EP26" s="51">
        <f t="shared" si="232"/>
        <v>360000</v>
      </c>
      <c r="EQ26" s="51">
        <f t="shared" si="349"/>
        <v>360000</v>
      </c>
      <c r="ER26" s="51">
        <f t="shared" si="234"/>
        <v>7200</v>
      </c>
      <c r="ES26" s="51">
        <f t="shared" si="350"/>
        <v>7200</v>
      </c>
      <c r="ET26" s="51">
        <f t="shared" si="236"/>
        <v>248400</v>
      </c>
      <c r="EU26" s="51">
        <f t="shared" si="351"/>
        <v>248400</v>
      </c>
      <c r="EV26" s="51">
        <f t="shared" si="238"/>
        <v>111600</v>
      </c>
      <c r="EW26" s="54">
        <f t="shared" si="239"/>
        <v>0</v>
      </c>
      <c r="EX26" s="55">
        <f t="shared" si="240"/>
        <v>0</v>
      </c>
      <c r="EY26" s="56">
        <f>IF(AND($E26&lt;&gt;0,$F26&gt;0,YEAR($F26)&gt;=Preisindex!$A$6,YEAR(ET$4)&gt;=YEAR($F26),AND($K26&lt;&gt;"a",$K26&lt;&gt;"b",$K26&lt;&gt;"g",$K26&lt;&gt;"k")),1,IF(AND($E26&lt;&gt;0,$F26&gt;0,YEAR($F26)&gt;=Preisindex!$A$6,YEAR(ET$4)&gt;=YEAR($F26),$K26="a"),ROUND(VLOOKUP(EY$4,Preisindex,5,FALSE)/VLOOKUP(YEAR($F26),Preisindex,5,FALSE),2),IF(AND($E26&lt;&gt;0,$F26&gt;0,YEAR($F26)&gt;=Preisindex!$A$6,YEAR(ET$4)&gt;=YEAR($F26),$K26="b"),ROUND(VLOOKUP(EY$4,Preisindex,3,FALSE)/VLOOKUP(YEAR($F26),Preisindex,3,FALSE),2),IF(AND($E26&lt;&gt;0,$F26&gt;0,YEAR($F26)&gt;=Preisindex!$A$6,YEAR(ET$4)&gt;=YEAR($F26),$K26="g"),ROUND(VLOOKUP(EY$4,Preisindex,4,FALSE)/VLOOKUP(YEAR($F26),Preisindex,4,FALSE),2),IF(AND($E26&lt;&gt;0,$F26&gt;0,YEAR($F26)&gt;=Preisindex!$A$6,YEAR(ET$4)&gt;=YEAR($F26),$K26="k"),ROUND(VLOOKUP(EY$4,Preisindex,2,FALSE)/VLOOKUP(YEAR($F26),Preisindex,2,FALSE),2),0)))))</f>
        <v>1.43</v>
      </c>
      <c r="EZ26" s="56">
        <f>IF(AND($E26&lt;&gt;0,$F26&gt;0,YEAR($F26)&lt;Preisindex!$A$6,YEAR(ET$4)&gt;=YEAR($F26),AND($K26&lt;&gt;"a",$K26&lt;&gt;"b",$K26&lt;&gt;"g",$K26&lt;&gt;"k")),1,IF(AND($E26&lt;&gt;0,$F26&gt;0,YEAR($F26)&lt;Preisindex!$A$6,YEAR(ET$4)&gt;=YEAR($F26),$K26="a"),ROUND(VLOOKUP(EY$4,Preisindex,5,FALSE)/VLOOKUP(Preisindex!$A$6,Preisindex,5,FALSE),2),IF(AND($E26&lt;&gt;0,$F26&gt;0,YEAR($F26)&lt;Preisindex!$A$6,YEAR(ET$4)&gt;=YEAR($F26),$K26="b"),ROUND(VLOOKUP(EY$4,Preisindex,3,FALSE)/VLOOKUP(Preisindex!$A$6,Preisindex,3,FALSE),2),IF(AND($E26&lt;&gt;0,$F26&gt;0,YEAR($F26)&lt;Preisindex!$A$6,YEAR(ET$4)&gt;=YEAR($F26),$K26="g"),ROUND(VLOOKUP(EY$4,Preisindex,4,FALSE)/VLOOKUP(Preisindex!$A$6,Preisindex,4,FALSE),2),IF(AND($E26&lt;&gt;0,$F26&gt;0,YEAR($F26)&lt;Preisindex!$A$6,YEAR(ET$4)&gt;=YEAR($F26),$K26="k"),ROUND(VLOOKUP(EY$4,Preisindex,2,FALSE)/VLOOKUP(Preisindex!$A$6,Preisindex,2,FALSE),2),0)))))</f>
        <v>0</v>
      </c>
      <c r="FA26" s="51">
        <f>IF(AND($E26&lt;&gt;0,$F26&gt;0,YEAR($F26)&lt;=EY$4,YEAR($F26)&gt;=Preisindex!$A$6),ROUND($E26*EY26,2),IF(AND($E26&lt;&gt;0,$F26&gt;0,YEAR($F26)&lt;=EY$4,YEAR($F26)&lt;Preisindex!$A$6),ROUND($E26*EZ26,2),0))</f>
        <v>514800</v>
      </c>
      <c r="FB26" s="53">
        <f t="shared" si="241"/>
        <v>10296</v>
      </c>
      <c r="FC26" s="51">
        <f t="shared" si="316"/>
        <v>0</v>
      </c>
      <c r="FD26" s="51">
        <f t="shared" si="352"/>
        <v>0</v>
      </c>
      <c r="FE26" s="51">
        <f t="shared" si="244"/>
        <v>0</v>
      </c>
      <c r="FF26" s="51">
        <f t="shared" si="353"/>
        <v>0</v>
      </c>
      <c r="FG26" s="51">
        <f t="shared" si="246"/>
        <v>360000</v>
      </c>
      <c r="FH26" s="51">
        <f t="shared" si="354"/>
        <v>360000</v>
      </c>
      <c r="FI26" s="51">
        <f t="shared" si="248"/>
        <v>7200</v>
      </c>
      <c r="FJ26" s="51">
        <f t="shared" si="355"/>
        <v>7200</v>
      </c>
      <c r="FK26" s="51">
        <f t="shared" si="250"/>
        <v>241200</v>
      </c>
      <c r="FL26" s="51">
        <f t="shared" si="356"/>
        <v>241200</v>
      </c>
      <c r="FM26" s="51">
        <f t="shared" si="252"/>
        <v>118800</v>
      </c>
      <c r="FN26" s="54">
        <f t="shared" si="253"/>
        <v>0</v>
      </c>
      <c r="FO26" s="55">
        <f t="shared" si="254"/>
        <v>0</v>
      </c>
      <c r="FP26" s="56">
        <f>IF(AND($E26&lt;&gt;0,$F26&gt;0,YEAR($F26)&gt;=Preisindex!$A$6,YEAR(FK$4)&gt;=YEAR($F26),AND($K26&lt;&gt;"a",$K26&lt;&gt;"b",$K26&lt;&gt;"g",$K26&lt;&gt;"k")),1,IF(AND($E26&lt;&gt;0,$F26&gt;0,YEAR($F26)&gt;=Preisindex!$A$6,YEAR(FK$4)&gt;=YEAR($F26),$K26="a"),ROUND(VLOOKUP(FP$4,Preisindex,5,FALSE)/VLOOKUP(YEAR($F26),Preisindex,5,FALSE),2),IF(AND($E26&lt;&gt;0,$F26&gt;0,YEAR($F26)&gt;=Preisindex!$A$6,YEAR(FK$4)&gt;=YEAR($F26),$K26="b"),ROUND(VLOOKUP(FP$4,Preisindex,3,FALSE)/VLOOKUP(YEAR($F26),Preisindex,3,FALSE),2),IF(AND($E26&lt;&gt;0,$F26&gt;0,YEAR($F26)&gt;=Preisindex!$A$6,YEAR(FK$4)&gt;=YEAR($F26),$K26="g"),ROUND(VLOOKUP(FP$4,Preisindex,4,FALSE)/VLOOKUP(YEAR($F26),Preisindex,4,FALSE),2),IF(AND($E26&lt;&gt;0,$F26&gt;0,YEAR($F26)&gt;=Preisindex!$A$6,YEAR(FK$4)&gt;=YEAR($F26),$K26="k"),ROUND(VLOOKUP(FP$4,Preisindex,2,FALSE)/VLOOKUP(YEAR($F26),Preisindex,2,FALSE),2),0)))))</f>
        <v>1.43</v>
      </c>
      <c r="FQ26" s="56">
        <f>IF(AND($E26&lt;&gt;0,$F26&gt;0,YEAR($F26)&lt;Preisindex!$A$6,YEAR(FK$4)&gt;=YEAR($F26),AND($K26&lt;&gt;"a",$K26&lt;&gt;"b",$K26&lt;&gt;"g",$K26&lt;&gt;"k")),1,IF(AND($E26&lt;&gt;0,$F26&gt;0,YEAR($F26)&lt;Preisindex!$A$6,YEAR(FK$4)&gt;=YEAR($F26),$K26="a"),ROUND(VLOOKUP(FP$4,Preisindex,5,FALSE)/VLOOKUP(Preisindex!$A$6,Preisindex,5,FALSE),2),IF(AND($E26&lt;&gt;0,$F26&gt;0,YEAR($F26)&lt;Preisindex!$A$6,YEAR(FK$4)&gt;=YEAR($F26),$K26="b"),ROUND(VLOOKUP(FP$4,Preisindex,3,FALSE)/VLOOKUP(Preisindex!$A$6,Preisindex,3,FALSE),2),IF(AND($E26&lt;&gt;0,$F26&gt;0,YEAR($F26)&lt;Preisindex!$A$6,YEAR(FK$4)&gt;=YEAR($F26),$K26="g"),ROUND(VLOOKUP(FP$4,Preisindex,4,FALSE)/VLOOKUP(Preisindex!$A$6,Preisindex,4,FALSE),2),IF(AND($E26&lt;&gt;0,$F26&gt;0,YEAR($F26)&lt;Preisindex!$A$6,YEAR(FK$4)&gt;=YEAR($F26),$K26="k"),ROUND(VLOOKUP(FP$4,Preisindex,2,FALSE)/VLOOKUP(Preisindex!$A$6,Preisindex,2,FALSE),2),0)))))</f>
        <v>0</v>
      </c>
      <c r="FR26" s="51">
        <f>IF(AND($E26&lt;&gt;0,$F26&gt;0,YEAR($F26)&lt;=FP$4,YEAR($F26)&gt;=Preisindex!$A$6),ROUND($E26*FP26,2),IF(AND($E26&lt;&gt;0,$F26&gt;0,YEAR($F26)&lt;=FP$4,YEAR($F26)&lt;Preisindex!$A$6),ROUND($E26*FQ26,2),0))</f>
        <v>514800</v>
      </c>
      <c r="FS26" s="53">
        <f t="shared" si="255"/>
        <v>10296</v>
      </c>
    </row>
    <row r="27" spans="1:175" x14ac:dyDescent="0.3">
      <c r="A27" s="93">
        <v>2006</v>
      </c>
      <c r="B27" s="94" t="s">
        <v>216</v>
      </c>
      <c r="C27" s="94"/>
      <c r="D27" s="95" t="s">
        <v>18</v>
      </c>
      <c r="E27" s="99">
        <v>80000</v>
      </c>
      <c r="F27" s="97">
        <v>38899</v>
      </c>
      <c r="G27" s="100">
        <v>50</v>
      </c>
      <c r="H27" s="622"/>
      <c r="I27" s="621"/>
      <c r="J27" s="194"/>
      <c r="K27" s="630" t="s">
        <v>266</v>
      </c>
      <c r="L27" s="49">
        <f t="shared" si="296"/>
        <v>0.02</v>
      </c>
      <c r="M27" s="50">
        <f t="shared" si="297"/>
        <v>1600</v>
      </c>
      <c r="N27" s="51">
        <f t="shared" si="298"/>
        <v>71200</v>
      </c>
      <c r="O27" s="51"/>
      <c r="P27" s="51">
        <f t="shared" si="299"/>
        <v>8800</v>
      </c>
      <c r="Q27" s="52"/>
      <c r="R27" s="52"/>
      <c r="S27" s="52"/>
      <c r="T27" s="52"/>
      <c r="U27" s="52"/>
      <c r="V27" s="53">
        <f t="shared" si="300"/>
        <v>80000</v>
      </c>
      <c r="W27" s="51">
        <f t="shared" si="301"/>
        <v>0</v>
      </c>
      <c r="X27" s="51">
        <f t="shared" si="302"/>
        <v>0</v>
      </c>
      <c r="Y27" s="51">
        <f t="shared" si="303"/>
        <v>0</v>
      </c>
      <c r="Z27" s="51">
        <f t="shared" si="304"/>
        <v>0</v>
      </c>
      <c r="AA27" s="51">
        <f t="shared" si="305"/>
        <v>80000</v>
      </c>
      <c r="AB27" s="51">
        <f t="shared" si="306"/>
        <v>80000</v>
      </c>
      <c r="AC27" s="51">
        <f t="shared" si="307"/>
        <v>1600</v>
      </c>
      <c r="AD27" s="51">
        <f t="shared" si="308"/>
        <v>1600</v>
      </c>
      <c r="AE27" s="51">
        <f t="shared" si="309"/>
        <v>69600</v>
      </c>
      <c r="AF27" s="51">
        <f t="shared" si="310"/>
        <v>69600</v>
      </c>
      <c r="AG27" s="51">
        <f t="shared" si="311"/>
        <v>10400</v>
      </c>
      <c r="AH27" s="54">
        <f t="shared" si="312"/>
        <v>0</v>
      </c>
      <c r="AI27" s="55">
        <f t="shared" si="313"/>
        <v>0</v>
      </c>
      <c r="AJ27" s="56">
        <f>IF(AND($E27&lt;&gt;0,$F27&gt;0,YEAR($F27)&gt;=Preisindex!$A$6,YEAR(AE$4)&gt;=YEAR($F27),AND($K27&lt;&gt;"a",$K27&lt;&gt;"b",$K27&lt;&gt;"g",$K27&lt;&gt;"k")),1,IF(AND($E27&lt;&gt;0,$F27&gt;0,YEAR($F27)&gt;=Preisindex!$A$6,YEAR(AE$4)&gt;=YEAR($F27),$K27="a"),ROUND(VLOOKUP(AJ$4,Preisindex,5,FALSE)/VLOOKUP(YEAR($F27),Preisindex,5,FALSE),2),IF(AND($E27&lt;&gt;0,$F27&gt;0,YEAR($F27)&gt;=Preisindex!$A$6,YEAR(AE$4)&gt;=YEAR($F27),$K27="b"),ROUND(VLOOKUP(AJ$4,Preisindex,3,FALSE)/VLOOKUP(YEAR($F27),Preisindex,3,FALSE),2),IF(AND($E27&lt;&gt;0,$F27&gt;0,YEAR($F27)&gt;=Preisindex!$A$6,YEAR(AE$4)&gt;=YEAR($F27),$K27="g"),ROUND(VLOOKUP(AJ$4,Preisindex,4,FALSE)/VLOOKUP(YEAR($F27),Preisindex,4,FALSE),2),IF(AND($E27&lt;&gt;0,$F27&gt;0,YEAR($F27)&gt;=Preisindex!$A$6,YEAR(AE$4)&gt;=YEAR($F27),$K27="k"),ROUND(VLOOKUP(AJ$4,Preisindex,2,FALSE)/VLOOKUP(YEAR($F27),Preisindex,2,FALSE),2),0)))))</f>
        <v>1.2</v>
      </c>
      <c r="AK27" s="56">
        <f>IF(AND($E27&lt;&gt;0,$F27&gt;0,YEAR($F27)&lt;Preisindex!$A$6,YEAR(AE$4)&gt;=YEAR($F27),AND($K27&lt;&gt;"a",$K27&lt;&gt;"b",$K27&lt;&gt;"g",$K27&lt;&gt;"k")),1,IF(AND($E27&lt;&gt;0,$F27&gt;0,YEAR($F27)&lt;Preisindex!$A$6,YEAR(AE$4)&gt;=YEAR($F27),$K27="a"),ROUND(VLOOKUP(AJ$4,Preisindex,5,FALSE)/VLOOKUP(Preisindex!$A$6,Preisindex,5,FALSE),2),IF(AND($E27&lt;&gt;0,$F27&gt;0,YEAR($F27)&lt;Preisindex!$A$6,YEAR(AE$4)&gt;=YEAR($F27),$K27="b"),ROUND(VLOOKUP(AJ$4,Preisindex,3,FALSE)/VLOOKUP(Preisindex!$A$6,Preisindex,3,FALSE),2),IF(AND($E27&lt;&gt;0,$F27&gt;0,YEAR($F27)&lt;Preisindex!$A$6,YEAR(AE$4)&gt;=YEAR($F27),$K27="g"),ROUND(VLOOKUP(AJ$4,Preisindex,4,FALSE)/VLOOKUP(Preisindex!$A$6,Preisindex,4,FALSE),2),IF(AND($E27&lt;&gt;0,$F27&gt;0,YEAR($F27)&lt;Preisindex!$A$6,YEAR(AE$4)&gt;=YEAR($F27),$K27="k"),ROUND(VLOOKUP(AJ$4,Preisindex,2,FALSE)/VLOOKUP(Preisindex!$A$6,Preisindex,2,FALSE),2),0)))))</f>
        <v>0</v>
      </c>
      <c r="AL27" s="51">
        <f>IF(AND($E27&lt;&gt;0,$F27&gt;0,YEAR($F27)&lt;=AJ$4,YEAR($F27)&gt;=Preisindex!$A$6),ROUND($E27*AJ27,2),IF(AND($E27&lt;&gt;0,$F27&gt;0,YEAR($F27)&lt;=AJ$4,YEAR($F27)&lt;Preisindex!$A$6),ROUND($E27*AK27,2),0))</f>
        <v>96000</v>
      </c>
      <c r="AM27" s="53">
        <f t="shared" si="314"/>
        <v>1920</v>
      </c>
      <c r="AN27" s="51">
        <f t="shared" si="315"/>
        <v>0</v>
      </c>
      <c r="AO27" s="51">
        <f t="shared" si="317"/>
        <v>0</v>
      </c>
      <c r="AP27" s="51">
        <f t="shared" si="146"/>
        <v>0</v>
      </c>
      <c r="AQ27" s="51">
        <f t="shared" si="318"/>
        <v>0</v>
      </c>
      <c r="AR27" s="51">
        <f t="shared" si="148"/>
        <v>80000</v>
      </c>
      <c r="AS27" s="51">
        <f t="shared" si="319"/>
        <v>80000</v>
      </c>
      <c r="AT27" s="51">
        <f t="shared" si="150"/>
        <v>1600</v>
      </c>
      <c r="AU27" s="51">
        <f t="shared" si="320"/>
        <v>1600</v>
      </c>
      <c r="AV27" s="51">
        <f t="shared" si="152"/>
        <v>68000</v>
      </c>
      <c r="AW27" s="51">
        <f t="shared" si="321"/>
        <v>68000</v>
      </c>
      <c r="AX27" s="51">
        <f t="shared" si="154"/>
        <v>12000</v>
      </c>
      <c r="AY27" s="54">
        <f t="shared" si="155"/>
        <v>0</v>
      </c>
      <c r="AZ27" s="55">
        <f t="shared" si="156"/>
        <v>0</v>
      </c>
      <c r="BA27" s="56">
        <f>IF(AND($E27&lt;&gt;0,$F27&gt;0,YEAR($F27)&gt;=Preisindex!$A$6,YEAR(AV$4)&gt;=YEAR($F27),AND($K27&lt;&gt;"a",$K27&lt;&gt;"b",$K27&lt;&gt;"g",$K27&lt;&gt;"k")),1,IF(AND($E27&lt;&gt;0,$F27&gt;0,YEAR($F27)&gt;=Preisindex!$A$6,YEAR(AV$4)&gt;=YEAR($F27),$K27="a"),ROUND(VLOOKUP(BA$4,Preisindex,5,FALSE)/VLOOKUP(YEAR($F27),Preisindex,5,FALSE),2),IF(AND($E27&lt;&gt;0,$F27&gt;0,YEAR($F27)&gt;=Preisindex!$A$6,YEAR(AV$4)&gt;=YEAR($F27),$K27="b"),ROUND(VLOOKUP(BA$4,Preisindex,3,FALSE)/VLOOKUP(YEAR($F27),Preisindex,3,FALSE),2),IF(AND($E27&lt;&gt;0,$F27&gt;0,YEAR($F27)&gt;=Preisindex!$A$6,YEAR(AV$4)&gt;=YEAR($F27),$K27="g"),ROUND(VLOOKUP(BA$4,Preisindex,4,FALSE)/VLOOKUP(YEAR($F27),Preisindex,4,FALSE),2),IF(AND($E27&lt;&gt;0,$F27&gt;0,YEAR($F27)&gt;=Preisindex!$A$6,YEAR(AV$4)&gt;=YEAR($F27),$K27="k"),ROUND(VLOOKUP(BA$4,Preisindex,2,FALSE)/VLOOKUP(YEAR($F27),Preisindex,2,FALSE),2),0)))))</f>
        <v>1.22</v>
      </c>
      <c r="BB27" s="56">
        <f>IF(AND($E27&lt;&gt;0,$F27&gt;0,YEAR($F27)&lt;Preisindex!$A$6,YEAR(AV$4)&gt;=YEAR($F27),AND($K27&lt;&gt;"a",$K27&lt;&gt;"b",$K27&lt;&gt;"g",$K27&lt;&gt;"k")),1,IF(AND($E27&lt;&gt;0,$F27&gt;0,YEAR($F27)&lt;Preisindex!$A$6,YEAR(AV$4)&gt;=YEAR($F27),$K27="a"),ROUND(VLOOKUP(BA$4,Preisindex,5,FALSE)/VLOOKUP(Preisindex!$A$6,Preisindex,5,FALSE),2),IF(AND($E27&lt;&gt;0,$F27&gt;0,YEAR($F27)&lt;Preisindex!$A$6,YEAR(AV$4)&gt;=YEAR($F27),$K27="b"),ROUND(VLOOKUP(BA$4,Preisindex,3,FALSE)/VLOOKUP(Preisindex!$A$6,Preisindex,3,FALSE),2),IF(AND($E27&lt;&gt;0,$F27&gt;0,YEAR($F27)&lt;Preisindex!$A$6,YEAR(AV$4)&gt;=YEAR($F27),$K27="g"),ROUND(VLOOKUP(BA$4,Preisindex,4,FALSE)/VLOOKUP(Preisindex!$A$6,Preisindex,4,FALSE),2),IF(AND($E27&lt;&gt;0,$F27&gt;0,YEAR($F27)&lt;Preisindex!$A$6,YEAR(AV$4)&gt;=YEAR($F27),$K27="k"),ROUND(VLOOKUP(BA$4,Preisindex,2,FALSE)/VLOOKUP(Preisindex!$A$6,Preisindex,2,FALSE),2),0)))))</f>
        <v>0</v>
      </c>
      <c r="BC27" s="51">
        <f>IF(AND($E27&lt;&gt;0,$F27&gt;0,YEAR($F27)&lt;=BA$4,YEAR($F27)&gt;=Preisindex!$A$6),ROUND($E27*BA27,2),IF(AND($E27&lt;&gt;0,$F27&gt;0,YEAR($F27)&lt;=BA$4,YEAR($F27)&lt;Preisindex!$A$6),ROUND($E27*BB27,2),0))</f>
        <v>97600</v>
      </c>
      <c r="BD27" s="53">
        <f t="shared" si="157"/>
        <v>1952</v>
      </c>
      <c r="BE27" s="51">
        <f t="shared" si="315"/>
        <v>0</v>
      </c>
      <c r="BF27" s="51">
        <f t="shared" si="322"/>
        <v>0</v>
      </c>
      <c r="BG27" s="51">
        <f t="shared" si="160"/>
        <v>0</v>
      </c>
      <c r="BH27" s="51">
        <f t="shared" si="323"/>
        <v>0</v>
      </c>
      <c r="BI27" s="51">
        <f t="shared" si="162"/>
        <v>80000</v>
      </c>
      <c r="BJ27" s="51">
        <f t="shared" si="324"/>
        <v>80000</v>
      </c>
      <c r="BK27" s="51">
        <f t="shared" si="164"/>
        <v>1600</v>
      </c>
      <c r="BL27" s="51">
        <f t="shared" si="325"/>
        <v>1600</v>
      </c>
      <c r="BM27" s="51">
        <f t="shared" si="166"/>
        <v>66400</v>
      </c>
      <c r="BN27" s="51">
        <f t="shared" si="326"/>
        <v>66400</v>
      </c>
      <c r="BO27" s="51">
        <f t="shared" si="168"/>
        <v>13600</v>
      </c>
      <c r="BP27" s="54">
        <f t="shared" si="169"/>
        <v>0</v>
      </c>
      <c r="BQ27" s="55">
        <f t="shared" si="170"/>
        <v>0</v>
      </c>
      <c r="BR27" s="56">
        <f>IF(AND($E27&lt;&gt;0,$F27&gt;0,YEAR($F27)&gt;=Preisindex!$A$6,YEAR(BM$4)&gt;=YEAR($F27),AND($K27&lt;&gt;"a",$K27&lt;&gt;"b",$K27&lt;&gt;"g",$K27&lt;&gt;"k")),1,IF(AND($E27&lt;&gt;0,$F27&gt;0,YEAR($F27)&gt;=Preisindex!$A$6,YEAR(BM$4)&gt;=YEAR($F27),$K27="a"),ROUND(VLOOKUP(BR$4,Preisindex,5,FALSE)/VLOOKUP(YEAR($F27),Preisindex,5,FALSE),2),IF(AND($E27&lt;&gt;0,$F27&gt;0,YEAR($F27)&gt;=Preisindex!$A$6,YEAR(BM$4)&gt;=YEAR($F27),$K27="b"),ROUND(VLOOKUP(BR$4,Preisindex,3,FALSE)/VLOOKUP(YEAR($F27),Preisindex,3,FALSE),2),IF(AND($E27&lt;&gt;0,$F27&gt;0,YEAR($F27)&gt;=Preisindex!$A$6,YEAR(BM$4)&gt;=YEAR($F27),$K27="g"),ROUND(VLOOKUP(BR$4,Preisindex,4,FALSE)/VLOOKUP(YEAR($F27),Preisindex,4,FALSE),2),IF(AND($E27&lt;&gt;0,$F27&gt;0,YEAR($F27)&gt;=Preisindex!$A$6,YEAR(BM$4)&gt;=YEAR($F27),$K27="k"),ROUND(VLOOKUP(BR$4,Preisindex,2,FALSE)/VLOOKUP(YEAR($F27),Preisindex,2,FALSE),2),0)))))</f>
        <v>1.24</v>
      </c>
      <c r="BS27" s="56">
        <f>IF(AND($E27&lt;&gt;0,$F27&gt;0,YEAR($F27)&lt;Preisindex!$A$6,YEAR(BM$4)&gt;=YEAR($F27),AND($K27&lt;&gt;"a",$K27&lt;&gt;"b",$K27&lt;&gt;"g",$K27&lt;&gt;"k")),1,IF(AND($E27&lt;&gt;0,$F27&gt;0,YEAR($F27)&lt;Preisindex!$A$6,YEAR(BM$4)&gt;=YEAR($F27),$K27="a"),ROUND(VLOOKUP(BR$4,Preisindex,5,FALSE)/VLOOKUP(Preisindex!$A$6,Preisindex,5,FALSE),2),IF(AND($E27&lt;&gt;0,$F27&gt;0,YEAR($F27)&lt;Preisindex!$A$6,YEAR(BM$4)&gt;=YEAR($F27),$K27="b"),ROUND(VLOOKUP(BR$4,Preisindex,3,FALSE)/VLOOKUP(Preisindex!$A$6,Preisindex,3,FALSE),2),IF(AND($E27&lt;&gt;0,$F27&gt;0,YEAR($F27)&lt;Preisindex!$A$6,YEAR(BM$4)&gt;=YEAR($F27),$K27="g"),ROUND(VLOOKUP(BR$4,Preisindex,4,FALSE)/VLOOKUP(Preisindex!$A$6,Preisindex,4,FALSE),2),IF(AND($E27&lt;&gt;0,$F27&gt;0,YEAR($F27)&lt;Preisindex!$A$6,YEAR(BM$4)&gt;=YEAR($F27),$K27="k"),ROUND(VLOOKUP(BR$4,Preisindex,2,FALSE)/VLOOKUP(Preisindex!$A$6,Preisindex,2,FALSE),2),0)))))</f>
        <v>0</v>
      </c>
      <c r="BT27" s="51">
        <f>IF(AND($E27&lt;&gt;0,$F27&gt;0,YEAR($F27)&lt;=BR$4,YEAR($F27)&gt;=Preisindex!$A$6),ROUND($E27*BR27,2),IF(AND($E27&lt;&gt;0,$F27&gt;0,YEAR($F27)&lt;=BR$4,YEAR($F27)&lt;Preisindex!$A$6),ROUND($E27*BS27,2),0))</f>
        <v>99200</v>
      </c>
      <c r="BU27" s="53">
        <f t="shared" si="171"/>
        <v>1984</v>
      </c>
      <c r="BV27" s="51">
        <f t="shared" si="315"/>
        <v>0</v>
      </c>
      <c r="BW27" s="51">
        <f t="shared" si="327"/>
        <v>0</v>
      </c>
      <c r="BX27" s="51">
        <f t="shared" si="174"/>
        <v>0</v>
      </c>
      <c r="BY27" s="51">
        <f t="shared" si="328"/>
        <v>0</v>
      </c>
      <c r="BZ27" s="51">
        <f t="shared" si="176"/>
        <v>80000</v>
      </c>
      <c r="CA27" s="51">
        <f t="shared" si="329"/>
        <v>80000</v>
      </c>
      <c r="CB27" s="51">
        <f t="shared" si="178"/>
        <v>1600</v>
      </c>
      <c r="CC27" s="51">
        <f t="shared" si="330"/>
        <v>1600</v>
      </c>
      <c r="CD27" s="51">
        <f t="shared" si="180"/>
        <v>64800</v>
      </c>
      <c r="CE27" s="51">
        <f t="shared" si="331"/>
        <v>64800</v>
      </c>
      <c r="CF27" s="51">
        <f t="shared" si="182"/>
        <v>15200</v>
      </c>
      <c r="CG27" s="54">
        <f t="shared" si="183"/>
        <v>0</v>
      </c>
      <c r="CH27" s="55">
        <f t="shared" si="184"/>
        <v>0</v>
      </c>
      <c r="CI27" s="56">
        <f>IF(AND($E27&lt;&gt;0,$F27&gt;0,YEAR($F27)&gt;=Preisindex!$A$6,YEAR(CD$4)&gt;=YEAR($F27),AND($K27&lt;&gt;"a",$K27&lt;&gt;"b",$K27&lt;&gt;"g",$K27&lt;&gt;"k")),1,IF(AND($E27&lt;&gt;0,$F27&gt;0,YEAR($F27)&gt;=Preisindex!$A$6,YEAR(CD$4)&gt;=YEAR($F27),$K27="a"),ROUND(VLOOKUP(CI$4,Preisindex,5,FALSE)/VLOOKUP(YEAR($F27),Preisindex,5,FALSE),2),IF(AND($E27&lt;&gt;0,$F27&gt;0,YEAR($F27)&gt;=Preisindex!$A$6,YEAR(CD$4)&gt;=YEAR($F27),$K27="b"),ROUND(VLOOKUP(CI$4,Preisindex,3,FALSE)/VLOOKUP(YEAR($F27),Preisindex,3,FALSE),2),IF(AND($E27&lt;&gt;0,$F27&gt;0,YEAR($F27)&gt;=Preisindex!$A$6,YEAR(CD$4)&gt;=YEAR($F27),$K27="g"),ROUND(VLOOKUP(CI$4,Preisindex,4,FALSE)/VLOOKUP(YEAR($F27),Preisindex,4,FALSE),2),IF(AND($E27&lt;&gt;0,$F27&gt;0,YEAR($F27)&gt;=Preisindex!$A$6,YEAR(CD$4)&gt;=YEAR($F27),$K27="k"),ROUND(VLOOKUP(CI$4,Preisindex,2,FALSE)/VLOOKUP(YEAR($F27),Preisindex,2,FALSE),2),0)))))</f>
        <v>1.26</v>
      </c>
      <c r="CJ27" s="56">
        <f>IF(AND($E27&lt;&gt;0,$F27&gt;0,YEAR($F27)&lt;Preisindex!$A$6,YEAR(CD$4)&gt;=YEAR($F27),AND($K27&lt;&gt;"a",$K27&lt;&gt;"b",$K27&lt;&gt;"g",$K27&lt;&gt;"k")),1,IF(AND($E27&lt;&gt;0,$F27&gt;0,YEAR($F27)&lt;Preisindex!$A$6,YEAR(CD$4)&gt;=YEAR($F27),$K27="a"),ROUND(VLOOKUP(CI$4,Preisindex,5,FALSE)/VLOOKUP(Preisindex!$A$6,Preisindex,5,FALSE),2),IF(AND($E27&lt;&gt;0,$F27&gt;0,YEAR($F27)&lt;Preisindex!$A$6,YEAR(CD$4)&gt;=YEAR($F27),$K27="b"),ROUND(VLOOKUP(CI$4,Preisindex,3,FALSE)/VLOOKUP(Preisindex!$A$6,Preisindex,3,FALSE),2),IF(AND($E27&lt;&gt;0,$F27&gt;0,YEAR($F27)&lt;Preisindex!$A$6,YEAR(CD$4)&gt;=YEAR($F27),$K27="g"),ROUND(VLOOKUP(CI$4,Preisindex,4,FALSE)/VLOOKUP(Preisindex!$A$6,Preisindex,4,FALSE),2),IF(AND($E27&lt;&gt;0,$F27&gt;0,YEAR($F27)&lt;Preisindex!$A$6,YEAR(CD$4)&gt;=YEAR($F27),$K27="k"),ROUND(VLOOKUP(CI$4,Preisindex,2,FALSE)/VLOOKUP(Preisindex!$A$6,Preisindex,2,FALSE),2),0)))))</f>
        <v>0</v>
      </c>
      <c r="CK27" s="51">
        <f>IF(AND($E27&lt;&gt;0,$F27&gt;0,YEAR($F27)&lt;=CI$4,YEAR($F27)&gt;=Preisindex!$A$6),ROUND($E27*CI27,2),IF(AND($E27&lt;&gt;0,$F27&gt;0,YEAR($F27)&lt;=CI$4,YEAR($F27)&lt;Preisindex!$A$6),ROUND($E27*CJ27,2),0))</f>
        <v>100800</v>
      </c>
      <c r="CL27" s="53">
        <f t="shared" si="185"/>
        <v>2016</v>
      </c>
      <c r="CM27" s="51">
        <f t="shared" si="315"/>
        <v>0</v>
      </c>
      <c r="CN27" s="51">
        <f t="shared" si="332"/>
        <v>0</v>
      </c>
      <c r="CO27" s="51">
        <f t="shared" si="188"/>
        <v>0</v>
      </c>
      <c r="CP27" s="51">
        <f t="shared" si="333"/>
        <v>0</v>
      </c>
      <c r="CQ27" s="51">
        <f t="shared" si="190"/>
        <v>80000</v>
      </c>
      <c r="CR27" s="51">
        <f t="shared" si="334"/>
        <v>80000</v>
      </c>
      <c r="CS27" s="51">
        <f t="shared" si="192"/>
        <v>1600</v>
      </c>
      <c r="CT27" s="51">
        <f t="shared" si="335"/>
        <v>1600</v>
      </c>
      <c r="CU27" s="51">
        <f t="shared" si="194"/>
        <v>63200</v>
      </c>
      <c r="CV27" s="51">
        <f t="shared" si="336"/>
        <v>63200</v>
      </c>
      <c r="CW27" s="51">
        <f t="shared" si="196"/>
        <v>16800</v>
      </c>
      <c r="CX27" s="54">
        <f t="shared" si="197"/>
        <v>0</v>
      </c>
      <c r="CY27" s="55">
        <f t="shared" si="198"/>
        <v>0</v>
      </c>
      <c r="CZ27" s="56">
        <f>IF(AND($E27&lt;&gt;0,$F27&gt;0,YEAR($F27)&gt;=Preisindex!$A$6,YEAR(CU$4)&gt;=YEAR($F27),AND($K27&lt;&gt;"a",$K27&lt;&gt;"b",$K27&lt;&gt;"g",$K27&lt;&gt;"k")),1,IF(AND($E27&lt;&gt;0,$F27&gt;0,YEAR($F27)&gt;=Preisindex!$A$6,YEAR(CU$4)&gt;=YEAR($F27),$K27="a"),ROUND(VLOOKUP(CZ$4,Preisindex,5,FALSE)/VLOOKUP(YEAR($F27),Preisindex,5,FALSE),2),IF(AND($E27&lt;&gt;0,$F27&gt;0,YEAR($F27)&gt;=Preisindex!$A$6,YEAR(CU$4)&gt;=YEAR($F27),$K27="b"),ROUND(VLOOKUP(CZ$4,Preisindex,3,FALSE)/VLOOKUP(YEAR($F27),Preisindex,3,FALSE),2),IF(AND($E27&lt;&gt;0,$F27&gt;0,YEAR($F27)&gt;=Preisindex!$A$6,YEAR(CU$4)&gt;=YEAR($F27),$K27="g"),ROUND(VLOOKUP(CZ$4,Preisindex,4,FALSE)/VLOOKUP(YEAR($F27),Preisindex,4,FALSE),2),IF(AND($E27&lt;&gt;0,$F27&gt;0,YEAR($F27)&gt;=Preisindex!$A$6,YEAR(CU$4)&gt;=YEAR($F27),$K27="k"),ROUND(VLOOKUP(CZ$4,Preisindex,2,FALSE)/VLOOKUP(YEAR($F27),Preisindex,2,FALSE),2),0)))))</f>
        <v>1.28</v>
      </c>
      <c r="DA27" s="56">
        <f>IF(AND($E27&lt;&gt;0,$F27&gt;0,YEAR($F27)&lt;Preisindex!$A$6,YEAR(CU$4)&gt;=YEAR($F27),AND($K27&lt;&gt;"a",$K27&lt;&gt;"b",$K27&lt;&gt;"g",$K27&lt;&gt;"k")),1,IF(AND($E27&lt;&gt;0,$F27&gt;0,YEAR($F27)&lt;Preisindex!$A$6,YEAR(CU$4)&gt;=YEAR($F27),$K27="a"),ROUND(VLOOKUP(CZ$4,Preisindex,5,FALSE)/VLOOKUP(Preisindex!$A$6,Preisindex,5,FALSE),2),IF(AND($E27&lt;&gt;0,$F27&gt;0,YEAR($F27)&lt;Preisindex!$A$6,YEAR(CU$4)&gt;=YEAR($F27),$K27="b"),ROUND(VLOOKUP(CZ$4,Preisindex,3,FALSE)/VLOOKUP(Preisindex!$A$6,Preisindex,3,FALSE),2),IF(AND($E27&lt;&gt;0,$F27&gt;0,YEAR($F27)&lt;Preisindex!$A$6,YEAR(CU$4)&gt;=YEAR($F27),$K27="g"),ROUND(VLOOKUP(CZ$4,Preisindex,4,FALSE)/VLOOKUP(Preisindex!$A$6,Preisindex,4,FALSE),2),IF(AND($E27&lt;&gt;0,$F27&gt;0,YEAR($F27)&lt;Preisindex!$A$6,YEAR(CU$4)&gt;=YEAR($F27),$K27="k"),ROUND(VLOOKUP(CZ$4,Preisindex,2,FALSE)/VLOOKUP(Preisindex!$A$6,Preisindex,2,FALSE),2),0)))))</f>
        <v>0</v>
      </c>
      <c r="DB27" s="51">
        <f>IF(AND($E27&lt;&gt;0,$F27&gt;0,YEAR($F27)&lt;=CZ$4,YEAR($F27)&gt;=Preisindex!$A$6),ROUND($E27*CZ27,2),IF(AND($E27&lt;&gt;0,$F27&gt;0,YEAR($F27)&lt;=CZ$4,YEAR($F27)&lt;Preisindex!$A$6),ROUND($E27*DA27,2),0))</f>
        <v>102400</v>
      </c>
      <c r="DC27" s="53">
        <f t="shared" si="199"/>
        <v>2048</v>
      </c>
      <c r="DD27" s="51">
        <f t="shared" si="316"/>
        <v>0</v>
      </c>
      <c r="DE27" s="51">
        <f t="shared" si="337"/>
        <v>0</v>
      </c>
      <c r="DF27" s="51">
        <f t="shared" si="202"/>
        <v>0</v>
      </c>
      <c r="DG27" s="51">
        <f t="shared" si="338"/>
        <v>0</v>
      </c>
      <c r="DH27" s="51">
        <f t="shared" si="204"/>
        <v>80000</v>
      </c>
      <c r="DI27" s="51">
        <f t="shared" si="339"/>
        <v>80000</v>
      </c>
      <c r="DJ27" s="51">
        <f t="shared" si="206"/>
        <v>1600</v>
      </c>
      <c r="DK27" s="51">
        <f t="shared" si="340"/>
        <v>1600</v>
      </c>
      <c r="DL27" s="51">
        <f t="shared" si="208"/>
        <v>61600</v>
      </c>
      <c r="DM27" s="51">
        <f t="shared" si="341"/>
        <v>61600</v>
      </c>
      <c r="DN27" s="51">
        <f t="shared" si="210"/>
        <v>18400</v>
      </c>
      <c r="DO27" s="54">
        <f t="shared" si="211"/>
        <v>0</v>
      </c>
      <c r="DP27" s="55">
        <f t="shared" si="212"/>
        <v>0</v>
      </c>
      <c r="DQ27" s="56">
        <f>IF(AND($E27&lt;&gt;0,$F27&gt;0,YEAR($F27)&gt;=Preisindex!$A$6,YEAR(DL$4)&gt;=YEAR($F27),AND($K27&lt;&gt;"a",$K27&lt;&gt;"b",$K27&lt;&gt;"g",$K27&lt;&gt;"k")),1,IF(AND($E27&lt;&gt;0,$F27&gt;0,YEAR($F27)&gt;=Preisindex!$A$6,YEAR(DL$4)&gt;=YEAR($F27),$K27="a"),ROUND(VLOOKUP(DQ$4,Preisindex,5,FALSE)/VLOOKUP(YEAR($F27),Preisindex,5,FALSE),2),IF(AND($E27&lt;&gt;0,$F27&gt;0,YEAR($F27)&gt;=Preisindex!$A$6,YEAR(DL$4)&gt;=YEAR($F27),$K27="b"),ROUND(VLOOKUP(DQ$4,Preisindex,3,FALSE)/VLOOKUP(YEAR($F27),Preisindex,3,FALSE),2),IF(AND($E27&lt;&gt;0,$F27&gt;0,YEAR($F27)&gt;=Preisindex!$A$6,YEAR(DL$4)&gt;=YEAR($F27),$K27="g"),ROUND(VLOOKUP(DQ$4,Preisindex,4,FALSE)/VLOOKUP(YEAR($F27),Preisindex,4,FALSE),2),IF(AND($E27&lt;&gt;0,$F27&gt;0,YEAR($F27)&gt;=Preisindex!$A$6,YEAR(DL$4)&gt;=YEAR($F27),$K27="k"),ROUND(VLOOKUP(DQ$4,Preisindex,2,FALSE)/VLOOKUP(YEAR($F27),Preisindex,2,FALSE),2),0)))))</f>
        <v>1.32</v>
      </c>
      <c r="DR27" s="56">
        <f>IF(AND($E27&lt;&gt;0,$F27&gt;0,YEAR($F27)&lt;Preisindex!$A$6,YEAR(DL$4)&gt;=YEAR($F27),AND($K27&lt;&gt;"a",$K27&lt;&gt;"b",$K27&lt;&gt;"g",$K27&lt;&gt;"k")),1,IF(AND($E27&lt;&gt;0,$F27&gt;0,YEAR($F27)&lt;Preisindex!$A$6,YEAR(DL$4)&gt;=YEAR($F27),$K27="a"),ROUND(VLOOKUP(DQ$4,Preisindex,5,FALSE)/VLOOKUP(Preisindex!$A$6,Preisindex,5,FALSE),2),IF(AND($E27&lt;&gt;0,$F27&gt;0,YEAR($F27)&lt;Preisindex!$A$6,YEAR(DL$4)&gt;=YEAR($F27),$K27="b"),ROUND(VLOOKUP(DQ$4,Preisindex,3,FALSE)/VLOOKUP(Preisindex!$A$6,Preisindex,3,FALSE),2),IF(AND($E27&lt;&gt;0,$F27&gt;0,YEAR($F27)&lt;Preisindex!$A$6,YEAR(DL$4)&gt;=YEAR($F27),$K27="g"),ROUND(VLOOKUP(DQ$4,Preisindex,4,FALSE)/VLOOKUP(Preisindex!$A$6,Preisindex,4,FALSE),2),IF(AND($E27&lt;&gt;0,$F27&gt;0,YEAR($F27)&lt;Preisindex!$A$6,YEAR(DL$4)&gt;=YEAR($F27),$K27="k"),ROUND(VLOOKUP(DQ$4,Preisindex,2,FALSE)/VLOOKUP(Preisindex!$A$6,Preisindex,2,FALSE),2),0)))))</f>
        <v>0</v>
      </c>
      <c r="DS27" s="51">
        <f>IF(AND($E27&lt;&gt;0,$F27&gt;0,YEAR($F27)&lt;=DQ$4,YEAR($F27)&gt;=Preisindex!$A$6),ROUND($E27*DQ27,2),IF(AND($E27&lt;&gt;0,$F27&gt;0,YEAR($F27)&lt;=DQ$4,YEAR($F27)&lt;Preisindex!$A$6),ROUND($E27*DR27,2),0))</f>
        <v>105600</v>
      </c>
      <c r="DT27" s="53">
        <f t="shared" si="213"/>
        <v>2112</v>
      </c>
      <c r="DU27" s="51">
        <f t="shared" si="316"/>
        <v>0</v>
      </c>
      <c r="DV27" s="51">
        <f t="shared" si="342"/>
        <v>0</v>
      </c>
      <c r="DW27" s="51">
        <f t="shared" si="216"/>
        <v>0</v>
      </c>
      <c r="DX27" s="51">
        <f t="shared" si="343"/>
        <v>0</v>
      </c>
      <c r="DY27" s="51">
        <f t="shared" si="218"/>
        <v>80000</v>
      </c>
      <c r="DZ27" s="51">
        <f t="shared" si="344"/>
        <v>80000</v>
      </c>
      <c r="EA27" s="51">
        <f t="shared" si="220"/>
        <v>1600</v>
      </c>
      <c r="EB27" s="51">
        <f t="shared" si="345"/>
        <v>1600</v>
      </c>
      <c r="EC27" s="51">
        <f t="shared" si="222"/>
        <v>60000</v>
      </c>
      <c r="ED27" s="51">
        <f t="shared" si="346"/>
        <v>60000</v>
      </c>
      <c r="EE27" s="51">
        <f t="shared" si="224"/>
        <v>20000</v>
      </c>
      <c r="EF27" s="54">
        <f t="shared" si="225"/>
        <v>0</v>
      </c>
      <c r="EG27" s="55">
        <f t="shared" si="226"/>
        <v>0</v>
      </c>
      <c r="EH27" s="56">
        <f>IF(AND($E27&lt;&gt;0,$F27&gt;0,YEAR($F27)&gt;=Preisindex!$A$6,YEAR(EC$4)&gt;=YEAR($F27),AND($K27&lt;&gt;"a",$K27&lt;&gt;"b",$K27&lt;&gt;"g",$K27&lt;&gt;"k")),1,IF(AND($E27&lt;&gt;0,$F27&gt;0,YEAR($F27)&gt;=Preisindex!$A$6,YEAR(EC$4)&gt;=YEAR($F27),$K27="a"),ROUND(VLOOKUP(EH$4,Preisindex,5,FALSE)/VLOOKUP(YEAR($F27),Preisindex,5,FALSE),2),IF(AND($E27&lt;&gt;0,$F27&gt;0,YEAR($F27)&gt;=Preisindex!$A$6,YEAR(EC$4)&gt;=YEAR($F27),$K27="b"),ROUND(VLOOKUP(EH$4,Preisindex,3,FALSE)/VLOOKUP(YEAR($F27),Preisindex,3,FALSE),2),IF(AND($E27&lt;&gt;0,$F27&gt;0,YEAR($F27)&gt;=Preisindex!$A$6,YEAR(EC$4)&gt;=YEAR($F27),$K27="g"),ROUND(VLOOKUP(EH$4,Preisindex,4,FALSE)/VLOOKUP(YEAR($F27),Preisindex,4,FALSE),2),IF(AND($E27&lt;&gt;0,$F27&gt;0,YEAR($F27)&gt;=Preisindex!$A$6,YEAR(EC$4)&gt;=YEAR($F27),$K27="k"),ROUND(VLOOKUP(EH$4,Preisindex,2,FALSE)/VLOOKUP(YEAR($F27),Preisindex,2,FALSE),2),0)))))</f>
        <v>1.39</v>
      </c>
      <c r="EI27" s="56">
        <f>IF(AND($E27&lt;&gt;0,$F27&gt;0,YEAR($F27)&lt;Preisindex!$A$6,YEAR(EC$4)&gt;=YEAR($F27),AND($K27&lt;&gt;"a",$K27&lt;&gt;"b",$K27&lt;&gt;"g",$K27&lt;&gt;"k")),1,IF(AND($E27&lt;&gt;0,$F27&gt;0,YEAR($F27)&lt;Preisindex!$A$6,YEAR(EC$4)&gt;=YEAR($F27),$K27="a"),ROUND(VLOOKUP(EH$4,Preisindex,5,FALSE)/VLOOKUP(Preisindex!$A$6,Preisindex,5,FALSE),2),IF(AND($E27&lt;&gt;0,$F27&gt;0,YEAR($F27)&lt;Preisindex!$A$6,YEAR(EC$4)&gt;=YEAR($F27),$K27="b"),ROUND(VLOOKUP(EH$4,Preisindex,3,FALSE)/VLOOKUP(Preisindex!$A$6,Preisindex,3,FALSE),2),IF(AND($E27&lt;&gt;0,$F27&gt;0,YEAR($F27)&lt;Preisindex!$A$6,YEAR(EC$4)&gt;=YEAR($F27),$K27="g"),ROUND(VLOOKUP(EH$4,Preisindex,4,FALSE)/VLOOKUP(Preisindex!$A$6,Preisindex,4,FALSE),2),IF(AND($E27&lt;&gt;0,$F27&gt;0,YEAR($F27)&lt;Preisindex!$A$6,YEAR(EC$4)&gt;=YEAR($F27),$K27="k"),ROUND(VLOOKUP(EH$4,Preisindex,2,FALSE)/VLOOKUP(Preisindex!$A$6,Preisindex,2,FALSE),2),0)))))</f>
        <v>0</v>
      </c>
      <c r="EJ27" s="51">
        <f>IF(AND($E27&lt;&gt;0,$F27&gt;0,YEAR($F27)&lt;=EH$4,YEAR($F27)&gt;=Preisindex!$A$6),ROUND($E27*EH27,2),IF(AND($E27&lt;&gt;0,$F27&gt;0,YEAR($F27)&lt;=EH$4,YEAR($F27)&lt;Preisindex!$A$6),ROUND($E27*EI27,2),0))</f>
        <v>111200</v>
      </c>
      <c r="EK27" s="53">
        <f t="shared" si="227"/>
        <v>2224</v>
      </c>
      <c r="EL27" s="51">
        <f t="shared" si="316"/>
        <v>0</v>
      </c>
      <c r="EM27" s="51">
        <f t="shared" si="347"/>
        <v>0</v>
      </c>
      <c r="EN27" s="51">
        <f t="shared" si="230"/>
        <v>0</v>
      </c>
      <c r="EO27" s="51">
        <f t="shared" si="348"/>
        <v>0</v>
      </c>
      <c r="EP27" s="51">
        <f t="shared" si="232"/>
        <v>80000</v>
      </c>
      <c r="EQ27" s="51">
        <f t="shared" si="349"/>
        <v>80000</v>
      </c>
      <c r="ER27" s="51">
        <f t="shared" si="234"/>
        <v>1600</v>
      </c>
      <c r="ES27" s="51">
        <f t="shared" si="350"/>
        <v>1600</v>
      </c>
      <c r="ET27" s="51">
        <f t="shared" si="236"/>
        <v>58400</v>
      </c>
      <c r="EU27" s="51">
        <f t="shared" si="351"/>
        <v>58400</v>
      </c>
      <c r="EV27" s="51">
        <f t="shared" si="238"/>
        <v>21600</v>
      </c>
      <c r="EW27" s="54">
        <f t="shared" si="239"/>
        <v>0</v>
      </c>
      <c r="EX27" s="55">
        <f t="shared" si="240"/>
        <v>0</v>
      </c>
      <c r="EY27" s="56">
        <f>IF(AND($E27&lt;&gt;0,$F27&gt;0,YEAR($F27)&gt;=Preisindex!$A$6,YEAR(ET$4)&gt;=YEAR($F27),AND($K27&lt;&gt;"a",$K27&lt;&gt;"b",$K27&lt;&gt;"g",$K27&lt;&gt;"k")),1,IF(AND($E27&lt;&gt;0,$F27&gt;0,YEAR($F27)&gt;=Preisindex!$A$6,YEAR(ET$4)&gt;=YEAR($F27),$K27="a"),ROUND(VLOOKUP(EY$4,Preisindex,5,FALSE)/VLOOKUP(YEAR($F27),Preisindex,5,FALSE),2),IF(AND($E27&lt;&gt;0,$F27&gt;0,YEAR($F27)&gt;=Preisindex!$A$6,YEAR(ET$4)&gt;=YEAR($F27),$K27="b"),ROUND(VLOOKUP(EY$4,Preisindex,3,FALSE)/VLOOKUP(YEAR($F27),Preisindex,3,FALSE),2),IF(AND($E27&lt;&gt;0,$F27&gt;0,YEAR($F27)&gt;=Preisindex!$A$6,YEAR(ET$4)&gt;=YEAR($F27),$K27="g"),ROUND(VLOOKUP(EY$4,Preisindex,4,FALSE)/VLOOKUP(YEAR($F27),Preisindex,4,FALSE),2),IF(AND($E27&lt;&gt;0,$F27&gt;0,YEAR($F27)&gt;=Preisindex!$A$6,YEAR(ET$4)&gt;=YEAR($F27),$K27="k"),ROUND(VLOOKUP(EY$4,Preisindex,2,FALSE)/VLOOKUP(YEAR($F27),Preisindex,2,FALSE),2),0)))))</f>
        <v>1.39</v>
      </c>
      <c r="EZ27" s="56">
        <f>IF(AND($E27&lt;&gt;0,$F27&gt;0,YEAR($F27)&lt;Preisindex!$A$6,YEAR(ET$4)&gt;=YEAR($F27),AND($K27&lt;&gt;"a",$K27&lt;&gt;"b",$K27&lt;&gt;"g",$K27&lt;&gt;"k")),1,IF(AND($E27&lt;&gt;0,$F27&gt;0,YEAR($F27)&lt;Preisindex!$A$6,YEAR(ET$4)&gt;=YEAR($F27),$K27="a"),ROUND(VLOOKUP(EY$4,Preisindex,5,FALSE)/VLOOKUP(Preisindex!$A$6,Preisindex,5,FALSE),2),IF(AND($E27&lt;&gt;0,$F27&gt;0,YEAR($F27)&lt;Preisindex!$A$6,YEAR(ET$4)&gt;=YEAR($F27),$K27="b"),ROUND(VLOOKUP(EY$4,Preisindex,3,FALSE)/VLOOKUP(Preisindex!$A$6,Preisindex,3,FALSE),2),IF(AND($E27&lt;&gt;0,$F27&gt;0,YEAR($F27)&lt;Preisindex!$A$6,YEAR(ET$4)&gt;=YEAR($F27),$K27="g"),ROUND(VLOOKUP(EY$4,Preisindex,4,FALSE)/VLOOKUP(Preisindex!$A$6,Preisindex,4,FALSE),2),IF(AND($E27&lt;&gt;0,$F27&gt;0,YEAR($F27)&lt;Preisindex!$A$6,YEAR(ET$4)&gt;=YEAR($F27),$K27="k"),ROUND(VLOOKUP(EY$4,Preisindex,2,FALSE)/VLOOKUP(Preisindex!$A$6,Preisindex,2,FALSE),2),0)))))</f>
        <v>0</v>
      </c>
      <c r="FA27" s="51">
        <f>IF(AND($E27&lt;&gt;0,$F27&gt;0,YEAR($F27)&lt;=EY$4,YEAR($F27)&gt;=Preisindex!$A$6),ROUND($E27*EY27,2),IF(AND($E27&lt;&gt;0,$F27&gt;0,YEAR($F27)&lt;=EY$4,YEAR($F27)&lt;Preisindex!$A$6),ROUND($E27*EZ27,2),0))</f>
        <v>111200</v>
      </c>
      <c r="FB27" s="53">
        <f t="shared" si="241"/>
        <v>2224</v>
      </c>
      <c r="FC27" s="51">
        <f t="shared" si="316"/>
        <v>0</v>
      </c>
      <c r="FD27" s="51">
        <f t="shared" si="352"/>
        <v>0</v>
      </c>
      <c r="FE27" s="51">
        <f t="shared" si="244"/>
        <v>0</v>
      </c>
      <c r="FF27" s="51">
        <f t="shared" si="353"/>
        <v>0</v>
      </c>
      <c r="FG27" s="51">
        <f t="shared" si="246"/>
        <v>80000</v>
      </c>
      <c r="FH27" s="51">
        <f t="shared" si="354"/>
        <v>80000</v>
      </c>
      <c r="FI27" s="51">
        <f t="shared" si="248"/>
        <v>1600</v>
      </c>
      <c r="FJ27" s="51">
        <f t="shared" si="355"/>
        <v>1600</v>
      </c>
      <c r="FK27" s="51">
        <f t="shared" si="250"/>
        <v>56800</v>
      </c>
      <c r="FL27" s="51">
        <f t="shared" si="356"/>
        <v>56800</v>
      </c>
      <c r="FM27" s="51">
        <f t="shared" si="252"/>
        <v>23200</v>
      </c>
      <c r="FN27" s="54">
        <f t="shared" si="253"/>
        <v>0</v>
      </c>
      <c r="FO27" s="55">
        <f t="shared" si="254"/>
        <v>0</v>
      </c>
      <c r="FP27" s="56">
        <f>IF(AND($E27&lt;&gt;0,$F27&gt;0,YEAR($F27)&gt;=Preisindex!$A$6,YEAR(FK$4)&gt;=YEAR($F27),AND($K27&lt;&gt;"a",$K27&lt;&gt;"b",$K27&lt;&gt;"g",$K27&lt;&gt;"k")),1,IF(AND($E27&lt;&gt;0,$F27&gt;0,YEAR($F27)&gt;=Preisindex!$A$6,YEAR(FK$4)&gt;=YEAR($F27),$K27="a"),ROUND(VLOOKUP(FP$4,Preisindex,5,FALSE)/VLOOKUP(YEAR($F27),Preisindex,5,FALSE),2),IF(AND($E27&lt;&gt;0,$F27&gt;0,YEAR($F27)&gt;=Preisindex!$A$6,YEAR(FK$4)&gt;=YEAR($F27),$K27="b"),ROUND(VLOOKUP(FP$4,Preisindex,3,FALSE)/VLOOKUP(YEAR($F27),Preisindex,3,FALSE),2),IF(AND($E27&lt;&gt;0,$F27&gt;0,YEAR($F27)&gt;=Preisindex!$A$6,YEAR(FK$4)&gt;=YEAR($F27),$K27="g"),ROUND(VLOOKUP(FP$4,Preisindex,4,FALSE)/VLOOKUP(YEAR($F27),Preisindex,4,FALSE),2),IF(AND($E27&lt;&gt;0,$F27&gt;0,YEAR($F27)&gt;=Preisindex!$A$6,YEAR(FK$4)&gt;=YEAR($F27),$K27="k"),ROUND(VLOOKUP(FP$4,Preisindex,2,FALSE)/VLOOKUP(YEAR($F27),Preisindex,2,FALSE),2),0)))))</f>
        <v>1.39</v>
      </c>
      <c r="FQ27" s="56">
        <f>IF(AND($E27&lt;&gt;0,$F27&gt;0,YEAR($F27)&lt;Preisindex!$A$6,YEAR(FK$4)&gt;=YEAR($F27),AND($K27&lt;&gt;"a",$K27&lt;&gt;"b",$K27&lt;&gt;"g",$K27&lt;&gt;"k")),1,IF(AND($E27&lt;&gt;0,$F27&gt;0,YEAR($F27)&lt;Preisindex!$A$6,YEAR(FK$4)&gt;=YEAR($F27),$K27="a"),ROUND(VLOOKUP(FP$4,Preisindex,5,FALSE)/VLOOKUP(Preisindex!$A$6,Preisindex,5,FALSE),2),IF(AND($E27&lt;&gt;0,$F27&gt;0,YEAR($F27)&lt;Preisindex!$A$6,YEAR(FK$4)&gt;=YEAR($F27),$K27="b"),ROUND(VLOOKUP(FP$4,Preisindex,3,FALSE)/VLOOKUP(Preisindex!$A$6,Preisindex,3,FALSE),2),IF(AND($E27&lt;&gt;0,$F27&gt;0,YEAR($F27)&lt;Preisindex!$A$6,YEAR(FK$4)&gt;=YEAR($F27),$K27="g"),ROUND(VLOOKUP(FP$4,Preisindex,4,FALSE)/VLOOKUP(Preisindex!$A$6,Preisindex,4,FALSE),2),IF(AND($E27&lt;&gt;0,$F27&gt;0,YEAR($F27)&lt;Preisindex!$A$6,YEAR(FK$4)&gt;=YEAR($F27),$K27="k"),ROUND(VLOOKUP(FP$4,Preisindex,2,FALSE)/VLOOKUP(Preisindex!$A$6,Preisindex,2,FALSE),2),0)))))</f>
        <v>0</v>
      </c>
      <c r="FR27" s="51">
        <f>IF(AND($E27&lt;&gt;0,$F27&gt;0,YEAR($F27)&lt;=FP$4,YEAR($F27)&gt;=Preisindex!$A$6),ROUND($E27*FP27,2),IF(AND($E27&lt;&gt;0,$F27&gt;0,YEAR($F27)&lt;=FP$4,YEAR($F27)&lt;Preisindex!$A$6),ROUND($E27*FQ27,2),0))</f>
        <v>111200</v>
      </c>
      <c r="FS27" s="53">
        <f t="shared" si="255"/>
        <v>2224</v>
      </c>
    </row>
    <row r="28" spans="1:175" x14ac:dyDescent="0.3">
      <c r="A28" s="93">
        <v>2008</v>
      </c>
      <c r="B28" s="94" t="s">
        <v>217</v>
      </c>
      <c r="C28" s="94"/>
      <c r="D28" s="95" t="s">
        <v>18</v>
      </c>
      <c r="E28" s="99">
        <v>310000</v>
      </c>
      <c r="F28" s="97">
        <v>39630</v>
      </c>
      <c r="G28" s="100">
        <v>50</v>
      </c>
      <c r="H28" s="622"/>
      <c r="I28" s="621"/>
      <c r="J28" s="194"/>
      <c r="K28" s="630" t="s">
        <v>266</v>
      </c>
      <c r="L28" s="49">
        <f t="shared" si="296"/>
        <v>0.02</v>
      </c>
      <c r="M28" s="50">
        <f t="shared" si="297"/>
        <v>6200</v>
      </c>
      <c r="N28" s="51">
        <f t="shared" si="298"/>
        <v>288300</v>
      </c>
      <c r="O28" s="51"/>
      <c r="P28" s="51">
        <f t="shared" si="299"/>
        <v>21700</v>
      </c>
      <c r="Q28" s="52"/>
      <c r="R28" s="52"/>
      <c r="S28" s="52"/>
      <c r="T28" s="52"/>
      <c r="U28" s="52"/>
      <c r="V28" s="53">
        <f t="shared" si="300"/>
        <v>310000</v>
      </c>
      <c r="W28" s="51">
        <f t="shared" si="301"/>
        <v>0</v>
      </c>
      <c r="X28" s="51">
        <f t="shared" si="302"/>
        <v>0</v>
      </c>
      <c r="Y28" s="51">
        <f t="shared" si="303"/>
        <v>0</v>
      </c>
      <c r="Z28" s="51">
        <f t="shared" si="304"/>
        <v>0</v>
      </c>
      <c r="AA28" s="51">
        <f t="shared" si="305"/>
        <v>310000</v>
      </c>
      <c r="AB28" s="51">
        <f t="shared" si="306"/>
        <v>310000</v>
      </c>
      <c r="AC28" s="51">
        <f t="shared" si="307"/>
        <v>6200</v>
      </c>
      <c r="AD28" s="51">
        <f t="shared" si="308"/>
        <v>6200</v>
      </c>
      <c r="AE28" s="51">
        <f t="shared" si="309"/>
        <v>282100</v>
      </c>
      <c r="AF28" s="51">
        <f t="shared" si="310"/>
        <v>282100</v>
      </c>
      <c r="AG28" s="51">
        <f t="shared" si="311"/>
        <v>27900</v>
      </c>
      <c r="AH28" s="54">
        <f t="shared" si="312"/>
        <v>0</v>
      </c>
      <c r="AI28" s="55">
        <f t="shared" si="313"/>
        <v>0</v>
      </c>
      <c r="AJ28" s="56">
        <f>IF(AND($E28&lt;&gt;0,$F28&gt;0,YEAR($F28)&gt;=Preisindex!$A$6,YEAR(AE$4)&gt;=YEAR($F28),AND($K28&lt;&gt;"a",$K28&lt;&gt;"b",$K28&lt;&gt;"g",$K28&lt;&gt;"k")),1,IF(AND($E28&lt;&gt;0,$F28&gt;0,YEAR($F28)&gt;=Preisindex!$A$6,YEAR(AE$4)&gt;=YEAR($F28),$K28="a"),ROUND(VLOOKUP(AJ$4,Preisindex,5,FALSE)/VLOOKUP(YEAR($F28),Preisindex,5,FALSE),2),IF(AND($E28&lt;&gt;0,$F28&gt;0,YEAR($F28)&gt;=Preisindex!$A$6,YEAR(AE$4)&gt;=YEAR($F28),$K28="b"),ROUND(VLOOKUP(AJ$4,Preisindex,3,FALSE)/VLOOKUP(YEAR($F28),Preisindex,3,FALSE),2),IF(AND($E28&lt;&gt;0,$F28&gt;0,YEAR($F28)&gt;=Preisindex!$A$6,YEAR(AE$4)&gt;=YEAR($F28),$K28="g"),ROUND(VLOOKUP(AJ$4,Preisindex,4,FALSE)/VLOOKUP(YEAR($F28),Preisindex,4,FALSE),2),IF(AND($E28&lt;&gt;0,$F28&gt;0,YEAR($F28)&gt;=Preisindex!$A$6,YEAR(AE$4)&gt;=YEAR($F28),$K28="k"),ROUND(VLOOKUP(AJ$4,Preisindex,2,FALSE)/VLOOKUP(YEAR($F28),Preisindex,2,FALSE),2),0)))))</f>
        <v>1.07</v>
      </c>
      <c r="AK28" s="56">
        <f>IF(AND($E28&lt;&gt;0,$F28&gt;0,YEAR($F28)&lt;Preisindex!$A$6,YEAR(AE$4)&gt;=YEAR($F28),AND($K28&lt;&gt;"a",$K28&lt;&gt;"b",$K28&lt;&gt;"g",$K28&lt;&gt;"k")),1,IF(AND($E28&lt;&gt;0,$F28&gt;0,YEAR($F28)&lt;Preisindex!$A$6,YEAR(AE$4)&gt;=YEAR($F28),$K28="a"),ROUND(VLOOKUP(AJ$4,Preisindex,5,FALSE)/VLOOKUP(Preisindex!$A$6,Preisindex,5,FALSE),2),IF(AND($E28&lt;&gt;0,$F28&gt;0,YEAR($F28)&lt;Preisindex!$A$6,YEAR(AE$4)&gt;=YEAR($F28),$K28="b"),ROUND(VLOOKUP(AJ$4,Preisindex,3,FALSE)/VLOOKUP(Preisindex!$A$6,Preisindex,3,FALSE),2),IF(AND($E28&lt;&gt;0,$F28&gt;0,YEAR($F28)&lt;Preisindex!$A$6,YEAR(AE$4)&gt;=YEAR($F28),$K28="g"),ROUND(VLOOKUP(AJ$4,Preisindex,4,FALSE)/VLOOKUP(Preisindex!$A$6,Preisindex,4,FALSE),2),IF(AND($E28&lt;&gt;0,$F28&gt;0,YEAR($F28)&lt;Preisindex!$A$6,YEAR(AE$4)&gt;=YEAR($F28),$K28="k"),ROUND(VLOOKUP(AJ$4,Preisindex,2,FALSE)/VLOOKUP(Preisindex!$A$6,Preisindex,2,FALSE),2),0)))))</f>
        <v>0</v>
      </c>
      <c r="AL28" s="51">
        <f>IF(AND($E28&lt;&gt;0,$F28&gt;0,YEAR($F28)&lt;=AJ$4,YEAR($F28)&gt;=Preisindex!$A$6),ROUND($E28*AJ28,2),IF(AND($E28&lt;&gt;0,$F28&gt;0,YEAR($F28)&lt;=AJ$4,YEAR($F28)&lt;Preisindex!$A$6),ROUND($E28*AK28,2),0))</f>
        <v>331700</v>
      </c>
      <c r="AM28" s="53">
        <f t="shared" si="314"/>
        <v>6634</v>
      </c>
      <c r="AN28" s="51">
        <f t="shared" si="315"/>
        <v>0</v>
      </c>
      <c r="AO28" s="51">
        <f t="shared" si="317"/>
        <v>0</v>
      </c>
      <c r="AP28" s="51">
        <f t="shared" si="146"/>
        <v>0</v>
      </c>
      <c r="AQ28" s="51">
        <f t="shared" si="318"/>
        <v>0</v>
      </c>
      <c r="AR28" s="51">
        <f t="shared" si="148"/>
        <v>310000</v>
      </c>
      <c r="AS28" s="51">
        <f t="shared" si="319"/>
        <v>310000</v>
      </c>
      <c r="AT28" s="51">
        <f t="shared" si="150"/>
        <v>6200</v>
      </c>
      <c r="AU28" s="51">
        <f t="shared" si="320"/>
        <v>6200</v>
      </c>
      <c r="AV28" s="51">
        <f t="shared" si="152"/>
        <v>275900</v>
      </c>
      <c r="AW28" s="51">
        <f t="shared" si="321"/>
        <v>275900</v>
      </c>
      <c r="AX28" s="51">
        <f t="shared" si="154"/>
        <v>34100</v>
      </c>
      <c r="AY28" s="54">
        <f t="shared" si="155"/>
        <v>0</v>
      </c>
      <c r="AZ28" s="55">
        <f t="shared" si="156"/>
        <v>0</v>
      </c>
      <c r="BA28" s="56">
        <f>IF(AND($E28&lt;&gt;0,$F28&gt;0,YEAR($F28)&gt;=Preisindex!$A$6,YEAR(AV$4)&gt;=YEAR($F28),AND($K28&lt;&gt;"a",$K28&lt;&gt;"b",$K28&lt;&gt;"g",$K28&lt;&gt;"k")),1,IF(AND($E28&lt;&gt;0,$F28&gt;0,YEAR($F28)&gt;=Preisindex!$A$6,YEAR(AV$4)&gt;=YEAR($F28),$K28="a"),ROUND(VLOOKUP(BA$4,Preisindex,5,FALSE)/VLOOKUP(YEAR($F28),Preisindex,5,FALSE),2),IF(AND($E28&lt;&gt;0,$F28&gt;0,YEAR($F28)&gt;=Preisindex!$A$6,YEAR(AV$4)&gt;=YEAR($F28),$K28="b"),ROUND(VLOOKUP(BA$4,Preisindex,3,FALSE)/VLOOKUP(YEAR($F28),Preisindex,3,FALSE),2),IF(AND($E28&lt;&gt;0,$F28&gt;0,YEAR($F28)&gt;=Preisindex!$A$6,YEAR(AV$4)&gt;=YEAR($F28),$K28="g"),ROUND(VLOOKUP(BA$4,Preisindex,4,FALSE)/VLOOKUP(YEAR($F28),Preisindex,4,FALSE),2),IF(AND($E28&lt;&gt;0,$F28&gt;0,YEAR($F28)&gt;=Preisindex!$A$6,YEAR(AV$4)&gt;=YEAR($F28),$K28="k"),ROUND(VLOOKUP(BA$4,Preisindex,2,FALSE)/VLOOKUP(YEAR($F28),Preisindex,2,FALSE),2),0)))))</f>
        <v>1.0900000000000001</v>
      </c>
      <c r="BB28" s="56">
        <f>IF(AND($E28&lt;&gt;0,$F28&gt;0,YEAR($F28)&lt;Preisindex!$A$6,YEAR(AV$4)&gt;=YEAR($F28),AND($K28&lt;&gt;"a",$K28&lt;&gt;"b",$K28&lt;&gt;"g",$K28&lt;&gt;"k")),1,IF(AND($E28&lt;&gt;0,$F28&gt;0,YEAR($F28)&lt;Preisindex!$A$6,YEAR(AV$4)&gt;=YEAR($F28),$K28="a"),ROUND(VLOOKUP(BA$4,Preisindex,5,FALSE)/VLOOKUP(Preisindex!$A$6,Preisindex,5,FALSE),2),IF(AND($E28&lt;&gt;0,$F28&gt;0,YEAR($F28)&lt;Preisindex!$A$6,YEAR(AV$4)&gt;=YEAR($F28),$K28="b"),ROUND(VLOOKUP(BA$4,Preisindex,3,FALSE)/VLOOKUP(Preisindex!$A$6,Preisindex,3,FALSE),2),IF(AND($E28&lt;&gt;0,$F28&gt;0,YEAR($F28)&lt;Preisindex!$A$6,YEAR(AV$4)&gt;=YEAR($F28),$K28="g"),ROUND(VLOOKUP(BA$4,Preisindex,4,FALSE)/VLOOKUP(Preisindex!$A$6,Preisindex,4,FALSE),2),IF(AND($E28&lt;&gt;0,$F28&gt;0,YEAR($F28)&lt;Preisindex!$A$6,YEAR(AV$4)&gt;=YEAR($F28),$K28="k"),ROUND(VLOOKUP(BA$4,Preisindex,2,FALSE)/VLOOKUP(Preisindex!$A$6,Preisindex,2,FALSE),2),0)))))</f>
        <v>0</v>
      </c>
      <c r="BC28" s="51">
        <f>IF(AND($E28&lt;&gt;0,$F28&gt;0,YEAR($F28)&lt;=BA$4,YEAR($F28)&gt;=Preisindex!$A$6),ROUND($E28*BA28,2),IF(AND($E28&lt;&gt;0,$F28&gt;0,YEAR($F28)&lt;=BA$4,YEAR($F28)&lt;Preisindex!$A$6),ROUND($E28*BB28,2),0))</f>
        <v>337900</v>
      </c>
      <c r="BD28" s="53">
        <f t="shared" si="157"/>
        <v>6758</v>
      </c>
      <c r="BE28" s="51">
        <f t="shared" si="315"/>
        <v>0</v>
      </c>
      <c r="BF28" s="51">
        <f t="shared" si="322"/>
        <v>0</v>
      </c>
      <c r="BG28" s="51">
        <f t="shared" si="160"/>
        <v>0</v>
      </c>
      <c r="BH28" s="51">
        <f t="shared" si="323"/>
        <v>0</v>
      </c>
      <c r="BI28" s="51">
        <f t="shared" si="162"/>
        <v>310000</v>
      </c>
      <c r="BJ28" s="51">
        <f t="shared" si="324"/>
        <v>310000</v>
      </c>
      <c r="BK28" s="51">
        <f t="shared" si="164"/>
        <v>6200</v>
      </c>
      <c r="BL28" s="51">
        <f t="shared" si="325"/>
        <v>6200</v>
      </c>
      <c r="BM28" s="51">
        <f t="shared" si="166"/>
        <v>269700</v>
      </c>
      <c r="BN28" s="51">
        <f t="shared" si="326"/>
        <v>269700</v>
      </c>
      <c r="BO28" s="51">
        <f t="shared" si="168"/>
        <v>40300</v>
      </c>
      <c r="BP28" s="54">
        <f t="shared" si="169"/>
        <v>0</v>
      </c>
      <c r="BQ28" s="55">
        <f t="shared" si="170"/>
        <v>0</v>
      </c>
      <c r="BR28" s="56">
        <f>IF(AND($E28&lt;&gt;0,$F28&gt;0,YEAR($F28)&gt;=Preisindex!$A$6,YEAR(BM$4)&gt;=YEAR($F28),AND($K28&lt;&gt;"a",$K28&lt;&gt;"b",$K28&lt;&gt;"g",$K28&lt;&gt;"k")),1,IF(AND($E28&lt;&gt;0,$F28&gt;0,YEAR($F28)&gt;=Preisindex!$A$6,YEAR(BM$4)&gt;=YEAR($F28),$K28="a"),ROUND(VLOOKUP(BR$4,Preisindex,5,FALSE)/VLOOKUP(YEAR($F28),Preisindex,5,FALSE),2),IF(AND($E28&lt;&gt;0,$F28&gt;0,YEAR($F28)&gt;=Preisindex!$A$6,YEAR(BM$4)&gt;=YEAR($F28),$K28="b"),ROUND(VLOOKUP(BR$4,Preisindex,3,FALSE)/VLOOKUP(YEAR($F28),Preisindex,3,FALSE),2),IF(AND($E28&lt;&gt;0,$F28&gt;0,YEAR($F28)&gt;=Preisindex!$A$6,YEAR(BM$4)&gt;=YEAR($F28),$K28="g"),ROUND(VLOOKUP(BR$4,Preisindex,4,FALSE)/VLOOKUP(YEAR($F28),Preisindex,4,FALSE),2),IF(AND($E28&lt;&gt;0,$F28&gt;0,YEAR($F28)&gt;=Preisindex!$A$6,YEAR(BM$4)&gt;=YEAR($F28),$K28="k"),ROUND(VLOOKUP(BR$4,Preisindex,2,FALSE)/VLOOKUP(YEAR($F28),Preisindex,2,FALSE),2),0)))))</f>
        <v>1.1100000000000001</v>
      </c>
      <c r="BS28" s="56">
        <f>IF(AND($E28&lt;&gt;0,$F28&gt;0,YEAR($F28)&lt;Preisindex!$A$6,YEAR(BM$4)&gt;=YEAR($F28),AND($K28&lt;&gt;"a",$K28&lt;&gt;"b",$K28&lt;&gt;"g",$K28&lt;&gt;"k")),1,IF(AND($E28&lt;&gt;0,$F28&gt;0,YEAR($F28)&lt;Preisindex!$A$6,YEAR(BM$4)&gt;=YEAR($F28),$K28="a"),ROUND(VLOOKUP(BR$4,Preisindex,5,FALSE)/VLOOKUP(Preisindex!$A$6,Preisindex,5,FALSE),2),IF(AND($E28&lt;&gt;0,$F28&gt;0,YEAR($F28)&lt;Preisindex!$A$6,YEAR(BM$4)&gt;=YEAR($F28),$K28="b"),ROUND(VLOOKUP(BR$4,Preisindex,3,FALSE)/VLOOKUP(Preisindex!$A$6,Preisindex,3,FALSE),2),IF(AND($E28&lt;&gt;0,$F28&gt;0,YEAR($F28)&lt;Preisindex!$A$6,YEAR(BM$4)&gt;=YEAR($F28),$K28="g"),ROUND(VLOOKUP(BR$4,Preisindex,4,FALSE)/VLOOKUP(Preisindex!$A$6,Preisindex,4,FALSE),2),IF(AND($E28&lt;&gt;0,$F28&gt;0,YEAR($F28)&lt;Preisindex!$A$6,YEAR(BM$4)&gt;=YEAR($F28),$K28="k"),ROUND(VLOOKUP(BR$4,Preisindex,2,FALSE)/VLOOKUP(Preisindex!$A$6,Preisindex,2,FALSE),2),0)))))</f>
        <v>0</v>
      </c>
      <c r="BT28" s="51">
        <f>IF(AND($E28&lt;&gt;0,$F28&gt;0,YEAR($F28)&lt;=BR$4,YEAR($F28)&gt;=Preisindex!$A$6),ROUND($E28*BR28,2),IF(AND($E28&lt;&gt;0,$F28&gt;0,YEAR($F28)&lt;=BR$4,YEAR($F28)&lt;Preisindex!$A$6),ROUND($E28*BS28,2),0))</f>
        <v>344100</v>
      </c>
      <c r="BU28" s="53">
        <f t="shared" si="171"/>
        <v>6882</v>
      </c>
      <c r="BV28" s="51">
        <f t="shared" si="315"/>
        <v>0</v>
      </c>
      <c r="BW28" s="51">
        <f t="shared" si="327"/>
        <v>0</v>
      </c>
      <c r="BX28" s="51">
        <f t="shared" si="174"/>
        <v>0</v>
      </c>
      <c r="BY28" s="51">
        <f t="shared" si="328"/>
        <v>0</v>
      </c>
      <c r="BZ28" s="51">
        <f t="shared" si="176"/>
        <v>310000</v>
      </c>
      <c r="CA28" s="51">
        <f t="shared" si="329"/>
        <v>310000</v>
      </c>
      <c r="CB28" s="51">
        <f t="shared" si="178"/>
        <v>6200</v>
      </c>
      <c r="CC28" s="51">
        <f t="shared" si="330"/>
        <v>6200</v>
      </c>
      <c r="CD28" s="51">
        <f t="shared" si="180"/>
        <v>263500</v>
      </c>
      <c r="CE28" s="51">
        <f t="shared" si="331"/>
        <v>263500</v>
      </c>
      <c r="CF28" s="51">
        <f t="shared" si="182"/>
        <v>46500</v>
      </c>
      <c r="CG28" s="54">
        <f t="shared" si="183"/>
        <v>0</v>
      </c>
      <c r="CH28" s="55">
        <f t="shared" si="184"/>
        <v>0</v>
      </c>
      <c r="CI28" s="56">
        <f>IF(AND($E28&lt;&gt;0,$F28&gt;0,YEAR($F28)&gt;=Preisindex!$A$6,YEAR(CD$4)&gt;=YEAR($F28),AND($K28&lt;&gt;"a",$K28&lt;&gt;"b",$K28&lt;&gt;"g",$K28&lt;&gt;"k")),1,IF(AND($E28&lt;&gt;0,$F28&gt;0,YEAR($F28)&gt;=Preisindex!$A$6,YEAR(CD$4)&gt;=YEAR($F28),$K28="a"),ROUND(VLOOKUP(CI$4,Preisindex,5,FALSE)/VLOOKUP(YEAR($F28),Preisindex,5,FALSE),2),IF(AND($E28&lt;&gt;0,$F28&gt;0,YEAR($F28)&gt;=Preisindex!$A$6,YEAR(CD$4)&gt;=YEAR($F28),$K28="b"),ROUND(VLOOKUP(CI$4,Preisindex,3,FALSE)/VLOOKUP(YEAR($F28),Preisindex,3,FALSE),2),IF(AND($E28&lt;&gt;0,$F28&gt;0,YEAR($F28)&gt;=Preisindex!$A$6,YEAR(CD$4)&gt;=YEAR($F28),$K28="g"),ROUND(VLOOKUP(CI$4,Preisindex,4,FALSE)/VLOOKUP(YEAR($F28),Preisindex,4,FALSE),2),IF(AND($E28&lt;&gt;0,$F28&gt;0,YEAR($F28)&gt;=Preisindex!$A$6,YEAR(CD$4)&gt;=YEAR($F28),$K28="k"),ROUND(VLOOKUP(CI$4,Preisindex,2,FALSE)/VLOOKUP(YEAR($F28),Preisindex,2,FALSE),2),0)))))</f>
        <v>1.1200000000000001</v>
      </c>
      <c r="CJ28" s="56">
        <f>IF(AND($E28&lt;&gt;0,$F28&gt;0,YEAR($F28)&lt;Preisindex!$A$6,YEAR(CD$4)&gt;=YEAR($F28),AND($K28&lt;&gt;"a",$K28&lt;&gt;"b",$K28&lt;&gt;"g",$K28&lt;&gt;"k")),1,IF(AND($E28&lt;&gt;0,$F28&gt;0,YEAR($F28)&lt;Preisindex!$A$6,YEAR(CD$4)&gt;=YEAR($F28),$K28="a"),ROUND(VLOOKUP(CI$4,Preisindex,5,FALSE)/VLOOKUP(Preisindex!$A$6,Preisindex,5,FALSE),2),IF(AND($E28&lt;&gt;0,$F28&gt;0,YEAR($F28)&lt;Preisindex!$A$6,YEAR(CD$4)&gt;=YEAR($F28),$K28="b"),ROUND(VLOOKUP(CI$4,Preisindex,3,FALSE)/VLOOKUP(Preisindex!$A$6,Preisindex,3,FALSE),2),IF(AND($E28&lt;&gt;0,$F28&gt;0,YEAR($F28)&lt;Preisindex!$A$6,YEAR(CD$4)&gt;=YEAR($F28),$K28="g"),ROUND(VLOOKUP(CI$4,Preisindex,4,FALSE)/VLOOKUP(Preisindex!$A$6,Preisindex,4,FALSE),2),IF(AND($E28&lt;&gt;0,$F28&gt;0,YEAR($F28)&lt;Preisindex!$A$6,YEAR(CD$4)&gt;=YEAR($F28),$K28="k"),ROUND(VLOOKUP(CI$4,Preisindex,2,FALSE)/VLOOKUP(Preisindex!$A$6,Preisindex,2,FALSE),2),0)))))</f>
        <v>0</v>
      </c>
      <c r="CK28" s="51">
        <f>IF(AND($E28&lt;&gt;0,$F28&gt;0,YEAR($F28)&lt;=CI$4,YEAR($F28)&gt;=Preisindex!$A$6),ROUND($E28*CI28,2),IF(AND($E28&lt;&gt;0,$F28&gt;0,YEAR($F28)&lt;=CI$4,YEAR($F28)&lt;Preisindex!$A$6),ROUND($E28*CJ28,2),0))</f>
        <v>347200</v>
      </c>
      <c r="CL28" s="53">
        <f t="shared" si="185"/>
        <v>6944</v>
      </c>
      <c r="CM28" s="51">
        <f t="shared" si="315"/>
        <v>0</v>
      </c>
      <c r="CN28" s="51">
        <f t="shared" si="332"/>
        <v>0</v>
      </c>
      <c r="CO28" s="51">
        <f t="shared" si="188"/>
        <v>0</v>
      </c>
      <c r="CP28" s="51">
        <f t="shared" si="333"/>
        <v>0</v>
      </c>
      <c r="CQ28" s="51">
        <f t="shared" si="190"/>
        <v>310000</v>
      </c>
      <c r="CR28" s="51">
        <f t="shared" si="334"/>
        <v>310000</v>
      </c>
      <c r="CS28" s="51">
        <f t="shared" si="192"/>
        <v>6200</v>
      </c>
      <c r="CT28" s="51">
        <f t="shared" si="335"/>
        <v>6200</v>
      </c>
      <c r="CU28" s="51">
        <f t="shared" si="194"/>
        <v>257300</v>
      </c>
      <c r="CV28" s="51">
        <f t="shared" si="336"/>
        <v>257300</v>
      </c>
      <c r="CW28" s="51">
        <f t="shared" si="196"/>
        <v>52700</v>
      </c>
      <c r="CX28" s="54">
        <f t="shared" si="197"/>
        <v>0</v>
      </c>
      <c r="CY28" s="55">
        <f t="shared" si="198"/>
        <v>0</v>
      </c>
      <c r="CZ28" s="56">
        <f>IF(AND($E28&lt;&gt;0,$F28&gt;0,YEAR($F28)&gt;=Preisindex!$A$6,YEAR(CU$4)&gt;=YEAR($F28),AND($K28&lt;&gt;"a",$K28&lt;&gt;"b",$K28&lt;&gt;"g",$K28&lt;&gt;"k")),1,IF(AND($E28&lt;&gt;0,$F28&gt;0,YEAR($F28)&gt;=Preisindex!$A$6,YEAR(CU$4)&gt;=YEAR($F28),$K28="a"),ROUND(VLOOKUP(CZ$4,Preisindex,5,FALSE)/VLOOKUP(YEAR($F28),Preisindex,5,FALSE),2),IF(AND($E28&lt;&gt;0,$F28&gt;0,YEAR($F28)&gt;=Preisindex!$A$6,YEAR(CU$4)&gt;=YEAR($F28),$K28="b"),ROUND(VLOOKUP(CZ$4,Preisindex,3,FALSE)/VLOOKUP(YEAR($F28),Preisindex,3,FALSE),2),IF(AND($E28&lt;&gt;0,$F28&gt;0,YEAR($F28)&gt;=Preisindex!$A$6,YEAR(CU$4)&gt;=YEAR($F28),$K28="g"),ROUND(VLOOKUP(CZ$4,Preisindex,4,FALSE)/VLOOKUP(YEAR($F28),Preisindex,4,FALSE),2),IF(AND($E28&lt;&gt;0,$F28&gt;0,YEAR($F28)&gt;=Preisindex!$A$6,YEAR(CU$4)&gt;=YEAR($F28),$K28="k"),ROUND(VLOOKUP(CZ$4,Preisindex,2,FALSE)/VLOOKUP(YEAR($F28),Preisindex,2,FALSE),2),0)))))</f>
        <v>1.1399999999999999</v>
      </c>
      <c r="DA28" s="56">
        <f>IF(AND($E28&lt;&gt;0,$F28&gt;0,YEAR($F28)&lt;Preisindex!$A$6,YEAR(CU$4)&gt;=YEAR($F28),AND($K28&lt;&gt;"a",$K28&lt;&gt;"b",$K28&lt;&gt;"g",$K28&lt;&gt;"k")),1,IF(AND($E28&lt;&gt;0,$F28&gt;0,YEAR($F28)&lt;Preisindex!$A$6,YEAR(CU$4)&gt;=YEAR($F28),$K28="a"),ROUND(VLOOKUP(CZ$4,Preisindex,5,FALSE)/VLOOKUP(Preisindex!$A$6,Preisindex,5,FALSE),2),IF(AND($E28&lt;&gt;0,$F28&gt;0,YEAR($F28)&lt;Preisindex!$A$6,YEAR(CU$4)&gt;=YEAR($F28),$K28="b"),ROUND(VLOOKUP(CZ$4,Preisindex,3,FALSE)/VLOOKUP(Preisindex!$A$6,Preisindex,3,FALSE),2),IF(AND($E28&lt;&gt;0,$F28&gt;0,YEAR($F28)&lt;Preisindex!$A$6,YEAR(CU$4)&gt;=YEAR($F28),$K28="g"),ROUND(VLOOKUP(CZ$4,Preisindex,4,FALSE)/VLOOKUP(Preisindex!$A$6,Preisindex,4,FALSE),2),IF(AND($E28&lt;&gt;0,$F28&gt;0,YEAR($F28)&lt;Preisindex!$A$6,YEAR(CU$4)&gt;=YEAR($F28),$K28="k"),ROUND(VLOOKUP(CZ$4,Preisindex,2,FALSE)/VLOOKUP(Preisindex!$A$6,Preisindex,2,FALSE),2),0)))))</f>
        <v>0</v>
      </c>
      <c r="DB28" s="51">
        <f>IF(AND($E28&lt;&gt;0,$F28&gt;0,YEAR($F28)&lt;=CZ$4,YEAR($F28)&gt;=Preisindex!$A$6),ROUND($E28*CZ28,2),IF(AND($E28&lt;&gt;0,$F28&gt;0,YEAR($F28)&lt;=CZ$4,YEAR($F28)&lt;Preisindex!$A$6),ROUND($E28*DA28,2),0))</f>
        <v>353400</v>
      </c>
      <c r="DC28" s="53">
        <f t="shared" si="199"/>
        <v>7068</v>
      </c>
      <c r="DD28" s="51">
        <f t="shared" si="316"/>
        <v>0</v>
      </c>
      <c r="DE28" s="51">
        <f t="shared" si="337"/>
        <v>0</v>
      </c>
      <c r="DF28" s="51">
        <f t="shared" si="202"/>
        <v>0</v>
      </c>
      <c r="DG28" s="51">
        <f t="shared" si="338"/>
        <v>0</v>
      </c>
      <c r="DH28" s="51">
        <f t="shared" si="204"/>
        <v>310000</v>
      </c>
      <c r="DI28" s="51">
        <f t="shared" si="339"/>
        <v>310000</v>
      </c>
      <c r="DJ28" s="51">
        <f t="shared" si="206"/>
        <v>6200</v>
      </c>
      <c r="DK28" s="51">
        <f t="shared" si="340"/>
        <v>6200</v>
      </c>
      <c r="DL28" s="51">
        <f t="shared" si="208"/>
        <v>251100</v>
      </c>
      <c r="DM28" s="51">
        <f t="shared" si="341"/>
        <v>251100</v>
      </c>
      <c r="DN28" s="51">
        <f t="shared" si="210"/>
        <v>58900</v>
      </c>
      <c r="DO28" s="54">
        <f t="shared" si="211"/>
        <v>0</v>
      </c>
      <c r="DP28" s="55">
        <f t="shared" si="212"/>
        <v>0</v>
      </c>
      <c r="DQ28" s="56">
        <f>IF(AND($E28&lt;&gt;0,$F28&gt;0,YEAR($F28)&gt;=Preisindex!$A$6,YEAR(DL$4)&gt;=YEAR($F28),AND($K28&lt;&gt;"a",$K28&lt;&gt;"b",$K28&lt;&gt;"g",$K28&lt;&gt;"k")),1,IF(AND($E28&lt;&gt;0,$F28&gt;0,YEAR($F28)&gt;=Preisindex!$A$6,YEAR(DL$4)&gt;=YEAR($F28),$K28="a"),ROUND(VLOOKUP(DQ$4,Preisindex,5,FALSE)/VLOOKUP(YEAR($F28),Preisindex,5,FALSE),2),IF(AND($E28&lt;&gt;0,$F28&gt;0,YEAR($F28)&gt;=Preisindex!$A$6,YEAR(DL$4)&gt;=YEAR($F28),$K28="b"),ROUND(VLOOKUP(DQ$4,Preisindex,3,FALSE)/VLOOKUP(YEAR($F28),Preisindex,3,FALSE),2),IF(AND($E28&lt;&gt;0,$F28&gt;0,YEAR($F28)&gt;=Preisindex!$A$6,YEAR(DL$4)&gt;=YEAR($F28),$K28="g"),ROUND(VLOOKUP(DQ$4,Preisindex,4,FALSE)/VLOOKUP(YEAR($F28),Preisindex,4,FALSE),2),IF(AND($E28&lt;&gt;0,$F28&gt;0,YEAR($F28)&gt;=Preisindex!$A$6,YEAR(DL$4)&gt;=YEAR($F28),$K28="k"),ROUND(VLOOKUP(DQ$4,Preisindex,2,FALSE)/VLOOKUP(YEAR($F28),Preisindex,2,FALSE),2),0)))))</f>
        <v>1.17</v>
      </c>
      <c r="DR28" s="56">
        <f>IF(AND($E28&lt;&gt;0,$F28&gt;0,YEAR($F28)&lt;Preisindex!$A$6,YEAR(DL$4)&gt;=YEAR($F28),AND($K28&lt;&gt;"a",$K28&lt;&gt;"b",$K28&lt;&gt;"g",$K28&lt;&gt;"k")),1,IF(AND($E28&lt;&gt;0,$F28&gt;0,YEAR($F28)&lt;Preisindex!$A$6,YEAR(DL$4)&gt;=YEAR($F28),$K28="a"),ROUND(VLOOKUP(DQ$4,Preisindex,5,FALSE)/VLOOKUP(Preisindex!$A$6,Preisindex,5,FALSE),2),IF(AND($E28&lt;&gt;0,$F28&gt;0,YEAR($F28)&lt;Preisindex!$A$6,YEAR(DL$4)&gt;=YEAR($F28),$K28="b"),ROUND(VLOOKUP(DQ$4,Preisindex,3,FALSE)/VLOOKUP(Preisindex!$A$6,Preisindex,3,FALSE),2),IF(AND($E28&lt;&gt;0,$F28&gt;0,YEAR($F28)&lt;Preisindex!$A$6,YEAR(DL$4)&gt;=YEAR($F28),$K28="g"),ROUND(VLOOKUP(DQ$4,Preisindex,4,FALSE)/VLOOKUP(Preisindex!$A$6,Preisindex,4,FALSE),2),IF(AND($E28&lt;&gt;0,$F28&gt;0,YEAR($F28)&lt;Preisindex!$A$6,YEAR(DL$4)&gt;=YEAR($F28),$K28="k"),ROUND(VLOOKUP(DQ$4,Preisindex,2,FALSE)/VLOOKUP(Preisindex!$A$6,Preisindex,2,FALSE),2),0)))))</f>
        <v>0</v>
      </c>
      <c r="DS28" s="51">
        <f>IF(AND($E28&lt;&gt;0,$F28&gt;0,YEAR($F28)&lt;=DQ$4,YEAR($F28)&gt;=Preisindex!$A$6),ROUND($E28*DQ28,2),IF(AND($E28&lt;&gt;0,$F28&gt;0,YEAR($F28)&lt;=DQ$4,YEAR($F28)&lt;Preisindex!$A$6),ROUND($E28*DR28,2),0))</f>
        <v>362700</v>
      </c>
      <c r="DT28" s="53">
        <f t="shared" si="213"/>
        <v>7254</v>
      </c>
      <c r="DU28" s="51">
        <f t="shared" si="316"/>
        <v>0</v>
      </c>
      <c r="DV28" s="51">
        <f t="shared" si="342"/>
        <v>0</v>
      </c>
      <c r="DW28" s="51">
        <f t="shared" si="216"/>
        <v>0</v>
      </c>
      <c r="DX28" s="51">
        <f t="shared" si="343"/>
        <v>0</v>
      </c>
      <c r="DY28" s="51">
        <f t="shared" si="218"/>
        <v>310000</v>
      </c>
      <c r="DZ28" s="51">
        <f t="shared" si="344"/>
        <v>310000</v>
      </c>
      <c r="EA28" s="51">
        <f t="shared" si="220"/>
        <v>6200</v>
      </c>
      <c r="EB28" s="51">
        <f t="shared" si="345"/>
        <v>6200</v>
      </c>
      <c r="EC28" s="51">
        <f t="shared" si="222"/>
        <v>244900</v>
      </c>
      <c r="ED28" s="51">
        <f t="shared" si="346"/>
        <v>244900</v>
      </c>
      <c r="EE28" s="51">
        <f t="shared" si="224"/>
        <v>65100</v>
      </c>
      <c r="EF28" s="54">
        <f t="shared" si="225"/>
        <v>0</v>
      </c>
      <c r="EG28" s="55">
        <f t="shared" si="226"/>
        <v>0</v>
      </c>
      <c r="EH28" s="56">
        <f>IF(AND($E28&lt;&gt;0,$F28&gt;0,YEAR($F28)&gt;=Preisindex!$A$6,YEAR(EC$4)&gt;=YEAR($F28),AND($K28&lt;&gt;"a",$K28&lt;&gt;"b",$K28&lt;&gt;"g",$K28&lt;&gt;"k")),1,IF(AND($E28&lt;&gt;0,$F28&gt;0,YEAR($F28)&gt;=Preisindex!$A$6,YEAR(EC$4)&gt;=YEAR($F28),$K28="a"),ROUND(VLOOKUP(EH$4,Preisindex,5,FALSE)/VLOOKUP(YEAR($F28),Preisindex,5,FALSE),2),IF(AND($E28&lt;&gt;0,$F28&gt;0,YEAR($F28)&gt;=Preisindex!$A$6,YEAR(EC$4)&gt;=YEAR($F28),$K28="b"),ROUND(VLOOKUP(EH$4,Preisindex,3,FALSE)/VLOOKUP(YEAR($F28),Preisindex,3,FALSE),2),IF(AND($E28&lt;&gt;0,$F28&gt;0,YEAR($F28)&gt;=Preisindex!$A$6,YEAR(EC$4)&gt;=YEAR($F28),$K28="g"),ROUND(VLOOKUP(EH$4,Preisindex,4,FALSE)/VLOOKUP(YEAR($F28),Preisindex,4,FALSE),2),IF(AND($E28&lt;&gt;0,$F28&gt;0,YEAR($F28)&gt;=Preisindex!$A$6,YEAR(EC$4)&gt;=YEAR($F28),$K28="k"),ROUND(VLOOKUP(EH$4,Preisindex,2,FALSE)/VLOOKUP(YEAR($F28),Preisindex,2,FALSE),2),0)))))</f>
        <v>1.23</v>
      </c>
      <c r="EI28" s="56">
        <f>IF(AND($E28&lt;&gt;0,$F28&gt;0,YEAR($F28)&lt;Preisindex!$A$6,YEAR(EC$4)&gt;=YEAR($F28),AND($K28&lt;&gt;"a",$K28&lt;&gt;"b",$K28&lt;&gt;"g",$K28&lt;&gt;"k")),1,IF(AND($E28&lt;&gt;0,$F28&gt;0,YEAR($F28)&lt;Preisindex!$A$6,YEAR(EC$4)&gt;=YEAR($F28),$K28="a"),ROUND(VLOOKUP(EH$4,Preisindex,5,FALSE)/VLOOKUP(Preisindex!$A$6,Preisindex,5,FALSE),2),IF(AND($E28&lt;&gt;0,$F28&gt;0,YEAR($F28)&lt;Preisindex!$A$6,YEAR(EC$4)&gt;=YEAR($F28),$K28="b"),ROUND(VLOOKUP(EH$4,Preisindex,3,FALSE)/VLOOKUP(Preisindex!$A$6,Preisindex,3,FALSE),2),IF(AND($E28&lt;&gt;0,$F28&gt;0,YEAR($F28)&lt;Preisindex!$A$6,YEAR(EC$4)&gt;=YEAR($F28),$K28="g"),ROUND(VLOOKUP(EH$4,Preisindex,4,FALSE)/VLOOKUP(Preisindex!$A$6,Preisindex,4,FALSE),2),IF(AND($E28&lt;&gt;0,$F28&gt;0,YEAR($F28)&lt;Preisindex!$A$6,YEAR(EC$4)&gt;=YEAR($F28),$K28="k"),ROUND(VLOOKUP(EH$4,Preisindex,2,FALSE)/VLOOKUP(Preisindex!$A$6,Preisindex,2,FALSE),2),0)))))</f>
        <v>0</v>
      </c>
      <c r="EJ28" s="51">
        <f>IF(AND($E28&lt;&gt;0,$F28&gt;0,YEAR($F28)&lt;=EH$4,YEAR($F28)&gt;=Preisindex!$A$6),ROUND($E28*EH28,2),IF(AND($E28&lt;&gt;0,$F28&gt;0,YEAR($F28)&lt;=EH$4,YEAR($F28)&lt;Preisindex!$A$6),ROUND($E28*EI28,2),0))</f>
        <v>381300</v>
      </c>
      <c r="EK28" s="53">
        <f t="shared" si="227"/>
        <v>7626</v>
      </c>
      <c r="EL28" s="51">
        <f t="shared" si="316"/>
        <v>0</v>
      </c>
      <c r="EM28" s="51">
        <f t="shared" si="347"/>
        <v>0</v>
      </c>
      <c r="EN28" s="51">
        <f t="shared" si="230"/>
        <v>0</v>
      </c>
      <c r="EO28" s="51">
        <f t="shared" si="348"/>
        <v>0</v>
      </c>
      <c r="EP28" s="51">
        <f t="shared" si="232"/>
        <v>310000</v>
      </c>
      <c r="EQ28" s="51">
        <f t="shared" si="349"/>
        <v>310000</v>
      </c>
      <c r="ER28" s="51">
        <f t="shared" si="234"/>
        <v>6200</v>
      </c>
      <c r="ES28" s="51">
        <f t="shared" si="350"/>
        <v>6200</v>
      </c>
      <c r="ET28" s="51">
        <f t="shared" si="236"/>
        <v>238700</v>
      </c>
      <c r="EU28" s="51">
        <f t="shared" si="351"/>
        <v>238700</v>
      </c>
      <c r="EV28" s="51">
        <f t="shared" si="238"/>
        <v>71300</v>
      </c>
      <c r="EW28" s="54">
        <f t="shared" si="239"/>
        <v>0</v>
      </c>
      <c r="EX28" s="55">
        <f t="shared" si="240"/>
        <v>0</v>
      </c>
      <c r="EY28" s="56">
        <f>IF(AND($E28&lt;&gt;0,$F28&gt;0,YEAR($F28)&gt;=Preisindex!$A$6,YEAR(ET$4)&gt;=YEAR($F28),AND($K28&lt;&gt;"a",$K28&lt;&gt;"b",$K28&lt;&gt;"g",$K28&lt;&gt;"k")),1,IF(AND($E28&lt;&gt;0,$F28&gt;0,YEAR($F28)&gt;=Preisindex!$A$6,YEAR(ET$4)&gt;=YEAR($F28),$K28="a"),ROUND(VLOOKUP(EY$4,Preisindex,5,FALSE)/VLOOKUP(YEAR($F28),Preisindex,5,FALSE),2),IF(AND($E28&lt;&gt;0,$F28&gt;0,YEAR($F28)&gt;=Preisindex!$A$6,YEAR(ET$4)&gt;=YEAR($F28),$K28="b"),ROUND(VLOOKUP(EY$4,Preisindex,3,FALSE)/VLOOKUP(YEAR($F28),Preisindex,3,FALSE),2),IF(AND($E28&lt;&gt;0,$F28&gt;0,YEAR($F28)&gt;=Preisindex!$A$6,YEAR(ET$4)&gt;=YEAR($F28),$K28="g"),ROUND(VLOOKUP(EY$4,Preisindex,4,FALSE)/VLOOKUP(YEAR($F28),Preisindex,4,FALSE),2),IF(AND($E28&lt;&gt;0,$F28&gt;0,YEAR($F28)&gt;=Preisindex!$A$6,YEAR(ET$4)&gt;=YEAR($F28),$K28="k"),ROUND(VLOOKUP(EY$4,Preisindex,2,FALSE)/VLOOKUP(YEAR($F28),Preisindex,2,FALSE),2),0)))))</f>
        <v>1.23</v>
      </c>
      <c r="EZ28" s="56">
        <f>IF(AND($E28&lt;&gt;0,$F28&gt;0,YEAR($F28)&lt;Preisindex!$A$6,YEAR(ET$4)&gt;=YEAR($F28),AND($K28&lt;&gt;"a",$K28&lt;&gt;"b",$K28&lt;&gt;"g",$K28&lt;&gt;"k")),1,IF(AND($E28&lt;&gt;0,$F28&gt;0,YEAR($F28)&lt;Preisindex!$A$6,YEAR(ET$4)&gt;=YEAR($F28),$K28="a"),ROUND(VLOOKUP(EY$4,Preisindex,5,FALSE)/VLOOKUP(Preisindex!$A$6,Preisindex,5,FALSE),2),IF(AND($E28&lt;&gt;0,$F28&gt;0,YEAR($F28)&lt;Preisindex!$A$6,YEAR(ET$4)&gt;=YEAR($F28),$K28="b"),ROUND(VLOOKUP(EY$4,Preisindex,3,FALSE)/VLOOKUP(Preisindex!$A$6,Preisindex,3,FALSE),2),IF(AND($E28&lt;&gt;0,$F28&gt;0,YEAR($F28)&lt;Preisindex!$A$6,YEAR(ET$4)&gt;=YEAR($F28),$K28="g"),ROUND(VLOOKUP(EY$4,Preisindex,4,FALSE)/VLOOKUP(Preisindex!$A$6,Preisindex,4,FALSE),2),IF(AND($E28&lt;&gt;0,$F28&gt;0,YEAR($F28)&lt;Preisindex!$A$6,YEAR(ET$4)&gt;=YEAR($F28),$K28="k"),ROUND(VLOOKUP(EY$4,Preisindex,2,FALSE)/VLOOKUP(Preisindex!$A$6,Preisindex,2,FALSE),2),0)))))</f>
        <v>0</v>
      </c>
      <c r="FA28" s="51">
        <f>IF(AND($E28&lt;&gt;0,$F28&gt;0,YEAR($F28)&lt;=EY$4,YEAR($F28)&gt;=Preisindex!$A$6),ROUND($E28*EY28,2),IF(AND($E28&lt;&gt;0,$F28&gt;0,YEAR($F28)&lt;=EY$4,YEAR($F28)&lt;Preisindex!$A$6),ROUND($E28*EZ28,2),0))</f>
        <v>381300</v>
      </c>
      <c r="FB28" s="53">
        <f t="shared" si="241"/>
        <v>7626</v>
      </c>
      <c r="FC28" s="51">
        <f t="shared" si="316"/>
        <v>0</v>
      </c>
      <c r="FD28" s="51">
        <f t="shared" si="352"/>
        <v>0</v>
      </c>
      <c r="FE28" s="51">
        <f t="shared" si="244"/>
        <v>0</v>
      </c>
      <c r="FF28" s="51">
        <f t="shared" si="353"/>
        <v>0</v>
      </c>
      <c r="FG28" s="51">
        <f t="shared" si="246"/>
        <v>310000</v>
      </c>
      <c r="FH28" s="51">
        <f t="shared" si="354"/>
        <v>310000</v>
      </c>
      <c r="FI28" s="51">
        <f t="shared" si="248"/>
        <v>6200</v>
      </c>
      <c r="FJ28" s="51">
        <f t="shared" si="355"/>
        <v>6200</v>
      </c>
      <c r="FK28" s="51">
        <f t="shared" si="250"/>
        <v>232500</v>
      </c>
      <c r="FL28" s="51">
        <f t="shared" si="356"/>
        <v>232500</v>
      </c>
      <c r="FM28" s="51">
        <f t="shared" si="252"/>
        <v>77500</v>
      </c>
      <c r="FN28" s="54">
        <f t="shared" si="253"/>
        <v>0</v>
      </c>
      <c r="FO28" s="55">
        <f t="shared" si="254"/>
        <v>0</v>
      </c>
      <c r="FP28" s="56">
        <f>IF(AND($E28&lt;&gt;0,$F28&gt;0,YEAR($F28)&gt;=Preisindex!$A$6,YEAR(FK$4)&gt;=YEAR($F28),AND($K28&lt;&gt;"a",$K28&lt;&gt;"b",$K28&lt;&gt;"g",$K28&lt;&gt;"k")),1,IF(AND($E28&lt;&gt;0,$F28&gt;0,YEAR($F28)&gt;=Preisindex!$A$6,YEAR(FK$4)&gt;=YEAR($F28),$K28="a"),ROUND(VLOOKUP(FP$4,Preisindex,5,FALSE)/VLOOKUP(YEAR($F28),Preisindex,5,FALSE),2),IF(AND($E28&lt;&gt;0,$F28&gt;0,YEAR($F28)&gt;=Preisindex!$A$6,YEAR(FK$4)&gt;=YEAR($F28),$K28="b"),ROUND(VLOOKUP(FP$4,Preisindex,3,FALSE)/VLOOKUP(YEAR($F28),Preisindex,3,FALSE),2),IF(AND($E28&lt;&gt;0,$F28&gt;0,YEAR($F28)&gt;=Preisindex!$A$6,YEAR(FK$4)&gt;=YEAR($F28),$K28="g"),ROUND(VLOOKUP(FP$4,Preisindex,4,FALSE)/VLOOKUP(YEAR($F28),Preisindex,4,FALSE),2),IF(AND($E28&lt;&gt;0,$F28&gt;0,YEAR($F28)&gt;=Preisindex!$A$6,YEAR(FK$4)&gt;=YEAR($F28),$K28="k"),ROUND(VLOOKUP(FP$4,Preisindex,2,FALSE)/VLOOKUP(YEAR($F28),Preisindex,2,FALSE),2),0)))))</f>
        <v>1.23</v>
      </c>
      <c r="FQ28" s="56">
        <f>IF(AND($E28&lt;&gt;0,$F28&gt;0,YEAR($F28)&lt;Preisindex!$A$6,YEAR(FK$4)&gt;=YEAR($F28),AND($K28&lt;&gt;"a",$K28&lt;&gt;"b",$K28&lt;&gt;"g",$K28&lt;&gt;"k")),1,IF(AND($E28&lt;&gt;0,$F28&gt;0,YEAR($F28)&lt;Preisindex!$A$6,YEAR(FK$4)&gt;=YEAR($F28),$K28="a"),ROUND(VLOOKUP(FP$4,Preisindex,5,FALSE)/VLOOKUP(Preisindex!$A$6,Preisindex,5,FALSE),2),IF(AND($E28&lt;&gt;0,$F28&gt;0,YEAR($F28)&lt;Preisindex!$A$6,YEAR(FK$4)&gt;=YEAR($F28),$K28="b"),ROUND(VLOOKUP(FP$4,Preisindex,3,FALSE)/VLOOKUP(Preisindex!$A$6,Preisindex,3,FALSE),2),IF(AND($E28&lt;&gt;0,$F28&gt;0,YEAR($F28)&lt;Preisindex!$A$6,YEAR(FK$4)&gt;=YEAR($F28),$K28="g"),ROUND(VLOOKUP(FP$4,Preisindex,4,FALSE)/VLOOKUP(Preisindex!$A$6,Preisindex,4,FALSE),2),IF(AND($E28&lt;&gt;0,$F28&gt;0,YEAR($F28)&lt;Preisindex!$A$6,YEAR(FK$4)&gt;=YEAR($F28),$K28="k"),ROUND(VLOOKUP(FP$4,Preisindex,2,FALSE)/VLOOKUP(Preisindex!$A$6,Preisindex,2,FALSE),2),0)))))</f>
        <v>0</v>
      </c>
      <c r="FR28" s="51">
        <f>IF(AND($E28&lt;&gt;0,$F28&gt;0,YEAR($F28)&lt;=FP$4,YEAR($F28)&gt;=Preisindex!$A$6),ROUND($E28*FP28,2),IF(AND($E28&lt;&gt;0,$F28&gt;0,YEAR($F28)&lt;=FP$4,YEAR($F28)&lt;Preisindex!$A$6),ROUND($E28*FQ28,2),0))</f>
        <v>381300</v>
      </c>
      <c r="FS28" s="53">
        <f t="shared" si="255"/>
        <v>7626</v>
      </c>
    </row>
    <row r="29" spans="1:175" x14ac:dyDescent="0.3">
      <c r="A29" s="93">
        <v>2009</v>
      </c>
      <c r="B29" s="94" t="s">
        <v>218</v>
      </c>
      <c r="C29" s="94"/>
      <c r="D29" s="95" t="s">
        <v>18</v>
      </c>
      <c r="E29" s="99">
        <v>190000</v>
      </c>
      <c r="F29" s="97">
        <v>39995</v>
      </c>
      <c r="G29" s="100">
        <v>50</v>
      </c>
      <c r="H29" s="622"/>
      <c r="I29" s="621"/>
      <c r="J29" s="194"/>
      <c r="K29" s="630" t="s">
        <v>266</v>
      </c>
      <c r="L29" s="49">
        <f t="shared" si="296"/>
        <v>0.02</v>
      </c>
      <c r="M29" s="50">
        <f t="shared" si="297"/>
        <v>3800</v>
      </c>
      <c r="N29" s="51">
        <f t="shared" si="298"/>
        <v>180500</v>
      </c>
      <c r="O29" s="51"/>
      <c r="P29" s="51">
        <f t="shared" si="299"/>
        <v>9500</v>
      </c>
      <c r="Q29" s="52"/>
      <c r="R29" s="52"/>
      <c r="S29" s="52"/>
      <c r="T29" s="52"/>
      <c r="U29" s="52"/>
      <c r="V29" s="53">
        <f t="shared" si="300"/>
        <v>190000</v>
      </c>
      <c r="W29" s="51">
        <f t="shared" si="301"/>
        <v>0</v>
      </c>
      <c r="X29" s="51">
        <f t="shared" si="302"/>
        <v>0</v>
      </c>
      <c r="Y29" s="51">
        <f t="shared" si="303"/>
        <v>0</v>
      </c>
      <c r="Z29" s="51">
        <f t="shared" si="304"/>
        <v>0</v>
      </c>
      <c r="AA29" s="51">
        <f t="shared" si="305"/>
        <v>190000</v>
      </c>
      <c r="AB29" s="51">
        <f t="shared" si="306"/>
        <v>190000</v>
      </c>
      <c r="AC29" s="51">
        <f t="shared" si="307"/>
        <v>3800</v>
      </c>
      <c r="AD29" s="51">
        <f t="shared" si="308"/>
        <v>3800</v>
      </c>
      <c r="AE29" s="51">
        <f t="shared" si="309"/>
        <v>176700</v>
      </c>
      <c r="AF29" s="51">
        <f t="shared" si="310"/>
        <v>176700</v>
      </c>
      <c r="AG29" s="51">
        <f t="shared" si="311"/>
        <v>13300</v>
      </c>
      <c r="AH29" s="54">
        <f t="shared" si="312"/>
        <v>0</v>
      </c>
      <c r="AI29" s="55">
        <f t="shared" si="313"/>
        <v>0</v>
      </c>
      <c r="AJ29" s="56">
        <f>IF(AND($E29&lt;&gt;0,$F29&gt;0,YEAR($F29)&gt;=Preisindex!$A$6,YEAR(AE$4)&gt;=YEAR($F29),AND($K29&lt;&gt;"a",$K29&lt;&gt;"b",$K29&lt;&gt;"g",$K29&lt;&gt;"k")),1,IF(AND($E29&lt;&gt;0,$F29&gt;0,YEAR($F29)&gt;=Preisindex!$A$6,YEAR(AE$4)&gt;=YEAR($F29),$K29="a"),ROUND(VLOOKUP(AJ$4,Preisindex,5,FALSE)/VLOOKUP(YEAR($F29),Preisindex,5,FALSE),2),IF(AND($E29&lt;&gt;0,$F29&gt;0,YEAR($F29)&gt;=Preisindex!$A$6,YEAR(AE$4)&gt;=YEAR($F29),$K29="b"),ROUND(VLOOKUP(AJ$4,Preisindex,3,FALSE)/VLOOKUP(YEAR($F29),Preisindex,3,FALSE),2),IF(AND($E29&lt;&gt;0,$F29&gt;0,YEAR($F29)&gt;=Preisindex!$A$6,YEAR(AE$4)&gt;=YEAR($F29),$K29="g"),ROUND(VLOOKUP(AJ$4,Preisindex,4,FALSE)/VLOOKUP(YEAR($F29),Preisindex,4,FALSE),2),IF(AND($E29&lt;&gt;0,$F29&gt;0,YEAR($F29)&gt;=Preisindex!$A$6,YEAR(AE$4)&gt;=YEAR($F29),$K29="k"),ROUND(VLOOKUP(AJ$4,Preisindex,2,FALSE)/VLOOKUP(YEAR($F29),Preisindex,2,FALSE),2),0)))))</f>
        <v>1.05</v>
      </c>
      <c r="AK29" s="56">
        <f>IF(AND($E29&lt;&gt;0,$F29&gt;0,YEAR($F29)&lt;Preisindex!$A$6,YEAR(AE$4)&gt;=YEAR($F29),AND($K29&lt;&gt;"a",$K29&lt;&gt;"b",$K29&lt;&gt;"g",$K29&lt;&gt;"k")),1,IF(AND($E29&lt;&gt;0,$F29&gt;0,YEAR($F29)&lt;Preisindex!$A$6,YEAR(AE$4)&gt;=YEAR($F29),$K29="a"),ROUND(VLOOKUP(AJ$4,Preisindex,5,FALSE)/VLOOKUP(Preisindex!$A$6,Preisindex,5,FALSE),2),IF(AND($E29&lt;&gt;0,$F29&gt;0,YEAR($F29)&lt;Preisindex!$A$6,YEAR(AE$4)&gt;=YEAR($F29),$K29="b"),ROUND(VLOOKUP(AJ$4,Preisindex,3,FALSE)/VLOOKUP(Preisindex!$A$6,Preisindex,3,FALSE),2),IF(AND($E29&lt;&gt;0,$F29&gt;0,YEAR($F29)&lt;Preisindex!$A$6,YEAR(AE$4)&gt;=YEAR($F29),$K29="g"),ROUND(VLOOKUP(AJ$4,Preisindex,4,FALSE)/VLOOKUP(Preisindex!$A$6,Preisindex,4,FALSE),2),IF(AND($E29&lt;&gt;0,$F29&gt;0,YEAR($F29)&lt;Preisindex!$A$6,YEAR(AE$4)&gt;=YEAR($F29),$K29="k"),ROUND(VLOOKUP(AJ$4,Preisindex,2,FALSE)/VLOOKUP(Preisindex!$A$6,Preisindex,2,FALSE),2),0)))))</f>
        <v>0</v>
      </c>
      <c r="AL29" s="51">
        <f>IF(AND($E29&lt;&gt;0,$F29&gt;0,YEAR($F29)&lt;=AJ$4,YEAR($F29)&gt;=Preisindex!$A$6),ROUND($E29*AJ29,2),IF(AND($E29&lt;&gt;0,$F29&gt;0,YEAR($F29)&lt;=AJ$4,YEAR($F29)&lt;Preisindex!$A$6),ROUND($E29*AK29,2),0))</f>
        <v>199500</v>
      </c>
      <c r="AM29" s="53">
        <f t="shared" si="314"/>
        <v>3990</v>
      </c>
      <c r="AN29" s="51">
        <f t="shared" si="315"/>
        <v>0</v>
      </c>
      <c r="AO29" s="51">
        <f t="shared" si="317"/>
        <v>0</v>
      </c>
      <c r="AP29" s="51">
        <f t="shared" si="146"/>
        <v>0</v>
      </c>
      <c r="AQ29" s="51">
        <f t="shared" si="318"/>
        <v>0</v>
      </c>
      <c r="AR29" s="51">
        <f t="shared" si="148"/>
        <v>190000</v>
      </c>
      <c r="AS29" s="51">
        <f t="shared" si="319"/>
        <v>190000</v>
      </c>
      <c r="AT29" s="51">
        <f t="shared" si="150"/>
        <v>3800</v>
      </c>
      <c r="AU29" s="51">
        <f t="shared" si="320"/>
        <v>3800</v>
      </c>
      <c r="AV29" s="51">
        <f t="shared" si="152"/>
        <v>172900</v>
      </c>
      <c r="AW29" s="51">
        <f t="shared" si="321"/>
        <v>172900</v>
      </c>
      <c r="AX29" s="51">
        <f t="shared" si="154"/>
        <v>17100</v>
      </c>
      <c r="AY29" s="54">
        <f t="shared" si="155"/>
        <v>0</v>
      </c>
      <c r="AZ29" s="55">
        <f t="shared" si="156"/>
        <v>0</v>
      </c>
      <c r="BA29" s="56">
        <f>IF(AND($E29&lt;&gt;0,$F29&gt;0,YEAR($F29)&gt;=Preisindex!$A$6,YEAR(AV$4)&gt;=YEAR($F29),AND($K29&lt;&gt;"a",$K29&lt;&gt;"b",$K29&lt;&gt;"g",$K29&lt;&gt;"k")),1,IF(AND($E29&lt;&gt;0,$F29&gt;0,YEAR($F29)&gt;=Preisindex!$A$6,YEAR(AV$4)&gt;=YEAR($F29),$K29="a"),ROUND(VLOOKUP(BA$4,Preisindex,5,FALSE)/VLOOKUP(YEAR($F29),Preisindex,5,FALSE),2),IF(AND($E29&lt;&gt;0,$F29&gt;0,YEAR($F29)&gt;=Preisindex!$A$6,YEAR(AV$4)&gt;=YEAR($F29),$K29="b"),ROUND(VLOOKUP(BA$4,Preisindex,3,FALSE)/VLOOKUP(YEAR($F29),Preisindex,3,FALSE),2),IF(AND($E29&lt;&gt;0,$F29&gt;0,YEAR($F29)&gt;=Preisindex!$A$6,YEAR(AV$4)&gt;=YEAR($F29),$K29="g"),ROUND(VLOOKUP(BA$4,Preisindex,4,FALSE)/VLOOKUP(YEAR($F29),Preisindex,4,FALSE),2),IF(AND($E29&lt;&gt;0,$F29&gt;0,YEAR($F29)&gt;=Preisindex!$A$6,YEAR(AV$4)&gt;=YEAR($F29),$K29="k"),ROUND(VLOOKUP(BA$4,Preisindex,2,FALSE)/VLOOKUP(YEAR($F29),Preisindex,2,FALSE),2),0)))))</f>
        <v>1.07</v>
      </c>
      <c r="BB29" s="56">
        <f>IF(AND($E29&lt;&gt;0,$F29&gt;0,YEAR($F29)&lt;Preisindex!$A$6,YEAR(AV$4)&gt;=YEAR($F29),AND($K29&lt;&gt;"a",$K29&lt;&gt;"b",$K29&lt;&gt;"g",$K29&lt;&gt;"k")),1,IF(AND($E29&lt;&gt;0,$F29&gt;0,YEAR($F29)&lt;Preisindex!$A$6,YEAR(AV$4)&gt;=YEAR($F29),$K29="a"),ROUND(VLOOKUP(BA$4,Preisindex,5,FALSE)/VLOOKUP(Preisindex!$A$6,Preisindex,5,FALSE),2),IF(AND($E29&lt;&gt;0,$F29&gt;0,YEAR($F29)&lt;Preisindex!$A$6,YEAR(AV$4)&gt;=YEAR($F29),$K29="b"),ROUND(VLOOKUP(BA$4,Preisindex,3,FALSE)/VLOOKUP(Preisindex!$A$6,Preisindex,3,FALSE),2),IF(AND($E29&lt;&gt;0,$F29&gt;0,YEAR($F29)&lt;Preisindex!$A$6,YEAR(AV$4)&gt;=YEAR($F29),$K29="g"),ROUND(VLOOKUP(BA$4,Preisindex,4,FALSE)/VLOOKUP(Preisindex!$A$6,Preisindex,4,FALSE),2),IF(AND($E29&lt;&gt;0,$F29&gt;0,YEAR($F29)&lt;Preisindex!$A$6,YEAR(AV$4)&gt;=YEAR($F29),$K29="k"),ROUND(VLOOKUP(BA$4,Preisindex,2,FALSE)/VLOOKUP(Preisindex!$A$6,Preisindex,2,FALSE),2),0)))))</f>
        <v>0</v>
      </c>
      <c r="BC29" s="51">
        <f>IF(AND($E29&lt;&gt;0,$F29&gt;0,YEAR($F29)&lt;=BA$4,YEAR($F29)&gt;=Preisindex!$A$6),ROUND($E29*BA29,2),IF(AND($E29&lt;&gt;0,$F29&gt;0,YEAR($F29)&lt;=BA$4,YEAR($F29)&lt;Preisindex!$A$6),ROUND($E29*BB29,2),0))</f>
        <v>203300</v>
      </c>
      <c r="BD29" s="53">
        <f t="shared" si="157"/>
        <v>4066</v>
      </c>
      <c r="BE29" s="51">
        <f t="shared" si="315"/>
        <v>0</v>
      </c>
      <c r="BF29" s="51">
        <f t="shared" si="322"/>
        <v>0</v>
      </c>
      <c r="BG29" s="51">
        <f t="shared" si="160"/>
        <v>0</v>
      </c>
      <c r="BH29" s="51">
        <f t="shared" si="323"/>
        <v>0</v>
      </c>
      <c r="BI29" s="51">
        <f t="shared" si="162"/>
        <v>190000</v>
      </c>
      <c r="BJ29" s="51">
        <f t="shared" si="324"/>
        <v>190000</v>
      </c>
      <c r="BK29" s="51">
        <f t="shared" si="164"/>
        <v>3800</v>
      </c>
      <c r="BL29" s="51">
        <f t="shared" si="325"/>
        <v>3800</v>
      </c>
      <c r="BM29" s="51">
        <f t="shared" si="166"/>
        <v>169100</v>
      </c>
      <c r="BN29" s="51">
        <f t="shared" si="326"/>
        <v>169100</v>
      </c>
      <c r="BO29" s="51">
        <f t="shared" si="168"/>
        <v>20900</v>
      </c>
      <c r="BP29" s="54">
        <f t="shared" si="169"/>
        <v>0</v>
      </c>
      <c r="BQ29" s="55">
        <f t="shared" si="170"/>
        <v>0</v>
      </c>
      <c r="BR29" s="56">
        <f>IF(AND($E29&lt;&gt;0,$F29&gt;0,YEAR($F29)&gt;=Preisindex!$A$6,YEAR(BM$4)&gt;=YEAR($F29),AND($K29&lt;&gt;"a",$K29&lt;&gt;"b",$K29&lt;&gt;"g",$K29&lt;&gt;"k")),1,IF(AND($E29&lt;&gt;0,$F29&gt;0,YEAR($F29)&gt;=Preisindex!$A$6,YEAR(BM$4)&gt;=YEAR($F29),$K29="a"),ROUND(VLOOKUP(BR$4,Preisindex,5,FALSE)/VLOOKUP(YEAR($F29),Preisindex,5,FALSE),2),IF(AND($E29&lt;&gt;0,$F29&gt;0,YEAR($F29)&gt;=Preisindex!$A$6,YEAR(BM$4)&gt;=YEAR($F29),$K29="b"),ROUND(VLOOKUP(BR$4,Preisindex,3,FALSE)/VLOOKUP(YEAR($F29),Preisindex,3,FALSE),2),IF(AND($E29&lt;&gt;0,$F29&gt;0,YEAR($F29)&gt;=Preisindex!$A$6,YEAR(BM$4)&gt;=YEAR($F29),$K29="g"),ROUND(VLOOKUP(BR$4,Preisindex,4,FALSE)/VLOOKUP(YEAR($F29),Preisindex,4,FALSE),2),IF(AND($E29&lt;&gt;0,$F29&gt;0,YEAR($F29)&gt;=Preisindex!$A$6,YEAR(BM$4)&gt;=YEAR($F29),$K29="k"),ROUND(VLOOKUP(BR$4,Preisindex,2,FALSE)/VLOOKUP(YEAR($F29),Preisindex,2,FALSE),2),0)))))</f>
        <v>1.0900000000000001</v>
      </c>
      <c r="BS29" s="56">
        <f>IF(AND($E29&lt;&gt;0,$F29&gt;0,YEAR($F29)&lt;Preisindex!$A$6,YEAR(BM$4)&gt;=YEAR($F29),AND($K29&lt;&gt;"a",$K29&lt;&gt;"b",$K29&lt;&gt;"g",$K29&lt;&gt;"k")),1,IF(AND($E29&lt;&gt;0,$F29&gt;0,YEAR($F29)&lt;Preisindex!$A$6,YEAR(BM$4)&gt;=YEAR($F29),$K29="a"),ROUND(VLOOKUP(BR$4,Preisindex,5,FALSE)/VLOOKUP(Preisindex!$A$6,Preisindex,5,FALSE),2),IF(AND($E29&lt;&gt;0,$F29&gt;0,YEAR($F29)&lt;Preisindex!$A$6,YEAR(BM$4)&gt;=YEAR($F29),$K29="b"),ROUND(VLOOKUP(BR$4,Preisindex,3,FALSE)/VLOOKUP(Preisindex!$A$6,Preisindex,3,FALSE),2),IF(AND($E29&lt;&gt;0,$F29&gt;0,YEAR($F29)&lt;Preisindex!$A$6,YEAR(BM$4)&gt;=YEAR($F29),$K29="g"),ROUND(VLOOKUP(BR$4,Preisindex,4,FALSE)/VLOOKUP(Preisindex!$A$6,Preisindex,4,FALSE),2),IF(AND($E29&lt;&gt;0,$F29&gt;0,YEAR($F29)&lt;Preisindex!$A$6,YEAR(BM$4)&gt;=YEAR($F29),$K29="k"),ROUND(VLOOKUP(BR$4,Preisindex,2,FALSE)/VLOOKUP(Preisindex!$A$6,Preisindex,2,FALSE),2),0)))))</f>
        <v>0</v>
      </c>
      <c r="BT29" s="51">
        <f>IF(AND($E29&lt;&gt;0,$F29&gt;0,YEAR($F29)&lt;=BR$4,YEAR($F29)&gt;=Preisindex!$A$6),ROUND($E29*BR29,2),IF(AND($E29&lt;&gt;0,$F29&gt;0,YEAR($F29)&lt;=BR$4,YEAR($F29)&lt;Preisindex!$A$6),ROUND($E29*BS29,2),0))</f>
        <v>207100</v>
      </c>
      <c r="BU29" s="53">
        <f t="shared" si="171"/>
        <v>4142</v>
      </c>
      <c r="BV29" s="51">
        <f t="shared" si="315"/>
        <v>0</v>
      </c>
      <c r="BW29" s="51">
        <f t="shared" si="327"/>
        <v>0</v>
      </c>
      <c r="BX29" s="51">
        <f t="shared" si="174"/>
        <v>0</v>
      </c>
      <c r="BY29" s="51">
        <f t="shared" si="328"/>
        <v>0</v>
      </c>
      <c r="BZ29" s="51">
        <f t="shared" si="176"/>
        <v>190000</v>
      </c>
      <c r="CA29" s="51">
        <f t="shared" si="329"/>
        <v>190000</v>
      </c>
      <c r="CB29" s="51">
        <f t="shared" si="178"/>
        <v>3800</v>
      </c>
      <c r="CC29" s="51">
        <f t="shared" si="330"/>
        <v>3800</v>
      </c>
      <c r="CD29" s="51">
        <f t="shared" si="180"/>
        <v>165300</v>
      </c>
      <c r="CE29" s="51">
        <f t="shared" si="331"/>
        <v>165300</v>
      </c>
      <c r="CF29" s="51">
        <f t="shared" si="182"/>
        <v>24700</v>
      </c>
      <c r="CG29" s="54">
        <f t="shared" si="183"/>
        <v>0</v>
      </c>
      <c r="CH29" s="55">
        <f t="shared" si="184"/>
        <v>0</v>
      </c>
      <c r="CI29" s="56">
        <f>IF(AND($E29&lt;&gt;0,$F29&gt;0,YEAR($F29)&gt;=Preisindex!$A$6,YEAR(CD$4)&gt;=YEAR($F29),AND($K29&lt;&gt;"a",$K29&lt;&gt;"b",$K29&lt;&gt;"g",$K29&lt;&gt;"k")),1,IF(AND($E29&lt;&gt;0,$F29&gt;0,YEAR($F29)&gt;=Preisindex!$A$6,YEAR(CD$4)&gt;=YEAR($F29),$K29="a"),ROUND(VLOOKUP(CI$4,Preisindex,5,FALSE)/VLOOKUP(YEAR($F29),Preisindex,5,FALSE),2),IF(AND($E29&lt;&gt;0,$F29&gt;0,YEAR($F29)&gt;=Preisindex!$A$6,YEAR(CD$4)&gt;=YEAR($F29),$K29="b"),ROUND(VLOOKUP(CI$4,Preisindex,3,FALSE)/VLOOKUP(YEAR($F29),Preisindex,3,FALSE),2),IF(AND($E29&lt;&gt;0,$F29&gt;0,YEAR($F29)&gt;=Preisindex!$A$6,YEAR(CD$4)&gt;=YEAR($F29),$K29="g"),ROUND(VLOOKUP(CI$4,Preisindex,4,FALSE)/VLOOKUP(YEAR($F29),Preisindex,4,FALSE),2),IF(AND($E29&lt;&gt;0,$F29&gt;0,YEAR($F29)&gt;=Preisindex!$A$6,YEAR(CD$4)&gt;=YEAR($F29),$K29="k"),ROUND(VLOOKUP(CI$4,Preisindex,2,FALSE)/VLOOKUP(YEAR($F29),Preisindex,2,FALSE),2),0)))))</f>
        <v>1.1000000000000001</v>
      </c>
      <c r="CJ29" s="56">
        <f>IF(AND($E29&lt;&gt;0,$F29&gt;0,YEAR($F29)&lt;Preisindex!$A$6,YEAR(CD$4)&gt;=YEAR($F29),AND($K29&lt;&gt;"a",$K29&lt;&gt;"b",$K29&lt;&gt;"g",$K29&lt;&gt;"k")),1,IF(AND($E29&lt;&gt;0,$F29&gt;0,YEAR($F29)&lt;Preisindex!$A$6,YEAR(CD$4)&gt;=YEAR($F29),$K29="a"),ROUND(VLOOKUP(CI$4,Preisindex,5,FALSE)/VLOOKUP(Preisindex!$A$6,Preisindex,5,FALSE),2),IF(AND($E29&lt;&gt;0,$F29&gt;0,YEAR($F29)&lt;Preisindex!$A$6,YEAR(CD$4)&gt;=YEAR($F29),$K29="b"),ROUND(VLOOKUP(CI$4,Preisindex,3,FALSE)/VLOOKUP(Preisindex!$A$6,Preisindex,3,FALSE),2),IF(AND($E29&lt;&gt;0,$F29&gt;0,YEAR($F29)&lt;Preisindex!$A$6,YEAR(CD$4)&gt;=YEAR($F29),$K29="g"),ROUND(VLOOKUP(CI$4,Preisindex,4,FALSE)/VLOOKUP(Preisindex!$A$6,Preisindex,4,FALSE),2),IF(AND($E29&lt;&gt;0,$F29&gt;0,YEAR($F29)&lt;Preisindex!$A$6,YEAR(CD$4)&gt;=YEAR($F29),$K29="k"),ROUND(VLOOKUP(CI$4,Preisindex,2,FALSE)/VLOOKUP(Preisindex!$A$6,Preisindex,2,FALSE),2),0)))))</f>
        <v>0</v>
      </c>
      <c r="CK29" s="51">
        <f>IF(AND($E29&lt;&gt;0,$F29&gt;0,YEAR($F29)&lt;=CI$4,YEAR($F29)&gt;=Preisindex!$A$6),ROUND($E29*CI29,2),IF(AND($E29&lt;&gt;0,$F29&gt;0,YEAR($F29)&lt;=CI$4,YEAR($F29)&lt;Preisindex!$A$6),ROUND($E29*CJ29,2),0))</f>
        <v>209000</v>
      </c>
      <c r="CL29" s="53">
        <f t="shared" si="185"/>
        <v>4180</v>
      </c>
      <c r="CM29" s="51">
        <f t="shared" si="315"/>
        <v>0</v>
      </c>
      <c r="CN29" s="51">
        <f t="shared" si="332"/>
        <v>0</v>
      </c>
      <c r="CO29" s="51">
        <f t="shared" si="188"/>
        <v>0</v>
      </c>
      <c r="CP29" s="51">
        <f t="shared" si="333"/>
        <v>0</v>
      </c>
      <c r="CQ29" s="51">
        <f t="shared" si="190"/>
        <v>190000</v>
      </c>
      <c r="CR29" s="51">
        <f t="shared" si="334"/>
        <v>190000</v>
      </c>
      <c r="CS29" s="51">
        <f t="shared" si="192"/>
        <v>3800</v>
      </c>
      <c r="CT29" s="51">
        <f t="shared" si="335"/>
        <v>3800</v>
      </c>
      <c r="CU29" s="51">
        <f t="shared" si="194"/>
        <v>161500</v>
      </c>
      <c r="CV29" s="51">
        <f t="shared" si="336"/>
        <v>161500</v>
      </c>
      <c r="CW29" s="51">
        <f t="shared" si="196"/>
        <v>28500</v>
      </c>
      <c r="CX29" s="54">
        <f t="shared" si="197"/>
        <v>0</v>
      </c>
      <c r="CY29" s="55">
        <f t="shared" si="198"/>
        <v>0</v>
      </c>
      <c r="CZ29" s="56">
        <f>IF(AND($E29&lt;&gt;0,$F29&gt;0,YEAR($F29)&gt;=Preisindex!$A$6,YEAR(CU$4)&gt;=YEAR($F29),AND($K29&lt;&gt;"a",$K29&lt;&gt;"b",$K29&lt;&gt;"g",$K29&lt;&gt;"k")),1,IF(AND($E29&lt;&gt;0,$F29&gt;0,YEAR($F29)&gt;=Preisindex!$A$6,YEAR(CU$4)&gt;=YEAR($F29),$K29="a"),ROUND(VLOOKUP(CZ$4,Preisindex,5,FALSE)/VLOOKUP(YEAR($F29),Preisindex,5,FALSE),2),IF(AND($E29&lt;&gt;0,$F29&gt;0,YEAR($F29)&gt;=Preisindex!$A$6,YEAR(CU$4)&gt;=YEAR($F29),$K29="b"),ROUND(VLOOKUP(CZ$4,Preisindex,3,FALSE)/VLOOKUP(YEAR($F29),Preisindex,3,FALSE),2),IF(AND($E29&lt;&gt;0,$F29&gt;0,YEAR($F29)&gt;=Preisindex!$A$6,YEAR(CU$4)&gt;=YEAR($F29),$K29="g"),ROUND(VLOOKUP(CZ$4,Preisindex,4,FALSE)/VLOOKUP(YEAR($F29),Preisindex,4,FALSE),2),IF(AND($E29&lt;&gt;0,$F29&gt;0,YEAR($F29)&gt;=Preisindex!$A$6,YEAR(CU$4)&gt;=YEAR($F29),$K29="k"),ROUND(VLOOKUP(CZ$4,Preisindex,2,FALSE)/VLOOKUP(YEAR($F29),Preisindex,2,FALSE),2),0)))))</f>
        <v>1.1200000000000001</v>
      </c>
      <c r="DA29" s="56">
        <f>IF(AND($E29&lt;&gt;0,$F29&gt;0,YEAR($F29)&lt;Preisindex!$A$6,YEAR(CU$4)&gt;=YEAR($F29),AND($K29&lt;&gt;"a",$K29&lt;&gt;"b",$K29&lt;&gt;"g",$K29&lt;&gt;"k")),1,IF(AND($E29&lt;&gt;0,$F29&gt;0,YEAR($F29)&lt;Preisindex!$A$6,YEAR(CU$4)&gt;=YEAR($F29),$K29="a"),ROUND(VLOOKUP(CZ$4,Preisindex,5,FALSE)/VLOOKUP(Preisindex!$A$6,Preisindex,5,FALSE),2),IF(AND($E29&lt;&gt;0,$F29&gt;0,YEAR($F29)&lt;Preisindex!$A$6,YEAR(CU$4)&gt;=YEAR($F29),$K29="b"),ROUND(VLOOKUP(CZ$4,Preisindex,3,FALSE)/VLOOKUP(Preisindex!$A$6,Preisindex,3,FALSE),2),IF(AND($E29&lt;&gt;0,$F29&gt;0,YEAR($F29)&lt;Preisindex!$A$6,YEAR(CU$4)&gt;=YEAR($F29),$K29="g"),ROUND(VLOOKUP(CZ$4,Preisindex,4,FALSE)/VLOOKUP(Preisindex!$A$6,Preisindex,4,FALSE),2),IF(AND($E29&lt;&gt;0,$F29&gt;0,YEAR($F29)&lt;Preisindex!$A$6,YEAR(CU$4)&gt;=YEAR($F29),$K29="k"),ROUND(VLOOKUP(CZ$4,Preisindex,2,FALSE)/VLOOKUP(Preisindex!$A$6,Preisindex,2,FALSE),2),0)))))</f>
        <v>0</v>
      </c>
      <c r="DB29" s="51">
        <f>IF(AND($E29&lt;&gt;0,$F29&gt;0,YEAR($F29)&lt;=CZ$4,YEAR($F29)&gt;=Preisindex!$A$6),ROUND($E29*CZ29,2),IF(AND($E29&lt;&gt;0,$F29&gt;0,YEAR($F29)&lt;=CZ$4,YEAR($F29)&lt;Preisindex!$A$6),ROUND($E29*DA29,2),0))</f>
        <v>212800</v>
      </c>
      <c r="DC29" s="53">
        <f t="shared" si="199"/>
        <v>4256</v>
      </c>
      <c r="DD29" s="51">
        <f t="shared" si="316"/>
        <v>0</v>
      </c>
      <c r="DE29" s="51">
        <f t="shared" si="337"/>
        <v>0</v>
      </c>
      <c r="DF29" s="51">
        <f t="shared" si="202"/>
        <v>0</v>
      </c>
      <c r="DG29" s="51">
        <f t="shared" si="338"/>
        <v>0</v>
      </c>
      <c r="DH29" s="51">
        <f t="shared" si="204"/>
        <v>190000</v>
      </c>
      <c r="DI29" s="51">
        <f t="shared" si="339"/>
        <v>190000</v>
      </c>
      <c r="DJ29" s="51">
        <f t="shared" si="206"/>
        <v>3800</v>
      </c>
      <c r="DK29" s="51">
        <f t="shared" si="340"/>
        <v>3800</v>
      </c>
      <c r="DL29" s="51">
        <f t="shared" si="208"/>
        <v>157700</v>
      </c>
      <c r="DM29" s="51">
        <f t="shared" si="341"/>
        <v>157700</v>
      </c>
      <c r="DN29" s="51">
        <f t="shared" si="210"/>
        <v>32300</v>
      </c>
      <c r="DO29" s="54">
        <f t="shared" si="211"/>
        <v>0</v>
      </c>
      <c r="DP29" s="55">
        <f t="shared" si="212"/>
        <v>0</v>
      </c>
      <c r="DQ29" s="56">
        <f>IF(AND($E29&lt;&gt;0,$F29&gt;0,YEAR($F29)&gt;=Preisindex!$A$6,YEAR(DL$4)&gt;=YEAR($F29),AND($K29&lt;&gt;"a",$K29&lt;&gt;"b",$K29&lt;&gt;"g",$K29&lt;&gt;"k")),1,IF(AND($E29&lt;&gt;0,$F29&gt;0,YEAR($F29)&gt;=Preisindex!$A$6,YEAR(DL$4)&gt;=YEAR($F29),$K29="a"),ROUND(VLOOKUP(DQ$4,Preisindex,5,FALSE)/VLOOKUP(YEAR($F29),Preisindex,5,FALSE),2),IF(AND($E29&lt;&gt;0,$F29&gt;0,YEAR($F29)&gt;=Preisindex!$A$6,YEAR(DL$4)&gt;=YEAR($F29),$K29="b"),ROUND(VLOOKUP(DQ$4,Preisindex,3,FALSE)/VLOOKUP(YEAR($F29),Preisindex,3,FALSE),2),IF(AND($E29&lt;&gt;0,$F29&gt;0,YEAR($F29)&gt;=Preisindex!$A$6,YEAR(DL$4)&gt;=YEAR($F29),$K29="g"),ROUND(VLOOKUP(DQ$4,Preisindex,4,FALSE)/VLOOKUP(YEAR($F29),Preisindex,4,FALSE),2),IF(AND($E29&lt;&gt;0,$F29&gt;0,YEAR($F29)&gt;=Preisindex!$A$6,YEAR(DL$4)&gt;=YEAR($F29),$K29="k"),ROUND(VLOOKUP(DQ$4,Preisindex,2,FALSE)/VLOOKUP(YEAR($F29),Preisindex,2,FALSE),2),0)))))</f>
        <v>1.1599999999999999</v>
      </c>
      <c r="DR29" s="56">
        <f>IF(AND($E29&lt;&gt;0,$F29&gt;0,YEAR($F29)&lt;Preisindex!$A$6,YEAR(DL$4)&gt;=YEAR($F29),AND($K29&lt;&gt;"a",$K29&lt;&gt;"b",$K29&lt;&gt;"g",$K29&lt;&gt;"k")),1,IF(AND($E29&lt;&gt;0,$F29&gt;0,YEAR($F29)&lt;Preisindex!$A$6,YEAR(DL$4)&gt;=YEAR($F29),$K29="a"),ROUND(VLOOKUP(DQ$4,Preisindex,5,FALSE)/VLOOKUP(Preisindex!$A$6,Preisindex,5,FALSE),2),IF(AND($E29&lt;&gt;0,$F29&gt;0,YEAR($F29)&lt;Preisindex!$A$6,YEAR(DL$4)&gt;=YEAR($F29),$K29="b"),ROUND(VLOOKUP(DQ$4,Preisindex,3,FALSE)/VLOOKUP(Preisindex!$A$6,Preisindex,3,FALSE),2),IF(AND($E29&lt;&gt;0,$F29&gt;0,YEAR($F29)&lt;Preisindex!$A$6,YEAR(DL$4)&gt;=YEAR($F29),$K29="g"),ROUND(VLOOKUP(DQ$4,Preisindex,4,FALSE)/VLOOKUP(Preisindex!$A$6,Preisindex,4,FALSE),2),IF(AND($E29&lt;&gt;0,$F29&gt;0,YEAR($F29)&lt;Preisindex!$A$6,YEAR(DL$4)&gt;=YEAR($F29),$K29="k"),ROUND(VLOOKUP(DQ$4,Preisindex,2,FALSE)/VLOOKUP(Preisindex!$A$6,Preisindex,2,FALSE),2),0)))))</f>
        <v>0</v>
      </c>
      <c r="DS29" s="51">
        <f>IF(AND($E29&lt;&gt;0,$F29&gt;0,YEAR($F29)&lt;=DQ$4,YEAR($F29)&gt;=Preisindex!$A$6),ROUND($E29*DQ29,2),IF(AND($E29&lt;&gt;0,$F29&gt;0,YEAR($F29)&lt;=DQ$4,YEAR($F29)&lt;Preisindex!$A$6),ROUND($E29*DR29,2),0))</f>
        <v>220400</v>
      </c>
      <c r="DT29" s="53">
        <f t="shared" si="213"/>
        <v>4408</v>
      </c>
      <c r="DU29" s="51">
        <f t="shared" si="316"/>
        <v>0</v>
      </c>
      <c r="DV29" s="51">
        <f t="shared" si="342"/>
        <v>0</v>
      </c>
      <c r="DW29" s="51">
        <f t="shared" si="216"/>
        <v>0</v>
      </c>
      <c r="DX29" s="51">
        <f t="shared" si="343"/>
        <v>0</v>
      </c>
      <c r="DY29" s="51">
        <f t="shared" si="218"/>
        <v>190000</v>
      </c>
      <c r="DZ29" s="51">
        <f t="shared" si="344"/>
        <v>190000</v>
      </c>
      <c r="EA29" s="51">
        <f t="shared" si="220"/>
        <v>3800</v>
      </c>
      <c r="EB29" s="51">
        <f t="shared" si="345"/>
        <v>3800</v>
      </c>
      <c r="EC29" s="51">
        <f t="shared" si="222"/>
        <v>153900</v>
      </c>
      <c r="ED29" s="51">
        <f t="shared" si="346"/>
        <v>153900</v>
      </c>
      <c r="EE29" s="51">
        <f t="shared" si="224"/>
        <v>36100</v>
      </c>
      <c r="EF29" s="54">
        <f t="shared" si="225"/>
        <v>0</v>
      </c>
      <c r="EG29" s="55">
        <f t="shared" si="226"/>
        <v>0</v>
      </c>
      <c r="EH29" s="56">
        <f>IF(AND($E29&lt;&gt;0,$F29&gt;0,YEAR($F29)&gt;=Preisindex!$A$6,YEAR(EC$4)&gt;=YEAR($F29),AND($K29&lt;&gt;"a",$K29&lt;&gt;"b",$K29&lt;&gt;"g",$K29&lt;&gt;"k")),1,IF(AND($E29&lt;&gt;0,$F29&gt;0,YEAR($F29)&gt;=Preisindex!$A$6,YEAR(EC$4)&gt;=YEAR($F29),$K29="a"),ROUND(VLOOKUP(EH$4,Preisindex,5,FALSE)/VLOOKUP(YEAR($F29),Preisindex,5,FALSE),2),IF(AND($E29&lt;&gt;0,$F29&gt;0,YEAR($F29)&gt;=Preisindex!$A$6,YEAR(EC$4)&gt;=YEAR($F29),$K29="b"),ROUND(VLOOKUP(EH$4,Preisindex,3,FALSE)/VLOOKUP(YEAR($F29),Preisindex,3,FALSE),2),IF(AND($E29&lt;&gt;0,$F29&gt;0,YEAR($F29)&gt;=Preisindex!$A$6,YEAR(EC$4)&gt;=YEAR($F29),$K29="g"),ROUND(VLOOKUP(EH$4,Preisindex,4,FALSE)/VLOOKUP(YEAR($F29),Preisindex,4,FALSE),2),IF(AND($E29&lt;&gt;0,$F29&gt;0,YEAR($F29)&gt;=Preisindex!$A$6,YEAR(EC$4)&gt;=YEAR($F29),$K29="k"),ROUND(VLOOKUP(EH$4,Preisindex,2,FALSE)/VLOOKUP(YEAR($F29),Preisindex,2,FALSE),2),0)))))</f>
        <v>1.22</v>
      </c>
      <c r="EI29" s="56">
        <f>IF(AND($E29&lt;&gt;0,$F29&gt;0,YEAR($F29)&lt;Preisindex!$A$6,YEAR(EC$4)&gt;=YEAR($F29),AND($K29&lt;&gt;"a",$K29&lt;&gt;"b",$K29&lt;&gt;"g",$K29&lt;&gt;"k")),1,IF(AND($E29&lt;&gt;0,$F29&gt;0,YEAR($F29)&lt;Preisindex!$A$6,YEAR(EC$4)&gt;=YEAR($F29),$K29="a"),ROUND(VLOOKUP(EH$4,Preisindex,5,FALSE)/VLOOKUP(Preisindex!$A$6,Preisindex,5,FALSE),2),IF(AND($E29&lt;&gt;0,$F29&gt;0,YEAR($F29)&lt;Preisindex!$A$6,YEAR(EC$4)&gt;=YEAR($F29),$K29="b"),ROUND(VLOOKUP(EH$4,Preisindex,3,FALSE)/VLOOKUP(Preisindex!$A$6,Preisindex,3,FALSE),2),IF(AND($E29&lt;&gt;0,$F29&gt;0,YEAR($F29)&lt;Preisindex!$A$6,YEAR(EC$4)&gt;=YEAR($F29),$K29="g"),ROUND(VLOOKUP(EH$4,Preisindex,4,FALSE)/VLOOKUP(Preisindex!$A$6,Preisindex,4,FALSE),2),IF(AND($E29&lt;&gt;0,$F29&gt;0,YEAR($F29)&lt;Preisindex!$A$6,YEAR(EC$4)&gt;=YEAR($F29),$K29="k"),ROUND(VLOOKUP(EH$4,Preisindex,2,FALSE)/VLOOKUP(Preisindex!$A$6,Preisindex,2,FALSE),2),0)))))</f>
        <v>0</v>
      </c>
      <c r="EJ29" s="51">
        <f>IF(AND($E29&lt;&gt;0,$F29&gt;0,YEAR($F29)&lt;=EH$4,YEAR($F29)&gt;=Preisindex!$A$6),ROUND($E29*EH29,2),IF(AND($E29&lt;&gt;0,$F29&gt;0,YEAR($F29)&lt;=EH$4,YEAR($F29)&lt;Preisindex!$A$6),ROUND($E29*EI29,2),0))</f>
        <v>231800</v>
      </c>
      <c r="EK29" s="53">
        <f t="shared" si="227"/>
        <v>4636</v>
      </c>
      <c r="EL29" s="51">
        <f t="shared" si="316"/>
        <v>0</v>
      </c>
      <c r="EM29" s="51">
        <f t="shared" si="347"/>
        <v>0</v>
      </c>
      <c r="EN29" s="51">
        <f t="shared" si="230"/>
        <v>0</v>
      </c>
      <c r="EO29" s="51">
        <f t="shared" si="348"/>
        <v>0</v>
      </c>
      <c r="EP29" s="51">
        <f t="shared" si="232"/>
        <v>190000</v>
      </c>
      <c r="EQ29" s="51">
        <f t="shared" si="349"/>
        <v>190000</v>
      </c>
      <c r="ER29" s="51">
        <f t="shared" si="234"/>
        <v>3800</v>
      </c>
      <c r="ES29" s="51">
        <f t="shared" si="350"/>
        <v>3800</v>
      </c>
      <c r="ET29" s="51">
        <f t="shared" si="236"/>
        <v>150100</v>
      </c>
      <c r="EU29" s="51">
        <f t="shared" si="351"/>
        <v>150100</v>
      </c>
      <c r="EV29" s="51">
        <f t="shared" si="238"/>
        <v>39900</v>
      </c>
      <c r="EW29" s="54">
        <f t="shared" si="239"/>
        <v>0</v>
      </c>
      <c r="EX29" s="55">
        <f t="shared" si="240"/>
        <v>0</v>
      </c>
      <c r="EY29" s="56">
        <f>IF(AND($E29&lt;&gt;0,$F29&gt;0,YEAR($F29)&gt;=Preisindex!$A$6,YEAR(ET$4)&gt;=YEAR($F29),AND($K29&lt;&gt;"a",$K29&lt;&gt;"b",$K29&lt;&gt;"g",$K29&lt;&gt;"k")),1,IF(AND($E29&lt;&gt;0,$F29&gt;0,YEAR($F29)&gt;=Preisindex!$A$6,YEAR(ET$4)&gt;=YEAR($F29),$K29="a"),ROUND(VLOOKUP(EY$4,Preisindex,5,FALSE)/VLOOKUP(YEAR($F29),Preisindex,5,FALSE),2),IF(AND($E29&lt;&gt;0,$F29&gt;0,YEAR($F29)&gt;=Preisindex!$A$6,YEAR(ET$4)&gt;=YEAR($F29),$K29="b"),ROUND(VLOOKUP(EY$4,Preisindex,3,FALSE)/VLOOKUP(YEAR($F29),Preisindex,3,FALSE),2),IF(AND($E29&lt;&gt;0,$F29&gt;0,YEAR($F29)&gt;=Preisindex!$A$6,YEAR(ET$4)&gt;=YEAR($F29),$K29="g"),ROUND(VLOOKUP(EY$4,Preisindex,4,FALSE)/VLOOKUP(YEAR($F29),Preisindex,4,FALSE),2),IF(AND($E29&lt;&gt;0,$F29&gt;0,YEAR($F29)&gt;=Preisindex!$A$6,YEAR(ET$4)&gt;=YEAR($F29),$K29="k"),ROUND(VLOOKUP(EY$4,Preisindex,2,FALSE)/VLOOKUP(YEAR($F29),Preisindex,2,FALSE),2),0)))))</f>
        <v>1.22</v>
      </c>
      <c r="EZ29" s="56">
        <f>IF(AND($E29&lt;&gt;0,$F29&gt;0,YEAR($F29)&lt;Preisindex!$A$6,YEAR(ET$4)&gt;=YEAR($F29),AND($K29&lt;&gt;"a",$K29&lt;&gt;"b",$K29&lt;&gt;"g",$K29&lt;&gt;"k")),1,IF(AND($E29&lt;&gt;0,$F29&gt;0,YEAR($F29)&lt;Preisindex!$A$6,YEAR(ET$4)&gt;=YEAR($F29),$K29="a"),ROUND(VLOOKUP(EY$4,Preisindex,5,FALSE)/VLOOKUP(Preisindex!$A$6,Preisindex,5,FALSE),2),IF(AND($E29&lt;&gt;0,$F29&gt;0,YEAR($F29)&lt;Preisindex!$A$6,YEAR(ET$4)&gt;=YEAR($F29),$K29="b"),ROUND(VLOOKUP(EY$4,Preisindex,3,FALSE)/VLOOKUP(Preisindex!$A$6,Preisindex,3,FALSE),2),IF(AND($E29&lt;&gt;0,$F29&gt;0,YEAR($F29)&lt;Preisindex!$A$6,YEAR(ET$4)&gt;=YEAR($F29),$K29="g"),ROUND(VLOOKUP(EY$4,Preisindex,4,FALSE)/VLOOKUP(Preisindex!$A$6,Preisindex,4,FALSE),2),IF(AND($E29&lt;&gt;0,$F29&gt;0,YEAR($F29)&lt;Preisindex!$A$6,YEAR(ET$4)&gt;=YEAR($F29),$K29="k"),ROUND(VLOOKUP(EY$4,Preisindex,2,FALSE)/VLOOKUP(Preisindex!$A$6,Preisindex,2,FALSE),2),0)))))</f>
        <v>0</v>
      </c>
      <c r="FA29" s="51">
        <f>IF(AND($E29&lt;&gt;0,$F29&gt;0,YEAR($F29)&lt;=EY$4,YEAR($F29)&gt;=Preisindex!$A$6),ROUND($E29*EY29,2),IF(AND($E29&lt;&gt;0,$F29&gt;0,YEAR($F29)&lt;=EY$4,YEAR($F29)&lt;Preisindex!$A$6),ROUND($E29*EZ29,2),0))</f>
        <v>231800</v>
      </c>
      <c r="FB29" s="53">
        <f t="shared" si="241"/>
        <v>4636</v>
      </c>
      <c r="FC29" s="51">
        <f t="shared" si="316"/>
        <v>0</v>
      </c>
      <c r="FD29" s="51">
        <f t="shared" si="352"/>
        <v>0</v>
      </c>
      <c r="FE29" s="51">
        <f t="shared" si="244"/>
        <v>0</v>
      </c>
      <c r="FF29" s="51">
        <f t="shared" si="353"/>
        <v>0</v>
      </c>
      <c r="FG29" s="51">
        <f t="shared" si="246"/>
        <v>190000</v>
      </c>
      <c r="FH29" s="51">
        <f t="shared" si="354"/>
        <v>190000</v>
      </c>
      <c r="FI29" s="51">
        <f t="shared" si="248"/>
        <v>3800</v>
      </c>
      <c r="FJ29" s="51">
        <f t="shared" si="355"/>
        <v>3800</v>
      </c>
      <c r="FK29" s="51">
        <f t="shared" si="250"/>
        <v>146300</v>
      </c>
      <c r="FL29" s="51">
        <f t="shared" si="356"/>
        <v>146300</v>
      </c>
      <c r="FM29" s="51">
        <f t="shared" si="252"/>
        <v>43700</v>
      </c>
      <c r="FN29" s="54">
        <f t="shared" si="253"/>
        <v>0</v>
      </c>
      <c r="FO29" s="55">
        <f t="shared" si="254"/>
        <v>0</v>
      </c>
      <c r="FP29" s="56">
        <f>IF(AND($E29&lt;&gt;0,$F29&gt;0,YEAR($F29)&gt;=Preisindex!$A$6,YEAR(FK$4)&gt;=YEAR($F29),AND($K29&lt;&gt;"a",$K29&lt;&gt;"b",$K29&lt;&gt;"g",$K29&lt;&gt;"k")),1,IF(AND($E29&lt;&gt;0,$F29&gt;0,YEAR($F29)&gt;=Preisindex!$A$6,YEAR(FK$4)&gt;=YEAR($F29),$K29="a"),ROUND(VLOOKUP(FP$4,Preisindex,5,FALSE)/VLOOKUP(YEAR($F29),Preisindex,5,FALSE),2),IF(AND($E29&lt;&gt;0,$F29&gt;0,YEAR($F29)&gt;=Preisindex!$A$6,YEAR(FK$4)&gt;=YEAR($F29),$K29="b"),ROUND(VLOOKUP(FP$4,Preisindex,3,FALSE)/VLOOKUP(YEAR($F29),Preisindex,3,FALSE),2),IF(AND($E29&lt;&gt;0,$F29&gt;0,YEAR($F29)&gt;=Preisindex!$A$6,YEAR(FK$4)&gt;=YEAR($F29),$K29="g"),ROUND(VLOOKUP(FP$4,Preisindex,4,FALSE)/VLOOKUP(YEAR($F29),Preisindex,4,FALSE),2),IF(AND($E29&lt;&gt;0,$F29&gt;0,YEAR($F29)&gt;=Preisindex!$A$6,YEAR(FK$4)&gt;=YEAR($F29),$K29="k"),ROUND(VLOOKUP(FP$4,Preisindex,2,FALSE)/VLOOKUP(YEAR($F29),Preisindex,2,FALSE),2),0)))))</f>
        <v>1.22</v>
      </c>
      <c r="FQ29" s="56">
        <f>IF(AND($E29&lt;&gt;0,$F29&gt;0,YEAR($F29)&lt;Preisindex!$A$6,YEAR(FK$4)&gt;=YEAR($F29),AND($K29&lt;&gt;"a",$K29&lt;&gt;"b",$K29&lt;&gt;"g",$K29&lt;&gt;"k")),1,IF(AND($E29&lt;&gt;0,$F29&gt;0,YEAR($F29)&lt;Preisindex!$A$6,YEAR(FK$4)&gt;=YEAR($F29),$K29="a"),ROUND(VLOOKUP(FP$4,Preisindex,5,FALSE)/VLOOKUP(Preisindex!$A$6,Preisindex,5,FALSE),2),IF(AND($E29&lt;&gt;0,$F29&gt;0,YEAR($F29)&lt;Preisindex!$A$6,YEAR(FK$4)&gt;=YEAR($F29),$K29="b"),ROUND(VLOOKUP(FP$4,Preisindex,3,FALSE)/VLOOKUP(Preisindex!$A$6,Preisindex,3,FALSE),2),IF(AND($E29&lt;&gt;0,$F29&gt;0,YEAR($F29)&lt;Preisindex!$A$6,YEAR(FK$4)&gt;=YEAR($F29),$K29="g"),ROUND(VLOOKUP(FP$4,Preisindex,4,FALSE)/VLOOKUP(Preisindex!$A$6,Preisindex,4,FALSE),2),IF(AND($E29&lt;&gt;0,$F29&gt;0,YEAR($F29)&lt;Preisindex!$A$6,YEAR(FK$4)&gt;=YEAR($F29),$K29="k"),ROUND(VLOOKUP(FP$4,Preisindex,2,FALSE)/VLOOKUP(Preisindex!$A$6,Preisindex,2,FALSE),2),0)))))</f>
        <v>0</v>
      </c>
      <c r="FR29" s="51">
        <f>IF(AND($E29&lt;&gt;0,$F29&gt;0,YEAR($F29)&lt;=FP$4,YEAR($F29)&gt;=Preisindex!$A$6),ROUND($E29*FP29,2),IF(AND($E29&lt;&gt;0,$F29&gt;0,YEAR($F29)&lt;=FP$4,YEAR($F29)&lt;Preisindex!$A$6),ROUND($E29*FQ29,2),0))</f>
        <v>231800</v>
      </c>
      <c r="FS29" s="53">
        <f t="shared" si="255"/>
        <v>4636</v>
      </c>
    </row>
    <row r="30" spans="1:175" x14ac:dyDescent="0.3">
      <c r="A30" s="93"/>
      <c r="B30" s="94"/>
      <c r="C30" s="94"/>
      <c r="D30" s="95"/>
      <c r="E30" s="99"/>
      <c r="F30" s="97"/>
      <c r="G30" s="100"/>
      <c r="H30" s="622"/>
      <c r="I30" s="621"/>
      <c r="J30" s="194"/>
      <c r="K30" s="630"/>
      <c r="L30" s="49">
        <f t="shared" si="296"/>
        <v>0</v>
      </c>
      <c r="M30" s="50">
        <f t="shared" si="297"/>
        <v>0</v>
      </c>
      <c r="N30" s="51">
        <f t="shared" si="298"/>
        <v>0</v>
      </c>
      <c r="O30" s="51"/>
      <c r="P30" s="51">
        <f t="shared" si="299"/>
        <v>0</v>
      </c>
      <c r="Q30" s="52"/>
      <c r="R30" s="52"/>
      <c r="S30" s="52"/>
      <c r="T30" s="52"/>
      <c r="U30" s="52"/>
      <c r="V30" s="53">
        <f t="shared" si="300"/>
        <v>0</v>
      </c>
      <c r="W30" s="51">
        <f t="shared" si="301"/>
        <v>0</v>
      </c>
      <c r="X30" s="51">
        <f t="shared" si="302"/>
        <v>0</v>
      </c>
      <c r="Y30" s="51">
        <f t="shared" si="303"/>
        <v>0</v>
      </c>
      <c r="Z30" s="51">
        <f t="shared" si="304"/>
        <v>0</v>
      </c>
      <c r="AA30" s="51">
        <f t="shared" si="305"/>
        <v>0</v>
      </c>
      <c r="AB30" s="51">
        <f t="shared" si="306"/>
        <v>0</v>
      </c>
      <c r="AC30" s="51">
        <f t="shared" si="307"/>
        <v>0</v>
      </c>
      <c r="AD30" s="51">
        <f t="shared" si="308"/>
        <v>0</v>
      </c>
      <c r="AE30" s="51">
        <f t="shared" si="309"/>
        <v>0</v>
      </c>
      <c r="AF30" s="51">
        <f t="shared" si="310"/>
        <v>0</v>
      </c>
      <c r="AG30" s="51">
        <f t="shared" si="311"/>
        <v>0</v>
      </c>
      <c r="AH30" s="54">
        <f t="shared" si="312"/>
        <v>0</v>
      </c>
      <c r="AI30" s="55">
        <f t="shared" si="313"/>
        <v>0</v>
      </c>
      <c r="AJ30" s="56">
        <f>IF(AND($E30&lt;&gt;0,$F30&gt;0,YEAR($F30)&gt;=Preisindex!$A$6,YEAR(AE$4)&gt;=YEAR($F30),AND($K30&lt;&gt;"a",$K30&lt;&gt;"b",$K30&lt;&gt;"g",$K30&lt;&gt;"k")),1,IF(AND($E30&lt;&gt;0,$F30&gt;0,YEAR($F30)&gt;=Preisindex!$A$6,YEAR(AE$4)&gt;=YEAR($F30),$K30="a"),ROUND(VLOOKUP(AJ$4,Preisindex,5,FALSE)/VLOOKUP(YEAR($F30),Preisindex,5,FALSE),2),IF(AND($E30&lt;&gt;0,$F30&gt;0,YEAR($F30)&gt;=Preisindex!$A$6,YEAR(AE$4)&gt;=YEAR($F30),$K30="b"),ROUND(VLOOKUP(AJ$4,Preisindex,3,FALSE)/VLOOKUP(YEAR($F30),Preisindex,3,FALSE),2),IF(AND($E30&lt;&gt;0,$F30&gt;0,YEAR($F30)&gt;=Preisindex!$A$6,YEAR(AE$4)&gt;=YEAR($F30),$K30="g"),ROUND(VLOOKUP(AJ$4,Preisindex,4,FALSE)/VLOOKUP(YEAR($F30),Preisindex,4,FALSE),2),IF(AND($E30&lt;&gt;0,$F30&gt;0,YEAR($F30)&gt;=Preisindex!$A$6,YEAR(AE$4)&gt;=YEAR($F30),$K30="k"),ROUND(VLOOKUP(AJ$4,Preisindex,2,FALSE)/VLOOKUP(YEAR($F30),Preisindex,2,FALSE),2),0)))))</f>
        <v>0</v>
      </c>
      <c r="AK30" s="56">
        <f>IF(AND($E30&lt;&gt;0,$F30&gt;0,YEAR($F30)&lt;Preisindex!$A$6,YEAR(AE$4)&gt;=YEAR($F30),AND($K30&lt;&gt;"a",$K30&lt;&gt;"b",$K30&lt;&gt;"g",$K30&lt;&gt;"k")),1,IF(AND($E30&lt;&gt;0,$F30&gt;0,YEAR($F30)&lt;Preisindex!$A$6,YEAR(AE$4)&gt;=YEAR($F30),$K30="a"),ROUND(VLOOKUP(AJ$4,Preisindex,5,FALSE)/VLOOKUP(Preisindex!$A$6,Preisindex,5,FALSE),2),IF(AND($E30&lt;&gt;0,$F30&gt;0,YEAR($F30)&lt;Preisindex!$A$6,YEAR(AE$4)&gt;=YEAR($F30),$K30="b"),ROUND(VLOOKUP(AJ$4,Preisindex,3,FALSE)/VLOOKUP(Preisindex!$A$6,Preisindex,3,FALSE),2),IF(AND($E30&lt;&gt;0,$F30&gt;0,YEAR($F30)&lt;Preisindex!$A$6,YEAR(AE$4)&gt;=YEAR($F30),$K30="g"),ROUND(VLOOKUP(AJ$4,Preisindex,4,FALSE)/VLOOKUP(Preisindex!$A$6,Preisindex,4,FALSE),2),IF(AND($E30&lt;&gt;0,$F30&gt;0,YEAR($F30)&lt;Preisindex!$A$6,YEAR(AE$4)&gt;=YEAR($F30),$K30="k"),ROUND(VLOOKUP(AJ$4,Preisindex,2,FALSE)/VLOOKUP(Preisindex!$A$6,Preisindex,2,FALSE),2),0)))))</f>
        <v>0</v>
      </c>
      <c r="AL30" s="51">
        <f>IF(AND($E30&lt;&gt;0,$F30&gt;0,YEAR($F30)&lt;=AJ$4,YEAR($F30)&gt;=Preisindex!$A$6),ROUND($E30*AJ30,2),IF(AND($E30&lt;&gt;0,$F30&gt;0,YEAR($F30)&lt;=AJ$4,YEAR($F30)&lt;Preisindex!$A$6),ROUND($E30*AK30,2),0))</f>
        <v>0</v>
      </c>
      <c r="AM30" s="53">
        <f t="shared" si="314"/>
        <v>0</v>
      </c>
      <c r="AN30" s="51">
        <f t="shared" si="315"/>
        <v>0</v>
      </c>
      <c r="AO30" s="51">
        <f t="shared" si="317"/>
        <v>0</v>
      </c>
      <c r="AP30" s="51">
        <f t="shared" si="146"/>
        <v>0</v>
      </c>
      <c r="AQ30" s="51">
        <f t="shared" si="318"/>
        <v>0</v>
      </c>
      <c r="AR30" s="51">
        <f t="shared" si="148"/>
        <v>0</v>
      </c>
      <c r="AS30" s="51">
        <f t="shared" si="319"/>
        <v>0</v>
      </c>
      <c r="AT30" s="51">
        <f t="shared" si="150"/>
        <v>0</v>
      </c>
      <c r="AU30" s="51">
        <f t="shared" si="320"/>
        <v>0</v>
      </c>
      <c r="AV30" s="51">
        <f t="shared" si="152"/>
        <v>0</v>
      </c>
      <c r="AW30" s="51">
        <f t="shared" si="321"/>
        <v>0</v>
      </c>
      <c r="AX30" s="51">
        <f t="shared" si="154"/>
        <v>0</v>
      </c>
      <c r="AY30" s="54">
        <f t="shared" si="155"/>
        <v>0</v>
      </c>
      <c r="AZ30" s="55">
        <f t="shared" si="156"/>
        <v>0</v>
      </c>
      <c r="BA30" s="56">
        <f>IF(AND($E30&lt;&gt;0,$F30&gt;0,YEAR($F30)&gt;=Preisindex!$A$6,YEAR(AV$4)&gt;=YEAR($F30),AND($K30&lt;&gt;"a",$K30&lt;&gt;"b",$K30&lt;&gt;"g",$K30&lt;&gt;"k")),1,IF(AND($E30&lt;&gt;0,$F30&gt;0,YEAR($F30)&gt;=Preisindex!$A$6,YEAR(AV$4)&gt;=YEAR($F30),$K30="a"),ROUND(VLOOKUP(BA$4,Preisindex,5,FALSE)/VLOOKUP(YEAR($F30),Preisindex,5,FALSE),2),IF(AND($E30&lt;&gt;0,$F30&gt;0,YEAR($F30)&gt;=Preisindex!$A$6,YEAR(AV$4)&gt;=YEAR($F30),$K30="b"),ROUND(VLOOKUP(BA$4,Preisindex,3,FALSE)/VLOOKUP(YEAR($F30),Preisindex,3,FALSE),2),IF(AND($E30&lt;&gt;0,$F30&gt;0,YEAR($F30)&gt;=Preisindex!$A$6,YEAR(AV$4)&gt;=YEAR($F30),$K30="g"),ROUND(VLOOKUP(BA$4,Preisindex,4,FALSE)/VLOOKUP(YEAR($F30),Preisindex,4,FALSE),2),IF(AND($E30&lt;&gt;0,$F30&gt;0,YEAR($F30)&gt;=Preisindex!$A$6,YEAR(AV$4)&gt;=YEAR($F30),$K30="k"),ROUND(VLOOKUP(BA$4,Preisindex,2,FALSE)/VLOOKUP(YEAR($F30),Preisindex,2,FALSE),2),0)))))</f>
        <v>0</v>
      </c>
      <c r="BB30" s="56">
        <f>IF(AND($E30&lt;&gt;0,$F30&gt;0,YEAR($F30)&lt;Preisindex!$A$6,YEAR(AV$4)&gt;=YEAR($F30),AND($K30&lt;&gt;"a",$K30&lt;&gt;"b",$K30&lt;&gt;"g",$K30&lt;&gt;"k")),1,IF(AND($E30&lt;&gt;0,$F30&gt;0,YEAR($F30)&lt;Preisindex!$A$6,YEAR(AV$4)&gt;=YEAR($F30),$K30="a"),ROUND(VLOOKUP(BA$4,Preisindex,5,FALSE)/VLOOKUP(Preisindex!$A$6,Preisindex,5,FALSE),2),IF(AND($E30&lt;&gt;0,$F30&gt;0,YEAR($F30)&lt;Preisindex!$A$6,YEAR(AV$4)&gt;=YEAR($F30),$K30="b"),ROUND(VLOOKUP(BA$4,Preisindex,3,FALSE)/VLOOKUP(Preisindex!$A$6,Preisindex,3,FALSE),2),IF(AND($E30&lt;&gt;0,$F30&gt;0,YEAR($F30)&lt;Preisindex!$A$6,YEAR(AV$4)&gt;=YEAR($F30),$K30="g"),ROUND(VLOOKUP(BA$4,Preisindex,4,FALSE)/VLOOKUP(Preisindex!$A$6,Preisindex,4,FALSE),2),IF(AND($E30&lt;&gt;0,$F30&gt;0,YEAR($F30)&lt;Preisindex!$A$6,YEAR(AV$4)&gt;=YEAR($F30),$K30="k"),ROUND(VLOOKUP(BA$4,Preisindex,2,FALSE)/VLOOKUP(Preisindex!$A$6,Preisindex,2,FALSE),2),0)))))</f>
        <v>0</v>
      </c>
      <c r="BC30" s="51">
        <f>IF(AND($E30&lt;&gt;0,$F30&gt;0,YEAR($F30)&lt;=BA$4,YEAR($F30)&gt;=Preisindex!$A$6),ROUND($E30*BA30,2),IF(AND($E30&lt;&gt;0,$F30&gt;0,YEAR($F30)&lt;=BA$4,YEAR($F30)&lt;Preisindex!$A$6),ROUND($E30*BB30,2),0))</f>
        <v>0</v>
      </c>
      <c r="BD30" s="53">
        <f t="shared" si="157"/>
        <v>0</v>
      </c>
      <c r="BE30" s="51">
        <f t="shared" si="315"/>
        <v>0</v>
      </c>
      <c r="BF30" s="51">
        <f t="shared" si="322"/>
        <v>0</v>
      </c>
      <c r="BG30" s="51">
        <f t="shared" si="160"/>
        <v>0</v>
      </c>
      <c r="BH30" s="51">
        <f t="shared" si="323"/>
        <v>0</v>
      </c>
      <c r="BI30" s="51">
        <f t="shared" si="162"/>
        <v>0</v>
      </c>
      <c r="BJ30" s="51">
        <f t="shared" si="324"/>
        <v>0</v>
      </c>
      <c r="BK30" s="51">
        <f t="shared" si="164"/>
        <v>0</v>
      </c>
      <c r="BL30" s="51">
        <f t="shared" si="325"/>
        <v>0</v>
      </c>
      <c r="BM30" s="51">
        <f t="shared" si="166"/>
        <v>0</v>
      </c>
      <c r="BN30" s="51">
        <f t="shared" si="326"/>
        <v>0</v>
      </c>
      <c r="BO30" s="51">
        <f t="shared" si="168"/>
        <v>0</v>
      </c>
      <c r="BP30" s="54">
        <f t="shared" si="169"/>
        <v>0</v>
      </c>
      <c r="BQ30" s="55">
        <f t="shared" si="170"/>
        <v>0</v>
      </c>
      <c r="BR30" s="56">
        <f>IF(AND($E30&lt;&gt;0,$F30&gt;0,YEAR($F30)&gt;=Preisindex!$A$6,YEAR(BM$4)&gt;=YEAR($F30),AND($K30&lt;&gt;"a",$K30&lt;&gt;"b",$K30&lt;&gt;"g",$K30&lt;&gt;"k")),1,IF(AND($E30&lt;&gt;0,$F30&gt;0,YEAR($F30)&gt;=Preisindex!$A$6,YEAR(BM$4)&gt;=YEAR($F30),$K30="a"),ROUND(VLOOKUP(BR$4,Preisindex,5,FALSE)/VLOOKUP(YEAR($F30),Preisindex,5,FALSE),2),IF(AND($E30&lt;&gt;0,$F30&gt;0,YEAR($F30)&gt;=Preisindex!$A$6,YEAR(BM$4)&gt;=YEAR($F30),$K30="b"),ROUND(VLOOKUP(BR$4,Preisindex,3,FALSE)/VLOOKUP(YEAR($F30),Preisindex,3,FALSE),2),IF(AND($E30&lt;&gt;0,$F30&gt;0,YEAR($F30)&gt;=Preisindex!$A$6,YEAR(BM$4)&gt;=YEAR($F30),$K30="g"),ROUND(VLOOKUP(BR$4,Preisindex,4,FALSE)/VLOOKUP(YEAR($F30),Preisindex,4,FALSE),2),IF(AND($E30&lt;&gt;0,$F30&gt;0,YEAR($F30)&gt;=Preisindex!$A$6,YEAR(BM$4)&gt;=YEAR($F30),$K30="k"),ROUND(VLOOKUP(BR$4,Preisindex,2,FALSE)/VLOOKUP(YEAR($F30),Preisindex,2,FALSE),2),0)))))</f>
        <v>0</v>
      </c>
      <c r="BS30" s="56">
        <f>IF(AND($E30&lt;&gt;0,$F30&gt;0,YEAR($F30)&lt;Preisindex!$A$6,YEAR(BM$4)&gt;=YEAR($F30),AND($K30&lt;&gt;"a",$K30&lt;&gt;"b",$K30&lt;&gt;"g",$K30&lt;&gt;"k")),1,IF(AND($E30&lt;&gt;0,$F30&gt;0,YEAR($F30)&lt;Preisindex!$A$6,YEAR(BM$4)&gt;=YEAR($F30),$K30="a"),ROUND(VLOOKUP(BR$4,Preisindex,5,FALSE)/VLOOKUP(Preisindex!$A$6,Preisindex,5,FALSE),2),IF(AND($E30&lt;&gt;0,$F30&gt;0,YEAR($F30)&lt;Preisindex!$A$6,YEAR(BM$4)&gt;=YEAR($F30),$K30="b"),ROUND(VLOOKUP(BR$4,Preisindex,3,FALSE)/VLOOKUP(Preisindex!$A$6,Preisindex,3,FALSE),2),IF(AND($E30&lt;&gt;0,$F30&gt;0,YEAR($F30)&lt;Preisindex!$A$6,YEAR(BM$4)&gt;=YEAR($F30),$K30="g"),ROUND(VLOOKUP(BR$4,Preisindex,4,FALSE)/VLOOKUP(Preisindex!$A$6,Preisindex,4,FALSE),2),IF(AND($E30&lt;&gt;0,$F30&gt;0,YEAR($F30)&lt;Preisindex!$A$6,YEAR(BM$4)&gt;=YEAR($F30),$K30="k"),ROUND(VLOOKUP(BR$4,Preisindex,2,FALSE)/VLOOKUP(Preisindex!$A$6,Preisindex,2,FALSE),2),0)))))</f>
        <v>0</v>
      </c>
      <c r="BT30" s="51">
        <f>IF(AND($E30&lt;&gt;0,$F30&gt;0,YEAR($F30)&lt;=BR$4,YEAR($F30)&gt;=Preisindex!$A$6),ROUND($E30*BR30,2),IF(AND($E30&lt;&gt;0,$F30&gt;0,YEAR($F30)&lt;=BR$4,YEAR($F30)&lt;Preisindex!$A$6),ROUND($E30*BS30,2),0))</f>
        <v>0</v>
      </c>
      <c r="BU30" s="53">
        <f t="shared" si="171"/>
        <v>0</v>
      </c>
      <c r="BV30" s="51">
        <f t="shared" si="315"/>
        <v>0</v>
      </c>
      <c r="BW30" s="51">
        <f t="shared" si="327"/>
        <v>0</v>
      </c>
      <c r="BX30" s="51">
        <f t="shared" si="174"/>
        <v>0</v>
      </c>
      <c r="BY30" s="51">
        <f t="shared" si="328"/>
        <v>0</v>
      </c>
      <c r="BZ30" s="51">
        <f t="shared" si="176"/>
        <v>0</v>
      </c>
      <c r="CA30" s="51">
        <f t="shared" si="329"/>
        <v>0</v>
      </c>
      <c r="CB30" s="51">
        <f t="shared" si="178"/>
        <v>0</v>
      </c>
      <c r="CC30" s="51">
        <f t="shared" si="330"/>
        <v>0</v>
      </c>
      <c r="CD30" s="51">
        <f t="shared" si="180"/>
        <v>0</v>
      </c>
      <c r="CE30" s="51">
        <f t="shared" si="331"/>
        <v>0</v>
      </c>
      <c r="CF30" s="51">
        <f t="shared" si="182"/>
        <v>0</v>
      </c>
      <c r="CG30" s="54">
        <f t="shared" si="183"/>
        <v>0</v>
      </c>
      <c r="CH30" s="55">
        <f t="shared" si="184"/>
        <v>0</v>
      </c>
      <c r="CI30" s="56">
        <f>IF(AND($E30&lt;&gt;0,$F30&gt;0,YEAR($F30)&gt;=Preisindex!$A$6,YEAR(CD$4)&gt;=YEAR($F30),AND($K30&lt;&gt;"a",$K30&lt;&gt;"b",$K30&lt;&gt;"g",$K30&lt;&gt;"k")),1,IF(AND($E30&lt;&gt;0,$F30&gt;0,YEAR($F30)&gt;=Preisindex!$A$6,YEAR(CD$4)&gt;=YEAR($F30),$K30="a"),ROUND(VLOOKUP(CI$4,Preisindex,5,FALSE)/VLOOKUP(YEAR($F30),Preisindex,5,FALSE),2),IF(AND($E30&lt;&gt;0,$F30&gt;0,YEAR($F30)&gt;=Preisindex!$A$6,YEAR(CD$4)&gt;=YEAR($F30),$K30="b"),ROUND(VLOOKUP(CI$4,Preisindex,3,FALSE)/VLOOKUP(YEAR($F30),Preisindex,3,FALSE),2),IF(AND($E30&lt;&gt;0,$F30&gt;0,YEAR($F30)&gt;=Preisindex!$A$6,YEAR(CD$4)&gt;=YEAR($F30),$K30="g"),ROUND(VLOOKUP(CI$4,Preisindex,4,FALSE)/VLOOKUP(YEAR($F30),Preisindex,4,FALSE),2),IF(AND($E30&lt;&gt;0,$F30&gt;0,YEAR($F30)&gt;=Preisindex!$A$6,YEAR(CD$4)&gt;=YEAR($F30),$K30="k"),ROUND(VLOOKUP(CI$4,Preisindex,2,FALSE)/VLOOKUP(YEAR($F30),Preisindex,2,FALSE),2),0)))))</f>
        <v>0</v>
      </c>
      <c r="CJ30" s="56">
        <f>IF(AND($E30&lt;&gt;0,$F30&gt;0,YEAR($F30)&lt;Preisindex!$A$6,YEAR(CD$4)&gt;=YEAR($F30),AND($K30&lt;&gt;"a",$K30&lt;&gt;"b",$K30&lt;&gt;"g",$K30&lt;&gt;"k")),1,IF(AND($E30&lt;&gt;0,$F30&gt;0,YEAR($F30)&lt;Preisindex!$A$6,YEAR(CD$4)&gt;=YEAR($F30),$K30="a"),ROUND(VLOOKUP(CI$4,Preisindex,5,FALSE)/VLOOKUP(Preisindex!$A$6,Preisindex,5,FALSE),2),IF(AND($E30&lt;&gt;0,$F30&gt;0,YEAR($F30)&lt;Preisindex!$A$6,YEAR(CD$4)&gt;=YEAR($F30),$K30="b"),ROUND(VLOOKUP(CI$4,Preisindex,3,FALSE)/VLOOKUP(Preisindex!$A$6,Preisindex,3,FALSE),2),IF(AND($E30&lt;&gt;0,$F30&gt;0,YEAR($F30)&lt;Preisindex!$A$6,YEAR(CD$4)&gt;=YEAR($F30),$K30="g"),ROUND(VLOOKUP(CI$4,Preisindex,4,FALSE)/VLOOKUP(Preisindex!$A$6,Preisindex,4,FALSE),2),IF(AND($E30&lt;&gt;0,$F30&gt;0,YEAR($F30)&lt;Preisindex!$A$6,YEAR(CD$4)&gt;=YEAR($F30),$K30="k"),ROUND(VLOOKUP(CI$4,Preisindex,2,FALSE)/VLOOKUP(Preisindex!$A$6,Preisindex,2,FALSE),2),0)))))</f>
        <v>0</v>
      </c>
      <c r="CK30" s="51">
        <f>IF(AND($E30&lt;&gt;0,$F30&gt;0,YEAR($F30)&lt;=CI$4,YEAR($F30)&gt;=Preisindex!$A$6),ROUND($E30*CI30,2),IF(AND($E30&lt;&gt;0,$F30&gt;0,YEAR($F30)&lt;=CI$4,YEAR($F30)&lt;Preisindex!$A$6),ROUND($E30*CJ30,2),0))</f>
        <v>0</v>
      </c>
      <c r="CL30" s="53">
        <f t="shared" si="185"/>
        <v>0</v>
      </c>
      <c r="CM30" s="51">
        <f t="shared" si="315"/>
        <v>0</v>
      </c>
      <c r="CN30" s="51">
        <f t="shared" si="332"/>
        <v>0</v>
      </c>
      <c r="CO30" s="51">
        <f t="shared" si="188"/>
        <v>0</v>
      </c>
      <c r="CP30" s="51">
        <f t="shared" si="333"/>
        <v>0</v>
      </c>
      <c r="CQ30" s="51">
        <f t="shared" si="190"/>
        <v>0</v>
      </c>
      <c r="CR30" s="51">
        <f t="shared" si="334"/>
        <v>0</v>
      </c>
      <c r="CS30" s="51">
        <f t="shared" si="192"/>
        <v>0</v>
      </c>
      <c r="CT30" s="51">
        <f t="shared" si="335"/>
        <v>0</v>
      </c>
      <c r="CU30" s="51">
        <f t="shared" si="194"/>
        <v>0</v>
      </c>
      <c r="CV30" s="51">
        <f t="shared" si="336"/>
        <v>0</v>
      </c>
      <c r="CW30" s="51">
        <f t="shared" si="196"/>
        <v>0</v>
      </c>
      <c r="CX30" s="54">
        <f t="shared" si="197"/>
        <v>0</v>
      </c>
      <c r="CY30" s="55">
        <f t="shared" si="198"/>
        <v>0</v>
      </c>
      <c r="CZ30" s="56">
        <f>IF(AND($E30&lt;&gt;0,$F30&gt;0,YEAR($F30)&gt;=Preisindex!$A$6,YEAR(CU$4)&gt;=YEAR($F30),AND($K30&lt;&gt;"a",$K30&lt;&gt;"b",$K30&lt;&gt;"g",$K30&lt;&gt;"k")),1,IF(AND($E30&lt;&gt;0,$F30&gt;0,YEAR($F30)&gt;=Preisindex!$A$6,YEAR(CU$4)&gt;=YEAR($F30),$K30="a"),ROUND(VLOOKUP(CZ$4,Preisindex,5,FALSE)/VLOOKUP(YEAR($F30),Preisindex,5,FALSE),2),IF(AND($E30&lt;&gt;0,$F30&gt;0,YEAR($F30)&gt;=Preisindex!$A$6,YEAR(CU$4)&gt;=YEAR($F30),$K30="b"),ROUND(VLOOKUP(CZ$4,Preisindex,3,FALSE)/VLOOKUP(YEAR($F30),Preisindex,3,FALSE),2),IF(AND($E30&lt;&gt;0,$F30&gt;0,YEAR($F30)&gt;=Preisindex!$A$6,YEAR(CU$4)&gt;=YEAR($F30),$K30="g"),ROUND(VLOOKUP(CZ$4,Preisindex,4,FALSE)/VLOOKUP(YEAR($F30),Preisindex,4,FALSE),2),IF(AND($E30&lt;&gt;0,$F30&gt;0,YEAR($F30)&gt;=Preisindex!$A$6,YEAR(CU$4)&gt;=YEAR($F30),$K30="k"),ROUND(VLOOKUP(CZ$4,Preisindex,2,FALSE)/VLOOKUP(YEAR($F30),Preisindex,2,FALSE),2),0)))))</f>
        <v>0</v>
      </c>
      <c r="DA30" s="56">
        <f>IF(AND($E30&lt;&gt;0,$F30&gt;0,YEAR($F30)&lt;Preisindex!$A$6,YEAR(CU$4)&gt;=YEAR($F30),AND($K30&lt;&gt;"a",$K30&lt;&gt;"b",$K30&lt;&gt;"g",$K30&lt;&gt;"k")),1,IF(AND($E30&lt;&gt;0,$F30&gt;0,YEAR($F30)&lt;Preisindex!$A$6,YEAR(CU$4)&gt;=YEAR($F30),$K30="a"),ROUND(VLOOKUP(CZ$4,Preisindex,5,FALSE)/VLOOKUP(Preisindex!$A$6,Preisindex,5,FALSE),2),IF(AND($E30&lt;&gt;0,$F30&gt;0,YEAR($F30)&lt;Preisindex!$A$6,YEAR(CU$4)&gt;=YEAR($F30),$K30="b"),ROUND(VLOOKUP(CZ$4,Preisindex,3,FALSE)/VLOOKUP(Preisindex!$A$6,Preisindex,3,FALSE),2),IF(AND($E30&lt;&gt;0,$F30&gt;0,YEAR($F30)&lt;Preisindex!$A$6,YEAR(CU$4)&gt;=YEAR($F30),$K30="g"),ROUND(VLOOKUP(CZ$4,Preisindex,4,FALSE)/VLOOKUP(Preisindex!$A$6,Preisindex,4,FALSE),2),IF(AND($E30&lt;&gt;0,$F30&gt;0,YEAR($F30)&lt;Preisindex!$A$6,YEAR(CU$4)&gt;=YEAR($F30),$K30="k"),ROUND(VLOOKUP(CZ$4,Preisindex,2,FALSE)/VLOOKUP(Preisindex!$A$6,Preisindex,2,FALSE),2),0)))))</f>
        <v>0</v>
      </c>
      <c r="DB30" s="51">
        <f>IF(AND($E30&lt;&gt;0,$F30&gt;0,YEAR($F30)&lt;=CZ$4,YEAR($F30)&gt;=Preisindex!$A$6),ROUND($E30*CZ30,2),IF(AND($E30&lt;&gt;0,$F30&gt;0,YEAR($F30)&lt;=CZ$4,YEAR($F30)&lt;Preisindex!$A$6),ROUND($E30*DA30,2),0))</f>
        <v>0</v>
      </c>
      <c r="DC30" s="53">
        <f t="shared" si="199"/>
        <v>0</v>
      </c>
      <c r="DD30" s="51">
        <f t="shared" si="316"/>
        <v>0</v>
      </c>
      <c r="DE30" s="51">
        <f t="shared" si="337"/>
        <v>0</v>
      </c>
      <c r="DF30" s="51">
        <f t="shared" si="202"/>
        <v>0</v>
      </c>
      <c r="DG30" s="51">
        <f t="shared" si="338"/>
        <v>0</v>
      </c>
      <c r="DH30" s="51">
        <f t="shared" si="204"/>
        <v>0</v>
      </c>
      <c r="DI30" s="51">
        <f t="shared" si="339"/>
        <v>0</v>
      </c>
      <c r="DJ30" s="51">
        <f t="shared" si="206"/>
        <v>0</v>
      </c>
      <c r="DK30" s="51">
        <f t="shared" si="340"/>
        <v>0</v>
      </c>
      <c r="DL30" s="51">
        <f t="shared" si="208"/>
        <v>0</v>
      </c>
      <c r="DM30" s="51">
        <f t="shared" si="341"/>
        <v>0</v>
      </c>
      <c r="DN30" s="51">
        <f t="shared" si="210"/>
        <v>0</v>
      </c>
      <c r="DO30" s="54">
        <f t="shared" si="211"/>
        <v>0</v>
      </c>
      <c r="DP30" s="55">
        <f t="shared" si="212"/>
        <v>0</v>
      </c>
      <c r="DQ30" s="56">
        <f>IF(AND($E30&lt;&gt;0,$F30&gt;0,YEAR($F30)&gt;=Preisindex!$A$6,YEAR(DL$4)&gt;=YEAR($F30),AND($K30&lt;&gt;"a",$K30&lt;&gt;"b",$K30&lt;&gt;"g",$K30&lt;&gt;"k")),1,IF(AND($E30&lt;&gt;0,$F30&gt;0,YEAR($F30)&gt;=Preisindex!$A$6,YEAR(DL$4)&gt;=YEAR($F30),$K30="a"),ROUND(VLOOKUP(DQ$4,Preisindex,5,FALSE)/VLOOKUP(YEAR($F30),Preisindex,5,FALSE),2),IF(AND($E30&lt;&gt;0,$F30&gt;0,YEAR($F30)&gt;=Preisindex!$A$6,YEAR(DL$4)&gt;=YEAR($F30),$K30="b"),ROUND(VLOOKUP(DQ$4,Preisindex,3,FALSE)/VLOOKUP(YEAR($F30),Preisindex,3,FALSE),2),IF(AND($E30&lt;&gt;0,$F30&gt;0,YEAR($F30)&gt;=Preisindex!$A$6,YEAR(DL$4)&gt;=YEAR($F30),$K30="g"),ROUND(VLOOKUP(DQ$4,Preisindex,4,FALSE)/VLOOKUP(YEAR($F30),Preisindex,4,FALSE),2),IF(AND($E30&lt;&gt;0,$F30&gt;0,YEAR($F30)&gt;=Preisindex!$A$6,YEAR(DL$4)&gt;=YEAR($F30),$K30="k"),ROUND(VLOOKUP(DQ$4,Preisindex,2,FALSE)/VLOOKUP(YEAR($F30),Preisindex,2,FALSE),2),0)))))</f>
        <v>0</v>
      </c>
      <c r="DR30" s="56">
        <f>IF(AND($E30&lt;&gt;0,$F30&gt;0,YEAR($F30)&lt;Preisindex!$A$6,YEAR(DL$4)&gt;=YEAR($F30),AND($K30&lt;&gt;"a",$K30&lt;&gt;"b",$K30&lt;&gt;"g",$K30&lt;&gt;"k")),1,IF(AND($E30&lt;&gt;0,$F30&gt;0,YEAR($F30)&lt;Preisindex!$A$6,YEAR(DL$4)&gt;=YEAR($F30),$K30="a"),ROUND(VLOOKUP(DQ$4,Preisindex,5,FALSE)/VLOOKUP(Preisindex!$A$6,Preisindex,5,FALSE),2),IF(AND($E30&lt;&gt;0,$F30&gt;0,YEAR($F30)&lt;Preisindex!$A$6,YEAR(DL$4)&gt;=YEAR($F30),$K30="b"),ROUND(VLOOKUP(DQ$4,Preisindex,3,FALSE)/VLOOKUP(Preisindex!$A$6,Preisindex,3,FALSE),2),IF(AND($E30&lt;&gt;0,$F30&gt;0,YEAR($F30)&lt;Preisindex!$A$6,YEAR(DL$4)&gt;=YEAR($F30),$K30="g"),ROUND(VLOOKUP(DQ$4,Preisindex,4,FALSE)/VLOOKUP(Preisindex!$A$6,Preisindex,4,FALSE),2),IF(AND($E30&lt;&gt;0,$F30&gt;0,YEAR($F30)&lt;Preisindex!$A$6,YEAR(DL$4)&gt;=YEAR($F30),$K30="k"),ROUND(VLOOKUP(DQ$4,Preisindex,2,FALSE)/VLOOKUP(Preisindex!$A$6,Preisindex,2,FALSE),2),0)))))</f>
        <v>0</v>
      </c>
      <c r="DS30" s="51">
        <f>IF(AND($E30&lt;&gt;0,$F30&gt;0,YEAR($F30)&lt;=DQ$4,YEAR($F30)&gt;=Preisindex!$A$6),ROUND($E30*DQ30,2),IF(AND($E30&lt;&gt;0,$F30&gt;0,YEAR($F30)&lt;=DQ$4,YEAR($F30)&lt;Preisindex!$A$6),ROUND($E30*DR30,2),0))</f>
        <v>0</v>
      </c>
      <c r="DT30" s="53">
        <f t="shared" si="213"/>
        <v>0</v>
      </c>
      <c r="DU30" s="51">
        <f t="shared" si="316"/>
        <v>0</v>
      </c>
      <c r="DV30" s="51">
        <f t="shared" si="342"/>
        <v>0</v>
      </c>
      <c r="DW30" s="51">
        <f t="shared" si="216"/>
        <v>0</v>
      </c>
      <c r="DX30" s="51">
        <f t="shared" si="343"/>
        <v>0</v>
      </c>
      <c r="DY30" s="51">
        <f t="shared" si="218"/>
        <v>0</v>
      </c>
      <c r="DZ30" s="51">
        <f t="shared" si="344"/>
        <v>0</v>
      </c>
      <c r="EA30" s="51">
        <f t="shared" si="220"/>
        <v>0</v>
      </c>
      <c r="EB30" s="51">
        <f t="shared" si="345"/>
        <v>0</v>
      </c>
      <c r="EC30" s="51">
        <f t="shared" si="222"/>
        <v>0</v>
      </c>
      <c r="ED30" s="51">
        <f t="shared" si="346"/>
        <v>0</v>
      </c>
      <c r="EE30" s="51">
        <f t="shared" si="224"/>
        <v>0</v>
      </c>
      <c r="EF30" s="54">
        <f t="shared" si="225"/>
        <v>0</v>
      </c>
      <c r="EG30" s="55">
        <f t="shared" si="226"/>
        <v>0</v>
      </c>
      <c r="EH30" s="56">
        <f>IF(AND($E30&lt;&gt;0,$F30&gt;0,YEAR($F30)&gt;=Preisindex!$A$6,YEAR(EC$4)&gt;=YEAR($F30),AND($K30&lt;&gt;"a",$K30&lt;&gt;"b",$K30&lt;&gt;"g",$K30&lt;&gt;"k")),1,IF(AND($E30&lt;&gt;0,$F30&gt;0,YEAR($F30)&gt;=Preisindex!$A$6,YEAR(EC$4)&gt;=YEAR($F30),$K30="a"),ROUND(VLOOKUP(EH$4,Preisindex,5,FALSE)/VLOOKUP(YEAR($F30),Preisindex,5,FALSE),2),IF(AND($E30&lt;&gt;0,$F30&gt;0,YEAR($F30)&gt;=Preisindex!$A$6,YEAR(EC$4)&gt;=YEAR($F30),$K30="b"),ROUND(VLOOKUP(EH$4,Preisindex,3,FALSE)/VLOOKUP(YEAR($F30),Preisindex,3,FALSE),2),IF(AND($E30&lt;&gt;0,$F30&gt;0,YEAR($F30)&gt;=Preisindex!$A$6,YEAR(EC$4)&gt;=YEAR($F30),$K30="g"),ROUND(VLOOKUP(EH$4,Preisindex,4,FALSE)/VLOOKUP(YEAR($F30),Preisindex,4,FALSE),2),IF(AND($E30&lt;&gt;0,$F30&gt;0,YEAR($F30)&gt;=Preisindex!$A$6,YEAR(EC$4)&gt;=YEAR($F30),$K30="k"),ROUND(VLOOKUP(EH$4,Preisindex,2,FALSE)/VLOOKUP(YEAR($F30),Preisindex,2,FALSE),2),0)))))</f>
        <v>0</v>
      </c>
      <c r="EI30" s="56">
        <f>IF(AND($E30&lt;&gt;0,$F30&gt;0,YEAR($F30)&lt;Preisindex!$A$6,YEAR(EC$4)&gt;=YEAR($F30),AND($K30&lt;&gt;"a",$K30&lt;&gt;"b",$K30&lt;&gt;"g",$K30&lt;&gt;"k")),1,IF(AND($E30&lt;&gt;0,$F30&gt;0,YEAR($F30)&lt;Preisindex!$A$6,YEAR(EC$4)&gt;=YEAR($F30),$K30="a"),ROUND(VLOOKUP(EH$4,Preisindex,5,FALSE)/VLOOKUP(Preisindex!$A$6,Preisindex,5,FALSE),2),IF(AND($E30&lt;&gt;0,$F30&gt;0,YEAR($F30)&lt;Preisindex!$A$6,YEAR(EC$4)&gt;=YEAR($F30),$K30="b"),ROUND(VLOOKUP(EH$4,Preisindex,3,FALSE)/VLOOKUP(Preisindex!$A$6,Preisindex,3,FALSE),2),IF(AND($E30&lt;&gt;0,$F30&gt;0,YEAR($F30)&lt;Preisindex!$A$6,YEAR(EC$4)&gt;=YEAR($F30),$K30="g"),ROUND(VLOOKUP(EH$4,Preisindex,4,FALSE)/VLOOKUP(Preisindex!$A$6,Preisindex,4,FALSE),2),IF(AND($E30&lt;&gt;0,$F30&gt;0,YEAR($F30)&lt;Preisindex!$A$6,YEAR(EC$4)&gt;=YEAR($F30),$K30="k"),ROUND(VLOOKUP(EH$4,Preisindex,2,FALSE)/VLOOKUP(Preisindex!$A$6,Preisindex,2,FALSE),2),0)))))</f>
        <v>0</v>
      </c>
      <c r="EJ30" s="51">
        <f>IF(AND($E30&lt;&gt;0,$F30&gt;0,YEAR($F30)&lt;=EH$4,YEAR($F30)&gt;=Preisindex!$A$6),ROUND($E30*EH30,2),IF(AND($E30&lt;&gt;0,$F30&gt;0,YEAR($F30)&lt;=EH$4,YEAR($F30)&lt;Preisindex!$A$6),ROUND($E30*EI30,2),0))</f>
        <v>0</v>
      </c>
      <c r="EK30" s="53">
        <f t="shared" si="227"/>
        <v>0</v>
      </c>
      <c r="EL30" s="51">
        <f t="shared" si="316"/>
        <v>0</v>
      </c>
      <c r="EM30" s="51">
        <f t="shared" si="347"/>
        <v>0</v>
      </c>
      <c r="EN30" s="51">
        <f t="shared" si="230"/>
        <v>0</v>
      </c>
      <c r="EO30" s="51">
        <f t="shared" si="348"/>
        <v>0</v>
      </c>
      <c r="EP30" s="51">
        <f t="shared" si="232"/>
        <v>0</v>
      </c>
      <c r="EQ30" s="51">
        <f t="shared" si="349"/>
        <v>0</v>
      </c>
      <c r="ER30" s="51">
        <f t="shared" si="234"/>
        <v>0</v>
      </c>
      <c r="ES30" s="51">
        <f t="shared" si="350"/>
        <v>0</v>
      </c>
      <c r="ET30" s="51">
        <f t="shared" si="236"/>
        <v>0</v>
      </c>
      <c r="EU30" s="51">
        <f t="shared" si="351"/>
        <v>0</v>
      </c>
      <c r="EV30" s="51">
        <f t="shared" si="238"/>
        <v>0</v>
      </c>
      <c r="EW30" s="54">
        <f t="shared" si="239"/>
        <v>0</v>
      </c>
      <c r="EX30" s="55">
        <f t="shared" si="240"/>
        <v>0</v>
      </c>
      <c r="EY30" s="56">
        <f>IF(AND($E30&lt;&gt;0,$F30&gt;0,YEAR($F30)&gt;=Preisindex!$A$6,YEAR(ET$4)&gt;=YEAR($F30),AND($K30&lt;&gt;"a",$K30&lt;&gt;"b",$K30&lt;&gt;"g",$K30&lt;&gt;"k")),1,IF(AND($E30&lt;&gt;0,$F30&gt;0,YEAR($F30)&gt;=Preisindex!$A$6,YEAR(ET$4)&gt;=YEAR($F30),$K30="a"),ROUND(VLOOKUP(EY$4,Preisindex,5,FALSE)/VLOOKUP(YEAR($F30),Preisindex,5,FALSE),2),IF(AND($E30&lt;&gt;0,$F30&gt;0,YEAR($F30)&gt;=Preisindex!$A$6,YEAR(ET$4)&gt;=YEAR($F30),$K30="b"),ROUND(VLOOKUP(EY$4,Preisindex,3,FALSE)/VLOOKUP(YEAR($F30),Preisindex,3,FALSE),2),IF(AND($E30&lt;&gt;0,$F30&gt;0,YEAR($F30)&gt;=Preisindex!$A$6,YEAR(ET$4)&gt;=YEAR($F30),$K30="g"),ROUND(VLOOKUP(EY$4,Preisindex,4,FALSE)/VLOOKUP(YEAR($F30),Preisindex,4,FALSE),2),IF(AND($E30&lt;&gt;0,$F30&gt;0,YEAR($F30)&gt;=Preisindex!$A$6,YEAR(ET$4)&gt;=YEAR($F30),$K30="k"),ROUND(VLOOKUP(EY$4,Preisindex,2,FALSE)/VLOOKUP(YEAR($F30),Preisindex,2,FALSE),2),0)))))</f>
        <v>0</v>
      </c>
      <c r="EZ30" s="56">
        <f>IF(AND($E30&lt;&gt;0,$F30&gt;0,YEAR($F30)&lt;Preisindex!$A$6,YEAR(ET$4)&gt;=YEAR($F30),AND($K30&lt;&gt;"a",$K30&lt;&gt;"b",$K30&lt;&gt;"g",$K30&lt;&gt;"k")),1,IF(AND($E30&lt;&gt;0,$F30&gt;0,YEAR($F30)&lt;Preisindex!$A$6,YEAR(ET$4)&gt;=YEAR($F30),$K30="a"),ROUND(VLOOKUP(EY$4,Preisindex,5,FALSE)/VLOOKUP(Preisindex!$A$6,Preisindex,5,FALSE),2),IF(AND($E30&lt;&gt;0,$F30&gt;0,YEAR($F30)&lt;Preisindex!$A$6,YEAR(ET$4)&gt;=YEAR($F30),$K30="b"),ROUND(VLOOKUP(EY$4,Preisindex,3,FALSE)/VLOOKUP(Preisindex!$A$6,Preisindex,3,FALSE),2),IF(AND($E30&lt;&gt;0,$F30&gt;0,YEAR($F30)&lt;Preisindex!$A$6,YEAR(ET$4)&gt;=YEAR($F30),$K30="g"),ROUND(VLOOKUP(EY$4,Preisindex,4,FALSE)/VLOOKUP(Preisindex!$A$6,Preisindex,4,FALSE),2),IF(AND($E30&lt;&gt;0,$F30&gt;0,YEAR($F30)&lt;Preisindex!$A$6,YEAR(ET$4)&gt;=YEAR($F30),$K30="k"),ROUND(VLOOKUP(EY$4,Preisindex,2,FALSE)/VLOOKUP(Preisindex!$A$6,Preisindex,2,FALSE),2),0)))))</f>
        <v>0</v>
      </c>
      <c r="FA30" s="51">
        <f>IF(AND($E30&lt;&gt;0,$F30&gt;0,YEAR($F30)&lt;=EY$4,YEAR($F30)&gt;=Preisindex!$A$6),ROUND($E30*EY30,2),IF(AND($E30&lt;&gt;0,$F30&gt;0,YEAR($F30)&lt;=EY$4,YEAR($F30)&lt;Preisindex!$A$6),ROUND($E30*EZ30,2),0))</f>
        <v>0</v>
      </c>
      <c r="FB30" s="53">
        <f t="shared" si="241"/>
        <v>0</v>
      </c>
      <c r="FC30" s="51">
        <f t="shared" si="316"/>
        <v>0</v>
      </c>
      <c r="FD30" s="51">
        <f t="shared" si="352"/>
        <v>0</v>
      </c>
      <c r="FE30" s="51">
        <f t="shared" si="244"/>
        <v>0</v>
      </c>
      <c r="FF30" s="51">
        <f t="shared" si="353"/>
        <v>0</v>
      </c>
      <c r="FG30" s="51">
        <f t="shared" si="246"/>
        <v>0</v>
      </c>
      <c r="FH30" s="51">
        <f t="shared" si="354"/>
        <v>0</v>
      </c>
      <c r="FI30" s="51">
        <f t="shared" si="248"/>
        <v>0</v>
      </c>
      <c r="FJ30" s="51">
        <f t="shared" si="355"/>
        <v>0</v>
      </c>
      <c r="FK30" s="51">
        <f t="shared" si="250"/>
        <v>0</v>
      </c>
      <c r="FL30" s="51">
        <f t="shared" si="356"/>
        <v>0</v>
      </c>
      <c r="FM30" s="51">
        <f t="shared" si="252"/>
        <v>0</v>
      </c>
      <c r="FN30" s="54">
        <f t="shared" si="253"/>
        <v>0</v>
      </c>
      <c r="FO30" s="55">
        <f t="shared" si="254"/>
        <v>0</v>
      </c>
      <c r="FP30" s="56">
        <f>IF(AND($E30&lt;&gt;0,$F30&gt;0,YEAR($F30)&gt;=Preisindex!$A$6,YEAR(FK$4)&gt;=YEAR($F30),AND($K30&lt;&gt;"a",$K30&lt;&gt;"b",$K30&lt;&gt;"g",$K30&lt;&gt;"k")),1,IF(AND($E30&lt;&gt;0,$F30&gt;0,YEAR($F30)&gt;=Preisindex!$A$6,YEAR(FK$4)&gt;=YEAR($F30),$K30="a"),ROUND(VLOOKUP(FP$4,Preisindex,5,FALSE)/VLOOKUP(YEAR($F30),Preisindex,5,FALSE),2),IF(AND($E30&lt;&gt;0,$F30&gt;0,YEAR($F30)&gt;=Preisindex!$A$6,YEAR(FK$4)&gt;=YEAR($F30),$K30="b"),ROUND(VLOOKUP(FP$4,Preisindex,3,FALSE)/VLOOKUP(YEAR($F30),Preisindex,3,FALSE),2),IF(AND($E30&lt;&gt;0,$F30&gt;0,YEAR($F30)&gt;=Preisindex!$A$6,YEAR(FK$4)&gt;=YEAR($F30),$K30="g"),ROUND(VLOOKUP(FP$4,Preisindex,4,FALSE)/VLOOKUP(YEAR($F30),Preisindex,4,FALSE),2),IF(AND($E30&lt;&gt;0,$F30&gt;0,YEAR($F30)&gt;=Preisindex!$A$6,YEAR(FK$4)&gt;=YEAR($F30),$K30="k"),ROUND(VLOOKUP(FP$4,Preisindex,2,FALSE)/VLOOKUP(YEAR($F30),Preisindex,2,FALSE),2),0)))))</f>
        <v>0</v>
      </c>
      <c r="FQ30" s="56">
        <f>IF(AND($E30&lt;&gt;0,$F30&gt;0,YEAR($F30)&lt;Preisindex!$A$6,YEAR(FK$4)&gt;=YEAR($F30),AND($K30&lt;&gt;"a",$K30&lt;&gt;"b",$K30&lt;&gt;"g",$K30&lt;&gt;"k")),1,IF(AND($E30&lt;&gt;0,$F30&gt;0,YEAR($F30)&lt;Preisindex!$A$6,YEAR(FK$4)&gt;=YEAR($F30),$K30="a"),ROUND(VLOOKUP(FP$4,Preisindex,5,FALSE)/VLOOKUP(Preisindex!$A$6,Preisindex,5,FALSE),2),IF(AND($E30&lt;&gt;0,$F30&gt;0,YEAR($F30)&lt;Preisindex!$A$6,YEAR(FK$4)&gt;=YEAR($F30),$K30="b"),ROUND(VLOOKUP(FP$4,Preisindex,3,FALSE)/VLOOKUP(Preisindex!$A$6,Preisindex,3,FALSE),2),IF(AND($E30&lt;&gt;0,$F30&gt;0,YEAR($F30)&lt;Preisindex!$A$6,YEAR(FK$4)&gt;=YEAR($F30),$K30="g"),ROUND(VLOOKUP(FP$4,Preisindex,4,FALSE)/VLOOKUP(Preisindex!$A$6,Preisindex,4,FALSE),2),IF(AND($E30&lt;&gt;0,$F30&gt;0,YEAR($F30)&lt;Preisindex!$A$6,YEAR(FK$4)&gt;=YEAR($F30),$K30="k"),ROUND(VLOOKUP(FP$4,Preisindex,2,FALSE)/VLOOKUP(Preisindex!$A$6,Preisindex,2,FALSE),2),0)))))</f>
        <v>0</v>
      </c>
      <c r="FR30" s="51">
        <f>IF(AND($E30&lt;&gt;0,$F30&gt;0,YEAR($F30)&lt;=FP$4,YEAR($F30)&gt;=Preisindex!$A$6),ROUND($E30*FP30,2),IF(AND($E30&lt;&gt;0,$F30&gt;0,YEAR($F30)&lt;=FP$4,YEAR($F30)&lt;Preisindex!$A$6),ROUND($E30*FQ30,2),0))</f>
        <v>0</v>
      </c>
      <c r="FS30" s="53">
        <f t="shared" si="255"/>
        <v>0</v>
      </c>
    </row>
    <row r="31" spans="1:175" x14ac:dyDescent="0.3">
      <c r="A31" s="195"/>
      <c r="B31" s="196" t="s">
        <v>219</v>
      </c>
      <c r="C31" s="196"/>
      <c r="D31" s="188"/>
      <c r="E31" s="99"/>
      <c r="F31" s="97"/>
      <c r="G31" s="100"/>
      <c r="H31" s="622"/>
      <c r="I31" s="621"/>
      <c r="J31" s="194"/>
      <c r="K31" s="630"/>
      <c r="L31" s="49">
        <f t="shared" si="296"/>
        <v>0</v>
      </c>
      <c r="M31" s="50">
        <f t="shared" si="297"/>
        <v>0</v>
      </c>
      <c r="N31" s="51">
        <f t="shared" si="298"/>
        <v>0</v>
      </c>
      <c r="O31" s="51"/>
      <c r="P31" s="51">
        <f t="shared" si="299"/>
        <v>0</v>
      </c>
      <c r="Q31" s="52"/>
      <c r="R31" s="52"/>
      <c r="S31" s="52"/>
      <c r="T31" s="52"/>
      <c r="U31" s="52"/>
      <c r="V31" s="53">
        <f t="shared" si="300"/>
        <v>0</v>
      </c>
      <c r="W31" s="51">
        <f t="shared" si="301"/>
        <v>0</v>
      </c>
      <c r="X31" s="51">
        <f t="shared" si="302"/>
        <v>0</v>
      </c>
      <c r="Y31" s="51">
        <f t="shared" si="303"/>
        <v>0</v>
      </c>
      <c r="Z31" s="51">
        <f t="shared" si="304"/>
        <v>0</v>
      </c>
      <c r="AA31" s="51">
        <f t="shared" si="305"/>
        <v>0</v>
      </c>
      <c r="AB31" s="51">
        <f t="shared" si="306"/>
        <v>0</v>
      </c>
      <c r="AC31" s="51">
        <f t="shared" si="307"/>
        <v>0</v>
      </c>
      <c r="AD31" s="51">
        <f t="shared" si="308"/>
        <v>0</v>
      </c>
      <c r="AE31" s="51">
        <f t="shared" si="309"/>
        <v>0</v>
      </c>
      <c r="AF31" s="51">
        <f t="shared" si="310"/>
        <v>0</v>
      </c>
      <c r="AG31" s="51">
        <f t="shared" si="311"/>
        <v>0</v>
      </c>
      <c r="AH31" s="54">
        <f t="shared" si="312"/>
        <v>0</v>
      </c>
      <c r="AI31" s="55">
        <f t="shared" si="313"/>
        <v>0</v>
      </c>
      <c r="AJ31" s="56">
        <f>IF(AND($E31&lt;&gt;0,$F31&gt;0,YEAR($F31)&gt;=Preisindex!$A$6,YEAR(AE$4)&gt;=YEAR($F31),AND($K31&lt;&gt;"a",$K31&lt;&gt;"b",$K31&lt;&gt;"g",$K31&lt;&gt;"k")),1,IF(AND($E31&lt;&gt;0,$F31&gt;0,YEAR($F31)&gt;=Preisindex!$A$6,YEAR(AE$4)&gt;=YEAR($F31),$K31="a"),ROUND(VLOOKUP(AJ$4,Preisindex,5,FALSE)/VLOOKUP(YEAR($F31),Preisindex,5,FALSE),2),IF(AND($E31&lt;&gt;0,$F31&gt;0,YEAR($F31)&gt;=Preisindex!$A$6,YEAR(AE$4)&gt;=YEAR($F31),$K31="b"),ROUND(VLOOKUP(AJ$4,Preisindex,3,FALSE)/VLOOKUP(YEAR($F31),Preisindex,3,FALSE),2),IF(AND($E31&lt;&gt;0,$F31&gt;0,YEAR($F31)&gt;=Preisindex!$A$6,YEAR(AE$4)&gt;=YEAR($F31),$K31="g"),ROUND(VLOOKUP(AJ$4,Preisindex,4,FALSE)/VLOOKUP(YEAR($F31),Preisindex,4,FALSE),2),IF(AND($E31&lt;&gt;0,$F31&gt;0,YEAR($F31)&gt;=Preisindex!$A$6,YEAR(AE$4)&gt;=YEAR($F31),$K31="k"),ROUND(VLOOKUP(AJ$4,Preisindex,2,FALSE)/VLOOKUP(YEAR($F31),Preisindex,2,FALSE),2),0)))))</f>
        <v>0</v>
      </c>
      <c r="AK31" s="56">
        <f>IF(AND($E31&lt;&gt;0,$F31&gt;0,YEAR($F31)&lt;Preisindex!$A$6,YEAR(AE$4)&gt;=YEAR($F31),AND($K31&lt;&gt;"a",$K31&lt;&gt;"b",$K31&lt;&gt;"g",$K31&lt;&gt;"k")),1,IF(AND($E31&lt;&gt;0,$F31&gt;0,YEAR($F31)&lt;Preisindex!$A$6,YEAR(AE$4)&gt;=YEAR($F31),$K31="a"),ROUND(VLOOKUP(AJ$4,Preisindex,5,FALSE)/VLOOKUP(Preisindex!$A$6,Preisindex,5,FALSE),2),IF(AND($E31&lt;&gt;0,$F31&gt;0,YEAR($F31)&lt;Preisindex!$A$6,YEAR(AE$4)&gt;=YEAR($F31),$K31="b"),ROUND(VLOOKUP(AJ$4,Preisindex,3,FALSE)/VLOOKUP(Preisindex!$A$6,Preisindex,3,FALSE),2),IF(AND($E31&lt;&gt;0,$F31&gt;0,YEAR($F31)&lt;Preisindex!$A$6,YEAR(AE$4)&gt;=YEAR($F31),$K31="g"),ROUND(VLOOKUP(AJ$4,Preisindex,4,FALSE)/VLOOKUP(Preisindex!$A$6,Preisindex,4,FALSE),2),IF(AND($E31&lt;&gt;0,$F31&gt;0,YEAR($F31)&lt;Preisindex!$A$6,YEAR(AE$4)&gt;=YEAR($F31),$K31="k"),ROUND(VLOOKUP(AJ$4,Preisindex,2,FALSE)/VLOOKUP(Preisindex!$A$6,Preisindex,2,FALSE),2),0)))))</f>
        <v>0</v>
      </c>
      <c r="AL31" s="51">
        <f>IF(AND($E31&lt;&gt;0,$F31&gt;0,YEAR($F31)&lt;=AJ$4,YEAR($F31)&gt;=Preisindex!$A$6),ROUND($E31*AJ31,2),IF(AND($E31&lt;&gt;0,$F31&gt;0,YEAR($F31)&lt;=AJ$4,YEAR($F31)&lt;Preisindex!$A$6),ROUND($E31*AK31,2),0))</f>
        <v>0</v>
      </c>
      <c r="AM31" s="53">
        <f t="shared" si="314"/>
        <v>0</v>
      </c>
      <c r="AN31" s="51">
        <f t="shared" si="315"/>
        <v>0</v>
      </c>
      <c r="AO31" s="51">
        <f t="shared" si="317"/>
        <v>0</v>
      </c>
      <c r="AP31" s="51">
        <f t="shared" si="146"/>
        <v>0</v>
      </c>
      <c r="AQ31" s="51">
        <f t="shared" si="318"/>
        <v>0</v>
      </c>
      <c r="AR31" s="51">
        <f t="shared" si="148"/>
        <v>0</v>
      </c>
      <c r="AS31" s="51">
        <f t="shared" si="319"/>
        <v>0</v>
      </c>
      <c r="AT31" s="51">
        <f t="shared" si="150"/>
        <v>0</v>
      </c>
      <c r="AU31" s="51">
        <f t="shared" si="320"/>
        <v>0</v>
      </c>
      <c r="AV31" s="51">
        <f t="shared" si="152"/>
        <v>0</v>
      </c>
      <c r="AW31" s="51">
        <f t="shared" si="321"/>
        <v>0</v>
      </c>
      <c r="AX31" s="51">
        <f t="shared" si="154"/>
        <v>0</v>
      </c>
      <c r="AY31" s="54">
        <f t="shared" si="155"/>
        <v>0</v>
      </c>
      <c r="AZ31" s="55">
        <f t="shared" si="156"/>
        <v>0</v>
      </c>
      <c r="BA31" s="56">
        <f>IF(AND($E31&lt;&gt;0,$F31&gt;0,YEAR($F31)&gt;=Preisindex!$A$6,YEAR(AV$4)&gt;=YEAR($F31),AND($K31&lt;&gt;"a",$K31&lt;&gt;"b",$K31&lt;&gt;"g",$K31&lt;&gt;"k")),1,IF(AND($E31&lt;&gt;0,$F31&gt;0,YEAR($F31)&gt;=Preisindex!$A$6,YEAR(AV$4)&gt;=YEAR($F31),$K31="a"),ROUND(VLOOKUP(BA$4,Preisindex,5,FALSE)/VLOOKUP(YEAR($F31),Preisindex,5,FALSE),2),IF(AND($E31&lt;&gt;0,$F31&gt;0,YEAR($F31)&gt;=Preisindex!$A$6,YEAR(AV$4)&gt;=YEAR($F31),$K31="b"),ROUND(VLOOKUP(BA$4,Preisindex,3,FALSE)/VLOOKUP(YEAR($F31),Preisindex,3,FALSE),2),IF(AND($E31&lt;&gt;0,$F31&gt;0,YEAR($F31)&gt;=Preisindex!$A$6,YEAR(AV$4)&gt;=YEAR($F31),$K31="g"),ROUND(VLOOKUP(BA$4,Preisindex,4,FALSE)/VLOOKUP(YEAR($F31),Preisindex,4,FALSE),2),IF(AND($E31&lt;&gt;0,$F31&gt;0,YEAR($F31)&gt;=Preisindex!$A$6,YEAR(AV$4)&gt;=YEAR($F31),$K31="k"),ROUND(VLOOKUP(BA$4,Preisindex,2,FALSE)/VLOOKUP(YEAR($F31),Preisindex,2,FALSE),2),0)))))</f>
        <v>0</v>
      </c>
      <c r="BB31" s="56">
        <f>IF(AND($E31&lt;&gt;0,$F31&gt;0,YEAR($F31)&lt;Preisindex!$A$6,YEAR(AV$4)&gt;=YEAR($F31),AND($K31&lt;&gt;"a",$K31&lt;&gt;"b",$K31&lt;&gt;"g",$K31&lt;&gt;"k")),1,IF(AND($E31&lt;&gt;0,$F31&gt;0,YEAR($F31)&lt;Preisindex!$A$6,YEAR(AV$4)&gt;=YEAR($F31),$K31="a"),ROUND(VLOOKUP(BA$4,Preisindex,5,FALSE)/VLOOKUP(Preisindex!$A$6,Preisindex,5,FALSE),2),IF(AND($E31&lt;&gt;0,$F31&gt;0,YEAR($F31)&lt;Preisindex!$A$6,YEAR(AV$4)&gt;=YEAR($F31),$K31="b"),ROUND(VLOOKUP(BA$4,Preisindex,3,FALSE)/VLOOKUP(Preisindex!$A$6,Preisindex,3,FALSE),2),IF(AND($E31&lt;&gt;0,$F31&gt;0,YEAR($F31)&lt;Preisindex!$A$6,YEAR(AV$4)&gt;=YEAR($F31),$K31="g"),ROUND(VLOOKUP(BA$4,Preisindex,4,FALSE)/VLOOKUP(Preisindex!$A$6,Preisindex,4,FALSE),2),IF(AND($E31&lt;&gt;0,$F31&gt;0,YEAR($F31)&lt;Preisindex!$A$6,YEAR(AV$4)&gt;=YEAR($F31),$K31="k"),ROUND(VLOOKUP(BA$4,Preisindex,2,FALSE)/VLOOKUP(Preisindex!$A$6,Preisindex,2,FALSE),2),0)))))</f>
        <v>0</v>
      </c>
      <c r="BC31" s="51">
        <f>IF(AND($E31&lt;&gt;0,$F31&gt;0,YEAR($F31)&lt;=BA$4,YEAR($F31)&gt;=Preisindex!$A$6),ROUND($E31*BA31,2),IF(AND($E31&lt;&gt;0,$F31&gt;0,YEAR($F31)&lt;=BA$4,YEAR($F31)&lt;Preisindex!$A$6),ROUND($E31*BB31,2),0))</f>
        <v>0</v>
      </c>
      <c r="BD31" s="53">
        <f t="shared" si="157"/>
        <v>0</v>
      </c>
      <c r="BE31" s="51">
        <f t="shared" si="315"/>
        <v>0</v>
      </c>
      <c r="BF31" s="51">
        <f t="shared" si="322"/>
        <v>0</v>
      </c>
      <c r="BG31" s="51">
        <f t="shared" si="160"/>
        <v>0</v>
      </c>
      <c r="BH31" s="51">
        <f t="shared" si="323"/>
        <v>0</v>
      </c>
      <c r="BI31" s="51">
        <f t="shared" si="162"/>
        <v>0</v>
      </c>
      <c r="BJ31" s="51">
        <f t="shared" si="324"/>
        <v>0</v>
      </c>
      <c r="BK31" s="51">
        <f t="shared" si="164"/>
        <v>0</v>
      </c>
      <c r="BL31" s="51">
        <f t="shared" si="325"/>
        <v>0</v>
      </c>
      <c r="BM31" s="51">
        <f t="shared" si="166"/>
        <v>0</v>
      </c>
      <c r="BN31" s="51">
        <f t="shared" si="326"/>
        <v>0</v>
      </c>
      <c r="BO31" s="51">
        <f t="shared" si="168"/>
        <v>0</v>
      </c>
      <c r="BP31" s="54">
        <f t="shared" si="169"/>
        <v>0</v>
      </c>
      <c r="BQ31" s="55">
        <f t="shared" si="170"/>
        <v>0</v>
      </c>
      <c r="BR31" s="56">
        <f>IF(AND($E31&lt;&gt;0,$F31&gt;0,YEAR($F31)&gt;=Preisindex!$A$6,YEAR(BM$4)&gt;=YEAR($F31),AND($K31&lt;&gt;"a",$K31&lt;&gt;"b",$K31&lt;&gt;"g",$K31&lt;&gt;"k")),1,IF(AND($E31&lt;&gt;0,$F31&gt;0,YEAR($F31)&gt;=Preisindex!$A$6,YEAR(BM$4)&gt;=YEAR($F31),$K31="a"),ROUND(VLOOKUP(BR$4,Preisindex,5,FALSE)/VLOOKUP(YEAR($F31),Preisindex,5,FALSE),2),IF(AND($E31&lt;&gt;0,$F31&gt;0,YEAR($F31)&gt;=Preisindex!$A$6,YEAR(BM$4)&gt;=YEAR($F31),$K31="b"),ROUND(VLOOKUP(BR$4,Preisindex,3,FALSE)/VLOOKUP(YEAR($F31),Preisindex,3,FALSE),2),IF(AND($E31&lt;&gt;0,$F31&gt;0,YEAR($F31)&gt;=Preisindex!$A$6,YEAR(BM$4)&gt;=YEAR($F31),$K31="g"),ROUND(VLOOKUP(BR$4,Preisindex,4,FALSE)/VLOOKUP(YEAR($F31),Preisindex,4,FALSE),2),IF(AND($E31&lt;&gt;0,$F31&gt;0,YEAR($F31)&gt;=Preisindex!$A$6,YEAR(BM$4)&gt;=YEAR($F31),$K31="k"),ROUND(VLOOKUP(BR$4,Preisindex,2,FALSE)/VLOOKUP(YEAR($F31),Preisindex,2,FALSE),2),0)))))</f>
        <v>0</v>
      </c>
      <c r="BS31" s="56">
        <f>IF(AND($E31&lt;&gt;0,$F31&gt;0,YEAR($F31)&lt;Preisindex!$A$6,YEAR(BM$4)&gt;=YEAR($F31),AND($K31&lt;&gt;"a",$K31&lt;&gt;"b",$K31&lt;&gt;"g",$K31&lt;&gt;"k")),1,IF(AND($E31&lt;&gt;0,$F31&gt;0,YEAR($F31)&lt;Preisindex!$A$6,YEAR(BM$4)&gt;=YEAR($F31),$K31="a"),ROUND(VLOOKUP(BR$4,Preisindex,5,FALSE)/VLOOKUP(Preisindex!$A$6,Preisindex,5,FALSE),2),IF(AND($E31&lt;&gt;0,$F31&gt;0,YEAR($F31)&lt;Preisindex!$A$6,YEAR(BM$4)&gt;=YEAR($F31),$K31="b"),ROUND(VLOOKUP(BR$4,Preisindex,3,FALSE)/VLOOKUP(Preisindex!$A$6,Preisindex,3,FALSE),2),IF(AND($E31&lt;&gt;0,$F31&gt;0,YEAR($F31)&lt;Preisindex!$A$6,YEAR(BM$4)&gt;=YEAR($F31),$K31="g"),ROUND(VLOOKUP(BR$4,Preisindex,4,FALSE)/VLOOKUP(Preisindex!$A$6,Preisindex,4,FALSE),2),IF(AND($E31&lt;&gt;0,$F31&gt;0,YEAR($F31)&lt;Preisindex!$A$6,YEAR(BM$4)&gt;=YEAR($F31),$K31="k"),ROUND(VLOOKUP(BR$4,Preisindex,2,FALSE)/VLOOKUP(Preisindex!$A$6,Preisindex,2,FALSE),2),0)))))</f>
        <v>0</v>
      </c>
      <c r="BT31" s="51">
        <f>IF(AND($E31&lt;&gt;0,$F31&gt;0,YEAR($F31)&lt;=BR$4,YEAR($F31)&gt;=Preisindex!$A$6),ROUND($E31*BR31,2),IF(AND($E31&lt;&gt;0,$F31&gt;0,YEAR($F31)&lt;=BR$4,YEAR($F31)&lt;Preisindex!$A$6),ROUND($E31*BS31,2),0))</f>
        <v>0</v>
      </c>
      <c r="BU31" s="53">
        <f t="shared" si="171"/>
        <v>0</v>
      </c>
      <c r="BV31" s="51">
        <f t="shared" si="315"/>
        <v>0</v>
      </c>
      <c r="BW31" s="51">
        <f t="shared" si="327"/>
        <v>0</v>
      </c>
      <c r="BX31" s="51">
        <f t="shared" si="174"/>
        <v>0</v>
      </c>
      <c r="BY31" s="51">
        <f t="shared" si="328"/>
        <v>0</v>
      </c>
      <c r="BZ31" s="51">
        <f t="shared" si="176"/>
        <v>0</v>
      </c>
      <c r="CA31" s="51">
        <f t="shared" si="329"/>
        <v>0</v>
      </c>
      <c r="CB31" s="51">
        <f t="shared" si="178"/>
        <v>0</v>
      </c>
      <c r="CC31" s="51">
        <f t="shared" si="330"/>
        <v>0</v>
      </c>
      <c r="CD31" s="51">
        <f t="shared" si="180"/>
        <v>0</v>
      </c>
      <c r="CE31" s="51">
        <f t="shared" si="331"/>
        <v>0</v>
      </c>
      <c r="CF31" s="51">
        <f t="shared" si="182"/>
        <v>0</v>
      </c>
      <c r="CG31" s="54">
        <f t="shared" si="183"/>
        <v>0</v>
      </c>
      <c r="CH31" s="55">
        <f t="shared" si="184"/>
        <v>0</v>
      </c>
      <c r="CI31" s="56">
        <f>IF(AND($E31&lt;&gt;0,$F31&gt;0,YEAR($F31)&gt;=Preisindex!$A$6,YEAR(CD$4)&gt;=YEAR($F31),AND($K31&lt;&gt;"a",$K31&lt;&gt;"b",$K31&lt;&gt;"g",$K31&lt;&gt;"k")),1,IF(AND($E31&lt;&gt;0,$F31&gt;0,YEAR($F31)&gt;=Preisindex!$A$6,YEAR(CD$4)&gt;=YEAR($F31),$K31="a"),ROUND(VLOOKUP(CI$4,Preisindex,5,FALSE)/VLOOKUP(YEAR($F31),Preisindex,5,FALSE),2),IF(AND($E31&lt;&gt;0,$F31&gt;0,YEAR($F31)&gt;=Preisindex!$A$6,YEAR(CD$4)&gt;=YEAR($F31),$K31="b"),ROUND(VLOOKUP(CI$4,Preisindex,3,FALSE)/VLOOKUP(YEAR($F31),Preisindex,3,FALSE),2),IF(AND($E31&lt;&gt;0,$F31&gt;0,YEAR($F31)&gt;=Preisindex!$A$6,YEAR(CD$4)&gt;=YEAR($F31),$K31="g"),ROUND(VLOOKUP(CI$4,Preisindex,4,FALSE)/VLOOKUP(YEAR($F31),Preisindex,4,FALSE),2),IF(AND($E31&lt;&gt;0,$F31&gt;0,YEAR($F31)&gt;=Preisindex!$A$6,YEAR(CD$4)&gt;=YEAR($F31),$K31="k"),ROUND(VLOOKUP(CI$4,Preisindex,2,FALSE)/VLOOKUP(YEAR($F31),Preisindex,2,FALSE),2),0)))))</f>
        <v>0</v>
      </c>
      <c r="CJ31" s="56">
        <f>IF(AND($E31&lt;&gt;0,$F31&gt;0,YEAR($F31)&lt;Preisindex!$A$6,YEAR(CD$4)&gt;=YEAR($F31),AND($K31&lt;&gt;"a",$K31&lt;&gt;"b",$K31&lt;&gt;"g",$K31&lt;&gt;"k")),1,IF(AND($E31&lt;&gt;0,$F31&gt;0,YEAR($F31)&lt;Preisindex!$A$6,YEAR(CD$4)&gt;=YEAR($F31),$K31="a"),ROUND(VLOOKUP(CI$4,Preisindex,5,FALSE)/VLOOKUP(Preisindex!$A$6,Preisindex,5,FALSE),2),IF(AND($E31&lt;&gt;0,$F31&gt;0,YEAR($F31)&lt;Preisindex!$A$6,YEAR(CD$4)&gt;=YEAR($F31),$K31="b"),ROUND(VLOOKUP(CI$4,Preisindex,3,FALSE)/VLOOKUP(Preisindex!$A$6,Preisindex,3,FALSE),2),IF(AND($E31&lt;&gt;0,$F31&gt;0,YEAR($F31)&lt;Preisindex!$A$6,YEAR(CD$4)&gt;=YEAR($F31),$K31="g"),ROUND(VLOOKUP(CI$4,Preisindex,4,FALSE)/VLOOKUP(Preisindex!$A$6,Preisindex,4,FALSE),2),IF(AND($E31&lt;&gt;0,$F31&gt;0,YEAR($F31)&lt;Preisindex!$A$6,YEAR(CD$4)&gt;=YEAR($F31),$K31="k"),ROUND(VLOOKUP(CI$4,Preisindex,2,FALSE)/VLOOKUP(Preisindex!$A$6,Preisindex,2,FALSE),2),0)))))</f>
        <v>0</v>
      </c>
      <c r="CK31" s="51">
        <f>IF(AND($E31&lt;&gt;0,$F31&gt;0,YEAR($F31)&lt;=CI$4,YEAR($F31)&gt;=Preisindex!$A$6),ROUND($E31*CI31,2),IF(AND($E31&lt;&gt;0,$F31&gt;0,YEAR($F31)&lt;=CI$4,YEAR($F31)&lt;Preisindex!$A$6),ROUND($E31*CJ31,2),0))</f>
        <v>0</v>
      </c>
      <c r="CL31" s="53">
        <f t="shared" si="185"/>
        <v>0</v>
      </c>
      <c r="CM31" s="51">
        <f t="shared" si="315"/>
        <v>0</v>
      </c>
      <c r="CN31" s="51">
        <f t="shared" si="332"/>
        <v>0</v>
      </c>
      <c r="CO31" s="51">
        <f t="shared" si="188"/>
        <v>0</v>
      </c>
      <c r="CP31" s="51">
        <f t="shared" si="333"/>
        <v>0</v>
      </c>
      <c r="CQ31" s="51">
        <f t="shared" si="190"/>
        <v>0</v>
      </c>
      <c r="CR31" s="51">
        <f t="shared" si="334"/>
        <v>0</v>
      </c>
      <c r="CS31" s="51">
        <f t="shared" si="192"/>
        <v>0</v>
      </c>
      <c r="CT31" s="51">
        <f t="shared" si="335"/>
        <v>0</v>
      </c>
      <c r="CU31" s="51">
        <f t="shared" si="194"/>
        <v>0</v>
      </c>
      <c r="CV31" s="51">
        <f t="shared" si="336"/>
        <v>0</v>
      </c>
      <c r="CW31" s="51">
        <f t="shared" si="196"/>
        <v>0</v>
      </c>
      <c r="CX31" s="54">
        <f t="shared" si="197"/>
        <v>0</v>
      </c>
      <c r="CY31" s="55">
        <f t="shared" si="198"/>
        <v>0</v>
      </c>
      <c r="CZ31" s="56">
        <f>IF(AND($E31&lt;&gt;0,$F31&gt;0,YEAR($F31)&gt;=Preisindex!$A$6,YEAR(CU$4)&gt;=YEAR($F31),AND($K31&lt;&gt;"a",$K31&lt;&gt;"b",$K31&lt;&gt;"g",$K31&lt;&gt;"k")),1,IF(AND($E31&lt;&gt;0,$F31&gt;0,YEAR($F31)&gt;=Preisindex!$A$6,YEAR(CU$4)&gt;=YEAR($F31),$K31="a"),ROUND(VLOOKUP(CZ$4,Preisindex,5,FALSE)/VLOOKUP(YEAR($F31),Preisindex,5,FALSE),2),IF(AND($E31&lt;&gt;0,$F31&gt;0,YEAR($F31)&gt;=Preisindex!$A$6,YEAR(CU$4)&gt;=YEAR($F31),$K31="b"),ROUND(VLOOKUP(CZ$4,Preisindex,3,FALSE)/VLOOKUP(YEAR($F31),Preisindex,3,FALSE),2),IF(AND($E31&lt;&gt;0,$F31&gt;0,YEAR($F31)&gt;=Preisindex!$A$6,YEAR(CU$4)&gt;=YEAR($F31),$K31="g"),ROUND(VLOOKUP(CZ$4,Preisindex,4,FALSE)/VLOOKUP(YEAR($F31),Preisindex,4,FALSE),2),IF(AND($E31&lt;&gt;0,$F31&gt;0,YEAR($F31)&gt;=Preisindex!$A$6,YEAR(CU$4)&gt;=YEAR($F31),$K31="k"),ROUND(VLOOKUP(CZ$4,Preisindex,2,FALSE)/VLOOKUP(YEAR($F31),Preisindex,2,FALSE),2),0)))))</f>
        <v>0</v>
      </c>
      <c r="DA31" s="56">
        <f>IF(AND($E31&lt;&gt;0,$F31&gt;0,YEAR($F31)&lt;Preisindex!$A$6,YEAR(CU$4)&gt;=YEAR($F31),AND($K31&lt;&gt;"a",$K31&lt;&gt;"b",$K31&lt;&gt;"g",$K31&lt;&gt;"k")),1,IF(AND($E31&lt;&gt;0,$F31&gt;0,YEAR($F31)&lt;Preisindex!$A$6,YEAR(CU$4)&gt;=YEAR($F31),$K31="a"),ROUND(VLOOKUP(CZ$4,Preisindex,5,FALSE)/VLOOKUP(Preisindex!$A$6,Preisindex,5,FALSE),2),IF(AND($E31&lt;&gt;0,$F31&gt;0,YEAR($F31)&lt;Preisindex!$A$6,YEAR(CU$4)&gt;=YEAR($F31),$K31="b"),ROUND(VLOOKUP(CZ$4,Preisindex,3,FALSE)/VLOOKUP(Preisindex!$A$6,Preisindex,3,FALSE),2),IF(AND($E31&lt;&gt;0,$F31&gt;0,YEAR($F31)&lt;Preisindex!$A$6,YEAR(CU$4)&gt;=YEAR($F31),$K31="g"),ROUND(VLOOKUP(CZ$4,Preisindex,4,FALSE)/VLOOKUP(Preisindex!$A$6,Preisindex,4,FALSE),2),IF(AND($E31&lt;&gt;0,$F31&gt;0,YEAR($F31)&lt;Preisindex!$A$6,YEAR(CU$4)&gt;=YEAR($F31),$K31="k"),ROUND(VLOOKUP(CZ$4,Preisindex,2,FALSE)/VLOOKUP(Preisindex!$A$6,Preisindex,2,FALSE),2),0)))))</f>
        <v>0</v>
      </c>
      <c r="DB31" s="51">
        <f>IF(AND($E31&lt;&gt;0,$F31&gt;0,YEAR($F31)&lt;=CZ$4,YEAR($F31)&gt;=Preisindex!$A$6),ROUND($E31*CZ31,2),IF(AND($E31&lt;&gt;0,$F31&gt;0,YEAR($F31)&lt;=CZ$4,YEAR($F31)&lt;Preisindex!$A$6),ROUND($E31*DA31,2),0))</f>
        <v>0</v>
      </c>
      <c r="DC31" s="53">
        <f t="shared" si="199"/>
        <v>0</v>
      </c>
      <c r="DD31" s="51">
        <f t="shared" si="316"/>
        <v>0</v>
      </c>
      <c r="DE31" s="51">
        <f t="shared" si="337"/>
        <v>0</v>
      </c>
      <c r="DF31" s="51">
        <f t="shared" si="202"/>
        <v>0</v>
      </c>
      <c r="DG31" s="51">
        <f t="shared" si="338"/>
        <v>0</v>
      </c>
      <c r="DH31" s="51">
        <f t="shared" si="204"/>
        <v>0</v>
      </c>
      <c r="DI31" s="51">
        <f t="shared" si="339"/>
        <v>0</v>
      </c>
      <c r="DJ31" s="51">
        <f t="shared" si="206"/>
        <v>0</v>
      </c>
      <c r="DK31" s="51">
        <f t="shared" si="340"/>
        <v>0</v>
      </c>
      <c r="DL31" s="51">
        <f t="shared" si="208"/>
        <v>0</v>
      </c>
      <c r="DM31" s="51">
        <f t="shared" si="341"/>
        <v>0</v>
      </c>
      <c r="DN31" s="51">
        <f t="shared" si="210"/>
        <v>0</v>
      </c>
      <c r="DO31" s="54">
        <f t="shared" si="211"/>
        <v>0</v>
      </c>
      <c r="DP31" s="55">
        <f t="shared" si="212"/>
        <v>0</v>
      </c>
      <c r="DQ31" s="56">
        <f>IF(AND($E31&lt;&gt;0,$F31&gt;0,YEAR($F31)&gt;=Preisindex!$A$6,YEAR(DL$4)&gt;=YEAR($F31),AND($K31&lt;&gt;"a",$K31&lt;&gt;"b",$K31&lt;&gt;"g",$K31&lt;&gt;"k")),1,IF(AND($E31&lt;&gt;0,$F31&gt;0,YEAR($F31)&gt;=Preisindex!$A$6,YEAR(DL$4)&gt;=YEAR($F31),$K31="a"),ROUND(VLOOKUP(DQ$4,Preisindex,5,FALSE)/VLOOKUP(YEAR($F31),Preisindex,5,FALSE),2),IF(AND($E31&lt;&gt;0,$F31&gt;0,YEAR($F31)&gt;=Preisindex!$A$6,YEAR(DL$4)&gt;=YEAR($F31),$K31="b"),ROUND(VLOOKUP(DQ$4,Preisindex,3,FALSE)/VLOOKUP(YEAR($F31),Preisindex,3,FALSE),2),IF(AND($E31&lt;&gt;0,$F31&gt;0,YEAR($F31)&gt;=Preisindex!$A$6,YEAR(DL$4)&gt;=YEAR($F31),$K31="g"),ROUND(VLOOKUP(DQ$4,Preisindex,4,FALSE)/VLOOKUP(YEAR($F31),Preisindex,4,FALSE),2),IF(AND($E31&lt;&gt;0,$F31&gt;0,YEAR($F31)&gt;=Preisindex!$A$6,YEAR(DL$4)&gt;=YEAR($F31),$K31="k"),ROUND(VLOOKUP(DQ$4,Preisindex,2,FALSE)/VLOOKUP(YEAR($F31),Preisindex,2,FALSE),2),0)))))</f>
        <v>0</v>
      </c>
      <c r="DR31" s="56">
        <f>IF(AND($E31&lt;&gt;0,$F31&gt;0,YEAR($F31)&lt;Preisindex!$A$6,YEAR(DL$4)&gt;=YEAR($F31),AND($K31&lt;&gt;"a",$K31&lt;&gt;"b",$K31&lt;&gt;"g",$K31&lt;&gt;"k")),1,IF(AND($E31&lt;&gt;0,$F31&gt;0,YEAR($F31)&lt;Preisindex!$A$6,YEAR(DL$4)&gt;=YEAR($F31),$K31="a"),ROUND(VLOOKUP(DQ$4,Preisindex,5,FALSE)/VLOOKUP(Preisindex!$A$6,Preisindex,5,FALSE),2),IF(AND($E31&lt;&gt;0,$F31&gt;0,YEAR($F31)&lt;Preisindex!$A$6,YEAR(DL$4)&gt;=YEAR($F31),$K31="b"),ROUND(VLOOKUP(DQ$4,Preisindex,3,FALSE)/VLOOKUP(Preisindex!$A$6,Preisindex,3,FALSE),2),IF(AND($E31&lt;&gt;0,$F31&gt;0,YEAR($F31)&lt;Preisindex!$A$6,YEAR(DL$4)&gt;=YEAR($F31),$K31="g"),ROUND(VLOOKUP(DQ$4,Preisindex,4,FALSE)/VLOOKUP(Preisindex!$A$6,Preisindex,4,FALSE),2),IF(AND($E31&lt;&gt;0,$F31&gt;0,YEAR($F31)&lt;Preisindex!$A$6,YEAR(DL$4)&gt;=YEAR($F31),$K31="k"),ROUND(VLOOKUP(DQ$4,Preisindex,2,FALSE)/VLOOKUP(Preisindex!$A$6,Preisindex,2,FALSE),2),0)))))</f>
        <v>0</v>
      </c>
      <c r="DS31" s="51">
        <f>IF(AND($E31&lt;&gt;0,$F31&gt;0,YEAR($F31)&lt;=DQ$4,YEAR($F31)&gt;=Preisindex!$A$6),ROUND($E31*DQ31,2),IF(AND($E31&lt;&gt;0,$F31&gt;0,YEAR($F31)&lt;=DQ$4,YEAR($F31)&lt;Preisindex!$A$6),ROUND($E31*DR31,2),0))</f>
        <v>0</v>
      </c>
      <c r="DT31" s="53">
        <f t="shared" si="213"/>
        <v>0</v>
      </c>
      <c r="DU31" s="51">
        <f t="shared" si="316"/>
        <v>0</v>
      </c>
      <c r="DV31" s="51">
        <f t="shared" si="342"/>
        <v>0</v>
      </c>
      <c r="DW31" s="51">
        <f t="shared" si="216"/>
        <v>0</v>
      </c>
      <c r="DX31" s="51">
        <f t="shared" si="343"/>
        <v>0</v>
      </c>
      <c r="DY31" s="51">
        <f t="shared" si="218"/>
        <v>0</v>
      </c>
      <c r="DZ31" s="51">
        <f t="shared" si="344"/>
        <v>0</v>
      </c>
      <c r="EA31" s="51">
        <f t="shared" si="220"/>
        <v>0</v>
      </c>
      <c r="EB31" s="51">
        <f t="shared" si="345"/>
        <v>0</v>
      </c>
      <c r="EC31" s="51">
        <f t="shared" si="222"/>
        <v>0</v>
      </c>
      <c r="ED31" s="51">
        <f t="shared" si="346"/>
        <v>0</v>
      </c>
      <c r="EE31" s="51">
        <f t="shared" si="224"/>
        <v>0</v>
      </c>
      <c r="EF31" s="54">
        <f t="shared" si="225"/>
        <v>0</v>
      </c>
      <c r="EG31" s="55">
        <f t="shared" si="226"/>
        <v>0</v>
      </c>
      <c r="EH31" s="56">
        <f>IF(AND($E31&lt;&gt;0,$F31&gt;0,YEAR($F31)&gt;=Preisindex!$A$6,YEAR(EC$4)&gt;=YEAR($F31),AND($K31&lt;&gt;"a",$K31&lt;&gt;"b",$K31&lt;&gt;"g",$K31&lt;&gt;"k")),1,IF(AND($E31&lt;&gt;0,$F31&gt;0,YEAR($F31)&gt;=Preisindex!$A$6,YEAR(EC$4)&gt;=YEAR($F31),$K31="a"),ROUND(VLOOKUP(EH$4,Preisindex,5,FALSE)/VLOOKUP(YEAR($F31),Preisindex,5,FALSE),2),IF(AND($E31&lt;&gt;0,$F31&gt;0,YEAR($F31)&gt;=Preisindex!$A$6,YEAR(EC$4)&gt;=YEAR($F31),$K31="b"),ROUND(VLOOKUP(EH$4,Preisindex,3,FALSE)/VLOOKUP(YEAR($F31),Preisindex,3,FALSE),2),IF(AND($E31&lt;&gt;0,$F31&gt;0,YEAR($F31)&gt;=Preisindex!$A$6,YEAR(EC$4)&gt;=YEAR($F31),$K31="g"),ROUND(VLOOKUP(EH$4,Preisindex,4,FALSE)/VLOOKUP(YEAR($F31),Preisindex,4,FALSE),2),IF(AND($E31&lt;&gt;0,$F31&gt;0,YEAR($F31)&gt;=Preisindex!$A$6,YEAR(EC$4)&gt;=YEAR($F31),$K31="k"),ROUND(VLOOKUP(EH$4,Preisindex,2,FALSE)/VLOOKUP(YEAR($F31),Preisindex,2,FALSE),2),0)))))</f>
        <v>0</v>
      </c>
      <c r="EI31" s="56">
        <f>IF(AND($E31&lt;&gt;0,$F31&gt;0,YEAR($F31)&lt;Preisindex!$A$6,YEAR(EC$4)&gt;=YEAR($F31),AND($K31&lt;&gt;"a",$K31&lt;&gt;"b",$K31&lt;&gt;"g",$K31&lt;&gt;"k")),1,IF(AND($E31&lt;&gt;0,$F31&gt;0,YEAR($F31)&lt;Preisindex!$A$6,YEAR(EC$4)&gt;=YEAR($F31),$K31="a"),ROUND(VLOOKUP(EH$4,Preisindex,5,FALSE)/VLOOKUP(Preisindex!$A$6,Preisindex,5,FALSE),2),IF(AND($E31&lt;&gt;0,$F31&gt;0,YEAR($F31)&lt;Preisindex!$A$6,YEAR(EC$4)&gt;=YEAR($F31),$K31="b"),ROUND(VLOOKUP(EH$4,Preisindex,3,FALSE)/VLOOKUP(Preisindex!$A$6,Preisindex,3,FALSE),2),IF(AND($E31&lt;&gt;0,$F31&gt;0,YEAR($F31)&lt;Preisindex!$A$6,YEAR(EC$4)&gt;=YEAR($F31),$K31="g"),ROUND(VLOOKUP(EH$4,Preisindex,4,FALSE)/VLOOKUP(Preisindex!$A$6,Preisindex,4,FALSE),2),IF(AND($E31&lt;&gt;0,$F31&gt;0,YEAR($F31)&lt;Preisindex!$A$6,YEAR(EC$4)&gt;=YEAR($F31),$K31="k"),ROUND(VLOOKUP(EH$4,Preisindex,2,FALSE)/VLOOKUP(Preisindex!$A$6,Preisindex,2,FALSE),2),0)))))</f>
        <v>0</v>
      </c>
      <c r="EJ31" s="51">
        <f>IF(AND($E31&lt;&gt;0,$F31&gt;0,YEAR($F31)&lt;=EH$4,YEAR($F31)&gt;=Preisindex!$A$6),ROUND($E31*EH31,2),IF(AND($E31&lt;&gt;0,$F31&gt;0,YEAR($F31)&lt;=EH$4,YEAR($F31)&lt;Preisindex!$A$6),ROUND($E31*EI31,2),0))</f>
        <v>0</v>
      </c>
      <c r="EK31" s="53">
        <f t="shared" si="227"/>
        <v>0</v>
      </c>
      <c r="EL31" s="51">
        <f t="shared" si="316"/>
        <v>0</v>
      </c>
      <c r="EM31" s="51">
        <f t="shared" si="347"/>
        <v>0</v>
      </c>
      <c r="EN31" s="51">
        <f t="shared" si="230"/>
        <v>0</v>
      </c>
      <c r="EO31" s="51">
        <f t="shared" si="348"/>
        <v>0</v>
      </c>
      <c r="EP31" s="51">
        <f t="shared" si="232"/>
        <v>0</v>
      </c>
      <c r="EQ31" s="51">
        <f t="shared" si="349"/>
        <v>0</v>
      </c>
      <c r="ER31" s="51">
        <f t="shared" si="234"/>
        <v>0</v>
      </c>
      <c r="ES31" s="51">
        <f t="shared" si="350"/>
        <v>0</v>
      </c>
      <c r="ET31" s="51">
        <f t="shared" si="236"/>
        <v>0</v>
      </c>
      <c r="EU31" s="51">
        <f t="shared" si="351"/>
        <v>0</v>
      </c>
      <c r="EV31" s="51">
        <f t="shared" si="238"/>
        <v>0</v>
      </c>
      <c r="EW31" s="54">
        <f t="shared" si="239"/>
        <v>0</v>
      </c>
      <c r="EX31" s="55">
        <f t="shared" si="240"/>
        <v>0</v>
      </c>
      <c r="EY31" s="56">
        <f>IF(AND($E31&lt;&gt;0,$F31&gt;0,YEAR($F31)&gt;=Preisindex!$A$6,YEAR(ET$4)&gt;=YEAR($F31),AND($K31&lt;&gt;"a",$K31&lt;&gt;"b",$K31&lt;&gt;"g",$K31&lt;&gt;"k")),1,IF(AND($E31&lt;&gt;0,$F31&gt;0,YEAR($F31)&gt;=Preisindex!$A$6,YEAR(ET$4)&gt;=YEAR($F31),$K31="a"),ROUND(VLOOKUP(EY$4,Preisindex,5,FALSE)/VLOOKUP(YEAR($F31),Preisindex,5,FALSE),2),IF(AND($E31&lt;&gt;0,$F31&gt;0,YEAR($F31)&gt;=Preisindex!$A$6,YEAR(ET$4)&gt;=YEAR($F31),$K31="b"),ROUND(VLOOKUP(EY$4,Preisindex,3,FALSE)/VLOOKUP(YEAR($F31),Preisindex,3,FALSE),2),IF(AND($E31&lt;&gt;0,$F31&gt;0,YEAR($F31)&gt;=Preisindex!$A$6,YEAR(ET$4)&gt;=YEAR($F31),$K31="g"),ROUND(VLOOKUP(EY$4,Preisindex,4,FALSE)/VLOOKUP(YEAR($F31),Preisindex,4,FALSE),2),IF(AND($E31&lt;&gt;0,$F31&gt;0,YEAR($F31)&gt;=Preisindex!$A$6,YEAR(ET$4)&gt;=YEAR($F31),$K31="k"),ROUND(VLOOKUP(EY$4,Preisindex,2,FALSE)/VLOOKUP(YEAR($F31),Preisindex,2,FALSE),2),0)))))</f>
        <v>0</v>
      </c>
      <c r="EZ31" s="56">
        <f>IF(AND($E31&lt;&gt;0,$F31&gt;0,YEAR($F31)&lt;Preisindex!$A$6,YEAR(ET$4)&gt;=YEAR($F31),AND($K31&lt;&gt;"a",$K31&lt;&gt;"b",$K31&lt;&gt;"g",$K31&lt;&gt;"k")),1,IF(AND($E31&lt;&gt;0,$F31&gt;0,YEAR($F31)&lt;Preisindex!$A$6,YEAR(ET$4)&gt;=YEAR($F31),$K31="a"),ROUND(VLOOKUP(EY$4,Preisindex,5,FALSE)/VLOOKUP(Preisindex!$A$6,Preisindex,5,FALSE),2),IF(AND($E31&lt;&gt;0,$F31&gt;0,YEAR($F31)&lt;Preisindex!$A$6,YEAR(ET$4)&gt;=YEAR($F31),$K31="b"),ROUND(VLOOKUP(EY$4,Preisindex,3,FALSE)/VLOOKUP(Preisindex!$A$6,Preisindex,3,FALSE),2),IF(AND($E31&lt;&gt;0,$F31&gt;0,YEAR($F31)&lt;Preisindex!$A$6,YEAR(ET$4)&gt;=YEAR($F31),$K31="g"),ROUND(VLOOKUP(EY$4,Preisindex,4,FALSE)/VLOOKUP(Preisindex!$A$6,Preisindex,4,FALSE),2),IF(AND($E31&lt;&gt;0,$F31&gt;0,YEAR($F31)&lt;Preisindex!$A$6,YEAR(ET$4)&gt;=YEAR($F31),$K31="k"),ROUND(VLOOKUP(EY$4,Preisindex,2,FALSE)/VLOOKUP(Preisindex!$A$6,Preisindex,2,FALSE),2),0)))))</f>
        <v>0</v>
      </c>
      <c r="FA31" s="51">
        <f>IF(AND($E31&lt;&gt;0,$F31&gt;0,YEAR($F31)&lt;=EY$4,YEAR($F31)&gt;=Preisindex!$A$6),ROUND($E31*EY31,2),IF(AND($E31&lt;&gt;0,$F31&gt;0,YEAR($F31)&lt;=EY$4,YEAR($F31)&lt;Preisindex!$A$6),ROUND($E31*EZ31,2),0))</f>
        <v>0</v>
      </c>
      <c r="FB31" s="53">
        <f t="shared" si="241"/>
        <v>0</v>
      </c>
      <c r="FC31" s="51">
        <f t="shared" si="316"/>
        <v>0</v>
      </c>
      <c r="FD31" s="51">
        <f t="shared" si="352"/>
        <v>0</v>
      </c>
      <c r="FE31" s="51">
        <f t="shared" si="244"/>
        <v>0</v>
      </c>
      <c r="FF31" s="51">
        <f t="shared" si="353"/>
        <v>0</v>
      </c>
      <c r="FG31" s="51">
        <f t="shared" si="246"/>
        <v>0</v>
      </c>
      <c r="FH31" s="51">
        <f t="shared" si="354"/>
        <v>0</v>
      </c>
      <c r="FI31" s="51">
        <f t="shared" si="248"/>
        <v>0</v>
      </c>
      <c r="FJ31" s="51">
        <f t="shared" si="355"/>
        <v>0</v>
      </c>
      <c r="FK31" s="51">
        <f t="shared" si="250"/>
        <v>0</v>
      </c>
      <c r="FL31" s="51">
        <f t="shared" si="356"/>
        <v>0</v>
      </c>
      <c r="FM31" s="51">
        <f t="shared" si="252"/>
        <v>0</v>
      </c>
      <c r="FN31" s="54">
        <f t="shared" si="253"/>
        <v>0</v>
      </c>
      <c r="FO31" s="55">
        <f t="shared" si="254"/>
        <v>0</v>
      </c>
      <c r="FP31" s="56">
        <f>IF(AND($E31&lt;&gt;0,$F31&gt;0,YEAR($F31)&gt;=Preisindex!$A$6,YEAR(FK$4)&gt;=YEAR($F31),AND($K31&lt;&gt;"a",$K31&lt;&gt;"b",$K31&lt;&gt;"g",$K31&lt;&gt;"k")),1,IF(AND($E31&lt;&gt;0,$F31&gt;0,YEAR($F31)&gt;=Preisindex!$A$6,YEAR(FK$4)&gt;=YEAR($F31),$K31="a"),ROUND(VLOOKUP(FP$4,Preisindex,5,FALSE)/VLOOKUP(YEAR($F31),Preisindex,5,FALSE),2),IF(AND($E31&lt;&gt;0,$F31&gt;0,YEAR($F31)&gt;=Preisindex!$A$6,YEAR(FK$4)&gt;=YEAR($F31),$K31="b"),ROUND(VLOOKUP(FP$4,Preisindex,3,FALSE)/VLOOKUP(YEAR($F31),Preisindex,3,FALSE),2),IF(AND($E31&lt;&gt;0,$F31&gt;0,YEAR($F31)&gt;=Preisindex!$A$6,YEAR(FK$4)&gt;=YEAR($F31),$K31="g"),ROUND(VLOOKUP(FP$4,Preisindex,4,FALSE)/VLOOKUP(YEAR($F31),Preisindex,4,FALSE),2),IF(AND($E31&lt;&gt;0,$F31&gt;0,YEAR($F31)&gt;=Preisindex!$A$6,YEAR(FK$4)&gt;=YEAR($F31),$K31="k"),ROUND(VLOOKUP(FP$4,Preisindex,2,FALSE)/VLOOKUP(YEAR($F31),Preisindex,2,FALSE),2),0)))))</f>
        <v>0</v>
      </c>
      <c r="FQ31" s="56">
        <f>IF(AND($E31&lt;&gt;0,$F31&gt;0,YEAR($F31)&lt;Preisindex!$A$6,YEAR(FK$4)&gt;=YEAR($F31),AND($K31&lt;&gt;"a",$K31&lt;&gt;"b",$K31&lt;&gt;"g",$K31&lt;&gt;"k")),1,IF(AND($E31&lt;&gt;0,$F31&gt;0,YEAR($F31)&lt;Preisindex!$A$6,YEAR(FK$4)&gt;=YEAR($F31),$K31="a"),ROUND(VLOOKUP(FP$4,Preisindex,5,FALSE)/VLOOKUP(Preisindex!$A$6,Preisindex,5,FALSE),2),IF(AND($E31&lt;&gt;0,$F31&gt;0,YEAR($F31)&lt;Preisindex!$A$6,YEAR(FK$4)&gt;=YEAR($F31),$K31="b"),ROUND(VLOOKUP(FP$4,Preisindex,3,FALSE)/VLOOKUP(Preisindex!$A$6,Preisindex,3,FALSE),2),IF(AND($E31&lt;&gt;0,$F31&gt;0,YEAR($F31)&lt;Preisindex!$A$6,YEAR(FK$4)&gt;=YEAR($F31),$K31="g"),ROUND(VLOOKUP(FP$4,Preisindex,4,FALSE)/VLOOKUP(Preisindex!$A$6,Preisindex,4,FALSE),2),IF(AND($E31&lt;&gt;0,$F31&gt;0,YEAR($F31)&lt;Preisindex!$A$6,YEAR(FK$4)&gt;=YEAR($F31),$K31="k"),ROUND(VLOOKUP(FP$4,Preisindex,2,FALSE)/VLOOKUP(Preisindex!$A$6,Preisindex,2,FALSE),2),0)))))</f>
        <v>0</v>
      </c>
      <c r="FR31" s="51">
        <f>IF(AND($E31&lt;&gt;0,$F31&gt;0,YEAR($F31)&lt;=FP$4,YEAR($F31)&gt;=Preisindex!$A$6),ROUND($E31*FP31,2),IF(AND($E31&lt;&gt;0,$F31&gt;0,YEAR($F31)&lt;=FP$4,YEAR($F31)&lt;Preisindex!$A$6),ROUND($E31*FQ31,2),0))</f>
        <v>0</v>
      </c>
      <c r="FS31" s="53">
        <f t="shared" si="255"/>
        <v>0</v>
      </c>
    </row>
    <row r="32" spans="1:175" x14ac:dyDescent="0.3">
      <c r="A32" s="195">
        <v>1998</v>
      </c>
      <c r="B32" s="196" t="s">
        <v>220</v>
      </c>
      <c r="C32" s="196"/>
      <c r="D32" s="188" t="s">
        <v>21</v>
      </c>
      <c r="E32" s="99">
        <v>180000</v>
      </c>
      <c r="F32" s="97">
        <v>35977</v>
      </c>
      <c r="G32" s="100">
        <v>50</v>
      </c>
      <c r="H32" s="622"/>
      <c r="I32" s="621"/>
      <c r="J32" s="194"/>
      <c r="K32" s="630" t="s">
        <v>266</v>
      </c>
      <c r="L32" s="49">
        <f t="shared" si="296"/>
        <v>0.02</v>
      </c>
      <c r="M32" s="50">
        <f t="shared" si="297"/>
        <v>3600</v>
      </c>
      <c r="N32" s="51">
        <f t="shared" si="298"/>
        <v>131400</v>
      </c>
      <c r="O32" s="51"/>
      <c r="P32" s="51">
        <f t="shared" si="299"/>
        <v>48600</v>
      </c>
      <c r="Q32" s="52"/>
      <c r="R32" s="52"/>
      <c r="S32" s="52"/>
      <c r="T32" s="52"/>
      <c r="U32" s="52"/>
      <c r="V32" s="53">
        <f t="shared" si="300"/>
        <v>180000</v>
      </c>
      <c r="W32" s="51">
        <f t="shared" si="301"/>
        <v>0</v>
      </c>
      <c r="X32" s="51">
        <f t="shared" si="302"/>
        <v>0</v>
      </c>
      <c r="Y32" s="51">
        <f t="shared" si="303"/>
        <v>0</v>
      </c>
      <c r="Z32" s="51">
        <f t="shared" si="304"/>
        <v>0</v>
      </c>
      <c r="AA32" s="51">
        <f t="shared" si="305"/>
        <v>180000</v>
      </c>
      <c r="AB32" s="51">
        <f t="shared" si="306"/>
        <v>180000</v>
      </c>
      <c r="AC32" s="51">
        <f t="shared" si="307"/>
        <v>3600</v>
      </c>
      <c r="AD32" s="51">
        <f t="shared" si="308"/>
        <v>3600</v>
      </c>
      <c r="AE32" s="51">
        <f t="shared" si="309"/>
        <v>127800</v>
      </c>
      <c r="AF32" s="51">
        <f t="shared" si="310"/>
        <v>127800</v>
      </c>
      <c r="AG32" s="51">
        <f t="shared" si="311"/>
        <v>52200</v>
      </c>
      <c r="AH32" s="54">
        <f t="shared" si="312"/>
        <v>0</v>
      </c>
      <c r="AI32" s="55">
        <f t="shared" si="313"/>
        <v>0</v>
      </c>
      <c r="AJ32" s="56">
        <f>IF(AND($E32&lt;&gt;0,$F32&gt;0,YEAR($F32)&gt;=Preisindex!$A$6,YEAR(AE$4)&gt;=YEAR($F32),AND($K32&lt;&gt;"a",$K32&lt;&gt;"b",$K32&lt;&gt;"g",$K32&lt;&gt;"k")),1,IF(AND($E32&lt;&gt;0,$F32&gt;0,YEAR($F32)&gt;=Preisindex!$A$6,YEAR(AE$4)&gt;=YEAR($F32),$K32="a"),ROUND(VLOOKUP(AJ$4,Preisindex,5,FALSE)/VLOOKUP(YEAR($F32),Preisindex,5,FALSE),2),IF(AND($E32&lt;&gt;0,$F32&gt;0,YEAR($F32)&gt;=Preisindex!$A$6,YEAR(AE$4)&gt;=YEAR($F32),$K32="b"),ROUND(VLOOKUP(AJ$4,Preisindex,3,FALSE)/VLOOKUP(YEAR($F32),Preisindex,3,FALSE),2),IF(AND($E32&lt;&gt;0,$F32&gt;0,YEAR($F32)&gt;=Preisindex!$A$6,YEAR(AE$4)&gt;=YEAR($F32),$K32="g"),ROUND(VLOOKUP(AJ$4,Preisindex,4,FALSE)/VLOOKUP(YEAR($F32),Preisindex,4,FALSE),2),IF(AND($E32&lt;&gt;0,$F32&gt;0,YEAR($F32)&gt;=Preisindex!$A$6,YEAR(AE$4)&gt;=YEAR($F32),$K32="k"),ROUND(VLOOKUP(AJ$4,Preisindex,2,FALSE)/VLOOKUP(YEAR($F32),Preisindex,2,FALSE),2),0)))))</f>
        <v>1.25</v>
      </c>
      <c r="AK32" s="56">
        <f>IF(AND($E32&lt;&gt;0,$F32&gt;0,YEAR($F32)&lt;Preisindex!$A$6,YEAR(AE$4)&gt;=YEAR($F32),AND($K32&lt;&gt;"a",$K32&lt;&gt;"b",$K32&lt;&gt;"g",$K32&lt;&gt;"k")),1,IF(AND($E32&lt;&gt;0,$F32&gt;0,YEAR($F32)&lt;Preisindex!$A$6,YEAR(AE$4)&gt;=YEAR($F32),$K32="a"),ROUND(VLOOKUP(AJ$4,Preisindex,5,FALSE)/VLOOKUP(Preisindex!$A$6,Preisindex,5,FALSE),2),IF(AND($E32&lt;&gt;0,$F32&gt;0,YEAR($F32)&lt;Preisindex!$A$6,YEAR(AE$4)&gt;=YEAR($F32),$K32="b"),ROUND(VLOOKUP(AJ$4,Preisindex,3,FALSE)/VLOOKUP(Preisindex!$A$6,Preisindex,3,FALSE),2),IF(AND($E32&lt;&gt;0,$F32&gt;0,YEAR($F32)&lt;Preisindex!$A$6,YEAR(AE$4)&gt;=YEAR($F32),$K32="g"),ROUND(VLOOKUP(AJ$4,Preisindex,4,FALSE)/VLOOKUP(Preisindex!$A$6,Preisindex,4,FALSE),2),IF(AND($E32&lt;&gt;0,$F32&gt;0,YEAR($F32)&lt;Preisindex!$A$6,YEAR(AE$4)&gt;=YEAR($F32),$K32="k"),ROUND(VLOOKUP(AJ$4,Preisindex,2,FALSE)/VLOOKUP(Preisindex!$A$6,Preisindex,2,FALSE),2),0)))))</f>
        <v>0</v>
      </c>
      <c r="AL32" s="51">
        <f>IF(AND($E32&lt;&gt;0,$F32&gt;0,YEAR($F32)&lt;=AJ$4,YEAR($F32)&gt;=Preisindex!$A$6),ROUND($E32*AJ32,2),IF(AND($E32&lt;&gt;0,$F32&gt;0,YEAR($F32)&lt;=AJ$4,YEAR($F32)&lt;Preisindex!$A$6),ROUND($E32*AK32,2),0))</f>
        <v>225000</v>
      </c>
      <c r="AM32" s="53">
        <f t="shared" si="314"/>
        <v>4500</v>
      </c>
      <c r="AN32" s="51">
        <f t="shared" si="315"/>
        <v>0</v>
      </c>
      <c r="AO32" s="51">
        <f t="shared" si="317"/>
        <v>0</v>
      </c>
      <c r="AP32" s="51">
        <f t="shared" si="146"/>
        <v>0</v>
      </c>
      <c r="AQ32" s="51">
        <f t="shared" si="318"/>
        <v>0</v>
      </c>
      <c r="AR32" s="51">
        <f t="shared" si="148"/>
        <v>180000</v>
      </c>
      <c r="AS32" s="51">
        <f t="shared" si="319"/>
        <v>180000</v>
      </c>
      <c r="AT32" s="51">
        <f t="shared" si="150"/>
        <v>3600</v>
      </c>
      <c r="AU32" s="51">
        <f t="shared" si="320"/>
        <v>3600</v>
      </c>
      <c r="AV32" s="51">
        <f t="shared" si="152"/>
        <v>124200</v>
      </c>
      <c r="AW32" s="51">
        <f t="shared" si="321"/>
        <v>124200</v>
      </c>
      <c r="AX32" s="51">
        <f t="shared" si="154"/>
        <v>55800</v>
      </c>
      <c r="AY32" s="54">
        <f t="shared" si="155"/>
        <v>0</v>
      </c>
      <c r="AZ32" s="55">
        <f t="shared" si="156"/>
        <v>0</v>
      </c>
      <c r="BA32" s="56">
        <f>IF(AND($E32&lt;&gt;0,$F32&gt;0,YEAR($F32)&gt;=Preisindex!$A$6,YEAR(AV$4)&gt;=YEAR($F32),AND($K32&lt;&gt;"a",$K32&lt;&gt;"b",$K32&lt;&gt;"g",$K32&lt;&gt;"k")),1,IF(AND($E32&lt;&gt;0,$F32&gt;0,YEAR($F32)&gt;=Preisindex!$A$6,YEAR(AV$4)&gt;=YEAR($F32),$K32="a"),ROUND(VLOOKUP(BA$4,Preisindex,5,FALSE)/VLOOKUP(YEAR($F32),Preisindex,5,FALSE),2),IF(AND($E32&lt;&gt;0,$F32&gt;0,YEAR($F32)&gt;=Preisindex!$A$6,YEAR(AV$4)&gt;=YEAR($F32),$K32="b"),ROUND(VLOOKUP(BA$4,Preisindex,3,FALSE)/VLOOKUP(YEAR($F32),Preisindex,3,FALSE),2),IF(AND($E32&lt;&gt;0,$F32&gt;0,YEAR($F32)&gt;=Preisindex!$A$6,YEAR(AV$4)&gt;=YEAR($F32),$K32="g"),ROUND(VLOOKUP(BA$4,Preisindex,4,FALSE)/VLOOKUP(YEAR($F32),Preisindex,4,FALSE),2),IF(AND($E32&lt;&gt;0,$F32&gt;0,YEAR($F32)&gt;=Preisindex!$A$6,YEAR(AV$4)&gt;=YEAR($F32),$K32="k"),ROUND(VLOOKUP(BA$4,Preisindex,2,FALSE)/VLOOKUP(YEAR($F32),Preisindex,2,FALSE),2),0)))))</f>
        <v>1.28</v>
      </c>
      <c r="BB32" s="56">
        <f>IF(AND($E32&lt;&gt;0,$F32&gt;0,YEAR($F32)&lt;Preisindex!$A$6,YEAR(AV$4)&gt;=YEAR($F32),AND($K32&lt;&gt;"a",$K32&lt;&gt;"b",$K32&lt;&gt;"g",$K32&lt;&gt;"k")),1,IF(AND($E32&lt;&gt;0,$F32&gt;0,YEAR($F32)&lt;Preisindex!$A$6,YEAR(AV$4)&gt;=YEAR($F32),$K32="a"),ROUND(VLOOKUP(BA$4,Preisindex,5,FALSE)/VLOOKUP(Preisindex!$A$6,Preisindex,5,FALSE),2),IF(AND($E32&lt;&gt;0,$F32&gt;0,YEAR($F32)&lt;Preisindex!$A$6,YEAR(AV$4)&gt;=YEAR($F32),$K32="b"),ROUND(VLOOKUP(BA$4,Preisindex,3,FALSE)/VLOOKUP(Preisindex!$A$6,Preisindex,3,FALSE),2),IF(AND($E32&lt;&gt;0,$F32&gt;0,YEAR($F32)&lt;Preisindex!$A$6,YEAR(AV$4)&gt;=YEAR($F32),$K32="g"),ROUND(VLOOKUP(BA$4,Preisindex,4,FALSE)/VLOOKUP(Preisindex!$A$6,Preisindex,4,FALSE),2),IF(AND($E32&lt;&gt;0,$F32&gt;0,YEAR($F32)&lt;Preisindex!$A$6,YEAR(AV$4)&gt;=YEAR($F32),$K32="k"),ROUND(VLOOKUP(BA$4,Preisindex,2,FALSE)/VLOOKUP(Preisindex!$A$6,Preisindex,2,FALSE),2),0)))))</f>
        <v>0</v>
      </c>
      <c r="BC32" s="51">
        <f>IF(AND($E32&lt;&gt;0,$F32&gt;0,YEAR($F32)&lt;=BA$4,YEAR($F32)&gt;=Preisindex!$A$6),ROUND($E32*BA32,2),IF(AND($E32&lt;&gt;0,$F32&gt;0,YEAR($F32)&lt;=BA$4,YEAR($F32)&lt;Preisindex!$A$6),ROUND($E32*BB32,2),0))</f>
        <v>230400</v>
      </c>
      <c r="BD32" s="53">
        <f t="shared" si="157"/>
        <v>4608</v>
      </c>
      <c r="BE32" s="51">
        <f t="shared" si="315"/>
        <v>0</v>
      </c>
      <c r="BF32" s="51">
        <f t="shared" si="322"/>
        <v>0</v>
      </c>
      <c r="BG32" s="51">
        <f t="shared" si="160"/>
        <v>0</v>
      </c>
      <c r="BH32" s="51">
        <f t="shared" si="323"/>
        <v>0</v>
      </c>
      <c r="BI32" s="51">
        <f t="shared" si="162"/>
        <v>180000</v>
      </c>
      <c r="BJ32" s="51">
        <f t="shared" si="324"/>
        <v>180000</v>
      </c>
      <c r="BK32" s="51">
        <f t="shared" si="164"/>
        <v>3600</v>
      </c>
      <c r="BL32" s="51">
        <f t="shared" si="325"/>
        <v>3600</v>
      </c>
      <c r="BM32" s="51">
        <f t="shared" si="166"/>
        <v>120600</v>
      </c>
      <c r="BN32" s="51">
        <f t="shared" si="326"/>
        <v>120600</v>
      </c>
      <c r="BO32" s="51">
        <f t="shared" si="168"/>
        <v>59400</v>
      </c>
      <c r="BP32" s="54">
        <f t="shared" si="169"/>
        <v>0</v>
      </c>
      <c r="BQ32" s="55">
        <f t="shared" si="170"/>
        <v>0</v>
      </c>
      <c r="BR32" s="56">
        <f>IF(AND($E32&lt;&gt;0,$F32&gt;0,YEAR($F32)&gt;=Preisindex!$A$6,YEAR(BM$4)&gt;=YEAR($F32),AND($K32&lt;&gt;"a",$K32&lt;&gt;"b",$K32&lt;&gt;"g",$K32&lt;&gt;"k")),1,IF(AND($E32&lt;&gt;0,$F32&gt;0,YEAR($F32)&gt;=Preisindex!$A$6,YEAR(BM$4)&gt;=YEAR($F32),$K32="a"),ROUND(VLOOKUP(BR$4,Preisindex,5,FALSE)/VLOOKUP(YEAR($F32),Preisindex,5,FALSE),2),IF(AND($E32&lt;&gt;0,$F32&gt;0,YEAR($F32)&gt;=Preisindex!$A$6,YEAR(BM$4)&gt;=YEAR($F32),$K32="b"),ROUND(VLOOKUP(BR$4,Preisindex,3,FALSE)/VLOOKUP(YEAR($F32),Preisindex,3,FALSE),2),IF(AND($E32&lt;&gt;0,$F32&gt;0,YEAR($F32)&gt;=Preisindex!$A$6,YEAR(BM$4)&gt;=YEAR($F32),$K32="g"),ROUND(VLOOKUP(BR$4,Preisindex,4,FALSE)/VLOOKUP(YEAR($F32),Preisindex,4,FALSE),2),IF(AND($E32&lt;&gt;0,$F32&gt;0,YEAR($F32)&gt;=Preisindex!$A$6,YEAR(BM$4)&gt;=YEAR($F32),$K32="k"),ROUND(VLOOKUP(BR$4,Preisindex,2,FALSE)/VLOOKUP(YEAR($F32),Preisindex,2,FALSE),2),0)))))</f>
        <v>1.3</v>
      </c>
      <c r="BS32" s="56">
        <f>IF(AND($E32&lt;&gt;0,$F32&gt;0,YEAR($F32)&lt;Preisindex!$A$6,YEAR(BM$4)&gt;=YEAR($F32),AND($K32&lt;&gt;"a",$K32&lt;&gt;"b",$K32&lt;&gt;"g",$K32&lt;&gt;"k")),1,IF(AND($E32&lt;&gt;0,$F32&gt;0,YEAR($F32)&lt;Preisindex!$A$6,YEAR(BM$4)&gt;=YEAR($F32),$K32="a"),ROUND(VLOOKUP(BR$4,Preisindex,5,FALSE)/VLOOKUP(Preisindex!$A$6,Preisindex,5,FALSE),2),IF(AND($E32&lt;&gt;0,$F32&gt;0,YEAR($F32)&lt;Preisindex!$A$6,YEAR(BM$4)&gt;=YEAR($F32),$K32="b"),ROUND(VLOOKUP(BR$4,Preisindex,3,FALSE)/VLOOKUP(Preisindex!$A$6,Preisindex,3,FALSE),2),IF(AND($E32&lt;&gt;0,$F32&gt;0,YEAR($F32)&lt;Preisindex!$A$6,YEAR(BM$4)&gt;=YEAR($F32),$K32="g"),ROUND(VLOOKUP(BR$4,Preisindex,4,FALSE)/VLOOKUP(Preisindex!$A$6,Preisindex,4,FALSE),2),IF(AND($E32&lt;&gt;0,$F32&gt;0,YEAR($F32)&lt;Preisindex!$A$6,YEAR(BM$4)&gt;=YEAR($F32),$K32="k"),ROUND(VLOOKUP(BR$4,Preisindex,2,FALSE)/VLOOKUP(Preisindex!$A$6,Preisindex,2,FALSE),2),0)))))</f>
        <v>0</v>
      </c>
      <c r="BT32" s="51">
        <f>IF(AND($E32&lt;&gt;0,$F32&gt;0,YEAR($F32)&lt;=BR$4,YEAR($F32)&gt;=Preisindex!$A$6),ROUND($E32*BR32,2),IF(AND($E32&lt;&gt;0,$F32&gt;0,YEAR($F32)&lt;=BR$4,YEAR($F32)&lt;Preisindex!$A$6),ROUND($E32*BS32,2),0))</f>
        <v>234000</v>
      </c>
      <c r="BU32" s="53">
        <f t="shared" si="171"/>
        <v>4680</v>
      </c>
      <c r="BV32" s="51">
        <f t="shared" si="315"/>
        <v>0</v>
      </c>
      <c r="BW32" s="51">
        <f t="shared" si="327"/>
        <v>0</v>
      </c>
      <c r="BX32" s="51">
        <f t="shared" si="174"/>
        <v>0</v>
      </c>
      <c r="BY32" s="51">
        <f t="shared" si="328"/>
        <v>0</v>
      </c>
      <c r="BZ32" s="51">
        <f t="shared" si="176"/>
        <v>180000</v>
      </c>
      <c r="CA32" s="51">
        <f t="shared" si="329"/>
        <v>180000</v>
      </c>
      <c r="CB32" s="51">
        <f t="shared" si="178"/>
        <v>3600</v>
      </c>
      <c r="CC32" s="51">
        <f t="shared" si="330"/>
        <v>3600</v>
      </c>
      <c r="CD32" s="51">
        <f t="shared" si="180"/>
        <v>117000</v>
      </c>
      <c r="CE32" s="51">
        <f t="shared" si="331"/>
        <v>117000</v>
      </c>
      <c r="CF32" s="51">
        <f t="shared" si="182"/>
        <v>63000</v>
      </c>
      <c r="CG32" s="54">
        <f t="shared" si="183"/>
        <v>0</v>
      </c>
      <c r="CH32" s="55">
        <f t="shared" si="184"/>
        <v>0</v>
      </c>
      <c r="CI32" s="56">
        <f>IF(AND($E32&lt;&gt;0,$F32&gt;0,YEAR($F32)&gt;=Preisindex!$A$6,YEAR(CD$4)&gt;=YEAR($F32),AND($K32&lt;&gt;"a",$K32&lt;&gt;"b",$K32&lt;&gt;"g",$K32&lt;&gt;"k")),1,IF(AND($E32&lt;&gt;0,$F32&gt;0,YEAR($F32)&gt;=Preisindex!$A$6,YEAR(CD$4)&gt;=YEAR($F32),$K32="a"),ROUND(VLOOKUP(CI$4,Preisindex,5,FALSE)/VLOOKUP(YEAR($F32),Preisindex,5,FALSE),2),IF(AND($E32&lt;&gt;0,$F32&gt;0,YEAR($F32)&gt;=Preisindex!$A$6,YEAR(CD$4)&gt;=YEAR($F32),$K32="b"),ROUND(VLOOKUP(CI$4,Preisindex,3,FALSE)/VLOOKUP(YEAR($F32),Preisindex,3,FALSE),2),IF(AND($E32&lt;&gt;0,$F32&gt;0,YEAR($F32)&gt;=Preisindex!$A$6,YEAR(CD$4)&gt;=YEAR($F32),$K32="g"),ROUND(VLOOKUP(CI$4,Preisindex,4,FALSE)/VLOOKUP(YEAR($F32),Preisindex,4,FALSE),2),IF(AND($E32&lt;&gt;0,$F32&gt;0,YEAR($F32)&gt;=Preisindex!$A$6,YEAR(CD$4)&gt;=YEAR($F32),$K32="k"),ROUND(VLOOKUP(CI$4,Preisindex,2,FALSE)/VLOOKUP(YEAR($F32),Preisindex,2,FALSE),2),0)))))</f>
        <v>1.31</v>
      </c>
      <c r="CJ32" s="56">
        <f>IF(AND($E32&lt;&gt;0,$F32&gt;0,YEAR($F32)&lt;Preisindex!$A$6,YEAR(CD$4)&gt;=YEAR($F32),AND($K32&lt;&gt;"a",$K32&lt;&gt;"b",$K32&lt;&gt;"g",$K32&lt;&gt;"k")),1,IF(AND($E32&lt;&gt;0,$F32&gt;0,YEAR($F32)&lt;Preisindex!$A$6,YEAR(CD$4)&gt;=YEAR($F32),$K32="a"),ROUND(VLOOKUP(CI$4,Preisindex,5,FALSE)/VLOOKUP(Preisindex!$A$6,Preisindex,5,FALSE),2),IF(AND($E32&lt;&gt;0,$F32&gt;0,YEAR($F32)&lt;Preisindex!$A$6,YEAR(CD$4)&gt;=YEAR($F32),$K32="b"),ROUND(VLOOKUP(CI$4,Preisindex,3,FALSE)/VLOOKUP(Preisindex!$A$6,Preisindex,3,FALSE),2),IF(AND($E32&lt;&gt;0,$F32&gt;0,YEAR($F32)&lt;Preisindex!$A$6,YEAR(CD$4)&gt;=YEAR($F32),$K32="g"),ROUND(VLOOKUP(CI$4,Preisindex,4,FALSE)/VLOOKUP(Preisindex!$A$6,Preisindex,4,FALSE),2),IF(AND($E32&lt;&gt;0,$F32&gt;0,YEAR($F32)&lt;Preisindex!$A$6,YEAR(CD$4)&gt;=YEAR($F32),$K32="k"),ROUND(VLOOKUP(CI$4,Preisindex,2,FALSE)/VLOOKUP(Preisindex!$A$6,Preisindex,2,FALSE),2),0)))))</f>
        <v>0</v>
      </c>
      <c r="CK32" s="51">
        <f>IF(AND($E32&lt;&gt;0,$F32&gt;0,YEAR($F32)&lt;=CI$4,YEAR($F32)&gt;=Preisindex!$A$6),ROUND($E32*CI32,2),IF(AND($E32&lt;&gt;0,$F32&gt;0,YEAR($F32)&lt;=CI$4,YEAR($F32)&lt;Preisindex!$A$6),ROUND($E32*CJ32,2),0))</f>
        <v>235800</v>
      </c>
      <c r="CL32" s="53">
        <f t="shared" si="185"/>
        <v>4716</v>
      </c>
      <c r="CM32" s="51">
        <f t="shared" si="315"/>
        <v>0</v>
      </c>
      <c r="CN32" s="51">
        <f t="shared" si="332"/>
        <v>0</v>
      </c>
      <c r="CO32" s="51">
        <f t="shared" si="188"/>
        <v>0</v>
      </c>
      <c r="CP32" s="51">
        <f t="shared" si="333"/>
        <v>0</v>
      </c>
      <c r="CQ32" s="51">
        <f t="shared" si="190"/>
        <v>180000</v>
      </c>
      <c r="CR32" s="51">
        <f t="shared" si="334"/>
        <v>180000</v>
      </c>
      <c r="CS32" s="51">
        <f t="shared" si="192"/>
        <v>3600</v>
      </c>
      <c r="CT32" s="51">
        <f t="shared" si="335"/>
        <v>3600</v>
      </c>
      <c r="CU32" s="51">
        <f t="shared" si="194"/>
        <v>113400</v>
      </c>
      <c r="CV32" s="51">
        <f t="shared" si="336"/>
        <v>113400</v>
      </c>
      <c r="CW32" s="51">
        <f t="shared" si="196"/>
        <v>66600</v>
      </c>
      <c r="CX32" s="54">
        <f t="shared" si="197"/>
        <v>0</v>
      </c>
      <c r="CY32" s="55">
        <f t="shared" si="198"/>
        <v>0</v>
      </c>
      <c r="CZ32" s="56">
        <f>IF(AND($E32&lt;&gt;0,$F32&gt;0,YEAR($F32)&gt;=Preisindex!$A$6,YEAR(CU$4)&gt;=YEAR($F32),AND($K32&lt;&gt;"a",$K32&lt;&gt;"b",$K32&lt;&gt;"g",$K32&lt;&gt;"k")),1,IF(AND($E32&lt;&gt;0,$F32&gt;0,YEAR($F32)&gt;=Preisindex!$A$6,YEAR(CU$4)&gt;=YEAR($F32),$K32="a"),ROUND(VLOOKUP(CZ$4,Preisindex,5,FALSE)/VLOOKUP(YEAR($F32),Preisindex,5,FALSE),2),IF(AND($E32&lt;&gt;0,$F32&gt;0,YEAR($F32)&gt;=Preisindex!$A$6,YEAR(CU$4)&gt;=YEAR($F32),$K32="b"),ROUND(VLOOKUP(CZ$4,Preisindex,3,FALSE)/VLOOKUP(YEAR($F32),Preisindex,3,FALSE),2),IF(AND($E32&lt;&gt;0,$F32&gt;0,YEAR($F32)&gt;=Preisindex!$A$6,YEAR(CU$4)&gt;=YEAR($F32),$K32="g"),ROUND(VLOOKUP(CZ$4,Preisindex,4,FALSE)/VLOOKUP(YEAR($F32),Preisindex,4,FALSE),2),IF(AND($E32&lt;&gt;0,$F32&gt;0,YEAR($F32)&gt;=Preisindex!$A$6,YEAR(CU$4)&gt;=YEAR($F32),$K32="k"),ROUND(VLOOKUP(CZ$4,Preisindex,2,FALSE)/VLOOKUP(YEAR($F32),Preisindex,2,FALSE),2),0)))))</f>
        <v>1.34</v>
      </c>
      <c r="DA32" s="56">
        <f>IF(AND($E32&lt;&gt;0,$F32&gt;0,YEAR($F32)&lt;Preisindex!$A$6,YEAR(CU$4)&gt;=YEAR($F32),AND($K32&lt;&gt;"a",$K32&lt;&gt;"b",$K32&lt;&gt;"g",$K32&lt;&gt;"k")),1,IF(AND($E32&lt;&gt;0,$F32&gt;0,YEAR($F32)&lt;Preisindex!$A$6,YEAR(CU$4)&gt;=YEAR($F32),$K32="a"),ROUND(VLOOKUP(CZ$4,Preisindex,5,FALSE)/VLOOKUP(Preisindex!$A$6,Preisindex,5,FALSE),2),IF(AND($E32&lt;&gt;0,$F32&gt;0,YEAR($F32)&lt;Preisindex!$A$6,YEAR(CU$4)&gt;=YEAR($F32),$K32="b"),ROUND(VLOOKUP(CZ$4,Preisindex,3,FALSE)/VLOOKUP(Preisindex!$A$6,Preisindex,3,FALSE),2),IF(AND($E32&lt;&gt;0,$F32&gt;0,YEAR($F32)&lt;Preisindex!$A$6,YEAR(CU$4)&gt;=YEAR($F32),$K32="g"),ROUND(VLOOKUP(CZ$4,Preisindex,4,FALSE)/VLOOKUP(Preisindex!$A$6,Preisindex,4,FALSE),2),IF(AND($E32&lt;&gt;0,$F32&gt;0,YEAR($F32)&lt;Preisindex!$A$6,YEAR(CU$4)&gt;=YEAR($F32),$K32="k"),ROUND(VLOOKUP(CZ$4,Preisindex,2,FALSE)/VLOOKUP(Preisindex!$A$6,Preisindex,2,FALSE),2),0)))))</f>
        <v>0</v>
      </c>
      <c r="DB32" s="51">
        <f>IF(AND($E32&lt;&gt;0,$F32&gt;0,YEAR($F32)&lt;=CZ$4,YEAR($F32)&gt;=Preisindex!$A$6),ROUND($E32*CZ32,2),IF(AND($E32&lt;&gt;0,$F32&gt;0,YEAR($F32)&lt;=CZ$4,YEAR($F32)&lt;Preisindex!$A$6),ROUND($E32*DA32,2),0))</f>
        <v>241200</v>
      </c>
      <c r="DC32" s="53">
        <f t="shared" si="199"/>
        <v>4824</v>
      </c>
      <c r="DD32" s="51">
        <f t="shared" si="316"/>
        <v>0</v>
      </c>
      <c r="DE32" s="51">
        <f t="shared" si="337"/>
        <v>0</v>
      </c>
      <c r="DF32" s="51">
        <f t="shared" si="202"/>
        <v>0</v>
      </c>
      <c r="DG32" s="51">
        <f t="shared" si="338"/>
        <v>0</v>
      </c>
      <c r="DH32" s="51">
        <f t="shared" si="204"/>
        <v>180000</v>
      </c>
      <c r="DI32" s="51">
        <f t="shared" si="339"/>
        <v>180000</v>
      </c>
      <c r="DJ32" s="51">
        <f t="shared" si="206"/>
        <v>3600</v>
      </c>
      <c r="DK32" s="51">
        <f t="shared" si="340"/>
        <v>3600</v>
      </c>
      <c r="DL32" s="51">
        <f t="shared" si="208"/>
        <v>109800</v>
      </c>
      <c r="DM32" s="51">
        <f t="shared" si="341"/>
        <v>109800</v>
      </c>
      <c r="DN32" s="51">
        <f t="shared" si="210"/>
        <v>70200</v>
      </c>
      <c r="DO32" s="54">
        <f t="shared" si="211"/>
        <v>0</v>
      </c>
      <c r="DP32" s="55">
        <f t="shared" si="212"/>
        <v>0</v>
      </c>
      <c r="DQ32" s="56">
        <f>IF(AND($E32&lt;&gt;0,$F32&gt;0,YEAR($F32)&gt;=Preisindex!$A$6,YEAR(DL$4)&gt;=YEAR($F32),AND($K32&lt;&gt;"a",$K32&lt;&gt;"b",$K32&lt;&gt;"g",$K32&lt;&gt;"k")),1,IF(AND($E32&lt;&gt;0,$F32&gt;0,YEAR($F32)&gt;=Preisindex!$A$6,YEAR(DL$4)&gt;=YEAR($F32),$K32="a"),ROUND(VLOOKUP(DQ$4,Preisindex,5,FALSE)/VLOOKUP(YEAR($F32),Preisindex,5,FALSE),2),IF(AND($E32&lt;&gt;0,$F32&gt;0,YEAR($F32)&gt;=Preisindex!$A$6,YEAR(DL$4)&gt;=YEAR($F32),$K32="b"),ROUND(VLOOKUP(DQ$4,Preisindex,3,FALSE)/VLOOKUP(YEAR($F32),Preisindex,3,FALSE),2),IF(AND($E32&lt;&gt;0,$F32&gt;0,YEAR($F32)&gt;=Preisindex!$A$6,YEAR(DL$4)&gt;=YEAR($F32),$K32="g"),ROUND(VLOOKUP(DQ$4,Preisindex,4,FALSE)/VLOOKUP(YEAR($F32),Preisindex,4,FALSE),2),IF(AND($E32&lt;&gt;0,$F32&gt;0,YEAR($F32)&gt;=Preisindex!$A$6,YEAR(DL$4)&gt;=YEAR($F32),$K32="k"),ROUND(VLOOKUP(DQ$4,Preisindex,2,FALSE)/VLOOKUP(YEAR($F32),Preisindex,2,FALSE),2),0)))))</f>
        <v>1.38</v>
      </c>
      <c r="DR32" s="56">
        <f>IF(AND($E32&lt;&gt;0,$F32&gt;0,YEAR($F32)&lt;Preisindex!$A$6,YEAR(DL$4)&gt;=YEAR($F32),AND($K32&lt;&gt;"a",$K32&lt;&gt;"b",$K32&lt;&gt;"g",$K32&lt;&gt;"k")),1,IF(AND($E32&lt;&gt;0,$F32&gt;0,YEAR($F32)&lt;Preisindex!$A$6,YEAR(DL$4)&gt;=YEAR($F32),$K32="a"),ROUND(VLOOKUP(DQ$4,Preisindex,5,FALSE)/VLOOKUP(Preisindex!$A$6,Preisindex,5,FALSE),2),IF(AND($E32&lt;&gt;0,$F32&gt;0,YEAR($F32)&lt;Preisindex!$A$6,YEAR(DL$4)&gt;=YEAR($F32),$K32="b"),ROUND(VLOOKUP(DQ$4,Preisindex,3,FALSE)/VLOOKUP(Preisindex!$A$6,Preisindex,3,FALSE),2),IF(AND($E32&lt;&gt;0,$F32&gt;0,YEAR($F32)&lt;Preisindex!$A$6,YEAR(DL$4)&gt;=YEAR($F32),$K32="g"),ROUND(VLOOKUP(DQ$4,Preisindex,4,FALSE)/VLOOKUP(Preisindex!$A$6,Preisindex,4,FALSE),2),IF(AND($E32&lt;&gt;0,$F32&gt;0,YEAR($F32)&lt;Preisindex!$A$6,YEAR(DL$4)&gt;=YEAR($F32),$K32="k"),ROUND(VLOOKUP(DQ$4,Preisindex,2,FALSE)/VLOOKUP(Preisindex!$A$6,Preisindex,2,FALSE),2),0)))))</f>
        <v>0</v>
      </c>
      <c r="DS32" s="51">
        <f>IF(AND($E32&lt;&gt;0,$F32&gt;0,YEAR($F32)&lt;=DQ$4,YEAR($F32)&gt;=Preisindex!$A$6),ROUND($E32*DQ32,2),IF(AND($E32&lt;&gt;0,$F32&gt;0,YEAR($F32)&lt;=DQ$4,YEAR($F32)&lt;Preisindex!$A$6),ROUND($E32*DR32,2),0))</f>
        <v>248400</v>
      </c>
      <c r="DT32" s="53">
        <f t="shared" si="213"/>
        <v>4968</v>
      </c>
      <c r="DU32" s="51">
        <f t="shared" si="316"/>
        <v>0</v>
      </c>
      <c r="DV32" s="51">
        <f t="shared" si="342"/>
        <v>0</v>
      </c>
      <c r="DW32" s="51">
        <f t="shared" si="216"/>
        <v>0</v>
      </c>
      <c r="DX32" s="51">
        <f t="shared" si="343"/>
        <v>0</v>
      </c>
      <c r="DY32" s="51">
        <f t="shared" si="218"/>
        <v>180000</v>
      </c>
      <c r="DZ32" s="51">
        <f t="shared" si="344"/>
        <v>180000</v>
      </c>
      <c r="EA32" s="51">
        <f t="shared" si="220"/>
        <v>3600</v>
      </c>
      <c r="EB32" s="51">
        <f t="shared" si="345"/>
        <v>3600</v>
      </c>
      <c r="EC32" s="51">
        <f t="shared" si="222"/>
        <v>106200</v>
      </c>
      <c r="ED32" s="51">
        <f t="shared" si="346"/>
        <v>106200</v>
      </c>
      <c r="EE32" s="51">
        <f t="shared" si="224"/>
        <v>73800</v>
      </c>
      <c r="EF32" s="54">
        <f t="shared" si="225"/>
        <v>0</v>
      </c>
      <c r="EG32" s="55">
        <f t="shared" si="226"/>
        <v>0</v>
      </c>
      <c r="EH32" s="56">
        <f>IF(AND($E32&lt;&gt;0,$F32&gt;0,YEAR($F32)&gt;=Preisindex!$A$6,YEAR(EC$4)&gt;=YEAR($F32),AND($K32&lt;&gt;"a",$K32&lt;&gt;"b",$K32&lt;&gt;"g",$K32&lt;&gt;"k")),1,IF(AND($E32&lt;&gt;0,$F32&gt;0,YEAR($F32)&gt;=Preisindex!$A$6,YEAR(EC$4)&gt;=YEAR($F32),$K32="a"),ROUND(VLOOKUP(EH$4,Preisindex,5,FALSE)/VLOOKUP(YEAR($F32),Preisindex,5,FALSE),2),IF(AND($E32&lt;&gt;0,$F32&gt;0,YEAR($F32)&gt;=Preisindex!$A$6,YEAR(EC$4)&gt;=YEAR($F32),$K32="b"),ROUND(VLOOKUP(EH$4,Preisindex,3,FALSE)/VLOOKUP(YEAR($F32),Preisindex,3,FALSE),2),IF(AND($E32&lt;&gt;0,$F32&gt;0,YEAR($F32)&gt;=Preisindex!$A$6,YEAR(EC$4)&gt;=YEAR($F32),$K32="g"),ROUND(VLOOKUP(EH$4,Preisindex,4,FALSE)/VLOOKUP(YEAR($F32),Preisindex,4,FALSE),2),IF(AND($E32&lt;&gt;0,$F32&gt;0,YEAR($F32)&gt;=Preisindex!$A$6,YEAR(EC$4)&gt;=YEAR($F32),$K32="k"),ROUND(VLOOKUP(EH$4,Preisindex,2,FALSE)/VLOOKUP(YEAR($F32),Preisindex,2,FALSE),2),0)))))</f>
        <v>1.45</v>
      </c>
      <c r="EI32" s="56">
        <f>IF(AND($E32&lt;&gt;0,$F32&gt;0,YEAR($F32)&lt;Preisindex!$A$6,YEAR(EC$4)&gt;=YEAR($F32),AND($K32&lt;&gt;"a",$K32&lt;&gt;"b",$K32&lt;&gt;"g",$K32&lt;&gt;"k")),1,IF(AND($E32&lt;&gt;0,$F32&gt;0,YEAR($F32)&lt;Preisindex!$A$6,YEAR(EC$4)&gt;=YEAR($F32),$K32="a"),ROUND(VLOOKUP(EH$4,Preisindex,5,FALSE)/VLOOKUP(Preisindex!$A$6,Preisindex,5,FALSE),2),IF(AND($E32&lt;&gt;0,$F32&gt;0,YEAR($F32)&lt;Preisindex!$A$6,YEAR(EC$4)&gt;=YEAR($F32),$K32="b"),ROUND(VLOOKUP(EH$4,Preisindex,3,FALSE)/VLOOKUP(Preisindex!$A$6,Preisindex,3,FALSE),2),IF(AND($E32&lt;&gt;0,$F32&gt;0,YEAR($F32)&lt;Preisindex!$A$6,YEAR(EC$4)&gt;=YEAR($F32),$K32="g"),ROUND(VLOOKUP(EH$4,Preisindex,4,FALSE)/VLOOKUP(Preisindex!$A$6,Preisindex,4,FALSE),2),IF(AND($E32&lt;&gt;0,$F32&gt;0,YEAR($F32)&lt;Preisindex!$A$6,YEAR(EC$4)&gt;=YEAR($F32),$K32="k"),ROUND(VLOOKUP(EH$4,Preisindex,2,FALSE)/VLOOKUP(Preisindex!$A$6,Preisindex,2,FALSE),2),0)))))</f>
        <v>0</v>
      </c>
      <c r="EJ32" s="51">
        <f>IF(AND($E32&lt;&gt;0,$F32&gt;0,YEAR($F32)&lt;=EH$4,YEAR($F32)&gt;=Preisindex!$A$6),ROUND($E32*EH32,2),IF(AND($E32&lt;&gt;0,$F32&gt;0,YEAR($F32)&lt;=EH$4,YEAR($F32)&lt;Preisindex!$A$6),ROUND($E32*EI32,2),0))</f>
        <v>261000</v>
      </c>
      <c r="EK32" s="53">
        <f t="shared" si="227"/>
        <v>5220</v>
      </c>
      <c r="EL32" s="51">
        <f t="shared" si="316"/>
        <v>0</v>
      </c>
      <c r="EM32" s="51">
        <f t="shared" si="347"/>
        <v>0</v>
      </c>
      <c r="EN32" s="51">
        <f t="shared" si="230"/>
        <v>0</v>
      </c>
      <c r="EO32" s="51">
        <f t="shared" si="348"/>
        <v>0</v>
      </c>
      <c r="EP32" s="51">
        <f t="shared" si="232"/>
        <v>180000</v>
      </c>
      <c r="EQ32" s="51">
        <f t="shared" si="349"/>
        <v>180000</v>
      </c>
      <c r="ER32" s="51">
        <f t="shared" si="234"/>
        <v>3600</v>
      </c>
      <c r="ES32" s="51">
        <f t="shared" si="350"/>
        <v>3600</v>
      </c>
      <c r="ET32" s="51">
        <f t="shared" si="236"/>
        <v>102600</v>
      </c>
      <c r="EU32" s="51">
        <f t="shared" si="351"/>
        <v>102600</v>
      </c>
      <c r="EV32" s="51">
        <f t="shared" si="238"/>
        <v>77400</v>
      </c>
      <c r="EW32" s="54">
        <f t="shared" si="239"/>
        <v>0</v>
      </c>
      <c r="EX32" s="55">
        <f t="shared" si="240"/>
        <v>0</v>
      </c>
      <c r="EY32" s="56">
        <f>IF(AND($E32&lt;&gt;0,$F32&gt;0,YEAR($F32)&gt;=Preisindex!$A$6,YEAR(ET$4)&gt;=YEAR($F32),AND($K32&lt;&gt;"a",$K32&lt;&gt;"b",$K32&lt;&gt;"g",$K32&lt;&gt;"k")),1,IF(AND($E32&lt;&gt;0,$F32&gt;0,YEAR($F32)&gt;=Preisindex!$A$6,YEAR(ET$4)&gt;=YEAR($F32),$K32="a"),ROUND(VLOOKUP(EY$4,Preisindex,5,FALSE)/VLOOKUP(YEAR($F32),Preisindex,5,FALSE),2),IF(AND($E32&lt;&gt;0,$F32&gt;0,YEAR($F32)&gt;=Preisindex!$A$6,YEAR(ET$4)&gt;=YEAR($F32),$K32="b"),ROUND(VLOOKUP(EY$4,Preisindex,3,FALSE)/VLOOKUP(YEAR($F32),Preisindex,3,FALSE),2),IF(AND($E32&lt;&gt;0,$F32&gt;0,YEAR($F32)&gt;=Preisindex!$A$6,YEAR(ET$4)&gt;=YEAR($F32),$K32="g"),ROUND(VLOOKUP(EY$4,Preisindex,4,FALSE)/VLOOKUP(YEAR($F32),Preisindex,4,FALSE),2),IF(AND($E32&lt;&gt;0,$F32&gt;0,YEAR($F32)&gt;=Preisindex!$A$6,YEAR(ET$4)&gt;=YEAR($F32),$K32="k"),ROUND(VLOOKUP(EY$4,Preisindex,2,FALSE)/VLOOKUP(YEAR($F32),Preisindex,2,FALSE),2),0)))))</f>
        <v>1.45</v>
      </c>
      <c r="EZ32" s="56">
        <f>IF(AND($E32&lt;&gt;0,$F32&gt;0,YEAR($F32)&lt;Preisindex!$A$6,YEAR(ET$4)&gt;=YEAR($F32),AND($K32&lt;&gt;"a",$K32&lt;&gt;"b",$K32&lt;&gt;"g",$K32&lt;&gt;"k")),1,IF(AND($E32&lt;&gt;0,$F32&gt;0,YEAR($F32)&lt;Preisindex!$A$6,YEAR(ET$4)&gt;=YEAR($F32),$K32="a"),ROUND(VLOOKUP(EY$4,Preisindex,5,FALSE)/VLOOKUP(Preisindex!$A$6,Preisindex,5,FALSE),2),IF(AND($E32&lt;&gt;0,$F32&gt;0,YEAR($F32)&lt;Preisindex!$A$6,YEAR(ET$4)&gt;=YEAR($F32),$K32="b"),ROUND(VLOOKUP(EY$4,Preisindex,3,FALSE)/VLOOKUP(Preisindex!$A$6,Preisindex,3,FALSE),2),IF(AND($E32&lt;&gt;0,$F32&gt;0,YEAR($F32)&lt;Preisindex!$A$6,YEAR(ET$4)&gt;=YEAR($F32),$K32="g"),ROUND(VLOOKUP(EY$4,Preisindex,4,FALSE)/VLOOKUP(Preisindex!$A$6,Preisindex,4,FALSE),2),IF(AND($E32&lt;&gt;0,$F32&gt;0,YEAR($F32)&lt;Preisindex!$A$6,YEAR(ET$4)&gt;=YEAR($F32),$K32="k"),ROUND(VLOOKUP(EY$4,Preisindex,2,FALSE)/VLOOKUP(Preisindex!$A$6,Preisindex,2,FALSE),2),0)))))</f>
        <v>0</v>
      </c>
      <c r="FA32" s="51">
        <f>IF(AND($E32&lt;&gt;0,$F32&gt;0,YEAR($F32)&lt;=EY$4,YEAR($F32)&gt;=Preisindex!$A$6),ROUND($E32*EY32,2),IF(AND($E32&lt;&gt;0,$F32&gt;0,YEAR($F32)&lt;=EY$4,YEAR($F32)&lt;Preisindex!$A$6),ROUND($E32*EZ32,2),0))</f>
        <v>261000</v>
      </c>
      <c r="FB32" s="53">
        <f t="shared" si="241"/>
        <v>5220</v>
      </c>
      <c r="FC32" s="51">
        <f t="shared" si="316"/>
        <v>0</v>
      </c>
      <c r="FD32" s="51">
        <f t="shared" si="352"/>
        <v>0</v>
      </c>
      <c r="FE32" s="51">
        <f t="shared" si="244"/>
        <v>0</v>
      </c>
      <c r="FF32" s="51">
        <f t="shared" si="353"/>
        <v>0</v>
      </c>
      <c r="FG32" s="51">
        <f t="shared" si="246"/>
        <v>180000</v>
      </c>
      <c r="FH32" s="51">
        <f t="shared" si="354"/>
        <v>180000</v>
      </c>
      <c r="FI32" s="51">
        <f t="shared" si="248"/>
        <v>3600</v>
      </c>
      <c r="FJ32" s="51">
        <f t="shared" si="355"/>
        <v>3600</v>
      </c>
      <c r="FK32" s="51">
        <f t="shared" si="250"/>
        <v>99000</v>
      </c>
      <c r="FL32" s="51">
        <f t="shared" si="356"/>
        <v>99000</v>
      </c>
      <c r="FM32" s="51">
        <f t="shared" si="252"/>
        <v>81000</v>
      </c>
      <c r="FN32" s="54">
        <f t="shared" si="253"/>
        <v>0</v>
      </c>
      <c r="FO32" s="55">
        <f t="shared" si="254"/>
        <v>0</v>
      </c>
      <c r="FP32" s="56">
        <f>IF(AND($E32&lt;&gt;0,$F32&gt;0,YEAR($F32)&gt;=Preisindex!$A$6,YEAR(FK$4)&gt;=YEAR($F32),AND($K32&lt;&gt;"a",$K32&lt;&gt;"b",$K32&lt;&gt;"g",$K32&lt;&gt;"k")),1,IF(AND($E32&lt;&gt;0,$F32&gt;0,YEAR($F32)&gt;=Preisindex!$A$6,YEAR(FK$4)&gt;=YEAR($F32),$K32="a"),ROUND(VLOOKUP(FP$4,Preisindex,5,FALSE)/VLOOKUP(YEAR($F32),Preisindex,5,FALSE),2),IF(AND($E32&lt;&gt;0,$F32&gt;0,YEAR($F32)&gt;=Preisindex!$A$6,YEAR(FK$4)&gt;=YEAR($F32),$K32="b"),ROUND(VLOOKUP(FP$4,Preisindex,3,FALSE)/VLOOKUP(YEAR($F32),Preisindex,3,FALSE),2),IF(AND($E32&lt;&gt;0,$F32&gt;0,YEAR($F32)&gt;=Preisindex!$A$6,YEAR(FK$4)&gt;=YEAR($F32),$K32="g"),ROUND(VLOOKUP(FP$4,Preisindex,4,FALSE)/VLOOKUP(YEAR($F32),Preisindex,4,FALSE),2),IF(AND($E32&lt;&gt;0,$F32&gt;0,YEAR($F32)&gt;=Preisindex!$A$6,YEAR(FK$4)&gt;=YEAR($F32),$K32="k"),ROUND(VLOOKUP(FP$4,Preisindex,2,FALSE)/VLOOKUP(YEAR($F32),Preisindex,2,FALSE),2),0)))))</f>
        <v>1.45</v>
      </c>
      <c r="FQ32" s="56">
        <f>IF(AND($E32&lt;&gt;0,$F32&gt;0,YEAR($F32)&lt;Preisindex!$A$6,YEAR(FK$4)&gt;=YEAR($F32),AND($K32&lt;&gt;"a",$K32&lt;&gt;"b",$K32&lt;&gt;"g",$K32&lt;&gt;"k")),1,IF(AND($E32&lt;&gt;0,$F32&gt;0,YEAR($F32)&lt;Preisindex!$A$6,YEAR(FK$4)&gt;=YEAR($F32),$K32="a"),ROUND(VLOOKUP(FP$4,Preisindex,5,FALSE)/VLOOKUP(Preisindex!$A$6,Preisindex,5,FALSE),2),IF(AND($E32&lt;&gt;0,$F32&gt;0,YEAR($F32)&lt;Preisindex!$A$6,YEAR(FK$4)&gt;=YEAR($F32),$K32="b"),ROUND(VLOOKUP(FP$4,Preisindex,3,FALSE)/VLOOKUP(Preisindex!$A$6,Preisindex,3,FALSE),2),IF(AND($E32&lt;&gt;0,$F32&gt;0,YEAR($F32)&lt;Preisindex!$A$6,YEAR(FK$4)&gt;=YEAR($F32),$K32="g"),ROUND(VLOOKUP(FP$4,Preisindex,4,FALSE)/VLOOKUP(Preisindex!$A$6,Preisindex,4,FALSE),2),IF(AND($E32&lt;&gt;0,$F32&gt;0,YEAR($F32)&lt;Preisindex!$A$6,YEAR(FK$4)&gt;=YEAR($F32),$K32="k"),ROUND(VLOOKUP(FP$4,Preisindex,2,FALSE)/VLOOKUP(Preisindex!$A$6,Preisindex,2,FALSE),2),0)))))</f>
        <v>0</v>
      </c>
      <c r="FR32" s="51">
        <f>IF(AND($E32&lt;&gt;0,$F32&gt;0,YEAR($F32)&lt;=FP$4,YEAR($F32)&gt;=Preisindex!$A$6),ROUND($E32*FP32,2),IF(AND($E32&lt;&gt;0,$F32&gt;0,YEAR($F32)&lt;=FP$4,YEAR($F32)&lt;Preisindex!$A$6),ROUND($E32*FQ32,2),0))</f>
        <v>261000</v>
      </c>
      <c r="FS32" s="53">
        <f t="shared" si="255"/>
        <v>5220</v>
      </c>
    </row>
    <row r="33" spans="1:175" x14ac:dyDescent="0.3">
      <c r="A33" s="195">
        <v>2000</v>
      </c>
      <c r="B33" s="196" t="s">
        <v>221</v>
      </c>
      <c r="C33" s="196"/>
      <c r="D33" s="188" t="s">
        <v>21</v>
      </c>
      <c r="E33" s="99">
        <v>80000</v>
      </c>
      <c r="F33" s="97">
        <v>36708</v>
      </c>
      <c r="G33" s="100">
        <v>50</v>
      </c>
      <c r="H33" s="622"/>
      <c r="I33" s="621"/>
      <c r="J33" s="194"/>
      <c r="K33" s="630" t="s">
        <v>266</v>
      </c>
      <c r="L33" s="49">
        <f t="shared" si="296"/>
        <v>0.02</v>
      </c>
      <c r="M33" s="50">
        <f t="shared" si="297"/>
        <v>1600</v>
      </c>
      <c r="N33" s="51">
        <f t="shared" si="298"/>
        <v>61600</v>
      </c>
      <c r="O33" s="51"/>
      <c r="P33" s="51">
        <f t="shared" si="299"/>
        <v>18400</v>
      </c>
      <c r="Q33" s="52"/>
      <c r="R33" s="52"/>
      <c r="S33" s="52"/>
      <c r="T33" s="52"/>
      <c r="U33" s="52"/>
      <c r="V33" s="53">
        <f t="shared" si="300"/>
        <v>80000</v>
      </c>
      <c r="W33" s="51">
        <f t="shared" si="301"/>
        <v>0</v>
      </c>
      <c r="X33" s="51">
        <f t="shared" si="302"/>
        <v>0</v>
      </c>
      <c r="Y33" s="51">
        <f t="shared" si="303"/>
        <v>0</v>
      </c>
      <c r="Z33" s="51">
        <f t="shared" si="304"/>
        <v>0</v>
      </c>
      <c r="AA33" s="51">
        <f t="shared" si="305"/>
        <v>80000</v>
      </c>
      <c r="AB33" s="51">
        <f t="shared" si="306"/>
        <v>80000</v>
      </c>
      <c r="AC33" s="51">
        <f t="shared" si="307"/>
        <v>1600</v>
      </c>
      <c r="AD33" s="51">
        <f t="shared" si="308"/>
        <v>1600</v>
      </c>
      <c r="AE33" s="51">
        <f t="shared" si="309"/>
        <v>60000</v>
      </c>
      <c r="AF33" s="51">
        <f t="shared" si="310"/>
        <v>60000</v>
      </c>
      <c r="AG33" s="51">
        <f t="shared" si="311"/>
        <v>20000</v>
      </c>
      <c r="AH33" s="54">
        <f t="shared" si="312"/>
        <v>0</v>
      </c>
      <c r="AI33" s="55">
        <f t="shared" si="313"/>
        <v>0</v>
      </c>
      <c r="AJ33" s="56">
        <f>IF(AND($E33&lt;&gt;0,$F33&gt;0,YEAR($F33)&gt;=Preisindex!$A$6,YEAR(AE$4)&gt;=YEAR($F33),AND($K33&lt;&gt;"a",$K33&lt;&gt;"b",$K33&lt;&gt;"g",$K33&lt;&gt;"k")),1,IF(AND($E33&lt;&gt;0,$F33&gt;0,YEAR($F33)&gt;=Preisindex!$A$6,YEAR(AE$4)&gt;=YEAR($F33),$K33="a"),ROUND(VLOOKUP(AJ$4,Preisindex,5,FALSE)/VLOOKUP(YEAR($F33),Preisindex,5,FALSE),2),IF(AND($E33&lt;&gt;0,$F33&gt;0,YEAR($F33)&gt;=Preisindex!$A$6,YEAR(AE$4)&gt;=YEAR($F33),$K33="b"),ROUND(VLOOKUP(AJ$4,Preisindex,3,FALSE)/VLOOKUP(YEAR($F33),Preisindex,3,FALSE),2),IF(AND($E33&lt;&gt;0,$F33&gt;0,YEAR($F33)&gt;=Preisindex!$A$6,YEAR(AE$4)&gt;=YEAR($F33),$K33="g"),ROUND(VLOOKUP(AJ$4,Preisindex,4,FALSE)/VLOOKUP(YEAR($F33),Preisindex,4,FALSE),2),IF(AND($E33&lt;&gt;0,$F33&gt;0,YEAR($F33)&gt;=Preisindex!$A$6,YEAR(AE$4)&gt;=YEAR($F33),$K33="k"),ROUND(VLOOKUP(AJ$4,Preisindex,2,FALSE)/VLOOKUP(YEAR($F33),Preisindex,2,FALSE),2),0)))))</f>
        <v>1.23</v>
      </c>
      <c r="AK33" s="56">
        <f>IF(AND($E33&lt;&gt;0,$F33&gt;0,YEAR($F33)&lt;Preisindex!$A$6,YEAR(AE$4)&gt;=YEAR($F33),AND($K33&lt;&gt;"a",$K33&lt;&gt;"b",$K33&lt;&gt;"g",$K33&lt;&gt;"k")),1,IF(AND($E33&lt;&gt;0,$F33&gt;0,YEAR($F33)&lt;Preisindex!$A$6,YEAR(AE$4)&gt;=YEAR($F33),$K33="a"),ROUND(VLOOKUP(AJ$4,Preisindex,5,FALSE)/VLOOKUP(Preisindex!$A$6,Preisindex,5,FALSE),2),IF(AND($E33&lt;&gt;0,$F33&gt;0,YEAR($F33)&lt;Preisindex!$A$6,YEAR(AE$4)&gt;=YEAR($F33),$K33="b"),ROUND(VLOOKUP(AJ$4,Preisindex,3,FALSE)/VLOOKUP(Preisindex!$A$6,Preisindex,3,FALSE),2),IF(AND($E33&lt;&gt;0,$F33&gt;0,YEAR($F33)&lt;Preisindex!$A$6,YEAR(AE$4)&gt;=YEAR($F33),$K33="g"),ROUND(VLOOKUP(AJ$4,Preisindex,4,FALSE)/VLOOKUP(Preisindex!$A$6,Preisindex,4,FALSE),2),IF(AND($E33&lt;&gt;0,$F33&gt;0,YEAR($F33)&lt;Preisindex!$A$6,YEAR(AE$4)&gt;=YEAR($F33),$K33="k"),ROUND(VLOOKUP(AJ$4,Preisindex,2,FALSE)/VLOOKUP(Preisindex!$A$6,Preisindex,2,FALSE),2),0)))))</f>
        <v>0</v>
      </c>
      <c r="AL33" s="51">
        <f>IF(AND($E33&lt;&gt;0,$F33&gt;0,YEAR($F33)&lt;=AJ$4,YEAR($F33)&gt;=Preisindex!$A$6),ROUND($E33*AJ33,2),IF(AND($E33&lt;&gt;0,$F33&gt;0,YEAR($F33)&lt;=AJ$4,YEAR($F33)&lt;Preisindex!$A$6),ROUND($E33*AK33,2),0))</f>
        <v>98400</v>
      </c>
      <c r="AM33" s="53">
        <f t="shared" si="314"/>
        <v>1968</v>
      </c>
      <c r="AN33" s="51">
        <f t="shared" si="315"/>
        <v>0</v>
      </c>
      <c r="AO33" s="51">
        <f t="shared" si="317"/>
        <v>0</v>
      </c>
      <c r="AP33" s="51">
        <f t="shared" si="146"/>
        <v>0</v>
      </c>
      <c r="AQ33" s="51">
        <f t="shared" si="318"/>
        <v>0</v>
      </c>
      <c r="AR33" s="51">
        <f t="shared" si="148"/>
        <v>80000</v>
      </c>
      <c r="AS33" s="51">
        <f t="shared" si="319"/>
        <v>80000</v>
      </c>
      <c r="AT33" s="51">
        <f t="shared" si="150"/>
        <v>1600</v>
      </c>
      <c r="AU33" s="51">
        <f t="shared" si="320"/>
        <v>1600</v>
      </c>
      <c r="AV33" s="51">
        <f t="shared" si="152"/>
        <v>58400</v>
      </c>
      <c r="AW33" s="51">
        <f t="shared" si="321"/>
        <v>58400</v>
      </c>
      <c r="AX33" s="51">
        <f t="shared" si="154"/>
        <v>21600</v>
      </c>
      <c r="AY33" s="54">
        <f t="shared" si="155"/>
        <v>0</v>
      </c>
      <c r="AZ33" s="55">
        <f t="shared" si="156"/>
        <v>0</v>
      </c>
      <c r="BA33" s="56">
        <f>IF(AND($E33&lt;&gt;0,$F33&gt;0,YEAR($F33)&gt;=Preisindex!$A$6,YEAR(AV$4)&gt;=YEAR($F33),AND($K33&lt;&gt;"a",$K33&lt;&gt;"b",$K33&lt;&gt;"g",$K33&lt;&gt;"k")),1,IF(AND($E33&lt;&gt;0,$F33&gt;0,YEAR($F33)&gt;=Preisindex!$A$6,YEAR(AV$4)&gt;=YEAR($F33),$K33="a"),ROUND(VLOOKUP(BA$4,Preisindex,5,FALSE)/VLOOKUP(YEAR($F33),Preisindex,5,FALSE),2),IF(AND($E33&lt;&gt;0,$F33&gt;0,YEAR($F33)&gt;=Preisindex!$A$6,YEAR(AV$4)&gt;=YEAR($F33),$K33="b"),ROUND(VLOOKUP(BA$4,Preisindex,3,FALSE)/VLOOKUP(YEAR($F33),Preisindex,3,FALSE),2),IF(AND($E33&lt;&gt;0,$F33&gt;0,YEAR($F33)&gt;=Preisindex!$A$6,YEAR(AV$4)&gt;=YEAR($F33),$K33="g"),ROUND(VLOOKUP(BA$4,Preisindex,4,FALSE)/VLOOKUP(YEAR($F33),Preisindex,4,FALSE),2),IF(AND($E33&lt;&gt;0,$F33&gt;0,YEAR($F33)&gt;=Preisindex!$A$6,YEAR(AV$4)&gt;=YEAR($F33),$K33="k"),ROUND(VLOOKUP(BA$4,Preisindex,2,FALSE)/VLOOKUP(YEAR($F33),Preisindex,2,FALSE),2),0)))))</f>
        <v>1.25</v>
      </c>
      <c r="BB33" s="56">
        <f>IF(AND($E33&lt;&gt;0,$F33&gt;0,YEAR($F33)&lt;Preisindex!$A$6,YEAR(AV$4)&gt;=YEAR($F33),AND($K33&lt;&gt;"a",$K33&lt;&gt;"b",$K33&lt;&gt;"g",$K33&lt;&gt;"k")),1,IF(AND($E33&lt;&gt;0,$F33&gt;0,YEAR($F33)&lt;Preisindex!$A$6,YEAR(AV$4)&gt;=YEAR($F33),$K33="a"),ROUND(VLOOKUP(BA$4,Preisindex,5,FALSE)/VLOOKUP(Preisindex!$A$6,Preisindex,5,FALSE),2),IF(AND($E33&lt;&gt;0,$F33&gt;0,YEAR($F33)&lt;Preisindex!$A$6,YEAR(AV$4)&gt;=YEAR($F33),$K33="b"),ROUND(VLOOKUP(BA$4,Preisindex,3,FALSE)/VLOOKUP(Preisindex!$A$6,Preisindex,3,FALSE),2),IF(AND($E33&lt;&gt;0,$F33&gt;0,YEAR($F33)&lt;Preisindex!$A$6,YEAR(AV$4)&gt;=YEAR($F33),$K33="g"),ROUND(VLOOKUP(BA$4,Preisindex,4,FALSE)/VLOOKUP(Preisindex!$A$6,Preisindex,4,FALSE),2),IF(AND($E33&lt;&gt;0,$F33&gt;0,YEAR($F33)&lt;Preisindex!$A$6,YEAR(AV$4)&gt;=YEAR($F33),$K33="k"),ROUND(VLOOKUP(BA$4,Preisindex,2,FALSE)/VLOOKUP(Preisindex!$A$6,Preisindex,2,FALSE),2),0)))))</f>
        <v>0</v>
      </c>
      <c r="BC33" s="51">
        <f>IF(AND($E33&lt;&gt;0,$F33&gt;0,YEAR($F33)&lt;=BA$4,YEAR($F33)&gt;=Preisindex!$A$6),ROUND($E33*BA33,2),IF(AND($E33&lt;&gt;0,$F33&gt;0,YEAR($F33)&lt;=BA$4,YEAR($F33)&lt;Preisindex!$A$6),ROUND($E33*BB33,2),0))</f>
        <v>100000</v>
      </c>
      <c r="BD33" s="53">
        <f t="shared" si="157"/>
        <v>2000</v>
      </c>
      <c r="BE33" s="51">
        <f t="shared" si="315"/>
        <v>0</v>
      </c>
      <c r="BF33" s="51">
        <f t="shared" si="322"/>
        <v>0</v>
      </c>
      <c r="BG33" s="51">
        <f t="shared" si="160"/>
        <v>0</v>
      </c>
      <c r="BH33" s="51">
        <f t="shared" si="323"/>
        <v>0</v>
      </c>
      <c r="BI33" s="51">
        <f t="shared" si="162"/>
        <v>80000</v>
      </c>
      <c r="BJ33" s="51">
        <f t="shared" si="324"/>
        <v>80000</v>
      </c>
      <c r="BK33" s="51">
        <f t="shared" si="164"/>
        <v>1600</v>
      </c>
      <c r="BL33" s="51">
        <f t="shared" si="325"/>
        <v>1600</v>
      </c>
      <c r="BM33" s="51">
        <f t="shared" si="166"/>
        <v>56800</v>
      </c>
      <c r="BN33" s="51">
        <f t="shared" si="326"/>
        <v>56800</v>
      </c>
      <c r="BO33" s="51">
        <f t="shared" si="168"/>
        <v>23200</v>
      </c>
      <c r="BP33" s="54">
        <f t="shared" si="169"/>
        <v>0</v>
      </c>
      <c r="BQ33" s="55">
        <f t="shared" si="170"/>
        <v>0</v>
      </c>
      <c r="BR33" s="56">
        <f>IF(AND($E33&lt;&gt;0,$F33&gt;0,YEAR($F33)&gt;=Preisindex!$A$6,YEAR(BM$4)&gt;=YEAR($F33),AND($K33&lt;&gt;"a",$K33&lt;&gt;"b",$K33&lt;&gt;"g",$K33&lt;&gt;"k")),1,IF(AND($E33&lt;&gt;0,$F33&gt;0,YEAR($F33)&gt;=Preisindex!$A$6,YEAR(BM$4)&gt;=YEAR($F33),$K33="a"),ROUND(VLOOKUP(BR$4,Preisindex,5,FALSE)/VLOOKUP(YEAR($F33),Preisindex,5,FALSE),2),IF(AND($E33&lt;&gt;0,$F33&gt;0,YEAR($F33)&gt;=Preisindex!$A$6,YEAR(BM$4)&gt;=YEAR($F33),$K33="b"),ROUND(VLOOKUP(BR$4,Preisindex,3,FALSE)/VLOOKUP(YEAR($F33),Preisindex,3,FALSE),2),IF(AND($E33&lt;&gt;0,$F33&gt;0,YEAR($F33)&gt;=Preisindex!$A$6,YEAR(BM$4)&gt;=YEAR($F33),$K33="g"),ROUND(VLOOKUP(BR$4,Preisindex,4,FALSE)/VLOOKUP(YEAR($F33),Preisindex,4,FALSE),2),IF(AND($E33&lt;&gt;0,$F33&gt;0,YEAR($F33)&gt;=Preisindex!$A$6,YEAR(BM$4)&gt;=YEAR($F33),$K33="k"),ROUND(VLOOKUP(BR$4,Preisindex,2,FALSE)/VLOOKUP(YEAR($F33),Preisindex,2,FALSE),2),0)))))</f>
        <v>1.27</v>
      </c>
      <c r="BS33" s="56">
        <f>IF(AND($E33&lt;&gt;0,$F33&gt;0,YEAR($F33)&lt;Preisindex!$A$6,YEAR(BM$4)&gt;=YEAR($F33),AND($K33&lt;&gt;"a",$K33&lt;&gt;"b",$K33&lt;&gt;"g",$K33&lt;&gt;"k")),1,IF(AND($E33&lt;&gt;0,$F33&gt;0,YEAR($F33)&lt;Preisindex!$A$6,YEAR(BM$4)&gt;=YEAR($F33),$K33="a"),ROUND(VLOOKUP(BR$4,Preisindex,5,FALSE)/VLOOKUP(Preisindex!$A$6,Preisindex,5,FALSE),2),IF(AND($E33&lt;&gt;0,$F33&gt;0,YEAR($F33)&lt;Preisindex!$A$6,YEAR(BM$4)&gt;=YEAR($F33),$K33="b"),ROUND(VLOOKUP(BR$4,Preisindex,3,FALSE)/VLOOKUP(Preisindex!$A$6,Preisindex,3,FALSE),2),IF(AND($E33&lt;&gt;0,$F33&gt;0,YEAR($F33)&lt;Preisindex!$A$6,YEAR(BM$4)&gt;=YEAR($F33),$K33="g"),ROUND(VLOOKUP(BR$4,Preisindex,4,FALSE)/VLOOKUP(Preisindex!$A$6,Preisindex,4,FALSE),2),IF(AND($E33&lt;&gt;0,$F33&gt;0,YEAR($F33)&lt;Preisindex!$A$6,YEAR(BM$4)&gt;=YEAR($F33),$K33="k"),ROUND(VLOOKUP(BR$4,Preisindex,2,FALSE)/VLOOKUP(Preisindex!$A$6,Preisindex,2,FALSE),2),0)))))</f>
        <v>0</v>
      </c>
      <c r="BT33" s="51">
        <f>IF(AND($E33&lt;&gt;0,$F33&gt;0,YEAR($F33)&lt;=BR$4,YEAR($F33)&gt;=Preisindex!$A$6),ROUND($E33*BR33,2),IF(AND($E33&lt;&gt;0,$F33&gt;0,YEAR($F33)&lt;=BR$4,YEAR($F33)&lt;Preisindex!$A$6),ROUND($E33*BS33,2),0))</f>
        <v>101600</v>
      </c>
      <c r="BU33" s="53">
        <f t="shared" si="171"/>
        <v>2032</v>
      </c>
      <c r="BV33" s="51">
        <f t="shared" si="315"/>
        <v>0</v>
      </c>
      <c r="BW33" s="51">
        <f t="shared" si="327"/>
        <v>0</v>
      </c>
      <c r="BX33" s="51">
        <f t="shared" si="174"/>
        <v>0</v>
      </c>
      <c r="BY33" s="51">
        <f t="shared" si="328"/>
        <v>0</v>
      </c>
      <c r="BZ33" s="51">
        <f t="shared" si="176"/>
        <v>80000</v>
      </c>
      <c r="CA33" s="51">
        <f t="shared" si="329"/>
        <v>80000</v>
      </c>
      <c r="CB33" s="51">
        <f t="shared" si="178"/>
        <v>1600</v>
      </c>
      <c r="CC33" s="51">
        <f t="shared" si="330"/>
        <v>1600</v>
      </c>
      <c r="CD33" s="51">
        <f t="shared" si="180"/>
        <v>55200</v>
      </c>
      <c r="CE33" s="51">
        <f t="shared" si="331"/>
        <v>55200</v>
      </c>
      <c r="CF33" s="51">
        <f t="shared" si="182"/>
        <v>24800</v>
      </c>
      <c r="CG33" s="54">
        <f t="shared" si="183"/>
        <v>0</v>
      </c>
      <c r="CH33" s="55">
        <f t="shared" si="184"/>
        <v>0</v>
      </c>
      <c r="CI33" s="56">
        <f>IF(AND($E33&lt;&gt;0,$F33&gt;0,YEAR($F33)&gt;=Preisindex!$A$6,YEAR(CD$4)&gt;=YEAR($F33),AND($K33&lt;&gt;"a",$K33&lt;&gt;"b",$K33&lt;&gt;"g",$K33&lt;&gt;"k")),1,IF(AND($E33&lt;&gt;0,$F33&gt;0,YEAR($F33)&gt;=Preisindex!$A$6,YEAR(CD$4)&gt;=YEAR($F33),$K33="a"),ROUND(VLOOKUP(CI$4,Preisindex,5,FALSE)/VLOOKUP(YEAR($F33),Preisindex,5,FALSE),2),IF(AND($E33&lt;&gt;0,$F33&gt;0,YEAR($F33)&gt;=Preisindex!$A$6,YEAR(CD$4)&gt;=YEAR($F33),$K33="b"),ROUND(VLOOKUP(CI$4,Preisindex,3,FALSE)/VLOOKUP(YEAR($F33),Preisindex,3,FALSE),2),IF(AND($E33&lt;&gt;0,$F33&gt;0,YEAR($F33)&gt;=Preisindex!$A$6,YEAR(CD$4)&gt;=YEAR($F33),$K33="g"),ROUND(VLOOKUP(CI$4,Preisindex,4,FALSE)/VLOOKUP(YEAR($F33),Preisindex,4,FALSE),2),IF(AND($E33&lt;&gt;0,$F33&gt;0,YEAR($F33)&gt;=Preisindex!$A$6,YEAR(CD$4)&gt;=YEAR($F33),$K33="k"),ROUND(VLOOKUP(CI$4,Preisindex,2,FALSE)/VLOOKUP(YEAR($F33),Preisindex,2,FALSE),2),0)))))</f>
        <v>1.28</v>
      </c>
      <c r="CJ33" s="56">
        <f>IF(AND($E33&lt;&gt;0,$F33&gt;0,YEAR($F33)&lt;Preisindex!$A$6,YEAR(CD$4)&gt;=YEAR($F33),AND($K33&lt;&gt;"a",$K33&lt;&gt;"b",$K33&lt;&gt;"g",$K33&lt;&gt;"k")),1,IF(AND($E33&lt;&gt;0,$F33&gt;0,YEAR($F33)&lt;Preisindex!$A$6,YEAR(CD$4)&gt;=YEAR($F33),$K33="a"),ROUND(VLOOKUP(CI$4,Preisindex,5,FALSE)/VLOOKUP(Preisindex!$A$6,Preisindex,5,FALSE),2),IF(AND($E33&lt;&gt;0,$F33&gt;0,YEAR($F33)&lt;Preisindex!$A$6,YEAR(CD$4)&gt;=YEAR($F33),$K33="b"),ROUND(VLOOKUP(CI$4,Preisindex,3,FALSE)/VLOOKUP(Preisindex!$A$6,Preisindex,3,FALSE),2),IF(AND($E33&lt;&gt;0,$F33&gt;0,YEAR($F33)&lt;Preisindex!$A$6,YEAR(CD$4)&gt;=YEAR($F33),$K33="g"),ROUND(VLOOKUP(CI$4,Preisindex,4,FALSE)/VLOOKUP(Preisindex!$A$6,Preisindex,4,FALSE),2),IF(AND($E33&lt;&gt;0,$F33&gt;0,YEAR($F33)&lt;Preisindex!$A$6,YEAR(CD$4)&gt;=YEAR($F33),$K33="k"),ROUND(VLOOKUP(CI$4,Preisindex,2,FALSE)/VLOOKUP(Preisindex!$A$6,Preisindex,2,FALSE),2),0)))))</f>
        <v>0</v>
      </c>
      <c r="CK33" s="51">
        <f>IF(AND($E33&lt;&gt;0,$F33&gt;0,YEAR($F33)&lt;=CI$4,YEAR($F33)&gt;=Preisindex!$A$6),ROUND($E33*CI33,2),IF(AND($E33&lt;&gt;0,$F33&gt;0,YEAR($F33)&lt;=CI$4,YEAR($F33)&lt;Preisindex!$A$6),ROUND($E33*CJ33,2),0))</f>
        <v>102400</v>
      </c>
      <c r="CL33" s="53">
        <f t="shared" si="185"/>
        <v>2048</v>
      </c>
      <c r="CM33" s="51">
        <f t="shared" si="315"/>
        <v>0</v>
      </c>
      <c r="CN33" s="51">
        <f t="shared" si="332"/>
        <v>0</v>
      </c>
      <c r="CO33" s="51">
        <f t="shared" si="188"/>
        <v>0</v>
      </c>
      <c r="CP33" s="51">
        <f t="shared" si="333"/>
        <v>0</v>
      </c>
      <c r="CQ33" s="51">
        <f t="shared" si="190"/>
        <v>80000</v>
      </c>
      <c r="CR33" s="51">
        <f t="shared" si="334"/>
        <v>80000</v>
      </c>
      <c r="CS33" s="51">
        <f t="shared" si="192"/>
        <v>1600</v>
      </c>
      <c r="CT33" s="51">
        <f t="shared" si="335"/>
        <v>1600</v>
      </c>
      <c r="CU33" s="51">
        <f t="shared" si="194"/>
        <v>53600</v>
      </c>
      <c r="CV33" s="51">
        <f t="shared" si="336"/>
        <v>53600</v>
      </c>
      <c r="CW33" s="51">
        <f t="shared" si="196"/>
        <v>26400</v>
      </c>
      <c r="CX33" s="54">
        <f t="shared" si="197"/>
        <v>0</v>
      </c>
      <c r="CY33" s="55">
        <f t="shared" si="198"/>
        <v>0</v>
      </c>
      <c r="CZ33" s="56">
        <f>IF(AND($E33&lt;&gt;0,$F33&gt;0,YEAR($F33)&gt;=Preisindex!$A$6,YEAR(CU$4)&gt;=YEAR($F33),AND($K33&lt;&gt;"a",$K33&lt;&gt;"b",$K33&lt;&gt;"g",$K33&lt;&gt;"k")),1,IF(AND($E33&lt;&gt;0,$F33&gt;0,YEAR($F33)&gt;=Preisindex!$A$6,YEAR(CU$4)&gt;=YEAR($F33),$K33="a"),ROUND(VLOOKUP(CZ$4,Preisindex,5,FALSE)/VLOOKUP(YEAR($F33),Preisindex,5,FALSE),2),IF(AND($E33&lt;&gt;0,$F33&gt;0,YEAR($F33)&gt;=Preisindex!$A$6,YEAR(CU$4)&gt;=YEAR($F33),$K33="b"),ROUND(VLOOKUP(CZ$4,Preisindex,3,FALSE)/VLOOKUP(YEAR($F33),Preisindex,3,FALSE),2),IF(AND($E33&lt;&gt;0,$F33&gt;0,YEAR($F33)&gt;=Preisindex!$A$6,YEAR(CU$4)&gt;=YEAR($F33),$K33="g"),ROUND(VLOOKUP(CZ$4,Preisindex,4,FALSE)/VLOOKUP(YEAR($F33),Preisindex,4,FALSE),2),IF(AND($E33&lt;&gt;0,$F33&gt;0,YEAR($F33)&gt;=Preisindex!$A$6,YEAR(CU$4)&gt;=YEAR($F33),$K33="k"),ROUND(VLOOKUP(CZ$4,Preisindex,2,FALSE)/VLOOKUP(YEAR($F33),Preisindex,2,FALSE),2),0)))))</f>
        <v>1.31</v>
      </c>
      <c r="DA33" s="56">
        <f>IF(AND($E33&lt;&gt;0,$F33&gt;0,YEAR($F33)&lt;Preisindex!$A$6,YEAR(CU$4)&gt;=YEAR($F33),AND($K33&lt;&gt;"a",$K33&lt;&gt;"b",$K33&lt;&gt;"g",$K33&lt;&gt;"k")),1,IF(AND($E33&lt;&gt;0,$F33&gt;0,YEAR($F33)&lt;Preisindex!$A$6,YEAR(CU$4)&gt;=YEAR($F33),$K33="a"),ROUND(VLOOKUP(CZ$4,Preisindex,5,FALSE)/VLOOKUP(Preisindex!$A$6,Preisindex,5,FALSE),2),IF(AND($E33&lt;&gt;0,$F33&gt;0,YEAR($F33)&lt;Preisindex!$A$6,YEAR(CU$4)&gt;=YEAR($F33),$K33="b"),ROUND(VLOOKUP(CZ$4,Preisindex,3,FALSE)/VLOOKUP(Preisindex!$A$6,Preisindex,3,FALSE),2),IF(AND($E33&lt;&gt;0,$F33&gt;0,YEAR($F33)&lt;Preisindex!$A$6,YEAR(CU$4)&gt;=YEAR($F33),$K33="g"),ROUND(VLOOKUP(CZ$4,Preisindex,4,FALSE)/VLOOKUP(Preisindex!$A$6,Preisindex,4,FALSE),2),IF(AND($E33&lt;&gt;0,$F33&gt;0,YEAR($F33)&lt;Preisindex!$A$6,YEAR(CU$4)&gt;=YEAR($F33),$K33="k"),ROUND(VLOOKUP(CZ$4,Preisindex,2,FALSE)/VLOOKUP(Preisindex!$A$6,Preisindex,2,FALSE),2),0)))))</f>
        <v>0</v>
      </c>
      <c r="DB33" s="51">
        <f>IF(AND($E33&lt;&gt;0,$F33&gt;0,YEAR($F33)&lt;=CZ$4,YEAR($F33)&gt;=Preisindex!$A$6),ROUND($E33*CZ33,2),IF(AND($E33&lt;&gt;0,$F33&gt;0,YEAR($F33)&lt;=CZ$4,YEAR($F33)&lt;Preisindex!$A$6),ROUND($E33*DA33,2),0))</f>
        <v>104800</v>
      </c>
      <c r="DC33" s="53">
        <f t="shared" si="199"/>
        <v>2096</v>
      </c>
      <c r="DD33" s="51">
        <f t="shared" si="316"/>
        <v>0</v>
      </c>
      <c r="DE33" s="51">
        <f t="shared" si="337"/>
        <v>0</v>
      </c>
      <c r="DF33" s="51">
        <f t="shared" si="202"/>
        <v>0</v>
      </c>
      <c r="DG33" s="51">
        <f t="shared" si="338"/>
        <v>0</v>
      </c>
      <c r="DH33" s="51">
        <f t="shared" si="204"/>
        <v>80000</v>
      </c>
      <c r="DI33" s="51">
        <f t="shared" si="339"/>
        <v>80000</v>
      </c>
      <c r="DJ33" s="51">
        <f t="shared" si="206"/>
        <v>1600</v>
      </c>
      <c r="DK33" s="51">
        <f t="shared" si="340"/>
        <v>1600</v>
      </c>
      <c r="DL33" s="51">
        <f t="shared" si="208"/>
        <v>52000</v>
      </c>
      <c r="DM33" s="51">
        <f t="shared" si="341"/>
        <v>52000</v>
      </c>
      <c r="DN33" s="51">
        <f t="shared" si="210"/>
        <v>28000</v>
      </c>
      <c r="DO33" s="54">
        <f t="shared" si="211"/>
        <v>0</v>
      </c>
      <c r="DP33" s="55">
        <f t="shared" si="212"/>
        <v>0</v>
      </c>
      <c r="DQ33" s="56">
        <f>IF(AND($E33&lt;&gt;0,$F33&gt;0,YEAR($F33)&gt;=Preisindex!$A$6,YEAR(DL$4)&gt;=YEAR($F33),AND($K33&lt;&gt;"a",$K33&lt;&gt;"b",$K33&lt;&gt;"g",$K33&lt;&gt;"k")),1,IF(AND($E33&lt;&gt;0,$F33&gt;0,YEAR($F33)&gt;=Preisindex!$A$6,YEAR(DL$4)&gt;=YEAR($F33),$K33="a"),ROUND(VLOOKUP(DQ$4,Preisindex,5,FALSE)/VLOOKUP(YEAR($F33),Preisindex,5,FALSE),2),IF(AND($E33&lt;&gt;0,$F33&gt;0,YEAR($F33)&gt;=Preisindex!$A$6,YEAR(DL$4)&gt;=YEAR($F33),$K33="b"),ROUND(VLOOKUP(DQ$4,Preisindex,3,FALSE)/VLOOKUP(YEAR($F33),Preisindex,3,FALSE),2),IF(AND($E33&lt;&gt;0,$F33&gt;0,YEAR($F33)&gt;=Preisindex!$A$6,YEAR(DL$4)&gt;=YEAR($F33),$K33="g"),ROUND(VLOOKUP(DQ$4,Preisindex,4,FALSE)/VLOOKUP(YEAR($F33),Preisindex,4,FALSE),2),IF(AND($E33&lt;&gt;0,$F33&gt;0,YEAR($F33)&gt;=Preisindex!$A$6,YEAR(DL$4)&gt;=YEAR($F33),$K33="k"),ROUND(VLOOKUP(DQ$4,Preisindex,2,FALSE)/VLOOKUP(YEAR($F33),Preisindex,2,FALSE),2),0)))))</f>
        <v>1.35</v>
      </c>
      <c r="DR33" s="56">
        <f>IF(AND($E33&lt;&gt;0,$F33&gt;0,YEAR($F33)&lt;Preisindex!$A$6,YEAR(DL$4)&gt;=YEAR($F33),AND($K33&lt;&gt;"a",$K33&lt;&gt;"b",$K33&lt;&gt;"g",$K33&lt;&gt;"k")),1,IF(AND($E33&lt;&gt;0,$F33&gt;0,YEAR($F33)&lt;Preisindex!$A$6,YEAR(DL$4)&gt;=YEAR($F33),$K33="a"),ROUND(VLOOKUP(DQ$4,Preisindex,5,FALSE)/VLOOKUP(Preisindex!$A$6,Preisindex,5,FALSE),2),IF(AND($E33&lt;&gt;0,$F33&gt;0,YEAR($F33)&lt;Preisindex!$A$6,YEAR(DL$4)&gt;=YEAR($F33),$K33="b"),ROUND(VLOOKUP(DQ$4,Preisindex,3,FALSE)/VLOOKUP(Preisindex!$A$6,Preisindex,3,FALSE),2),IF(AND($E33&lt;&gt;0,$F33&gt;0,YEAR($F33)&lt;Preisindex!$A$6,YEAR(DL$4)&gt;=YEAR($F33),$K33="g"),ROUND(VLOOKUP(DQ$4,Preisindex,4,FALSE)/VLOOKUP(Preisindex!$A$6,Preisindex,4,FALSE),2),IF(AND($E33&lt;&gt;0,$F33&gt;0,YEAR($F33)&lt;Preisindex!$A$6,YEAR(DL$4)&gt;=YEAR($F33),$K33="k"),ROUND(VLOOKUP(DQ$4,Preisindex,2,FALSE)/VLOOKUP(Preisindex!$A$6,Preisindex,2,FALSE),2),0)))))</f>
        <v>0</v>
      </c>
      <c r="DS33" s="51">
        <f>IF(AND($E33&lt;&gt;0,$F33&gt;0,YEAR($F33)&lt;=DQ$4,YEAR($F33)&gt;=Preisindex!$A$6),ROUND($E33*DQ33,2),IF(AND($E33&lt;&gt;0,$F33&gt;0,YEAR($F33)&lt;=DQ$4,YEAR($F33)&lt;Preisindex!$A$6),ROUND($E33*DR33,2),0))</f>
        <v>108000</v>
      </c>
      <c r="DT33" s="53">
        <f t="shared" si="213"/>
        <v>2160</v>
      </c>
      <c r="DU33" s="51">
        <f t="shared" si="316"/>
        <v>0</v>
      </c>
      <c r="DV33" s="51">
        <f t="shared" si="342"/>
        <v>0</v>
      </c>
      <c r="DW33" s="51">
        <f t="shared" si="216"/>
        <v>0</v>
      </c>
      <c r="DX33" s="51">
        <f t="shared" si="343"/>
        <v>0</v>
      </c>
      <c r="DY33" s="51">
        <f t="shared" si="218"/>
        <v>80000</v>
      </c>
      <c r="DZ33" s="51">
        <f t="shared" si="344"/>
        <v>80000</v>
      </c>
      <c r="EA33" s="51">
        <f t="shared" si="220"/>
        <v>1600</v>
      </c>
      <c r="EB33" s="51">
        <f t="shared" si="345"/>
        <v>1600</v>
      </c>
      <c r="EC33" s="51">
        <f t="shared" si="222"/>
        <v>50400</v>
      </c>
      <c r="ED33" s="51">
        <f t="shared" si="346"/>
        <v>50400</v>
      </c>
      <c r="EE33" s="51">
        <f t="shared" si="224"/>
        <v>29600</v>
      </c>
      <c r="EF33" s="54">
        <f t="shared" si="225"/>
        <v>0</v>
      </c>
      <c r="EG33" s="55">
        <f t="shared" si="226"/>
        <v>0</v>
      </c>
      <c r="EH33" s="56">
        <f>IF(AND($E33&lt;&gt;0,$F33&gt;0,YEAR($F33)&gt;=Preisindex!$A$6,YEAR(EC$4)&gt;=YEAR($F33),AND($K33&lt;&gt;"a",$K33&lt;&gt;"b",$K33&lt;&gt;"g",$K33&lt;&gt;"k")),1,IF(AND($E33&lt;&gt;0,$F33&gt;0,YEAR($F33)&gt;=Preisindex!$A$6,YEAR(EC$4)&gt;=YEAR($F33),$K33="a"),ROUND(VLOOKUP(EH$4,Preisindex,5,FALSE)/VLOOKUP(YEAR($F33),Preisindex,5,FALSE),2),IF(AND($E33&lt;&gt;0,$F33&gt;0,YEAR($F33)&gt;=Preisindex!$A$6,YEAR(EC$4)&gt;=YEAR($F33),$K33="b"),ROUND(VLOOKUP(EH$4,Preisindex,3,FALSE)/VLOOKUP(YEAR($F33),Preisindex,3,FALSE),2),IF(AND($E33&lt;&gt;0,$F33&gt;0,YEAR($F33)&gt;=Preisindex!$A$6,YEAR(EC$4)&gt;=YEAR($F33),$K33="g"),ROUND(VLOOKUP(EH$4,Preisindex,4,FALSE)/VLOOKUP(YEAR($F33),Preisindex,4,FALSE),2),IF(AND($E33&lt;&gt;0,$F33&gt;0,YEAR($F33)&gt;=Preisindex!$A$6,YEAR(EC$4)&gt;=YEAR($F33),$K33="k"),ROUND(VLOOKUP(EH$4,Preisindex,2,FALSE)/VLOOKUP(YEAR($F33),Preisindex,2,FALSE),2),0)))))</f>
        <v>1.42</v>
      </c>
      <c r="EI33" s="56">
        <f>IF(AND($E33&lt;&gt;0,$F33&gt;0,YEAR($F33)&lt;Preisindex!$A$6,YEAR(EC$4)&gt;=YEAR($F33),AND($K33&lt;&gt;"a",$K33&lt;&gt;"b",$K33&lt;&gt;"g",$K33&lt;&gt;"k")),1,IF(AND($E33&lt;&gt;0,$F33&gt;0,YEAR($F33)&lt;Preisindex!$A$6,YEAR(EC$4)&gt;=YEAR($F33),$K33="a"),ROUND(VLOOKUP(EH$4,Preisindex,5,FALSE)/VLOOKUP(Preisindex!$A$6,Preisindex,5,FALSE),2),IF(AND($E33&lt;&gt;0,$F33&gt;0,YEAR($F33)&lt;Preisindex!$A$6,YEAR(EC$4)&gt;=YEAR($F33),$K33="b"),ROUND(VLOOKUP(EH$4,Preisindex,3,FALSE)/VLOOKUP(Preisindex!$A$6,Preisindex,3,FALSE),2),IF(AND($E33&lt;&gt;0,$F33&gt;0,YEAR($F33)&lt;Preisindex!$A$6,YEAR(EC$4)&gt;=YEAR($F33),$K33="g"),ROUND(VLOOKUP(EH$4,Preisindex,4,FALSE)/VLOOKUP(Preisindex!$A$6,Preisindex,4,FALSE),2),IF(AND($E33&lt;&gt;0,$F33&gt;0,YEAR($F33)&lt;Preisindex!$A$6,YEAR(EC$4)&gt;=YEAR($F33),$K33="k"),ROUND(VLOOKUP(EH$4,Preisindex,2,FALSE)/VLOOKUP(Preisindex!$A$6,Preisindex,2,FALSE),2),0)))))</f>
        <v>0</v>
      </c>
      <c r="EJ33" s="51">
        <f>IF(AND($E33&lt;&gt;0,$F33&gt;0,YEAR($F33)&lt;=EH$4,YEAR($F33)&gt;=Preisindex!$A$6),ROUND($E33*EH33,2),IF(AND($E33&lt;&gt;0,$F33&gt;0,YEAR($F33)&lt;=EH$4,YEAR($F33)&lt;Preisindex!$A$6),ROUND($E33*EI33,2),0))</f>
        <v>113600</v>
      </c>
      <c r="EK33" s="53">
        <f t="shared" si="227"/>
        <v>2272</v>
      </c>
      <c r="EL33" s="51">
        <f t="shared" si="316"/>
        <v>0</v>
      </c>
      <c r="EM33" s="51">
        <f t="shared" si="347"/>
        <v>0</v>
      </c>
      <c r="EN33" s="51">
        <f t="shared" si="230"/>
        <v>0</v>
      </c>
      <c r="EO33" s="51">
        <f t="shared" si="348"/>
        <v>0</v>
      </c>
      <c r="EP33" s="51">
        <f t="shared" si="232"/>
        <v>80000</v>
      </c>
      <c r="EQ33" s="51">
        <f t="shared" si="349"/>
        <v>80000</v>
      </c>
      <c r="ER33" s="51">
        <f t="shared" si="234"/>
        <v>1600</v>
      </c>
      <c r="ES33" s="51">
        <f t="shared" si="350"/>
        <v>1600</v>
      </c>
      <c r="ET33" s="51">
        <f t="shared" si="236"/>
        <v>48800</v>
      </c>
      <c r="EU33" s="51">
        <f t="shared" si="351"/>
        <v>48800</v>
      </c>
      <c r="EV33" s="51">
        <f t="shared" si="238"/>
        <v>31200</v>
      </c>
      <c r="EW33" s="54">
        <f t="shared" si="239"/>
        <v>0</v>
      </c>
      <c r="EX33" s="55">
        <f t="shared" si="240"/>
        <v>0</v>
      </c>
      <c r="EY33" s="56">
        <f>IF(AND($E33&lt;&gt;0,$F33&gt;0,YEAR($F33)&gt;=Preisindex!$A$6,YEAR(ET$4)&gt;=YEAR($F33),AND($K33&lt;&gt;"a",$K33&lt;&gt;"b",$K33&lt;&gt;"g",$K33&lt;&gt;"k")),1,IF(AND($E33&lt;&gt;0,$F33&gt;0,YEAR($F33)&gt;=Preisindex!$A$6,YEAR(ET$4)&gt;=YEAR($F33),$K33="a"),ROUND(VLOOKUP(EY$4,Preisindex,5,FALSE)/VLOOKUP(YEAR($F33),Preisindex,5,FALSE),2),IF(AND($E33&lt;&gt;0,$F33&gt;0,YEAR($F33)&gt;=Preisindex!$A$6,YEAR(ET$4)&gt;=YEAR($F33),$K33="b"),ROUND(VLOOKUP(EY$4,Preisindex,3,FALSE)/VLOOKUP(YEAR($F33),Preisindex,3,FALSE),2),IF(AND($E33&lt;&gt;0,$F33&gt;0,YEAR($F33)&gt;=Preisindex!$A$6,YEAR(ET$4)&gt;=YEAR($F33),$K33="g"),ROUND(VLOOKUP(EY$4,Preisindex,4,FALSE)/VLOOKUP(YEAR($F33),Preisindex,4,FALSE),2),IF(AND($E33&lt;&gt;0,$F33&gt;0,YEAR($F33)&gt;=Preisindex!$A$6,YEAR(ET$4)&gt;=YEAR($F33),$K33="k"),ROUND(VLOOKUP(EY$4,Preisindex,2,FALSE)/VLOOKUP(YEAR($F33),Preisindex,2,FALSE),2),0)))))</f>
        <v>1.42</v>
      </c>
      <c r="EZ33" s="56">
        <f>IF(AND($E33&lt;&gt;0,$F33&gt;0,YEAR($F33)&lt;Preisindex!$A$6,YEAR(ET$4)&gt;=YEAR($F33),AND($K33&lt;&gt;"a",$K33&lt;&gt;"b",$K33&lt;&gt;"g",$K33&lt;&gt;"k")),1,IF(AND($E33&lt;&gt;0,$F33&gt;0,YEAR($F33)&lt;Preisindex!$A$6,YEAR(ET$4)&gt;=YEAR($F33),$K33="a"),ROUND(VLOOKUP(EY$4,Preisindex,5,FALSE)/VLOOKUP(Preisindex!$A$6,Preisindex,5,FALSE),2),IF(AND($E33&lt;&gt;0,$F33&gt;0,YEAR($F33)&lt;Preisindex!$A$6,YEAR(ET$4)&gt;=YEAR($F33),$K33="b"),ROUND(VLOOKUP(EY$4,Preisindex,3,FALSE)/VLOOKUP(Preisindex!$A$6,Preisindex,3,FALSE),2),IF(AND($E33&lt;&gt;0,$F33&gt;0,YEAR($F33)&lt;Preisindex!$A$6,YEAR(ET$4)&gt;=YEAR($F33),$K33="g"),ROUND(VLOOKUP(EY$4,Preisindex,4,FALSE)/VLOOKUP(Preisindex!$A$6,Preisindex,4,FALSE),2),IF(AND($E33&lt;&gt;0,$F33&gt;0,YEAR($F33)&lt;Preisindex!$A$6,YEAR(ET$4)&gt;=YEAR($F33),$K33="k"),ROUND(VLOOKUP(EY$4,Preisindex,2,FALSE)/VLOOKUP(Preisindex!$A$6,Preisindex,2,FALSE),2),0)))))</f>
        <v>0</v>
      </c>
      <c r="FA33" s="51">
        <f>IF(AND($E33&lt;&gt;0,$F33&gt;0,YEAR($F33)&lt;=EY$4,YEAR($F33)&gt;=Preisindex!$A$6),ROUND($E33*EY33,2),IF(AND($E33&lt;&gt;0,$F33&gt;0,YEAR($F33)&lt;=EY$4,YEAR($F33)&lt;Preisindex!$A$6),ROUND($E33*EZ33,2),0))</f>
        <v>113600</v>
      </c>
      <c r="FB33" s="53">
        <f t="shared" si="241"/>
        <v>2272</v>
      </c>
      <c r="FC33" s="51">
        <f t="shared" si="316"/>
        <v>0</v>
      </c>
      <c r="FD33" s="51">
        <f t="shared" si="352"/>
        <v>0</v>
      </c>
      <c r="FE33" s="51">
        <f t="shared" si="244"/>
        <v>0</v>
      </c>
      <c r="FF33" s="51">
        <f t="shared" si="353"/>
        <v>0</v>
      </c>
      <c r="FG33" s="51">
        <f t="shared" si="246"/>
        <v>80000</v>
      </c>
      <c r="FH33" s="51">
        <f t="shared" si="354"/>
        <v>80000</v>
      </c>
      <c r="FI33" s="51">
        <f t="shared" si="248"/>
        <v>1600</v>
      </c>
      <c r="FJ33" s="51">
        <f t="shared" si="355"/>
        <v>1600</v>
      </c>
      <c r="FK33" s="51">
        <f t="shared" si="250"/>
        <v>47200</v>
      </c>
      <c r="FL33" s="51">
        <f t="shared" si="356"/>
        <v>47200</v>
      </c>
      <c r="FM33" s="51">
        <f t="shared" si="252"/>
        <v>32800</v>
      </c>
      <c r="FN33" s="54">
        <f t="shared" si="253"/>
        <v>0</v>
      </c>
      <c r="FO33" s="55">
        <f t="shared" si="254"/>
        <v>0</v>
      </c>
      <c r="FP33" s="56">
        <f>IF(AND($E33&lt;&gt;0,$F33&gt;0,YEAR($F33)&gt;=Preisindex!$A$6,YEAR(FK$4)&gt;=YEAR($F33),AND($K33&lt;&gt;"a",$K33&lt;&gt;"b",$K33&lt;&gt;"g",$K33&lt;&gt;"k")),1,IF(AND($E33&lt;&gt;0,$F33&gt;0,YEAR($F33)&gt;=Preisindex!$A$6,YEAR(FK$4)&gt;=YEAR($F33),$K33="a"),ROUND(VLOOKUP(FP$4,Preisindex,5,FALSE)/VLOOKUP(YEAR($F33),Preisindex,5,FALSE),2),IF(AND($E33&lt;&gt;0,$F33&gt;0,YEAR($F33)&gt;=Preisindex!$A$6,YEAR(FK$4)&gt;=YEAR($F33),$K33="b"),ROUND(VLOOKUP(FP$4,Preisindex,3,FALSE)/VLOOKUP(YEAR($F33),Preisindex,3,FALSE),2),IF(AND($E33&lt;&gt;0,$F33&gt;0,YEAR($F33)&gt;=Preisindex!$A$6,YEAR(FK$4)&gt;=YEAR($F33),$K33="g"),ROUND(VLOOKUP(FP$4,Preisindex,4,FALSE)/VLOOKUP(YEAR($F33),Preisindex,4,FALSE),2),IF(AND($E33&lt;&gt;0,$F33&gt;0,YEAR($F33)&gt;=Preisindex!$A$6,YEAR(FK$4)&gt;=YEAR($F33),$K33="k"),ROUND(VLOOKUP(FP$4,Preisindex,2,FALSE)/VLOOKUP(YEAR($F33),Preisindex,2,FALSE),2),0)))))</f>
        <v>1.42</v>
      </c>
      <c r="FQ33" s="56">
        <f>IF(AND($E33&lt;&gt;0,$F33&gt;0,YEAR($F33)&lt;Preisindex!$A$6,YEAR(FK$4)&gt;=YEAR($F33),AND($K33&lt;&gt;"a",$K33&lt;&gt;"b",$K33&lt;&gt;"g",$K33&lt;&gt;"k")),1,IF(AND($E33&lt;&gt;0,$F33&gt;0,YEAR($F33)&lt;Preisindex!$A$6,YEAR(FK$4)&gt;=YEAR($F33),$K33="a"),ROUND(VLOOKUP(FP$4,Preisindex,5,FALSE)/VLOOKUP(Preisindex!$A$6,Preisindex,5,FALSE),2),IF(AND($E33&lt;&gt;0,$F33&gt;0,YEAR($F33)&lt;Preisindex!$A$6,YEAR(FK$4)&gt;=YEAR($F33),$K33="b"),ROUND(VLOOKUP(FP$4,Preisindex,3,FALSE)/VLOOKUP(Preisindex!$A$6,Preisindex,3,FALSE),2),IF(AND($E33&lt;&gt;0,$F33&gt;0,YEAR($F33)&lt;Preisindex!$A$6,YEAR(FK$4)&gt;=YEAR($F33),$K33="g"),ROUND(VLOOKUP(FP$4,Preisindex,4,FALSE)/VLOOKUP(Preisindex!$A$6,Preisindex,4,FALSE),2),IF(AND($E33&lt;&gt;0,$F33&gt;0,YEAR($F33)&lt;Preisindex!$A$6,YEAR(FK$4)&gt;=YEAR($F33),$K33="k"),ROUND(VLOOKUP(FP$4,Preisindex,2,FALSE)/VLOOKUP(Preisindex!$A$6,Preisindex,2,FALSE),2),0)))))</f>
        <v>0</v>
      </c>
      <c r="FR33" s="51">
        <f>IF(AND($E33&lt;&gt;0,$F33&gt;0,YEAR($F33)&lt;=FP$4,YEAR($F33)&gt;=Preisindex!$A$6),ROUND($E33*FP33,2),IF(AND($E33&lt;&gt;0,$F33&gt;0,YEAR($F33)&lt;=FP$4,YEAR($F33)&lt;Preisindex!$A$6),ROUND($E33*FQ33,2),0))</f>
        <v>113600</v>
      </c>
      <c r="FS33" s="53">
        <f t="shared" si="255"/>
        <v>2272</v>
      </c>
    </row>
    <row r="34" spans="1:175" x14ac:dyDescent="0.3">
      <c r="A34" s="195">
        <v>2002</v>
      </c>
      <c r="B34" s="196" t="s">
        <v>222</v>
      </c>
      <c r="C34" s="196"/>
      <c r="D34" s="188" t="s">
        <v>21</v>
      </c>
      <c r="E34" s="99">
        <v>90000</v>
      </c>
      <c r="F34" s="97">
        <v>37438</v>
      </c>
      <c r="G34" s="100">
        <v>50</v>
      </c>
      <c r="H34" s="622"/>
      <c r="I34" s="621"/>
      <c r="J34" s="194"/>
      <c r="K34" s="630" t="s">
        <v>266</v>
      </c>
      <c r="L34" s="49">
        <f t="shared" si="296"/>
        <v>0.02</v>
      </c>
      <c r="M34" s="50">
        <f t="shared" si="297"/>
        <v>1800</v>
      </c>
      <c r="N34" s="51">
        <f t="shared" si="298"/>
        <v>72900</v>
      </c>
      <c r="O34" s="51"/>
      <c r="P34" s="51">
        <f t="shared" si="299"/>
        <v>17100</v>
      </c>
      <c r="Q34" s="52"/>
      <c r="R34" s="52"/>
      <c r="S34" s="52"/>
      <c r="T34" s="52"/>
      <c r="U34" s="52"/>
      <c r="V34" s="53">
        <f t="shared" si="300"/>
        <v>90000</v>
      </c>
      <c r="W34" s="51">
        <f t="shared" si="301"/>
        <v>0</v>
      </c>
      <c r="X34" s="51">
        <f t="shared" si="302"/>
        <v>0</v>
      </c>
      <c r="Y34" s="51">
        <f t="shared" si="303"/>
        <v>0</v>
      </c>
      <c r="Z34" s="51">
        <f t="shared" si="304"/>
        <v>0</v>
      </c>
      <c r="AA34" s="51">
        <f t="shared" si="305"/>
        <v>90000</v>
      </c>
      <c r="AB34" s="51">
        <f t="shared" si="306"/>
        <v>90000</v>
      </c>
      <c r="AC34" s="51">
        <f t="shared" si="307"/>
        <v>1800</v>
      </c>
      <c r="AD34" s="51">
        <f t="shared" si="308"/>
        <v>1800</v>
      </c>
      <c r="AE34" s="51">
        <f t="shared" si="309"/>
        <v>71100</v>
      </c>
      <c r="AF34" s="51">
        <f t="shared" si="310"/>
        <v>71100</v>
      </c>
      <c r="AG34" s="51">
        <f t="shared" si="311"/>
        <v>18900</v>
      </c>
      <c r="AH34" s="54">
        <f t="shared" si="312"/>
        <v>0</v>
      </c>
      <c r="AI34" s="55">
        <f t="shared" si="313"/>
        <v>0</v>
      </c>
      <c r="AJ34" s="56">
        <f>IF(AND($E34&lt;&gt;0,$F34&gt;0,YEAR($F34)&gt;=Preisindex!$A$6,YEAR(AE$4)&gt;=YEAR($F34),AND($K34&lt;&gt;"a",$K34&lt;&gt;"b",$K34&lt;&gt;"g",$K34&lt;&gt;"k")),1,IF(AND($E34&lt;&gt;0,$F34&gt;0,YEAR($F34)&gt;=Preisindex!$A$6,YEAR(AE$4)&gt;=YEAR($F34),$K34="a"),ROUND(VLOOKUP(AJ$4,Preisindex,5,FALSE)/VLOOKUP(YEAR($F34),Preisindex,5,FALSE),2),IF(AND($E34&lt;&gt;0,$F34&gt;0,YEAR($F34)&gt;=Preisindex!$A$6,YEAR(AE$4)&gt;=YEAR($F34),$K34="b"),ROUND(VLOOKUP(AJ$4,Preisindex,3,FALSE)/VLOOKUP(YEAR($F34),Preisindex,3,FALSE),2),IF(AND($E34&lt;&gt;0,$F34&gt;0,YEAR($F34)&gt;=Preisindex!$A$6,YEAR(AE$4)&gt;=YEAR($F34),$K34="g"),ROUND(VLOOKUP(AJ$4,Preisindex,4,FALSE)/VLOOKUP(YEAR($F34),Preisindex,4,FALSE),2),IF(AND($E34&lt;&gt;0,$F34&gt;0,YEAR($F34)&gt;=Preisindex!$A$6,YEAR(AE$4)&gt;=YEAR($F34),$K34="k"),ROUND(VLOOKUP(AJ$4,Preisindex,2,FALSE)/VLOOKUP(YEAR($F34),Preisindex,2,FALSE),2),0)))))</f>
        <v>1.22</v>
      </c>
      <c r="AK34" s="56">
        <f>IF(AND($E34&lt;&gt;0,$F34&gt;0,YEAR($F34)&lt;Preisindex!$A$6,YEAR(AE$4)&gt;=YEAR($F34),AND($K34&lt;&gt;"a",$K34&lt;&gt;"b",$K34&lt;&gt;"g",$K34&lt;&gt;"k")),1,IF(AND($E34&lt;&gt;0,$F34&gt;0,YEAR($F34)&lt;Preisindex!$A$6,YEAR(AE$4)&gt;=YEAR($F34),$K34="a"),ROUND(VLOOKUP(AJ$4,Preisindex,5,FALSE)/VLOOKUP(Preisindex!$A$6,Preisindex,5,FALSE),2),IF(AND($E34&lt;&gt;0,$F34&gt;0,YEAR($F34)&lt;Preisindex!$A$6,YEAR(AE$4)&gt;=YEAR($F34),$K34="b"),ROUND(VLOOKUP(AJ$4,Preisindex,3,FALSE)/VLOOKUP(Preisindex!$A$6,Preisindex,3,FALSE),2),IF(AND($E34&lt;&gt;0,$F34&gt;0,YEAR($F34)&lt;Preisindex!$A$6,YEAR(AE$4)&gt;=YEAR($F34),$K34="g"),ROUND(VLOOKUP(AJ$4,Preisindex,4,FALSE)/VLOOKUP(Preisindex!$A$6,Preisindex,4,FALSE),2),IF(AND($E34&lt;&gt;0,$F34&gt;0,YEAR($F34)&lt;Preisindex!$A$6,YEAR(AE$4)&gt;=YEAR($F34),$K34="k"),ROUND(VLOOKUP(AJ$4,Preisindex,2,FALSE)/VLOOKUP(Preisindex!$A$6,Preisindex,2,FALSE),2),0)))))</f>
        <v>0</v>
      </c>
      <c r="AL34" s="51">
        <f>IF(AND($E34&lt;&gt;0,$F34&gt;0,YEAR($F34)&lt;=AJ$4,YEAR($F34)&gt;=Preisindex!$A$6),ROUND($E34*AJ34,2),IF(AND($E34&lt;&gt;0,$F34&gt;0,YEAR($F34)&lt;=AJ$4,YEAR($F34)&lt;Preisindex!$A$6),ROUND($E34*AK34,2),0))</f>
        <v>109800</v>
      </c>
      <c r="AM34" s="53">
        <f t="shared" si="314"/>
        <v>2196</v>
      </c>
      <c r="AN34" s="51">
        <f t="shared" si="315"/>
        <v>0</v>
      </c>
      <c r="AO34" s="51">
        <f t="shared" si="317"/>
        <v>0</v>
      </c>
      <c r="AP34" s="51">
        <f t="shared" si="146"/>
        <v>0</v>
      </c>
      <c r="AQ34" s="51">
        <f t="shared" si="318"/>
        <v>0</v>
      </c>
      <c r="AR34" s="51">
        <f t="shared" si="148"/>
        <v>90000</v>
      </c>
      <c r="AS34" s="51">
        <f t="shared" si="319"/>
        <v>90000</v>
      </c>
      <c r="AT34" s="51">
        <f t="shared" si="150"/>
        <v>1800</v>
      </c>
      <c r="AU34" s="51">
        <f t="shared" si="320"/>
        <v>1800</v>
      </c>
      <c r="AV34" s="51">
        <f t="shared" si="152"/>
        <v>69300</v>
      </c>
      <c r="AW34" s="51">
        <f t="shared" si="321"/>
        <v>69300</v>
      </c>
      <c r="AX34" s="51">
        <f t="shared" si="154"/>
        <v>20700</v>
      </c>
      <c r="AY34" s="54">
        <f t="shared" si="155"/>
        <v>0</v>
      </c>
      <c r="AZ34" s="55">
        <f t="shared" si="156"/>
        <v>0</v>
      </c>
      <c r="BA34" s="56">
        <f>IF(AND($E34&lt;&gt;0,$F34&gt;0,YEAR($F34)&gt;=Preisindex!$A$6,YEAR(AV$4)&gt;=YEAR($F34),AND($K34&lt;&gt;"a",$K34&lt;&gt;"b",$K34&lt;&gt;"g",$K34&lt;&gt;"k")),1,IF(AND($E34&lt;&gt;0,$F34&gt;0,YEAR($F34)&gt;=Preisindex!$A$6,YEAR(AV$4)&gt;=YEAR($F34),$K34="a"),ROUND(VLOOKUP(BA$4,Preisindex,5,FALSE)/VLOOKUP(YEAR($F34),Preisindex,5,FALSE),2),IF(AND($E34&lt;&gt;0,$F34&gt;0,YEAR($F34)&gt;=Preisindex!$A$6,YEAR(AV$4)&gt;=YEAR($F34),$K34="b"),ROUND(VLOOKUP(BA$4,Preisindex,3,FALSE)/VLOOKUP(YEAR($F34),Preisindex,3,FALSE),2),IF(AND($E34&lt;&gt;0,$F34&gt;0,YEAR($F34)&gt;=Preisindex!$A$6,YEAR(AV$4)&gt;=YEAR($F34),$K34="g"),ROUND(VLOOKUP(BA$4,Preisindex,4,FALSE)/VLOOKUP(YEAR($F34),Preisindex,4,FALSE),2),IF(AND($E34&lt;&gt;0,$F34&gt;0,YEAR($F34)&gt;=Preisindex!$A$6,YEAR(AV$4)&gt;=YEAR($F34),$K34="k"),ROUND(VLOOKUP(BA$4,Preisindex,2,FALSE)/VLOOKUP(YEAR($F34),Preisindex,2,FALSE),2),0)))))</f>
        <v>1.24</v>
      </c>
      <c r="BB34" s="56">
        <f>IF(AND($E34&lt;&gt;0,$F34&gt;0,YEAR($F34)&lt;Preisindex!$A$6,YEAR(AV$4)&gt;=YEAR($F34),AND($K34&lt;&gt;"a",$K34&lt;&gt;"b",$K34&lt;&gt;"g",$K34&lt;&gt;"k")),1,IF(AND($E34&lt;&gt;0,$F34&gt;0,YEAR($F34)&lt;Preisindex!$A$6,YEAR(AV$4)&gt;=YEAR($F34),$K34="a"),ROUND(VLOOKUP(BA$4,Preisindex,5,FALSE)/VLOOKUP(Preisindex!$A$6,Preisindex,5,FALSE),2),IF(AND($E34&lt;&gt;0,$F34&gt;0,YEAR($F34)&lt;Preisindex!$A$6,YEAR(AV$4)&gt;=YEAR($F34),$K34="b"),ROUND(VLOOKUP(BA$4,Preisindex,3,FALSE)/VLOOKUP(Preisindex!$A$6,Preisindex,3,FALSE),2),IF(AND($E34&lt;&gt;0,$F34&gt;0,YEAR($F34)&lt;Preisindex!$A$6,YEAR(AV$4)&gt;=YEAR($F34),$K34="g"),ROUND(VLOOKUP(BA$4,Preisindex,4,FALSE)/VLOOKUP(Preisindex!$A$6,Preisindex,4,FALSE),2),IF(AND($E34&lt;&gt;0,$F34&gt;0,YEAR($F34)&lt;Preisindex!$A$6,YEAR(AV$4)&gt;=YEAR($F34),$K34="k"),ROUND(VLOOKUP(BA$4,Preisindex,2,FALSE)/VLOOKUP(Preisindex!$A$6,Preisindex,2,FALSE),2),0)))))</f>
        <v>0</v>
      </c>
      <c r="BC34" s="51">
        <f>IF(AND($E34&lt;&gt;0,$F34&gt;0,YEAR($F34)&lt;=BA$4,YEAR($F34)&gt;=Preisindex!$A$6),ROUND($E34*BA34,2),IF(AND($E34&lt;&gt;0,$F34&gt;0,YEAR($F34)&lt;=BA$4,YEAR($F34)&lt;Preisindex!$A$6),ROUND($E34*BB34,2),0))</f>
        <v>111600</v>
      </c>
      <c r="BD34" s="53">
        <f t="shared" si="157"/>
        <v>2232</v>
      </c>
      <c r="BE34" s="51">
        <f t="shared" si="315"/>
        <v>0</v>
      </c>
      <c r="BF34" s="51">
        <f t="shared" si="322"/>
        <v>0</v>
      </c>
      <c r="BG34" s="51">
        <f t="shared" si="160"/>
        <v>0</v>
      </c>
      <c r="BH34" s="51">
        <f t="shared" si="323"/>
        <v>0</v>
      </c>
      <c r="BI34" s="51">
        <f t="shared" si="162"/>
        <v>90000</v>
      </c>
      <c r="BJ34" s="51">
        <f t="shared" si="324"/>
        <v>90000</v>
      </c>
      <c r="BK34" s="51">
        <f t="shared" si="164"/>
        <v>1800</v>
      </c>
      <c r="BL34" s="51">
        <f t="shared" si="325"/>
        <v>1800</v>
      </c>
      <c r="BM34" s="51">
        <f t="shared" si="166"/>
        <v>67500</v>
      </c>
      <c r="BN34" s="51">
        <f t="shared" si="326"/>
        <v>67500</v>
      </c>
      <c r="BO34" s="51">
        <f t="shared" si="168"/>
        <v>22500</v>
      </c>
      <c r="BP34" s="54">
        <f t="shared" si="169"/>
        <v>0</v>
      </c>
      <c r="BQ34" s="55">
        <f t="shared" si="170"/>
        <v>0</v>
      </c>
      <c r="BR34" s="56">
        <f>IF(AND($E34&lt;&gt;0,$F34&gt;0,YEAR($F34)&gt;=Preisindex!$A$6,YEAR(BM$4)&gt;=YEAR($F34),AND($K34&lt;&gt;"a",$K34&lt;&gt;"b",$K34&lt;&gt;"g",$K34&lt;&gt;"k")),1,IF(AND($E34&lt;&gt;0,$F34&gt;0,YEAR($F34)&gt;=Preisindex!$A$6,YEAR(BM$4)&gt;=YEAR($F34),$K34="a"),ROUND(VLOOKUP(BR$4,Preisindex,5,FALSE)/VLOOKUP(YEAR($F34),Preisindex,5,FALSE),2),IF(AND($E34&lt;&gt;0,$F34&gt;0,YEAR($F34)&gt;=Preisindex!$A$6,YEAR(BM$4)&gt;=YEAR($F34),$K34="b"),ROUND(VLOOKUP(BR$4,Preisindex,3,FALSE)/VLOOKUP(YEAR($F34),Preisindex,3,FALSE),2),IF(AND($E34&lt;&gt;0,$F34&gt;0,YEAR($F34)&gt;=Preisindex!$A$6,YEAR(BM$4)&gt;=YEAR($F34),$K34="g"),ROUND(VLOOKUP(BR$4,Preisindex,4,FALSE)/VLOOKUP(YEAR($F34),Preisindex,4,FALSE),2),IF(AND($E34&lt;&gt;0,$F34&gt;0,YEAR($F34)&gt;=Preisindex!$A$6,YEAR(BM$4)&gt;=YEAR($F34),$K34="k"),ROUND(VLOOKUP(BR$4,Preisindex,2,FALSE)/VLOOKUP(YEAR($F34),Preisindex,2,FALSE),2),0)))))</f>
        <v>1.26</v>
      </c>
      <c r="BS34" s="56">
        <f>IF(AND($E34&lt;&gt;0,$F34&gt;0,YEAR($F34)&lt;Preisindex!$A$6,YEAR(BM$4)&gt;=YEAR($F34),AND($K34&lt;&gt;"a",$K34&lt;&gt;"b",$K34&lt;&gt;"g",$K34&lt;&gt;"k")),1,IF(AND($E34&lt;&gt;0,$F34&gt;0,YEAR($F34)&lt;Preisindex!$A$6,YEAR(BM$4)&gt;=YEAR($F34),$K34="a"),ROUND(VLOOKUP(BR$4,Preisindex,5,FALSE)/VLOOKUP(Preisindex!$A$6,Preisindex,5,FALSE),2),IF(AND($E34&lt;&gt;0,$F34&gt;0,YEAR($F34)&lt;Preisindex!$A$6,YEAR(BM$4)&gt;=YEAR($F34),$K34="b"),ROUND(VLOOKUP(BR$4,Preisindex,3,FALSE)/VLOOKUP(Preisindex!$A$6,Preisindex,3,FALSE),2),IF(AND($E34&lt;&gt;0,$F34&gt;0,YEAR($F34)&lt;Preisindex!$A$6,YEAR(BM$4)&gt;=YEAR($F34),$K34="g"),ROUND(VLOOKUP(BR$4,Preisindex,4,FALSE)/VLOOKUP(Preisindex!$A$6,Preisindex,4,FALSE),2),IF(AND($E34&lt;&gt;0,$F34&gt;0,YEAR($F34)&lt;Preisindex!$A$6,YEAR(BM$4)&gt;=YEAR($F34),$K34="k"),ROUND(VLOOKUP(BR$4,Preisindex,2,FALSE)/VLOOKUP(Preisindex!$A$6,Preisindex,2,FALSE),2),0)))))</f>
        <v>0</v>
      </c>
      <c r="BT34" s="51">
        <f>IF(AND($E34&lt;&gt;0,$F34&gt;0,YEAR($F34)&lt;=BR$4,YEAR($F34)&gt;=Preisindex!$A$6),ROUND($E34*BR34,2),IF(AND($E34&lt;&gt;0,$F34&gt;0,YEAR($F34)&lt;=BR$4,YEAR($F34)&lt;Preisindex!$A$6),ROUND($E34*BS34,2),0))</f>
        <v>113400</v>
      </c>
      <c r="BU34" s="53">
        <f t="shared" si="171"/>
        <v>2268</v>
      </c>
      <c r="BV34" s="51">
        <f t="shared" si="315"/>
        <v>0</v>
      </c>
      <c r="BW34" s="51">
        <f t="shared" si="327"/>
        <v>0</v>
      </c>
      <c r="BX34" s="51">
        <f t="shared" si="174"/>
        <v>0</v>
      </c>
      <c r="BY34" s="51">
        <f t="shared" si="328"/>
        <v>0</v>
      </c>
      <c r="BZ34" s="51">
        <f t="shared" si="176"/>
        <v>90000</v>
      </c>
      <c r="CA34" s="51">
        <f t="shared" si="329"/>
        <v>90000</v>
      </c>
      <c r="CB34" s="51">
        <f t="shared" si="178"/>
        <v>1800</v>
      </c>
      <c r="CC34" s="51">
        <f t="shared" si="330"/>
        <v>1800</v>
      </c>
      <c r="CD34" s="51">
        <f t="shared" si="180"/>
        <v>65700</v>
      </c>
      <c r="CE34" s="51">
        <f t="shared" si="331"/>
        <v>65700</v>
      </c>
      <c r="CF34" s="51">
        <f t="shared" si="182"/>
        <v>24300</v>
      </c>
      <c r="CG34" s="54">
        <f t="shared" si="183"/>
        <v>0</v>
      </c>
      <c r="CH34" s="55">
        <f t="shared" si="184"/>
        <v>0</v>
      </c>
      <c r="CI34" s="56">
        <f>IF(AND($E34&lt;&gt;0,$F34&gt;0,YEAR($F34)&gt;=Preisindex!$A$6,YEAR(CD$4)&gt;=YEAR($F34),AND($K34&lt;&gt;"a",$K34&lt;&gt;"b",$K34&lt;&gt;"g",$K34&lt;&gt;"k")),1,IF(AND($E34&lt;&gt;0,$F34&gt;0,YEAR($F34)&gt;=Preisindex!$A$6,YEAR(CD$4)&gt;=YEAR($F34),$K34="a"),ROUND(VLOOKUP(CI$4,Preisindex,5,FALSE)/VLOOKUP(YEAR($F34),Preisindex,5,FALSE),2),IF(AND($E34&lt;&gt;0,$F34&gt;0,YEAR($F34)&gt;=Preisindex!$A$6,YEAR(CD$4)&gt;=YEAR($F34),$K34="b"),ROUND(VLOOKUP(CI$4,Preisindex,3,FALSE)/VLOOKUP(YEAR($F34),Preisindex,3,FALSE),2),IF(AND($E34&lt;&gt;0,$F34&gt;0,YEAR($F34)&gt;=Preisindex!$A$6,YEAR(CD$4)&gt;=YEAR($F34),$K34="g"),ROUND(VLOOKUP(CI$4,Preisindex,4,FALSE)/VLOOKUP(YEAR($F34),Preisindex,4,FALSE),2),IF(AND($E34&lt;&gt;0,$F34&gt;0,YEAR($F34)&gt;=Preisindex!$A$6,YEAR(CD$4)&gt;=YEAR($F34),$K34="k"),ROUND(VLOOKUP(CI$4,Preisindex,2,FALSE)/VLOOKUP(YEAR($F34),Preisindex,2,FALSE),2),0)))))</f>
        <v>1.28</v>
      </c>
      <c r="CJ34" s="56">
        <f>IF(AND($E34&lt;&gt;0,$F34&gt;0,YEAR($F34)&lt;Preisindex!$A$6,YEAR(CD$4)&gt;=YEAR($F34),AND($K34&lt;&gt;"a",$K34&lt;&gt;"b",$K34&lt;&gt;"g",$K34&lt;&gt;"k")),1,IF(AND($E34&lt;&gt;0,$F34&gt;0,YEAR($F34)&lt;Preisindex!$A$6,YEAR(CD$4)&gt;=YEAR($F34),$K34="a"),ROUND(VLOOKUP(CI$4,Preisindex,5,FALSE)/VLOOKUP(Preisindex!$A$6,Preisindex,5,FALSE),2),IF(AND($E34&lt;&gt;0,$F34&gt;0,YEAR($F34)&lt;Preisindex!$A$6,YEAR(CD$4)&gt;=YEAR($F34),$K34="b"),ROUND(VLOOKUP(CI$4,Preisindex,3,FALSE)/VLOOKUP(Preisindex!$A$6,Preisindex,3,FALSE),2),IF(AND($E34&lt;&gt;0,$F34&gt;0,YEAR($F34)&lt;Preisindex!$A$6,YEAR(CD$4)&gt;=YEAR($F34),$K34="g"),ROUND(VLOOKUP(CI$4,Preisindex,4,FALSE)/VLOOKUP(Preisindex!$A$6,Preisindex,4,FALSE),2),IF(AND($E34&lt;&gt;0,$F34&gt;0,YEAR($F34)&lt;Preisindex!$A$6,YEAR(CD$4)&gt;=YEAR($F34),$K34="k"),ROUND(VLOOKUP(CI$4,Preisindex,2,FALSE)/VLOOKUP(Preisindex!$A$6,Preisindex,2,FALSE),2),0)))))</f>
        <v>0</v>
      </c>
      <c r="CK34" s="51">
        <f>IF(AND($E34&lt;&gt;0,$F34&gt;0,YEAR($F34)&lt;=CI$4,YEAR($F34)&gt;=Preisindex!$A$6),ROUND($E34*CI34,2),IF(AND($E34&lt;&gt;0,$F34&gt;0,YEAR($F34)&lt;=CI$4,YEAR($F34)&lt;Preisindex!$A$6),ROUND($E34*CJ34,2),0))</f>
        <v>115200</v>
      </c>
      <c r="CL34" s="53">
        <f t="shared" si="185"/>
        <v>2304</v>
      </c>
      <c r="CM34" s="51">
        <f t="shared" si="315"/>
        <v>0</v>
      </c>
      <c r="CN34" s="51">
        <f t="shared" si="332"/>
        <v>0</v>
      </c>
      <c r="CO34" s="51">
        <f t="shared" si="188"/>
        <v>0</v>
      </c>
      <c r="CP34" s="51">
        <f t="shared" si="333"/>
        <v>0</v>
      </c>
      <c r="CQ34" s="51">
        <f t="shared" si="190"/>
        <v>90000</v>
      </c>
      <c r="CR34" s="51">
        <f t="shared" si="334"/>
        <v>90000</v>
      </c>
      <c r="CS34" s="51">
        <f t="shared" si="192"/>
        <v>1800</v>
      </c>
      <c r="CT34" s="51">
        <f t="shared" si="335"/>
        <v>1800</v>
      </c>
      <c r="CU34" s="51">
        <f t="shared" si="194"/>
        <v>63900</v>
      </c>
      <c r="CV34" s="51">
        <f t="shared" si="336"/>
        <v>63900</v>
      </c>
      <c r="CW34" s="51">
        <f t="shared" si="196"/>
        <v>26100</v>
      </c>
      <c r="CX34" s="54">
        <f t="shared" si="197"/>
        <v>0</v>
      </c>
      <c r="CY34" s="55">
        <f t="shared" si="198"/>
        <v>0</v>
      </c>
      <c r="CZ34" s="56">
        <f>IF(AND($E34&lt;&gt;0,$F34&gt;0,YEAR($F34)&gt;=Preisindex!$A$6,YEAR(CU$4)&gt;=YEAR($F34),AND($K34&lt;&gt;"a",$K34&lt;&gt;"b",$K34&lt;&gt;"g",$K34&lt;&gt;"k")),1,IF(AND($E34&lt;&gt;0,$F34&gt;0,YEAR($F34)&gt;=Preisindex!$A$6,YEAR(CU$4)&gt;=YEAR($F34),$K34="a"),ROUND(VLOOKUP(CZ$4,Preisindex,5,FALSE)/VLOOKUP(YEAR($F34),Preisindex,5,FALSE),2),IF(AND($E34&lt;&gt;0,$F34&gt;0,YEAR($F34)&gt;=Preisindex!$A$6,YEAR(CU$4)&gt;=YEAR($F34),$K34="b"),ROUND(VLOOKUP(CZ$4,Preisindex,3,FALSE)/VLOOKUP(YEAR($F34),Preisindex,3,FALSE),2),IF(AND($E34&lt;&gt;0,$F34&gt;0,YEAR($F34)&gt;=Preisindex!$A$6,YEAR(CU$4)&gt;=YEAR($F34),$K34="g"),ROUND(VLOOKUP(CZ$4,Preisindex,4,FALSE)/VLOOKUP(YEAR($F34),Preisindex,4,FALSE),2),IF(AND($E34&lt;&gt;0,$F34&gt;0,YEAR($F34)&gt;=Preisindex!$A$6,YEAR(CU$4)&gt;=YEAR($F34),$K34="k"),ROUND(VLOOKUP(CZ$4,Preisindex,2,FALSE)/VLOOKUP(YEAR($F34),Preisindex,2,FALSE),2),0)))))</f>
        <v>1.3</v>
      </c>
      <c r="DA34" s="56">
        <f>IF(AND($E34&lt;&gt;0,$F34&gt;0,YEAR($F34)&lt;Preisindex!$A$6,YEAR(CU$4)&gt;=YEAR($F34),AND($K34&lt;&gt;"a",$K34&lt;&gt;"b",$K34&lt;&gt;"g",$K34&lt;&gt;"k")),1,IF(AND($E34&lt;&gt;0,$F34&gt;0,YEAR($F34)&lt;Preisindex!$A$6,YEAR(CU$4)&gt;=YEAR($F34),$K34="a"),ROUND(VLOOKUP(CZ$4,Preisindex,5,FALSE)/VLOOKUP(Preisindex!$A$6,Preisindex,5,FALSE),2),IF(AND($E34&lt;&gt;0,$F34&gt;0,YEAR($F34)&lt;Preisindex!$A$6,YEAR(CU$4)&gt;=YEAR($F34),$K34="b"),ROUND(VLOOKUP(CZ$4,Preisindex,3,FALSE)/VLOOKUP(Preisindex!$A$6,Preisindex,3,FALSE),2),IF(AND($E34&lt;&gt;0,$F34&gt;0,YEAR($F34)&lt;Preisindex!$A$6,YEAR(CU$4)&gt;=YEAR($F34),$K34="g"),ROUND(VLOOKUP(CZ$4,Preisindex,4,FALSE)/VLOOKUP(Preisindex!$A$6,Preisindex,4,FALSE),2),IF(AND($E34&lt;&gt;0,$F34&gt;0,YEAR($F34)&lt;Preisindex!$A$6,YEAR(CU$4)&gt;=YEAR($F34),$K34="k"),ROUND(VLOOKUP(CZ$4,Preisindex,2,FALSE)/VLOOKUP(Preisindex!$A$6,Preisindex,2,FALSE),2),0)))))</f>
        <v>0</v>
      </c>
      <c r="DB34" s="51">
        <f>IF(AND($E34&lt;&gt;0,$F34&gt;0,YEAR($F34)&lt;=CZ$4,YEAR($F34)&gt;=Preisindex!$A$6),ROUND($E34*CZ34,2),IF(AND($E34&lt;&gt;0,$F34&gt;0,YEAR($F34)&lt;=CZ$4,YEAR($F34)&lt;Preisindex!$A$6),ROUND($E34*DA34,2),0))</f>
        <v>117000</v>
      </c>
      <c r="DC34" s="53">
        <f t="shared" si="199"/>
        <v>2340</v>
      </c>
      <c r="DD34" s="51">
        <f t="shared" si="316"/>
        <v>0</v>
      </c>
      <c r="DE34" s="51">
        <f t="shared" si="337"/>
        <v>0</v>
      </c>
      <c r="DF34" s="51">
        <f t="shared" si="202"/>
        <v>0</v>
      </c>
      <c r="DG34" s="51">
        <f t="shared" si="338"/>
        <v>0</v>
      </c>
      <c r="DH34" s="51">
        <f t="shared" si="204"/>
        <v>90000</v>
      </c>
      <c r="DI34" s="51">
        <f t="shared" si="339"/>
        <v>90000</v>
      </c>
      <c r="DJ34" s="51">
        <f t="shared" si="206"/>
        <v>1800</v>
      </c>
      <c r="DK34" s="51">
        <f t="shared" si="340"/>
        <v>1800</v>
      </c>
      <c r="DL34" s="51">
        <f t="shared" si="208"/>
        <v>62100</v>
      </c>
      <c r="DM34" s="51">
        <f t="shared" si="341"/>
        <v>62100</v>
      </c>
      <c r="DN34" s="51">
        <f t="shared" si="210"/>
        <v>27900</v>
      </c>
      <c r="DO34" s="54">
        <f t="shared" si="211"/>
        <v>0</v>
      </c>
      <c r="DP34" s="55">
        <f t="shared" si="212"/>
        <v>0</v>
      </c>
      <c r="DQ34" s="56">
        <f>IF(AND($E34&lt;&gt;0,$F34&gt;0,YEAR($F34)&gt;=Preisindex!$A$6,YEAR(DL$4)&gt;=YEAR($F34),AND($K34&lt;&gt;"a",$K34&lt;&gt;"b",$K34&lt;&gt;"g",$K34&lt;&gt;"k")),1,IF(AND($E34&lt;&gt;0,$F34&gt;0,YEAR($F34)&gt;=Preisindex!$A$6,YEAR(DL$4)&gt;=YEAR($F34),$K34="a"),ROUND(VLOOKUP(DQ$4,Preisindex,5,FALSE)/VLOOKUP(YEAR($F34),Preisindex,5,FALSE),2),IF(AND($E34&lt;&gt;0,$F34&gt;0,YEAR($F34)&gt;=Preisindex!$A$6,YEAR(DL$4)&gt;=YEAR($F34),$K34="b"),ROUND(VLOOKUP(DQ$4,Preisindex,3,FALSE)/VLOOKUP(YEAR($F34),Preisindex,3,FALSE),2),IF(AND($E34&lt;&gt;0,$F34&gt;0,YEAR($F34)&gt;=Preisindex!$A$6,YEAR(DL$4)&gt;=YEAR($F34),$K34="g"),ROUND(VLOOKUP(DQ$4,Preisindex,4,FALSE)/VLOOKUP(YEAR($F34),Preisindex,4,FALSE),2),IF(AND($E34&lt;&gt;0,$F34&gt;0,YEAR($F34)&gt;=Preisindex!$A$6,YEAR(DL$4)&gt;=YEAR($F34),$K34="k"),ROUND(VLOOKUP(DQ$4,Preisindex,2,FALSE)/VLOOKUP(YEAR($F34),Preisindex,2,FALSE),2),0)))))</f>
        <v>1.34</v>
      </c>
      <c r="DR34" s="56">
        <f>IF(AND($E34&lt;&gt;0,$F34&gt;0,YEAR($F34)&lt;Preisindex!$A$6,YEAR(DL$4)&gt;=YEAR($F34),AND($K34&lt;&gt;"a",$K34&lt;&gt;"b",$K34&lt;&gt;"g",$K34&lt;&gt;"k")),1,IF(AND($E34&lt;&gt;0,$F34&gt;0,YEAR($F34)&lt;Preisindex!$A$6,YEAR(DL$4)&gt;=YEAR($F34),$K34="a"),ROUND(VLOOKUP(DQ$4,Preisindex,5,FALSE)/VLOOKUP(Preisindex!$A$6,Preisindex,5,FALSE),2),IF(AND($E34&lt;&gt;0,$F34&gt;0,YEAR($F34)&lt;Preisindex!$A$6,YEAR(DL$4)&gt;=YEAR($F34),$K34="b"),ROUND(VLOOKUP(DQ$4,Preisindex,3,FALSE)/VLOOKUP(Preisindex!$A$6,Preisindex,3,FALSE),2),IF(AND($E34&lt;&gt;0,$F34&gt;0,YEAR($F34)&lt;Preisindex!$A$6,YEAR(DL$4)&gt;=YEAR($F34),$K34="g"),ROUND(VLOOKUP(DQ$4,Preisindex,4,FALSE)/VLOOKUP(Preisindex!$A$6,Preisindex,4,FALSE),2),IF(AND($E34&lt;&gt;0,$F34&gt;0,YEAR($F34)&lt;Preisindex!$A$6,YEAR(DL$4)&gt;=YEAR($F34),$K34="k"),ROUND(VLOOKUP(DQ$4,Preisindex,2,FALSE)/VLOOKUP(Preisindex!$A$6,Preisindex,2,FALSE),2),0)))))</f>
        <v>0</v>
      </c>
      <c r="DS34" s="51">
        <f>IF(AND($E34&lt;&gt;0,$F34&gt;0,YEAR($F34)&lt;=DQ$4,YEAR($F34)&gt;=Preisindex!$A$6),ROUND($E34*DQ34,2),IF(AND($E34&lt;&gt;0,$F34&gt;0,YEAR($F34)&lt;=DQ$4,YEAR($F34)&lt;Preisindex!$A$6),ROUND($E34*DR34,2),0))</f>
        <v>120600</v>
      </c>
      <c r="DT34" s="53">
        <f t="shared" si="213"/>
        <v>2412</v>
      </c>
      <c r="DU34" s="51">
        <f t="shared" si="316"/>
        <v>0</v>
      </c>
      <c r="DV34" s="51">
        <f t="shared" si="342"/>
        <v>0</v>
      </c>
      <c r="DW34" s="51">
        <f t="shared" si="216"/>
        <v>0</v>
      </c>
      <c r="DX34" s="51">
        <f t="shared" si="343"/>
        <v>0</v>
      </c>
      <c r="DY34" s="51">
        <f t="shared" si="218"/>
        <v>90000</v>
      </c>
      <c r="DZ34" s="51">
        <f t="shared" si="344"/>
        <v>90000</v>
      </c>
      <c r="EA34" s="51">
        <f t="shared" si="220"/>
        <v>1800</v>
      </c>
      <c r="EB34" s="51">
        <f t="shared" si="345"/>
        <v>1800</v>
      </c>
      <c r="EC34" s="51">
        <f t="shared" si="222"/>
        <v>60300</v>
      </c>
      <c r="ED34" s="51">
        <f t="shared" si="346"/>
        <v>60300</v>
      </c>
      <c r="EE34" s="51">
        <f t="shared" si="224"/>
        <v>29700</v>
      </c>
      <c r="EF34" s="54">
        <f t="shared" si="225"/>
        <v>0</v>
      </c>
      <c r="EG34" s="55">
        <f t="shared" si="226"/>
        <v>0</v>
      </c>
      <c r="EH34" s="56">
        <f>IF(AND($E34&lt;&gt;0,$F34&gt;0,YEAR($F34)&gt;=Preisindex!$A$6,YEAR(EC$4)&gt;=YEAR($F34),AND($K34&lt;&gt;"a",$K34&lt;&gt;"b",$K34&lt;&gt;"g",$K34&lt;&gt;"k")),1,IF(AND($E34&lt;&gt;0,$F34&gt;0,YEAR($F34)&gt;=Preisindex!$A$6,YEAR(EC$4)&gt;=YEAR($F34),$K34="a"),ROUND(VLOOKUP(EH$4,Preisindex,5,FALSE)/VLOOKUP(YEAR($F34),Preisindex,5,FALSE),2),IF(AND($E34&lt;&gt;0,$F34&gt;0,YEAR($F34)&gt;=Preisindex!$A$6,YEAR(EC$4)&gt;=YEAR($F34),$K34="b"),ROUND(VLOOKUP(EH$4,Preisindex,3,FALSE)/VLOOKUP(YEAR($F34),Preisindex,3,FALSE),2),IF(AND($E34&lt;&gt;0,$F34&gt;0,YEAR($F34)&gt;=Preisindex!$A$6,YEAR(EC$4)&gt;=YEAR($F34),$K34="g"),ROUND(VLOOKUP(EH$4,Preisindex,4,FALSE)/VLOOKUP(YEAR($F34),Preisindex,4,FALSE),2),IF(AND($E34&lt;&gt;0,$F34&gt;0,YEAR($F34)&gt;=Preisindex!$A$6,YEAR(EC$4)&gt;=YEAR($F34),$K34="k"),ROUND(VLOOKUP(EH$4,Preisindex,2,FALSE)/VLOOKUP(YEAR($F34),Preisindex,2,FALSE),2),0)))))</f>
        <v>1.41</v>
      </c>
      <c r="EI34" s="56">
        <f>IF(AND($E34&lt;&gt;0,$F34&gt;0,YEAR($F34)&lt;Preisindex!$A$6,YEAR(EC$4)&gt;=YEAR($F34),AND($K34&lt;&gt;"a",$K34&lt;&gt;"b",$K34&lt;&gt;"g",$K34&lt;&gt;"k")),1,IF(AND($E34&lt;&gt;0,$F34&gt;0,YEAR($F34)&lt;Preisindex!$A$6,YEAR(EC$4)&gt;=YEAR($F34),$K34="a"),ROUND(VLOOKUP(EH$4,Preisindex,5,FALSE)/VLOOKUP(Preisindex!$A$6,Preisindex,5,FALSE),2),IF(AND($E34&lt;&gt;0,$F34&gt;0,YEAR($F34)&lt;Preisindex!$A$6,YEAR(EC$4)&gt;=YEAR($F34),$K34="b"),ROUND(VLOOKUP(EH$4,Preisindex,3,FALSE)/VLOOKUP(Preisindex!$A$6,Preisindex,3,FALSE),2),IF(AND($E34&lt;&gt;0,$F34&gt;0,YEAR($F34)&lt;Preisindex!$A$6,YEAR(EC$4)&gt;=YEAR($F34),$K34="g"),ROUND(VLOOKUP(EH$4,Preisindex,4,FALSE)/VLOOKUP(Preisindex!$A$6,Preisindex,4,FALSE),2),IF(AND($E34&lt;&gt;0,$F34&gt;0,YEAR($F34)&lt;Preisindex!$A$6,YEAR(EC$4)&gt;=YEAR($F34),$K34="k"),ROUND(VLOOKUP(EH$4,Preisindex,2,FALSE)/VLOOKUP(Preisindex!$A$6,Preisindex,2,FALSE),2),0)))))</f>
        <v>0</v>
      </c>
      <c r="EJ34" s="51">
        <f>IF(AND($E34&lt;&gt;0,$F34&gt;0,YEAR($F34)&lt;=EH$4,YEAR($F34)&gt;=Preisindex!$A$6),ROUND($E34*EH34,2),IF(AND($E34&lt;&gt;0,$F34&gt;0,YEAR($F34)&lt;=EH$4,YEAR($F34)&lt;Preisindex!$A$6),ROUND($E34*EI34,2),0))</f>
        <v>126900</v>
      </c>
      <c r="EK34" s="53">
        <f t="shared" si="227"/>
        <v>2538</v>
      </c>
      <c r="EL34" s="51">
        <f t="shared" si="316"/>
        <v>0</v>
      </c>
      <c r="EM34" s="51">
        <f t="shared" si="347"/>
        <v>0</v>
      </c>
      <c r="EN34" s="51">
        <f t="shared" si="230"/>
        <v>0</v>
      </c>
      <c r="EO34" s="51">
        <f t="shared" si="348"/>
        <v>0</v>
      </c>
      <c r="EP34" s="51">
        <f t="shared" si="232"/>
        <v>90000</v>
      </c>
      <c r="EQ34" s="51">
        <f t="shared" si="349"/>
        <v>90000</v>
      </c>
      <c r="ER34" s="51">
        <f t="shared" si="234"/>
        <v>1800</v>
      </c>
      <c r="ES34" s="51">
        <f t="shared" si="350"/>
        <v>1800</v>
      </c>
      <c r="ET34" s="51">
        <f t="shared" si="236"/>
        <v>58500</v>
      </c>
      <c r="EU34" s="51">
        <f t="shared" si="351"/>
        <v>58500</v>
      </c>
      <c r="EV34" s="51">
        <f t="shared" si="238"/>
        <v>31500</v>
      </c>
      <c r="EW34" s="54">
        <f t="shared" si="239"/>
        <v>0</v>
      </c>
      <c r="EX34" s="55">
        <f t="shared" si="240"/>
        <v>0</v>
      </c>
      <c r="EY34" s="56">
        <f>IF(AND($E34&lt;&gt;0,$F34&gt;0,YEAR($F34)&gt;=Preisindex!$A$6,YEAR(ET$4)&gt;=YEAR($F34),AND($K34&lt;&gt;"a",$K34&lt;&gt;"b",$K34&lt;&gt;"g",$K34&lt;&gt;"k")),1,IF(AND($E34&lt;&gt;0,$F34&gt;0,YEAR($F34)&gt;=Preisindex!$A$6,YEAR(ET$4)&gt;=YEAR($F34),$K34="a"),ROUND(VLOOKUP(EY$4,Preisindex,5,FALSE)/VLOOKUP(YEAR($F34),Preisindex,5,FALSE),2),IF(AND($E34&lt;&gt;0,$F34&gt;0,YEAR($F34)&gt;=Preisindex!$A$6,YEAR(ET$4)&gt;=YEAR($F34),$K34="b"),ROUND(VLOOKUP(EY$4,Preisindex,3,FALSE)/VLOOKUP(YEAR($F34),Preisindex,3,FALSE),2),IF(AND($E34&lt;&gt;0,$F34&gt;0,YEAR($F34)&gt;=Preisindex!$A$6,YEAR(ET$4)&gt;=YEAR($F34),$K34="g"),ROUND(VLOOKUP(EY$4,Preisindex,4,FALSE)/VLOOKUP(YEAR($F34),Preisindex,4,FALSE),2),IF(AND($E34&lt;&gt;0,$F34&gt;0,YEAR($F34)&gt;=Preisindex!$A$6,YEAR(ET$4)&gt;=YEAR($F34),$K34="k"),ROUND(VLOOKUP(EY$4,Preisindex,2,FALSE)/VLOOKUP(YEAR($F34),Preisindex,2,FALSE),2),0)))))</f>
        <v>1.41</v>
      </c>
      <c r="EZ34" s="56">
        <f>IF(AND($E34&lt;&gt;0,$F34&gt;0,YEAR($F34)&lt;Preisindex!$A$6,YEAR(ET$4)&gt;=YEAR($F34),AND($K34&lt;&gt;"a",$K34&lt;&gt;"b",$K34&lt;&gt;"g",$K34&lt;&gt;"k")),1,IF(AND($E34&lt;&gt;0,$F34&gt;0,YEAR($F34)&lt;Preisindex!$A$6,YEAR(ET$4)&gt;=YEAR($F34),$K34="a"),ROUND(VLOOKUP(EY$4,Preisindex,5,FALSE)/VLOOKUP(Preisindex!$A$6,Preisindex,5,FALSE),2),IF(AND($E34&lt;&gt;0,$F34&gt;0,YEAR($F34)&lt;Preisindex!$A$6,YEAR(ET$4)&gt;=YEAR($F34),$K34="b"),ROUND(VLOOKUP(EY$4,Preisindex,3,FALSE)/VLOOKUP(Preisindex!$A$6,Preisindex,3,FALSE),2),IF(AND($E34&lt;&gt;0,$F34&gt;0,YEAR($F34)&lt;Preisindex!$A$6,YEAR(ET$4)&gt;=YEAR($F34),$K34="g"),ROUND(VLOOKUP(EY$4,Preisindex,4,FALSE)/VLOOKUP(Preisindex!$A$6,Preisindex,4,FALSE),2),IF(AND($E34&lt;&gt;0,$F34&gt;0,YEAR($F34)&lt;Preisindex!$A$6,YEAR(ET$4)&gt;=YEAR($F34),$K34="k"),ROUND(VLOOKUP(EY$4,Preisindex,2,FALSE)/VLOOKUP(Preisindex!$A$6,Preisindex,2,FALSE),2),0)))))</f>
        <v>0</v>
      </c>
      <c r="FA34" s="51">
        <f>IF(AND($E34&lt;&gt;0,$F34&gt;0,YEAR($F34)&lt;=EY$4,YEAR($F34)&gt;=Preisindex!$A$6),ROUND($E34*EY34,2),IF(AND($E34&lt;&gt;0,$F34&gt;0,YEAR($F34)&lt;=EY$4,YEAR($F34)&lt;Preisindex!$A$6),ROUND($E34*EZ34,2),0))</f>
        <v>126900</v>
      </c>
      <c r="FB34" s="53">
        <f t="shared" si="241"/>
        <v>2538</v>
      </c>
      <c r="FC34" s="51">
        <f t="shared" si="316"/>
        <v>0</v>
      </c>
      <c r="FD34" s="51">
        <f t="shared" si="352"/>
        <v>0</v>
      </c>
      <c r="FE34" s="51">
        <f t="shared" si="244"/>
        <v>0</v>
      </c>
      <c r="FF34" s="51">
        <f t="shared" si="353"/>
        <v>0</v>
      </c>
      <c r="FG34" s="51">
        <f t="shared" si="246"/>
        <v>90000</v>
      </c>
      <c r="FH34" s="51">
        <f t="shared" si="354"/>
        <v>90000</v>
      </c>
      <c r="FI34" s="51">
        <f t="shared" si="248"/>
        <v>1800</v>
      </c>
      <c r="FJ34" s="51">
        <f t="shared" si="355"/>
        <v>1800</v>
      </c>
      <c r="FK34" s="51">
        <f t="shared" si="250"/>
        <v>56700</v>
      </c>
      <c r="FL34" s="51">
        <f t="shared" si="356"/>
        <v>56700</v>
      </c>
      <c r="FM34" s="51">
        <f t="shared" si="252"/>
        <v>33300</v>
      </c>
      <c r="FN34" s="54">
        <f t="shared" si="253"/>
        <v>0</v>
      </c>
      <c r="FO34" s="55">
        <f t="shared" si="254"/>
        <v>0</v>
      </c>
      <c r="FP34" s="56">
        <f>IF(AND($E34&lt;&gt;0,$F34&gt;0,YEAR($F34)&gt;=Preisindex!$A$6,YEAR(FK$4)&gt;=YEAR($F34),AND($K34&lt;&gt;"a",$K34&lt;&gt;"b",$K34&lt;&gt;"g",$K34&lt;&gt;"k")),1,IF(AND($E34&lt;&gt;0,$F34&gt;0,YEAR($F34)&gt;=Preisindex!$A$6,YEAR(FK$4)&gt;=YEAR($F34),$K34="a"),ROUND(VLOOKUP(FP$4,Preisindex,5,FALSE)/VLOOKUP(YEAR($F34),Preisindex,5,FALSE),2),IF(AND($E34&lt;&gt;0,$F34&gt;0,YEAR($F34)&gt;=Preisindex!$A$6,YEAR(FK$4)&gt;=YEAR($F34),$K34="b"),ROUND(VLOOKUP(FP$4,Preisindex,3,FALSE)/VLOOKUP(YEAR($F34),Preisindex,3,FALSE),2),IF(AND($E34&lt;&gt;0,$F34&gt;0,YEAR($F34)&gt;=Preisindex!$A$6,YEAR(FK$4)&gt;=YEAR($F34),$K34="g"),ROUND(VLOOKUP(FP$4,Preisindex,4,FALSE)/VLOOKUP(YEAR($F34),Preisindex,4,FALSE),2),IF(AND($E34&lt;&gt;0,$F34&gt;0,YEAR($F34)&gt;=Preisindex!$A$6,YEAR(FK$4)&gt;=YEAR($F34),$K34="k"),ROUND(VLOOKUP(FP$4,Preisindex,2,FALSE)/VLOOKUP(YEAR($F34),Preisindex,2,FALSE),2),0)))))</f>
        <v>1.41</v>
      </c>
      <c r="FQ34" s="56">
        <f>IF(AND($E34&lt;&gt;0,$F34&gt;0,YEAR($F34)&lt;Preisindex!$A$6,YEAR(FK$4)&gt;=YEAR($F34),AND($K34&lt;&gt;"a",$K34&lt;&gt;"b",$K34&lt;&gt;"g",$K34&lt;&gt;"k")),1,IF(AND($E34&lt;&gt;0,$F34&gt;0,YEAR($F34)&lt;Preisindex!$A$6,YEAR(FK$4)&gt;=YEAR($F34),$K34="a"),ROUND(VLOOKUP(FP$4,Preisindex,5,FALSE)/VLOOKUP(Preisindex!$A$6,Preisindex,5,FALSE),2),IF(AND($E34&lt;&gt;0,$F34&gt;0,YEAR($F34)&lt;Preisindex!$A$6,YEAR(FK$4)&gt;=YEAR($F34),$K34="b"),ROUND(VLOOKUP(FP$4,Preisindex,3,FALSE)/VLOOKUP(Preisindex!$A$6,Preisindex,3,FALSE),2),IF(AND($E34&lt;&gt;0,$F34&gt;0,YEAR($F34)&lt;Preisindex!$A$6,YEAR(FK$4)&gt;=YEAR($F34),$K34="g"),ROUND(VLOOKUP(FP$4,Preisindex,4,FALSE)/VLOOKUP(Preisindex!$A$6,Preisindex,4,FALSE),2),IF(AND($E34&lt;&gt;0,$F34&gt;0,YEAR($F34)&lt;Preisindex!$A$6,YEAR(FK$4)&gt;=YEAR($F34),$K34="k"),ROUND(VLOOKUP(FP$4,Preisindex,2,FALSE)/VLOOKUP(Preisindex!$A$6,Preisindex,2,FALSE),2),0)))))</f>
        <v>0</v>
      </c>
      <c r="FR34" s="51">
        <f>IF(AND($E34&lt;&gt;0,$F34&gt;0,YEAR($F34)&lt;=FP$4,YEAR($F34)&gt;=Preisindex!$A$6),ROUND($E34*FP34,2),IF(AND($E34&lt;&gt;0,$F34&gt;0,YEAR($F34)&lt;=FP$4,YEAR($F34)&lt;Preisindex!$A$6),ROUND($E34*FQ34,2),0))</f>
        <v>126900</v>
      </c>
      <c r="FS34" s="53">
        <f t="shared" si="255"/>
        <v>2538</v>
      </c>
    </row>
    <row r="35" spans="1:175" x14ac:dyDescent="0.3">
      <c r="A35" s="195">
        <v>2003</v>
      </c>
      <c r="B35" s="196" t="s">
        <v>223</v>
      </c>
      <c r="C35" s="196"/>
      <c r="D35" s="188" t="s">
        <v>21</v>
      </c>
      <c r="E35" s="99">
        <v>70000</v>
      </c>
      <c r="F35" s="97">
        <v>37803</v>
      </c>
      <c r="G35" s="100">
        <v>50</v>
      </c>
      <c r="H35" s="622"/>
      <c r="I35" s="621"/>
      <c r="J35" s="194"/>
      <c r="K35" s="630" t="s">
        <v>266</v>
      </c>
      <c r="L35" s="49">
        <f t="shared" si="296"/>
        <v>0.02</v>
      </c>
      <c r="M35" s="50">
        <f t="shared" si="297"/>
        <v>1400</v>
      </c>
      <c r="N35" s="51">
        <f t="shared" si="298"/>
        <v>58100</v>
      </c>
      <c r="O35" s="51"/>
      <c r="P35" s="51">
        <f t="shared" si="299"/>
        <v>11900</v>
      </c>
      <c r="Q35" s="52"/>
      <c r="R35" s="52"/>
      <c r="S35" s="52"/>
      <c r="T35" s="52"/>
      <c r="U35" s="52"/>
      <c r="V35" s="53">
        <f t="shared" si="300"/>
        <v>70000</v>
      </c>
      <c r="W35" s="51">
        <f t="shared" si="301"/>
        <v>0</v>
      </c>
      <c r="X35" s="51">
        <f t="shared" si="302"/>
        <v>0</v>
      </c>
      <c r="Y35" s="51">
        <f t="shared" si="303"/>
        <v>0</v>
      </c>
      <c r="Z35" s="51">
        <f t="shared" si="304"/>
        <v>0</v>
      </c>
      <c r="AA35" s="51">
        <f t="shared" si="305"/>
        <v>70000</v>
      </c>
      <c r="AB35" s="51">
        <f t="shared" si="306"/>
        <v>70000</v>
      </c>
      <c r="AC35" s="51">
        <f t="shared" si="307"/>
        <v>1400</v>
      </c>
      <c r="AD35" s="51">
        <f t="shared" si="308"/>
        <v>1400</v>
      </c>
      <c r="AE35" s="51">
        <f t="shared" si="309"/>
        <v>56700</v>
      </c>
      <c r="AF35" s="51">
        <f t="shared" si="310"/>
        <v>56700</v>
      </c>
      <c r="AG35" s="51">
        <f t="shared" si="311"/>
        <v>13300</v>
      </c>
      <c r="AH35" s="54">
        <f t="shared" si="312"/>
        <v>0</v>
      </c>
      <c r="AI35" s="55">
        <f t="shared" si="313"/>
        <v>0</v>
      </c>
      <c r="AJ35" s="56">
        <f>IF(AND($E35&lt;&gt;0,$F35&gt;0,YEAR($F35)&gt;=Preisindex!$A$6,YEAR(AE$4)&gt;=YEAR($F35),AND($K35&lt;&gt;"a",$K35&lt;&gt;"b",$K35&lt;&gt;"g",$K35&lt;&gt;"k")),1,IF(AND($E35&lt;&gt;0,$F35&gt;0,YEAR($F35)&gt;=Preisindex!$A$6,YEAR(AE$4)&gt;=YEAR($F35),$K35="a"),ROUND(VLOOKUP(AJ$4,Preisindex,5,FALSE)/VLOOKUP(YEAR($F35),Preisindex,5,FALSE),2),IF(AND($E35&lt;&gt;0,$F35&gt;0,YEAR($F35)&gt;=Preisindex!$A$6,YEAR(AE$4)&gt;=YEAR($F35),$K35="b"),ROUND(VLOOKUP(AJ$4,Preisindex,3,FALSE)/VLOOKUP(YEAR($F35),Preisindex,3,FALSE),2),IF(AND($E35&lt;&gt;0,$F35&gt;0,YEAR($F35)&gt;=Preisindex!$A$6,YEAR(AE$4)&gt;=YEAR($F35),$K35="g"),ROUND(VLOOKUP(AJ$4,Preisindex,4,FALSE)/VLOOKUP(YEAR($F35),Preisindex,4,FALSE),2),IF(AND($E35&lt;&gt;0,$F35&gt;0,YEAR($F35)&gt;=Preisindex!$A$6,YEAR(AE$4)&gt;=YEAR($F35),$K35="k"),ROUND(VLOOKUP(AJ$4,Preisindex,2,FALSE)/VLOOKUP(YEAR($F35),Preisindex,2,FALSE),2),0)))))</f>
        <v>1.23</v>
      </c>
      <c r="AK35" s="56">
        <f>IF(AND($E35&lt;&gt;0,$F35&gt;0,YEAR($F35)&lt;Preisindex!$A$6,YEAR(AE$4)&gt;=YEAR($F35),AND($K35&lt;&gt;"a",$K35&lt;&gt;"b",$K35&lt;&gt;"g",$K35&lt;&gt;"k")),1,IF(AND($E35&lt;&gt;0,$F35&gt;0,YEAR($F35)&lt;Preisindex!$A$6,YEAR(AE$4)&gt;=YEAR($F35),$K35="a"),ROUND(VLOOKUP(AJ$4,Preisindex,5,FALSE)/VLOOKUP(Preisindex!$A$6,Preisindex,5,FALSE),2),IF(AND($E35&lt;&gt;0,$F35&gt;0,YEAR($F35)&lt;Preisindex!$A$6,YEAR(AE$4)&gt;=YEAR($F35),$K35="b"),ROUND(VLOOKUP(AJ$4,Preisindex,3,FALSE)/VLOOKUP(Preisindex!$A$6,Preisindex,3,FALSE),2),IF(AND($E35&lt;&gt;0,$F35&gt;0,YEAR($F35)&lt;Preisindex!$A$6,YEAR(AE$4)&gt;=YEAR($F35),$K35="g"),ROUND(VLOOKUP(AJ$4,Preisindex,4,FALSE)/VLOOKUP(Preisindex!$A$6,Preisindex,4,FALSE),2),IF(AND($E35&lt;&gt;0,$F35&gt;0,YEAR($F35)&lt;Preisindex!$A$6,YEAR(AE$4)&gt;=YEAR($F35),$K35="k"),ROUND(VLOOKUP(AJ$4,Preisindex,2,FALSE)/VLOOKUP(Preisindex!$A$6,Preisindex,2,FALSE),2),0)))))</f>
        <v>0</v>
      </c>
      <c r="AL35" s="51">
        <f>IF(AND($E35&lt;&gt;0,$F35&gt;0,YEAR($F35)&lt;=AJ$4,YEAR($F35)&gt;=Preisindex!$A$6),ROUND($E35*AJ35,2),IF(AND($E35&lt;&gt;0,$F35&gt;0,YEAR($F35)&lt;=AJ$4,YEAR($F35)&lt;Preisindex!$A$6),ROUND($E35*AK35,2),0))</f>
        <v>86100</v>
      </c>
      <c r="AM35" s="53">
        <f t="shared" si="314"/>
        <v>1722</v>
      </c>
      <c r="AN35" s="51">
        <f t="shared" si="315"/>
        <v>0</v>
      </c>
      <c r="AO35" s="51">
        <f t="shared" si="317"/>
        <v>0</v>
      </c>
      <c r="AP35" s="51">
        <f t="shared" si="146"/>
        <v>0</v>
      </c>
      <c r="AQ35" s="51">
        <f t="shared" si="318"/>
        <v>0</v>
      </c>
      <c r="AR35" s="51">
        <f t="shared" si="148"/>
        <v>70000</v>
      </c>
      <c r="AS35" s="51">
        <f t="shared" si="319"/>
        <v>70000</v>
      </c>
      <c r="AT35" s="51">
        <f t="shared" si="150"/>
        <v>1400</v>
      </c>
      <c r="AU35" s="51">
        <f t="shared" si="320"/>
        <v>1400</v>
      </c>
      <c r="AV35" s="51">
        <f t="shared" si="152"/>
        <v>55300</v>
      </c>
      <c r="AW35" s="51">
        <f t="shared" si="321"/>
        <v>55300</v>
      </c>
      <c r="AX35" s="51">
        <f t="shared" si="154"/>
        <v>14700</v>
      </c>
      <c r="AY35" s="54">
        <f t="shared" si="155"/>
        <v>0</v>
      </c>
      <c r="AZ35" s="55">
        <f t="shared" si="156"/>
        <v>0</v>
      </c>
      <c r="BA35" s="56">
        <f>IF(AND($E35&lt;&gt;0,$F35&gt;0,YEAR($F35)&gt;=Preisindex!$A$6,YEAR(AV$4)&gt;=YEAR($F35),AND($K35&lt;&gt;"a",$K35&lt;&gt;"b",$K35&lt;&gt;"g",$K35&lt;&gt;"k")),1,IF(AND($E35&lt;&gt;0,$F35&gt;0,YEAR($F35)&gt;=Preisindex!$A$6,YEAR(AV$4)&gt;=YEAR($F35),$K35="a"),ROUND(VLOOKUP(BA$4,Preisindex,5,FALSE)/VLOOKUP(YEAR($F35),Preisindex,5,FALSE),2),IF(AND($E35&lt;&gt;0,$F35&gt;0,YEAR($F35)&gt;=Preisindex!$A$6,YEAR(AV$4)&gt;=YEAR($F35),$K35="b"),ROUND(VLOOKUP(BA$4,Preisindex,3,FALSE)/VLOOKUP(YEAR($F35),Preisindex,3,FALSE),2),IF(AND($E35&lt;&gt;0,$F35&gt;0,YEAR($F35)&gt;=Preisindex!$A$6,YEAR(AV$4)&gt;=YEAR($F35),$K35="g"),ROUND(VLOOKUP(BA$4,Preisindex,4,FALSE)/VLOOKUP(YEAR($F35),Preisindex,4,FALSE),2),IF(AND($E35&lt;&gt;0,$F35&gt;0,YEAR($F35)&gt;=Preisindex!$A$6,YEAR(AV$4)&gt;=YEAR($F35),$K35="k"),ROUND(VLOOKUP(BA$4,Preisindex,2,FALSE)/VLOOKUP(YEAR($F35),Preisindex,2,FALSE),2),0)))))</f>
        <v>1.25</v>
      </c>
      <c r="BB35" s="56">
        <f>IF(AND($E35&lt;&gt;0,$F35&gt;0,YEAR($F35)&lt;Preisindex!$A$6,YEAR(AV$4)&gt;=YEAR($F35),AND($K35&lt;&gt;"a",$K35&lt;&gt;"b",$K35&lt;&gt;"g",$K35&lt;&gt;"k")),1,IF(AND($E35&lt;&gt;0,$F35&gt;0,YEAR($F35)&lt;Preisindex!$A$6,YEAR(AV$4)&gt;=YEAR($F35),$K35="a"),ROUND(VLOOKUP(BA$4,Preisindex,5,FALSE)/VLOOKUP(Preisindex!$A$6,Preisindex,5,FALSE),2),IF(AND($E35&lt;&gt;0,$F35&gt;0,YEAR($F35)&lt;Preisindex!$A$6,YEAR(AV$4)&gt;=YEAR($F35),$K35="b"),ROUND(VLOOKUP(BA$4,Preisindex,3,FALSE)/VLOOKUP(Preisindex!$A$6,Preisindex,3,FALSE),2),IF(AND($E35&lt;&gt;0,$F35&gt;0,YEAR($F35)&lt;Preisindex!$A$6,YEAR(AV$4)&gt;=YEAR($F35),$K35="g"),ROUND(VLOOKUP(BA$4,Preisindex,4,FALSE)/VLOOKUP(Preisindex!$A$6,Preisindex,4,FALSE),2),IF(AND($E35&lt;&gt;0,$F35&gt;0,YEAR($F35)&lt;Preisindex!$A$6,YEAR(AV$4)&gt;=YEAR($F35),$K35="k"),ROUND(VLOOKUP(BA$4,Preisindex,2,FALSE)/VLOOKUP(Preisindex!$A$6,Preisindex,2,FALSE),2),0)))))</f>
        <v>0</v>
      </c>
      <c r="BC35" s="51">
        <f>IF(AND($E35&lt;&gt;0,$F35&gt;0,YEAR($F35)&lt;=BA$4,YEAR($F35)&gt;=Preisindex!$A$6),ROUND($E35*BA35,2),IF(AND($E35&lt;&gt;0,$F35&gt;0,YEAR($F35)&lt;=BA$4,YEAR($F35)&lt;Preisindex!$A$6),ROUND($E35*BB35,2),0))</f>
        <v>87500</v>
      </c>
      <c r="BD35" s="53">
        <f t="shared" si="157"/>
        <v>1750</v>
      </c>
      <c r="BE35" s="51">
        <f t="shared" si="315"/>
        <v>0</v>
      </c>
      <c r="BF35" s="51">
        <f t="shared" si="322"/>
        <v>0</v>
      </c>
      <c r="BG35" s="51">
        <f t="shared" si="160"/>
        <v>0</v>
      </c>
      <c r="BH35" s="51">
        <f t="shared" si="323"/>
        <v>0</v>
      </c>
      <c r="BI35" s="51">
        <f t="shared" si="162"/>
        <v>70000</v>
      </c>
      <c r="BJ35" s="51">
        <f t="shared" si="324"/>
        <v>70000</v>
      </c>
      <c r="BK35" s="51">
        <f t="shared" si="164"/>
        <v>1400</v>
      </c>
      <c r="BL35" s="51">
        <f t="shared" si="325"/>
        <v>1400</v>
      </c>
      <c r="BM35" s="51">
        <f t="shared" si="166"/>
        <v>53900</v>
      </c>
      <c r="BN35" s="51">
        <f t="shared" si="326"/>
        <v>53900</v>
      </c>
      <c r="BO35" s="51">
        <f t="shared" si="168"/>
        <v>16100</v>
      </c>
      <c r="BP35" s="54">
        <f t="shared" si="169"/>
        <v>0</v>
      </c>
      <c r="BQ35" s="55">
        <f t="shared" si="170"/>
        <v>0</v>
      </c>
      <c r="BR35" s="56">
        <f>IF(AND($E35&lt;&gt;0,$F35&gt;0,YEAR($F35)&gt;=Preisindex!$A$6,YEAR(BM$4)&gt;=YEAR($F35),AND($K35&lt;&gt;"a",$K35&lt;&gt;"b",$K35&lt;&gt;"g",$K35&lt;&gt;"k")),1,IF(AND($E35&lt;&gt;0,$F35&gt;0,YEAR($F35)&gt;=Preisindex!$A$6,YEAR(BM$4)&gt;=YEAR($F35),$K35="a"),ROUND(VLOOKUP(BR$4,Preisindex,5,FALSE)/VLOOKUP(YEAR($F35),Preisindex,5,FALSE),2),IF(AND($E35&lt;&gt;0,$F35&gt;0,YEAR($F35)&gt;=Preisindex!$A$6,YEAR(BM$4)&gt;=YEAR($F35),$K35="b"),ROUND(VLOOKUP(BR$4,Preisindex,3,FALSE)/VLOOKUP(YEAR($F35),Preisindex,3,FALSE),2),IF(AND($E35&lt;&gt;0,$F35&gt;0,YEAR($F35)&gt;=Preisindex!$A$6,YEAR(BM$4)&gt;=YEAR($F35),$K35="g"),ROUND(VLOOKUP(BR$4,Preisindex,4,FALSE)/VLOOKUP(YEAR($F35),Preisindex,4,FALSE),2),IF(AND($E35&lt;&gt;0,$F35&gt;0,YEAR($F35)&gt;=Preisindex!$A$6,YEAR(BM$4)&gt;=YEAR($F35),$K35="k"),ROUND(VLOOKUP(BR$4,Preisindex,2,FALSE)/VLOOKUP(YEAR($F35),Preisindex,2,FALSE),2),0)))))</f>
        <v>1.27</v>
      </c>
      <c r="BS35" s="56">
        <f>IF(AND($E35&lt;&gt;0,$F35&gt;0,YEAR($F35)&lt;Preisindex!$A$6,YEAR(BM$4)&gt;=YEAR($F35),AND($K35&lt;&gt;"a",$K35&lt;&gt;"b",$K35&lt;&gt;"g",$K35&lt;&gt;"k")),1,IF(AND($E35&lt;&gt;0,$F35&gt;0,YEAR($F35)&lt;Preisindex!$A$6,YEAR(BM$4)&gt;=YEAR($F35),$K35="a"),ROUND(VLOOKUP(BR$4,Preisindex,5,FALSE)/VLOOKUP(Preisindex!$A$6,Preisindex,5,FALSE),2),IF(AND($E35&lt;&gt;0,$F35&gt;0,YEAR($F35)&lt;Preisindex!$A$6,YEAR(BM$4)&gt;=YEAR($F35),$K35="b"),ROUND(VLOOKUP(BR$4,Preisindex,3,FALSE)/VLOOKUP(Preisindex!$A$6,Preisindex,3,FALSE),2),IF(AND($E35&lt;&gt;0,$F35&gt;0,YEAR($F35)&lt;Preisindex!$A$6,YEAR(BM$4)&gt;=YEAR($F35),$K35="g"),ROUND(VLOOKUP(BR$4,Preisindex,4,FALSE)/VLOOKUP(Preisindex!$A$6,Preisindex,4,FALSE),2),IF(AND($E35&lt;&gt;0,$F35&gt;0,YEAR($F35)&lt;Preisindex!$A$6,YEAR(BM$4)&gt;=YEAR($F35),$K35="k"),ROUND(VLOOKUP(BR$4,Preisindex,2,FALSE)/VLOOKUP(Preisindex!$A$6,Preisindex,2,FALSE),2),0)))))</f>
        <v>0</v>
      </c>
      <c r="BT35" s="51">
        <f>IF(AND($E35&lt;&gt;0,$F35&gt;0,YEAR($F35)&lt;=BR$4,YEAR($F35)&gt;=Preisindex!$A$6),ROUND($E35*BR35,2),IF(AND($E35&lt;&gt;0,$F35&gt;0,YEAR($F35)&lt;=BR$4,YEAR($F35)&lt;Preisindex!$A$6),ROUND($E35*BS35,2),0))</f>
        <v>88900</v>
      </c>
      <c r="BU35" s="53">
        <f t="shared" si="171"/>
        <v>1778</v>
      </c>
      <c r="BV35" s="51">
        <f t="shared" si="315"/>
        <v>0</v>
      </c>
      <c r="BW35" s="51">
        <f t="shared" si="327"/>
        <v>0</v>
      </c>
      <c r="BX35" s="51">
        <f t="shared" si="174"/>
        <v>0</v>
      </c>
      <c r="BY35" s="51">
        <f t="shared" si="328"/>
        <v>0</v>
      </c>
      <c r="BZ35" s="51">
        <f t="shared" si="176"/>
        <v>70000</v>
      </c>
      <c r="CA35" s="51">
        <f t="shared" si="329"/>
        <v>70000</v>
      </c>
      <c r="CB35" s="51">
        <f t="shared" si="178"/>
        <v>1400</v>
      </c>
      <c r="CC35" s="51">
        <f t="shared" si="330"/>
        <v>1400</v>
      </c>
      <c r="CD35" s="51">
        <f t="shared" si="180"/>
        <v>52500</v>
      </c>
      <c r="CE35" s="51">
        <f t="shared" si="331"/>
        <v>52500</v>
      </c>
      <c r="CF35" s="51">
        <f t="shared" si="182"/>
        <v>17500</v>
      </c>
      <c r="CG35" s="54">
        <f t="shared" si="183"/>
        <v>0</v>
      </c>
      <c r="CH35" s="55">
        <f t="shared" si="184"/>
        <v>0</v>
      </c>
      <c r="CI35" s="56">
        <f>IF(AND($E35&lt;&gt;0,$F35&gt;0,YEAR($F35)&gt;=Preisindex!$A$6,YEAR(CD$4)&gt;=YEAR($F35),AND($K35&lt;&gt;"a",$K35&lt;&gt;"b",$K35&lt;&gt;"g",$K35&lt;&gt;"k")),1,IF(AND($E35&lt;&gt;0,$F35&gt;0,YEAR($F35)&gt;=Preisindex!$A$6,YEAR(CD$4)&gt;=YEAR($F35),$K35="a"),ROUND(VLOOKUP(CI$4,Preisindex,5,FALSE)/VLOOKUP(YEAR($F35),Preisindex,5,FALSE),2),IF(AND($E35&lt;&gt;0,$F35&gt;0,YEAR($F35)&gt;=Preisindex!$A$6,YEAR(CD$4)&gt;=YEAR($F35),$K35="b"),ROUND(VLOOKUP(CI$4,Preisindex,3,FALSE)/VLOOKUP(YEAR($F35),Preisindex,3,FALSE),2),IF(AND($E35&lt;&gt;0,$F35&gt;0,YEAR($F35)&gt;=Preisindex!$A$6,YEAR(CD$4)&gt;=YEAR($F35),$K35="g"),ROUND(VLOOKUP(CI$4,Preisindex,4,FALSE)/VLOOKUP(YEAR($F35),Preisindex,4,FALSE),2),IF(AND($E35&lt;&gt;0,$F35&gt;0,YEAR($F35)&gt;=Preisindex!$A$6,YEAR(CD$4)&gt;=YEAR($F35),$K35="k"),ROUND(VLOOKUP(CI$4,Preisindex,2,FALSE)/VLOOKUP(YEAR($F35),Preisindex,2,FALSE),2),0)))))</f>
        <v>1.28</v>
      </c>
      <c r="CJ35" s="56">
        <f>IF(AND($E35&lt;&gt;0,$F35&gt;0,YEAR($F35)&lt;Preisindex!$A$6,YEAR(CD$4)&gt;=YEAR($F35),AND($K35&lt;&gt;"a",$K35&lt;&gt;"b",$K35&lt;&gt;"g",$K35&lt;&gt;"k")),1,IF(AND($E35&lt;&gt;0,$F35&gt;0,YEAR($F35)&lt;Preisindex!$A$6,YEAR(CD$4)&gt;=YEAR($F35),$K35="a"),ROUND(VLOOKUP(CI$4,Preisindex,5,FALSE)/VLOOKUP(Preisindex!$A$6,Preisindex,5,FALSE),2),IF(AND($E35&lt;&gt;0,$F35&gt;0,YEAR($F35)&lt;Preisindex!$A$6,YEAR(CD$4)&gt;=YEAR($F35),$K35="b"),ROUND(VLOOKUP(CI$4,Preisindex,3,FALSE)/VLOOKUP(Preisindex!$A$6,Preisindex,3,FALSE),2),IF(AND($E35&lt;&gt;0,$F35&gt;0,YEAR($F35)&lt;Preisindex!$A$6,YEAR(CD$4)&gt;=YEAR($F35),$K35="g"),ROUND(VLOOKUP(CI$4,Preisindex,4,FALSE)/VLOOKUP(Preisindex!$A$6,Preisindex,4,FALSE),2),IF(AND($E35&lt;&gt;0,$F35&gt;0,YEAR($F35)&lt;Preisindex!$A$6,YEAR(CD$4)&gt;=YEAR($F35),$K35="k"),ROUND(VLOOKUP(CI$4,Preisindex,2,FALSE)/VLOOKUP(Preisindex!$A$6,Preisindex,2,FALSE),2),0)))))</f>
        <v>0</v>
      </c>
      <c r="CK35" s="51">
        <f>IF(AND($E35&lt;&gt;0,$F35&gt;0,YEAR($F35)&lt;=CI$4,YEAR($F35)&gt;=Preisindex!$A$6),ROUND($E35*CI35,2),IF(AND($E35&lt;&gt;0,$F35&gt;0,YEAR($F35)&lt;=CI$4,YEAR($F35)&lt;Preisindex!$A$6),ROUND($E35*CJ35,2),0))</f>
        <v>89600</v>
      </c>
      <c r="CL35" s="53">
        <f t="shared" si="185"/>
        <v>1792</v>
      </c>
      <c r="CM35" s="51">
        <f t="shared" si="315"/>
        <v>0</v>
      </c>
      <c r="CN35" s="51">
        <f t="shared" si="332"/>
        <v>0</v>
      </c>
      <c r="CO35" s="51">
        <f t="shared" si="188"/>
        <v>0</v>
      </c>
      <c r="CP35" s="51">
        <f t="shared" si="333"/>
        <v>0</v>
      </c>
      <c r="CQ35" s="51">
        <f t="shared" si="190"/>
        <v>70000</v>
      </c>
      <c r="CR35" s="51">
        <f t="shared" si="334"/>
        <v>70000</v>
      </c>
      <c r="CS35" s="51">
        <f t="shared" si="192"/>
        <v>1400</v>
      </c>
      <c r="CT35" s="51">
        <f t="shared" si="335"/>
        <v>1400</v>
      </c>
      <c r="CU35" s="51">
        <f t="shared" si="194"/>
        <v>51100</v>
      </c>
      <c r="CV35" s="51">
        <f t="shared" si="336"/>
        <v>51100</v>
      </c>
      <c r="CW35" s="51">
        <f t="shared" si="196"/>
        <v>18900</v>
      </c>
      <c r="CX35" s="54">
        <f t="shared" si="197"/>
        <v>0</v>
      </c>
      <c r="CY35" s="55">
        <f t="shared" si="198"/>
        <v>0</v>
      </c>
      <c r="CZ35" s="56">
        <f>IF(AND($E35&lt;&gt;0,$F35&gt;0,YEAR($F35)&gt;=Preisindex!$A$6,YEAR(CU$4)&gt;=YEAR($F35),AND($K35&lt;&gt;"a",$K35&lt;&gt;"b",$K35&lt;&gt;"g",$K35&lt;&gt;"k")),1,IF(AND($E35&lt;&gt;0,$F35&gt;0,YEAR($F35)&gt;=Preisindex!$A$6,YEAR(CU$4)&gt;=YEAR($F35),$K35="a"),ROUND(VLOOKUP(CZ$4,Preisindex,5,FALSE)/VLOOKUP(YEAR($F35),Preisindex,5,FALSE),2),IF(AND($E35&lt;&gt;0,$F35&gt;0,YEAR($F35)&gt;=Preisindex!$A$6,YEAR(CU$4)&gt;=YEAR($F35),$K35="b"),ROUND(VLOOKUP(CZ$4,Preisindex,3,FALSE)/VLOOKUP(YEAR($F35),Preisindex,3,FALSE),2),IF(AND($E35&lt;&gt;0,$F35&gt;0,YEAR($F35)&gt;=Preisindex!$A$6,YEAR(CU$4)&gt;=YEAR($F35),$K35="g"),ROUND(VLOOKUP(CZ$4,Preisindex,4,FALSE)/VLOOKUP(YEAR($F35),Preisindex,4,FALSE),2),IF(AND($E35&lt;&gt;0,$F35&gt;0,YEAR($F35)&gt;=Preisindex!$A$6,YEAR(CU$4)&gt;=YEAR($F35),$K35="k"),ROUND(VLOOKUP(CZ$4,Preisindex,2,FALSE)/VLOOKUP(YEAR($F35),Preisindex,2,FALSE),2),0)))))</f>
        <v>1.31</v>
      </c>
      <c r="DA35" s="56">
        <f>IF(AND($E35&lt;&gt;0,$F35&gt;0,YEAR($F35)&lt;Preisindex!$A$6,YEAR(CU$4)&gt;=YEAR($F35),AND($K35&lt;&gt;"a",$K35&lt;&gt;"b",$K35&lt;&gt;"g",$K35&lt;&gt;"k")),1,IF(AND($E35&lt;&gt;0,$F35&gt;0,YEAR($F35)&lt;Preisindex!$A$6,YEAR(CU$4)&gt;=YEAR($F35),$K35="a"),ROUND(VLOOKUP(CZ$4,Preisindex,5,FALSE)/VLOOKUP(Preisindex!$A$6,Preisindex,5,FALSE),2),IF(AND($E35&lt;&gt;0,$F35&gt;0,YEAR($F35)&lt;Preisindex!$A$6,YEAR(CU$4)&gt;=YEAR($F35),$K35="b"),ROUND(VLOOKUP(CZ$4,Preisindex,3,FALSE)/VLOOKUP(Preisindex!$A$6,Preisindex,3,FALSE),2),IF(AND($E35&lt;&gt;0,$F35&gt;0,YEAR($F35)&lt;Preisindex!$A$6,YEAR(CU$4)&gt;=YEAR($F35),$K35="g"),ROUND(VLOOKUP(CZ$4,Preisindex,4,FALSE)/VLOOKUP(Preisindex!$A$6,Preisindex,4,FALSE),2),IF(AND($E35&lt;&gt;0,$F35&gt;0,YEAR($F35)&lt;Preisindex!$A$6,YEAR(CU$4)&gt;=YEAR($F35),$K35="k"),ROUND(VLOOKUP(CZ$4,Preisindex,2,FALSE)/VLOOKUP(Preisindex!$A$6,Preisindex,2,FALSE),2),0)))))</f>
        <v>0</v>
      </c>
      <c r="DB35" s="51">
        <f>IF(AND($E35&lt;&gt;0,$F35&gt;0,YEAR($F35)&lt;=CZ$4,YEAR($F35)&gt;=Preisindex!$A$6),ROUND($E35*CZ35,2),IF(AND($E35&lt;&gt;0,$F35&gt;0,YEAR($F35)&lt;=CZ$4,YEAR($F35)&lt;Preisindex!$A$6),ROUND($E35*DA35,2),0))</f>
        <v>91700</v>
      </c>
      <c r="DC35" s="53">
        <f t="shared" si="199"/>
        <v>1834</v>
      </c>
      <c r="DD35" s="51">
        <f t="shared" si="316"/>
        <v>0</v>
      </c>
      <c r="DE35" s="51">
        <f t="shared" si="337"/>
        <v>0</v>
      </c>
      <c r="DF35" s="51">
        <f t="shared" si="202"/>
        <v>0</v>
      </c>
      <c r="DG35" s="51">
        <f t="shared" si="338"/>
        <v>0</v>
      </c>
      <c r="DH35" s="51">
        <f t="shared" si="204"/>
        <v>70000</v>
      </c>
      <c r="DI35" s="51">
        <f t="shared" si="339"/>
        <v>70000</v>
      </c>
      <c r="DJ35" s="51">
        <f t="shared" si="206"/>
        <v>1400</v>
      </c>
      <c r="DK35" s="51">
        <f t="shared" si="340"/>
        <v>1400</v>
      </c>
      <c r="DL35" s="51">
        <f t="shared" si="208"/>
        <v>49700</v>
      </c>
      <c r="DM35" s="51">
        <f t="shared" si="341"/>
        <v>49700</v>
      </c>
      <c r="DN35" s="51">
        <f t="shared" si="210"/>
        <v>20300</v>
      </c>
      <c r="DO35" s="54">
        <f t="shared" si="211"/>
        <v>0</v>
      </c>
      <c r="DP35" s="55">
        <f t="shared" si="212"/>
        <v>0</v>
      </c>
      <c r="DQ35" s="56">
        <f>IF(AND($E35&lt;&gt;0,$F35&gt;0,YEAR($F35)&gt;=Preisindex!$A$6,YEAR(DL$4)&gt;=YEAR($F35),AND($K35&lt;&gt;"a",$K35&lt;&gt;"b",$K35&lt;&gt;"g",$K35&lt;&gt;"k")),1,IF(AND($E35&lt;&gt;0,$F35&gt;0,YEAR($F35)&gt;=Preisindex!$A$6,YEAR(DL$4)&gt;=YEAR($F35),$K35="a"),ROUND(VLOOKUP(DQ$4,Preisindex,5,FALSE)/VLOOKUP(YEAR($F35),Preisindex,5,FALSE),2),IF(AND($E35&lt;&gt;0,$F35&gt;0,YEAR($F35)&gt;=Preisindex!$A$6,YEAR(DL$4)&gt;=YEAR($F35),$K35="b"),ROUND(VLOOKUP(DQ$4,Preisindex,3,FALSE)/VLOOKUP(YEAR($F35),Preisindex,3,FALSE),2),IF(AND($E35&lt;&gt;0,$F35&gt;0,YEAR($F35)&gt;=Preisindex!$A$6,YEAR(DL$4)&gt;=YEAR($F35),$K35="g"),ROUND(VLOOKUP(DQ$4,Preisindex,4,FALSE)/VLOOKUP(YEAR($F35),Preisindex,4,FALSE),2),IF(AND($E35&lt;&gt;0,$F35&gt;0,YEAR($F35)&gt;=Preisindex!$A$6,YEAR(DL$4)&gt;=YEAR($F35),$K35="k"),ROUND(VLOOKUP(DQ$4,Preisindex,2,FALSE)/VLOOKUP(YEAR($F35),Preisindex,2,FALSE),2),0)))))</f>
        <v>1.35</v>
      </c>
      <c r="DR35" s="56">
        <f>IF(AND($E35&lt;&gt;0,$F35&gt;0,YEAR($F35)&lt;Preisindex!$A$6,YEAR(DL$4)&gt;=YEAR($F35),AND($K35&lt;&gt;"a",$K35&lt;&gt;"b",$K35&lt;&gt;"g",$K35&lt;&gt;"k")),1,IF(AND($E35&lt;&gt;0,$F35&gt;0,YEAR($F35)&lt;Preisindex!$A$6,YEAR(DL$4)&gt;=YEAR($F35),$K35="a"),ROUND(VLOOKUP(DQ$4,Preisindex,5,FALSE)/VLOOKUP(Preisindex!$A$6,Preisindex,5,FALSE),2),IF(AND($E35&lt;&gt;0,$F35&gt;0,YEAR($F35)&lt;Preisindex!$A$6,YEAR(DL$4)&gt;=YEAR($F35),$K35="b"),ROUND(VLOOKUP(DQ$4,Preisindex,3,FALSE)/VLOOKUP(Preisindex!$A$6,Preisindex,3,FALSE),2),IF(AND($E35&lt;&gt;0,$F35&gt;0,YEAR($F35)&lt;Preisindex!$A$6,YEAR(DL$4)&gt;=YEAR($F35),$K35="g"),ROUND(VLOOKUP(DQ$4,Preisindex,4,FALSE)/VLOOKUP(Preisindex!$A$6,Preisindex,4,FALSE),2),IF(AND($E35&lt;&gt;0,$F35&gt;0,YEAR($F35)&lt;Preisindex!$A$6,YEAR(DL$4)&gt;=YEAR($F35),$K35="k"),ROUND(VLOOKUP(DQ$4,Preisindex,2,FALSE)/VLOOKUP(Preisindex!$A$6,Preisindex,2,FALSE),2),0)))))</f>
        <v>0</v>
      </c>
      <c r="DS35" s="51">
        <f>IF(AND($E35&lt;&gt;0,$F35&gt;0,YEAR($F35)&lt;=DQ$4,YEAR($F35)&gt;=Preisindex!$A$6),ROUND($E35*DQ35,2),IF(AND($E35&lt;&gt;0,$F35&gt;0,YEAR($F35)&lt;=DQ$4,YEAR($F35)&lt;Preisindex!$A$6),ROUND($E35*DR35,2),0))</f>
        <v>94500</v>
      </c>
      <c r="DT35" s="53">
        <f t="shared" si="213"/>
        <v>1890</v>
      </c>
      <c r="DU35" s="51">
        <f t="shared" si="316"/>
        <v>0</v>
      </c>
      <c r="DV35" s="51">
        <f t="shared" si="342"/>
        <v>0</v>
      </c>
      <c r="DW35" s="51">
        <f t="shared" si="216"/>
        <v>0</v>
      </c>
      <c r="DX35" s="51">
        <f t="shared" si="343"/>
        <v>0</v>
      </c>
      <c r="DY35" s="51">
        <f t="shared" si="218"/>
        <v>70000</v>
      </c>
      <c r="DZ35" s="51">
        <f t="shared" si="344"/>
        <v>70000</v>
      </c>
      <c r="EA35" s="51">
        <f t="shared" si="220"/>
        <v>1400</v>
      </c>
      <c r="EB35" s="51">
        <f t="shared" si="345"/>
        <v>1400</v>
      </c>
      <c r="EC35" s="51">
        <f t="shared" si="222"/>
        <v>48300</v>
      </c>
      <c r="ED35" s="51">
        <f t="shared" si="346"/>
        <v>48300</v>
      </c>
      <c r="EE35" s="51">
        <f t="shared" si="224"/>
        <v>21700</v>
      </c>
      <c r="EF35" s="54">
        <f t="shared" si="225"/>
        <v>0</v>
      </c>
      <c r="EG35" s="55">
        <f t="shared" si="226"/>
        <v>0</v>
      </c>
      <c r="EH35" s="56">
        <f>IF(AND($E35&lt;&gt;0,$F35&gt;0,YEAR($F35)&gt;=Preisindex!$A$6,YEAR(EC$4)&gt;=YEAR($F35),AND($K35&lt;&gt;"a",$K35&lt;&gt;"b",$K35&lt;&gt;"g",$K35&lt;&gt;"k")),1,IF(AND($E35&lt;&gt;0,$F35&gt;0,YEAR($F35)&gt;=Preisindex!$A$6,YEAR(EC$4)&gt;=YEAR($F35),$K35="a"),ROUND(VLOOKUP(EH$4,Preisindex,5,FALSE)/VLOOKUP(YEAR($F35),Preisindex,5,FALSE),2),IF(AND($E35&lt;&gt;0,$F35&gt;0,YEAR($F35)&gt;=Preisindex!$A$6,YEAR(EC$4)&gt;=YEAR($F35),$K35="b"),ROUND(VLOOKUP(EH$4,Preisindex,3,FALSE)/VLOOKUP(YEAR($F35),Preisindex,3,FALSE),2),IF(AND($E35&lt;&gt;0,$F35&gt;0,YEAR($F35)&gt;=Preisindex!$A$6,YEAR(EC$4)&gt;=YEAR($F35),$K35="g"),ROUND(VLOOKUP(EH$4,Preisindex,4,FALSE)/VLOOKUP(YEAR($F35),Preisindex,4,FALSE),2),IF(AND($E35&lt;&gt;0,$F35&gt;0,YEAR($F35)&gt;=Preisindex!$A$6,YEAR(EC$4)&gt;=YEAR($F35),$K35="k"),ROUND(VLOOKUP(EH$4,Preisindex,2,FALSE)/VLOOKUP(YEAR($F35),Preisindex,2,FALSE),2),0)))))</f>
        <v>1.42</v>
      </c>
      <c r="EI35" s="56">
        <f>IF(AND($E35&lt;&gt;0,$F35&gt;0,YEAR($F35)&lt;Preisindex!$A$6,YEAR(EC$4)&gt;=YEAR($F35),AND($K35&lt;&gt;"a",$K35&lt;&gt;"b",$K35&lt;&gt;"g",$K35&lt;&gt;"k")),1,IF(AND($E35&lt;&gt;0,$F35&gt;0,YEAR($F35)&lt;Preisindex!$A$6,YEAR(EC$4)&gt;=YEAR($F35),$K35="a"),ROUND(VLOOKUP(EH$4,Preisindex,5,FALSE)/VLOOKUP(Preisindex!$A$6,Preisindex,5,FALSE),2),IF(AND($E35&lt;&gt;0,$F35&gt;0,YEAR($F35)&lt;Preisindex!$A$6,YEAR(EC$4)&gt;=YEAR($F35),$K35="b"),ROUND(VLOOKUP(EH$4,Preisindex,3,FALSE)/VLOOKUP(Preisindex!$A$6,Preisindex,3,FALSE),2),IF(AND($E35&lt;&gt;0,$F35&gt;0,YEAR($F35)&lt;Preisindex!$A$6,YEAR(EC$4)&gt;=YEAR($F35),$K35="g"),ROUND(VLOOKUP(EH$4,Preisindex,4,FALSE)/VLOOKUP(Preisindex!$A$6,Preisindex,4,FALSE),2),IF(AND($E35&lt;&gt;0,$F35&gt;0,YEAR($F35)&lt;Preisindex!$A$6,YEAR(EC$4)&gt;=YEAR($F35),$K35="k"),ROUND(VLOOKUP(EH$4,Preisindex,2,FALSE)/VLOOKUP(Preisindex!$A$6,Preisindex,2,FALSE),2),0)))))</f>
        <v>0</v>
      </c>
      <c r="EJ35" s="51">
        <f>IF(AND($E35&lt;&gt;0,$F35&gt;0,YEAR($F35)&lt;=EH$4,YEAR($F35)&gt;=Preisindex!$A$6),ROUND($E35*EH35,2),IF(AND($E35&lt;&gt;0,$F35&gt;0,YEAR($F35)&lt;=EH$4,YEAR($F35)&lt;Preisindex!$A$6),ROUND($E35*EI35,2),0))</f>
        <v>99400</v>
      </c>
      <c r="EK35" s="53">
        <f t="shared" si="227"/>
        <v>1988</v>
      </c>
      <c r="EL35" s="51">
        <f t="shared" si="316"/>
        <v>0</v>
      </c>
      <c r="EM35" s="51">
        <f t="shared" si="347"/>
        <v>0</v>
      </c>
      <c r="EN35" s="51">
        <f t="shared" si="230"/>
        <v>0</v>
      </c>
      <c r="EO35" s="51">
        <f t="shared" si="348"/>
        <v>0</v>
      </c>
      <c r="EP35" s="51">
        <f t="shared" si="232"/>
        <v>70000</v>
      </c>
      <c r="EQ35" s="51">
        <f t="shared" si="349"/>
        <v>70000</v>
      </c>
      <c r="ER35" s="51">
        <f t="shared" si="234"/>
        <v>1400</v>
      </c>
      <c r="ES35" s="51">
        <f t="shared" si="350"/>
        <v>1400</v>
      </c>
      <c r="ET35" s="51">
        <f t="shared" si="236"/>
        <v>46900</v>
      </c>
      <c r="EU35" s="51">
        <f t="shared" si="351"/>
        <v>46900</v>
      </c>
      <c r="EV35" s="51">
        <f t="shared" si="238"/>
        <v>23100</v>
      </c>
      <c r="EW35" s="54">
        <f t="shared" si="239"/>
        <v>0</v>
      </c>
      <c r="EX35" s="55">
        <f t="shared" si="240"/>
        <v>0</v>
      </c>
      <c r="EY35" s="56">
        <f>IF(AND($E35&lt;&gt;0,$F35&gt;0,YEAR($F35)&gt;=Preisindex!$A$6,YEAR(ET$4)&gt;=YEAR($F35),AND($K35&lt;&gt;"a",$K35&lt;&gt;"b",$K35&lt;&gt;"g",$K35&lt;&gt;"k")),1,IF(AND($E35&lt;&gt;0,$F35&gt;0,YEAR($F35)&gt;=Preisindex!$A$6,YEAR(ET$4)&gt;=YEAR($F35),$K35="a"),ROUND(VLOOKUP(EY$4,Preisindex,5,FALSE)/VLOOKUP(YEAR($F35),Preisindex,5,FALSE),2),IF(AND($E35&lt;&gt;0,$F35&gt;0,YEAR($F35)&gt;=Preisindex!$A$6,YEAR(ET$4)&gt;=YEAR($F35),$K35="b"),ROUND(VLOOKUP(EY$4,Preisindex,3,FALSE)/VLOOKUP(YEAR($F35),Preisindex,3,FALSE),2),IF(AND($E35&lt;&gt;0,$F35&gt;0,YEAR($F35)&gt;=Preisindex!$A$6,YEAR(ET$4)&gt;=YEAR($F35),$K35="g"),ROUND(VLOOKUP(EY$4,Preisindex,4,FALSE)/VLOOKUP(YEAR($F35),Preisindex,4,FALSE),2),IF(AND($E35&lt;&gt;0,$F35&gt;0,YEAR($F35)&gt;=Preisindex!$A$6,YEAR(ET$4)&gt;=YEAR($F35),$K35="k"),ROUND(VLOOKUP(EY$4,Preisindex,2,FALSE)/VLOOKUP(YEAR($F35),Preisindex,2,FALSE),2),0)))))</f>
        <v>1.42</v>
      </c>
      <c r="EZ35" s="56">
        <f>IF(AND($E35&lt;&gt;0,$F35&gt;0,YEAR($F35)&lt;Preisindex!$A$6,YEAR(ET$4)&gt;=YEAR($F35),AND($K35&lt;&gt;"a",$K35&lt;&gt;"b",$K35&lt;&gt;"g",$K35&lt;&gt;"k")),1,IF(AND($E35&lt;&gt;0,$F35&gt;0,YEAR($F35)&lt;Preisindex!$A$6,YEAR(ET$4)&gt;=YEAR($F35),$K35="a"),ROUND(VLOOKUP(EY$4,Preisindex,5,FALSE)/VLOOKUP(Preisindex!$A$6,Preisindex,5,FALSE),2),IF(AND($E35&lt;&gt;0,$F35&gt;0,YEAR($F35)&lt;Preisindex!$A$6,YEAR(ET$4)&gt;=YEAR($F35),$K35="b"),ROUND(VLOOKUP(EY$4,Preisindex,3,FALSE)/VLOOKUP(Preisindex!$A$6,Preisindex,3,FALSE),2),IF(AND($E35&lt;&gt;0,$F35&gt;0,YEAR($F35)&lt;Preisindex!$A$6,YEAR(ET$4)&gt;=YEAR($F35),$K35="g"),ROUND(VLOOKUP(EY$4,Preisindex,4,FALSE)/VLOOKUP(Preisindex!$A$6,Preisindex,4,FALSE),2),IF(AND($E35&lt;&gt;0,$F35&gt;0,YEAR($F35)&lt;Preisindex!$A$6,YEAR(ET$4)&gt;=YEAR($F35),$K35="k"),ROUND(VLOOKUP(EY$4,Preisindex,2,FALSE)/VLOOKUP(Preisindex!$A$6,Preisindex,2,FALSE),2),0)))))</f>
        <v>0</v>
      </c>
      <c r="FA35" s="51">
        <f>IF(AND($E35&lt;&gt;0,$F35&gt;0,YEAR($F35)&lt;=EY$4,YEAR($F35)&gt;=Preisindex!$A$6),ROUND($E35*EY35,2),IF(AND($E35&lt;&gt;0,$F35&gt;0,YEAR($F35)&lt;=EY$4,YEAR($F35)&lt;Preisindex!$A$6),ROUND($E35*EZ35,2),0))</f>
        <v>99400</v>
      </c>
      <c r="FB35" s="53">
        <f t="shared" si="241"/>
        <v>1988</v>
      </c>
      <c r="FC35" s="51">
        <f t="shared" si="316"/>
        <v>0</v>
      </c>
      <c r="FD35" s="51">
        <f t="shared" si="352"/>
        <v>0</v>
      </c>
      <c r="FE35" s="51">
        <f t="shared" si="244"/>
        <v>0</v>
      </c>
      <c r="FF35" s="51">
        <f t="shared" si="353"/>
        <v>0</v>
      </c>
      <c r="FG35" s="51">
        <f t="shared" si="246"/>
        <v>70000</v>
      </c>
      <c r="FH35" s="51">
        <f t="shared" si="354"/>
        <v>70000</v>
      </c>
      <c r="FI35" s="51">
        <f t="shared" si="248"/>
        <v>1400</v>
      </c>
      <c r="FJ35" s="51">
        <f t="shared" si="355"/>
        <v>1400</v>
      </c>
      <c r="FK35" s="51">
        <f t="shared" si="250"/>
        <v>45500</v>
      </c>
      <c r="FL35" s="51">
        <f t="shared" si="356"/>
        <v>45500</v>
      </c>
      <c r="FM35" s="51">
        <f t="shared" si="252"/>
        <v>24500</v>
      </c>
      <c r="FN35" s="54">
        <f t="shared" si="253"/>
        <v>0</v>
      </c>
      <c r="FO35" s="55">
        <f t="shared" si="254"/>
        <v>0</v>
      </c>
      <c r="FP35" s="56">
        <f>IF(AND($E35&lt;&gt;0,$F35&gt;0,YEAR($F35)&gt;=Preisindex!$A$6,YEAR(FK$4)&gt;=YEAR($F35),AND($K35&lt;&gt;"a",$K35&lt;&gt;"b",$K35&lt;&gt;"g",$K35&lt;&gt;"k")),1,IF(AND($E35&lt;&gt;0,$F35&gt;0,YEAR($F35)&gt;=Preisindex!$A$6,YEAR(FK$4)&gt;=YEAR($F35),$K35="a"),ROUND(VLOOKUP(FP$4,Preisindex,5,FALSE)/VLOOKUP(YEAR($F35),Preisindex,5,FALSE),2),IF(AND($E35&lt;&gt;0,$F35&gt;0,YEAR($F35)&gt;=Preisindex!$A$6,YEAR(FK$4)&gt;=YEAR($F35),$K35="b"),ROUND(VLOOKUP(FP$4,Preisindex,3,FALSE)/VLOOKUP(YEAR($F35),Preisindex,3,FALSE),2),IF(AND($E35&lt;&gt;0,$F35&gt;0,YEAR($F35)&gt;=Preisindex!$A$6,YEAR(FK$4)&gt;=YEAR($F35),$K35="g"),ROUND(VLOOKUP(FP$4,Preisindex,4,FALSE)/VLOOKUP(YEAR($F35),Preisindex,4,FALSE),2),IF(AND($E35&lt;&gt;0,$F35&gt;0,YEAR($F35)&gt;=Preisindex!$A$6,YEAR(FK$4)&gt;=YEAR($F35),$K35="k"),ROUND(VLOOKUP(FP$4,Preisindex,2,FALSE)/VLOOKUP(YEAR($F35),Preisindex,2,FALSE),2),0)))))</f>
        <v>1.42</v>
      </c>
      <c r="FQ35" s="56">
        <f>IF(AND($E35&lt;&gt;0,$F35&gt;0,YEAR($F35)&lt;Preisindex!$A$6,YEAR(FK$4)&gt;=YEAR($F35),AND($K35&lt;&gt;"a",$K35&lt;&gt;"b",$K35&lt;&gt;"g",$K35&lt;&gt;"k")),1,IF(AND($E35&lt;&gt;0,$F35&gt;0,YEAR($F35)&lt;Preisindex!$A$6,YEAR(FK$4)&gt;=YEAR($F35),$K35="a"),ROUND(VLOOKUP(FP$4,Preisindex,5,FALSE)/VLOOKUP(Preisindex!$A$6,Preisindex,5,FALSE),2),IF(AND($E35&lt;&gt;0,$F35&gt;0,YEAR($F35)&lt;Preisindex!$A$6,YEAR(FK$4)&gt;=YEAR($F35),$K35="b"),ROUND(VLOOKUP(FP$4,Preisindex,3,FALSE)/VLOOKUP(Preisindex!$A$6,Preisindex,3,FALSE),2),IF(AND($E35&lt;&gt;0,$F35&gt;0,YEAR($F35)&lt;Preisindex!$A$6,YEAR(FK$4)&gt;=YEAR($F35),$K35="g"),ROUND(VLOOKUP(FP$4,Preisindex,4,FALSE)/VLOOKUP(Preisindex!$A$6,Preisindex,4,FALSE),2),IF(AND($E35&lt;&gt;0,$F35&gt;0,YEAR($F35)&lt;Preisindex!$A$6,YEAR(FK$4)&gt;=YEAR($F35),$K35="k"),ROUND(VLOOKUP(FP$4,Preisindex,2,FALSE)/VLOOKUP(Preisindex!$A$6,Preisindex,2,FALSE),2),0)))))</f>
        <v>0</v>
      </c>
      <c r="FR35" s="51">
        <f>IF(AND($E35&lt;&gt;0,$F35&gt;0,YEAR($F35)&lt;=FP$4,YEAR($F35)&gt;=Preisindex!$A$6),ROUND($E35*FP35,2),IF(AND($E35&lt;&gt;0,$F35&gt;0,YEAR($F35)&lt;=FP$4,YEAR($F35)&lt;Preisindex!$A$6),ROUND($E35*FQ35,2),0))</f>
        <v>99400</v>
      </c>
      <c r="FS35" s="53">
        <f t="shared" si="255"/>
        <v>1988</v>
      </c>
    </row>
    <row r="36" spans="1:175" x14ac:dyDescent="0.3">
      <c r="A36" s="195">
        <v>2006</v>
      </c>
      <c r="B36" s="196" t="s">
        <v>224</v>
      </c>
      <c r="C36" s="196"/>
      <c r="D36" s="188" t="s">
        <v>21</v>
      </c>
      <c r="E36" s="99">
        <v>600000</v>
      </c>
      <c r="F36" s="97">
        <v>38899</v>
      </c>
      <c r="G36" s="100">
        <v>50</v>
      </c>
      <c r="H36" s="622"/>
      <c r="I36" s="621"/>
      <c r="J36" s="194"/>
      <c r="K36" s="630" t="s">
        <v>266</v>
      </c>
      <c r="L36" s="49">
        <f t="shared" si="296"/>
        <v>0.02</v>
      </c>
      <c r="M36" s="50">
        <f t="shared" si="297"/>
        <v>12000</v>
      </c>
      <c r="N36" s="51">
        <f t="shared" si="298"/>
        <v>534000</v>
      </c>
      <c r="O36" s="51"/>
      <c r="P36" s="51">
        <f t="shared" si="299"/>
        <v>66000</v>
      </c>
      <c r="Q36" s="52"/>
      <c r="R36" s="52"/>
      <c r="S36" s="52"/>
      <c r="T36" s="52"/>
      <c r="U36" s="52"/>
      <c r="V36" s="53">
        <f t="shared" si="300"/>
        <v>600000</v>
      </c>
      <c r="W36" s="51">
        <f t="shared" si="301"/>
        <v>0</v>
      </c>
      <c r="X36" s="51">
        <f t="shared" si="302"/>
        <v>0</v>
      </c>
      <c r="Y36" s="51">
        <f t="shared" si="303"/>
        <v>0</v>
      </c>
      <c r="Z36" s="51">
        <f t="shared" si="304"/>
        <v>0</v>
      </c>
      <c r="AA36" s="51">
        <f t="shared" si="305"/>
        <v>600000</v>
      </c>
      <c r="AB36" s="51">
        <f t="shared" si="306"/>
        <v>600000</v>
      </c>
      <c r="AC36" s="51">
        <f t="shared" si="307"/>
        <v>12000</v>
      </c>
      <c r="AD36" s="51">
        <f t="shared" si="308"/>
        <v>12000</v>
      </c>
      <c r="AE36" s="51">
        <f t="shared" si="309"/>
        <v>522000</v>
      </c>
      <c r="AF36" s="51">
        <f t="shared" si="310"/>
        <v>522000</v>
      </c>
      <c r="AG36" s="51">
        <f t="shared" si="311"/>
        <v>78000</v>
      </c>
      <c r="AH36" s="54">
        <f t="shared" si="312"/>
        <v>0</v>
      </c>
      <c r="AI36" s="55">
        <f t="shared" si="313"/>
        <v>0</v>
      </c>
      <c r="AJ36" s="56">
        <f>IF(AND($E36&lt;&gt;0,$F36&gt;0,YEAR($F36)&gt;=Preisindex!$A$6,YEAR(AE$4)&gt;=YEAR($F36),AND($K36&lt;&gt;"a",$K36&lt;&gt;"b",$K36&lt;&gt;"g",$K36&lt;&gt;"k")),1,IF(AND($E36&lt;&gt;0,$F36&gt;0,YEAR($F36)&gt;=Preisindex!$A$6,YEAR(AE$4)&gt;=YEAR($F36),$K36="a"),ROUND(VLOOKUP(AJ$4,Preisindex,5,FALSE)/VLOOKUP(YEAR($F36),Preisindex,5,FALSE),2),IF(AND($E36&lt;&gt;0,$F36&gt;0,YEAR($F36)&gt;=Preisindex!$A$6,YEAR(AE$4)&gt;=YEAR($F36),$K36="b"),ROUND(VLOOKUP(AJ$4,Preisindex,3,FALSE)/VLOOKUP(YEAR($F36),Preisindex,3,FALSE),2),IF(AND($E36&lt;&gt;0,$F36&gt;0,YEAR($F36)&gt;=Preisindex!$A$6,YEAR(AE$4)&gt;=YEAR($F36),$K36="g"),ROUND(VLOOKUP(AJ$4,Preisindex,4,FALSE)/VLOOKUP(YEAR($F36),Preisindex,4,FALSE),2),IF(AND($E36&lt;&gt;0,$F36&gt;0,YEAR($F36)&gt;=Preisindex!$A$6,YEAR(AE$4)&gt;=YEAR($F36),$K36="k"),ROUND(VLOOKUP(AJ$4,Preisindex,2,FALSE)/VLOOKUP(YEAR($F36),Preisindex,2,FALSE),2),0)))))</f>
        <v>1.2</v>
      </c>
      <c r="AK36" s="56">
        <f>IF(AND($E36&lt;&gt;0,$F36&gt;0,YEAR($F36)&lt;Preisindex!$A$6,YEAR(AE$4)&gt;=YEAR($F36),AND($K36&lt;&gt;"a",$K36&lt;&gt;"b",$K36&lt;&gt;"g",$K36&lt;&gt;"k")),1,IF(AND($E36&lt;&gt;0,$F36&gt;0,YEAR($F36)&lt;Preisindex!$A$6,YEAR(AE$4)&gt;=YEAR($F36),$K36="a"),ROUND(VLOOKUP(AJ$4,Preisindex,5,FALSE)/VLOOKUP(Preisindex!$A$6,Preisindex,5,FALSE),2),IF(AND($E36&lt;&gt;0,$F36&gt;0,YEAR($F36)&lt;Preisindex!$A$6,YEAR(AE$4)&gt;=YEAR($F36),$K36="b"),ROUND(VLOOKUP(AJ$4,Preisindex,3,FALSE)/VLOOKUP(Preisindex!$A$6,Preisindex,3,FALSE),2),IF(AND($E36&lt;&gt;0,$F36&gt;0,YEAR($F36)&lt;Preisindex!$A$6,YEAR(AE$4)&gt;=YEAR($F36),$K36="g"),ROUND(VLOOKUP(AJ$4,Preisindex,4,FALSE)/VLOOKUP(Preisindex!$A$6,Preisindex,4,FALSE),2),IF(AND($E36&lt;&gt;0,$F36&gt;0,YEAR($F36)&lt;Preisindex!$A$6,YEAR(AE$4)&gt;=YEAR($F36),$K36="k"),ROUND(VLOOKUP(AJ$4,Preisindex,2,FALSE)/VLOOKUP(Preisindex!$A$6,Preisindex,2,FALSE),2),0)))))</f>
        <v>0</v>
      </c>
      <c r="AL36" s="51">
        <f>IF(AND($E36&lt;&gt;0,$F36&gt;0,YEAR($F36)&lt;=AJ$4,YEAR($F36)&gt;=Preisindex!$A$6),ROUND($E36*AJ36,2),IF(AND($E36&lt;&gt;0,$F36&gt;0,YEAR($F36)&lt;=AJ$4,YEAR($F36)&lt;Preisindex!$A$6),ROUND($E36*AK36,2),0))</f>
        <v>720000</v>
      </c>
      <c r="AM36" s="53">
        <f t="shared" si="314"/>
        <v>14400</v>
      </c>
      <c r="AN36" s="51">
        <f t="shared" si="315"/>
        <v>0</v>
      </c>
      <c r="AO36" s="51">
        <f t="shared" si="317"/>
        <v>0</v>
      </c>
      <c r="AP36" s="51">
        <f t="shared" si="146"/>
        <v>0</v>
      </c>
      <c r="AQ36" s="51">
        <f t="shared" si="318"/>
        <v>0</v>
      </c>
      <c r="AR36" s="51">
        <f t="shared" si="148"/>
        <v>600000</v>
      </c>
      <c r="AS36" s="51">
        <f t="shared" si="319"/>
        <v>600000</v>
      </c>
      <c r="AT36" s="51">
        <f t="shared" si="150"/>
        <v>12000</v>
      </c>
      <c r="AU36" s="51">
        <f t="shared" si="320"/>
        <v>12000</v>
      </c>
      <c r="AV36" s="51">
        <f t="shared" si="152"/>
        <v>510000</v>
      </c>
      <c r="AW36" s="51">
        <f t="shared" si="321"/>
        <v>510000</v>
      </c>
      <c r="AX36" s="51">
        <f t="shared" si="154"/>
        <v>90000</v>
      </c>
      <c r="AY36" s="54">
        <f t="shared" si="155"/>
        <v>0</v>
      </c>
      <c r="AZ36" s="55">
        <f t="shared" si="156"/>
        <v>0</v>
      </c>
      <c r="BA36" s="56">
        <f>IF(AND($E36&lt;&gt;0,$F36&gt;0,YEAR($F36)&gt;=Preisindex!$A$6,YEAR(AV$4)&gt;=YEAR($F36),AND($K36&lt;&gt;"a",$K36&lt;&gt;"b",$K36&lt;&gt;"g",$K36&lt;&gt;"k")),1,IF(AND($E36&lt;&gt;0,$F36&gt;0,YEAR($F36)&gt;=Preisindex!$A$6,YEAR(AV$4)&gt;=YEAR($F36),$K36="a"),ROUND(VLOOKUP(BA$4,Preisindex,5,FALSE)/VLOOKUP(YEAR($F36),Preisindex,5,FALSE),2),IF(AND($E36&lt;&gt;0,$F36&gt;0,YEAR($F36)&gt;=Preisindex!$A$6,YEAR(AV$4)&gt;=YEAR($F36),$K36="b"),ROUND(VLOOKUP(BA$4,Preisindex,3,FALSE)/VLOOKUP(YEAR($F36),Preisindex,3,FALSE),2),IF(AND($E36&lt;&gt;0,$F36&gt;0,YEAR($F36)&gt;=Preisindex!$A$6,YEAR(AV$4)&gt;=YEAR($F36),$K36="g"),ROUND(VLOOKUP(BA$4,Preisindex,4,FALSE)/VLOOKUP(YEAR($F36),Preisindex,4,FALSE),2),IF(AND($E36&lt;&gt;0,$F36&gt;0,YEAR($F36)&gt;=Preisindex!$A$6,YEAR(AV$4)&gt;=YEAR($F36),$K36="k"),ROUND(VLOOKUP(BA$4,Preisindex,2,FALSE)/VLOOKUP(YEAR($F36),Preisindex,2,FALSE),2),0)))))</f>
        <v>1.22</v>
      </c>
      <c r="BB36" s="56">
        <f>IF(AND($E36&lt;&gt;0,$F36&gt;0,YEAR($F36)&lt;Preisindex!$A$6,YEAR(AV$4)&gt;=YEAR($F36),AND($K36&lt;&gt;"a",$K36&lt;&gt;"b",$K36&lt;&gt;"g",$K36&lt;&gt;"k")),1,IF(AND($E36&lt;&gt;0,$F36&gt;0,YEAR($F36)&lt;Preisindex!$A$6,YEAR(AV$4)&gt;=YEAR($F36),$K36="a"),ROUND(VLOOKUP(BA$4,Preisindex,5,FALSE)/VLOOKUP(Preisindex!$A$6,Preisindex,5,FALSE),2),IF(AND($E36&lt;&gt;0,$F36&gt;0,YEAR($F36)&lt;Preisindex!$A$6,YEAR(AV$4)&gt;=YEAR($F36),$K36="b"),ROUND(VLOOKUP(BA$4,Preisindex,3,FALSE)/VLOOKUP(Preisindex!$A$6,Preisindex,3,FALSE),2),IF(AND($E36&lt;&gt;0,$F36&gt;0,YEAR($F36)&lt;Preisindex!$A$6,YEAR(AV$4)&gt;=YEAR($F36),$K36="g"),ROUND(VLOOKUP(BA$4,Preisindex,4,FALSE)/VLOOKUP(Preisindex!$A$6,Preisindex,4,FALSE),2),IF(AND($E36&lt;&gt;0,$F36&gt;0,YEAR($F36)&lt;Preisindex!$A$6,YEAR(AV$4)&gt;=YEAR($F36),$K36="k"),ROUND(VLOOKUP(BA$4,Preisindex,2,FALSE)/VLOOKUP(Preisindex!$A$6,Preisindex,2,FALSE),2),0)))))</f>
        <v>0</v>
      </c>
      <c r="BC36" s="51">
        <f>IF(AND($E36&lt;&gt;0,$F36&gt;0,YEAR($F36)&lt;=BA$4,YEAR($F36)&gt;=Preisindex!$A$6),ROUND($E36*BA36,2),IF(AND($E36&lt;&gt;0,$F36&gt;0,YEAR($F36)&lt;=BA$4,YEAR($F36)&lt;Preisindex!$A$6),ROUND($E36*BB36,2),0))</f>
        <v>732000</v>
      </c>
      <c r="BD36" s="53">
        <f t="shared" si="157"/>
        <v>14640</v>
      </c>
      <c r="BE36" s="51">
        <f t="shared" si="315"/>
        <v>0</v>
      </c>
      <c r="BF36" s="51">
        <f t="shared" si="322"/>
        <v>0</v>
      </c>
      <c r="BG36" s="51">
        <f t="shared" si="160"/>
        <v>0</v>
      </c>
      <c r="BH36" s="51">
        <f t="shared" si="323"/>
        <v>0</v>
      </c>
      <c r="BI36" s="51">
        <f t="shared" si="162"/>
        <v>600000</v>
      </c>
      <c r="BJ36" s="51">
        <f t="shared" si="324"/>
        <v>600000</v>
      </c>
      <c r="BK36" s="51">
        <f t="shared" si="164"/>
        <v>12000</v>
      </c>
      <c r="BL36" s="51">
        <f t="shared" si="325"/>
        <v>12000</v>
      </c>
      <c r="BM36" s="51">
        <f t="shared" si="166"/>
        <v>498000</v>
      </c>
      <c r="BN36" s="51">
        <f t="shared" si="326"/>
        <v>498000</v>
      </c>
      <c r="BO36" s="51">
        <f t="shared" si="168"/>
        <v>102000</v>
      </c>
      <c r="BP36" s="54">
        <f t="shared" si="169"/>
        <v>0</v>
      </c>
      <c r="BQ36" s="55">
        <f t="shared" si="170"/>
        <v>0</v>
      </c>
      <c r="BR36" s="56">
        <f>IF(AND($E36&lt;&gt;0,$F36&gt;0,YEAR($F36)&gt;=Preisindex!$A$6,YEAR(BM$4)&gt;=YEAR($F36),AND($K36&lt;&gt;"a",$K36&lt;&gt;"b",$K36&lt;&gt;"g",$K36&lt;&gt;"k")),1,IF(AND($E36&lt;&gt;0,$F36&gt;0,YEAR($F36)&gt;=Preisindex!$A$6,YEAR(BM$4)&gt;=YEAR($F36),$K36="a"),ROUND(VLOOKUP(BR$4,Preisindex,5,FALSE)/VLOOKUP(YEAR($F36),Preisindex,5,FALSE),2),IF(AND($E36&lt;&gt;0,$F36&gt;0,YEAR($F36)&gt;=Preisindex!$A$6,YEAR(BM$4)&gt;=YEAR($F36),$K36="b"),ROUND(VLOOKUP(BR$4,Preisindex,3,FALSE)/VLOOKUP(YEAR($F36),Preisindex,3,FALSE),2),IF(AND($E36&lt;&gt;0,$F36&gt;0,YEAR($F36)&gt;=Preisindex!$A$6,YEAR(BM$4)&gt;=YEAR($F36),$K36="g"),ROUND(VLOOKUP(BR$4,Preisindex,4,FALSE)/VLOOKUP(YEAR($F36),Preisindex,4,FALSE),2),IF(AND($E36&lt;&gt;0,$F36&gt;0,YEAR($F36)&gt;=Preisindex!$A$6,YEAR(BM$4)&gt;=YEAR($F36),$K36="k"),ROUND(VLOOKUP(BR$4,Preisindex,2,FALSE)/VLOOKUP(YEAR($F36),Preisindex,2,FALSE),2),0)))))</f>
        <v>1.24</v>
      </c>
      <c r="BS36" s="56">
        <f>IF(AND($E36&lt;&gt;0,$F36&gt;0,YEAR($F36)&lt;Preisindex!$A$6,YEAR(BM$4)&gt;=YEAR($F36),AND($K36&lt;&gt;"a",$K36&lt;&gt;"b",$K36&lt;&gt;"g",$K36&lt;&gt;"k")),1,IF(AND($E36&lt;&gt;0,$F36&gt;0,YEAR($F36)&lt;Preisindex!$A$6,YEAR(BM$4)&gt;=YEAR($F36),$K36="a"),ROUND(VLOOKUP(BR$4,Preisindex,5,FALSE)/VLOOKUP(Preisindex!$A$6,Preisindex,5,FALSE),2),IF(AND($E36&lt;&gt;0,$F36&gt;0,YEAR($F36)&lt;Preisindex!$A$6,YEAR(BM$4)&gt;=YEAR($F36),$K36="b"),ROUND(VLOOKUP(BR$4,Preisindex,3,FALSE)/VLOOKUP(Preisindex!$A$6,Preisindex,3,FALSE),2),IF(AND($E36&lt;&gt;0,$F36&gt;0,YEAR($F36)&lt;Preisindex!$A$6,YEAR(BM$4)&gt;=YEAR($F36),$K36="g"),ROUND(VLOOKUP(BR$4,Preisindex,4,FALSE)/VLOOKUP(Preisindex!$A$6,Preisindex,4,FALSE),2),IF(AND($E36&lt;&gt;0,$F36&gt;0,YEAR($F36)&lt;Preisindex!$A$6,YEAR(BM$4)&gt;=YEAR($F36),$K36="k"),ROUND(VLOOKUP(BR$4,Preisindex,2,FALSE)/VLOOKUP(Preisindex!$A$6,Preisindex,2,FALSE),2),0)))))</f>
        <v>0</v>
      </c>
      <c r="BT36" s="51">
        <f>IF(AND($E36&lt;&gt;0,$F36&gt;0,YEAR($F36)&lt;=BR$4,YEAR($F36)&gt;=Preisindex!$A$6),ROUND($E36*BR36,2),IF(AND($E36&lt;&gt;0,$F36&gt;0,YEAR($F36)&lt;=BR$4,YEAR($F36)&lt;Preisindex!$A$6),ROUND($E36*BS36,2),0))</f>
        <v>744000</v>
      </c>
      <c r="BU36" s="53">
        <f t="shared" si="171"/>
        <v>14880</v>
      </c>
      <c r="BV36" s="51">
        <f t="shared" si="315"/>
        <v>0</v>
      </c>
      <c r="BW36" s="51">
        <f t="shared" si="327"/>
        <v>0</v>
      </c>
      <c r="BX36" s="51">
        <f t="shared" si="174"/>
        <v>0</v>
      </c>
      <c r="BY36" s="51">
        <f t="shared" si="328"/>
        <v>0</v>
      </c>
      <c r="BZ36" s="51">
        <f t="shared" si="176"/>
        <v>600000</v>
      </c>
      <c r="CA36" s="51">
        <f t="shared" si="329"/>
        <v>600000</v>
      </c>
      <c r="CB36" s="51">
        <f t="shared" si="178"/>
        <v>12000</v>
      </c>
      <c r="CC36" s="51">
        <f t="shared" si="330"/>
        <v>12000</v>
      </c>
      <c r="CD36" s="51">
        <f t="shared" si="180"/>
        <v>486000</v>
      </c>
      <c r="CE36" s="51">
        <f t="shared" si="331"/>
        <v>486000</v>
      </c>
      <c r="CF36" s="51">
        <f t="shared" si="182"/>
        <v>114000</v>
      </c>
      <c r="CG36" s="54">
        <f t="shared" si="183"/>
        <v>0</v>
      </c>
      <c r="CH36" s="55">
        <f t="shared" si="184"/>
        <v>0</v>
      </c>
      <c r="CI36" s="56">
        <f>IF(AND($E36&lt;&gt;0,$F36&gt;0,YEAR($F36)&gt;=Preisindex!$A$6,YEAR(CD$4)&gt;=YEAR($F36),AND($K36&lt;&gt;"a",$K36&lt;&gt;"b",$K36&lt;&gt;"g",$K36&lt;&gt;"k")),1,IF(AND($E36&lt;&gt;0,$F36&gt;0,YEAR($F36)&gt;=Preisindex!$A$6,YEAR(CD$4)&gt;=YEAR($F36),$K36="a"),ROUND(VLOOKUP(CI$4,Preisindex,5,FALSE)/VLOOKUP(YEAR($F36),Preisindex,5,FALSE),2),IF(AND($E36&lt;&gt;0,$F36&gt;0,YEAR($F36)&gt;=Preisindex!$A$6,YEAR(CD$4)&gt;=YEAR($F36),$K36="b"),ROUND(VLOOKUP(CI$4,Preisindex,3,FALSE)/VLOOKUP(YEAR($F36),Preisindex,3,FALSE),2),IF(AND($E36&lt;&gt;0,$F36&gt;0,YEAR($F36)&gt;=Preisindex!$A$6,YEAR(CD$4)&gt;=YEAR($F36),$K36="g"),ROUND(VLOOKUP(CI$4,Preisindex,4,FALSE)/VLOOKUP(YEAR($F36),Preisindex,4,FALSE),2),IF(AND($E36&lt;&gt;0,$F36&gt;0,YEAR($F36)&gt;=Preisindex!$A$6,YEAR(CD$4)&gt;=YEAR($F36),$K36="k"),ROUND(VLOOKUP(CI$4,Preisindex,2,FALSE)/VLOOKUP(YEAR($F36),Preisindex,2,FALSE),2),0)))))</f>
        <v>1.26</v>
      </c>
      <c r="CJ36" s="56">
        <f>IF(AND($E36&lt;&gt;0,$F36&gt;0,YEAR($F36)&lt;Preisindex!$A$6,YEAR(CD$4)&gt;=YEAR($F36),AND($K36&lt;&gt;"a",$K36&lt;&gt;"b",$K36&lt;&gt;"g",$K36&lt;&gt;"k")),1,IF(AND($E36&lt;&gt;0,$F36&gt;0,YEAR($F36)&lt;Preisindex!$A$6,YEAR(CD$4)&gt;=YEAR($F36),$K36="a"),ROUND(VLOOKUP(CI$4,Preisindex,5,FALSE)/VLOOKUP(Preisindex!$A$6,Preisindex,5,FALSE),2),IF(AND($E36&lt;&gt;0,$F36&gt;0,YEAR($F36)&lt;Preisindex!$A$6,YEAR(CD$4)&gt;=YEAR($F36),$K36="b"),ROUND(VLOOKUP(CI$4,Preisindex,3,FALSE)/VLOOKUP(Preisindex!$A$6,Preisindex,3,FALSE),2),IF(AND($E36&lt;&gt;0,$F36&gt;0,YEAR($F36)&lt;Preisindex!$A$6,YEAR(CD$4)&gt;=YEAR($F36),$K36="g"),ROUND(VLOOKUP(CI$4,Preisindex,4,FALSE)/VLOOKUP(Preisindex!$A$6,Preisindex,4,FALSE),2),IF(AND($E36&lt;&gt;0,$F36&gt;0,YEAR($F36)&lt;Preisindex!$A$6,YEAR(CD$4)&gt;=YEAR($F36),$K36="k"),ROUND(VLOOKUP(CI$4,Preisindex,2,FALSE)/VLOOKUP(Preisindex!$A$6,Preisindex,2,FALSE),2),0)))))</f>
        <v>0</v>
      </c>
      <c r="CK36" s="51">
        <f>IF(AND($E36&lt;&gt;0,$F36&gt;0,YEAR($F36)&lt;=CI$4,YEAR($F36)&gt;=Preisindex!$A$6),ROUND($E36*CI36,2),IF(AND($E36&lt;&gt;0,$F36&gt;0,YEAR($F36)&lt;=CI$4,YEAR($F36)&lt;Preisindex!$A$6),ROUND($E36*CJ36,2),0))</f>
        <v>756000</v>
      </c>
      <c r="CL36" s="53">
        <f t="shared" si="185"/>
        <v>15120</v>
      </c>
      <c r="CM36" s="51">
        <f t="shared" si="315"/>
        <v>0</v>
      </c>
      <c r="CN36" s="51">
        <f t="shared" si="332"/>
        <v>0</v>
      </c>
      <c r="CO36" s="51">
        <f t="shared" si="188"/>
        <v>0</v>
      </c>
      <c r="CP36" s="51">
        <f t="shared" si="333"/>
        <v>0</v>
      </c>
      <c r="CQ36" s="51">
        <f t="shared" si="190"/>
        <v>600000</v>
      </c>
      <c r="CR36" s="51">
        <f t="shared" si="334"/>
        <v>600000</v>
      </c>
      <c r="CS36" s="51">
        <f t="shared" si="192"/>
        <v>12000</v>
      </c>
      <c r="CT36" s="51">
        <f t="shared" si="335"/>
        <v>12000</v>
      </c>
      <c r="CU36" s="51">
        <f t="shared" si="194"/>
        <v>474000</v>
      </c>
      <c r="CV36" s="51">
        <f t="shared" si="336"/>
        <v>474000</v>
      </c>
      <c r="CW36" s="51">
        <f t="shared" si="196"/>
        <v>126000</v>
      </c>
      <c r="CX36" s="54">
        <f t="shared" si="197"/>
        <v>0</v>
      </c>
      <c r="CY36" s="55">
        <f t="shared" si="198"/>
        <v>0</v>
      </c>
      <c r="CZ36" s="56">
        <f>IF(AND($E36&lt;&gt;0,$F36&gt;0,YEAR($F36)&gt;=Preisindex!$A$6,YEAR(CU$4)&gt;=YEAR($F36),AND($K36&lt;&gt;"a",$K36&lt;&gt;"b",$K36&lt;&gt;"g",$K36&lt;&gt;"k")),1,IF(AND($E36&lt;&gt;0,$F36&gt;0,YEAR($F36)&gt;=Preisindex!$A$6,YEAR(CU$4)&gt;=YEAR($F36),$K36="a"),ROUND(VLOOKUP(CZ$4,Preisindex,5,FALSE)/VLOOKUP(YEAR($F36),Preisindex,5,FALSE),2),IF(AND($E36&lt;&gt;0,$F36&gt;0,YEAR($F36)&gt;=Preisindex!$A$6,YEAR(CU$4)&gt;=YEAR($F36),$K36="b"),ROUND(VLOOKUP(CZ$4,Preisindex,3,FALSE)/VLOOKUP(YEAR($F36),Preisindex,3,FALSE),2),IF(AND($E36&lt;&gt;0,$F36&gt;0,YEAR($F36)&gt;=Preisindex!$A$6,YEAR(CU$4)&gt;=YEAR($F36),$K36="g"),ROUND(VLOOKUP(CZ$4,Preisindex,4,FALSE)/VLOOKUP(YEAR($F36),Preisindex,4,FALSE),2),IF(AND($E36&lt;&gt;0,$F36&gt;0,YEAR($F36)&gt;=Preisindex!$A$6,YEAR(CU$4)&gt;=YEAR($F36),$K36="k"),ROUND(VLOOKUP(CZ$4,Preisindex,2,FALSE)/VLOOKUP(YEAR($F36),Preisindex,2,FALSE),2),0)))))</f>
        <v>1.28</v>
      </c>
      <c r="DA36" s="56">
        <f>IF(AND($E36&lt;&gt;0,$F36&gt;0,YEAR($F36)&lt;Preisindex!$A$6,YEAR(CU$4)&gt;=YEAR($F36),AND($K36&lt;&gt;"a",$K36&lt;&gt;"b",$K36&lt;&gt;"g",$K36&lt;&gt;"k")),1,IF(AND($E36&lt;&gt;0,$F36&gt;0,YEAR($F36)&lt;Preisindex!$A$6,YEAR(CU$4)&gt;=YEAR($F36),$K36="a"),ROUND(VLOOKUP(CZ$4,Preisindex,5,FALSE)/VLOOKUP(Preisindex!$A$6,Preisindex,5,FALSE),2),IF(AND($E36&lt;&gt;0,$F36&gt;0,YEAR($F36)&lt;Preisindex!$A$6,YEAR(CU$4)&gt;=YEAR($F36),$K36="b"),ROUND(VLOOKUP(CZ$4,Preisindex,3,FALSE)/VLOOKUP(Preisindex!$A$6,Preisindex,3,FALSE),2),IF(AND($E36&lt;&gt;0,$F36&gt;0,YEAR($F36)&lt;Preisindex!$A$6,YEAR(CU$4)&gt;=YEAR($F36),$K36="g"),ROUND(VLOOKUP(CZ$4,Preisindex,4,FALSE)/VLOOKUP(Preisindex!$A$6,Preisindex,4,FALSE),2),IF(AND($E36&lt;&gt;0,$F36&gt;0,YEAR($F36)&lt;Preisindex!$A$6,YEAR(CU$4)&gt;=YEAR($F36),$K36="k"),ROUND(VLOOKUP(CZ$4,Preisindex,2,FALSE)/VLOOKUP(Preisindex!$A$6,Preisindex,2,FALSE),2),0)))))</f>
        <v>0</v>
      </c>
      <c r="DB36" s="51">
        <f>IF(AND($E36&lt;&gt;0,$F36&gt;0,YEAR($F36)&lt;=CZ$4,YEAR($F36)&gt;=Preisindex!$A$6),ROUND($E36*CZ36,2),IF(AND($E36&lt;&gt;0,$F36&gt;0,YEAR($F36)&lt;=CZ$4,YEAR($F36)&lt;Preisindex!$A$6),ROUND($E36*DA36,2),0))</f>
        <v>768000</v>
      </c>
      <c r="DC36" s="53">
        <f t="shared" si="199"/>
        <v>15360</v>
      </c>
      <c r="DD36" s="51">
        <f t="shared" si="316"/>
        <v>0</v>
      </c>
      <c r="DE36" s="51">
        <f t="shared" si="337"/>
        <v>0</v>
      </c>
      <c r="DF36" s="51">
        <f t="shared" si="202"/>
        <v>0</v>
      </c>
      <c r="DG36" s="51">
        <f t="shared" si="338"/>
        <v>0</v>
      </c>
      <c r="DH36" s="51">
        <f t="shared" si="204"/>
        <v>600000</v>
      </c>
      <c r="DI36" s="51">
        <f t="shared" si="339"/>
        <v>600000</v>
      </c>
      <c r="DJ36" s="51">
        <f t="shared" si="206"/>
        <v>12000</v>
      </c>
      <c r="DK36" s="51">
        <f t="shared" si="340"/>
        <v>12000</v>
      </c>
      <c r="DL36" s="51">
        <f t="shared" si="208"/>
        <v>462000</v>
      </c>
      <c r="DM36" s="51">
        <f t="shared" si="341"/>
        <v>462000</v>
      </c>
      <c r="DN36" s="51">
        <f t="shared" si="210"/>
        <v>138000</v>
      </c>
      <c r="DO36" s="54">
        <f t="shared" si="211"/>
        <v>0</v>
      </c>
      <c r="DP36" s="55">
        <f t="shared" si="212"/>
        <v>0</v>
      </c>
      <c r="DQ36" s="56">
        <f>IF(AND($E36&lt;&gt;0,$F36&gt;0,YEAR($F36)&gt;=Preisindex!$A$6,YEAR(DL$4)&gt;=YEAR($F36),AND($K36&lt;&gt;"a",$K36&lt;&gt;"b",$K36&lt;&gt;"g",$K36&lt;&gt;"k")),1,IF(AND($E36&lt;&gt;0,$F36&gt;0,YEAR($F36)&gt;=Preisindex!$A$6,YEAR(DL$4)&gt;=YEAR($F36),$K36="a"),ROUND(VLOOKUP(DQ$4,Preisindex,5,FALSE)/VLOOKUP(YEAR($F36),Preisindex,5,FALSE),2),IF(AND($E36&lt;&gt;0,$F36&gt;0,YEAR($F36)&gt;=Preisindex!$A$6,YEAR(DL$4)&gt;=YEAR($F36),$K36="b"),ROUND(VLOOKUP(DQ$4,Preisindex,3,FALSE)/VLOOKUP(YEAR($F36),Preisindex,3,FALSE),2),IF(AND($E36&lt;&gt;0,$F36&gt;0,YEAR($F36)&gt;=Preisindex!$A$6,YEAR(DL$4)&gt;=YEAR($F36),$K36="g"),ROUND(VLOOKUP(DQ$4,Preisindex,4,FALSE)/VLOOKUP(YEAR($F36),Preisindex,4,FALSE),2),IF(AND($E36&lt;&gt;0,$F36&gt;0,YEAR($F36)&gt;=Preisindex!$A$6,YEAR(DL$4)&gt;=YEAR($F36),$K36="k"),ROUND(VLOOKUP(DQ$4,Preisindex,2,FALSE)/VLOOKUP(YEAR($F36),Preisindex,2,FALSE),2),0)))))</f>
        <v>1.32</v>
      </c>
      <c r="DR36" s="56">
        <f>IF(AND($E36&lt;&gt;0,$F36&gt;0,YEAR($F36)&lt;Preisindex!$A$6,YEAR(DL$4)&gt;=YEAR($F36),AND($K36&lt;&gt;"a",$K36&lt;&gt;"b",$K36&lt;&gt;"g",$K36&lt;&gt;"k")),1,IF(AND($E36&lt;&gt;0,$F36&gt;0,YEAR($F36)&lt;Preisindex!$A$6,YEAR(DL$4)&gt;=YEAR($F36),$K36="a"),ROUND(VLOOKUP(DQ$4,Preisindex,5,FALSE)/VLOOKUP(Preisindex!$A$6,Preisindex,5,FALSE),2),IF(AND($E36&lt;&gt;0,$F36&gt;0,YEAR($F36)&lt;Preisindex!$A$6,YEAR(DL$4)&gt;=YEAR($F36),$K36="b"),ROUND(VLOOKUP(DQ$4,Preisindex,3,FALSE)/VLOOKUP(Preisindex!$A$6,Preisindex,3,FALSE),2),IF(AND($E36&lt;&gt;0,$F36&gt;0,YEAR($F36)&lt;Preisindex!$A$6,YEAR(DL$4)&gt;=YEAR($F36),$K36="g"),ROUND(VLOOKUP(DQ$4,Preisindex,4,FALSE)/VLOOKUP(Preisindex!$A$6,Preisindex,4,FALSE),2),IF(AND($E36&lt;&gt;0,$F36&gt;0,YEAR($F36)&lt;Preisindex!$A$6,YEAR(DL$4)&gt;=YEAR($F36),$K36="k"),ROUND(VLOOKUP(DQ$4,Preisindex,2,FALSE)/VLOOKUP(Preisindex!$A$6,Preisindex,2,FALSE),2),0)))))</f>
        <v>0</v>
      </c>
      <c r="DS36" s="51">
        <f>IF(AND($E36&lt;&gt;0,$F36&gt;0,YEAR($F36)&lt;=DQ$4,YEAR($F36)&gt;=Preisindex!$A$6),ROUND($E36*DQ36,2),IF(AND($E36&lt;&gt;0,$F36&gt;0,YEAR($F36)&lt;=DQ$4,YEAR($F36)&lt;Preisindex!$A$6),ROUND($E36*DR36,2),0))</f>
        <v>792000</v>
      </c>
      <c r="DT36" s="53">
        <f t="shared" si="213"/>
        <v>15840</v>
      </c>
      <c r="DU36" s="51">
        <f t="shared" si="316"/>
        <v>0</v>
      </c>
      <c r="DV36" s="51">
        <f t="shared" si="342"/>
        <v>0</v>
      </c>
      <c r="DW36" s="51">
        <f t="shared" si="216"/>
        <v>0</v>
      </c>
      <c r="DX36" s="51">
        <f t="shared" si="343"/>
        <v>0</v>
      </c>
      <c r="DY36" s="51">
        <f t="shared" si="218"/>
        <v>600000</v>
      </c>
      <c r="DZ36" s="51">
        <f t="shared" si="344"/>
        <v>600000</v>
      </c>
      <c r="EA36" s="51">
        <f t="shared" si="220"/>
        <v>12000</v>
      </c>
      <c r="EB36" s="51">
        <f t="shared" si="345"/>
        <v>12000</v>
      </c>
      <c r="EC36" s="51">
        <f t="shared" si="222"/>
        <v>450000</v>
      </c>
      <c r="ED36" s="51">
        <f t="shared" si="346"/>
        <v>450000</v>
      </c>
      <c r="EE36" s="51">
        <f t="shared" si="224"/>
        <v>150000</v>
      </c>
      <c r="EF36" s="54">
        <f t="shared" si="225"/>
        <v>0</v>
      </c>
      <c r="EG36" s="55">
        <f t="shared" si="226"/>
        <v>0</v>
      </c>
      <c r="EH36" s="56">
        <f>IF(AND($E36&lt;&gt;0,$F36&gt;0,YEAR($F36)&gt;=Preisindex!$A$6,YEAR(EC$4)&gt;=YEAR($F36),AND($K36&lt;&gt;"a",$K36&lt;&gt;"b",$K36&lt;&gt;"g",$K36&lt;&gt;"k")),1,IF(AND($E36&lt;&gt;0,$F36&gt;0,YEAR($F36)&gt;=Preisindex!$A$6,YEAR(EC$4)&gt;=YEAR($F36),$K36="a"),ROUND(VLOOKUP(EH$4,Preisindex,5,FALSE)/VLOOKUP(YEAR($F36),Preisindex,5,FALSE),2),IF(AND($E36&lt;&gt;0,$F36&gt;0,YEAR($F36)&gt;=Preisindex!$A$6,YEAR(EC$4)&gt;=YEAR($F36),$K36="b"),ROUND(VLOOKUP(EH$4,Preisindex,3,FALSE)/VLOOKUP(YEAR($F36),Preisindex,3,FALSE),2),IF(AND($E36&lt;&gt;0,$F36&gt;0,YEAR($F36)&gt;=Preisindex!$A$6,YEAR(EC$4)&gt;=YEAR($F36),$K36="g"),ROUND(VLOOKUP(EH$4,Preisindex,4,FALSE)/VLOOKUP(YEAR($F36),Preisindex,4,FALSE),2),IF(AND($E36&lt;&gt;0,$F36&gt;0,YEAR($F36)&gt;=Preisindex!$A$6,YEAR(EC$4)&gt;=YEAR($F36),$K36="k"),ROUND(VLOOKUP(EH$4,Preisindex,2,FALSE)/VLOOKUP(YEAR($F36),Preisindex,2,FALSE),2),0)))))</f>
        <v>1.39</v>
      </c>
      <c r="EI36" s="56">
        <f>IF(AND($E36&lt;&gt;0,$F36&gt;0,YEAR($F36)&lt;Preisindex!$A$6,YEAR(EC$4)&gt;=YEAR($F36),AND($K36&lt;&gt;"a",$K36&lt;&gt;"b",$K36&lt;&gt;"g",$K36&lt;&gt;"k")),1,IF(AND($E36&lt;&gt;0,$F36&gt;0,YEAR($F36)&lt;Preisindex!$A$6,YEAR(EC$4)&gt;=YEAR($F36),$K36="a"),ROUND(VLOOKUP(EH$4,Preisindex,5,FALSE)/VLOOKUP(Preisindex!$A$6,Preisindex,5,FALSE),2),IF(AND($E36&lt;&gt;0,$F36&gt;0,YEAR($F36)&lt;Preisindex!$A$6,YEAR(EC$4)&gt;=YEAR($F36),$K36="b"),ROUND(VLOOKUP(EH$4,Preisindex,3,FALSE)/VLOOKUP(Preisindex!$A$6,Preisindex,3,FALSE),2),IF(AND($E36&lt;&gt;0,$F36&gt;0,YEAR($F36)&lt;Preisindex!$A$6,YEAR(EC$4)&gt;=YEAR($F36),$K36="g"),ROUND(VLOOKUP(EH$4,Preisindex,4,FALSE)/VLOOKUP(Preisindex!$A$6,Preisindex,4,FALSE),2),IF(AND($E36&lt;&gt;0,$F36&gt;0,YEAR($F36)&lt;Preisindex!$A$6,YEAR(EC$4)&gt;=YEAR($F36),$K36="k"),ROUND(VLOOKUP(EH$4,Preisindex,2,FALSE)/VLOOKUP(Preisindex!$A$6,Preisindex,2,FALSE),2),0)))))</f>
        <v>0</v>
      </c>
      <c r="EJ36" s="51">
        <f>IF(AND($E36&lt;&gt;0,$F36&gt;0,YEAR($F36)&lt;=EH$4,YEAR($F36)&gt;=Preisindex!$A$6),ROUND($E36*EH36,2),IF(AND($E36&lt;&gt;0,$F36&gt;0,YEAR($F36)&lt;=EH$4,YEAR($F36)&lt;Preisindex!$A$6),ROUND($E36*EI36,2),0))</f>
        <v>834000</v>
      </c>
      <c r="EK36" s="53">
        <f t="shared" si="227"/>
        <v>16680</v>
      </c>
      <c r="EL36" s="51">
        <f t="shared" si="316"/>
        <v>0</v>
      </c>
      <c r="EM36" s="51">
        <f t="shared" si="347"/>
        <v>0</v>
      </c>
      <c r="EN36" s="51">
        <f t="shared" si="230"/>
        <v>0</v>
      </c>
      <c r="EO36" s="51">
        <f t="shared" si="348"/>
        <v>0</v>
      </c>
      <c r="EP36" s="51">
        <f t="shared" si="232"/>
        <v>600000</v>
      </c>
      <c r="EQ36" s="51">
        <f t="shared" si="349"/>
        <v>600000</v>
      </c>
      <c r="ER36" s="51">
        <f t="shared" si="234"/>
        <v>12000</v>
      </c>
      <c r="ES36" s="51">
        <f t="shared" si="350"/>
        <v>12000</v>
      </c>
      <c r="ET36" s="51">
        <f t="shared" si="236"/>
        <v>438000</v>
      </c>
      <c r="EU36" s="51">
        <f t="shared" si="351"/>
        <v>438000</v>
      </c>
      <c r="EV36" s="51">
        <f t="shared" si="238"/>
        <v>162000</v>
      </c>
      <c r="EW36" s="54">
        <f t="shared" si="239"/>
        <v>0</v>
      </c>
      <c r="EX36" s="55">
        <f t="shared" si="240"/>
        <v>0</v>
      </c>
      <c r="EY36" s="56">
        <f>IF(AND($E36&lt;&gt;0,$F36&gt;0,YEAR($F36)&gt;=Preisindex!$A$6,YEAR(ET$4)&gt;=YEAR($F36),AND($K36&lt;&gt;"a",$K36&lt;&gt;"b",$K36&lt;&gt;"g",$K36&lt;&gt;"k")),1,IF(AND($E36&lt;&gt;0,$F36&gt;0,YEAR($F36)&gt;=Preisindex!$A$6,YEAR(ET$4)&gt;=YEAR($F36),$K36="a"),ROUND(VLOOKUP(EY$4,Preisindex,5,FALSE)/VLOOKUP(YEAR($F36),Preisindex,5,FALSE),2),IF(AND($E36&lt;&gt;0,$F36&gt;0,YEAR($F36)&gt;=Preisindex!$A$6,YEAR(ET$4)&gt;=YEAR($F36),$K36="b"),ROUND(VLOOKUP(EY$4,Preisindex,3,FALSE)/VLOOKUP(YEAR($F36),Preisindex,3,FALSE),2),IF(AND($E36&lt;&gt;0,$F36&gt;0,YEAR($F36)&gt;=Preisindex!$A$6,YEAR(ET$4)&gt;=YEAR($F36),$K36="g"),ROUND(VLOOKUP(EY$4,Preisindex,4,FALSE)/VLOOKUP(YEAR($F36),Preisindex,4,FALSE),2),IF(AND($E36&lt;&gt;0,$F36&gt;0,YEAR($F36)&gt;=Preisindex!$A$6,YEAR(ET$4)&gt;=YEAR($F36),$K36="k"),ROUND(VLOOKUP(EY$4,Preisindex,2,FALSE)/VLOOKUP(YEAR($F36),Preisindex,2,FALSE),2),0)))))</f>
        <v>1.39</v>
      </c>
      <c r="EZ36" s="56">
        <f>IF(AND($E36&lt;&gt;0,$F36&gt;0,YEAR($F36)&lt;Preisindex!$A$6,YEAR(ET$4)&gt;=YEAR($F36),AND($K36&lt;&gt;"a",$K36&lt;&gt;"b",$K36&lt;&gt;"g",$K36&lt;&gt;"k")),1,IF(AND($E36&lt;&gt;0,$F36&gt;0,YEAR($F36)&lt;Preisindex!$A$6,YEAR(ET$4)&gt;=YEAR($F36),$K36="a"),ROUND(VLOOKUP(EY$4,Preisindex,5,FALSE)/VLOOKUP(Preisindex!$A$6,Preisindex,5,FALSE),2),IF(AND($E36&lt;&gt;0,$F36&gt;0,YEAR($F36)&lt;Preisindex!$A$6,YEAR(ET$4)&gt;=YEAR($F36),$K36="b"),ROUND(VLOOKUP(EY$4,Preisindex,3,FALSE)/VLOOKUP(Preisindex!$A$6,Preisindex,3,FALSE),2),IF(AND($E36&lt;&gt;0,$F36&gt;0,YEAR($F36)&lt;Preisindex!$A$6,YEAR(ET$4)&gt;=YEAR($F36),$K36="g"),ROUND(VLOOKUP(EY$4,Preisindex,4,FALSE)/VLOOKUP(Preisindex!$A$6,Preisindex,4,FALSE),2),IF(AND($E36&lt;&gt;0,$F36&gt;0,YEAR($F36)&lt;Preisindex!$A$6,YEAR(ET$4)&gt;=YEAR($F36),$K36="k"),ROUND(VLOOKUP(EY$4,Preisindex,2,FALSE)/VLOOKUP(Preisindex!$A$6,Preisindex,2,FALSE),2),0)))))</f>
        <v>0</v>
      </c>
      <c r="FA36" s="51">
        <f>IF(AND($E36&lt;&gt;0,$F36&gt;0,YEAR($F36)&lt;=EY$4,YEAR($F36)&gt;=Preisindex!$A$6),ROUND($E36*EY36,2),IF(AND($E36&lt;&gt;0,$F36&gt;0,YEAR($F36)&lt;=EY$4,YEAR($F36)&lt;Preisindex!$A$6),ROUND($E36*EZ36,2),0))</f>
        <v>834000</v>
      </c>
      <c r="FB36" s="53">
        <f t="shared" si="241"/>
        <v>16680</v>
      </c>
      <c r="FC36" s="51">
        <f t="shared" si="316"/>
        <v>0</v>
      </c>
      <c r="FD36" s="51">
        <f t="shared" si="352"/>
        <v>0</v>
      </c>
      <c r="FE36" s="51">
        <f t="shared" si="244"/>
        <v>0</v>
      </c>
      <c r="FF36" s="51">
        <f t="shared" si="353"/>
        <v>0</v>
      </c>
      <c r="FG36" s="51">
        <f t="shared" si="246"/>
        <v>600000</v>
      </c>
      <c r="FH36" s="51">
        <f t="shared" si="354"/>
        <v>600000</v>
      </c>
      <c r="FI36" s="51">
        <f t="shared" si="248"/>
        <v>12000</v>
      </c>
      <c r="FJ36" s="51">
        <f t="shared" si="355"/>
        <v>12000</v>
      </c>
      <c r="FK36" s="51">
        <f t="shared" si="250"/>
        <v>426000</v>
      </c>
      <c r="FL36" s="51">
        <f t="shared" si="356"/>
        <v>426000</v>
      </c>
      <c r="FM36" s="51">
        <f t="shared" si="252"/>
        <v>174000</v>
      </c>
      <c r="FN36" s="54">
        <f t="shared" si="253"/>
        <v>0</v>
      </c>
      <c r="FO36" s="55">
        <f t="shared" si="254"/>
        <v>0</v>
      </c>
      <c r="FP36" s="56">
        <f>IF(AND($E36&lt;&gt;0,$F36&gt;0,YEAR($F36)&gt;=Preisindex!$A$6,YEAR(FK$4)&gt;=YEAR($F36),AND($K36&lt;&gt;"a",$K36&lt;&gt;"b",$K36&lt;&gt;"g",$K36&lt;&gt;"k")),1,IF(AND($E36&lt;&gt;0,$F36&gt;0,YEAR($F36)&gt;=Preisindex!$A$6,YEAR(FK$4)&gt;=YEAR($F36),$K36="a"),ROUND(VLOOKUP(FP$4,Preisindex,5,FALSE)/VLOOKUP(YEAR($F36),Preisindex,5,FALSE),2),IF(AND($E36&lt;&gt;0,$F36&gt;0,YEAR($F36)&gt;=Preisindex!$A$6,YEAR(FK$4)&gt;=YEAR($F36),$K36="b"),ROUND(VLOOKUP(FP$4,Preisindex,3,FALSE)/VLOOKUP(YEAR($F36),Preisindex,3,FALSE),2),IF(AND($E36&lt;&gt;0,$F36&gt;0,YEAR($F36)&gt;=Preisindex!$A$6,YEAR(FK$4)&gt;=YEAR($F36),$K36="g"),ROUND(VLOOKUP(FP$4,Preisindex,4,FALSE)/VLOOKUP(YEAR($F36),Preisindex,4,FALSE),2),IF(AND($E36&lt;&gt;0,$F36&gt;0,YEAR($F36)&gt;=Preisindex!$A$6,YEAR(FK$4)&gt;=YEAR($F36),$K36="k"),ROUND(VLOOKUP(FP$4,Preisindex,2,FALSE)/VLOOKUP(YEAR($F36),Preisindex,2,FALSE),2),0)))))</f>
        <v>1.39</v>
      </c>
      <c r="FQ36" s="56">
        <f>IF(AND($E36&lt;&gt;0,$F36&gt;0,YEAR($F36)&lt;Preisindex!$A$6,YEAR(FK$4)&gt;=YEAR($F36),AND($K36&lt;&gt;"a",$K36&lt;&gt;"b",$K36&lt;&gt;"g",$K36&lt;&gt;"k")),1,IF(AND($E36&lt;&gt;0,$F36&gt;0,YEAR($F36)&lt;Preisindex!$A$6,YEAR(FK$4)&gt;=YEAR($F36),$K36="a"),ROUND(VLOOKUP(FP$4,Preisindex,5,FALSE)/VLOOKUP(Preisindex!$A$6,Preisindex,5,FALSE),2),IF(AND($E36&lt;&gt;0,$F36&gt;0,YEAR($F36)&lt;Preisindex!$A$6,YEAR(FK$4)&gt;=YEAR($F36),$K36="b"),ROUND(VLOOKUP(FP$4,Preisindex,3,FALSE)/VLOOKUP(Preisindex!$A$6,Preisindex,3,FALSE),2),IF(AND($E36&lt;&gt;0,$F36&gt;0,YEAR($F36)&lt;Preisindex!$A$6,YEAR(FK$4)&gt;=YEAR($F36),$K36="g"),ROUND(VLOOKUP(FP$4,Preisindex,4,FALSE)/VLOOKUP(Preisindex!$A$6,Preisindex,4,FALSE),2),IF(AND($E36&lt;&gt;0,$F36&gt;0,YEAR($F36)&lt;Preisindex!$A$6,YEAR(FK$4)&gt;=YEAR($F36),$K36="k"),ROUND(VLOOKUP(FP$4,Preisindex,2,FALSE)/VLOOKUP(Preisindex!$A$6,Preisindex,2,FALSE),2),0)))))</f>
        <v>0</v>
      </c>
      <c r="FR36" s="51">
        <f>IF(AND($E36&lt;&gt;0,$F36&gt;0,YEAR($F36)&lt;=FP$4,YEAR($F36)&gt;=Preisindex!$A$6),ROUND($E36*FP36,2),IF(AND($E36&lt;&gt;0,$F36&gt;0,YEAR($F36)&lt;=FP$4,YEAR($F36)&lt;Preisindex!$A$6),ROUND($E36*FQ36,2),0))</f>
        <v>834000</v>
      </c>
      <c r="FS36" s="53">
        <f t="shared" si="255"/>
        <v>16680</v>
      </c>
    </row>
    <row r="37" spans="1:175" x14ac:dyDescent="0.3">
      <c r="A37" s="195">
        <v>2008</v>
      </c>
      <c r="B37" s="196" t="s">
        <v>225</v>
      </c>
      <c r="C37" s="196"/>
      <c r="D37" s="188" t="s">
        <v>21</v>
      </c>
      <c r="E37" s="99">
        <v>150000</v>
      </c>
      <c r="F37" s="97">
        <v>39630</v>
      </c>
      <c r="G37" s="100">
        <v>50</v>
      </c>
      <c r="H37" s="622"/>
      <c r="I37" s="621"/>
      <c r="J37" s="194"/>
      <c r="K37" s="630" t="s">
        <v>266</v>
      </c>
      <c r="L37" s="49">
        <f t="shared" si="296"/>
        <v>0.02</v>
      </c>
      <c r="M37" s="50">
        <f t="shared" si="297"/>
        <v>3000</v>
      </c>
      <c r="N37" s="51">
        <f t="shared" si="298"/>
        <v>139500</v>
      </c>
      <c r="O37" s="51"/>
      <c r="P37" s="51">
        <f t="shared" si="299"/>
        <v>10500</v>
      </c>
      <c r="Q37" s="52"/>
      <c r="R37" s="52"/>
      <c r="S37" s="52"/>
      <c r="T37" s="52"/>
      <c r="U37" s="52"/>
      <c r="V37" s="53">
        <f t="shared" si="300"/>
        <v>150000</v>
      </c>
      <c r="W37" s="51">
        <f t="shared" si="301"/>
        <v>0</v>
      </c>
      <c r="X37" s="51">
        <f t="shared" si="302"/>
        <v>0</v>
      </c>
      <c r="Y37" s="51">
        <f t="shared" si="303"/>
        <v>0</v>
      </c>
      <c r="Z37" s="51">
        <f t="shared" si="304"/>
        <v>0</v>
      </c>
      <c r="AA37" s="51">
        <f t="shared" si="305"/>
        <v>150000</v>
      </c>
      <c r="AB37" s="51">
        <f t="shared" si="306"/>
        <v>150000</v>
      </c>
      <c r="AC37" s="51">
        <f t="shared" si="307"/>
        <v>3000</v>
      </c>
      <c r="AD37" s="51">
        <f t="shared" si="308"/>
        <v>3000</v>
      </c>
      <c r="AE37" s="51">
        <f t="shared" si="309"/>
        <v>136500</v>
      </c>
      <c r="AF37" s="51">
        <f t="shared" si="310"/>
        <v>136500</v>
      </c>
      <c r="AG37" s="51">
        <f t="shared" si="311"/>
        <v>13500</v>
      </c>
      <c r="AH37" s="54">
        <f t="shared" si="312"/>
        <v>0</v>
      </c>
      <c r="AI37" s="55">
        <f t="shared" si="313"/>
        <v>0</v>
      </c>
      <c r="AJ37" s="56">
        <f>IF(AND($E37&lt;&gt;0,$F37&gt;0,YEAR($F37)&gt;=Preisindex!$A$6,YEAR(AE$4)&gt;=YEAR($F37),AND($K37&lt;&gt;"a",$K37&lt;&gt;"b",$K37&lt;&gt;"g",$K37&lt;&gt;"k")),1,IF(AND($E37&lt;&gt;0,$F37&gt;0,YEAR($F37)&gt;=Preisindex!$A$6,YEAR(AE$4)&gt;=YEAR($F37),$K37="a"),ROUND(VLOOKUP(AJ$4,Preisindex,5,FALSE)/VLOOKUP(YEAR($F37),Preisindex,5,FALSE),2),IF(AND($E37&lt;&gt;0,$F37&gt;0,YEAR($F37)&gt;=Preisindex!$A$6,YEAR(AE$4)&gt;=YEAR($F37),$K37="b"),ROUND(VLOOKUP(AJ$4,Preisindex,3,FALSE)/VLOOKUP(YEAR($F37),Preisindex,3,FALSE),2),IF(AND($E37&lt;&gt;0,$F37&gt;0,YEAR($F37)&gt;=Preisindex!$A$6,YEAR(AE$4)&gt;=YEAR($F37),$K37="g"),ROUND(VLOOKUP(AJ$4,Preisindex,4,FALSE)/VLOOKUP(YEAR($F37),Preisindex,4,FALSE),2),IF(AND($E37&lt;&gt;0,$F37&gt;0,YEAR($F37)&gt;=Preisindex!$A$6,YEAR(AE$4)&gt;=YEAR($F37),$K37="k"),ROUND(VLOOKUP(AJ$4,Preisindex,2,FALSE)/VLOOKUP(YEAR($F37),Preisindex,2,FALSE),2),0)))))</f>
        <v>1.07</v>
      </c>
      <c r="AK37" s="56">
        <f>IF(AND($E37&lt;&gt;0,$F37&gt;0,YEAR($F37)&lt;Preisindex!$A$6,YEAR(AE$4)&gt;=YEAR($F37),AND($K37&lt;&gt;"a",$K37&lt;&gt;"b",$K37&lt;&gt;"g",$K37&lt;&gt;"k")),1,IF(AND($E37&lt;&gt;0,$F37&gt;0,YEAR($F37)&lt;Preisindex!$A$6,YEAR(AE$4)&gt;=YEAR($F37),$K37="a"),ROUND(VLOOKUP(AJ$4,Preisindex,5,FALSE)/VLOOKUP(Preisindex!$A$6,Preisindex,5,FALSE),2),IF(AND($E37&lt;&gt;0,$F37&gt;0,YEAR($F37)&lt;Preisindex!$A$6,YEAR(AE$4)&gt;=YEAR($F37),$K37="b"),ROUND(VLOOKUP(AJ$4,Preisindex,3,FALSE)/VLOOKUP(Preisindex!$A$6,Preisindex,3,FALSE),2),IF(AND($E37&lt;&gt;0,$F37&gt;0,YEAR($F37)&lt;Preisindex!$A$6,YEAR(AE$4)&gt;=YEAR($F37),$K37="g"),ROUND(VLOOKUP(AJ$4,Preisindex,4,FALSE)/VLOOKUP(Preisindex!$A$6,Preisindex,4,FALSE),2),IF(AND($E37&lt;&gt;0,$F37&gt;0,YEAR($F37)&lt;Preisindex!$A$6,YEAR(AE$4)&gt;=YEAR($F37),$K37="k"),ROUND(VLOOKUP(AJ$4,Preisindex,2,FALSE)/VLOOKUP(Preisindex!$A$6,Preisindex,2,FALSE),2),0)))))</f>
        <v>0</v>
      </c>
      <c r="AL37" s="51">
        <f>IF(AND($E37&lt;&gt;0,$F37&gt;0,YEAR($F37)&lt;=AJ$4,YEAR($F37)&gt;=Preisindex!$A$6),ROUND($E37*AJ37,2),IF(AND($E37&lt;&gt;0,$F37&gt;0,YEAR($F37)&lt;=AJ$4,YEAR($F37)&lt;Preisindex!$A$6),ROUND($E37*AK37,2),0))</f>
        <v>160500</v>
      </c>
      <c r="AM37" s="53">
        <f t="shared" si="314"/>
        <v>3210</v>
      </c>
      <c r="AN37" s="51">
        <f t="shared" ref="AN37:CM52" si="357">IF(YEAR($F37)=AN$4,$E37,0)</f>
        <v>0</v>
      </c>
      <c r="AO37" s="51">
        <f t="shared" si="317"/>
        <v>0</v>
      </c>
      <c r="AP37" s="51">
        <f t="shared" si="146"/>
        <v>0</v>
      </c>
      <c r="AQ37" s="51">
        <f t="shared" si="318"/>
        <v>0</v>
      </c>
      <c r="AR37" s="51">
        <f t="shared" si="148"/>
        <v>150000</v>
      </c>
      <c r="AS37" s="51">
        <f t="shared" si="319"/>
        <v>150000</v>
      </c>
      <c r="AT37" s="51">
        <f t="shared" si="150"/>
        <v>3000</v>
      </c>
      <c r="AU37" s="51">
        <f t="shared" si="320"/>
        <v>3000</v>
      </c>
      <c r="AV37" s="51">
        <f t="shared" si="152"/>
        <v>133500</v>
      </c>
      <c r="AW37" s="51">
        <f t="shared" si="321"/>
        <v>133500</v>
      </c>
      <c r="AX37" s="51">
        <f t="shared" si="154"/>
        <v>16500</v>
      </c>
      <c r="AY37" s="54">
        <f t="shared" si="155"/>
        <v>0</v>
      </c>
      <c r="AZ37" s="55">
        <f t="shared" si="156"/>
        <v>0</v>
      </c>
      <c r="BA37" s="56">
        <f>IF(AND($E37&lt;&gt;0,$F37&gt;0,YEAR($F37)&gt;=Preisindex!$A$6,YEAR(AV$4)&gt;=YEAR($F37),AND($K37&lt;&gt;"a",$K37&lt;&gt;"b",$K37&lt;&gt;"g",$K37&lt;&gt;"k")),1,IF(AND($E37&lt;&gt;0,$F37&gt;0,YEAR($F37)&gt;=Preisindex!$A$6,YEAR(AV$4)&gt;=YEAR($F37),$K37="a"),ROUND(VLOOKUP(BA$4,Preisindex,5,FALSE)/VLOOKUP(YEAR($F37),Preisindex,5,FALSE),2),IF(AND($E37&lt;&gt;0,$F37&gt;0,YEAR($F37)&gt;=Preisindex!$A$6,YEAR(AV$4)&gt;=YEAR($F37),$K37="b"),ROUND(VLOOKUP(BA$4,Preisindex,3,FALSE)/VLOOKUP(YEAR($F37),Preisindex,3,FALSE),2),IF(AND($E37&lt;&gt;0,$F37&gt;0,YEAR($F37)&gt;=Preisindex!$A$6,YEAR(AV$4)&gt;=YEAR($F37),$K37="g"),ROUND(VLOOKUP(BA$4,Preisindex,4,FALSE)/VLOOKUP(YEAR($F37),Preisindex,4,FALSE),2),IF(AND($E37&lt;&gt;0,$F37&gt;0,YEAR($F37)&gt;=Preisindex!$A$6,YEAR(AV$4)&gt;=YEAR($F37),$K37="k"),ROUND(VLOOKUP(BA$4,Preisindex,2,FALSE)/VLOOKUP(YEAR($F37),Preisindex,2,FALSE),2),0)))))</f>
        <v>1.0900000000000001</v>
      </c>
      <c r="BB37" s="56">
        <f>IF(AND($E37&lt;&gt;0,$F37&gt;0,YEAR($F37)&lt;Preisindex!$A$6,YEAR(AV$4)&gt;=YEAR($F37),AND($K37&lt;&gt;"a",$K37&lt;&gt;"b",$K37&lt;&gt;"g",$K37&lt;&gt;"k")),1,IF(AND($E37&lt;&gt;0,$F37&gt;0,YEAR($F37)&lt;Preisindex!$A$6,YEAR(AV$4)&gt;=YEAR($F37),$K37="a"),ROUND(VLOOKUP(BA$4,Preisindex,5,FALSE)/VLOOKUP(Preisindex!$A$6,Preisindex,5,FALSE),2),IF(AND($E37&lt;&gt;0,$F37&gt;0,YEAR($F37)&lt;Preisindex!$A$6,YEAR(AV$4)&gt;=YEAR($F37),$K37="b"),ROUND(VLOOKUP(BA$4,Preisindex,3,FALSE)/VLOOKUP(Preisindex!$A$6,Preisindex,3,FALSE),2),IF(AND($E37&lt;&gt;0,$F37&gt;0,YEAR($F37)&lt;Preisindex!$A$6,YEAR(AV$4)&gt;=YEAR($F37),$K37="g"),ROUND(VLOOKUP(BA$4,Preisindex,4,FALSE)/VLOOKUP(Preisindex!$A$6,Preisindex,4,FALSE),2),IF(AND($E37&lt;&gt;0,$F37&gt;0,YEAR($F37)&lt;Preisindex!$A$6,YEAR(AV$4)&gt;=YEAR($F37),$K37="k"),ROUND(VLOOKUP(BA$4,Preisindex,2,FALSE)/VLOOKUP(Preisindex!$A$6,Preisindex,2,FALSE),2),0)))))</f>
        <v>0</v>
      </c>
      <c r="BC37" s="51">
        <f>IF(AND($E37&lt;&gt;0,$F37&gt;0,YEAR($F37)&lt;=BA$4,YEAR($F37)&gt;=Preisindex!$A$6),ROUND($E37*BA37,2),IF(AND($E37&lt;&gt;0,$F37&gt;0,YEAR($F37)&lt;=BA$4,YEAR($F37)&lt;Preisindex!$A$6),ROUND($E37*BB37,2),0))</f>
        <v>163500</v>
      </c>
      <c r="BD37" s="53">
        <f t="shared" si="157"/>
        <v>3270</v>
      </c>
      <c r="BE37" s="51">
        <f t="shared" si="357"/>
        <v>0</v>
      </c>
      <c r="BF37" s="51">
        <f t="shared" si="322"/>
        <v>0</v>
      </c>
      <c r="BG37" s="51">
        <f t="shared" si="160"/>
        <v>0</v>
      </c>
      <c r="BH37" s="51">
        <f t="shared" si="323"/>
        <v>0</v>
      </c>
      <c r="BI37" s="51">
        <f t="shared" si="162"/>
        <v>150000</v>
      </c>
      <c r="BJ37" s="51">
        <f t="shared" si="324"/>
        <v>150000</v>
      </c>
      <c r="BK37" s="51">
        <f t="shared" si="164"/>
        <v>3000</v>
      </c>
      <c r="BL37" s="51">
        <f t="shared" si="325"/>
        <v>3000</v>
      </c>
      <c r="BM37" s="51">
        <f t="shared" si="166"/>
        <v>130500</v>
      </c>
      <c r="BN37" s="51">
        <f t="shared" si="326"/>
        <v>130500</v>
      </c>
      <c r="BO37" s="51">
        <f t="shared" si="168"/>
        <v>19500</v>
      </c>
      <c r="BP37" s="54">
        <f t="shared" si="169"/>
        <v>0</v>
      </c>
      <c r="BQ37" s="55">
        <f t="shared" si="170"/>
        <v>0</v>
      </c>
      <c r="BR37" s="56">
        <f>IF(AND($E37&lt;&gt;0,$F37&gt;0,YEAR($F37)&gt;=Preisindex!$A$6,YEAR(BM$4)&gt;=YEAR($F37),AND($K37&lt;&gt;"a",$K37&lt;&gt;"b",$K37&lt;&gt;"g",$K37&lt;&gt;"k")),1,IF(AND($E37&lt;&gt;0,$F37&gt;0,YEAR($F37)&gt;=Preisindex!$A$6,YEAR(BM$4)&gt;=YEAR($F37),$K37="a"),ROUND(VLOOKUP(BR$4,Preisindex,5,FALSE)/VLOOKUP(YEAR($F37),Preisindex,5,FALSE),2),IF(AND($E37&lt;&gt;0,$F37&gt;0,YEAR($F37)&gt;=Preisindex!$A$6,YEAR(BM$4)&gt;=YEAR($F37),$K37="b"),ROUND(VLOOKUP(BR$4,Preisindex,3,FALSE)/VLOOKUP(YEAR($F37),Preisindex,3,FALSE),2),IF(AND($E37&lt;&gt;0,$F37&gt;0,YEAR($F37)&gt;=Preisindex!$A$6,YEAR(BM$4)&gt;=YEAR($F37),$K37="g"),ROUND(VLOOKUP(BR$4,Preisindex,4,FALSE)/VLOOKUP(YEAR($F37),Preisindex,4,FALSE),2),IF(AND($E37&lt;&gt;0,$F37&gt;0,YEAR($F37)&gt;=Preisindex!$A$6,YEAR(BM$4)&gt;=YEAR($F37),$K37="k"),ROUND(VLOOKUP(BR$4,Preisindex,2,FALSE)/VLOOKUP(YEAR($F37),Preisindex,2,FALSE),2),0)))))</f>
        <v>1.1100000000000001</v>
      </c>
      <c r="BS37" s="56">
        <f>IF(AND($E37&lt;&gt;0,$F37&gt;0,YEAR($F37)&lt;Preisindex!$A$6,YEAR(BM$4)&gt;=YEAR($F37),AND($K37&lt;&gt;"a",$K37&lt;&gt;"b",$K37&lt;&gt;"g",$K37&lt;&gt;"k")),1,IF(AND($E37&lt;&gt;0,$F37&gt;0,YEAR($F37)&lt;Preisindex!$A$6,YEAR(BM$4)&gt;=YEAR($F37),$K37="a"),ROUND(VLOOKUP(BR$4,Preisindex,5,FALSE)/VLOOKUP(Preisindex!$A$6,Preisindex,5,FALSE),2),IF(AND($E37&lt;&gt;0,$F37&gt;0,YEAR($F37)&lt;Preisindex!$A$6,YEAR(BM$4)&gt;=YEAR($F37),$K37="b"),ROUND(VLOOKUP(BR$4,Preisindex,3,FALSE)/VLOOKUP(Preisindex!$A$6,Preisindex,3,FALSE),2),IF(AND($E37&lt;&gt;0,$F37&gt;0,YEAR($F37)&lt;Preisindex!$A$6,YEAR(BM$4)&gt;=YEAR($F37),$K37="g"),ROUND(VLOOKUP(BR$4,Preisindex,4,FALSE)/VLOOKUP(Preisindex!$A$6,Preisindex,4,FALSE),2),IF(AND($E37&lt;&gt;0,$F37&gt;0,YEAR($F37)&lt;Preisindex!$A$6,YEAR(BM$4)&gt;=YEAR($F37),$K37="k"),ROUND(VLOOKUP(BR$4,Preisindex,2,FALSE)/VLOOKUP(Preisindex!$A$6,Preisindex,2,FALSE),2),0)))))</f>
        <v>0</v>
      </c>
      <c r="BT37" s="51">
        <f>IF(AND($E37&lt;&gt;0,$F37&gt;0,YEAR($F37)&lt;=BR$4,YEAR($F37)&gt;=Preisindex!$A$6),ROUND($E37*BR37,2),IF(AND($E37&lt;&gt;0,$F37&gt;0,YEAR($F37)&lt;=BR$4,YEAR($F37)&lt;Preisindex!$A$6),ROUND($E37*BS37,2),0))</f>
        <v>166500</v>
      </c>
      <c r="BU37" s="53">
        <f t="shared" si="171"/>
        <v>3330</v>
      </c>
      <c r="BV37" s="51">
        <f t="shared" si="357"/>
        <v>0</v>
      </c>
      <c r="BW37" s="51">
        <f t="shared" si="327"/>
        <v>0</v>
      </c>
      <c r="BX37" s="51">
        <f t="shared" si="174"/>
        <v>0</v>
      </c>
      <c r="BY37" s="51">
        <f t="shared" si="328"/>
        <v>0</v>
      </c>
      <c r="BZ37" s="51">
        <f t="shared" si="176"/>
        <v>150000</v>
      </c>
      <c r="CA37" s="51">
        <f t="shared" si="329"/>
        <v>150000</v>
      </c>
      <c r="CB37" s="51">
        <f t="shared" si="178"/>
        <v>3000</v>
      </c>
      <c r="CC37" s="51">
        <f t="shared" si="330"/>
        <v>3000</v>
      </c>
      <c r="CD37" s="51">
        <f t="shared" si="180"/>
        <v>127500</v>
      </c>
      <c r="CE37" s="51">
        <f t="shared" si="331"/>
        <v>127500</v>
      </c>
      <c r="CF37" s="51">
        <f t="shared" si="182"/>
        <v>22500</v>
      </c>
      <c r="CG37" s="54">
        <f t="shared" si="183"/>
        <v>0</v>
      </c>
      <c r="CH37" s="55">
        <f t="shared" si="184"/>
        <v>0</v>
      </c>
      <c r="CI37" s="56">
        <f>IF(AND($E37&lt;&gt;0,$F37&gt;0,YEAR($F37)&gt;=Preisindex!$A$6,YEAR(CD$4)&gt;=YEAR($F37),AND($K37&lt;&gt;"a",$K37&lt;&gt;"b",$K37&lt;&gt;"g",$K37&lt;&gt;"k")),1,IF(AND($E37&lt;&gt;0,$F37&gt;0,YEAR($F37)&gt;=Preisindex!$A$6,YEAR(CD$4)&gt;=YEAR($F37),$K37="a"),ROUND(VLOOKUP(CI$4,Preisindex,5,FALSE)/VLOOKUP(YEAR($F37),Preisindex,5,FALSE),2),IF(AND($E37&lt;&gt;0,$F37&gt;0,YEAR($F37)&gt;=Preisindex!$A$6,YEAR(CD$4)&gt;=YEAR($F37),$K37="b"),ROUND(VLOOKUP(CI$4,Preisindex,3,FALSE)/VLOOKUP(YEAR($F37),Preisindex,3,FALSE),2),IF(AND($E37&lt;&gt;0,$F37&gt;0,YEAR($F37)&gt;=Preisindex!$A$6,YEAR(CD$4)&gt;=YEAR($F37),$K37="g"),ROUND(VLOOKUP(CI$4,Preisindex,4,FALSE)/VLOOKUP(YEAR($F37),Preisindex,4,FALSE),2),IF(AND($E37&lt;&gt;0,$F37&gt;0,YEAR($F37)&gt;=Preisindex!$A$6,YEAR(CD$4)&gt;=YEAR($F37),$K37="k"),ROUND(VLOOKUP(CI$4,Preisindex,2,FALSE)/VLOOKUP(YEAR($F37),Preisindex,2,FALSE),2),0)))))</f>
        <v>1.1200000000000001</v>
      </c>
      <c r="CJ37" s="56">
        <f>IF(AND($E37&lt;&gt;0,$F37&gt;0,YEAR($F37)&lt;Preisindex!$A$6,YEAR(CD$4)&gt;=YEAR($F37),AND($K37&lt;&gt;"a",$K37&lt;&gt;"b",$K37&lt;&gt;"g",$K37&lt;&gt;"k")),1,IF(AND($E37&lt;&gt;0,$F37&gt;0,YEAR($F37)&lt;Preisindex!$A$6,YEAR(CD$4)&gt;=YEAR($F37),$K37="a"),ROUND(VLOOKUP(CI$4,Preisindex,5,FALSE)/VLOOKUP(Preisindex!$A$6,Preisindex,5,FALSE),2),IF(AND($E37&lt;&gt;0,$F37&gt;0,YEAR($F37)&lt;Preisindex!$A$6,YEAR(CD$4)&gt;=YEAR($F37),$K37="b"),ROUND(VLOOKUP(CI$4,Preisindex,3,FALSE)/VLOOKUP(Preisindex!$A$6,Preisindex,3,FALSE),2),IF(AND($E37&lt;&gt;0,$F37&gt;0,YEAR($F37)&lt;Preisindex!$A$6,YEAR(CD$4)&gt;=YEAR($F37),$K37="g"),ROUND(VLOOKUP(CI$4,Preisindex,4,FALSE)/VLOOKUP(Preisindex!$A$6,Preisindex,4,FALSE),2),IF(AND($E37&lt;&gt;0,$F37&gt;0,YEAR($F37)&lt;Preisindex!$A$6,YEAR(CD$4)&gt;=YEAR($F37),$K37="k"),ROUND(VLOOKUP(CI$4,Preisindex,2,FALSE)/VLOOKUP(Preisindex!$A$6,Preisindex,2,FALSE),2),0)))))</f>
        <v>0</v>
      </c>
      <c r="CK37" s="51">
        <f>IF(AND($E37&lt;&gt;0,$F37&gt;0,YEAR($F37)&lt;=CI$4,YEAR($F37)&gt;=Preisindex!$A$6),ROUND($E37*CI37,2),IF(AND($E37&lt;&gt;0,$F37&gt;0,YEAR($F37)&lt;=CI$4,YEAR($F37)&lt;Preisindex!$A$6),ROUND($E37*CJ37,2),0))</f>
        <v>168000</v>
      </c>
      <c r="CL37" s="53">
        <f t="shared" si="185"/>
        <v>3360</v>
      </c>
      <c r="CM37" s="51">
        <f t="shared" si="357"/>
        <v>0</v>
      </c>
      <c r="CN37" s="51">
        <f t="shared" si="332"/>
        <v>0</v>
      </c>
      <c r="CO37" s="51">
        <f t="shared" si="188"/>
        <v>0</v>
      </c>
      <c r="CP37" s="51">
        <f t="shared" si="333"/>
        <v>0</v>
      </c>
      <c r="CQ37" s="51">
        <f t="shared" si="190"/>
        <v>150000</v>
      </c>
      <c r="CR37" s="51">
        <f t="shared" si="334"/>
        <v>150000</v>
      </c>
      <c r="CS37" s="51">
        <f t="shared" si="192"/>
        <v>3000</v>
      </c>
      <c r="CT37" s="51">
        <f t="shared" si="335"/>
        <v>3000</v>
      </c>
      <c r="CU37" s="51">
        <f t="shared" si="194"/>
        <v>124500</v>
      </c>
      <c r="CV37" s="51">
        <f t="shared" si="336"/>
        <v>124500</v>
      </c>
      <c r="CW37" s="51">
        <f t="shared" si="196"/>
        <v>25500</v>
      </c>
      <c r="CX37" s="54">
        <f t="shared" si="197"/>
        <v>0</v>
      </c>
      <c r="CY37" s="55">
        <f t="shared" si="198"/>
        <v>0</v>
      </c>
      <c r="CZ37" s="56">
        <f>IF(AND($E37&lt;&gt;0,$F37&gt;0,YEAR($F37)&gt;=Preisindex!$A$6,YEAR(CU$4)&gt;=YEAR($F37),AND($K37&lt;&gt;"a",$K37&lt;&gt;"b",$K37&lt;&gt;"g",$K37&lt;&gt;"k")),1,IF(AND($E37&lt;&gt;0,$F37&gt;0,YEAR($F37)&gt;=Preisindex!$A$6,YEAR(CU$4)&gt;=YEAR($F37),$K37="a"),ROUND(VLOOKUP(CZ$4,Preisindex,5,FALSE)/VLOOKUP(YEAR($F37),Preisindex,5,FALSE),2),IF(AND($E37&lt;&gt;0,$F37&gt;0,YEAR($F37)&gt;=Preisindex!$A$6,YEAR(CU$4)&gt;=YEAR($F37),$K37="b"),ROUND(VLOOKUP(CZ$4,Preisindex,3,FALSE)/VLOOKUP(YEAR($F37),Preisindex,3,FALSE),2),IF(AND($E37&lt;&gt;0,$F37&gt;0,YEAR($F37)&gt;=Preisindex!$A$6,YEAR(CU$4)&gt;=YEAR($F37),$K37="g"),ROUND(VLOOKUP(CZ$4,Preisindex,4,FALSE)/VLOOKUP(YEAR($F37),Preisindex,4,FALSE),2),IF(AND($E37&lt;&gt;0,$F37&gt;0,YEAR($F37)&gt;=Preisindex!$A$6,YEAR(CU$4)&gt;=YEAR($F37),$K37="k"),ROUND(VLOOKUP(CZ$4,Preisindex,2,FALSE)/VLOOKUP(YEAR($F37),Preisindex,2,FALSE),2),0)))))</f>
        <v>1.1399999999999999</v>
      </c>
      <c r="DA37" s="56">
        <f>IF(AND($E37&lt;&gt;0,$F37&gt;0,YEAR($F37)&lt;Preisindex!$A$6,YEAR(CU$4)&gt;=YEAR($F37),AND($K37&lt;&gt;"a",$K37&lt;&gt;"b",$K37&lt;&gt;"g",$K37&lt;&gt;"k")),1,IF(AND($E37&lt;&gt;0,$F37&gt;0,YEAR($F37)&lt;Preisindex!$A$6,YEAR(CU$4)&gt;=YEAR($F37),$K37="a"),ROUND(VLOOKUP(CZ$4,Preisindex,5,FALSE)/VLOOKUP(Preisindex!$A$6,Preisindex,5,FALSE),2),IF(AND($E37&lt;&gt;0,$F37&gt;0,YEAR($F37)&lt;Preisindex!$A$6,YEAR(CU$4)&gt;=YEAR($F37),$K37="b"),ROUND(VLOOKUP(CZ$4,Preisindex,3,FALSE)/VLOOKUP(Preisindex!$A$6,Preisindex,3,FALSE),2),IF(AND($E37&lt;&gt;0,$F37&gt;0,YEAR($F37)&lt;Preisindex!$A$6,YEAR(CU$4)&gt;=YEAR($F37),$K37="g"),ROUND(VLOOKUP(CZ$4,Preisindex,4,FALSE)/VLOOKUP(Preisindex!$A$6,Preisindex,4,FALSE),2),IF(AND($E37&lt;&gt;0,$F37&gt;0,YEAR($F37)&lt;Preisindex!$A$6,YEAR(CU$4)&gt;=YEAR($F37),$K37="k"),ROUND(VLOOKUP(CZ$4,Preisindex,2,FALSE)/VLOOKUP(Preisindex!$A$6,Preisindex,2,FALSE),2),0)))))</f>
        <v>0</v>
      </c>
      <c r="DB37" s="51">
        <f>IF(AND($E37&lt;&gt;0,$F37&gt;0,YEAR($F37)&lt;=CZ$4,YEAR($F37)&gt;=Preisindex!$A$6),ROUND($E37*CZ37,2),IF(AND($E37&lt;&gt;0,$F37&gt;0,YEAR($F37)&lt;=CZ$4,YEAR($F37)&lt;Preisindex!$A$6),ROUND($E37*DA37,2),0))</f>
        <v>171000</v>
      </c>
      <c r="DC37" s="53">
        <f t="shared" si="199"/>
        <v>3420</v>
      </c>
      <c r="DD37" s="51">
        <f t="shared" ref="DD37:FC52" si="358">IF(YEAR($F37)=DD$4,$E37,0)</f>
        <v>0</v>
      </c>
      <c r="DE37" s="51">
        <f t="shared" si="337"/>
        <v>0</v>
      </c>
      <c r="DF37" s="51">
        <f t="shared" si="202"/>
        <v>0</v>
      </c>
      <c r="DG37" s="51">
        <f t="shared" si="338"/>
        <v>0</v>
      </c>
      <c r="DH37" s="51">
        <f t="shared" si="204"/>
        <v>150000</v>
      </c>
      <c r="DI37" s="51">
        <f t="shared" si="339"/>
        <v>150000</v>
      </c>
      <c r="DJ37" s="51">
        <f t="shared" si="206"/>
        <v>3000</v>
      </c>
      <c r="DK37" s="51">
        <f t="shared" si="340"/>
        <v>3000</v>
      </c>
      <c r="DL37" s="51">
        <f t="shared" si="208"/>
        <v>121500</v>
      </c>
      <c r="DM37" s="51">
        <f t="shared" si="341"/>
        <v>121500</v>
      </c>
      <c r="DN37" s="51">
        <f t="shared" si="210"/>
        <v>28500</v>
      </c>
      <c r="DO37" s="54">
        <f t="shared" si="211"/>
        <v>0</v>
      </c>
      <c r="DP37" s="55">
        <f t="shared" si="212"/>
        <v>0</v>
      </c>
      <c r="DQ37" s="56">
        <f>IF(AND($E37&lt;&gt;0,$F37&gt;0,YEAR($F37)&gt;=Preisindex!$A$6,YEAR(DL$4)&gt;=YEAR($F37),AND($K37&lt;&gt;"a",$K37&lt;&gt;"b",$K37&lt;&gt;"g",$K37&lt;&gt;"k")),1,IF(AND($E37&lt;&gt;0,$F37&gt;0,YEAR($F37)&gt;=Preisindex!$A$6,YEAR(DL$4)&gt;=YEAR($F37),$K37="a"),ROUND(VLOOKUP(DQ$4,Preisindex,5,FALSE)/VLOOKUP(YEAR($F37),Preisindex,5,FALSE),2),IF(AND($E37&lt;&gt;0,$F37&gt;0,YEAR($F37)&gt;=Preisindex!$A$6,YEAR(DL$4)&gt;=YEAR($F37),$K37="b"),ROUND(VLOOKUP(DQ$4,Preisindex,3,FALSE)/VLOOKUP(YEAR($F37),Preisindex,3,FALSE),2),IF(AND($E37&lt;&gt;0,$F37&gt;0,YEAR($F37)&gt;=Preisindex!$A$6,YEAR(DL$4)&gt;=YEAR($F37),$K37="g"),ROUND(VLOOKUP(DQ$4,Preisindex,4,FALSE)/VLOOKUP(YEAR($F37),Preisindex,4,FALSE),2),IF(AND($E37&lt;&gt;0,$F37&gt;0,YEAR($F37)&gt;=Preisindex!$A$6,YEAR(DL$4)&gt;=YEAR($F37),$K37="k"),ROUND(VLOOKUP(DQ$4,Preisindex,2,FALSE)/VLOOKUP(YEAR($F37),Preisindex,2,FALSE),2),0)))))</f>
        <v>1.17</v>
      </c>
      <c r="DR37" s="56">
        <f>IF(AND($E37&lt;&gt;0,$F37&gt;0,YEAR($F37)&lt;Preisindex!$A$6,YEAR(DL$4)&gt;=YEAR($F37),AND($K37&lt;&gt;"a",$K37&lt;&gt;"b",$K37&lt;&gt;"g",$K37&lt;&gt;"k")),1,IF(AND($E37&lt;&gt;0,$F37&gt;0,YEAR($F37)&lt;Preisindex!$A$6,YEAR(DL$4)&gt;=YEAR($F37),$K37="a"),ROUND(VLOOKUP(DQ$4,Preisindex,5,FALSE)/VLOOKUP(Preisindex!$A$6,Preisindex,5,FALSE),2),IF(AND($E37&lt;&gt;0,$F37&gt;0,YEAR($F37)&lt;Preisindex!$A$6,YEAR(DL$4)&gt;=YEAR($F37),$K37="b"),ROUND(VLOOKUP(DQ$4,Preisindex,3,FALSE)/VLOOKUP(Preisindex!$A$6,Preisindex,3,FALSE),2),IF(AND($E37&lt;&gt;0,$F37&gt;0,YEAR($F37)&lt;Preisindex!$A$6,YEAR(DL$4)&gt;=YEAR($F37),$K37="g"),ROUND(VLOOKUP(DQ$4,Preisindex,4,FALSE)/VLOOKUP(Preisindex!$A$6,Preisindex,4,FALSE),2),IF(AND($E37&lt;&gt;0,$F37&gt;0,YEAR($F37)&lt;Preisindex!$A$6,YEAR(DL$4)&gt;=YEAR($F37),$K37="k"),ROUND(VLOOKUP(DQ$4,Preisindex,2,FALSE)/VLOOKUP(Preisindex!$A$6,Preisindex,2,FALSE),2),0)))))</f>
        <v>0</v>
      </c>
      <c r="DS37" s="51">
        <f>IF(AND($E37&lt;&gt;0,$F37&gt;0,YEAR($F37)&lt;=DQ$4,YEAR($F37)&gt;=Preisindex!$A$6),ROUND($E37*DQ37,2),IF(AND($E37&lt;&gt;0,$F37&gt;0,YEAR($F37)&lt;=DQ$4,YEAR($F37)&lt;Preisindex!$A$6),ROUND($E37*DR37,2),0))</f>
        <v>175500</v>
      </c>
      <c r="DT37" s="53">
        <f t="shared" si="213"/>
        <v>3510</v>
      </c>
      <c r="DU37" s="51">
        <f t="shared" si="358"/>
        <v>0</v>
      </c>
      <c r="DV37" s="51">
        <f t="shared" si="342"/>
        <v>0</v>
      </c>
      <c r="DW37" s="51">
        <f t="shared" si="216"/>
        <v>0</v>
      </c>
      <c r="DX37" s="51">
        <f t="shared" si="343"/>
        <v>0</v>
      </c>
      <c r="DY37" s="51">
        <f t="shared" si="218"/>
        <v>150000</v>
      </c>
      <c r="DZ37" s="51">
        <f t="shared" si="344"/>
        <v>150000</v>
      </c>
      <c r="EA37" s="51">
        <f t="shared" si="220"/>
        <v>3000</v>
      </c>
      <c r="EB37" s="51">
        <f t="shared" si="345"/>
        <v>3000</v>
      </c>
      <c r="EC37" s="51">
        <f t="shared" si="222"/>
        <v>118500</v>
      </c>
      <c r="ED37" s="51">
        <f t="shared" si="346"/>
        <v>118500</v>
      </c>
      <c r="EE37" s="51">
        <f t="shared" si="224"/>
        <v>31500</v>
      </c>
      <c r="EF37" s="54">
        <f t="shared" si="225"/>
        <v>0</v>
      </c>
      <c r="EG37" s="55">
        <f t="shared" si="226"/>
        <v>0</v>
      </c>
      <c r="EH37" s="56">
        <f>IF(AND($E37&lt;&gt;0,$F37&gt;0,YEAR($F37)&gt;=Preisindex!$A$6,YEAR(EC$4)&gt;=YEAR($F37),AND($K37&lt;&gt;"a",$K37&lt;&gt;"b",$K37&lt;&gt;"g",$K37&lt;&gt;"k")),1,IF(AND($E37&lt;&gt;0,$F37&gt;0,YEAR($F37)&gt;=Preisindex!$A$6,YEAR(EC$4)&gt;=YEAR($F37),$K37="a"),ROUND(VLOOKUP(EH$4,Preisindex,5,FALSE)/VLOOKUP(YEAR($F37),Preisindex,5,FALSE),2),IF(AND($E37&lt;&gt;0,$F37&gt;0,YEAR($F37)&gt;=Preisindex!$A$6,YEAR(EC$4)&gt;=YEAR($F37),$K37="b"),ROUND(VLOOKUP(EH$4,Preisindex,3,FALSE)/VLOOKUP(YEAR($F37),Preisindex,3,FALSE),2),IF(AND($E37&lt;&gt;0,$F37&gt;0,YEAR($F37)&gt;=Preisindex!$A$6,YEAR(EC$4)&gt;=YEAR($F37),$K37="g"),ROUND(VLOOKUP(EH$4,Preisindex,4,FALSE)/VLOOKUP(YEAR($F37),Preisindex,4,FALSE),2),IF(AND($E37&lt;&gt;0,$F37&gt;0,YEAR($F37)&gt;=Preisindex!$A$6,YEAR(EC$4)&gt;=YEAR($F37),$K37="k"),ROUND(VLOOKUP(EH$4,Preisindex,2,FALSE)/VLOOKUP(YEAR($F37),Preisindex,2,FALSE),2),0)))))</f>
        <v>1.23</v>
      </c>
      <c r="EI37" s="56">
        <f>IF(AND($E37&lt;&gt;0,$F37&gt;0,YEAR($F37)&lt;Preisindex!$A$6,YEAR(EC$4)&gt;=YEAR($F37),AND($K37&lt;&gt;"a",$K37&lt;&gt;"b",$K37&lt;&gt;"g",$K37&lt;&gt;"k")),1,IF(AND($E37&lt;&gt;0,$F37&gt;0,YEAR($F37)&lt;Preisindex!$A$6,YEAR(EC$4)&gt;=YEAR($F37),$K37="a"),ROUND(VLOOKUP(EH$4,Preisindex,5,FALSE)/VLOOKUP(Preisindex!$A$6,Preisindex,5,FALSE),2),IF(AND($E37&lt;&gt;0,$F37&gt;0,YEAR($F37)&lt;Preisindex!$A$6,YEAR(EC$4)&gt;=YEAR($F37),$K37="b"),ROUND(VLOOKUP(EH$4,Preisindex,3,FALSE)/VLOOKUP(Preisindex!$A$6,Preisindex,3,FALSE),2),IF(AND($E37&lt;&gt;0,$F37&gt;0,YEAR($F37)&lt;Preisindex!$A$6,YEAR(EC$4)&gt;=YEAR($F37),$K37="g"),ROUND(VLOOKUP(EH$4,Preisindex,4,FALSE)/VLOOKUP(Preisindex!$A$6,Preisindex,4,FALSE),2),IF(AND($E37&lt;&gt;0,$F37&gt;0,YEAR($F37)&lt;Preisindex!$A$6,YEAR(EC$4)&gt;=YEAR($F37),$K37="k"),ROUND(VLOOKUP(EH$4,Preisindex,2,FALSE)/VLOOKUP(Preisindex!$A$6,Preisindex,2,FALSE),2),0)))))</f>
        <v>0</v>
      </c>
      <c r="EJ37" s="51">
        <f>IF(AND($E37&lt;&gt;0,$F37&gt;0,YEAR($F37)&lt;=EH$4,YEAR($F37)&gt;=Preisindex!$A$6),ROUND($E37*EH37,2),IF(AND($E37&lt;&gt;0,$F37&gt;0,YEAR($F37)&lt;=EH$4,YEAR($F37)&lt;Preisindex!$A$6),ROUND($E37*EI37,2),0))</f>
        <v>184500</v>
      </c>
      <c r="EK37" s="53">
        <f t="shared" si="227"/>
        <v>3690</v>
      </c>
      <c r="EL37" s="51">
        <f t="shared" si="358"/>
        <v>0</v>
      </c>
      <c r="EM37" s="51">
        <f t="shared" si="347"/>
        <v>0</v>
      </c>
      <c r="EN37" s="51">
        <f t="shared" si="230"/>
        <v>0</v>
      </c>
      <c r="EO37" s="51">
        <f t="shared" si="348"/>
        <v>0</v>
      </c>
      <c r="EP37" s="51">
        <f t="shared" si="232"/>
        <v>150000</v>
      </c>
      <c r="EQ37" s="51">
        <f t="shared" si="349"/>
        <v>150000</v>
      </c>
      <c r="ER37" s="51">
        <f t="shared" si="234"/>
        <v>3000</v>
      </c>
      <c r="ES37" s="51">
        <f t="shared" si="350"/>
        <v>3000</v>
      </c>
      <c r="ET37" s="51">
        <f t="shared" si="236"/>
        <v>115500</v>
      </c>
      <c r="EU37" s="51">
        <f t="shared" si="351"/>
        <v>115500</v>
      </c>
      <c r="EV37" s="51">
        <f t="shared" si="238"/>
        <v>34500</v>
      </c>
      <c r="EW37" s="54">
        <f t="shared" si="239"/>
        <v>0</v>
      </c>
      <c r="EX37" s="55">
        <f t="shared" si="240"/>
        <v>0</v>
      </c>
      <c r="EY37" s="56">
        <f>IF(AND($E37&lt;&gt;0,$F37&gt;0,YEAR($F37)&gt;=Preisindex!$A$6,YEAR(ET$4)&gt;=YEAR($F37),AND($K37&lt;&gt;"a",$K37&lt;&gt;"b",$K37&lt;&gt;"g",$K37&lt;&gt;"k")),1,IF(AND($E37&lt;&gt;0,$F37&gt;0,YEAR($F37)&gt;=Preisindex!$A$6,YEAR(ET$4)&gt;=YEAR($F37),$K37="a"),ROUND(VLOOKUP(EY$4,Preisindex,5,FALSE)/VLOOKUP(YEAR($F37),Preisindex,5,FALSE),2),IF(AND($E37&lt;&gt;0,$F37&gt;0,YEAR($F37)&gt;=Preisindex!$A$6,YEAR(ET$4)&gt;=YEAR($F37),$K37="b"),ROUND(VLOOKUP(EY$4,Preisindex,3,FALSE)/VLOOKUP(YEAR($F37),Preisindex,3,FALSE),2),IF(AND($E37&lt;&gt;0,$F37&gt;0,YEAR($F37)&gt;=Preisindex!$A$6,YEAR(ET$4)&gt;=YEAR($F37),$K37="g"),ROUND(VLOOKUP(EY$4,Preisindex,4,FALSE)/VLOOKUP(YEAR($F37),Preisindex,4,FALSE),2),IF(AND($E37&lt;&gt;0,$F37&gt;0,YEAR($F37)&gt;=Preisindex!$A$6,YEAR(ET$4)&gt;=YEAR($F37),$K37="k"),ROUND(VLOOKUP(EY$4,Preisindex,2,FALSE)/VLOOKUP(YEAR($F37),Preisindex,2,FALSE),2),0)))))</f>
        <v>1.23</v>
      </c>
      <c r="EZ37" s="56">
        <f>IF(AND($E37&lt;&gt;0,$F37&gt;0,YEAR($F37)&lt;Preisindex!$A$6,YEAR(ET$4)&gt;=YEAR($F37),AND($K37&lt;&gt;"a",$K37&lt;&gt;"b",$K37&lt;&gt;"g",$K37&lt;&gt;"k")),1,IF(AND($E37&lt;&gt;0,$F37&gt;0,YEAR($F37)&lt;Preisindex!$A$6,YEAR(ET$4)&gt;=YEAR($F37),$K37="a"),ROUND(VLOOKUP(EY$4,Preisindex,5,FALSE)/VLOOKUP(Preisindex!$A$6,Preisindex,5,FALSE),2),IF(AND($E37&lt;&gt;0,$F37&gt;0,YEAR($F37)&lt;Preisindex!$A$6,YEAR(ET$4)&gt;=YEAR($F37),$K37="b"),ROUND(VLOOKUP(EY$4,Preisindex,3,FALSE)/VLOOKUP(Preisindex!$A$6,Preisindex,3,FALSE),2),IF(AND($E37&lt;&gt;0,$F37&gt;0,YEAR($F37)&lt;Preisindex!$A$6,YEAR(ET$4)&gt;=YEAR($F37),$K37="g"),ROUND(VLOOKUP(EY$4,Preisindex,4,FALSE)/VLOOKUP(Preisindex!$A$6,Preisindex,4,FALSE),2),IF(AND($E37&lt;&gt;0,$F37&gt;0,YEAR($F37)&lt;Preisindex!$A$6,YEAR(ET$4)&gt;=YEAR($F37),$K37="k"),ROUND(VLOOKUP(EY$4,Preisindex,2,FALSE)/VLOOKUP(Preisindex!$A$6,Preisindex,2,FALSE),2),0)))))</f>
        <v>0</v>
      </c>
      <c r="FA37" s="51">
        <f>IF(AND($E37&lt;&gt;0,$F37&gt;0,YEAR($F37)&lt;=EY$4,YEAR($F37)&gt;=Preisindex!$A$6),ROUND($E37*EY37,2),IF(AND($E37&lt;&gt;0,$F37&gt;0,YEAR($F37)&lt;=EY$4,YEAR($F37)&lt;Preisindex!$A$6),ROUND($E37*EZ37,2),0))</f>
        <v>184500</v>
      </c>
      <c r="FB37" s="53">
        <f t="shared" si="241"/>
        <v>3690</v>
      </c>
      <c r="FC37" s="51">
        <f t="shared" si="358"/>
        <v>0</v>
      </c>
      <c r="FD37" s="51">
        <f t="shared" si="352"/>
        <v>0</v>
      </c>
      <c r="FE37" s="51">
        <f t="shared" si="244"/>
        <v>0</v>
      </c>
      <c r="FF37" s="51">
        <f t="shared" si="353"/>
        <v>0</v>
      </c>
      <c r="FG37" s="51">
        <f t="shared" si="246"/>
        <v>150000</v>
      </c>
      <c r="FH37" s="51">
        <f t="shared" si="354"/>
        <v>150000</v>
      </c>
      <c r="FI37" s="51">
        <f t="shared" si="248"/>
        <v>3000</v>
      </c>
      <c r="FJ37" s="51">
        <f t="shared" si="355"/>
        <v>3000</v>
      </c>
      <c r="FK37" s="51">
        <f t="shared" si="250"/>
        <v>112500</v>
      </c>
      <c r="FL37" s="51">
        <f t="shared" si="356"/>
        <v>112500</v>
      </c>
      <c r="FM37" s="51">
        <f t="shared" si="252"/>
        <v>37500</v>
      </c>
      <c r="FN37" s="54">
        <f t="shared" si="253"/>
        <v>0</v>
      </c>
      <c r="FO37" s="55">
        <f t="shared" si="254"/>
        <v>0</v>
      </c>
      <c r="FP37" s="56">
        <f>IF(AND($E37&lt;&gt;0,$F37&gt;0,YEAR($F37)&gt;=Preisindex!$A$6,YEAR(FK$4)&gt;=YEAR($F37),AND($K37&lt;&gt;"a",$K37&lt;&gt;"b",$K37&lt;&gt;"g",$K37&lt;&gt;"k")),1,IF(AND($E37&lt;&gt;0,$F37&gt;0,YEAR($F37)&gt;=Preisindex!$A$6,YEAR(FK$4)&gt;=YEAR($F37),$K37="a"),ROUND(VLOOKUP(FP$4,Preisindex,5,FALSE)/VLOOKUP(YEAR($F37),Preisindex,5,FALSE),2),IF(AND($E37&lt;&gt;0,$F37&gt;0,YEAR($F37)&gt;=Preisindex!$A$6,YEAR(FK$4)&gt;=YEAR($F37),$K37="b"),ROUND(VLOOKUP(FP$4,Preisindex,3,FALSE)/VLOOKUP(YEAR($F37),Preisindex,3,FALSE),2),IF(AND($E37&lt;&gt;0,$F37&gt;0,YEAR($F37)&gt;=Preisindex!$A$6,YEAR(FK$4)&gt;=YEAR($F37),$K37="g"),ROUND(VLOOKUP(FP$4,Preisindex,4,FALSE)/VLOOKUP(YEAR($F37),Preisindex,4,FALSE),2),IF(AND($E37&lt;&gt;0,$F37&gt;0,YEAR($F37)&gt;=Preisindex!$A$6,YEAR(FK$4)&gt;=YEAR($F37),$K37="k"),ROUND(VLOOKUP(FP$4,Preisindex,2,FALSE)/VLOOKUP(YEAR($F37),Preisindex,2,FALSE),2),0)))))</f>
        <v>1.23</v>
      </c>
      <c r="FQ37" s="56">
        <f>IF(AND($E37&lt;&gt;0,$F37&gt;0,YEAR($F37)&lt;Preisindex!$A$6,YEAR(FK$4)&gt;=YEAR($F37),AND($K37&lt;&gt;"a",$K37&lt;&gt;"b",$K37&lt;&gt;"g",$K37&lt;&gt;"k")),1,IF(AND($E37&lt;&gt;0,$F37&gt;0,YEAR($F37)&lt;Preisindex!$A$6,YEAR(FK$4)&gt;=YEAR($F37),$K37="a"),ROUND(VLOOKUP(FP$4,Preisindex,5,FALSE)/VLOOKUP(Preisindex!$A$6,Preisindex,5,FALSE),2),IF(AND($E37&lt;&gt;0,$F37&gt;0,YEAR($F37)&lt;Preisindex!$A$6,YEAR(FK$4)&gt;=YEAR($F37),$K37="b"),ROUND(VLOOKUP(FP$4,Preisindex,3,FALSE)/VLOOKUP(Preisindex!$A$6,Preisindex,3,FALSE),2),IF(AND($E37&lt;&gt;0,$F37&gt;0,YEAR($F37)&lt;Preisindex!$A$6,YEAR(FK$4)&gt;=YEAR($F37),$K37="g"),ROUND(VLOOKUP(FP$4,Preisindex,4,FALSE)/VLOOKUP(Preisindex!$A$6,Preisindex,4,FALSE),2),IF(AND($E37&lt;&gt;0,$F37&gt;0,YEAR($F37)&lt;Preisindex!$A$6,YEAR(FK$4)&gt;=YEAR($F37),$K37="k"),ROUND(VLOOKUP(FP$4,Preisindex,2,FALSE)/VLOOKUP(Preisindex!$A$6,Preisindex,2,FALSE),2),0)))))</f>
        <v>0</v>
      </c>
      <c r="FR37" s="51">
        <f>IF(AND($E37&lt;&gt;0,$F37&gt;0,YEAR($F37)&lt;=FP$4,YEAR($F37)&gt;=Preisindex!$A$6),ROUND($E37*FP37,2),IF(AND($E37&lt;&gt;0,$F37&gt;0,YEAR($F37)&lt;=FP$4,YEAR($F37)&lt;Preisindex!$A$6),ROUND($E37*FQ37,2),0))</f>
        <v>184500</v>
      </c>
      <c r="FS37" s="53">
        <f t="shared" si="255"/>
        <v>3690</v>
      </c>
    </row>
    <row r="38" spans="1:175" x14ac:dyDescent="0.3">
      <c r="A38" s="195">
        <v>2009</v>
      </c>
      <c r="B38" s="196" t="s">
        <v>226</v>
      </c>
      <c r="C38" s="196"/>
      <c r="D38" s="188" t="s">
        <v>21</v>
      </c>
      <c r="E38" s="99">
        <v>220000</v>
      </c>
      <c r="F38" s="97">
        <v>39995</v>
      </c>
      <c r="G38" s="100">
        <v>50</v>
      </c>
      <c r="H38" s="622"/>
      <c r="I38" s="621"/>
      <c r="J38" s="194"/>
      <c r="K38" s="630" t="s">
        <v>266</v>
      </c>
      <c r="L38" s="49">
        <f t="shared" si="296"/>
        <v>0.02</v>
      </c>
      <c r="M38" s="50">
        <f t="shared" si="297"/>
        <v>4400</v>
      </c>
      <c r="N38" s="51">
        <f t="shared" si="298"/>
        <v>209000</v>
      </c>
      <c r="O38" s="51"/>
      <c r="P38" s="51">
        <f t="shared" si="299"/>
        <v>11000</v>
      </c>
      <c r="Q38" s="52"/>
      <c r="R38" s="52"/>
      <c r="S38" s="52"/>
      <c r="T38" s="52"/>
      <c r="U38" s="52"/>
      <c r="V38" s="53">
        <f t="shared" si="300"/>
        <v>220000</v>
      </c>
      <c r="W38" s="51">
        <f t="shared" si="301"/>
        <v>0</v>
      </c>
      <c r="X38" s="51">
        <f t="shared" si="302"/>
        <v>0</v>
      </c>
      <c r="Y38" s="51">
        <f t="shared" si="303"/>
        <v>0</v>
      </c>
      <c r="Z38" s="51">
        <f t="shared" si="304"/>
        <v>0</v>
      </c>
      <c r="AA38" s="51">
        <f t="shared" si="305"/>
        <v>220000</v>
      </c>
      <c r="AB38" s="51">
        <f t="shared" si="306"/>
        <v>220000</v>
      </c>
      <c r="AC38" s="51">
        <f t="shared" si="307"/>
        <v>4400</v>
      </c>
      <c r="AD38" s="51">
        <f t="shared" si="308"/>
        <v>4400</v>
      </c>
      <c r="AE38" s="51">
        <f t="shared" si="309"/>
        <v>204600</v>
      </c>
      <c r="AF38" s="51">
        <f t="shared" si="310"/>
        <v>204600</v>
      </c>
      <c r="AG38" s="51">
        <f t="shared" si="311"/>
        <v>15400</v>
      </c>
      <c r="AH38" s="54">
        <f t="shared" si="312"/>
        <v>0</v>
      </c>
      <c r="AI38" s="55">
        <f t="shared" si="313"/>
        <v>0</v>
      </c>
      <c r="AJ38" s="56">
        <f>IF(AND($E38&lt;&gt;0,$F38&gt;0,YEAR($F38)&gt;=Preisindex!$A$6,YEAR(AE$4)&gt;=YEAR($F38),AND($K38&lt;&gt;"a",$K38&lt;&gt;"b",$K38&lt;&gt;"g",$K38&lt;&gt;"k")),1,IF(AND($E38&lt;&gt;0,$F38&gt;0,YEAR($F38)&gt;=Preisindex!$A$6,YEAR(AE$4)&gt;=YEAR($F38),$K38="a"),ROUND(VLOOKUP(AJ$4,Preisindex,5,FALSE)/VLOOKUP(YEAR($F38),Preisindex,5,FALSE),2),IF(AND($E38&lt;&gt;0,$F38&gt;0,YEAR($F38)&gt;=Preisindex!$A$6,YEAR(AE$4)&gt;=YEAR($F38),$K38="b"),ROUND(VLOOKUP(AJ$4,Preisindex,3,FALSE)/VLOOKUP(YEAR($F38),Preisindex,3,FALSE),2),IF(AND($E38&lt;&gt;0,$F38&gt;0,YEAR($F38)&gt;=Preisindex!$A$6,YEAR(AE$4)&gt;=YEAR($F38),$K38="g"),ROUND(VLOOKUP(AJ$4,Preisindex,4,FALSE)/VLOOKUP(YEAR($F38),Preisindex,4,FALSE),2),IF(AND($E38&lt;&gt;0,$F38&gt;0,YEAR($F38)&gt;=Preisindex!$A$6,YEAR(AE$4)&gt;=YEAR($F38),$K38="k"),ROUND(VLOOKUP(AJ$4,Preisindex,2,FALSE)/VLOOKUP(YEAR($F38),Preisindex,2,FALSE),2),0)))))</f>
        <v>1.05</v>
      </c>
      <c r="AK38" s="56">
        <f>IF(AND($E38&lt;&gt;0,$F38&gt;0,YEAR($F38)&lt;Preisindex!$A$6,YEAR(AE$4)&gt;=YEAR($F38),AND($K38&lt;&gt;"a",$K38&lt;&gt;"b",$K38&lt;&gt;"g",$K38&lt;&gt;"k")),1,IF(AND($E38&lt;&gt;0,$F38&gt;0,YEAR($F38)&lt;Preisindex!$A$6,YEAR(AE$4)&gt;=YEAR($F38),$K38="a"),ROUND(VLOOKUP(AJ$4,Preisindex,5,FALSE)/VLOOKUP(Preisindex!$A$6,Preisindex,5,FALSE),2),IF(AND($E38&lt;&gt;0,$F38&gt;0,YEAR($F38)&lt;Preisindex!$A$6,YEAR(AE$4)&gt;=YEAR($F38),$K38="b"),ROUND(VLOOKUP(AJ$4,Preisindex,3,FALSE)/VLOOKUP(Preisindex!$A$6,Preisindex,3,FALSE),2),IF(AND($E38&lt;&gt;0,$F38&gt;0,YEAR($F38)&lt;Preisindex!$A$6,YEAR(AE$4)&gt;=YEAR($F38),$K38="g"),ROUND(VLOOKUP(AJ$4,Preisindex,4,FALSE)/VLOOKUP(Preisindex!$A$6,Preisindex,4,FALSE),2),IF(AND($E38&lt;&gt;0,$F38&gt;0,YEAR($F38)&lt;Preisindex!$A$6,YEAR(AE$4)&gt;=YEAR($F38),$K38="k"),ROUND(VLOOKUP(AJ$4,Preisindex,2,FALSE)/VLOOKUP(Preisindex!$A$6,Preisindex,2,FALSE),2),0)))))</f>
        <v>0</v>
      </c>
      <c r="AL38" s="51">
        <f>IF(AND($E38&lt;&gt;0,$F38&gt;0,YEAR($F38)&lt;=AJ$4,YEAR($F38)&gt;=Preisindex!$A$6),ROUND($E38*AJ38,2),IF(AND($E38&lt;&gt;0,$F38&gt;0,YEAR($F38)&lt;=AJ$4,YEAR($F38)&lt;Preisindex!$A$6),ROUND($E38*AK38,2),0))</f>
        <v>231000</v>
      </c>
      <c r="AM38" s="53">
        <f t="shared" si="314"/>
        <v>4620</v>
      </c>
      <c r="AN38" s="51">
        <f t="shared" si="357"/>
        <v>0</v>
      </c>
      <c r="AO38" s="51">
        <f t="shared" si="317"/>
        <v>0</v>
      </c>
      <c r="AP38" s="51">
        <f t="shared" si="146"/>
        <v>0</v>
      </c>
      <c r="AQ38" s="51">
        <f t="shared" si="318"/>
        <v>0</v>
      </c>
      <c r="AR38" s="51">
        <f t="shared" si="148"/>
        <v>220000</v>
      </c>
      <c r="AS38" s="51">
        <f t="shared" si="319"/>
        <v>220000</v>
      </c>
      <c r="AT38" s="51">
        <f t="shared" si="150"/>
        <v>4400</v>
      </c>
      <c r="AU38" s="51">
        <f t="shared" si="320"/>
        <v>4400</v>
      </c>
      <c r="AV38" s="51">
        <f t="shared" si="152"/>
        <v>200200</v>
      </c>
      <c r="AW38" s="51">
        <f t="shared" si="321"/>
        <v>200200</v>
      </c>
      <c r="AX38" s="51">
        <f t="shared" si="154"/>
        <v>19800</v>
      </c>
      <c r="AY38" s="54">
        <f t="shared" si="155"/>
        <v>0</v>
      </c>
      <c r="AZ38" s="55">
        <f t="shared" si="156"/>
        <v>0</v>
      </c>
      <c r="BA38" s="56">
        <f>IF(AND($E38&lt;&gt;0,$F38&gt;0,YEAR($F38)&gt;=Preisindex!$A$6,YEAR(AV$4)&gt;=YEAR($F38),AND($K38&lt;&gt;"a",$K38&lt;&gt;"b",$K38&lt;&gt;"g",$K38&lt;&gt;"k")),1,IF(AND($E38&lt;&gt;0,$F38&gt;0,YEAR($F38)&gt;=Preisindex!$A$6,YEAR(AV$4)&gt;=YEAR($F38),$K38="a"),ROUND(VLOOKUP(BA$4,Preisindex,5,FALSE)/VLOOKUP(YEAR($F38),Preisindex,5,FALSE),2),IF(AND($E38&lt;&gt;0,$F38&gt;0,YEAR($F38)&gt;=Preisindex!$A$6,YEAR(AV$4)&gt;=YEAR($F38),$K38="b"),ROUND(VLOOKUP(BA$4,Preisindex,3,FALSE)/VLOOKUP(YEAR($F38),Preisindex,3,FALSE),2),IF(AND($E38&lt;&gt;0,$F38&gt;0,YEAR($F38)&gt;=Preisindex!$A$6,YEAR(AV$4)&gt;=YEAR($F38),$K38="g"),ROUND(VLOOKUP(BA$4,Preisindex,4,FALSE)/VLOOKUP(YEAR($F38),Preisindex,4,FALSE),2),IF(AND($E38&lt;&gt;0,$F38&gt;0,YEAR($F38)&gt;=Preisindex!$A$6,YEAR(AV$4)&gt;=YEAR($F38),$K38="k"),ROUND(VLOOKUP(BA$4,Preisindex,2,FALSE)/VLOOKUP(YEAR($F38),Preisindex,2,FALSE),2),0)))))</f>
        <v>1.07</v>
      </c>
      <c r="BB38" s="56">
        <f>IF(AND($E38&lt;&gt;0,$F38&gt;0,YEAR($F38)&lt;Preisindex!$A$6,YEAR(AV$4)&gt;=YEAR($F38),AND($K38&lt;&gt;"a",$K38&lt;&gt;"b",$K38&lt;&gt;"g",$K38&lt;&gt;"k")),1,IF(AND($E38&lt;&gt;0,$F38&gt;0,YEAR($F38)&lt;Preisindex!$A$6,YEAR(AV$4)&gt;=YEAR($F38),$K38="a"),ROUND(VLOOKUP(BA$4,Preisindex,5,FALSE)/VLOOKUP(Preisindex!$A$6,Preisindex,5,FALSE),2),IF(AND($E38&lt;&gt;0,$F38&gt;0,YEAR($F38)&lt;Preisindex!$A$6,YEAR(AV$4)&gt;=YEAR($F38),$K38="b"),ROUND(VLOOKUP(BA$4,Preisindex,3,FALSE)/VLOOKUP(Preisindex!$A$6,Preisindex,3,FALSE),2),IF(AND($E38&lt;&gt;0,$F38&gt;0,YEAR($F38)&lt;Preisindex!$A$6,YEAR(AV$4)&gt;=YEAR($F38),$K38="g"),ROUND(VLOOKUP(BA$4,Preisindex,4,FALSE)/VLOOKUP(Preisindex!$A$6,Preisindex,4,FALSE),2),IF(AND($E38&lt;&gt;0,$F38&gt;0,YEAR($F38)&lt;Preisindex!$A$6,YEAR(AV$4)&gt;=YEAR($F38),$K38="k"),ROUND(VLOOKUP(BA$4,Preisindex,2,FALSE)/VLOOKUP(Preisindex!$A$6,Preisindex,2,FALSE),2),0)))))</f>
        <v>0</v>
      </c>
      <c r="BC38" s="51">
        <f>IF(AND($E38&lt;&gt;0,$F38&gt;0,YEAR($F38)&lt;=BA$4,YEAR($F38)&gt;=Preisindex!$A$6),ROUND($E38*BA38,2),IF(AND($E38&lt;&gt;0,$F38&gt;0,YEAR($F38)&lt;=BA$4,YEAR($F38)&lt;Preisindex!$A$6),ROUND($E38*BB38,2),0))</f>
        <v>235400</v>
      </c>
      <c r="BD38" s="53">
        <f t="shared" si="157"/>
        <v>4708</v>
      </c>
      <c r="BE38" s="51">
        <f t="shared" si="357"/>
        <v>0</v>
      </c>
      <c r="BF38" s="51">
        <f t="shared" si="322"/>
        <v>0</v>
      </c>
      <c r="BG38" s="51">
        <f t="shared" si="160"/>
        <v>0</v>
      </c>
      <c r="BH38" s="51">
        <f t="shared" si="323"/>
        <v>0</v>
      </c>
      <c r="BI38" s="51">
        <f t="shared" si="162"/>
        <v>220000</v>
      </c>
      <c r="BJ38" s="51">
        <f t="shared" si="324"/>
        <v>220000</v>
      </c>
      <c r="BK38" s="51">
        <f t="shared" si="164"/>
        <v>4400</v>
      </c>
      <c r="BL38" s="51">
        <f t="shared" si="325"/>
        <v>4400</v>
      </c>
      <c r="BM38" s="51">
        <f t="shared" si="166"/>
        <v>195800</v>
      </c>
      <c r="BN38" s="51">
        <f t="shared" si="326"/>
        <v>195800</v>
      </c>
      <c r="BO38" s="51">
        <f t="shared" si="168"/>
        <v>24200</v>
      </c>
      <c r="BP38" s="54">
        <f t="shared" si="169"/>
        <v>0</v>
      </c>
      <c r="BQ38" s="55">
        <f t="shared" si="170"/>
        <v>0</v>
      </c>
      <c r="BR38" s="56">
        <f>IF(AND($E38&lt;&gt;0,$F38&gt;0,YEAR($F38)&gt;=Preisindex!$A$6,YEAR(BM$4)&gt;=YEAR($F38),AND($K38&lt;&gt;"a",$K38&lt;&gt;"b",$K38&lt;&gt;"g",$K38&lt;&gt;"k")),1,IF(AND($E38&lt;&gt;0,$F38&gt;0,YEAR($F38)&gt;=Preisindex!$A$6,YEAR(BM$4)&gt;=YEAR($F38),$K38="a"),ROUND(VLOOKUP(BR$4,Preisindex,5,FALSE)/VLOOKUP(YEAR($F38),Preisindex,5,FALSE),2),IF(AND($E38&lt;&gt;0,$F38&gt;0,YEAR($F38)&gt;=Preisindex!$A$6,YEAR(BM$4)&gt;=YEAR($F38),$K38="b"),ROUND(VLOOKUP(BR$4,Preisindex,3,FALSE)/VLOOKUP(YEAR($F38),Preisindex,3,FALSE),2),IF(AND($E38&lt;&gt;0,$F38&gt;0,YEAR($F38)&gt;=Preisindex!$A$6,YEAR(BM$4)&gt;=YEAR($F38),$K38="g"),ROUND(VLOOKUP(BR$4,Preisindex,4,FALSE)/VLOOKUP(YEAR($F38),Preisindex,4,FALSE),2),IF(AND($E38&lt;&gt;0,$F38&gt;0,YEAR($F38)&gt;=Preisindex!$A$6,YEAR(BM$4)&gt;=YEAR($F38),$K38="k"),ROUND(VLOOKUP(BR$4,Preisindex,2,FALSE)/VLOOKUP(YEAR($F38),Preisindex,2,FALSE),2),0)))))</f>
        <v>1.0900000000000001</v>
      </c>
      <c r="BS38" s="56">
        <f>IF(AND($E38&lt;&gt;0,$F38&gt;0,YEAR($F38)&lt;Preisindex!$A$6,YEAR(BM$4)&gt;=YEAR($F38),AND($K38&lt;&gt;"a",$K38&lt;&gt;"b",$K38&lt;&gt;"g",$K38&lt;&gt;"k")),1,IF(AND($E38&lt;&gt;0,$F38&gt;0,YEAR($F38)&lt;Preisindex!$A$6,YEAR(BM$4)&gt;=YEAR($F38),$K38="a"),ROUND(VLOOKUP(BR$4,Preisindex,5,FALSE)/VLOOKUP(Preisindex!$A$6,Preisindex,5,FALSE),2),IF(AND($E38&lt;&gt;0,$F38&gt;0,YEAR($F38)&lt;Preisindex!$A$6,YEAR(BM$4)&gt;=YEAR($F38),$K38="b"),ROUND(VLOOKUP(BR$4,Preisindex,3,FALSE)/VLOOKUP(Preisindex!$A$6,Preisindex,3,FALSE),2),IF(AND($E38&lt;&gt;0,$F38&gt;0,YEAR($F38)&lt;Preisindex!$A$6,YEAR(BM$4)&gt;=YEAR($F38),$K38="g"),ROUND(VLOOKUP(BR$4,Preisindex,4,FALSE)/VLOOKUP(Preisindex!$A$6,Preisindex,4,FALSE),2),IF(AND($E38&lt;&gt;0,$F38&gt;0,YEAR($F38)&lt;Preisindex!$A$6,YEAR(BM$4)&gt;=YEAR($F38),$K38="k"),ROUND(VLOOKUP(BR$4,Preisindex,2,FALSE)/VLOOKUP(Preisindex!$A$6,Preisindex,2,FALSE),2),0)))))</f>
        <v>0</v>
      </c>
      <c r="BT38" s="51">
        <f>IF(AND($E38&lt;&gt;0,$F38&gt;0,YEAR($F38)&lt;=BR$4,YEAR($F38)&gt;=Preisindex!$A$6),ROUND($E38*BR38,2),IF(AND($E38&lt;&gt;0,$F38&gt;0,YEAR($F38)&lt;=BR$4,YEAR($F38)&lt;Preisindex!$A$6),ROUND($E38*BS38,2),0))</f>
        <v>239800</v>
      </c>
      <c r="BU38" s="53">
        <f t="shared" si="171"/>
        <v>4796</v>
      </c>
      <c r="BV38" s="51">
        <f t="shared" si="357"/>
        <v>0</v>
      </c>
      <c r="BW38" s="51">
        <f t="shared" si="327"/>
        <v>0</v>
      </c>
      <c r="BX38" s="51">
        <f t="shared" si="174"/>
        <v>0</v>
      </c>
      <c r="BY38" s="51">
        <f t="shared" si="328"/>
        <v>0</v>
      </c>
      <c r="BZ38" s="51">
        <f t="shared" si="176"/>
        <v>220000</v>
      </c>
      <c r="CA38" s="51">
        <f t="shared" si="329"/>
        <v>220000</v>
      </c>
      <c r="CB38" s="51">
        <f t="shared" si="178"/>
        <v>4400</v>
      </c>
      <c r="CC38" s="51">
        <f t="shared" si="330"/>
        <v>4400</v>
      </c>
      <c r="CD38" s="51">
        <f t="shared" si="180"/>
        <v>191400</v>
      </c>
      <c r="CE38" s="51">
        <f t="shared" si="331"/>
        <v>191400</v>
      </c>
      <c r="CF38" s="51">
        <f t="shared" si="182"/>
        <v>28600</v>
      </c>
      <c r="CG38" s="54">
        <f t="shared" si="183"/>
        <v>0</v>
      </c>
      <c r="CH38" s="55">
        <f t="shared" si="184"/>
        <v>0</v>
      </c>
      <c r="CI38" s="56">
        <f>IF(AND($E38&lt;&gt;0,$F38&gt;0,YEAR($F38)&gt;=Preisindex!$A$6,YEAR(CD$4)&gt;=YEAR($F38),AND($K38&lt;&gt;"a",$K38&lt;&gt;"b",$K38&lt;&gt;"g",$K38&lt;&gt;"k")),1,IF(AND($E38&lt;&gt;0,$F38&gt;0,YEAR($F38)&gt;=Preisindex!$A$6,YEAR(CD$4)&gt;=YEAR($F38),$K38="a"),ROUND(VLOOKUP(CI$4,Preisindex,5,FALSE)/VLOOKUP(YEAR($F38),Preisindex,5,FALSE),2),IF(AND($E38&lt;&gt;0,$F38&gt;0,YEAR($F38)&gt;=Preisindex!$A$6,YEAR(CD$4)&gt;=YEAR($F38),$K38="b"),ROUND(VLOOKUP(CI$4,Preisindex,3,FALSE)/VLOOKUP(YEAR($F38),Preisindex,3,FALSE),2),IF(AND($E38&lt;&gt;0,$F38&gt;0,YEAR($F38)&gt;=Preisindex!$A$6,YEAR(CD$4)&gt;=YEAR($F38),$K38="g"),ROUND(VLOOKUP(CI$4,Preisindex,4,FALSE)/VLOOKUP(YEAR($F38),Preisindex,4,FALSE),2),IF(AND($E38&lt;&gt;0,$F38&gt;0,YEAR($F38)&gt;=Preisindex!$A$6,YEAR(CD$4)&gt;=YEAR($F38),$K38="k"),ROUND(VLOOKUP(CI$4,Preisindex,2,FALSE)/VLOOKUP(YEAR($F38),Preisindex,2,FALSE),2),0)))))</f>
        <v>1.1000000000000001</v>
      </c>
      <c r="CJ38" s="56">
        <f>IF(AND($E38&lt;&gt;0,$F38&gt;0,YEAR($F38)&lt;Preisindex!$A$6,YEAR(CD$4)&gt;=YEAR($F38),AND($K38&lt;&gt;"a",$K38&lt;&gt;"b",$K38&lt;&gt;"g",$K38&lt;&gt;"k")),1,IF(AND($E38&lt;&gt;0,$F38&gt;0,YEAR($F38)&lt;Preisindex!$A$6,YEAR(CD$4)&gt;=YEAR($F38),$K38="a"),ROUND(VLOOKUP(CI$4,Preisindex,5,FALSE)/VLOOKUP(Preisindex!$A$6,Preisindex,5,FALSE),2),IF(AND($E38&lt;&gt;0,$F38&gt;0,YEAR($F38)&lt;Preisindex!$A$6,YEAR(CD$4)&gt;=YEAR($F38),$K38="b"),ROUND(VLOOKUP(CI$4,Preisindex,3,FALSE)/VLOOKUP(Preisindex!$A$6,Preisindex,3,FALSE),2),IF(AND($E38&lt;&gt;0,$F38&gt;0,YEAR($F38)&lt;Preisindex!$A$6,YEAR(CD$4)&gt;=YEAR($F38),$K38="g"),ROUND(VLOOKUP(CI$4,Preisindex,4,FALSE)/VLOOKUP(Preisindex!$A$6,Preisindex,4,FALSE),2),IF(AND($E38&lt;&gt;0,$F38&gt;0,YEAR($F38)&lt;Preisindex!$A$6,YEAR(CD$4)&gt;=YEAR($F38),$K38="k"),ROUND(VLOOKUP(CI$4,Preisindex,2,FALSE)/VLOOKUP(Preisindex!$A$6,Preisindex,2,FALSE),2),0)))))</f>
        <v>0</v>
      </c>
      <c r="CK38" s="51">
        <f>IF(AND($E38&lt;&gt;0,$F38&gt;0,YEAR($F38)&lt;=CI$4,YEAR($F38)&gt;=Preisindex!$A$6),ROUND($E38*CI38,2),IF(AND($E38&lt;&gt;0,$F38&gt;0,YEAR($F38)&lt;=CI$4,YEAR($F38)&lt;Preisindex!$A$6),ROUND($E38*CJ38,2),0))</f>
        <v>242000</v>
      </c>
      <c r="CL38" s="53">
        <f t="shared" si="185"/>
        <v>4840</v>
      </c>
      <c r="CM38" s="51">
        <f t="shared" si="357"/>
        <v>0</v>
      </c>
      <c r="CN38" s="51">
        <f t="shared" si="332"/>
        <v>0</v>
      </c>
      <c r="CO38" s="51">
        <f t="shared" si="188"/>
        <v>0</v>
      </c>
      <c r="CP38" s="51">
        <f t="shared" si="333"/>
        <v>0</v>
      </c>
      <c r="CQ38" s="51">
        <f t="shared" si="190"/>
        <v>220000</v>
      </c>
      <c r="CR38" s="51">
        <f t="shared" si="334"/>
        <v>220000</v>
      </c>
      <c r="CS38" s="51">
        <f t="shared" si="192"/>
        <v>4400</v>
      </c>
      <c r="CT38" s="51">
        <f t="shared" si="335"/>
        <v>4400</v>
      </c>
      <c r="CU38" s="51">
        <f t="shared" si="194"/>
        <v>187000</v>
      </c>
      <c r="CV38" s="51">
        <f t="shared" si="336"/>
        <v>187000</v>
      </c>
      <c r="CW38" s="51">
        <f t="shared" si="196"/>
        <v>33000</v>
      </c>
      <c r="CX38" s="54">
        <f t="shared" si="197"/>
        <v>0</v>
      </c>
      <c r="CY38" s="55">
        <f t="shared" si="198"/>
        <v>0</v>
      </c>
      <c r="CZ38" s="56">
        <f>IF(AND($E38&lt;&gt;0,$F38&gt;0,YEAR($F38)&gt;=Preisindex!$A$6,YEAR(CU$4)&gt;=YEAR($F38),AND($K38&lt;&gt;"a",$K38&lt;&gt;"b",$K38&lt;&gt;"g",$K38&lt;&gt;"k")),1,IF(AND($E38&lt;&gt;0,$F38&gt;0,YEAR($F38)&gt;=Preisindex!$A$6,YEAR(CU$4)&gt;=YEAR($F38),$K38="a"),ROUND(VLOOKUP(CZ$4,Preisindex,5,FALSE)/VLOOKUP(YEAR($F38),Preisindex,5,FALSE),2),IF(AND($E38&lt;&gt;0,$F38&gt;0,YEAR($F38)&gt;=Preisindex!$A$6,YEAR(CU$4)&gt;=YEAR($F38),$K38="b"),ROUND(VLOOKUP(CZ$4,Preisindex,3,FALSE)/VLOOKUP(YEAR($F38),Preisindex,3,FALSE),2),IF(AND($E38&lt;&gt;0,$F38&gt;0,YEAR($F38)&gt;=Preisindex!$A$6,YEAR(CU$4)&gt;=YEAR($F38),$K38="g"),ROUND(VLOOKUP(CZ$4,Preisindex,4,FALSE)/VLOOKUP(YEAR($F38),Preisindex,4,FALSE),2),IF(AND($E38&lt;&gt;0,$F38&gt;0,YEAR($F38)&gt;=Preisindex!$A$6,YEAR(CU$4)&gt;=YEAR($F38),$K38="k"),ROUND(VLOOKUP(CZ$4,Preisindex,2,FALSE)/VLOOKUP(YEAR($F38),Preisindex,2,FALSE),2),0)))))</f>
        <v>1.1200000000000001</v>
      </c>
      <c r="DA38" s="56">
        <f>IF(AND($E38&lt;&gt;0,$F38&gt;0,YEAR($F38)&lt;Preisindex!$A$6,YEAR(CU$4)&gt;=YEAR($F38),AND($K38&lt;&gt;"a",$K38&lt;&gt;"b",$K38&lt;&gt;"g",$K38&lt;&gt;"k")),1,IF(AND($E38&lt;&gt;0,$F38&gt;0,YEAR($F38)&lt;Preisindex!$A$6,YEAR(CU$4)&gt;=YEAR($F38),$K38="a"),ROUND(VLOOKUP(CZ$4,Preisindex,5,FALSE)/VLOOKUP(Preisindex!$A$6,Preisindex,5,FALSE),2),IF(AND($E38&lt;&gt;0,$F38&gt;0,YEAR($F38)&lt;Preisindex!$A$6,YEAR(CU$4)&gt;=YEAR($F38),$K38="b"),ROUND(VLOOKUP(CZ$4,Preisindex,3,FALSE)/VLOOKUP(Preisindex!$A$6,Preisindex,3,FALSE),2),IF(AND($E38&lt;&gt;0,$F38&gt;0,YEAR($F38)&lt;Preisindex!$A$6,YEAR(CU$4)&gt;=YEAR($F38),$K38="g"),ROUND(VLOOKUP(CZ$4,Preisindex,4,FALSE)/VLOOKUP(Preisindex!$A$6,Preisindex,4,FALSE),2),IF(AND($E38&lt;&gt;0,$F38&gt;0,YEAR($F38)&lt;Preisindex!$A$6,YEAR(CU$4)&gt;=YEAR($F38),$K38="k"),ROUND(VLOOKUP(CZ$4,Preisindex,2,FALSE)/VLOOKUP(Preisindex!$A$6,Preisindex,2,FALSE),2),0)))))</f>
        <v>0</v>
      </c>
      <c r="DB38" s="51">
        <f>IF(AND($E38&lt;&gt;0,$F38&gt;0,YEAR($F38)&lt;=CZ$4,YEAR($F38)&gt;=Preisindex!$A$6),ROUND($E38*CZ38,2),IF(AND($E38&lt;&gt;0,$F38&gt;0,YEAR($F38)&lt;=CZ$4,YEAR($F38)&lt;Preisindex!$A$6),ROUND($E38*DA38,2),0))</f>
        <v>246400</v>
      </c>
      <c r="DC38" s="53">
        <f t="shared" si="199"/>
        <v>4928</v>
      </c>
      <c r="DD38" s="51">
        <f t="shared" si="358"/>
        <v>0</v>
      </c>
      <c r="DE38" s="51">
        <f t="shared" si="337"/>
        <v>0</v>
      </c>
      <c r="DF38" s="51">
        <f t="shared" si="202"/>
        <v>0</v>
      </c>
      <c r="DG38" s="51">
        <f t="shared" si="338"/>
        <v>0</v>
      </c>
      <c r="DH38" s="51">
        <f t="shared" si="204"/>
        <v>220000</v>
      </c>
      <c r="DI38" s="51">
        <f t="shared" si="339"/>
        <v>220000</v>
      </c>
      <c r="DJ38" s="51">
        <f t="shared" si="206"/>
        <v>4400</v>
      </c>
      <c r="DK38" s="51">
        <f t="shared" si="340"/>
        <v>4400</v>
      </c>
      <c r="DL38" s="51">
        <f t="shared" si="208"/>
        <v>182600</v>
      </c>
      <c r="DM38" s="51">
        <f t="shared" si="341"/>
        <v>182600</v>
      </c>
      <c r="DN38" s="51">
        <f t="shared" si="210"/>
        <v>37400</v>
      </c>
      <c r="DO38" s="54">
        <f t="shared" si="211"/>
        <v>0</v>
      </c>
      <c r="DP38" s="55">
        <f t="shared" si="212"/>
        <v>0</v>
      </c>
      <c r="DQ38" s="56">
        <f>IF(AND($E38&lt;&gt;0,$F38&gt;0,YEAR($F38)&gt;=Preisindex!$A$6,YEAR(DL$4)&gt;=YEAR($F38),AND($K38&lt;&gt;"a",$K38&lt;&gt;"b",$K38&lt;&gt;"g",$K38&lt;&gt;"k")),1,IF(AND($E38&lt;&gt;0,$F38&gt;0,YEAR($F38)&gt;=Preisindex!$A$6,YEAR(DL$4)&gt;=YEAR($F38),$K38="a"),ROUND(VLOOKUP(DQ$4,Preisindex,5,FALSE)/VLOOKUP(YEAR($F38),Preisindex,5,FALSE),2),IF(AND($E38&lt;&gt;0,$F38&gt;0,YEAR($F38)&gt;=Preisindex!$A$6,YEAR(DL$4)&gt;=YEAR($F38),$K38="b"),ROUND(VLOOKUP(DQ$4,Preisindex,3,FALSE)/VLOOKUP(YEAR($F38),Preisindex,3,FALSE),2),IF(AND($E38&lt;&gt;0,$F38&gt;0,YEAR($F38)&gt;=Preisindex!$A$6,YEAR(DL$4)&gt;=YEAR($F38),$K38="g"),ROUND(VLOOKUP(DQ$4,Preisindex,4,FALSE)/VLOOKUP(YEAR($F38),Preisindex,4,FALSE),2),IF(AND($E38&lt;&gt;0,$F38&gt;0,YEAR($F38)&gt;=Preisindex!$A$6,YEAR(DL$4)&gt;=YEAR($F38),$K38="k"),ROUND(VLOOKUP(DQ$4,Preisindex,2,FALSE)/VLOOKUP(YEAR($F38),Preisindex,2,FALSE),2),0)))))</f>
        <v>1.1599999999999999</v>
      </c>
      <c r="DR38" s="56">
        <f>IF(AND($E38&lt;&gt;0,$F38&gt;0,YEAR($F38)&lt;Preisindex!$A$6,YEAR(DL$4)&gt;=YEAR($F38),AND($K38&lt;&gt;"a",$K38&lt;&gt;"b",$K38&lt;&gt;"g",$K38&lt;&gt;"k")),1,IF(AND($E38&lt;&gt;0,$F38&gt;0,YEAR($F38)&lt;Preisindex!$A$6,YEAR(DL$4)&gt;=YEAR($F38),$K38="a"),ROUND(VLOOKUP(DQ$4,Preisindex,5,FALSE)/VLOOKUP(Preisindex!$A$6,Preisindex,5,FALSE),2),IF(AND($E38&lt;&gt;0,$F38&gt;0,YEAR($F38)&lt;Preisindex!$A$6,YEAR(DL$4)&gt;=YEAR($F38),$K38="b"),ROUND(VLOOKUP(DQ$4,Preisindex,3,FALSE)/VLOOKUP(Preisindex!$A$6,Preisindex,3,FALSE),2),IF(AND($E38&lt;&gt;0,$F38&gt;0,YEAR($F38)&lt;Preisindex!$A$6,YEAR(DL$4)&gt;=YEAR($F38),$K38="g"),ROUND(VLOOKUP(DQ$4,Preisindex,4,FALSE)/VLOOKUP(Preisindex!$A$6,Preisindex,4,FALSE),2),IF(AND($E38&lt;&gt;0,$F38&gt;0,YEAR($F38)&lt;Preisindex!$A$6,YEAR(DL$4)&gt;=YEAR($F38),$K38="k"),ROUND(VLOOKUP(DQ$4,Preisindex,2,FALSE)/VLOOKUP(Preisindex!$A$6,Preisindex,2,FALSE),2),0)))))</f>
        <v>0</v>
      </c>
      <c r="DS38" s="51">
        <f>IF(AND($E38&lt;&gt;0,$F38&gt;0,YEAR($F38)&lt;=DQ$4,YEAR($F38)&gt;=Preisindex!$A$6),ROUND($E38*DQ38,2),IF(AND($E38&lt;&gt;0,$F38&gt;0,YEAR($F38)&lt;=DQ$4,YEAR($F38)&lt;Preisindex!$A$6),ROUND($E38*DR38,2),0))</f>
        <v>255200</v>
      </c>
      <c r="DT38" s="53">
        <f t="shared" si="213"/>
        <v>5104</v>
      </c>
      <c r="DU38" s="51">
        <f t="shared" si="358"/>
        <v>0</v>
      </c>
      <c r="DV38" s="51">
        <f t="shared" si="342"/>
        <v>0</v>
      </c>
      <c r="DW38" s="51">
        <f t="shared" si="216"/>
        <v>0</v>
      </c>
      <c r="DX38" s="51">
        <f t="shared" si="343"/>
        <v>0</v>
      </c>
      <c r="DY38" s="51">
        <f t="shared" si="218"/>
        <v>220000</v>
      </c>
      <c r="DZ38" s="51">
        <f t="shared" si="344"/>
        <v>220000</v>
      </c>
      <c r="EA38" s="51">
        <f t="shared" si="220"/>
        <v>4400</v>
      </c>
      <c r="EB38" s="51">
        <f t="shared" si="345"/>
        <v>4400</v>
      </c>
      <c r="EC38" s="51">
        <f t="shared" si="222"/>
        <v>178200</v>
      </c>
      <c r="ED38" s="51">
        <f t="shared" si="346"/>
        <v>178200</v>
      </c>
      <c r="EE38" s="51">
        <f t="shared" si="224"/>
        <v>41800</v>
      </c>
      <c r="EF38" s="54">
        <f t="shared" si="225"/>
        <v>0</v>
      </c>
      <c r="EG38" s="55">
        <f t="shared" si="226"/>
        <v>0</v>
      </c>
      <c r="EH38" s="56">
        <f>IF(AND($E38&lt;&gt;0,$F38&gt;0,YEAR($F38)&gt;=Preisindex!$A$6,YEAR(EC$4)&gt;=YEAR($F38),AND($K38&lt;&gt;"a",$K38&lt;&gt;"b",$K38&lt;&gt;"g",$K38&lt;&gt;"k")),1,IF(AND($E38&lt;&gt;0,$F38&gt;0,YEAR($F38)&gt;=Preisindex!$A$6,YEAR(EC$4)&gt;=YEAR($F38),$K38="a"),ROUND(VLOOKUP(EH$4,Preisindex,5,FALSE)/VLOOKUP(YEAR($F38),Preisindex,5,FALSE),2),IF(AND($E38&lt;&gt;0,$F38&gt;0,YEAR($F38)&gt;=Preisindex!$A$6,YEAR(EC$4)&gt;=YEAR($F38),$K38="b"),ROUND(VLOOKUP(EH$4,Preisindex,3,FALSE)/VLOOKUP(YEAR($F38),Preisindex,3,FALSE),2),IF(AND($E38&lt;&gt;0,$F38&gt;0,YEAR($F38)&gt;=Preisindex!$A$6,YEAR(EC$4)&gt;=YEAR($F38),$K38="g"),ROUND(VLOOKUP(EH$4,Preisindex,4,FALSE)/VLOOKUP(YEAR($F38),Preisindex,4,FALSE),2),IF(AND($E38&lt;&gt;0,$F38&gt;0,YEAR($F38)&gt;=Preisindex!$A$6,YEAR(EC$4)&gt;=YEAR($F38),$K38="k"),ROUND(VLOOKUP(EH$4,Preisindex,2,FALSE)/VLOOKUP(YEAR($F38),Preisindex,2,FALSE),2),0)))))</f>
        <v>1.22</v>
      </c>
      <c r="EI38" s="56">
        <f>IF(AND($E38&lt;&gt;0,$F38&gt;0,YEAR($F38)&lt;Preisindex!$A$6,YEAR(EC$4)&gt;=YEAR($F38),AND($K38&lt;&gt;"a",$K38&lt;&gt;"b",$K38&lt;&gt;"g",$K38&lt;&gt;"k")),1,IF(AND($E38&lt;&gt;0,$F38&gt;0,YEAR($F38)&lt;Preisindex!$A$6,YEAR(EC$4)&gt;=YEAR($F38),$K38="a"),ROUND(VLOOKUP(EH$4,Preisindex,5,FALSE)/VLOOKUP(Preisindex!$A$6,Preisindex,5,FALSE),2),IF(AND($E38&lt;&gt;0,$F38&gt;0,YEAR($F38)&lt;Preisindex!$A$6,YEAR(EC$4)&gt;=YEAR($F38),$K38="b"),ROUND(VLOOKUP(EH$4,Preisindex,3,FALSE)/VLOOKUP(Preisindex!$A$6,Preisindex,3,FALSE),2),IF(AND($E38&lt;&gt;0,$F38&gt;0,YEAR($F38)&lt;Preisindex!$A$6,YEAR(EC$4)&gt;=YEAR($F38),$K38="g"),ROUND(VLOOKUP(EH$4,Preisindex,4,FALSE)/VLOOKUP(Preisindex!$A$6,Preisindex,4,FALSE),2),IF(AND($E38&lt;&gt;0,$F38&gt;0,YEAR($F38)&lt;Preisindex!$A$6,YEAR(EC$4)&gt;=YEAR($F38),$K38="k"),ROUND(VLOOKUP(EH$4,Preisindex,2,FALSE)/VLOOKUP(Preisindex!$A$6,Preisindex,2,FALSE),2),0)))))</f>
        <v>0</v>
      </c>
      <c r="EJ38" s="51">
        <f>IF(AND($E38&lt;&gt;0,$F38&gt;0,YEAR($F38)&lt;=EH$4,YEAR($F38)&gt;=Preisindex!$A$6),ROUND($E38*EH38,2),IF(AND($E38&lt;&gt;0,$F38&gt;0,YEAR($F38)&lt;=EH$4,YEAR($F38)&lt;Preisindex!$A$6),ROUND($E38*EI38,2),0))</f>
        <v>268400</v>
      </c>
      <c r="EK38" s="53">
        <f t="shared" si="227"/>
        <v>5368</v>
      </c>
      <c r="EL38" s="51">
        <f t="shared" si="358"/>
        <v>0</v>
      </c>
      <c r="EM38" s="51">
        <f t="shared" si="347"/>
        <v>0</v>
      </c>
      <c r="EN38" s="51">
        <f t="shared" si="230"/>
        <v>0</v>
      </c>
      <c r="EO38" s="51">
        <f t="shared" si="348"/>
        <v>0</v>
      </c>
      <c r="EP38" s="51">
        <f t="shared" si="232"/>
        <v>220000</v>
      </c>
      <c r="EQ38" s="51">
        <f t="shared" si="349"/>
        <v>220000</v>
      </c>
      <c r="ER38" s="51">
        <f t="shared" si="234"/>
        <v>4400</v>
      </c>
      <c r="ES38" s="51">
        <f t="shared" si="350"/>
        <v>4400</v>
      </c>
      <c r="ET38" s="51">
        <f t="shared" si="236"/>
        <v>173800</v>
      </c>
      <c r="EU38" s="51">
        <f t="shared" si="351"/>
        <v>173800</v>
      </c>
      <c r="EV38" s="51">
        <f t="shared" si="238"/>
        <v>46200</v>
      </c>
      <c r="EW38" s="54">
        <f t="shared" si="239"/>
        <v>0</v>
      </c>
      <c r="EX38" s="55">
        <f t="shared" si="240"/>
        <v>0</v>
      </c>
      <c r="EY38" s="56">
        <f>IF(AND($E38&lt;&gt;0,$F38&gt;0,YEAR($F38)&gt;=Preisindex!$A$6,YEAR(ET$4)&gt;=YEAR($F38),AND($K38&lt;&gt;"a",$K38&lt;&gt;"b",$K38&lt;&gt;"g",$K38&lt;&gt;"k")),1,IF(AND($E38&lt;&gt;0,$F38&gt;0,YEAR($F38)&gt;=Preisindex!$A$6,YEAR(ET$4)&gt;=YEAR($F38),$K38="a"),ROUND(VLOOKUP(EY$4,Preisindex,5,FALSE)/VLOOKUP(YEAR($F38),Preisindex,5,FALSE),2),IF(AND($E38&lt;&gt;0,$F38&gt;0,YEAR($F38)&gt;=Preisindex!$A$6,YEAR(ET$4)&gt;=YEAR($F38),$K38="b"),ROUND(VLOOKUP(EY$4,Preisindex,3,FALSE)/VLOOKUP(YEAR($F38),Preisindex,3,FALSE),2),IF(AND($E38&lt;&gt;0,$F38&gt;0,YEAR($F38)&gt;=Preisindex!$A$6,YEAR(ET$4)&gt;=YEAR($F38),$K38="g"),ROUND(VLOOKUP(EY$4,Preisindex,4,FALSE)/VLOOKUP(YEAR($F38),Preisindex,4,FALSE),2),IF(AND($E38&lt;&gt;0,$F38&gt;0,YEAR($F38)&gt;=Preisindex!$A$6,YEAR(ET$4)&gt;=YEAR($F38),$K38="k"),ROUND(VLOOKUP(EY$4,Preisindex,2,FALSE)/VLOOKUP(YEAR($F38),Preisindex,2,FALSE),2),0)))))</f>
        <v>1.22</v>
      </c>
      <c r="EZ38" s="56">
        <f>IF(AND($E38&lt;&gt;0,$F38&gt;0,YEAR($F38)&lt;Preisindex!$A$6,YEAR(ET$4)&gt;=YEAR($F38),AND($K38&lt;&gt;"a",$K38&lt;&gt;"b",$K38&lt;&gt;"g",$K38&lt;&gt;"k")),1,IF(AND($E38&lt;&gt;0,$F38&gt;0,YEAR($F38)&lt;Preisindex!$A$6,YEAR(ET$4)&gt;=YEAR($F38),$K38="a"),ROUND(VLOOKUP(EY$4,Preisindex,5,FALSE)/VLOOKUP(Preisindex!$A$6,Preisindex,5,FALSE),2),IF(AND($E38&lt;&gt;0,$F38&gt;0,YEAR($F38)&lt;Preisindex!$A$6,YEAR(ET$4)&gt;=YEAR($F38),$K38="b"),ROUND(VLOOKUP(EY$4,Preisindex,3,FALSE)/VLOOKUP(Preisindex!$A$6,Preisindex,3,FALSE),2),IF(AND($E38&lt;&gt;0,$F38&gt;0,YEAR($F38)&lt;Preisindex!$A$6,YEAR(ET$4)&gt;=YEAR($F38),$K38="g"),ROUND(VLOOKUP(EY$4,Preisindex,4,FALSE)/VLOOKUP(Preisindex!$A$6,Preisindex,4,FALSE),2),IF(AND($E38&lt;&gt;0,$F38&gt;0,YEAR($F38)&lt;Preisindex!$A$6,YEAR(ET$4)&gt;=YEAR($F38),$K38="k"),ROUND(VLOOKUP(EY$4,Preisindex,2,FALSE)/VLOOKUP(Preisindex!$A$6,Preisindex,2,FALSE),2),0)))))</f>
        <v>0</v>
      </c>
      <c r="FA38" s="51">
        <f>IF(AND($E38&lt;&gt;0,$F38&gt;0,YEAR($F38)&lt;=EY$4,YEAR($F38)&gt;=Preisindex!$A$6),ROUND($E38*EY38,2),IF(AND($E38&lt;&gt;0,$F38&gt;0,YEAR($F38)&lt;=EY$4,YEAR($F38)&lt;Preisindex!$A$6),ROUND($E38*EZ38,2),0))</f>
        <v>268400</v>
      </c>
      <c r="FB38" s="53">
        <f t="shared" si="241"/>
        <v>5368</v>
      </c>
      <c r="FC38" s="51">
        <f t="shared" si="358"/>
        <v>0</v>
      </c>
      <c r="FD38" s="51">
        <f t="shared" si="352"/>
        <v>0</v>
      </c>
      <c r="FE38" s="51">
        <f t="shared" si="244"/>
        <v>0</v>
      </c>
      <c r="FF38" s="51">
        <f t="shared" si="353"/>
        <v>0</v>
      </c>
      <c r="FG38" s="51">
        <f t="shared" si="246"/>
        <v>220000</v>
      </c>
      <c r="FH38" s="51">
        <f t="shared" si="354"/>
        <v>220000</v>
      </c>
      <c r="FI38" s="51">
        <f t="shared" si="248"/>
        <v>4400</v>
      </c>
      <c r="FJ38" s="51">
        <f t="shared" si="355"/>
        <v>4400</v>
      </c>
      <c r="FK38" s="51">
        <f t="shared" si="250"/>
        <v>169400</v>
      </c>
      <c r="FL38" s="51">
        <f t="shared" si="356"/>
        <v>169400</v>
      </c>
      <c r="FM38" s="51">
        <f t="shared" si="252"/>
        <v>50600</v>
      </c>
      <c r="FN38" s="54">
        <f t="shared" si="253"/>
        <v>0</v>
      </c>
      <c r="FO38" s="55">
        <f t="shared" si="254"/>
        <v>0</v>
      </c>
      <c r="FP38" s="56">
        <f>IF(AND($E38&lt;&gt;0,$F38&gt;0,YEAR($F38)&gt;=Preisindex!$A$6,YEAR(FK$4)&gt;=YEAR($F38),AND($K38&lt;&gt;"a",$K38&lt;&gt;"b",$K38&lt;&gt;"g",$K38&lt;&gt;"k")),1,IF(AND($E38&lt;&gt;0,$F38&gt;0,YEAR($F38)&gt;=Preisindex!$A$6,YEAR(FK$4)&gt;=YEAR($F38),$K38="a"),ROUND(VLOOKUP(FP$4,Preisindex,5,FALSE)/VLOOKUP(YEAR($F38),Preisindex,5,FALSE),2),IF(AND($E38&lt;&gt;0,$F38&gt;0,YEAR($F38)&gt;=Preisindex!$A$6,YEAR(FK$4)&gt;=YEAR($F38),$K38="b"),ROUND(VLOOKUP(FP$4,Preisindex,3,FALSE)/VLOOKUP(YEAR($F38),Preisindex,3,FALSE),2),IF(AND($E38&lt;&gt;0,$F38&gt;0,YEAR($F38)&gt;=Preisindex!$A$6,YEAR(FK$4)&gt;=YEAR($F38),$K38="g"),ROUND(VLOOKUP(FP$4,Preisindex,4,FALSE)/VLOOKUP(YEAR($F38),Preisindex,4,FALSE),2),IF(AND($E38&lt;&gt;0,$F38&gt;0,YEAR($F38)&gt;=Preisindex!$A$6,YEAR(FK$4)&gt;=YEAR($F38),$K38="k"),ROUND(VLOOKUP(FP$4,Preisindex,2,FALSE)/VLOOKUP(YEAR($F38),Preisindex,2,FALSE),2),0)))))</f>
        <v>1.22</v>
      </c>
      <c r="FQ38" s="56">
        <f>IF(AND($E38&lt;&gt;0,$F38&gt;0,YEAR($F38)&lt;Preisindex!$A$6,YEAR(FK$4)&gt;=YEAR($F38),AND($K38&lt;&gt;"a",$K38&lt;&gt;"b",$K38&lt;&gt;"g",$K38&lt;&gt;"k")),1,IF(AND($E38&lt;&gt;0,$F38&gt;0,YEAR($F38)&lt;Preisindex!$A$6,YEAR(FK$4)&gt;=YEAR($F38),$K38="a"),ROUND(VLOOKUP(FP$4,Preisindex,5,FALSE)/VLOOKUP(Preisindex!$A$6,Preisindex,5,FALSE),2),IF(AND($E38&lt;&gt;0,$F38&gt;0,YEAR($F38)&lt;Preisindex!$A$6,YEAR(FK$4)&gt;=YEAR($F38),$K38="b"),ROUND(VLOOKUP(FP$4,Preisindex,3,FALSE)/VLOOKUP(Preisindex!$A$6,Preisindex,3,FALSE),2),IF(AND($E38&lt;&gt;0,$F38&gt;0,YEAR($F38)&lt;Preisindex!$A$6,YEAR(FK$4)&gt;=YEAR($F38),$K38="g"),ROUND(VLOOKUP(FP$4,Preisindex,4,FALSE)/VLOOKUP(Preisindex!$A$6,Preisindex,4,FALSE),2),IF(AND($E38&lt;&gt;0,$F38&gt;0,YEAR($F38)&lt;Preisindex!$A$6,YEAR(FK$4)&gt;=YEAR($F38),$K38="k"),ROUND(VLOOKUP(FP$4,Preisindex,2,FALSE)/VLOOKUP(Preisindex!$A$6,Preisindex,2,FALSE),2),0)))))</f>
        <v>0</v>
      </c>
      <c r="FR38" s="51">
        <f>IF(AND($E38&lt;&gt;0,$F38&gt;0,YEAR($F38)&lt;=FP$4,YEAR($F38)&gt;=Preisindex!$A$6),ROUND($E38*FP38,2),IF(AND($E38&lt;&gt;0,$F38&gt;0,YEAR($F38)&lt;=FP$4,YEAR($F38)&lt;Preisindex!$A$6),ROUND($E38*FQ38,2),0))</f>
        <v>268400</v>
      </c>
      <c r="FS38" s="53">
        <f t="shared" si="255"/>
        <v>5368</v>
      </c>
    </row>
    <row r="39" spans="1:175" x14ac:dyDescent="0.3">
      <c r="A39" s="195"/>
      <c r="B39" s="196"/>
      <c r="C39" s="196"/>
      <c r="D39" s="188"/>
      <c r="E39" s="99"/>
      <c r="F39" s="97"/>
      <c r="G39" s="100"/>
      <c r="H39" s="622"/>
      <c r="I39" s="621"/>
      <c r="J39" s="194"/>
      <c r="K39" s="630"/>
      <c r="L39" s="49">
        <f t="shared" si="296"/>
        <v>0</v>
      </c>
      <c r="M39" s="50">
        <f t="shared" si="297"/>
        <v>0</v>
      </c>
      <c r="N39" s="51">
        <f t="shared" si="298"/>
        <v>0</v>
      </c>
      <c r="O39" s="51"/>
      <c r="P39" s="51">
        <f t="shared" si="299"/>
        <v>0</v>
      </c>
      <c r="Q39" s="52"/>
      <c r="R39" s="52"/>
      <c r="S39" s="52"/>
      <c r="T39" s="52"/>
      <c r="U39" s="52"/>
      <c r="V39" s="53">
        <f t="shared" si="300"/>
        <v>0</v>
      </c>
      <c r="W39" s="51">
        <f t="shared" si="301"/>
        <v>0</v>
      </c>
      <c r="X39" s="51">
        <f t="shared" si="302"/>
        <v>0</v>
      </c>
      <c r="Y39" s="51">
        <f t="shared" si="303"/>
        <v>0</v>
      </c>
      <c r="Z39" s="51">
        <f t="shared" si="304"/>
        <v>0</v>
      </c>
      <c r="AA39" s="51">
        <f t="shared" si="305"/>
        <v>0</v>
      </c>
      <c r="AB39" s="51">
        <f t="shared" si="306"/>
        <v>0</v>
      </c>
      <c r="AC39" s="51">
        <f t="shared" si="307"/>
        <v>0</v>
      </c>
      <c r="AD39" s="51">
        <f t="shared" si="308"/>
        <v>0</v>
      </c>
      <c r="AE39" s="51">
        <f t="shared" si="309"/>
        <v>0</v>
      </c>
      <c r="AF39" s="51">
        <f t="shared" si="310"/>
        <v>0</v>
      </c>
      <c r="AG39" s="51">
        <f t="shared" si="311"/>
        <v>0</v>
      </c>
      <c r="AH39" s="54">
        <f t="shared" si="312"/>
        <v>0</v>
      </c>
      <c r="AI39" s="55">
        <f t="shared" si="313"/>
        <v>0</v>
      </c>
      <c r="AJ39" s="56">
        <f>IF(AND($E39&lt;&gt;0,$F39&gt;0,YEAR($F39)&gt;=Preisindex!$A$6,YEAR(AE$4)&gt;=YEAR($F39),AND($K39&lt;&gt;"a",$K39&lt;&gt;"b",$K39&lt;&gt;"g",$K39&lt;&gt;"k")),1,IF(AND($E39&lt;&gt;0,$F39&gt;0,YEAR($F39)&gt;=Preisindex!$A$6,YEAR(AE$4)&gt;=YEAR($F39),$K39="a"),ROUND(VLOOKUP(AJ$4,Preisindex,5,FALSE)/VLOOKUP(YEAR($F39),Preisindex,5,FALSE),2),IF(AND($E39&lt;&gt;0,$F39&gt;0,YEAR($F39)&gt;=Preisindex!$A$6,YEAR(AE$4)&gt;=YEAR($F39),$K39="b"),ROUND(VLOOKUP(AJ$4,Preisindex,3,FALSE)/VLOOKUP(YEAR($F39),Preisindex,3,FALSE),2),IF(AND($E39&lt;&gt;0,$F39&gt;0,YEAR($F39)&gt;=Preisindex!$A$6,YEAR(AE$4)&gt;=YEAR($F39),$K39="g"),ROUND(VLOOKUP(AJ$4,Preisindex,4,FALSE)/VLOOKUP(YEAR($F39),Preisindex,4,FALSE),2),IF(AND($E39&lt;&gt;0,$F39&gt;0,YEAR($F39)&gt;=Preisindex!$A$6,YEAR(AE$4)&gt;=YEAR($F39),$K39="k"),ROUND(VLOOKUP(AJ$4,Preisindex,2,FALSE)/VLOOKUP(YEAR($F39),Preisindex,2,FALSE),2),0)))))</f>
        <v>0</v>
      </c>
      <c r="AK39" s="56">
        <f>IF(AND($E39&lt;&gt;0,$F39&gt;0,YEAR($F39)&lt;Preisindex!$A$6,YEAR(AE$4)&gt;=YEAR($F39),AND($K39&lt;&gt;"a",$K39&lt;&gt;"b",$K39&lt;&gt;"g",$K39&lt;&gt;"k")),1,IF(AND($E39&lt;&gt;0,$F39&gt;0,YEAR($F39)&lt;Preisindex!$A$6,YEAR(AE$4)&gt;=YEAR($F39),$K39="a"),ROUND(VLOOKUP(AJ$4,Preisindex,5,FALSE)/VLOOKUP(Preisindex!$A$6,Preisindex,5,FALSE),2),IF(AND($E39&lt;&gt;0,$F39&gt;0,YEAR($F39)&lt;Preisindex!$A$6,YEAR(AE$4)&gt;=YEAR($F39),$K39="b"),ROUND(VLOOKUP(AJ$4,Preisindex,3,FALSE)/VLOOKUP(Preisindex!$A$6,Preisindex,3,FALSE),2),IF(AND($E39&lt;&gt;0,$F39&gt;0,YEAR($F39)&lt;Preisindex!$A$6,YEAR(AE$4)&gt;=YEAR($F39),$K39="g"),ROUND(VLOOKUP(AJ$4,Preisindex,4,FALSE)/VLOOKUP(Preisindex!$A$6,Preisindex,4,FALSE),2),IF(AND($E39&lt;&gt;0,$F39&gt;0,YEAR($F39)&lt;Preisindex!$A$6,YEAR(AE$4)&gt;=YEAR($F39),$K39="k"),ROUND(VLOOKUP(AJ$4,Preisindex,2,FALSE)/VLOOKUP(Preisindex!$A$6,Preisindex,2,FALSE),2),0)))))</f>
        <v>0</v>
      </c>
      <c r="AL39" s="51">
        <f>IF(AND($E39&lt;&gt;0,$F39&gt;0,YEAR($F39)&lt;=AJ$4,YEAR($F39)&gt;=Preisindex!$A$6),ROUND($E39*AJ39,2),IF(AND($E39&lt;&gt;0,$F39&gt;0,YEAR($F39)&lt;=AJ$4,YEAR($F39)&lt;Preisindex!$A$6),ROUND($E39*AK39,2),0))</f>
        <v>0</v>
      </c>
      <c r="AM39" s="53">
        <f t="shared" si="314"/>
        <v>0</v>
      </c>
      <c r="AN39" s="51">
        <f t="shared" si="357"/>
        <v>0</v>
      </c>
      <c r="AO39" s="51">
        <f t="shared" si="317"/>
        <v>0</v>
      </c>
      <c r="AP39" s="51">
        <f t="shared" si="146"/>
        <v>0</v>
      </c>
      <c r="AQ39" s="51">
        <f t="shared" si="318"/>
        <v>0</v>
      </c>
      <c r="AR39" s="51">
        <f t="shared" si="148"/>
        <v>0</v>
      </c>
      <c r="AS39" s="51">
        <f t="shared" si="319"/>
        <v>0</v>
      </c>
      <c r="AT39" s="51">
        <f t="shared" si="150"/>
        <v>0</v>
      </c>
      <c r="AU39" s="51">
        <f t="shared" si="320"/>
        <v>0</v>
      </c>
      <c r="AV39" s="51">
        <f t="shared" si="152"/>
        <v>0</v>
      </c>
      <c r="AW39" s="51">
        <f t="shared" si="321"/>
        <v>0</v>
      </c>
      <c r="AX39" s="51">
        <f t="shared" si="154"/>
        <v>0</v>
      </c>
      <c r="AY39" s="54">
        <f t="shared" si="155"/>
        <v>0</v>
      </c>
      <c r="AZ39" s="55">
        <f t="shared" si="156"/>
        <v>0</v>
      </c>
      <c r="BA39" s="56">
        <f>IF(AND($E39&lt;&gt;0,$F39&gt;0,YEAR($F39)&gt;=Preisindex!$A$6,YEAR(AV$4)&gt;=YEAR($F39),AND($K39&lt;&gt;"a",$K39&lt;&gt;"b",$K39&lt;&gt;"g",$K39&lt;&gt;"k")),1,IF(AND($E39&lt;&gt;0,$F39&gt;0,YEAR($F39)&gt;=Preisindex!$A$6,YEAR(AV$4)&gt;=YEAR($F39),$K39="a"),ROUND(VLOOKUP(BA$4,Preisindex,5,FALSE)/VLOOKUP(YEAR($F39),Preisindex,5,FALSE),2),IF(AND($E39&lt;&gt;0,$F39&gt;0,YEAR($F39)&gt;=Preisindex!$A$6,YEAR(AV$4)&gt;=YEAR($F39),$K39="b"),ROUND(VLOOKUP(BA$4,Preisindex,3,FALSE)/VLOOKUP(YEAR($F39),Preisindex,3,FALSE),2),IF(AND($E39&lt;&gt;0,$F39&gt;0,YEAR($F39)&gt;=Preisindex!$A$6,YEAR(AV$4)&gt;=YEAR($F39),$K39="g"),ROUND(VLOOKUP(BA$4,Preisindex,4,FALSE)/VLOOKUP(YEAR($F39),Preisindex,4,FALSE),2),IF(AND($E39&lt;&gt;0,$F39&gt;0,YEAR($F39)&gt;=Preisindex!$A$6,YEAR(AV$4)&gt;=YEAR($F39),$K39="k"),ROUND(VLOOKUP(BA$4,Preisindex,2,FALSE)/VLOOKUP(YEAR($F39),Preisindex,2,FALSE),2),0)))))</f>
        <v>0</v>
      </c>
      <c r="BB39" s="56">
        <f>IF(AND($E39&lt;&gt;0,$F39&gt;0,YEAR($F39)&lt;Preisindex!$A$6,YEAR(AV$4)&gt;=YEAR($F39),AND($K39&lt;&gt;"a",$K39&lt;&gt;"b",$K39&lt;&gt;"g",$K39&lt;&gt;"k")),1,IF(AND($E39&lt;&gt;0,$F39&gt;0,YEAR($F39)&lt;Preisindex!$A$6,YEAR(AV$4)&gt;=YEAR($F39),$K39="a"),ROUND(VLOOKUP(BA$4,Preisindex,5,FALSE)/VLOOKUP(Preisindex!$A$6,Preisindex,5,FALSE),2),IF(AND($E39&lt;&gt;0,$F39&gt;0,YEAR($F39)&lt;Preisindex!$A$6,YEAR(AV$4)&gt;=YEAR($F39),$K39="b"),ROUND(VLOOKUP(BA$4,Preisindex,3,FALSE)/VLOOKUP(Preisindex!$A$6,Preisindex,3,FALSE),2),IF(AND($E39&lt;&gt;0,$F39&gt;0,YEAR($F39)&lt;Preisindex!$A$6,YEAR(AV$4)&gt;=YEAR($F39),$K39="g"),ROUND(VLOOKUP(BA$4,Preisindex,4,FALSE)/VLOOKUP(Preisindex!$A$6,Preisindex,4,FALSE),2),IF(AND($E39&lt;&gt;0,$F39&gt;0,YEAR($F39)&lt;Preisindex!$A$6,YEAR(AV$4)&gt;=YEAR($F39),$K39="k"),ROUND(VLOOKUP(BA$4,Preisindex,2,FALSE)/VLOOKUP(Preisindex!$A$6,Preisindex,2,FALSE),2),0)))))</f>
        <v>0</v>
      </c>
      <c r="BC39" s="51">
        <f>IF(AND($E39&lt;&gt;0,$F39&gt;0,YEAR($F39)&lt;=BA$4,YEAR($F39)&gt;=Preisindex!$A$6),ROUND($E39*BA39,2),IF(AND($E39&lt;&gt;0,$F39&gt;0,YEAR($F39)&lt;=BA$4,YEAR($F39)&lt;Preisindex!$A$6),ROUND($E39*BB39,2),0))</f>
        <v>0</v>
      </c>
      <c r="BD39" s="53">
        <f t="shared" si="157"/>
        <v>0</v>
      </c>
      <c r="BE39" s="51">
        <f t="shared" si="357"/>
        <v>0</v>
      </c>
      <c r="BF39" s="51">
        <f t="shared" si="322"/>
        <v>0</v>
      </c>
      <c r="BG39" s="51">
        <f t="shared" si="160"/>
        <v>0</v>
      </c>
      <c r="BH39" s="51">
        <f t="shared" si="323"/>
        <v>0</v>
      </c>
      <c r="BI39" s="51">
        <f t="shared" si="162"/>
        <v>0</v>
      </c>
      <c r="BJ39" s="51">
        <f t="shared" si="324"/>
        <v>0</v>
      </c>
      <c r="BK39" s="51">
        <f t="shared" si="164"/>
        <v>0</v>
      </c>
      <c r="BL39" s="51">
        <f t="shared" si="325"/>
        <v>0</v>
      </c>
      <c r="BM39" s="51">
        <f t="shared" si="166"/>
        <v>0</v>
      </c>
      <c r="BN39" s="51">
        <f t="shared" si="326"/>
        <v>0</v>
      </c>
      <c r="BO39" s="51">
        <f t="shared" si="168"/>
        <v>0</v>
      </c>
      <c r="BP39" s="54">
        <f t="shared" si="169"/>
        <v>0</v>
      </c>
      <c r="BQ39" s="55">
        <f t="shared" si="170"/>
        <v>0</v>
      </c>
      <c r="BR39" s="56">
        <f>IF(AND($E39&lt;&gt;0,$F39&gt;0,YEAR($F39)&gt;=Preisindex!$A$6,YEAR(BM$4)&gt;=YEAR($F39),AND($K39&lt;&gt;"a",$K39&lt;&gt;"b",$K39&lt;&gt;"g",$K39&lt;&gt;"k")),1,IF(AND($E39&lt;&gt;0,$F39&gt;0,YEAR($F39)&gt;=Preisindex!$A$6,YEAR(BM$4)&gt;=YEAR($F39),$K39="a"),ROUND(VLOOKUP(BR$4,Preisindex,5,FALSE)/VLOOKUP(YEAR($F39),Preisindex,5,FALSE),2),IF(AND($E39&lt;&gt;0,$F39&gt;0,YEAR($F39)&gt;=Preisindex!$A$6,YEAR(BM$4)&gt;=YEAR($F39),$K39="b"),ROUND(VLOOKUP(BR$4,Preisindex,3,FALSE)/VLOOKUP(YEAR($F39),Preisindex,3,FALSE),2),IF(AND($E39&lt;&gt;0,$F39&gt;0,YEAR($F39)&gt;=Preisindex!$A$6,YEAR(BM$4)&gt;=YEAR($F39),$K39="g"),ROUND(VLOOKUP(BR$4,Preisindex,4,FALSE)/VLOOKUP(YEAR($F39),Preisindex,4,FALSE),2),IF(AND($E39&lt;&gt;0,$F39&gt;0,YEAR($F39)&gt;=Preisindex!$A$6,YEAR(BM$4)&gt;=YEAR($F39),$K39="k"),ROUND(VLOOKUP(BR$4,Preisindex,2,FALSE)/VLOOKUP(YEAR($F39),Preisindex,2,FALSE),2),0)))))</f>
        <v>0</v>
      </c>
      <c r="BS39" s="56">
        <f>IF(AND($E39&lt;&gt;0,$F39&gt;0,YEAR($F39)&lt;Preisindex!$A$6,YEAR(BM$4)&gt;=YEAR($F39),AND($K39&lt;&gt;"a",$K39&lt;&gt;"b",$K39&lt;&gt;"g",$K39&lt;&gt;"k")),1,IF(AND($E39&lt;&gt;0,$F39&gt;0,YEAR($F39)&lt;Preisindex!$A$6,YEAR(BM$4)&gt;=YEAR($F39),$K39="a"),ROUND(VLOOKUP(BR$4,Preisindex,5,FALSE)/VLOOKUP(Preisindex!$A$6,Preisindex,5,FALSE),2),IF(AND($E39&lt;&gt;0,$F39&gt;0,YEAR($F39)&lt;Preisindex!$A$6,YEAR(BM$4)&gt;=YEAR($F39),$K39="b"),ROUND(VLOOKUP(BR$4,Preisindex,3,FALSE)/VLOOKUP(Preisindex!$A$6,Preisindex,3,FALSE),2),IF(AND($E39&lt;&gt;0,$F39&gt;0,YEAR($F39)&lt;Preisindex!$A$6,YEAR(BM$4)&gt;=YEAR($F39),$K39="g"),ROUND(VLOOKUP(BR$4,Preisindex,4,FALSE)/VLOOKUP(Preisindex!$A$6,Preisindex,4,FALSE),2),IF(AND($E39&lt;&gt;0,$F39&gt;0,YEAR($F39)&lt;Preisindex!$A$6,YEAR(BM$4)&gt;=YEAR($F39),$K39="k"),ROUND(VLOOKUP(BR$4,Preisindex,2,FALSE)/VLOOKUP(Preisindex!$A$6,Preisindex,2,FALSE),2),0)))))</f>
        <v>0</v>
      </c>
      <c r="BT39" s="51">
        <f>IF(AND($E39&lt;&gt;0,$F39&gt;0,YEAR($F39)&lt;=BR$4,YEAR($F39)&gt;=Preisindex!$A$6),ROUND($E39*BR39,2),IF(AND($E39&lt;&gt;0,$F39&gt;0,YEAR($F39)&lt;=BR$4,YEAR($F39)&lt;Preisindex!$A$6),ROUND($E39*BS39,2),0))</f>
        <v>0</v>
      </c>
      <c r="BU39" s="53">
        <f t="shared" si="171"/>
        <v>0</v>
      </c>
      <c r="BV39" s="51">
        <f t="shared" si="357"/>
        <v>0</v>
      </c>
      <c r="BW39" s="51">
        <f t="shared" si="327"/>
        <v>0</v>
      </c>
      <c r="BX39" s="51">
        <f t="shared" si="174"/>
        <v>0</v>
      </c>
      <c r="BY39" s="51">
        <f t="shared" si="328"/>
        <v>0</v>
      </c>
      <c r="BZ39" s="51">
        <f t="shared" si="176"/>
        <v>0</v>
      </c>
      <c r="CA39" s="51">
        <f t="shared" si="329"/>
        <v>0</v>
      </c>
      <c r="CB39" s="51">
        <f t="shared" si="178"/>
        <v>0</v>
      </c>
      <c r="CC39" s="51">
        <f t="shared" si="330"/>
        <v>0</v>
      </c>
      <c r="CD39" s="51">
        <f t="shared" si="180"/>
        <v>0</v>
      </c>
      <c r="CE39" s="51">
        <f t="shared" si="331"/>
        <v>0</v>
      </c>
      <c r="CF39" s="51">
        <f t="shared" si="182"/>
        <v>0</v>
      </c>
      <c r="CG39" s="54">
        <f t="shared" si="183"/>
        <v>0</v>
      </c>
      <c r="CH39" s="55">
        <f t="shared" si="184"/>
        <v>0</v>
      </c>
      <c r="CI39" s="56">
        <f>IF(AND($E39&lt;&gt;0,$F39&gt;0,YEAR($F39)&gt;=Preisindex!$A$6,YEAR(CD$4)&gt;=YEAR($F39),AND($K39&lt;&gt;"a",$K39&lt;&gt;"b",$K39&lt;&gt;"g",$K39&lt;&gt;"k")),1,IF(AND($E39&lt;&gt;0,$F39&gt;0,YEAR($F39)&gt;=Preisindex!$A$6,YEAR(CD$4)&gt;=YEAR($F39),$K39="a"),ROUND(VLOOKUP(CI$4,Preisindex,5,FALSE)/VLOOKUP(YEAR($F39),Preisindex,5,FALSE),2),IF(AND($E39&lt;&gt;0,$F39&gt;0,YEAR($F39)&gt;=Preisindex!$A$6,YEAR(CD$4)&gt;=YEAR($F39),$K39="b"),ROUND(VLOOKUP(CI$4,Preisindex,3,FALSE)/VLOOKUP(YEAR($F39),Preisindex,3,FALSE),2),IF(AND($E39&lt;&gt;0,$F39&gt;0,YEAR($F39)&gt;=Preisindex!$A$6,YEAR(CD$4)&gt;=YEAR($F39),$K39="g"),ROUND(VLOOKUP(CI$4,Preisindex,4,FALSE)/VLOOKUP(YEAR($F39),Preisindex,4,FALSE),2),IF(AND($E39&lt;&gt;0,$F39&gt;0,YEAR($F39)&gt;=Preisindex!$A$6,YEAR(CD$4)&gt;=YEAR($F39),$K39="k"),ROUND(VLOOKUP(CI$4,Preisindex,2,FALSE)/VLOOKUP(YEAR($F39),Preisindex,2,FALSE),2),0)))))</f>
        <v>0</v>
      </c>
      <c r="CJ39" s="56">
        <f>IF(AND($E39&lt;&gt;0,$F39&gt;0,YEAR($F39)&lt;Preisindex!$A$6,YEAR(CD$4)&gt;=YEAR($F39),AND($K39&lt;&gt;"a",$K39&lt;&gt;"b",$K39&lt;&gt;"g",$K39&lt;&gt;"k")),1,IF(AND($E39&lt;&gt;0,$F39&gt;0,YEAR($F39)&lt;Preisindex!$A$6,YEAR(CD$4)&gt;=YEAR($F39),$K39="a"),ROUND(VLOOKUP(CI$4,Preisindex,5,FALSE)/VLOOKUP(Preisindex!$A$6,Preisindex,5,FALSE),2),IF(AND($E39&lt;&gt;0,$F39&gt;0,YEAR($F39)&lt;Preisindex!$A$6,YEAR(CD$4)&gt;=YEAR($F39),$K39="b"),ROUND(VLOOKUP(CI$4,Preisindex,3,FALSE)/VLOOKUP(Preisindex!$A$6,Preisindex,3,FALSE),2),IF(AND($E39&lt;&gt;0,$F39&gt;0,YEAR($F39)&lt;Preisindex!$A$6,YEAR(CD$4)&gt;=YEAR($F39),$K39="g"),ROUND(VLOOKUP(CI$4,Preisindex,4,FALSE)/VLOOKUP(Preisindex!$A$6,Preisindex,4,FALSE),2),IF(AND($E39&lt;&gt;0,$F39&gt;0,YEAR($F39)&lt;Preisindex!$A$6,YEAR(CD$4)&gt;=YEAR($F39),$K39="k"),ROUND(VLOOKUP(CI$4,Preisindex,2,FALSE)/VLOOKUP(Preisindex!$A$6,Preisindex,2,FALSE),2),0)))))</f>
        <v>0</v>
      </c>
      <c r="CK39" s="51">
        <f>IF(AND($E39&lt;&gt;0,$F39&gt;0,YEAR($F39)&lt;=CI$4,YEAR($F39)&gt;=Preisindex!$A$6),ROUND($E39*CI39,2),IF(AND($E39&lt;&gt;0,$F39&gt;0,YEAR($F39)&lt;=CI$4,YEAR($F39)&lt;Preisindex!$A$6),ROUND($E39*CJ39,2),0))</f>
        <v>0</v>
      </c>
      <c r="CL39" s="53">
        <f t="shared" si="185"/>
        <v>0</v>
      </c>
      <c r="CM39" s="51">
        <f t="shared" si="357"/>
        <v>0</v>
      </c>
      <c r="CN39" s="51">
        <f t="shared" si="332"/>
        <v>0</v>
      </c>
      <c r="CO39" s="51">
        <f t="shared" si="188"/>
        <v>0</v>
      </c>
      <c r="CP39" s="51">
        <f t="shared" si="333"/>
        <v>0</v>
      </c>
      <c r="CQ39" s="51">
        <f t="shared" si="190"/>
        <v>0</v>
      </c>
      <c r="CR39" s="51">
        <f t="shared" si="334"/>
        <v>0</v>
      </c>
      <c r="CS39" s="51">
        <f t="shared" si="192"/>
        <v>0</v>
      </c>
      <c r="CT39" s="51">
        <f t="shared" si="335"/>
        <v>0</v>
      </c>
      <c r="CU39" s="51">
        <f t="shared" si="194"/>
        <v>0</v>
      </c>
      <c r="CV39" s="51">
        <f t="shared" si="336"/>
        <v>0</v>
      </c>
      <c r="CW39" s="51">
        <f t="shared" si="196"/>
        <v>0</v>
      </c>
      <c r="CX39" s="54">
        <f t="shared" si="197"/>
        <v>0</v>
      </c>
      <c r="CY39" s="55">
        <f t="shared" si="198"/>
        <v>0</v>
      </c>
      <c r="CZ39" s="56">
        <f>IF(AND($E39&lt;&gt;0,$F39&gt;0,YEAR($F39)&gt;=Preisindex!$A$6,YEAR(CU$4)&gt;=YEAR($F39),AND($K39&lt;&gt;"a",$K39&lt;&gt;"b",$K39&lt;&gt;"g",$K39&lt;&gt;"k")),1,IF(AND($E39&lt;&gt;0,$F39&gt;0,YEAR($F39)&gt;=Preisindex!$A$6,YEAR(CU$4)&gt;=YEAR($F39),$K39="a"),ROUND(VLOOKUP(CZ$4,Preisindex,5,FALSE)/VLOOKUP(YEAR($F39),Preisindex,5,FALSE),2),IF(AND($E39&lt;&gt;0,$F39&gt;0,YEAR($F39)&gt;=Preisindex!$A$6,YEAR(CU$4)&gt;=YEAR($F39),$K39="b"),ROUND(VLOOKUP(CZ$4,Preisindex,3,FALSE)/VLOOKUP(YEAR($F39),Preisindex,3,FALSE),2),IF(AND($E39&lt;&gt;0,$F39&gt;0,YEAR($F39)&gt;=Preisindex!$A$6,YEAR(CU$4)&gt;=YEAR($F39),$K39="g"),ROUND(VLOOKUP(CZ$4,Preisindex,4,FALSE)/VLOOKUP(YEAR($F39),Preisindex,4,FALSE),2),IF(AND($E39&lt;&gt;0,$F39&gt;0,YEAR($F39)&gt;=Preisindex!$A$6,YEAR(CU$4)&gt;=YEAR($F39),$K39="k"),ROUND(VLOOKUP(CZ$4,Preisindex,2,FALSE)/VLOOKUP(YEAR($F39),Preisindex,2,FALSE),2),0)))))</f>
        <v>0</v>
      </c>
      <c r="DA39" s="56">
        <f>IF(AND($E39&lt;&gt;0,$F39&gt;0,YEAR($F39)&lt;Preisindex!$A$6,YEAR(CU$4)&gt;=YEAR($F39),AND($K39&lt;&gt;"a",$K39&lt;&gt;"b",$K39&lt;&gt;"g",$K39&lt;&gt;"k")),1,IF(AND($E39&lt;&gt;0,$F39&gt;0,YEAR($F39)&lt;Preisindex!$A$6,YEAR(CU$4)&gt;=YEAR($F39),$K39="a"),ROUND(VLOOKUP(CZ$4,Preisindex,5,FALSE)/VLOOKUP(Preisindex!$A$6,Preisindex,5,FALSE),2),IF(AND($E39&lt;&gt;0,$F39&gt;0,YEAR($F39)&lt;Preisindex!$A$6,YEAR(CU$4)&gt;=YEAR($F39),$K39="b"),ROUND(VLOOKUP(CZ$4,Preisindex,3,FALSE)/VLOOKUP(Preisindex!$A$6,Preisindex,3,FALSE),2),IF(AND($E39&lt;&gt;0,$F39&gt;0,YEAR($F39)&lt;Preisindex!$A$6,YEAR(CU$4)&gt;=YEAR($F39),$K39="g"),ROUND(VLOOKUP(CZ$4,Preisindex,4,FALSE)/VLOOKUP(Preisindex!$A$6,Preisindex,4,FALSE),2),IF(AND($E39&lt;&gt;0,$F39&gt;0,YEAR($F39)&lt;Preisindex!$A$6,YEAR(CU$4)&gt;=YEAR($F39),$K39="k"),ROUND(VLOOKUP(CZ$4,Preisindex,2,FALSE)/VLOOKUP(Preisindex!$A$6,Preisindex,2,FALSE),2),0)))))</f>
        <v>0</v>
      </c>
      <c r="DB39" s="51">
        <f>IF(AND($E39&lt;&gt;0,$F39&gt;0,YEAR($F39)&lt;=CZ$4,YEAR($F39)&gt;=Preisindex!$A$6),ROUND($E39*CZ39,2),IF(AND($E39&lt;&gt;0,$F39&gt;0,YEAR($F39)&lt;=CZ$4,YEAR($F39)&lt;Preisindex!$A$6),ROUND($E39*DA39,2),0))</f>
        <v>0</v>
      </c>
      <c r="DC39" s="53">
        <f t="shared" si="199"/>
        <v>0</v>
      </c>
      <c r="DD39" s="51">
        <f t="shared" si="358"/>
        <v>0</v>
      </c>
      <c r="DE39" s="51">
        <f t="shared" si="337"/>
        <v>0</v>
      </c>
      <c r="DF39" s="51">
        <f t="shared" si="202"/>
        <v>0</v>
      </c>
      <c r="DG39" s="51">
        <f t="shared" si="338"/>
        <v>0</v>
      </c>
      <c r="DH39" s="51">
        <f t="shared" si="204"/>
        <v>0</v>
      </c>
      <c r="DI39" s="51">
        <f t="shared" si="339"/>
        <v>0</v>
      </c>
      <c r="DJ39" s="51">
        <f t="shared" si="206"/>
        <v>0</v>
      </c>
      <c r="DK39" s="51">
        <f t="shared" si="340"/>
        <v>0</v>
      </c>
      <c r="DL39" s="51">
        <f t="shared" si="208"/>
        <v>0</v>
      </c>
      <c r="DM39" s="51">
        <f t="shared" si="341"/>
        <v>0</v>
      </c>
      <c r="DN39" s="51">
        <f t="shared" si="210"/>
        <v>0</v>
      </c>
      <c r="DO39" s="54">
        <f t="shared" si="211"/>
        <v>0</v>
      </c>
      <c r="DP39" s="55">
        <f t="shared" si="212"/>
        <v>0</v>
      </c>
      <c r="DQ39" s="56">
        <f>IF(AND($E39&lt;&gt;0,$F39&gt;0,YEAR($F39)&gt;=Preisindex!$A$6,YEAR(DL$4)&gt;=YEAR($F39),AND($K39&lt;&gt;"a",$K39&lt;&gt;"b",$K39&lt;&gt;"g",$K39&lt;&gt;"k")),1,IF(AND($E39&lt;&gt;0,$F39&gt;0,YEAR($F39)&gt;=Preisindex!$A$6,YEAR(DL$4)&gt;=YEAR($F39),$K39="a"),ROUND(VLOOKUP(DQ$4,Preisindex,5,FALSE)/VLOOKUP(YEAR($F39),Preisindex,5,FALSE),2),IF(AND($E39&lt;&gt;0,$F39&gt;0,YEAR($F39)&gt;=Preisindex!$A$6,YEAR(DL$4)&gt;=YEAR($F39),$K39="b"),ROUND(VLOOKUP(DQ$4,Preisindex,3,FALSE)/VLOOKUP(YEAR($F39),Preisindex,3,FALSE),2),IF(AND($E39&lt;&gt;0,$F39&gt;0,YEAR($F39)&gt;=Preisindex!$A$6,YEAR(DL$4)&gt;=YEAR($F39),$K39="g"),ROUND(VLOOKUP(DQ$4,Preisindex,4,FALSE)/VLOOKUP(YEAR($F39),Preisindex,4,FALSE),2),IF(AND($E39&lt;&gt;0,$F39&gt;0,YEAR($F39)&gt;=Preisindex!$A$6,YEAR(DL$4)&gt;=YEAR($F39),$K39="k"),ROUND(VLOOKUP(DQ$4,Preisindex,2,FALSE)/VLOOKUP(YEAR($F39),Preisindex,2,FALSE),2),0)))))</f>
        <v>0</v>
      </c>
      <c r="DR39" s="56">
        <f>IF(AND($E39&lt;&gt;0,$F39&gt;0,YEAR($F39)&lt;Preisindex!$A$6,YEAR(DL$4)&gt;=YEAR($F39),AND($K39&lt;&gt;"a",$K39&lt;&gt;"b",$K39&lt;&gt;"g",$K39&lt;&gt;"k")),1,IF(AND($E39&lt;&gt;0,$F39&gt;0,YEAR($F39)&lt;Preisindex!$A$6,YEAR(DL$4)&gt;=YEAR($F39),$K39="a"),ROUND(VLOOKUP(DQ$4,Preisindex,5,FALSE)/VLOOKUP(Preisindex!$A$6,Preisindex,5,FALSE),2),IF(AND($E39&lt;&gt;0,$F39&gt;0,YEAR($F39)&lt;Preisindex!$A$6,YEAR(DL$4)&gt;=YEAR($F39),$K39="b"),ROUND(VLOOKUP(DQ$4,Preisindex,3,FALSE)/VLOOKUP(Preisindex!$A$6,Preisindex,3,FALSE),2),IF(AND($E39&lt;&gt;0,$F39&gt;0,YEAR($F39)&lt;Preisindex!$A$6,YEAR(DL$4)&gt;=YEAR($F39),$K39="g"),ROUND(VLOOKUP(DQ$4,Preisindex,4,FALSE)/VLOOKUP(Preisindex!$A$6,Preisindex,4,FALSE),2),IF(AND($E39&lt;&gt;0,$F39&gt;0,YEAR($F39)&lt;Preisindex!$A$6,YEAR(DL$4)&gt;=YEAR($F39),$K39="k"),ROUND(VLOOKUP(DQ$4,Preisindex,2,FALSE)/VLOOKUP(Preisindex!$A$6,Preisindex,2,FALSE),2),0)))))</f>
        <v>0</v>
      </c>
      <c r="DS39" s="51">
        <f>IF(AND($E39&lt;&gt;0,$F39&gt;0,YEAR($F39)&lt;=DQ$4,YEAR($F39)&gt;=Preisindex!$A$6),ROUND($E39*DQ39,2),IF(AND($E39&lt;&gt;0,$F39&gt;0,YEAR($F39)&lt;=DQ$4,YEAR($F39)&lt;Preisindex!$A$6),ROUND($E39*DR39,2),0))</f>
        <v>0</v>
      </c>
      <c r="DT39" s="53">
        <f t="shared" si="213"/>
        <v>0</v>
      </c>
      <c r="DU39" s="51">
        <f t="shared" si="358"/>
        <v>0</v>
      </c>
      <c r="DV39" s="51">
        <f t="shared" si="342"/>
        <v>0</v>
      </c>
      <c r="DW39" s="51">
        <f t="shared" si="216"/>
        <v>0</v>
      </c>
      <c r="DX39" s="51">
        <f t="shared" si="343"/>
        <v>0</v>
      </c>
      <c r="DY39" s="51">
        <f t="shared" si="218"/>
        <v>0</v>
      </c>
      <c r="DZ39" s="51">
        <f t="shared" si="344"/>
        <v>0</v>
      </c>
      <c r="EA39" s="51">
        <f t="shared" si="220"/>
        <v>0</v>
      </c>
      <c r="EB39" s="51">
        <f t="shared" si="345"/>
        <v>0</v>
      </c>
      <c r="EC39" s="51">
        <f t="shared" si="222"/>
        <v>0</v>
      </c>
      <c r="ED39" s="51">
        <f t="shared" si="346"/>
        <v>0</v>
      </c>
      <c r="EE39" s="51">
        <f t="shared" si="224"/>
        <v>0</v>
      </c>
      <c r="EF39" s="54">
        <f t="shared" si="225"/>
        <v>0</v>
      </c>
      <c r="EG39" s="55">
        <f t="shared" si="226"/>
        <v>0</v>
      </c>
      <c r="EH39" s="56">
        <f>IF(AND($E39&lt;&gt;0,$F39&gt;0,YEAR($F39)&gt;=Preisindex!$A$6,YEAR(EC$4)&gt;=YEAR($F39),AND($K39&lt;&gt;"a",$K39&lt;&gt;"b",$K39&lt;&gt;"g",$K39&lt;&gt;"k")),1,IF(AND($E39&lt;&gt;0,$F39&gt;0,YEAR($F39)&gt;=Preisindex!$A$6,YEAR(EC$4)&gt;=YEAR($F39),$K39="a"),ROUND(VLOOKUP(EH$4,Preisindex,5,FALSE)/VLOOKUP(YEAR($F39),Preisindex,5,FALSE),2),IF(AND($E39&lt;&gt;0,$F39&gt;0,YEAR($F39)&gt;=Preisindex!$A$6,YEAR(EC$4)&gt;=YEAR($F39),$K39="b"),ROUND(VLOOKUP(EH$4,Preisindex,3,FALSE)/VLOOKUP(YEAR($F39),Preisindex,3,FALSE),2),IF(AND($E39&lt;&gt;0,$F39&gt;0,YEAR($F39)&gt;=Preisindex!$A$6,YEAR(EC$4)&gt;=YEAR($F39),$K39="g"),ROUND(VLOOKUP(EH$4,Preisindex,4,FALSE)/VLOOKUP(YEAR($F39),Preisindex,4,FALSE),2),IF(AND($E39&lt;&gt;0,$F39&gt;0,YEAR($F39)&gt;=Preisindex!$A$6,YEAR(EC$4)&gt;=YEAR($F39),$K39="k"),ROUND(VLOOKUP(EH$4,Preisindex,2,FALSE)/VLOOKUP(YEAR($F39),Preisindex,2,FALSE),2),0)))))</f>
        <v>0</v>
      </c>
      <c r="EI39" s="56">
        <f>IF(AND($E39&lt;&gt;0,$F39&gt;0,YEAR($F39)&lt;Preisindex!$A$6,YEAR(EC$4)&gt;=YEAR($F39),AND($K39&lt;&gt;"a",$K39&lt;&gt;"b",$K39&lt;&gt;"g",$K39&lt;&gt;"k")),1,IF(AND($E39&lt;&gt;0,$F39&gt;0,YEAR($F39)&lt;Preisindex!$A$6,YEAR(EC$4)&gt;=YEAR($F39),$K39="a"),ROUND(VLOOKUP(EH$4,Preisindex,5,FALSE)/VLOOKUP(Preisindex!$A$6,Preisindex,5,FALSE),2),IF(AND($E39&lt;&gt;0,$F39&gt;0,YEAR($F39)&lt;Preisindex!$A$6,YEAR(EC$4)&gt;=YEAR($F39),$K39="b"),ROUND(VLOOKUP(EH$4,Preisindex,3,FALSE)/VLOOKUP(Preisindex!$A$6,Preisindex,3,FALSE),2),IF(AND($E39&lt;&gt;0,$F39&gt;0,YEAR($F39)&lt;Preisindex!$A$6,YEAR(EC$4)&gt;=YEAR($F39),$K39="g"),ROUND(VLOOKUP(EH$4,Preisindex,4,FALSE)/VLOOKUP(Preisindex!$A$6,Preisindex,4,FALSE),2),IF(AND($E39&lt;&gt;0,$F39&gt;0,YEAR($F39)&lt;Preisindex!$A$6,YEAR(EC$4)&gt;=YEAR($F39),$K39="k"),ROUND(VLOOKUP(EH$4,Preisindex,2,FALSE)/VLOOKUP(Preisindex!$A$6,Preisindex,2,FALSE),2),0)))))</f>
        <v>0</v>
      </c>
      <c r="EJ39" s="51">
        <f>IF(AND($E39&lt;&gt;0,$F39&gt;0,YEAR($F39)&lt;=EH$4,YEAR($F39)&gt;=Preisindex!$A$6),ROUND($E39*EH39,2),IF(AND($E39&lt;&gt;0,$F39&gt;0,YEAR($F39)&lt;=EH$4,YEAR($F39)&lt;Preisindex!$A$6),ROUND($E39*EI39,2),0))</f>
        <v>0</v>
      </c>
      <c r="EK39" s="53">
        <f t="shared" si="227"/>
        <v>0</v>
      </c>
      <c r="EL39" s="51">
        <f t="shared" si="358"/>
        <v>0</v>
      </c>
      <c r="EM39" s="51">
        <f t="shared" si="347"/>
        <v>0</v>
      </c>
      <c r="EN39" s="51">
        <f t="shared" si="230"/>
        <v>0</v>
      </c>
      <c r="EO39" s="51">
        <f t="shared" si="348"/>
        <v>0</v>
      </c>
      <c r="EP39" s="51">
        <f t="shared" si="232"/>
        <v>0</v>
      </c>
      <c r="EQ39" s="51">
        <f t="shared" si="349"/>
        <v>0</v>
      </c>
      <c r="ER39" s="51">
        <f t="shared" si="234"/>
        <v>0</v>
      </c>
      <c r="ES39" s="51">
        <f t="shared" si="350"/>
        <v>0</v>
      </c>
      <c r="ET39" s="51">
        <f t="shared" si="236"/>
        <v>0</v>
      </c>
      <c r="EU39" s="51">
        <f t="shared" si="351"/>
        <v>0</v>
      </c>
      <c r="EV39" s="51">
        <f t="shared" si="238"/>
        <v>0</v>
      </c>
      <c r="EW39" s="54">
        <f t="shared" si="239"/>
        <v>0</v>
      </c>
      <c r="EX39" s="55">
        <f t="shared" si="240"/>
        <v>0</v>
      </c>
      <c r="EY39" s="56">
        <f>IF(AND($E39&lt;&gt;0,$F39&gt;0,YEAR($F39)&gt;=Preisindex!$A$6,YEAR(ET$4)&gt;=YEAR($F39),AND($K39&lt;&gt;"a",$K39&lt;&gt;"b",$K39&lt;&gt;"g",$K39&lt;&gt;"k")),1,IF(AND($E39&lt;&gt;0,$F39&gt;0,YEAR($F39)&gt;=Preisindex!$A$6,YEAR(ET$4)&gt;=YEAR($F39),$K39="a"),ROUND(VLOOKUP(EY$4,Preisindex,5,FALSE)/VLOOKUP(YEAR($F39),Preisindex,5,FALSE),2),IF(AND($E39&lt;&gt;0,$F39&gt;0,YEAR($F39)&gt;=Preisindex!$A$6,YEAR(ET$4)&gt;=YEAR($F39),$K39="b"),ROUND(VLOOKUP(EY$4,Preisindex,3,FALSE)/VLOOKUP(YEAR($F39),Preisindex,3,FALSE),2),IF(AND($E39&lt;&gt;0,$F39&gt;0,YEAR($F39)&gt;=Preisindex!$A$6,YEAR(ET$4)&gt;=YEAR($F39),$K39="g"),ROUND(VLOOKUP(EY$4,Preisindex,4,FALSE)/VLOOKUP(YEAR($F39),Preisindex,4,FALSE),2),IF(AND($E39&lt;&gt;0,$F39&gt;0,YEAR($F39)&gt;=Preisindex!$A$6,YEAR(ET$4)&gt;=YEAR($F39),$K39="k"),ROUND(VLOOKUP(EY$4,Preisindex,2,FALSE)/VLOOKUP(YEAR($F39),Preisindex,2,FALSE),2),0)))))</f>
        <v>0</v>
      </c>
      <c r="EZ39" s="56">
        <f>IF(AND($E39&lt;&gt;0,$F39&gt;0,YEAR($F39)&lt;Preisindex!$A$6,YEAR(ET$4)&gt;=YEAR($F39),AND($K39&lt;&gt;"a",$K39&lt;&gt;"b",$K39&lt;&gt;"g",$K39&lt;&gt;"k")),1,IF(AND($E39&lt;&gt;0,$F39&gt;0,YEAR($F39)&lt;Preisindex!$A$6,YEAR(ET$4)&gt;=YEAR($F39),$K39="a"),ROUND(VLOOKUP(EY$4,Preisindex,5,FALSE)/VLOOKUP(Preisindex!$A$6,Preisindex,5,FALSE),2),IF(AND($E39&lt;&gt;0,$F39&gt;0,YEAR($F39)&lt;Preisindex!$A$6,YEAR(ET$4)&gt;=YEAR($F39),$K39="b"),ROUND(VLOOKUP(EY$4,Preisindex,3,FALSE)/VLOOKUP(Preisindex!$A$6,Preisindex,3,FALSE),2),IF(AND($E39&lt;&gt;0,$F39&gt;0,YEAR($F39)&lt;Preisindex!$A$6,YEAR(ET$4)&gt;=YEAR($F39),$K39="g"),ROUND(VLOOKUP(EY$4,Preisindex,4,FALSE)/VLOOKUP(Preisindex!$A$6,Preisindex,4,FALSE),2),IF(AND($E39&lt;&gt;0,$F39&gt;0,YEAR($F39)&lt;Preisindex!$A$6,YEAR(ET$4)&gt;=YEAR($F39),$K39="k"),ROUND(VLOOKUP(EY$4,Preisindex,2,FALSE)/VLOOKUP(Preisindex!$A$6,Preisindex,2,FALSE),2),0)))))</f>
        <v>0</v>
      </c>
      <c r="FA39" s="51">
        <f>IF(AND($E39&lt;&gt;0,$F39&gt;0,YEAR($F39)&lt;=EY$4,YEAR($F39)&gt;=Preisindex!$A$6),ROUND($E39*EY39,2),IF(AND($E39&lt;&gt;0,$F39&gt;0,YEAR($F39)&lt;=EY$4,YEAR($F39)&lt;Preisindex!$A$6),ROUND($E39*EZ39,2),0))</f>
        <v>0</v>
      </c>
      <c r="FB39" s="53">
        <f t="shared" si="241"/>
        <v>0</v>
      </c>
      <c r="FC39" s="51">
        <f t="shared" si="358"/>
        <v>0</v>
      </c>
      <c r="FD39" s="51">
        <f t="shared" si="352"/>
        <v>0</v>
      </c>
      <c r="FE39" s="51">
        <f t="shared" si="244"/>
        <v>0</v>
      </c>
      <c r="FF39" s="51">
        <f t="shared" si="353"/>
        <v>0</v>
      </c>
      <c r="FG39" s="51">
        <f t="shared" si="246"/>
        <v>0</v>
      </c>
      <c r="FH39" s="51">
        <f t="shared" si="354"/>
        <v>0</v>
      </c>
      <c r="FI39" s="51">
        <f t="shared" si="248"/>
        <v>0</v>
      </c>
      <c r="FJ39" s="51">
        <f t="shared" si="355"/>
        <v>0</v>
      </c>
      <c r="FK39" s="51">
        <f t="shared" si="250"/>
        <v>0</v>
      </c>
      <c r="FL39" s="51">
        <f t="shared" si="356"/>
        <v>0</v>
      </c>
      <c r="FM39" s="51">
        <f t="shared" si="252"/>
        <v>0</v>
      </c>
      <c r="FN39" s="54">
        <f t="shared" si="253"/>
        <v>0</v>
      </c>
      <c r="FO39" s="55">
        <f t="shared" si="254"/>
        <v>0</v>
      </c>
      <c r="FP39" s="56">
        <f>IF(AND($E39&lt;&gt;0,$F39&gt;0,YEAR($F39)&gt;=Preisindex!$A$6,YEAR(FK$4)&gt;=YEAR($F39),AND($K39&lt;&gt;"a",$K39&lt;&gt;"b",$K39&lt;&gt;"g",$K39&lt;&gt;"k")),1,IF(AND($E39&lt;&gt;0,$F39&gt;0,YEAR($F39)&gt;=Preisindex!$A$6,YEAR(FK$4)&gt;=YEAR($F39),$K39="a"),ROUND(VLOOKUP(FP$4,Preisindex,5,FALSE)/VLOOKUP(YEAR($F39),Preisindex,5,FALSE),2),IF(AND($E39&lt;&gt;0,$F39&gt;0,YEAR($F39)&gt;=Preisindex!$A$6,YEAR(FK$4)&gt;=YEAR($F39),$K39="b"),ROUND(VLOOKUP(FP$4,Preisindex,3,FALSE)/VLOOKUP(YEAR($F39),Preisindex,3,FALSE),2),IF(AND($E39&lt;&gt;0,$F39&gt;0,YEAR($F39)&gt;=Preisindex!$A$6,YEAR(FK$4)&gt;=YEAR($F39),$K39="g"),ROUND(VLOOKUP(FP$4,Preisindex,4,FALSE)/VLOOKUP(YEAR($F39),Preisindex,4,FALSE),2),IF(AND($E39&lt;&gt;0,$F39&gt;0,YEAR($F39)&gt;=Preisindex!$A$6,YEAR(FK$4)&gt;=YEAR($F39),$K39="k"),ROUND(VLOOKUP(FP$4,Preisindex,2,FALSE)/VLOOKUP(YEAR($F39),Preisindex,2,FALSE),2),0)))))</f>
        <v>0</v>
      </c>
      <c r="FQ39" s="56">
        <f>IF(AND($E39&lt;&gt;0,$F39&gt;0,YEAR($F39)&lt;Preisindex!$A$6,YEAR(FK$4)&gt;=YEAR($F39),AND($K39&lt;&gt;"a",$K39&lt;&gt;"b",$K39&lt;&gt;"g",$K39&lt;&gt;"k")),1,IF(AND($E39&lt;&gt;0,$F39&gt;0,YEAR($F39)&lt;Preisindex!$A$6,YEAR(FK$4)&gt;=YEAR($F39),$K39="a"),ROUND(VLOOKUP(FP$4,Preisindex,5,FALSE)/VLOOKUP(Preisindex!$A$6,Preisindex,5,FALSE),2),IF(AND($E39&lt;&gt;0,$F39&gt;0,YEAR($F39)&lt;Preisindex!$A$6,YEAR(FK$4)&gt;=YEAR($F39),$K39="b"),ROUND(VLOOKUP(FP$4,Preisindex,3,FALSE)/VLOOKUP(Preisindex!$A$6,Preisindex,3,FALSE),2),IF(AND($E39&lt;&gt;0,$F39&gt;0,YEAR($F39)&lt;Preisindex!$A$6,YEAR(FK$4)&gt;=YEAR($F39),$K39="g"),ROUND(VLOOKUP(FP$4,Preisindex,4,FALSE)/VLOOKUP(Preisindex!$A$6,Preisindex,4,FALSE),2),IF(AND($E39&lt;&gt;0,$F39&gt;0,YEAR($F39)&lt;Preisindex!$A$6,YEAR(FK$4)&gt;=YEAR($F39),$K39="k"),ROUND(VLOOKUP(FP$4,Preisindex,2,FALSE)/VLOOKUP(Preisindex!$A$6,Preisindex,2,FALSE),2),0)))))</f>
        <v>0</v>
      </c>
      <c r="FR39" s="51">
        <f>IF(AND($E39&lt;&gt;0,$F39&gt;0,YEAR($F39)&lt;=FP$4,YEAR($F39)&gt;=Preisindex!$A$6),ROUND($E39*FP39,2),IF(AND($E39&lt;&gt;0,$F39&gt;0,YEAR($F39)&lt;=FP$4,YEAR($F39)&lt;Preisindex!$A$6),ROUND($E39*FQ39,2),0))</f>
        <v>0</v>
      </c>
      <c r="FS39" s="53">
        <f t="shared" si="255"/>
        <v>0</v>
      </c>
    </row>
    <row r="40" spans="1:175" x14ac:dyDescent="0.3">
      <c r="A40" s="195"/>
      <c r="B40" s="196" t="s">
        <v>227</v>
      </c>
      <c r="C40" s="196"/>
      <c r="D40" s="197"/>
      <c r="E40" s="99"/>
      <c r="F40" s="97"/>
      <c r="G40" s="100"/>
      <c r="H40" s="622"/>
      <c r="I40" s="621"/>
      <c r="J40" s="194"/>
      <c r="K40" s="630"/>
      <c r="L40" s="49">
        <f t="shared" si="296"/>
        <v>0</v>
      </c>
      <c r="M40" s="50">
        <f t="shared" si="297"/>
        <v>0</v>
      </c>
      <c r="N40" s="51">
        <f t="shared" si="298"/>
        <v>0</v>
      </c>
      <c r="O40" s="51"/>
      <c r="P40" s="51">
        <f t="shared" si="299"/>
        <v>0</v>
      </c>
      <c r="Q40" s="52"/>
      <c r="R40" s="52"/>
      <c r="S40" s="52"/>
      <c r="T40" s="52"/>
      <c r="U40" s="52"/>
      <c r="V40" s="53">
        <f t="shared" si="300"/>
        <v>0</v>
      </c>
      <c r="W40" s="51">
        <f t="shared" si="301"/>
        <v>0</v>
      </c>
      <c r="X40" s="51">
        <f t="shared" si="302"/>
        <v>0</v>
      </c>
      <c r="Y40" s="51">
        <f t="shared" si="303"/>
        <v>0</v>
      </c>
      <c r="Z40" s="51">
        <f t="shared" si="304"/>
        <v>0</v>
      </c>
      <c r="AA40" s="51">
        <f t="shared" si="305"/>
        <v>0</v>
      </c>
      <c r="AB40" s="51">
        <f t="shared" si="306"/>
        <v>0</v>
      </c>
      <c r="AC40" s="51">
        <f t="shared" si="307"/>
        <v>0</v>
      </c>
      <c r="AD40" s="51">
        <f t="shared" si="308"/>
        <v>0</v>
      </c>
      <c r="AE40" s="51">
        <f t="shared" si="309"/>
        <v>0</v>
      </c>
      <c r="AF40" s="51">
        <f t="shared" si="310"/>
        <v>0</v>
      </c>
      <c r="AG40" s="51">
        <f t="shared" si="311"/>
        <v>0</v>
      </c>
      <c r="AH40" s="54">
        <f t="shared" si="312"/>
        <v>0</v>
      </c>
      <c r="AI40" s="55">
        <f t="shared" si="313"/>
        <v>0</v>
      </c>
      <c r="AJ40" s="56">
        <f>IF(AND($E40&lt;&gt;0,$F40&gt;0,YEAR($F40)&gt;=Preisindex!$A$6,YEAR(AE$4)&gt;=YEAR($F40),AND($K40&lt;&gt;"a",$K40&lt;&gt;"b",$K40&lt;&gt;"g",$K40&lt;&gt;"k")),1,IF(AND($E40&lt;&gt;0,$F40&gt;0,YEAR($F40)&gt;=Preisindex!$A$6,YEAR(AE$4)&gt;=YEAR($F40),$K40="a"),ROUND(VLOOKUP(AJ$4,Preisindex,5,FALSE)/VLOOKUP(YEAR($F40),Preisindex,5,FALSE),2),IF(AND($E40&lt;&gt;0,$F40&gt;0,YEAR($F40)&gt;=Preisindex!$A$6,YEAR(AE$4)&gt;=YEAR($F40),$K40="b"),ROUND(VLOOKUP(AJ$4,Preisindex,3,FALSE)/VLOOKUP(YEAR($F40),Preisindex,3,FALSE),2),IF(AND($E40&lt;&gt;0,$F40&gt;0,YEAR($F40)&gt;=Preisindex!$A$6,YEAR(AE$4)&gt;=YEAR($F40),$K40="g"),ROUND(VLOOKUP(AJ$4,Preisindex,4,FALSE)/VLOOKUP(YEAR($F40),Preisindex,4,FALSE),2),IF(AND($E40&lt;&gt;0,$F40&gt;0,YEAR($F40)&gt;=Preisindex!$A$6,YEAR(AE$4)&gt;=YEAR($F40),$K40="k"),ROUND(VLOOKUP(AJ$4,Preisindex,2,FALSE)/VLOOKUP(YEAR($F40),Preisindex,2,FALSE),2),0)))))</f>
        <v>0</v>
      </c>
      <c r="AK40" s="56">
        <f>IF(AND($E40&lt;&gt;0,$F40&gt;0,YEAR($F40)&lt;Preisindex!$A$6,YEAR(AE$4)&gt;=YEAR($F40),AND($K40&lt;&gt;"a",$K40&lt;&gt;"b",$K40&lt;&gt;"g",$K40&lt;&gt;"k")),1,IF(AND($E40&lt;&gt;0,$F40&gt;0,YEAR($F40)&lt;Preisindex!$A$6,YEAR(AE$4)&gt;=YEAR($F40),$K40="a"),ROUND(VLOOKUP(AJ$4,Preisindex,5,FALSE)/VLOOKUP(Preisindex!$A$6,Preisindex,5,FALSE),2),IF(AND($E40&lt;&gt;0,$F40&gt;0,YEAR($F40)&lt;Preisindex!$A$6,YEAR(AE$4)&gt;=YEAR($F40),$K40="b"),ROUND(VLOOKUP(AJ$4,Preisindex,3,FALSE)/VLOOKUP(Preisindex!$A$6,Preisindex,3,FALSE),2),IF(AND($E40&lt;&gt;0,$F40&gt;0,YEAR($F40)&lt;Preisindex!$A$6,YEAR(AE$4)&gt;=YEAR($F40),$K40="g"),ROUND(VLOOKUP(AJ$4,Preisindex,4,FALSE)/VLOOKUP(Preisindex!$A$6,Preisindex,4,FALSE),2),IF(AND($E40&lt;&gt;0,$F40&gt;0,YEAR($F40)&lt;Preisindex!$A$6,YEAR(AE$4)&gt;=YEAR($F40),$K40="k"),ROUND(VLOOKUP(AJ$4,Preisindex,2,FALSE)/VLOOKUP(Preisindex!$A$6,Preisindex,2,FALSE),2),0)))))</f>
        <v>0</v>
      </c>
      <c r="AL40" s="51">
        <f>IF(AND($E40&lt;&gt;0,$F40&gt;0,YEAR($F40)&lt;=AJ$4,YEAR($F40)&gt;=Preisindex!$A$6),ROUND($E40*AJ40,2),IF(AND($E40&lt;&gt;0,$F40&gt;0,YEAR($F40)&lt;=AJ$4,YEAR($F40)&lt;Preisindex!$A$6),ROUND($E40*AK40,2),0))</f>
        <v>0</v>
      </c>
      <c r="AM40" s="53">
        <f t="shared" si="314"/>
        <v>0</v>
      </c>
      <c r="AN40" s="51">
        <f t="shared" si="357"/>
        <v>0</v>
      </c>
      <c r="AO40" s="51">
        <f t="shared" si="317"/>
        <v>0</v>
      </c>
      <c r="AP40" s="51">
        <f t="shared" si="146"/>
        <v>0</v>
      </c>
      <c r="AQ40" s="51">
        <f t="shared" si="318"/>
        <v>0</v>
      </c>
      <c r="AR40" s="51">
        <f t="shared" si="148"/>
        <v>0</v>
      </c>
      <c r="AS40" s="51">
        <f t="shared" si="319"/>
        <v>0</v>
      </c>
      <c r="AT40" s="51">
        <f t="shared" si="150"/>
        <v>0</v>
      </c>
      <c r="AU40" s="51">
        <f t="shared" si="320"/>
        <v>0</v>
      </c>
      <c r="AV40" s="51">
        <f t="shared" si="152"/>
        <v>0</v>
      </c>
      <c r="AW40" s="51">
        <f t="shared" si="321"/>
        <v>0</v>
      </c>
      <c r="AX40" s="51">
        <f t="shared" si="154"/>
        <v>0</v>
      </c>
      <c r="AY40" s="54">
        <f t="shared" si="155"/>
        <v>0</v>
      </c>
      <c r="AZ40" s="55">
        <f t="shared" si="156"/>
        <v>0</v>
      </c>
      <c r="BA40" s="56">
        <f>IF(AND($E40&lt;&gt;0,$F40&gt;0,YEAR($F40)&gt;=Preisindex!$A$6,YEAR(AV$4)&gt;=YEAR($F40),AND($K40&lt;&gt;"a",$K40&lt;&gt;"b",$K40&lt;&gt;"g",$K40&lt;&gt;"k")),1,IF(AND($E40&lt;&gt;0,$F40&gt;0,YEAR($F40)&gt;=Preisindex!$A$6,YEAR(AV$4)&gt;=YEAR($F40),$K40="a"),ROUND(VLOOKUP(BA$4,Preisindex,5,FALSE)/VLOOKUP(YEAR($F40),Preisindex,5,FALSE),2),IF(AND($E40&lt;&gt;0,$F40&gt;0,YEAR($F40)&gt;=Preisindex!$A$6,YEAR(AV$4)&gt;=YEAR($F40),$K40="b"),ROUND(VLOOKUP(BA$4,Preisindex,3,FALSE)/VLOOKUP(YEAR($F40),Preisindex,3,FALSE),2),IF(AND($E40&lt;&gt;0,$F40&gt;0,YEAR($F40)&gt;=Preisindex!$A$6,YEAR(AV$4)&gt;=YEAR($F40),$K40="g"),ROUND(VLOOKUP(BA$4,Preisindex,4,FALSE)/VLOOKUP(YEAR($F40),Preisindex,4,FALSE),2),IF(AND($E40&lt;&gt;0,$F40&gt;0,YEAR($F40)&gt;=Preisindex!$A$6,YEAR(AV$4)&gt;=YEAR($F40),$K40="k"),ROUND(VLOOKUP(BA$4,Preisindex,2,FALSE)/VLOOKUP(YEAR($F40),Preisindex,2,FALSE),2),0)))))</f>
        <v>0</v>
      </c>
      <c r="BB40" s="56">
        <f>IF(AND($E40&lt;&gt;0,$F40&gt;0,YEAR($F40)&lt;Preisindex!$A$6,YEAR(AV$4)&gt;=YEAR($F40),AND($K40&lt;&gt;"a",$K40&lt;&gt;"b",$K40&lt;&gt;"g",$K40&lt;&gt;"k")),1,IF(AND($E40&lt;&gt;0,$F40&gt;0,YEAR($F40)&lt;Preisindex!$A$6,YEAR(AV$4)&gt;=YEAR($F40),$K40="a"),ROUND(VLOOKUP(BA$4,Preisindex,5,FALSE)/VLOOKUP(Preisindex!$A$6,Preisindex,5,FALSE),2),IF(AND($E40&lt;&gt;0,$F40&gt;0,YEAR($F40)&lt;Preisindex!$A$6,YEAR(AV$4)&gt;=YEAR($F40),$K40="b"),ROUND(VLOOKUP(BA$4,Preisindex,3,FALSE)/VLOOKUP(Preisindex!$A$6,Preisindex,3,FALSE),2),IF(AND($E40&lt;&gt;0,$F40&gt;0,YEAR($F40)&lt;Preisindex!$A$6,YEAR(AV$4)&gt;=YEAR($F40),$K40="g"),ROUND(VLOOKUP(BA$4,Preisindex,4,FALSE)/VLOOKUP(Preisindex!$A$6,Preisindex,4,FALSE),2),IF(AND($E40&lt;&gt;0,$F40&gt;0,YEAR($F40)&lt;Preisindex!$A$6,YEAR(AV$4)&gt;=YEAR($F40),$K40="k"),ROUND(VLOOKUP(BA$4,Preisindex,2,FALSE)/VLOOKUP(Preisindex!$A$6,Preisindex,2,FALSE),2),0)))))</f>
        <v>0</v>
      </c>
      <c r="BC40" s="51">
        <f>IF(AND($E40&lt;&gt;0,$F40&gt;0,YEAR($F40)&lt;=BA$4,YEAR($F40)&gt;=Preisindex!$A$6),ROUND($E40*BA40,2),IF(AND($E40&lt;&gt;0,$F40&gt;0,YEAR($F40)&lt;=BA$4,YEAR($F40)&lt;Preisindex!$A$6),ROUND($E40*BB40,2),0))</f>
        <v>0</v>
      </c>
      <c r="BD40" s="53">
        <f t="shared" si="157"/>
        <v>0</v>
      </c>
      <c r="BE40" s="51">
        <f t="shared" si="357"/>
        <v>0</v>
      </c>
      <c r="BF40" s="51">
        <f t="shared" si="322"/>
        <v>0</v>
      </c>
      <c r="BG40" s="51">
        <f t="shared" si="160"/>
        <v>0</v>
      </c>
      <c r="BH40" s="51">
        <f t="shared" si="323"/>
        <v>0</v>
      </c>
      <c r="BI40" s="51">
        <f t="shared" si="162"/>
        <v>0</v>
      </c>
      <c r="BJ40" s="51">
        <f t="shared" si="324"/>
        <v>0</v>
      </c>
      <c r="BK40" s="51">
        <f t="shared" si="164"/>
        <v>0</v>
      </c>
      <c r="BL40" s="51">
        <f t="shared" si="325"/>
        <v>0</v>
      </c>
      <c r="BM40" s="51">
        <f t="shared" si="166"/>
        <v>0</v>
      </c>
      <c r="BN40" s="51">
        <f t="shared" si="326"/>
        <v>0</v>
      </c>
      <c r="BO40" s="51">
        <f t="shared" si="168"/>
        <v>0</v>
      </c>
      <c r="BP40" s="54">
        <f t="shared" si="169"/>
        <v>0</v>
      </c>
      <c r="BQ40" s="55">
        <f t="shared" si="170"/>
        <v>0</v>
      </c>
      <c r="BR40" s="56">
        <f>IF(AND($E40&lt;&gt;0,$F40&gt;0,YEAR($F40)&gt;=Preisindex!$A$6,YEAR(BM$4)&gt;=YEAR($F40),AND($K40&lt;&gt;"a",$K40&lt;&gt;"b",$K40&lt;&gt;"g",$K40&lt;&gt;"k")),1,IF(AND($E40&lt;&gt;0,$F40&gt;0,YEAR($F40)&gt;=Preisindex!$A$6,YEAR(BM$4)&gt;=YEAR($F40),$K40="a"),ROUND(VLOOKUP(BR$4,Preisindex,5,FALSE)/VLOOKUP(YEAR($F40),Preisindex,5,FALSE),2),IF(AND($E40&lt;&gt;0,$F40&gt;0,YEAR($F40)&gt;=Preisindex!$A$6,YEAR(BM$4)&gt;=YEAR($F40),$K40="b"),ROUND(VLOOKUP(BR$4,Preisindex,3,FALSE)/VLOOKUP(YEAR($F40),Preisindex,3,FALSE),2),IF(AND($E40&lt;&gt;0,$F40&gt;0,YEAR($F40)&gt;=Preisindex!$A$6,YEAR(BM$4)&gt;=YEAR($F40),$K40="g"),ROUND(VLOOKUP(BR$4,Preisindex,4,FALSE)/VLOOKUP(YEAR($F40),Preisindex,4,FALSE),2),IF(AND($E40&lt;&gt;0,$F40&gt;0,YEAR($F40)&gt;=Preisindex!$A$6,YEAR(BM$4)&gt;=YEAR($F40),$K40="k"),ROUND(VLOOKUP(BR$4,Preisindex,2,FALSE)/VLOOKUP(YEAR($F40),Preisindex,2,FALSE),2),0)))))</f>
        <v>0</v>
      </c>
      <c r="BS40" s="56">
        <f>IF(AND($E40&lt;&gt;0,$F40&gt;0,YEAR($F40)&lt;Preisindex!$A$6,YEAR(BM$4)&gt;=YEAR($F40),AND($K40&lt;&gt;"a",$K40&lt;&gt;"b",$K40&lt;&gt;"g",$K40&lt;&gt;"k")),1,IF(AND($E40&lt;&gt;0,$F40&gt;0,YEAR($F40)&lt;Preisindex!$A$6,YEAR(BM$4)&gt;=YEAR($F40),$K40="a"),ROUND(VLOOKUP(BR$4,Preisindex,5,FALSE)/VLOOKUP(Preisindex!$A$6,Preisindex,5,FALSE),2),IF(AND($E40&lt;&gt;0,$F40&gt;0,YEAR($F40)&lt;Preisindex!$A$6,YEAR(BM$4)&gt;=YEAR($F40),$K40="b"),ROUND(VLOOKUP(BR$4,Preisindex,3,FALSE)/VLOOKUP(Preisindex!$A$6,Preisindex,3,FALSE),2),IF(AND($E40&lt;&gt;0,$F40&gt;0,YEAR($F40)&lt;Preisindex!$A$6,YEAR(BM$4)&gt;=YEAR($F40),$K40="g"),ROUND(VLOOKUP(BR$4,Preisindex,4,FALSE)/VLOOKUP(Preisindex!$A$6,Preisindex,4,FALSE),2),IF(AND($E40&lt;&gt;0,$F40&gt;0,YEAR($F40)&lt;Preisindex!$A$6,YEAR(BM$4)&gt;=YEAR($F40),$K40="k"),ROUND(VLOOKUP(BR$4,Preisindex,2,FALSE)/VLOOKUP(Preisindex!$A$6,Preisindex,2,FALSE),2),0)))))</f>
        <v>0</v>
      </c>
      <c r="BT40" s="51">
        <f>IF(AND($E40&lt;&gt;0,$F40&gt;0,YEAR($F40)&lt;=BR$4,YEAR($F40)&gt;=Preisindex!$A$6),ROUND($E40*BR40,2),IF(AND($E40&lt;&gt;0,$F40&gt;0,YEAR($F40)&lt;=BR$4,YEAR($F40)&lt;Preisindex!$A$6),ROUND($E40*BS40,2),0))</f>
        <v>0</v>
      </c>
      <c r="BU40" s="53">
        <f t="shared" si="171"/>
        <v>0</v>
      </c>
      <c r="BV40" s="51">
        <f t="shared" si="357"/>
        <v>0</v>
      </c>
      <c r="BW40" s="51">
        <f t="shared" si="327"/>
        <v>0</v>
      </c>
      <c r="BX40" s="51">
        <f t="shared" si="174"/>
        <v>0</v>
      </c>
      <c r="BY40" s="51">
        <f t="shared" si="328"/>
        <v>0</v>
      </c>
      <c r="BZ40" s="51">
        <f t="shared" si="176"/>
        <v>0</v>
      </c>
      <c r="CA40" s="51">
        <f t="shared" si="329"/>
        <v>0</v>
      </c>
      <c r="CB40" s="51">
        <f t="shared" si="178"/>
        <v>0</v>
      </c>
      <c r="CC40" s="51">
        <f t="shared" si="330"/>
        <v>0</v>
      </c>
      <c r="CD40" s="51">
        <f t="shared" si="180"/>
        <v>0</v>
      </c>
      <c r="CE40" s="51">
        <f t="shared" si="331"/>
        <v>0</v>
      </c>
      <c r="CF40" s="51">
        <f t="shared" si="182"/>
        <v>0</v>
      </c>
      <c r="CG40" s="54">
        <f t="shared" si="183"/>
        <v>0</v>
      </c>
      <c r="CH40" s="55">
        <f t="shared" si="184"/>
        <v>0</v>
      </c>
      <c r="CI40" s="56">
        <f>IF(AND($E40&lt;&gt;0,$F40&gt;0,YEAR($F40)&gt;=Preisindex!$A$6,YEAR(CD$4)&gt;=YEAR($F40),AND($K40&lt;&gt;"a",$K40&lt;&gt;"b",$K40&lt;&gt;"g",$K40&lt;&gt;"k")),1,IF(AND($E40&lt;&gt;0,$F40&gt;0,YEAR($F40)&gt;=Preisindex!$A$6,YEAR(CD$4)&gt;=YEAR($F40),$K40="a"),ROUND(VLOOKUP(CI$4,Preisindex,5,FALSE)/VLOOKUP(YEAR($F40),Preisindex,5,FALSE),2),IF(AND($E40&lt;&gt;0,$F40&gt;0,YEAR($F40)&gt;=Preisindex!$A$6,YEAR(CD$4)&gt;=YEAR($F40),$K40="b"),ROUND(VLOOKUP(CI$4,Preisindex,3,FALSE)/VLOOKUP(YEAR($F40),Preisindex,3,FALSE),2),IF(AND($E40&lt;&gt;0,$F40&gt;0,YEAR($F40)&gt;=Preisindex!$A$6,YEAR(CD$4)&gt;=YEAR($F40),$K40="g"),ROUND(VLOOKUP(CI$4,Preisindex,4,FALSE)/VLOOKUP(YEAR($F40),Preisindex,4,FALSE),2),IF(AND($E40&lt;&gt;0,$F40&gt;0,YEAR($F40)&gt;=Preisindex!$A$6,YEAR(CD$4)&gt;=YEAR($F40),$K40="k"),ROUND(VLOOKUP(CI$4,Preisindex,2,FALSE)/VLOOKUP(YEAR($F40),Preisindex,2,FALSE),2),0)))))</f>
        <v>0</v>
      </c>
      <c r="CJ40" s="56">
        <f>IF(AND($E40&lt;&gt;0,$F40&gt;0,YEAR($F40)&lt;Preisindex!$A$6,YEAR(CD$4)&gt;=YEAR($F40),AND($K40&lt;&gt;"a",$K40&lt;&gt;"b",$K40&lt;&gt;"g",$K40&lt;&gt;"k")),1,IF(AND($E40&lt;&gt;0,$F40&gt;0,YEAR($F40)&lt;Preisindex!$A$6,YEAR(CD$4)&gt;=YEAR($F40),$K40="a"),ROUND(VLOOKUP(CI$4,Preisindex,5,FALSE)/VLOOKUP(Preisindex!$A$6,Preisindex,5,FALSE),2),IF(AND($E40&lt;&gt;0,$F40&gt;0,YEAR($F40)&lt;Preisindex!$A$6,YEAR(CD$4)&gt;=YEAR($F40),$K40="b"),ROUND(VLOOKUP(CI$4,Preisindex,3,FALSE)/VLOOKUP(Preisindex!$A$6,Preisindex,3,FALSE),2),IF(AND($E40&lt;&gt;0,$F40&gt;0,YEAR($F40)&lt;Preisindex!$A$6,YEAR(CD$4)&gt;=YEAR($F40),$K40="g"),ROUND(VLOOKUP(CI$4,Preisindex,4,FALSE)/VLOOKUP(Preisindex!$A$6,Preisindex,4,FALSE),2),IF(AND($E40&lt;&gt;0,$F40&gt;0,YEAR($F40)&lt;Preisindex!$A$6,YEAR(CD$4)&gt;=YEAR($F40),$K40="k"),ROUND(VLOOKUP(CI$4,Preisindex,2,FALSE)/VLOOKUP(Preisindex!$A$6,Preisindex,2,FALSE),2),0)))))</f>
        <v>0</v>
      </c>
      <c r="CK40" s="51">
        <f>IF(AND($E40&lt;&gt;0,$F40&gt;0,YEAR($F40)&lt;=CI$4,YEAR($F40)&gt;=Preisindex!$A$6),ROUND($E40*CI40,2),IF(AND($E40&lt;&gt;0,$F40&gt;0,YEAR($F40)&lt;=CI$4,YEAR($F40)&lt;Preisindex!$A$6),ROUND($E40*CJ40,2),0))</f>
        <v>0</v>
      </c>
      <c r="CL40" s="53">
        <f t="shared" si="185"/>
        <v>0</v>
      </c>
      <c r="CM40" s="51">
        <f t="shared" si="357"/>
        <v>0</v>
      </c>
      <c r="CN40" s="51">
        <f t="shared" si="332"/>
        <v>0</v>
      </c>
      <c r="CO40" s="51">
        <f t="shared" si="188"/>
        <v>0</v>
      </c>
      <c r="CP40" s="51">
        <f t="shared" si="333"/>
        <v>0</v>
      </c>
      <c r="CQ40" s="51">
        <f t="shared" si="190"/>
        <v>0</v>
      </c>
      <c r="CR40" s="51">
        <f t="shared" si="334"/>
        <v>0</v>
      </c>
      <c r="CS40" s="51">
        <f t="shared" si="192"/>
        <v>0</v>
      </c>
      <c r="CT40" s="51">
        <f t="shared" si="335"/>
        <v>0</v>
      </c>
      <c r="CU40" s="51">
        <f t="shared" si="194"/>
        <v>0</v>
      </c>
      <c r="CV40" s="51">
        <f t="shared" si="336"/>
        <v>0</v>
      </c>
      <c r="CW40" s="51">
        <f t="shared" si="196"/>
        <v>0</v>
      </c>
      <c r="CX40" s="54">
        <f t="shared" si="197"/>
        <v>0</v>
      </c>
      <c r="CY40" s="55">
        <f t="shared" si="198"/>
        <v>0</v>
      </c>
      <c r="CZ40" s="56">
        <f>IF(AND($E40&lt;&gt;0,$F40&gt;0,YEAR($F40)&gt;=Preisindex!$A$6,YEAR(CU$4)&gt;=YEAR($F40),AND($K40&lt;&gt;"a",$K40&lt;&gt;"b",$K40&lt;&gt;"g",$K40&lt;&gt;"k")),1,IF(AND($E40&lt;&gt;0,$F40&gt;0,YEAR($F40)&gt;=Preisindex!$A$6,YEAR(CU$4)&gt;=YEAR($F40),$K40="a"),ROUND(VLOOKUP(CZ$4,Preisindex,5,FALSE)/VLOOKUP(YEAR($F40),Preisindex,5,FALSE),2),IF(AND($E40&lt;&gt;0,$F40&gt;0,YEAR($F40)&gt;=Preisindex!$A$6,YEAR(CU$4)&gt;=YEAR($F40),$K40="b"),ROUND(VLOOKUP(CZ$4,Preisindex,3,FALSE)/VLOOKUP(YEAR($F40),Preisindex,3,FALSE),2),IF(AND($E40&lt;&gt;0,$F40&gt;0,YEAR($F40)&gt;=Preisindex!$A$6,YEAR(CU$4)&gt;=YEAR($F40),$K40="g"),ROUND(VLOOKUP(CZ$4,Preisindex,4,FALSE)/VLOOKUP(YEAR($F40),Preisindex,4,FALSE),2),IF(AND($E40&lt;&gt;0,$F40&gt;0,YEAR($F40)&gt;=Preisindex!$A$6,YEAR(CU$4)&gt;=YEAR($F40),$K40="k"),ROUND(VLOOKUP(CZ$4,Preisindex,2,FALSE)/VLOOKUP(YEAR($F40),Preisindex,2,FALSE),2),0)))))</f>
        <v>0</v>
      </c>
      <c r="DA40" s="56">
        <f>IF(AND($E40&lt;&gt;0,$F40&gt;0,YEAR($F40)&lt;Preisindex!$A$6,YEAR(CU$4)&gt;=YEAR($F40),AND($K40&lt;&gt;"a",$K40&lt;&gt;"b",$K40&lt;&gt;"g",$K40&lt;&gt;"k")),1,IF(AND($E40&lt;&gt;0,$F40&gt;0,YEAR($F40)&lt;Preisindex!$A$6,YEAR(CU$4)&gt;=YEAR($F40),$K40="a"),ROUND(VLOOKUP(CZ$4,Preisindex,5,FALSE)/VLOOKUP(Preisindex!$A$6,Preisindex,5,FALSE),2),IF(AND($E40&lt;&gt;0,$F40&gt;0,YEAR($F40)&lt;Preisindex!$A$6,YEAR(CU$4)&gt;=YEAR($F40),$K40="b"),ROUND(VLOOKUP(CZ$4,Preisindex,3,FALSE)/VLOOKUP(Preisindex!$A$6,Preisindex,3,FALSE),2),IF(AND($E40&lt;&gt;0,$F40&gt;0,YEAR($F40)&lt;Preisindex!$A$6,YEAR(CU$4)&gt;=YEAR($F40),$K40="g"),ROUND(VLOOKUP(CZ$4,Preisindex,4,FALSE)/VLOOKUP(Preisindex!$A$6,Preisindex,4,FALSE),2),IF(AND($E40&lt;&gt;0,$F40&gt;0,YEAR($F40)&lt;Preisindex!$A$6,YEAR(CU$4)&gt;=YEAR($F40),$K40="k"),ROUND(VLOOKUP(CZ$4,Preisindex,2,FALSE)/VLOOKUP(Preisindex!$A$6,Preisindex,2,FALSE),2),0)))))</f>
        <v>0</v>
      </c>
      <c r="DB40" s="51">
        <f>IF(AND($E40&lt;&gt;0,$F40&gt;0,YEAR($F40)&lt;=CZ$4,YEAR($F40)&gt;=Preisindex!$A$6),ROUND($E40*CZ40,2),IF(AND($E40&lt;&gt;0,$F40&gt;0,YEAR($F40)&lt;=CZ$4,YEAR($F40)&lt;Preisindex!$A$6),ROUND($E40*DA40,2),0))</f>
        <v>0</v>
      </c>
      <c r="DC40" s="53">
        <f t="shared" si="199"/>
        <v>0</v>
      </c>
      <c r="DD40" s="51">
        <f t="shared" si="358"/>
        <v>0</v>
      </c>
      <c r="DE40" s="51">
        <f t="shared" si="337"/>
        <v>0</v>
      </c>
      <c r="DF40" s="51">
        <f t="shared" si="202"/>
        <v>0</v>
      </c>
      <c r="DG40" s="51">
        <f t="shared" si="338"/>
        <v>0</v>
      </c>
      <c r="DH40" s="51">
        <f t="shared" si="204"/>
        <v>0</v>
      </c>
      <c r="DI40" s="51">
        <f t="shared" si="339"/>
        <v>0</v>
      </c>
      <c r="DJ40" s="51">
        <f t="shared" si="206"/>
        <v>0</v>
      </c>
      <c r="DK40" s="51">
        <f t="shared" si="340"/>
        <v>0</v>
      </c>
      <c r="DL40" s="51">
        <f t="shared" si="208"/>
        <v>0</v>
      </c>
      <c r="DM40" s="51">
        <f t="shared" si="341"/>
        <v>0</v>
      </c>
      <c r="DN40" s="51">
        <f t="shared" si="210"/>
        <v>0</v>
      </c>
      <c r="DO40" s="54">
        <f t="shared" si="211"/>
        <v>0</v>
      </c>
      <c r="DP40" s="55">
        <f t="shared" si="212"/>
        <v>0</v>
      </c>
      <c r="DQ40" s="56">
        <f>IF(AND($E40&lt;&gt;0,$F40&gt;0,YEAR($F40)&gt;=Preisindex!$A$6,YEAR(DL$4)&gt;=YEAR($F40),AND($K40&lt;&gt;"a",$K40&lt;&gt;"b",$K40&lt;&gt;"g",$K40&lt;&gt;"k")),1,IF(AND($E40&lt;&gt;0,$F40&gt;0,YEAR($F40)&gt;=Preisindex!$A$6,YEAR(DL$4)&gt;=YEAR($F40),$K40="a"),ROUND(VLOOKUP(DQ$4,Preisindex,5,FALSE)/VLOOKUP(YEAR($F40),Preisindex,5,FALSE),2),IF(AND($E40&lt;&gt;0,$F40&gt;0,YEAR($F40)&gt;=Preisindex!$A$6,YEAR(DL$4)&gt;=YEAR($F40),$K40="b"),ROUND(VLOOKUP(DQ$4,Preisindex,3,FALSE)/VLOOKUP(YEAR($F40),Preisindex,3,FALSE),2),IF(AND($E40&lt;&gt;0,$F40&gt;0,YEAR($F40)&gt;=Preisindex!$A$6,YEAR(DL$4)&gt;=YEAR($F40),$K40="g"),ROUND(VLOOKUP(DQ$4,Preisindex,4,FALSE)/VLOOKUP(YEAR($F40),Preisindex,4,FALSE),2),IF(AND($E40&lt;&gt;0,$F40&gt;0,YEAR($F40)&gt;=Preisindex!$A$6,YEAR(DL$4)&gt;=YEAR($F40),$K40="k"),ROUND(VLOOKUP(DQ$4,Preisindex,2,FALSE)/VLOOKUP(YEAR($F40),Preisindex,2,FALSE),2),0)))))</f>
        <v>0</v>
      </c>
      <c r="DR40" s="56">
        <f>IF(AND($E40&lt;&gt;0,$F40&gt;0,YEAR($F40)&lt;Preisindex!$A$6,YEAR(DL$4)&gt;=YEAR($F40),AND($K40&lt;&gt;"a",$K40&lt;&gt;"b",$K40&lt;&gt;"g",$K40&lt;&gt;"k")),1,IF(AND($E40&lt;&gt;0,$F40&gt;0,YEAR($F40)&lt;Preisindex!$A$6,YEAR(DL$4)&gt;=YEAR($F40),$K40="a"),ROUND(VLOOKUP(DQ$4,Preisindex,5,FALSE)/VLOOKUP(Preisindex!$A$6,Preisindex,5,FALSE),2),IF(AND($E40&lt;&gt;0,$F40&gt;0,YEAR($F40)&lt;Preisindex!$A$6,YEAR(DL$4)&gt;=YEAR($F40),$K40="b"),ROUND(VLOOKUP(DQ$4,Preisindex,3,FALSE)/VLOOKUP(Preisindex!$A$6,Preisindex,3,FALSE),2),IF(AND($E40&lt;&gt;0,$F40&gt;0,YEAR($F40)&lt;Preisindex!$A$6,YEAR(DL$4)&gt;=YEAR($F40),$K40="g"),ROUND(VLOOKUP(DQ$4,Preisindex,4,FALSE)/VLOOKUP(Preisindex!$A$6,Preisindex,4,FALSE),2),IF(AND($E40&lt;&gt;0,$F40&gt;0,YEAR($F40)&lt;Preisindex!$A$6,YEAR(DL$4)&gt;=YEAR($F40),$K40="k"),ROUND(VLOOKUP(DQ$4,Preisindex,2,FALSE)/VLOOKUP(Preisindex!$A$6,Preisindex,2,FALSE),2),0)))))</f>
        <v>0</v>
      </c>
      <c r="DS40" s="51">
        <f>IF(AND($E40&lt;&gt;0,$F40&gt;0,YEAR($F40)&lt;=DQ$4,YEAR($F40)&gt;=Preisindex!$A$6),ROUND($E40*DQ40,2),IF(AND($E40&lt;&gt;0,$F40&gt;0,YEAR($F40)&lt;=DQ$4,YEAR($F40)&lt;Preisindex!$A$6),ROUND($E40*DR40,2),0))</f>
        <v>0</v>
      </c>
      <c r="DT40" s="53">
        <f t="shared" si="213"/>
        <v>0</v>
      </c>
      <c r="DU40" s="51">
        <f t="shared" si="358"/>
        <v>0</v>
      </c>
      <c r="DV40" s="51">
        <f t="shared" si="342"/>
        <v>0</v>
      </c>
      <c r="DW40" s="51">
        <f t="shared" si="216"/>
        <v>0</v>
      </c>
      <c r="DX40" s="51">
        <f t="shared" si="343"/>
        <v>0</v>
      </c>
      <c r="DY40" s="51">
        <f t="shared" si="218"/>
        <v>0</v>
      </c>
      <c r="DZ40" s="51">
        <f t="shared" si="344"/>
        <v>0</v>
      </c>
      <c r="EA40" s="51">
        <f t="shared" si="220"/>
        <v>0</v>
      </c>
      <c r="EB40" s="51">
        <f t="shared" si="345"/>
        <v>0</v>
      </c>
      <c r="EC40" s="51">
        <f t="shared" si="222"/>
        <v>0</v>
      </c>
      <c r="ED40" s="51">
        <f t="shared" si="346"/>
        <v>0</v>
      </c>
      <c r="EE40" s="51">
        <f t="shared" si="224"/>
        <v>0</v>
      </c>
      <c r="EF40" s="54">
        <f t="shared" si="225"/>
        <v>0</v>
      </c>
      <c r="EG40" s="55">
        <f t="shared" si="226"/>
        <v>0</v>
      </c>
      <c r="EH40" s="56">
        <f>IF(AND($E40&lt;&gt;0,$F40&gt;0,YEAR($F40)&gt;=Preisindex!$A$6,YEAR(EC$4)&gt;=YEAR($F40),AND($K40&lt;&gt;"a",$K40&lt;&gt;"b",$K40&lt;&gt;"g",$K40&lt;&gt;"k")),1,IF(AND($E40&lt;&gt;0,$F40&gt;0,YEAR($F40)&gt;=Preisindex!$A$6,YEAR(EC$4)&gt;=YEAR($F40),$K40="a"),ROUND(VLOOKUP(EH$4,Preisindex,5,FALSE)/VLOOKUP(YEAR($F40),Preisindex,5,FALSE),2),IF(AND($E40&lt;&gt;0,$F40&gt;0,YEAR($F40)&gt;=Preisindex!$A$6,YEAR(EC$4)&gt;=YEAR($F40),$K40="b"),ROUND(VLOOKUP(EH$4,Preisindex,3,FALSE)/VLOOKUP(YEAR($F40),Preisindex,3,FALSE),2),IF(AND($E40&lt;&gt;0,$F40&gt;0,YEAR($F40)&gt;=Preisindex!$A$6,YEAR(EC$4)&gt;=YEAR($F40),$K40="g"),ROUND(VLOOKUP(EH$4,Preisindex,4,FALSE)/VLOOKUP(YEAR($F40),Preisindex,4,FALSE),2),IF(AND($E40&lt;&gt;0,$F40&gt;0,YEAR($F40)&gt;=Preisindex!$A$6,YEAR(EC$4)&gt;=YEAR($F40),$K40="k"),ROUND(VLOOKUP(EH$4,Preisindex,2,FALSE)/VLOOKUP(YEAR($F40),Preisindex,2,FALSE),2),0)))))</f>
        <v>0</v>
      </c>
      <c r="EI40" s="56">
        <f>IF(AND($E40&lt;&gt;0,$F40&gt;0,YEAR($F40)&lt;Preisindex!$A$6,YEAR(EC$4)&gt;=YEAR($F40),AND($K40&lt;&gt;"a",$K40&lt;&gt;"b",$K40&lt;&gt;"g",$K40&lt;&gt;"k")),1,IF(AND($E40&lt;&gt;0,$F40&gt;0,YEAR($F40)&lt;Preisindex!$A$6,YEAR(EC$4)&gt;=YEAR($F40),$K40="a"),ROUND(VLOOKUP(EH$4,Preisindex,5,FALSE)/VLOOKUP(Preisindex!$A$6,Preisindex,5,FALSE),2),IF(AND($E40&lt;&gt;0,$F40&gt;0,YEAR($F40)&lt;Preisindex!$A$6,YEAR(EC$4)&gt;=YEAR($F40),$K40="b"),ROUND(VLOOKUP(EH$4,Preisindex,3,FALSE)/VLOOKUP(Preisindex!$A$6,Preisindex,3,FALSE),2),IF(AND($E40&lt;&gt;0,$F40&gt;0,YEAR($F40)&lt;Preisindex!$A$6,YEAR(EC$4)&gt;=YEAR($F40),$K40="g"),ROUND(VLOOKUP(EH$4,Preisindex,4,FALSE)/VLOOKUP(Preisindex!$A$6,Preisindex,4,FALSE),2),IF(AND($E40&lt;&gt;0,$F40&gt;0,YEAR($F40)&lt;Preisindex!$A$6,YEAR(EC$4)&gt;=YEAR($F40),$K40="k"),ROUND(VLOOKUP(EH$4,Preisindex,2,FALSE)/VLOOKUP(Preisindex!$A$6,Preisindex,2,FALSE),2),0)))))</f>
        <v>0</v>
      </c>
      <c r="EJ40" s="51">
        <f>IF(AND($E40&lt;&gt;0,$F40&gt;0,YEAR($F40)&lt;=EH$4,YEAR($F40)&gt;=Preisindex!$A$6),ROUND($E40*EH40,2),IF(AND($E40&lt;&gt;0,$F40&gt;0,YEAR($F40)&lt;=EH$4,YEAR($F40)&lt;Preisindex!$A$6),ROUND($E40*EI40,2),0))</f>
        <v>0</v>
      </c>
      <c r="EK40" s="53">
        <f t="shared" si="227"/>
        <v>0</v>
      </c>
      <c r="EL40" s="51">
        <f t="shared" si="358"/>
        <v>0</v>
      </c>
      <c r="EM40" s="51">
        <f t="shared" si="347"/>
        <v>0</v>
      </c>
      <c r="EN40" s="51">
        <f t="shared" si="230"/>
        <v>0</v>
      </c>
      <c r="EO40" s="51">
        <f t="shared" si="348"/>
        <v>0</v>
      </c>
      <c r="EP40" s="51">
        <f t="shared" si="232"/>
        <v>0</v>
      </c>
      <c r="EQ40" s="51">
        <f t="shared" si="349"/>
        <v>0</v>
      </c>
      <c r="ER40" s="51">
        <f t="shared" si="234"/>
        <v>0</v>
      </c>
      <c r="ES40" s="51">
        <f t="shared" si="350"/>
        <v>0</v>
      </c>
      <c r="ET40" s="51">
        <f t="shared" si="236"/>
        <v>0</v>
      </c>
      <c r="EU40" s="51">
        <f t="shared" si="351"/>
        <v>0</v>
      </c>
      <c r="EV40" s="51">
        <f t="shared" si="238"/>
        <v>0</v>
      </c>
      <c r="EW40" s="54">
        <f t="shared" si="239"/>
        <v>0</v>
      </c>
      <c r="EX40" s="55">
        <f t="shared" si="240"/>
        <v>0</v>
      </c>
      <c r="EY40" s="56">
        <f>IF(AND($E40&lt;&gt;0,$F40&gt;0,YEAR($F40)&gt;=Preisindex!$A$6,YEAR(ET$4)&gt;=YEAR($F40),AND($K40&lt;&gt;"a",$K40&lt;&gt;"b",$K40&lt;&gt;"g",$K40&lt;&gt;"k")),1,IF(AND($E40&lt;&gt;0,$F40&gt;0,YEAR($F40)&gt;=Preisindex!$A$6,YEAR(ET$4)&gt;=YEAR($F40),$K40="a"),ROUND(VLOOKUP(EY$4,Preisindex,5,FALSE)/VLOOKUP(YEAR($F40),Preisindex,5,FALSE),2),IF(AND($E40&lt;&gt;0,$F40&gt;0,YEAR($F40)&gt;=Preisindex!$A$6,YEAR(ET$4)&gt;=YEAR($F40),$K40="b"),ROUND(VLOOKUP(EY$4,Preisindex,3,FALSE)/VLOOKUP(YEAR($F40),Preisindex,3,FALSE),2),IF(AND($E40&lt;&gt;0,$F40&gt;0,YEAR($F40)&gt;=Preisindex!$A$6,YEAR(ET$4)&gt;=YEAR($F40),$K40="g"),ROUND(VLOOKUP(EY$4,Preisindex,4,FALSE)/VLOOKUP(YEAR($F40),Preisindex,4,FALSE),2),IF(AND($E40&lt;&gt;0,$F40&gt;0,YEAR($F40)&gt;=Preisindex!$A$6,YEAR(ET$4)&gt;=YEAR($F40),$K40="k"),ROUND(VLOOKUP(EY$4,Preisindex,2,FALSE)/VLOOKUP(YEAR($F40),Preisindex,2,FALSE),2),0)))))</f>
        <v>0</v>
      </c>
      <c r="EZ40" s="56">
        <f>IF(AND($E40&lt;&gt;0,$F40&gt;0,YEAR($F40)&lt;Preisindex!$A$6,YEAR(ET$4)&gt;=YEAR($F40),AND($K40&lt;&gt;"a",$K40&lt;&gt;"b",$K40&lt;&gt;"g",$K40&lt;&gt;"k")),1,IF(AND($E40&lt;&gt;0,$F40&gt;0,YEAR($F40)&lt;Preisindex!$A$6,YEAR(ET$4)&gt;=YEAR($F40),$K40="a"),ROUND(VLOOKUP(EY$4,Preisindex,5,FALSE)/VLOOKUP(Preisindex!$A$6,Preisindex,5,FALSE),2),IF(AND($E40&lt;&gt;0,$F40&gt;0,YEAR($F40)&lt;Preisindex!$A$6,YEAR(ET$4)&gt;=YEAR($F40),$K40="b"),ROUND(VLOOKUP(EY$4,Preisindex,3,FALSE)/VLOOKUP(Preisindex!$A$6,Preisindex,3,FALSE),2),IF(AND($E40&lt;&gt;0,$F40&gt;0,YEAR($F40)&lt;Preisindex!$A$6,YEAR(ET$4)&gt;=YEAR($F40),$K40="g"),ROUND(VLOOKUP(EY$4,Preisindex,4,FALSE)/VLOOKUP(Preisindex!$A$6,Preisindex,4,FALSE),2),IF(AND($E40&lt;&gt;0,$F40&gt;0,YEAR($F40)&lt;Preisindex!$A$6,YEAR(ET$4)&gt;=YEAR($F40),$K40="k"),ROUND(VLOOKUP(EY$4,Preisindex,2,FALSE)/VLOOKUP(Preisindex!$A$6,Preisindex,2,FALSE),2),0)))))</f>
        <v>0</v>
      </c>
      <c r="FA40" s="51">
        <f>IF(AND($E40&lt;&gt;0,$F40&gt;0,YEAR($F40)&lt;=EY$4,YEAR($F40)&gt;=Preisindex!$A$6),ROUND($E40*EY40,2),IF(AND($E40&lt;&gt;0,$F40&gt;0,YEAR($F40)&lt;=EY$4,YEAR($F40)&lt;Preisindex!$A$6),ROUND($E40*EZ40,2),0))</f>
        <v>0</v>
      </c>
      <c r="FB40" s="53">
        <f t="shared" si="241"/>
        <v>0</v>
      </c>
      <c r="FC40" s="51">
        <f t="shared" si="358"/>
        <v>0</v>
      </c>
      <c r="FD40" s="51">
        <f t="shared" si="352"/>
        <v>0</v>
      </c>
      <c r="FE40" s="51">
        <f t="shared" si="244"/>
        <v>0</v>
      </c>
      <c r="FF40" s="51">
        <f t="shared" si="353"/>
        <v>0</v>
      </c>
      <c r="FG40" s="51">
        <f t="shared" si="246"/>
        <v>0</v>
      </c>
      <c r="FH40" s="51">
        <f t="shared" si="354"/>
        <v>0</v>
      </c>
      <c r="FI40" s="51">
        <f t="shared" si="248"/>
        <v>0</v>
      </c>
      <c r="FJ40" s="51">
        <f t="shared" si="355"/>
        <v>0</v>
      </c>
      <c r="FK40" s="51">
        <f t="shared" si="250"/>
        <v>0</v>
      </c>
      <c r="FL40" s="51">
        <f t="shared" si="356"/>
        <v>0</v>
      </c>
      <c r="FM40" s="51">
        <f t="shared" si="252"/>
        <v>0</v>
      </c>
      <c r="FN40" s="54">
        <f t="shared" si="253"/>
        <v>0</v>
      </c>
      <c r="FO40" s="55">
        <f t="shared" si="254"/>
        <v>0</v>
      </c>
      <c r="FP40" s="56">
        <f>IF(AND($E40&lt;&gt;0,$F40&gt;0,YEAR($F40)&gt;=Preisindex!$A$6,YEAR(FK$4)&gt;=YEAR($F40),AND($K40&lt;&gt;"a",$K40&lt;&gt;"b",$K40&lt;&gt;"g",$K40&lt;&gt;"k")),1,IF(AND($E40&lt;&gt;0,$F40&gt;0,YEAR($F40)&gt;=Preisindex!$A$6,YEAR(FK$4)&gt;=YEAR($F40),$K40="a"),ROUND(VLOOKUP(FP$4,Preisindex,5,FALSE)/VLOOKUP(YEAR($F40),Preisindex,5,FALSE),2),IF(AND($E40&lt;&gt;0,$F40&gt;0,YEAR($F40)&gt;=Preisindex!$A$6,YEAR(FK$4)&gt;=YEAR($F40),$K40="b"),ROUND(VLOOKUP(FP$4,Preisindex,3,FALSE)/VLOOKUP(YEAR($F40),Preisindex,3,FALSE),2),IF(AND($E40&lt;&gt;0,$F40&gt;0,YEAR($F40)&gt;=Preisindex!$A$6,YEAR(FK$4)&gt;=YEAR($F40),$K40="g"),ROUND(VLOOKUP(FP$4,Preisindex,4,FALSE)/VLOOKUP(YEAR($F40),Preisindex,4,FALSE),2),IF(AND($E40&lt;&gt;0,$F40&gt;0,YEAR($F40)&gt;=Preisindex!$A$6,YEAR(FK$4)&gt;=YEAR($F40),$K40="k"),ROUND(VLOOKUP(FP$4,Preisindex,2,FALSE)/VLOOKUP(YEAR($F40),Preisindex,2,FALSE),2),0)))))</f>
        <v>0</v>
      </c>
      <c r="FQ40" s="56">
        <f>IF(AND($E40&lt;&gt;0,$F40&gt;0,YEAR($F40)&lt;Preisindex!$A$6,YEAR(FK$4)&gt;=YEAR($F40),AND($K40&lt;&gt;"a",$K40&lt;&gt;"b",$K40&lt;&gt;"g",$K40&lt;&gt;"k")),1,IF(AND($E40&lt;&gt;0,$F40&gt;0,YEAR($F40)&lt;Preisindex!$A$6,YEAR(FK$4)&gt;=YEAR($F40),$K40="a"),ROUND(VLOOKUP(FP$4,Preisindex,5,FALSE)/VLOOKUP(Preisindex!$A$6,Preisindex,5,FALSE),2),IF(AND($E40&lt;&gt;0,$F40&gt;0,YEAR($F40)&lt;Preisindex!$A$6,YEAR(FK$4)&gt;=YEAR($F40),$K40="b"),ROUND(VLOOKUP(FP$4,Preisindex,3,FALSE)/VLOOKUP(Preisindex!$A$6,Preisindex,3,FALSE),2),IF(AND($E40&lt;&gt;0,$F40&gt;0,YEAR($F40)&lt;Preisindex!$A$6,YEAR(FK$4)&gt;=YEAR($F40),$K40="g"),ROUND(VLOOKUP(FP$4,Preisindex,4,FALSE)/VLOOKUP(Preisindex!$A$6,Preisindex,4,FALSE),2),IF(AND($E40&lt;&gt;0,$F40&gt;0,YEAR($F40)&lt;Preisindex!$A$6,YEAR(FK$4)&gt;=YEAR($F40),$K40="k"),ROUND(VLOOKUP(FP$4,Preisindex,2,FALSE)/VLOOKUP(Preisindex!$A$6,Preisindex,2,FALSE),2),0)))))</f>
        <v>0</v>
      </c>
      <c r="FR40" s="51">
        <f>IF(AND($E40&lt;&gt;0,$F40&gt;0,YEAR($F40)&lt;=FP$4,YEAR($F40)&gt;=Preisindex!$A$6),ROUND($E40*FP40,2),IF(AND($E40&lt;&gt;0,$F40&gt;0,YEAR($F40)&lt;=FP$4,YEAR($F40)&lt;Preisindex!$A$6),ROUND($E40*FQ40,2),0))</f>
        <v>0</v>
      </c>
      <c r="FS40" s="53">
        <f t="shared" si="255"/>
        <v>0</v>
      </c>
    </row>
    <row r="41" spans="1:175" x14ac:dyDescent="0.3">
      <c r="A41" s="195">
        <v>1998</v>
      </c>
      <c r="B41" s="196" t="s">
        <v>228</v>
      </c>
      <c r="C41" s="196"/>
      <c r="D41" s="188" t="s">
        <v>15</v>
      </c>
      <c r="E41" s="99">
        <v>2420000</v>
      </c>
      <c r="F41" s="97">
        <v>35977</v>
      </c>
      <c r="G41" s="100">
        <v>50</v>
      </c>
      <c r="H41" s="622"/>
      <c r="I41" s="621"/>
      <c r="J41" s="194"/>
      <c r="K41" s="630" t="s">
        <v>266</v>
      </c>
      <c r="L41" s="49">
        <f t="shared" si="296"/>
        <v>0.02</v>
      </c>
      <c r="M41" s="50">
        <f t="shared" si="297"/>
        <v>48400</v>
      </c>
      <c r="N41" s="51">
        <f t="shared" si="298"/>
        <v>1766600</v>
      </c>
      <c r="O41" s="51"/>
      <c r="P41" s="51">
        <f t="shared" si="299"/>
        <v>653400</v>
      </c>
      <c r="Q41" s="52"/>
      <c r="R41" s="52"/>
      <c r="S41" s="52"/>
      <c r="T41" s="52"/>
      <c r="U41" s="52"/>
      <c r="V41" s="53">
        <f t="shared" si="300"/>
        <v>2420000</v>
      </c>
      <c r="W41" s="51">
        <f t="shared" si="301"/>
        <v>0</v>
      </c>
      <c r="X41" s="51">
        <f t="shared" si="302"/>
        <v>0</v>
      </c>
      <c r="Y41" s="51">
        <f t="shared" si="303"/>
        <v>0</v>
      </c>
      <c r="Z41" s="51">
        <f t="shared" si="304"/>
        <v>0</v>
      </c>
      <c r="AA41" s="51">
        <f t="shared" si="305"/>
        <v>2420000</v>
      </c>
      <c r="AB41" s="51">
        <f t="shared" si="306"/>
        <v>2420000</v>
      </c>
      <c r="AC41" s="51">
        <f t="shared" si="307"/>
        <v>48400</v>
      </c>
      <c r="AD41" s="51">
        <f t="shared" si="308"/>
        <v>48400</v>
      </c>
      <c r="AE41" s="51">
        <f t="shared" si="309"/>
        <v>1718200</v>
      </c>
      <c r="AF41" s="51">
        <f t="shared" si="310"/>
        <v>1718200</v>
      </c>
      <c r="AG41" s="51">
        <f t="shared" si="311"/>
        <v>701800</v>
      </c>
      <c r="AH41" s="54">
        <f t="shared" si="312"/>
        <v>0</v>
      </c>
      <c r="AI41" s="55">
        <f t="shared" si="313"/>
        <v>0</v>
      </c>
      <c r="AJ41" s="56">
        <f>IF(AND($E41&lt;&gt;0,$F41&gt;0,YEAR($F41)&gt;=Preisindex!$A$6,YEAR(AE$4)&gt;=YEAR($F41),AND($K41&lt;&gt;"a",$K41&lt;&gt;"b",$K41&lt;&gt;"g",$K41&lt;&gt;"k")),1,IF(AND($E41&lt;&gt;0,$F41&gt;0,YEAR($F41)&gt;=Preisindex!$A$6,YEAR(AE$4)&gt;=YEAR($F41),$K41="a"),ROUND(VLOOKUP(AJ$4,Preisindex,5,FALSE)/VLOOKUP(YEAR($F41),Preisindex,5,FALSE),2),IF(AND($E41&lt;&gt;0,$F41&gt;0,YEAR($F41)&gt;=Preisindex!$A$6,YEAR(AE$4)&gt;=YEAR($F41),$K41="b"),ROUND(VLOOKUP(AJ$4,Preisindex,3,FALSE)/VLOOKUP(YEAR($F41),Preisindex,3,FALSE),2),IF(AND($E41&lt;&gt;0,$F41&gt;0,YEAR($F41)&gt;=Preisindex!$A$6,YEAR(AE$4)&gt;=YEAR($F41),$K41="g"),ROUND(VLOOKUP(AJ$4,Preisindex,4,FALSE)/VLOOKUP(YEAR($F41),Preisindex,4,FALSE),2),IF(AND($E41&lt;&gt;0,$F41&gt;0,YEAR($F41)&gt;=Preisindex!$A$6,YEAR(AE$4)&gt;=YEAR($F41),$K41="k"),ROUND(VLOOKUP(AJ$4,Preisindex,2,FALSE)/VLOOKUP(YEAR($F41),Preisindex,2,FALSE),2),0)))))</f>
        <v>1.25</v>
      </c>
      <c r="AK41" s="56">
        <f>IF(AND($E41&lt;&gt;0,$F41&gt;0,YEAR($F41)&lt;Preisindex!$A$6,YEAR(AE$4)&gt;=YEAR($F41),AND($K41&lt;&gt;"a",$K41&lt;&gt;"b",$K41&lt;&gt;"g",$K41&lt;&gt;"k")),1,IF(AND($E41&lt;&gt;0,$F41&gt;0,YEAR($F41)&lt;Preisindex!$A$6,YEAR(AE$4)&gt;=YEAR($F41),$K41="a"),ROUND(VLOOKUP(AJ$4,Preisindex,5,FALSE)/VLOOKUP(Preisindex!$A$6,Preisindex,5,FALSE),2),IF(AND($E41&lt;&gt;0,$F41&gt;0,YEAR($F41)&lt;Preisindex!$A$6,YEAR(AE$4)&gt;=YEAR($F41),$K41="b"),ROUND(VLOOKUP(AJ$4,Preisindex,3,FALSE)/VLOOKUP(Preisindex!$A$6,Preisindex,3,FALSE),2),IF(AND($E41&lt;&gt;0,$F41&gt;0,YEAR($F41)&lt;Preisindex!$A$6,YEAR(AE$4)&gt;=YEAR($F41),$K41="g"),ROUND(VLOOKUP(AJ$4,Preisindex,4,FALSE)/VLOOKUP(Preisindex!$A$6,Preisindex,4,FALSE),2),IF(AND($E41&lt;&gt;0,$F41&gt;0,YEAR($F41)&lt;Preisindex!$A$6,YEAR(AE$4)&gt;=YEAR($F41),$K41="k"),ROUND(VLOOKUP(AJ$4,Preisindex,2,FALSE)/VLOOKUP(Preisindex!$A$6,Preisindex,2,FALSE),2),0)))))</f>
        <v>0</v>
      </c>
      <c r="AL41" s="51">
        <f>IF(AND($E41&lt;&gt;0,$F41&gt;0,YEAR($F41)&lt;=AJ$4,YEAR($F41)&gt;=Preisindex!$A$6),ROUND($E41*AJ41,2),IF(AND($E41&lt;&gt;0,$F41&gt;0,YEAR($F41)&lt;=AJ$4,YEAR($F41)&lt;Preisindex!$A$6),ROUND($E41*AK41,2),0))</f>
        <v>3025000</v>
      </c>
      <c r="AM41" s="53">
        <f t="shared" si="314"/>
        <v>60500</v>
      </c>
      <c r="AN41" s="51">
        <f t="shared" si="357"/>
        <v>0</v>
      </c>
      <c r="AO41" s="51">
        <f t="shared" si="317"/>
        <v>0</v>
      </c>
      <c r="AP41" s="51">
        <f t="shared" si="146"/>
        <v>0</v>
      </c>
      <c r="AQ41" s="51">
        <f t="shared" si="318"/>
        <v>0</v>
      </c>
      <c r="AR41" s="51">
        <f t="shared" si="148"/>
        <v>2420000</v>
      </c>
      <c r="AS41" s="51">
        <f t="shared" si="319"/>
        <v>2420000</v>
      </c>
      <c r="AT41" s="51">
        <f t="shared" si="150"/>
        <v>48400</v>
      </c>
      <c r="AU41" s="51">
        <f t="shared" si="320"/>
        <v>48400</v>
      </c>
      <c r="AV41" s="51">
        <f t="shared" si="152"/>
        <v>1669800</v>
      </c>
      <c r="AW41" s="51">
        <f t="shared" si="321"/>
        <v>1669800</v>
      </c>
      <c r="AX41" s="51">
        <f t="shared" si="154"/>
        <v>750200</v>
      </c>
      <c r="AY41" s="54">
        <f t="shared" si="155"/>
        <v>0</v>
      </c>
      <c r="AZ41" s="55">
        <f t="shared" si="156"/>
        <v>0</v>
      </c>
      <c r="BA41" s="56">
        <f>IF(AND($E41&lt;&gt;0,$F41&gt;0,YEAR($F41)&gt;=Preisindex!$A$6,YEAR(AV$4)&gt;=YEAR($F41),AND($K41&lt;&gt;"a",$K41&lt;&gt;"b",$K41&lt;&gt;"g",$K41&lt;&gt;"k")),1,IF(AND($E41&lt;&gt;0,$F41&gt;0,YEAR($F41)&gt;=Preisindex!$A$6,YEAR(AV$4)&gt;=YEAR($F41),$K41="a"),ROUND(VLOOKUP(BA$4,Preisindex,5,FALSE)/VLOOKUP(YEAR($F41),Preisindex,5,FALSE),2),IF(AND($E41&lt;&gt;0,$F41&gt;0,YEAR($F41)&gt;=Preisindex!$A$6,YEAR(AV$4)&gt;=YEAR($F41),$K41="b"),ROUND(VLOOKUP(BA$4,Preisindex,3,FALSE)/VLOOKUP(YEAR($F41),Preisindex,3,FALSE),2),IF(AND($E41&lt;&gt;0,$F41&gt;0,YEAR($F41)&gt;=Preisindex!$A$6,YEAR(AV$4)&gt;=YEAR($F41),$K41="g"),ROUND(VLOOKUP(BA$4,Preisindex,4,FALSE)/VLOOKUP(YEAR($F41),Preisindex,4,FALSE),2),IF(AND($E41&lt;&gt;0,$F41&gt;0,YEAR($F41)&gt;=Preisindex!$A$6,YEAR(AV$4)&gt;=YEAR($F41),$K41="k"),ROUND(VLOOKUP(BA$4,Preisindex,2,FALSE)/VLOOKUP(YEAR($F41),Preisindex,2,FALSE),2),0)))))</f>
        <v>1.28</v>
      </c>
      <c r="BB41" s="56">
        <f>IF(AND($E41&lt;&gt;0,$F41&gt;0,YEAR($F41)&lt;Preisindex!$A$6,YEAR(AV$4)&gt;=YEAR($F41),AND($K41&lt;&gt;"a",$K41&lt;&gt;"b",$K41&lt;&gt;"g",$K41&lt;&gt;"k")),1,IF(AND($E41&lt;&gt;0,$F41&gt;0,YEAR($F41)&lt;Preisindex!$A$6,YEAR(AV$4)&gt;=YEAR($F41),$K41="a"),ROUND(VLOOKUP(BA$4,Preisindex,5,FALSE)/VLOOKUP(Preisindex!$A$6,Preisindex,5,FALSE),2),IF(AND($E41&lt;&gt;0,$F41&gt;0,YEAR($F41)&lt;Preisindex!$A$6,YEAR(AV$4)&gt;=YEAR($F41),$K41="b"),ROUND(VLOOKUP(BA$4,Preisindex,3,FALSE)/VLOOKUP(Preisindex!$A$6,Preisindex,3,FALSE),2),IF(AND($E41&lt;&gt;0,$F41&gt;0,YEAR($F41)&lt;Preisindex!$A$6,YEAR(AV$4)&gt;=YEAR($F41),$K41="g"),ROUND(VLOOKUP(BA$4,Preisindex,4,FALSE)/VLOOKUP(Preisindex!$A$6,Preisindex,4,FALSE),2),IF(AND($E41&lt;&gt;0,$F41&gt;0,YEAR($F41)&lt;Preisindex!$A$6,YEAR(AV$4)&gt;=YEAR($F41),$K41="k"),ROUND(VLOOKUP(BA$4,Preisindex,2,FALSE)/VLOOKUP(Preisindex!$A$6,Preisindex,2,FALSE),2),0)))))</f>
        <v>0</v>
      </c>
      <c r="BC41" s="51">
        <f>IF(AND($E41&lt;&gt;0,$F41&gt;0,YEAR($F41)&lt;=BA$4,YEAR($F41)&gt;=Preisindex!$A$6),ROUND($E41*BA41,2),IF(AND($E41&lt;&gt;0,$F41&gt;0,YEAR($F41)&lt;=BA$4,YEAR($F41)&lt;Preisindex!$A$6),ROUND($E41*BB41,2),0))</f>
        <v>3097600</v>
      </c>
      <c r="BD41" s="53">
        <f t="shared" si="157"/>
        <v>61952</v>
      </c>
      <c r="BE41" s="51">
        <f t="shared" si="357"/>
        <v>0</v>
      </c>
      <c r="BF41" s="51">
        <f t="shared" si="322"/>
        <v>0</v>
      </c>
      <c r="BG41" s="51">
        <f t="shared" si="160"/>
        <v>0</v>
      </c>
      <c r="BH41" s="51">
        <f t="shared" si="323"/>
        <v>0</v>
      </c>
      <c r="BI41" s="51">
        <f t="shared" si="162"/>
        <v>2420000</v>
      </c>
      <c r="BJ41" s="51">
        <f t="shared" si="324"/>
        <v>2420000</v>
      </c>
      <c r="BK41" s="51">
        <f t="shared" si="164"/>
        <v>48400</v>
      </c>
      <c r="BL41" s="51">
        <f t="shared" si="325"/>
        <v>48400</v>
      </c>
      <c r="BM41" s="51">
        <f t="shared" si="166"/>
        <v>1621400</v>
      </c>
      <c r="BN41" s="51">
        <f t="shared" si="326"/>
        <v>1621400</v>
      </c>
      <c r="BO41" s="51">
        <f t="shared" si="168"/>
        <v>798600</v>
      </c>
      <c r="BP41" s="54">
        <f t="shared" si="169"/>
        <v>0</v>
      </c>
      <c r="BQ41" s="55">
        <f t="shared" si="170"/>
        <v>0</v>
      </c>
      <c r="BR41" s="56">
        <f>IF(AND($E41&lt;&gt;0,$F41&gt;0,YEAR($F41)&gt;=Preisindex!$A$6,YEAR(BM$4)&gt;=YEAR($F41),AND($K41&lt;&gt;"a",$K41&lt;&gt;"b",$K41&lt;&gt;"g",$K41&lt;&gt;"k")),1,IF(AND($E41&lt;&gt;0,$F41&gt;0,YEAR($F41)&gt;=Preisindex!$A$6,YEAR(BM$4)&gt;=YEAR($F41),$K41="a"),ROUND(VLOOKUP(BR$4,Preisindex,5,FALSE)/VLOOKUP(YEAR($F41),Preisindex,5,FALSE),2),IF(AND($E41&lt;&gt;0,$F41&gt;0,YEAR($F41)&gt;=Preisindex!$A$6,YEAR(BM$4)&gt;=YEAR($F41),$K41="b"),ROUND(VLOOKUP(BR$4,Preisindex,3,FALSE)/VLOOKUP(YEAR($F41),Preisindex,3,FALSE),2),IF(AND($E41&lt;&gt;0,$F41&gt;0,YEAR($F41)&gt;=Preisindex!$A$6,YEAR(BM$4)&gt;=YEAR($F41),$K41="g"),ROUND(VLOOKUP(BR$4,Preisindex,4,FALSE)/VLOOKUP(YEAR($F41),Preisindex,4,FALSE),2),IF(AND($E41&lt;&gt;0,$F41&gt;0,YEAR($F41)&gt;=Preisindex!$A$6,YEAR(BM$4)&gt;=YEAR($F41),$K41="k"),ROUND(VLOOKUP(BR$4,Preisindex,2,FALSE)/VLOOKUP(YEAR($F41),Preisindex,2,FALSE),2),0)))))</f>
        <v>1.3</v>
      </c>
      <c r="BS41" s="56">
        <f>IF(AND($E41&lt;&gt;0,$F41&gt;0,YEAR($F41)&lt;Preisindex!$A$6,YEAR(BM$4)&gt;=YEAR($F41),AND($K41&lt;&gt;"a",$K41&lt;&gt;"b",$K41&lt;&gt;"g",$K41&lt;&gt;"k")),1,IF(AND($E41&lt;&gt;0,$F41&gt;0,YEAR($F41)&lt;Preisindex!$A$6,YEAR(BM$4)&gt;=YEAR($F41),$K41="a"),ROUND(VLOOKUP(BR$4,Preisindex,5,FALSE)/VLOOKUP(Preisindex!$A$6,Preisindex,5,FALSE),2),IF(AND($E41&lt;&gt;0,$F41&gt;0,YEAR($F41)&lt;Preisindex!$A$6,YEAR(BM$4)&gt;=YEAR($F41),$K41="b"),ROUND(VLOOKUP(BR$4,Preisindex,3,FALSE)/VLOOKUP(Preisindex!$A$6,Preisindex,3,FALSE),2),IF(AND($E41&lt;&gt;0,$F41&gt;0,YEAR($F41)&lt;Preisindex!$A$6,YEAR(BM$4)&gt;=YEAR($F41),$K41="g"),ROUND(VLOOKUP(BR$4,Preisindex,4,FALSE)/VLOOKUP(Preisindex!$A$6,Preisindex,4,FALSE),2),IF(AND($E41&lt;&gt;0,$F41&gt;0,YEAR($F41)&lt;Preisindex!$A$6,YEAR(BM$4)&gt;=YEAR($F41),$K41="k"),ROUND(VLOOKUP(BR$4,Preisindex,2,FALSE)/VLOOKUP(Preisindex!$A$6,Preisindex,2,FALSE),2),0)))))</f>
        <v>0</v>
      </c>
      <c r="BT41" s="51">
        <f>IF(AND($E41&lt;&gt;0,$F41&gt;0,YEAR($F41)&lt;=BR$4,YEAR($F41)&gt;=Preisindex!$A$6),ROUND($E41*BR41,2),IF(AND($E41&lt;&gt;0,$F41&gt;0,YEAR($F41)&lt;=BR$4,YEAR($F41)&lt;Preisindex!$A$6),ROUND($E41*BS41,2),0))</f>
        <v>3146000</v>
      </c>
      <c r="BU41" s="53">
        <f t="shared" si="171"/>
        <v>62920</v>
      </c>
      <c r="BV41" s="51">
        <f t="shared" si="357"/>
        <v>0</v>
      </c>
      <c r="BW41" s="51">
        <f t="shared" si="327"/>
        <v>0</v>
      </c>
      <c r="BX41" s="51">
        <f t="shared" si="174"/>
        <v>0</v>
      </c>
      <c r="BY41" s="51">
        <f t="shared" si="328"/>
        <v>0</v>
      </c>
      <c r="BZ41" s="51">
        <f t="shared" si="176"/>
        <v>2420000</v>
      </c>
      <c r="CA41" s="51">
        <f t="shared" si="329"/>
        <v>2420000</v>
      </c>
      <c r="CB41" s="51">
        <f t="shared" si="178"/>
        <v>48400</v>
      </c>
      <c r="CC41" s="51">
        <f t="shared" si="330"/>
        <v>48400</v>
      </c>
      <c r="CD41" s="51">
        <f t="shared" si="180"/>
        <v>1573000</v>
      </c>
      <c r="CE41" s="51">
        <f t="shared" si="331"/>
        <v>1573000</v>
      </c>
      <c r="CF41" s="51">
        <f t="shared" si="182"/>
        <v>847000</v>
      </c>
      <c r="CG41" s="54">
        <f t="shared" si="183"/>
        <v>0</v>
      </c>
      <c r="CH41" s="55">
        <f t="shared" si="184"/>
        <v>0</v>
      </c>
      <c r="CI41" s="56">
        <f>IF(AND($E41&lt;&gt;0,$F41&gt;0,YEAR($F41)&gt;=Preisindex!$A$6,YEAR(CD$4)&gt;=YEAR($F41),AND($K41&lt;&gt;"a",$K41&lt;&gt;"b",$K41&lt;&gt;"g",$K41&lt;&gt;"k")),1,IF(AND($E41&lt;&gt;0,$F41&gt;0,YEAR($F41)&gt;=Preisindex!$A$6,YEAR(CD$4)&gt;=YEAR($F41),$K41="a"),ROUND(VLOOKUP(CI$4,Preisindex,5,FALSE)/VLOOKUP(YEAR($F41),Preisindex,5,FALSE),2),IF(AND($E41&lt;&gt;0,$F41&gt;0,YEAR($F41)&gt;=Preisindex!$A$6,YEAR(CD$4)&gt;=YEAR($F41),$K41="b"),ROUND(VLOOKUP(CI$4,Preisindex,3,FALSE)/VLOOKUP(YEAR($F41),Preisindex,3,FALSE),2),IF(AND($E41&lt;&gt;0,$F41&gt;0,YEAR($F41)&gt;=Preisindex!$A$6,YEAR(CD$4)&gt;=YEAR($F41),$K41="g"),ROUND(VLOOKUP(CI$4,Preisindex,4,FALSE)/VLOOKUP(YEAR($F41),Preisindex,4,FALSE),2),IF(AND($E41&lt;&gt;0,$F41&gt;0,YEAR($F41)&gt;=Preisindex!$A$6,YEAR(CD$4)&gt;=YEAR($F41),$K41="k"),ROUND(VLOOKUP(CI$4,Preisindex,2,FALSE)/VLOOKUP(YEAR($F41),Preisindex,2,FALSE),2),0)))))</f>
        <v>1.31</v>
      </c>
      <c r="CJ41" s="56">
        <f>IF(AND($E41&lt;&gt;0,$F41&gt;0,YEAR($F41)&lt;Preisindex!$A$6,YEAR(CD$4)&gt;=YEAR($F41),AND($K41&lt;&gt;"a",$K41&lt;&gt;"b",$K41&lt;&gt;"g",$K41&lt;&gt;"k")),1,IF(AND($E41&lt;&gt;0,$F41&gt;0,YEAR($F41)&lt;Preisindex!$A$6,YEAR(CD$4)&gt;=YEAR($F41),$K41="a"),ROUND(VLOOKUP(CI$4,Preisindex,5,FALSE)/VLOOKUP(Preisindex!$A$6,Preisindex,5,FALSE),2),IF(AND($E41&lt;&gt;0,$F41&gt;0,YEAR($F41)&lt;Preisindex!$A$6,YEAR(CD$4)&gt;=YEAR($F41),$K41="b"),ROUND(VLOOKUP(CI$4,Preisindex,3,FALSE)/VLOOKUP(Preisindex!$A$6,Preisindex,3,FALSE),2),IF(AND($E41&lt;&gt;0,$F41&gt;0,YEAR($F41)&lt;Preisindex!$A$6,YEAR(CD$4)&gt;=YEAR($F41),$K41="g"),ROUND(VLOOKUP(CI$4,Preisindex,4,FALSE)/VLOOKUP(Preisindex!$A$6,Preisindex,4,FALSE),2),IF(AND($E41&lt;&gt;0,$F41&gt;0,YEAR($F41)&lt;Preisindex!$A$6,YEAR(CD$4)&gt;=YEAR($F41),$K41="k"),ROUND(VLOOKUP(CI$4,Preisindex,2,FALSE)/VLOOKUP(Preisindex!$A$6,Preisindex,2,FALSE),2),0)))))</f>
        <v>0</v>
      </c>
      <c r="CK41" s="51">
        <f>IF(AND($E41&lt;&gt;0,$F41&gt;0,YEAR($F41)&lt;=CI$4,YEAR($F41)&gt;=Preisindex!$A$6),ROUND($E41*CI41,2),IF(AND($E41&lt;&gt;0,$F41&gt;0,YEAR($F41)&lt;=CI$4,YEAR($F41)&lt;Preisindex!$A$6),ROUND($E41*CJ41,2),0))</f>
        <v>3170200</v>
      </c>
      <c r="CL41" s="53">
        <f t="shared" si="185"/>
        <v>63404</v>
      </c>
      <c r="CM41" s="51">
        <f t="shared" si="357"/>
        <v>0</v>
      </c>
      <c r="CN41" s="51">
        <f t="shared" si="332"/>
        <v>0</v>
      </c>
      <c r="CO41" s="51">
        <f t="shared" si="188"/>
        <v>0</v>
      </c>
      <c r="CP41" s="51">
        <f t="shared" si="333"/>
        <v>0</v>
      </c>
      <c r="CQ41" s="51">
        <f t="shared" si="190"/>
        <v>2420000</v>
      </c>
      <c r="CR41" s="51">
        <f t="shared" si="334"/>
        <v>2420000</v>
      </c>
      <c r="CS41" s="51">
        <f t="shared" si="192"/>
        <v>48400</v>
      </c>
      <c r="CT41" s="51">
        <f t="shared" si="335"/>
        <v>48400</v>
      </c>
      <c r="CU41" s="51">
        <f t="shared" si="194"/>
        <v>1524600</v>
      </c>
      <c r="CV41" s="51">
        <f t="shared" si="336"/>
        <v>1524600</v>
      </c>
      <c r="CW41" s="51">
        <f t="shared" si="196"/>
        <v>895400</v>
      </c>
      <c r="CX41" s="54">
        <f t="shared" si="197"/>
        <v>0</v>
      </c>
      <c r="CY41" s="55">
        <f t="shared" si="198"/>
        <v>0</v>
      </c>
      <c r="CZ41" s="56">
        <f>IF(AND($E41&lt;&gt;0,$F41&gt;0,YEAR($F41)&gt;=Preisindex!$A$6,YEAR(CU$4)&gt;=YEAR($F41),AND($K41&lt;&gt;"a",$K41&lt;&gt;"b",$K41&lt;&gt;"g",$K41&lt;&gt;"k")),1,IF(AND($E41&lt;&gt;0,$F41&gt;0,YEAR($F41)&gt;=Preisindex!$A$6,YEAR(CU$4)&gt;=YEAR($F41),$K41="a"),ROUND(VLOOKUP(CZ$4,Preisindex,5,FALSE)/VLOOKUP(YEAR($F41),Preisindex,5,FALSE),2),IF(AND($E41&lt;&gt;0,$F41&gt;0,YEAR($F41)&gt;=Preisindex!$A$6,YEAR(CU$4)&gt;=YEAR($F41),$K41="b"),ROUND(VLOOKUP(CZ$4,Preisindex,3,FALSE)/VLOOKUP(YEAR($F41),Preisindex,3,FALSE),2),IF(AND($E41&lt;&gt;0,$F41&gt;0,YEAR($F41)&gt;=Preisindex!$A$6,YEAR(CU$4)&gt;=YEAR($F41),$K41="g"),ROUND(VLOOKUP(CZ$4,Preisindex,4,FALSE)/VLOOKUP(YEAR($F41),Preisindex,4,FALSE),2),IF(AND($E41&lt;&gt;0,$F41&gt;0,YEAR($F41)&gt;=Preisindex!$A$6,YEAR(CU$4)&gt;=YEAR($F41),$K41="k"),ROUND(VLOOKUP(CZ$4,Preisindex,2,FALSE)/VLOOKUP(YEAR($F41),Preisindex,2,FALSE),2),0)))))</f>
        <v>1.34</v>
      </c>
      <c r="DA41" s="56">
        <f>IF(AND($E41&lt;&gt;0,$F41&gt;0,YEAR($F41)&lt;Preisindex!$A$6,YEAR(CU$4)&gt;=YEAR($F41),AND($K41&lt;&gt;"a",$K41&lt;&gt;"b",$K41&lt;&gt;"g",$K41&lt;&gt;"k")),1,IF(AND($E41&lt;&gt;0,$F41&gt;0,YEAR($F41)&lt;Preisindex!$A$6,YEAR(CU$4)&gt;=YEAR($F41),$K41="a"),ROUND(VLOOKUP(CZ$4,Preisindex,5,FALSE)/VLOOKUP(Preisindex!$A$6,Preisindex,5,FALSE),2),IF(AND($E41&lt;&gt;0,$F41&gt;0,YEAR($F41)&lt;Preisindex!$A$6,YEAR(CU$4)&gt;=YEAR($F41),$K41="b"),ROUND(VLOOKUP(CZ$4,Preisindex,3,FALSE)/VLOOKUP(Preisindex!$A$6,Preisindex,3,FALSE),2),IF(AND($E41&lt;&gt;0,$F41&gt;0,YEAR($F41)&lt;Preisindex!$A$6,YEAR(CU$4)&gt;=YEAR($F41),$K41="g"),ROUND(VLOOKUP(CZ$4,Preisindex,4,FALSE)/VLOOKUP(Preisindex!$A$6,Preisindex,4,FALSE),2),IF(AND($E41&lt;&gt;0,$F41&gt;0,YEAR($F41)&lt;Preisindex!$A$6,YEAR(CU$4)&gt;=YEAR($F41),$K41="k"),ROUND(VLOOKUP(CZ$4,Preisindex,2,FALSE)/VLOOKUP(Preisindex!$A$6,Preisindex,2,FALSE),2),0)))))</f>
        <v>0</v>
      </c>
      <c r="DB41" s="51">
        <f>IF(AND($E41&lt;&gt;0,$F41&gt;0,YEAR($F41)&lt;=CZ$4,YEAR($F41)&gt;=Preisindex!$A$6),ROUND($E41*CZ41,2),IF(AND($E41&lt;&gt;0,$F41&gt;0,YEAR($F41)&lt;=CZ$4,YEAR($F41)&lt;Preisindex!$A$6),ROUND($E41*DA41,2),0))</f>
        <v>3242800</v>
      </c>
      <c r="DC41" s="53">
        <f t="shared" si="199"/>
        <v>64856</v>
      </c>
      <c r="DD41" s="51">
        <f t="shared" si="358"/>
        <v>0</v>
      </c>
      <c r="DE41" s="51">
        <f t="shared" si="337"/>
        <v>0</v>
      </c>
      <c r="DF41" s="51">
        <f t="shared" si="202"/>
        <v>0</v>
      </c>
      <c r="DG41" s="51">
        <f t="shared" si="338"/>
        <v>0</v>
      </c>
      <c r="DH41" s="51">
        <f t="shared" si="204"/>
        <v>2420000</v>
      </c>
      <c r="DI41" s="51">
        <f t="shared" si="339"/>
        <v>2420000</v>
      </c>
      <c r="DJ41" s="51">
        <f t="shared" si="206"/>
        <v>48400</v>
      </c>
      <c r="DK41" s="51">
        <f t="shared" si="340"/>
        <v>48400</v>
      </c>
      <c r="DL41" s="51">
        <f t="shared" si="208"/>
        <v>1476200</v>
      </c>
      <c r="DM41" s="51">
        <f t="shared" si="341"/>
        <v>1476200</v>
      </c>
      <c r="DN41" s="51">
        <f t="shared" si="210"/>
        <v>943800</v>
      </c>
      <c r="DO41" s="54">
        <f t="shared" si="211"/>
        <v>0</v>
      </c>
      <c r="DP41" s="55">
        <f t="shared" si="212"/>
        <v>0</v>
      </c>
      <c r="DQ41" s="56">
        <f>IF(AND($E41&lt;&gt;0,$F41&gt;0,YEAR($F41)&gt;=Preisindex!$A$6,YEAR(DL$4)&gt;=YEAR($F41),AND($K41&lt;&gt;"a",$K41&lt;&gt;"b",$K41&lt;&gt;"g",$K41&lt;&gt;"k")),1,IF(AND($E41&lt;&gt;0,$F41&gt;0,YEAR($F41)&gt;=Preisindex!$A$6,YEAR(DL$4)&gt;=YEAR($F41),$K41="a"),ROUND(VLOOKUP(DQ$4,Preisindex,5,FALSE)/VLOOKUP(YEAR($F41),Preisindex,5,FALSE),2),IF(AND($E41&lt;&gt;0,$F41&gt;0,YEAR($F41)&gt;=Preisindex!$A$6,YEAR(DL$4)&gt;=YEAR($F41),$K41="b"),ROUND(VLOOKUP(DQ$4,Preisindex,3,FALSE)/VLOOKUP(YEAR($F41),Preisindex,3,FALSE),2),IF(AND($E41&lt;&gt;0,$F41&gt;0,YEAR($F41)&gt;=Preisindex!$A$6,YEAR(DL$4)&gt;=YEAR($F41),$K41="g"),ROUND(VLOOKUP(DQ$4,Preisindex,4,FALSE)/VLOOKUP(YEAR($F41),Preisindex,4,FALSE),2),IF(AND($E41&lt;&gt;0,$F41&gt;0,YEAR($F41)&gt;=Preisindex!$A$6,YEAR(DL$4)&gt;=YEAR($F41),$K41="k"),ROUND(VLOOKUP(DQ$4,Preisindex,2,FALSE)/VLOOKUP(YEAR($F41),Preisindex,2,FALSE),2),0)))))</f>
        <v>1.38</v>
      </c>
      <c r="DR41" s="56">
        <f>IF(AND($E41&lt;&gt;0,$F41&gt;0,YEAR($F41)&lt;Preisindex!$A$6,YEAR(DL$4)&gt;=YEAR($F41),AND($K41&lt;&gt;"a",$K41&lt;&gt;"b",$K41&lt;&gt;"g",$K41&lt;&gt;"k")),1,IF(AND($E41&lt;&gt;0,$F41&gt;0,YEAR($F41)&lt;Preisindex!$A$6,YEAR(DL$4)&gt;=YEAR($F41),$K41="a"),ROUND(VLOOKUP(DQ$4,Preisindex,5,FALSE)/VLOOKUP(Preisindex!$A$6,Preisindex,5,FALSE),2),IF(AND($E41&lt;&gt;0,$F41&gt;0,YEAR($F41)&lt;Preisindex!$A$6,YEAR(DL$4)&gt;=YEAR($F41),$K41="b"),ROUND(VLOOKUP(DQ$4,Preisindex,3,FALSE)/VLOOKUP(Preisindex!$A$6,Preisindex,3,FALSE),2),IF(AND($E41&lt;&gt;0,$F41&gt;0,YEAR($F41)&lt;Preisindex!$A$6,YEAR(DL$4)&gt;=YEAR($F41),$K41="g"),ROUND(VLOOKUP(DQ$4,Preisindex,4,FALSE)/VLOOKUP(Preisindex!$A$6,Preisindex,4,FALSE),2),IF(AND($E41&lt;&gt;0,$F41&gt;0,YEAR($F41)&lt;Preisindex!$A$6,YEAR(DL$4)&gt;=YEAR($F41),$K41="k"),ROUND(VLOOKUP(DQ$4,Preisindex,2,FALSE)/VLOOKUP(Preisindex!$A$6,Preisindex,2,FALSE),2),0)))))</f>
        <v>0</v>
      </c>
      <c r="DS41" s="51">
        <f>IF(AND($E41&lt;&gt;0,$F41&gt;0,YEAR($F41)&lt;=DQ$4,YEAR($F41)&gt;=Preisindex!$A$6),ROUND($E41*DQ41,2),IF(AND($E41&lt;&gt;0,$F41&gt;0,YEAR($F41)&lt;=DQ$4,YEAR($F41)&lt;Preisindex!$A$6),ROUND($E41*DR41,2),0))</f>
        <v>3339600</v>
      </c>
      <c r="DT41" s="53">
        <f t="shared" si="213"/>
        <v>66792</v>
      </c>
      <c r="DU41" s="51">
        <f t="shared" si="358"/>
        <v>0</v>
      </c>
      <c r="DV41" s="51">
        <f t="shared" si="342"/>
        <v>0</v>
      </c>
      <c r="DW41" s="51">
        <f t="shared" si="216"/>
        <v>0</v>
      </c>
      <c r="DX41" s="51">
        <f t="shared" si="343"/>
        <v>0</v>
      </c>
      <c r="DY41" s="51">
        <f t="shared" si="218"/>
        <v>2420000</v>
      </c>
      <c r="DZ41" s="51">
        <f t="shared" si="344"/>
        <v>2420000</v>
      </c>
      <c r="EA41" s="51">
        <f t="shared" si="220"/>
        <v>48400</v>
      </c>
      <c r="EB41" s="51">
        <f t="shared" si="345"/>
        <v>48400</v>
      </c>
      <c r="EC41" s="51">
        <f t="shared" si="222"/>
        <v>1427800</v>
      </c>
      <c r="ED41" s="51">
        <f t="shared" si="346"/>
        <v>1427800</v>
      </c>
      <c r="EE41" s="51">
        <f t="shared" si="224"/>
        <v>992200</v>
      </c>
      <c r="EF41" s="54">
        <f t="shared" si="225"/>
        <v>0</v>
      </c>
      <c r="EG41" s="55">
        <f t="shared" si="226"/>
        <v>0</v>
      </c>
      <c r="EH41" s="56">
        <f>IF(AND($E41&lt;&gt;0,$F41&gt;0,YEAR($F41)&gt;=Preisindex!$A$6,YEAR(EC$4)&gt;=YEAR($F41),AND($K41&lt;&gt;"a",$K41&lt;&gt;"b",$K41&lt;&gt;"g",$K41&lt;&gt;"k")),1,IF(AND($E41&lt;&gt;0,$F41&gt;0,YEAR($F41)&gt;=Preisindex!$A$6,YEAR(EC$4)&gt;=YEAR($F41),$K41="a"),ROUND(VLOOKUP(EH$4,Preisindex,5,FALSE)/VLOOKUP(YEAR($F41),Preisindex,5,FALSE),2),IF(AND($E41&lt;&gt;0,$F41&gt;0,YEAR($F41)&gt;=Preisindex!$A$6,YEAR(EC$4)&gt;=YEAR($F41),$K41="b"),ROUND(VLOOKUP(EH$4,Preisindex,3,FALSE)/VLOOKUP(YEAR($F41),Preisindex,3,FALSE),2),IF(AND($E41&lt;&gt;0,$F41&gt;0,YEAR($F41)&gt;=Preisindex!$A$6,YEAR(EC$4)&gt;=YEAR($F41),$K41="g"),ROUND(VLOOKUP(EH$4,Preisindex,4,FALSE)/VLOOKUP(YEAR($F41),Preisindex,4,FALSE),2),IF(AND($E41&lt;&gt;0,$F41&gt;0,YEAR($F41)&gt;=Preisindex!$A$6,YEAR(EC$4)&gt;=YEAR($F41),$K41="k"),ROUND(VLOOKUP(EH$4,Preisindex,2,FALSE)/VLOOKUP(YEAR($F41),Preisindex,2,FALSE),2),0)))))</f>
        <v>1.45</v>
      </c>
      <c r="EI41" s="56">
        <f>IF(AND($E41&lt;&gt;0,$F41&gt;0,YEAR($F41)&lt;Preisindex!$A$6,YEAR(EC$4)&gt;=YEAR($F41),AND($K41&lt;&gt;"a",$K41&lt;&gt;"b",$K41&lt;&gt;"g",$K41&lt;&gt;"k")),1,IF(AND($E41&lt;&gt;0,$F41&gt;0,YEAR($F41)&lt;Preisindex!$A$6,YEAR(EC$4)&gt;=YEAR($F41),$K41="a"),ROUND(VLOOKUP(EH$4,Preisindex,5,FALSE)/VLOOKUP(Preisindex!$A$6,Preisindex,5,FALSE),2),IF(AND($E41&lt;&gt;0,$F41&gt;0,YEAR($F41)&lt;Preisindex!$A$6,YEAR(EC$4)&gt;=YEAR($F41),$K41="b"),ROUND(VLOOKUP(EH$4,Preisindex,3,FALSE)/VLOOKUP(Preisindex!$A$6,Preisindex,3,FALSE),2),IF(AND($E41&lt;&gt;0,$F41&gt;0,YEAR($F41)&lt;Preisindex!$A$6,YEAR(EC$4)&gt;=YEAR($F41),$K41="g"),ROUND(VLOOKUP(EH$4,Preisindex,4,FALSE)/VLOOKUP(Preisindex!$A$6,Preisindex,4,FALSE),2),IF(AND($E41&lt;&gt;0,$F41&gt;0,YEAR($F41)&lt;Preisindex!$A$6,YEAR(EC$4)&gt;=YEAR($F41),$K41="k"),ROUND(VLOOKUP(EH$4,Preisindex,2,FALSE)/VLOOKUP(Preisindex!$A$6,Preisindex,2,FALSE),2),0)))))</f>
        <v>0</v>
      </c>
      <c r="EJ41" s="51">
        <f>IF(AND($E41&lt;&gt;0,$F41&gt;0,YEAR($F41)&lt;=EH$4,YEAR($F41)&gt;=Preisindex!$A$6),ROUND($E41*EH41,2),IF(AND($E41&lt;&gt;0,$F41&gt;0,YEAR($F41)&lt;=EH$4,YEAR($F41)&lt;Preisindex!$A$6),ROUND($E41*EI41,2),0))</f>
        <v>3509000</v>
      </c>
      <c r="EK41" s="53">
        <f t="shared" si="227"/>
        <v>70180</v>
      </c>
      <c r="EL41" s="51">
        <f t="shared" si="358"/>
        <v>0</v>
      </c>
      <c r="EM41" s="51">
        <f t="shared" si="347"/>
        <v>0</v>
      </c>
      <c r="EN41" s="51">
        <f t="shared" si="230"/>
        <v>0</v>
      </c>
      <c r="EO41" s="51">
        <f t="shared" si="348"/>
        <v>0</v>
      </c>
      <c r="EP41" s="51">
        <f t="shared" si="232"/>
        <v>2420000</v>
      </c>
      <c r="EQ41" s="51">
        <f t="shared" si="349"/>
        <v>2420000</v>
      </c>
      <c r="ER41" s="51">
        <f t="shared" si="234"/>
        <v>48400</v>
      </c>
      <c r="ES41" s="51">
        <f t="shared" si="350"/>
        <v>48400</v>
      </c>
      <c r="ET41" s="51">
        <f t="shared" si="236"/>
        <v>1379400</v>
      </c>
      <c r="EU41" s="51">
        <f t="shared" si="351"/>
        <v>1379400</v>
      </c>
      <c r="EV41" s="51">
        <f t="shared" si="238"/>
        <v>1040600</v>
      </c>
      <c r="EW41" s="54">
        <f t="shared" si="239"/>
        <v>0</v>
      </c>
      <c r="EX41" s="55">
        <f t="shared" si="240"/>
        <v>0</v>
      </c>
      <c r="EY41" s="56">
        <f>IF(AND($E41&lt;&gt;0,$F41&gt;0,YEAR($F41)&gt;=Preisindex!$A$6,YEAR(ET$4)&gt;=YEAR($F41),AND($K41&lt;&gt;"a",$K41&lt;&gt;"b",$K41&lt;&gt;"g",$K41&lt;&gt;"k")),1,IF(AND($E41&lt;&gt;0,$F41&gt;0,YEAR($F41)&gt;=Preisindex!$A$6,YEAR(ET$4)&gt;=YEAR($F41),$K41="a"),ROUND(VLOOKUP(EY$4,Preisindex,5,FALSE)/VLOOKUP(YEAR($F41),Preisindex,5,FALSE),2),IF(AND($E41&lt;&gt;0,$F41&gt;0,YEAR($F41)&gt;=Preisindex!$A$6,YEAR(ET$4)&gt;=YEAR($F41),$K41="b"),ROUND(VLOOKUP(EY$4,Preisindex,3,FALSE)/VLOOKUP(YEAR($F41),Preisindex,3,FALSE),2),IF(AND($E41&lt;&gt;0,$F41&gt;0,YEAR($F41)&gt;=Preisindex!$A$6,YEAR(ET$4)&gt;=YEAR($F41),$K41="g"),ROUND(VLOOKUP(EY$4,Preisindex,4,FALSE)/VLOOKUP(YEAR($F41),Preisindex,4,FALSE),2),IF(AND($E41&lt;&gt;0,$F41&gt;0,YEAR($F41)&gt;=Preisindex!$A$6,YEAR(ET$4)&gt;=YEAR($F41),$K41="k"),ROUND(VLOOKUP(EY$4,Preisindex,2,FALSE)/VLOOKUP(YEAR($F41),Preisindex,2,FALSE),2),0)))))</f>
        <v>1.45</v>
      </c>
      <c r="EZ41" s="56">
        <f>IF(AND($E41&lt;&gt;0,$F41&gt;0,YEAR($F41)&lt;Preisindex!$A$6,YEAR(ET$4)&gt;=YEAR($F41),AND($K41&lt;&gt;"a",$K41&lt;&gt;"b",$K41&lt;&gt;"g",$K41&lt;&gt;"k")),1,IF(AND($E41&lt;&gt;0,$F41&gt;0,YEAR($F41)&lt;Preisindex!$A$6,YEAR(ET$4)&gt;=YEAR($F41),$K41="a"),ROUND(VLOOKUP(EY$4,Preisindex,5,FALSE)/VLOOKUP(Preisindex!$A$6,Preisindex,5,FALSE),2),IF(AND($E41&lt;&gt;0,$F41&gt;0,YEAR($F41)&lt;Preisindex!$A$6,YEAR(ET$4)&gt;=YEAR($F41),$K41="b"),ROUND(VLOOKUP(EY$4,Preisindex,3,FALSE)/VLOOKUP(Preisindex!$A$6,Preisindex,3,FALSE),2),IF(AND($E41&lt;&gt;0,$F41&gt;0,YEAR($F41)&lt;Preisindex!$A$6,YEAR(ET$4)&gt;=YEAR($F41),$K41="g"),ROUND(VLOOKUP(EY$4,Preisindex,4,FALSE)/VLOOKUP(Preisindex!$A$6,Preisindex,4,FALSE),2),IF(AND($E41&lt;&gt;0,$F41&gt;0,YEAR($F41)&lt;Preisindex!$A$6,YEAR(ET$4)&gt;=YEAR($F41),$K41="k"),ROUND(VLOOKUP(EY$4,Preisindex,2,FALSE)/VLOOKUP(Preisindex!$A$6,Preisindex,2,FALSE),2),0)))))</f>
        <v>0</v>
      </c>
      <c r="FA41" s="51">
        <f>IF(AND($E41&lt;&gt;0,$F41&gt;0,YEAR($F41)&lt;=EY$4,YEAR($F41)&gt;=Preisindex!$A$6),ROUND($E41*EY41,2),IF(AND($E41&lt;&gt;0,$F41&gt;0,YEAR($F41)&lt;=EY$4,YEAR($F41)&lt;Preisindex!$A$6),ROUND($E41*EZ41,2),0))</f>
        <v>3509000</v>
      </c>
      <c r="FB41" s="53">
        <f t="shared" si="241"/>
        <v>70180</v>
      </c>
      <c r="FC41" s="51">
        <f t="shared" si="358"/>
        <v>0</v>
      </c>
      <c r="FD41" s="51">
        <f t="shared" si="352"/>
        <v>0</v>
      </c>
      <c r="FE41" s="51">
        <f t="shared" si="244"/>
        <v>0</v>
      </c>
      <c r="FF41" s="51">
        <f t="shared" si="353"/>
        <v>0</v>
      </c>
      <c r="FG41" s="51">
        <f t="shared" si="246"/>
        <v>2420000</v>
      </c>
      <c r="FH41" s="51">
        <f t="shared" si="354"/>
        <v>2420000</v>
      </c>
      <c r="FI41" s="51">
        <f t="shared" si="248"/>
        <v>48400</v>
      </c>
      <c r="FJ41" s="51">
        <f t="shared" si="355"/>
        <v>48400</v>
      </c>
      <c r="FK41" s="51">
        <f t="shared" si="250"/>
        <v>1331000</v>
      </c>
      <c r="FL41" s="51">
        <f t="shared" si="356"/>
        <v>1331000</v>
      </c>
      <c r="FM41" s="51">
        <f t="shared" si="252"/>
        <v>1089000</v>
      </c>
      <c r="FN41" s="54">
        <f t="shared" si="253"/>
        <v>0</v>
      </c>
      <c r="FO41" s="55">
        <f t="shared" si="254"/>
        <v>0</v>
      </c>
      <c r="FP41" s="56">
        <f>IF(AND($E41&lt;&gt;0,$F41&gt;0,YEAR($F41)&gt;=Preisindex!$A$6,YEAR(FK$4)&gt;=YEAR($F41),AND($K41&lt;&gt;"a",$K41&lt;&gt;"b",$K41&lt;&gt;"g",$K41&lt;&gt;"k")),1,IF(AND($E41&lt;&gt;0,$F41&gt;0,YEAR($F41)&gt;=Preisindex!$A$6,YEAR(FK$4)&gt;=YEAR($F41),$K41="a"),ROUND(VLOOKUP(FP$4,Preisindex,5,FALSE)/VLOOKUP(YEAR($F41),Preisindex,5,FALSE),2),IF(AND($E41&lt;&gt;0,$F41&gt;0,YEAR($F41)&gt;=Preisindex!$A$6,YEAR(FK$4)&gt;=YEAR($F41),$K41="b"),ROUND(VLOOKUP(FP$4,Preisindex,3,FALSE)/VLOOKUP(YEAR($F41),Preisindex,3,FALSE),2),IF(AND($E41&lt;&gt;0,$F41&gt;0,YEAR($F41)&gt;=Preisindex!$A$6,YEAR(FK$4)&gt;=YEAR($F41),$K41="g"),ROUND(VLOOKUP(FP$4,Preisindex,4,FALSE)/VLOOKUP(YEAR($F41),Preisindex,4,FALSE),2),IF(AND($E41&lt;&gt;0,$F41&gt;0,YEAR($F41)&gt;=Preisindex!$A$6,YEAR(FK$4)&gt;=YEAR($F41),$K41="k"),ROUND(VLOOKUP(FP$4,Preisindex,2,FALSE)/VLOOKUP(YEAR($F41),Preisindex,2,FALSE),2),0)))))</f>
        <v>1.45</v>
      </c>
      <c r="FQ41" s="56">
        <f>IF(AND($E41&lt;&gt;0,$F41&gt;0,YEAR($F41)&lt;Preisindex!$A$6,YEAR(FK$4)&gt;=YEAR($F41),AND($K41&lt;&gt;"a",$K41&lt;&gt;"b",$K41&lt;&gt;"g",$K41&lt;&gt;"k")),1,IF(AND($E41&lt;&gt;0,$F41&gt;0,YEAR($F41)&lt;Preisindex!$A$6,YEAR(FK$4)&gt;=YEAR($F41),$K41="a"),ROUND(VLOOKUP(FP$4,Preisindex,5,FALSE)/VLOOKUP(Preisindex!$A$6,Preisindex,5,FALSE),2),IF(AND($E41&lt;&gt;0,$F41&gt;0,YEAR($F41)&lt;Preisindex!$A$6,YEAR(FK$4)&gt;=YEAR($F41),$K41="b"),ROUND(VLOOKUP(FP$4,Preisindex,3,FALSE)/VLOOKUP(Preisindex!$A$6,Preisindex,3,FALSE),2),IF(AND($E41&lt;&gt;0,$F41&gt;0,YEAR($F41)&lt;Preisindex!$A$6,YEAR(FK$4)&gt;=YEAR($F41),$K41="g"),ROUND(VLOOKUP(FP$4,Preisindex,4,FALSE)/VLOOKUP(Preisindex!$A$6,Preisindex,4,FALSE),2),IF(AND($E41&lt;&gt;0,$F41&gt;0,YEAR($F41)&lt;Preisindex!$A$6,YEAR(FK$4)&gt;=YEAR($F41),$K41="k"),ROUND(VLOOKUP(FP$4,Preisindex,2,FALSE)/VLOOKUP(Preisindex!$A$6,Preisindex,2,FALSE),2),0)))))</f>
        <v>0</v>
      </c>
      <c r="FR41" s="51">
        <f>IF(AND($E41&lt;&gt;0,$F41&gt;0,YEAR($F41)&lt;=FP$4,YEAR($F41)&gt;=Preisindex!$A$6),ROUND($E41*FP41,2),IF(AND($E41&lt;&gt;0,$F41&gt;0,YEAR($F41)&lt;=FP$4,YEAR($F41)&lt;Preisindex!$A$6),ROUND($E41*FQ41,2),0))</f>
        <v>3509000</v>
      </c>
      <c r="FS41" s="53">
        <f t="shared" si="255"/>
        <v>70180</v>
      </c>
    </row>
    <row r="42" spans="1:175" x14ac:dyDescent="0.3">
      <c r="A42" s="195">
        <v>2000</v>
      </c>
      <c r="B42" s="196" t="s">
        <v>229</v>
      </c>
      <c r="C42" s="196"/>
      <c r="D42" s="188" t="s">
        <v>15</v>
      </c>
      <c r="E42" s="99">
        <v>130000</v>
      </c>
      <c r="F42" s="97">
        <v>36708</v>
      </c>
      <c r="G42" s="100">
        <v>50</v>
      </c>
      <c r="H42" s="622"/>
      <c r="I42" s="621"/>
      <c r="J42" s="194"/>
      <c r="K42" s="630" t="s">
        <v>266</v>
      </c>
      <c r="L42" s="49">
        <f t="shared" si="296"/>
        <v>0.02</v>
      </c>
      <c r="M42" s="50">
        <f t="shared" si="297"/>
        <v>2600</v>
      </c>
      <c r="N42" s="51">
        <f t="shared" si="298"/>
        <v>100100</v>
      </c>
      <c r="O42" s="51"/>
      <c r="P42" s="51">
        <f t="shared" si="299"/>
        <v>29900</v>
      </c>
      <c r="Q42" s="52"/>
      <c r="R42" s="52"/>
      <c r="S42" s="52"/>
      <c r="T42" s="52"/>
      <c r="U42" s="52"/>
      <c r="V42" s="53">
        <f t="shared" si="300"/>
        <v>130000</v>
      </c>
      <c r="W42" s="51">
        <f t="shared" si="301"/>
        <v>0</v>
      </c>
      <c r="X42" s="51">
        <f t="shared" si="302"/>
        <v>0</v>
      </c>
      <c r="Y42" s="51">
        <f t="shared" si="303"/>
        <v>0</v>
      </c>
      <c r="Z42" s="51">
        <f t="shared" si="304"/>
        <v>0</v>
      </c>
      <c r="AA42" s="51">
        <f t="shared" si="305"/>
        <v>130000</v>
      </c>
      <c r="AB42" s="51">
        <f t="shared" si="306"/>
        <v>130000</v>
      </c>
      <c r="AC42" s="51">
        <f t="shared" si="307"/>
        <v>2600</v>
      </c>
      <c r="AD42" s="51">
        <f t="shared" si="308"/>
        <v>2600</v>
      </c>
      <c r="AE42" s="51">
        <f t="shared" si="309"/>
        <v>97500</v>
      </c>
      <c r="AF42" s="51">
        <f t="shared" si="310"/>
        <v>97500</v>
      </c>
      <c r="AG42" s="51">
        <f t="shared" si="311"/>
        <v>32500</v>
      </c>
      <c r="AH42" s="54">
        <f t="shared" si="312"/>
        <v>0</v>
      </c>
      <c r="AI42" s="55">
        <f t="shared" si="313"/>
        <v>0</v>
      </c>
      <c r="AJ42" s="56">
        <f>IF(AND($E42&lt;&gt;0,$F42&gt;0,YEAR($F42)&gt;=Preisindex!$A$6,YEAR(AE$4)&gt;=YEAR($F42),AND($K42&lt;&gt;"a",$K42&lt;&gt;"b",$K42&lt;&gt;"g",$K42&lt;&gt;"k")),1,IF(AND($E42&lt;&gt;0,$F42&gt;0,YEAR($F42)&gt;=Preisindex!$A$6,YEAR(AE$4)&gt;=YEAR($F42),$K42="a"),ROUND(VLOOKUP(AJ$4,Preisindex,5,FALSE)/VLOOKUP(YEAR($F42),Preisindex,5,FALSE),2),IF(AND($E42&lt;&gt;0,$F42&gt;0,YEAR($F42)&gt;=Preisindex!$A$6,YEAR(AE$4)&gt;=YEAR($F42),$K42="b"),ROUND(VLOOKUP(AJ$4,Preisindex,3,FALSE)/VLOOKUP(YEAR($F42),Preisindex,3,FALSE),2),IF(AND($E42&lt;&gt;0,$F42&gt;0,YEAR($F42)&gt;=Preisindex!$A$6,YEAR(AE$4)&gt;=YEAR($F42),$K42="g"),ROUND(VLOOKUP(AJ$4,Preisindex,4,FALSE)/VLOOKUP(YEAR($F42),Preisindex,4,FALSE),2),IF(AND($E42&lt;&gt;0,$F42&gt;0,YEAR($F42)&gt;=Preisindex!$A$6,YEAR(AE$4)&gt;=YEAR($F42),$K42="k"),ROUND(VLOOKUP(AJ$4,Preisindex,2,FALSE)/VLOOKUP(YEAR($F42),Preisindex,2,FALSE),2),0)))))</f>
        <v>1.23</v>
      </c>
      <c r="AK42" s="56">
        <f>IF(AND($E42&lt;&gt;0,$F42&gt;0,YEAR($F42)&lt;Preisindex!$A$6,YEAR(AE$4)&gt;=YEAR($F42),AND($K42&lt;&gt;"a",$K42&lt;&gt;"b",$K42&lt;&gt;"g",$K42&lt;&gt;"k")),1,IF(AND($E42&lt;&gt;0,$F42&gt;0,YEAR($F42)&lt;Preisindex!$A$6,YEAR(AE$4)&gt;=YEAR($F42),$K42="a"),ROUND(VLOOKUP(AJ$4,Preisindex,5,FALSE)/VLOOKUP(Preisindex!$A$6,Preisindex,5,FALSE),2),IF(AND($E42&lt;&gt;0,$F42&gt;0,YEAR($F42)&lt;Preisindex!$A$6,YEAR(AE$4)&gt;=YEAR($F42),$K42="b"),ROUND(VLOOKUP(AJ$4,Preisindex,3,FALSE)/VLOOKUP(Preisindex!$A$6,Preisindex,3,FALSE),2),IF(AND($E42&lt;&gt;0,$F42&gt;0,YEAR($F42)&lt;Preisindex!$A$6,YEAR(AE$4)&gt;=YEAR($F42),$K42="g"),ROUND(VLOOKUP(AJ$4,Preisindex,4,FALSE)/VLOOKUP(Preisindex!$A$6,Preisindex,4,FALSE),2),IF(AND($E42&lt;&gt;0,$F42&gt;0,YEAR($F42)&lt;Preisindex!$A$6,YEAR(AE$4)&gt;=YEAR($F42),$K42="k"),ROUND(VLOOKUP(AJ$4,Preisindex,2,FALSE)/VLOOKUP(Preisindex!$A$6,Preisindex,2,FALSE),2),0)))))</f>
        <v>0</v>
      </c>
      <c r="AL42" s="51">
        <f>IF(AND($E42&lt;&gt;0,$F42&gt;0,YEAR($F42)&lt;=AJ$4,YEAR($F42)&gt;=Preisindex!$A$6),ROUND($E42*AJ42,2),IF(AND($E42&lt;&gt;0,$F42&gt;0,YEAR($F42)&lt;=AJ$4,YEAR($F42)&lt;Preisindex!$A$6),ROUND($E42*AK42,2),0))</f>
        <v>159900</v>
      </c>
      <c r="AM42" s="53">
        <f t="shared" si="314"/>
        <v>3198</v>
      </c>
      <c r="AN42" s="51">
        <f t="shared" si="357"/>
        <v>0</v>
      </c>
      <c r="AO42" s="51">
        <f t="shared" si="317"/>
        <v>0</v>
      </c>
      <c r="AP42" s="51">
        <f t="shared" si="146"/>
        <v>0</v>
      </c>
      <c r="AQ42" s="51">
        <f t="shared" si="318"/>
        <v>0</v>
      </c>
      <c r="AR42" s="51">
        <f t="shared" si="148"/>
        <v>130000</v>
      </c>
      <c r="AS42" s="51">
        <f t="shared" si="319"/>
        <v>130000</v>
      </c>
      <c r="AT42" s="51">
        <f t="shared" si="150"/>
        <v>2600</v>
      </c>
      <c r="AU42" s="51">
        <f t="shared" si="320"/>
        <v>2600</v>
      </c>
      <c r="AV42" s="51">
        <f t="shared" si="152"/>
        <v>94900</v>
      </c>
      <c r="AW42" s="51">
        <f t="shared" si="321"/>
        <v>94900</v>
      </c>
      <c r="AX42" s="51">
        <f t="shared" si="154"/>
        <v>35100</v>
      </c>
      <c r="AY42" s="54">
        <f t="shared" si="155"/>
        <v>0</v>
      </c>
      <c r="AZ42" s="55">
        <f t="shared" si="156"/>
        <v>0</v>
      </c>
      <c r="BA42" s="56">
        <f>IF(AND($E42&lt;&gt;0,$F42&gt;0,YEAR($F42)&gt;=Preisindex!$A$6,YEAR(AV$4)&gt;=YEAR($F42),AND($K42&lt;&gt;"a",$K42&lt;&gt;"b",$K42&lt;&gt;"g",$K42&lt;&gt;"k")),1,IF(AND($E42&lt;&gt;0,$F42&gt;0,YEAR($F42)&gt;=Preisindex!$A$6,YEAR(AV$4)&gt;=YEAR($F42),$K42="a"),ROUND(VLOOKUP(BA$4,Preisindex,5,FALSE)/VLOOKUP(YEAR($F42),Preisindex,5,FALSE),2),IF(AND($E42&lt;&gt;0,$F42&gt;0,YEAR($F42)&gt;=Preisindex!$A$6,YEAR(AV$4)&gt;=YEAR($F42),$K42="b"),ROUND(VLOOKUP(BA$4,Preisindex,3,FALSE)/VLOOKUP(YEAR($F42),Preisindex,3,FALSE),2),IF(AND($E42&lt;&gt;0,$F42&gt;0,YEAR($F42)&gt;=Preisindex!$A$6,YEAR(AV$4)&gt;=YEAR($F42),$K42="g"),ROUND(VLOOKUP(BA$4,Preisindex,4,FALSE)/VLOOKUP(YEAR($F42),Preisindex,4,FALSE),2),IF(AND($E42&lt;&gt;0,$F42&gt;0,YEAR($F42)&gt;=Preisindex!$A$6,YEAR(AV$4)&gt;=YEAR($F42),$K42="k"),ROUND(VLOOKUP(BA$4,Preisindex,2,FALSE)/VLOOKUP(YEAR($F42),Preisindex,2,FALSE),2),0)))))</f>
        <v>1.25</v>
      </c>
      <c r="BB42" s="56">
        <f>IF(AND($E42&lt;&gt;0,$F42&gt;0,YEAR($F42)&lt;Preisindex!$A$6,YEAR(AV$4)&gt;=YEAR($F42),AND($K42&lt;&gt;"a",$K42&lt;&gt;"b",$K42&lt;&gt;"g",$K42&lt;&gt;"k")),1,IF(AND($E42&lt;&gt;0,$F42&gt;0,YEAR($F42)&lt;Preisindex!$A$6,YEAR(AV$4)&gt;=YEAR($F42),$K42="a"),ROUND(VLOOKUP(BA$4,Preisindex,5,FALSE)/VLOOKUP(Preisindex!$A$6,Preisindex,5,FALSE),2),IF(AND($E42&lt;&gt;0,$F42&gt;0,YEAR($F42)&lt;Preisindex!$A$6,YEAR(AV$4)&gt;=YEAR($F42),$K42="b"),ROUND(VLOOKUP(BA$4,Preisindex,3,FALSE)/VLOOKUP(Preisindex!$A$6,Preisindex,3,FALSE),2),IF(AND($E42&lt;&gt;0,$F42&gt;0,YEAR($F42)&lt;Preisindex!$A$6,YEAR(AV$4)&gt;=YEAR($F42),$K42="g"),ROUND(VLOOKUP(BA$4,Preisindex,4,FALSE)/VLOOKUP(Preisindex!$A$6,Preisindex,4,FALSE),2),IF(AND($E42&lt;&gt;0,$F42&gt;0,YEAR($F42)&lt;Preisindex!$A$6,YEAR(AV$4)&gt;=YEAR($F42),$K42="k"),ROUND(VLOOKUP(BA$4,Preisindex,2,FALSE)/VLOOKUP(Preisindex!$A$6,Preisindex,2,FALSE),2),0)))))</f>
        <v>0</v>
      </c>
      <c r="BC42" s="51">
        <f>IF(AND($E42&lt;&gt;0,$F42&gt;0,YEAR($F42)&lt;=BA$4,YEAR($F42)&gt;=Preisindex!$A$6),ROUND($E42*BA42,2),IF(AND($E42&lt;&gt;0,$F42&gt;0,YEAR($F42)&lt;=BA$4,YEAR($F42)&lt;Preisindex!$A$6),ROUND($E42*BB42,2),0))</f>
        <v>162500</v>
      </c>
      <c r="BD42" s="53">
        <f t="shared" si="157"/>
        <v>3250</v>
      </c>
      <c r="BE42" s="51">
        <f t="shared" si="357"/>
        <v>0</v>
      </c>
      <c r="BF42" s="51">
        <f t="shared" si="322"/>
        <v>0</v>
      </c>
      <c r="BG42" s="51">
        <f t="shared" si="160"/>
        <v>0</v>
      </c>
      <c r="BH42" s="51">
        <f t="shared" si="323"/>
        <v>0</v>
      </c>
      <c r="BI42" s="51">
        <f t="shared" si="162"/>
        <v>130000</v>
      </c>
      <c r="BJ42" s="51">
        <f t="shared" si="324"/>
        <v>130000</v>
      </c>
      <c r="BK42" s="51">
        <f t="shared" si="164"/>
        <v>2600</v>
      </c>
      <c r="BL42" s="51">
        <f t="shared" si="325"/>
        <v>2600</v>
      </c>
      <c r="BM42" s="51">
        <f t="shared" si="166"/>
        <v>92300</v>
      </c>
      <c r="BN42" s="51">
        <f t="shared" si="326"/>
        <v>92300</v>
      </c>
      <c r="BO42" s="51">
        <f t="shared" si="168"/>
        <v>37700</v>
      </c>
      <c r="BP42" s="54">
        <f t="shared" si="169"/>
        <v>0</v>
      </c>
      <c r="BQ42" s="55">
        <f t="shared" si="170"/>
        <v>0</v>
      </c>
      <c r="BR42" s="56">
        <f>IF(AND($E42&lt;&gt;0,$F42&gt;0,YEAR($F42)&gt;=Preisindex!$A$6,YEAR(BM$4)&gt;=YEAR($F42),AND($K42&lt;&gt;"a",$K42&lt;&gt;"b",$K42&lt;&gt;"g",$K42&lt;&gt;"k")),1,IF(AND($E42&lt;&gt;0,$F42&gt;0,YEAR($F42)&gt;=Preisindex!$A$6,YEAR(BM$4)&gt;=YEAR($F42),$K42="a"),ROUND(VLOOKUP(BR$4,Preisindex,5,FALSE)/VLOOKUP(YEAR($F42),Preisindex,5,FALSE),2),IF(AND($E42&lt;&gt;0,$F42&gt;0,YEAR($F42)&gt;=Preisindex!$A$6,YEAR(BM$4)&gt;=YEAR($F42),$K42="b"),ROUND(VLOOKUP(BR$4,Preisindex,3,FALSE)/VLOOKUP(YEAR($F42),Preisindex,3,FALSE),2),IF(AND($E42&lt;&gt;0,$F42&gt;0,YEAR($F42)&gt;=Preisindex!$A$6,YEAR(BM$4)&gt;=YEAR($F42),$K42="g"),ROUND(VLOOKUP(BR$4,Preisindex,4,FALSE)/VLOOKUP(YEAR($F42),Preisindex,4,FALSE),2),IF(AND($E42&lt;&gt;0,$F42&gt;0,YEAR($F42)&gt;=Preisindex!$A$6,YEAR(BM$4)&gt;=YEAR($F42),$K42="k"),ROUND(VLOOKUP(BR$4,Preisindex,2,FALSE)/VLOOKUP(YEAR($F42),Preisindex,2,FALSE),2),0)))))</f>
        <v>1.27</v>
      </c>
      <c r="BS42" s="56">
        <f>IF(AND($E42&lt;&gt;0,$F42&gt;0,YEAR($F42)&lt;Preisindex!$A$6,YEAR(BM$4)&gt;=YEAR($F42),AND($K42&lt;&gt;"a",$K42&lt;&gt;"b",$K42&lt;&gt;"g",$K42&lt;&gt;"k")),1,IF(AND($E42&lt;&gt;0,$F42&gt;0,YEAR($F42)&lt;Preisindex!$A$6,YEAR(BM$4)&gt;=YEAR($F42),$K42="a"),ROUND(VLOOKUP(BR$4,Preisindex,5,FALSE)/VLOOKUP(Preisindex!$A$6,Preisindex,5,FALSE),2),IF(AND($E42&lt;&gt;0,$F42&gt;0,YEAR($F42)&lt;Preisindex!$A$6,YEAR(BM$4)&gt;=YEAR($F42),$K42="b"),ROUND(VLOOKUP(BR$4,Preisindex,3,FALSE)/VLOOKUP(Preisindex!$A$6,Preisindex,3,FALSE),2),IF(AND($E42&lt;&gt;0,$F42&gt;0,YEAR($F42)&lt;Preisindex!$A$6,YEAR(BM$4)&gt;=YEAR($F42),$K42="g"),ROUND(VLOOKUP(BR$4,Preisindex,4,FALSE)/VLOOKUP(Preisindex!$A$6,Preisindex,4,FALSE),2),IF(AND($E42&lt;&gt;0,$F42&gt;0,YEAR($F42)&lt;Preisindex!$A$6,YEAR(BM$4)&gt;=YEAR($F42),$K42="k"),ROUND(VLOOKUP(BR$4,Preisindex,2,FALSE)/VLOOKUP(Preisindex!$A$6,Preisindex,2,FALSE),2),0)))))</f>
        <v>0</v>
      </c>
      <c r="BT42" s="51">
        <f>IF(AND($E42&lt;&gt;0,$F42&gt;0,YEAR($F42)&lt;=BR$4,YEAR($F42)&gt;=Preisindex!$A$6),ROUND($E42*BR42,2),IF(AND($E42&lt;&gt;0,$F42&gt;0,YEAR($F42)&lt;=BR$4,YEAR($F42)&lt;Preisindex!$A$6),ROUND($E42*BS42,2),0))</f>
        <v>165100</v>
      </c>
      <c r="BU42" s="53">
        <f t="shared" si="171"/>
        <v>3302</v>
      </c>
      <c r="BV42" s="51">
        <f t="shared" si="357"/>
        <v>0</v>
      </c>
      <c r="BW42" s="51">
        <f t="shared" si="327"/>
        <v>0</v>
      </c>
      <c r="BX42" s="51">
        <f t="shared" si="174"/>
        <v>0</v>
      </c>
      <c r="BY42" s="51">
        <f t="shared" si="328"/>
        <v>0</v>
      </c>
      <c r="BZ42" s="51">
        <f t="shared" si="176"/>
        <v>130000</v>
      </c>
      <c r="CA42" s="51">
        <f t="shared" si="329"/>
        <v>130000</v>
      </c>
      <c r="CB42" s="51">
        <f t="shared" si="178"/>
        <v>2600</v>
      </c>
      <c r="CC42" s="51">
        <f t="shared" si="330"/>
        <v>2600</v>
      </c>
      <c r="CD42" s="51">
        <f t="shared" si="180"/>
        <v>89700</v>
      </c>
      <c r="CE42" s="51">
        <f t="shared" si="331"/>
        <v>89700</v>
      </c>
      <c r="CF42" s="51">
        <f t="shared" si="182"/>
        <v>40300</v>
      </c>
      <c r="CG42" s="54">
        <f t="shared" si="183"/>
        <v>0</v>
      </c>
      <c r="CH42" s="55">
        <f t="shared" si="184"/>
        <v>0</v>
      </c>
      <c r="CI42" s="56">
        <f>IF(AND($E42&lt;&gt;0,$F42&gt;0,YEAR($F42)&gt;=Preisindex!$A$6,YEAR(CD$4)&gt;=YEAR($F42),AND($K42&lt;&gt;"a",$K42&lt;&gt;"b",$K42&lt;&gt;"g",$K42&lt;&gt;"k")),1,IF(AND($E42&lt;&gt;0,$F42&gt;0,YEAR($F42)&gt;=Preisindex!$A$6,YEAR(CD$4)&gt;=YEAR($F42),$K42="a"),ROUND(VLOOKUP(CI$4,Preisindex,5,FALSE)/VLOOKUP(YEAR($F42),Preisindex,5,FALSE),2),IF(AND($E42&lt;&gt;0,$F42&gt;0,YEAR($F42)&gt;=Preisindex!$A$6,YEAR(CD$4)&gt;=YEAR($F42),$K42="b"),ROUND(VLOOKUP(CI$4,Preisindex,3,FALSE)/VLOOKUP(YEAR($F42),Preisindex,3,FALSE),2),IF(AND($E42&lt;&gt;0,$F42&gt;0,YEAR($F42)&gt;=Preisindex!$A$6,YEAR(CD$4)&gt;=YEAR($F42),$K42="g"),ROUND(VLOOKUP(CI$4,Preisindex,4,FALSE)/VLOOKUP(YEAR($F42),Preisindex,4,FALSE),2),IF(AND($E42&lt;&gt;0,$F42&gt;0,YEAR($F42)&gt;=Preisindex!$A$6,YEAR(CD$4)&gt;=YEAR($F42),$K42="k"),ROUND(VLOOKUP(CI$4,Preisindex,2,FALSE)/VLOOKUP(YEAR($F42),Preisindex,2,FALSE),2),0)))))</f>
        <v>1.28</v>
      </c>
      <c r="CJ42" s="56">
        <f>IF(AND($E42&lt;&gt;0,$F42&gt;0,YEAR($F42)&lt;Preisindex!$A$6,YEAR(CD$4)&gt;=YEAR($F42),AND($K42&lt;&gt;"a",$K42&lt;&gt;"b",$K42&lt;&gt;"g",$K42&lt;&gt;"k")),1,IF(AND($E42&lt;&gt;0,$F42&gt;0,YEAR($F42)&lt;Preisindex!$A$6,YEAR(CD$4)&gt;=YEAR($F42),$K42="a"),ROUND(VLOOKUP(CI$4,Preisindex,5,FALSE)/VLOOKUP(Preisindex!$A$6,Preisindex,5,FALSE),2),IF(AND($E42&lt;&gt;0,$F42&gt;0,YEAR($F42)&lt;Preisindex!$A$6,YEAR(CD$4)&gt;=YEAR($F42),$K42="b"),ROUND(VLOOKUP(CI$4,Preisindex,3,FALSE)/VLOOKUP(Preisindex!$A$6,Preisindex,3,FALSE),2),IF(AND($E42&lt;&gt;0,$F42&gt;0,YEAR($F42)&lt;Preisindex!$A$6,YEAR(CD$4)&gt;=YEAR($F42),$K42="g"),ROUND(VLOOKUP(CI$4,Preisindex,4,FALSE)/VLOOKUP(Preisindex!$A$6,Preisindex,4,FALSE),2),IF(AND($E42&lt;&gt;0,$F42&gt;0,YEAR($F42)&lt;Preisindex!$A$6,YEAR(CD$4)&gt;=YEAR($F42),$K42="k"),ROUND(VLOOKUP(CI$4,Preisindex,2,FALSE)/VLOOKUP(Preisindex!$A$6,Preisindex,2,FALSE),2),0)))))</f>
        <v>0</v>
      </c>
      <c r="CK42" s="51">
        <f>IF(AND($E42&lt;&gt;0,$F42&gt;0,YEAR($F42)&lt;=CI$4,YEAR($F42)&gt;=Preisindex!$A$6),ROUND($E42*CI42,2),IF(AND($E42&lt;&gt;0,$F42&gt;0,YEAR($F42)&lt;=CI$4,YEAR($F42)&lt;Preisindex!$A$6),ROUND($E42*CJ42,2),0))</f>
        <v>166400</v>
      </c>
      <c r="CL42" s="53">
        <f t="shared" si="185"/>
        <v>3328</v>
      </c>
      <c r="CM42" s="51">
        <f t="shared" si="357"/>
        <v>0</v>
      </c>
      <c r="CN42" s="51">
        <f t="shared" si="332"/>
        <v>0</v>
      </c>
      <c r="CO42" s="51">
        <f t="shared" si="188"/>
        <v>0</v>
      </c>
      <c r="CP42" s="51">
        <f t="shared" si="333"/>
        <v>0</v>
      </c>
      <c r="CQ42" s="51">
        <f t="shared" si="190"/>
        <v>130000</v>
      </c>
      <c r="CR42" s="51">
        <f t="shared" si="334"/>
        <v>130000</v>
      </c>
      <c r="CS42" s="51">
        <f t="shared" si="192"/>
        <v>2600</v>
      </c>
      <c r="CT42" s="51">
        <f t="shared" si="335"/>
        <v>2600</v>
      </c>
      <c r="CU42" s="51">
        <f t="shared" si="194"/>
        <v>87100</v>
      </c>
      <c r="CV42" s="51">
        <f t="shared" si="336"/>
        <v>87100</v>
      </c>
      <c r="CW42" s="51">
        <f t="shared" si="196"/>
        <v>42900</v>
      </c>
      <c r="CX42" s="54">
        <f t="shared" si="197"/>
        <v>0</v>
      </c>
      <c r="CY42" s="55">
        <f t="shared" si="198"/>
        <v>0</v>
      </c>
      <c r="CZ42" s="56">
        <f>IF(AND($E42&lt;&gt;0,$F42&gt;0,YEAR($F42)&gt;=Preisindex!$A$6,YEAR(CU$4)&gt;=YEAR($F42),AND($K42&lt;&gt;"a",$K42&lt;&gt;"b",$K42&lt;&gt;"g",$K42&lt;&gt;"k")),1,IF(AND($E42&lt;&gt;0,$F42&gt;0,YEAR($F42)&gt;=Preisindex!$A$6,YEAR(CU$4)&gt;=YEAR($F42),$K42="a"),ROUND(VLOOKUP(CZ$4,Preisindex,5,FALSE)/VLOOKUP(YEAR($F42),Preisindex,5,FALSE),2),IF(AND($E42&lt;&gt;0,$F42&gt;0,YEAR($F42)&gt;=Preisindex!$A$6,YEAR(CU$4)&gt;=YEAR($F42),$K42="b"),ROUND(VLOOKUP(CZ$4,Preisindex,3,FALSE)/VLOOKUP(YEAR($F42),Preisindex,3,FALSE),2),IF(AND($E42&lt;&gt;0,$F42&gt;0,YEAR($F42)&gt;=Preisindex!$A$6,YEAR(CU$4)&gt;=YEAR($F42),$K42="g"),ROUND(VLOOKUP(CZ$4,Preisindex,4,FALSE)/VLOOKUP(YEAR($F42),Preisindex,4,FALSE),2),IF(AND($E42&lt;&gt;0,$F42&gt;0,YEAR($F42)&gt;=Preisindex!$A$6,YEAR(CU$4)&gt;=YEAR($F42),$K42="k"),ROUND(VLOOKUP(CZ$4,Preisindex,2,FALSE)/VLOOKUP(YEAR($F42),Preisindex,2,FALSE),2),0)))))</f>
        <v>1.31</v>
      </c>
      <c r="DA42" s="56">
        <f>IF(AND($E42&lt;&gt;0,$F42&gt;0,YEAR($F42)&lt;Preisindex!$A$6,YEAR(CU$4)&gt;=YEAR($F42),AND($K42&lt;&gt;"a",$K42&lt;&gt;"b",$K42&lt;&gt;"g",$K42&lt;&gt;"k")),1,IF(AND($E42&lt;&gt;0,$F42&gt;0,YEAR($F42)&lt;Preisindex!$A$6,YEAR(CU$4)&gt;=YEAR($F42),$K42="a"),ROUND(VLOOKUP(CZ$4,Preisindex,5,FALSE)/VLOOKUP(Preisindex!$A$6,Preisindex,5,FALSE),2),IF(AND($E42&lt;&gt;0,$F42&gt;0,YEAR($F42)&lt;Preisindex!$A$6,YEAR(CU$4)&gt;=YEAR($F42),$K42="b"),ROUND(VLOOKUP(CZ$4,Preisindex,3,FALSE)/VLOOKUP(Preisindex!$A$6,Preisindex,3,FALSE),2),IF(AND($E42&lt;&gt;0,$F42&gt;0,YEAR($F42)&lt;Preisindex!$A$6,YEAR(CU$4)&gt;=YEAR($F42),$K42="g"),ROUND(VLOOKUP(CZ$4,Preisindex,4,FALSE)/VLOOKUP(Preisindex!$A$6,Preisindex,4,FALSE),2),IF(AND($E42&lt;&gt;0,$F42&gt;0,YEAR($F42)&lt;Preisindex!$A$6,YEAR(CU$4)&gt;=YEAR($F42),$K42="k"),ROUND(VLOOKUP(CZ$4,Preisindex,2,FALSE)/VLOOKUP(Preisindex!$A$6,Preisindex,2,FALSE),2),0)))))</f>
        <v>0</v>
      </c>
      <c r="DB42" s="51">
        <f>IF(AND($E42&lt;&gt;0,$F42&gt;0,YEAR($F42)&lt;=CZ$4,YEAR($F42)&gt;=Preisindex!$A$6),ROUND($E42*CZ42,2),IF(AND($E42&lt;&gt;0,$F42&gt;0,YEAR($F42)&lt;=CZ$4,YEAR($F42)&lt;Preisindex!$A$6),ROUND($E42*DA42,2),0))</f>
        <v>170300</v>
      </c>
      <c r="DC42" s="53">
        <f t="shared" si="199"/>
        <v>3406</v>
      </c>
      <c r="DD42" s="51">
        <f t="shared" si="358"/>
        <v>0</v>
      </c>
      <c r="DE42" s="51">
        <f t="shared" si="337"/>
        <v>0</v>
      </c>
      <c r="DF42" s="51">
        <f t="shared" si="202"/>
        <v>0</v>
      </c>
      <c r="DG42" s="51">
        <f t="shared" si="338"/>
        <v>0</v>
      </c>
      <c r="DH42" s="51">
        <f t="shared" si="204"/>
        <v>130000</v>
      </c>
      <c r="DI42" s="51">
        <f t="shared" si="339"/>
        <v>130000</v>
      </c>
      <c r="DJ42" s="51">
        <f t="shared" si="206"/>
        <v>2600</v>
      </c>
      <c r="DK42" s="51">
        <f t="shared" si="340"/>
        <v>2600</v>
      </c>
      <c r="DL42" s="51">
        <f t="shared" si="208"/>
        <v>84500</v>
      </c>
      <c r="DM42" s="51">
        <f t="shared" si="341"/>
        <v>84500</v>
      </c>
      <c r="DN42" s="51">
        <f t="shared" si="210"/>
        <v>45500</v>
      </c>
      <c r="DO42" s="54">
        <f t="shared" si="211"/>
        <v>0</v>
      </c>
      <c r="DP42" s="55">
        <f t="shared" si="212"/>
        <v>0</v>
      </c>
      <c r="DQ42" s="56">
        <f>IF(AND($E42&lt;&gt;0,$F42&gt;0,YEAR($F42)&gt;=Preisindex!$A$6,YEAR(DL$4)&gt;=YEAR($F42),AND($K42&lt;&gt;"a",$K42&lt;&gt;"b",$K42&lt;&gt;"g",$K42&lt;&gt;"k")),1,IF(AND($E42&lt;&gt;0,$F42&gt;0,YEAR($F42)&gt;=Preisindex!$A$6,YEAR(DL$4)&gt;=YEAR($F42),$K42="a"),ROUND(VLOOKUP(DQ$4,Preisindex,5,FALSE)/VLOOKUP(YEAR($F42),Preisindex,5,FALSE),2),IF(AND($E42&lt;&gt;0,$F42&gt;0,YEAR($F42)&gt;=Preisindex!$A$6,YEAR(DL$4)&gt;=YEAR($F42),$K42="b"),ROUND(VLOOKUP(DQ$4,Preisindex,3,FALSE)/VLOOKUP(YEAR($F42),Preisindex,3,FALSE),2),IF(AND($E42&lt;&gt;0,$F42&gt;0,YEAR($F42)&gt;=Preisindex!$A$6,YEAR(DL$4)&gt;=YEAR($F42),$K42="g"),ROUND(VLOOKUP(DQ$4,Preisindex,4,FALSE)/VLOOKUP(YEAR($F42),Preisindex,4,FALSE),2),IF(AND($E42&lt;&gt;0,$F42&gt;0,YEAR($F42)&gt;=Preisindex!$A$6,YEAR(DL$4)&gt;=YEAR($F42),$K42="k"),ROUND(VLOOKUP(DQ$4,Preisindex,2,FALSE)/VLOOKUP(YEAR($F42),Preisindex,2,FALSE),2),0)))))</f>
        <v>1.35</v>
      </c>
      <c r="DR42" s="56">
        <f>IF(AND($E42&lt;&gt;0,$F42&gt;0,YEAR($F42)&lt;Preisindex!$A$6,YEAR(DL$4)&gt;=YEAR($F42),AND($K42&lt;&gt;"a",$K42&lt;&gt;"b",$K42&lt;&gt;"g",$K42&lt;&gt;"k")),1,IF(AND($E42&lt;&gt;0,$F42&gt;0,YEAR($F42)&lt;Preisindex!$A$6,YEAR(DL$4)&gt;=YEAR($F42),$K42="a"),ROUND(VLOOKUP(DQ$4,Preisindex,5,FALSE)/VLOOKUP(Preisindex!$A$6,Preisindex,5,FALSE),2),IF(AND($E42&lt;&gt;0,$F42&gt;0,YEAR($F42)&lt;Preisindex!$A$6,YEAR(DL$4)&gt;=YEAR($F42),$K42="b"),ROUND(VLOOKUP(DQ$4,Preisindex,3,FALSE)/VLOOKUP(Preisindex!$A$6,Preisindex,3,FALSE),2),IF(AND($E42&lt;&gt;0,$F42&gt;0,YEAR($F42)&lt;Preisindex!$A$6,YEAR(DL$4)&gt;=YEAR($F42),$K42="g"),ROUND(VLOOKUP(DQ$4,Preisindex,4,FALSE)/VLOOKUP(Preisindex!$A$6,Preisindex,4,FALSE),2),IF(AND($E42&lt;&gt;0,$F42&gt;0,YEAR($F42)&lt;Preisindex!$A$6,YEAR(DL$4)&gt;=YEAR($F42),$K42="k"),ROUND(VLOOKUP(DQ$4,Preisindex,2,FALSE)/VLOOKUP(Preisindex!$A$6,Preisindex,2,FALSE),2),0)))))</f>
        <v>0</v>
      </c>
      <c r="DS42" s="51">
        <f>IF(AND($E42&lt;&gt;0,$F42&gt;0,YEAR($F42)&lt;=DQ$4,YEAR($F42)&gt;=Preisindex!$A$6),ROUND($E42*DQ42,2),IF(AND($E42&lt;&gt;0,$F42&gt;0,YEAR($F42)&lt;=DQ$4,YEAR($F42)&lt;Preisindex!$A$6),ROUND($E42*DR42,2),0))</f>
        <v>175500</v>
      </c>
      <c r="DT42" s="53">
        <f t="shared" si="213"/>
        <v>3510</v>
      </c>
      <c r="DU42" s="51">
        <f t="shared" si="358"/>
        <v>0</v>
      </c>
      <c r="DV42" s="51">
        <f t="shared" si="342"/>
        <v>0</v>
      </c>
      <c r="DW42" s="51">
        <f t="shared" si="216"/>
        <v>0</v>
      </c>
      <c r="DX42" s="51">
        <f t="shared" si="343"/>
        <v>0</v>
      </c>
      <c r="DY42" s="51">
        <f t="shared" si="218"/>
        <v>130000</v>
      </c>
      <c r="DZ42" s="51">
        <f t="shared" si="344"/>
        <v>130000</v>
      </c>
      <c r="EA42" s="51">
        <f t="shared" si="220"/>
        <v>2600</v>
      </c>
      <c r="EB42" s="51">
        <f t="shared" si="345"/>
        <v>2600</v>
      </c>
      <c r="EC42" s="51">
        <f t="shared" si="222"/>
        <v>81900</v>
      </c>
      <c r="ED42" s="51">
        <f t="shared" si="346"/>
        <v>81900</v>
      </c>
      <c r="EE42" s="51">
        <f t="shared" si="224"/>
        <v>48100</v>
      </c>
      <c r="EF42" s="54">
        <f t="shared" si="225"/>
        <v>0</v>
      </c>
      <c r="EG42" s="55">
        <f t="shared" si="226"/>
        <v>0</v>
      </c>
      <c r="EH42" s="56">
        <f>IF(AND($E42&lt;&gt;0,$F42&gt;0,YEAR($F42)&gt;=Preisindex!$A$6,YEAR(EC$4)&gt;=YEAR($F42),AND($K42&lt;&gt;"a",$K42&lt;&gt;"b",$K42&lt;&gt;"g",$K42&lt;&gt;"k")),1,IF(AND($E42&lt;&gt;0,$F42&gt;0,YEAR($F42)&gt;=Preisindex!$A$6,YEAR(EC$4)&gt;=YEAR($F42),$K42="a"),ROUND(VLOOKUP(EH$4,Preisindex,5,FALSE)/VLOOKUP(YEAR($F42),Preisindex,5,FALSE),2),IF(AND($E42&lt;&gt;0,$F42&gt;0,YEAR($F42)&gt;=Preisindex!$A$6,YEAR(EC$4)&gt;=YEAR($F42),$K42="b"),ROUND(VLOOKUP(EH$4,Preisindex,3,FALSE)/VLOOKUP(YEAR($F42),Preisindex,3,FALSE),2),IF(AND($E42&lt;&gt;0,$F42&gt;0,YEAR($F42)&gt;=Preisindex!$A$6,YEAR(EC$4)&gt;=YEAR($F42),$K42="g"),ROUND(VLOOKUP(EH$4,Preisindex,4,FALSE)/VLOOKUP(YEAR($F42),Preisindex,4,FALSE),2),IF(AND($E42&lt;&gt;0,$F42&gt;0,YEAR($F42)&gt;=Preisindex!$A$6,YEAR(EC$4)&gt;=YEAR($F42),$K42="k"),ROUND(VLOOKUP(EH$4,Preisindex,2,FALSE)/VLOOKUP(YEAR($F42),Preisindex,2,FALSE),2),0)))))</f>
        <v>1.42</v>
      </c>
      <c r="EI42" s="56">
        <f>IF(AND($E42&lt;&gt;0,$F42&gt;0,YEAR($F42)&lt;Preisindex!$A$6,YEAR(EC$4)&gt;=YEAR($F42),AND($K42&lt;&gt;"a",$K42&lt;&gt;"b",$K42&lt;&gt;"g",$K42&lt;&gt;"k")),1,IF(AND($E42&lt;&gt;0,$F42&gt;0,YEAR($F42)&lt;Preisindex!$A$6,YEAR(EC$4)&gt;=YEAR($F42),$K42="a"),ROUND(VLOOKUP(EH$4,Preisindex,5,FALSE)/VLOOKUP(Preisindex!$A$6,Preisindex,5,FALSE),2),IF(AND($E42&lt;&gt;0,$F42&gt;0,YEAR($F42)&lt;Preisindex!$A$6,YEAR(EC$4)&gt;=YEAR($F42),$K42="b"),ROUND(VLOOKUP(EH$4,Preisindex,3,FALSE)/VLOOKUP(Preisindex!$A$6,Preisindex,3,FALSE),2),IF(AND($E42&lt;&gt;0,$F42&gt;0,YEAR($F42)&lt;Preisindex!$A$6,YEAR(EC$4)&gt;=YEAR($F42),$K42="g"),ROUND(VLOOKUP(EH$4,Preisindex,4,FALSE)/VLOOKUP(Preisindex!$A$6,Preisindex,4,FALSE),2),IF(AND($E42&lt;&gt;0,$F42&gt;0,YEAR($F42)&lt;Preisindex!$A$6,YEAR(EC$4)&gt;=YEAR($F42),$K42="k"),ROUND(VLOOKUP(EH$4,Preisindex,2,FALSE)/VLOOKUP(Preisindex!$A$6,Preisindex,2,FALSE),2),0)))))</f>
        <v>0</v>
      </c>
      <c r="EJ42" s="51">
        <f>IF(AND($E42&lt;&gt;0,$F42&gt;0,YEAR($F42)&lt;=EH$4,YEAR($F42)&gt;=Preisindex!$A$6),ROUND($E42*EH42,2),IF(AND($E42&lt;&gt;0,$F42&gt;0,YEAR($F42)&lt;=EH$4,YEAR($F42)&lt;Preisindex!$A$6),ROUND($E42*EI42,2),0))</f>
        <v>184600</v>
      </c>
      <c r="EK42" s="53">
        <f t="shared" si="227"/>
        <v>3692</v>
      </c>
      <c r="EL42" s="51">
        <f t="shared" si="358"/>
        <v>0</v>
      </c>
      <c r="EM42" s="51">
        <f t="shared" si="347"/>
        <v>0</v>
      </c>
      <c r="EN42" s="51">
        <f t="shared" si="230"/>
        <v>0</v>
      </c>
      <c r="EO42" s="51">
        <f t="shared" si="348"/>
        <v>0</v>
      </c>
      <c r="EP42" s="51">
        <f t="shared" si="232"/>
        <v>130000</v>
      </c>
      <c r="EQ42" s="51">
        <f t="shared" si="349"/>
        <v>130000</v>
      </c>
      <c r="ER42" s="51">
        <f t="shared" si="234"/>
        <v>2600</v>
      </c>
      <c r="ES42" s="51">
        <f t="shared" si="350"/>
        <v>2600</v>
      </c>
      <c r="ET42" s="51">
        <f t="shared" si="236"/>
        <v>79300</v>
      </c>
      <c r="EU42" s="51">
        <f t="shared" si="351"/>
        <v>79300</v>
      </c>
      <c r="EV42" s="51">
        <f t="shared" si="238"/>
        <v>50700</v>
      </c>
      <c r="EW42" s="54">
        <f t="shared" si="239"/>
        <v>0</v>
      </c>
      <c r="EX42" s="55">
        <f t="shared" si="240"/>
        <v>0</v>
      </c>
      <c r="EY42" s="56">
        <f>IF(AND($E42&lt;&gt;0,$F42&gt;0,YEAR($F42)&gt;=Preisindex!$A$6,YEAR(ET$4)&gt;=YEAR($F42),AND($K42&lt;&gt;"a",$K42&lt;&gt;"b",$K42&lt;&gt;"g",$K42&lt;&gt;"k")),1,IF(AND($E42&lt;&gt;0,$F42&gt;0,YEAR($F42)&gt;=Preisindex!$A$6,YEAR(ET$4)&gt;=YEAR($F42),$K42="a"),ROUND(VLOOKUP(EY$4,Preisindex,5,FALSE)/VLOOKUP(YEAR($F42),Preisindex,5,FALSE),2),IF(AND($E42&lt;&gt;0,$F42&gt;0,YEAR($F42)&gt;=Preisindex!$A$6,YEAR(ET$4)&gt;=YEAR($F42),$K42="b"),ROUND(VLOOKUP(EY$4,Preisindex,3,FALSE)/VLOOKUP(YEAR($F42),Preisindex,3,FALSE),2),IF(AND($E42&lt;&gt;0,$F42&gt;0,YEAR($F42)&gt;=Preisindex!$A$6,YEAR(ET$4)&gt;=YEAR($F42),$K42="g"),ROUND(VLOOKUP(EY$4,Preisindex,4,FALSE)/VLOOKUP(YEAR($F42),Preisindex,4,FALSE),2),IF(AND($E42&lt;&gt;0,$F42&gt;0,YEAR($F42)&gt;=Preisindex!$A$6,YEAR(ET$4)&gt;=YEAR($F42),$K42="k"),ROUND(VLOOKUP(EY$4,Preisindex,2,FALSE)/VLOOKUP(YEAR($F42),Preisindex,2,FALSE),2),0)))))</f>
        <v>1.42</v>
      </c>
      <c r="EZ42" s="56">
        <f>IF(AND($E42&lt;&gt;0,$F42&gt;0,YEAR($F42)&lt;Preisindex!$A$6,YEAR(ET$4)&gt;=YEAR($F42),AND($K42&lt;&gt;"a",$K42&lt;&gt;"b",$K42&lt;&gt;"g",$K42&lt;&gt;"k")),1,IF(AND($E42&lt;&gt;0,$F42&gt;0,YEAR($F42)&lt;Preisindex!$A$6,YEAR(ET$4)&gt;=YEAR($F42),$K42="a"),ROUND(VLOOKUP(EY$4,Preisindex,5,FALSE)/VLOOKUP(Preisindex!$A$6,Preisindex,5,FALSE),2),IF(AND($E42&lt;&gt;0,$F42&gt;0,YEAR($F42)&lt;Preisindex!$A$6,YEAR(ET$4)&gt;=YEAR($F42),$K42="b"),ROUND(VLOOKUP(EY$4,Preisindex,3,FALSE)/VLOOKUP(Preisindex!$A$6,Preisindex,3,FALSE),2),IF(AND($E42&lt;&gt;0,$F42&gt;0,YEAR($F42)&lt;Preisindex!$A$6,YEAR(ET$4)&gt;=YEAR($F42),$K42="g"),ROUND(VLOOKUP(EY$4,Preisindex,4,FALSE)/VLOOKUP(Preisindex!$A$6,Preisindex,4,FALSE),2),IF(AND($E42&lt;&gt;0,$F42&gt;0,YEAR($F42)&lt;Preisindex!$A$6,YEAR(ET$4)&gt;=YEAR($F42),$K42="k"),ROUND(VLOOKUP(EY$4,Preisindex,2,FALSE)/VLOOKUP(Preisindex!$A$6,Preisindex,2,FALSE),2),0)))))</f>
        <v>0</v>
      </c>
      <c r="FA42" s="51">
        <f>IF(AND($E42&lt;&gt;0,$F42&gt;0,YEAR($F42)&lt;=EY$4,YEAR($F42)&gt;=Preisindex!$A$6),ROUND($E42*EY42,2),IF(AND($E42&lt;&gt;0,$F42&gt;0,YEAR($F42)&lt;=EY$4,YEAR($F42)&lt;Preisindex!$A$6),ROUND($E42*EZ42,2),0))</f>
        <v>184600</v>
      </c>
      <c r="FB42" s="53">
        <f t="shared" si="241"/>
        <v>3692</v>
      </c>
      <c r="FC42" s="51">
        <f t="shared" si="358"/>
        <v>0</v>
      </c>
      <c r="FD42" s="51">
        <f t="shared" si="352"/>
        <v>0</v>
      </c>
      <c r="FE42" s="51">
        <f t="shared" si="244"/>
        <v>0</v>
      </c>
      <c r="FF42" s="51">
        <f t="shared" si="353"/>
        <v>0</v>
      </c>
      <c r="FG42" s="51">
        <f t="shared" si="246"/>
        <v>130000</v>
      </c>
      <c r="FH42" s="51">
        <f t="shared" si="354"/>
        <v>130000</v>
      </c>
      <c r="FI42" s="51">
        <f t="shared" si="248"/>
        <v>2600</v>
      </c>
      <c r="FJ42" s="51">
        <f t="shared" si="355"/>
        <v>2600</v>
      </c>
      <c r="FK42" s="51">
        <f t="shared" si="250"/>
        <v>76700</v>
      </c>
      <c r="FL42" s="51">
        <f t="shared" si="356"/>
        <v>76700</v>
      </c>
      <c r="FM42" s="51">
        <f t="shared" si="252"/>
        <v>53300</v>
      </c>
      <c r="FN42" s="54">
        <f t="shared" si="253"/>
        <v>0</v>
      </c>
      <c r="FO42" s="55">
        <f t="shared" si="254"/>
        <v>0</v>
      </c>
      <c r="FP42" s="56">
        <f>IF(AND($E42&lt;&gt;0,$F42&gt;0,YEAR($F42)&gt;=Preisindex!$A$6,YEAR(FK$4)&gt;=YEAR($F42),AND($K42&lt;&gt;"a",$K42&lt;&gt;"b",$K42&lt;&gt;"g",$K42&lt;&gt;"k")),1,IF(AND($E42&lt;&gt;0,$F42&gt;0,YEAR($F42)&gt;=Preisindex!$A$6,YEAR(FK$4)&gt;=YEAR($F42),$K42="a"),ROUND(VLOOKUP(FP$4,Preisindex,5,FALSE)/VLOOKUP(YEAR($F42),Preisindex,5,FALSE),2),IF(AND($E42&lt;&gt;0,$F42&gt;0,YEAR($F42)&gt;=Preisindex!$A$6,YEAR(FK$4)&gt;=YEAR($F42),$K42="b"),ROUND(VLOOKUP(FP$4,Preisindex,3,FALSE)/VLOOKUP(YEAR($F42),Preisindex,3,FALSE),2),IF(AND($E42&lt;&gt;0,$F42&gt;0,YEAR($F42)&gt;=Preisindex!$A$6,YEAR(FK$4)&gt;=YEAR($F42),$K42="g"),ROUND(VLOOKUP(FP$4,Preisindex,4,FALSE)/VLOOKUP(YEAR($F42),Preisindex,4,FALSE),2),IF(AND($E42&lt;&gt;0,$F42&gt;0,YEAR($F42)&gt;=Preisindex!$A$6,YEAR(FK$4)&gt;=YEAR($F42),$K42="k"),ROUND(VLOOKUP(FP$4,Preisindex,2,FALSE)/VLOOKUP(YEAR($F42),Preisindex,2,FALSE),2),0)))))</f>
        <v>1.42</v>
      </c>
      <c r="FQ42" s="56">
        <f>IF(AND($E42&lt;&gt;0,$F42&gt;0,YEAR($F42)&lt;Preisindex!$A$6,YEAR(FK$4)&gt;=YEAR($F42),AND($K42&lt;&gt;"a",$K42&lt;&gt;"b",$K42&lt;&gt;"g",$K42&lt;&gt;"k")),1,IF(AND($E42&lt;&gt;0,$F42&gt;0,YEAR($F42)&lt;Preisindex!$A$6,YEAR(FK$4)&gt;=YEAR($F42),$K42="a"),ROUND(VLOOKUP(FP$4,Preisindex,5,FALSE)/VLOOKUP(Preisindex!$A$6,Preisindex,5,FALSE),2),IF(AND($E42&lt;&gt;0,$F42&gt;0,YEAR($F42)&lt;Preisindex!$A$6,YEAR(FK$4)&gt;=YEAR($F42),$K42="b"),ROUND(VLOOKUP(FP$4,Preisindex,3,FALSE)/VLOOKUP(Preisindex!$A$6,Preisindex,3,FALSE),2),IF(AND($E42&lt;&gt;0,$F42&gt;0,YEAR($F42)&lt;Preisindex!$A$6,YEAR(FK$4)&gt;=YEAR($F42),$K42="g"),ROUND(VLOOKUP(FP$4,Preisindex,4,FALSE)/VLOOKUP(Preisindex!$A$6,Preisindex,4,FALSE),2),IF(AND($E42&lt;&gt;0,$F42&gt;0,YEAR($F42)&lt;Preisindex!$A$6,YEAR(FK$4)&gt;=YEAR($F42),$K42="k"),ROUND(VLOOKUP(FP$4,Preisindex,2,FALSE)/VLOOKUP(Preisindex!$A$6,Preisindex,2,FALSE),2),0)))))</f>
        <v>0</v>
      </c>
      <c r="FR42" s="51">
        <f>IF(AND($E42&lt;&gt;0,$F42&gt;0,YEAR($F42)&lt;=FP$4,YEAR($F42)&gt;=Preisindex!$A$6),ROUND($E42*FP42,2),IF(AND($E42&lt;&gt;0,$F42&gt;0,YEAR($F42)&lt;=FP$4,YEAR($F42)&lt;Preisindex!$A$6),ROUND($E42*FQ42,2),0))</f>
        <v>184600</v>
      </c>
      <c r="FS42" s="53">
        <f t="shared" si="255"/>
        <v>3692</v>
      </c>
    </row>
    <row r="43" spans="1:175" x14ac:dyDescent="0.3">
      <c r="A43" s="195">
        <v>2002</v>
      </c>
      <c r="B43" s="196" t="s">
        <v>230</v>
      </c>
      <c r="C43" s="196"/>
      <c r="D43" s="188" t="s">
        <v>15</v>
      </c>
      <c r="E43" s="99">
        <v>180000</v>
      </c>
      <c r="F43" s="97">
        <v>37438</v>
      </c>
      <c r="G43" s="100">
        <v>50</v>
      </c>
      <c r="H43" s="622"/>
      <c r="I43" s="621"/>
      <c r="J43" s="194"/>
      <c r="K43" s="630" t="s">
        <v>266</v>
      </c>
      <c r="L43" s="49">
        <f t="shared" si="296"/>
        <v>0.02</v>
      </c>
      <c r="M43" s="50">
        <f t="shared" si="297"/>
        <v>3600</v>
      </c>
      <c r="N43" s="51">
        <f t="shared" si="298"/>
        <v>145800</v>
      </c>
      <c r="O43" s="51"/>
      <c r="P43" s="51">
        <f t="shared" si="299"/>
        <v>34200</v>
      </c>
      <c r="Q43" s="52"/>
      <c r="R43" s="52"/>
      <c r="S43" s="52"/>
      <c r="T43" s="52"/>
      <c r="U43" s="52"/>
      <c r="V43" s="53">
        <f t="shared" si="300"/>
        <v>180000</v>
      </c>
      <c r="W43" s="51">
        <f t="shared" si="301"/>
        <v>0</v>
      </c>
      <c r="X43" s="51">
        <f t="shared" si="302"/>
        <v>0</v>
      </c>
      <c r="Y43" s="51">
        <f t="shared" si="303"/>
        <v>0</v>
      </c>
      <c r="Z43" s="51">
        <f t="shared" si="304"/>
        <v>0</v>
      </c>
      <c r="AA43" s="51">
        <f t="shared" si="305"/>
        <v>180000</v>
      </c>
      <c r="AB43" s="51">
        <f t="shared" si="306"/>
        <v>180000</v>
      </c>
      <c r="AC43" s="51">
        <f t="shared" si="307"/>
        <v>3600</v>
      </c>
      <c r="AD43" s="51">
        <f t="shared" si="308"/>
        <v>3600</v>
      </c>
      <c r="AE43" s="51">
        <f t="shared" si="309"/>
        <v>142200</v>
      </c>
      <c r="AF43" s="51">
        <f t="shared" si="310"/>
        <v>142200</v>
      </c>
      <c r="AG43" s="51">
        <f t="shared" si="311"/>
        <v>37800</v>
      </c>
      <c r="AH43" s="54">
        <f t="shared" si="312"/>
        <v>0</v>
      </c>
      <c r="AI43" s="55">
        <f t="shared" si="313"/>
        <v>0</v>
      </c>
      <c r="AJ43" s="56">
        <f>IF(AND($E43&lt;&gt;0,$F43&gt;0,YEAR($F43)&gt;=Preisindex!$A$6,YEAR(AE$4)&gt;=YEAR($F43),AND($K43&lt;&gt;"a",$K43&lt;&gt;"b",$K43&lt;&gt;"g",$K43&lt;&gt;"k")),1,IF(AND($E43&lt;&gt;0,$F43&gt;0,YEAR($F43)&gt;=Preisindex!$A$6,YEAR(AE$4)&gt;=YEAR($F43),$K43="a"),ROUND(VLOOKUP(AJ$4,Preisindex,5,FALSE)/VLOOKUP(YEAR($F43),Preisindex,5,FALSE),2),IF(AND($E43&lt;&gt;0,$F43&gt;0,YEAR($F43)&gt;=Preisindex!$A$6,YEAR(AE$4)&gt;=YEAR($F43),$K43="b"),ROUND(VLOOKUP(AJ$4,Preisindex,3,FALSE)/VLOOKUP(YEAR($F43),Preisindex,3,FALSE),2),IF(AND($E43&lt;&gt;0,$F43&gt;0,YEAR($F43)&gt;=Preisindex!$A$6,YEAR(AE$4)&gt;=YEAR($F43),$K43="g"),ROUND(VLOOKUP(AJ$4,Preisindex,4,FALSE)/VLOOKUP(YEAR($F43),Preisindex,4,FALSE),2),IF(AND($E43&lt;&gt;0,$F43&gt;0,YEAR($F43)&gt;=Preisindex!$A$6,YEAR(AE$4)&gt;=YEAR($F43),$K43="k"),ROUND(VLOOKUP(AJ$4,Preisindex,2,FALSE)/VLOOKUP(YEAR($F43),Preisindex,2,FALSE),2),0)))))</f>
        <v>1.22</v>
      </c>
      <c r="AK43" s="56">
        <f>IF(AND($E43&lt;&gt;0,$F43&gt;0,YEAR($F43)&lt;Preisindex!$A$6,YEAR(AE$4)&gt;=YEAR($F43),AND($K43&lt;&gt;"a",$K43&lt;&gt;"b",$K43&lt;&gt;"g",$K43&lt;&gt;"k")),1,IF(AND($E43&lt;&gt;0,$F43&gt;0,YEAR($F43)&lt;Preisindex!$A$6,YEAR(AE$4)&gt;=YEAR($F43),$K43="a"),ROUND(VLOOKUP(AJ$4,Preisindex,5,FALSE)/VLOOKUP(Preisindex!$A$6,Preisindex,5,FALSE),2),IF(AND($E43&lt;&gt;0,$F43&gt;0,YEAR($F43)&lt;Preisindex!$A$6,YEAR(AE$4)&gt;=YEAR($F43),$K43="b"),ROUND(VLOOKUP(AJ$4,Preisindex,3,FALSE)/VLOOKUP(Preisindex!$A$6,Preisindex,3,FALSE),2),IF(AND($E43&lt;&gt;0,$F43&gt;0,YEAR($F43)&lt;Preisindex!$A$6,YEAR(AE$4)&gt;=YEAR($F43),$K43="g"),ROUND(VLOOKUP(AJ$4,Preisindex,4,FALSE)/VLOOKUP(Preisindex!$A$6,Preisindex,4,FALSE),2),IF(AND($E43&lt;&gt;0,$F43&gt;0,YEAR($F43)&lt;Preisindex!$A$6,YEAR(AE$4)&gt;=YEAR($F43),$K43="k"),ROUND(VLOOKUP(AJ$4,Preisindex,2,FALSE)/VLOOKUP(Preisindex!$A$6,Preisindex,2,FALSE),2),0)))))</f>
        <v>0</v>
      </c>
      <c r="AL43" s="51">
        <f>IF(AND($E43&lt;&gt;0,$F43&gt;0,YEAR($F43)&lt;=AJ$4,YEAR($F43)&gt;=Preisindex!$A$6),ROUND($E43*AJ43,2),IF(AND($E43&lt;&gt;0,$F43&gt;0,YEAR($F43)&lt;=AJ$4,YEAR($F43)&lt;Preisindex!$A$6),ROUND($E43*AK43,2),0))</f>
        <v>219600</v>
      </c>
      <c r="AM43" s="53">
        <f t="shared" si="314"/>
        <v>4392</v>
      </c>
      <c r="AN43" s="51">
        <f t="shared" si="357"/>
        <v>0</v>
      </c>
      <c r="AO43" s="51">
        <f t="shared" si="317"/>
        <v>0</v>
      </c>
      <c r="AP43" s="51">
        <f t="shared" si="146"/>
        <v>0</v>
      </c>
      <c r="AQ43" s="51">
        <f t="shared" si="318"/>
        <v>0</v>
      </c>
      <c r="AR43" s="51">
        <f t="shared" si="148"/>
        <v>180000</v>
      </c>
      <c r="AS43" s="51">
        <f t="shared" si="319"/>
        <v>180000</v>
      </c>
      <c r="AT43" s="51">
        <f t="shared" si="150"/>
        <v>3600</v>
      </c>
      <c r="AU43" s="51">
        <f t="shared" si="320"/>
        <v>3600</v>
      </c>
      <c r="AV43" s="51">
        <f t="shared" si="152"/>
        <v>138600</v>
      </c>
      <c r="AW43" s="51">
        <f t="shared" si="321"/>
        <v>138600</v>
      </c>
      <c r="AX43" s="51">
        <f t="shared" si="154"/>
        <v>41400</v>
      </c>
      <c r="AY43" s="54">
        <f t="shared" si="155"/>
        <v>0</v>
      </c>
      <c r="AZ43" s="55">
        <f t="shared" si="156"/>
        <v>0</v>
      </c>
      <c r="BA43" s="56">
        <f>IF(AND($E43&lt;&gt;0,$F43&gt;0,YEAR($F43)&gt;=Preisindex!$A$6,YEAR(AV$4)&gt;=YEAR($F43),AND($K43&lt;&gt;"a",$K43&lt;&gt;"b",$K43&lt;&gt;"g",$K43&lt;&gt;"k")),1,IF(AND($E43&lt;&gt;0,$F43&gt;0,YEAR($F43)&gt;=Preisindex!$A$6,YEAR(AV$4)&gt;=YEAR($F43),$K43="a"),ROUND(VLOOKUP(BA$4,Preisindex,5,FALSE)/VLOOKUP(YEAR($F43),Preisindex,5,FALSE),2),IF(AND($E43&lt;&gt;0,$F43&gt;0,YEAR($F43)&gt;=Preisindex!$A$6,YEAR(AV$4)&gt;=YEAR($F43),$K43="b"),ROUND(VLOOKUP(BA$4,Preisindex,3,FALSE)/VLOOKUP(YEAR($F43),Preisindex,3,FALSE),2),IF(AND($E43&lt;&gt;0,$F43&gt;0,YEAR($F43)&gt;=Preisindex!$A$6,YEAR(AV$4)&gt;=YEAR($F43),$K43="g"),ROUND(VLOOKUP(BA$4,Preisindex,4,FALSE)/VLOOKUP(YEAR($F43),Preisindex,4,FALSE),2),IF(AND($E43&lt;&gt;0,$F43&gt;0,YEAR($F43)&gt;=Preisindex!$A$6,YEAR(AV$4)&gt;=YEAR($F43),$K43="k"),ROUND(VLOOKUP(BA$4,Preisindex,2,FALSE)/VLOOKUP(YEAR($F43),Preisindex,2,FALSE),2),0)))))</f>
        <v>1.24</v>
      </c>
      <c r="BB43" s="56">
        <f>IF(AND($E43&lt;&gt;0,$F43&gt;0,YEAR($F43)&lt;Preisindex!$A$6,YEAR(AV$4)&gt;=YEAR($F43),AND($K43&lt;&gt;"a",$K43&lt;&gt;"b",$K43&lt;&gt;"g",$K43&lt;&gt;"k")),1,IF(AND($E43&lt;&gt;0,$F43&gt;0,YEAR($F43)&lt;Preisindex!$A$6,YEAR(AV$4)&gt;=YEAR($F43),$K43="a"),ROUND(VLOOKUP(BA$4,Preisindex,5,FALSE)/VLOOKUP(Preisindex!$A$6,Preisindex,5,FALSE),2),IF(AND($E43&lt;&gt;0,$F43&gt;0,YEAR($F43)&lt;Preisindex!$A$6,YEAR(AV$4)&gt;=YEAR($F43),$K43="b"),ROUND(VLOOKUP(BA$4,Preisindex,3,FALSE)/VLOOKUP(Preisindex!$A$6,Preisindex,3,FALSE),2),IF(AND($E43&lt;&gt;0,$F43&gt;0,YEAR($F43)&lt;Preisindex!$A$6,YEAR(AV$4)&gt;=YEAR($F43),$K43="g"),ROUND(VLOOKUP(BA$4,Preisindex,4,FALSE)/VLOOKUP(Preisindex!$A$6,Preisindex,4,FALSE),2),IF(AND($E43&lt;&gt;0,$F43&gt;0,YEAR($F43)&lt;Preisindex!$A$6,YEAR(AV$4)&gt;=YEAR($F43),$K43="k"),ROUND(VLOOKUP(BA$4,Preisindex,2,FALSE)/VLOOKUP(Preisindex!$A$6,Preisindex,2,FALSE),2),0)))))</f>
        <v>0</v>
      </c>
      <c r="BC43" s="51">
        <f>IF(AND($E43&lt;&gt;0,$F43&gt;0,YEAR($F43)&lt;=BA$4,YEAR($F43)&gt;=Preisindex!$A$6),ROUND($E43*BA43,2),IF(AND($E43&lt;&gt;0,$F43&gt;0,YEAR($F43)&lt;=BA$4,YEAR($F43)&lt;Preisindex!$A$6),ROUND($E43*BB43,2),0))</f>
        <v>223200</v>
      </c>
      <c r="BD43" s="53">
        <f t="shared" si="157"/>
        <v>4464</v>
      </c>
      <c r="BE43" s="51">
        <f t="shared" si="357"/>
        <v>0</v>
      </c>
      <c r="BF43" s="51">
        <f t="shared" si="322"/>
        <v>0</v>
      </c>
      <c r="BG43" s="51">
        <f t="shared" si="160"/>
        <v>0</v>
      </c>
      <c r="BH43" s="51">
        <f t="shared" si="323"/>
        <v>0</v>
      </c>
      <c r="BI43" s="51">
        <f t="shared" si="162"/>
        <v>180000</v>
      </c>
      <c r="BJ43" s="51">
        <f t="shared" si="324"/>
        <v>180000</v>
      </c>
      <c r="BK43" s="51">
        <f t="shared" si="164"/>
        <v>3600</v>
      </c>
      <c r="BL43" s="51">
        <f t="shared" si="325"/>
        <v>3600</v>
      </c>
      <c r="BM43" s="51">
        <f t="shared" si="166"/>
        <v>135000</v>
      </c>
      <c r="BN43" s="51">
        <f t="shared" si="326"/>
        <v>135000</v>
      </c>
      <c r="BO43" s="51">
        <f t="shared" si="168"/>
        <v>45000</v>
      </c>
      <c r="BP43" s="54">
        <f t="shared" si="169"/>
        <v>0</v>
      </c>
      <c r="BQ43" s="55">
        <f t="shared" si="170"/>
        <v>0</v>
      </c>
      <c r="BR43" s="56">
        <f>IF(AND($E43&lt;&gt;0,$F43&gt;0,YEAR($F43)&gt;=Preisindex!$A$6,YEAR(BM$4)&gt;=YEAR($F43),AND($K43&lt;&gt;"a",$K43&lt;&gt;"b",$K43&lt;&gt;"g",$K43&lt;&gt;"k")),1,IF(AND($E43&lt;&gt;0,$F43&gt;0,YEAR($F43)&gt;=Preisindex!$A$6,YEAR(BM$4)&gt;=YEAR($F43),$K43="a"),ROUND(VLOOKUP(BR$4,Preisindex,5,FALSE)/VLOOKUP(YEAR($F43),Preisindex,5,FALSE),2),IF(AND($E43&lt;&gt;0,$F43&gt;0,YEAR($F43)&gt;=Preisindex!$A$6,YEAR(BM$4)&gt;=YEAR($F43),$K43="b"),ROUND(VLOOKUP(BR$4,Preisindex,3,FALSE)/VLOOKUP(YEAR($F43),Preisindex,3,FALSE),2),IF(AND($E43&lt;&gt;0,$F43&gt;0,YEAR($F43)&gt;=Preisindex!$A$6,YEAR(BM$4)&gt;=YEAR($F43),$K43="g"),ROUND(VLOOKUP(BR$4,Preisindex,4,FALSE)/VLOOKUP(YEAR($F43),Preisindex,4,FALSE),2),IF(AND($E43&lt;&gt;0,$F43&gt;0,YEAR($F43)&gt;=Preisindex!$A$6,YEAR(BM$4)&gt;=YEAR($F43),$K43="k"),ROUND(VLOOKUP(BR$4,Preisindex,2,FALSE)/VLOOKUP(YEAR($F43),Preisindex,2,FALSE),2),0)))))</f>
        <v>1.26</v>
      </c>
      <c r="BS43" s="56">
        <f>IF(AND($E43&lt;&gt;0,$F43&gt;0,YEAR($F43)&lt;Preisindex!$A$6,YEAR(BM$4)&gt;=YEAR($F43),AND($K43&lt;&gt;"a",$K43&lt;&gt;"b",$K43&lt;&gt;"g",$K43&lt;&gt;"k")),1,IF(AND($E43&lt;&gt;0,$F43&gt;0,YEAR($F43)&lt;Preisindex!$A$6,YEAR(BM$4)&gt;=YEAR($F43),$K43="a"),ROUND(VLOOKUP(BR$4,Preisindex,5,FALSE)/VLOOKUP(Preisindex!$A$6,Preisindex,5,FALSE),2),IF(AND($E43&lt;&gt;0,$F43&gt;0,YEAR($F43)&lt;Preisindex!$A$6,YEAR(BM$4)&gt;=YEAR($F43),$K43="b"),ROUND(VLOOKUP(BR$4,Preisindex,3,FALSE)/VLOOKUP(Preisindex!$A$6,Preisindex,3,FALSE),2),IF(AND($E43&lt;&gt;0,$F43&gt;0,YEAR($F43)&lt;Preisindex!$A$6,YEAR(BM$4)&gt;=YEAR($F43),$K43="g"),ROUND(VLOOKUP(BR$4,Preisindex,4,FALSE)/VLOOKUP(Preisindex!$A$6,Preisindex,4,FALSE),2),IF(AND($E43&lt;&gt;0,$F43&gt;0,YEAR($F43)&lt;Preisindex!$A$6,YEAR(BM$4)&gt;=YEAR($F43),$K43="k"),ROUND(VLOOKUP(BR$4,Preisindex,2,FALSE)/VLOOKUP(Preisindex!$A$6,Preisindex,2,FALSE),2),0)))))</f>
        <v>0</v>
      </c>
      <c r="BT43" s="51">
        <f>IF(AND($E43&lt;&gt;0,$F43&gt;0,YEAR($F43)&lt;=BR$4,YEAR($F43)&gt;=Preisindex!$A$6),ROUND($E43*BR43,2),IF(AND($E43&lt;&gt;0,$F43&gt;0,YEAR($F43)&lt;=BR$4,YEAR($F43)&lt;Preisindex!$A$6),ROUND($E43*BS43,2),0))</f>
        <v>226800</v>
      </c>
      <c r="BU43" s="53">
        <f t="shared" si="171"/>
        <v>4536</v>
      </c>
      <c r="BV43" s="51">
        <f t="shared" si="357"/>
        <v>0</v>
      </c>
      <c r="BW43" s="51">
        <f t="shared" si="327"/>
        <v>0</v>
      </c>
      <c r="BX43" s="51">
        <f t="shared" si="174"/>
        <v>0</v>
      </c>
      <c r="BY43" s="51">
        <f t="shared" si="328"/>
        <v>0</v>
      </c>
      <c r="BZ43" s="51">
        <f t="shared" si="176"/>
        <v>180000</v>
      </c>
      <c r="CA43" s="51">
        <f t="shared" si="329"/>
        <v>180000</v>
      </c>
      <c r="CB43" s="51">
        <f t="shared" si="178"/>
        <v>3600</v>
      </c>
      <c r="CC43" s="51">
        <f t="shared" si="330"/>
        <v>3600</v>
      </c>
      <c r="CD43" s="51">
        <f t="shared" si="180"/>
        <v>131400</v>
      </c>
      <c r="CE43" s="51">
        <f t="shared" si="331"/>
        <v>131400</v>
      </c>
      <c r="CF43" s="51">
        <f t="shared" si="182"/>
        <v>48600</v>
      </c>
      <c r="CG43" s="54">
        <f t="shared" si="183"/>
        <v>0</v>
      </c>
      <c r="CH43" s="55">
        <f t="shared" si="184"/>
        <v>0</v>
      </c>
      <c r="CI43" s="56">
        <f>IF(AND($E43&lt;&gt;0,$F43&gt;0,YEAR($F43)&gt;=Preisindex!$A$6,YEAR(CD$4)&gt;=YEAR($F43),AND($K43&lt;&gt;"a",$K43&lt;&gt;"b",$K43&lt;&gt;"g",$K43&lt;&gt;"k")),1,IF(AND($E43&lt;&gt;0,$F43&gt;0,YEAR($F43)&gt;=Preisindex!$A$6,YEAR(CD$4)&gt;=YEAR($F43),$K43="a"),ROUND(VLOOKUP(CI$4,Preisindex,5,FALSE)/VLOOKUP(YEAR($F43),Preisindex,5,FALSE),2),IF(AND($E43&lt;&gt;0,$F43&gt;0,YEAR($F43)&gt;=Preisindex!$A$6,YEAR(CD$4)&gt;=YEAR($F43),$K43="b"),ROUND(VLOOKUP(CI$4,Preisindex,3,FALSE)/VLOOKUP(YEAR($F43),Preisindex,3,FALSE),2),IF(AND($E43&lt;&gt;0,$F43&gt;0,YEAR($F43)&gt;=Preisindex!$A$6,YEAR(CD$4)&gt;=YEAR($F43),$K43="g"),ROUND(VLOOKUP(CI$4,Preisindex,4,FALSE)/VLOOKUP(YEAR($F43),Preisindex,4,FALSE),2),IF(AND($E43&lt;&gt;0,$F43&gt;0,YEAR($F43)&gt;=Preisindex!$A$6,YEAR(CD$4)&gt;=YEAR($F43),$K43="k"),ROUND(VLOOKUP(CI$4,Preisindex,2,FALSE)/VLOOKUP(YEAR($F43),Preisindex,2,FALSE),2),0)))))</f>
        <v>1.28</v>
      </c>
      <c r="CJ43" s="56">
        <f>IF(AND($E43&lt;&gt;0,$F43&gt;0,YEAR($F43)&lt;Preisindex!$A$6,YEAR(CD$4)&gt;=YEAR($F43),AND($K43&lt;&gt;"a",$K43&lt;&gt;"b",$K43&lt;&gt;"g",$K43&lt;&gt;"k")),1,IF(AND($E43&lt;&gt;0,$F43&gt;0,YEAR($F43)&lt;Preisindex!$A$6,YEAR(CD$4)&gt;=YEAR($F43),$K43="a"),ROUND(VLOOKUP(CI$4,Preisindex,5,FALSE)/VLOOKUP(Preisindex!$A$6,Preisindex,5,FALSE),2),IF(AND($E43&lt;&gt;0,$F43&gt;0,YEAR($F43)&lt;Preisindex!$A$6,YEAR(CD$4)&gt;=YEAR($F43),$K43="b"),ROUND(VLOOKUP(CI$4,Preisindex,3,FALSE)/VLOOKUP(Preisindex!$A$6,Preisindex,3,FALSE),2),IF(AND($E43&lt;&gt;0,$F43&gt;0,YEAR($F43)&lt;Preisindex!$A$6,YEAR(CD$4)&gt;=YEAR($F43),$K43="g"),ROUND(VLOOKUP(CI$4,Preisindex,4,FALSE)/VLOOKUP(Preisindex!$A$6,Preisindex,4,FALSE),2),IF(AND($E43&lt;&gt;0,$F43&gt;0,YEAR($F43)&lt;Preisindex!$A$6,YEAR(CD$4)&gt;=YEAR($F43),$K43="k"),ROUND(VLOOKUP(CI$4,Preisindex,2,FALSE)/VLOOKUP(Preisindex!$A$6,Preisindex,2,FALSE),2),0)))))</f>
        <v>0</v>
      </c>
      <c r="CK43" s="51">
        <f>IF(AND($E43&lt;&gt;0,$F43&gt;0,YEAR($F43)&lt;=CI$4,YEAR($F43)&gt;=Preisindex!$A$6),ROUND($E43*CI43,2),IF(AND($E43&lt;&gt;0,$F43&gt;0,YEAR($F43)&lt;=CI$4,YEAR($F43)&lt;Preisindex!$A$6),ROUND($E43*CJ43,2),0))</f>
        <v>230400</v>
      </c>
      <c r="CL43" s="53">
        <f t="shared" si="185"/>
        <v>4608</v>
      </c>
      <c r="CM43" s="51">
        <f t="shared" si="357"/>
        <v>0</v>
      </c>
      <c r="CN43" s="51">
        <f t="shared" si="332"/>
        <v>0</v>
      </c>
      <c r="CO43" s="51">
        <f t="shared" si="188"/>
        <v>0</v>
      </c>
      <c r="CP43" s="51">
        <f t="shared" si="333"/>
        <v>0</v>
      </c>
      <c r="CQ43" s="51">
        <f t="shared" si="190"/>
        <v>180000</v>
      </c>
      <c r="CR43" s="51">
        <f t="shared" si="334"/>
        <v>180000</v>
      </c>
      <c r="CS43" s="51">
        <f t="shared" si="192"/>
        <v>3600</v>
      </c>
      <c r="CT43" s="51">
        <f t="shared" si="335"/>
        <v>3600</v>
      </c>
      <c r="CU43" s="51">
        <f t="shared" si="194"/>
        <v>127800</v>
      </c>
      <c r="CV43" s="51">
        <f t="shared" si="336"/>
        <v>127800</v>
      </c>
      <c r="CW43" s="51">
        <f t="shared" si="196"/>
        <v>52200</v>
      </c>
      <c r="CX43" s="54">
        <f t="shared" si="197"/>
        <v>0</v>
      </c>
      <c r="CY43" s="55">
        <f t="shared" si="198"/>
        <v>0</v>
      </c>
      <c r="CZ43" s="56">
        <f>IF(AND($E43&lt;&gt;0,$F43&gt;0,YEAR($F43)&gt;=Preisindex!$A$6,YEAR(CU$4)&gt;=YEAR($F43),AND($K43&lt;&gt;"a",$K43&lt;&gt;"b",$K43&lt;&gt;"g",$K43&lt;&gt;"k")),1,IF(AND($E43&lt;&gt;0,$F43&gt;0,YEAR($F43)&gt;=Preisindex!$A$6,YEAR(CU$4)&gt;=YEAR($F43),$K43="a"),ROUND(VLOOKUP(CZ$4,Preisindex,5,FALSE)/VLOOKUP(YEAR($F43),Preisindex,5,FALSE),2),IF(AND($E43&lt;&gt;0,$F43&gt;0,YEAR($F43)&gt;=Preisindex!$A$6,YEAR(CU$4)&gt;=YEAR($F43),$K43="b"),ROUND(VLOOKUP(CZ$4,Preisindex,3,FALSE)/VLOOKUP(YEAR($F43),Preisindex,3,FALSE),2),IF(AND($E43&lt;&gt;0,$F43&gt;0,YEAR($F43)&gt;=Preisindex!$A$6,YEAR(CU$4)&gt;=YEAR($F43),$K43="g"),ROUND(VLOOKUP(CZ$4,Preisindex,4,FALSE)/VLOOKUP(YEAR($F43),Preisindex,4,FALSE),2),IF(AND($E43&lt;&gt;0,$F43&gt;0,YEAR($F43)&gt;=Preisindex!$A$6,YEAR(CU$4)&gt;=YEAR($F43),$K43="k"),ROUND(VLOOKUP(CZ$4,Preisindex,2,FALSE)/VLOOKUP(YEAR($F43),Preisindex,2,FALSE),2),0)))))</f>
        <v>1.3</v>
      </c>
      <c r="DA43" s="56">
        <f>IF(AND($E43&lt;&gt;0,$F43&gt;0,YEAR($F43)&lt;Preisindex!$A$6,YEAR(CU$4)&gt;=YEAR($F43),AND($K43&lt;&gt;"a",$K43&lt;&gt;"b",$K43&lt;&gt;"g",$K43&lt;&gt;"k")),1,IF(AND($E43&lt;&gt;0,$F43&gt;0,YEAR($F43)&lt;Preisindex!$A$6,YEAR(CU$4)&gt;=YEAR($F43),$K43="a"),ROUND(VLOOKUP(CZ$4,Preisindex,5,FALSE)/VLOOKUP(Preisindex!$A$6,Preisindex,5,FALSE),2),IF(AND($E43&lt;&gt;0,$F43&gt;0,YEAR($F43)&lt;Preisindex!$A$6,YEAR(CU$4)&gt;=YEAR($F43),$K43="b"),ROUND(VLOOKUP(CZ$4,Preisindex,3,FALSE)/VLOOKUP(Preisindex!$A$6,Preisindex,3,FALSE),2),IF(AND($E43&lt;&gt;0,$F43&gt;0,YEAR($F43)&lt;Preisindex!$A$6,YEAR(CU$4)&gt;=YEAR($F43),$K43="g"),ROUND(VLOOKUP(CZ$4,Preisindex,4,FALSE)/VLOOKUP(Preisindex!$A$6,Preisindex,4,FALSE),2),IF(AND($E43&lt;&gt;0,$F43&gt;0,YEAR($F43)&lt;Preisindex!$A$6,YEAR(CU$4)&gt;=YEAR($F43),$K43="k"),ROUND(VLOOKUP(CZ$4,Preisindex,2,FALSE)/VLOOKUP(Preisindex!$A$6,Preisindex,2,FALSE),2),0)))))</f>
        <v>0</v>
      </c>
      <c r="DB43" s="51">
        <f>IF(AND($E43&lt;&gt;0,$F43&gt;0,YEAR($F43)&lt;=CZ$4,YEAR($F43)&gt;=Preisindex!$A$6),ROUND($E43*CZ43,2),IF(AND($E43&lt;&gt;0,$F43&gt;0,YEAR($F43)&lt;=CZ$4,YEAR($F43)&lt;Preisindex!$A$6),ROUND($E43*DA43,2),0))</f>
        <v>234000</v>
      </c>
      <c r="DC43" s="53">
        <f t="shared" si="199"/>
        <v>4680</v>
      </c>
      <c r="DD43" s="51">
        <f t="shared" si="358"/>
        <v>0</v>
      </c>
      <c r="DE43" s="51">
        <f t="shared" si="337"/>
        <v>0</v>
      </c>
      <c r="DF43" s="51">
        <f t="shared" si="202"/>
        <v>0</v>
      </c>
      <c r="DG43" s="51">
        <f t="shared" si="338"/>
        <v>0</v>
      </c>
      <c r="DH43" s="51">
        <f t="shared" si="204"/>
        <v>180000</v>
      </c>
      <c r="DI43" s="51">
        <f t="shared" si="339"/>
        <v>180000</v>
      </c>
      <c r="DJ43" s="51">
        <f t="shared" si="206"/>
        <v>3600</v>
      </c>
      <c r="DK43" s="51">
        <f t="shared" si="340"/>
        <v>3600</v>
      </c>
      <c r="DL43" s="51">
        <f t="shared" si="208"/>
        <v>124200</v>
      </c>
      <c r="DM43" s="51">
        <f t="shared" si="341"/>
        <v>124200</v>
      </c>
      <c r="DN43" s="51">
        <f t="shared" si="210"/>
        <v>55800</v>
      </c>
      <c r="DO43" s="54">
        <f t="shared" si="211"/>
        <v>0</v>
      </c>
      <c r="DP43" s="55">
        <f t="shared" si="212"/>
        <v>0</v>
      </c>
      <c r="DQ43" s="56">
        <f>IF(AND($E43&lt;&gt;0,$F43&gt;0,YEAR($F43)&gt;=Preisindex!$A$6,YEAR(DL$4)&gt;=YEAR($F43),AND($K43&lt;&gt;"a",$K43&lt;&gt;"b",$K43&lt;&gt;"g",$K43&lt;&gt;"k")),1,IF(AND($E43&lt;&gt;0,$F43&gt;0,YEAR($F43)&gt;=Preisindex!$A$6,YEAR(DL$4)&gt;=YEAR($F43),$K43="a"),ROUND(VLOOKUP(DQ$4,Preisindex,5,FALSE)/VLOOKUP(YEAR($F43),Preisindex,5,FALSE),2),IF(AND($E43&lt;&gt;0,$F43&gt;0,YEAR($F43)&gt;=Preisindex!$A$6,YEAR(DL$4)&gt;=YEAR($F43),$K43="b"),ROUND(VLOOKUP(DQ$4,Preisindex,3,FALSE)/VLOOKUP(YEAR($F43),Preisindex,3,FALSE),2),IF(AND($E43&lt;&gt;0,$F43&gt;0,YEAR($F43)&gt;=Preisindex!$A$6,YEAR(DL$4)&gt;=YEAR($F43),$K43="g"),ROUND(VLOOKUP(DQ$4,Preisindex,4,FALSE)/VLOOKUP(YEAR($F43),Preisindex,4,FALSE),2),IF(AND($E43&lt;&gt;0,$F43&gt;0,YEAR($F43)&gt;=Preisindex!$A$6,YEAR(DL$4)&gt;=YEAR($F43),$K43="k"),ROUND(VLOOKUP(DQ$4,Preisindex,2,FALSE)/VLOOKUP(YEAR($F43),Preisindex,2,FALSE),2),0)))))</f>
        <v>1.34</v>
      </c>
      <c r="DR43" s="56">
        <f>IF(AND($E43&lt;&gt;0,$F43&gt;0,YEAR($F43)&lt;Preisindex!$A$6,YEAR(DL$4)&gt;=YEAR($F43),AND($K43&lt;&gt;"a",$K43&lt;&gt;"b",$K43&lt;&gt;"g",$K43&lt;&gt;"k")),1,IF(AND($E43&lt;&gt;0,$F43&gt;0,YEAR($F43)&lt;Preisindex!$A$6,YEAR(DL$4)&gt;=YEAR($F43),$K43="a"),ROUND(VLOOKUP(DQ$4,Preisindex,5,FALSE)/VLOOKUP(Preisindex!$A$6,Preisindex,5,FALSE),2),IF(AND($E43&lt;&gt;0,$F43&gt;0,YEAR($F43)&lt;Preisindex!$A$6,YEAR(DL$4)&gt;=YEAR($F43),$K43="b"),ROUND(VLOOKUP(DQ$4,Preisindex,3,FALSE)/VLOOKUP(Preisindex!$A$6,Preisindex,3,FALSE),2),IF(AND($E43&lt;&gt;0,$F43&gt;0,YEAR($F43)&lt;Preisindex!$A$6,YEAR(DL$4)&gt;=YEAR($F43),$K43="g"),ROUND(VLOOKUP(DQ$4,Preisindex,4,FALSE)/VLOOKUP(Preisindex!$A$6,Preisindex,4,FALSE),2),IF(AND($E43&lt;&gt;0,$F43&gt;0,YEAR($F43)&lt;Preisindex!$A$6,YEAR(DL$4)&gt;=YEAR($F43),$K43="k"),ROUND(VLOOKUP(DQ$4,Preisindex,2,FALSE)/VLOOKUP(Preisindex!$A$6,Preisindex,2,FALSE),2),0)))))</f>
        <v>0</v>
      </c>
      <c r="DS43" s="51">
        <f>IF(AND($E43&lt;&gt;0,$F43&gt;0,YEAR($F43)&lt;=DQ$4,YEAR($F43)&gt;=Preisindex!$A$6),ROUND($E43*DQ43,2),IF(AND($E43&lt;&gt;0,$F43&gt;0,YEAR($F43)&lt;=DQ$4,YEAR($F43)&lt;Preisindex!$A$6),ROUND($E43*DR43,2),0))</f>
        <v>241200</v>
      </c>
      <c r="DT43" s="53">
        <f t="shared" si="213"/>
        <v>4824</v>
      </c>
      <c r="DU43" s="51">
        <f t="shared" si="358"/>
        <v>0</v>
      </c>
      <c r="DV43" s="51">
        <f t="shared" si="342"/>
        <v>0</v>
      </c>
      <c r="DW43" s="51">
        <f t="shared" si="216"/>
        <v>0</v>
      </c>
      <c r="DX43" s="51">
        <f t="shared" si="343"/>
        <v>0</v>
      </c>
      <c r="DY43" s="51">
        <f t="shared" si="218"/>
        <v>180000</v>
      </c>
      <c r="DZ43" s="51">
        <f t="shared" si="344"/>
        <v>180000</v>
      </c>
      <c r="EA43" s="51">
        <f t="shared" si="220"/>
        <v>3600</v>
      </c>
      <c r="EB43" s="51">
        <f t="shared" si="345"/>
        <v>3600</v>
      </c>
      <c r="EC43" s="51">
        <f t="shared" si="222"/>
        <v>120600</v>
      </c>
      <c r="ED43" s="51">
        <f t="shared" si="346"/>
        <v>120600</v>
      </c>
      <c r="EE43" s="51">
        <f t="shared" si="224"/>
        <v>59400</v>
      </c>
      <c r="EF43" s="54">
        <f t="shared" si="225"/>
        <v>0</v>
      </c>
      <c r="EG43" s="55">
        <f t="shared" si="226"/>
        <v>0</v>
      </c>
      <c r="EH43" s="56">
        <f>IF(AND($E43&lt;&gt;0,$F43&gt;0,YEAR($F43)&gt;=Preisindex!$A$6,YEAR(EC$4)&gt;=YEAR($F43),AND($K43&lt;&gt;"a",$K43&lt;&gt;"b",$K43&lt;&gt;"g",$K43&lt;&gt;"k")),1,IF(AND($E43&lt;&gt;0,$F43&gt;0,YEAR($F43)&gt;=Preisindex!$A$6,YEAR(EC$4)&gt;=YEAR($F43),$K43="a"),ROUND(VLOOKUP(EH$4,Preisindex,5,FALSE)/VLOOKUP(YEAR($F43),Preisindex,5,FALSE),2),IF(AND($E43&lt;&gt;0,$F43&gt;0,YEAR($F43)&gt;=Preisindex!$A$6,YEAR(EC$4)&gt;=YEAR($F43),$K43="b"),ROUND(VLOOKUP(EH$4,Preisindex,3,FALSE)/VLOOKUP(YEAR($F43),Preisindex,3,FALSE),2),IF(AND($E43&lt;&gt;0,$F43&gt;0,YEAR($F43)&gt;=Preisindex!$A$6,YEAR(EC$4)&gt;=YEAR($F43),$K43="g"),ROUND(VLOOKUP(EH$4,Preisindex,4,FALSE)/VLOOKUP(YEAR($F43),Preisindex,4,FALSE),2),IF(AND($E43&lt;&gt;0,$F43&gt;0,YEAR($F43)&gt;=Preisindex!$A$6,YEAR(EC$4)&gt;=YEAR($F43),$K43="k"),ROUND(VLOOKUP(EH$4,Preisindex,2,FALSE)/VLOOKUP(YEAR($F43),Preisindex,2,FALSE),2),0)))))</f>
        <v>1.41</v>
      </c>
      <c r="EI43" s="56">
        <f>IF(AND($E43&lt;&gt;0,$F43&gt;0,YEAR($F43)&lt;Preisindex!$A$6,YEAR(EC$4)&gt;=YEAR($F43),AND($K43&lt;&gt;"a",$K43&lt;&gt;"b",$K43&lt;&gt;"g",$K43&lt;&gt;"k")),1,IF(AND($E43&lt;&gt;0,$F43&gt;0,YEAR($F43)&lt;Preisindex!$A$6,YEAR(EC$4)&gt;=YEAR($F43),$K43="a"),ROUND(VLOOKUP(EH$4,Preisindex,5,FALSE)/VLOOKUP(Preisindex!$A$6,Preisindex,5,FALSE),2),IF(AND($E43&lt;&gt;0,$F43&gt;0,YEAR($F43)&lt;Preisindex!$A$6,YEAR(EC$4)&gt;=YEAR($F43),$K43="b"),ROUND(VLOOKUP(EH$4,Preisindex,3,FALSE)/VLOOKUP(Preisindex!$A$6,Preisindex,3,FALSE),2),IF(AND($E43&lt;&gt;0,$F43&gt;0,YEAR($F43)&lt;Preisindex!$A$6,YEAR(EC$4)&gt;=YEAR($F43),$K43="g"),ROUND(VLOOKUP(EH$4,Preisindex,4,FALSE)/VLOOKUP(Preisindex!$A$6,Preisindex,4,FALSE),2),IF(AND($E43&lt;&gt;0,$F43&gt;0,YEAR($F43)&lt;Preisindex!$A$6,YEAR(EC$4)&gt;=YEAR($F43),$K43="k"),ROUND(VLOOKUP(EH$4,Preisindex,2,FALSE)/VLOOKUP(Preisindex!$A$6,Preisindex,2,FALSE),2),0)))))</f>
        <v>0</v>
      </c>
      <c r="EJ43" s="51">
        <f>IF(AND($E43&lt;&gt;0,$F43&gt;0,YEAR($F43)&lt;=EH$4,YEAR($F43)&gt;=Preisindex!$A$6),ROUND($E43*EH43,2),IF(AND($E43&lt;&gt;0,$F43&gt;0,YEAR($F43)&lt;=EH$4,YEAR($F43)&lt;Preisindex!$A$6),ROUND($E43*EI43,2),0))</f>
        <v>253800</v>
      </c>
      <c r="EK43" s="53">
        <f t="shared" si="227"/>
        <v>5076</v>
      </c>
      <c r="EL43" s="51">
        <f t="shared" si="358"/>
        <v>0</v>
      </c>
      <c r="EM43" s="51">
        <f t="shared" si="347"/>
        <v>0</v>
      </c>
      <c r="EN43" s="51">
        <f t="shared" si="230"/>
        <v>0</v>
      </c>
      <c r="EO43" s="51">
        <f t="shared" si="348"/>
        <v>0</v>
      </c>
      <c r="EP43" s="51">
        <f t="shared" si="232"/>
        <v>180000</v>
      </c>
      <c r="EQ43" s="51">
        <f t="shared" si="349"/>
        <v>180000</v>
      </c>
      <c r="ER43" s="51">
        <f t="shared" si="234"/>
        <v>3600</v>
      </c>
      <c r="ES43" s="51">
        <f t="shared" si="350"/>
        <v>3600</v>
      </c>
      <c r="ET43" s="51">
        <f t="shared" si="236"/>
        <v>117000</v>
      </c>
      <c r="EU43" s="51">
        <f t="shared" si="351"/>
        <v>117000</v>
      </c>
      <c r="EV43" s="51">
        <f t="shared" si="238"/>
        <v>63000</v>
      </c>
      <c r="EW43" s="54">
        <f t="shared" si="239"/>
        <v>0</v>
      </c>
      <c r="EX43" s="55">
        <f t="shared" si="240"/>
        <v>0</v>
      </c>
      <c r="EY43" s="56">
        <f>IF(AND($E43&lt;&gt;0,$F43&gt;0,YEAR($F43)&gt;=Preisindex!$A$6,YEAR(ET$4)&gt;=YEAR($F43),AND($K43&lt;&gt;"a",$K43&lt;&gt;"b",$K43&lt;&gt;"g",$K43&lt;&gt;"k")),1,IF(AND($E43&lt;&gt;0,$F43&gt;0,YEAR($F43)&gt;=Preisindex!$A$6,YEAR(ET$4)&gt;=YEAR($F43),$K43="a"),ROUND(VLOOKUP(EY$4,Preisindex,5,FALSE)/VLOOKUP(YEAR($F43),Preisindex,5,FALSE),2),IF(AND($E43&lt;&gt;0,$F43&gt;0,YEAR($F43)&gt;=Preisindex!$A$6,YEAR(ET$4)&gt;=YEAR($F43),$K43="b"),ROUND(VLOOKUP(EY$4,Preisindex,3,FALSE)/VLOOKUP(YEAR($F43),Preisindex,3,FALSE),2),IF(AND($E43&lt;&gt;0,$F43&gt;0,YEAR($F43)&gt;=Preisindex!$A$6,YEAR(ET$4)&gt;=YEAR($F43),$K43="g"),ROUND(VLOOKUP(EY$4,Preisindex,4,FALSE)/VLOOKUP(YEAR($F43),Preisindex,4,FALSE),2),IF(AND($E43&lt;&gt;0,$F43&gt;0,YEAR($F43)&gt;=Preisindex!$A$6,YEAR(ET$4)&gt;=YEAR($F43),$K43="k"),ROUND(VLOOKUP(EY$4,Preisindex,2,FALSE)/VLOOKUP(YEAR($F43),Preisindex,2,FALSE),2),0)))))</f>
        <v>1.41</v>
      </c>
      <c r="EZ43" s="56">
        <f>IF(AND($E43&lt;&gt;0,$F43&gt;0,YEAR($F43)&lt;Preisindex!$A$6,YEAR(ET$4)&gt;=YEAR($F43),AND($K43&lt;&gt;"a",$K43&lt;&gt;"b",$K43&lt;&gt;"g",$K43&lt;&gt;"k")),1,IF(AND($E43&lt;&gt;0,$F43&gt;0,YEAR($F43)&lt;Preisindex!$A$6,YEAR(ET$4)&gt;=YEAR($F43),$K43="a"),ROUND(VLOOKUP(EY$4,Preisindex,5,FALSE)/VLOOKUP(Preisindex!$A$6,Preisindex,5,FALSE),2),IF(AND($E43&lt;&gt;0,$F43&gt;0,YEAR($F43)&lt;Preisindex!$A$6,YEAR(ET$4)&gt;=YEAR($F43),$K43="b"),ROUND(VLOOKUP(EY$4,Preisindex,3,FALSE)/VLOOKUP(Preisindex!$A$6,Preisindex,3,FALSE),2),IF(AND($E43&lt;&gt;0,$F43&gt;0,YEAR($F43)&lt;Preisindex!$A$6,YEAR(ET$4)&gt;=YEAR($F43),$K43="g"),ROUND(VLOOKUP(EY$4,Preisindex,4,FALSE)/VLOOKUP(Preisindex!$A$6,Preisindex,4,FALSE),2),IF(AND($E43&lt;&gt;0,$F43&gt;0,YEAR($F43)&lt;Preisindex!$A$6,YEAR(ET$4)&gt;=YEAR($F43),$K43="k"),ROUND(VLOOKUP(EY$4,Preisindex,2,FALSE)/VLOOKUP(Preisindex!$A$6,Preisindex,2,FALSE),2),0)))))</f>
        <v>0</v>
      </c>
      <c r="FA43" s="51">
        <f>IF(AND($E43&lt;&gt;0,$F43&gt;0,YEAR($F43)&lt;=EY$4,YEAR($F43)&gt;=Preisindex!$A$6),ROUND($E43*EY43,2),IF(AND($E43&lt;&gt;0,$F43&gt;0,YEAR($F43)&lt;=EY$4,YEAR($F43)&lt;Preisindex!$A$6),ROUND($E43*EZ43,2),0))</f>
        <v>253800</v>
      </c>
      <c r="FB43" s="53">
        <f t="shared" si="241"/>
        <v>5076</v>
      </c>
      <c r="FC43" s="51">
        <f t="shared" si="358"/>
        <v>0</v>
      </c>
      <c r="FD43" s="51">
        <f t="shared" si="352"/>
        <v>0</v>
      </c>
      <c r="FE43" s="51">
        <f t="shared" si="244"/>
        <v>0</v>
      </c>
      <c r="FF43" s="51">
        <f t="shared" si="353"/>
        <v>0</v>
      </c>
      <c r="FG43" s="51">
        <f t="shared" si="246"/>
        <v>180000</v>
      </c>
      <c r="FH43" s="51">
        <f t="shared" si="354"/>
        <v>180000</v>
      </c>
      <c r="FI43" s="51">
        <f t="shared" si="248"/>
        <v>3600</v>
      </c>
      <c r="FJ43" s="51">
        <f t="shared" si="355"/>
        <v>3600</v>
      </c>
      <c r="FK43" s="51">
        <f t="shared" si="250"/>
        <v>113400</v>
      </c>
      <c r="FL43" s="51">
        <f t="shared" si="356"/>
        <v>113400</v>
      </c>
      <c r="FM43" s="51">
        <f t="shared" si="252"/>
        <v>66600</v>
      </c>
      <c r="FN43" s="54">
        <f t="shared" si="253"/>
        <v>0</v>
      </c>
      <c r="FO43" s="55">
        <f t="shared" si="254"/>
        <v>0</v>
      </c>
      <c r="FP43" s="56">
        <f>IF(AND($E43&lt;&gt;0,$F43&gt;0,YEAR($F43)&gt;=Preisindex!$A$6,YEAR(FK$4)&gt;=YEAR($F43),AND($K43&lt;&gt;"a",$K43&lt;&gt;"b",$K43&lt;&gt;"g",$K43&lt;&gt;"k")),1,IF(AND($E43&lt;&gt;0,$F43&gt;0,YEAR($F43)&gt;=Preisindex!$A$6,YEAR(FK$4)&gt;=YEAR($F43),$K43="a"),ROUND(VLOOKUP(FP$4,Preisindex,5,FALSE)/VLOOKUP(YEAR($F43),Preisindex,5,FALSE),2),IF(AND($E43&lt;&gt;0,$F43&gt;0,YEAR($F43)&gt;=Preisindex!$A$6,YEAR(FK$4)&gt;=YEAR($F43),$K43="b"),ROUND(VLOOKUP(FP$4,Preisindex,3,FALSE)/VLOOKUP(YEAR($F43),Preisindex,3,FALSE),2),IF(AND($E43&lt;&gt;0,$F43&gt;0,YEAR($F43)&gt;=Preisindex!$A$6,YEAR(FK$4)&gt;=YEAR($F43),$K43="g"),ROUND(VLOOKUP(FP$4,Preisindex,4,FALSE)/VLOOKUP(YEAR($F43),Preisindex,4,FALSE),2),IF(AND($E43&lt;&gt;0,$F43&gt;0,YEAR($F43)&gt;=Preisindex!$A$6,YEAR(FK$4)&gt;=YEAR($F43),$K43="k"),ROUND(VLOOKUP(FP$4,Preisindex,2,FALSE)/VLOOKUP(YEAR($F43),Preisindex,2,FALSE),2),0)))))</f>
        <v>1.41</v>
      </c>
      <c r="FQ43" s="56">
        <f>IF(AND($E43&lt;&gt;0,$F43&gt;0,YEAR($F43)&lt;Preisindex!$A$6,YEAR(FK$4)&gt;=YEAR($F43),AND($K43&lt;&gt;"a",$K43&lt;&gt;"b",$K43&lt;&gt;"g",$K43&lt;&gt;"k")),1,IF(AND($E43&lt;&gt;0,$F43&gt;0,YEAR($F43)&lt;Preisindex!$A$6,YEAR(FK$4)&gt;=YEAR($F43),$K43="a"),ROUND(VLOOKUP(FP$4,Preisindex,5,FALSE)/VLOOKUP(Preisindex!$A$6,Preisindex,5,FALSE),2),IF(AND($E43&lt;&gt;0,$F43&gt;0,YEAR($F43)&lt;Preisindex!$A$6,YEAR(FK$4)&gt;=YEAR($F43),$K43="b"),ROUND(VLOOKUP(FP$4,Preisindex,3,FALSE)/VLOOKUP(Preisindex!$A$6,Preisindex,3,FALSE),2),IF(AND($E43&lt;&gt;0,$F43&gt;0,YEAR($F43)&lt;Preisindex!$A$6,YEAR(FK$4)&gt;=YEAR($F43),$K43="g"),ROUND(VLOOKUP(FP$4,Preisindex,4,FALSE)/VLOOKUP(Preisindex!$A$6,Preisindex,4,FALSE),2),IF(AND($E43&lt;&gt;0,$F43&gt;0,YEAR($F43)&lt;Preisindex!$A$6,YEAR(FK$4)&gt;=YEAR($F43),$K43="k"),ROUND(VLOOKUP(FP$4,Preisindex,2,FALSE)/VLOOKUP(Preisindex!$A$6,Preisindex,2,FALSE),2),0)))))</f>
        <v>0</v>
      </c>
      <c r="FR43" s="51">
        <f>IF(AND($E43&lt;&gt;0,$F43&gt;0,YEAR($F43)&lt;=FP$4,YEAR($F43)&gt;=Preisindex!$A$6),ROUND($E43*FP43,2),IF(AND($E43&lt;&gt;0,$F43&gt;0,YEAR($F43)&lt;=FP$4,YEAR($F43)&lt;Preisindex!$A$6),ROUND($E43*FQ43,2),0))</f>
        <v>253800</v>
      </c>
      <c r="FS43" s="53">
        <f t="shared" si="255"/>
        <v>5076</v>
      </c>
    </row>
    <row r="44" spans="1:175" x14ac:dyDescent="0.3">
      <c r="A44" s="93">
        <v>2003</v>
      </c>
      <c r="B44" s="196" t="s">
        <v>231</v>
      </c>
      <c r="C44" s="196"/>
      <c r="D44" s="188" t="s">
        <v>15</v>
      </c>
      <c r="E44" s="99">
        <v>130000</v>
      </c>
      <c r="F44" s="97">
        <v>37803</v>
      </c>
      <c r="G44" s="100">
        <v>50</v>
      </c>
      <c r="H44" s="622"/>
      <c r="I44" s="621"/>
      <c r="J44" s="194"/>
      <c r="K44" s="630" t="s">
        <v>266</v>
      </c>
      <c r="L44" s="49">
        <f t="shared" si="296"/>
        <v>0.02</v>
      </c>
      <c r="M44" s="50">
        <f t="shared" si="297"/>
        <v>2600</v>
      </c>
      <c r="N44" s="51">
        <f t="shared" si="298"/>
        <v>107900</v>
      </c>
      <c r="O44" s="51"/>
      <c r="P44" s="51">
        <f t="shared" si="299"/>
        <v>22100</v>
      </c>
      <c r="Q44" s="52"/>
      <c r="R44" s="52"/>
      <c r="S44" s="52"/>
      <c r="T44" s="52"/>
      <c r="U44" s="52"/>
      <c r="V44" s="53">
        <f t="shared" si="300"/>
        <v>130000</v>
      </c>
      <c r="W44" s="51">
        <f t="shared" si="301"/>
        <v>0</v>
      </c>
      <c r="X44" s="51">
        <f t="shared" si="302"/>
        <v>0</v>
      </c>
      <c r="Y44" s="51">
        <f t="shared" si="303"/>
        <v>0</v>
      </c>
      <c r="Z44" s="51">
        <f t="shared" si="304"/>
        <v>0</v>
      </c>
      <c r="AA44" s="51">
        <f t="shared" si="305"/>
        <v>130000</v>
      </c>
      <c r="AB44" s="51">
        <f t="shared" si="306"/>
        <v>130000</v>
      </c>
      <c r="AC44" s="51">
        <f t="shared" si="307"/>
        <v>2600</v>
      </c>
      <c r="AD44" s="51">
        <f t="shared" si="308"/>
        <v>2600</v>
      </c>
      <c r="AE44" s="51">
        <f t="shared" si="309"/>
        <v>105300</v>
      </c>
      <c r="AF44" s="51">
        <f t="shared" si="310"/>
        <v>105300</v>
      </c>
      <c r="AG44" s="51">
        <f t="shared" si="311"/>
        <v>24700</v>
      </c>
      <c r="AH44" s="54">
        <f t="shared" si="312"/>
        <v>0</v>
      </c>
      <c r="AI44" s="55">
        <f t="shared" si="313"/>
        <v>0</v>
      </c>
      <c r="AJ44" s="56">
        <f>IF(AND($E44&lt;&gt;0,$F44&gt;0,YEAR($F44)&gt;=Preisindex!$A$6,YEAR(AE$4)&gt;=YEAR($F44),AND($K44&lt;&gt;"a",$K44&lt;&gt;"b",$K44&lt;&gt;"g",$K44&lt;&gt;"k")),1,IF(AND($E44&lt;&gt;0,$F44&gt;0,YEAR($F44)&gt;=Preisindex!$A$6,YEAR(AE$4)&gt;=YEAR($F44),$K44="a"),ROUND(VLOOKUP(AJ$4,Preisindex,5,FALSE)/VLOOKUP(YEAR($F44),Preisindex,5,FALSE),2),IF(AND($E44&lt;&gt;0,$F44&gt;0,YEAR($F44)&gt;=Preisindex!$A$6,YEAR(AE$4)&gt;=YEAR($F44),$K44="b"),ROUND(VLOOKUP(AJ$4,Preisindex,3,FALSE)/VLOOKUP(YEAR($F44),Preisindex,3,FALSE),2),IF(AND($E44&lt;&gt;0,$F44&gt;0,YEAR($F44)&gt;=Preisindex!$A$6,YEAR(AE$4)&gt;=YEAR($F44),$K44="g"),ROUND(VLOOKUP(AJ$4,Preisindex,4,FALSE)/VLOOKUP(YEAR($F44),Preisindex,4,FALSE),2),IF(AND($E44&lt;&gt;0,$F44&gt;0,YEAR($F44)&gt;=Preisindex!$A$6,YEAR(AE$4)&gt;=YEAR($F44),$K44="k"),ROUND(VLOOKUP(AJ$4,Preisindex,2,FALSE)/VLOOKUP(YEAR($F44),Preisindex,2,FALSE),2),0)))))</f>
        <v>1.23</v>
      </c>
      <c r="AK44" s="56">
        <f>IF(AND($E44&lt;&gt;0,$F44&gt;0,YEAR($F44)&lt;Preisindex!$A$6,YEAR(AE$4)&gt;=YEAR($F44),AND($K44&lt;&gt;"a",$K44&lt;&gt;"b",$K44&lt;&gt;"g",$K44&lt;&gt;"k")),1,IF(AND($E44&lt;&gt;0,$F44&gt;0,YEAR($F44)&lt;Preisindex!$A$6,YEAR(AE$4)&gt;=YEAR($F44),$K44="a"),ROUND(VLOOKUP(AJ$4,Preisindex,5,FALSE)/VLOOKUP(Preisindex!$A$6,Preisindex,5,FALSE),2),IF(AND($E44&lt;&gt;0,$F44&gt;0,YEAR($F44)&lt;Preisindex!$A$6,YEAR(AE$4)&gt;=YEAR($F44),$K44="b"),ROUND(VLOOKUP(AJ$4,Preisindex,3,FALSE)/VLOOKUP(Preisindex!$A$6,Preisindex,3,FALSE),2),IF(AND($E44&lt;&gt;0,$F44&gt;0,YEAR($F44)&lt;Preisindex!$A$6,YEAR(AE$4)&gt;=YEAR($F44),$K44="g"),ROUND(VLOOKUP(AJ$4,Preisindex,4,FALSE)/VLOOKUP(Preisindex!$A$6,Preisindex,4,FALSE),2),IF(AND($E44&lt;&gt;0,$F44&gt;0,YEAR($F44)&lt;Preisindex!$A$6,YEAR(AE$4)&gt;=YEAR($F44),$K44="k"),ROUND(VLOOKUP(AJ$4,Preisindex,2,FALSE)/VLOOKUP(Preisindex!$A$6,Preisindex,2,FALSE),2),0)))))</f>
        <v>0</v>
      </c>
      <c r="AL44" s="51">
        <f>IF(AND($E44&lt;&gt;0,$F44&gt;0,YEAR($F44)&lt;=AJ$4,YEAR($F44)&gt;=Preisindex!$A$6),ROUND($E44*AJ44,2),IF(AND($E44&lt;&gt;0,$F44&gt;0,YEAR($F44)&lt;=AJ$4,YEAR($F44)&lt;Preisindex!$A$6),ROUND($E44*AK44,2),0))</f>
        <v>159900</v>
      </c>
      <c r="AM44" s="53">
        <f t="shared" si="314"/>
        <v>3198</v>
      </c>
      <c r="AN44" s="51">
        <f t="shared" si="357"/>
        <v>0</v>
      </c>
      <c r="AO44" s="51">
        <f t="shared" si="317"/>
        <v>0</v>
      </c>
      <c r="AP44" s="51">
        <f t="shared" si="146"/>
        <v>0</v>
      </c>
      <c r="AQ44" s="51">
        <f t="shared" si="318"/>
        <v>0</v>
      </c>
      <c r="AR44" s="51">
        <f t="shared" si="148"/>
        <v>130000</v>
      </c>
      <c r="AS44" s="51">
        <f t="shared" si="319"/>
        <v>130000</v>
      </c>
      <c r="AT44" s="51">
        <f t="shared" si="150"/>
        <v>2600</v>
      </c>
      <c r="AU44" s="51">
        <f t="shared" si="320"/>
        <v>2600</v>
      </c>
      <c r="AV44" s="51">
        <f t="shared" si="152"/>
        <v>102700</v>
      </c>
      <c r="AW44" s="51">
        <f t="shared" si="321"/>
        <v>102700</v>
      </c>
      <c r="AX44" s="51">
        <f t="shared" si="154"/>
        <v>27300</v>
      </c>
      <c r="AY44" s="54">
        <f t="shared" si="155"/>
        <v>0</v>
      </c>
      <c r="AZ44" s="55">
        <f t="shared" si="156"/>
        <v>0</v>
      </c>
      <c r="BA44" s="56">
        <f>IF(AND($E44&lt;&gt;0,$F44&gt;0,YEAR($F44)&gt;=Preisindex!$A$6,YEAR(AV$4)&gt;=YEAR($F44),AND($K44&lt;&gt;"a",$K44&lt;&gt;"b",$K44&lt;&gt;"g",$K44&lt;&gt;"k")),1,IF(AND($E44&lt;&gt;0,$F44&gt;0,YEAR($F44)&gt;=Preisindex!$A$6,YEAR(AV$4)&gt;=YEAR($F44),$K44="a"),ROUND(VLOOKUP(BA$4,Preisindex,5,FALSE)/VLOOKUP(YEAR($F44),Preisindex,5,FALSE),2),IF(AND($E44&lt;&gt;0,$F44&gt;0,YEAR($F44)&gt;=Preisindex!$A$6,YEAR(AV$4)&gt;=YEAR($F44),$K44="b"),ROUND(VLOOKUP(BA$4,Preisindex,3,FALSE)/VLOOKUP(YEAR($F44),Preisindex,3,FALSE),2),IF(AND($E44&lt;&gt;0,$F44&gt;0,YEAR($F44)&gt;=Preisindex!$A$6,YEAR(AV$4)&gt;=YEAR($F44),$K44="g"),ROUND(VLOOKUP(BA$4,Preisindex,4,FALSE)/VLOOKUP(YEAR($F44),Preisindex,4,FALSE),2),IF(AND($E44&lt;&gt;0,$F44&gt;0,YEAR($F44)&gt;=Preisindex!$A$6,YEAR(AV$4)&gt;=YEAR($F44),$K44="k"),ROUND(VLOOKUP(BA$4,Preisindex,2,FALSE)/VLOOKUP(YEAR($F44),Preisindex,2,FALSE),2),0)))))</f>
        <v>1.25</v>
      </c>
      <c r="BB44" s="56">
        <f>IF(AND($E44&lt;&gt;0,$F44&gt;0,YEAR($F44)&lt;Preisindex!$A$6,YEAR(AV$4)&gt;=YEAR($F44),AND($K44&lt;&gt;"a",$K44&lt;&gt;"b",$K44&lt;&gt;"g",$K44&lt;&gt;"k")),1,IF(AND($E44&lt;&gt;0,$F44&gt;0,YEAR($F44)&lt;Preisindex!$A$6,YEAR(AV$4)&gt;=YEAR($F44),$K44="a"),ROUND(VLOOKUP(BA$4,Preisindex,5,FALSE)/VLOOKUP(Preisindex!$A$6,Preisindex,5,FALSE),2),IF(AND($E44&lt;&gt;0,$F44&gt;0,YEAR($F44)&lt;Preisindex!$A$6,YEAR(AV$4)&gt;=YEAR($F44),$K44="b"),ROUND(VLOOKUP(BA$4,Preisindex,3,FALSE)/VLOOKUP(Preisindex!$A$6,Preisindex,3,FALSE),2),IF(AND($E44&lt;&gt;0,$F44&gt;0,YEAR($F44)&lt;Preisindex!$A$6,YEAR(AV$4)&gt;=YEAR($F44),$K44="g"),ROUND(VLOOKUP(BA$4,Preisindex,4,FALSE)/VLOOKUP(Preisindex!$A$6,Preisindex,4,FALSE),2),IF(AND($E44&lt;&gt;0,$F44&gt;0,YEAR($F44)&lt;Preisindex!$A$6,YEAR(AV$4)&gt;=YEAR($F44),$K44="k"),ROUND(VLOOKUP(BA$4,Preisindex,2,FALSE)/VLOOKUP(Preisindex!$A$6,Preisindex,2,FALSE),2),0)))))</f>
        <v>0</v>
      </c>
      <c r="BC44" s="51">
        <f>IF(AND($E44&lt;&gt;0,$F44&gt;0,YEAR($F44)&lt;=BA$4,YEAR($F44)&gt;=Preisindex!$A$6),ROUND($E44*BA44,2),IF(AND($E44&lt;&gt;0,$F44&gt;0,YEAR($F44)&lt;=BA$4,YEAR($F44)&lt;Preisindex!$A$6),ROUND($E44*BB44,2),0))</f>
        <v>162500</v>
      </c>
      <c r="BD44" s="53">
        <f t="shared" si="157"/>
        <v>3250</v>
      </c>
      <c r="BE44" s="51">
        <f t="shared" si="357"/>
        <v>0</v>
      </c>
      <c r="BF44" s="51">
        <f t="shared" si="322"/>
        <v>0</v>
      </c>
      <c r="BG44" s="51">
        <f t="shared" si="160"/>
        <v>0</v>
      </c>
      <c r="BH44" s="51">
        <f t="shared" si="323"/>
        <v>0</v>
      </c>
      <c r="BI44" s="51">
        <f t="shared" si="162"/>
        <v>130000</v>
      </c>
      <c r="BJ44" s="51">
        <f t="shared" si="324"/>
        <v>130000</v>
      </c>
      <c r="BK44" s="51">
        <f t="shared" si="164"/>
        <v>2600</v>
      </c>
      <c r="BL44" s="51">
        <f t="shared" si="325"/>
        <v>2600</v>
      </c>
      <c r="BM44" s="51">
        <f t="shared" si="166"/>
        <v>100100</v>
      </c>
      <c r="BN44" s="51">
        <f t="shared" si="326"/>
        <v>100100</v>
      </c>
      <c r="BO44" s="51">
        <f t="shared" si="168"/>
        <v>29900</v>
      </c>
      <c r="BP44" s="54">
        <f t="shared" si="169"/>
        <v>0</v>
      </c>
      <c r="BQ44" s="55">
        <f t="shared" si="170"/>
        <v>0</v>
      </c>
      <c r="BR44" s="56">
        <f>IF(AND($E44&lt;&gt;0,$F44&gt;0,YEAR($F44)&gt;=Preisindex!$A$6,YEAR(BM$4)&gt;=YEAR($F44),AND($K44&lt;&gt;"a",$K44&lt;&gt;"b",$K44&lt;&gt;"g",$K44&lt;&gt;"k")),1,IF(AND($E44&lt;&gt;0,$F44&gt;0,YEAR($F44)&gt;=Preisindex!$A$6,YEAR(BM$4)&gt;=YEAR($F44),$K44="a"),ROUND(VLOOKUP(BR$4,Preisindex,5,FALSE)/VLOOKUP(YEAR($F44),Preisindex,5,FALSE),2),IF(AND($E44&lt;&gt;0,$F44&gt;0,YEAR($F44)&gt;=Preisindex!$A$6,YEAR(BM$4)&gt;=YEAR($F44),$K44="b"),ROUND(VLOOKUP(BR$4,Preisindex,3,FALSE)/VLOOKUP(YEAR($F44),Preisindex,3,FALSE),2),IF(AND($E44&lt;&gt;0,$F44&gt;0,YEAR($F44)&gt;=Preisindex!$A$6,YEAR(BM$4)&gt;=YEAR($F44),$K44="g"),ROUND(VLOOKUP(BR$4,Preisindex,4,FALSE)/VLOOKUP(YEAR($F44),Preisindex,4,FALSE),2),IF(AND($E44&lt;&gt;0,$F44&gt;0,YEAR($F44)&gt;=Preisindex!$A$6,YEAR(BM$4)&gt;=YEAR($F44),$K44="k"),ROUND(VLOOKUP(BR$4,Preisindex,2,FALSE)/VLOOKUP(YEAR($F44),Preisindex,2,FALSE),2),0)))))</f>
        <v>1.27</v>
      </c>
      <c r="BS44" s="56">
        <f>IF(AND($E44&lt;&gt;0,$F44&gt;0,YEAR($F44)&lt;Preisindex!$A$6,YEAR(BM$4)&gt;=YEAR($F44),AND($K44&lt;&gt;"a",$K44&lt;&gt;"b",$K44&lt;&gt;"g",$K44&lt;&gt;"k")),1,IF(AND($E44&lt;&gt;0,$F44&gt;0,YEAR($F44)&lt;Preisindex!$A$6,YEAR(BM$4)&gt;=YEAR($F44),$K44="a"),ROUND(VLOOKUP(BR$4,Preisindex,5,FALSE)/VLOOKUP(Preisindex!$A$6,Preisindex,5,FALSE),2),IF(AND($E44&lt;&gt;0,$F44&gt;0,YEAR($F44)&lt;Preisindex!$A$6,YEAR(BM$4)&gt;=YEAR($F44),$K44="b"),ROUND(VLOOKUP(BR$4,Preisindex,3,FALSE)/VLOOKUP(Preisindex!$A$6,Preisindex,3,FALSE),2),IF(AND($E44&lt;&gt;0,$F44&gt;0,YEAR($F44)&lt;Preisindex!$A$6,YEAR(BM$4)&gt;=YEAR($F44),$K44="g"),ROUND(VLOOKUP(BR$4,Preisindex,4,FALSE)/VLOOKUP(Preisindex!$A$6,Preisindex,4,FALSE),2),IF(AND($E44&lt;&gt;0,$F44&gt;0,YEAR($F44)&lt;Preisindex!$A$6,YEAR(BM$4)&gt;=YEAR($F44),$K44="k"),ROUND(VLOOKUP(BR$4,Preisindex,2,FALSE)/VLOOKUP(Preisindex!$A$6,Preisindex,2,FALSE),2),0)))))</f>
        <v>0</v>
      </c>
      <c r="BT44" s="51">
        <f>IF(AND($E44&lt;&gt;0,$F44&gt;0,YEAR($F44)&lt;=BR$4,YEAR($F44)&gt;=Preisindex!$A$6),ROUND($E44*BR44,2),IF(AND($E44&lt;&gt;0,$F44&gt;0,YEAR($F44)&lt;=BR$4,YEAR($F44)&lt;Preisindex!$A$6),ROUND($E44*BS44,2),0))</f>
        <v>165100</v>
      </c>
      <c r="BU44" s="53">
        <f t="shared" si="171"/>
        <v>3302</v>
      </c>
      <c r="BV44" s="51">
        <f t="shared" si="357"/>
        <v>0</v>
      </c>
      <c r="BW44" s="51">
        <f t="shared" si="327"/>
        <v>0</v>
      </c>
      <c r="BX44" s="51">
        <f t="shared" si="174"/>
        <v>0</v>
      </c>
      <c r="BY44" s="51">
        <f t="shared" si="328"/>
        <v>0</v>
      </c>
      <c r="BZ44" s="51">
        <f t="shared" si="176"/>
        <v>130000</v>
      </c>
      <c r="CA44" s="51">
        <f t="shared" si="329"/>
        <v>130000</v>
      </c>
      <c r="CB44" s="51">
        <f t="shared" si="178"/>
        <v>2600</v>
      </c>
      <c r="CC44" s="51">
        <f t="shared" si="330"/>
        <v>2600</v>
      </c>
      <c r="CD44" s="51">
        <f t="shared" si="180"/>
        <v>97500</v>
      </c>
      <c r="CE44" s="51">
        <f t="shared" si="331"/>
        <v>97500</v>
      </c>
      <c r="CF44" s="51">
        <f t="shared" si="182"/>
        <v>32500</v>
      </c>
      <c r="CG44" s="54">
        <f t="shared" si="183"/>
        <v>0</v>
      </c>
      <c r="CH44" s="55">
        <f t="shared" si="184"/>
        <v>0</v>
      </c>
      <c r="CI44" s="56">
        <f>IF(AND($E44&lt;&gt;0,$F44&gt;0,YEAR($F44)&gt;=Preisindex!$A$6,YEAR(CD$4)&gt;=YEAR($F44),AND($K44&lt;&gt;"a",$K44&lt;&gt;"b",$K44&lt;&gt;"g",$K44&lt;&gt;"k")),1,IF(AND($E44&lt;&gt;0,$F44&gt;0,YEAR($F44)&gt;=Preisindex!$A$6,YEAR(CD$4)&gt;=YEAR($F44),$K44="a"),ROUND(VLOOKUP(CI$4,Preisindex,5,FALSE)/VLOOKUP(YEAR($F44),Preisindex,5,FALSE),2),IF(AND($E44&lt;&gt;0,$F44&gt;0,YEAR($F44)&gt;=Preisindex!$A$6,YEAR(CD$4)&gt;=YEAR($F44),$K44="b"),ROUND(VLOOKUP(CI$4,Preisindex,3,FALSE)/VLOOKUP(YEAR($F44),Preisindex,3,FALSE),2),IF(AND($E44&lt;&gt;0,$F44&gt;0,YEAR($F44)&gt;=Preisindex!$A$6,YEAR(CD$4)&gt;=YEAR($F44),$K44="g"),ROUND(VLOOKUP(CI$4,Preisindex,4,FALSE)/VLOOKUP(YEAR($F44),Preisindex,4,FALSE),2),IF(AND($E44&lt;&gt;0,$F44&gt;0,YEAR($F44)&gt;=Preisindex!$A$6,YEAR(CD$4)&gt;=YEAR($F44),$K44="k"),ROUND(VLOOKUP(CI$4,Preisindex,2,FALSE)/VLOOKUP(YEAR($F44),Preisindex,2,FALSE),2),0)))))</f>
        <v>1.28</v>
      </c>
      <c r="CJ44" s="56">
        <f>IF(AND($E44&lt;&gt;0,$F44&gt;0,YEAR($F44)&lt;Preisindex!$A$6,YEAR(CD$4)&gt;=YEAR($F44),AND($K44&lt;&gt;"a",$K44&lt;&gt;"b",$K44&lt;&gt;"g",$K44&lt;&gt;"k")),1,IF(AND($E44&lt;&gt;0,$F44&gt;0,YEAR($F44)&lt;Preisindex!$A$6,YEAR(CD$4)&gt;=YEAR($F44),$K44="a"),ROUND(VLOOKUP(CI$4,Preisindex,5,FALSE)/VLOOKUP(Preisindex!$A$6,Preisindex,5,FALSE),2),IF(AND($E44&lt;&gt;0,$F44&gt;0,YEAR($F44)&lt;Preisindex!$A$6,YEAR(CD$4)&gt;=YEAR($F44),$K44="b"),ROUND(VLOOKUP(CI$4,Preisindex,3,FALSE)/VLOOKUP(Preisindex!$A$6,Preisindex,3,FALSE),2),IF(AND($E44&lt;&gt;0,$F44&gt;0,YEAR($F44)&lt;Preisindex!$A$6,YEAR(CD$4)&gt;=YEAR($F44),$K44="g"),ROUND(VLOOKUP(CI$4,Preisindex,4,FALSE)/VLOOKUP(Preisindex!$A$6,Preisindex,4,FALSE),2),IF(AND($E44&lt;&gt;0,$F44&gt;0,YEAR($F44)&lt;Preisindex!$A$6,YEAR(CD$4)&gt;=YEAR($F44),$K44="k"),ROUND(VLOOKUP(CI$4,Preisindex,2,FALSE)/VLOOKUP(Preisindex!$A$6,Preisindex,2,FALSE),2),0)))))</f>
        <v>0</v>
      </c>
      <c r="CK44" s="51">
        <f>IF(AND($E44&lt;&gt;0,$F44&gt;0,YEAR($F44)&lt;=CI$4,YEAR($F44)&gt;=Preisindex!$A$6),ROUND($E44*CI44,2),IF(AND($E44&lt;&gt;0,$F44&gt;0,YEAR($F44)&lt;=CI$4,YEAR($F44)&lt;Preisindex!$A$6),ROUND($E44*CJ44,2),0))</f>
        <v>166400</v>
      </c>
      <c r="CL44" s="53">
        <f t="shared" si="185"/>
        <v>3328</v>
      </c>
      <c r="CM44" s="51">
        <f t="shared" si="357"/>
        <v>0</v>
      </c>
      <c r="CN44" s="51">
        <f t="shared" si="332"/>
        <v>0</v>
      </c>
      <c r="CO44" s="51">
        <f t="shared" si="188"/>
        <v>0</v>
      </c>
      <c r="CP44" s="51">
        <f t="shared" si="333"/>
        <v>0</v>
      </c>
      <c r="CQ44" s="51">
        <f t="shared" si="190"/>
        <v>130000</v>
      </c>
      <c r="CR44" s="51">
        <f t="shared" si="334"/>
        <v>130000</v>
      </c>
      <c r="CS44" s="51">
        <f t="shared" si="192"/>
        <v>2600</v>
      </c>
      <c r="CT44" s="51">
        <f t="shared" si="335"/>
        <v>2600</v>
      </c>
      <c r="CU44" s="51">
        <f t="shared" si="194"/>
        <v>94900</v>
      </c>
      <c r="CV44" s="51">
        <f t="shared" si="336"/>
        <v>94900</v>
      </c>
      <c r="CW44" s="51">
        <f t="shared" si="196"/>
        <v>35100</v>
      </c>
      <c r="CX44" s="54">
        <f t="shared" si="197"/>
        <v>0</v>
      </c>
      <c r="CY44" s="55">
        <f t="shared" si="198"/>
        <v>0</v>
      </c>
      <c r="CZ44" s="56">
        <f>IF(AND($E44&lt;&gt;0,$F44&gt;0,YEAR($F44)&gt;=Preisindex!$A$6,YEAR(CU$4)&gt;=YEAR($F44),AND($K44&lt;&gt;"a",$K44&lt;&gt;"b",$K44&lt;&gt;"g",$K44&lt;&gt;"k")),1,IF(AND($E44&lt;&gt;0,$F44&gt;0,YEAR($F44)&gt;=Preisindex!$A$6,YEAR(CU$4)&gt;=YEAR($F44),$K44="a"),ROUND(VLOOKUP(CZ$4,Preisindex,5,FALSE)/VLOOKUP(YEAR($F44),Preisindex,5,FALSE),2),IF(AND($E44&lt;&gt;0,$F44&gt;0,YEAR($F44)&gt;=Preisindex!$A$6,YEAR(CU$4)&gt;=YEAR($F44),$K44="b"),ROUND(VLOOKUP(CZ$4,Preisindex,3,FALSE)/VLOOKUP(YEAR($F44),Preisindex,3,FALSE),2),IF(AND($E44&lt;&gt;0,$F44&gt;0,YEAR($F44)&gt;=Preisindex!$A$6,YEAR(CU$4)&gt;=YEAR($F44),$K44="g"),ROUND(VLOOKUP(CZ$4,Preisindex,4,FALSE)/VLOOKUP(YEAR($F44),Preisindex,4,FALSE),2),IF(AND($E44&lt;&gt;0,$F44&gt;0,YEAR($F44)&gt;=Preisindex!$A$6,YEAR(CU$4)&gt;=YEAR($F44),$K44="k"),ROUND(VLOOKUP(CZ$4,Preisindex,2,FALSE)/VLOOKUP(YEAR($F44),Preisindex,2,FALSE),2),0)))))</f>
        <v>1.31</v>
      </c>
      <c r="DA44" s="56">
        <f>IF(AND($E44&lt;&gt;0,$F44&gt;0,YEAR($F44)&lt;Preisindex!$A$6,YEAR(CU$4)&gt;=YEAR($F44),AND($K44&lt;&gt;"a",$K44&lt;&gt;"b",$K44&lt;&gt;"g",$K44&lt;&gt;"k")),1,IF(AND($E44&lt;&gt;0,$F44&gt;0,YEAR($F44)&lt;Preisindex!$A$6,YEAR(CU$4)&gt;=YEAR($F44),$K44="a"),ROUND(VLOOKUP(CZ$4,Preisindex,5,FALSE)/VLOOKUP(Preisindex!$A$6,Preisindex,5,FALSE),2),IF(AND($E44&lt;&gt;0,$F44&gt;0,YEAR($F44)&lt;Preisindex!$A$6,YEAR(CU$4)&gt;=YEAR($F44),$K44="b"),ROUND(VLOOKUP(CZ$4,Preisindex,3,FALSE)/VLOOKUP(Preisindex!$A$6,Preisindex,3,FALSE),2),IF(AND($E44&lt;&gt;0,$F44&gt;0,YEAR($F44)&lt;Preisindex!$A$6,YEAR(CU$4)&gt;=YEAR($F44),$K44="g"),ROUND(VLOOKUP(CZ$4,Preisindex,4,FALSE)/VLOOKUP(Preisindex!$A$6,Preisindex,4,FALSE),2),IF(AND($E44&lt;&gt;0,$F44&gt;0,YEAR($F44)&lt;Preisindex!$A$6,YEAR(CU$4)&gt;=YEAR($F44),$K44="k"),ROUND(VLOOKUP(CZ$4,Preisindex,2,FALSE)/VLOOKUP(Preisindex!$A$6,Preisindex,2,FALSE),2),0)))))</f>
        <v>0</v>
      </c>
      <c r="DB44" s="51">
        <f>IF(AND($E44&lt;&gt;0,$F44&gt;0,YEAR($F44)&lt;=CZ$4,YEAR($F44)&gt;=Preisindex!$A$6),ROUND($E44*CZ44,2),IF(AND($E44&lt;&gt;0,$F44&gt;0,YEAR($F44)&lt;=CZ$4,YEAR($F44)&lt;Preisindex!$A$6),ROUND($E44*DA44,2),0))</f>
        <v>170300</v>
      </c>
      <c r="DC44" s="53">
        <f t="shared" si="199"/>
        <v>3406</v>
      </c>
      <c r="DD44" s="51">
        <f t="shared" si="358"/>
        <v>0</v>
      </c>
      <c r="DE44" s="51">
        <f t="shared" si="337"/>
        <v>0</v>
      </c>
      <c r="DF44" s="51">
        <f t="shared" si="202"/>
        <v>0</v>
      </c>
      <c r="DG44" s="51">
        <f t="shared" si="338"/>
        <v>0</v>
      </c>
      <c r="DH44" s="51">
        <f t="shared" si="204"/>
        <v>130000</v>
      </c>
      <c r="DI44" s="51">
        <f t="shared" si="339"/>
        <v>130000</v>
      </c>
      <c r="DJ44" s="51">
        <f t="shared" si="206"/>
        <v>2600</v>
      </c>
      <c r="DK44" s="51">
        <f t="shared" si="340"/>
        <v>2600</v>
      </c>
      <c r="DL44" s="51">
        <f t="shared" si="208"/>
        <v>92300</v>
      </c>
      <c r="DM44" s="51">
        <f t="shared" si="341"/>
        <v>92300</v>
      </c>
      <c r="DN44" s="51">
        <f t="shared" si="210"/>
        <v>37700</v>
      </c>
      <c r="DO44" s="54">
        <f t="shared" si="211"/>
        <v>0</v>
      </c>
      <c r="DP44" s="55">
        <f t="shared" si="212"/>
        <v>0</v>
      </c>
      <c r="DQ44" s="56">
        <f>IF(AND($E44&lt;&gt;0,$F44&gt;0,YEAR($F44)&gt;=Preisindex!$A$6,YEAR(DL$4)&gt;=YEAR($F44),AND($K44&lt;&gt;"a",$K44&lt;&gt;"b",$K44&lt;&gt;"g",$K44&lt;&gt;"k")),1,IF(AND($E44&lt;&gt;0,$F44&gt;0,YEAR($F44)&gt;=Preisindex!$A$6,YEAR(DL$4)&gt;=YEAR($F44),$K44="a"),ROUND(VLOOKUP(DQ$4,Preisindex,5,FALSE)/VLOOKUP(YEAR($F44),Preisindex,5,FALSE),2),IF(AND($E44&lt;&gt;0,$F44&gt;0,YEAR($F44)&gt;=Preisindex!$A$6,YEAR(DL$4)&gt;=YEAR($F44),$K44="b"),ROUND(VLOOKUP(DQ$4,Preisindex,3,FALSE)/VLOOKUP(YEAR($F44),Preisindex,3,FALSE),2),IF(AND($E44&lt;&gt;0,$F44&gt;0,YEAR($F44)&gt;=Preisindex!$A$6,YEAR(DL$4)&gt;=YEAR($F44),$K44="g"),ROUND(VLOOKUP(DQ$4,Preisindex,4,FALSE)/VLOOKUP(YEAR($F44),Preisindex,4,FALSE),2),IF(AND($E44&lt;&gt;0,$F44&gt;0,YEAR($F44)&gt;=Preisindex!$A$6,YEAR(DL$4)&gt;=YEAR($F44),$K44="k"),ROUND(VLOOKUP(DQ$4,Preisindex,2,FALSE)/VLOOKUP(YEAR($F44),Preisindex,2,FALSE),2),0)))))</f>
        <v>1.35</v>
      </c>
      <c r="DR44" s="56">
        <f>IF(AND($E44&lt;&gt;0,$F44&gt;0,YEAR($F44)&lt;Preisindex!$A$6,YEAR(DL$4)&gt;=YEAR($F44),AND($K44&lt;&gt;"a",$K44&lt;&gt;"b",$K44&lt;&gt;"g",$K44&lt;&gt;"k")),1,IF(AND($E44&lt;&gt;0,$F44&gt;0,YEAR($F44)&lt;Preisindex!$A$6,YEAR(DL$4)&gt;=YEAR($F44),$K44="a"),ROUND(VLOOKUP(DQ$4,Preisindex,5,FALSE)/VLOOKUP(Preisindex!$A$6,Preisindex,5,FALSE),2),IF(AND($E44&lt;&gt;0,$F44&gt;0,YEAR($F44)&lt;Preisindex!$A$6,YEAR(DL$4)&gt;=YEAR($F44),$K44="b"),ROUND(VLOOKUP(DQ$4,Preisindex,3,FALSE)/VLOOKUP(Preisindex!$A$6,Preisindex,3,FALSE),2),IF(AND($E44&lt;&gt;0,$F44&gt;0,YEAR($F44)&lt;Preisindex!$A$6,YEAR(DL$4)&gt;=YEAR($F44),$K44="g"),ROUND(VLOOKUP(DQ$4,Preisindex,4,FALSE)/VLOOKUP(Preisindex!$A$6,Preisindex,4,FALSE),2),IF(AND($E44&lt;&gt;0,$F44&gt;0,YEAR($F44)&lt;Preisindex!$A$6,YEAR(DL$4)&gt;=YEAR($F44),$K44="k"),ROUND(VLOOKUP(DQ$4,Preisindex,2,FALSE)/VLOOKUP(Preisindex!$A$6,Preisindex,2,FALSE),2),0)))))</f>
        <v>0</v>
      </c>
      <c r="DS44" s="51">
        <f>IF(AND($E44&lt;&gt;0,$F44&gt;0,YEAR($F44)&lt;=DQ$4,YEAR($F44)&gt;=Preisindex!$A$6),ROUND($E44*DQ44,2),IF(AND($E44&lt;&gt;0,$F44&gt;0,YEAR($F44)&lt;=DQ$4,YEAR($F44)&lt;Preisindex!$A$6),ROUND($E44*DR44,2),0))</f>
        <v>175500</v>
      </c>
      <c r="DT44" s="53">
        <f t="shared" si="213"/>
        <v>3510</v>
      </c>
      <c r="DU44" s="51">
        <f t="shared" si="358"/>
        <v>0</v>
      </c>
      <c r="DV44" s="51">
        <f t="shared" si="342"/>
        <v>0</v>
      </c>
      <c r="DW44" s="51">
        <f t="shared" si="216"/>
        <v>0</v>
      </c>
      <c r="DX44" s="51">
        <f t="shared" si="343"/>
        <v>0</v>
      </c>
      <c r="DY44" s="51">
        <f t="shared" si="218"/>
        <v>130000</v>
      </c>
      <c r="DZ44" s="51">
        <f t="shared" si="344"/>
        <v>130000</v>
      </c>
      <c r="EA44" s="51">
        <f t="shared" si="220"/>
        <v>2600</v>
      </c>
      <c r="EB44" s="51">
        <f t="shared" si="345"/>
        <v>2600</v>
      </c>
      <c r="EC44" s="51">
        <f t="shared" si="222"/>
        <v>89700</v>
      </c>
      <c r="ED44" s="51">
        <f t="shared" si="346"/>
        <v>89700</v>
      </c>
      <c r="EE44" s="51">
        <f t="shared" si="224"/>
        <v>40300</v>
      </c>
      <c r="EF44" s="54">
        <f t="shared" si="225"/>
        <v>0</v>
      </c>
      <c r="EG44" s="55">
        <f t="shared" si="226"/>
        <v>0</v>
      </c>
      <c r="EH44" s="56">
        <f>IF(AND($E44&lt;&gt;0,$F44&gt;0,YEAR($F44)&gt;=Preisindex!$A$6,YEAR(EC$4)&gt;=YEAR($F44),AND($K44&lt;&gt;"a",$K44&lt;&gt;"b",$K44&lt;&gt;"g",$K44&lt;&gt;"k")),1,IF(AND($E44&lt;&gt;0,$F44&gt;0,YEAR($F44)&gt;=Preisindex!$A$6,YEAR(EC$4)&gt;=YEAR($F44),$K44="a"),ROUND(VLOOKUP(EH$4,Preisindex,5,FALSE)/VLOOKUP(YEAR($F44),Preisindex,5,FALSE),2),IF(AND($E44&lt;&gt;0,$F44&gt;0,YEAR($F44)&gt;=Preisindex!$A$6,YEAR(EC$4)&gt;=YEAR($F44),$K44="b"),ROUND(VLOOKUP(EH$4,Preisindex,3,FALSE)/VLOOKUP(YEAR($F44),Preisindex,3,FALSE),2),IF(AND($E44&lt;&gt;0,$F44&gt;0,YEAR($F44)&gt;=Preisindex!$A$6,YEAR(EC$4)&gt;=YEAR($F44),$K44="g"),ROUND(VLOOKUP(EH$4,Preisindex,4,FALSE)/VLOOKUP(YEAR($F44),Preisindex,4,FALSE),2),IF(AND($E44&lt;&gt;0,$F44&gt;0,YEAR($F44)&gt;=Preisindex!$A$6,YEAR(EC$4)&gt;=YEAR($F44),$K44="k"),ROUND(VLOOKUP(EH$4,Preisindex,2,FALSE)/VLOOKUP(YEAR($F44),Preisindex,2,FALSE),2),0)))))</f>
        <v>1.42</v>
      </c>
      <c r="EI44" s="56">
        <f>IF(AND($E44&lt;&gt;0,$F44&gt;0,YEAR($F44)&lt;Preisindex!$A$6,YEAR(EC$4)&gt;=YEAR($F44),AND($K44&lt;&gt;"a",$K44&lt;&gt;"b",$K44&lt;&gt;"g",$K44&lt;&gt;"k")),1,IF(AND($E44&lt;&gt;0,$F44&gt;0,YEAR($F44)&lt;Preisindex!$A$6,YEAR(EC$4)&gt;=YEAR($F44),$K44="a"),ROUND(VLOOKUP(EH$4,Preisindex,5,FALSE)/VLOOKUP(Preisindex!$A$6,Preisindex,5,FALSE),2),IF(AND($E44&lt;&gt;0,$F44&gt;0,YEAR($F44)&lt;Preisindex!$A$6,YEAR(EC$4)&gt;=YEAR($F44),$K44="b"),ROUND(VLOOKUP(EH$4,Preisindex,3,FALSE)/VLOOKUP(Preisindex!$A$6,Preisindex,3,FALSE),2),IF(AND($E44&lt;&gt;0,$F44&gt;0,YEAR($F44)&lt;Preisindex!$A$6,YEAR(EC$4)&gt;=YEAR($F44),$K44="g"),ROUND(VLOOKUP(EH$4,Preisindex,4,FALSE)/VLOOKUP(Preisindex!$A$6,Preisindex,4,FALSE),2),IF(AND($E44&lt;&gt;0,$F44&gt;0,YEAR($F44)&lt;Preisindex!$A$6,YEAR(EC$4)&gt;=YEAR($F44),$K44="k"),ROUND(VLOOKUP(EH$4,Preisindex,2,FALSE)/VLOOKUP(Preisindex!$A$6,Preisindex,2,FALSE),2),0)))))</f>
        <v>0</v>
      </c>
      <c r="EJ44" s="51">
        <f>IF(AND($E44&lt;&gt;0,$F44&gt;0,YEAR($F44)&lt;=EH$4,YEAR($F44)&gt;=Preisindex!$A$6),ROUND($E44*EH44,2),IF(AND($E44&lt;&gt;0,$F44&gt;0,YEAR($F44)&lt;=EH$4,YEAR($F44)&lt;Preisindex!$A$6),ROUND($E44*EI44,2),0))</f>
        <v>184600</v>
      </c>
      <c r="EK44" s="53">
        <f t="shared" si="227"/>
        <v>3692</v>
      </c>
      <c r="EL44" s="51">
        <f t="shared" si="358"/>
        <v>0</v>
      </c>
      <c r="EM44" s="51">
        <f t="shared" si="347"/>
        <v>0</v>
      </c>
      <c r="EN44" s="51">
        <f t="shared" si="230"/>
        <v>0</v>
      </c>
      <c r="EO44" s="51">
        <f t="shared" si="348"/>
        <v>0</v>
      </c>
      <c r="EP44" s="51">
        <f t="shared" si="232"/>
        <v>130000</v>
      </c>
      <c r="EQ44" s="51">
        <f t="shared" si="349"/>
        <v>130000</v>
      </c>
      <c r="ER44" s="51">
        <f t="shared" si="234"/>
        <v>2600</v>
      </c>
      <c r="ES44" s="51">
        <f t="shared" si="350"/>
        <v>2600</v>
      </c>
      <c r="ET44" s="51">
        <f t="shared" si="236"/>
        <v>87100</v>
      </c>
      <c r="EU44" s="51">
        <f t="shared" si="351"/>
        <v>87100</v>
      </c>
      <c r="EV44" s="51">
        <f t="shared" si="238"/>
        <v>42900</v>
      </c>
      <c r="EW44" s="54">
        <f t="shared" si="239"/>
        <v>0</v>
      </c>
      <c r="EX44" s="55">
        <f t="shared" si="240"/>
        <v>0</v>
      </c>
      <c r="EY44" s="56">
        <f>IF(AND($E44&lt;&gt;0,$F44&gt;0,YEAR($F44)&gt;=Preisindex!$A$6,YEAR(ET$4)&gt;=YEAR($F44),AND($K44&lt;&gt;"a",$K44&lt;&gt;"b",$K44&lt;&gt;"g",$K44&lt;&gt;"k")),1,IF(AND($E44&lt;&gt;0,$F44&gt;0,YEAR($F44)&gt;=Preisindex!$A$6,YEAR(ET$4)&gt;=YEAR($F44),$K44="a"),ROUND(VLOOKUP(EY$4,Preisindex,5,FALSE)/VLOOKUP(YEAR($F44),Preisindex,5,FALSE),2),IF(AND($E44&lt;&gt;0,$F44&gt;0,YEAR($F44)&gt;=Preisindex!$A$6,YEAR(ET$4)&gt;=YEAR($F44),$K44="b"),ROUND(VLOOKUP(EY$4,Preisindex,3,FALSE)/VLOOKUP(YEAR($F44),Preisindex,3,FALSE),2),IF(AND($E44&lt;&gt;0,$F44&gt;0,YEAR($F44)&gt;=Preisindex!$A$6,YEAR(ET$4)&gt;=YEAR($F44),$K44="g"),ROUND(VLOOKUP(EY$4,Preisindex,4,FALSE)/VLOOKUP(YEAR($F44),Preisindex,4,FALSE),2),IF(AND($E44&lt;&gt;0,$F44&gt;0,YEAR($F44)&gt;=Preisindex!$A$6,YEAR(ET$4)&gt;=YEAR($F44),$K44="k"),ROUND(VLOOKUP(EY$4,Preisindex,2,FALSE)/VLOOKUP(YEAR($F44),Preisindex,2,FALSE),2),0)))))</f>
        <v>1.42</v>
      </c>
      <c r="EZ44" s="56">
        <f>IF(AND($E44&lt;&gt;0,$F44&gt;0,YEAR($F44)&lt;Preisindex!$A$6,YEAR(ET$4)&gt;=YEAR($F44),AND($K44&lt;&gt;"a",$K44&lt;&gt;"b",$K44&lt;&gt;"g",$K44&lt;&gt;"k")),1,IF(AND($E44&lt;&gt;0,$F44&gt;0,YEAR($F44)&lt;Preisindex!$A$6,YEAR(ET$4)&gt;=YEAR($F44),$K44="a"),ROUND(VLOOKUP(EY$4,Preisindex,5,FALSE)/VLOOKUP(Preisindex!$A$6,Preisindex,5,FALSE),2),IF(AND($E44&lt;&gt;0,$F44&gt;0,YEAR($F44)&lt;Preisindex!$A$6,YEAR(ET$4)&gt;=YEAR($F44),$K44="b"),ROUND(VLOOKUP(EY$4,Preisindex,3,FALSE)/VLOOKUP(Preisindex!$A$6,Preisindex,3,FALSE),2),IF(AND($E44&lt;&gt;0,$F44&gt;0,YEAR($F44)&lt;Preisindex!$A$6,YEAR(ET$4)&gt;=YEAR($F44),$K44="g"),ROUND(VLOOKUP(EY$4,Preisindex,4,FALSE)/VLOOKUP(Preisindex!$A$6,Preisindex,4,FALSE),2),IF(AND($E44&lt;&gt;0,$F44&gt;0,YEAR($F44)&lt;Preisindex!$A$6,YEAR(ET$4)&gt;=YEAR($F44),$K44="k"),ROUND(VLOOKUP(EY$4,Preisindex,2,FALSE)/VLOOKUP(Preisindex!$A$6,Preisindex,2,FALSE),2),0)))))</f>
        <v>0</v>
      </c>
      <c r="FA44" s="51">
        <f>IF(AND($E44&lt;&gt;0,$F44&gt;0,YEAR($F44)&lt;=EY$4,YEAR($F44)&gt;=Preisindex!$A$6),ROUND($E44*EY44,2),IF(AND($E44&lt;&gt;0,$F44&gt;0,YEAR($F44)&lt;=EY$4,YEAR($F44)&lt;Preisindex!$A$6),ROUND($E44*EZ44,2),0))</f>
        <v>184600</v>
      </c>
      <c r="FB44" s="53">
        <f t="shared" si="241"/>
        <v>3692</v>
      </c>
      <c r="FC44" s="51">
        <f t="shared" si="358"/>
        <v>0</v>
      </c>
      <c r="FD44" s="51">
        <f t="shared" si="352"/>
        <v>0</v>
      </c>
      <c r="FE44" s="51">
        <f t="shared" si="244"/>
        <v>0</v>
      </c>
      <c r="FF44" s="51">
        <f t="shared" si="353"/>
        <v>0</v>
      </c>
      <c r="FG44" s="51">
        <f t="shared" si="246"/>
        <v>130000</v>
      </c>
      <c r="FH44" s="51">
        <f t="shared" si="354"/>
        <v>130000</v>
      </c>
      <c r="FI44" s="51">
        <f t="shared" si="248"/>
        <v>2600</v>
      </c>
      <c r="FJ44" s="51">
        <f t="shared" si="355"/>
        <v>2600</v>
      </c>
      <c r="FK44" s="51">
        <f t="shared" si="250"/>
        <v>84500</v>
      </c>
      <c r="FL44" s="51">
        <f t="shared" si="356"/>
        <v>84500</v>
      </c>
      <c r="FM44" s="51">
        <f t="shared" si="252"/>
        <v>45500</v>
      </c>
      <c r="FN44" s="54">
        <f t="shared" si="253"/>
        <v>0</v>
      </c>
      <c r="FO44" s="55">
        <f t="shared" si="254"/>
        <v>0</v>
      </c>
      <c r="FP44" s="56">
        <f>IF(AND($E44&lt;&gt;0,$F44&gt;0,YEAR($F44)&gt;=Preisindex!$A$6,YEAR(FK$4)&gt;=YEAR($F44),AND($K44&lt;&gt;"a",$K44&lt;&gt;"b",$K44&lt;&gt;"g",$K44&lt;&gt;"k")),1,IF(AND($E44&lt;&gt;0,$F44&gt;0,YEAR($F44)&gt;=Preisindex!$A$6,YEAR(FK$4)&gt;=YEAR($F44),$K44="a"),ROUND(VLOOKUP(FP$4,Preisindex,5,FALSE)/VLOOKUP(YEAR($F44),Preisindex,5,FALSE),2),IF(AND($E44&lt;&gt;0,$F44&gt;0,YEAR($F44)&gt;=Preisindex!$A$6,YEAR(FK$4)&gt;=YEAR($F44),$K44="b"),ROUND(VLOOKUP(FP$4,Preisindex,3,FALSE)/VLOOKUP(YEAR($F44),Preisindex,3,FALSE),2),IF(AND($E44&lt;&gt;0,$F44&gt;0,YEAR($F44)&gt;=Preisindex!$A$6,YEAR(FK$4)&gt;=YEAR($F44),$K44="g"),ROUND(VLOOKUP(FP$4,Preisindex,4,FALSE)/VLOOKUP(YEAR($F44),Preisindex,4,FALSE),2),IF(AND($E44&lt;&gt;0,$F44&gt;0,YEAR($F44)&gt;=Preisindex!$A$6,YEAR(FK$4)&gt;=YEAR($F44),$K44="k"),ROUND(VLOOKUP(FP$4,Preisindex,2,FALSE)/VLOOKUP(YEAR($F44),Preisindex,2,FALSE),2),0)))))</f>
        <v>1.42</v>
      </c>
      <c r="FQ44" s="56">
        <f>IF(AND($E44&lt;&gt;0,$F44&gt;0,YEAR($F44)&lt;Preisindex!$A$6,YEAR(FK$4)&gt;=YEAR($F44),AND($K44&lt;&gt;"a",$K44&lt;&gt;"b",$K44&lt;&gt;"g",$K44&lt;&gt;"k")),1,IF(AND($E44&lt;&gt;0,$F44&gt;0,YEAR($F44)&lt;Preisindex!$A$6,YEAR(FK$4)&gt;=YEAR($F44),$K44="a"),ROUND(VLOOKUP(FP$4,Preisindex,5,FALSE)/VLOOKUP(Preisindex!$A$6,Preisindex,5,FALSE),2),IF(AND($E44&lt;&gt;0,$F44&gt;0,YEAR($F44)&lt;Preisindex!$A$6,YEAR(FK$4)&gt;=YEAR($F44),$K44="b"),ROUND(VLOOKUP(FP$4,Preisindex,3,FALSE)/VLOOKUP(Preisindex!$A$6,Preisindex,3,FALSE),2),IF(AND($E44&lt;&gt;0,$F44&gt;0,YEAR($F44)&lt;Preisindex!$A$6,YEAR(FK$4)&gt;=YEAR($F44),$K44="g"),ROUND(VLOOKUP(FP$4,Preisindex,4,FALSE)/VLOOKUP(Preisindex!$A$6,Preisindex,4,FALSE),2),IF(AND($E44&lt;&gt;0,$F44&gt;0,YEAR($F44)&lt;Preisindex!$A$6,YEAR(FK$4)&gt;=YEAR($F44),$K44="k"),ROUND(VLOOKUP(FP$4,Preisindex,2,FALSE)/VLOOKUP(Preisindex!$A$6,Preisindex,2,FALSE),2),0)))))</f>
        <v>0</v>
      </c>
      <c r="FR44" s="51">
        <f>IF(AND($E44&lt;&gt;0,$F44&gt;0,YEAR($F44)&lt;=FP$4,YEAR($F44)&gt;=Preisindex!$A$6),ROUND($E44*FP44,2),IF(AND($E44&lt;&gt;0,$F44&gt;0,YEAR($F44)&lt;=FP$4,YEAR($F44)&lt;Preisindex!$A$6),ROUND($E44*FQ44,2),0))</f>
        <v>184600</v>
      </c>
      <c r="FS44" s="53">
        <f t="shared" si="255"/>
        <v>3692</v>
      </c>
    </row>
    <row r="45" spans="1:175" x14ac:dyDescent="0.3">
      <c r="A45" s="93">
        <v>2006</v>
      </c>
      <c r="B45" s="196" t="s">
        <v>232</v>
      </c>
      <c r="C45" s="196"/>
      <c r="D45" s="188" t="s">
        <v>15</v>
      </c>
      <c r="E45" s="99">
        <v>1100000</v>
      </c>
      <c r="F45" s="97">
        <v>38899</v>
      </c>
      <c r="G45" s="100">
        <v>50</v>
      </c>
      <c r="H45" s="622"/>
      <c r="I45" s="621"/>
      <c r="J45" s="194"/>
      <c r="K45" s="630" t="s">
        <v>266</v>
      </c>
      <c r="L45" s="49">
        <f t="shared" si="296"/>
        <v>0.02</v>
      </c>
      <c r="M45" s="50">
        <f t="shared" si="297"/>
        <v>22000</v>
      </c>
      <c r="N45" s="51">
        <f t="shared" si="298"/>
        <v>979000</v>
      </c>
      <c r="O45" s="51"/>
      <c r="P45" s="51">
        <f t="shared" si="299"/>
        <v>121000</v>
      </c>
      <c r="Q45" s="52"/>
      <c r="R45" s="52"/>
      <c r="S45" s="52"/>
      <c r="T45" s="52"/>
      <c r="U45" s="52"/>
      <c r="V45" s="53">
        <f t="shared" si="300"/>
        <v>1100000</v>
      </c>
      <c r="W45" s="51">
        <f t="shared" si="301"/>
        <v>0</v>
      </c>
      <c r="X45" s="51">
        <f t="shared" si="302"/>
        <v>0</v>
      </c>
      <c r="Y45" s="51">
        <f t="shared" si="303"/>
        <v>0</v>
      </c>
      <c r="Z45" s="51">
        <f t="shared" si="304"/>
        <v>0</v>
      </c>
      <c r="AA45" s="51">
        <f t="shared" si="305"/>
        <v>1100000</v>
      </c>
      <c r="AB45" s="51">
        <f t="shared" si="306"/>
        <v>1100000</v>
      </c>
      <c r="AC45" s="51">
        <f t="shared" si="307"/>
        <v>22000</v>
      </c>
      <c r="AD45" s="51">
        <f t="shared" si="308"/>
        <v>22000</v>
      </c>
      <c r="AE45" s="51">
        <f t="shared" si="309"/>
        <v>957000</v>
      </c>
      <c r="AF45" s="51">
        <f t="shared" si="310"/>
        <v>957000</v>
      </c>
      <c r="AG45" s="51">
        <f t="shared" si="311"/>
        <v>143000</v>
      </c>
      <c r="AH45" s="54">
        <f t="shared" si="312"/>
        <v>0</v>
      </c>
      <c r="AI45" s="55">
        <f t="shared" si="313"/>
        <v>0</v>
      </c>
      <c r="AJ45" s="56">
        <f>IF(AND($E45&lt;&gt;0,$F45&gt;0,YEAR($F45)&gt;=Preisindex!$A$6,YEAR(AE$4)&gt;=YEAR($F45),AND($K45&lt;&gt;"a",$K45&lt;&gt;"b",$K45&lt;&gt;"g",$K45&lt;&gt;"k")),1,IF(AND($E45&lt;&gt;0,$F45&gt;0,YEAR($F45)&gt;=Preisindex!$A$6,YEAR(AE$4)&gt;=YEAR($F45),$K45="a"),ROUND(VLOOKUP(AJ$4,Preisindex,5,FALSE)/VLOOKUP(YEAR($F45),Preisindex,5,FALSE),2),IF(AND($E45&lt;&gt;0,$F45&gt;0,YEAR($F45)&gt;=Preisindex!$A$6,YEAR(AE$4)&gt;=YEAR($F45),$K45="b"),ROUND(VLOOKUP(AJ$4,Preisindex,3,FALSE)/VLOOKUP(YEAR($F45),Preisindex,3,FALSE),2),IF(AND($E45&lt;&gt;0,$F45&gt;0,YEAR($F45)&gt;=Preisindex!$A$6,YEAR(AE$4)&gt;=YEAR($F45),$K45="g"),ROUND(VLOOKUP(AJ$4,Preisindex,4,FALSE)/VLOOKUP(YEAR($F45),Preisindex,4,FALSE),2),IF(AND($E45&lt;&gt;0,$F45&gt;0,YEAR($F45)&gt;=Preisindex!$A$6,YEAR(AE$4)&gt;=YEAR($F45),$K45="k"),ROUND(VLOOKUP(AJ$4,Preisindex,2,FALSE)/VLOOKUP(YEAR($F45),Preisindex,2,FALSE),2),0)))))</f>
        <v>1.2</v>
      </c>
      <c r="AK45" s="56">
        <f>IF(AND($E45&lt;&gt;0,$F45&gt;0,YEAR($F45)&lt;Preisindex!$A$6,YEAR(AE$4)&gt;=YEAR($F45),AND($K45&lt;&gt;"a",$K45&lt;&gt;"b",$K45&lt;&gt;"g",$K45&lt;&gt;"k")),1,IF(AND($E45&lt;&gt;0,$F45&gt;0,YEAR($F45)&lt;Preisindex!$A$6,YEAR(AE$4)&gt;=YEAR($F45),$K45="a"),ROUND(VLOOKUP(AJ$4,Preisindex,5,FALSE)/VLOOKUP(Preisindex!$A$6,Preisindex,5,FALSE),2),IF(AND($E45&lt;&gt;0,$F45&gt;0,YEAR($F45)&lt;Preisindex!$A$6,YEAR(AE$4)&gt;=YEAR($F45),$K45="b"),ROUND(VLOOKUP(AJ$4,Preisindex,3,FALSE)/VLOOKUP(Preisindex!$A$6,Preisindex,3,FALSE),2),IF(AND($E45&lt;&gt;0,$F45&gt;0,YEAR($F45)&lt;Preisindex!$A$6,YEAR(AE$4)&gt;=YEAR($F45),$K45="g"),ROUND(VLOOKUP(AJ$4,Preisindex,4,FALSE)/VLOOKUP(Preisindex!$A$6,Preisindex,4,FALSE),2),IF(AND($E45&lt;&gt;0,$F45&gt;0,YEAR($F45)&lt;Preisindex!$A$6,YEAR(AE$4)&gt;=YEAR($F45),$K45="k"),ROUND(VLOOKUP(AJ$4,Preisindex,2,FALSE)/VLOOKUP(Preisindex!$A$6,Preisindex,2,FALSE),2),0)))))</f>
        <v>0</v>
      </c>
      <c r="AL45" s="51">
        <f>IF(AND($E45&lt;&gt;0,$F45&gt;0,YEAR($F45)&lt;=AJ$4,YEAR($F45)&gt;=Preisindex!$A$6),ROUND($E45*AJ45,2),IF(AND($E45&lt;&gt;0,$F45&gt;0,YEAR($F45)&lt;=AJ$4,YEAR($F45)&lt;Preisindex!$A$6),ROUND($E45*AK45,2),0))</f>
        <v>1320000</v>
      </c>
      <c r="AM45" s="53">
        <f t="shared" si="314"/>
        <v>26400</v>
      </c>
      <c r="AN45" s="51">
        <f t="shared" si="357"/>
        <v>0</v>
      </c>
      <c r="AO45" s="51">
        <f t="shared" si="317"/>
        <v>0</v>
      </c>
      <c r="AP45" s="51">
        <f t="shared" si="146"/>
        <v>0</v>
      </c>
      <c r="AQ45" s="51">
        <f t="shared" si="318"/>
        <v>0</v>
      </c>
      <c r="AR45" s="51">
        <f t="shared" si="148"/>
        <v>1100000</v>
      </c>
      <c r="AS45" s="51">
        <f t="shared" si="319"/>
        <v>1100000</v>
      </c>
      <c r="AT45" s="51">
        <f t="shared" si="150"/>
        <v>22000</v>
      </c>
      <c r="AU45" s="51">
        <f t="shared" si="320"/>
        <v>22000</v>
      </c>
      <c r="AV45" s="51">
        <f t="shared" si="152"/>
        <v>935000</v>
      </c>
      <c r="AW45" s="51">
        <f t="shared" si="321"/>
        <v>935000</v>
      </c>
      <c r="AX45" s="51">
        <f t="shared" si="154"/>
        <v>165000</v>
      </c>
      <c r="AY45" s="54">
        <f t="shared" si="155"/>
        <v>0</v>
      </c>
      <c r="AZ45" s="55">
        <f t="shared" si="156"/>
        <v>0</v>
      </c>
      <c r="BA45" s="56">
        <f>IF(AND($E45&lt;&gt;0,$F45&gt;0,YEAR($F45)&gt;=Preisindex!$A$6,YEAR(AV$4)&gt;=YEAR($F45),AND($K45&lt;&gt;"a",$K45&lt;&gt;"b",$K45&lt;&gt;"g",$K45&lt;&gt;"k")),1,IF(AND($E45&lt;&gt;0,$F45&gt;0,YEAR($F45)&gt;=Preisindex!$A$6,YEAR(AV$4)&gt;=YEAR($F45),$K45="a"),ROUND(VLOOKUP(BA$4,Preisindex,5,FALSE)/VLOOKUP(YEAR($F45),Preisindex,5,FALSE),2),IF(AND($E45&lt;&gt;0,$F45&gt;0,YEAR($F45)&gt;=Preisindex!$A$6,YEAR(AV$4)&gt;=YEAR($F45),$K45="b"),ROUND(VLOOKUP(BA$4,Preisindex,3,FALSE)/VLOOKUP(YEAR($F45),Preisindex,3,FALSE),2),IF(AND($E45&lt;&gt;0,$F45&gt;0,YEAR($F45)&gt;=Preisindex!$A$6,YEAR(AV$4)&gt;=YEAR($F45),$K45="g"),ROUND(VLOOKUP(BA$4,Preisindex,4,FALSE)/VLOOKUP(YEAR($F45),Preisindex,4,FALSE),2),IF(AND($E45&lt;&gt;0,$F45&gt;0,YEAR($F45)&gt;=Preisindex!$A$6,YEAR(AV$4)&gt;=YEAR($F45),$K45="k"),ROUND(VLOOKUP(BA$4,Preisindex,2,FALSE)/VLOOKUP(YEAR($F45),Preisindex,2,FALSE),2),0)))))</f>
        <v>1.22</v>
      </c>
      <c r="BB45" s="56">
        <f>IF(AND($E45&lt;&gt;0,$F45&gt;0,YEAR($F45)&lt;Preisindex!$A$6,YEAR(AV$4)&gt;=YEAR($F45),AND($K45&lt;&gt;"a",$K45&lt;&gt;"b",$K45&lt;&gt;"g",$K45&lt;&gt;"k")),1,IF(AND($E45&lt;&gt;0,$F45&gt;0,YEAR($F45)&lt;Preisindex!$A$6,YEAR(AV$4)&gt;=YEAR($F45),$K45="a"),ROUND(VLOOKUP(BA$4,Preisindex,5,FALSE)/VLOOKUP(Preisindex!$A$6,Preisindex,5,FALSE),2),IF(AND($E45&lt;&gt;0,$F45&gt;0,YEAR($F45)&lt;Preisindex!$A$6,YEAR(AV$4)&gt;=YEAR($F45),$K45="b"),ROUND(VLOOKUP(BA$4,Preisindex,3,FALSE)/VLOOKUP(Preisindex!$A$6,Preisindex,3,FALSE),2),IF(AND($E45&lt;&gt;0,$F45&gt;0,YEAR($F45)&lt;Preisindex!$A$6,YEAR(AV$4)&gt;=YEAR($F45),$K45="g"),ROUND(VLOOKUP(BA$4,Preisindex,4,FALSE)/VLOOKUP(Preisindex!$A$6,Preisindex,4,FALSE),2),IF(AND($E45&lt;&gt;0,$F45&gt;0,YEAR($F45)&lt;Preisindex!$A$6,YEAR(AV$4)&gt;=YEAR($F45),$K45="k"),ROUND(VLOOKUP(BA$4,Preisindex,2,FALSE)/VLOOKUP(Preisindex!$A$6,Preisindex,2,FALSE),2),0)))))</f>
        <v>0</v>
      </c>
      <c r="BC45" s="51">
        <f>IF(AND($E45&lt;&gt;0,$F45&gt;0,YEAR($F45)&lt;=BA$4,YEAR($F45)&gt;=Preisindex!$A$6),ROUND($E45*BA45,2),IF(AND($E45&lt;&gt;0,$F45&gt;0,YEAR($F45)&lt;=BA$4,YEAR($F45)&lt;Preisindex!$A$6),ROUND($E45*BB45,2),0))</f>
        <v>1342000</v>
      </c>
      <c r="BD45" s="53">
        <f t="shared" si="157"/>
        <v>26840</v>
      </c>
      <c r="BE45" s="51">
        <f t="shared" si="357"/>
        <v>0</v>
      </c>
      <c r="BF45" s="51">
        <f t="shared" si="322"/>
        <v>0</v>
      </c>
      <c r="BG45" s="51">
        <f t="shared" si="160"/>
        <v>0</v>
      </c>
      <c r="BH45" s="51">
        <f t="shared" si="323"/>
        <v>0</v>
      </c>
      <c r="BI45" s="51">
        <f t="shared" si="162"/>
        <v>1100000</v>
      </c>
      <c r="BJ45" s="51">
        <f t="shared" si="324"/>
        <v>1100000</v>
      </c>
      <c r="BK45" s="51">
        <f t="shared" si="164"/>
        <v>22000</v>
      </c>
      <c r="BL45" s="51">
        <f t="shared" si="325"/>
        <v>22000</v>
      </c>
      <c r="BM45" s="51">
        <f t="shared" si="166"/>
        <v>913000</v>
      </c>
      <c r="BN45" s="51">
        <f t="shared" si="326"/>
        <v>913000</v>
      </c>
      <c r="BO45" s="51">
        <f t="shared" si="168"/>
        <v>187000</v>
      </c>
      <c r="BP45" s="54">
        <f t="shared" si="169"/>
        <v>0</v>
      </c>
      <c r="BQ45" s="55">
        <f t="shared" si="170"/>
        <v>0</v>
      </c>
      <c r="BR45" s="56">
        <f>IF(AND($E45&lt;&gt;0,$F45&gt;0,YEAR($F45)&gt;=Preisindex!$A$6,YEAR(BM$4)&gt;=YEAR($F45),AND($K45&lt;&gt;"a",$K45&lt;&gt;"b",$K45&lt;&gt;"g",$K45&lt;&gt;"k")),1,IF(AND($E45&lt;&gt;0,$F45&gt;0,YEAR($F45)&gt;=Preisindex!$A$6,YEAR(BM$4)&gt;=YEAR($F45),$K45="a"),ROUND(VLOOKUP(BR$4,Preisindex,5,FALSE)/VLOOKUP(YEAR($F45),Preisindex,5,FALSE),2),IF(AND($E45&lt;&gt;0,$F45&gt;0,YEAR($F45)&gt;=Preisindex!$A$6,YEAR(BM$4)&gt;=YEAR($F45),$K45="b"),ROUND(VLOOKUP(BR$4,Preisindex,3,FALSE)/VLOOKUP(YEAR($F45),Preisindex,3,FALSE),2),IF(AND($E45&lt;&gt;0,$F45&gt;0,YEAR($F45)&gt;=Preisindex!$A$6,YEAR(BM$4)&gt;=YEAR($F45),$K45="g"),ROUND(VLOOKUP(BR$4,Preisindex,4,FALSE)/VLOOKUP(YEAR($F45),Preisindex,4,FALSE),2),IF(AND($E45&lt;&gt;0,$F45&gt;0,YEAR($F45)&gt;=Preisindex!$A$6,YEAR(BM$4)&gt;=YEAR($F45),$K45="k"),ROUND(VLOOKUP(BR$4,Preisindex,2,FALSE)/VLOOKUP(YEAR($F45),Preisindex,2,FALSE),2),0)))))</f>
        <v>1.24</v>
      </c>
      <c r="BS45" s="56">
        <f>IF(AND($E45&lt;&gt;0,$F45&gt;0,YEAR($F45)&lt;Preisindex!$A$6,YEAR(BM$4)&gt;=YEAR($F45),AND($K45&lt;&gt;"a",$K45&lt;&gt;"b",$K45&lt;&gt;"g",$K45&lt;&gt;"k")),1,IF(AND($E45&lt;&gt;0,$F45&gt;0,YEAR($F45)&lt;Preisindex!$A$6,YEAR(BM$4)&gt;=YEAR($F45),$K45="a"),ROUND(VLOOKUP(BR$4,Preisindex,5,FALSE)/VLOOKUP(Preisindex!$A$6,Preisindex,5,FALSE),2),IF(AND($E45&lt;&gt;0,$F45&gt;0,YEAR($F45)&lt;Preisindex!$A$6,YEAR(BM$4)&gt;=YEAR($F45),$K45="b"),ROUND(VLOOKUP(BR$4,Preisindex,3,FALSE)/VLOOKUP(Preisindex!$A$6,Preisindex,3,FALSE),2),IF(AND($E45&lt;&gt;0,$F45&gt;0,YEAR($F45)&lt;Preisindex!$A$6,YEAR(BM$4)&gt;=YEAR($F45),$K45="g"),ROUND(VLOOKUP(BR$4,Preisindex,4,FALSE)/VLOOKUP(Preisindex!$A$6,Preisindex,4,FALSE),2),IF(AND($E45&lt;&gt;0,$F45&gt;0,YEAR($F45)&lt;Preisindex!$A$6,YEAR(BM$4)&gt;=YEAR($F45),$K45="k"),ROUND(VLOOKUP(BR$4,Preisindex,2,FALSE)/VLOOKUP(Preisindex!$A$6,Preisindex,2,FALSE),2),0)))))</f>
        <v>0</v>
      </c>
      <c r="BT45" s="51">
        <f>IF(AND($E45&lt;&gt;0,$F45&gt;0,YEAR($F45)&lt;=BR$4,YEAR($F45)&gt;=Preisindex!$A$6),ROUND($E45*BR45,2),IF(AND($E45&lt;&gt;0,$F45&gt;0,YEAR($F45)&lt;=BR$4,YEAR($F45)&lt;Preisindex!$A$6),ROUND($E45*BS45,2),0))</f>
        <v>1364000</v>
      </c>
      <c r="BU45" s="53">
        <f t="shared" si="171"/>
        <v>27280</v>
      </c>
      <c r="BV45" s="51">
        <f t="shared" si="357"/>
        <v>0</v>
      </c>
      <c r="BW45" s="51">
        <f t="shared" si="327"/>
        <v>0</v>
      </c>
      <c r="BX45" s="51">
        <f t="shared" si="174"/>
        <v>0</v>
      </c>
      <c r="BY45" s="51">
        <f t="shared" si="328"/>
        <v>0</v>
      </c>
      <c r="BZ45" s="51">
        <f t="shared" si="176"/>
        <v>1100000</v>
      </c>
      <c r="CA45" s="51">
        <f t="shared" si="329"/>
        <v>1100000</v>
      </c>
      <c r="CB45" s="51">
        <f t="shared" si="178"/>
        <v>22000</v>
      </c>
      <c r="CC45" s="51">
        <f t="shared" si="330"/>
        <v>22000</v>
      </c>
      <c r="CD45" s="51">
        <f t="shared" si="180"/>
        <v>891000</v>
      </c>
      <c r="CE45" s="51">
        <f t="shared" si="331"/>
        <v>891000</v>
      </c>
      <c r="CF45" s="51">
        <f t="shared" si="182"/>
        <v>209000</v>
      </c>
      <c r="CG45" s="54">
        <f t="shared" si="183"/>
        <v>0</v>
      </c>
      <c r="CH45" s="55">
        <f t="shared" si="184"/>
        <v>0</v>
      </c>
      <c r="CI45" s="56">
        <f>IF(AND($E45&lt;&gt;0,$F45&gt;0,YEAR($F45)&gt;=Preisindex!$A$6,YEAR(CD$4)&gt;=YEAR($F45),AND($K45&lt;&gt;"a",$K45&lt;&gt;"b",$K45&lt;&gt;"g",$K45&lt;&gt;"k")),1,IF(AND($E45&lt;&gt;0,$F45&gt;0,YEAR($F45)&gt;=Preisindex!$A$6,YEAR(CD$4)&gt;=YEAR($F45),$K45="a"),ROUND(VLOOKUP(CI$4,Preisindex,5,FALSE)/VLOOKUP(YEAR($F45),Preisindex,5,FALSE),2),IF(AND($E45&lt;&gt;0,$F45&gt;0,YEAR($F45)&gt;=Preisindex!$A$6,YEAR(CD$4)&gt;=YEAR($F45),$K45="b"),ROUND(VLOOKUP(CI$4,Preisindex,3,FALSE)/VLOOKUP(YEAR($F45),Preisindex,3,FALSE),2),IF(AND($E45&lt;&gt;0,$F45&gt;0,YEAR($F45)&gt;=Preisindex!$A$6,YEAR(CD$4)&gt;=YEAR($F45),$K45="g"),ROUND(VLOOKUP(CI$4,Preisindex,4,FALSE)/VLOOKUP(YEAR($F45),Preisindex,4,FALSE),2),IF(AND($E45&lt;&gt;0,$F45&gt;0,YEAR($F45)&gt;=Preisindex!$A$6,YEAR(CD$4)&gt;=YEAR($F45),$K45="k"),ROUND(VLOOKUP(CI$4,Preisindex,2,FALSE)/VLOOKUP(YEAR($F45),Preisindex,2,FALSE),2),0)))))</f>
        <v>1.26</v>
      </c>
      <c r="CJ45" s="56">
        <f>IF(AND($E45&lt;&gt;0,$F45&gt;0,YEAR($F45)&lt;Preisindex!$A$6,YEAR(CD$4)&gt;=YEAR($F45),AND($K45&lt;&gt;"a",$K45&lt;&gt;"b",$K45&lt;&gt;"g",$K45&lt;&gt;"k")),1,IF(AND($E45&lt;&gt;0,$F45&gt;0,YEAR($F45)&lt;Preisindex!$A$6,YEAR(CD$4)&gt;=YEAR($F45),$K45="a"),ROUND(VLOOKUP(CI$4,Preisindex,5,FALSE)/VLOOKUP(Preisindex!$A$6,Preisindex,5,FALSE),2),IF(AND($E45&lt;&gt;0,$F45&gt;0,YEAR($F45)&lt;Preisindex!$A$6,YEAR(CD$4)&gt;=YEAR($F45),$K45="b"),ROUND(VLOOKUP(CI$4,Preisindex,3,FALSE)/VLOOKUP(Preisindex!$A$6,Preisindex,3,FALSE),2),IF(AND($E45&lt;&gt;0,$F45&gt;0,YEAR($F45)&lt;Preisindex!$A$6,YEAR(CD$4)&gt;=YEAR($F45),$K45="g"),ROUND(VLOOKUP(CI$4,Preisindex,4,FALSE)/VLOOKUP(Preisindex!$A$6,Preisindex,4,FALSE),2),IF(AND($E45&lt;&gt;0,$F45&gt;0,YEAR($F45)&lt;Preisindex!$A$6,YEAR(CD$4)&gt;=YEAR($F45),$K45="k"),ROUND(VLOOKUP(CI$4,Preisindex,2,FALSE)/VLOOKUP(Preisindex!$A$6,Preisindex,2,FALSE),2),0)))))</f>
        <v>0</v>
      </c>
      <c r="CK45" s="51">
        <f>IF(AND($E45&lt;&gt;0,$F45&gt;0,YEAR($F45)&lt;=CI$4,YEAR($F45)&gt;=Preisindex!$A$6),ROUND($E45*CI45,2),IF(AND($E45&lt;&gt;0,$F45&gt;0,YEAR($F45)&lt;=CI$4,YEAR($F45)&lt;Preisindex!$A$6),ROUND($E45*CJ45,2),0))</f>
        <v>1386000</v>
      </c>
      <c r="CL45" s="53">
        <f t="shared" si="185"/>
        <v>27720</v>
      </c>
      <c r="CM45" s="51">
        <f t="shared" si="357"/>
        <v>0</v>
      </c>
      <c r="CN45" s="51">
        <f t="shared" si="332"/>
        <v>0</v>
      </c>
      <c r="CO45" s="51">
        <f t="shared" si="188"/>
        <v>0</v>
      </c>
      <c r="CP45" s="51">
        <f t="shared" si="333"/>
        <v>0</v>
      </c>
      <c r="CQ45" s="51">
        <f t="shared" si="190"/>
        <v>1100000</v>
      </c>
      <c r="CR45" s="51">
        <f t="shared" si="334"/>
        <v>1100000</v>
      </c>
      <c r="CS45" s="51">
        <f t="shared" si="192"/>
        <v>22000</v>
      </c>
      <c r="CT45" s="51">
        <f t="shared" si="335"/>
        <v>22000</v>
      </c>
      <c r="CU45" s="51">
        <f t="shared" si="194"/>
        <v>869000</v>
      </c>
      <c r="CV45" s="51">
        <f t="shared" si="336"/>
        <v>869000</v>
      </c>
      <c r="CW45" s="51">
        <f t="shared" si="196"/>
        <v>231000</v>
      </c>
      <c r="CX45" s="54">
        <f t="shared" si="197"/>
        <v>0</v>
      </c>
      <c r="CY45" s="55">
        <f t="shared" si="198"/>
        <v>0</v>
      </c>
      <c r="CZ45" s="56">
        <f>IF(AND($E45&lt;&gt;0,$F45&gt;0,YEAR($F45)&gt;=Preisindex!$A$6,YEAR(CU$4)&gt;=YEAR($F45),AND($K45&lt;&gt;"a",$K45&lt;&gt;"b",$K45&lt;&gt;"g",$K45&lt;&gt;"k")),1,IF(AND($E45&lt;&gt;0,$F45&gt;0,YEAR($F45)&gt;=Preisindex!$A$6,YEAR(CU$4)&gt;=YEAR($F45),$K45="a"),ROUND(VLOOKUP(CZ$4,Preisindex,5,FALSE)/VLOOKUP(YEAR($F45),Preisindex,5,FALSE),2),IF(AND($E45&lt;&gt;0,$F45&gt;0,YEAR($F45)&gt;=Preisindex!$A$6,YEAR(CU$4)&gt;=YEAR($F45),$K45="b"),ROUND(VLOOKUP(CZ$4,Preisindex,3,FALSE)/VLOOKUP(YEAR($F45),Preisindex,3,FALSE),2),IF(AND($E45&lt;&gt;0,$F45&gt;0,YEAR($F45)&gt;=Preisindex!$A$6,YEAR(CU$4)&gt;=YEAR($F45),$K45="g"),ROUND(VLOOKUP(CZ$4,Preisindex,4,FALSE)/VLOOKUP(YEAR($F45),Preisindex,4,FALSE),2),IF(AND($E45&lt;&gt;0,$F45&gt;0,YEAR($F45)&gt;=Preisindex!$A$6,YEAR(CU$4)&gt;=YEAR($F45),$K45="k"),ROUND(VLOOKUP(CZ$4,Preisindex,2,FALSE)/VLOOKUP(YEAR($F45),Preisindex,2,FALSE),2),0)))))</f>
        <v>1.28</v>
      </c>
      <c r="DA45" s="56">
        <f>IF(AND($E45&lt;&gt;0,$F45&gt;0,YEAR($F45)&lt;Preisindex!$A$6,YEAR(CU$4)&gt;=YEAR($F45),AND($K45&lt;&gt;"a",$K45&lt;&gt;"b",$K45&lt;&gt;"g",$K45&lt;&gt;"k")),1,IF(AND($E45&lt;&gt;0,$F45&gt;0,YEAR($F45)&lt;Preisindex!$A$6,YEAR(CU$4)&gt;=YEAR($F45),$K45="a"),ROUND(VLOOKUP(CZ$4,Preisindex,5,FALSE)/VLOOKUP(Preisindex!$A$6,Preisindex,5,FALSE),2),IF(AND($E45&lt;&gt;0,$F45&gt;0,YEAR($F45)&lt;Preisindex!$A$6,YEAR(CU$4)&gt;=YEAR($F45),$K45="b"),ROUND(VLOOKUP(CZ$4,Preisindex,3,FALSE)/VLOOKUP(Preisindex!$A$6,Preisindex,3,FALSE),2),IF(AND($E45&lt;&gt;0,$F45&gt;0,YEAR($F45)&lt;Preisindex!$A$6,YEAR(CU$4)&gt;=YEAR($F45),$K45="g"),ROUND(VLOOKUP(CZ$4,Preisindex,4,FALSE)/VLOOKUP(Preisindex!$A$6,Preisindex,4,FALSE),2),IF(AND($E45&lt;&gt;0,$F45&gt;0,YEAR($F45)&lt;Preisindex!$A$6,YEAR(CU$4)&gt;=YEAR($F45),$K45="k"),ROUND(VLOOKUP(CZ$4,Preisindex,2,FALSE)/VLOOKUP(Preisindex!$A$6,Preisindex,2,FALSE),2),0)))))</f>
        <v>0</v>
      </c>
      <c r="DB45" s="51">
        <f>IF(AND($E45&lt;&gt;0,$F45&gt;0,YEAR($F45)&lt;=CZ$4,YEAR($F45)&gt;=Preisindex!$A$6),ROUND($E45*CZ45,2),IF(AND($E45&lt;&gt;0,$F45&gt;0,YEAR($F45)&lt;=CZ$4,YEAR($F45)&lt;Preisindex!$A$6),ROUND($E45*DA45,2),0))</f>
        <v>1408000</v>
      </c>
      <c r="DC45" s="53">
        <f t="shared" si="199"/>
        <v>28160</v>
      </c>
      <c r="DD45" s="51">
        <f t="shared" si="358"/>
        <v>0</v>
      </c>
      <c r="DE45" s="51">
        <f t="shared" si="337"/>
        <v>0</v>
      </c>
      <c r="DF45" s="51">
        <f t="shared" si="202"/>
        <v>0</v>
      </c>
      <c r="DG45" s="51">
        <f t="shared" si="338"/>
        <v>0</v>
      </c>
      <c r="DH45" s="51">
        <f t="shared" si="204"/>
        <v>1100000</v>
      </c>
      <c r="DI45" s="51">
        <f t="shared" si="339"/>
        <v>1100000</v>
      </c>
      <c r="DJ45" s="51">
        <f t="shared" si="206"/>
        <v>22000</v>
      </c>
      <c r="DK45" s="51">
        <f t="shared" si="340"/>
        <v>22000</v>
      </c>
      <c r="DL45" s="51">
        <f t="shared" si="208"/>
        <v>847000</v>
      </c>
      <c r="DM45" s="51">
        <f t="shared" si="341"/>
        <v>847000</v>
      </c>
      <c r="DN45" s="51">
        <f t="shared" si="210"/>
        <v>253000</v>
      </c>
      <c r="DO45" s="54">
        <f t="shared" si="211"/>
        <v>0</v>
      </c>
      <c r="DP45" s="55">
        <f t="shared" si="212"/>
        <v>0</v>
      </c>
      <c r="DQ45" s="56">
        <f>IF(AND($E45&lt;&gt;0,$F45&gt;0,YEAR($F45)&gt;=Preisindex!$A$6,YEAR(DL$4)&gt;=YEAR($F45),AND($K45&lt;&gt;"a",$K45&lt;&gt;"b",$K45&lt;&gt;"g",$K45&lt;&gt;"k")),1,IF(AND($E45&lt;&gt;0,$F45&gt;0,YEAR($F45)&gt;=Preisindex!$A$6,YEAR(DL$4)&gt;=YEAR($F45),$K45="a"),ROUND(VLOOKUP(DQ$4,Preisindex,5,FALSE)/VLOOKUP(YEAR($F45),Preisindex,5,FALSE),2),IF(AND($E45&lt;&gt;0,$F45&gt;0,YEAR($F45)&gt;=Preisindex!$A$6,YEAR(DL$4)&gt;=YEAR($F45),$K45="b"),ROUND(VLOOKUP(DQ$4,Preisindex,3,FALSE)/VLOOKUP(YEAR($F45),Preisindex,3,FALSE),2),IF(AND($E45&lt;&gt;0,$F45&gt;0,YEAR($F45)&gt;=Preisindex!$A$6,YEAR(DL$4)&gt;=YEAR($F45),$K45="g"),ROUND(VLOOKUP(DQ$4,Preisindex,4,FALSE)/VLOOKUP(YEAR($F45),Preisindex,4,FALSE),2),IF(AND($E45&lt;&gt;0,$F45&gt;0,YEAR($F45)&gt;=Preisindex!$A$6,YEAR(DL$4)&gt;=YEAR($F45),$K45="k"),ROUND(VLOOKUP(DQ$4,Preisindex,2,FALSE)/VLOOKUP(YEAR($F45),Preisindex,2,FALSE),2),0)))))</f>
        <v>1.32</v>
      </c>
      <c r="DR45" s="56">
        <f>IF(AND($E45&lt;&gt;0,$F45&gt;0,YEAR($F45)&lt;Preisindex!$A$6,YEAR(DL$4)&gt;=YEAR($F45),AND($K45&lt;&gt;"a",$K45&lt;&gt;"b",$K45&lt;&gt;"g",$K45&lt;&gt;"k")),1,IF(AND($E45&lt;&gt;0,$F45&gt;0,YEAR($F45)&lt;Preisindex!$A$6,YEAR(DL$4)&gt;=YEAR($F45),$K45="a"),ROUND(VLOOKUP(DQ$4,Preisindex,5,FALSE)/VLOOKUP(Preisindex!$A$6,Preisindex,5,FALSE),2),IF(AND($E45&lt;&gt;0,$F45&gt;0,YEAR($F45)&lt;Preisindex!$A$6,YEAR(DL$4)&gt;=YEAR($F45),$K45="b"),ROUND(VLOOKUP(DQ$4,Preisindex,3,FALSE)/VLOOKUP(Preisindex!$A$6,Preisindex,3,FALSE),2),IF(AND($E45&lt;&gt;0,$F45&gt;0,YEAR($F45)&lt;Preisindex!$A$6,YEAR(DL$4)&gt;=YEAR($F45),$K45="g"),ROUND(VLOOKUP(DQ$4,Preisindex,4,FALSE)/VLOOKUP(Preisindex!$A$6,Preisindex,4,FALSE),2),IF(AND($E45&lt;&gt;0,$F45&gt;0,YEAR($F45)&lt;Preisindex!$A$6,YEAR(DL$4)&gt;=YEAR($F45),$K45="k"),ROUND(VLOOKUP(DQ$4,Preisindex,2,FALSE)/VLOOKUP(Preisindex!$A$6,Preisindex,2,FALSE),2),0)))))</f>
        <v>0</v>
      </c>
      <c r="DS45" s="51">
        <f>IF(AND($E45&lt;&gt;0,$F45&gt;0,YEAR($F45)&lt;=DQ$4,YEAR($F45)&gt;=Preisindex!$A$6),ROUND($E45*DQ45,2),IF(AND($E45&lt;&gt;0,$F45&gt;0,YEAR($F45)&lt;=DQ$4,YEAR($F45)&lt;Preisindex!$A$6),ROUND($E45*DR45,2),0))</f>
        <v>1452000</v>
      </c>
      <c r="DT45" s="53">
        <f t="shared" si="213"/>
        <v>29040</v>
      </c>
      <c r="DU45" s="51">
        <f t="shared" si="358"/>
        <v>0</v>
      </c>
      <c r="DV45" s="51">
        <f t="shared" si="342"/>
        <v>0</v>
      </c>
      <c r="DW45" s="51">
        <f t="shared" si="216"/>
        <v>0</v>
      </c>
      <c r="DX45" s="51">
        <f t="shared" si="343"/>
        <v>0</v>
      </c>
      <c r="DY45" s="51">
        <f t="shared" si="218"/>
        <v>1100000</v>
      </c>
      <c r="DZ45" s="51">
        <f t="shared" si="344"/>
        <v>1100000</v>
      </c>
      <c r="EA45" s="51">
        <f t="shared" si="220"/>
        <v>22000</v>
      </c>
      <c r="EB45" s="51">
        <f t="shared" si="345"/>
        <v>22000</v>
      </c>
      <c r="EC45" s="51">
        <f t="shared" si="222"/>
        <v>825000</v>
      </c>
      <c r="ED45" s="51">
        <f t="shared" si="346"/>
        <v>825000</v>
      </c>
      <c r="EE45" s="51">
        <f t="shared" si="224"/>
        <v>275000</v>
      </c>
      <c r="EF45" s="54">
        <f t="shared" si="225"/>
        <v>0</v>
      </c>
      <c r="EG45" s="55">
        <f t="shared" si="226"/>
        <v>0</v>
      </c>
      <c r="EH45" s="56">
        <f>IF(AND($E45&lt;&gt;0,$F45&gt;0,YEAR($F45)&gt;=Preisindex!$A$6,YEAR(EC$4)&gt;=YEAR($F45),AND($K45&lt;&gt;"a",$K45&lt;&gt;"b",$K45&lt;&gt;"g",$K45&lt;&gt;"k")),1,IF(AND($E45&lt;&gt;0,$F45&gt;0,YEAR($F45)&gt;=Preisindex!$A$6,YEAR(EC$4)&gt;=YEAR($F45),$K45="a"),ROUND(VLOOKUP(EH$4,Preisindex,5,FALSE)/VLOOKUP(YEAR($F45),Preisindex,5,FALSE),2),IF(AND($E45&lt;&gt;0,$F45&gt;0,YEAR($F45)&gt;=Preisindex!$A$6,YEAR(EC$4)&gt;=YEAR($F45),$K45="b"),ROUND(VLOOKUP(EH$4,Preisindex,3,FALSE)/VLOOKUP(YEAR($F45),Preisindex,3,FALSE),2),IF(AND($E45&lt;&gt;0,$F45&gt;0,YEAR($F45)&gt;=Preisindex!$A$6,YEAR(EC$4)&gt;=YEAR($F45),$K45="g"),ROUND(VLOOKUP(EH$4,Preisindex,4,FALSE)/VLOOKUP(YEAR($F45),Preisindex,4,FALSE),2),IF(AND($E45&lt;&gt;0,$F45&gt;0,YEAR($F45)&gt;=Preisindex!$A$6,YEAR(EC$4)&gt;=YEAR($F45),$K45="k"),ROUND(VLOOKUP(EH$4,Preisindex,2,FALSE)/VLOOKUP(YEAR($F45),Preisindex,2,FALSE),2),0)))))</f>
        <v>1.39</v>
      </c>
      <c r="EI45" s="56">
        <f>IF(AND($E45&lt;&gt;0,$F45&gt;0,YEAR($F45)&lt;Preisindex!$A$6,YEAR(EC$4)&gt;=YEAR($F45),AND($K45&lt;&gt;"a",$K45&lt;&gt;"b",$K45&lt;&gt;"g",$K45&lt;&gt;"k")),1,IF(AND($E45&lt;&gt;0,$F45&gt;0,YEAR($F45)&lt;Preisindex!$A$6,YEAR(EC$4)&gt;=YEAR($F45),$K45="a"),ROUND(VLOOKUP(EH$4,Preisindex,5,FALSE)/VLOOKUP(Preisindex!$A$6,Preisindex,5,FALSE),2),IF(AND($E45&lt;&gt;0,$F45&gt;0,YEAR($F45)&lt;Preisindex!$A$6,YEAR(EC$4)&gt;=YEAR($F45),$K45="b"),ROUND(VLOOKUP(EH$4,Preisindex,3,FALSE)/VLOOKUP(Preisindex!$A$6,Preisindex,3,FALSE),2),IF(AND($E45&lt;&gt;0,$F45&gt;0,YEAR($F45)&lt;Preisindex!$A$6,YEAR(EC$4)&gt;=YEAR($F45),$K45="g"),ROUND(VLOOKUP(EH$4,Preisindex,4,FALSE)/VLOOKUP(Preisindex!$A$6,Preisindex,4,FALSE),2),IF(AND($E45&lt;&gt;0,$F45&gt;0,YEAR($F45)&lt;Preisindex!$A$6,YEAR(EC$4)&gt;=YEAR($F45),$K45="k"),ROUND(VLOOKUP(EH$4,Preisindex,2,FALSE)/VLOOKUP(Preisindex!$A$6,Preisindex,2,FALSE),2),0)))))</f>
        <v>0</v>
      </c>
      <c r="EJ45" s="51">
        <f>IF(AND($E45&lt;&gt;0,$F45&gt;0,YEAR($F45)&lt;=EH$4,YEAR($F45)&gt;=Preisindex!$A$6),ROUND($E45*EH45,2),IF(AND($E45&lt;&gt;0,$F45&gt;0,YEAR($F45)&lt;=EH$4,YEAR($F45)&lt;Preisindex!$A$6),ROUND($E45*EI45,2),0))</f>
        <v>1529000</v>
      </c>
      <c r="EK45" s="53">
        <f t="shared" si="227"/>
        <v>30580</v>
      </c>
      <c r="EL45" s="51">
        <f t="shared" si="358"/>
        <v>0</v>
      </c>
      <c r="EM45" s="51">
        <f t="shared" si="347"/>
        <v>0</v>
      </c>
      <c r="EN45" s="51">
        <f t="shared" si="230"/>
        <v>0</v>
      </c>
      <c r="EO45" s="51">
        <f t="shared" si="348"/>
        <v>0</v>
      </c>
      <c r="EP45" s="51">
        <f t="shared" si="232"/>
        <v>1100000</v>
      </c>
      <c r="EQ45" s="51">
        <f t="shared" si="349"/>
        <v>1100000</v>
      </c>
      <c r="ER45" s="51">
        <f t="shared" si="234"/>
        <v>22000</v>
      </c>
      <c r="ES45" s="51">
        <f t="shared" si="350"/>
        <v>22000</v>
      </c>
      <c r="ET45" s="51">
        <f t="shared" si="236"/>
        <v>803000</v>
      </c>
      <c r="EU45" s="51">
        <f t="shared" si="351"/>
        <v>803000</v>
      </c>
      <c r="EV45" s="51">
        <f t="shared" si="238"/>
        <v>297000</v>
      </c>
      <c r="EW45" s="54">
        <f t="shared" si="239"/>
        <v>0</v>
      </c>
      <c r="EX45" s="55">
        <f t="shared" si="240"/>
        <v>0</v>
      </c>
      <c r="EY45" s="56">
        <f>IF(AND($E45&lt;&gt;0,$F45&gt;0,YEAR($F45)&gt;=Preisindex!$A$6,YEAR(ET$4)&gt;=YEAR($F45),AND($K45&lt;&gt;"a",$K45&lt;&gt;"b",$K45&lt;&gt;"g",$K45&lt;&gt;"k")),1,IF(AND($E45&lt;&gt;0,$F45&gt;0,YEAR($F45)&gt;=Preisindex!$A$6,YEAR(ET$4)&gt;=YEAR($F45),$K45="a"),ROUND(VLOOKUP(EY$4,Preisindex,5,FALSE)/VLOOKUP(YEAR($F45),Preisindex,5,FALSE),2),IF(AND($E45&lt;&gt;0,$F45&gt;0,YEAR($F45)&gt;=Preisindex!$A$6,YEAR(ET$4)&gt;=YEAR($F45),$K45="b"),ROUND(VLOOKUP(EY$4,Preisindex,3,FALSE)/VLOOKUP(YEAR($F45),Preisindex,3,FALSE),2),IF(AND($E45&lt;&gt;0,$F45&gt;0,YEAR($F45)&gt;=Preisindex!$A$6,YEAR(ET$4)&gt;=YEAR($F45),$K45="g"),ROUND(VLOOKUP(EY$4,Preisindex,4,FALSE)/VLOOKUP(YEAR($F45),Preisindex,4,FALSE),2),IF(AND($E45&lt;&gt;0,$F45&gt;0,YEAR($F45)&gt;=Preisindex!$A$6,YEAR(ET$4)&gt;=YEAR($F45),$K45="k"),ROUND(VLOOKUP(EY$4,Preisindex,2,FALSE)/VLOOKUP(YEAR($F45),Preisindex,2,FALSE),2),0)))))</f>
        <v>1.39</v>
      </c>
      <c r="EZ45" s="56">
        <f>IF(AND($E45&lt;&gt;0,$F45&gt;0,YEAR($F45)&lt;Preisindex!$A$6,YEAR(ET$4)&gt;=YEAR($F45),AND($K45&lt;&gt;"a",$K45&lt;&gt;"b",$K45&lt;&gt;"g",$K45&lt;&gt;"k")),1,IF(AND($E45&lt;&gt;0,$F45&gt;0,YEAR($F45)&lt;Preisindex!$A$6,YEAR(ET$4)&gt;=YEAR($F45),$K45="a"),ROUND(VLOOKUP(EY$4,Preisindex,5,FALSE)/VLOOKUP(Preisindex!$A$6,Preisindex,5,FALSE),2),IF(AND($E45&lt;&gt;0,$F45&gt;0,YEAR($F45)&lt;Preisindex!$A$6,YEAR(ET$4)&gt;=YEAR($F45),$K45="b"),ROUND(VLOOKUP(EY$4,Preisindex,3,FALSE)/VLOOKUP(Preisindex!$A$6,Preisindex,3,FALSE),2),IF(AND($E45&lt;&gt;0,$F45&gt;0,YEAR($F45)&lt;Preisindex!$A$6,YEAR(ET$4)&gt;=YEAR($F45),$K45="g"),ROUND(VLOOKUP(EY$4,Preisindex,4,FALSE)/VLOOKUP(Preisindex!$A$6,Preisindex,4,FALSE),2),IF(AND($E45&lt;&gt;0,$F45&gt;0,YEAR($F45)&lt;Preisindex!$A$6,YEAR(ET$4)&gt;=YEAR($F45),$K45="k"),ROUND(VLOOKUP(EY$4,Preisindex,2,FALSE)/VLOOKUP(Preisindex!$A$6,Preisindex,2,FALSE),2),0)))))</f>
        <v>0</v>
      </c>
      <c r="FA45" s="51">
        <f>IF(AND($E45&lt;&gt;0,$F45&gt;0,YEAR($F45)&lt;=EY$4,YEAR($F45)&gt;=Preisindex!$A$6),ROUND($E45*EY45,2),IF(AND($E45&lt;&gt;0,$F45&gt;0,YEAR($F45)&lt;=EY$4,YEAR($F45)&lt;Preisindex!$A$6),ROUND($E45*EZ45,2),0))</f>
        <v>1529000</v>
      </c>
      <c r="FB45" s="53">
        <f t="shared" si="241"/>
        <v>30580</v>
      </c>
      <c r="FC45" s="51">
        <f t="shared" si="358"/>
        <v>0</v>
      </c>
      <c r="FD45" s="51">
        <f t="shared" si="352"/>
        <v>0</v>
      </c>
      <c r="FE45" s="51">
        <f t="shared" si="244"/>
        <v>0</v>
      </c>
      <c r="FF45" s="51">
        <f t="shared" si="353"/>
        <v>0</v>
      </c>
      <c r="FG45" s="51">
        <f t="shared" si="246"/>
        <v>1100000</v>
      </c>
      <c r="FH45" s="51">
        <f t="shared" si="354"/>
        <v>1100000</v>
      </c>
      <c r="FI45" s="51">
        <f t="shared" si="248"/>
        <v>22000</v>
      </c>
      <c r="FJ45" s="51">
        <f t="shared" si="355"/>
        <v>22000</v>
      </c>
      <c r="FK45" s="51">
        <f t="shared" si="250"/>
        <v>781000</v>
      </c>
      <c r="FL45" s="51">
        <f t="shared" si="356"/>
        <v>781000</v>
      </c>
      <c r="FM45" s="51">
        <f t="shared" si="252"/>
        <v>319000</v>
      </c>
      <c r="FN45" s="54">
        <f t="shared" si="253"/>
        <v>0</v>
      </c>
      <c r="FO45" s="55">
        <f t="shared" si="254"/>
        <v>0</v>
      </c>
      <c r="FP45" s="56">
        <f>IF(AND($E45&lt;&gt;0,$F45&gt;0,YEAR($F45)&gt;=Preisindex!$A$6,YEAR(FK$4)&gt;=YEAR($F45),AND($K45&lt;&gt;"a",$K45&lt;&gt;"b",$K45&lt;&gt;"g",$K45&lt;&gt;"k")),1,IF(AND($E45&lt;&gt;0,$F45&gt;0,YEAR($F45)&gt;=Preisindex!$A$6,YEAR(FK$4)&gt;=YEAR($F45),$K45="a"),ROUND(VLOOKUP(FP$4,Preisindex,5,FALSE)/VLOOKUP(YEAR($F45),Preisindex,5,FALSE),2),IF(AND($E45&lt;&gt;0,$F45&gt;0,YEAR($F45)&gt;=Preisindex!$A$6,YEAR(FK$4)&gt;=YEAR($F45),$K45="b"),ROUND(VLOOKUP(FP$4,Preisindex,3,FALSE)/VLOOKUP(YEAR($F45),Preisindex,3,FALSE),2),IF(AND($E45&lt;&gt;0,$F45&gt;0,YEAR($F45)&gt;=Preisindex!$A$6,YEAR(FK$4)&gt;=YEAR($F45),$K45="g"),ROUND(VLOOKUP(FP$4,Preisindex,4,FALSE)/VLOOKUP(YEAR($F45),Preisindex,4,FALSE),2),IF(AND($E45&lt;&gt;0,$F45&gt;0,YEAR($F45)&gt;=Preisindex!$A$6,YEAR(FK$4)&gt;=YEAR($F45),$K45="k"),ROUND(VLOOKUP(FP$4,Preisindex,2,FALSE)/VLOOKUP(YEAR($F45),Preisindex,2,FALSE),2),0)))))</f>
        <v>1.39</v>
      </c>
      <c r="FQ45" s="56">
        <f>IF(AND($E45&lt;&gt;0,$F45&gt;0,YEAR($F45)&lt;Preisindex!$A$6,YEAR(FK$4)&gt;=YEAR($F45),AND($K45&lt;&gt;"a",$K45&lt;&gt;"b",$K45&lt;&gt;"g",$K45&lt;&gt;"k")),1,IF(AND($E45&lt;&gt;0,$F45&gt;0,YEAR($F45)&lt;Preisindex!$A$6,YEAR(FK$4)&gt;=YEAR($F45),$K45="a"),ROUND(VLOOKUP(FP$4,Preisindex,5,FALSE)/VLOOKUP(Preisindex!$A$6,Preisindex,5,FALSE),2),IF(AND($E45&lt;&gt;0,$F45&gt;0,YEAR($F45)&lt;Preisindex!$A$6,YEAR(FK$4)&gt;=YEAR($F45),$K45="b"),ROUND(VLOOKUP(FP$4,Preisindex,3,FALSE)/VLOOKUP(Preisindex!$A$6,Preisindex,3,FALSE),2),IF(AND($E45&lt;&gt;0,$F45&gt;0,YEAR($F45)&lt;Preisindex!$A$6,YEAR(FK$4)&gt;=YEAR($F45),$K45="g"),ROUND(VLOOKUP(FP$4,Preisindex,4,FALSE)/VLOOKUP(Preisindex!$A$6,Preisindex,4,FALSE),2),IF(AND($E45&lt;&gt;0,$F45&gt;0,YEAR($F45)&lt;Preisindex!$A$6,YEAR(FK$4)&gt;=YEAR($F45),$K45="k"),ROUND(VLOOKUP(FP$4,Preisindex,2,FALSE)/VLOOKUP(Preisindex!$A$6,Preisindex,2,FALSE),2),0)))))</f>
        <v>0</v>
      </c>
      <c r="FR45" s="51">
        <f>IF(AND($E45&lt;&gt;0,$F45&gt;0,YEAR($F45)&lt;=FP$4,YEAR($F45)&gt;=Preisindex!$A$6),ROUND($E45*FP45,2),IF(AND($E45&lt;&gt;0,$F45&gt;0,YEAR($F45)&lt;=FP$4,YEAR($F45)&lt;Preisindex!$A$6),ROUND($E45*FQ45,2),0))</f>
        <v>1529000</v>
      </c>
      <c r="FS45" s="53">
        <f t="shared" si="255"/>
        <v>30580</v>
      </c>
    </row>
    <row r="46" spans="1:175" x14ac:dyDescent="0.3">
      <c r="A46" s="93">
        <v>2008</v>
      </c>
      <c r="B46" s="196" t="s">
        <v>233</v>
      </c>
      <c r="C46" s="196"/>
      <c r="D46" s="188" t="s">
        <v>15</v>
      </c>
      <c r="E46" s="99">
        <v>270000</v>
      </c>
      <c r="F46" s="97">
        <v>39630</v>
      </c>
      <c r="G46" s="100">
        <v>50</v>
      </c>
      <c r="H46" s="622"/>
      <c r="I46" s="621"/>
      <c r="J46" s="194"/>
      <c r="K46" s="630" t="s">
        <v>266</v>
      </c>
      <c r="L46" s="49">
        <f t="shared" si="296"/>
        <v>0.02</v>
      </c>
      <c r="M46" s="50">
        <f t="shared" si="297"/>
        <v>5400</v>
      </c>
      <c r="N46" s="51">
        <f t="shared" si="298"/>
        <v>251100</v>
      </c>
      <c r="O46" s="51"/>
      <c r="P46" s="51">
        <f t="shared" si="299"/>
        <v>18900</v>
      </c>
      <c r="Q46" s="52"/>
      <c r="R46" s="52"/>
      <c r="S46" s="52"/>
      <c r="T46" s="52"/>
      <c r="U46" s="52"/>
      <c r="V46" s="53">
        <f t="shared" si="300"/>
        <v>270000</v>
      </c>
      <c r="W46" s="51">
        <f t="shared" si="301"/>
        <v>0</v>
      </c>
      <c r="X46" s="51">
        <f t="shared" si="302"/>
        <v>0</v>
      </c>
      <c r="Y46" s="51">
        <f t="shared" si="303"/>
        <v>0</v>
      </c>
      <c r="Z46" s="51">
        <f t="shared" si="304"/>
        <v>0</v>
      </c>
      <c r="AA46" s="51">
        <f t="shared" si="305"/>
        <v>270000</v>
      </c>
      <c r="AB46" s="51">
        <f t="shared" si="306"/>
        <v>270000</v>
      </c>
      <c r="AC46" s="51">
        <f t="shared" si="307"/>
        <v>5400</v>
      </c>
      <c r="AD46" s="51">
        <f t="shared" si="308"/>
        <v>5400</v>
      </c>
      <c r="AE46" s="51">
        <f t="shared" si="309"/>
        <v>245700</v>
      </c>
      <c r="AF46" s="51">
        <f t="shared" si="310"/>
        <v>245700</v>
      </c>
      <c r="AG46" s="51">
        <f t="shared" si="311"/>
        <v>24300</v>
      </c>
      <c r="AH46" s="54">
        <f t="shared" si="312"/>
        <v>0</v>
      </c>
      <c r="AI46" s="55">
        <f t="shared" si="313"/>
        <v>0</v>
      </c>
      <c r="AJ46" s="56">
        <f>IF(AND($E46&lt;&gt;0,$F46&gt;0,YEAR($F46)&gt;=Preisindex!$A$6,YEAR(AE$4)&gt;=YEAR($F46),AND($K46&lt;&gt;"a",$K46&lt;&gt;"b",$K46&lt;&gt;"g",$K46&lt;&gt;"k")),1,IF(AND($E46&lt;&gt;0,$F46&gt;0,YEAR($F46)&gt;=Preisindex!$A$6,YEAR(AE$4)&gt;=YEAR($F46),$K46="a"),ROUND(VLOOKUP(AJ$4,Preisindex,5,FALSE)/VLOOKUP(YEAR($F46),Preisindex,5,FALSE),2),IF(AND($E46&lt;&gt;0,$F46&gt;0,YEAR($F46)&gt;=Preisindex!$A$6,YEAR(AE$4)&gt;=YEAR($F46),$K46="b"),ROUND(VLOOKUP(AJ$4,Preisindex,3,FALSE)/VLOOKUP(YEAR($F46),Preisindex,3,FALSE),2),IF(AND($E46&lt;&gt;0,$F46&gt;0,YEAR($F46)&gt;=Preisindex!$A$6,YEAR(AE$4)&gt;=YEAR($F46),$K46="g"),ROUND(VLOOKUP(AJ$4,Preisindex,4,FALSE)/VLOOKUP(YEAR($F46),Preisindex,4,FALSE),2),IF(AND($E46&lt;&gt;0,$F46&gt;0,YEAR($F46)&gt;=Preisindex!$A$6,YEAR(AE$4)&gt;=YEAR($F46),$K46="k"),ROUND(VLOOKUP(AJ$4,Preisindex,2,FALSE)/VLOOKUP(YEAR($F46),Preisindex,2,FALSE),2),0)))))</f>
        <v>1.07</v>
      </c>
      <c r="AK46" s="56">
        <f>IF(AND($E46&lt;&gt;0,$F46&gt;0,YEAR($F46)&lt;Preisindex!$A$6,YEAR(AE$4)&gt;=YEAR($F46),AND($K46&lt;&gt;"a",$K46&lt;&gt;"b",$K46&lt;&gt;"g",$K46&lt;&gt;"k")),1,IF(AND($E46&lt;&gt;0,$F46&gt;0,YEAR($F46)&lt;Preisindex!$A$6,YEAR(AE$4)&gt;=YEAR($F46),$K46="a"),ROUND(VLOOKUP(AJ$4,Preisindex,5,FALSE)/VLOOKUP(Preisindex!$A$6,Preisindex,5,FALSE),2),IF(AND($E46&lt;&gt;0,$F46&gt;0,YEAR($F46)&lt;Preisindex!$A$6,YEAR(AE$4)&gt;=YEAR($F46),$K46="b"),ROUND(VLOOKUP(AJ$4,Preisindex,3,FALSE)/VLOOKUP(Preisindex!$A$6,Preisindex,3,FALSE),2),IF(AND($E46&lt;&gt;0,$F46&gt;0,YEAR($F46)&lt;Preisindex!$A$6,YEAR(AE$4)&gt;=YEAR($F46),$K46="g"),ROUND(VLOOKUP(AJ$4,Preisindex,4,FALSE)/VLOOKUP(Preisindex!$A$6,Preisindex,4,FALSE),2),IF(AND($E46&lt;&gt;0,$F46&gt;0,YEAR($F46)&lt;Preisindex!$A$6,YEAR(AE$4)&gt;=YEAR($F46),$K46="k"),ROUND(VLOOKUP(AJ$4,Preisindex,2,FALSE)/VLOOKUP(Preisindex!$A$6,Preisindex,2,FALSE),2),0)))))</f>
        <v>0</v>
      </c>
      <c r="AL46" s="51">
        <f>IF(AND($E46&lt;&gt;0,$F46&gt;0,YEAR($F46)&lt;=AJ$4,YEAR($F46)&gt;=Preisindex!$A$6),ROUND($E46*AJ46,2),IF(AND($E46&lt;&gt;0,$F46&gt;0,YEAR($F46)&lt;=AJ$4,YEAR($F46)&lt;Preisindex!$A$6),ROUND($E46*AK46,2),0))</f>
        <v>288900</v>
      </c>
      <c r="AM46" s="53">
        <f t="shared" si="314"/>
        <v>5778</v>
      </c>
      <c r="AN46" s="51">
        <f t="shared" si="357"/>
        <v>0</v>
      </c>
      <c r="AO46" s="51">
        <f t="shared" si="317"/>
        <v>0</v>
      </c>
      <c r="AP46" s="51">
        <f t="shared" si="146"/>
        <v>0</v>
      </c>
      <c r="AQ46" s="51">
        <f t="shared" si="318"/>
        <v>0</v>
      </c>
      <c r="AR46" s="51">
        <f t="shared" si="148"/>
        <v>270000</v>
      </c>
      <c r="AS46" s="51">
        <f t="shared" si="319"/>
        <v>270000</v>
      </c>
      <c r="AT46" s="51">
        <f t="shared" si="150"/>
        <v>5400</v>
      </c>
      <c r="AU46" s="51">
        <f t="shared" si="320"/>
        <v>5400</v>
      </c>
      <c r="AV46" s="51">
        <f t="shared" si="152"/>
        <v>240300</v>
      </c>
      <c r="AW46" s="51">
        <f t="shared" si="321"/>
        <v>240300</v>
      </c>
      <c r="AX46" s="51">
        <f t="shared" si="154"/>
        <v>29700</v>
      </c>
      <c r="AY46" s="54">
        <f t="shared" si="155"/>
        <v>0</v>
      </c>
      <c r="AZ46" s="55">
        <f t="shared" si="156"/>
        <v>0</v>
      </c>
      <c r="BA46" s="56">
        <f>IF(AND($E46&lt;&gt;0,$F46&gt;0,YEAR($F46)&gt;=Preisindex!$A$6,YEAR(AV$4)&gt;=YEAR($F46),AND($K46&lt;&gt;"a",$K46&lt;&gt;"b",$K46&lt;&gt;"g",$K46&lt;&gt;"k")),1,IF(AND($E46&lt;&gt;0,$F46&gt;0,YEAR($F46)&gt;=Preisindex!$A$6,YEAR(AV$4)&gt;=YEAR($F46),$K46="a"),ROUND(VLOOKUP(BA$4,Preisindex,5,FALSE)/VLOOKUP(YEAR($F46),Preisindex,5,FALSE),2),IF(AND($E46&lt;&gt;0,$F46&gt;0,YEAR($F46)&gt;=Preisindex!$A$6,YEAR(AV$4)&gt;=YEAR($F46),$K46="b"),ROUND(VLOOKUP(BA$4,Preisindex,3,FALSE)/VLOOKUP(YEAR($F46),Preisindex,3,FALSE),2),IF(AND($E46&lt;&gt;0,$F46&gt;0,YEAR($F46)&gt;=Preisindex!$A$6,YEAR(AV$4)&gt;=YEAR($F46),$K46="g"),ROUND(VLOOKUP(BA$4,Preisindex,4,FALSE)/VLOOKUP(YEAR($F46),Preisindex,4,FALSE),2),IF(AND($E46&lt;&gt;0,$F46&gt;0,YEAR($F46)&gt;=Preisindex!$A$6,YEAR(AV$4)&gt;=YEAR($F46),$K46="k"),ROUND(VLOOKUP(BA$4,Preisindex,2,FALSE)/VLOOKUP(YEAR($F46),Preisindex,2,FALSE),2),0)))))</f>
        <v>1.0900000000000001</v>
      </c>
      <c r="BB46" s="56">
        <f>IF(AND($E46&lt;&gt;0,$F46&gt;0,YEAR($F46)&lt;Preisindex!$A$6,YEAR(AV$4)&gt;=YEAR($F46),AND($K46&lt;&gt;"a",$K46&lt;&gt;"b",$K46&lt;&gt;"g",$K46&lt;&gt;"k")),1,IF(AND($E46&lt;&gt;0,$F46&gt;0,YEAR($F46)&lt;Preisindex!$A$6,YEAR(AV$4)&gt;=YEAR($F46),$K46="a"),ROUND(VLOOKUP(BA$4,Preisindex,5,FALSE)/VLOOKUP(Preisindex!$A$6,Preisindex,5,FALSE),2),IF(AND($E46&lt;&gt;0,$F46&gt;0,YEAR($F46)&lt;Preisindex!$A$6,YEAR(AV$4)&gt;=YEAR($F46),$K46="b"),ROUND(VLOOKUP(BA$4,Preisindex,3,FALSE)/VLOOKUP(Preisindex!$A$6,Preisindex,3,FALSE),2),IF(AND($E46&lt;&gt;0,$F46&gt;0,YEAR($F46)&lt;Preisindex!$A$6,YEAR(AV$4)&gt;=YEAR($F46),$K46="g"),ROUND(VLOOKUP(BA$4,Preisindex,4,FALSE)/VLOOKUP(Preisindex!$A$6,Preisindex,4,FALSE),2),IF(AND($E46&lt;&gt;0,$F46&gt;0,YEAR($F46)&lt;Preisindex!$A$6,YEAR(AV$4)&gt;=YEAR($F46),$K46="k"),ROUND(VLOOKUP(BA$4,Preisindex,2,FALSE)/VLOOKUP(Preisindex!$A$6,Preisindex,2,FALSE),2),0)))))</f>
        <v>0</v>
      </c>
      <c r="BC46" s="51">
        <f>IF(AND($E46&lt;&gt;0,$F46&gt;0,YEAR($F46)&lt;=BA$4,YEAR($F46)&gt;=Preisindex!$A$6),ROUND($E46*BA46,2),IF(AND($E46&lt;&gt;0,$F46&gt;0,YEAR($F46)&lt;=BA$4,YEAR($F46)&lt;Preisindex!$A$6),ROUND($E46*BB46,2),0))</f>
        <v>294300</v>
      </c>
      <c r="BD46" s="53">
        <f t="shared" si="157"/>
        <v>5886</v>
      </c>
      <c r="BE46" s="51">
        <f t="shared" si="357"/>
        <v>0</v>
      </c>
      <c r="BF46" s="51">
        <f t="shared" si="322"/>
        <v>0</v>
      </c>
      <c r="BG46" s="51">
        <f t="shared" si="160"/>
        <v>0</v>
      </c>
      <c r="BH46" s="51">
        <f t="shared" si="323"/>
        <v>0</v>
      </c>
      <c r="BI46" s="51">
        <f t="shared" si="162"/>
        <v>270000</v>
      </c>
      <c r="BJ46" s="51">
        <f t="shared" si="324"/>
        <v>270000</v>
      </c>
      <c r="BK46" s="51">
        <f t="shared" si="164"/>
        <v>5400</v>
      </c>
      <c r="BL46" s="51">
        <f t="shared" si="325"/>
        <v>5400</v>
      </c>
      <c r="BM46" s="51">
        <f t="shared" si="166"/>
        <v>234900</v>
      </c>
      <c r="BN46" s="51">
        <f t="shared" si="326"/>
        <v>234900</v>
      </c>
      <c r="BO46" s="51">
        <f t="shared" si="168"/>
        <v>35100</v>
      </c>
      <c r="BP46" s="54">
        <f t="shared" si="169"/>
        <v>0</v>
      </c>
      <c r="BQ46" s="55">
        <f t="shared" si="170"/>
        <v>0</v>
      </c>
      <c r="BR46" s="56">
        <f>IF(AND($E46&lt;&gt;0,$F46&gt;0,YEAR($F46)&gt;=Preisindex!$A$6,YEAR(BM$4)&gt;=YEAR($F46),AND($K46&lt;&gt;"a",$K46&lt;&gt;"b",$K46&lt;&gt;"g",$K46&lt;&gt;"k")),1,IF(AND($E46&lt;&gt;0,$F46&gt;0,YEAR($F46)&gt;=Preisindex!$A$6,YEAR(BM$4)&gt;=YEAR($F46),$K46="a"),ROUND(VLOOKUP(BR$4,Preisindex,5,FALSE)/VLOOKUP(YEAR($F46),Preisindex,5,FALSE),2),IF(AND($E46&lt;&gt;0,$F46&gt;0,YEAR($F46)&gt;=Preisindex!$A$6,YEAR(BM$4)&gt;=YEAR($F46),$K46="b"),ROUND(VLOOKUP(BR$4,Preisindex,3,FALSE)/VLOOKUP(YEAR($F46),Preisindex,3,FALSE),2),IF(AND($E46&lt;&gt;0,$F46&gt;0,YEAR($F46)&gt;=Preisindex!$A$6,YEAR(BM$4)&gt;=YEAR($F46),$K46="g"),ROUND(VLOOKUP(BR$4,Preisindex,4,FALSE)/VLOOKUP(YEAR($F46),Preisindex,4,FALSE),2),IF(AND($E46&lt;&gt;0,$F46&gt;0,YEAR($F46)&gt;=Preisindex!$A$6,YEAR(BM$4)&gt;=YEAR($F46),$K46="k"),ROUND(VLOOKUP(BR$4,Preisindex,2,FALSE)/VLOOKUP(YEAR($F46),Preisindex,2,FALSE),2),0)))))</f>
        <v>1.1100000000000001</v>
      </c>
      <c r="BS46" s="56">
        <f>IF(AND($E46&lt;&gt;0,$F46&gt;0,YEAR($F46)&lt;Preisindex!$A$6,YEAR(BM$4)&gt;=YEAR($F46),AND($K46&lt;&gt;"a",$K46&lt;&gt;"b",$K46&lt;&gt;"g",$K46&lt;&gt;"k")),1,IF(AND($E46&lt;&gt;0,$F46&gt;0,YEAR($F46)&lt;Preisindex!$A$6,YEAR(BM$4)&gt;=YEAR($F46),$K46="a"),ROUND(VLOOKUP(BR$4,Preisindex,5,FALSE)/VLOOKUP(Preisindex!$A$6,Preisindex,5,FALSE),2),IF(AND($E46&lt;&gt;0,$F46&gt;0,YEAR($F46)&lt;Preisindex!$A$6,YEAR(BM$4)&gt;=YEAR($F46),$K46="b"),ROUND(VLOOKUP(BR$4,Preisindex,3,FALSE)/VLOOKUP(Preisindex!$A$6,Preisindex,3,FALSE),2),IF(AND($E46&lt;&gt;0,$F46&gt;0,YEAR($F46)&lt;Preisindex!$A$6,YEAR(BM$4)&gt;=YEAR($F46),$K46="g"),ROUND(VLOOKUP(BR$4,Preisindex,4,FALSE)/VLOOKUP(Preisindex!$A$6,Preisindex,4,FALSE),2),IF(AND($E46&lt;&gt;0,$F46&gt;0,YEAR($F46)&lt;Preisindex!$A$6,YEAR(BM$4)&gt;=YEAR($F46),$K46="k"),ROUND(VLOOKUP(BR$4,Preisindex,2,FALSE)/VLOOKUP(Preisindex!$A$6,Preisindex,2,FALSE),2),0)))))</f>
        <v>0</v>
      </c>
      <c r="BT46" s="51">
        <f>IF(AND($E46&lt;&gt;0,$F46&gt;0,YEAR($F46)&lt;=BR$4,YEAR($F46)&gt;=Preisindex!$A$6),ROUND($E46*BR46,2),IF(AND($E46&lt;&gt;0,$F46&gt;0,YEAR($F46)&lt;=BR$4,YEAR($F46)&lt;Preisindex!$A$6),ROUND($E46*BS46,2),0))</f>
        <v>299700</v>
      </c>
      <c r="BU46" s="53">
        <f t="shared" si="171"/>
        <v>5994</v>
      </c>
      <c r="BV46" s="51">
        <f t="shared" si="357"/>
        <v>0</v>
      </c>
      <c r="BW46" s="51">
        <f t="shared" si="327"/>
        <v>0</v>
      </c>
      <c r="BX46" s="51">
        <f t="shared" si="174"/>
        <v>0</v>
      </c>
      <c r="BY46" s="51">
        <f t="shared" si="328"/>
        <v>0</v>
      </c>
      <c r="BZ46" s="51">
        <f t="shared" si="176"/>
        <v>270000</v>
      </c>
      <c r="CA46" s="51">
        <f t="shared" si="329"/>
        <v>270000</v>
      </c>
      <c r="CB46" s="51">
        <f t="shared" si="178"/>
        <v>5400</v>
      </c>
      <c r="CC46" s="51">
        <f t="shared" si="330"/>
        <v>5400</v>
      </c>
      <c r="CD46" s="51">
        <f t="shared" si="180"/>
        <v>229500</v>
      </c>
      <c r="CE46" s="51">
        <f t="shared" si="331"/>
        <v>229500</v>
      </c>
      <c r="CF46" s="51">
        <f t="shared" si="182"/>
        <v>40500</v>
      </c>
      <c r="CG46" s="54">
        <f t="shared" si="183"/>
        <v>0</v>
      </c>
      <c r="CH46" s="55">
        <f t="shared" si="184"/>
        <v>0</v>
      </c>
      <c r="CI46" s="56">
        <f>IF(AND($E46&lt;&gt;0,$F46&gt;0,YEAR($F46)&gt;=Preisindex!$A$6,YEAR(CD$4)&gt;=YEAR($F46),AND($K46&lt;&gt;"a",$K46&lt;&gt;"b",$K46&lt;&gt;"g",$K46&lt;&gt;"k")),1,IF(AND($E46&lt;&gt;0,$F46&gt;0,YEAR($F46)&gt;=Preisindex!$A$6,YEAR(CD$4)&gt;=YEAR($F46),$K46="a"),ROUND(VLOOKUP(CI$4,Preisindex,5,FALSE)/VLOOKUP(YEAR($F46),Preisindex,5,FALSE),2),IF(AND($E46&lt;&gt;0,$F46&gt;0,YEAR($F46)&gt;=Preisindex!$A$6,YEAR(CD$4)&gt;=YEAR($F46),$K46="b"),ROUND(VLOOKUP(CI$4,Preisindex,3,FALSE)/VLOOKUP(YEAR($F46),Preisindex,3,FALSE),2),IF(AND($E46&lt;&gt;0,$F46&gt;0,YEAR($F46)&gt;=Preisindex!$A$6,YEAR(CD$4)&gt;=YEAR($F46),$K46="g"),ROUND(VLOOKUP(CI$4,Preisindex,4,FALSE)/VLOOKUP(YEAR($F46),Preisindex,4,FALSE),2),IF(AND($E46&lt;&gt;0,$F46&gt;0,YEAR($F46)&gt;=Preisindex!$A$6,YEAR(CD$4)&gt;=YEAR($F46),$K46="k"),ROUND(VLOOKUP(CI$4,Preisindex,2,FALSE)/VLOOKUP(YEAR($F46),Preisindex,2,FALSE),2),0)))))</f>
        <v>1.1200000000000001</v>
      </c>
      <c r="CJ46" s="56">
        <f>IF(AND($E46&lt;&gt;0,$F46&gt;0,YEAR($F46)&lt;Preisindex!$A$6,YEAR(CD$4)&gt;=YEAR($F46),AND($K46&lt;&gt;"a",$K46&lt;&gt;"b",$K46&lt;&gt;"g",$K46&lt;&gt;"k")),1,IF(AND($E46&lt;&gt;0,$F46&gt;0,YEAR($F46)&lt;Preisindex!$A$6,YEAR(CD$4)&gt;=YEAR($F46),$K46="a"),ROUND(VLOOKUP(CI$4,Preisindex,5,FALSE)/VLOOKUP(Preisindex!$A$6,Preisindex,5,FALSE),2),IF(AND($E46&lt;&gt;0,$F46&gt;0,YEAR($F46)&lt;Preisindex!$A$6,YEAR(CD$4)&gt;=YEAR($F46),$K46="b"),ROUND(VLOOKUP(CI$4,Preisindex,3,FALSE)/VLOOKUP(Preisindex!$A$6,Preisindex,3,FALSE),2),IF(AND($E46&lt;&gt;0,$F46&gt;0,YEAR($F46)&lt;Preisindex!$A$6,YEAR(CD$4)&gt;=YEAR($F46),$K46="g"),ROUND(VLOOKUP(CI$4,Preisindex,4,FALSE)/VLOOKUP(Preisindex!$A$6,Preisindex,4,FALSE),2),IF(AND($E46&lt;&gt;0,$F46&gt;0,YEAR($F46)&lt;Preisindex!$A$6,YEAR(CD$4)&gt;=YEAR($F46),$K46="k"),ROUND(VLOOKUP(CI$4,Preisindex,2,FALSE)/VLOOKUP(Preisindex!$A$6,Preisindex,2,FALSE),2),0)))))</f>
        <v>0</v>
      </c>
      <c r="CK46" s="51">
        <f>IF(AND($E46&lt;&gt;0,$F46&gt;0,YEAR($F46)&lt;=CI$4,YEAR($F46)&gt;=Preisindex!$A$6),ROUND($E46*CI46,2),IF(AND($E46&lt;&gt;0,$F46&gt;0,YEAR($F46)&lt;=CI$4,YEAR($F46)&lt;Preisindex!$A$6),ROUND($E46*CJ46,2),0))</f>
        <v>302400</v>
      </c>
      <c r="CL46" s="53">
        <f t="shared" si="185"/>
        <v>6048</v>
      </c>
      <c r="CM46" s="51">
        <f t="shared" si="357"/>
        <v>0</v>
      </c>
      <c r="CN46" s="51">
        <f t="shared" si="332"/>
        <v>0</v>
      </c>
      <c r="CO46" s="51">
        <f t="shared" si="188"/>
        <v>0</v>
      </c>
      <c r="CP46" s="51">
        <f t="shared" si="333"/>
        <v>0</v>
      </c>
      <c r="CQ46" s="51">
        <f t="shared" si="190"/>
        <v>270000</v>
      </c>
      <c r="CR46" s="51">
        <f t="shared" si="334"/>
        <v>270000</v>
      </c>
      <c r="CS46" s="51">
        <f t="shared" si="192"/>
        <v>5400</v>
      </c>
      <c r="CT46" s="51">
        <f t="shared" si="335"/>
        <v>5400</v>
      </c>
      <c r="CU46" s="51">
        <f t="shared" si="194"/>
        <v>224100</v>
      </c>
      <c r="CV46" s="51">
        <f t="shared" si="336"/>
        <v>224100</v>
      </c>
      <c r="CW46" s="51">
        <f t="shared" si="196"/>
        <v>45900</v>
      </c>
      <c r="CX46" s="54">
        <f t="shared" si="197"/>
        <v>0</v>
      </c>
      <c r="CY46" s="55">
        <f t="shared" si="198"/>
        <v>0</v>
      </c>
      <c r="CZ46" s="56">
        <f>IF(AND($E46&lt;&gt;0,$F46&gt;0,YEAR($F46)&gt;=Preisindex!$A$6,YEAR(CU$4)&gt;=YEAR($F46),AND($K46&lt;&gt;"a",$K46&lt;&gt;"b",$K46&lt;&gt;"g",$K46&lt;&gt;"k")),1,IF(AND($E46&lt;&gt;0,$F46&gt;0,YEAR($F46)&gt;=Preisindex!$A$6,YEAR(CU$4)&gt;=YEAR($F46),$K46="a"),ROUND(VLOOKUP(CZ$4,Preisindex,5,FALSE)/VLOOKUP(YEAR($F46),Preisindex,5,FALSE),2),IF(AND($E46&lt;&gt;0,$F46&gt;0,YEAR($F46)&gt;=Preisindex!$A$6,YEAR(CU$4)&gt;=YEAR($F46),$K46="b"),ROUND(VLOOKUP(CZ$4,Preisindex,3,FALSE)/VLOOKUP(YEAR($F46),Preisindex,3,FALSE),2),IF(AND($E46&lt;&gt;0,$F46&gt;0,YEAR($F46)&gt;=Preisindex!$A$6,YEAR(CU$4)&gt;=YEAR($F46),$K46="g"),ROUND(VLOOKUP(CZ$4,Preisindex,4,FALSE)/VLOOKUP(YEAR($F46),Preisindex,4,FALSE),2),IF(AND($E46&lt;&gt;0,$F46&gt;0,YEAR($F46)&gt;=Preisindex!$A$6,YEAR(CU$4)&gt;=YEAR($F46),$K46="k"),ROUND(VLOOKUP(CZ$4,Preisindex,2,FALSE)/VLOOKUP(YEAR($F46),Preisindex,2,FALSE),2),0)))))</f>
        <v>1.1399999999999999</v>
      </c>
      <c r="DA46" s="56">
        <f>IF(AND($E46&lt;&gt;0,$F46&gt;0,YEAR($F46)&lt;Preisindex!$A$6,YEAR(CU$4)&gt;=YEAR($F46),AND($K46&lt;&gt;"a",$K46&lt;&gt;"b",$K46&lt;&gt;"g",$K46&lt;&gt;"k")),1,IF(AND($E46&lt;&gt;0,$F46&gt;0,YEAR($F46)&lt;Preisindex!$A$6,YEAR(CU$4)&gt;=YEAR($F46),$K46="a"),ROUND(VLOOKUP(CZ$4,Preisindex,5,FALSE)/VLOOKUP(Preisindex!$A$6,Preisindex,5,FALSE),2),IF(AND($E46&lt;&gt;0,$F46&gt;0,YEAR($F46)&lt;Preisindex!$A$6,YEAR(CU$4)&gt;=YEAR($F46),$K46="b"),ROUND(VLOOKUP(CZ$4,Preisindex,3,FALSE)/VLOOKUP(Preisindex!$A$6,Preisindex,3,FALSE),2),IF(AND($E46&lt;&gt;0,$F46&gt;0,YEAR($F46)&lt;Preisindex!$A$6,YEAR(CU$4)&gt;=YEAR($F46),$K46="g"),ROUND(VLOOKUP(CZ$4,Preisindex,4,FALSE)/VLOOKUP(Preisindex!$A$6,Preisindex,4,FALSE),2),IF(AND($E46&lt;&gt;0,$F46&gt;0,YEAR($F46)&lt;Preisindex!$A$6,YEAR(CU$4)&gt;=YEAR($F46),$K46="k"),ROUND(VLOOKUP(CZ$4,Preisindex,2,FALSE)/VLOOKUP(Preisindex!$A$6,Preisindex,2,FALSE),2),0)))))</f>
        <v>0</v>
      </c>
      <c r="DB46" s="51">
        <f>IF(AND($E46&lt;&gt;0,$F46&gt;0,YEAR($F46)&lt;=CZ$4,YEAR($F46)&gt;=Preisindex!$A$6),ROUND($E46*CZ46,2),IF(AND($E46&lt;&gt;0,$F46&gt;0,YEAR($F46)&lt;=CZ$4,YEAR($F46)&lt;Preisindex!$A$6),ROUND($E46*DA46,2),0))</f>
        <v>307800</v>
      </c>
      <c r="DC46" s="53">
        <f t="shared" si="199"/>
        <v>6156</v>
      </c>
      <c r="DD46" s="51">
        <f t="shared" si="358"/>
        <v>0</v>
      </c>
      <c r="DE46" s="51">
        <f t="shared" si="337"/>
        <v>0</v>
      </c>
      <c r="DF46" s="51">
        <f t="shared" si="202"/>
        <v>0</v>
      </c>
      <c r="DG46" s="51">
        <f t="shared" si="338"/>
        <v>0</v>
      </c>
      <c r="DH46" s="51">
        <f t="shared" si="204"/>
        <v>270000</v>
      </c>
      <c r="DI46" s="51">
        <f t="shared" si="339"/>
        <v>270000</v>
      </c>
      <c r="DJ46" s="51">
        <f t="shared" si="206"/>
        <v>5400</v>
      </c>
      <c r="DK46" s="51">
        <f t="shared" si="340"/>
        <v>5400</v>
      </c>
      <c r="DL46" s="51">
        <f t="shared" si="208"/>
        <v>218700</v>
      </c>
      <c r="DM46" s="51">
        <f t="shared" si="341"/>
        <v>218700</v>
      </c>
      <c r="DN46" s="51">
        <f t="shared" si="210"/>
        <v>51300</v>
      </c>
      <c r="DO46" s="54">
        <f t="shared" si="211"/>
        <v>0</v>
      </c>
      <c r="DP46" s="55">
        <f t="shared" si="212"/>
        <v>0</v>
      </c>
      <c r="DQ46" s="56">
        <f>IF(AND($E46&lt;&gt;0,$F46&gt;0,YEAR($F46)&gt;=Preisindex!$A$6,YEAR(DL$4)&gt;=YEAR($F46),AND($K46&lt;&gt;"a",$K46&lt;&gt;"b",$K46&lt;&gt;"g",$K46&lt;&gt;"k")),1,IF(AND($E46&lt;&gt;0,$F46&gt;0,YEAR($F46)&gt;=Preisindex!$A$6,YEAR(DL$4)&gt;=YEAR($F46),$K46="a"),ROUND(VLOOKUP(DQ$4,Preisindex,5,FALSE)/VLOOKUP(YEAR($F46),Preisindex,5,FALSE),2),IF(AND($E46&lt;&gt;0,$F46&gt;0,YEAR($F46)&gt;=Preisindex!$A$6,YEAR(DL$4)&gt;=YEAR($F46),$K46="b"),ROUND(VLOOKUP(DQ$4,Preisindex,3,FALSE)/VLOOKUP(YEAR($F46),Preisindex,3,FALSE),2),IF(AND($E46&lt;&gt;0,$F46&gt;0,YEAR($F46)&gt;=Preisindex!$A$6,YEAR(DL$4)&gt;=YEAR($F46),$K46="g"),ROUND(VLOOKUP(DQ$4,Preisindex,4,FALSE)/VLOOKUP(YEAR($F46),Preisindex,4,FALSE),2),IF(AND($E46&lt;&gt;0,$F46&gt;0,YEAR($F46)&gt;=Preisindex!$A$6,YEAR(DL$4)&gt;=YEAR($F46),$K46="k"),ROUND(VLOOKUP(DQ$4,Preisindex,2,FALSE)/VLOOKUP(YEAR($F46),Preisindex,2,FALSE),2),0)))))</f>
        <v>1.17</v>
      </c>
      <c r="DR46" s="56">
        <f>IF(AND($E46&lt;&gt;0,$F46&gt;0,YEAR($F46)&lt;Preisindex!$A$6,YEAR(DL$4)&gt;=YEAR($F46),AND($K46&lt;&gt;"a",$K46&lt;&gt;"b",$K46&lt;&gt;"g",$K46&lt;&gt;"k")),1,IF(AND($E46&lt;&gt;0,$F46&gt;0,YEAR($F46)&lt;Preisindex!$A$6,YEAR(DL$4)&gt;=YEAR($F46),$K46="a"),ROUND(VLOOKUP(DQ$4,Preisindex,5,FALSE)/VLOOKUP(Preisindex!$A$6,Preisindex,5,FALSE),2),IF(AND($E46&lt;&gt;0,$F46&gt;0,YEAR($F46)&lt;Preisindex!$A$6,YEAR(DL$4)&gt;=YEAR($F46),$K46="b"),ROUND(VLOOKUP(DQ$4,Preisindex,3,FALSE)/VLOOKUP(Preisindex!$A$6,Preisindex,3,FALSE),2),IF(AND($E46&lt;&gt;0,$F46&gt;0,YEAR($F46)&lt;Preisindex!$A$6,YEAR(DL$4)&gt;=YEAR($F46),$K46="g"),ROUND(VLOOKUP(DQ$4,Preisindex,4,FALSE)/VLOOKUP(Preisindex!$A$6,Preisindex,4,FALSE),2),IF(AND($E46&lt;&gt;0,$F46&gt;0,YEAR($F46)&lt;Preisindex!$A$6,YEAR(DL$4)&gt;=YEAR($F46),$K46="k"),ROUND(VLOOKUP(DQ$4,Preisindex,2,FALSE)/VLOOKUP(Preisindex!$A$6,Preisindex,2,FALSE),2),0)))))</f>
        <v>0</v>
      </c>
      <c r="DS46" s="51">
        <f>IF(AND($E46&lt;&gt;0,$F46&gt;0,YEAR($F46)&lt;=DQ$4,YEAR($F46)&gt;=Preisindex!$A$6),ROUND($E46*DQ46,2),IF(AND($E46&lt;&gt;0,$F46&gt;0,YEAR($F46)&lt;=DQ$4,YEAR($F46)&lt;Preisindex!$A$6),ROUND($E46*DR46,2),0))</f>
        <v>315900</v>
      </c>
      <c r="DT46" s="53">
        <f t="shared" si="213"/>
        <v>6318</v>
      </c>
      <c r="DU46" s="51">
        <f t="shared" si="358"/>
        <v>0</v>
      </c>
      <c r="DV46" s="51">
        <f t="shared" si="342"/>
        <v>0</v>
      </c>
      <c r="DW46" s="51">
        <f t="shared" si="216"/>
        <v>0</v>
      </c>
      <c r="DX46" s="51">
        <f t="shared" si="343"/>
        <v>0</v>
      </c>
      <c r="DY46" s="51">
        <f t="shared" si="218"/>
        <v>270000</v>
      </c>
      <c r="DZ46" s="51">
        <f t="shared" si="344"/>
        <v>270000</v>
      </c>
      <c r="EA46" s="51">
        <f t="shared" si="220"/>
        <v>5400</v>
      </c>
      <c r="EB46" s="51">
        <f t="shared" si="345"/>
        <v>5400</v>
      </c>
      <c r="EC46" s="51">
        <f t="shared" si="222"/>
        <v>213300</v>
      </c>
      <c r="ED46" s="51">
        <f t="shared" si="346"/>
        <v>213300</v>
      </c>
      <c r="EE46" s="51">
        <f t="shared" si="224"/>
        <v>56700</v>
      </c>
      <c r="EF46" s="54">
        <f t="shared" si="225"/>
        <v>0</v>
      </c>
      <c r="EG46" s="55">
        <f t="shared" si="226"/>
        <v>0</v>
      </c>
      <c r="EH46" s="56">
        <f>IF(AND($E46&lt;&gt;0,$F46&gt;0,YEAR($F46)&gt;=Preisindex!$A$6,YEAR(EC$4)&gt;=YEAR($F46),AND($K46&lt;&gt;"a",$K46&lt;&gt;"b",$K46&lt;&gt;"g",$K46&lt;&gt;"k")),1,IF(AND($E46&lt;&gt;0,$F46&gt;0,YEAR($F46)&gt;=Preisindex!$A$6,YEAR(EC$4)&gt;=YEAR($F46),$K46="a"),ROUND(VLOOKUP(EH$4,Preisindex,5,FALSE)/VLOOKUP(YEAR($F46),Preisindex,5,FALSE),2),IF(AND($E46&lt;&gt;0,$F46&gt;0,YEAR($F46)&gt;=Preisindex!$A$6,YEAR(EC$4)&gt;=YEAR($F46),$K46="b"),ROUND(VLOOKUP(EH$4,Preisindex,3,FALSE)/VLOOKUP(YEAR($F46),Preisindex,3,FALSE),2),IF(AND($E46&lt;&gt;0,$F46&gt;0,YEAR($F46)&gt;=Preisindex!$A$6,YEAR(EC$4)&gt;=YEAR($F46),$K46="g"),ROUND(VLOOKUP(EH$4,Preisindex,4,FALSE)/VLOOKUP(YEAR($F46),Preisindex,4,FALSE),2),IF(AND($E46&lt;&gt;0,$F46&gt;0,YEAR($F46)&gt;=Preisindex!$A$6,YEAR(EC$4)&gt;=YEAR($F46),$K46="k"),ROUND(VLOOKUP(EH$4,Preisindex,2,FALSE)/VLOOKUP(YEAR($F46),Preisindex,2,FALSE),2),0)))))</f>
        <v>1.23</v>
      </c>
      <c r="EI46" s="56">
        <f>IF(AND($E46&lt;&gt;0,$F46&gt;0,YEAR($F46)&lt;Preisindex!$A$6,YEAR(EC$4)&gt;=YEAR($F46),AND($K46&lt;&gt;"a",$K46&lt;&gt;"b",$K46&lt;&gt;"g",$K46&lt;&gt;"k")),1,IF(AND($E46&lt;&gt;0,$F46&gt;0,YEAR($F46)&lt;Preisindex!$A$6,YEAR(EC$4)&gt;=YEAR($F46),$K46="a"),ROUND(VLOOKUP(EH$4,Preisindex,5,FALSE)/VLOOKUP(Preisindex!$A$6,Preisindex,5,FALSE),2),IF(AND($E46&lt;&gt;0,$F46&gt;0,YEAR($F46)&lt;Preisindex!$A$6,YEAR(EC$4)&gt;=YEAR($F46),$K46="b"),ROUND(VLOOKUP(EH$4,Preisindex,3,FALSE)/VLOOKUP(Preisindex!$A$6,Preisindex,3,FALSE),2),IF(AND($E46&lt;&gt;0,$F46&gt;0,YEAR($F46)&lt;Preisindex!$A$6,YEAR(EC$4)&gt;=YEAR($F46),$K46="g"),ROUND(VLOOKUP(EH$4,Preisindex,4,FALSE)/VLOOKUP(Preisindex!$A$6,Preisindex,4,FALSE),2),IF(AND($E46&lt;&gt;0,$F46&gt;0,YEAR($F46)&lt;Preisindex!$A$6,YEAR(EC$4)&gt;=YEAR($F46),$K46="k"),ROUND(VLOOKUP(EH$4,Preisindex,2,FALSE)/VLOOKUP(Preisindex!$A$6,Preisindex,2,FALSE),2),0)))))</f>
        <v>0</v>
      </c>
      <c r="EJ46" s="51">
        <f>IF(AND($E46&lt;&gt;0,$F46&gt;0,YEAR($F46)&lt;=EH$4,YEAR($F46)&gt;=Preisindex!$A$6),ROUND($E46*EH46,2),IF(AND($E46&lt;&gt;0,$F46&gt;0,YEAR($F46)&lt;=EH$4,YEAR($F46)&lt;Preisindex!$A$6),ROUND($E46*EI46,2),0))</f>
        <v>332100</v>
      </c>
      <c r="EK46" s="53">
        <f t="shared" si="227"/>
        <v>6642</v>
      </c>
      <c r="EL46" s="51">
        <f t="shared" si="358"/>
        <v>0</v>
      </c>
      <c r="EM46" s="51">
        <f t="shared" si="347"/>
        <v>0</v>
      </c>
      <c r="EN46" s="51">
        <f t="shared" si="230"/>
        <v>0</v>
      </c>
      <c r="EO46" s="51">
        <f t="shared" si="348"/>
        <v>0</v>
      </c>
      <c r="EP46" s="51">
        <f t="shared" si="232"/>
        <v>270000</v>
      </c>
      <c r="EQ46" s="51">
        <f t="shared" si="349"/>
        <v>270000</v>
      </c>
      <c r="ER46" s="51">
        <f t="shared" si="234"/>
        <v>5400</v>
      </c>
      <c r="ES46" s="51">
        <f t="shared" si="350"/>
        <v>5400</v>
      </c>
      <c r="ET46" s="51">
        <f t="shared" si="236"/>
        <v>207900</v>
      </c>
      <c r="EU46" s="51">
        <f t="shared" si="351"/>
        <v>207900</v>
      </c>
      <c r="EV46" s="51">
        <f t="shared" si="238"/>
        <v>62100</v>
      </c>
      <c r="EW46" s="54">
        <f t="shared" si="239"/>
        <v>0</v>
      </c>
      <c r="EX46" s="55">
        <f t="shared" si="240"/>
        <v>0</v>
      </c>
      <c r="EY46" s="56">
        <f>IF(AND($E46&lt;&gt;0,$F46&gt;0,YEAR($F46)&gt;=Preisindex!$A$6,YEAR(ET$4)&gt;=YEAR($F46),AND($K46&lt;&gt;"a",$K46&lt;&gt;"b",$K46&lt;&gt;"g",$K46&lt;&gt;"k")),1,IF(AND($E46&lt;&gt;0,$F46&gt;0,YEAR($F46)&gt;=Preisindex!$A$6,YEAR(ET$4)&gt;=YEAR($F46),$K46="a"),ROUND(VLOOKUP(EY$4,Preisindex,5,FALSE)/VLOOKUP(YEAR($F46),Preisindex,5,FALSE),2),IF(AND($E46&lt;&gt;0,$F46&gt;0,YEAR($F46)&gt;=Preisindex!$A$6,YEAR(ET$4)&gt;=YEAR($F46),$K46="b"),ROUND(VLOOKUP(EY$4,Preisindex,3,FALSE)/VLOOKUP(YEAR($F46),Preisindex,3,FALSE),2),IF(AND($E46&lt;&gt;0,$F46&gt;0,YEAR($F46)&gt;=Preisindex!$A$6,YEAR(ET$4)&gt;=YEAR($F46),$K46="g"),ROUND(VLOOKUP(EY$4,Preisindex,4,FALSE)/VLOOKUP(YEAR($F46),Preisindex,4,FALSE),2),IF(AND($E46&lt;&gt;0,$F46&gt;0,YEAR($F46)&gt;=Preisindex!$A$6,YEAR(ET$4)&gt;=YEAR($F46),$K46="k"),ROUND(VLOOKUP(EY$4,Preisindex,2,FALSE)/VLOOKUP(YEAR($F46),Preisindex,2,FALSE),2),0)))))</f>
        <v>1.23</v>
      </c>
      <c r="EZ46" s="56">
        <f>IF(AND($E46&lt;&gt;0,$F46&gt;0,YEAR($F46)&lt;Preisindex!$A$6,YEAR(ET$4)&gt;=YEAR($F46),AND($K46&lt;&gt;"a",$K46&lt;&gt;"b",$K46&lt;&gt;"g",$K46&lt;&gt;"k")),1,IF(AND($E46&lt;&gt;0,$F46&gt;0,YEAR($F46)&lt;Preisindex!$A$6,YEAR(ET$4)&gt;=YEAR($F46),$K46="a"),ROUND(VLOOKUP(EY$4,Preisindex,5,FALSE)/VLOOKUP(Preisindex!$A$6,Preisindex,5,FALSE),2),IF(AND($E46&lt;&gt;0,$F46&gt;0,YEAR($F46)&lt;Preisindex!$A$6,YEAR(ET$4)&gt;=YEAR($F46),$K46="b"),ROUND(VLOOKUP(EY$4,Preisindex,3,FALSE)/VLOOKUP(Preisindex!$A$6,Preisindex,3,FALSE),2),IF(AND($E46&lt;&gt;0,$F46&gt;0,YEAR($F46)&lt;Preisindex!$A$6,YEAR(ET$4)&gt;=YEAR($F46),$K46="g"),ROUND(VLOOKUP(EY$4,Preisindex,4,FALSE)/VLOOKUP(Preisindex!$A$6,Preisindex,4,FALSE),2),IF(AND($E46&lt;&gt;0,$F46&gt;0,YEAR($F46)&lt;Preisindex!$A$6,YEAR(ET$4)&gt;=YEAR($F46),$K46="k"),ROUND(VLOOKUP(EY$4,Preisindex,2,FALSE)/VLOOKUP(Preisindex!$A$6,Preisindex,2,FALSE),2),0)))))</f>
        <v>0</v>
      </c>
      <c r="FA46" s="51">
        <f>IF(AND($E46&lt;&gt;0,$F46&gt;0,YEAR($F46)&lt;=EY$4,YEAR($F46)&gt;=Preisindex!$A$6),ROUND($E46*EY46,2),IF(AND($E46&lt;&gt;0,$F46&gt;0,YEAR($F46)&lt;=EY$4,YEAR($F46)&lt;Preisindex!$A$6),ROUND($E46*EZ46,2),0))</f>
        <v>332100</v>
      </c>
      <c r="FB46" s="53">
        <f t="shared" si="241"/>
        <v>6642</v>
      </c>
      <c r="FC46" s="51">
        <f t="shared" si="358"/>
        <v>0</v>
      </c>
      <c r="FD46" s="51">
        <f t="shared" si="352"/>
        <v>0</v>
      </c>
      <c r="FE46" s="51">
        <f t="shared" si="244"/>
        <v>0</v>
      </c>
      <c r="FF46" s="51">
        <f t="shared" si="353"/>
        <v>0</v>
      </c>
      <c r="FG46" s="51">
        <f t="shared" si="246"/>
        <v>270000</v>
      </c>
      <c r="FH46" s="51">
        <f t="shared" si="354"/>
        <v>270000</v>
      </c>
      <c r="FI46" s="51">
        <f t="shared" si="248"/>
        <v>5400</v>
      </c>
      <c r="FJ46" s="51">
        <f t="shared" si="355"/>
        <v>5400</v>
      </c>
      <c r="FK46" s="51">
        <f t="shared" si="250"/>
        <v>202500</v>
      </c>
      <c r="FL46" s="51">
        <f t="shared" si="356"/>
        <v>202500</v>
      </c>
      <c r="FM46" s="51">
        <f t="shared" si="252"/>
        <v>67500</v>
      </c>
      <c r="FN46" s="54">
        <f t="shared" si="253"/>
        <v>0</v>
      </c>
      <c r="FO46" s="55">
        <f t="shared" si="254"/>
        <v>0</v>
      </c>
      <c r="FP46" s="56">
        <f>IF(AND($E46&lt;&gt;0,$F46&gt;0,YEAR($F46)&gt;=Preisindex!$A$6,YEAR(FK$4)&gt;=YEAR($F46),AND($K46&lt;&gt;"a",$K46&lt;&gt;"b",$K46&lt;&gt;"g",$K46&lt;&gt;"k")),1,IF(AND($E46&lt;&gt;0,$F46&gt;0,YEAR($F46)&gt;=Preisindex!$A$6,YEAR(FK$4)&gt;=YEAR($F46),$K46="a"),ROUND(VLOOKUP(FP$4,Preisindex,5,FALSE)/VLOOKUP(YEAR($F46),Preisindex,5,FALSE),2),IF(AND($E46&lt;&gt;0,$F46&gt;0,YEAR($F46)&gt;=Preisindex!$A$6,YEAR(FK$4)&gt;=YEAR($F46),$K46="b"),ROUND(VLOOKUP(FP$4,Preisindex,3,FALSE)/VLOOKUP(YEAR($F46),Preisindex,3,FALSE),2),IF(AND($E46&lt;&gt;0,$F46&gt;0,YEAR($F46)&gt;=Preisindex!$A$6,YEAR(FK$4)&gt;=YEAR($F46),$K46="g"),ROUND(VLOOKUP(FP$4,Preisindex,4,FALSE)/VLOOKUP(YEAR($F46),Preisindex,4,FALSE),2),IF(AND($E46&lt;&gt;0,$F46&gt;0,YEAR($F46)&gt;=Preisindex!$A$6,YEAR(FK$4)&gt;=YEAR($F46),$K46="k"),ROUND(VLOOKUP(FP$4,Preisindex,2,FALSE)/VLOOKUP(YEAR($F46),Preisindex,2,FALSE),2),0)))))</f>
        <v>1.23</v>
      </c>
      <c r="FQ46" s="56">
        <f>IF(AND($E46&lt;&gt;0,$F46&gt;0,YEAR($F46)&lt;Preisindex!$A$6,YEAR(FK$4)&gt;=YEAR($F46),AND($K46&lt;&gt;"a",$K46&lt;&gt;"b",$K46&lt;&gt;"g",$K46&lt;&gt;"k")),1,IF(AND($E46&lt;&gt;0,$F46&gt;0,YEAR($F46)&lt;Preisindex!$A$6,YEAR(FK$4)&gt;=YEAR($F46),$K46="a"),ROUND(VLOOKUP(FP$4,Preisindex,5,FALSE)/VLOOKUP(Preisindex!$A$6,Preisindex,5,FALSE),2),IF(AND($E46&lt;&gt;0,$F46&gt;0,YEAR($F46)&lt;Preisindex!$A$6,YEAR(FK$4)&gt;=YEAR($F46),$K46="b"),ROUND(VLOOKUP(FP$4,Preisindex,3,FALSE)/VLOOKUP(Preisindex!$A$6,Preisindex,3,FALSE),2),IF(AND($E46&lt;&gt;0,$F46&gt;0,YEAR($F46)&lt;Preisindex!$A$6,YEAR(FK$4)&gt;=YEAR($F46),$K46="g"),ROUND(VLOOKUP(FP$4,Preisindex,4,FALSE)/VLOOKUP(Preisindex!$A$6,Preisindex,4,FALSE),2),IF(AND($E46&lt;&gt;0,$F46&gt;0,YEAR($F46)&lt;Preisindex!$A$6,YEAR(FK$4)&gt;=YEAR($F46),$K46="k"),ROUND(VLOOKUP(FP$4,Preisindex,2,FALSE)/VLOOKUP(Preisindex!$A$6,Preisindex,2,FALSE),2),0)))))</f>
        <v>0</v>
      </c>
      <c r="FR46" s="51">
        <f>IF(AND($E46&lt;&gt;0,$F46&gt;0,YEAR($F46)&lt;=FP$4,YEAR($F46)&gt;=Preisindex!$A$6),ROUND($E46*FP46,2),IF(AND($E46&lt;&gt;0,$F46&gt;0,YEAR($F46)&lt;=FP$4,YEAR($F46)&lt;Preisindex!$A$6),ROUND($E46*FQ46,2),0))</f>
        <v>332100</v>
      </c>
      <c r="FS46" s="53">
        <f t="shared" si="255"/>
        <v>6642</v>
      </c>
    </row>
    <row r="47" spans="1:175" x14ac:dyDescent="0.3">
      <c r="A47" s="93">
        <v>2009</v>
      </c>
      <c r="B47" s="196" t="s">
        <v>234</v>
      </c>
      <c r="C47" s="196"/>
      <c r="D47" s="188" t="s">
        <v>15</v>
      </c>
      <c r="E47" s="99">
        <v>380000</v>
      </c>
      <c r="F47" s="97">
        <v>39995</v>
      </c>
      <c r="G47" s="100">
        <v>50</v>
      </c>
      <c r="H47" s="622"/>
      <c r="I47" s="621"/>
      <c r="J47" s="194"/>
      <c r="K47" s="630" t="s">
        <v>266</v>
      </c>
      <c r="L47" s="49">
        <f t="shared" si="296"/>
        <v>0.02</v>
      </c>
      <c r="M47" s="50">
        <f t="shared" si="297"/>
        <v>7600</v>
      </c>
      <c r="N47" s="51">
        <f t="shared" si="298"/>
        <v>361000</v>
      </c>
      <c r="O47" s="51"/>
      <c r="P47" s="51">
        <f t="shared" si="299"/>
        <v>19000</v>
      </c>
      <c r="Q47" s="52"/>
      <c r="R47" s="52"/>
      <c r="S47" s="52"/>
      <c r="T47" s="52"/>
      <c r="U47" s="52"/>
      <c r="V47" s="53">
        <f t="shared" si="300"/>
        <v>380000</v>
      </c>
      <c r="W47" s="51">
        <f t="shared" si="301"/>
        <v>0</v>
      </c>
      <c r="X47" s="51">
        <f t="shared" si="302"/>
        <v>0</v>
      </c>
      <c r="Y47" s="51">
        <f t="shared" si="303"/>
        <v>0</v>
      </c>
      <c r="Z47" s="51">
        <f t="shared" si="304"/>
        <v>0</v>
      </c>
      <c r="AA47" s="51">
        <f t="shared" si="305"/>
        <v>380000</v>
      </c>
      <c r="AB47" s="51">
        <f t="shared" si="306"/>
        <v>380000</v>
      </c>
      <c r="AC47" s="51">
        <f t="shared" si="307"/>
        <v>7600</v>
      </c>
      <c r="AD47" s="51">
        <f t="shared" si="308"/>
        <v>7600</v>
      </c>
      <c r="AE47" s="51">
        <f t="shared" si="309"/>
        <v>353400</v>
      </c>
      <c r="AF47" s="51">
        <f t="shared" si="310"/>
        <v>353400</v>
      </c>
      <c r="AG47" s="51">
        <f t="shared" si="311"/>
        <v>26600</v>
      </c>
      <c r="AH47" s="54">
        <f t="shared" si="312"/>
        <v>0</v>
      </c>
      <c r="AI47" s="55">
        <f t="shared" si="313"/>
        <v>0</v>
      </c>
      <c r="AJ47" s="56">
        <f>IF(AND($E47&lt;&gt;0,$F47&gt;0,YEAR($F47)&gt;=Preisindex!$A$6,YEAR(AE$4)&gt;=YEAR($F47),AND($K47&lt;&gt;"a",$K47&lt;&gt;"b",$K47&lt;&gt;"g",$K47&lt;&gt;"k")),1,IF(AND($E47&lt;&gt;0,$F47&gt;0,YEAR($F47)&gt;=Preisindex!$A$6,YEAR(AE$4)&gt;=YEAR($F47),$K47="a"),ROUND(VLOOKUP(AJ$4,Preisindex,5,FALSE)/VLOOKUP(YEAR($F47),Preisindex,5,FALSE),2),IF(AND($E47&lt;&gt;0,$F47&gt;0,YEAR($F47)&gt;=Preisindex!$A$6,YEAR(AE$4)&gt;=YEAR($F47),$K47="b"),ROUND(VLOOKUP(AJ$4,Preisindex,3,FALSE)/VLOOKUP(YEAR($F47),Preisindex,3,FALSE),2),IF(AND($E47&lt;&gt;0,$F47&gt;0,YEAR($F47)&gt;=Preisindex!$A$6,YEAR(AE$4)&gt;=YEAR($F47),$K47="g"),ROUND(VLOOKUP(AJ$4,Preisindex,4,FALSE)/VLOOKUP(YEAR($F47),Preisindex,4,FALSE),2),IF(AND($E47&lt;&gt;0,$F47&gt;0,YEAR($F47)&gt;=Preisindex!$A$6,YEAR(AE$4)&gt;=YEAR($F47),$K47="k"),ROUND(VLOOKUP(AJ$4,Preisindex,2,FALSE)/VLOOKUP(YEAR($F47),Preisindex,2,FALSE),2),0)))))</f>
        <v>1.05</v>
      </c>
      <c r="AK47" s="56">
        <f>IF(AND($E47&lt;&gt;0,$F47&gt;0,YEAR($F47)&lt;Preisindex!$A$6,YEAR(AE$4)&gt;=YEAR($F47),AND($K47&lt;&gt;"a",$K47&lt;&gt;"b",$K47&lt;&gt;"g",$K47&lt;&gt;"k")),1,IF(AND($E47&lt;&gt;0,$F47&gt;0,YEAR($F47)&lt;Preisindex!$A$6,YEAR(AE$4)&gt;=YEAR($F47),$K47="a"),ROUND(VLOOKUP(AJ$4,Preisindex,5,FALSE)/VLOOKUP(Preisindex!$A$6,Preisindex,5,FALSE),2),IF(AND($E47&lt;&gt;0,$F47&gt;0,YEAR($F47)&lt;Preisindex!$A$6,YEAR(AE$4)&gt;=YEAR($F47),$K47="b"),ROUND(VLOOKUP(AJ$4,Preisindex,3,FALSE)/VLOOKUP(Preisindex!$A$6,Preisindex,3,FALSE),2),IF(AND($E47&lt;&gt;0,$F47&gt;0,YEAR($F47)&lt;Preisindex!$A$6,YEAR(AE$4)&gt;=YEAR($F47),$K47="g"),ROUND(VLOOKUP(AJ$4,Preisindex,4,FALSE)/VLOOKUP(Preisindex!$A$6,Preisindex,4,FALSE),2),IF(AND($E47&lt;&gt;0,$F47&gt;0,YEAR($F47)&lt;Preisindex!$A$6,YEAR(AE$4)&gt;=YEAR($F47),$K47="k"),ROUND(VLOOKUP(AJ$4,Preisindex,2,FALSE)/VLOOKUP(Preisindex!$A$6,Preisindex,2,FALSE),2),0)))))</f>
        <v>0</v>
      </c>
      <c r="AL47" s="51">
        <f>IF(AND($E47&lt;&gt;0,$F47&gt;0,YEAR($F47)&lt;=AJ$4,YEAR($F47)&gt;=Preisindex!$A$6),ROUND($E47*AJ47,2),IF(AND($E47&lt;&gt;0,$F47&gt;0,YEAR($F47)&lt;=AJ$4,YEAR($F47)&lt;Preisindex!$A$6),ROUND($E47*AK47,2),0))</f>
        <v>399000</v>
      </c>
      <c r="AM47" s="53">
        <f t="shared" si="314"/>
        <v>7980</v>
      </c>
      <c r="AN47" s="51">
        <f t="shared" si="357"/>
        <v>0</v>
      </c>
      <c r="AO47" s="51">
        <f t="shared" si="317"/>
        <v>0</v>
      </c>
      <c r="AP47" s="51">
        <f t="shared" si="146"/>
        <v>0</v>
      </c>
      <c r="AQ47" s="51">
        <f t="shared" si="318"/>
        <v>0</v>
      </c>
      <c r="AR47" s="51">
        <f t="shared" si="148"/>
        <v>380000</v>
      </c>
      <c r="AS47" s="51">
        <f t="shared" si="319"/>
        <v>380000</v>
      </c>
      <c r="AT47" s="51">
        <f t="shared" si="150"/>
        <v>7600</v>
      </c>
      <c r="AU47" s="51">
        <f t="shared" si="320"/>
        <v>7600</v>
      </c>
      <c r="AV47" s="51">
        <f t="shared" si="152"/>
        <v>345800</v>
      </c>
      <c r="AW47" s="51">
        <f t="shared" si="321"/>
        <v>345800</v>
      </c>
      <c r="AX47" s="51">
        <f t="shared" si="154"/>
        <v>34200</v>
      </c>
      <c r="AY47" s="54">
        <f t="shared" si="155"/>
        <v>0</v>
      </c>
      <c r="AZ47" s="55">
        <f t="shared" si="156"/>
        <v>0</v>
      </c>
      <c r="BA47" s="56">
        <f>IF(AND($E47&lt;&gt;0,$F47&gt;0,YEAR($F47)&gt;=Preisindex!$A$6,YEAR(AV$4)&gt;=YEAR($F47),AND($K47&lt;&gt;"a",$K47&lt;&gt;"b",$K47&lt;&gt;"g",$K47&lt;&gt;"k")),1,IF(AND($E47&lt;&gt;0,$F47&gt;0,YEAR($F47)&gt;=Preisindex!$A$6,YEAR(AV$4)&gt;=YEAR($F47),$K47="a"),ROUND(VLOOKUP(BA$4,Preisindex,5,FALSE)/VLOOKUP(YEAR($F47),Preisindex,5,FALSE),2),IF(AND($E47&lt;&gt;0,$F47&gt;0,YEAR($F47)&gt;=Preisindex!$A$6,YEAR(AV$4)&gt;=YEAR($F47),$K47="b"),ROUND(VLOOKUP(BA$4,Preisindex,3,FALSE)/VLOOKUP(YEAR($F47),Preisindex,3,FALSE),2),IF(AND($E47&lt;&gt;0,$F47&gt;0,YEAR($F47)&gt;=Preisindex!$A$6,YEAR(AV$4)&gt;=YEAR($F47),$K47="g"),ROUND(VLOOKUP(BA$4,Preisindex,4,FALSE)/VLOOKUP(YEAR($F47),Preisindex,4,FALSE),2),IF(AND($E47&lt;&gt;0,$F47&gt;0,YEAR($F47)&gt;=Preisindex!$A$6,YEAR(AV$4)&gt;=YEAR($F47),$K47="k"),ROUND(VLOOKUP(BA$4,Preisindex,2,FALSE)/VLOOKUP(YEAR($F47),Preisindex,2,FALSE),2),0)))))</f>
        <v>1.07</v>
      </c>
      <c r="BB47" s="56">
        <f>IF(AND($E47&lt;&gt;0,$F47&gt;0,YEAR($F47)&lt;Preisindex!$A$6,YEAR(AV$4)&gt;=YEAR($F47),AND($K47&lt;&gt;"a",$K47&lt;&gt;"b",$K47&lt;&gt;"g",$K47&lt;&gt;"k")),1,IF(AND($E47&lt;&gt;0,$F47&gt;0,YEAR($F47)&lt;Preisindex!$A$6,YEAR(AV$4)&gt;=YEAR($F47),$K47="a"),ROUND(VLOOKUP(BA$4,Preisindex,5,FALSE)/VLOOKUP(Preisindex!$A$6,Preisindex,5,FALSE),2),IF(AND($E47&lt;&gt;0,$F47&gt;0,YEAR($F47)&lt;Preisindex!$A$6,YEAR(AV$4)&gt;=YEAR($F47),$K47="b"),ROUND(VLOOKUP(BA$4,Preisindex,3,FALSE)/VLOOKUP(Preisindex!$A$6,Preisindex,3,FALSE),2),IF(AND($E47&lt;&gt;0,$F47&gt;0,YEAR($F47)&lt;Preisindex!$A$6,YEAR(AV$4)&gt;=YEAR($F47),$K47="g"),ROUND(VLOOKUP(BA$4,Preisindex,4,FALSE)/VLOOKUP(Preisindex!$A$6,Preisindex,4,FALSE),2),IF(AND($E47&lt;&gt;0,$F47&gt;0,YEAR($F47)&lt;Preisindex!$A$6,YEAR(AV$4)&gt;=YEAR($F47),$K47="k"),ROUND(VLOOKUP(BA$4,Preisindex,2,FALSE)/VLOOKUP(Preisindex!$A$6,Preisindex,2,FALSE),2),0)))))</f>
        <v>0</v>
      </c>
      <c r="BC47" s="51">
        <f>IF(AND($E47&lt;&gt;0,$F47&gt;0,YEAR($F47)&lt;=BA$4,YEAR($F47)&gt;=Preisindex!$A$6),ROUND($E47*BA47,2),IF(AND($E47&lt;&gt;0,$F47&gt;0,YEAR($F47)&lt;=BA$4,YEAR($F47)&lt;Preisindex!$A$6),ROUND($E47*BB47,2),0))</f>
        <v>406600</v>
      </c>
      <c r="BD47" s="53">
        <f t="shared" si="157"/>
        <v>8132</v>
      </c>
      <c r="BE47" s="51">
        <f t="shared" si="357"/>
        <v>0</v>
      </c>
      <c r="BF47" s="51">
        <f t="shared" si="322"/>
        <v>0</v>
      </c>
      <c r="BG47" s="51">
        <f t="shared" si="160"/>
        <v>0</v>
      </c>
      <c r="BH47" s="51">
        <f t="shared" si="323"/>
        <v>0</v>
      </c>
      <c r="BI47" s="51">
        <f t="shared" si="162"/>
        <v>380000</v>
      </c>
      <c r="BJ47" s="51">
        <f t="shared" si="324"/>
        <v>380000</v>
      </c>
      <c r="BK47" s="51">
        <f t="shared" si="164"/>
        <v>7600</v>
      </c>
      <c r="BL47" s="51">
        <f t="shared" si="325"/>
        <v>7600</v>
      </c>
      <c r="BM47" s="51">
        <f t="shared" si="166"/>
        <v>338200</v>
      </c>
      <c r="BN47" s="51">
        <f t="shared" si="326"/>
        <v>338200</v>
      </c>
      <c r="BO47" s="51">
        <f t="shared" si="168"/>
        <v>41800</v>
      </c>
      <c r="BP47" s="54">
        <f t="shared" si="169"/>
        <v>0</v>
      </c>
      <c r="BQ47" s="55">
        <f t="shared" si="170"/>
        <v>0</v>
      </c>
      <c r="BR47" s="56">
        <f>IF(AND($E47&lt;&gt;0,$F47&gt;0,YEAR($F47)&gt;=Preisindex!$A$6,YEAR(BM$4)&gt;=YEAR($F47),AND($K47&lt;&gt;"a",$K47&lt;&gt;"b",$K47&lt;&gt;"g",$K47&lt;&gt;"k")),1,IF(AND($E47&lt;&gt;0,$F47&gt;0,YEAR($F47)&gt;=Preisindex!$A$6,YEAR(BM$4)&gt;=YEAR($F47),$K47="a"),ROUND(VLOOKUP(BR$4,Preisindex,5,FALSE)/VLOOKUP(YEAR($F47),Preisindex,5,FALSE),2),IF(AND($E47&lt;&gt;0,$F47&gt;0,YEAR($F47)&gt;=Preisindex!$A$6,YEAR(BM$4)&gt;=YEAR($F47),$K47="b"),ROUND(VLOOKUP(BR$4,Preisindex,3,FALSE)/VLOOKUP(YEAR($F47),Preisindex,3,FALSE),2),IF(AND($E47&lt;&gt;0,$F47&gt;0,YEAR($F47)&gt;=Preisindex!$A$6,YEAR(BM$4)&gt;=YEAR($F47),$K47="g"),ROUND(VLOOKUP(BR$4,Preisindex,4,FALSE)/VLOOKUP(YEAR($F47),Preisindex,4,FALSE),2),IF(AND($E47&lt;&gt;0,$F47&gt;0,YEAR($F47)&gt;=Preisindex!$A$6,YEAR(BM$4)&gt;=YEAR($F47),$K47="k"),ROUND(VLOOKUP(BR$4,Preisindex,2,FALSE)/VLOOKUP(YEAR($F47),Preisindex,2,FALSE),2),0)))))</f>
        <v>1.0900000000000001</v>
      </c>
      <c r="BS47" s="56">
        <f>IF(AND($E47&lt;&gt;0,$F47&gt;0,YEAR($F47)&lt;Preisindex!$A$6,YEAR(BM$4)&gt;=YEAR($F47),AND($K47&lt;&gt;"a",$K47&lt;&gt;"b",$K47&lt;&gt;"g",$K47&lt;&gt;"k")),1,IF(AND($E47&lt;&gt;0,$F47&gt;0,YEAR($F47)&lt;Preisindex!$A$6,YEAR(BM$4)&gt;=YEAR($F47),$K47="a"),ROUND(VLOOKUP(BR$4,Preisindex,5,FALSE)/VLOOKUP(Preisindex!$A$6,Preisindex,5,FALSE),2),IF(AND($E47&lt;&gt;0,$F47&gt;0,YEAR($F47)&lt;Preisindex!$A$6,YEAR(BM$4)&gt;=YEAR($F47),$K47="b"),ROUND(VLOOKUP(BR$4,Preisindex,3,FALSE)/VLOOKUP(Preisindex!$A$6,Preisindex,3,FALSE),2),IF(AND($E47&lt;&gt;0,$F47&gt;0,YEAR($F47)&lt;Preisindex!$A$6,YEAR(BM$4)&gt;=YEAR($F47),$K47="g"),ROUND(VLOOKUP(BR$4,Preisindex,4,FALSE)/VLOOKUP(Preisindex!$A$6,Preisindex,4,FALSE),2),IF(AND($E47&lt;&gt;0,$F47&gt;0,YEAR($F47)&lt;Preisindex!$A$6,YEAR(BM$4)&gt;=YEAR($F47),$K47="k"),ROUND(VLOOKUP(BR$4,Preisindex,2,FALSE)/VLOOKUP(Preisindex!$A$6,Preisindex,2,FALSE),2),0)))))</f>
        <v>0</v>
      </c>
      <c r="BT47" s="51">
        <f>IF(AND($E47&lt;&gt;0,$F47&gt;0,YEAR($F47)&lt;=BR$4,YEAR($F47)&gt;=Preisindex!$A$6),ROUND($E47*BR47,2),IF(AND($E47&lt;&gt;0,$F47&gt;0,YEAR($F47)&lt;=BR$4,YEAR($F47)&lt;Preisindex!$A$6),ROUND($E47*BS47,2),0))</f>
        <v>414200</v>
      </c>
      <c r="BU47" s="53">
        <f t="shared" si="171"/>
        <v>8284</v>
      </c>
      <c r="BV47" s="51">
        <f t="shared" si="357"/>
        <v>0</v>
      </c>
      <c r="BW47" s="51">
        <f t="shared" si="327"/>
        <v>0</v>
      </c>
      <c r="BX47" s="51">
        <f t="shared" si="174"/>
        <v>0</v>
      </c>
      <c r="BY47" s="51">
        <f t="shared" si="328"/>
        <v>0</v>
      </c>
      <c r="BZ47" s="51">
        <f t="shared" si="176"/>
        <v>380000</v>
      </c>
      <c r="CA47" s="51">
        <f t="shared" si="329"/>
        <v>380000</v>
      </c>
      <c r="CB47" s="51">
        <f t="shared" si="178"/>
        <v>7600</v>
      </c>
      <c r="CC47" s="51">
        <f t="shared" si="330"/>
        <v>7600</v>
      </c>
      <c r="CD47" s="51">
        <f t="shared" si="180"/>
        <v>330600</v>
      </c>
      <c r="CE47" s="51">
        <f t="shared" si="331"/>
        <v>330600</v>
      </c>
      <c r="CF47" s="51">
        <f t="shared" si="182"/>
        <v>49400</v>
      </c>
      <c r="CG47" s="54">
        <f t="shared" si="183"/>
        <v>0</v>
      </c>
      <c r="CH47" s="55">
        <f t="shared" si="184"/>
        <v>0</v>
      </c>
      <c r="CI47" s="56">
        <f>IF(AND($E47&lt;&gt;0,$F47&gt;0,YEAR($F47)&gt;=Preisindex!$A$6,YEAR(CD$4)&gt;=YEAR($F47),AND($K47&lt;&gt;"a",$K47&lt;&gt;"b",$K47&lt;&gt;"g",$K47&lt;&gt;"k")),1,IF(AND($E47&lt;&gt;0,$F47&gt;0,YEAR($F47)&gt;=Preisindex!$A$6,YEAR(CD$4)&gt;=YEAR($F47),$K47="a"),ROUND(VLOOKUP(CI$4,Preisindex,5,FALSE)/VLOOKUP(YEAR($F47),Preisindex,5,FALSE),2),IF(AND($E47&lt;&gt;0,$F47&gt;0,YEAR($F47)&gt;=Preisindex!$A$6,YEAR(CD$4)&gt;=YEAR($F47),$K47="b"),ROUND(VLOOKUP(CI$4,Preisindex,3,FALSE)/VLOOKUP(YEAR($F47),Preisindex,3,FALSE),2),IF(AND($E47&lt;&gt;0,$F47&gt;0,YEAR($F47)&gt;=Preisindex!$A$6,YEAR(CD$4)&gt;=YEAR($F47),$K47="g"),ROUND(VLOOKUP(CI$4,Preisindex,4,FALSE)/VLOOKUP(YEAR($F47),Preisindex,4,FALSE),2),IF(AND($E47&lt;&gt;0,$F47&gt;0,YEAR($F47)&gt;=Preisindex!$A$6,YEAR(CD$4)&gt;=YEAR($F47),$K47="k"),ROUND(VLOOKUP(CI$4,Preisindex,2,FALSE)/VLOOKUP(YEAR($F47),Preisindex,2,FALSE),2),0)))))</f>
        <v>1.1000000000000001</v>
      </c>
      <c r="CJ47" s="56">
        <f>IF(AND($E47&lt;&gt;0,$F47&gt;0,YEAR($F47)&lt;Preisindex!$A$6,YEAR(CD$4)&gt;=YEAR($F47),AND($K47&lt;&gt;"a",$K47&lt;&gt;"b",$K47&lt;&gt;"g",$K47&lt;&gt;"k")),1,IF(AND($E47&lt;&gt;0,$F47&gt;0,YEAR($F47)&lt;Preisindex!$A$6,YEAR(CD$4)&gt;=YEAR($F47),$K47="a"),ROUND(VLOOKUP(CI$4,Preisindex,5,FALSE)/VLOOKUP(Preisindex!$A$6,Preisindex,5,FALSE),2),IF(AND($E47&lt;&gt;0,$F47&gt;0,YEAR($F47)&lt;Preisindex!$A$6,YEAR(CD$4)&gt;=YEAR($F47),$K47="b"),ROUND(VLOOKUP(CI$4,Preisindex,3,FALSE)/VLOOKUP(Preisindex!$A$6,Preisindex,3,FALSE),2),IF(AND($E47&lt;&gt;0,$F47&gt;0,YEAR($F47)&lt;Preisindex!$A$6,YEAR(CD$4)&gt;=YEAR($F47),$K47="g"),ROUND(VLOOKUP(CI$4,Preisindex,4,FALSE)/VLOOKUP(Preisindex!$A$6,Preisindex,4,FALSE),2),IF(AND($E47&lt;&gt;0,$F47&gt;0,YEAR($F47)&lt;Preisindex!$A$6,YEAR(CD$4)&gt;=YEAR($F47),$K47="k"),ROUND(VLOOKUP(CI$4,Preisindex,2,FALSE)/VLOOKUP(Preisindex!$A$6,Preisindex,2,FALSE),2),0)))))</f>
        <v>0</v>
      </c>
      <c r="CK47" s="51">
        <f>IF(AND($E47&lt;&gt;0,$F47&gt;0,YEAR($F47)&lt;=CI$4,YEAR($F47)&gt;=Preisindex!$A$6),ROUND($E47*CI47,2),IF(AND($E47&lt;&gt;0,$F47&gt;0,YEAR($F47)&lt;=CI$4,YEAR($F47)&lt;Preisindex!$A$6),ROUND($E47*CJ47,2),0))</f>
        <v>418000</v>
      </c>
      <c r="CL47" s="53">
        <f t="shared" si="185"/>
        <v>8360</v>
      </c>
      <c r="CM47" s="51">
        <f t="shared" si="357"/>
        <v>0</v>
      </c>
      <c r="CN47" s="51">
        <f t="shared" si="332"/>
        <v>0</v>
      </c>
      <c r="CO47" s="51">
        <f t="shared" si="188"/>
        <v>0</v>
      </c>
      <c r="CP47" s="51">
        <f t="shared" si="333"/>
        <v>0</v>
      </c>
      <c r="CQ47" s="51">
        <f t="shared" si="190"/>
        <v>380000</v>
      </c>
      <c r="CR47" s="51">
        <f t="shared" si="334"/>
        <v>380000</v>
      </c>
      <c r="CS47" s="51">
        <f t="shared" si="192"/>
        <v>7600</v>
      </c>
      <c r="CT47" s="51">
        <f t="shared" si="335"/>
        <v>7600</v>
      </c>
      <c r="CU47" s="51">
        <f t="shared" si="194"/>
        <v>323000</v>
      </c>
      <c r="CV47" s="51">
        <f t="shared" si="336"/>
        <v>323000</v>
      </c>
      <c r="CW47" s="51">
        <f t="shared" si="196"/>
        <v>57000</v>
      </c>
      <c r="CX47" s="54">
        <f t="shared" si="197"/>
        <v>0</v>
      </c>
      <c r="CY47" s="55">
        <f t="shared" si="198"/>
        <v>0</v>
      </c>
      <c r="CZ47" s="56">
        <f>IF(AND($E47&lt;&gt;0,$F47&gt;0,YEAR($F47)&gt;=Preisindex!$A$6,YEAR(CU$4)&gt;=YEAR($F47),AND($K47&lt;&gt;"a",$K47&lt;&gt;"b",$K47&lt;&gt;"g",$K47&lt;&gt;"k")),1,IF(AND($E47&lt;&gt;0,$F47&gt;0,YEAR($F47)&gt;=Preisindex!$A$6,YEAR(CU$4)&gt;=YEAR($F47),$K47="a"),ROUND(VLOOKUP(CZ$4,Preisindex,5,FALSE)/VLOOKUP(YEAR($F47),Preisindex,5,FALSE),2),IF(AND($E47&lt;&gt;0,$F47&gt;0,YEAR($F47)&gt;=Preisindex!$A$6,YEAR(CU$4)&gt;=YEAR($F47),$K47="b"),ROUND(VLOOKUP(CZ$4,Preisindex,3,FALSE)/VLOOKUP(YEAR($F47),Preisindex,3,FALSE),2),IF(AND($E47&lt;&gt;0,$F47&gt;0,YEAR($F47)&gt;=Preisindex!$A$6,YEAR(CU$4)&gt;=YEAR($F47),$K47="g"),ROUND(VLOOKUP(CZ$4,Preisindex,4,FALSE)/VLOOKUP(YEAR($F47),Preisindex,4,FALSE),2),IF(AND($E47&lt;&gt;0,$F47&gt;0,YEAR($F47)&gt;=Preisindex!$A$6,YEAR(CU$4)&gt;=YEAR($F47),$K47="k"),ROUND(VLOOKUP(CZ$4,Preisindex,2,FALSE)/VLOOKUP(YEAR($F47),Preisindex,2,FALSE),2),0)))))</f>
        <v>1.1200000000000001</v>
      </c>
      <c r="DA47" s="56">
        <f>IF(AND($E47&lt;&gt;0,$F47&gt;0,YEAR($F47)&lt;Preisindex!$A$6,YEAR(CU$4)&gt;=YEAR($F47),AND($K47&lt;&gt;"a",$K47&lt;&gt;"b",$K47&lt;&gt;"g",$K47&lt;&gt;"k")),1,IF(AND($E47&lt;&gt;0,$F47&gt;0,YEAR($F47)&lt;Preisindex!$A$6,YEAR(CU$4)&gt;=YEAR($F47),$K47="a"),ROUND(VLOOKUP(CZ$4,Preisindex,5,FALSE)/VLOOKUP(Preisindex!$A$6,Preisindex,5,FALSE),2),IF(AND($E47&lt;&gt;0,$F47&gt;0,YEAR($F47)&lt;Preisindex!$A$6,YEAR(CU$4)&gt;=YEAR($F47),$K47="b"),ROUND(VLOOKUP(CZ$4,Preisindex,3,FALSE)/VLOOKUP(Preisindex!$A$6,Preisindex,3,FALSE),2),IF(AND($E47&lt;&gt;0,$F47&gt;0,YEAR($F47)&lt;Preisindex!$A$6,YEAR(CU$4)&gt;=YEAR($F47),$K47="g"),ROUND(VLOOKUP(CZ$4,Preisindex,4,FALSE)/VLOOKUP(Preisindex!$A$6,Preisindex,4,FALSE),2),IF(AND($E47&lt;&gt;0,$F47&gt;0,YEAR($F47)&lt;Preisindex!$A$6,YEAR(CU$4)&gt;=YEAR($F47),$K47="k"),ROUND(VLOOKUP(CZ$4,Preisindex,2,FALSE)/VLOOKUP(Preisindex!$A$6,Preisindex,2,FALSE),2),0)))))</f>
        <v>0</v>
      </c>
      <c r="DB47" s="51">
        <f>IF(AND($E47&lt;&gt;0,$F47&gt;0,YEAR($F47)&lt;=CZ$4,YEAR($F47)&gt;=Preisindex!$A$6),ROUND($E47*CZ47,2),IF(AND($E47&lt;&gt;0,$F47&gt;0,YEAR($F47)&lt;=CZ$4,YEAR($F47)&lt;Preisindex!$A$6),ROUND($E47*DA47,2),0))</f>
        <v>425600</v>
      </c>
      <c r="DC47" s="53">
        <f t="shared" si="199"/>
        <v>8512</v>
      </c>
      <c r="DD47" s="51">
        <f t="shared" si="358"/>
        <v>0</v>
      </c>
      <c r="DE47" s="51">
        <f t="shared" si="337"/>
        <v>0</v>
      </c>
      <c r="DF47" s="51">
        <f t="shared" si="202"/>
        <v>0</v>
      </c>
      <c r="DG47" s="51">
        <f t="shared" si="338"/>
        <v>0</v>
      </c>
      <c r="DH47" s="51">
        <f t="shared" si="204"/>
        <v>380000</v>
      </c>
      <c r="DI47" s="51">
        <f t="shared" si="339"/>
        <v>380000</v>
      </c>
      <c r="DJ47" s="51">
        <f t="shared" si="206"/>
        <v>7600</v>
      </c>
      <c r="DK47" s="51">
        <f t="shared" si="340"/>
        <v>7600</v>
      </c>
      <c r="DL47" s="51">
        <f t="shared" si="208"/>
        <v>315400</v>
      </c>
      <c r="DM47" s="51">
        <f t="shared" si="341"/>
        <v>315400</v>
      </c>
      <c r="DN47" s="51">
        <f t="shared" si="210"/>
        <v>64600</v>
      </c>
      <c r="DO47" s="54">
        <f t="shared" si="211"/>
        <v>0</v>
      </c>
      <c r="DP47" s="55">
        <f t="shared" si="212"/>
        <v>0</v>
      </c>
      <c r="DQ47" s="56">
        <f>IF(AND($E47&lt;&gt;0,$F47&gt;0,YEAR($F47)&gt;=Preisindex!$A$6,YEAR(DL$4)&gt;=YEAR($F47),AND($K47&lt;&gt;"a",$K47&lt;&gt;"b",$K47&lt;&gt;"g",$K47&lt;&gt;"k")),1,IF(AND($E47&lt;&gt;0,$F47&gt;0,YEAR($F47)&gt;=Preisindex!$A$6,YEAR(DL$4)&gt;=YEAR($F47),$K47="a"),ROUND(VLOOKUP(DQ$4,Preisindex,5,FALSE)/VLOOKUP(YEAR($F47),Preisindex,5,FALSE),2),IF(AND($E47&lt;&gt;0,$F47&gt;0,YEAR($F47)&gt;=Preisindex!$A$6,YEAR(DL$4)&gt;=YEAR($F47),$K47="b"),ROUND(VLOOKUP(DQ$4,Preisindex,3,FALSE)/VLOOKUP(YEAR($F47),Preisindex,3,FALSE),2),IF(AND($E47&lt;&gt;0,$F47&gt;0,YEAR($F47)&gt;=Preisindex!$A$6,YEAR(DL$4)&gt;=YEAR($F47),$K47="g"),ROUND(VLOOKUP(DQ$4,Preisindex,4,FALSE)/VLOOKUP(YEAR($F47),Preisindex,4,FALSE),2),IF(AND($E47&lt;&gt;0,$F47&gt;0,YEAR($F47)&gt;=Preisindex!$A$6,YEAR(DL$4)&gt;=YEAR($F47),$K47="k"),ROUND(VLOOKUP(DQ$4,Preisindex,2,FALSE)/VLOOKUP(YEAR($F47),Preisindex,2,FALSE),2),0)))))</f>
        <v>1.1599999999999999</v>
      </c>
      <c r="DR47" s="56">
        <f>IF(AND($E47&lt;&gt;0,$F47&gt;0,YEAR($F47)&lt;Preisindex!$A$6,YEAR(DL$4)&gt;=YEAR($F47),AND($K47&lt;&gt;"a",$K47&lt;&gt;"b",$K47&lt;&gt;"g",$K47&lt;&gt;"k")),1,IF(AND($E47&lt;&gt;0,$F47&gt;0,YEAR($F47)&lt;Preisindex!$A$6,YEAR(DL$4)&gt;=YEAR($F47),$K47="a"),ROUND(VLOOKUP(DQ$4,Preisindex,5,FALSE)/VLOOKUP(Preisindex!$A$6,Preisindex,5,FALSE),2),IF(AND($E47&lt;&gt;0,$F47&gt;0,YEAR($F47)&lt;Preisindex!$A$6,YEAR(DL$4)&gt;=YEAR($F47),$K47="b"),ROUND(VLOOKUP(DQ$4,Preisindex,3,FALSE)/VLOOKUP(Preisindex!$A$6,Preisindex,3,FALSE),2),IF(AND($E47&lt;&gt;0,$F47&gt;0,YEAR($F47)&lt;Preisindex!$A$6,YEAR(DL$4)&gt;=YEAR($F47),$K47="g"),ROUND(VLOOKUP(DQ$4,Preisindex,4,FALSE)/VLOOKUP(Preisindex!$A$6,Preisindex,4,FALSE),2),IF(AND($E47&lt;&gt;0,$F47&gt;0,YEAR($F47)&lt;Preisindex!$A$6,YEAR(DL$4)&gt;=YEAR($F47),$K47="k"),ROUND(VLOOKUP(DQ$4,Preisindex,2,FALSE)/VLOOKUP(Preisindex!$A$6,Preisindex,2,FALSE),2),0)))))</f>
        <v>0</v>
      </c>
      <c r="DS47" s="51">
        <f>IF(AND($E47&lt;&gt;0,$F47&gt;0,YEAR($F47)&lt;=DQ$4,YEAR($F47)&gt;=Preisindex!$A$6),ROUND($E47*DQ47,2),IF(AND($E47&lt;&gt;0,$F47&gt;0,YEAR($F47)&lt;=DQ$4,YEAR($F47)&lt;Preisindex!$A$6),ROUND($E47*DR47,2),0))</f>
        <v>440800</v>
      </c>
      <c r="DT47" s="53">
        <f t="shared" si="213"/>
        <v>8816</v>
      </c>
      <c r="DU47" s="51">
        <f t="shared" si="358"/>
        <v>0</v>
      </c>
      <c r="DV47" s="51">
        <f t="shared" si="342"/>
        <v>0</v>
      </c>
      <c r="DW47" s="51">
        <f t="shared" si="216"/>
        <v>0</v>
      </c>
      <c r="DX47" s="51">
        <f t="shared" si="343"/>
        <v>0</v>
      </c>
      <c r="DY47" s="51">
        <f t="shared" si="218"/>
        <v>380000</v>
      </c>
      <c r="DZ47" s="51">
        <f t="shared" si="344"/>
        <v>380000</v>
      </c>
      <c r="EA47" s="51">
        <f t="shared" si="220"/>
        <v>7600</v>
      </c>
      <c r="EB47" s="51">
        <f t="shared" si="345"/>
        <v>7600</v>
      </c>
      <c r="EC47" s="51">
        <f t="shared" si="222"/>
        <v>307800</v>
      </c>
      <c r="ED47" s="51">
        <f t="shared" si="346"/>
        <v>307800</v>
      </c>
      <c r="EE47" s="51">
        <f t="shared" si="224"/>
        <v>72200</v>
      </c>
      <c r="EF47" s="54">
        <f t="shared" si="225"/>
        <v>0</v>
      </c>
      <c r="EG47" s="55">
        <f t="shared" si="226"/>
        <v>0</v>
      </c>
      <c r="EH47" s="56">
        <f>IF(AND($E47&lt;&gt;0,$F47&gt;0,YEAR($F47)&gt;=Preisindex!$A$6,YEAR(EC$4)&gt;=YEAR($F47),AND($K47&lt;&gt;"a",$K47&lt;&gt;"b",$K47&lt;&gt;"g",$K47&lt;&gt;"k")),1,IF(AND($E47&lt;&gt;0,$F47&gt;0,YEAR($F47)&gt;=Preisindex!$A$6,YEAR(EC$4)&gt;=YEAR($F47),$K47="a"),ROUND(VLOOKUP(EH$4,Preisindex,5,FALSE)/VLOOKUP(YEAR($F47),Preisindex,5,FALSE),2),IF(AND($E47&lt;&gt;0,$F47&gt;0,YEAR($F47)&gt;=Preisindex!$A$6,YEAR(EC$4)&gt;=YEAR($F47),$K47="b"),ROUND(VLOOKUP(EH$4,Preisindex,3,FALSE)/VLOOKUP(YEAR($F47),Preisindex,3,FALSE),2),IF(AND($E47&lt;&gt;0,$F47&gt;0,YEAR($F47)&gt;=Preisindex!$A$6,YEAR(EC$4)&gt;=YEAR($F47),$K47="g"),ROUND(VLOOKUP(EH$4,Preisindex,4,FALSE)/VLOOKUP(YEAR($F47),Preisindex,4,FALSE),2),IF(AND($E47&lt;&gt;0,$F47&gt;0,YEAR($F47)&gt;=Preisindex!$A$6,YEAR(EC$4)&gt;=YEAR($F47),$K47="k"),ROUND(VLOOKUP(EH$4,Preisindex,2,FALSE)/VLOOKUP(YEAR($F47),Preisindex,2,FALSE),2),0)))))</f>
        <v>1.22</v>
      </c>
      <c r="EI47" s="56">
        <f>IF(AND($E47&lt;&gt;0,$F47&gt;0,YEAR($F47)&lt;Preisindex!$A$6,YEAR(EC$4)&gt;=YEAR($F47),AND($K47&lt;&gt;"a",$K47&lt;&gt;"b",$K47&lt;&gt;"g",$K47&lt;&gt;"k")),1,IF(AND($E47&lt;&gt;0,$F47&gt;0,YEAR($F47)&lt;Preisindex!$A$6,YEAR(EC$4)&gt;=YEAR($F47),$K47="a"),ROUND(VLOOKUP(EH$4,Preisindex,5,FALSE)/VLOOKUP(Preisindex!$A$6,Preisindex,5,FALSE),2),IF(AND($E47&lt;&gt;0,$F47&gt;0,YEAR($F47)&lt;Preisindex!$A$6,YEAR(EC$4)&gt;=YEAR($F47),$K47="b"),ROUND(VLOOKUP(EH$4,Preisindex,3,FALSE)/VLOOKUP(Preisindex!$A$6,Preisindex,3,FALSE),2),IF(AND($E47&lt;&gt;0,$F47&gt;0,YEAR($F47)&lt;Preisindex!$A$6,YEAR(EC$4)&gt;=YEAR($F47),$K47="g"),ROUND(VLOOKUP(EH$4,Preisindex,4,FALSE)/VLOOKUP(Preisindex!$A$6,Preisindex,4,FALSE),2),IF(AND($E47&lt;&gt;0,$F47&gt;0,YEAR($F47)&lt;Preisindex!$A$6,YEAR(EC$4)&gt;=YEAR($F47),$K47="k"),ROUND(VLOOKUP(EH$4,Preisindex,2,FALSE)/VLOOKUP(Preisindex!$A$6,Preisindex,2,FALSE),2),0)))))</f>
        <v>0</v>
      </c>
      <c r="EJ47" s="51">
        <f>IF(AND($E47&lt;&gt;0,$F47&gt;0,YEAR($F47)&lt;=EH$4,YEAR($F47)&gt;=Preisindex!$A$6),ROUND($E47*EH47,2),IF(AND($E47&lt;&gt;0,$F47&gt;0,YEAR($F47)&lt;=EH$4,YEAR($F47)&lt;Preisindex!$A$6),ROUND($E47*EI47,2),0))</f>
        <v>463600</v>
      </c>
      <c r="EK47" s="53">
        <f t="shared" si="227"/>
        <v>9272</v>
      </c>
      <c r="EL47" s="51">
        <f t="shared" si="358"/>
        <v>0</v>
      </c>
      <c r="EM47" s="51">
        <f t="shared" si="347"/>
        <v>0</v>
      </c>
      <c r="EN47" s="51">
        <f t="shared" si="230"/>
        <v>0</v>
      </c>
      <c r="EO47" s="51">
        <f t="shared" si="348"/>
        <v>0</v>
      </c>
      <c r="EP47" s="51">
        <f t="shared" si="232"/>
        <v>380000</v>
      </c>
      <c r="EQ47" s="51">
        <f t="shared" si="349"/>
        <v>380000</v>
      </c>
      <c r="ER47" s="51">
        <f t="shared" si="234"/>
        <v>7600</v>
      </c>
      <c r="ES47" s="51">
        <f t="shared" si="350"/>
        <v>7600</v>
      </c>
      <c r="ET47" s="51">
        <f t="shared" si="236"/>
        <v>300200</v>
      </c>
      <c r="EU47" s="51">
        <f t="shared" si="351"/>
        <v>300200</v>
      </c>
      <c r="EV47" s="51">
        <f t="shared" si="238"/>
        <v>79800</v>
      </c>
      <c r="EW47" s="54">
        <f t="shared" si="239"/>
        <v>0</v>
      </c>
      <c r="EX47" s="55">
        <f t="shared" si="240"/>
        <v>0</v>
      </c>
      <c r="EY47" s="56">
        <f>IF(AND($E47&lt;&gt;0,$F47&gt;0,YEAR($F47)&gt;=Preisindex!$A$6,YEAR(ET$4)&gt;=YEAR($F47),AND($K47&lt;&gt;"a",$K47&lt;&gt;"b",$K47&lt;&gt;"g",$K47&lt;&gt;"k")),1,IF(AND($E47&lt;&gt;0,$F47&gt;0,YEAR($F47)&gt;=Preisindex!$A$6,YEAR(ET$4)&gt;=YEAR($F47),$K47="a"),ROUND(VLOOKUP(EY$4,Preisindex,5,FALSE)/VLOOKUP(YEAR($F47),Preisindex,5,FALSE),2),IF(AND($E47&lt;&gt;0,$F47&gt;0,YEAR($F47)&gt;=Preisindex!$A$6,YEAR(ET$4)&gt;=YEAR($F47),$K47="b"),ROUND(VLOOKUP(EY$4,Preisindex,3,FALSE)/VLOOKUP(YEAR($F47),Preisindex,3,FALSE),2),IF(AND($E47&lt;&gt;0,$F47&gt;0,YEAR($F47)&gt;=Preisindex!$A$6,YEAR(ET$4)&gt;=YEAR($F47),$K47="g"),ROUND(VLOOKUP(EY$4,Preisindex,4,FALSE)/VLOOKUP(YEAR($F47),Preisindex,4,FALSE),2),IF(AND($E47&lt;&gt;0,$F47&gt;0,YEAR($F47)&gt;=Preisindex!$A$6,YEAR(ET$4)&gt;=YEAR($F47),$K47="k"),ROUND(VLOOKUP(EY$4,Preisindex,2,FALSE)/VLOOKUP(YEAR($F47),Preisindex,2,FALSE),2),0)))))</f>
        <v>1.22</v>
      </c>
      <c r="EZ47" s="56">
        <f>IF(AND($E47&lt;&gt;0,$F47&gt;0,YEAR($F47)&lt;Preisindex!$A$6,YEAR(ET$4)&gt;=YEAR($F47),AND($K47&lt;&gt;"a",$K47&lt;&gt;"b",$K47&lt;&gt;"g",$K47&lt;&gt;"k")),1,IF(AND($E47&lt;&gt;0,$F47&gt;0,YEAR($F47)&lt;Preisindex!$A$6,YEAR(ET$4)&gt;=YEAR($F47),$K47="a"),ROUND(VLOOKUP(EY$4,Preisindex,5,FALSE)/VLOOKUP(Preisindex!$A$6,Preisindex,5,FALSE),2),IF(AND($E47&lt;&gt;0,$F47&gt;0,YEAR($F47)&lt;Preisindex!$A$6,YEAR(ET$4)&gt;=YEAR($F47),$K47="b"),ROUND(VLOOKUP(EY$4,Preisindex,3,FALSE)/VLOOKUP(Preisindex!$A$6,Preisindex,3,FALSE),2),IF(AND($E47&lt;&gt;0,$F47&gt;0,YEAR($F47)&lt;Preisindex!$A$6,YEAR(ET$4)&gt;=YEAR($F47),$K47="g"),ROUND(VLOOKUP(EY$4,Preisindex,4,FALSE)/VLOOKUP(Preisindex!$A$6,Preisindex,4,FALSE),2),IF(AND($E47&lt;&gt;0,$F47&gt;0,YEAR($F47)&lt;Preisindex!$A$6,YEAR(ET$4)&gt;=YEAR($F47),$K47="k"),ROUND(VLOOKUP(EY$4,Preisindex,2,FALSE)/VLOOKUP(Preisindex!$A$6,Preisindex,2,FALSE),2),0)))))</f>
        <v>0</v>
      </c>
      <c r="FA47" s="51">
        <f>IF(AND($E47&lt;&gt;0,$F47&gt;0,YEAR($F47)&lt;=EY$4,YEAR($F47)&gt;=Preisindex!$A$6),ROUND($E47*EY47,2),IF(AND($E47&lt;&gt;0,$F47&gt;0,YEAR($F47)&lt;=EY$4,YEAR($F47)&lt;Preisindex!$A$6),ROUND($E47*EZ47,2),0))</f>
        <v>463600</v>
      </c>
      <c r="FB47" s="53">
        <f t="shared" si="241"/>
        <v>9272</v>
      </c>
      <c r="FC47" s="51">
        <f t="shared" si="358"/>
        <v>0</v>
      </c>
      <c r="FD47" s="51">
        <f t="shared" si="352"/>
        <v>0</v>
      </c>
      <c r="FE47" s="51">
        <f t="shared" si="244"/>
        <v>0</v>
      </c>
      <c r="FF47" s="51">
        <f t="shared" si="353"/>
        <v>0</v>
      </c>
      <c r="FG47" s="51">
        <f t="shared" si="246"/>
        <v>380000</v>
      </c>
      <c r="FH47" s="51">
        <f t="shared" si="354"/>
        <v>380000</v>
      </c>
      <c r="FI47" s="51">
        <f t="shared" si="248"/>
        <v>7600</v>
      </c>
      <c r="FJ47" s="51">
        <f t="shared" si="355"/>
        <v>7600</v>
      </c>
      <c r="FK47" s="51">
        <f t="shared" si="250"/>
        <v>292600</v>
      </c>
      <c r="FL47" s="51">
        <f t="shared" si="356"/>
        <v>292600</v>
      </c>
      <c r="FM47" s="51">
        <f t="shared" si="252"/>
        <v>87400</v>
      </c>
      <c r="FN47" s="54">
        <f t="shared" si="253"/>
        <v>0</v>
      </c>
      <c r="FO47" s="55">
        <f t="shared" si="254"/>
        <v>0</v>
      </c>
      <c r="FP47" s="56">
        <f>IF(AND($E47&lt;&gt;0,$F47&gt;0,YEAR($F47)&gt;=Preisindex!$A$6,YEAR(FK$4)&gt;=YEAR($F47),AND($K47&lt;&gt;"a",$K47&lt;&gt;"b",$K47&lt;&gt;"g",$K47&lt;&gt;"k")),1,IF(AND($E47&lt;&gt;0,$F47&gt;0,YEAR($F47)&gt;=Preisindex!$A$6,YEAR(FK$4)&gt;=YEAR($F47),$K47="a"),ROUND(VLOOKUP(FP$4,Preisindex,5,FALSE)/VLOOKUP(YEAR($F47),Preisindex,5,FALSE),2),IF(AND($E47&lt;&gt;0,$F47&gt;0,YEAR($F47)&gt;=Preisindex!$A$6,YEAR(FK$4)&gt;=YEAR($F47),$K47="b"),ROUND(VLOOKUP(FP$4,Preisindex,3,FALSE)/VLOOKUP(YEAR($F47),Preisindex,3,FALSE),2),IF(AND($E47&lt;&gt;0,$F47&gt;0,YEAR($F47)&gt;=Preisindex!$A$6,YEAR(FK$4)&gt;=YEAR($F47),$K47="g"),ROUND(VLOOKUP(FP$4,Preisindex,4,FALSE)/VLOOKUP(YEAR($F47),Preisindex,4,FALSE),2),IF(AND($E47&lt;&gt;0,$F47&gt;0,YEAR($F47)&gt;=Preisindex!$A$6,YEAR(FK$4)&gt;=YEAR($F47),$K47="k"),ROUND(VLOOKUP(FP$4,Preisindex,2,FALSE)/VLOOKUP(YEAR($F47),Preisindex,2,FALSE),2),0)))))</f>
        <v>1.22</v>
      </c>
      <c r="FQ47" s="56">
        <f>IF(AND($E47&lt;&gt;0,$F47&gt;0,YEAR($F47)&lt;Preisindex!$A$6,YEAR(FK$4)&gt;=YEAR($F47),AND($K47&lt;&gt;"a",$K47&lt;&gt;"b",$K47&lt;&gt;"g",$K47&lt;&gt;"k")),1,IF(AND($E47&lt;&gt;0,$F47&gt;0,YEAR($F47)&lt;Preisindex!$A$6,YEAR(FK$4)&gt;=YEAR($F47),$K47="a"),ROUND(VLOOKUP(FP$4,Preisindex,5,FALSE)/VLOOKUP(Preisindex!$A$6,Preisindex,5,FALSE),2),IF(AND($E47&lt;&gt;0,$F47&gt;0,YEAR($F47)&lt;Preisindex!$A$6,YEAR(FK$4)&gt;=YEAR($F47),$K47="b"),ROUND(VLOOKUP(FP$4,Preisindex,3,FALSE)/VLOOKUP(Preisindex!$A$6,Preisindex,3,FALSE),2),IF(AND($E47&lt;&gt;0,$F47&gt;0,YEAR($F47)&lt;Preisindex!$A$6,YEAR(FK$4)&gt;=YEAR($F47),$K47="g"),ROUND(VLOOKUP(FP$4,Preisindex,4,FALSE)/VLOOKUP(Preisindex!$A$6,Preisindex,4,FALSE),2),IF(AND($E47&lt;&gt;0,$F47&gt;0,YEAR($F47)&lt;Preisindex!$A$6,YEAR(FK$4)&gt;=YEAR($F47),$K47="k"),ROUND(VLOOKUP(FP$4,Preisindex,2,FALSE)/VLOOKUP(Preisindex!$A$6,Preisindex,2,FALSE),2),0)))))</f>
        <v>0</v>
      </c>
      <c r="FR47" s="51">
        <f>IF(AND($E47&lt;&gt;0,$F47&gt;0,YEAR($F47)&lt;=FP$4,YEAR($F47)&gt;=Preisindex!$A$6),ROUND($E47*FP47,2),IF(AND($E47&lt;&gt;0,$F47&gt;0,YEAR($F47)&lt;=FP$4,YEAR($F47)&lt;Preisindex!$A$6),ROUND($E47*FQ47,2),0))</f>
        <v>463600</v>
      </c>
      <c r="FS47" s="53">
        <f t="shared" si="255"/>
        <v>9272</v>
      </c>
    </row>
    <row r="48" spans="1:175" x14ac:dyDescent="0.3">
      <c r="A48" s="93"/>
      <c r="B48" s="94"/>
      <c r="C48" s="94"/>
      <c r="D48" s="95"/>
      <c r="E48" s="99"/>
      <c r="F48" s="97"/>
      <c r="G48" s="100"/>
      <c r="H48" s="622"/>
      <c r="I48" s="621"/>
      <c r="J48" s="194"/>
      <c r="K48" s="630"/>
      <c r="L48" s="49">
        <f t="shared" si="296"/>
        <v>0</v>
      </c>
      <c r="M48" s="50">
        <f t="shared" si="297"/>
        <v>0</v>
      </c>
      <c r="N48" s="51">
        <f t="shared" si="298"/>
        <v>0</v>
      </c>
      <c r="O48" s="51"/>
      <c r="P48" s="51">
        <f t="shared" si="299"/>
        <v>0</v>
      </c>
      <c r="Q48" s="52"/>
      <c r="R48" s="52"/>
      <c r="S48" s="52"/>
      <c r="T48" s="52"/>
      <c r="U48" s="52"/>
      <c r="V48" s="53">
        <f t="shared" si="300"/>
        <v>0</v>
      </c>
      <c r="W48" s="51">
        <f t="shared" si="301"/>
        <v>0</v>
      </c>
      <c r="X48" s="51">
        <f t="shared" si="302"/>
        <v>0</v>
      </c>
      <c r="Y48" s="51">
        <f t="shared" si="303"/>
        <v>0</v>
      </c>
      <c r="Z48" s="51">
        <f t="shared" si="304"/>
        <v>0</v>
      </c>
      <c r="AA48" s="51">
        <f t="shared" si="305"/>
        <v>0</v>
      </c>
      <c r="AB48" s="51">
        <f t="shared" si="306"/>
        <v>0</v>
      </c>
      <c r="AC48" s="51">
        <f t="shared" si="307"/>
        <v>0</v>
      </c>
      <c r="AD48" s="51">
        <f t="shared" si="308"/>
        <v>0</v>
      </c>
      <c r="AE48" s="51">
        <f t="shared" si="309"/>
        <v>0</v>
      </c>
      <c r="AF48" s="51">
        <f t="shared" si="310"/>
        <v>0</v>
      </c>
      <c r="AG48" s="51">
        <f t="shared" si="311"/>
        <v>0</v>
      </c>
      <c r="AH48" s="54">
        <f t="shared" si="312"/>
        <v>0</v>
      </c>
      <c r="AI48" s="55">
        <f t="shared" si="313"/>
        <v>0</v>
      </c>
      <c r="AJ48" s="56">
        <f>IF(AND($E48&lt;&gt;0,$F48&gt;0,YEAR($F48)&gt;=Preisindex!$A$6,YEAR(AE$4)&gt;=YEAR($F48),AND($K48&lt;&gt;"a",$K48&lt;&gt;"b",$K48&lt;&gt;"g",$K48&lt;&gt;"k")),1,IF(AND($E48&lt;&gt;0,$F48&gt;0,YEAR($F48)&gt;=Preisindex!$A$6,YEAR(AE$4)&gt;=YEAR($F48),$K48="a"),ROUND(VLOOKUP(AJ$4,Preisindex,5,FALSE)/VLOOKUP(YEAR($F48),Preisindex,5,FALSE),2),IF(AND($E48&lt;&gt;0,$F48&gt;0,YEAR($F48)&gt;=Preisindex!$A$6,YEAR(AE$4)&gt;=YEAR($F48),$K48="b"),ROUND(VLOOKUP(AJ$4,Preisindex,3,FALSE)/VLOOKUP(YEAR($F48),Preisindex,3,FALSE),2),IF(AND($E48&lt;&gt;0,$F48&gt;0,YEAR($F48)&gt;=Preisindex!$A$6,YEAR(AE$4)&gt;=YEAR($F48),$K48="g"),ROUND(VLOOKUP(AJ$4,Preisindex,4,FALSE)/VLOOKUP(YEAR($F48),Preisindex,4,FALSE),2),IF(AND($E48&lt;&gt;0,$F48&gt;0,YEAR($F48)&gt;=Preisindex!$A$6,YEAR(AE$4)&gt;=YEAR($F48),$K48="k"),ROUND(VLOOKUP(AJ$4,Preisindex,2,FALSE)/VLOOKUP(YEAR($F48),Preisindex,2,FALSE),2),0)))))</f>
        <v>0</v>
      </c>
      <c r="AK48" s="56">
        <f>IF(AND($E48&lt;&gt;0,$F48&gt;0,YEAR($F48)&lt;Preisindex!$A$6,YEAR(AE$4)&gt;=YEAR($F48),AND($K48&lt;&gt;"a",$K48&lt;&gt;"b",$K48&lt;&gt;"g",$K48&lt;&gt;"k")),1,IF(AND($E48&lt;&gt;0,$F48&gt;0,YEAR($F48)&lt;Preisindex!$A$6,YEAR(AE$4)&gt;=YEAR($F48),$K48="a"),ROUND(VLOOKUP(AJ$4,Preisindex,5,FALSE)/VLOOKUP(Preisindex!$A$6,Preisindex,5,FALSE),2),IF(AND($E48&lt;&gt;0,$F48&gt;0,YEAR($F48)&lt;Preisindex!$A$6,YEAR(AE$4)&gt;=YEAR($F48),$K48="b"),ROUND(VLOOKUP(AJ$4,Preisindex,3,FALSE)/VLOOKUP(Preisindex!$A$6,Preisindex,3,FALSE),2),IF(AND($E48&lt;&gt;0,$F48&gt;0,YEAR($F48)&lt;Preisindex!$A$6,YEAR(AE$4)&gt;=YEAR($F48),$K48="g"),ROUND(VLOOKUP(AJ$4,Preisindex,4,FALSE)/VLOOKUP(Preisindex!$A$6,Preisindex,4,FALSE),2),IF(AND($E48&lt;&gt;0,$F48&gt;0,YEAR($F48)&lt;Preisindex!$A$6,YEAR(AE$4)&gt;=YEAR($F48),$K48="k"),ROUND(VLOOKUP(AJ$4,Preisindex,2,FALSE)/VLOOKUP(Preisindex!$A$6,Preisindex,2,FALSE),2),0)))))</f>
        <v>0</v>
      </c>
      <c r="AL48" s="51">
        <f>IF(AND($E48&lt;&gt;0,$F48&gt;0,YEAR($F48)&lt;=AJ$4,YEAR($F48)&gt;=Preisindex!$A$6),ROUND($E48*AJ48,2),IF(AND($E48&lt;&gt;0,$F48&gt;0,YEAR($F48)&lt;=AJ$4,YEAR($F48)&lt;Preisindex!$A$6),ROUND($E48*AK48,2),0))</f>
        <v>0</v>
      </c>
      <c r="AM48" s="53">
        <f t="shared" si="314"/>
        <v>0</v>
      </c>
      <c r="AN48" s="51">
        <f t="shared" si="357"/>
        <v>0</v>
      </c>
      <c r="AO48" s="51">
        <f t="shared" si="317"/>
        <v>0</v>
      </c>
      <c r="AP48" s="51">
        <f t="shared" si="146"/>
        <v>0</v>
      </c>
      <c r="AQ48" s="51">
        <f t="shared" si="318"/>
        <v>0</v>
      </c>
      <c r="AR48" s="51">
        <f t="shared" si="148"/>
        <v>0</v>
      </c>
      <c r="AS48" s="51">
        <f t="shared" si="319"/>
        <v>0</v>
      </c>
      <c r="AT48" s="51">
        <f t="shared" si="150"/>
        <v>0</v>
      </c>
      <c r="AU48" s="51">
        <f t="shared" si="320"/>
        <v>0</v>
      </c>
      <c r="AV48" s="51">
        <f t="shared" si="152"/>
        <v>0</v>
      </c>
      <c r="AW48" s="51">
        <f t="shared" si="321"/>
        <v>0</v>
      </c>
      <c r="AX48" s="51">
        <f t="shared" si="154"/>
        <v>0</v>
      </c>
      <c r="AY48" s="54">
        <f t="shared" si="155"/>
        <v>0</v>
      </c>
      <c r="AZ48" s="55">
        <f t="shared" si="156"/>
        <v>0</v>
      </c>
      <c r="BA48" s="56">
        <f>IF(AND($E48&lt;&gt;0,$F48&gt;0,YEAR($F48)&gt;=Preisindex!$A$6,YEAR(AV$4)&gt;=YEAR($F48),AND($K48&lt;&gt;"a",$K48&lt;&gt;"b",$K48&lt;&gt;"g",$K48&lt;&gt;"k")),1,IF(AND($E48&lt;&gt;0,$F48&gt;0,YEAR($F48)&gt;=Preisindex!$A$6,YEAR(AV$4)&gt;=YEAR($F48),$K48="a"),ROUND(VLOOKUP(BA$4,Preisindex,5,FALSE)/VLOOKUP(YEAR($F48),Preisindex,5,FALSE),2),IF(AND($E48&lt;&gt;0,$F48&gt;0,YEAR($F48)&gt;=Preisindex!$A$6,YEAR(AV$4)&gt;=YEAR($F48),$K48="b"),ROUND(VLOOKUP(BA$4,Preisindex,3,FALSE)/VLOOKUP(YEAR($F48),Preisindex,3,FALSE),2),IF(AND($E48&lt;&gt;0,$F48&gt;0,YEAR($F48)&gt;=Preisindex!$A$6,YEAR(AV$4)&gt;=YEAR($F48),$K48="g"),ROUND(VLOOKUP(BA$4,Preisindex,4,FALSE)/VLOOKUP(YEAR($F48),Preisindex,4,FALSE),2),IF(AND($E48&lt;&gt;0,$F48&gt;0,YEAR($F48)&gt;=Preisindex!$A$6,YEAR(AV$4)&gt;=YEAR($F48),$K48="k"),ROUND(VLOOKUP(BA$4,Preisindex,2,FALSE)/VLOOKUP(YEAR($F48),Preisindex,2,FALSE),2),0)))))</f>
        <v>0</v>
      </c>
      <c r="BB48" s="56">
        <f>IF(AND($E48&lt;&gt;0,$F48&gt;0,YEAR($F48)&lt;Preisindex!$A$6,YEAR(AV$4)&gt;=YEAR($F48),AND($K48&lt;&gt;"a",$K48&lt;&gt;"b",$K48&lt;&gt;"g",$K48&lt;&gt;"k")),1,IF(AND($E48&lt;&gt;0,$F48&gt;0,YEAR($F48)&lt;Preisindex!$A$6,YEAR(AV$4)&gt;=YEAR($F48),$K48="a"),ROUND(VLOOKUP(BA$4,Preisindex,5,FALSE)/VLOOKUP(Preisindex!$A$6,Preisindex,5,FALSE),2),IF(AND($E48&lt;&gt;0,$F48&gt;0,YEAR($F48)&lt;Preisindex!$A$6,YEAR(AV$4)&gt;=YEAR($F48),$K48="b"),ROUND(VLOOKUP(BA$4,Preisindex,3,FALSE)/VLOOKUP(Preisindex!$A$6,Preisindex,3,FALSE),2),IF(AND($E48&lt;&gt;0,$F48&gt;0,YEAR($F48)&lt;Preisindex!$A$6,YEAR(AV$4)&gt;=YEAR($F48),$K48="g"),ROUND(VLOOKUP(BA$4,Preisindex,4,FALSE)/VLOOKUP(Preisindex!$A$6,Preisindex,4,FALSE),2),IF(AND($E48&lt;&gt;0,$F48&gt;0,YEAR($F48)&lt;Preisindex!$A$6,YEAR(AV$4)&gt;=YEAR($F48),$K48="k"),ROUND(VLOOKUP(BA$4,Preisindex,2,FALSE)/VLOOKUP(Preisindex!$A$6,Preisindex,2,FALSE),2),0)))))</f>
        <v>0</v>
      </c>
      <c r="BC48" s="51">
        <f>IF(AND($E48&lt;&gt;0,$F48&gt;0,YEAR($F48)&lt;=BA$4,YEAR($F48)&gt;=Preisindex!$A$6),ROUND($E48*BA48,2),IF(AND($E48&lt;&gt;0,$F48&gt;0,YEAR($F48)&lt;=BA$4,YEAR($F48)&lt;Preisindex!$A$6),ROUND($E48*BB48,2),0))</f>
        <v>0</v>
      </c>
      <c r="BD48" s="53">
        <f t="shared" si="157"/>
        <v>0</v>
      </c>
      <c r="BE48" s="51">
        <f t="shared" si="357"/>
        <v>0</v>
      </c>
      <c r="BF48" s="51">
        <f t="shared" si="322"/>
        <v>0</v>
      </c>
      <c r="BG48" s="51">
        <f t="shared" si="160"/>
        <v>0</v>
      </c>
      <c r="BH48" s="51">
        <f t="shared" si="323"/>
        <v>0</v>
      </c>
      <c r="BI48" s="51">
        <f t="shared" si="162"/>
        <v>0</v>
      </c>
      <c r="BJ48" s="51">
        <f t="shared" si="324"/>
        <v>0</v>
      </c>
      <c r="BK48" s="51">
        <f t="shared" si="164"/>
        <v>0</v>
      </c>
      <c r="BL48" s="51">
        <f t="shared" si="325"/>
        <v>0</v>
      </c>
      <c r="BM48" s="51">
        <f t="shared" si="166"/>
        <v>0</v>
      </c>
      <c r="BN48" s="51">
        <f t="shared" si="326"/>
        <v>0</v>
      </c>
      <c r="BO48" s="51">
        <f t="shared" si="168"/>
        <v>0</v>
      </c>
      <c r="BP48" s="54">
        <f t="shared" si="169"/>
        <v>0</v>
      </c>
      <c r="BQ48" s="55">
        <f t="shared" si="170"/>
        <v>0</v>
      </c>
      <c r="BR48" s="56">
        <f>IF(AND($E48&lt;&gt;0,$F48&gt;0,YEAR($F48)&gt;=Preisindex!$A$6,YEAR(BM$4)&gt;=YEAR($F48),AND($K48&lt;&gt;"a",$K48&lt;&gt;"b",$K48&lt;&gt;"g",$K48&lt;&gt;"k")),1,IF(AND($E48&lt;&gt;0,$F48&gt;0,YEAR($F48)&gt;=Preisindex!$A$6,YEAR(BM$4)&gt;=YEAR($F48),$K48="a"),ROUND(VLOOKUP(BR$4,Preisindex,5,FALSE)/VLOOKUP(YEAR($F48),Preisindex,5,FALSE),2),IF(AND($E48&lt;&gt;0,$F48&gt;0,YEAR($F48)&gt;=Preisindex!$A$6,YEAR(BM$4)&gt;=YEAR($F48),$K48="b"),ROUND(VLOOKUP(BR$4,Preisindex,3,FALSE)/VLOOKUP(YEAR($F48),Preisindex,3,FALSE),2),IF(AND($E48&lt;&gt;0,$F48&gt;0,YEAR($F48)&gt;=Preisindex!$A$6,YEAR(BM$4)&gt;=YEAR($F48),$K48="g"),ROUND(VLOOKUP(BR$4,Preisindex,4,FALSE)/VLOOKUP(YEAR($F48),Preisindex,4,FALSE),2),IF(AND($E48&lt;&gt;0,$F48&gt;0,YEAR($F48)&gt;=Preisindex!$A$6,YEAR(BM$4)&gt;=YEAR($F48),$K48="k"),ROUND(VLOOKUP(BR$4,Preisindex,2,FALSE)/VLOOKUP(YEAR($F48),Preisindex,2,FALSE),2),0)))))</f>
        <v>0</v>
      </c>
      <c r="BS48" s="56">
        <f>IF(AND($E48&lt;&gt;0,$F48&gt;0,YEAR($F48)&lt;Preisindex!$A$6,YEAR(BM$4)&gt;=YEAR($F48),AND($K48&lt;&gt;"a",$K48&lt;&gt;"b",$K48&lt;&gt;"g",$K48&lt;&gt;"k")),1,IF(AND($E48&lt;&gt;0,$F48&gt;0,YEAR($F48)&lt;Preisindex!$A$6,YEAR(BM$4)&gt;=YEAR($F48),$K48="a"),ROUND(VLOOKUP(BR$4,Preisindex,5,FALSE)/VLOOKUP(Preisindex!$A$6,Preisindex,5,FALSE),2),IF(AND($E48&lt;&gt;0,$F48&gt;0,YEAR($F48)&lt;Preisindex!$A$6,YEAR(BM$4)&gt;=YEAR($F48),$K48="b"),ROUND(VLOOKUP(BR$4,Preisindex,3,FALSE)/VLOOKUP(Preisindex!$A$6,Preisindex,3,FALSE),2),IF(AND($E48&lt;&gt;0,$F48&gt;0,YEAR($F48)&lt;Preisindex!$A$6,YEAR(BM$4)&gt;=YEAR($F48),$K48="g"),ROUND(VLOOKUP(BR$4,Preisindex,4,FALSE)/VLOOKUP(Preisindex!$A$6,Preisindex,4,FALSE),2),IF(AND($E48&lt;&gt;0,$F48&gt;0,YEAR($F48)&lt;Preisindex!$A$6,YEAR(BM$4)&gt;=YEAR($F48),$K48="k"),ROUND(VLOOKUP(BR$4,Preisindex,2,FALSE)/VLOOKUP(Preisindex!$A$6,Preisindex,2,FALSE),2),0)))))</f>
        <v>0</v>
      </c>
      <c r="BT48" s="51">
        <f>IF(AND($E48&lt;&gt;0,$F48&gt;0,YEAR($F48)&lt;=BR$4,YEAR($F48)&gt;=Preisindex!$A$6),ROUND($E48*BR48,2),IF(AND($E48&lt;&gt;0,$F48&gt;0,YEAR($F48)&lt;=BR$4,YEAR($F48)&lt;Preisindex!$A$6),ROUND($E48*BS48,2),0))</f>
        <v>0</v>
      </c>
      <c r="BU48" s="53">
        <f t="shared" si="171"/>
        <v>0</v>
      </c>
      <c r="BV48" s="51">
        <f t="shared" si="357"/>
        <v>0</v>
      </c>
      <c r="BW48" s="51">
        <f t="shared" si="327"/>
        <v>0</v>
      </c>
      <c r="BX48" s="51">
        <f t="shared" si="174"/>
        <v>0</v>
      </c>
      <c r="BY48" s="51">
        <f t="shared" si="328"/>
        <v>0</v>
      </c>
      <c r="BZ48" s="51">
        <f t="shared" si="176"/>
        <v>0</v>
      </c>
      <c r="CA48" s="51">
        <f t="shared" si="329"/>
        <v>0</v>
      </c>
      <c r="CB48" s="51">
        <f t="shared" si="178"/>
        <v>0</v>
      </c>
      <c r="CC48" s="51">
        <f t="shared" si="330"/>
        <v>0</v>
      </c>
      <c r="CD48" s="51">
        <f t="shared" si="180"/>
        <v>0</v>
      </c>
      <c r="CE48" s="51">
        <f t="shared" si="331"/>
        <v>0</v>
      </c>
      <c r="CF48" s="51">
        <f t="shared" si="182"/>
        <v>0</v>
      </c>
      <c r="CG48" s="54">
        <f t="shared" si="183"/>
        <v>0</v>
      </c>
      <c r="CH48" s="55">
        <f t="shared" si="184"/>
        <v>0</v>
      </c>
      <c r="CI48" s="56">
        <f>IF(AND($E48&lt;&gt;0,$F48&gt;0,YEAR($F48)&gt;=Preisindex!$A$6,YEAR(CD$4)&gt;=YEAR($F48),AND($K48&lt;&gt;"a",$K48&lt;&gt;"b",$K48&lt;&gt;"g",$K48&lt;&gt;"k")),1,IF(AND($E48&lt;&gt;0,$F48&gt;0,YEAR($F48)&gt;=Preisindex!$A$6,YEAR(CD$4)&gt;=YEAR($F48),$K48="a"),ROUND(VLOOKUP(CI$4,Preisindex,5,FALSE)/VLOOKUP(YEAR($F48),Preisindex,5,FALSE),2),IF(AND($E48&lt;&gt;0,$F48&gt;0,YEAR($F48)&gt;=Preisindex!$A$6,YEAR(CD$4)&gt;=YEAR($F48),$K48="b"),ROUND(VLOOKUP(CI$4,Preisindex,3,FALSE)/VLOOKUP(YEAR($F48),Preisindex,3,FALSE),2),IF(AND($E48&lt;&gt;0,$F48&gt;0,YEAR($F48)&gt;=Preisindex!$A$6,YEAR(CD$4)&gt;=YEAR($F48),$K48="g"),ROUND(VLOOKUP(CI$4,Preisindex,4,FALSE)/VLOOKUP(YEAR($F48),Preisindex,4,FALSE),2),IF(AND($E48&lt;&gt;0,$F48&gt;0,YEAR($F48)&gt;=Preisindex!$A$6,YEAR(CD$4)&gt;=YEAR($F48),$K48="k"),ROUND(VLOOKUP(CI$4,Preisindex,2,FALSE)/VLOOKUP(YEAR($F48),Preisindex,2,FALSE),2),0)))))</f>
        <v>0</v>
      </c>
      <c r="CJ48" s="56">
        <f>IF(AND($E48&lt;&gt;0,$F48&gt;0,YEAR($F48)&lt;Preisindex!$A$6,YEAR(CD$4)&gt;=YEAR($F48),AND($K48&lt;&gt;"a",$K48&lt;&gt;"b",$K48&lt;&gt;"g",$K48&lt;&gt;"k")),1,IF(AND($E48&lt;&gt;0,$F48&gt;0,YEAR($F48)&lt;Preisindex!$A$6,YEAR(CD$4)&gt;=YEAR($F48),$K48="a"),ROUND(VLOOKUP(CI$4,Preisindex,5,FALSE)/VLOOKUP(Preisindex!$A$6,Preisindex,5,FALSE),2),IF(AND($E48&lt;&gt;0,$F48&gt;0,YEAR($F48)&lt;Preisindex!$A$6,YEAR(CD$4)&gt;=YEAR($F48),$K48="b"),ROUND(VLOOKUP(CI$4,Preisindex,3,FALSE)/VLOOKUP(Preisindex!$A$6,Preisindex,3,FALSE),2),IF(AND($E48&lt;&gt;0,$F48&gt;0,YEAR($F48)&lt;Preisindex!$A$6,YEAR(CD$4)&gt;=YEAR($F48),$K48="g"),ROUND(VLOOKUP(CI$4,Preisindex,4,FALSE)/VLOOKUP(Preisindex!$A$6,Preisindex,4,FALSE),2),IF(AND($E48&lt;&gt;0,$F48&gt;0,YEAR($F48)&lt;Preisindex!$A$6,YEAR(CD$4)&gt;=YEAR($F48),$K48="k"),ROUND(VLOOKUP(CI$4,Preisindex,2,FALSE)/VLOOKUP(Preisindex!$A$6,Preisindex,2,FALSE),2),0)))))</f>
        <v>0</v>
      </c>
      <c r="CK48" s="51">
        <f>IF(AND($E48&lt;&gt;0,$F48&gt;0,YEAR($F48)&lt;=CI$4,YEAR($F48)&gt;=Preisindex!$A$6),ROUND($E48*CI48,2),IF(AND($E48&lt;&gt;0,$F48&gt;0,YEAR($F48)&lt;=CI$4,YEAR($F48)&lt;Preisindex!$A$6),ROUND($E48*CJ48,2),0))</f>
        <v>0</v>
      </c>
      <c r="CL48" s="53">
        <f t="shared" si="185"/>
        <v>0</v>
      </c>
      <c r="CM48" s="51">
        <f t="shared" si="357"/>
        <v>0</v>
      </c>
      <c r="CN48" s="51">
        <f t="shared" si="332"/>
        <v>0</v>
      </c>
      <c r="CO48" s="51">
        <f t="shared" si="188"/>
        <v>0</v>
      </c>
      <c r="CP48" s="51">
        <f t="shared" si="333"/>
        <v>0</v>
      </c>
      <c r="CQ48" s="51">
        <f t="shared" si="190"/>
        <v>0</v>
      </c>
      <c r="CR48" s="51">
        <f t="shared" si="334"/>
        <v>0</v>
      </c>
      <c r="CS48" s="51">
        <f t="shared" si="192"/>
        <v>0</v>
      </c>
      <c r="CT48" s="51">
        <f t="shared" si="335"/>
        <v>0</v>
      </c>
      <c r="CU48" s="51">
        <f t="shared" si="194"/>
        <v>0</v>
      </c>
      <c r="CV48" s="51">
        <f t="shared" si="336"/>
        <v>0</v>
      </c>
      <c r="CW48" s="51">
        <f t="shared" si="196"/>
        <v>0</v>
      </c>
      <c r="CX48" s="54">
        <f t="shared" si="197"/>
        <v>0</v>
      </c>
      <c r="CY48" s="55">
        <f t="shared" si="198"/>
        <v>0</v>
      </c>
      <c r="CZ48" s="56">
        <f>IF(AND($E48&lt;&gt;0,$F48&gt;0,YEAR($F48)&gt;=Preisindex!$A$6,YEAR(CU$4)&gt;=YEAR($F48),AND($K48&lt;&gt;"a",$K48&lt;&gt;"b",$K48&lt;&gt;"g",$K48&lt;&gt;"k")),1,IF(AND($E48&lt;&gt;0,$F48&gt;0,YEAR($F48)&gt;=Preisindex!$A$6,YEAR(CU$4)&gt;=YEAR($F48),$K48="a"),ROUND(VLOOKUP(CZ$4,Preisindex,5,FALSE)/VLOOKUP(YEAR($F48),Preisindex,5,FALSE),2),IF(AND($E48&lt;&gt;0,$F48&gt;0,YEAR($F48)&gt;=Preisindex!$A$6,YEAR(CU$4)&gt;=YEAR($F48),$K48="b"),ROUND(VLOOKUP(CZ$4,Preisindex,3,FALSE)/VLOOKUP(YEAR($F48),Preisindex,3,FALSE),2),IF(AND($E48&lt;&gt;0,$F48&gt;0,YEAR($F48)&gt;=Preisindex!$A$6,YEAR(CU$4)&gt;=YEAR($F48),$K48="g"),ROUND(VLOOKUP(CZ$4,Preisindex,4,FALSE)/VLOOKUP(YEAR($F48),Preisindex,4,FALSE),2),IF(AND($E48&lt;&gt;0,$F48&gt;0,YEAR($F48)&gt;=Preisindex!$A$6,YEAR(CU$4)&gt;=YEAR($F48),$K48="k"),ROUND(VLOOKUP(CZ$4,Preisindex,2,FALSE)/VLOOKUP(YEAR($F48),Preisindex,2,FALSE),2),0)))))</f>
        <v>0</v>
      </c>
      <c r="DA48" s="56">
        <f>IF(AND($E48&lt;&gt;0,$F48&gt;0,YEAR($F48)&lt;Preisindex!$A$6,YEAR(CU$4)&gt;=YEAR($F48),AND($K48&lt;&gt;"a",$K48&lt;&gt;"b",$K48&lt;&gt;"g",$K48&lt;&gt;"k")),1,IF(AND($E48&lt;&gt;0,$F48&gt;0,YEAR($F48)&lt;Preisindex!$A$6,YEAR(CU$4)&gt;=YEAR($F48),$K48="a"),ROUND(VLOOKUP(CZ$4,Preisindex,5,FALSE)/VLOOKUP(Preisindex!$A$6,Preisindex,5,FALSE),2),IF(AND($E48&lt;&gt;0,$F48&gt;0,YEAR($F48)&lt;Preisindex!$A$6,YEAR(CU$4)&gt;=YEAR($F48),$K48="b"),ROUND(VLOOKUP(CZ$4,Preisindex,3,FALSE)/VLOOKUP(Preisindex!$A$6,Preisindex,3,FALSE),2),IF(AND($E48&lt;&gt;0,$F48&gt;0,YEAR($F48)&lt;Preisindex!$A$6,YEAR(CU$4)&gt;=YEAR($F48),$K48="g"),ROUND(VLOOKUP(CZ$4,Preisindex,4,FALSE)/VLOOKUP(Preisindex!$A$6,Preisindex,4,FALSE),2),IF(AND($E48&lt;&gt;0,$F48&gt;0,YEAR($F48)&lt;Preisindex!$A$6,YEAR(CU$4)&gt;=YEAR($F48),$K48="k"),ROUND(VLOOKUP(CZ$4,Preisindex,2,FALSE)/VLOOKUP(Preisindex!$A$6,Preisindex,2,FALSE),2),0)))))</f>
        <v>0</v>
      </c>
      <c r="DB48" s="51">
        <f>IF(AND($E48&lt;&gt;0,$F48&gt;0,YEAR($F48)&lt;=CZ$4,YEAR($F48)&gt;=Preisindex!$A$6),ROUND($E48*CZ48,2),IF(AND($E48&lt;&gt;0,$F48&gt;0,YEAR($F48)&lt;=CZ$4,YEAR($F48)&lt;Preisindex!$A$6),ROUND($E48*DA48,2),0))</f>
        <v>0</v>
      </c>
      <c r="DC48" s="53">
        <f t="shared" si="199"/>
        <v>0</v>
      </c>
      <c r="DD48" s="51">
        <f t="shared" si="358"/>
        <v>0</v>
      </c>
      <c r="DE48" s="51">
        <f t="shared" si="337"/>
        <v>0</v>
      </c>
      <c r="DF48" s="51">
        <f t="shared" si="202"/>
        <v>0</v>
      </c>
      <c r="DG48" s="51">
        <f t="shared" si="338"/>
        <v>0</v>
      </c>
      <c r="DH48" s="51">
        <f t="shared" si="204"/>
        <v>0</v>
      </c>
      <c r="DI48" s="51">
        <f t="shared" si="339"/>
        <v>0</v>
      </c>
      <c r="DJ48" s="51">
        <f t="shared" si="206"/>
        <v>0</v>
      </c>
      <c r="DK48" s="51">
        <f t="shared" si="340"/>
        <v>0</v>
      </c>
      <c r="DL48" s="51">
        <f t="shared" si="208"/>
        <v>0</v>
      </c>
      <c r="DM48" s="51">
        <f t="shared" si="341"/>
        <v>0</v>
      </c>
      <c r="DN48" s="51">
        <f t="shared" si="210"/>
        <v>0</v>
      </c>
      <c r="DO48" s="54">
        <f t="shared" si="211"/>
        <v>0</v>
      </c>
      <c r="DP48" s="55">
        <f t="shared" si="212"/>
        <v>0</v>
      </c>
      <c r="DQ48" s="56">
        <f>IF(AND($E48&lt;&gt;0,$F48&gt;0,YEAR($F48)&gt;=Preisindex!$A$6,YEAR(DL$4)&gt;=YEAR($F48),AND($K48&lt;&gt;"a",$K48&lt;&gt;"b",$K48&lt;&gt;"g",$K48&lt;&gt;"k")),1,IF(AND($E48&lt;&gt;0,$F48&gt;0,YEAR($F48)&gt;=Preisindex!$A$6,YEAR(DL$4)&gt;=YEAR($F48),$K48="a"),ROUND(VLOOKUP(DQ$4,Preisindex,5,FALSE)/VLOOKUP(YEAR($F48),Preisindex,5,FALSE),2),IF(AND($E48&lt;&gt;0,$F48&gt;0,YEAR($F48)&gt;=Preisindex!$A$6,YEAR(DL$4)&gt;=YEAR($F48),$K48="b"),ROUND(VLOOKUP(DQ$4,Preisindex,3,FALSE)/VLOOKUP(YEAR($F48),Preisindex,3,FALSE),2),IF(AND($E48&lt;&gt;0,$F48&gt;0,YEAR($F48)&gt;=Preisindex!$A$6,YEAR(DL$4)&gt;=YEAR($F48),$K48="g"),ROUND(VLOOKUP(DQ$4,Preisindex,4,FALSE)/VLOOKUP(YEAR($F48),Preisindex,4,FALSE),2),IF(AND($E48&lt;&gt;0,$F48&gt;0,YEAR($F48)&gt;=Preisindex!$A$6,YEAR(DL$4)&gt;=YEAR($F48),$K48="k"),ROUND(VLOOKUP(DQ$4,Preisindex,2,FALSE)/VLOOKUP(YEAR($F48),Preisindex,2,FALSE),2),0)))))</f>
        <v>0</v>
      </c>
      <c r="DR48" s="56">
        <f>IF(AND($E48&lt;&gt;0,$F48&gt;0,YEAR($F48)&lt;Preisindex!$A$6,YEAR(DL$4)&gt;=YEAR($F48),AND($K48&lt;&gt;"a",$K48&lt;&gt;"b",$K48&lt;&gt;"g",$K48&lt;&gt;"k")),1,IF(AND($E48&lt;&gt;0,$F48&gt;0,YEAR($F48)&lt;Preisindex!$A$6,YEAR(DL$4)&gt;=YEAR($F48),$K48="a"),ROUND(VLOOKUP(DQ$4,Preisindex,5,FALSE)/VLOOKUP(Preisindex!$A$6,Preisindex,5,FALSE),2),IF(AND($E48&lt;&gt;0,$F48&gt;0,YEAR($F48)&lt;Preisindex!$A$6,YEAR(DL$4)&gt;=YEAR($F48),$K48="b"),ROUND(VLOOKUP(DQ$4,Preisindex,3,FALSE)/VLOOKUP(Preisindex!$A$6,Preisindex,3,FALSE),2),IF(AND($E48&lt;&gt;0,$F48&gt;0,YEAR($F48)&lt;Preisindex!$A$6,YEAR(DL$4)&gt;=YEAR($F48),$K48="g"),ROUND(VLOOKUP(DQ$4,Preisindex,4,FALSE)/VLOOKUP(Preisindex!$A$6,Preisindex,4,FALSE),2),IF(AND($E48&lt;&gt;0,$F48&gt;0,YEAR($F48)&lt;Preisindex!$A$6,YEAR(DL$4)&gt;=YEAR($F48),$K48="k"),ROUND(VLOOKUP(DQ$4,Preisindex,2,FALSE)/VLOOKUP(Preisindex!$A$6,Preisindex,2,FALSE),2),0)))))</f>
        <v>0</v>
      </c>
      <c r="DS48" s="51">
        <f>IF(AND($E48&lt;&gt;0,$F48&gt;0,YEAR($F48)&lt;=DQ$4,YEAR($F48)&gt;=Preisindex!$A$6),ROUND($E48*DQ48,2),IF(AND($E48&lt;&gt;0,$F48&gt;0,YEAR($F48)&lt;=DQ$4,YEAR($F48)&lt;Preisindex!$A$6),ROUND($E48*DR48,2),0))</f>
        <v>0</v>
      </c>
      <c r="DT48" s="53">
        <f t="shared" si="213"/>
        <v>0</v>
      </c>
      <c r="DU48" s="51">
        <f t="shared" si="358"/>
        <v>0</v>
      </c>
      <c r="DV48" s="51">
        <f t="shared" si="342"/>
        <v>0</v>
      </c>
      <c r="DW48" s="51">
        <f t="shared" si="216"/>
        <v>0</v>
      </c>
      <c r="DX48" s="51">
        <f t="shared" si="343"/>
        <v>0</v>
      </c>
      <c r="DY48" s="51">
        <f t="shared" si="218"/>
        <v>0</v>
      </c>
      <c r="DZ48" s="51">
        <f t="shared" si="344"/>
        <v>0</v>
      </c>
      <c r="EA48" s="51">
        <f t="shared" si="220"/>
        <v>0</v>
      </c>
      <c r="EB48" s="51">
        <f t="shared" si="345"/>
        <v>0</v>
      </c>
      <c r="EC48" s="51">
        <f t="shared" si="222"/>
        <v>0</v>
      </c>
      <c r="ED48" s="51">
        <f t="shared" si="346"/>
        <v>0</v>
      </c>
      <c r="EE48" s="51">
        <f t="shared" si="224"/>
        <v>0</v>
      </c>
      <c r="EF48" s="54">
        <f t="shared" si="225"/>
        <v>0</v>
      </c>
      <c r="EG48" s="55">
        <f t="shared" si="226"/>
        <v>0</v>
      </c>
      <c r="EH48" s="56">
        <f>IF(AND($E48&lt;&gt;0,$F48&gt;0,YEAR($F48)&gt;=Preisindex!$A$6,YEAR(EC$4)&gt;=YEAR($F48),AND($K48&lt;&gt;"a",$K48&lt;&gt;"b",$K48&lt;&gt;"g",$K48&lt;&gt;"k")),1,IF(AND($E48&lt;&gt;0,$F48&gt;0,YEAR($F48)&gt;=Preisindex!$A$6,YEAR(EC$4)&gt;=YEAR($F48),$K48="a"),ROUND(VLOOKUP(EH$4,Preisindex,5,FALSE)/VLOOKUP(YEAR($F48),Preisindex,5,FALSE),2),IF(AND($E48&lt;&gt;0,$F48&gt;0,YEAR($F48)&gt;=Preisindex!$A$6,YEAR(EC$4)&gt;=YEAR($F48),$K48="b"),ROUND(VLOOKUP(EH$4,Preisindex,3,FALSE)/VLOOKUP(YEAR($F48),Preisindex,3,FALSE),2),IF(AND($E48&lt;&gt;0,$F48&gt;0,YEAR($F48)&gt;=Preisindex!$A$6,YEAR(EC$4)&gt;=YEAR($F48),$K48="g"),ROUND(VLOOKUP(EH$4,Preisindex,4,FALSE)/VLOOKUP(YEAR($F48),Preisindex,4,FALSE),2),IF(AND($E48&lt;&gt;0,$F48&gt;0,YEAR($F48)&gt;=Preisindex!$A$6,YEAR(EC$4)&gt;=YEAR($F48),$K48="k"),ROUND(VLOOKUP(EH$4,Preisindex,2,FALSE)/VLOOKUP(YEAR($F48),Preisindex,2,FALSE),2),0)))))</f>
        <v>0</v>
      </c>
      <c r="EI48" s="56">
        <f>IF(AND($E48&lt;&gt;0,$F48&gt;0,YEAR($F48)&lt;Preisindex!$A$6,YEAR(EC$4)&gt;=YEAR($F48),AND($K48&lt;&gt;"a",$K48&lt;&gt;"b",$K48&lt;&gt;"g",$K48&lt;&gt;"k")),1,IF(AND($E48&lt;&gt;0,$F48&gt;0,YEAR($F48)&lt;Preisindex!$A$6,YEAR(EC$4)&gt;=YEAR($F48),$K48="a"),ROUND(VLOOKUP(EH$4,Preisindex,5,FALSE)/VLOOKUP(Preisindex!$A$6,Preisindex,5,FALSE),2),IF(AND($E48&lt;&gt;0,$F48&gt;0,YEAR($F48)&lt;Preisindex!$A$6,YEAR(EC$4)&gt;=YEAR($F48),$K48="b"),ROUND(VLOOKUP(EH$4,Preisindex,3,FALSE)/VLOOKUP(Preisindex!$A$6,Preisindex,3,FALSE),2),IF(AND($E48&lt;&gt;0,$F48&gt;0,YEAR($F48)&lt;Preisindex!$A$6,YEAR(EC$4)&gt;=YEAR($F48),$K48="g"),ROUND(VLOOKUP(EH$4,Preisindex,4,FALSE)/VLOOKUP(Preisindex!$A$6,Preisindex,4,FALSE),2),IF(AND($E48&lt;&gt;0,$F48&gt;0,YEAR($F48)&lt;Preisindex!$A$6,YEAR(EC$4)&gt;=YEAR($F48),$K48="k"),ROUND(VLOOKUP(EH$4,Preisindex,2,FALSE)/VLOOKUP(Preisindex!$A$6,Preisindex,2,FALSE),2),0)))))</f>
        <v>0</v>
      </c>
      <c r="EJ48" s="51">
        <f>IF(AND($E48&lt;&gt;0,$F48&gt;0,YEAR($F48)&lt;=EH$4,YEAR($F48)&gt;=Preisindex!$A$6),ROUND($E48*EH48,2),IF(AND($E48&lt;&gt;0,$F48&gt;0,YEAR($F48)&lt;=EH$4,YEAR($F48)&lt;Preisindex!$A$6),ROUND($E48*EI48,2),0))</f>
        <v>0</v>
      </c>
      <c r="EK48" s="53">
        <f t="shared" si="227"/>
        <v>0</v>
      </c>
      <c r="EL48" s="51">
        <f t="shared" si="358"/>
        <v>0</v>
      </c>
      <c r="EM48" s="51">
        <f t="shared" si="347"/>
        <v>0</v>
      </c>
      <c r="EN48" s="51">
        <f t="shared" si="230"/>
        <v>0</v>
      </c>
      <c r="EO48" s="51">
        <f t="shared" si="348"/>
        <v>0</v>
      </c>
      <c r="EP48" s="51">
        <f t="shared" si="232"/>
        <v>0</v>
      </c>
      <c r="EQ48" s="51">
        <f t="shared" si="349"/>
        <v>0</v>
      </c>
      <c r="ER48" s="51">
        <f t="shared" si="234"/>
        <v>0</v>
      </c>
      <c r="ES48" s="51">
        <f t="shared" si="350"/>
        <v>0</v>
      </c>
      <c r="ET48" s="51">
        <f t="shared" si="236"/>
        <v>0</v>
      </c>
      <c r="EU48" s="51">
        <f t="shared" si="351"/>
        <v>0</v>
      </c>
      <c r="EV48" s="51">
        <f t="shared" si="238"/>
        <v>0</v>
      </c>
      <c r="EW48" s="54">
        <f t="shared" si="239"/>
        <v>0</v>
      </c>
      <c r="EX48" s="55">
        <f t="shared" si="240"/>
        <v>0</v>
      </c>
      <c r="EY48" s="56">
        <f>IF(AND($E48&lt;&gt;0,$F48&gt;0,YEAR($F48)&gt;=Preisindex!$A$6,YEAR(ET$4)&gt;=YEAR($F48),AND($K48&lt;&gt;"a",$K48&lt;&gt;"b",$K48&lt;&gt;"g",$K48&lt;&gt;"k")),1,IF(AND($E48&lt;&gt;0,$F48&gt;0,YEAR($F48)&gt;=Preisindex!$A$6,YEAR(ET$4)&gt;=YEAR($F48),$K48="a"),ROUND(VLOOKUP(EY$4,Preisindex,5,FALSE)/VLOOKUP(YEAR($F48),Preisindex,5,FALSE),2),IF(AND($E48&lt;&gt;0,$F48&gt;0,YEAR($F48)&gt;=Preisindex!$A$6,YEAR(ET$4)&gt;=YEAR($F48),$K48="b"),ROUND(VLOOKUP(EY$4,Preisindex,3,FALSE)/VLOOKUP(YEAR($F48),Preisindex,3,FALSE),2),IF(AND($E48&lt;&gt;0,$F48&gt;0,YEAR($F48)&gt;=Preisindex!$A$6,YEAR(ET$4)&gt;=YEAR($F48),$K48="g"),ROUND(VLOOKUP(EY$4,Preisindex,4,FALSE)/VLOOKUP(YEAR($F48),Preisindex,4,FALSE),2),IF(AND($E48&lt;&gt;0,$F48&gt;0,YEAR($F48)&gt;=Preisindex!$A$6,YEAR(ET$4)&gt;=YEAR($F48),$K48="k"),ROUND(VLOOKUP(EY$4,Preisindex,2,FALSE)/VLOOKUP(YEAR($F48),Preisindex,2,FALSE),2),0)))))</f>
        <v>0</v>
      </c>
      <c r="EZ48" s="56">
        <f>IF(AND($E48&lt;&gt;0,$F48&gt;0,YEAR($F48)&lt;Preisindex!$A$6,YEAR(ET$4)&gt;=YEAR($F48),AND($K48&lt;&gt;"a",$K48&lt;&gt;"b",$K48&lt;&gt;"g",$K48&lt;&gt;"k")),1,IF(AND($E48&lt;&gt;0,$F48&gt;0,YEAR($F48)&lt;Preisindex!$A$6,YEAR(ET$4)&gt;=YEAR($F48),$K48="a"),ROUND(VLOOKUP(EY$4,Preisindex,5,FALSE)/VLOOKUP(Preisindex!$A$6,Preisindex,5,FALSE),2),IF(AND($E48&lt;&gt;0,$F48&gt;0,YEAR($F48)&lt;Preisindex!$A$6,YEAR(ET$4)&gt;=YEAR($F48),$K48="b"),ROUND(VLOOKUP(EY$4,Preisindex,3,FALSE)/VLOOKUP(Preisindex!$A$6,Preisindex,3,FALSE),2),IF(AND($E48&lt;&gt;0,$F48&gt;0,YEAR($F48)&lt;Preisindex!$A$6,YEAR(ET$4)&gt;=YEAR($F48),$K48="g"),ROUND(VLOOKUP(EY$4,Preisindex,4,FALSE)/VLOOKUP(Preisindex!$A$6,Preisindex,4,FALSE),2),IF(AND($E48&lt;&gt;0,$F48&gt;0,YEAR($F48)&lt;Preisindex!$A$6,YEAR(ET$4)&gt;=YEAR($F48),$K48="k"),ROUND(VLOOKUP(EY$4,Preisindex,2,FALSE)/VLOOKUP(Preisindex!$A$6,Preisindex,2,FALSE),2),0)))))</f>
        <v>0</v>
      </c>
      <c r="FA48" s="51">
        <f>IF(AND($E48&lt;&gt;0,$F48&gt;0,YEAR($F48)&lt;=EY$4,YEAR($F48)&gt;=Preisindex!$A$6),ROUND($E48*EY48,2),IF(AND($E48&lt;&gt;0,$F48&gt;0,YEAR($F48)&lt;=EY$4,YEAR($F48)&lt;Preisindex!$A$6),ROUND($E48*EZ48,2),0))</f>
        <v>0</v>
      </c>
      <c r="FB48" s="53">
        <f t="shared" si="241"/>
        <v>0</v>
      </c>
      <c r="FC48" s="51">
        <f t="shared" si="358"/>
        <v>0</v>
      </c>
      <c r="FD48" s="51">
        <f t="shared" si="352"/>
        <v>0</v>
      </c>
      <c r="FE48" s="51">
        <f t="shared" si="244"/>
        <v>0</v>
      </c>
      <c r="FF48" s="51">
        <f t="shared" si="353"/>
        <v>0</v>
      </c>
      <c r="FG48" s="51">
        <f t="shared" si="246"/>
        <v>0</v>
      </c>
      <c r="FH48" s="51">
        <f t="shared" si="354"/>
        <v>0</v>
      </c>
      <c r="FI48" s="51">
        <f t="shared" si="248"/>
        <v>0</v>
      </c>
      <c r="FJ48" s="51">
        <f t="shared" si="355"/>
        <v>0</v>
      </c>
      <c r="FK48" s="51">
        <f t="shared" si="250"/>
        <v>0</v>
      </c>
      <c r="FL48" s="51">
        <f t="shared" si="356"/>
        <v>0</v>
      </c>
      <c r="FM48" s="51">
        <f t="shared" si="252"/>
        <v>0</v>
      </c>
      <c r="FN48" s="54">
        <f t="shared" si="253"/>
        <v>0</v>
      </c>
      <c r="FO48" s="55">
        <f t="shared" si="254"/>
        <v>0</v>
      </c>
      <c r="FP48" s="56">
        <f>IF(AND($E48&lt;&gt;0,$F48&gt;0,YEAR($F48)&gt;=Preisindex!$A$6,YEAR(FK$4)&gt;=YEAR($F48),AND($K48&lt;&gt;"a",$K48&lt;&gt;"b",$K48&lt;&gt;"g",$K48&lt;&gt;"k")),1,IF(AND($E48&lt;&gt;0,$F48&gt;0,YEAR($F48)&gt;=Preisindex!$A$6,YEAR(FK$4)&gt;=YEAR($F48),$K48="a"),ROUND(VLOOKUP(FP$4,Preisindex,5,FALSE)/VLOOKUP(YEAR($F48),Preisindex,5,FALSE),2),IF(AND($E48&lt;&gt;0,$F48&gt;0,YEAR($F48)&gt;=Preisindex!$A$6,YEAR(FK$4)&gt;=YEAR($F48),$K48="b"),ROUND(VLOOKUP(FP$4,Preisindex,3,FALSE)/VLOOKUP(YEAR($F48),Preisindex,3,FALSE),2),IF(AND($E48&lt;&gt;0,$F48&gt;0,YEAR($F48)&gt;=Preisindex!$A$6,YEAR(FK$4)&gt;=YEAR($F48),$K48="g"),ROUND(VLOOKUP(FP$4,Preisindex,4,FALSE)/VLOOKUP(YEAR($F48),Preisindex,4,FALSE),2),IF(AND($E48&lt;&gt;0,$F48&gt;0,YEAR($F48)&gt;=Preisindex!$A$6,YEAR(FK$4)&gt;=YEAR($F48),$K48="k"),ROUND(VLOOKUP(FP$4,Preisindex,2,FALSE)/VLOOKUP(YEAR($F48),Preisindex,2,FALSE),2),0)))))</f>
        <v>0</v>
      </c>
      <c r="FQ48" s="56">
        <f>IF(AND($E48&lt;&gt;0,$F48&gt;0,YEAR($F48)&lt;Preisindex!$A$6,YEAR(FK$4)&gt;=YEAR($F48),AND($K48&lt;&gt;"a",$K48&lt;&gt;"b",$K48&lt;&gt;"g",$K48&lt;&gt;"k")),1,IF(AND($E48&lt;&gt;0,$F48&gt;0,YEAR($F48)&lt;Preisindex!$A$6,YEAR(FK$4)&gt;=YEAR($F48),$K48="a"),ROUND(VLOOKUP(FP$4,Preisindex,5,FALSE)/VLOOKUP(Preisindex!$A$6,Preisindex,5,FALSE),2),IF(AND($E48&lt;&gt;0,$F48&gt;0,YEAR($F48)&lt;Preisindex!$A$6,YEAR(FK$4)&gt;=YEAR($F48),$K48="b"),ROUND(VLOOKUP(FP$4,Preisindex,3,FALSE)/VLOOKUP(Preisindex!$A$6,Preisindex,3,FALSE),2),IF(AND($E48&lt;&gt;0,$F48&gt;0,YEAR($F48)&lt;Preisindex!$A$6,YEAR(FK$4)&gt;=YEAR($F48),$K48="g"),ROUND(VLOOKUP(FP$4,Preisindex,4,FALSE)/VLOOKUP(Preisindex!$A$6,Preisindex,4,FALSE),2),IF(AND($E48&lt;&gt;0,$F48&gt;0,YEAR($F48)&lt;Preisindex!$A$6,YEAR(FK$4)&gt;=YEAR($F48),$K48="k"),ROUND(VLOOKUP(FP$4,Preisindex,2,FALSE)/VLOOKUP(Preisindex!$A$6,Preisindex,2,FALSE),2),0)))))</f>
        <v>0</v>
      </c>
      <c r="FR48" s="51">
        <f>IF(AND($E48&lt;&gt;0,$F48&gt;0,YEAR($F48)&lt;=FP$4,YEAR($F48)&gt;=Preisindex!$A$6),ROUND($E48*FP48,2),IF(AND($E48&lt;&gt;0,$F48&gt;0,YEAR($F48)&lt;=FP$4,YEAR($F48)&lt;Preisindex!$A$6),ROUND($E48*FQ48,2),0))</f>
        <v>0</v>
      </c>
      <c r="FS48" s="53">
        <f t="shared" si="255"/>
        <v>0</v>
      </c>
    </row>
    <row r="49" spans="1:175" x14ac:dyDescent="0.3">
      <c r="A49" s="93"/>
      <c r="B49" s="94" t="s">
        <v>235</v>
      </c>
      <c r="C49" s="94"/>
      <c r="D49" s="95"/>
      <c r="E49" s="99"/>
      <c r="F49" s="97"/>
      <c r="G49" s="98"/>
      <c r="H49" s="620"/>
      <c r="I49" s="621"/>
      <c r="J49" s="194"/>
      <c r="K49" s="630"/>
      <c r="L49" s="49">
        <f t="shared" si="296"/>
        <v>0</v>
      </c>
      <c r="M49" s="50">
        <f t="shared" si="297"/>
        <v>0</v>
      </c>
      <c r="N49" s="51">
        <f t="shared" si="298"/>
        <v>0</v>
      </c>
      <c r="O49" s="51"/>
      <c r="P49" s="51">
        <f t="shared" si="299"/>
        <v>0</v>
      </c>
      <c r="Q49" s="52"/>
      <c r="R49" s="52"/>
      <c r="S49" s="52"/>
      <c r="T49" s="52"/>
      <c r="U49" s="52"/>
      <c r="V49" s="53">
        <f t="shared" si="300"/>
        <v>0</v>
      </c>
      <c r="W49" s="51">
        <f t="shared" si="301"/>
        <v>0</v>
      </c>
      <c r="X49" s="51">
        <f t="shared" si="302"/>
        <v>0</v>
      </c>
      <c r="Y49" s="51">
        <f t="shared" si="303"/>
        <v>0</v>
      </c>
      <c r="Z49" s="51">
        <f t="shared" si="304"/>
        <v>0</v>
      </c>
      <c r="AA49" s="51">
        <f t="shared" si="305"/>
        <v>0</v>
      </c>
      <c r="AB49" s="51">
        <f t="shared" si="306"/>
        <v>0</v>
      </c>
      <c r="AC49" s="51">
        <f t="shared" si="307"/>
        <v>0</v>
      </c>
      <c r="AD49" s="51">
        <f t="shared" si="308"/>
        <v>0</v>
      </c>
      <c r="AE49" s="51">
        <f t="shared" si="309"/>
        <v>0</v>
      </c>
      <c r="AF49" s="51">
        <f t="shared" si="310"/>
        <v>0</v>
      </c>
      <c r="AG49" s="51">
        <f t="shared" si="311"/>
        <v>0</v>
      </c>
      <c r="AH49" s="54">
        <f t="shared" si="312"/>
        <v>0</v>
      </c>
      <c r="AI49" s="55">
        <f t="shared" si="313"/>
        <v>0</v>
      </c>
      <c r="AJ49" s="56">
        <f>IF(AND($E49&lt;&gt;0,$F49&gt;0,YEAR($F49)&gt;=Preisindex!$A$6,YEAR(AE$4)&gt;=YEAR($F49),AND($K49&lt;&gt;"a",$K49&lt;&gt;"b",$K49&lt;&gt;"g",$K49&lt;&gt;"k")),1,IF(AND($E49&lt;&gt;0,$F49&gt;0,YEAR($F49)&gt;=Preisindex!$A$6,YEAR(AE$4)&gt;=YEAR($F49),$K49="a"),ROUND(VLOOKUP(AJ$4,Preisindex,5,FALSE)/VLOOKUP(YEAR($F49),Preisindex,5,FALSE),2),IF(AND($E49&lt;&gt;0,$F49&gt;0,YEAR($F49)&gt;=Preisindex!$A$6,YEAR(AE$4)&gt;=YEAR($F49),$K49="b"),ROUND(VLOOKUP(AJ$4,Preisindex,3,FALSE)/VLOOKUP(YEAR($F49),Preisindex,3,FALSE),2),IF(AND($E49&lt;&gt;0,$F49&gt;0,YEAR($F49)&gt;=Preisindex!$A$6,YEAR(AE$4)&gt;=YEAR($F49),$K49="g"),ROUND(VLOOKUP(AJ$4,Preisindex,4,FALSE)/VLOOKUP(YEAR($F49),Preisindex,4,FALSE),2),IF(AND($E49&lt;&gt;0,$F49&gt;0,YEAR($F49)&gt;=Preisindex!$A$6,YEAR(AE$4)&gt;=YEAR($F49),$K49="k"),ROUND(VLOOKUP(AJ$4,Preisindex,2,FALSE)/VLOOKUP(YEAR($F49),Preisindex,2,FALSE),2),0)))))</f>
        <v>0</v>
      </c>
      <c r="AK49" s="56">
        <f>IF(AND($E49&lt;&gt;0,$F49&gt;0,YEAR($F49)&lt;Preisindex!$A$6,YEAR(AE$4)&gt;=YEAR($F49),AND($K49&lt;&gt;"a",$K49&lt;&gt;"b",$K49&lt;&gt;"g",$K49&lt;&gt;"k")),1,IF(AND($E49&lt;&gt;0,$F49&gt;0,YEAR($F49)&lt;Preisindex!$A$6,YEAR(AE$4)&gt;=YEAR($F49),$K49="a"),ROUND(VLOOKUP(AJ$4,Preisindex,5,FALSE)/VLOOKUP(Preisindex!$A$6,Preisindex,5,FALSE),2),IF(AND($E49&lt;&gt;0,$F49&gt;0,YEAR($F49)&lt;Preisindex!$A$6,YEAR(AE$4)&gt;=YEAR($F49),$K49="b"),ROUND(VLOOKUP(AJ$4,Preisindex,3,FALSE)/VLOOKUP(Preisindex!$A$6,Preisindex,3,FALSE),2),IF(AND($E49&lt;&gt;0,$F49&gt;0,YEAR($F49)&lt;Preisindex!$A$6,YEAR(AE$4)&gt;=YEAR($F49),$K49="g"),ROUND(VLOOKUP(AJ$4,Preisindex,4,FALSE)/VLOOKUP(Preisindex!$A$6,Preisindex,4,FALSE),2),IF(AND($E49&lt;&gt;0,$F49&gt;0,YEAR($F49)&lt;Preisindex!$A$6,YEAR(AE$4)&gt;=YEAR($F49),$K49="k"),ROUND(VLOOKUP(AJ$4,Preisindex,2,FALSE)/VLOOKUP(Preisindex!$A$6,Preisindex,2,FALSE),2),0)))))</f>
        <v>0</v>
      </c>
      <c r="AL49" s="51">
        <f>IF(AND($E49&lt;&gt;0,$F49&gt;0,YEAR($F49)&lt;=AJ$4,YEAR($F49)&gt;=Preisindex!$A$6),ROUND($E49*AJ49,2),IF(AND($E49&lt;&gt;0,$F49&gt;0,YEAR($F49)&lt;=AJ$4,YEAR($F49)&lt;Preisindex!$A$6),ROUND($E49*AK49,2),0))</f>
        <v>0</v>
      </c>
      <c r="AM49" s="53">
        <f t="shared" si="314"/>
        <v>0</v>
      </c>
      <c r="AN49" s="51">
        <f t="shared" si="357"/>
        <v>0</v>
      </c>
      <c r="AO49" s="51">
        <f t="shared" si="317"/>
        <v>0</v>
      </c>
      <c r="AP49" s="51">
        <f t="shared" si="146"/>
        <v>0</v>
      </c>
      <c r="AQ49" s="51">
        <f t="shared" si="318"/>
        <v>0</v>
      </c>
      <c r="AR49" s="51">
        <f t="shared" si="148"/>
        <v>0</v>
      </c>
      <c r="AS49" s="51">
        <f t="shared" si="319"/>
        <v>0</v>
      </c>
      <c r="AT49" s="51">
        <f t="shared" si="150"/>
        <v>0</v>
      </c>
      <c r="AU49" s="51">
        <f t="shared" si="320"/>
        <v>0</v>
      </c>
      <c r="AV49" s="51">
        <f t="shared" si="152"/>
        <v>0</v>
      </c>
      <c r="AW49" s="51">
        <f t="shared" si="321"/>
        <v>0</v>
      </c>
      <c r="AX49" s="51">
        <f t="shared" si="154"/>
        <v>0</v>
      </c>
      <c r="AY49" s="54">
        <f t="shared" si="155"/>
        <v>0</v>
      </c>
      <c r="AZ49" s="55">
        <f t="shared" si="156"/>
        <v>0</v>
      </c>
      <c r="BA49" s="56">
        <f>IF(AND($E49&lt;&gt;0,$F49&gt;0,YEAR($F49)&gt;=Preisindex!$A$6,YEAR(AV$4)&gt;=YEAR($F49),AND($K49&lt;&gt;"a",$K49&lt;&gt;"b",$K49&lt;&gt;"g",$K49&lt;&gt;"k")),1,IF(AND($E49&lt;&gt;0,$F49&gt;0,YEAR($F49)&gt;=Preisindex!$A$6,YEAR(AV$4)&gt;=YEAR($F49),$K49="a"),ROUND(VLOOKUP(BA$4,Preisindex,5,FALSE)/VLOOKUP(YEAR($F49),Preisindex,5,FALSE),2),IF(AND($E49&lt;&gt;0,$F49&gt;0,YEAR($F49)&gt;=Preisindex!$A$6,YEAR(AV$4)&gt;=YEAR($F49),$K49="b"),ROUND(VLOOKUP(BA$4,Preisindex,3,FALSE)/VLOOKUP(YEAR($F49),Preisindex,3,FALSE),2),IF(AND($E49&lt;&gt;0,$F49&gt;0,YEAR($F49)&gt;=Preisindex!$A$6,YEAR(AV$4)&gt;=YEAR($F49),$K49="g"),ROUND(VLOOKUP(BA$4,Preisindex,4,FALSE)/VLOOKUP(YEAR($F49),Preisindex,4,FALSE),2),IF(AND($E49&lt;&gt;0,$F49&gt;0,YEAR($F49)&gt;=Preisindex!$A$6,YEAR(AV$4)&gt;=YEAR($F49),$K49="k"),ROUND(VLOOKUP(BA$4,Preisindex,2,FALSE)/VLOOKUP(YEAR($F49),Preisindex,2,FALSE),2),0)))))</f>
        <v>0</v>
      </c>
      <c r="BB49" s="56">
        <f>IF(AND($E49&lt;&gt;0,$F49&gt;0,YEAR($F49)&lt;Preisindex!$A$6,YEAR(AV$4)&gt;=YEAR($F49),AND($K49&lt;&gt;"a",$K49&lt;&gt;"b",$K49&lt;&gt;"g",$K49&lt;&gt;"k")),1,IF(AND($E49&lt;&gt;0,$F49&gt;0,YEAR($F49)&lt;Preisindex!$A$6,YEAR(AV$4)&gt;=YEAR($F49),$K49="a"),ROUND(VLOOKUP(BA$4,Preisindex,5,FALSE)/VLOOKUP(Preisindex!$A$6,Preisindex,5,FALSE),2),IF(AND($E49&lt;&gt;0,$F49&gt;0,YEAR($F49)&lt;Preisindex!$A$6,YEAR(AV$4)&gt;=YEAR($F49),$K49="b"),ROUND(VLOOKUP(BA$4,Preisindex,3,FALSE)/VLOOKUP(Preisindex!$A$6,Preisindex,3,FALSE),2),IF(AND($E49&lt;&gt;0,$F49&gt;0,YEAR($F49)&lt;Preisindex!$A$6,YEAR(AV$4)&gt;=YEAR($F49),$K49="g"),ROUND(VLOOKUP(BA$4,Preisindex,4,FALSE)/VLOOKUP(Preisindex!$A$6,Preisindex,4,FALSE),2),IF(AND($E49&lt;&gt;0,$F49&gt;0,YEAR($F49)&lt;Preisindex!$A$6,YEAR(AV$4)&gt;=YEAR($F49),$K49="k"),ROUND(VLOOKUP(BA$4,Preisindex,2,FALSE)/VLOOKUP(Preisindex!$A$6,Preisindex,2,FALSE),2),0)))))</f>
        <v>0</v>
      </c>
      <c r="BC49" s="51">
        <f>IF(AND($E49&lt;&gt;0,$F49&gt;0,YEAR($F49)&lt;=BA$4,YEAR($F49)&gt;=Preisindex!$A$6),ROUND($E49*BA49,2),IF(AND($E49&lt;&gt;0,$F49&gt;0,YEAR($F49)&lt;=BA$4,YEAR($F49)&lt;Preisindex!$A$6),ROUND($E49*BB49,2),0))</f>
        <v>0</v>
      </c>
      <c r="BD49" s="53">
        <f t="shared" si="157"/>
        <v>0</v>
      </c>
      <c r="BE49" s="51">
        <f t="shared" si="357"/>
        <v>0</v>
      </c>
      <c r="BF49" s="51">
        <f t="shared" si="322"/>
        <v>0</v>
      </c>
      <c r="BG49" s="51">
        <f t="shared" si="160"/>
        <v>0</v>
      </c>
      <c r="BH49" s="51">
        <f t="shared" si="323"/>
        <v>0</v>
      </c>
      <c r="BI49" s="51">
        <f t="shared" si="162"/>
        <v>0</v>
      </c>
      <c r="BJ49" s="51">
        <f t="shared" si="324"/>
        <v>0</v>
      </c>
      <c r="BK49" s="51">
        <f t="shared" si="164"/>
        <v>0</v>
      </c>
      <c r="BL49" s="51">
        <f t="shared" si="325"/>
        <v>0</v>
      </c>
      <c r="BM49" s="51">
        <f t="shared" si="166"/>
        <v>0</v>
      </c>
      <c r="BN49" s="51">
        <f t="shared" si="326"/>
        <v>0</v>
      </c>
      <c r="BO49" s="51">
        <f t="shared" si="168"/>
        <v>0</v>
      </c>
      <c r="BP49" s="54">
        <f t="shared" si="169"/>
        <v>0</v>
      </c>
      <c r="BQ49" s="55">
        <f t="shared" si="170"/>
        <v>0</v>
      </c>
      <c r="BR49" s="56">
        <f>IF(AND($E49&lt;&gt;0,$F49&gt;0,YEAR($F49)&gt;=Preisindex!$A$6,YEAR(BM$4)&gt;=YEAR($F49),AND($K49&lt;&gt;"a",$K49&lt;&gt;"b",$K49&lt;&gt;"g",$K49&lt;&gt;"k")),1,IF(AND($E49&lt;&gt;0,$F49&gt;0,YEAR($F49)&gt;=Preisindex!$A$6,YEAR(BM$4)&gt;=YEAR($F49),$K49="a"),ROUND(VLOOKUP(BR$4,Preisindex,5,FALSE)/VLOOKUP(YEAR($F49),Preisindex,5,FALSE),2),IF(AND($E49&lt;&gt;0,$F49&gt;0,YEAR($F49)&gt;=Preisindex!$A$6,YEAR(BM$4)&gt;=YEAR($F49),$K49="b"),ROUND(VLOOKUP(BR$4,Preisindex,3,FALSE)/VLOOKUP(YEAR($F49),Preisindex,3,FALSE),2),IF(AND($E49&lt;&gt;0,$F49&gt;0,YEAR($F49)&gt;=Preisindex!$A$6,YEAR(BM$4)&gt;=YEAR($F49),$K49="g"),ROUND(VLOOKUP(BR$4,Preisindex,4,FALSE)/VLOOKUP(YEAR($F49),Preisindex,4,FALSE),2),IF(AND($E49&lt;&gt;0,$F49&gt;0,YEAR($F49)&gt;=Preisindex!$A$6,YEAR(BM$4)&gt;=YEAR($F49),$K49="k"),ROUND(VLOOKUP(BR$4,Preisindex,2,FALSE)/VLOOKUP(YEAR($F49),Preisindex,2,FALSE),2),0)))))</f>
        <v>0</v>
      </c>
      <c r="BS49" s="56">
        <f>IF(AND($E49&lt;&gt;0,$F49&gt;0,YEAR($F49)&lt;Preisindex!$A$6,YEAR(BM$4)&gt;=YEAR($F49),AND($K49&lt;&gt;"a",$K49&lt;&gt;"b",$K49&lt;&gt;"g",$K49&lt;&gt;"k")),1,IF(AND($E49&lt;&gt;0,$F49&gt;0,YEAR($F49)&lt;Preisindex!$A$6,YEAR(BM$4)&gt;=YEAR($F49),$K49="a"),ROUND(VLOOKUP(BR$4,Preisindex,5,FALSE)/VLOOKUP(Preisindex!$A$6,Preisindex,5,FALSE),2),IF(AND($E49&lt;&gt;0,$F49&gt;0,YEAR($F49)&lt;Preisindex!$A$6,YEAR(BM$4)&gt;=YEAR($F49),$K49="b"),ROUND(VLOOKUP(BR$4,Preisindex,3,FALSE)/VLOOKUP(Preisindex!$A$6,Preisindex,3,FALSE),2),IF(AND($E49&lt;&gt;0,$F49&gt;0,YEAR($F49)&lt;Preisindex!$A$6,YEAR(BM$4)&gt;=YEAR($F49),$K49="g"),ROUND(VLOOKUP(BR$4,Preisindex,4,FALSE)/VLOOKUP(Preisindex!$A$6,Preisindex,4,FALSE),2),IF(AND($E49&lt;&gt;0,$F49&gt;0,YEAR($F49)&lt;Preisindex!$A$6,YEAR(BM$4)&gt;=YEAR($F49),$K49="k"),ROUND(VLOOKUP(BR$4,Preisindex,2,FALSE)/VLOOKUP(Preisindex!$A$6,Preisindex,2,FALSE),2),0)))))</f>
        <v>0</v>
      </c>
      <c r="BT49" s="51">
        <f>IF(AND($E49&lt;&gt;0,$F49&gt;0,YEAR($F49)&lt;=BR$4,YEAR($F49)&gt;=Preisindex!$A$6),ROUND($E49*BR49,2),IF(AND($E49&lt;&gt;0,$F49&gt;0,YEAR($F49)&lt;=BR$4,YEAR($F49)&lt;Preisindex!$A$6),ROUND($E49*BS49,2),0))</f>
        <v>0</v>
      </c>
      <c r="BU49" s="53">
        <f t="shared" si="171"/>
        <v>0</v>
      </c>
      <c r="BV49" s="51">
        <f t="shared" si="357"/>
        <v>0</v>
      </c>
      <c r="BW49" s="51">
        <f t="shared" si="327"/>
        <v>0</v>
      </c>
      <c r="BX49" s="51">
        <f t="shared" si="174"/>
        <v>0</v>
      </c>
      <c r="BY49" s="51">
        <f t="shared" si="328"/>
        <v>0</v>
      </c>
      <c r="BZ49" s="51">
        <f t="shared" si="176"/>
        <v>0</v>
      </c>
      <c r="CA49" s="51">
        <f t="shared" si="329"/>
        <v>0</v>
      </c>
      <c r="CB49" s="51">
        <f t="shared" si="178"/>
        <v>0</v>
      </c>
      <c r="CC49" s="51">
        <f t="shared" si="330"/>
        <v>0</v>
      </c>
      <c r="CD49" s="51">
        <f t="shared" si="180"/>
        <v>0</v>
      </c>
      <c r="CE49" s="51">
        <f t="shared" si="331"/>
        <v>0</v>
      </c>
      <c r="CF49" s="51">
        <f t="shared" si="182"/>
        <v>0</v>
      </c>
      <c r="CG49" s="54">
        <f t="shared" si="183"/>
        <v>0</v>
      </c>
      <c r="CH49" s="55">
        <f t="shared" si="184"/>
        <v>0</v>
      </c>
      <c r="CI49" s="56">
        <f>IF(AND($E49&lt;&gt;0,$F49&gt;0,YEAR($F49)&gt;=Preisindex!$A$6,YEAR(CD$4)&gt;=YEAR($F49),AND($K49&lt;&gt;"a",$K49&lt;&gt;"b",$K49&lt;&gt;"g",$K49&lt;&gt;"k")),1,IF(AND($E49&lt;&gt;0,$F49&gt;0,YEAR($F49)&gt;=Preisindex!$A$6,YEAR(CD$4)&gt;=YEAR($F49),$K49="a"),ROUND(VLOOKUP(CI$4,Preisindex,5,FALSE)/VLOOKUP(YEAR($F49),Preisindex,5,FALSE),2),IF(AND($E49&lt;&gt;0,$F49&gt;0,YEAR($F49)&gt;=Preisindex!$A$6,YEAR(CD$4)&gt;=YEAR($F49),$K49="b"),ROUND(VLOOKUP(CI$4,Preisindex,3,FALSE)/VLOOKUP(YEAR($F49),Preisindex,3,FALSE),2),IF(AND($E49&lt;&gt;0,$F49&gt;0,YEAR($F49)&gt;=Preisindex!$A$6,YEAR(CD$4)&gt;=YEAR($F49),$K49="g"),ROUND(VLOOKUP(CI$4,Preisindex,4,FALSE)/VLOOKUP(YEAR($F49),Preisindex,4,FALSE),2),IF(AND($E49&lt;&gt;0,$F49&gt;0,YEAR($F49)&gt;=Preisindex!$A$6,YEAR(CD$4)&gt;=YEAR($F49),$K49="k"),ROUND(VLOOKUP(CI$4,Preisindex,2,FALSE)/VLOOKUP(YEAR($F49),Preisindex,2,FALSE),2),0)))))</f>
        <v>0</v>
      </c>
      <c r="CJ49" s="56">
        <f>IF(AND($E49&lt;&gt;0,$F49&gt;0,YEAR($F49)&lt;Preisindex!$A$6,YEAR(CD$4)&gt;=YEAR($F49),AND($K49&lt;&gt;"a",$K49&lt;&gt;"b",$K49&lt;&gt;"g",$K49&lt;&gt;"k")),1,IF(AND($E49&lt;&gt;0,$F49&gt;0,YEAR($F49)&lt;Preisindex!$A$6,YEAR(CD$4)&gt;=YEAR($F49),$K49="a"),ROUND(VLOOKUP(CI$4,Preisindex,5,FALSE)/VLOOKUP(Preisindex!$A$6,Preisindex,5,FALSE),2),IF(AND($E49&lt;&gt;0,$F49&gt;0,YEAR($F49)&lt;Preisindex!$A$6,YEAR(CD$4)&gt;=YEAR($F49),$K49="b"),ROUND(VLOOKUP(CI$4,Preisindex,3,FALSE)/VLOOKUP(Preisindex!$A$6,Preisindex,3,FALSE),2),IF(AND($E49&lt;&gt;0,$F49&gt;0,YEAR($F49)&lt;Preisindex!$A$6,YEAR(CD$4)&gt;=YEAR($F49),$K49="g"),ROUND(VLOOKUP(CI$4,Preisindex,4,FALSE)/VLOOKUP(Preisindex!$A$6,Preisindex,4,FALSE),2),IF(AND($E49&lt;&gt;0,$F49&gt;0,YEAR($F49)&lt;Preisindex!$A$6,YEAR(CD$4)&gt;=YEAR($F49),$K49="k"),ROUND(VLOOKUP(CI$4,Preisindex,2,FALSE)/VLOOKUP(Preisindex!$A$6,Preisindex,2,FALSE),2),0)))))</f>
        <v>0</v>
      </c>
      <c r="CK49" s="51">
        <f>IF(AND($E49&lt;&gt;0,$F49&gt;0,YEAR($F49)&lt;=CI$4,YEAR($F49)&gt;=Preisindex!$A$6),ROUND($E49*CI49,2),IF(AND($E49&lt;&gt;0,$F49&gt;0,YEAR($F49)&lt;=CI$4,YEAR($F49)&lt;Preisindex!$A$6),ROUND($E49*CJ49,2),0))</f>
        <v>0</v>
      </c>
      <c r="CL49" s="53">
        <f t="shared" si="185"/>
        <v>0</v>
      </c>
      <c r="CM49" s="51">
        <f t="shared" si="357"/>
        <v>0</v>
      </c>
      <c r="CN49" s="51">
        <f t="shared" si="332"/>
        <v>0</v>
      </c>
      <c r="CO49" s="51">
        <f t="shared" si="188"/>
        <v>0</v>
      </c>
      <c r="CP49" s="51">
        <f t="shared" si="333"/>
        <v>0</v>
      </c>
      <c r="CQ49" s="51">
        <f t="shared" si="190"/>
        <v>0</v>
      </c>
      <c r="CR49" s="51">
        <f t="shared" si="334"/>
        <v>0</v>
      </c>
      <c r="CS49" s="51">
        <f t="shared" si="192"/>
        <v>0</v>
      </c>
      <c r="CT49" s="51">
        <f t="shared" si="335"/>
        <v>0</v>
      </c>
      <c r="CU49" s="51">
        <f t="shared" si="194"/>
        <v>0</v>
      </c>
      <c r="CV49" s="51">
        <f t="shared" si="336"/>
        <v>0</v>
      </c>
      <c r="CW49" s="51">
        <f t="shared" si="196"/>
        <v>0</v>
      </c>
      <c r="CX49" s="54">
        <f t="shared" si="197"/>
        <v>0</v>
      </c>
      <c r="CY49" s="55">
        <f t="shared" si="198"/>
        <v>0</v>
      </c>
      <c r="CZ49" s="56">
        <f>IF(AND($E49&lt;&gt;0,$F49&gt;0,YEAR($F49)&gt;=Preisindex!$A$6,YEAR(CU$4)&gt;=YEAR($F49),AND($K49&lt;&gt;"a",$K49&lt;&gt;"b",$K49&lt;&gt;"g",$K49&lt;&gt;"k")),1,IF(AND($E49&lt;&gt;0,$F49&gt;0,YEAR($F49)&gt;=Preisindex!$A$6,YEAR(CU$4)&gt;=YEAR($F49),$K49="a"),ROUND(VLOOKUP(CZ$4,Preisindex,5,FALSE)/VLOOKUP(YEAR($F49),Preisindex,5,FALSE),2),IF(AND($E49&lt;&gt;0,$F49&gt;0,YEAR($F49)&gt;=Preisindex!$A$6,YEAR(CU$4)&gt;=YEAR($F49),$K49="b"),ROUND(VLOOKUP(CZ$4,Preisindex,3,FALSE)/VLOOKUP(YEAR($F49),Preisindex,3,FALSE),2),IF(AND($E49&lt;&gt;0,$F49&gt;0,YEAR($F49)&gt;=Preisindex!$A$6,YEAR(CU$4)&gt;=YEAR($F49),$K49="g"),ROUND(VLOOKUP(CZ$4,Preisindex,4,FALSE)/VLOOKUP(YEAR($F49),Preisindex,4,FALSE),2),IF(AND($E49&lt;&gt;0,$F49&gt;0,YEAR($F49)&gt;=Preisindex!$A$6,YEAR(CU$4)&gt;=YEAR($F49),$K49="k"),ROUND(VLOOKUP(CZ$4,Preisindex,2,FALSE)/VLOOKUP(YEAR($F49),Preisindex,2,FALSE),2),0)))))</f>
        <v>0</v>
      </c>
      <c r="DA49" s="56">
        <f>IF(AND($E49&lt;&gt;0,$F49&gt;0,YEAR($F49)&lt;Preisindex!$A$6,YEAR(CU$4)&gt;=YEAR($F49),AND($K49&lt;&gt;"a",$K49&lt;&gt;"b",$K49&lt;&gt;"g",$K49&lt;&gt;"k")),1,IF(AND($E49&lt;&gt;0,$F49&gt;0,YEAR($F49)&lt;Preisindex!$A$6,YEAR(CU$4)&gt;=YEAR($F49),$K49="a"),ROUND(VLOOKUP(CZ$4,Preisindex,5,FALSE)/VLOOKUP(Preisindex!$A$6,Preisindex,5,FALSE),2),IF(AND($E49&lt;&gt;0,$F49&gt;0,YEAR($F49)&lt;Preisindex!$A$6,YEAR(CU$4)&gt;=YEAR($F49),$K49="b"),ROUND(VLOOKUP(CZ$4,Preisindex,3,FALSE)/VLOOKUP(Preisindex!$A$6,Preisindex,3,FALSE),2),IF(AND($E49&lt;&gt;0,$F49&gt;0,YEAR($F49)&lt;Preisindex!$A$6,YEAR(CU$4)&gt;=YEAR($F49),$K49="g"),ROUND(VLOOKUP(CZ$4,Preisindex,4,FALSE)/VLOOKUP(Preisindex!$A$6,Preisindex,4,FALSE),2),IF(AND($E49&lt;&gt;0,$F49&gt;0,YEAR($F49)&lt;Preisindex!$A$6,YEAR(CU$4)&gt;=YEAR($F49),$K49="k"),ROUND(VLOOKUP(CZ$4,Preisindex,2,FALSE)/VLOOKUP(Preisindex!$A$6,Preisindex,2,FALSE),2),0)))))</f>
        <v>0</v>
      </c>
      <c r="DB49" s="51">
        <f>IF(AND($E49&lt;&gt;0,$F49&gt;0,YEAR($F49)&lt;=CZ$4,YEAR($F49)&gt;=Preisindex!$A$6),ROUND($E49*CZ49,2),IF(AND($E49&lt;&gt;0,$F49&gt;0,YEAR($F49)&lt;=CZ$4,YEAR($F49)&lt;Preisindex!$A$6),ROUND($E49*DA49,2),0))</f>
        <v>0</v>
      </c>
      <c r="DC49" s="53">
        <f t="shared" si="199"/>
        <v>0</v>
      </c>
      <c r="DD49" s="51">
        <f t="shared" si="358"/>
        <v>0</v>
      </c>
      <c r="DE49" s="51">
        <f t="shared" si="337"/>
        <v>0</v>
      </c>
      <c r="DF49" s="51">
        <f t="shared" si="202"/>
        <v>0</v>
      </c>
      <c r="DG49" s="51">
        <f t="shared" si="338"/>
        <v>0</v>
      </c>
      <c r="DH49" s="51">
        <f t="shared" si="204"/>
        <v>0</v>
      </c>
      <c r="DI49" s="51">
        <f t="shared" si="339"/>
        <v>0</v>
      </c>
      <c r="DJ49" s="51">
        <f t="shared" si="206"/>
        <v>0</v>
      </c>
      <c r="DK49" s="51">
        <f t="shared" si="340"/>
        <v>0</v>
      </c>
      <c r="DL49" s="51">
        <f t="shared" si="208"/>
        <v>0</v>
      </c>
      <c r="DM49" s="51">
        <f t="shared" si="341"/>
        <v>0</v>
      </c>
      <c r="DN49" s="51">
        <f t="shared" si="210"/>
        <v>0</v>
      </c>
      <c r="DO49" s="54">
        <f t="shared" si="211"/>
        <v>0</v>
      </c>
      <c r="DP49" s="55">
        <f t="shared" si="212"/>
        <v>0</v>
      </c>
      <c r="DQ49" s="56">
        <f>IF(AND($E49&lt;&gt;0,$F49&gt;0,YEAR($F49)&gt;=Preisindex!$A$6,YEAR(DL$4)&gt;=YEAR($F49),AND($K49&lt;&gt;"a",$K49&lt;&gt;"b",$K49&lt;&gt;"g",$K49&lt;&gt;"k")),1,IF(AND($E49&lt;&gt;0,$F49&gt;0,YEAR($F49)&gt;=Preisindex!$A$6,YEAR(DL$4)&gt;=YEAR($F49),$K49="a"),ROUND(VLOOKUP(DQ$4,Preisindex,5,FALSE)/VLOOKUP(YEAR($F49),Preisindex,5,FALSE),2),IF(AND($E49&lt;&gt;0,$F49&gt;0,YEAR($F49)&gt;=Preisindex!$A$6,YEAR(DL$4)&gt;=YEAR($F49),$K49="b"),ROUND(VLOOKUP(DQ$4,Preisindex,3,FALSE)/VLOOKUP(YEAR($F49),Preisindex,3,FALSE),2),IF(AND($E49&lt;&gt;0,$F49&gt;0,YEAR($F49)&gt;=Preisindex!$A$6,YEAR(DL$4)&gt;=YEAR($F49),$K49="g"),ROUND(VLOOKUP(DQ$4,Preisindex,4,FALSE)/VLOOKUP(YEAR($F49),Preisindex,4,FALSE),2),IF(AND($E49&lt;&gt;0,$F49&gt;0,YEAR($F49)&gt;=Preisindex!$A$6,YEAR(DL$4)&gt;=YEAR($F49),$K49="k"),ROUND(VLOOKUP(DQ$4,Preisindex,2,FALSE)/VLOOKUP(YEAR($F49),Preisindex,2,FALSE),2),0)))))</f>
        <v>0</v>
      </c>
      <c r="DR49" s="56">
        <f>IF(AND($E49&lt;&gt;0,$F49&gt;0,YEAR($F49)&lt;Preisindex!$A$6,YEAR(DL$4)&gt;=YEAR($F49),AND($K49&lt;&gt;"a",$K49&lt;&gt;"b",$K49&lt;&gt;"g",$K49&lt;&gt;"k")),1,IF(AND($E49&lt;&gt;0,$F49&gt;0,YEAR($F49)&lt;Preisindex!$A$6,YEAR(DL$4)&gt;=YEAR($F49),$K49="a"),ROUND(VLOOKUP(DQ$4,Preisindex,5,FALSE)/VLOOKUP(Preisindex!$A$6,Preisindex,5,FALSE),2),IF(AND($E49&lt;&gt;0,$F49&gt;0,YEAR($F49)&lt;Preisindex!$A$6,YEAR(DL$4)&gt;=YEAR($F49),$K49="b"),ROUND(VLOOKUP(DQ$4,Preisindex,3,FALSE)/VLOOKUP(Preisindex!$A$6,Preisindex,3,FALSE),2),IF(AND($E49&lt;&gt;0,$F49&gt;0,YEAR($F49)&lt;Preisindex!$A$6,YEAR(DL$4)&gt;=YEAR($F49),$K49="g"),ROUND(VLOOKUP(DQ$4,Preisindex,4,FALSE)/VLOOKUP(Preisindex!$A$6,Preisindex,4,FALSE),2),IF(AND($E49&lt;&gt;0,$F49&gt;0,YEAR($F49)&lt;Preisindex!$A$6,YEAR(DL$4)&gt;=YEAR($F49),$K49="k"),ROUND(VLOOKUP(DQ$4,Preisindex,2,FALSE)/VLOOKUP(Preisindex!$A$6,Preisindex,2,FALSE),2),0)))))</f>
        <v>0</v>
      </c>
      <c r="DS49" s="51">
        <f>IF(AND($E49&lt;&gt;0,$F49&gt;0,YEAR($F49)&lt;=DQ$4,YEAR($F49)&gt;=Preisindex!$A$6),ROUND($E49*DQ49,2),IF(AND($E49&lt;&gt;0,$F49&gt;0,YEAR($F49)&lt;=DQ$4,YEAR($F49)&lt;Preisindex!$A$6),ROUND($E49*DR49,2),0))</f>
        <v>0</v>
      </c>
      <c r="DT49" s="53">
        <f t="shared" si="213"/>
        <v>0</v>
      </c>
      <c r="DU49" s="51">
        <f t="shared" si="358"/>
        <v>0</v>
      </c>
      <c r="DV49" s="51">
        <f t="shared" si="342"/>
        <v>0</v>
      </c>
      <c r="DW49" s="51">
        <f t="shared" si="216"/>
        <v>0</v>
      </c>
      <c r="DX49" s="51">
        <f t="shared" si="343"/>
        <v>0</v>
      </c>
      <c r="DY49" s="51">
        <f t="shared" si="218"/>
        <v>0</v>
      </c>
      <c r="DZ49" s="51">
        <f t="shared" si="344"/>
        <v>0</v>
      </c>
      <c r="EA49" s="51">
        <f t="shared" si="220"/>
        <v>0</v>
      </c>
      <c r="EB49" s="51">
        <f t="shared" si="345"/>
        <v>0</v>
      </c>
      <c r="EC49" s="51">
        <f t="shared" si="222"/>
        <v>0</v>
      </c>
      <c r="ED49" s="51">
        <f t="shared" si="346"/>
        <v>0</v>
      </c>
      <c r="EE49" s="51">
        <f t="shared" si="224"/>
        <v>0</v>
      </c>
      <c r="EF49" s="54">
        <f t="shared" si="225"/>
        <v>0</v>
      </c>
      <c r="EG49" s="55">
        <f t="shared" si="226"/>
        <v>0</v>
      </c>
      <c r="EH49" s="56">
        <f>IF(AND($E49&lt;&gt;0,$F49&gt;0,YEAR($F49)&gt;=Preisindex!$A$6,YEAR(EC$4)&gt;=YEAR($F49),AND($K49&lt;&gt;"a",$K49&lt;&gt;"b",$K49&lt;&gt;"g",$K49&lt;&gt;"k")),1,IF(AND($E49&lt;&gt;0,$F49&gt;0,YEAR($F49)&gt;=Preisindex!$A$6,YEAR(EC$4)&gt;=YEAR($F49),$K49="a"),ROUND(VLOOKUP(EH$4,Preisindex,5,FALSE)/VLOOKUP(YEAR($F49),Preisindex,5,FALSE),2),IF(AND($E49&lt;&gt;0,$F49&gt;0,YEAR($F49)&gt;=Preisindex!$A$6,YEAR(EC$4)&gt;=YEAR($F49),$K49="b"),ROUND(VLOOKUP(EH$4,Preisindex,3,FALSE)/VLOOKUP(YEAR($F49),Preisindex,3,FALSE),2),IF(AND($E49&lt;&gt;0,$F49&gt;0,YEAR($F49)&gt;=Preisindex!$A$6,YEAR(EC$4)&gt;=YEAR($F49),$K49="g"),ROUND(VLOOKUP(EH$4,Preisindex,4,FALSE)/VLOOKUP(YEAR($F49),Preisindex,4,FALSE),2),IF(AND($E49&lt;&gt;0,$F49&gt;0,YEAR($F49)&gt;=Preisindex!$A$6,YEAR(EC$4)&gt;=YEAR($F49),$K49="k"),ROUND(VLOOKUP(EH$4,Preisindex,2,FALSE)/VLOOKUP(YEAR($F49),Preisindex,2,FALSE),2),0)))))</f>
        <v>0</v>
      </c>
      <c r="EI49" s="56">
        <f>IF(AND($E49&lt;&gt;0,$F49&gt;0,YEAR($F49)&lt;Preisindex!$A$6,YEAR(EC$4)&gt;=YEAR($F49),AND($K49&lt;&gt;"a",$K49&lt;&gt;"b",$K49&lt;&gt;"g",$K49&lt;&gt;"k")),1,IF(AND($E49&lt;&gt;0,$F49&gt;0,YEAR($F49)&lt;Preisindex!$A$6,YEAR(EC$4)&gt;=YEAR($F49),$K49="a"),ROUND(VLOOKUP(EH$4,Preisindex,5,FALSE)/VLOOKUP(Preisindex!$A$6,Preisindex,5,FALSE),2),IF(AND($E49&lt;&gt;0,$F49&gt;0,YEAR($F49)&lt;Preisindex!$A$6,YEAR(EC$4)&gt;=YEAR($F49),$K49="b"),ROUND(VLOOKUP(EH$4,Preisindex,3,FALSE)/VLOOKUP(Preisindex!$A$6,Preisindex,3,FALSE),2),IF(AND($E49&lt;&gt;0,$F49&gt;0,YEAR($F49)&lt;Preisindex!$A$6,YEAR(EC$4)&gt;=YEAR($F49),$K49="g"),ROUND(VLOOKUP(EH$4,Preisindex,4,FALSE)/VLOOKUP(Preisindex!$A$6,Preisindex,4,FALSE),2),IF(AND($E49&lt;&gt;0,$F49&gt;0,YEAR($F49)&lt;Preisindex!$A$6,YEAR(EC$4)&gt;=YEAR($F49),$K49="k"),ROUND(VLOOKUP(EH$4,Preisindex,2,FALSE)/VLOOKUP(Preisindex!$A$6,Preisindex,2,FALSE),2),0)))))</f>
        <v>0</v>
      </c>
      <c r="EJ49" s="51">
        <f>IF(AND($E49&lt;&gt;0,$F49&gt;0,YEAR($F49)&lt;=EH$4,YEAR($F49)&gt;=Preisindex!$A$6),ROUND($E49*EH49,2),IF(AND($E49&lt;&gt;0,$F49&gt;0,YEAR($F49)&lt;=EH$4,YEAR($F49)&lt;Preisindex!$A$6),ROUND($E49*EI49,2),0))</f>
        <v>0</v>
      </c>
      <c r="EK49" s="53">
        <f t="shared" si="227"/>
        <v>0</v>
      </c>
      <c r="EL49" s="51">
        <f t="shared" si="358"/>
        <v>0</v>
      </c>
      <c r="EM49" s="51">
        <f t="shared" si="347"/>
        <v>0</v>
      </c>
      <c r="EN49" s="51">
        <f t="shared" si="230"/>
        <v>0</v>
      </c>
      <c r="EO49" s="51">
        <f t="shared" si="348"/>
        <v>0</v>
      </c>
      <c r="EP49" s="51">
        <f t="shared" si="232"/>
        <v>0</v>
      </c>
      <c r="EQ49" s="51">
        <f t="shared" si="349"/>
        <v>0</v>
      </c>
      <c r="ER49" s="51">
        <f t="shared" si="234"/>
        <v>0</v>
      </c>
      <c r="ES49" s="51">
        <f t="shared" si="350"/>
        <v>0</v>
      </c>
      <c r="ET49" s="51">
        <f t="shared" si="236"/>
        <v>0</v>
      </c>
      <c r="EU49" s="51">
        <f t="shared" si="351"/>
        <v>0</v>
      </c>
      <c r="EV49" s="51">
        <f t="shared" si="238"/>
        <v>0</v>
      </c>
      <c r="EW49" s="54">
        <f t="shared" si="239"/>
        <v>0</v>
      </c>
      <c r="EX49" s="55">
        <f t="shared" si="240"/>
        <v>0</v>
      </c>
      <c r="EY49" s="56">
        <f>IF(AND($E49&lt;&gt;0,$F49&gt;0,YEAR($F49)&gt;=Preisindex!$A$6,YEAR(ET$4)&gt;=YEAR($F49),AND($K49&lt;&gt;"a",$K49&lt;&gt;"b",$K49&lt;&gt;"g",$K49&lt;&gt;"k")),1,IF(AND($E49&lt;&gt;0,$F49&gt;0,YEAR($F49)&gt;=Preisindex!$A$6,YEAR(ET$4)&gt;=YEAR($F49),$K49="a"),ROUND(VLOOKUP(EY$4,Preisindex,5,FALSE)/VLOOKUP(YEAR($F49),Preisindex,5,FALSE),2),IF(AND($E49&lt;&gt;0,$F49&gt;0,YEAR($F49)&gt;=Preisindex!$A$6,YEAR(ET$4)&gt;=YEAR($F49),$K49="b"),ROUND(VLOOKUP(EY$4,Preisindex,3,FALSE)/VLOOKUP(YEAR($F49),Preisindex,3,FALSE),2),IF(AND($E49&lt;&gt;0,$F49&gt;0,YEAR($F49)&gt;=Preisindex!$A$6,YEAR(ET$4)&gt;=YEAR($F49),$K49="g"),ROUND(VLOOKUP(EY$4,Preisindex,4,FALSE)/VLOOKUP(YEAR($F49),Preisindex,4,FALSE),2),IF(AND($E49&lt;&gt;0,$F49&gt;0,YEAR($F49)&gt;=Preisindex!$A$6,YEAR(ET$4)&gt;=YEAR($F49),$K49="k"),ROUND(VLOOKUP(EY$4,Preisindex,2,FALSE)/VLOOKUP(YEAR($F49),Preisindex,2,FALSE),2),0)))))</f>
        <v>0</v>
      </c>
      <c r="EZ49" s="56">
        <f>IF(AND($E49&lt;&gt;0,$F49&gt;0,YEAR($F49)&lt;Preisindex!$A$6,YEAR(ET$4)&gt;=YEAR($F49),AND($K49&lt;&gt;"a",$K49&lt;&gt;"b",$K49&lt;&gt;"g",$K49&lt;&gt;"k")),1,IF(AND($E49&lt;&gt;0,$F49&gt;0,YEAR($F49)&lt;Preisindex!$A$6,YEAR(ET$4)&gt;=YEAR($F49),$K49="a"),ROUND(VLOOKUP(EY$4,Preisindex,5,FALSE)/VLOOKUP(Preisindex!$A$6,Preisindex,5,FALSE),2),IF(AND($E49&lt;&gt;0,$F49&gt;0,YEAR($F49)&lt;Preisindex!$A$6,YEAR(ET$4)&gt;=YEAR($F49),$K49="b"),ROUND(VLOOKUP(EY$4,Preisindex,3,FALSE)/VLOOKUP(Preisindex!$A$6,Preisindex,3,FALSE),2),IF(AND($E49&lt;&gt;0,$F49&gt;0,YEAR($F49)&lt;Preisindex!$A$6,YEAR(ET$4)&gt;=YEAR($F49),$K49="g"),ROUND(VLOOKUP(EY$4,Preisindex,4,FALSE)/VLOOKUP(Preisindex!$A$6,Preisindex,4,FALSE),2),IF(AND($E49&lt;&gt;0,$F49&gt;0,YEAR($F49)&lt;Preisindex!$A$6,YEAR(ET$4)&gt;=YEAR($F49),$K49="k"),ROUND(VLOOKUP(EY$4,Preisindex,2,FALSE)/VLOOKUP(Preisindex!$A$6,Preisindex,2,FALSE),2),0)))))</f>
        <v>0</v>
      </c>
      <c r="FA49" s="51">
        <f>IF(AND($E49&lt;&gt;0,$F49&gt;0,YEAR($F49)&lt;=EY$4,YEAR($F49)&gt;=Preisindex!$A$6),ROUND($E49*EY49,2),IF(AND($E49&lt;&gt;0,$F49&gt;0,YEAR($F49)&lt;=EY$4,YEAR($F49)&lt;Preisindex!$A$6),ROUND($E49*EZ49,2),0))</f>
        <v>0</v>
      </c>
      <c r="FB49" s="53">
        <f t="shared" si="241"/>
        <v>0</v>
      </c>
      <c r="FC49" s="51">
        <f t="shared" si="358"/>
        <v>0</v>
      </c>
      <c r="FD49" s="51">
        <f t="shared" si="352"/>
        <v>0</v>
      </c>
      <c r="FE49" s="51">
        <f t="shared" si="244"/>
        <v>0</v>
      </c>
      <c r="FF49" s="51">
        <f t="shared" si="353"/>
        <v>0</v>
      </c>
      <c r="FG49" s="51">
        <f t="shared" si="246"/>
        <v>0</v>
      </c>
      <c r="FH49" s="51">
        <f t="shared" si="354"/>
        <v>0</v>
      </c>
      <c r="FI49" s="51">
        <f t="shared" si="248"/>
        <v>0</v>
      </c>
      <c r="FJ49" s="51">
        <f t="shared" si="355"/>
        <v>0</v>
      </c>
      <c r="FK49" s="51">
        <f t="shared" si="250"/>
        <v>0</v>
      </c>
      <c r="FL49" s="51">
        <f t="shared" si="356"/>
        <v>0</v>
      </c>
      <c r="FM49" s="51">
        <f t="shared" si="252"/>
        <v>0</v>
      </c>
      <c r="FN49" s="54">
        <f t="shared" si="253"/>
        <v>0</v>
      </c>
      <c r="FO49" s="55">
        <f t="shared" si="254"/>
        <v>0</v>
      </c>
      <c r="FP49" s="56">
        <f>IF(AND($E49&lt;&gt;0,$F49&gt;0,YEAR($F49)&gt;=Preisindex!$A$6,YEAR(FK$4)&gt;=YEAR($F49),AND($K49&lt;&gt;"a",$K49&lt;&gt;"b",$K49&lt;&gt;"g",$K49&lt;&gt;"k")),1,IF(AND($E49&lt;&gt;0,$F49&gt;0,YEAR($F49)&gt;=Preisindex!$A$6,YEAR(FK$4)&gt;=YEAR($F49),$K49="a"),ROUND(VLOOKUP(FP$4,Preisindex,5,FALSE)/VLOOKUP(YEAR($F49),Preisindex,5,FALSE),2),IF(AND($E49&lt;&gt;0,$F49&gt;0,YEAR($F49)&gt;=Preisindex!$A$6,YEAR(FK$4)&gt;=YEAR($F49),$K49="b"),ROUND(VLOOKUP(FP$4,Preisindex,3,FALSE)/VLOOKUP(YEAR($F49),Preisindex,3,FALSE),2),IF(AND($E49&lt;&gt;0,$F49&gt;0,YEAR($F49)&gt;=Preisindex!$A$6,YEAR(FK$4)&gt;=YEAR($F49),$K49="g"),ROUND(VLOOKUP(FP$4,Preisindex,4,FALSE)/VLOOKUP(YEAR($F49),Preisindex,4,FALSE),2),IF(AND($E49&lt;&gt;0,$F49&gt;0,YEAR($F49)&gt;=Preisindex!$A$6,YEAR(FK$4)&gt;=YEAR($F49),$K49="k"),ROUND(VLOOKUP(FP$4,Preisindex,2,FALSE)/VLOOKUP(YEAR($F49),Preisindex,2,FALSE),2),0)))))</f>
        <v>0</v>
      </c>
      <c r="FQ49" s="56">
        <f>IF(AND($E49&lt;&gt;0,$F49&gt;0,YEAR($F49)&lt;Preisindex!$A$6,YEAR(FK$4)&gt;=YEAR($F49),AND($K49&lt;&gt;"a",$K49&lt;&gt;"b",$K49&lt;&gt;"g",$K49&lt;&gt;"k")),1,IF(AND($E49&lt;&gt;0,$F49&gt;0,YEAR($F49)&lt;Preisindex!$A$6,YEAR(FK$4)&gt;=YEAR($F49),$K49="a"),ROUND(VLOOKUP(FP$4,Preisindex,5,FALSE)/VLOOKUP(Preisindex!$A$6,Preisindex,5,FALSE),2),IF(AND($E49&lt;&gt;0,$F49&gt;0,YEAR($F49)&lt;Preisindex!$A$6,YEAR(FK$4)&gt;=YEAR($F49),$K49="b"),ROUND(VLOOKUP(FP$4,Preisindex,3,FALSE)/VLOOKUP(Preisindex!$A$6,Preisindex,3,FALSE),2),IF(AND($E49&lt;&gt;0,$F49&gt;0,YEAR($F49)&lt;Preisindex!$A$6,YEAR(FK$4)&gt;=YEAR($F49),$K49="g"),ROUND(VLOOKUP(FP$4,Preisindex,4,FALSE)/VLOOKUP(Preisindex!$A$6,Preisindex,4,FALSE),2),IF(AND($E49&lt;&gt;0,$F49&gt;0,YEAR($F49)&lt;Preisindex!$A$6,YEAR(FK$4)&gt;=YEAR($F49),$K49="k"),ROUND(VLOOKUP(FP$4,Preisindex,2,FALSE)/VLOOKUP(Preisindex!$A$6,Preisindex,2,FALSE),2),0)))))</f>
        <v>0</v>
      </c>
      <c r="FR49" s="51">
        <f>IF(AND($E49&lt;&gt;0,$F49&gt;0,YEAR($F49)&lt;=FP$4,YEAR($F49)&gt;=Preisindex!$A$6),ROUND($E49*FP49,2),IF(AND($E49&lt;&gt;0,$F49&gt;0,YEAR($F49)&lt;=FP$4,YEAR($F49)&lt;Preisindex!$A$6),ROUND($E49*FQ49,2),0))</f>
        <v>0</v>
      </c>
      <c r="FS49" s="53">
        <f t="shared" si="255"/>
        <v>0</v>
      </c>
    </row>
    <row r="50" spans="1:175" x14ac:dyDescent="0.3">
      <c r="A50" s="93">
        <v>1960</v>
      </c>
      <c r="B50" s="94" t="s">
        <v>236</v>
      </c>
      <c r="C50" s="94"/>
      <c r="D50" s="95" t="s">
        <v>63</v>
      </c>
      <c r="E50" s="99">
        <v>945000</v>
      </c>
      <c r="F50" s="97">
        <v>22098</v>
      </c>
      <c r="G50" s="98">
        <v>50</v>
      </c>
      <c r="H50" s="620"/>
      <c r="I50" s="621"/>
      <c r="J50" s="194"/>
      <c r="K50" s="630" t="s">
        <v>266</v>
      </c>
      <c r="L50" s="49">
        <f t="shared" si="296"/>
        <v>0.02</v>
      </c>
      <c r="M50" s="50">
        <f t="shared" si="297"/>
        <v>18900</v>
      </c>
      <c r="N50" s="51">
        <f t="shared" si="298"/>
        <v>0</v>
      </c>
      <c r="O50" s="51"/>
      <c r="P50" s="51">
        <f t="shared" si="299"/>
        <v>945000</v>
      </c>
      <c r="Q50" s="52"/>
      <c r="R50" s="52"/>
      <c r="S50" s="52"/>
      <c r="T50" s="52"/>
      <c r="U50" s="52"/>
      <c r="V50" s="53">
        <f t="shared" si="300"/>
        <v>945000</v>
      </c>
      <c r="W50" s="51">
        <f t="shared" si="301"/>
        <v>0</v>
      </c>
      <c r="X50" s="51">
        <f t="shared" si="302"/>
        <v>0</v>
      </c>
      <c r="Y50" s="51">
        <f t="shared" si="303"/>
        <v>0</v>
      </c>
      <c r="Z50" s="51">
        <f t="shared" si="304"/>
        <v>0</v>
      </c>
      <c r="AA50" s="51">
        <f t="shared" si="305"/>
        <v>945000</v>
      </c>
      <c r="AB50" s="51">
        <f t="shared" si="306"/>
        <v>0</v>
      </c>
      <c r="AC50" s="51">
        <f t="shared" si="307"/>
        <v>0</v>
      </c>
      <c r="AD50" s="51">
        <f t="shared" si="308"/>
        <v>0</v>
      </c>
      <c r="AE50" s="51">
        <f t="shared" si="309"/>
        <v>0</v>
      </c>
      <c r="AF50" s="51">
        <f t="shared" si="310"/>
        <v>0</v>
      </c>
      <c r="AG50" s="51">
        <f t="shared" si="311"/>
        <v>945000</v>
      </c>
      <c r="AH50" s="54">
        <f t="shared" si="312"/>
        <v>0</v>
      </c>
      <c r="AI50" s="55">
        <f t="shared" si="313"/>
        <v>0</v>
      </c>
      <c r="AJ50" s="56">
        <f>IF(AND($E50&lt;&gt;0,$F50&gt;0,YEAR($F50)&gt;=Preisindex!$A$6,YEAR(AE$4)&gt;=YEAR($F50),AND($K50&lt;&gt;"a",$K50&lt;&gt;"b",$K50&lt;&gt;"g",$K50&lt;&gt;"k")),1,IF(AND($E50&lt;&gt;0,$F50&gt;0,YEAR($F50)&gt;=Preisindex!$A$6,YEAR(AE$4)&gt;=YEAR($F50),$K50="a"),ROUND(VLOOKUP(AJ$4,Preisindex,5,FALSE)/VLOOKUP(YEAR($F50),Preisindex,5,FALSE),2),IF(AND($E50&lt;&gt;0,$F50&gt;0,YEAR($F50)&gt;=Preisindex!$A$6,YEAR(AE$4)&gt;=YEAR($F50),$K50="b"),ROUND(VLOOKUP(AJ$4,Preisindex,3,FALSE)/VLOOKUP(YEAR($F50),Preisindex,3,FALSE),2),IF(AND($E50&lt;&gt;0,$F50&gt;0,YEAR($F50)&gt;=Preisindex!$A$6,YEAR(AE$4)&gt;=YEAR($F50),$K50="g"),ROUND(VLOOKUP(AJ$4,Preisindex,4,FALSE)/VLOOKUP(YEAR($F50),Preisindex,4,FALSE),2),IF(AND($E50&lt;&gt;0,$F50&gt;0,YEAR($F50)&gt;=Preisindex!$A$6,YEAR(AE$4)&gt;=YEAR($F50),$K50="k"),ROUND(VLOOKUP(AJ$4,Preisindex,2,FALSE)/VLOOKUP(YEAR($F50),Preisindex,2,FALSE),2),0)))))</f>
        <v>4.34</v>
      </c>
      <c r="AK50" s="56">
        <f>IF(AND($E50&lt;&gt;0,$F50&gt;0,YEAR($F50)&lt;Preisindex!$A$6,YEAR(AE$4)&gt;=YEAR($F50),AND($K50&lt;&gt;"a",$K50&lt;&gt;"b",$K50&lt;&gt;"g",$K50&lt;&gt;"k")),1,IF(AND($E50&lt;&gt;0,$F50&gt;0,YEAR($F50)&lt;Preisindex!$A$6,YEAR(AE$4)&gt;=YEAR($F50),$K50="a"),ROUND(VLOOKUP(AJ$4,Preisindex,5,FALSE)/VLOOKUP(Preisindex!$A$6,Preisindex,5,FALSE),2),IF(AND($E50&lt;&gt;0,$F50&gt;0,YEAR($F50)&lt;Preisindex!$A$6,YEAR(AE$4)&gt;=YEAR($F50),$K50="b"),ROUND(VLOOKUP(AJ$4,Preisindex,3,FALSE)/VLOOKUP(Preisindex!$A$6,Preisindex,3,FALSE),2),IF(AND($E50&lt;&gt;0,$F50&gt;0,YEAR($F50)&lt;Preisindex!$A$6,YEAR(AE$4)&gt;=YEAR($F50),$K50="g"),ROUND(VLOOKUP(AJ$4,Preisindex,4,FALSE)/VLOOKUP(Preisindex!$A$6,Preisindex,4,FALSE),2),IF(AND($E50&lt;&gt;0,$F50&gt;0,YEAR($F50)&lt;Preisindex!$A$6,YEAR(AE$4)&gt;=YEAR($F50),$K50="k"),ROUND(VLOOKUP(AJ$4,Preisindex,2,FALSE)/VLOOKUP(Preisindex!$A$6,Preisindex,2,FALSE),2),0)))))</f>
        <v>0</v>
      </c>
      <c r="AL50" s="51">
        <f>IF(AND($E50&lt;&gt;0,$F50&gt;0,YEAR($F50)&lt;=AJ$4,YEAR($F50)&gt;=Preisindex!$A$6),ROUND($E50*AJ50,2),IF(AND($E50&lt;&gt;0,$F50&gt;0,YEAR($F50)&lt;=AJ$4,YEAR($F50)&lt;Preisindex!$A$6),ROUND($E50*AK50,2),0))</f>
        <v>4101300</v>
      </c>
      <c r="AM50" s="53">
        <f t="shared" si="314"/>
        <v>0</v>
      </c>
      <c r="AN50" s="51">
        <f t="shared" si="357"/>
        <v>0</v>
      </c>
      <c r="AO50" s="51">
        <f t="shared" si="317"/>
        <v>0</v>
      </c>
      <c r="AP50" s="51">
        <f t="shared" si="146"/>
        <v>0</v>
      </c>
      <c r="AQ50" s="51">
        <f t="shared" si="318"/>
        <v>0</v>
      </c>
      <c r="AR50" s="51">
        <f t="shared" si="148"/>
        <v>945000</v>
      </c>
      <c r="AS50" s="51">
        <f t="shared" si="319"/>
        <v>0</v>
      </c>
      <c r="AT50" s="51">
        <f t="shared" si="150"/>
        <v>0</v>
      </c>
      <c r="AU50" s="51">
        <f t="shared" si="320"/>
        <v>0</v>
      </c>
      <c r="AV50" s="51">
        <f t="shared" si="152"/>
        <v>0</v>
      </c>
      <c r="AW50" s="51">
        <f t="shared" si="321"/>
        <v>0</v>
      </c>
      <c r="AX50" s="51">
        <f t="shared" si="154"/>
        <v>945000</v>
      </c>
      <c r="AY50" s="54">
        <f t="shared" si="155"/>
        <v>0</v>
      </c>
      <c r="AZ50" s="55">
        <f t="shared" si="156"/>
        <v>0</v>
      </c>
      <c r="BA50" s="56">
        <f>IF(AND($E50&lt;&gt;0,$F50&gt;0,YEAR($F50)&gt;=Preisindex!$A$6,YEAR(AV$4)&gt;=YEAR($F50),AND($K50&lt;&gt;"a",$K50&lt;&gt;"b",$K50&lt;&gt;"g",$K50&lt;&gt;"k")),1,IF(AND($E50&lt;&gt;0,$F50&gt;0,YEAR($F50)&gt;=Preisindex!$A$6,YEAR(AV$4)&gt;=YEAR($F50),$K50="a"),ROUND(VLOOKUP(BA$4,Preisindex,5,FALSE)/VLOOKUP(YEAR($F50),Preisindex,5,FALSE),2),IF(AND($E50&lt;&gt;0,$F50&gt;0,YEAR($F50)&gt;=Preisindex!$A$6,YEAR(AV$4)&gt;=YEAR($F50),$K50="b"),ROUND(VLOOKUP(BA$4,Preisindex,3,FALSE)/VLOOKUP(YEAR($F50),Preisindex,3,FALSE),2),IF(AND($E50&lt;&gt;0,$F50&gt;0,YEAR($F50)&gt;=Preisindex!$A$6,YEAR(AV$4)&gt;=YEAR($F50),$K50="g"),ROUND(VLOOKUP(BA$4,Preisindex,4,FALSE)/VLOOKUP(YEAR($F50),Preisindex,4,FALSE),2),IF(AND($E50&lt;&gt;0,$F50&gt;0,YEAR($F50)&gt;=Preisindex!$A$6,YEAR(AV$4)&gt;=YEAR($F50),$K50="k"),ROUND(VLOOKUP(BA$4,Preisindex,2,FALSE)/VLOOKUP(YEAR($F50),Preisindex,2,FALSE),2),0)))))</f>
        <v>4.42</v>
      </c>
      <c r="BB50" s="56">
        <f>IF(AND($E50&lt;&gt;0,$F50&gt;0,YEAR($F50)&lt;Preisindex!$A$6,YEAR(AV$4)&gt;=YEAR($F50),AND($K50&lt;&gt;"a",$K50&lt;&gt;"b",$K50&lt;&gt;"g",$K50&lt;&gt;"k")),1,IF(AND($E50&lt;&gt;0,$F50&gt;0,YEAR($F50)&lt;Preisindex!$A$6,YEAR(AV$4)&gt;=YEAR($F50),$K50="a"),ROUND(VLOOKUP(BA$4,Preisindex,5,FALSE)/VLOOKUP(Preisindex!$A$6,Preisindex,5,FALSE),2),IF(AND($E50&lt;&gt;0,$F50&gt;0,YEAR($F50)&lt;Preisindex!$A$6,YEAR(AV$4)&gt;=YEAR($F50),$K50="b"),ROUND(VLOOKUP(BA$4,Preisindex,3,FALSE)/VLOOKUP(Preisindex!$A$6,Preisindex,3,FALSE),2),IF(AND($E50&lt;&gt;0,$F50&gt;0,YEAR($F50)&lt;Preisindex!$A$6,YEAR(AV$4)&gt;=YEAR($F50),$K50="g"),ROUND(VLOOKUP(BA$4,Preisindex,4,FALSE)/VLOOKUP(Preisindex!$A$6,Preisindex,4,FALSE),2),IF(AND($E50&lt;&gt;0,$F50&gt;0,YEAR($F50)&lt;Preisindex!$A$6,YEAR(AV$4)&gt;=YEAR($F50),$K50="k"),ROUND(VLOOKUP(BA$4,Preisindex,2,FALSE)/VLOOKUP(Preisindex!$A$6,Preisindex,2,FALSE),2),0)))))</f>
        <v>0</v>
      </c>
      <c r="BC50" s="51">
        <f>IF(AND($E50&lt;&gt;0,$F50&gt;0,YEAR($F50)&lt;=BA$4,YEAR($F50)&gt;=Preisindex!$A$6),ROUND($E50*BA50,2),IF(AND($E50&lt;&gt;0,$F50&gt;0,YEAR($F50)&lt;=BA$4,YEAR($F50)&lt;Preisindex!$A$6),ROUND($E50*BB50,2),0))</f>
        <v>4176900</v>
      </c>
      <c r="BD50" s="53">
        <f t="shared" si="157"/>
        <v>0</v>
      </c>
      <c r="BE50" s="51">
        <f t="shared" si="357"/>
        <v>0</v>
      </c>
      <c r="BF50" s="51">
        <f t="shared" si="322"/>
        <v>0</v>
      </c>
      <c r="BG50" s="51">
        <f t="shared" si="160"/>
        <v>0</v>
      </c>
      <c r="BH50" s="51">
        <f t="shared" si="323"/>
        <v>0</v>
      </c>
      <c r="BI50" s="51">
        <f t="shared" si="162"/>
        <v>945000</v>
      </c>
      <c r="BJ50" s="51">
        <f t="shared" si="324"/>
        <v>0</v>
      </c>
      <c r="BK50" s="51">
        <f t="shared" si="164"/>
        <v>0</v>
      </c>
      <c r="BL50" s="51">
        <f t="shared" si="325"/>
        <v>0</v>
      </c>
      <c r="BM50" s="51">
        <f t="shared" si="166"/>
        <v>0</v>
      </c>
      <c r="BN50" s="51">
        <f t="shared" si="326"/>
        <v>0</v>
      </c>
      <c r="BO50" s="51">
        <f t="shared" si="168"/>
        <v>945000</v>
      </c>
      <c r="BP50" s="54">
        <f t="shared" si="169"/>
        <v>0</v>
      </c>
      <c r="BQ50" s="55">
        <f t="shared" si="170"/>
        <v>0</v>
      </c>
      <c r="BR50" s="56">
        <f>IF(AND($E50&lt;&gt;0,$F50&gt;0,YEAR($F50)&gt;=Preisindex!$A$6,YEAR(BM$4)&gt;=YEAR($F50),AND($K50&lt;&gt;"a",$K50&lt;&gt;"b",$K50&lt;&gt;"g",$K50&lt;&gt;"k")),1,IF(AND($E50&lt;&gt;0,$F50&gt;0,YEAR($F50)&gt;=Preisindex!$A$6,YEAR(BM$4)&gt;=YEAR($F50),$K50="a"),ROUND(VLOOKUP(BR$4,Preisindex,5,FALSE)/VLOOKUP(YEAR($F50),Preisindex,5,FALSE),2),IF(AND($E50&lt;&gt;0,$F50&gt;0,YEAR($F50)&gt;=Preisindex!$A$6,YEAR(BM$4)&gt;=YEAR($F50),$K50="b"),ROUND(VLOOKUP(BR$4,Preisindex,3,FALSE)/VLOOKUP(YEAR($F50),Preisindex,3,FALSE),2),IF(AND($E50&lt;&gt;0,$F50&gt;0,YEAR($F50)&gt;=Preisindex!$A$6,YEAR(BM$4)&gt;=YEAR($F50),$K50="g"),ROUND(VLOOKUP(BR$4,Preisindex,4,FALSE)/VLOOKUP(YEAR($F50),Preisindex,4,FALSE),2),IF(AND($E50&lt;&gt;0,$F50&gt;0,YEAR($F50)&gt;=Preisindex!$A$6,YEAR(BM$4)&gt;=YEAR($F50),$K50="k"),ROUND(VLOOKUP(BR$4,Preisindex,2,FALSE)/VLOOKUP(YEAR($F50),Preisindex,2,FALSE),2),0)))))</f>
        <v>4.5</v>
      </c>
      <c r="BS50" s="56">
        <f>IF(AND($E50&lt;&gt;0,$F50&gt;0,YEAR($F50)&lt;Preisindex!$A$6,YEAR(BM$4)&gt;=YEAR($F50),AND($K50&lt;&gt;"a",$K50&lt;&gt;"b",$K50&lt;&gt;"g",$K50&lt;&gt;"k")),1,IF(AND($E50&lt;&gt;0,$F50&gt;0,YEAR($F50)&lt;Preisindex!$A$6,YEAR(BM$4)&gt;=YEAR($F50),$K50="a"),ROUND(VLOOKUP(BR$4,Preisindex,5,FALSE)/VLOOKUP(Preisindex!$A$6,Preisindex,5,FALSE),2),IF(AND($E50&lt;&gt;0,$F50&gt;0,YEAR($F50)&lt;Preisindex!$A$6,YEAR(BM$4)&gt;=YEAR($F50),$K50="b"),ROUND(VLOOKUP(BR$4,Preisindex,3,FALSE)/VLOOKUP(Preisindex!$A$6,Preisindex,3,FALSE),2),IF(AND($E50&lt;&gt;0,$F50&gt;0,YEAR($F50)&lt;Preisindex!$A$6,YEAR(BM$4)&gt;=YEAR($F50),$K50="g"),ROUND(VLOOKUP(BR$4,Preisindex,4,FALSE)/VLOOKUP(Preisindex!$A$6,Preisindex,4,FALSE),2),IF(AND($E50&lt;&gt;0,$F50&gt;0,YEAR($F50)&lt;Preisindex!$A$6,YEAR(BM$4)&gt;=YEAR($F50),$K50="k"),ROUND(VLOOKUP(BR$4,Preisindex,2,FALSE)/VLOOKUP(Preisindex!$A$6,Preisindex,2,FALSE),2),0)))))</f>
        <v>0</v>
      </c>
      <c r="BT50" s="51">
        <f>IF(AND($E50&lt;&gt;0,$F50&gt;0,YEAR($F50)&lt;=BR$4,YEAR($F50)&gt;=Preisindex!$A$6),ROUND($E50*BR50,2),IF(AND($E50&lt;&gt;0,$F50&gt;0,YEAR($F50)&lt;=BR$4,YEAR($F50)&lt;Preisindex!$A$6),ROUND($E50*BS50,2),0))</f>
        <v>4252500</v>
      </c>
      <c r="BU50" s="53">
        <f t="shared" si="171"/>
        <v>0</v>
      </c>
      <c r="BV50" s="51">
        <f t="shared" si="357"/>
        <v>0</v>
      </c>
      <c r="BW50" s="51">
        <f t="shared" si="327"/>
        <v>0</v>
      </c>
      <c r="BX50" s="51">
        <f t="shared" si="174"/>
        <v>0</v>
      </c>
      <c r="BY50" s="51">
        <f t="shared" si="328"/>
        <v>0</v>
      </c>
      <c r="BZ50" s="51">
        <f t="shared" si="176"/>
        <v>945000</v>
      </c>
      <c r="CA50" s="51">
        <f t="shared" si="329"/>
        <v>0</v>
      </c>
      <c r="CB50" s="51">
        <f t="shared" si="178"/>
        <v>0</v>
      </c>
      <c r="CC50" s="51">
        <f t="shared" si="330"/>
        <v>0</v>
      </c>
      <c r="CD50" s="51">
        <f t="shared" si="180"/>
        <v>0</v>
      </c>
      <c r="CE50" s="51">
        <f t="shared" si="331"/>
        <v>0</v>
      </c>
      <c r="CF50" s="51">
        <f t="shared" si="182"/>
        <v>945000</v>
      </c>
      <c r="CG50" s="54">
        <f t="shared" si="183"/>
        <v>0</v>
      </c>
      <c r="CH50" s="55">
        <f t="shared" si="184"/>
        <v>0</v>
      </c>
      <c r="CI50" s="56">
        <f>IF(AND($E50&lt;&gt;0,$F50&gt;0,YEAR($F50)&gt;=Preisindex!$A$6,YEAR(CD$4)&gt;=YEAR($F50),AND($K50&lt;&gt;"a",$K50&lt;&gt;"b",$K50&lt;&gt;"g",$K50&lt;&gt;"k")),1,IF(AND($E50&lt;&gt;0,$F50&gt;0,YEAR($F50)&gt;=Preisindex!$A$6,YEAR(CD$4)&gt;=YEAR($F50),$K50="a"),ROUND(VLOOKUP(CI$4,Preisindex,5,FALSE)/VLOOKUP(YEAR($F50),Preisindex,5,FALSE),2),IF(AND($E50&lt;&gt;0,$F50&gt;0,YEAR($F50)&gt;=Preisindex!$A$6,YEAR(CD$4)&gt;=YEAR($F50),$K50="b"),ROUND(VLOOKUP(CI$4,Preisindex,3,FALSE)/VLOOKUP(YEAR($F50),Preisindex,3,FALSE),2),IF(AND($E50&lt;&gt;0,$F50&gt;0,YEAR($F50)&gt;=Preisindex!$A$6,YEAR(CD$4)&gt;=YEAR($F50),$K50="g"),ROUND(VLOOKUP(CI$4,Preisindex,4,FALSE)/VLOOKUP(YEAR($F50),Preisindex,4,FALSE),2),IF(AND($E50&lt;&gt;0,$F50&gt;0,YEAR($F50)&gt;=Preisindex!$A$6,YEAR(CD$4)&gt;=YEAR($F50),$K50="k"),ROUND(VLOOKUP(CI$4,Preisindex,2,FALSE)/VLOOKUP(YEAR($F50),Preisindex,2,FALSE),2),0)))))</f>
        <v>4.55</v>
      </c>
      <c r="CJ50" s="56">
        <f>IF(AND($E50&lt;&gt;0,$F50&gt;0,YEAR($F50)&lt;Preisindex!$A$6,YEAR(CD$4)&gt;=YEAR($F50),AND($K50&lt;&gt;"a",$K50&lt;&gt;"b",$K50&lt;&gt;"g",$K50&lt;&gt;"k")),1,IF(AND($E50&lt;&gt;0,$F50&gt;0,YEAR($F50)&lt;Preisindex!$A$6,YEAR(CD$4)&gt;=YEAR($F50),$K50="a"),ROUND(VLOOKUP(CI$4,Preisindex,5,FALSE)/VLOOKUP(Preisindex!$A$6,Preisindex,5,FALSE),2),IF(AND($E50&lt;&gt;0,$F50&gt;0,YEAR($F50)&lt;Preisindex!$A$6,YEAR(CD$4)&gt;=YEAR($F50),$K50="b"),ROUND(VLOOKUP(CI$4,Preisindex,3,FALSE)/VLOOKUP(Preisindex!$A$6,Preisindex,3,FALSE),2),IF(AND($E50&lt;&gt;0,$F50&gt;0,YEAR($F50)&lt;Preisindex!$A$6,YEAR(CD$4)&gt;=YEAR($F50),$K50="g"),ROUND(VLOOKUP(CI$4,Preisindex,4,FALSE)/VLOOKUP(Preisindex!$A$6,Preisindex,4,FALSE),2),IF(AND($E50&lt;&gt;0,$F50&gt;0,YEAR($F50)&lt;Preisindex!$A$6,YEAR(CD$4)&gt;=YEAR($F50),$K50="k"),ROUND(VLOOKUP(CI$4,Preisindex,2,FALSE)/VLOOKUP(Preisindex!$A$6,Preisindex,2,FALSE),2),0)))))</f>
        <v>0</v>
      </c>
      <c r="CK50" s="51">
        <f>IF(AND($E50&lt;&gt;0,$F50&gt;0,YEAR($F50)&lt;=CI$4,YEAR($F50)&gt;=Preisindex!$A$6),ROUND($E50*CI50,2),IF(AND($E50&lt;&gt;0,$F50&gt;0,YEAR($F50)&lt;=CI$4,YEAR($F50)&lt;Preisindex!$A$6),ROUND($E50*CJ50,2),0))</f>
        <v>4299750</v>
      </c>
      <c r="CL50" s="53">
        <f t="shared" si="185"/>
        <v>0</v>
      </c>
      <c r="CM50" s="51">
        <f t="shared" si="357"/>
        <v>0</v>
      </c>
      <c r="CN50" s="51">
        <f t="shared" si="332"/>
        <v>0</v>
      </c>
      <c r="CO50" s="51">
        <f t="shared" si="188"/>
        <v>0</v>
      </c>
      <c r="CP50" s="51">
        <f t="shared" si="333"/>
        <v>0</v>
      </c>
      <c r="CQ50" s="51">
        <f t="shared" si="190"/>
        <v>945000</v>
      </c>
      <c r="CR50" s="51">
        <f t="shared" si="334"/>
        <v>0</v>
      </c>
      <c r="CS50" s="51">
        <f t="shared" si="192"/>
        <v>0</v>
      </c>
      <c r="CT50" s="51">
        <f t="shared" si="335"/>
        <v>0</v>
      </c>
      <c r="CU50" s="51">
        <f t="shared" si="194"/>
        <v>0</v>
      </c>
      <c r="CV50" s="51">
        <f t="shared" si="336"/>
        <v>0</v>
      </c>
      <c r="CW50" s="51">
        <f t="shared" si="196"/>
        <v>945000</v>
      </c>
      <c r="CX50" s="54">
        <f t="shared" si="197"/>
        <v>0</v>
      </c>
      <c r="CY50" s="55">
        <f t="shared" si="198"/>
        <v>0</v>
      </c>
      <c r="CZ50" s="56">
        <f>IF(AND($E50&lt;&gt;0,$F50&gt;0,YEAR($F50)&gt;=Preisindex!$A$6,YEAR(CU$4)&gt;=YEAR($F50),AND($K50&lt;&gt;"a",$K50&lt;&gt;"b",$K50&lt;&gt;"g",$K50&lt;&gt;"k")),1,IF(AND($E50&lt;&gt;0,$F50&gt;0,YEAR($F50)&gt;=Preisindex!$A$6,YEAR(CU$4)&gt;=YEAR($F50),$K50="a"),ROUND(VLOOKUP(CZ$4,Preisindex,5,FALSE)/VLOOKUP(YEAR($F50),Preisindex,5,FALSE),2),IF(AND($E50&lt;&gt;0,$F50&gt;0,YEAR($F50)&gt;=Preisindex!$A$6,YEAR(CU$4)&gt;=YEAR($F50),$K50="b"),ROUND(VLOOKUP(CZ$4,Preisindex,3,FALSE)/VLOOKUP(YEAR($F50),Preisindex,3,FALSE),2),IF(AND($E50&lt;&gt;0,$F50&gt;0,YEAR($F50)&gt;=Preisindex!$A$6,YEAR(CU$4)&gt;=YEAR($F50),$K50="g"),ROUND(VLOOKUP(CZ$4,Preisindex,4,FALSE)/VLOOKUP(YEAR($F50),Preisindex,4,FALSE),2),IF(AND($E50&lt;&gt;0,$F50&gt;0,YEAR($F50)&gt;=Preisindex!$A$6,YEAR(CU$4)&gt;=YEAR($F50),$K50="k"),ROUND(VLOOKUP(CZ$4,Preisindex,2,FALSE)/VLOOKUP(YEAR($F50),Preisindex,2,FALSE),2),0)))))</f>
        <v>4.62</v>
      </c>
      <c r="DA50" s="56">
        <f>IF(AND($E50&lt;&gt;0,$F50&gt;0,YEAR($F50)&lt;Preisindex!$A$6,YEAR(CU$4)&gt;=YEAR($F50),AND($K50&lt;&gt;"a",$K50&lt;&gt;"b",$K50&lt;&gt;"g",$K50&lt;&gt;"k")),1,IF(AND($E50&lt;&gt;0,$F50&gt;0,YEAR($F50)&lt;Preisindex!$A$6,YEAR(CU$4)&gt;=YEAR($F50),$K50="a"),ROUND(VLOOKUP(CZ$4,Preisindex,5,FALSE)/VLOOKUP(Preisindex!$A$6,Preisindex,5,FALSE),2),IF(AND($E50&lt;&gt;0,$F50&gt;0,YEAR($F50)&lt;Preisindex!$A$6,YEAR(CU$4)&gt;=YEAR($F50),$K50="b"),ROUND(VLOOKUP(CZ$4,Preisindex,3,FALSE)/VLOOKUP(Preisindex!$A$6,Preisindex,3,FALSE),2),IF(AND($E50&lt;&gt;0,$F50&gt;0,YEAR($F50)&lt;Preisindex!$A$6,YEAR(CU$4)&gt;=YEAR($F50),$K50="g"),ROUND(VLOOKUP(CZ$4,Preisindex,4,FALSE)/VLOOKUP(Preisindex!$A$6,Preisindex,4,FALSE),2),IF(AND($E50&lt;&gt;0,$F50&gt;0,YEAR($F50)&lt;Preisindex!$A$6,YEAR(CU$4)&gt;=YEAR($F50),$K50="k"),ROUND(VLOOKUP(CZ$4,Preisindex,2,FALSE)/VLOOKUP(Preisindex!$A$6,Preisindex,2,FALSE),2),0)))))</f>
        <v>0</v>
      </c>
      <c r="DB50" s="51">
        <f>IF(AND($E50&lt;&gt;0,$F50&gt;0,YEAR($F50)&lt;=CZ$4,YEAR($F50)&gt;=Preisindex!$A$6),ROUND($E50*CZ50,2),IF(AND($E50&lt;&gt;0,$F50&gt;0,YEAR($F50)&lt;=CZ$4,YEAR($F50)&lt;Preisindex!$A$6),ROUND($E50*DA50,2),0))</f>
        <v>4365900</v>
      </c>
      <c r="DC50" s="53">
        <f t="shared" si="199"/>
        <v>0</v>
      </c>
      <c r="DD50" s="51">
        <f t="shared" si="358"/>
        <v>0</v>
      </c>
      <c r="DE50" s="51">
        <f t="shared" si="337"/>
        <v>0</v>
      </c>
      <c r="DF50" s="51">
        <f t="shared" si="202"/>
        <v>0</v>
      </c>
      <c r="DG50" s="51">
        <f t="shared" si="338"/>
        <v>0</v>
      </c>
      <c r="DH50" s="51">
        <f t="shared" si="204"/>
        <v>945000</v>
      </c>
      <c r="DI50" s="51">
        <f t="shared" si="339"/>
        <v>0</v>
      </c>
      <c r="DJ50" s="51">
        <f t="shared" si="206"/>
        <v>0</v>
      </c>
      <c r="DK50" s="51">
        <f t="shared" si="340"/>
        <v>0</v>
      </c>
      <c r="DL50" s="51">
        <f t="shared" si="208"/>
        <v>0</v>
      </c>
      <c r="DM50" s="51">
        <f t="shared" si="341"/>
        <v>0</v>
      </c>
      <c r="DN50" s="51">
        <f t="shared" si="210"/>
        <v>945000</v>
      </c>
      <c r="DO50" s="54">
        <f t="shared" si="211"/>
        <v>0</v>
      </c>
      <c r="DP50" s="55">
        <f t="shared" si="212"/>
        <v>0</v>
      </c>
      <c r="DQ50" s="56">
        <f>IF(AND($E50&lt;&gt;0,$F50&gt;0,YEAR($F50)&gt;=Preisindex!$A$6,YEAR(DL$4)&gt;=YEAR($F50),AND($K50&lt;&gt;"a",$K50&lt;&gt;"b",$K50&lt;&gt;"g",$K50&lt;&gt;"k")),1,IF(AND($E50&lt;&gt;0,$F50&gt;0,YEAR($F50)&gt;=Preisindex!$A$6,YEAR(DL$4)&gt;=YEAR($F50),$K50="a"),ROUND(VLOOKUP(DQ$4,Preisindex,5,FALSE)/VLOOKUP(YEAR($F50),Preisindex,5,FALSE),2),IF(AND($E50&lt;&gt;0,$F50&gt;0,YEAR($F50)&gt;=Preisindex!$A$6,YEAR(DL$4)&gt;=YEAR($F50),$K50="b"),ROUND(VLOOKUP(DQ$4,Preisindex,3,FALSE)/VLOOKUP(YEAR($F50),Preisindex,3,FALSE),2),IF(AND($E50&lt;&gt;0,$F50&gt;0,YEAR($F50)&gt;=Preisindex!$A$6,YEAR(DL$4)&gt;=YEAR($F50),$K50="g"),ROUND(VLOOKUP(DQ$4,Preisindex,4,FALSE)/VLOOKUP(YEAR($F50),Preisindex,4,FALSE),2),IF(AND($E50&lt;&gt;0,$F50&gt;0,YEAR($F50)&gt;=Preisindex!$A$6,YEAR(DL$4)&gt;=YEAR($F50),$K50="k"),ROUND(VLOOKUP(DQ$4,Preisindex,2,FALSE)/VLOOKUP(YEAR($F50),Preisindex,2,FALSE),2),0)))))</f>
        <v>4.7699999999999996</v>
      </c>
      <c r="DR50" s="56">
        <f>IF(AND($E50&lt;&gt;0,$F50&gt;0,YEAR($F50)&lt;Preisindex!$A$6,YEAR(DL$4)&gt;=YEAR($F50),AND($K50&lt;&gt;"a",$K50&lt;&gt;"b",$K50&lt;&gt;"g",$K50&lt;&gt;"k")),1,IF(AND($E50&lt;&gt;0,$F50&gt;0,YEAR($F50)&lt;Preisindex!$A$6,YEAR(DL$4)&gt;=YEAR($F50),$K50="a"),ROUND(VLOOKUP(DQ$4,Preisindex,5,FALSE)/VLOOKUP(Preisindex!$A$6,Preisindex,5,FALSE),2),IF(AND($E50&lt;&gt;0,$F50&gt;0,YEAR($F50)&lt;Preisindex!$A$6,YEAR(DL$4)&gt;=YEAR($F50),$K50="b"),ROUND(VLOOKUP(DQ$4,Preisindex,3,FALSE)/VLOOKUP(Preisindex!$A$6,Preisindex,3,FALSE),2),IF(AND($E50&lt;&gt;0,$F50&gt;0,YEAR($F50)&lt;Preisindex!$A$6,YEAR(DL$4)&gt;=YEAR($F50),$K50="g"),ROUND(VLOOKUP(DQ$4,Preisindex,4,FALSE)/VLOOKUP(Preisindex!$A$6,Preisindex,4,FALSE),2),IF(AND($E50&lt;&gt;0,$F50&gt;0,YEAR($F50)&lt;Preisindex!$A$6,YEAR(DL$4)&gt;=YEAR($F50),$K50="k"),ROUND(VLOOKUP(DQ$4,Preisindex,2,FALSE)/VLOOKUP(Preisindex!$A$6,Preisindex,2,FALSE),2),0)))))</f>
        <v>0</v>
      </c>
      <c r="DS50" s="51">
        <f>IF(AND($E50&lt;&gt;0,$F50&gt;0,YEAR($F50)&lt;=DQ$4,YEAR($F50)&gt;=Preisindex!$A$6),ROUND($E50*DQ50,2),IF(AND($E50&lt;&gt;0,$F50&gt;0,YEAR($F50)&lt;=DQ$4,YEAR($F50)&lt;Preisindex!$A$6),ROUND($E50*DR50,2),0))</f>
        <v>4507650</v>
      </c>
      <c r="DT50" s="53">
        <f t="shared" si="213"/>
        <v>0</v>
      </c>
      <c r="DU50" s="51">
        <f t="shared" si="358"/>
        <v>0</v>
      </c>
      <c r="DV50" s="51">
        <f t="shared" si="342"/>
        <v>0</v>
      </c>
      <c r="DW50" s="51">
        <f t="shared" si="216"/>
        <v>0</v>
      </c>
      <c r="DX50" s="51">
        <f t="shared" si="343"/>
        <v>0</v>
      </c>
      <c r="DY50" s="51">
        <f t="shared" si="218"/>
        <v>945000</v>
      </c>
      <c r="DZ50" s="51">
        <f t="shared" si="344"/>
        <v>0</v>
      </c>
      <c r="EA50" s="51">
        <f t="shared" si="220"/>
        <v>0</v>
      </c>
      <c r="EB50" s="51">
        <f t="shared" si="345"/>
        <v>0</v>
      </c>
      <c r="EC50" s="51">
        <f t="shared" si="222"/>
        <v>0</v>
      </c>
      <c r="ED50" s="51">
        <f t="shared" si="346"/>
        <v>0</v>
      </c>
      <c r="EE50" s="51">
        <f t="shared" si="224"/>
        <v>945000</v>
      </c>
      <c r="EF50" s="54">
        <f t="shared" si="225"/>
        <v>0</v>
      </c>
      <c r="EG50" s="55">
        <f t="shared" si="226"/>
        <v>0</v>
      </c>
      <c r="EH50" s="56">
        <f>IF(AND($E50&lt;&gt;0,$F50&gt;0,YEAR($F50)&gt;=Preisindex!$A$6,YEAR(EC$4)&gt;=YEAR($F50),AND($K50&lt;&gt;"a",$K50&lt;&gt;"b",$K50&lt;&gt;"g",$K50&lt;&gt;"k")),1,IF(AND($E50&lt;&gt;0,$F50&gt;0,YEAR($F50)&gt;=Preisindex!$A$6,YEAR(EC$4)&gt;=YEAR($F50),$K50="a"),ROUND(VLOOKUP(EH$4,Preisindex,5,FALSE)/VLOOKUP(YEAR($F50),Preisindex,5,FALSE),2),IF(AND($E50&lt;&gt;0,$F50&gt;0,YEAR($F50)&gt;=Preisindex!$A$6,YEAR(EC$4)&gt;=YEAR($F50),$K50="b"),ROUND(VLOOKUP(EH$4,Preisindex,3,FALSE)/VLOOKUP(YEAR($F50),Preisindex,3,FALSE),2),IF(AND($E50&lt;&gt;0,$F50&gt;0,YEAR($F50)&gt;=Preisindex!$A$6,YEAR(EC$4)&gt;=YEAR($F50),$K50="g"),ROUND(VLOOKUP(EH$4,Preisindex,4,FALSE)/VLOOKUP(YEAR($F50),Preisindex,4,FALSE),2),IF(AND($E50&lt;&gt;0,$F50&gt;0,YEAR($F50)&gt;=Preisindex!$A$6,YEAR(EC$4)&gt;=YEAR($F50),$K50="k"),ROUND(VLOOKUP(EH$4,Preisindex,2,FALSE)/VLOOKUP(YEAR($F50),Preisindex,2,FALSE),2),0)))))</f>
        <v>5.01</v>
      </c>
      <c r="EI50" s="56">
        <f>IF(AND($E50&lt;&gt;0,$F50&gt;0,YEAR($F50)&lt;Preisindex!$A$6,YEAR(EC$4)&gt;=YEAR($F50),AND($K50&lt;&gt;"a",$K50&lt;&gt;"b",$K50&lt;&gt;"g",$K50&lt;&gt;"k")),1,IF(AND($E50&lt;&gt;0,$F50&gt;0,YEAR($F50)&lt;Preisindex!$A$6,YEAR(EC$4)&gt;=YEAR($F50),$K50="a"),ROUND(VLOOKUP(EH$4,Preisindex,5,FALSE)/VLOOKUP(Preisindex!$A$6,Preisindex,5,FALSE),2),IF(AND($E50&lt;&gt;0,$F50&gt;0,YEAR($F50)&lt;Preisindex!$A$6,YEAR(EC$4)&gt;=YEAR($F50),$K50="b"),ROUND(VLOOKUP(EH$4,Preisindex,3,FALSE)/VLOOKUP(Preisindex!$A$6,Preisindex,3,FALSE),2),IF(AND($E50&lt;&gt;0,$F50&gt;0,YEAR($F50)&lt;Preisindex!$A$6,YEAR(EC$4)&gt;=YEAR($F50),$K50="g"),ROUND(VLOOKUP(EH$4,Preisindex,4,FALSE)/VLOOKUP(Preisindex!$A$6,Preisindex,4,FALSE),2),IF(AND($E50&lt;&gt;0,$F50&gt;0,YEAR($F50)&lt;Preisindex!$A$6,YEAR(EC$4)&gt;=YEAR($F50),$K50="k"),ROUND(VLOOKUP(EH$4,Preisindex,2,FALSE)/VLOOKUP(Preisindex!$A$6,Preisindex,2,FALSE),2),0)))))</f>
        <v>0</v>
      </c>
      <c r="EJ50" s="51">
        <f>IF(AND($E50&lt;&gt;0,$F50&gt;0,YEAR($F50)&lt;=EH$4,YEAR($F50)&gt;=Preisindex!$A$6),ROUND($E50*EH50,2),IF(AND($E50&lt;&gt;0,$F50&gt;0,YEAR($F50)&lt;=EH$4,YEAR($F50)&lt;Preisindex!$A$6),ROUND($E50*EI50,2),0))</f>
        <v>4734450</v>
      </c>
      <c r="EK50" s="53">
        <f t="shared" si="227"/>
        <v>0</v>
      </c>
      <c r="EL50" s="51">
        <f t="shared" si="358"/>
        <v>0</v>
      </c>
      <c r="EM50" s="51">
        <f t="shared" si="347"/>
        <v>0</v>
      </c>
      <c r="EN50" s="51">
        <f t="shared" si="230"/>
        <v>0</v>
      </c>
      <c r="EO50" s="51">
        <f t="shared" si="348"/>
        <v>0</v>
      </c>
      <c r="EP50" s="51">
        <f t="shared" si="232"/>
        <v>945000</v>
      </c>
      <c r="EQ50" s="51">
        <f t="shared" si="349"/>
        <v>0</v>
      </c>
      <c r="ER50" s="51">
        <f t="shared" si="234"/>
        <v>0</v>
      </c>
      <c r="ES50" s="51">
        <f t="shared" si="350"/>
        <v>0</v>
      </c>
      <c r="ET50" s="51">
        <f t="shared" si="236"/>
        <v>0</v>
      </c>
      <c r="EU50" s="51">
        <f t="shared" si="351"/>
        <v>0</v>
      </c>
      <c r="EV50" s="51">
        <f t="shared" si="238"/>
        <v>945000</v>
      </c>
      <c r="EW50" s="54">
        <f t="shared" si="239"/>
        <v>0</v>
      </c>
      <c r="EX50" s="55">
        <f t="shared" si="240"/>
        <v>0</v>
      </c>
      <c r="EY50" s="56">
        <f>IF(AND($E50&lt;&gt;0,$F50&gt;0,YEAR($F50)&gt;=Preisindex!$A$6,YEAR(ET$4)&gt;=YEAR($F50),AND($K50&lt;&gt;"a",$K50&lt;&gt;"b",$K50&lt;&gt;"g",$K50&lt;&gt;"k")),1,IF(AND($E50&lt;&gt;0,$F50&gt;0,YEAR($F50)&gt;=Preisindex!$A$6,YEAR(ET$4)&gt;=YEAR($F50),$K50="a"),ROUND(VLOOKUP(EY$4,Preisindex,5,FALSE)/VLOOKUP(YEAR($F50),Preisindex,5,FALSE),2),IF(AND($E50&lt;&gt;0,$F50&gt;0,YEAR($F50)&gt;=Preisindex!$A$6,YEAR(ET$4)&gt;=YEAR($F50),$K50="b"),ROUND(VLOOKUP(EY$4,Preisindex,3,FALSE)/VLOOKUP(YEAR($F50),Preisindex,3,FALSE),2),IF(AND($E50&lt;&gt;0,$F50&gt;0,YEAR($F50)&gt;=Preisindex!$A$6,YEAR(ET$4)&gt;=YEAR($F50),$K50="g"),ROUND(VLOOKUP(EY$4,Preisindex,4,FALSE)/VLOOKUP(YEAR($F50),Preisindex,4,FALSE),2),IF(AND($E50&lt;&gt;0,$F50&gt;0,YEAR($F50)&gt;=Preisindex!$A$6,YEAR(ET$4)&gt;=YEAR($F50),$K50="k"),ROUND(VLOOKUP(EY$4,Preisindex,2,FALSE)/VLOOKUP(YEAR($F50),Preisindex,2,FALSE),2),0)))))</f>
        <v>5.01</v>
      </c>
      <c r="EZ50" s="56">
        <f>IF(AND($E50&lt;&gt;0,$F50&gt;0,YEAR($F50)&lt;Preisindex!$A$6,YEAR(ET$4)&gt;=YEAR($F50),AND($K50&lt;&gt;"a",$K50&lt;&gt;"b",$K50&lt;&gt;"g",$K50&lt;&gt;"k")),1,IF(AND($E50&lt;&gt;0,$F50&gt;0,YEAR($F50)&lt;Preisindex!$A$6,YEAR(ET$4)&gt;=YEAR($F50),$K50="a"),ROUND(VLOOKUP(EY$4,Preisindex,5,FALSE)/VLOOKUP(Preisindex!$A$6,Preisindex,5,FALSE),2),IF(AND($E50&lt;&gt;0,$F50&gt;0,YEAR($F50)&lt;Preisindex!$A$6,YEAR(ET$4)&gt;=YEAR($F50),$K50="b"),ROUND(VLOOKUP(EY$4,Preisindex,3,FALSE)/VLOOKUP(Preisindex!$A$6,Preisindex,3,FALSE),2),IF(AND($E50&lt;&gt;0,$F50&gt;0,YEAR($F50)&lt;Preisindex!$A$6,YEAR(ET$4)&gt;=YEAR($F50),$K50="g"),ROUND(VLOOKUP(EY$4,Preisindex,4,FALSE)/VLOOKUP(Preisindex!$A$6,Preisindex,4,FALSE),2),IF(AND($E50&lt;&gt;0,$F50&gt;0,YEAR($F50)&lt;Preisindex!$A$6,YEAR(ET$4)&gt;=YEAR($F50),$K50="k"),ROUND(VLOOKUP(EY$4,Preisindex,2,FALSE)/VLOOKUP(Preisindex!$A$6,Preisindex,2,FALSE),2),0)))))</f>
        <v>0</v>
      </c>
      <c r="FA50" s="51">
        <f>IF(AND($E50&lt;&gt;0,$F50&gt;0,YEAR($F50)&lt;=EY$4,YEAR($F50)&gt;=Preisindex!$A$6),ROUND($E50*EY50,2),IF(AND($E50&lt;&gt;0,$F50&gt;0,YEAR($F50)&lt;=EY$4,YEAR($F50)&lt;Preisindex!$A$6),ROUND($E50*EZ50,2),0))</f>
        <v>4734450</v>
      </c>
      <c r="FB50" s="53">
        <f t="shared" si="241"/>
        <v>0</v>
      </c>
      <c r="FC50" s="51">
        <f t="shared" si="358"/>
        <v>0</v>
      </c>
      <c r="FD50" s="51">
        <f t="shared" si="352"/>
        <v>0</v>
      </c>
      <c r="FE50" s="51">
        <f t="shared" si="244"/>
        <v>0</v>
      </c>
      <c r="FF50" s="51">
        <f t="shared" si="353"/>
        <v>0</v>
      </c>
      <c r="FG50" s="51">
        <f t="shared" si="246"/>
        <v>945000</v>
      </c>
      <c r="FH50" s="51">
        <f t="shared" si="354"/>
        <v>0</v>
      </c>
      <c r="FI50" s="51">
        <f t="shared" si="248"/>
        <v>0</v>
      </c>
      <c r="FJ50" s="51">
        <f t="shared" si="355"/>
        <v>0</v>
      </c>
      <c r="FK50" s="51">
        <f t="shared" si="250"/>
        <v>0</v>
      </c>
      <c r="FL50" s="51">
        <f t="shared" si="356"/>
        <v>0</v>
      </c>
      <c r="FM50" s="51">
        <f t="shared" si="252"/>
        <v>945000</v>
      </c>
      <c r="FN50" s="54">
        <f t="shared" si="253"/>
        <v>0</v>
      </c>
      <c r="FO50" s="55">
        <f t="shared" si="254"/>
        <v>0</v>
      </c>
      <c r="FP50" s="56">
        <f>IF(AND($E50&lt;&gt;0,$F50&gt;0,YEAR($F50)&gt;=Preisindex!$A$6,YEAR(FK$4)&gt;=YEAR($F50),AND($K50&lt;&gt;"a",$K50&lt;&gt;"b",$K50&lt;&gt;"g",$K50&lt;&gt;"k")),1,IF(AND($E50&lt;&gt;0,$F50&gt;0,YEAR($F50)&gt;=Preisindex!$A$6,YEAR(FK$4)&gt;=YEAR($F50),$K50="a"),ROUND(VLOOKUP(FP$4,Preisindex,5,FALSE)/VLOOKUP(YEAR($F50),Preisindex,5,FALSE),2),IF(AND($E50&lt;&gt;0,$F50&gt;0,YEAR($F50)&gt;=Preisindex!$A$6,YEAR(FK$4)&gt;=YEAR($F50),$K50="b"),ROUND(VLOOKUP(FP$4,Preisindex,3,FALSE)/VLOOKUP(YEAR($F50),Preisindex,3,FALSE),2),IF(AND($E50&lt;&gt;0,$F50&gt;0,YEAR($F50)&gt;=Preisindex!$A$6,YEAR(FK$4)&gt;=YEAR($F50),$K50="g"),ROUND(VLOOKUP(FP$4,Preisindex,4,FALSE)/VLOOKUP(YEAR($F50),Preisindex,4,FALSE),2),IF(AND($E50&lt;&gt;0,$F50&gt;0,YEAR($F50)&gt;=Preisindex!$A$6,YEAR(FK$4)&gt;=YEAR($F50),$K50="k"),ROUND(VLOOKUP(FP$4,Preisindex,2,FALSE)/VLOOKUP(YEAR($F50),Preisindex,2,FALSE),2),0)))))</f>
        <v>5.01</v>
      </c>
      <c r="FQ50" s="56">
        <f>IF(AND($E50&lt;&gt;0,$F50&gt;0,YEAR($F50)&lt;Preisindex!$A$6,YEAR(FK$4)&gt;=YEAR($F50),AND($K50&lt;&gt;"a",$K50&lt;&gt;"b",$K50&lt;&gt;"g",$K50&lt;&gt;"k")),1,IF(AND($E50&lt;&gt;0,$F50&gt;0,YEAR($F50)&lt;Preisindex!$A$6,YEAR(FK$4)&gt;=YEAR($F50),$K50="a"),ROUND(VLOOKUP(FP$4,Preisindex,5,FALSE)/VLOOKUP(Preisindex!$A$6,Preisindex,5,FALSE),2),IF(AND($E50&lt;&gt;0,$F50&gt;0,YEAR($F50)&lt;Preisindex!$A$6,YEAR(FK$4)&gt;=YEAR($F50),$K50="b"),ROUND(VLOOKUP(FP$4,Preisindex,3,FALSE)/VLOOKUP(Preisindex!$A$6,Preisindex,3,FALSE),2),IF(AND($E50&lt;&gt;0,$F50&gt;0,YEAR($F50)&lt;Preisindex!$A$6,YEAR(FK$4)&gt;=YEAR($F50),$K50="g"),ROUND(VLOOKUP(FP$4,Preisindex,4,FALSE)/VLOOKUP(Preisindex!$A$6,Preisindex,4,FALSE),2),IF(AND($E50&lt;&gt;0,$F50&gt;0,YEAR($F50)&lt;Preisindex!$A$6,YEAR(FK$4)&gt;=YEAR($F50),$K50="k"),ROUND(VLOOKUP(FP$4,Preisindex,2,FALSE)/VLOOKUP(Preisindex!$A$6,Preisindex,2,FALSE),2),0)))))</f>
        <v>0</v>
      </c>
      <c r="FR50" s="51">
        <f>IF(AND($E50&lt;&gt;0,$F50&gt;0,YEAR($F50)&lt;=FP$4,YEAR($F50)&gt;=Preisindex!$A$6),ROUND($E50*FP50,2),IF(AND($E50&lt;&gt;0,$F50&gt;0,YEAR($F50)&lt;=FP$4,YEAR($F50)&lt;Preisindex!$A$6),ROUND($E50*FQ50,2),0))</f>
        <v>4734450</v>
      </c>
      <c r="FS50" s="53">
        <f t="shared" si="255"/>
        <v>0</v>
      </c>
    </row>
    <row r="51" spans="1:175" x14ac:dyDescent="0.3">
      <c r="A51" s="93">
        <v>1978</v>
      </c>
      <c r="B51" s="94" t="s">
        <v>237</v>
      </c>
      <c r="C51" s="94"/>
      <c r="D51" s="95" t="s">
        <v>63</v>
      </c>
      <c r="E51" s="99">
        <v>37500</v>
      </c>
      <c r="F51" s="97">
        <v>28672</v>
      </c>
      <c r="G51" s="98">
        <v>50</v>
      </c>
      <c r="H51" s="620"/>
      <c r="I51" s="621"/>
      <c r="J51" s="194"/>
      <c r="K51" s="630" t="s">
        <v>266</v>
      </c>
      <c r="L51" s="49">
        <f t="shared" si="296"/>
        <v>0.02</v>
      </c>
      <c r="M51" s="50">
        <f t="shared" si="297"/>
        <v>750</v>
      </c>
      <c r="N51" s="51">
        <f t="shared" si="298"/>
        <v>12375</v>
      </c>
      <c r="O51" s="51"/>
      <c r="P51" s="51">
        <f t="shared" si="299"/>
        <v>25125</v>
      </c>
      <c r="Q51" s="52"/>
      <c r="R51" s="52"/>
      <c r="S51" s="52"/>
      <c r="T51" s="52"/>
      <c r="U51" s="52"/>
      <c r="V51" s="53">
        <f t="shared" si="300"/>
        <v>37500</v>
      </c>
      <c r="W51" s="51">
        <f t="shared" si="301"/>
        <v>0</v>
      </c>
      <c r="X51" s="51">
        <f t="shared" si="302"/>
        <v>0</v>
      </c>
      <c r="Y51" s="51">
        <f t="shared" si="303"/>
        <v>0</v>
      </c>
      <c r="Z51" s="51">
        <f t="shared" si="304"/>
        <v>0</v>
      </c>
      <c r="AA51" s="51">
        <f t="shared" si="305"/>
        <v>37500</v>
      </c>
      <c r="AB51" s="51">
        <f t="shared" si="306"/>
        <v>37500</v>
      </c>
      <c r="AC51" s="51">
        <f t="shared" si="307"/>
        <v>750</v>
      </c>
      <c r="AD51" s="51">
        <f t="shared" si="308"/>
        <v>750</v>
      </c>
      <c r="AE51" s="51">
        <f t="shared" si="309"/>
        <v>11625</v>
      </c>
      <c r="AF51" s="51">
        <f t="shared" si="310"/>
        <v>11625</v>
      </c>
      <c r="AG51" s="51">
        <f t="shared" si="311"/>
        <v>25875</v>
      </c>
      <c r="AH51" s="54">
        <f t="shared" si="312"/>
        <v>0</v>
      </c>
      <c r="AI51" s="55">
        <f t="shared" si="313"/>
        <v>0</v>
      </c>
      <c r="AJ51" s="56">
        <f>IF(AND($E51&lt;&gt;0,$F51&gt;0,YEAR($F51)&gt;=Preisindex!$A$6,YEAR(AE$4)&gt;=YEAR($F51),AND($K51&lt;&gt;"a",$K51&lt;&gt;"b",$K51&lt;&gt;"g",$K51&lt;&gt;"k")),1,IF(AND($E51&lt;&gt;0,$F51&gt;0,YEAR($F51)&gt;=Preisindex!$A$6,YEAR(AE$4)&gt;=YEAR($F51),$K51="a"),ROUND(VLOOKUP(AJ$4,Preisindex,5,FALSE)/VLOOKUP(YEAR($F51),Preisindex,5,FALSE),2),IF(AND($E51&lt;&gt;0,$F51&gt;0,YEAR($F51)&gt;=Preisindex!$A$6,YEAR(AE$4)&gt;=YEAR($F51),$K51="b"),ROUND(VLOOKUP(AJ$4,Preisindex,3,FALSE)/VLOOKUP(YEAR($F51),Preisindex,3,FALSE),2),IF(AND($E51&lt;&gt;0,$F51&gt;0,YEAR($F51)&gt;=Preisindex!$A$6,YEAR(AE$4)&gt;=YEAR($F51),$K51="g"),ROUND(VLOOKUP(AJ$4,Preisindex,4,FALSE)/VLOOKUP(YEAR($F51),Preisindex,4,FALSE),2),IF(AND($E51&lt;&gt;0,$F51&gt;0,YEAR($F51)&gt;=Preisindex!$A$6,YEAR(AE$4)&gt;=YEAR($F51),$K51="k"),ROUND(VLOOKUP(AJ$4,Preisindex,2,FALSE)/VLOOKUP(YEAR($F51),Preisindex,2,FALSE),2),0)))))</f>
        <v>2.23</v>
      </c>
      <c r="AK51" s="56">
        <f>IF(AND($E51&lt;&gt;0,$F51&gt;0,YEAR($F51)&lt;Preisindex!$A$6,YEAR(AE$4)&gt;=YEAR($F51),AND($K51&lt;&gt;"a",$K51&lt;&gt;"b",$K51&lt;&gt;"g",$K51&lt;&gt;"k")),1,IF(AND($E51&lt;&gt;0,$F51&gt;0,YEAR($F51)&lt;Preisindex!$A$6,YEAR(AE$4)&gt;=YEAR($F51),$K51="a"),ROUND(VLOOKUP(AJ$4,Preisindex,5,FALSE)/VLOOKUP(Preisindex!$A$6,Preisindex,5,FALSE),2),IF(AND($E51&lt;&gt;0,$F51&gt;0,YEAR($F51)&lt;Preisindex!$A$6,YEAR(AE$4)&gt;=YEAR($F51),$K51="b"),ROUND(VLOOKUP(AJ$4,Preisindex,3,FALSE)/VLOOKUP(Preisindex!$A$6,Preisindex,3,FALSE),2),IF(AND($E51&lt;&gt;0,$F51&gt;0,YEAR($F51)&lt;Preisindex!$A$6,YEAR(AE$4)&gt;=YEAR($F51),$K51="g"),ROUND(VLOOKUP(AJ$4,Preisindex,4,FALSE)/VLOOKUP(Preisindex!$A$6,Preisindex,4,FALSE),2),IF(AND($E51&lt;&gt;0,$F51&gt;0,YEAR($F51)&lt;Preisindex!$A$6,YEAR(AE$4)&gt;=YEAR($F51),$K51="k"),ROUND(VLOOKUP(AJ$4,Preisindex,2,FALSE)/VLOOKUP(Preisindex!$A$6,Preisindex,2,FALSE),2),0)))))</f>
        <v>0</v>
      </c>
      <c r="AL51" s="51">
        <f>IF(AND($E51&lt;&gt;0,$F51&gt;0,YEAR($F51)&lt;=AJ$4,YEAR($F51)&gt;=Preisindex!$A$6),ROUND($E51*AJ51,2),IF(AND($E51&lt;&gt;0,$F51&gt;0,YEAR($F51)&lt;=AJ$4,YEAR($F51)&lt;Preisindex!$A$6),ROUND($E51*AK51,2),0))</f>
        <v>83625</v>
      </c>
      <c r="AM51" s="53">
        <f t="shared" si="314"/>
        <v>1672.5</v>
      </c>
      <c r="AN51" s="51">
        <f t="shared" si="357"/>
        <v>0</v>
      </c>
      <c r="AO51" s="51">
        <f t="shared" si="317"/>
        <v>0</v>
      </c>
      <c r="AP51" s="51">
        <f t="shared" si="146"/>
        <v>0</v>
      </c>
      <c r="AQ51" s="51">
        <f t="shared" si="318"/>
        <v>0</v>
      </c>
      <c r="AR51" s="51">
        <f t="shared" si="148"/>
        <v>37500</v>
      </c>
      <c r="AS51" s="51">
        <f t="shared" si="319"/>
        <v>37500</v>
      </c>
      <c r="AT51" s="51">
        <f t="shared" si="150"/>
        <v>750</v>
      </c>
      <c r="AU51" s="51">
        <f t="shared" si="320"/>
        <v>750</v>
      </c>
      <c r="AV51" s="51">
        <f t="shared" si="152"/>
        <v>10875</v>
      </c>
      <c r="AW51" s="51">
        <f t="shared" si="321"/>
        <v>10875</v>
      </c>
      <c r="AX51" s="51">
        <f t="shared" si="154"/>
        <v>26625</v>
      </c>
      <c r="AY51" s="54">
        <f t="shared" si="155"/>
        <v>0</v>
      </c>
      <c r="AZ51" s="55">
        <f t="shared" si="156"/>
        <v>0</v>
      </c>
      <c r="BA51" s="56">
        <f>IF(AND($E51&lt;&gt;0,$F51&gt;0,YEAR($F51)&gt;=Preisindex!$A$6,YEAR(AV$4)&gt;=YEAR($F51),AND($K51&lt;&gt;"a",$K51&lt;&gt;"b",$K51&lt;&gt;"g",$K51&lt;&gt;"k")),1,IF(AND($E51&lt;&gt;0,$F51&gt;0,YEAR($F51)&gt;=Preisindex!$A$6,YEAR(AV$4)&gt;=YEAR($F51),$K51="a"),ROUND(VLOOKUP(BA$4,Preisindex,5,FALSE)/VLOOKUP(YEAR($F51),Preisindex,5,FALSE),2),IF(AND($E51&lt;&gt;0,$F51&gt;0,YEAR($F51)&gt;=Preisindex!$A$6,YEAR(AV$4)&gt;=YEAR($F51),$K51="b"),ROUND(VLOOKUP(BA$4,Preisindex,3,FALSE)/VLOOKUP(YEAR($F51),Preisindex,3,FALSE),2),IF(AND($E51&lt;&gt;0,$F51&gt;0,YEAR($F51)&gt;=Preisindex!$A$6,YEAR(AV$4)&gt;=YEAR($F51),$K51="g"),ROUND(VLOOKUP(BA$4,Preisindex,4,FALSE)/VLOOKUP(YEAR($F51),Preisindex,4,FALSE),2),IF(AND($E51&lt;&gt;0,$F51&gt;0,YEAR($F51)&gt;=Preisindex!$A$6,YEAR(AV$4)&gt;=YEAR($F51),$K51="k"),ROUND(VLOOKUP(BA$4,Preisindex,2,FALSE)/VLOOKUP(YEAR($F51),Preisindex,2,FALSE),2),0)))))</f>
        <v>2.27</v>
      </c>
      <c r="BB51" s="56">
        <f>IF(AND($E51&lt;&gt;0,$F51&gt;0,YEAR($F51)&lt;Preisindex!$A$6,YEAR(AV$4)&gt;=YEAR($F51),AND($K51&lt;&gt;"a",$K51&lt;&gt;"b",$K51&lt;&gt;"g",$K51&lt;&gt;"k")),1,IF(AND($E51&lt;&gt;0,$F51&gt;0,YEAR($F51)&lt;Preisindex!$A$6,YEAR(AV$4)&gt;=YEAR($F51),$K51="a"),ROUND(VLOOKUP(BA$4,Preisindex,5,FALSE)/VLOOKUP(Preisindex!$A$6,Preisindex,5,FALSE),2),IF(AND($E51&lt;&gt;0,$F51&gt;0,YEAR($F51)&lt;Preisindex!$A$6,YEAR(AV$4)&gt;=YEAR($F51),$K51="b"),ROUND(VLOOKUP(BA$4,Preisindex,3,FALSE)/VLOOKUP(Preisindex!$A$6,Preisindex,3,FALSE),2),IF(AND($E51&lt;&gt;0,$F51&gt;0,YEAR($F51)&lt;Preisindex!$A$6,YEAR(AV$4)&gt;=YEAR($F51),$K51="g"),ROUND(VLOOKUP(BA$4,Preisindex,4,FALSE)/VLOOKUP(Preisindex!$A$6,Preisindex,4,FALSE),2),IF(AND($E51&lt;&gt;0,$F51&gt;0,YEAR($F51)&lt;Preisindex!$A$6,YEAR(AV$4)&gt;=YEAR($F51),$K51="k"),ROUND(VLOOKUP(BA$4,Preisindex,2,FALSE)/VLOOKUP(Preisindex!$A$6,Preisindex,2,FALSE),2),0)))))</f>
        <v>0</v>
      </c>
      <c r="BC51" s="51">
        <f>IF(AND($E51&lt;&gt;0,$F51&gt;0,YEAR($F51)&lt;=BA$4,YEAR($F51)&gt;=Preisindex!$A$6),ROUND($E51*BA51,2),IF(AND($E51&lt;&gt;0,$F51&gt;0,YEAR($F51)&lt;=BA$4,YEAR($F51)&lt;Preisindex!$A$6),ROUND($E51*BB51,2),0))</f>
        <v>85125</v>
      </c>
      <c r="BD51" s="53">
        <f t="shared" si="157"/>
        <v>1702.5</v>
      </c>
      <c r="BE51" s="51">
        <f t="shared" si="357"/>
        <v>0</v>
      </c>
      <c r="BF51" s="51">
        <f t="shared" si="322"/>
        <v>0</v>
      </c>
      <c r="BG51" s="51">
        <f t="shared" si="160"/>
        <v>0</v>
      </c>
      <c r="BH51" s="51">
        <f t="shared" si="323"/>
        <v>0</v>
      </c>
      <c r="BI51" s="51">
        <f t="shared" si="162"/>
        <v>37500</v>
      </c>
      <c r="BJ51" s="51">
        <f t="shared" si="324"/>
        <v>37500</v>
      </c>
      <c r="BK51" s="51">
        <f t="shared" si="164"/>
        <v>750</v>
      </c>
      <c r="BL51" s="51">
        <f t="shared" si="325"/>
        <v>750</v>
      </c>
      <c r="BM51" s="51">
        <f t="shared" si="166"/>
        <v>10125</v>
      </c>
      <c r="BN51" s="51">
        <f t="shared" si="326"/>
        <v>10125</v>
      </c>
      <c r="BO51" s="51">
        <f t="shared" si="168"/>
        <v>27375</v>
      </c>
      <c r="BP51" s="54">
        <f t="shared" si="169"/>
        <v>0</v>
      </c>
      <c r="BQ51" s="55">
        <f t="shared" si="170"/>
        <v>0</v>
      </c>
      <c r="BR51" s="56">
        <f>IF(AND($E51&lt;&gt;0,$F51&gt;0,YEAR($F51)&gt;=Preisindex!$A$6,YEAR(BM$4)&gt;=YEAR($F51),AND($K51&lt;&gt;"a",$K51&lt;&gt;"b",$K51&lt;&gt;"g",$K51&lt;&gt;"k")),1,IF(AND($E51&lt;&gt;0,$F51&gt;0,YEAR($F51)&gt;=Preisindex!$A$6,YEAR(BM$4)&gt;=YEAR($F51),$K51="a"),ROUND(VLOOKUP(BR$4,Preisindex,5,FALSE)/VLOOKUP(YEAR($F51),Preisindex,5,FALSE),2),IF(AND($E51&lt;&gt;0,$F51&gt;0,YEAR($F51)&gt;=Preisindex!$A$6,YEAR(BM$4)&gt;=YEAR($F51),$K51="b"),ROUND(VLOOKUP(BR$4,Preisindex,3,FALSE)/VLOOKUP(YEAR($F51),Preisindex,3,FALSE),2),IF(AND($E51&lt;&gt;0,$F51&gt;0,YEAR($F51)&gt;=Preisindex!$A$6,YEAR(BM$4)&gt;=YEAR($F51),$K51="g"),ROUND(VLOOKUP(BR$4,Preisindex,4,FALSE)/VLOOKUP(YEAR($F51),Preisindex,4,FALSE),2),IF(AND($E51&lt;&gt;0,$F51&gt;0,YEAR($F51)&gt;=Preisindex!$A$6,YEAR(BM$4)&gt;=YEAR($F51),$K51="k"),ROUND(VLOOKUP(BR$4,Preisindex,2,FALSE)/VLOOKUP(YEAR($F51),Preisindex,2,FALSE),2),0)))))</f>
        <v>2.31</v>
      </c>
      <c r="BS51" s="56">
        <f>IF(AND($E51&lt;&gt;0,$F51&gt;0,YEAR($F51)&lt;Preisindex!$A$6,YEAR(BM$4)&gt;=YEAR($F51),AND($K51&lt;&gt;"a",$K51&lt;&gt;"b",$K51&lt;&gt;"g",$K51&lt;&gt;"k")),1,IF(AND($E51&lt;&gt;0,$F51&gt;0,YEAR($F51)&lt;Preisindex!$A$6,YEAR(BM$4)&gt;=YEAR($F51),$K51="a"),ROUND(VLOOKUP(BR$4,Preisindex,5,FALSE)/VLOOKUP(Preisindex!$A$6,Preisindex,5,FALSE),2),IF(AND($E51&lt;&gt;0,$F51&gt;0,YEAR($F51)&lt;Preisindex!$A$6,YEAR(BM$4)&gt;=YEAR($F51),$K51="b"),ROUND(VLOOKUP(BR$4,Preisindex,3,FALSE)/VLOOKUP(Preisindex!$A$6,Preisindex,3,FALSE),2),IF(AND($E51&lt;&gt;0,$F51&gt;0,YEAR($F51)&lt;Preisindex!$A$6,YEAR(BM$4)&gt;=YEAR($F51),$K51="g"),ROUND(VLOOKUP(BR$4,Preisindex,4,FALSE)/VLOOKUP(Preisindex!$A$6,Preisindex,4,FALSE),2),IF(AND($E51&lt;&gt;0,$F51&gt;0,YEAR($F51)&lt;Preisindex!$A$6,YEAR(BM$4)&gt;=YEAR($F51),$K51="k"),ROUND(VLOOKUP(BR$4,Preisindex,2,FALSE)/VLOOKUP(Preisindex!$A$6,Preisindex,2,FALSE),2),0)))))</f>
        <v>0</v>
      </c>
      <c r="BT51" s="51">
        <f>IF(AND($E51&lt;&gt;0,$F51&gt;0,YEAR($F51)&lt;=BR$4,YEAR($F51)&gt;=Preisindex!$A$6),ROUND($E51*BR51,2),IF(AND($E51&lt;&gt;0,$F51&gt;0,YEAR($F51)&lt;=BR$4,YEAR($F51)&lt;Preisindex!$A$6),ROUND($E51*BS51,2),0))</f>
        <v>86625</v>
      </c>
      <c r="BU51" s="53">
        <f t="shared" si="171"/>
        <v>1732.5</v>
      </c>
      <c r="BV51" s="51">
        <f t="shared" si="357"/>
        <v>0</v>
      </c>
      <c r="BW51" s="51">
        <f t="shared" si="327"/>
        <v>0</v>
      </c>
      <c r="BX51" s="51">
        <f t="shared" si="174"/>
        <v>0</v>
      </c>
      <c r="BY51" s="51">
        <f t="shared" si="328"/>
        <v>0</v>
      </c>
      <c r="BZ51" s="51">
        <f t="shared" si="176"/>
        <v>37500</v>
      </c>
      <c r="CA51" s="51">
        <f t="shared" si="329"/>
        <v>37500</v>
      </c>
      <c r="CB51" s="51">
        <f t="shared" si="178"/>
        <v>750</v>
      </c>
      <c r="CC51" s="51">
        <f t="shared" si="330"/>
        <v>750</v>
      </c>
      <c r="CD51" s="51">
        <f t="shared" si="180"/>
        <v>9375</v>
      </c>
      <c r="CE51" s="51">
        <f t="shared" si="331"/>
        <v>9375</v>
      </c>
      <c r="CF51" s="51">
        <f t="shared" si="182"/>
        <v>28125</v>
      </c>
      <c r="CG51" s="54">
        <f t="shared" si="183"/>
        <v>0</v>
      </c>
      <c r="CH51" s="55">
        <f t="shared" si="184"/>
        <v>0</v>
      </c>
      <c r="CI51" s="56">
        <f>IF(AND($E51&lt;&gt;0,$F51&gt;0,YEAR($F51)&gt;=Preisindex!$A$6,YEAR(CD$4)&gt;=YEAR($F51),AND($K51&lt;&gt;"a",$K51&lt;&gt;"b",$K51&lt;&gt;"g",$K51&lt;&gt;"k")),1,IF(AND($E51&lt;&gt;0,$F51&gt;0,YEAR($F51)&gt;=Preisindex!$A$6,YEAR(CD$4)&gt;=YEAR($F51),$K51="a"),ROUND(VLOOKUP(CI$4,Preisindex,5,FALSE)/VLOOKUP(YEAR($F51),Preisindex,5,FALSE),2),IF(AND($E51&lt;&gt;0,$F51&gt;0,YEAR($F51)&gt;=Preisindex!$A$6,YEAR(CD$4)&gt;=YEAR($F51),$K51="b"),ROUND(VLOOKUP(CI$4,Preisindex,3,FALSE)/VLOOKUP(YEAR($F51),Preisindex,3,FALSE),2),IF(AND($E51&lt;&gt;0,$F51&gt;0,YEAR($F51)&gt;=Preisindex!$A$6,YEAR(CD$4)&gt;=YEAR($F51),$K51="g"),ROUND(VLOOKUP(CI$4,Preisindex,4,FALSE)/VLOOKUP(YEAR($F51),Preisindex,4,FALSE),2),IF(AND($E51&lt;&gt;0,$F51&gt;0,YEAR($F51)&gt;=Preisindex!$A$6,YEAR(CD$4)&gt;=YEAR($F51),$K51="k"),ROUND(VLOOKUP(CI$4,Preisindex,2,FALSE)/VLOOKUP(YEAR($F51),Preisindex,2,FALSE),2),0)))))</f>
        <v>2.34</v>
      </c>
      <c r="CJ51" s="56">
        <f>IF(AND($E51&lt;&gt;0,$F51&gt;0,YEAR($F51)&lt;Preisindex!$A$6,YEAR(CD$4)&gt;=YEAR($F51),AND($K51&lt;&gt;"a",$K51&lt;&gt;"b",$K51&lt;&gt;"g",$K51&lt;&gt;"k")),1,IF(AND($E51&lt;&gt;0,$F51&gt;0,YEAR($F51)&lt;Preisindex!$A$6,YEAR(CD$4)&gt;=YEAR($F51),$K51="a"),ROUND(VLOOKUP(CI$4,Preisindex,5,FALSE)/VLOOKUP(Preisindex!$A$6,Preisindex,5,FALSE),2),IF(AND($E51&lt;&gt;0,$F51&gt;0,YEAR($F51)&lt;Preisindex!$A$6,YEAR(CD$4)&gt;=YEAR($F51),$K51="b"),ROUND(VLOOKUP(CI$4,Preisindex,3,FALSE)/VLOOKUP(Preisindex!$A$6,Preisindex,3,FALSE),2),IF(AND($E51&lt;&gt;0,$F51&gt;0,YEAR($F51)&lt;Preisindex!$A$6,YEAR(CD$4)&gt;=YEAR($F51),$K51="g"),ROUND(VLOOKUP(CI$4,Preisindex,4,FALSE)/VLOOKUP(Preisindex!$A$6,Preisindex,4,FALSE),2),IF(AND($E51&lt;&gt;0,$F51&gt;0,YEAR($F51)&lt;Preisindex!$A$6,YEAR(CD$4)&gt;=YEAR($F51),$K51="k"),ROUND(VLOOKUP(CI$4,Preisindex,2,FALSE)/VLOOKUP(Preisindex!$A$6,Preisindex,2,FALSE),2),0)))))</f>
        <v>0</v>
      </c>
      <c r="CK51" s="51">
        <f>IF(AND($E51&lt;&gt;0,$F51&gt;0,YEAR($F51)&lt;=CI$4,YEAR($F51)&gt;=Preisindex!$A$6),ROUND($E51*CI51,2),IF(AND($E51&lt;&gt;0,$F51&gt;0,YEAR($F51)&lt;=CI$4,YEAR($F51)&lt;Preisindex!$A$6),ROUND($E51*CJ51,2),0))</f>
        <v>87750</v>
      </c>
      <c r="CL51" s="53">
        <f t="shared" si="185"/>
        <v>1755</v>
      </c>
      <c r="CM51" s="51">
        <f t="shared" si="357"/>
        <v>0</v>
      </c>
      <c r="CN51" s="51">
        <f t="shared" si="332"/>
        <v>0</v>
      </c>
      <c r="CO51" s="51">
        <f t="shared" si="188"/>
        <v>0</v>
      </c>
      <c r="CP51" s="51">
        <f t="shared" si="333"/>
        <v>0</v>
      </c>
      <c r="CQ51" s="51">
        <f t="shared" si="190"/>
        <v>37500</v>
      </c>
      <c r="CR51" s="51">
        <f t="shared" si="334"/>
        <v>37500</v>
      </c>
      <c r="CS51" s="51">
        <f t="shared" si="192"/>
        <v>750</v>
      </c>
      <c r="CT51" s="51">
        <f t="shared" si="335"/>
        <v>750</v>
      </c>
      <c r="CU51" s="51">
        <f t="shared" si="194"/>
        <v>8625</v>
      </c>
      <c r="CV51" s="51">
        <f t="shared" si="336"/>
        <v>8625</v>
      </c>
      <c r="CW51" s="51">
        <f t="shared" si="196"/>
        <v>28875</v>
      </c>
      <c r="CX51" s="54">
        <f t="shared" si="197"/>
        <v>0</v>
      </c>
      <c r="CY51" s="55">
        <f t="shared" si="198"/>
        <v>0</v>
      </c>
      <c r="CZ51" s="56">
        <f>IF(AND($E51&lt;&gt;0,$F51&gt;0,YEAR($F51)&gt;=Preisindex!$A$6,YEAR(CU$4)&gt;=YEAR($F51),AND($K51&lt;&gt;"a",$K51&lt;&gt;"b",$K51&lt;&gt;"g",$K51&lt;&gt;"k")),1,IF(AND($E51&lt;&gt;0,$F51&gt;0,YEAR($F51)&gt;=Preisindex!$A$6,YEAR(CU$4)&gt;=YEAR($F51),$K51="a"),ROUND(VLOOKUP(CZ$4,Preisindex,5,FALSE)/VLOOKUP(YEAR($F51),Preisindex,5,FALSE),2),IF(AND($E51&lt;&gt;0,$F51&gt;0,YEAR($F51)&gt;=Preisindex!$A$6,YEAR(CU$4)&gt;=YEAR($F51),$K51="b"),ROUND(VLOOKUP(CZ$4,Preisindex,3,FALSE)/VLOOKUP(YEAR($F51),Preisindex,3,FALSE),2),IF(AND($E51&lt;&gt;0,$F51&gt;0,YEAR($F51)&gt;=Preisindex!$A$6,YEAR(CU$4)&gt;=YEAR($F51),$K51="g"),ROUND(VLOOKUP(CZ$4,Preisindex,4,FALSE)/VLOOKUP(YEAR($F51),Preisindex,4,FALSE),2),IF(AND($E51&lt;&gt;0,$F51&gt;0,YEAR($F51)&gt;=Preisindex!$A$6,YEAR(CU$4)&gt;=YEAR($F51),$K51="k"),ROUND(VLOOKUP(CZ$4,Preisindex,2,FALSE)/VLOOKUP(YEAR($F51),Preisindex,2,FALSE),2),0)))))</f>
        <v>2.38</v>
      </c>
      <c r="DA51" s="56">
        <f>IF(AND($E51&lt;&gt;0,$F51&gt;0,YEAR($F51)&lt;Preisindex!$A$6,YEAR(CU$4)&gt;=YEAR($F51),AND($K51&lt;&gt;"a",$K51&lt;&gt;"b",$K51&lt;&gt;"g",$K51&lt;&gt;"k")),1,IF(AND($E51&lt;&gt;0,$F51&gt;0,YEAR($F51)&lt;Preisindex!$A$6,YEAR(CU$4)&gt;=YEAR($F51),$K51="a"),ROUND(VLOOKUP(CZ$4,Preisindex,5,FALSE)/VLOOKUP(Preisindex!$A$6,Preisindex,5,FALSE),2),IF(AND($E51&lt;&gt;0,$F51&gt;0,YEAR($F51)&lt;Preisindex!$A$6,YEAR(CU$4)&gt;=YEAR($F51),$K51="b"),ROUND(VLOOKUP(CZ$4,Preisindex,3,FALSE)/VLOOKUP(Preisindex!$A$6,Preisindex,3,FALSE),2),IF(AND($E51&lt;&gt;0,$F51&gt;0,YEAR($F51)&lt;Preisindex!$A$6,YEAR(CU$4)&gt;=YEAR($F51),$K51="g"),ROUND(VLOOKUP(CZ$4,Preisindex,4,FALSE)/VLOOKUP(Preisindex!$A$6,Preisindex,4,FALSE),2),IF(AND($E51&lt;&gt;0,$F51&gt;0,YEAR($F51)&lt;Preisindex!$A$6,YEAR(CU$4)&gt;=YEAR($F51),$K51="k"),ROUND(VLOOKUP(CZ$4,Preisindex,2,FALSE)/VLOOKUP(Preisindex!$A$6,Preisindex,2,FALSE),2),0)))))</f>
        <v>0</v>
      </c>
      <c r="DB51" s="51">
        <f>IF(AND($E51&lt;&gt;0,$F51&gt;0,YEAR($F51)&lt;=CZ$4,YEAR($F51)&gt;=Preisindex!$A$6),ROUND($E51*CZ51,2),IF(AND($E51&lt;&gt;0,$F51&gt;0,YEAR($F51)&lt;=CZ$4,YEAR($F51)&lt;Preisindex!$A$6),ROUND($E51*DA51,2),0))</f>
        <v>89250</v>
      </c>
      <c r="DC51" s="53">
        <f t="shared" si="199"/>
        <v>1785</v>
      </c>
      <c r="DD51" s="51">
        <f t="shared" si="358"/>
        <v>0</v>
      </c>
      <c r="DE51" s="51">
        <f t="shared" si="337"/>
        <v>0</v>
      </c>
      <c r="DF51" s="51">
        <f t="shared" si="202"/>
        <v>0</v>
      </c>
      <c r="DG51" s="51">
        <f t="shared" si="338"/>
        <v>0</v>
      </c>
      <c r="DH51" s="51">
        <f t="shared" si="204"/>
        <v>37500</v>
      </c>
      <c r="DI51" s="51">
        <f t="shared" si="339"/>
        <v>37500</v>
      </c>
      <c r="DJ51" s="51">
        <f t="shared" si="206"/>
        <v>750</v>
      </c>
      <c r="DK51" s="51">
        <f t="shared" si="340"/>
        <v>750</v>
      </c>
      <c r="DL51" s="51">
        <f t="shared" si="208"/>
        <v>7875</v>
      </c>
      <c r="DM51" s="51">
        <f t="shared" si="341"/>
        <v>7875</v>
      </c>
      <c r="DN51" s="51">
        <f t="shared" si="210"/>
        <v>29625</v>
      </c>
      <c r="DO51" s="54">
        <f t="shared" si="211"/>
        <v>0</v>
      </c>
      <c r="DP51" s="55">
        <f t="shared" si="212"/>
        <v>0</v>
      </c>
      <c r="DQ51" s="56">
        <f>IF(AND($E51&lt;&gt;0,$F51&gt;0,YEAR($F51)&gt;=Preisindex!$A$6,YEAR(DL$4)&gt;=YEAR($F51),AND($K51&lt;&gt;"a",$K51&lt;&gt;"b",$K51&lt;&gt;"g",$K51&lt;&gt;"k")),1,IF(AND($E51&lt;&gt;0,$F51&gt;0,YEAR($F51)&gt;=Preisindex!$A$6,YEAR(DL$4)&gt;=YEAR($F51),$K51="a"),ROUND(VLOOKUP(DQ$4,Preisindex,5,FALSE)/VLOOKUP(YEAR($F51),Preisindex,5,FALSE),2),IF(AND($E51&lt;&gt;0,$F51&gt;0,YEAR($F51)&gt;=Preisindex!$A$6,YEAR(DL$4)&gt;=YEAR($F51),$K51="b"),ROUND(VLOOKUP(DQ$4,Preisindex,3,FALSE)/VLOOKUP(YEAR($F51),Preisindex,3,FALSE),2),IF(AND($E51&lt;&gt;0,$F51&gt;0,YEAR($F51)&gt;=Preisindex!$A$6,YEAR(DL$4)&gt;=YEAR($F51),$K51="g"),ROUND(VLOOKUP(DQ$4,Preisindex,4,FALSE)/VLOOKUP(YEAR($F51),Preisindex,4,FALSE),2),IF(AND($E51&lt;&gt;0,$F51&gt;0,YEAR($F51)&gt;=Preisindex!$A$6,YEAR(DL$4)&gt;=YEAR($F51),$K51="k"),ROUND(VLOOKUP(DQ$4,Preisindex,2,FALSE)/VLOOKUP(YEAR($F51),Preisindex,2,FALSE),2),0)))))</f>
        <v>2.4500000000000002</v>
      </c>
      <c r="DR51" s="56">
        <f>IF(AND($E51&lt;&gt;0,$F51&gt;0,YEAR($F51)&lt;Preisindex!$A$6,YEAR(DL$4)&gt;=YEAR($F51),AND($K51&lt;&gt;"a",$K51&lt;&gt;"b",$K51&lt;&gt;"g",$K51&lt;&gt;"k")),1,IF(AND($E51&lt;&gt;0,$F51&gt;0,YEAR($F51)&lt;Preisindex!$A$6,YEAR(DL$4)&gt;=YEAR($F51),$K51="a"),ROUND(VLOOKUP(DQ$4,Preisindex,5,FALSE)/VLOOKUP(Preisindex!$A$6,Preisindex,5,FALSE),2),IF(AND($E51&lt;&gt;0,$F51&gt;0,YEAR($F51)&lt;Preisindex!$A$6,YEAR(DL$4)&gt;=YEAR($F51),$K51="b"),ROUND(VLOOKUP(DQ$4,Preisindex,3,FALSE)/VLOOKUP(Preisindex!$A$6,Preisindex,3,FALSE),2),IF(AND($E51&lt;&gt;0,$F51&gt;0,YEAR($F51)&lt;Preisindex!$A$6,YEAR(DL$4)&gt;=YEAR($F51),$K51="g"),ROUND(VLOOKUP(DQ$4,Preisindex,4,FALSE)/VLOOKUP(Preisindex!$A$6,Preisindex,4,FALSE),2),IF(AND($E51&lt;&gt;0,$F51&gt;0,YEAR($F51)&lt;Preisindex!$A$6,YEAR(DL$4)&gt;=YEAR($F51),$K51="k"),ROUND(VLOOKUP(DQ$4,Preisindex,2,FALSE)/VLOOKUP(Preisindex!$A$6,Preisindex,2,FALSE),2),0)))))</f>
        <v>0</v>
      </c>
      <c r="DS51" s="51">
        <f>IF(AND($E51&lt;&gt;0,$F51&gt;0,YEAR($F51)&lt;=DQ$4,YEAR($F51)&gt;=Preisindex!$A$6),ROUND($E51*DQ51,2),IF(AND($E51&lt;&gt;0,$F51&gt;0,YEAR($F51)&lt;=DQ$4,YEAR($F51)&lt;Preisindex!$A$6),ROUND($E51*DR51,2),0))</f>
        <v>91875</v>
      </c>
      <c r="DT51" s="53">
        <f t="shared" si="213"/>
        <v>1837.5</v>
      </c>
      <c r="DU51" s="51">
        <f t="shared" si="358"/>
        <v>0</v>
      </c>
      <c r="DV51" s="51">
        <f t="shared" si="342"/>
        <v>0</v>
      </c>
      <c r="DW51" s="51">
        <f t="shared" si="216"/>
        <v>0</v>
      </c>
      <c r="DX51" s="51">
        <f t="shared" si="343"/>
        <v>0</v>
      </c>
      <c r="DY51" s="51">
        <f t="shared" si="218"/>
        <v>37500</v>
      </c>
      <c r="DZ51" s="51">
        <f t="shared" si="344"/>
        <v>37500</v>
      </c>
      <c r="EA51" s="51">
        <f t="shared" si="220"/>
        <v>750</v>
      </c>
      <c r="EB51" s="51">
        <f t="shared" si="345"/>
        <v>750</v>
      </c>
      <c r="EC51" s="51">
        <f t="shared" si="222"/>
        <v>7125</v>
      </c>
      <c r="ED51" s="51">
        <f t="shared" si="346"/>
        <v>7125</v>
      </c>
      <c r="EE51" s="51">
        <f t="shared" si="224"/>
        <v>30375</v>
      </c>
      <c r="EF51" s="54">
        <f t="shared" si="225"/>
        <v>0</v>
      </c>
      <c r="EG51" s="55">
        <f t="shared" si="226"/>
        <v>0</v>
      </c>
      <c r="EH51" s="56">
        <f>IF(AND($E51&lt;&gt;0,$F51&gt;0,YEAR($F51)&gt;=Preisindex!$A$6,YEAR(EC$4)&gt;=YEAR($F51),AND($K51&lt;&gt;"a",$K51&lt;&gt;"b",$K51&lt;&gt;"g",$K51&lt;&gt;"k")),1,IF(AND($E51&lt;&gt;0,$F51&gt;0,YEAR($F51)&gt;=Preisindex!$A$6,YEAR(EC$4)&gt;=YEAR($F51),$K51="a"),ROUND(VLOOKUP(EH$4,Preisindex,5,FALSE)/VLOOKUP(YEAR($F51),Preisindex,5,FALSE),2),IF(AND($E51&lt;&gt;0,$F51&gt;0,YEAR($F51)&gt;=Preisindex!$A$6,YEAR(EC$4)&gt;=YEAR($F51),$K51="b"),ROUND(VLOOKUP(EH$4,Preisindex,3,FALSE)/VLOOKUP(YEAR($F51),Preisindex,3,FALSE),2),IF(AND($E51&lt;&gt;0,$F51&gt;0,YEAR($F51)&gt;=Preisindex!$A$6,YEAR(EC$4)&gt;=YEAR($F51),$K51="g"),ROUND(VLOOKUP(EH$4,Preisindex,4,FALSE)/VLOOKUP(YEAR($F51),Preisindex,4,FALSE),2),IF(AND($E51&lt;&gt;0,$F51&gt;0,YEAR($F51)&gt;=Preisindex!$A$6,YEAR(EC$4)&gt;=YEAR($F51),$K51="k"),ROUND(VLOOKUP(EH$4,Preisindex,2,FALSE)/VLOOKUP(YEAR($F51),Preisindex,2,FALSE),2),0)))))</f>
        <v>2.58</v>
      </c>
      <c r="EI51" s="56">
        <f>IF(AND($E51&lt;&gt;0,$F51&gt;0,YEAR($F51)&lt;Preisindex!$A$6,YEAR(EC$4)&gt;=YEAR($F51),AND($K51&lt;&gt;"a",$K51&lt;&gt;"b",$K51&lt;&gt;"g",$K51&lt;&gt;"k")),1,IF(AND($E51&lt;&gt;0,$F51&gt;0,YEAR($F51)&lt;Preisindex!$A$6,YEAR(EC$4)&gt;=YEAR($F51),$K51="a"),ROUND(VLOOKUP(EH$4,Preisindex,5,FALSE)/VLOOKUP(Preisindex!$A$6,Preisindex,5,FALSE),2),IF(AND($E51&lt;&gt;0,$F51&gt;0,YEAR($F51)&lt;Preisindex!$A$6,YEAR(EC$4)&gt;=YEAR($F51),$K51="b"),ROUND(VLOOKUP(EH$4,Preisindex,3,FALSE)/VLOOKUP(Preisindex!$A$6,Preisindex,3,FALSE),2),IF(AND($E51&lt;&gt;0,$F51&gt;0,YEAR($F51)&lt;Preisindex!$A$6,YEAR(EC$4)&gt;=YEAR($F51),$K51="g"),ROUND(VLOOKUP(EH$4,Preisindex,4,FALSE)/VLOOKUP(Preisindex!$A$6,Preisindex,4,FALSE),2),IF(AND($E51&lt;&gt;0,$F51&gt;0,YEAR($F51)&lt;Preisindex!$A$6,YEAR(EC$4)&gt;=YEAR($F51),$K51="k"),ROUND(VLOOKUP(EH$4,Preisindex,2,FALSE)/VLOOKUP(Preisindex!$A$6,Preisindex,2,FALSE),2),0)))))</f>
        <v>0</v>
      </c>
      <c r="EJ51" s="51">
        <f>IF(AND($E51&lt;&gt;0,$F51&gt;0,YEAR($F51)&lt;=EH$4,YEAR($F51)&gt;=Preisindex!$A$6),ROUND($E51*EH51,2),IF(AND($E51&lt;&gt;0,$F51&gt;0,YEAR($F51)&lt;=EH$4,YEAR($F51)&lt;Preisindex!$A$6),ROUND($E51*EI51,2),0))</f>
        <v>96750</v>
      </c>
      <c r="EK51" s="53">
        <f t="shared" si="227"/>
        <v>1935</v>
      </c>
      <c r="EL51" s="51">
        <f t="shared" si="358"/>
        <v>0</v>
      </c>
      <c r="EM51" s="51">
        <f t="shared" si="347"/>
        <v>0</v>
      </c>
      <c r="EN51" s="51">
        <f t="shared" si="230"/>
        <v>0</v>
      </c>
      <c r="EO51" s="51">
        <f t="shared" si="348"/>
        <v>0</v>
      </c>
      <c r="EP51" s="51">
        <f t="shared" si="232"/>
        <v>37500</v>
      </c>
      <c r="EQ51" s="51">
        <f t="shared" si="349"/>
        <v>37500</v>
      </c>
      <c r="ER51" s="51">
        <f t="shared" si="234"/>
        <v>750</v>
      </c>
      <c r="ES51" s="51">
        <f t="shared" si="350"/>
        <v>750</v>
      </c>
      <c r="ET51" s="51">
        <f t="shared" si="236"/>
        <v>6375</v>
      </c>
      <c r="EU51" s="51">
        <f t="shared" si="351"/>
        <v>6375</v>
      </c>
      <c r="EV51" s="51">
        <f t="shared" si="238"/>
        <v>31125</v>
      </c>
      <c r="EW51" s="54">
        <f t="shared" si="239"/>
        <v>0</v>
      </c>
      <c r="EX51" s="55">
        <f t="shared" si="240"/>
        <v>0</v>
      </c>
      <c r="EY51" s="56">
        <f>IF(AND($E51&lt;&gt;0,$F51&gt;0,YEAR($F51)&gt;=Preisindex!$A$6,YEAR(ET$4)&gt;=YEAR($F51),AND($K51&lt;&gt;"a",$K51&lt;&gt;"b",$K51&lt;&gt;"g",$K51&lt;&gt;"k")),1,IF(AND($E51&lt;&gt;0,$F51&gt;0,YEAR($F51)&gt;=Preisindex!$A$6,YEAR(ET$4)&gt;=YEAR($F51),$K51="a"),ROUND(VLOOKUP(EY$4,Preisindex,5,FALSE)/VLOOKUP(YEAR($F51),Preisindex,5,FALSE),2),IF(AND($E51&lt;&gt;0,$F51&gt;0,YEAR($F51)&gt;=Preisindex!$A$6,YEAR(ET$4)&gt;=YEAR($F51),$K51="b"),ROUND(VLOOKUP(EY$4,Preisindex,3,FALSE)/VLOOKUP(YEAR($F51),Preisindex,3,FALSE),2),IF(AND($E51&lt;&gt;0,$F51&gt;0,YEAR($F51)&gt;=Preisindex!$A$6,YEAR(ET$4)&gt;=YEAR($F51),$K51="g"),ROUND(VLOOKUP(EY$4,Preisindex,4,FALSE)/VLOOKUP(YEAR($F51),Preisindex,4,FALSE),2),IF(AND($E51&lt;&gt;0,$F51&gt;0,YEAR($F51)&gt;=Preisindex!$A$6,YEAR(ET$4)&gt;=YEAR($F51),$K51="k"),ROUND(VLOOKUP(EY$4,Preisindex,2,FALSE)/VLOOKUP(YEAR($F51),Preisindex,2,FALSE),2),0)))))</f>
        <v>2.58</v>
      </c>
      <c r="EZ51" s="56">
        <f>IF(AND($E51&lt;&gt;0,$F51&gt;0,YEAR($F51)&lt;Preisindex!$A$6,YEAR(ET$4)&gt;=YEAR($F51),AND($K51&lt;&gt;"a",$K51&lt;&gt;"b",$K51&lt;&gt;"g",$K51&lt;&gt;"k")),1,IF(AND($E51&lt;&gt;0,$F51&gt;0,YEAR($F51)&lt;Preisindex!$A$6,YEAR(ET$4)&gt;=YEAR($F51),$K51="a"),ROUND(VLOOKUP(EY$4,Preisindex,5,FALSE)/VLOOKUP(Preisindex!$A$6,Preisindex,5,FALSE),2),IF(AND($E51&lt;&gt;0,$F51&gt;0,YEAR($F51)&lt;Preisindex!$A$6,YEAR(ET$4)&gt;=YEAR($F51),$K51="b"),ROUND(VLOOKUP(EY$4,Preisindex,3,FALSE)/VLOOKUP(Preisindex!$A$6,Preisindex,3,FALSE),2),IF(AND($E51&lt;&gt;0,$F51&gt;0,YEAR($F51)&lt;Preisindex!$A$6,YEAR(ET$4)&gt;=YEAR($F51),$K51="g"),ROUND(VLOOKUP(EY$4,Preisindex,4,FALSE)/VLOOKUP(Preisindex!$A$6,Preisindex,4,FALSE),2),IF(AND($E51&lt;&gt;0,$F51&gt;0,YEAR($F51)&lt;Preisindex!$A$6,YEAR(ET$4)&gt;=YEAR($F51),$K51="k"),ROUND(VLOOKUP(EY$4,Preisindex,2,FALSE)/VLOOKUP(Preisindex!$A$6,Preisindex,2,FALSE),2),0)))))</f>
        <v>0</v>
      </c>
      <c r="FA51" s="51">
        <f>IF(AND($E51&lt;&gt;0,$F51&gt;0,YEAR($F51)&lt;=EY$4,YEAR($F51)&gt;=Preisindex!$A$6),ROUND($E51*EY51,2),IF(AND($E51&lt;&gt;0,$F51&gt;0,YEAR($F51)&lt;=EY$4,YEAR($F51)&lt;Preisindex!$A$6),ROUND($E51*EZ51,2),0))</f>
        <v>96750</v>
      </c>
      <c r="FB51" s="53">
        <f t="shared" si="241"/>
        <v>1935</v>
      </c>
      <c r="FC51" s="51">
        <f t="shared" si="358"/>
        <v>0</v>
      </c>
      <c r="FD51" s="51">
        <f t="shared" si="352"/>
        <v>0</v>
      </c>
      <c r="FE51" s="51">
        <f t="shared" si="244"/>
        <v>0</v>
      </c>
      <c r="FF51" s="51">
        <f t="shared" si="353"/>
        <v>0</v>
      </c>
      <c r="FG51" s="51">
        <f t="shared" si="246"/>
        <v>37500</v>
      </c>
      <c r="FH51" s="51">
        <f t="shared" si="354"/>
        <v>37500</v>
      </c>
      <c r="FI51" s="51">
        <f t="shared" si="248"/>
        <v>750</v>
      </c>
      <c r="FJ51" s="51">
        <f t="shared" si="355"/>
        <v>750</v>
      </c>
      <c r="FK51" s="51">
        <f t="shared" si="250"/>
        <v>5625</v>
      </c>
      <c r="FL51" s="51">
        <f t="shared" si="356"/>
        <v>5625</v>
      </c>
      <c r="FM51" s="51">
        <f t="shared" si="252"/>
        <v>31875</v>
      </c>
      <c r="FN51" s="54">
        <f t="shared" si="253"/>
        <v>0</v>
      </c>
      <c r="FO51" s="55">
        <f t="shared" si="254"/>
        <v>0</v>
      </c>
      <c r="FP51" s="56">
        <f>IF(AND($E51&lt;&gt;0,$F51&gt;0,YEAR($F51)&gt;=Preisindex!$A$6,YEAR(FK$4)&gt;=YEAR($F51),AND($K51&lt;&gt;"a",$K51&lt;&gt;"b",$K51&lt;&gt;"g",$K51&lt;&gt;"k")),1,IF(AND($E51&lt;&gt;0,$F51&gt;0,YEAR($F51)&gt;=Preisindex!$A$6,YEAR(FK$4)&gt;=YEAR($F51),$K51="a"),ROUND(VLOOKUP(FP$4,Preisindex,5,FALSE)/VLOOKUP(YEAR($F51),Preisindex,5,FALSE),2),IF(AND($E51&lt;&gt;0,$F51&gt;0,YEAR($F51)&gt;=Preisindex!$A$6,YEAR(FK$4)&gt;=YEAR($F51),$K51="b"),ROUND(VLOOKUP(FP$4,Preisindex,3,FALSE)/VLOOKUP(YEAR($F51),Preisindex,3,FALSE),2),IF(AND($E51&lt;&gt;0,$F51&gt;0,YEAR($F51)&gt;=Preisindex!$A$6,YEAR(FK$4)&gt;=YEAR($F51),$K51="g"),ROUND(VLOOKUP(FP$4,Preisindex,4,FALSE)/VLOOKUP(YEAR($F51),Preisindex,4,FALSE),2),IF(AND($E51&lt;&gt;0,$F51&gt;0,YEAR($F51)&gt;=Preisindex!$A$6,YEAR(FK$4)&gt;=YEAR($F51),$K51="k"),ROUND(VLOOKUP(FP$4,Preisindex,2,FALSE)/VLOOKUP(YEAR($F51),Preisindex,2,FALSE),2),0)))))</f>
        <v>2.58</v>
      </c>
      <c r="FQ51" s="56">
        <f>IF(AND($E51&lt;&gt;0,$F51&gt;0,YEAR($F51)&lt;Preisindex!$A$6,YEAR(FK$4)&gt;=YEAR($F51),AND($K51&lt;&gt;"a",$K51&lt;&gt;"b",$K51&lt;&gt;"g",$K51&lt;&gt;"k")),1,IF(AND($E51&lt;&gt;0,$F51&gt;0,YEAR($F51)&lt;Preisindex!$A$6,YEAR(FK$4)&gt;=YEAR($F51),$K51="a"),ROUND(VLOOKUP(FP$4,Preisindex,5,FALSE)/VLOOKUP(Preisindex!$A$6,Preisindex,5,FALSE),2),IF(AND($E51&lt;&gt;0,$F51&gt;0,YEAR($F51)&lt;Preisindex!$A$6,YEAR(FK$4)&gt;=YEAR($F51),$K51="b"),ROUND(VLOOKUP(FP$4,Preisindex,3,FALSE)/VLOOKUP(Preisindex!$A$6,Preisindex,3,FALSE),2),IF(AND($E51&lt;&gt;0,$F51&gt;0,YEAR($F51)&lt;Preisindex!$A$6,YEAR(FK$4)&gt;=YEAR($F51),$K51="g"),ROUND(VLOOKUP(FP$4,Preisindex,4,FALSE)/VLOOKUP(Preisindex!$A$6,Preisindex,4,FALSE),2),IF(AND($E51&lt;&gt;0,$F51&gt;0,YEAR($F51)&lt;Preisindex!$A$6,YEAR(FK$4)&gt;=YEAR($F51),$K51="k"),ROUND(VLOOKUP(FP$4,Preisindex,2,FALSE)/VLOOKUP(Preisindex!$A$6,Preisindex,2,FALSE),2),0)))))</f>
        <v>0</v>
      </c>
      <c r="FR51" s="51">
        <f>IF(AND($E51&lt;&gt;0,$F51&gt;0,YEAR($F51)&lt;=FP$4,YEAR($F51)&gt;=Preisindex!$A$6),ROUND($E51*FP51,2),IF(AND($E51&lt;&gt;0,$F51&gt;0,YEAR($F51)&lt;=FP$4,YEAR($F51)&lt;Preisindex!$A$6),ROUND($E51*FQ51,2),0))</f>
        <v>96750</v>
      </c>
      <c r="FS51" s="53">
        <f t="shared" si="255"/>
        <v>1935</v>
      </c>
    </row>
    <row r="52" spans="1:175" x14ac:dyDescent="0.3">
      <c r="A52" s="93">
        <v>1980</v>
      </c>
      <c r="B52" s="94" t="s">
        <v>238</v>
      </c>
      <c r="C52" s="94"/>
      <c r="D52" s="95" t="s">
        <v>63</v>
      </c>
      <c r="E52" s="99">
        <v>60000</v>
      </c>
      <c r="F52" s="97">
        <v>29403</v>
      </c>
      <c r="G52" s="98">
        <v>50</v>
      </c>
      <c r="H52" s="620"/>
      <c r="I52" s="621"/>
      <c r="J52" s="194"/>
      <c r="K52" s="630" t="s">
        <v>266</v>
      </c>
      <c r="L52" s="49">
        <f t="shared" si="296"/>
        <v>0.02</v>
      </c>
      <c r="M52" s="50">
        <f t="shared" si="297"/>
        <v>1200</v>
      </c>
      <c r="N52" s="51">
        <f t="shared" si="298"/>
        <v>22200</v>
      </c>
      <c r="O52" s="51"/>
      <c r="P52" s="51">
        <f t="shared" si="299"/>
        <v>37800</v>
      </c>
      <c r="Q52" s="52"/>
      <c r="R52" s="52"/>
      <c r="S52" s="52"/>
      <c r="T52" s="52"/>
      <c r="U52" s="52"/>
      <c r="V52" s="53">
        <f t="shared" si="300"/>
        <v>60000</v>
      </c>
      <c r="W52" s="51">
        <f t="shared" si="301"/>
        <v>0</v>
      </c>
      <c r="X52" s="51">
        <f t="shared" si="302"/>
        <v>0</v>
      </c>
      <c r="Y52" s="51">
        <f t="shared" si="303"/>
        <v>0</v>
      </c>
      <c r="Z52" s="51">
        <f t="shared" si="304"/>
        <v>0</v>
      </c>
      <c r="AA52" s="51">
        <f t="shared" si="305"/>
        <v>60000</v>
      </c>
      <c r="AB52" s="51">
        <f t="shared" si="306"/>
        <v>60000</v>
      </c>
      <c r="AC52" s="51">
        <f t="shared" si="307"/>
        <v>1200</v>
      </c>
      <c r="AD52" s="51">
        <f t="shared" si="308"/>
        <v>1200</v>
      </c>
      <c r="AE52" s="51">
        <f t="shared" si="309"/>
        <v>21000</v>
      </c>
      <c r="AF52" s="51">
        <f t="shared" si="310"/>
        <v>21000</v>
      </c>
      <c r="AG52" s="51">
        <f t="shared" si="311"/>
        <v>39000</v>
      </c>
      <c r="AH52" s="54">
        <f t="shared" si="312"/>
        <v>0</v>
      </c>
      <c r="AI52" s="55">
        <f t="shared" si="313"/>
        <v>0</v>
      </c>
      <c r="AJ52" s="56">
        <f>IF(AND($E52&lt;&gt;0,$F52&gt;0,YEAR($F52)&gt;=Preisindex!$A$6,YEAR(AE$4)&gt;=YEAR($F52),AND($K52&lt;&gt;"a",$K52&lt;&gt;"b",$K52&lt;&gt;"g",$K52&lt;&gt;"k")),1,IF(AND($E52&lt;&gt;0,$F52&gt;0,YEAR($F52)&gt;=Preisindex!$A$6,YEAR(AE$4)&gt;=YEAR($F52),$K52="a"),ROUND(VLOOKUP(AJ$4,Preisindex,5,FALSE)/VLOOKUP(YEAR($F52),Preisindex,5,FALSE),2),IF(AND($E52&lt;&gt;0,$F52&gt;0,YEAR($F52)&gt;=Preisindex!$A$6,YEAR(AE$4)&gt;=YEAR($F52),$K52="b"),ROUND(VLOOKUP(AJ$4,Preisindex,3,FALSE)/VLOOKUP(YEAR($F52),Preisindex,3,FALSE),2),IF(AND($E52&lt;&gt;0,$F52&gt;0,YEAR($F52)&gt;=Preisindex!$A$6,YEAR(AE$4)&gt;=YEAR($F52),$K52="g"),ROUND(VLOOKUP(AJ$4,Preisindex,4,FALSE)/VLOOKUP(YEAR($F52),Preisindex,4,FALSE),2),IF(AND($E52&lt;&gt;0,$F52&gt;0,YEAR($F52)&gt;=Preisindex!$A$6,YEAR(AE$4)&gt;=YEAR($F52),$K52="k"),ROUND(VLOOKUP(AJ$4,Preisindex,2,FALSE)/VLOOKUP(YEAR($F52),Preisindex,2,FALSE),2),0)))))</f>
        <v>1.79</v>
      </c>
      <c r="AK52" s="56">
        <f>IF(AND($E52&lt;&gt;0,$F52&gt;0,YEAR($F52)&lt;Preisindex!$A$6,YEAR(AE$4)&gt;=YEAR($F52),AND($K52&lt;&gt;"a",$K52&lt;&gt;"b",$K52&lt;&gt;"g",$K52&lt;&gt;"k")),1,IF(AND($E52&lt;&gt;0,$F52&gt;0,YEAR($F52)&lt;Preisindex!$A$6,YEAR(AE$4)&gt;=YEAR($F52),$K52="a"),ROUND(VLOOKUP(AJ$4,Preisindex,5,FALSE)/VLOOKUP(Preisindex!$A$6,Preisindex,5,FALSE),2),IF(AND($E52&lt;&gt;0,$F52&gt;0,YEAR($F52)&lt;Preisindex!$A$6,YEAR(AE$4)&gt;=YEAR($F52),$K52="b"),ROUND(VLOOKUP(AJ$4,Preisindex,3,FALSE)/VLOOKUP(Preisindex!$A$6,Preisindex,3,FALSE),2),IF(AND($E52&lt;&gt;0,$F52&gt;0,YEAR($F52)&lt;Preisindex!$A$6,YEAR(AE$4)&gt;=YEAR($F52),$K52="g"),ROUND(VLOOKUP(AJ$4,Preisindex,4,FALSE)/VLOOKUP(Preisindex!$A$6,Preisindex,4,FALSE),2),IF(AND($E52&lt;&gt;0,$F52&gt;0,YEAR($F52)&lt;Preisindex!$A$6,YEAR(AE$4)&gt;=YEAR($F52),$K52="k"),ROUND(VLOOKUP(AJ$4,Preisindex,2,FALSE)/VLOOKUP(Preisindex!$A$6,Preisindex,2,FALSE),2),0)))))</f>
        <v>0</v>
      </c>
      <c r="AL52" s="51">
        <f>IF(AND($E52&lt;&gt;0,$F52&gt;0,YEAR($F52)&lt;=AJ$4,YEAR($F52)&gt;=Preisindex!$A$6),ROUND($E52*AJ52,2),IF(AND($E52&lt;&gt;0,$F52&gt;0,YEAR($F52)&lt;=AJ$4,YEAR($F52)&lt;Preisindex!$A$6),ROUND($E52*AK52,2),0))</f>
        <v>107400</v>
      </c>
      <c r="AM52" s="53">
        <f t="shared" si="314"/>
        <v>2148</v>
      </c>
      <c r="AN52" s="51">
        <f t="shared" si="357"/>
        <v>0</v>
      </c>
      <c r="AO52" s="51">
        <f t="shared" si="317"/>
        <v>0</v>
      </c>
      <c r="AP52" s="51">
        <f t="shared" si="146"/>
        <v>0</v>
      </c>
      <c r="AQ52" s="51">
        <f t="shared" si="318"/>
        <v>0</v>
      </c>
      <c r="AR52" s="51">
        <f t="shared" si="148"/>
        <v>60000</v>
      </c>
      <c r="AS52" s="51">
        <f t="shared" si="319"/>
        <v>60000</v>
      </c>
      <c r="AT52" s="51">
        <f t="shared" si="150"/>
        <v>1200</v>
      </c>
      <c r="AU52" s="51">
        <f t="shared" si="320"/>
        <v>1200</v>
      </c>
      <c r="AV52" s="51">
        <f t="shared" si="152"/>
        <v>19800</v>
      </c>
      <c r="AW52" s="51">
        <f t="shared" si="321"/>
        <v>19800</v>
      </c>
      <c r="AX52" s="51">
        <f t="shared" si="154"/>
        <v>40200</v>
      </c>
      <c r="AY52" s="54">
        <f t="shared" si="155"/>
        <v>0</v>
      </c>
      <c r="AZ52" s="55">
        <f t="shared" si="156"/>
        <v>0</v>
      </c>
      <c r="BA52" s="56">
        <f>IF(AND($E52&lt;&gt;0,$F52&gt;0,YEAR($F52)&gt;=Preisindex!$A$6,YEAR(AV$4)&gt;=YEAR($F52),AND($K52&lt;&gt;"a",$K52&lt;&gt;"b",$K52&lt;&gt;"g",$K52&lt;&gt;"k")),1,IF(AND($E52&lt;&gt;0,$F52&gt;0,YEAR($F52)&gt;=Preisindex!$A$6,YEAR(AV$4)&gt;=YEAR($F52),$K52="a"),ROUND(VLOOKUP(BA$4,Preisindex,5,FALSE)/VLOOKUP(YEAR($F52),Preisindex,5,FALSE),2),IF(AND($E52&lt;&gt;0,$F52&gt;0,YEAR($F52)&gt;=Preisindex!$A$6,YEAR(AV$4)&gt;=YEAR($F52),$K52="b"),ROUND(VLOOKUP(BA$4,Preisindex,3,FALSE)/VLOOKUP(YEAR($F52),Preisindex,3,FALSE),2),IF(AND($E52&lt;&gt;0,$F52&gt;0,YEAR($F52)&gt;=Preisindex!$A$6,YEAR(AV$4)&gt;=YEAR($F52),$K52="g"),ROUND(VLOOKUP(BA$4,Preisindex,4,FALSE)/VLOOKUP(YEAR($F52),Preisindex,4,FALSE),2),IF(AND($E52&lt;&gt;0,$F52&gt;0,YEAR($F52)&gt;=Preisindex!$A$6,YEAR(AV$4)&gt;=YEAR($F52),$K52="k"),ROUND(VLOOKUP(BA$4,Preisindex,2,FALSE)/VLOOKUP(YEAR($F52),Preisindex,2,FALSE),2),0)))))</f>
        <v>1.82</v>
      </c>
      <c r="BB52" s="56">
        <f>IF(AND($E52&lt;&gt;0,$F52&gt;0,YEAR($F52)&lt;Preisindex!$A$6,YEAR(AV$4)&gt;=YEAR($F52),AND($K52&lt;&gt;"a",$K52&lt;&gt;"b",$K52&lt;&gt;"g",$K52&lt;&gt;"k")),1,IF(AND($E52&lt;&gt;0,$F52&gt;0,YEAR($F52)&lt;Preisindex!$A$6,YEAR(AV$4)&gt;=YEAR($F52),$K52="a"),ROUND(VLOOKUP(BA$4,Preisindex,5,FALSE)/VLOOKUP(Preisindex!$A$6,Preisindex,5,FALSE),2),IF(AND($E52&lt;&gt;0,$F52&gt;0,YEAR($F52)&lt;Preisindex!$A$6,YEAR(AV$4)&gt;=YEAR($F52),$K52="b"),ROUND(VLOOKUP(BA$4,Preisindex,3,FALSE)/VLOOKUP(Preisindex!$A$6,Preisindex,3,FALSE),2),IF(AND($E52&lt;&gt;0,$F52&gt;0,YEAR($F52)&lt;Preisindex!$A$6,YEAR(AV$4)&gt;=YEAR($F52),$K52="g"),ROUND(VLOOKUP(BA$4,Preisindex,4,FALSE)/VLOOKUP(Preisindex!$A$6,Preisindex,4,FALSE),2),IF(AND($E52&lt;&gt;0,$F52&gt;0,YEAR($F52)&lt;Preisindex!$A$6,YEAR(AV$4)&gt;=YEAR($F52),$K52="k"),ROUND(VLOOKUP(BA$4,Preisindex,2,FALSE)/VLOOKUP(Preisindex!$A$6,Preisindex,2,FALSE),2),0)))))</f>
        <v>0</v>
      </c>
      <c r="BC52" s="51">
        <f>IF(AND($E52&lt;&gt;0,$F52&gt;0,YEAR($F52)&lt;=BA$4,YEAR($F52)&gt;=Preisindex!$A$6),ROUND($E52*BA52,2),IF(AND($E52&lt;&gt;0,$F52&gt;0,YEAR($F52)&lt;=BA$4,YEAR($F52)&lt;Preisindex!$A$6),ROUND($E52*BB52,2),0))</f>
        <v>109200</v>
      </c>
      <c r="BD52" s="53">
        <f t="shared" si="157"/>
        <v>2184</v>
      </c>
      <c r="BE52" s="51">
        <f t="shared" si="357"/>
        <v>0</v>
      </c>
      <c r="BF52" s="51">
        <f t="shared" si="322"/>
        <v>0</v>
      </c>
      <c r="BG52" s="51">
        <f t="shared" si="160"/>
        <v>0</v>
      </c>
      <c r="BH52" s="51">
        <f t="shared" si="323"/>
        <v>0</v>
      </c>
      <c r="BI52" s="51">
        <f t="shared" si="162"/>
        <v>60000</v>
      </c>
      <c r="BJ52" s="51">
        <f t="shared" si="324"/>
        <v>60000</v>
      </c>
      <c r="BK52" s="51">
        <f t="shared" si="164"/>
        <v>1200</v>
      </c>
      <c r="BL52" s="51">
        <f t="shared" si="325"/>
        <v>1200</v>
      </c>
      <c r="BM52" s="51">
        <f t="shared" si="166"/>
        <v>18600</v>
      </c>
      <c r="BN52" s="51">
        <f t="shared" si="326"/>
        <v>18600</v>
      </c>
      <c r="BO52" s="51">
        <f t="shared" si="168"/>
        <v>41400</v>
      </c>
      <c r="BP52" s="54">
        <f t="shared" si="169"/>
        <v>0</v>
      </c>
      <c r="BQ52" s="55">
        <f t="shared" si="170"/>
        <v>0</v>
      </c>
      <c r="BR52" s="56">
        <f>IF(AND($E52&lt;&gt;0,$F52&gt;0,YEAR($F52)&gt;=Preisindex!$A$6,YEAR(BM$4)&gt;=YEAR($F52),AND($K52&lt;&gt;"a",$K52&lt;&gt;"b",$K52&lt;&gt;"g",$K52&lt;&gt;"k")),1,IF(AND($E52&lt;&gt;0,$F52&gt;0,YEAR($F52)&gt;=Preisindex!$A$6,YEAR(BM$4)&gt;=YEAR($F52),$K52="a"),ROUND(VLOOKUP(BR$4,Preisindex,5,FALSE)/VLOOKUP(YEAR($F52),Preisindex,5,FALSE),2),IF(AND($E52&lt;&gt;0,$F52&gt;0,YEAR($F52)&gt;=Preisindex!$A$6,YEAR(BM$4)&gt;=YEAR($F52),$K52="b"),ROUND(VLOOKUP(BR$4,Preisindex,3,FALSE)/VLOOKUP(YEAR($F52),Preisindex,3,FALSE),2),IF(AND($E52&lt;&gt;0,$F52&gt;0,YEAR($F52)&gt;=Preisindex!$A$6,YEAR(BM$4)&gt;=YEAR($F52),$K52="g"),ROUND(VLOOKUP(BR$4,Preisindex,4,FALSE)/VLOOKUP(YEAR($F52),Preisindex,4,FALSE),2),IF(AND($E52&lt;&gt;0,$F52&gt;0,YEAR($F52)&gt;=Preisindex!$A$6,YEAR(BM$4)&gt;=YEAR($F52),$K52="k"),ROUND(VLOOKUP(BR$4,Preisindex,2,FALSE)/VLOOKUP(YEAR($F52),Preisindex,2,FALSE),2),0)))))</f>
        <v>1.86</v>
      </c>
      <c r="BS52" s="56">
        <f>IF(AND($E52&lt;&gt;0,$F52&gt;0,YEAR($F52)&lt;Preisindex!$A$6,YEAR(BM$4)&gt;=YEAR($F52),AND($K52&lt;&gt;"a",$K52&lt;&gt;"b",$K52&lt;&gt;"g",$K52&lt;&gt;"k")),1,IF(AND($E52&lt;&gt;0,$F52&gt;0,YEAR($F52)&lt;Preisindex!$A$6,YEAR(BM$4)&gt;=YEAR($F52),$K52="a"),ROUND(VLOOKUP(BR$4,Preisindex,5,FALSE)/VLOOKUP(Preisindex!$A$6,Preisindex,5,FALSE),2),IF(AND($E52&lt;&gt;0,$F52&gt;0,YEAR($F52)&lt;Preisindex!$A$6,YEAR(BM$4)&gt;=YEAR($F52),$K52="b"),ROUND(VLOOKUP(BR$4,Preisindex,3,FALSE)/VLOOKUP(Preisindex!$A$6,Preisindex,3,FALSE),2),IF(AND($E52&lt;&gt;0,$F52&gt;0,YEAR($F52)&lt;Preisindex!$A$6,YEAR(BM$4)&gt;=YEAR($F52),$K52="g"),ROUND(VLOOKUP(BR$4,Preisindex,4,FALSE)/VLOOKUP(Preisindex!$A$6,Preisindex,4,FALSE),2),IF(AND($E52&lt;&gt;0,$F52&gt;0,YEAR($F52)&lt;Preisindex!$A$6,YEAR(BM$4)&gt;=YEAR($F52),$K52="k"),ROUND(VLOOKUP(BR$4,Preisindex,2,FALSE)/VLOOKUP(Preisindex!$A$6,Preisindex,2,FALSE),2),0)))))</f>
        <v>0</v>
      </c>
      <c r="BT52" s="51">
        <f>IF(AND($E52&lt;&gt;0,$F52&gt;0,YEAR($F52)&lt;=BR$4,YEAR($F52)&gt;=Preisindex!$A$6),ROUND($E52*BR52,2),IF(AND($E52&lt;&gt;0,$F52&gt;0,YEAR($F52)&lt;=BR$4,YEAR($F52)&lt;Preisindex!$A$6),ROUND($E52*BS52,2),0))</f>
        <v>111600</v>
      </c>
      <c r="BU52" s="53">
        <f t="shared" si="171"/>
        <v>2232</v>
      </c>
      <c r="BV52" s="51">
        <f t="shared" si="357"/>
        <v>0</v>
      </c>
      <c r="BW52" s="51">
        <f t="shared" si="327"/>
        <v>0</v>
      </c>
      <c r="BX52" s="51">
        <f t="shared" si="174"/>
        <v>0</v>
      </c>
      <c r="BY52" s="51">
        <f t="shared" si="328"/>
        <v>0</v>
      </c>
      <c r="BZ52" s="51">
        <f t="shared" si="176"/>
        <v>60000</v>
      </c>
      <c r="CA52" s="51">
        <f t="shared" si="329"/>
        <v>60000</v>
      </c>
      <c r="CB52" s="51">
        <f t="shared" si="178"/>
        <v>1200</v>
      </c>
      <c r="CC52" s="51">
        <f t="shared" si="330"/>
        <v>1200</v>
      </c>
      <c r="CD52" s="51">
        <f t="shared" si="180"/>
        <v>17400</v>
      </c>
      <c r="CE52" s="51">
        <f t="shared" si="331"/>
        <v>17400</v>
      </c>
      <c r="CF52" s="51">
        <f t="shared" si="182"/>
        <v>42600</v>
      </c>
      <c r="CG52" s="54">
        <f t="shared" si="183"/>
        <v>0</v>
      </c>
      <c r="CH52" s="55">
        <f t="shared" si="184"/>
        <v>0</v>
      </c>
      <c r="CI52" s="56">
        <f>IF(AND($E52&lt;&gt;0,$F52&gt;0,YEAR($F52)&gt;=Preisindex!$A$6,YEAR(CD$4)&gt;=YEAR($F52),AND($K52&lt;&gt;"a",$K52&lt;&gt;"b",$K52&lt;&gt;"g",$K52&lt;&gt;"k")),1,IF(AND($E52&lt;&gt;0,$F52&gt;0,YEAR($F52)&gt;=Preisindex!$A$6,YEAR(CD$4)&gt;=YEAR($F52),$K52="a"),ROUND(VLOOKUP(CI$4,Preisindex,5,FALSE)/VLOOKUP(YEAR($F52),Preisindex,5,FALSE),2),IF(AND($E52&lt;&gt;0,$F52&gt;0,YEAR($F52)&gt;=Preisindex!$A$6,YEAR(CD$4)&gt;=YEAR($F52),$K52="b"),ROUND(VLOOKUP(CI$4,Preisindex,3,FALSE)/VLOOKUP(YEAR($F52),Preisindex,3,FALSE),2),IF(AND($E52&lt;&gt;0,$F52&gt;0,YEAR($F52)&gt;=Preisindex!$A$6,YEAR(CD$4)&gt;=YEAR($F52),$K52="g"),ROUND(VLOOKUP(CI$4,Preisindex,4,FALSE)/VLOOKUP(YEAR($F52),Preisindex,4,FALSE),2),IF(AND($E52&lt;&gt;0,$F52&gt;0,YEAR($F52)&gt;=Preisindex!$A$6,YEAR(CD$4)&gt;=YEAR($F52),$K52="k"),ROUND(VLOOKUP(CI$4,Preisindex,2,FALSE)/VLOOKUP(YEAR($F52),Preisindex,2,FALSE),2),0)))))</f>
        <v>1.88</v>
      </c>
      <c r="CJ52" s="56">
        <f>IF(AND($E52&lt;&gt;0,$F52&gt;0,YEAR($F52)&lt;Preisindex!$A$6,YEAR(CD$4)&gt;=YEAR($F52),AND($K52&lt;&gt;"a",$K52&lt;&gt;"b",$K52&lt;&gt;"g",$K52&lt;&gt;"k")),1,IF(AND($E52&lt;&gt;0,$F52&gt;0,YEAR($F52)&lt;Preisindex!$A$6,YEAR(CD$4)&gt;=YEAR($F52),$K52="a"),ROUND(VLOOKUP(CI$4,Preisindex,5,FALSE)/VLOOKUP(Preisindex!$A$6,Preisindex,5,FALSE),2),IF(AND($E52&lt;&gt;0,$F52&gt;0,YEAR($F52)&lt;Preisindex!$A$6,YEAR(CD$4)&gt;=YEAR($F52),$K52="b"),ROUND(VLOOKUP(CI$4,Preisindex,3,FALSE)/VLOOKUP(Preisindex!$A$6,Preisindex,3,FALSE),2),IF(AND($E52&lt;&gt;0,$F52&gt;0,YEAR($F52)&lt;Preisindex!$A$6,YEAR(CD$4)&gt;=YEAR($F52),$K52="g"),ROUND(VLOOKUP(CI$4,Preisindex,4,FALSE)/VLOOKUP(Preisindex!$A$6,Preisindex,4,FALSE),2),IF(AND($E52&lt;&gt;0,$F52&gt;0,YEAR($F52)&lt;Preisindex!$A$6,YEAR(CD$4)&gt;=YEAR($F52),$K52="k"),ROUND(VLOOKUP(CI$4,Preisindex,2,FALSE)/VLOOKUP(Preisindex!$A$6,Preisindex,2,FALSE),2),0)))))</f>
        <v>0</v>
      </c>
      <c r="CK52" s="51">
        <f>IF(AND($E52&lt;&gt;0,$F52&gt;0,YEAR($F52)&lt;=CI$4,YEAR($F52)&gt;=Preisindex!$A$6),ROUND($E52*CI52,2),IF(AND($E52&lt;&gt;0,$F52&gt;0,YEAR($F52)&lt;=CI$4,YEAR($F52)&lt;Preisindex!$A$6),ROUND($E52*CJ52,2),0))</f>
        <v>112800</v>
      </c>
      <c r="CL52" s="53">
        <f t="shared" si="185"/>
        <v>2256</v>
      </c>
      <c r="CM52" s="51">
        <f t="shared" si="357"/>
        <v>0</v>
      </c>
      <c r="CN52" s="51">
        <f t="shared" si="332"/>
        <v>0</v>
      </c>
      <c r="CO52" s="51">
        <f t="shared" si="188"/>
        <v>0</v>
      </c>
      <c r="CP52" s="51">
        <f t="shared" si="333"/>
        <v>0</v>
      </c>
      <c r="CQ52" s="51">
        <f t="shared" si="190"/>
        <v>60000</v>
      </c>
      <c r="CR52" s="51">
        <f t="shared" si="334"/>
        <v>60000</v>
      </c>
      <c r="CS52" s="51">
        <f t="shared" si="192"/>
        <v>1200</v>
      </c>
      <c r="CT52" s="51">
        <f t="shared" si="335"/>
        <v>1200</v>
      </c>
      <c r="CU52" s="51">
        <f t="shared" si="194"/>
        <v>16200</v>
      </c>
      <c r="CV52" s="51">
        <f t="shared" si="336"/>
        <v>16200</v>
      </c>
      <c r="CW52" s="51">
        <f t="shared" si="196"/>
        <v>43800</v>
      </c>
      <c r="CX52" s="54">
        <f t="shared" si="197"/>
        <v>0</v>
      </c>
      <c r="CY52" s="55">
        <f t="shared" si="198"/>
        <v>0</v>
      </c>
      <c r="CZ52" s="56">
        <f>IF(AND($E52&lt;&gt;0,$F52&gt;0,YEAR($F52)&gt;=Preisindex!$A$6,YEAR(CU$4)&gt;=YEAR($F52),AND($K52&lt;&gt;"a",$K52&lt;&gt;"b",$K52&lt;&gt;"g",$K52&lt;&gt;"k")),1,IF(AND($E52&lt;&gt;0,$F52&gt;0,YEAR($F52)&gt;=Preisindex!$A$6,YEAR(CU$4)&gt;=YEAR($F52),$K52="a"),ROUND(VLOOKUP(CZ$4,Preisindex,5,FALSE)/VLOOKUP(YEAR($F52),Preisindex,5,FALSE),2),IF(AND($E52&lt;&gt;0,$F52&gt;0,YEAR($F52)&gt;=Preisindex!$A$6,YEAR(CU$4)&gt;=YEAR($F52),$K52="b"),ROUND(VLOOKUP(CZ$4,Preisindex,3,FALSE)/VLOOKUP(YEAR($F52),Preisindex,3,FALSE),2),IF(AND($E52&lt;&gt;0,$F52&gt;0,YEAR($F52)&gt;=Preisindex!$A$6,YEAR(CU$4)&gt;=YEAR($F52),$K52="g"),ROUND(VLOOKUP(CZ$4,Preisindex,4,FALSE)/VLOOKUP(YEAR($F52),Preisindex,4,FALSE),2),IF(AND($E52&lt;&gt;0,$F52&gt;0,YEAR($F52)&gt;=Preisindex!$A$6,YEAR(CU$4)&gt;=YEAR($F52),$K52="k"),ROUND(VLOOKUP(CZ$4,Preisindex,2,FALSE)/VLOOKUP(YEAR($F52),Preisindex,2,FALSE),2),0)))))</f>
        <v>1.91</v>
      </c>
      <c r="DA52" s="56">
        <f>IF(AND($E52&lt;&gt;0,$F52&gt;0,YEAR($F52)&lt;Preisindex!$A$6,YEAR(CU$4)&gt;=YEAR($F52),AND($K52&lt;&gt;"a",$K52&lt;&gt;"b",$K52&lt;&gt;"g",$K52&lt;&gt;"k")),1,IF(AND($E52&lt;&gt;0,$F52&gt;0,YEAR($F52)&lt;Preisindex!$A$6,YEAR(CU$4)&gt;=YEAR($F52),$K52="a"),ROUND(VLOOKUP(CZ$4,Preisindex,5,FALSE)/VLOOKUP(Preisindex!$A$6,Preisindex,5,FALSE),2),IF(AND($E52&lt;&gt;0,$F52&gt;0,YEAR($F52)&lt;Preisindex!$A$6,YEAR(CU$4)&gt;=YEAR($F52),$K52="b"),ROUND(VLOOKUP(CZ$4,Preisindex,3,FALSE)/VLOOKUP(Preisindex!$A$6,Preisindex,3,FALSE),2),IF(AND($E52&lt;&gt;0,$F52&gt;0,YEAR($F52)&lt;Preisindex!$A$6,YEAR(CU$4)&gt;=YEAR($F52),$K52="g"),ROUND(VLOOKUP(CZ$4,Preisindex,4,FALSE)/VLOOKUP(Preisindex!$A$6,Preisindex,4,FALSE),2),IF(AND($E52&lt;&gt;0,$F52&gt;0,YEAR($F52)&lt;Preisindex!$A$6,YEAR(CU$4)&gt;=YEAR($F52),$K52="k"),ROUND(VLOOKUP(CZ$4,Preisindex,2,FALSE)/VLOOKUP(Preisindex!$A$6,Preisindex,2,FALSE),2),0)))))</f>
        <v>0</v>
      </c>
      <c r="DB52" s="51">
        <f>IF(AND($E52&lt;&gt;0,$F52&gt;0,YEAR($F52)&lt;=CZ$4,YEAR($F52)&gt;=Preisindex!$A$6),ROUND($E52*CZ52,2),IF(AND($E52&lt;&gt;0,$F52&gt;0,YEAR($F52)&lt;=CZ$4,YEAR($F52)&lt;Preisindex!$A$6),ROUND($E52*DA52,2),0))</f>
        <v>114600</v>
      </c>
      <c r="DC52" s="53">
        <f t="shared" si="199"/>
        <v>2292</v>
      </c>
      <c r="DD52" s="51">
        <f t="shared" si="358"/>
        <v>0</v>
      </c>
      <c r="DE52" s="51">
        <f t="shared" si="337"/>
        <v>0</v>
      </c>
      <c r="DF52" s="51">
        <f t="shared" si="202"/>
        <v>0</v>
      </c>
      <c r="DG52" s="51">
        <f t="shared" si="338"/>
        <v>0</v>
      </c>
      <c r="DH52" s="51">
        <f t="shared" si="204"/>
        <v>60000</v>
      </c>
      <c r="DI52" s="51">
        <f t="shared" si="339"/>
        <v>60000</v>
      </c>
      <c r="DJ52" s="51">
        <f t="shared" si="206"/>
        <v>1200</v>
      </c>
      <c r="DK52" s="51">
        <f t="shared" si="340"/>
        <v>1200</v>
      </c>
      <c r="DL52" s="51">
        <f t="shared" si="208"/>
        <v>15000</v>
      </c>
      <c r="DM52" s="51">
        <f t="shared" si="341"/>
        <v>15000</v>
      </c>
      <c r="DN52" s="51">
        <f t="shared" si="210"/>
        <v>45000</v>
      </c>
      <c r="DO52" s="54">
        <f t="shared" si="211"/>
        <v>0</v>
      </c>
      <c r="DP52" s="55">
        <f t="shared" si="212"/>
        <v>0</v>
      </c>
      <c r="DQ52" s="56">
        <f>IF(AND($E52&lt;&gt;0,$F52&gt;0,YEAR($F52)&gt;=Preisindex!$A$6,YEAR(DL$4)&gt;=YEAR($F52),AND($K52&lt;&gt;"a",$K52&lt;&gt;"b",$K52&lt;&gt;"g",$K52&lt;&gt;"k")),1,IF(AND($E52&lt;&gt;0,$F52&gt;0,YEAR($F52)&gt;=Preisindex!$A$6,YEAR(DL$4)&gt;=YEAR($F52),$K52="a"),ROUND(VLOOKUP(DQ$4,Preisindex,5,FALSE)/VLOOKUP(YEAR($F52),Preisindex,5,FALSE),2),IF(AND($E52&lt;&gt;0,$F52&gt;0,YEAR($F52)&gt;=Preisindex!$A$6,YEAR(DL$4)&gt;=YEAR($F52),$K52="b"),ROUND(VLOOKUP(DQ$4,Preisindex,3,FALSE)/VLOOKUP(YEAR($F52),Preisindex,3,FALSE),2),IF(AND($E52&lt;&gt;0,$F52&gt;0,YEAR($F52)&gt;=Preisindex!$A$6,YEAR(DL$4)&gt;=YEAR($F52),$K52="g"),ROUND(VLOOKUP(DQ$4,Preisindex,4,FALSE)/VLOOKUP(YEAR($F52),Preisindex,4,FALSE),2),IF(AND($E52&lt;&gt;0,$F52&gt;0,YEAR($F52)&gt;=Preisindex!$A$6,YEAR(DL$4)&gt;=YEAR($F52),$K52="k"),ROUND(VLOOKUP(DQ$4,Preisindex,2,FALSE)/VLOOKUP(YEAR($F52),Preisindex,2,FALSE),2),0)))))</f>
        <v>1.97</v>
      </c>
      <c r="DR52" s="56">
        <f>IF(AND($E52&lt;&gt;0,$F52&gt;0,YEAR($F52)&lt;Preisindex!$A$6,YEAR(DL$4)&gt;=YEAR($F52),AND($K52&lt;&gt;"a",$K52&lt;&gt;"b",$K52&lt;&gt;"g",$K52&lt;&gt;"k")),1,IF(AND($E52&lt;&gt;0,$F52&gt;0,YEAR($F52)&lt;Preisindex!$A$6,YEAR(DL$4)&gt;=YEAR($F52),$K52="a"),ROUND(VLOOKUP(DQ$4,Preisindex,5,FALSE)/VLOOKUP(Preisindex!$A$6,Preisindex,5,FALSE),2),IF(AND($E52&lt;&gt;0,$F52&gt;0,YEAR($F52)&lt;Preisindex!$A$6,YEAR(DL$4)&gt;=YEAR($F52),$K52="b"),ROUND(VLOOKUP(DQ$4,Preisindex,3,FALSE)/VLOOKUP(Preisindex!$A$6,Preisindex,3,FALSE),2),IF(AND($E52&lt;&gt;0,$F52&gt;0,YEAR($F52)&lt;Preisindex!$A$6,YEAR(DL$4)&gt;=YEAR($F52),$K52="g"),ROUND(VLOOKUP(DQ$4,Preisindex,4,FALSE)/VLOOKUP(Preisindex!$A$6,Preisindex,4,FALSE),2),IF(AND($E52&lt;&gt;0,$F52&gt;0,YEAR($F52)&lt;Preisindex!$A$6,YEAR(DL$4)&gt;=YEAR($F52),$K52="k"),ROUND(VLOOKUP(DQ$4,Preisindex,2,FALSE)/VLOOKUP(Preisindex!$A$6,Preisindex,2,FALSE),2),0)))))</f>
        <v>0</v>
      </c>
      <c r="DS52" s="51">
        <f>IF(AND($E52&lt;&gt;0,$F52&gt;0,YEAR($F52)&lt;=DQ$4,YEAR($F52)&gt;=Preisindex!$A$6),ROUND($E52*DQ52,2),IF(AND($E52&lt;&gt;0,$F52&gt;0,YEAR($F52)&lt;=DQ$4,YEAR($F52)&lt;Preisindex!$A$6),ROUND($E52*DR52,2),0))</f>
        <v>118200</v>
      </c>
      <c r="DT52" s="53">
        <f t="shared" si="213"/>
        <v>2364</v>
      </c>
      <c r="DU52" s="51">
        <f t="shared" si="358"/>
        <v>0</v>
      </c>
      <c r="DV52" s="51">
        <f t="shared" si="342"/>
        <v>0</v>
      </c>
      <c r="DW52" s="51">
        <f t="shared" si="216"/>
        <v>0</v>
      </c>
      <c r="DX52" s="51">
        <f t="shared" si="343"/>
        <v>0</v>
      </c>
      <c r="DY52" s="51">
        <f t="shared" si="218"/>
        <v>60000</v>
      </c>
      <c r="DZ52" s="51">
        <f t="shared" si="344"/>
        <v>60000</v>
      </c>
      <c r="EA52" s="51">
        <f t="shared" si="220"/>
        <v>1200</v>
      </c>
      <c r="EB52" s="51">
        <f t="shared" si="345"/>
        <v>1200</v>
      </c>
      <c r="EC52" s="51">
        <f t="shared" si="222"/>
        <v>13800</v>
      </c>
      <c r="ED52" s="51">
        <f t="shared" si="346"/>
        <v>13800</v>
      </c>
      <c r="EE52" s="51">
        <f t="shared" si="224"/>
        <v>46200</v>
      </c>
      <c r="EF52" s="54">
        <f t="shared" si="225"/>
        <v>0</v>
      </c>
      <c r="EG52" s="55">
        <f t="shared" si="226"/>
        <v>0</v>
      </c>
      <c r="EH52" s="56">
        <f>IF(AND($E52&lt;&gt;0,$F52&gt;0,YEAR($F52)&gt;=Preisindex!$A$6,YEAR(EC$4)&gt;=YEAR($F52),AND($K52&lt;&gt;"a",$K52&lt;&gt;"b",$K52&lt;&gt;"g",$K52&lt;&gt;"k")),1,IF(AND($E52&lt;&gt;0,$F52&gt;0,YEAR($F52)&gt;=Preisindex!$A$6,YEAR(EC$4)&gt;=YEAR($F52),$K52="a"),ROUND(VLOOKUP(EH$4,Preisindex,5,FALSE)/VLOOKUP(YEAR($F52),Preisindex,5,FALSE),2),IF(AND($E52&lt;&gt;0,$F52&gt;0,YEAR($F52)&gt;=Preisindex!$A$6,YEAR(EC$4)&gt;=YEAR($F52),$K52="b"),ROUND(VLOOKUP(EH$4,Preisindex,3,FALSE)/VLOOKUP(YEAR($F52),Preisindex,3,FALSE),2),IF(AND($E52&lt;&gt;0,$F52&gt;0,YEAR($F52)&gt;=Preisindex!$A$6,YEAR(EC$4)&gt;=YEAR($F52),$K52="g"),ROUND(VLOOKUP(EH$4,Preisindex,4,FALSE)/VLOOKUP(YEAR($F52),Preisindex,4,FALSE),2),IF(AND($E52&lt;&gt;0,$F52&gt;0,YEAR($F52)&gt;=Preisindex!$A$6,YEAR(EC$4)&gt;=YEAR($F52),$K52="k"),ROUND(VLOOKUP(EH$4,Preisindex,2,FALSE)/VLOOKUP(YEAR($F52),Preisindex,2,FALSE),2),0)))))</f>
        <v>2.0699999999999998</v>
      </c>
      <c r="EI52" s="56">
        <f>IF(AND($E52&lt;&gt;0,$F52&gt;0,YEAR($F52)&lt;Preisindex!$A$6,YEAR(EC$4)&gt;=YEAR($F52),AND($K52&lt;&gt;"a",$K52&lt;&gt;"b",$K52&lt;&gt;"g",$K52&lt;&gt;"k")),1,IF(AND($E52&lt;&gt;0,$F52&gt;0,YEAR($F52)&lt;Preisindex!$A$6,YEAR(EC$4)&gt;=YEAR($F52),$K52="a"),ROUND(VLOOKUP(EH$4,Preisindex,5,FALSE)/VLOOKUP(Preisindex!$A$6,Preisindex,5,FALSE),2),IF(AND($E52&lt;&gt;0,$F52&gt;0,YEAR($F52)&lt;Preisindex!$A$6,YEAR(EC$4)&gt;=YEAR($F52),$K52="b"),ROUND(VLOOKUP(EH$4,Preisindex,3,FALSE)/VLOOKUP(Preisindex!$A$6,Preisindex,3,FALSE),2),IF(AND($E52&lt;&gt;0,$F52&gt;0,YEAR($F52)&lt;Preisindex!$A$6,YEAR(EC$4)&gt;=YEAR($F52),$K52="g"),ROUND(VLOOKUP(EH$4,Preisindex,4,FALSE)/VLOOKUP(Preisindex!$A$6,Preisindex,4,FALSE),2),IF(AND($E52&lt;&gt;0,$F52&gt;0,YEAR($F52)&lt;Preisindex!$A$6,YEAR(EC$4)&gt;=YEAR($F52),$K52="k"),ROUND(VLOOKUP(EH$4,Preisindex,2,FALSE)/VLOOKUP(Preisindex!$A$6,Preisindex,2,FALSE),2),0)))))</f>
        <v>0</v>
      </c>
      <c r="EJ52" s="51">
        <f>IF(AND($E52&lt;&gt;0,$F52&gt;0,YEAR($F52)&lt;=EH$4,YEAR($F52)&gt;=Preisindex!$A$6),ROUND($E52*EH52,2),IF(AND($E52&lt;&gt;0,$F52&gt;0,YEAR($F52)&lt;=EH$4,YEAR($F52)&lt;Preisindex!$A$6),ROUND($E52*EI52,2),0))</f>
        <v>124200</v>
      </c>
      <c r="EK52" s="53">
        <f t="shared" si="227"/>
        <v>2484</v>
      </c>
      <c r="EL52" s="51">
        <f t="shared" si="358"/>
        <v>0</v>
      </c>
      <c r="EM52" s="51">
        <f t="shared" si="347"/>
        <v>0</v>
      </c>
      <c r="EN52" s="51">
        <f t="shared" si="230"/>
        <v>0</v>
      </c>
      <c r="EO52" s="51">
        <f t="shared" si="348"/>
        <v>0</v>
      </c>
      <c r="EP52" s="51">
        <f t="shared" si="232"/>
        <v>60000</v>
      </c>
      <c r="EQ52" s="51">
        <f t="shared" si="349"/>
        <v>60000</v>
      </c>
      <c r="ER52" s="51">
        <f t="shared" si="234"/>
        <v>1200</v>
      </c>
      <c r="ES52" s="51">
        <f t="shared" si="350"/>
        <v>1200</v>
      </c>
      <c r="ET52" s="51">
        <f t="shared" si="236"/>
        <v>12600</v>
      </c>
      <c r="EU52" s="51">
        <f t="shared" si="351"/>
        <v>12600</v>
      </c>
      <c r="EV52" s="51">
        <f t="shared" si="238"/>
        <v>47400</v>
      </c>
      <c r="EW52" s="54">
        <f t="shared" si="239"/>
        <v>0</v>
      </c>
      <c r="EX52" s="55">
        <f t="shared" si="240"/>
        <v>0</v>
      </c>
      <c r="EY52" s="56">
        <f>IF(AND($E52&lt;&gt;0,$F52&gt;0,YEAR($F52)&gt;=Preisindex!$A$6,YEAR(ET$4)&gt;=YEAR($F52),AND($K52&lt;&gt;"a",$K52&lt;&gt;"b",$K52&lt;&gt;"g",$K52&lt;&gt;"k")),1,IF(AND($E52&lt;&gt;0,$F52&gt;0,YEAR($F52)&gt;=Preisindex!$A$6,YEAR(ET$4)&gt;=YEAR($F52),$K52="a"),ROUND(VLOOKUP(EY$4,Preisindex,5,FALSE)/VLOOKUP(YEAR($F52),Preisindex,5,FALSE),2),IF(AND($E52&lt;&gt;0,$F52&gt;0,YEAR($F52)&gt;=Preisindex!$A$6,YEAR(ET$4)&gt;=YEAR($F52),$K52="b"),ROUND(VLOOKUP(EY$4,Preisindex,3,FALSE)/VLOOKUP(YEAR($F52),Preisindex,3,FALSE),2),IF(AND($E52&lt;&gt;0,$F52&gt;0,YEAR($F52)&gt;=Preisindex!$A$6,YEAR(ET$4)&gt;=YEAR($F52),$K52="g"),ROUND(VLOOKUP(EY$4,Preisindex,4,FALSE)/VLOOKUP(YEAR($F52),Preisindex,4,FALSE),2),IF(AND($E52&lt;&gt;0,$F52&gt;0,YEAR($F52)&gt;=Preisindex!$A$6,YEAR(ET$4)&gt;=YEAR($F52),$K52="k"),ROUND(VLOOKUP(EY$4,Preisindex,2,FALSE)/VLOOKUP(YEAR($F52),Preisindex,2,FALSE),2),0)))))</f>
        <v>2.0699999999999998</v>
      </c>
      <c r="EZ52" s="56">
        <f>IF(AND($E52&lt;&gt;0,$F52&gt;0,YEAR($F52)&lt;Preisindex!$A$6,YEAR(ET$4)&gt;=YEAR($F52),AND($K52&lt;&gt;"a",$K52&lt;&gt;"b",$K52&lt;&gt;"g",$K52&lt;&gt;"k")),1,IF(AND($E52&lt;&gt;0,$F52&gt;0,YEAR($F52)&lt;Preisindex!$A$6,YEAR(ET$4)&gt;=YEAR($F52),$K52="a"),ROUND(VLOOKUP(EY$4,Preisindex,5,FALSE)/VLOOKUP(Preisindex!$A$6,Preisindex,5,FALSE),2),IF(AND($E52&lt;&gt;0,$F52&gt;0,YEAR($F52)&lt;Preisindex!$A$6,YEAR(ET$4)&gt;=YEAR($F52),$K52="b"),ROUND(VLOOKUP(EY$4,Preisindex,3,FALSE)/VLOOKUP(Preisindex!$A$6,Preisindex,3,FALSE),2),IF(AND($E52&lt;&gt;0,$F52&gt;0,YEAR($F52)&lt;Preisindex!$A$6,YEAR(ET$4)&gt;=YEAR($F52),$K52="g"),ROUND(VLOOKUP(EY$4,Preisindex,4,FALSE)/VLOOKUP(Preisindex!$A$6,Preisindex,4,FALSE),2),IF(AND($E52&lt;&gt;0,$F52&gt;0,YEAR($F52)&lt;Preisindex!$A$6,YEAR(ET$4)&gt;=YEAR($F52),$K52="k"),ROUND(VLOOKUP(EY$4,Preisindex,2,FALSE)/VLOOKUP(Preisindex!$A$6,Preisindex,2,FALSE),2),0)))))</f>
        <v>0</v>
      </c>
      <c r="FA52" s="51">
        <f>IF(AND($E52&lt;&gt;0,$F52&gt;0,YEAR($F52)&lt;=EY$4,YEAR($F52)&gt;=Preisindex!$A$6),ROUND($E52*EY52,2),IF(AND($E52&lt;&gt;0,$F52&gt;0,YEAR($F52)&lt;=EY$4,YEAR($F52)&lt;Preisindex!$A$6),ROUND($E52*EZ52,2),0))</f>
        <v>124200</v>
      </c>
      <c r="FB52" s="53">
        <f t="shared" si="241"/>
        <v>2484</v>
      </c>
      <c r="FC52" s="51">
        <f t="shared" si="358"/>
        <v>0</v>
      </c>
      <c r="FD52" s="51">
        <f t="shared" si="352"/>
        <v>0</v>
      </c>
      <c r="FE52" s="51">
        <f t="shared" si="244"/>
        <v>0</v>
      </c>
      <c r="FF52" s="51">
        <f t="shared" si="353"/>
        <v>0</v>
      </c>
      <c r="FG52" s="51">
        <f t="shared" si="246"/>
        <v>60000</v>
      </c>
      <c r="FH52" s="51">
        <f t="shared" si="354"/>
        <v>60000</v>
      </c>
      <c r="FI52" s="51">
        <f t="shared" si="248"/>
        <v>1200</v>
      </c>
      <c r="FJ52" s="51">
        <f t="shared" si="355"/>
        <v>1200</v>
      </c>
      <c r="FK52" s="51">
        <f t="shared" si="250"/>
        <v>11400</v>
      </c>
      <c r="FL52" s="51">
        <f t="shared" si="356"/>
        <v>11400</v>
      </c>
      <c r="FM52" s="51">
        <f t="shared" si="252"/>
        <v>48600</v>
      </c>
      <c r="FN52" s="54">
        <f t="shared" si="253"/>
        <v>0</v>
      </c>
      <c r="FO52" s="55">
        <f t="shared" si="254"/>
        <v>0</v>
      </c>
      <c r="FP52" s="56">
        <f>IF(AND($E52&lt;&gt;0,$F52&gt;0,YEAR($F52)&gt;=Preisindex!$A$6,YEAR(FK$4)&gt;=YEAR($F52),AND($K52&lt;&gt;"a",$K52&lt;&gt;"b",$K52&lt;&gt;"g",$K52&lt;&gt;"k")),1,IF(AND($E52&lt;&gt;0,$F52&gt;0,YEAR($F52)&gt;=Preisindex!$A$6,YEAR(FK$4)&gt;=YEAR($F52),$K52="a"),ROUND(VLOOKUP(FP$4,Preisindex,5,FALSE)/VLOOKUP(YEAR($F52),Preisindex,5,FALSE),2),IF(AND($E52&lt;&gt;0,$F52&gt;0,YEAR($F52)&gt;=Preisindex!$A$6,YEAR(FK$4)&gt;=YEAR($F52),$K52="b"),ROUND(VLOOKUP(FP$4,Preisindex,3,FALSE)/VLOOKUP(YEAR($F52),Preisindex,3,FALSE),2),IF(AND($E52&lt;&gt;0,$F52&gt;0,YEAR($F52)&gt;=Preisindex!$A$6,YEAR(FK$4)&gt;=YEAR($F52),$K52="g"),ROUND(VLOOKUP(FP$4,Preisindex,4,FALSE)/VLOOKUP(YEAR($F52),Preisindex,4,FALSE),2),IF(AND($E52&lt;&gt;0,$F52&gt;0,YEAR($F52)&gt;=Preisindex!$A$6,YEAR(FK$4)&gt;=YEAR($F52),$K52="k"),ROUND(VLOOKUP(FP$4,Preisindex,2,FALSE)/VLOOKUP(YEAR($F52),Preisindex,2,FALSE),2),0)))))</f>
        <v>2.0699999999999998</v>
      </c>
      <c r="FQ52" s="56">
        <f>IF(AND($E52&lt;&gt;0,$F52&gt;0,YEAR($F52)&lt;Preisindex!$A$6,YEAR(FK$4)&gt;=YEAR($F52),AND($K52&lt;&gt;"a",$K52&lt;&gt;"b",$K52&lt;&gt;"g",$K52&lt;&gt;"k")),1,IF(AND($E52&lt;&gt;0,$F52&gt;0,YEAR($F52)&lt;Preisindex!$A$6,YEAR(FK$4)&gt;=YEAR($F52),$K52="a"),ROUND(VLOOKUP(FP$4,Preisindex,5,FALSE)/VLOOKUP(Preisindex!$A$6,Preisindex,5,FALSE),2),IF(AND($E52&lt;&gt;0,$F52&gt;0,YEAR($F52)&lt;Preisindex!$A$6,YEAR(FK$4)&gt;=YEAR($F52),$K52="b"),ROUND(VLOOKUP(FP$4,Preisindex,3,FALSE)/VLOOKUP(Preisindex!$A$6,Preisindex,3,FALSE),2),IF(AND($E52&lt;&gt;0,$F52&gt;0,YEAR($F52)&lt;Preisindex!$A$6,YEAR(FK$4)&gt;=YEAR($F52),$K52="g"),ROUND(VLOOKUP(FP$4,Preisindex,4,FALSE)/VLOOKUP(Preisindex!$A$6,Preisindex,4,FALSE),2),IF(AND($E52&lt;&gt;0,$F52&gt;0,YEAR($F52)&lt;Preisindex!$A$6,YEAR(FK$4)&gt;=YEAR($F52),$K52="k"),ROUND(VLOOKUP(FP$4,Preisindex,2,FALSE)/VLOOKUP(Preisindex!$A$6,Preisindex,2,FALSE),2),0)))))</f>
        <v>0</v>
      </c>
      <c r="FR52" s="51">
        <f>IF(AND($E52&lt;&gt;0,$F52&gt;0,YEAR($F52)&lt;=FP$4,YEAR($F52)&gt;=Preisindex!$A$6),ROUND($E52*FP52,2),IF(AND($E52&lt;&gt;0,$F52&gt;0,YEAR($F52)&lt;=FP$4,YEAR($F52)&lt;Preisindex!$A$6),ROUND($E52*FQ52,2),0))</f>
        <v>124200</v>
      </c>
      <c r="FS52" s="53">
        <f t="shared" si="255"/>
        <v>2484</v>
      </c>
    </row>
    <row r="53" spans="1:175" x14ac:dyDescent="0.3">
      <c r="A53" s="93">
        <v>1985</v>
      </c>
      <c r="B53" s="94" t="s">
        <v>239</v>
      </c>
      <c r="C53" s="94"/>
      <c r="D53" s="95" t="s">
        <v>63</v>
      </c>
      <c r="E53" s="99">
        <v>30000</v>
      </c>
      <c r="F53" s="97">
        <v>31229</v>
      </c>
      <c r="G53" s="98">
        <v>50</v>
      </c>
      <c r="H53" s="620"/>
      <c r="I53" s="621"/>
      <c r="J53" s="194"/>
      <c r="K53" s="630" t="s">
        <v>266</v>
      </c>
      <c r="L53" s="49">
        <f t="shared" si="296"/>
        <v>0.02</v>
      </c>
      <c r="M53" s="50">
        <f t="shared" si="297"/>
        <v>600</v>
      </c>
      <c r="N53" s="51">
        <f t="shared" si="298"/>
        <v>14100</v>
      </c>
      <c r="O53" s="51"/>
      <c r="P53" s="51">
        <f t="shared" si="299"/>
        <v>15900</v>
      </c>
      <c r="Q53" s="52"/>
      <c r="R53" s="52"/>
      <c r="S53" s="52"/>
      <c r="T53" s="52"/>
      <c r="U53" s="52"/>
      <c r="V53" s="53">
        <f t="shared" si="300"/>
        <v>30000</v>
      </c>
      <c r="W53" s="51">
        <f t="shared" si="301"/>
        <v>0</v>
      </c>
      <c r="X53" s="51">
        <f t="shared" si="302"/>
        <v>0</v>
      </c>
      <c r="Y53" s="51">
        <f t="shared" si="303"/>
        <v>0</v>
      </c>
      <c r="Z53" s="51">
        <f t="shared" si="304"/>
        <v>0</v>
      </c>
      <c r="AA53" s="51">
        <f t="shared" si="305"/>
        <v>30000</v>
      </c>
      <c r="AB53" s="51">
        <f t="shared" si="306"/>
        <v>30000</v>
      </c>
      <c r="AC53" s="51">
        <f t="shared" si="307"/>
        <v>600</v>
      </c>
      <c r="AD53" s="51">
        <f t="shared" si="308"/>
        <v>600</v>
      </c>
      <c r="AE53" s="51">
        <f t="shared" si="309"/>
        <v>13500</v>
      </c>
      <c r="AF53" s="51">
        <f t="shared" si="310"/>
        <v>13500</v>
      </c>
      <c r="AG53" s="51">
        <f t="shared" si="311"/>
        <v>16500</v>
      </c>
      <c r="AH53" s="54">
        <f t="shared" si="312"/>
        <v>0</v>
      </c>
      <c r="AI53" s="55">
        <f t="shared" si="313"/>
        <v>0</v>
      </c>
      <c r="AJ53" s="56">
        <f>IF(AND($E53&lt;&gt;0,$F53&gt;0,YEAR($F53)&gt;=Preisindex!$A$6,YEAR(AE$4)&gt;=YEAR($F53),AND($K53&lt;&gt;"a",$K53&lt;&gt;"b",$K53&lt;&gt;"g",$K53&lt;&gt;"k")),1,IF(AND($E53&lt;&gt;0,$F53&gt;0,YEAR($F53)&gt;=Preisindex!$A$6,YEAR(AE$4)&gt;=YEAR($F53),$K53="a"),ROUND(VLOOKUP(AJ$4,Preisindex,5,FALSE)/VLOOKUP(YEAR($F53),Preisindex,5,FALSE),2),IF(AND($E53&lt;&gt;0,$F53&gt;0,YEAR($F53)&gt;=Preisindex!$A$6,YEAR(AE$4)&gt;=YEAR($F53),$K53="b"),ROUND(VLOOKUP(AJ$4,Preisindex,3,FALSE)/VLOOKUP(YEAR($F53),Preisindex,3,FALSE),2),IF(AND($E53&lt;&gt;0,$F53&gt;0,YEAR($F53)&gt;=Preisindex!$A$6,YEAR(AE$4)&gt;=YEAR($F53),$K53="g"),ROUND(VLOOKUP(AJ$4,Preisindex,4,FALSE)/VLOOKUP(YEAR($F53),Preisindex,4,FALSE),2),IF(AND($E53&lt;&gt;0,$F53&gt;0,YEAR($F53)&gt;=Preisindex!$A$6,YEAR(AE$4)&gt;=YEAR($F53),$K53="k"),ROUND(VLOOKUP(AJ$4,Preisindex,2,FALSE)/VLOOKUP(YEAR($F53),Preisindex,2,FALSE),2),0)))))</f>
        <v>1.73</v>
      </c>
      <c r="AK53" s="56">
        <f>IF(AND($E53&lt;&gt;0,$F53&gt;0,YEAR($F53)&lt;Preisindex!$A$6,YEAR(AE$4)&gt;=YEAR($F53),AND($K53&lt;&gt;"a",$K53&lt;&gt;"b",$K53&lt;&gt;"g",$K53&lt;&gt;"k")),1,IF(AND($E53&lt;&gt;0,$F53&gt;0,YEAR($F53)&lt;Preisindex!$A$6,YEAR(AE$4)&gt;=YEAR($F53),$K53="a"),ROUND(VLOOKUP(AJ$4,Preisindex,5,FALSE)/VLOOKUP(Preisindex!$A$6,Preisindex,5,FALSE),2),IF(AND($E53&lt;&gt;0,$F53&gt;0,YEAR($F53)&lt;Preisindex!$A$6,YEAR(AE$4)&gt;=YEAR($F53),$K53="b"),ROUND(VLOOKUP(AJ$4,Preisindex,3,FALSE)/VLOOKUP(Preisindex!$A$6,Preisindex,3,FALSE),2),IF(AND($E53&lt;&gt;0,$F53&gt;0,YEAR($F53)&lt;Preisindex!$A$6,YEAR(AE$4)&gt;=YEAR($F53),$K53="g"),ROUND(VLOOKUP(AJ$4,Preisindex,4,FALSE)/VLOOKUP(Preisindex!$A$6,Preisindex,4,FALSE),2),IF(AND($E53&lt;&gt;0,$F53&gt;0,YEAR($F53)&lt;Preisindex!$A$6,YEAR(AE$4)&gt;=YEAR($F53),$K53="k"),ROUND(VLOOKUP(AJ$4,Preisindex,2,FALSE)/VLOOKUP(Preisindex!$A$6,Preisindex,2,FALSE),2),0)))))</f>
        <v>0</v>
      </c>
      <c r="AL53" s="51">
        <f>IF(AND($E53&lt;&gt;0,$F53&gt;0,YEAR($F53)&lt;=AJ$4,YEAR($F53)&gt;=Preisindex!$A$6),ROUND($E53*AJ53,2),IF(AND($E53&lt;&gt;0,$F53&gt;0,YEAR($F53)&lt;=AJ$4,YEAR($F53)&lt;Preisindex!$A$6),ROUND($E53*AK53,2),0))</f>
        <v>51900</v>
      </c>
      <c r="AM53" s="53">
        <f t="shared" si="314"/>
        <v>1038</v>
      </c>
      <c r="AN53" s="51">
        <f t="shared" ref="AN53:CM68" si="359">IF(YEAR($F53)=AN$4,$E53,0)</f>
        <v>0</v>
      </c>
      <c r="AO53" s="51">
        <f t="shared" si="317"/>
        <v>0</v>
      </c>
      <c r="AP53" s="51">
        <f t="shared" si="146"/>
        <v>0</v>
      </c>
      <c r="AQ53" s="51">
        <f t="shared" si="318"/>
        <v>0</v>
      </c>
      <c r="AR53" s="51">
        <f t="shared" si="148"/>
        <v>30000</v>
      </c>
      <c r="AS53" s="51">
        <f t="shared" si="319"/>
        <v>30000</v>
      </c>
      <c r="AT53" s="51">
        <f t="shared" si="150"/>
        <v>600</v>
      </c>
      <c r="AU53" s="51">
        <f t="shared" si="320"/>
        <v>600</v>
      </c>
      <c r="AV53" s="51">
        <f t="shared" si="152"/>
        <v>12900</v>
      </c>
      <c r="AW53" s="51">
        <f t="shared" si="321"/>
        <v>12900</v>
      </c>
      <c r="AX53" s="51">
        <f t="shared" si="154"/>
        <v>17100</v>
      </c>
      <c r="AY53" s="54">
        <f t="shared" si="155"/>
        <v>0</v>
      </c>
      <c r="AZ53" s="55">
        <f t="shared" si="156"/>
        <v>0</v>
      </c>
      <c r="BA53" s="56">
        <f>IF(AND($E53&lt;&gt;0,$F53&gt;0,YEAR($F53)&gt;=Preisindex!$A$6,YEAR(AV$4)&gt;=YEAR($F53),AND($K53&lt;&gt;"a",$K53&lt;&gt;"b",$K53&lt;&gt;"g",$K53&lt;&gt;"k")),1,IF(AND($E53&lt;&gt;0,$F53&gt;0,YEAR($F53)&gt;=Preisindex!$A$6,YEAR(AV$4)&gt;=YEAR($F53),$K53="a"),ROUND(VLOOKUP(BA$4,Preisindex,5,FALSE)/VLOOKUP(YEAR($F53),Preisindex,5,FALSE),2),IF(AND($E53&lt;&gt;0,$F53&gt;0,YEAR($F53)&gt;=Preisindex!$A$6,YEAR(AV$4)&gt;=YEAR($F53),$K53="b"),ROUND(VLOOKUP(BA$4,Preisindex,3,FALSE)/VLOOKUP(YEAR($F53),Preisindex,3,FALSE),2),IF(AND($E53&lt;&gt;0,$F53&gt;0,YEAR($F53)&gt;=Preisindex!$A$6,YEAR(AV$4)&gt;=YEAR($F53),$K53="g"),ROUND(VLOOKUP(BA$4,Preisindex,4,FALSE)/VLOOKUP(YEAR($F53),Preisindex,4,FALSE),2),IF(AND($E53&lt;&gt;0,$F53&gt;0,YEAR($F53)&gt;=Preisindex!$A$6,YEAR(AV$4)&gt;=YEAR($F53),$K53="k"),ROUND(VLOOKUP(BA$4,Preisindex,2,FALSE)/VLOOKUP(YEAR($F53),Preisindex,2,FALSE),2),0)))))</f>
        <v>1.76</v>
      </c>
      <c r="BB53" s="56">
        <f>IF(AND($E53&lt;&gt;0,$F53&gt;0,YEAR($F53)&lt;Preisindex!$A$6,YEAR(AV$4)&gt;=YEAR($F53),AND($K53&lt;&gt;"a",$K53&lt;&gt;"b",$K53&lt;&gt;"g",$K53&lt;&gt;"k")),1,IF(AND($E53&lt;&gt;0,$F53&gt;0,YEAR($F53)&lt;Preisindex!$A$6,YEAR(AV$4)&gt;=YEAR($F53),$K53="a"),ROUND(VLOOKUP(BA$4,Preisindex,5,FALSE)/VLOOKUP(Preisindex!$A$6,Preisindex,5,FALSE),2),IF(AND($E53&lt;&gt;0,$F53&gt;0,YEAR($F53)&lt;Preisindex!$A$6,YEAR(AV$4)&gt;=YEAR($F53),$K53="b"),ROUND(VLOOKUP(BA$4,Preisindex,3,FALSE)/VLOOKUP(Preisindex!$A$6,Preisindex,3,FALSE),2),IF(AND($E53&lt;&gt;0,$F53&gt;0,YEAR($F53)&lt;Preisindex!$A$6,YEAR(AV$4)&gt;=YEAR($F53),$K53="g"),ROUND(VLOOKUP(BA$4,Preisindex,4,FALSE)/VLOOKUP(Preisindex!$A$6,Preisindex,4,FALSE),2),IF(AND($E53&lt;&gt;0,$F53&gt;0,YEAR($F53)&lt;Preisindex!$A$6,YEAR(AV$4)&gt;=YEAR($F53),$K53="k"),ROUND(VLOOKUP(BA$4,Preisindex,2,FALSE)/VLOOKUP(Preisindex!$A$6,Preisindex,2,FALSE),2),0)))))</f>
        <v>0</v>
      </c>
      <c r="BC53" s="51">
        <f>IF(AND($E53&lt;&gt;0,$F53&gt;0,YEAR($F53)&lt;=BA$4,YEAR($F53)&gt;=Preisindex!$A$6),ROUND($E53*BA53,2),IF(AND($E53&lt;&gt;0,$F53&gt;0,YEAR($F53)&lt;=BA$4,YEAR($F53)&lt;Preisindex!$A$6),ROUND($E53*BB53,2),0))</f>
        <v>52800</v>
      </c>
      <c r="BD53" s="53">
        <f t="shared" si="157"/>
        <v>1056</v>
      </c>
      <c r="BE53" s="51">
        <f t="shared" si="359"/>
        <v>0</v>
      </c>
      <c r="BF53" s="51">
        <f t="shared" si="322"/>
        <v>0</v>
      </c>
      <c r="BG53" s="51">
        <f t="shared" si="160"/>
        <v>0</v>
      </c>
      <c r="BH53" s="51">
        <f t="shared" si="323"/>
        <v>0</v>
      </c>
      <c r="BI53" s="51">
        <f t="shared" si="162"/>
        <v>30000</v>
      </c>
      <c r="BJ53" s="51">
        <f t="shared" si="324"/>
        <v>30000</v>
      </c>
      <c r="BK53" s="51">
        <f t="shared" si="164"/>
        <v>600</v>
      </c>
      <c r="BL53" s="51">
        <f t="shared" si="325"/>
        <v>600</v>
      </c>
      <c r="BM53" s="51">
        <f t="shared" si="166"/>
        <v>12300</v>
      </c>
      <c r="BN53" s="51">
        <f t="shared" si="326"/>
        <v>12300</v>
      </c>
      <c r="BO53" s="51">
        <f t="shared" si="168"/>
        <v>17700</v>
      </c>
      <c r="BP53" s="54">
        <f t="shared" si="169"/>
        <v>0</v>
      </c>
      <c r="BQ53" s="55">
        <f t="shared" si="170"/>
        <v>0</v>
      </c>
      <c r="BR53" s="56">
        <f>IF(AND($E53&lt;&gt;0,$F53&gt;0,YEAR($F53)&gt;=Preisindex!$A$6,YEAR(BM$4)&gt;=YEAR($F53),AND($K53&lt;&gt;"a",$K53&lt;&gt;"b",$K53&lt;&gt;"g",$K53&lt;&gt;"k")),1,IF(AND($E53&lt;&gt;0,$F53&gt;0,YEAR($F53)&gt;=Preisindex!$A$6,YEAR(BM$4)&gt;=YEAR($F53),$K53="a"),ROUND(VLOOKUP(BR$4,Preisindex,5,FALSE)/VLOOKUP(YEAR($F53),Preisindex,5,FALSE),2),IF(AND($E53&lt;&gt;0,$F53&gt;0,YEAR($F53)&gt;=Preisindex!$A$6,YEAR(BM$4)&gt;=YEAR($F53),$K53="b"),ROUND(VLOOKUP(BR$4,Preisindex,3,FALSE)/VLOOKUP(YEAR($F53),Preisindex,3,FALSE),2),IF(AND($E53&lt;&gt;0,$F53&gt;0,YEAR($F53)&gt;=Preisindex!$A$6,YEAR(BM$4)&gt;=YEAR($F53),$K53="g"),ROUND(VLOOKUP(BR$4,Preisindex,4,FALSE)/VLOOKUP(YEAR($F53),Preisindex,4,FALSE),2),IF(AND($E53&lt;&gt;0,$F53&gt;0,YEAR($F53)&gt;=Preisindex!$A$6,YEAR(BM$4)&gt;=YEAR($F53),$K53="k"),ROUND(VLOOKUP(BR$4,Preisindex,2,FALSE)/VLOOKUP(YEAR($F53),Preisindex,2,FALSE),2),0)))))</f>
        <v>1.79</v>
      </c>
      <c r="BS53" s="56">
        <f>IF(AND($E53&lt;&gt;0,$F53&gt;0,YEAR($F53)&lt;Preisindex!$A$6,YEAR(BM$4)&gt;=YEAR($F53),AND($K53&lt;&gt;"a",$K53&lt;&gt;"b",$K53&lt;&gt;"g",$K53&lt;&gt;"k")),1,IF(AND($E53&lt;&gt;0,$F53&gt;0,YEAR($F53)&lt;Preisindex!$A$6,YEAR(BM$4)&gt;=YEAR($F53),$K53="a"),ROUND(VLOOKUP(BR$4,Preisindex,5,FALSE)/VLOOKUP(Preisindex!$A$6,Preisindex,5,FALSE),2),IF(AND($E53&lt;&gt;0,$F53&gt;0,YEAR($F53)&lt;Preisindex!$A$6,YEAR(BM$4)&gt;=YEAR($F53),$K53="b"),ROUND(VLOOKUP(BR$4,Preisindex,3,FALSE)/VLOOKUP(Preisindex!$A$6,Preisindex,3,FALSE),2),IF(AND($E53&lt;&gt;0,$F53&gt;0,YEAR($F53)&lt;Preisindex!$A$6,YEAR(BM$4)&gt;=YEAR($F53),$K53="g"),ROUND(VLOOKUP(BR$4,Preisindex,4,FALSE)/VLOOKUP(Preisindex!$A$6,Preisindex,4,FALSE),2),IF(AND($E53&lt;&gt;0,$F53&gt;0,YEAR($F53)&lt;Preisindex!$A$6,YEAR(BM$4)&gt;=YEAR($F53),$K53="k"),ROUND(VLOOKUP(BR$4,Preisindex,2,FALSE)/VLOOKUP(Preisindex!$A$6,Preisindex,2,FALSE),2),0)))))</f>
        <v>0</v>
      </c>
      <c r="BT53" s="51">
        <f>IF(AND($E53&lt;&gt;0,$F53&gt;0,YEAR($F53)&lt;=BR$4,YEAR($F53)&gt;=Preisindex!$A$6),ROUND($E53*BR53,2),IF(AND($E53&lt;&gt;0,$F53&gt;0,YEAR($F53)&lt;=BR$4,YEAR($F53)&lt;Preisindex!$A$6),ROUND($E53*BS53,2),0))</f>
        <v>53700</v>
      </c>
      <c r="BU53" s="53">
        <f t="shared" si="171"/>
        <v>1074</v>
      </c>
      <c r="BV53" s="51">
        <f t="shared" si="359"/>
        <v>0</v>
      </c>
      <c r="BW53" s="51">
        <f t="shared" si="327"/>
        <v>0</v>
      </c>
      <c r="BX53" s="51">
        <f t="shared" si="174"/>
        <v>0</v>
      </c>
      <c r="BY53" s="51">
        <f t="shared" si="328"/>
        <v>0</v>
      </c>
      <c r="BZ53" s="51">
        <f t="shared" si="176"/>
        <v>30000</v>
      </c>
      <c r="CA53" s="51">
        <f t="shared" si="329"/>
        <v>30000</v>
      </c>
      <c r="CB53" s="51">
        <f t="shared" si="178"/>
        <v>600</v>
      </c>
      <c r="CC53" s="51">
        <f t="shared" si="330"/>
        <v>600</v>
      </c>
      <c r="CD53" s="51">
        <f t="shared" si="180"/>
        <v>11700</v>
      </c>
      <c r="CE53" s="51">
        <f t="shared" si="331"/>
        <v>11700</v>
      </c>
      <c r="CF53" s="51">
        <f t="shared" si="182"/>
        <v>18300</v>
      </c>
      <c r="CG53" s="54">
        <f t="shared" si="183"/>
        <v>0</v>
      </c>
      <c r="CH53" s="55">
        <f t="shared" si="184"/>
        <v>0</v>
      </c>
      <c r="CI53" s="56">
        <f>IF(AND($E53&lt;&gt;0,$F53&gt;0,YEAR($F53)&gt;=Preisindex!$A$6,YEAR(CD$4)&gt;=YEAR($F53),AND($K53&lt;&gt;"a",$K53&lt;&gt;"b",$K53&lt;&gt;"g",$K53&lt;&gt;"k")),1,IF(AND($E53&lt;&gt;0,$F53&gt;0,YEAR($F53)&gt;=Preisindex!$A$6,YEAR(CD$4)&gt;=YEAR($F53),$K53="a"),ROUND(VLOOKUP(CI$4,Preisindex,5,FALSE)/VLOOKUP(YEAR($F53),Preisindex,5,FALSE),2),IF(AND($E53&lt;&gt;0,$F53&gt;0,YEAR($F53)&gt;=Preisindex!$A$6,YEAR(CD$4)&gt;=YEAR($F53),$K53="b"),ROUND(VLOOKUP(CI$4,Preisindex,3,FALSE)/VLOOKUP(YEAR($F53),Preisindex,3,FALSE),2),IF(AND($E53&lt;&gt;0,$F53&gt;0,YEAR($F53)&gt;=Preisindex!$A$6,YEAR(CD$4)&gt;=YEAR($F53),$K53="g"),ROUND(VLOOKUP(CI$4,Preisindex,4,FALSE)/VLOOKUP(YEAR($F53),Preisindex,4,FALSE),2),IF(AND($E53&lt;&gt;0,$F53&gt;0,YEAR($F53)&gt;=Preisindex!$A$6,YEAR(CD$4)&gt;=YEAR($F53),$K53="k"),ROUND(VLOOKUP(CI$4,Preisindex,2,FALSE)/VLOOKUP(YEAR($F53),Preisindex,2,FALSE),2),0)))))</f>
        <v>1.81</v>
      </c>
      <c r="CJ53" s="56">
        <f>IF(AND($E53&lt;&gt;0,$F53&gt;0,YEAR($F53)&lt;Preisindex!$A$6,YEAR(CD$4)&gt;=YEAR($F53),AND($K53&lt;&gt;"a",$K53&lt;&gt;"b",$K53&lt;&gt;"g",$K53&lt;&gt;"k")),1,IF(AND($E53&lt;&gt;0,$F53&gt;0,YEAR($F53)&lt;Preisindex!$A$6,YEAR(CD$4)&gt;=YEAR($F53),$K53="a"),ROUND(VLOOKUP(CI$4,Preisindex,5,FALSE)/VLOOKUP(Preisindex!$A$6,Preisindex,5,FALSE),2),IF(AND($E53&lt;&gt;0,$F53&gt;0,YEAR($F53)&lt;Preisindex!$A$6,YEAR(CD$4)&gt;=YEAR($F53),$K53="b"),ROUND(VLOOKUP(CI$4,Preisindex,3,FALSE)/VLOOKUP(Preisindex!$A$6,Preisindex,3,FALSE),2),IF(AND($E53&lt;&gt;0,$F53&gt;0,YEAR($F53)&lt;Preisindex!$A$6,YEAR(CD$4)&gt;=YEAR($F53),$K53="g"),ROUND(VLOOKUP(CI$4,Preisindex,4,FALSE)/VLOOKUP(Preisindex!$A$6,Preisindex,4,FALSE),2),IF(AND($E53&lt;&gt;0,$F53&gt;0,YEAR($F53)&lt;Preisindex!$A$6,YEAR(CD$4)&gt;=YEAR($F53),$K53="k"),ROUND(VLOOKUP(CI$4,Preisindex,2,FALSE)/VLOOKUP(Preisindex!$A$6,Preisindex,2,FALSE),2),0)))))</f>
        <v>0</v>
      </c>
      <c r="CK53" s="51">
        <f>IF(AND($E53&lt;&gt;0,$F53&gt;0,YEAR($F53)&lt;=CI$4,YEAR($F53)&gt;=Preisindex!$A$6),ROUND($E53*CI53,2),IF(AND($E53&lt;&gt;0,$F53&gt;0,YEAR($F53)&lt;=CI$4,YEAR($F53)&lt;Preisindex!$A$6),ROUND($E53*CJ53,2),0))</f>
        <v>54300</v>
      </c>
      <c r="CL53" s="53">
        <f t="shared" si="185"/>
        <v>1086</v>
      </c>
      <c r="CM53" s="51">
        <f t="shared" si="359"/>
        <v>0</v>
      </c>
      <c r="CN53" s="51">
        <f t="shared" si="332"/>
        <v>0</v>
      </c>
      <c r="CO53" s="51">
        <f t="shared" si="188"/>
        <v>0</v>
      </c>
      <c r="CP53" s="51">
        <f t="shared" si="333"/>
        <v>0</v>
      </c>
      <c r="CQ53" s="51">
        <f t="shared" si="190"/>
        <v>30000</v>
      </c>
      <c r="CR53" s="51">
        <f t="shared" si="334"/>
        <v>30000</v>
      </c>
      <c r="CS53" s="51">
        <f t="shared" si="192"/>
        <v>600</v>
      </c>
      <c r="CT53" s="51">
        <f t="shared" si="335"/>
        <v>600</v>
      </c>
      <c r="CU53" s="51">
        <f t="shared" si="194"/>
        <v>11100</v>
      </c>
      <c r="CV53" s="51">
        <f t="shared" si="336"/>
        <v>11100</v>
      </c>
      <c r="CW53" s="51">
        <f t="shared" si="196"/>
        <v>18900</v>
      </c>
      <c r="CX53" s="54">
        <f t="shared" si="197"/>
        <v>0</v>
      </c>
      <c r="CY53" s="55">
        <f t="shared" si="198"/>
        <v>0</v>
      </c>
      <c r="CZ53" s="56">
        <f>IF(AND($E53&lt;&gt;0,$F53&gt;0,YEAR($F53)&gt;=Preisindex!$A$6,YEAR(CU$4)&gt;=YEAR($F53),AND($K53&lt;&gt;"a",$K53&lt;&gt;"b",$K53&lt;&gt;"g",$K53&lt;&gt;"k")),1,IF(AND($E53&lt;&gt;0,$F53&gt;0,YEAR($F53)&gt;=Preisindex!$A$6,YEAR(CU$4)&gt;=YEAR($F53),$K53="a"),ROUND(VLOOKUP(CZ$4,Preisindex,5,FALSE)/VLOOKUP(YEAR($F53),Preisindex,5,FALSE),2),IF(AND($E53&lt;&gt;0,$F53&gt;0,YEAR($F53)&gt;=Preisindex!$A$6,YEAR(CU$4)&gt;=YEAR($F53),$K53="b"),ROUND(VLOOKUP(CZ$4,Preisindex,3,FALSE)/VLOOKUP(YEAR($F53),Preisindex,3,FALSE),2),IF(AND($E53&lt;&gt;0,$F53&gt;0,YEAR($F53)&gt;=Preisindex!$A$6,YEAR(CU$4)&gt;=YEAR($F53),$K53="g"),ROUND(VLOOKUP(CZ$4,Preisindex,4,FALSE)/VLOOKUP(YEAR($F53),Preisindex,4,FALSE),2),IF(AND($E53&lt;&gt;0,$F53&gt;0,YEAR($F53)&gt;=Preisindex!$A$6,YEAR(CU$4)&gt;=YEAR($F53),$K53="k"),ROUND(VLOOKUP(CZ$4,Preisindex,2,FALSE)/VLOOKUP(YEAR($F53),Preisindex,2,FALSE),2),0)))))</f>
        <v>1.84</v>
      </c>
      <c r="DA53" s="56">
        <f>IF(AND($E53&lt;&gt;0,$F53&gt;0,YEAR($F53)&lt;Preisindex!$A$6,YEAR(CU$4)&gt;=YEAR($F53),AND($K53&lt;&gt;"a",$K53&lt;&gt;"b",$K53&lt;&gt;"g",$K53&lt;&gt;"k")),1,IF(AND($E53&lt;&gt;0,$F53&gt;0,YEAR($F53)&lt;Preisindex!$A$6,YEAR(CU$4)&gt;=YEAR($F53),$K53="a"),ROUND(VLOOKUP(CZ$4,Preisindex,5,FALSE)/VLOOKUP(Preisindex!$A$6,Preisindex,5,FALSE),2),IF(AND($E53&lt;&gt;0,$F53&gt;0,YEAR($F53)&lt;Preisindex!$A$6,YEAR(CU$4)&gt;=YEAR($F53),$K53="b"),ROUND(VLOOKUP(CZ$4,Preisindex,3,FALSE)/VLOOKUP(Preisindex!$A$6,Preisindex,3,FALSE),2),IF(AND($E53&lt;&gt;0,$F53&gt;0,YEAR($F53)&lt;Preisindex!$A$6,YEAR(CU$4)&gt;=YEAR($F53),$K53="g"),ROUND(VLOOKUP(CZ$4,Preisindex,4,FALSE)/VLOOKUP(Preisindex!$A$6,Preisindex,4,FALSE),2),IF(AND($E53&lt;&gt;0,$F53&gt;0,YEAR($F53)&lt;Preisindex!$A$6,YEAR(CU$4)&gt;=YEAR($F53),$K53="k"),ROUND(VLOOKUP(CZ$4,Preisindex,2,FALSE)/VLOOKUP(Preisindex!$A$6,Preisindex,2,FALSE),2),0)))))</f>
        <v>0</v>
      </c>
      <c r="DB53" s="51">
        <f>IF(AND($E53&lt;&gt;0,$F53&gt;0,YEAR($F53)&lt;=CZ$4,YEAR($F53)&gt;=Preisindex!$A$6),ROUND($E53*CZ53,2),IF(AND($E53&lt;&gt;0,$F53&gt;0,YEAR($F53)&lt;=CZ$4,YEAR($F53)&lt;Preisindex!$A$6),ROUND($E53*DA53,2),0))</f>
        <v>55200</v>
      </c>
      <c r="DC53" s="53">
        <f t="shared" si="199"/>
        <v>1104</v>
      </c>
      <c r="DD53" s="51">
        <f t="shared" ref="DD53:FC68" si="360">IF(YEAR($F53)=DD$4,$E53,0)</f>
        <v>0</v>
      </c>
      <c r="DE53" s="51">
        <f t="shared" si="337"/>
        <v>0</v>
      </c>
      <c r="DF53" s="51">
        <f t="shared" si="202"/>
        <v>0</v>
      </c>
      <c r="DG53" s="51">
        <f t="shared" si="338"/>
        <v>0</v>
      </c>
      <c r="DH53" s="51">
        <f t="shared" si="204"/>
        <v>30000</v>
      </c>
      <c r="DI53" s="51">
        <f t="shared" si="339"/>
        <v>30000</v>
      </c>
      <c r="DJ53" s="51">
        <f t="shared" si="206"/>
        <v>600</v>
      </c>
      <c r="DK53" s="51">
        <f t="shared" si="340"/>
        <v>600</v>
      </c>
      <c r="DL53" s="51">
        <f t="shared" si="208"/>
        <v>10500</v>
      </c>
      <c r="DM53" s="51">
        <f t="shared" si="341"/>
        <v>10500</v>
      </c>
      <c r="DN53" s="51">
        <f t="shared" si="210"/>
        <v>19500</v>
      </c>
      <c r="DO53" s="54">
        <f t="shared" si="211"/>
        <v>0</v>
      </c>
      <c r="DP53" s="55">
        <f t="shared" si="212"/>
        <v>0</v>
      </c>
      <c r="DQ53" s="56">
        <f>IF(AND($E53&lt;&gt;0,$F53&gt;0,YEAR($F53)&gt;=Preisindex!$A$6,YEAR(DL$4)&gt;=YEAR($F53),AND($K53&lt;&gt;"a",$K53&lt;&gt;"b",$K53&lt;&gt;"g",$K53&lt;&gt;"k")),1,IF(AND($E53&lt;&gt;0,$F53&gt;0,YEAR($F53)&gt;=Preisindex!$A$6,YEAR(DL$4)&gt;=YEAR($F53),$K53="a"),ROUND(VLOOKUP(DQ$4,Preisindex,5,FALSE)/VLOOKUP(YEAR($F53),Preisindex,5,FALSE),2),IF(AND($E53&lt;&gt;0,$F53&gt;0,YEAR($F53)&gt;=Preisindex!$A$6,YEAR(DL$4)&gt;=YEAR($F53),$K53="b"),ROUND(VLOOKUP(DQ$4,Preisindex,3,FALSE)/VLOOKUP(YEAR($F53),Preisindex,3,FALSE),2),IF(AND($E53&lt;&gt;0,$F53&gt;0,YEAR($F53)&gt;=Preisindex!$A$6,YEAR(DL$4)&gt;=YEAR($F53),$K53="g"),ROUND(VLOOKUP(DQ$4,Preisindex,4,FALSE)/VLOOKUP(YEAR($F53),Preisindex,4,FALSE),2),IF(AND($E53&lt;&gt;0,$F53&gt;0,YEAR($F53)&gt;=Preisindex!$A$6,YEAR(DL$4)&gt;=YEAR($F53),$K53="k"),ROUND(VLOOKUP(DQ$4,Preisindex,2,FALSE)/VLOOKUP(YEAR($F53),Preisindex,2,FALSE),2),0)))))</f>
        <v>1.9</v>
      </c>
      <c r="DR53" s="56">
        <f>IF(AND($E53&lt;&gt;0,$F53&gt;0,YEAR($F53)&lt;Preisindex!$A$6,YEAR(DL$4)&gt;=YEAR($F53),AND($K53&lt;&gt;"a",$K53&lt;&gt;"b",$K53&lt;&gt;"g",$K53&lt;&gt;"k")),1,IF(AND($E53&lt;&gt;0,$F53&gt;0,YEAR($F53)&lt;Preisindex!$A$6,YEAR(DL$4)&gt;=YEAR($F53),$K53="a"),ROUND(VLOOKUP(DQ$4,Preisindex,5,FALSE)/VLOOKUP(Preisindex!$A$6,Preisindex,5,FALSE),2),IF(AND($E53&lt;&gt;0,$F53&gt;0,YEAR($F53)&lt;Preisindex!$A$6,YEAR(DL$4)&gt;=YEAR($F53),$K53="b"),ROUND(VLOOKUP(DQ$4,Preisindex,3,FALSE)/VLOOKUP(Preisindex!$A$6,Preisindex,3,FALSE),2),IF(AND($E53&lt;&gt;0,$F53&gt;0,YEAR($F53)&lt;Preisindex!$A$6,YEAR(DL$4)&gt;=YEAR($F53),$K53="g"),ROUND(VLOOKUP(DQ$4,Preisindex,4,FALSE)/VLOOKUP(Preisindex!$A$6,Preisindex,4,FALSE),2),IF(AND($E53&lt;&gt;0,$F53&gt;0,YEAR($F53)&lt;Preisindex!$A$6,YEAR(DL$4)&gt;=YEAR($F53),$K53="k"),ROUND(VLOOKUP(DQ$4,Preisindex,2,FALSE)/VLOOKUP(Preisindex!$A$6,Preisindex,2,FALSE),2),0)))))</f>
        <v>0</v>
      </c>
      <c r="DS53" s="51">
        <f>IF(AND($E53&lt;&gt;0,$F53&gt;0,YEAR($F53)&lt;=DQ$4,YEAR($F53)&gt;=Preisindex!$A$6),ROUND($E53*DQ53,2),IF(AND($E53&lt;&gt;0,$F53&gt;0,YEAR($F53)&lt;=DQ$4,YEAR($F53)&lt;Preisindex!$A$6),ROUND($E53*DR53,2),0))</f>
        <v>57000</v>
      </c>
      <c r="DT53" s="53">
        <f t="shared" si="213"/>
        <v>1140</v>
      </c>
      <c r="DU53" s="51">
        <f t="shared" si="360"/>
        <v>0</v>
      </c>
      <c r="DV53" s="51">
        <f t="shared" si="342"/>
        <v>0</v>
      </c>
      <c r="DW53" s="51">
        <f t="shared" si="216"/>
        <v>0</v>
      </c>
      <c r="DX53" s="51">
        <f t="shared" si="343"/>
        <v>0</v>
      </c>
      <c r="DY53" s="51">
        <f t="shared" si="218"/>
        <v>30000</v>
      </c>
      <c r="DZ53" s="51">
        <f t="shared" si="344"/>
        <v>30000</v>
      </c>
      <c r="EA53" s="51">
        <f t="shared" si="220"/>
        <v>600</v>
      </c>
      <c r="EB53" s="51">
        <f t="shared" si="345"/>
        <v>600</v>
      </c>
      <c r="EC53" s="51">
        <f t="shared" si="222"/>
        <v>9900</v>
      </c>
      <c r="ED53" s="51">
        <f t="shared" si="346"/>
        <v>9900</v>
      </c>
      <c r="EE53" s="51">
        <f t="shared" si="224"/>
        <v>20100</v>
      </c>
      <c r="EF53" s="54">
        <f t="shared" si="225"/>
        <v>0</v>
      </c>
      <c r="EG53" s="55">
        <f t="shared" si="226"/>
        <v>0</v>
      </c>
      <c r="EH53" s="56">
        <f>IF(AND($E53&lt;&gt;0,$F53&gt;0,YEAR($F53)&gt;=Preisindex!$A$6,YEAR(EC$4)&gt;=YEAR($F53),AND($K53&lt;&gt;"a",$K53&lt;&gt;"b",$K53&lt;&gt;"g",$K53&lt;&gt;"k")),1,IF(AND($E53&lt;&gt;0,$F53&gt;0,YEAR($F53)&gt;=Preisindex!$A$6,YEAR(EC$4)&gt;=YEAR($F53),$K53="a"),ROUND(VLOOKUP(EH$4,Preisindex,5,FALSE)/VLOOKUP(YEAR($F53),Preisindex,5,FALSE),2),IF(AND($E53&lt;&gt;0,$F53&gt;0,YEAR($F53)&gt;=Preisindex!$A$6,YEAR(EC$4)&gt;=YEAR($F53),$K53="b"),ROUND(VLOOKUP(EH$4,Preisindex,3,FALSE)/VLOOKUP(YEAR($F53),Preisindex,3,FALSE),2),IF(AND($E53&lt;&gt;0,$F53&gt;0,YEAR($F53)&gt;=Preisindex!$A$6,YEAR(EC$4)&gt;=YEAR($F53),$K53="g"),ROUND(VLOOKUP(EH$4,Preisindex,4,FALSE)/VLOOKUP(YEAR($F53),Preisindex,4,FALSE),2),IF(AND($E53&lt;&gt;0,$F53&gt;0,YEAR($F53)&gt;=Preisindex!$A$6,YEAR(EC$4)&gt;=YEAR($F53),$K53="k"),ROUND(VLOOKUP(EH$4,Preisindex,2,FALSE)/VLOOKUP(YEAR($F53),Preisindex,2,FALSE),2),0)))))</f>
        <v>2</v>
      </c>
      <c r="EI53" s="56">
        <f>IF(AND($E53&lt;&gt;0,$F53&gt;0,YEAR($F53)&lt;Preisindex!$A$6,YEAR(EC$4)&gt;=YEAR($F53),AND($K53&lt;&gt;"a",$K53&lt;&gt;"b",$K53&lt;&gt;"g",$K53&lt;&gt;"k")),1,IF(AND($E53&lt;&gt;0,$F53&gt;0,YEAR($F53)&lt;Preisindex!$A$6,YEAR(EC$4)&gt;=YEAR($F53),$K53="a"),ROUND(VLOOKUP(EH$4,Preisindex,5,FALSE)/VLOOKUP(Preisindex!$A$6,Preisindex,5,FALSE),2),IF(AND($E53&lt;&gt;0,$F53&gt;0,YEAR($F53)&lt;Preisindex!$A$6,YEAR(EC$4)&gt;=YEAR($F53),$K53="b"),ROUND(VLOOKUP(EH$4,Preisindex,3,FALSE)/VLOOKUP(Preisindex!$A$6,Preisindex,3,FALSE),2),IF(AND($E53&lt;&gt;0,$F53&gt;0,YEAR($F53)&lt;Preisindex!$A$6,YEAR(EC$4)&gt;=YEAR($F53),$K53="g"),ROUND(VLOOKUP(EH$4,Preisindex,4,FALSE)/VLOOKUP(Preisindex!$A$6,Preisindex,4,FALSE),2),IF(AND($E53&lt;&gt;0,$F53&gt;0,YEAR($F53)&lt;Preisindex!$A$6,YEAR(EC$4)&gt;=YEAR($F53),$K53="k"),ROUND(VLOOKUP(EH$4,Preisindex,2,FALSE)/VLOOKUP(Preisindex!$A$6,Preisindex,2,FALSE),2),0)))))</f>
        <v>0</v>
      </c>
      <c r="EJ53" s="51">
        <f>IF(AND($E53&lt;&gt;0,$F53&gt;0,YEAR($F53)&lt;=EH$4,YEAR($F53)&gt;=Preisindex!$A$6),ROUND($E53*EH53,2),IF(AND($E53&lt;&gt;0,$F53&gt;0,YEAR($F53)&lt;=EH$4,YEAR($F53)&lt;Preisindex!$A$6),ROUND($E53*EI53,2),0))</f>
        <v>60000</v>
      </c>
      <c r="EK53" s="53">
        <f t="shared" si="227"/>
        <v>1200</v>
      </c>
      <c r="EL53" s="51">
        <f t="shared" si="360"/>
        <v>0</v>
      </c>
      <c r="EM53" s="51">
        <f t="shared" si="347"/>
        <v>0</v>
      </c>
      <c r="EN53" s="51">
        <f t="shared" si="230"/>
        <v>0</v>
      </c>
      <c r="EO53" s="51">
        <f t="shared" si="348"/>
        <v>0</v>
      </c>
      <c r="EP53" s="51">
        <f t="shared" si="232"/>
        <v>30000</v>
      </c>
      <c r="EQ53" s="51">
        <f t="shared" si="349"/>
        <v>30000</v>
      </c>
      <c r="ER53" s="51">
        <f t="shared" si="234"/>
        <v>600</v>
      </c>
      <c r="ES53" s="51">
        <f t="shared" si="350"/>
        <v>600</v>
      </c>
      <c r="ET53" s="51">
        <f t="shared" si="236"/>
        <v>9300</v>
      </c>
      <c r="EU53" s="51">
        <f t="shared" si="351"/>
        <v>9300</v>
      </c>
      <c r="EV53" s="51">
        <f t="shared" si="238"/>
        <v>20700</v>
      </c>
      <c r="EW53" s="54">
        <f t="shared" si="239"/>
        <v>0</v>
      </c>
      <c r="EX53" s="55">
        <f t="shared" si="240"/>
        <v>0</v>
      </c>
      <c r="EY53" s="56">
        <f>IF(AND($E53&lt;&gt;0,$F53&gt;0,YEAR($F53)&gt;=Preisindex!$A$6,YEAR(ET$4)&gt;=YEAR($F53),AND($K53&lt;&gt;"a",$K53&lt;&gt;"b",$K53&lt;&gt;"g",$K53&lt;&gt;"k")),1,IF(AND($E53&lt;&gt;0,$F53&gt;0,YEAR($F53)&gt;=Preisindex!$A$6,YEAR(ET$4)&gt;=YEAR($F53),$K53="a"),ROUND(VLOOKUP(EY$4,Preisindex,5,FALSE)/VLOOKUP(YEAR($F53),Preisindex,5,FALSE),2),IF(AND($E53&lt;&gt;0,$F53&gt;0,YEAR($F53)&gt;=Preisindex!$A$6,YEAR(ET$4)&gt;=YEAR($F53),$K53="b"),ROUND(VLOOKUP(EY$4,Preisindex,3,FALSE)/VLOOKUP(YEAR($F53),Preisindex,3,FALSE),2),IF(AND($E53&lt;&gt;0,$F53&gt;0,YEAR($F53)&gt;=Preisindex!$A$6,YEAR(ET$4)&gt;=YEAR($F53),$K53="g"),ROUND(VLOOKUP(EY$4,Preisindex,4,FALSE)/VLOOKUP(YEAR($F53),Preisindex,4,FALSE),2),IF(AND($E53&lt;&gt;0,$F53&gt;0,YEAR($F53)&gt;=Preisindex!$A$6,YEAR(ET$4)&gt;=YEAR($F53),$K53="k"),ROUND(VLOOKUP(EY$4,Preisindex,2,FALSE)/VLOOKUP(YEAR($F53),Preisindex,2,FALSE),2),0)))))</f>
        <v>2</v>
      </c>
      <c r="EZ53" s="56">
        <f>IF(AND($E53&lt;&gt;0,$F53&gt;0,YEAR($F53)&lt;Preisindex!$A$6,YEAR(ET$4)&gt;=YEAR($F53),AND($K53&lt;&gt;"a",$K53&lt;&gt;"b",$K53&lt;&gt;"g",$K53&lt;&gt;"k")),1,IF(AND($E53&lt;&gt;0,$F53&gt;0,YEAR($F53)&lt;Preisindex!$A$6,YEAR(ET$4)&gt;=YEAR($F53),$K53="a"),ROUND(VLOOKUP(EY$4,Preisindex,5,FALSE)/VLOOKUP(Preisindex!$A$6,Preisindex,5,FALSE),2),IF(AND($E53&lt;&gt;0,$F53&gt;0,YEAR($F53)&lt;Preisindex!$A$6,YEAR(ET$4)&gt;=YEAR($F53),$K53="b"),ROUND(VLOOKUP(EY$4,Preisindex,3,FALSE)/VLOOKUP(Preisindex!$A$6,Preisindex,3,FALSE),2),IF(AND($E53&lt;&gt;0,$F53&gt;0,YEAR($F53)&lt;Preisindex!$A$6,YEAR(ET$4)&gt;=YEAR($F53),$K53="g"),ROUND(VLOOKUP(EY$4,Preisindex,4,FALSE)/VLOOKUP(Preisindex!$A$6,Preisindex,4,FALSE),2),IF(AND($E53&lt;&gt;0,$F53&gt;0,YEAR($F53)&lt;Preisindex!$A$6,YEAR(ET$4)&gt;=YEAR($F53),$K53="k"),ROUND(VLOOKUP(EY$4,Preisindex,2,FALSE)/VLOOKUP(Preisindex!$A$6,Preisindex,2,FALSE),2),0)))))</f>
        <v>0</v>
      </c>
      <c r="FA53" s="51">
        <f>IF(AND($E53&lt;&gt;0,$F53&gt;0,YEAR($F53)&lt;=EY$4,YEAR($F53)&gt;=Preisindex!$A$6),ROUND($E53*EY53,2),IF(AND($E53&lt;&gt;0,$F53&gt;0,YEAR($F53)&lt;=EY$4,YEAR($F53)&lt;Preisindex!$A$6),ROUND($E53*EZ53,2),0))</f>
        <v>60000</v>
      </c>
      <c r="FB53" s="53">
        <f t="shared" si="241"/>
        <v>1200</v>
      </c>
      <c r="FC53" s="51">
        <f t="shared" si="360"/>
        <v>0</v>
      </c>
      <c r="FD53" s="51">
        <f t="shared" si="352"/>
        <v>0</v>
      </c>
      <c r="FE53" s="51">
        <f t="shared" si="244"/>
        <v>0</v>
      </c>
      <c r="FF53" s="51">
        <f t="shared" si="353"/>
        <v>0</v>
      </c>
      <c r="FG53" s="51">
        <f t="shared" si="246"/>
        <v>30000</v>
      </c>
      <c r="FH53" s="51">
        <f t="shared" si="354"/>
        <v>30000</v>
      </c>
      <c r="FI53" s="51">
        <f t="shared" si="248"/>
        <v>600</v>
      </c>
      <c r="FJ53" s="51">
        <f t="shared" si="355"/>
        <v>600</v>
      </c>
      <c r="FK53" s="51">
        <f t="shared" si="250"/>
        <v>8700</v>
      </c>
      <c r="FL53" s="51">
        <f t="shared" si="356"/>
        <v>8700</v>
      </c>
      <c r="FM53" s="51">
        <f t="shared" si="252"/>
        <v>21300</v>
      </c>
      <c r="FN53" s="54">
        <f t="shared" si="253"/>
        <v>0</v>
      </c>
      <c r="FO53" s="55">
        <f t="shared" si="254"/>
        <v>0</v>
      </c>
      <c r="FP53" s="56">
        <f>IF(AND($E53&lt;&gt;0,$F53&gt;0,YEAR($F53)&gt;=Preisindex!$A$6,YEAR(FK$4)&gt;=YEAR($F53),AND($K53&lt;&gt;"a",$K53&lt;&gt;"b",$K53&lt;&gt;"g",$K53&lt;&gt;"k")),1,IF(AND($E53&lt;&gt;0,$F53&gt;0,YEAR($F53)&gt;=Preisindex!$A$6,YEAR(FK$4)&gt;=YEAR($F53),$K53="a"),ROUND(VLOOKUP(FP$4,Preisindex,5,FALSE)/VLOOKUP(YEAR($F53),Preisindex,5,FALSE),2),IF(AND($E53&lt;&gt;0,$F53&gt;0,YEAR($F53)&gt;=Preisindex!$A$6,YEAR(FK$4)&gt;=YEAR($F53),$K53="b"),ROUND(VLOOKUP(FP$4,Preisindex,3,FALSE)/VLOOKUP(YEAR($F53),Preisindex,3,FALSE),2),IF(AND($E53&lt;&gt;0,$F53&gt;0,YEAR($F53)&gt;=Preisindex!$A$6,YEAR(FK$4)&gt;=YEAR($F53),$K53="g"),ROUND(VLOOKUP(FP$4,Preisindex,4,FALSE)/VLOOKUP(YEAR($F53),Preisindex,4,FALSE),2),IF(AND($E53&lt;&gt;0,$F53&gt;0,YEAR($F53)&gt;=Preisindex!$A$6,YEAR(FK$4)&gt;=YEAR($F53),$K53="k"),ROUND(VLOOKUP(FP$4,Preisindex,2,FALSE)/VLOOKUP(YEAR($F53),Preisindex,2,FALSE),2),0)))))</f>
        <v>2</v>
      </c>
      <c r="FQ53" s="56">
        <f>IF(AND($E53&lt;&gt;0,$F53&gt;0,YEAR($F53)&lt;Preisindex!$A$6,YEAR(FK$4)&gt;=YEAR($F53),AND($K53&lt;&gt;"a",$K53&lt;&gt;"b",$K53&lt;&gt;"g",$K53&lt;&gt;"k")),1,IF(AND($E53&lt;&gt;0,$F53&gt;0,YEAR($F53)&lt;Preisindex!$A$6,YEAR(FK$4)&gt;=YEAR($F53),$K53="a"),ROUND(VLOOKUP(FP$4,Preisindex,5,FALSE)/VLOOKUP(Preisindex!$A$6,Preisindex,5,FALSE),2),IF(AND($E53&lt;&gt;0,$F53&gt;0,YEAR($F53)&lt;Preisindex!$A$6,YEAR(FK$4)&gt;=YEAR($F53),$K53="b"),ROUND(VLOOKUP(FP$4,Preisindex,3,FALSE)/VLOOKUP(Preisindex!$A$6,Preisindex,3,FALSE),2),IF(AND($E53&lt;&gt;0,$F53&gt;0,YEAR($F53)&lt;Preisindex!$A$6,YEAR(FK$4)&gt;=YEAR($F53),$K53="g"),ROUND(VLOOKUP(FP$4,Preisindex,4,FALSE)/VLOOKUP(Preisindex!$A$6,Preisindex,4,FALSE),2),IF(AND($E53&lt;&gt;0,$F53&gt;0,YEAR($F53)&lt;Preisindex!$A$6,YEAR(FK$4)&gt;=YEAR($F53),$K53="k"),ROUND(VLOOKUP(FP$4,Preisindex,2,FALSE)/VLOOKUP(Preisindex!$A$6,Preisindex,2,FALSE),2),0)))))</f>
        <v>0</v>
      </c>
      <c r="FR53" s="51">
        <f>IF(AND($E53&lt;&gt;0,$F53&gt;0,YEAR($F53)&lt;=FP$4,YEAR($F53)&gt;=Preisindex!$A$6),ROUND($E53*FP53,2),IF(AND($E53&lt;&gt;0,$F53&gt;0,YEAR($F53)&lt;=FP$4,YEAR($F53)&lt;Preisindex!$A$6),ROUND($E53*FQ53,2),0))</f>
        <v>60000</v>
      </c>
      <c r="FS53" s="53">
        <f t="shared" si="255"/>
        <v>1200</v>
      </c>
    </row>
    <row r="54" spans="1:175" x14ac:dyDescent="0.3">
      <c r="A54" s="93">
        <v>1989</v>
      </c>
      <c r="B54" s="94" t="s">
        <v>240</v>
      </c>
      <c r="C54" s="94"/>
      <c r="D54" s="95" t="s">
        <v>63</v>
      </c>
      <c r="E54" s="99">
        <v>27000</v>
      </c>
      <c r="F54" s="97">
        <v>32690</v>
      </c>
      <c r="G54" s="98">
        <v>50</v>
      </c>
      <c r="H54" s="620"/>
      <c r="I54" s="621"/>
      <c r="J54" s="194"/>
      <c r="K54" s="630" t="s">
        <v>266</v>
      </c>
      <c r="L54" s="49">
        <f t="shared" si="296"/>
        <v>0.02</v>
      </c>
      <c r="M54" s="50">
        <f t="shared" si="297"/>
        <v>540</v>
      </c>
      <c r="N54" s="51">
        <f t="shared" si="298"/>
        <v>14850</v>
      </c>
      <c r="O54" s="51"/>
      <c r="P54" s="51">
        <f t="shared" si="299"/>
        <v>12150</v>
      </c>
      <c r="Q54" s="52"/>
      <c r="R54" s="52"/>
      <c r="S54" s="52"/>
      <c r="T54" s="52"/>
      <c r="U54" s="52"/>
      <c r="V54" s="53">
        <f t="shared" si="300"/>
        <v>27000</v>
      </c>
      <c r="W54" s="51">
        <f t="shared" si="301"/>
        <v>0</v>
      </c>
      <c r="X54" s="51">
        <f t="shared" si="302"/>
        <v>0</v>
      </c>
      <c r="Y54" s="51">
        <f t="shared" si="303"/>
        <v>0</v>
      </c>
      <c r="Z54" s="51">
        <f t="shared" si="304"/>
        <v>0</v>
      </c>
      <c r="AA54" s="51">
        <f t="shared" si="305"/>
        <v>27000</v>
      </c>
      <c r="AB54" s="51">
        <f t="shared" si="306"/>
        <v>27000</v>
      </c>
      <c r="AC54" s="51">
        <f t="shared" si="307"/>
        <v>540</v>
      </c>
      <c r="AD54" s="51">
        <f t="shared" si="308"/>
        <v>540</v>
      </c>
      <c r="AE54" s="51">
        <f t="shared" si="309"/>
        <v>14310</v>
      </c>
      <c r="AF54" s="51">
        <f t="shared" si="310"/>
        <v>14310</v>
      </c>
      <c r="AG54" s="51">
        <f t="shared" si="311"/>
        <v>12690</v>
      </c>
      <c r="AH54" s="54">
        <f t="shared" si="312"/>
        <v>0</v>
      </c>
      <c r="AI54" s="55">
        <f t="shared" si="313"/>
        <v>0</v>
      </c>
      <c r="AJ54" s="56">
        <f>IF(AND($E54&lt;&gt;0,$F54&gt;0,YEAR($F54)&gt;=Preisindex!$A$6,YEAR(AE$4)&gt;=YEAR($F54),AND($K54&lt;&gt;"a",$K54&lt;&gt;"b",$K54&lt;&gt;"g",$K54&lt;&gt;"k")),1,IF(AND($E54&lt;&gt;0,$F54&gt;0,YEAR($F54)&gt;=Preisindex!$A$6,YEAR(AE$4)&gt;=YEAR($F54),$K54="a"),ROUND(VLOOKUP(AJ$4,Preisindex,5,FALSE)/VLOOKUP(YEAR($F54),Preisindex,5,FALSE),2),IF(AND($E54&lt;&gt;0,$F54&gt;0,YEAR($F54)&gt;=Preisindex!$A$6,YEAR(AE$4)&gt;=YEAR($F54),$K54="b"),ROUND(VLOOKUP(AJ$4,Preisindex,3,FALSE)/VLOOKUP(YEAR($F54),Preisindex,3,FALSE),2),IF(AND($E54&lt;&gt;0,$F54&gt;0,YEAR($F54)&gt;=Preisindex!$A$6,YEAR(AE$4)&gt;=YEAR($F54),$K54="g"),ROUND(VLOOKUP(AJ$4,Preisindex,4,FALSE)/VLOOKUP(YEAR($F54),Preisindex,4,FALSE),2),IF(AND($E54&lt;&gt;0,$F54&gt;0,YEAR($F54)&gt;=Preisindex!$A$6,YEAR(AE$4)&gt;=YEAR($F54),$K54="k"),ROUND(VLOOKUP(AJ$4,Preisindex,2,FALSE)/VLOOKUP(YEAR($F54),Preisindex,2,FALSE),2),0)))))</f>
        <v>1.56</v>
      </c>
      <c r="AK54" s="56">
        <f>IF(AND($E54&lt;&gt;0,$F54&gt;0,YEAR($F54)&lt;Preisindex!$A$6,YEAR(AE$4)&gt;=YEAR($F54),AND($K54&lt;&gt;"a",$K54&lt;&gt;"b",$K54&lt;&gt;"g",$K54&lt;&gt;"k")),1,IF(AND($E54&lt;&gt;0,$F54&gt;0,YEAR($F54)&lt;Preisindex!$A$6,YEAR(AE$4)&gt;=YEAR($F54),$K54="a"),ROUND(VLOOKUP(AJ$4,Preisindex,5,FALSE)/VLOOKUP(Preisindex!$A$6,Preisindex,5,FALSE),2),IF(AND($E54&lt;&gt;0,$F54&gt;0,YEAR($F54)&lt;Preisindex!$A$6,YEAR(AE$4)&gt;=YEAR($F54),$K54="b"),ROUND(VLOOKUP(AJ$4,Preisindex,3,FALSE)/VLOOKUP(Preisindex!$A$6,Preisindex,3,FALSE),2),IF(AND($E54&lt;&gt;0,$F54&gt;0,YEAR($F54)&lt;Preisindex!$A$6,YEAR(AE$4)&gt;=YEAR($F54),$K54="g"),ROUND(VLOOKUP(AJ$4,Preisindex,4,FALSE)/VLOOKUP(Preisindex!$A$6,Preisindex,4,FALSE),2),IF(AND($E54&lt;&gt;0,$F54&gt;0,YEAR($F54)&lt;Preisindex!$A$6,YEAR(AE$4)&gt;=YEAR($F54),$K54="k"),ROUND(VLOOKUP(AJ$4,Preisindex,2,FALSE)/VLOOKUP(Preisindex!$A$6,Preisindex,2,FALSE),2),0)))))</f>
        <v>0</v>
      </c>
      <c r="AL54" s="51">
        <f>IF(AND($E54&lt;&gt;0,$F54&gt;0,YEAR($F54)&lt;=AJ$4,YEAR($F54)&gt;=Preisindex!$A$6),ROUND($E54*AJ54,2),IF(AND($E54&lt;&gt;0,$F54&gt;0,YEAR($F54)&lt;=AJ$4,YEAR($F54)&lt;Preisindex!$A$6),ROUND($E54*AK54,2),0))</f>
        <v>42120</v>
      </c>
      <c r="AM54" s="53">
        <f t="shared" si="314"/>
        <v>842.4</v>
      </c>
      <c r="AN54" s="51">
        <f t="shared" si="359"/>
        <v>0</v>
      </c>
      <c r="AO54" s="51">
        <f t="shared" si="317"/>
        <v>0</v>
      </c>
      <c r="AP54" s="51">
        <f t="shared" si="146"/>
        <v>0</v>
      </c>
      <c r="AQ54" s="51">
        <f t="shared" si="318"/>
        <v>0</v>
      </c>
      <c r="AR54" s="51">
        <f t="shared" si="148"/>
        <v>27000</v>
      </c>
      <c r="AS54" s="51">
        <f t="shared" si="319"/>
        <v>27000</v>
      </c>
      <c r="AT54" s="51">
        <f t="shared" si="150"/>
        <v>540</v>
      </c>
      <c r="AU54" s="51">
        <f t="shared" si="320"/>
        <v>540</v>
      </c>
      <c r="AV54" s="51">
        <f t="shared" si="152"/>
        <v>13770</v>
      </c>
      <c r="AW54" s="51">
        <f t="shared" si="321"/>
        <v>13770</v>
      </c>
      <c r="AX54" s="51">
        <f t="shared" si="154"/>
        <v>13230</v>
      </c>
      <c r="AY54" s="54">
        <f t="shared" si="155"/>
        <v>0</v>
      </c>
      <c r="AZ54" s="55">
        <f t="shared" si="156"/>
        <v>0</v>
      </c>
      <c r="BA54" s="56">
        <f>IF(AND($E54&lt;&gt;0,$F54&gt;0,YEAR($F54)&gt;=Preisindex!$A$6,YEAR(AV$4)&gt;=YEAR($F54),AND($K54&lt;&gt;"a",$K54&lt;&gt;"b",$K54&lt;&gt;"g",$K54&lt;&gt;"k")),1,IF(AND($E54&lt;&gt;0,$F54&gt;0,YEAR($F54)&gt;=Preisindex!$A$6,YEAR(AV$4)&gt;=YEAR($F54),$K54="a"),ROUND(VLOOKUP(BA$4,Preisindex,5,FALSE)/VLOOKUP(YEAR($F54),Preisindex,5,FALSE),2),IF(AND($E54&lt;&gt;0,$F54&gt;0,YEAR($F54)&gt;=Preisindex!$A$6,YEAR(AV$4)&gt;=YEAR($F54),$K54="b"),ROUND(VLOOKUP(BA$4,Preisindex,3,FALSE)/VLOOKUP(YEAR($F54),Preisindex,3,FALSE),2),IF(AND($E54&lt;&gt;0,$F54&gt;0,YEAR($F54)&gt;=Preisindex!$A$6,YEAR(AV$4)&gt;=YEAR($F54),$K54="g"),ROUND(VLOOKUP(BA$4,Preisindex,4,FALSE)/VLOOKUP(YEAR($F54),Preisindex,4,FALSE),2),IF(AND($E54&lt;&gt;0,$F54&gt;0,YEAR($F54)&gt;=Preisindex!$A$6,YEAR(AV$4)&gt;=YEAR($F54),$K54="k"),ROUND(VLOOKUP(BA$4,Preisindex,2,FALSE)/VLOOKUP(YEAR($F54),Preisindex,2,FALSE),2),0)))))</f>
        <v>1.59</v>
      </c>
      <c r="BB54" s="56">
        <f>IF(AND($E54&lt;&gt;0,$F54&gt;0,YEAR($F54)&lt;Preisindex!$A$6,YEAR(AV$4)&gt;=YEAR($F54),AND($K54&lt;&gt;"a",$K54&lt;&gt;"b",$K54&lt;&gt;"g",$K54&lt;&gt;"k")),1,IF(AND($E54&lt;&gt;0,$F54&gt;0,YEAR($F54)&lt;Preisindex!$A$6,YEAR(AV$4)&gt;=YEAR($F54),$K54="a"),ROUND(VLOOKUP(BA$4,Preisindex,5,FALSE)/VLOOKUP(Preisindex!$A$6,Preisindex,5,FALSE),2),IF(AND($E54&lt;&gt;0,$F54&gt;0,YEAR($F54)&lt;Preisindex!$A$6,YEAR(AV$4)&gt;=YEAR($F54),$K54="b"),ROUND(VLOOKUP(BA$4,Preisindex,3,FALSE)/VLOOKUP(Preisindex!$A$6,Preisindex,3,FALSE),2),IF(AND($E54&lt;&gt;0,$F54&gt;0,YEAR($F54)&lt;Preisindex!$A$6,YEAR(AV$4)&gt;=YEAR($F54),$K54="g"),ROUND(VLOOKUP(BA$4,Preisindex,4,FALSE)/VLOOKUP(Preisindex!$A$6,Preisindex,4,FALSE),2),IF(AND($E54&lt;&gt;0,$F54&gt;0,YEAR($F54)&lt;Preisindex!$A$6,YEAR(AV$4)&gt;=YEAR($F54),$K54="k"),ROUND(VLOOKUP(BA$4,Preisindex,2,FALSE)/VLOOKUP(Preisindex!$A$6,Preisindex,2,FALSE),2),0)))))</f>
        <v>0</v>
      </c>
      <c r="BC54" s="51">
        <f>IF(AND($E54&lt;&gt;0,$F54&gt;0,YEAR($F54)&lt;=BA$4,YEAR($F54)&gt;=Preisindex!$A$6),ROUND($E54*BA54,2),IF(AND($E54&lt;&gt;0,$F54&gt;0,YEAR($F54)&lt;=BA$4,YEAR($F54)&lt;Preisindex!$A$6),ROUND($E54*BB54,2),0))</f>
        <v>42930</v>
      </c>
      <c r="BD54" s="53">
        <f t="shared" si="157"/>
        <v>858.6</v>
      </c>
      <c r="BE54" s="51">
        <f t="shared" si="359"/>
        <v>0</v>
      </c>
      <c r="BF54" s="51">
        <f t="shared" si="322"/>
        <v>0</v>
      </c>
      <c r="BG54" s="51">
        <f t="shared" si="160"/>
        <v>0</v>
      </c>
      <c r="BH54" s="51">
        <f t="shared" si="323"/>
        <v>0</v>
      </c>
      <c r="BI54" s="51">
        <f t="shared" si="162"/>
        <v>27000</v>
      </c>
      <c r="BJ54" s="51">
        <f t="shared" si="324"/>
        <v>27000</v>
      </c>
      <c r="BK54" s="51">
        <f t="shared" si="164"/>
        <v>540</v>
      </c>
      <c r="BL54" s="51">
        <f t="shared" si="325"/>
        <v>540</v>
      </c>
      <c r="BM54" s="51">
        <f t="shared" si="166"/>
        <v>13230</v>
      </c>
      <c r="BN54" s="51">
        <f t="shared" si="326"/>
        <v>13230</v>
      </c>
      <c r="BO54" s="51">
        <f t="shared" si="168"/>
        <v>13770</v>
      </c>
      <c r="BP54" s="54">
        <f t="shared" si="169"/>
        <v>0</v>
      </c>
      <c r="BQ54" s="55">
        <f t="shared" si="170"/>
        <v>0</v>
      </c>
      <c r="BR54" s="56">
        <f>IF(AND($E54&lt;&gt;0,$F54&gt;0,YEAR($F54)&gt;=Preisindex!$A$6,YEAR(BM$4)&gt;=YEAR($F54),AND($K54&lt;&gt;"a",$K54&lt;&gt;"b",$K54&lt;&gt;"g",$K54&lt;&gt;"k")),1,IF(AND($E54&lt;&gt;0,$F54&gt;0,YEAR($F54)&gt;=Preisindex!$A$6,YEAR(BM$4)&gt;=YEAR($F54),$K54="a"),ROUND(VLOOKUP(BR$4,Preisindex,5,FALSE)/VLOOKUP(YEAR($F54),Preisindex,5,FALSE),2),IF(AND($E54&lt;&gt;0,$F54&gt;0,YEAR($F54)&gt;=Preisindex!$A$6,YEAR(BM$4)&gt;=YEAR($F54),$K54="b"),ROUND(VLOOKUP(BR$4,Preisindex,3,FALSE)/VLOOKUP(YEAR($F54),Preisindex,3,FALSE),2),IF(AND($E54&lt;&gt;0,$F54&gt;0,YEAR($F54)&gt;=Preisindex!$A$6,YEAR(BM$4)&gt;=YEAR($F54),$K54="g"),ROUND(VLOOKUP(BR$4,Preisindex,4,FALSE)/VLOOKUP(YEAR($F54),Preisindex,4,FALSE),2),IF(AND($E54&lt;&gt;0,$F54&gt;0,YEAR($F54)&gt;=Preisindex!$A$6,YEAR(BM$4)&gt;=YEAR($F54),$K54="k"),ROUND(VLOOKUP(BR$4,Preisindex,2,FALSE)/VLOOKUP(YEAR($F54),Preisindex,2,FALSE),2),0)))))</f>
        <v>1.61</v>
      </c>
      <c r="BS54" s="56">
        <f>IF(AND($E54&lt;&gt;0,$F54&gt;0,YEAR($F54)&lt;Preisindex!$A$6,YEAR(BM$4)&gt;=YEAR($F54),AND($K54&lt;&gt;"a",$K54&lt;&gt;"b",$K54&lt;&gt;"g",$K54&lt;&gt;"k")),1,IF(AND($E54&lt;&gt;0,$F54&gt;0,YEAR($F54)&lt;Preisindex!$A$6,YEAR(BM$4)&gt;=YEAR($F54),$K54="a"),ROUND(VLOOKUP(BR$4,Preisindex,5,FALSE)/VLOOKUP(Preisindex!$A$6,Preisindex,5,FALSE),2),IF(AND($E54&lt;&gt;0,$F54&gt;0,YEAR($F54)&lt;Preisindex!$A$6,YEAR(BM$4)&gt;=YEAR($F54),$K54="b"),ROUND(VLOOKUP(BR$4,Preisindex,3,FALSE)/VLOOKUP(Preisindex!$A$6,Preisindex,3,FALSE),2),IF(AND($E54&lt;&gt;0,$F54&gt;0,YEAR($F54)&lt;Preisindex!$A$6,YEAR(BM$4)&gt;=YEAR($F54),$K54="g"),ROUND(VLOOKUP(BR$4,Preisindex,4,FALSE)/VLOOKUP(Preisindex!$A$6,Preisindex,4,FALSE),2),IF(AND($E54&lt;&gt;0,$F54&gt;0,YEAR($F54)&lt;Preisindex!$A$6,YEAR(BM$4)&gt;=YEAR($F54),$K54="k"),ROUND(VLOOKUP(BR$4,Preisindex,2,FALSE)/VLOOKUP(Preisindex!$A$6,Preisindex,2,FALSE),2),0)))))</f>
        <v>0</v>
      </c>
      <c r="BT54" s="51">
        <f>IF(AND($E54&lt;&gt;0,$F54&gt;0,YEAR($F54)&lt;=BR$4,YEAR($F54)&gt;=Preisindex!$A$6),ROUND($E54*BR54,2),IF(AND($E54&lt;&gt;0,$F54&gt;0,YEAR($F54)&lt;=BR$4,YEAR($F54)&lt;Preisindex!$A$6),ROUND($E54*BS54,2),0))</f>
        <v>43470</v>
      </c>
      <c r="BU54" s="53">
        <f t="shared" si="171"/>
        <v>869.4</v>
      </c>
      <c r="BV54" s="51">
        <f t="shared" si="359"/>
        <v>0</v>
      </c>
      <c r="BW54" s="51">
        <f t="shared" si="327"/>
        <v>0</v>
      </c>
      <c r="BX54" s="51">
        <f t="shared" si="174"/>
        <v>0</v>
      </c>
      <c r="BY54" s="51">
        <f t="shared" si="328"/>
        <v>0</v>
      </c>
      <c r="BZ54" s="51">
        <f t="shared" si="176"/>
        <v>27000</v>
      </c>
      <c r="CA54" s="51">
        <f t="shared" si="329"/>
        <v>27000</v>
      </c>
      <c r="CB54" s="51">
        <f t="shared" si="178"/>
        <v>540</v>
      </c>
      <c r="CC54" s="51">
        <f t="shared" si="330"/>
        <v>540</v>
      </c>
      <c r="CD54" s="51">
        <f t="shared" si="180"/>
        <v>12690</v>
      </c>
      <c r="CE54" s="51">
        <f t="shared" si="331"/>
        <v>12690</v>
      </c>
      <c r="CF54" s="51">
        <f t="shared" si="182"/>
        <v>14310</v>
      </c>
      <c r="CG54" s="54">
        <f t="shared" si="183"/>
        <v>0</v>
      </c>
      <c r="CH54" s="55">
        <f t="shared" si="184"/>
        <v>0</v>
      </c>
      <c r="CI54" s="56">
        <f>IF(AND($E54&lt;&gt;0,$F54&gt;0,YEAR($F54)&gt;=Preisindex!$A$6,YEAR(CD$4)&gt;=YEAR($F54),AND($K54&lt;&gt;"a",$K54&lt;&gt;"b",$K54&lt;&gt;"g",$K54&lt;&gt;"k")),1,IF(AND($E54&lt;&gt;0,$F54&gt;0,YEAR($F54)&gt;=Preisindex!$A$6,YEAR(CD$4)&gt;=YEAR($F54),$K54="a"),ROUND(VLOOKUP(CI$4,Preisindex,5,FALSE)/VLOOKUP(YEAR($F54),Preisindex,5,FALSE),2),IF(AND($E54&lt;&gt;0,$F54&gt;0,YEAR($F54)&gt;=Preisindex!$A$6,YEAR(CD$4)&gt;=YEAR($F54),$K54="b"),ROUND(VLOOKUP(CI$4,Preisindex,3,FALSE)/VLOOKUP(YEAR($F54),Preisindex,3,FALSE),2),IF(AND($E54&lt;&gt;0,$F54&gt;0,YEAR($F54)&gt;=Preisindex!$A$6,YEAR(CD$4)&gt;=YEAR($F54),$K54="g"),ROUND(VLOOKUP(CI$4,Preisindex,4,FALSE)/VLOOKUP(YEAR($F54),Preisindex,4,FALSE),2),IF(AND($E54&lt;&gt;0,$F54&gt;0,YEAR($F54)&gt;=Preisindex!$A$6,YEAR(CD$4)&gt;=YEAR($F54),$K54="k"),ROUND(VLOOKUP(CI$4,Preisindex,2,FALSE)/VLOOKUP(YEAR($F54),Preisindex,2,FALSE),2),0)))))</f>
        <v>1.63</v>
      </c>
      <c r="CJ54" s="56">
        <f>IF(AND($E54&lt;&gt;0,$F54&gt;0,YEAR($F54)&lt;Preisindex!$A$6,YEAR(CD$4)&gt;=YEAR($F54),AND($K54&lt;&gt;"a",$K54&lt;&gt;"b",$K54&lt;&gt;"g",$K54&lt;&gt;"k")),1,IF(AND($E54&lt;&gt;0,$F54&gt;0,YEAR($F54)&lt;Preisindex!$A$6,YEAR(CD$4)&gt;=YEAR($F54),$K54="a"),ROUND(VLOOKUP(CI$4,Preisindex,5,FALSE)/VLOOKUP(Preisindex!$A$6,Preisindex,5,FALSE),2),IF(AND($E54&lt;&gt;0,$F54&gt;0,YEAR($F54)&lt;Preisindex!$A$6,YEAR(CD$4)&gt;=YEAR($F54),$K54="b"),ROUND(VLOOKUP(CI$4,Preisindex,3,FALSE)/VLOOKUP(Preisindex!$A$6,Preisindex,3,FALSE),2),IF(AND($E54&lt;&gt;0,$F54&gt;0,YEAR($F54)&lt;Preisindex!$A$6,YEAR(CD$4)&gt;=YEAR($F54),$K54="g"),ROUND(VLOOKUP(CI$4,Preisindex,4,FALSE)/VLOOKUP(Preisindex!$A$6,Preisindex,4,FALSE),2),IF(AND($E54&lt;&gt;0,$F54&gt;0,YEAR($F54)&lt;Preisindex!$A$6,YEAR(CD$4)&gt;=YEAR($F54),$K54="k"),ROUND(VLOOKUP(CI$4,Preisindex,2,FALSE)/VLOOKUP(Preisindex!$A$6,Preisindex,2,FALSE),2),0)))))</f>
        <v>0</v>
      </c>
      <c r="CK54" s="51">
        <f>IF(AND($E54&lt;&gt;0,$F54&gt;0,YEAR($F54)&lt;=CI$4,YEAR($F54)&gt;=Preisindex!$A$6),ROUND($E54*CI54,2),IF(AND($E54&lt;&gt;0,$F54&gt;0,YEAR($F54)&lt;=CI$4,YEAR($F54)&lt;Preisindex!$A$6),ROUND($E54*CJ54,2),0))</f>
        <v>44010</v>
      </c>
      <c r="CL54" s="53">
        <f t="shared" si="185"/>
        <v>880.2</v>
      </c>
      <c r="CM54" s="51">
        <f t="shared" si="359"/>
        <v>0</v>
      </c>
      <c r="CN54" s="51">
        <f t="shared" si="332"/>
        <v>0</v>
      </c>
      <c r="CO54" s="51">
        <f t="shared" si="188"/>
        <v>0</v>
      </c>
      <c r="CP54" s="51">
        <f t="shared" si="333"/>
        <v>0</v>
      </c>
      <c r="CQ54" s="51">
        <f t="shared" si="190"/>
        <v>27000</v>
      </c>
      <c r="CR54" s="51">
        <f t="shared" si="334"/>
        <v>27000</v>
      </c>
      <c r="CS54" s="51">
        <f t="shared" si="192"/>
        <v>540</v>
      </c>
      <c r="CT54" s="51">
        <f t="shared" si="335"/>
        <v>540</v>
      </c>
      <c r="CU54" s="51">
        <f t="shared" si="194"/>
        <v>12150</v>
      </c>
      <c r="CV54" s="51">
        <f t="shared" si="336"/>
        <v>12150</v>
      </c>
      <c r="CW54" s="51">
        <f t="shared" si="196"/>
        <v>14850</v>
      </c>
      <c r="CX54" s="54">
        <f t="shared" si="197"/>
        <v>0</v>
      </c>
      <c r="CY54" s="55">
        <f t="shared" si="198"/>
        <v>0</v>
      </c>
      <c r="CZ54" s="56">
        <f>IF(AND($E54&lt;&gt;0,$F54&gt;0,YEAR($F54)&gt;=Preisindex!$A$6,YEAR(CU$4)&gt;=YEAR($F54),AND($K54&lt;&gt;"a",$K54&lt;&gt;"b",$K54&lt;&gt;"g",$K54&lt;&gt;"k")),1,IF(AND($E54&lt;&gt;0,$F54&gt;0,YEAR($F54)&gt;=Preisindex!$A$6,YEAR(CU$4)&gt;=YEAR($F54),$K54="a"),ROUND(VLOOKUP(CZ$4,Preisindex,5,FALSE)/VLOOKUP(YEAR($F54),Preisindex,5,FALSE),2),IF(AND($E54&lt;&gt;0,$F54&gt;0,YEAR($F54)&gt;=Preisindex!$A$6,YEAR(CU$4)&gt;=YEAR($F54),$K54="b"),ROUND(VLOOKUP(CZ$4,Preisindex,3,FALSE)/VLOOKUP(YEAR($F54),Preisindex,3,FALSE),2),IF(AND($E54&lt;&gt;0,$F54&gt;0,YEAR($F54)&gt;=Preisindex!$A$6,YEAR(CU$4)&gt;=YEAR($F54),$K54="g"),ROUND(VLOOKUP(CZ$4,Preisindex,4,FALSE)/VLOOKUP(YEAR($F54),Preisindex,4,FALSE),2),IF(AND($E54&lt;&gt;0,$F54&gt;0,YEAR($F54)&gt;=Preisindex!$A$6,YEAR(CU$4)&gt;=YEAR($F54),$K54="k"),ROUND(VLOOKUP(CZ$4,Preisindex,2,FALSE)/VLOOKUP(YEAR($F54),Preisindex,2,FALSE),2),0)))))</f>
        <v>1.66</v>
      </c>
      <c r="DA54" s="56">
        <f>IF(AND($E54&lt;&gt;0,$F54&gt;0,YEAR($F54)&lt;Preisindex!$A$6,YEAR(CU$4)&gt;=YEAR($F54),AND($K54&lt;&gt;"a",$K54&lt;&gt;"b",$K54&lt;&gt;"g",$K54&lt;&gt;"k")),1,IF(AND($E54&lt;&gt;0,$F54&gt;0,YEAR($F54)&lt;Preisindex!$A$6,YEAR(CU$4)&gt;=YEAR($F54),$K54="a"),ROUND(VLOOKUP(CZ$4,Preisindex,5,FALSE)/VLOOKUP(Preisindex!$A$6,Preisindex,5,FALSE),2),IF(AND($E54&lt;&gt;0,$F54&gt;0,YEAR($F54)&lt;Preisindex!$A$6,YEAR(CU$4)&gt;=YEAR($F54),$K54="b"),ROUND(VLOOKUP(CZ$4,Preisindex,3,FALSE)/VLOOKUP(Preisindex!$A$6,Preisindex,3,FALSE),2),IF(AND($E54&lt;&gt;0,$F54&gt;0,YEAR($F54)&lt;Preisindex!$A$6,YEAR(CU$4)&gt;=YEAR($F54),$K54="g"),ROUND(VLOOKUP(CZ$4,Preisindex,4,FALSE)/VLOOKUP(Preisindex!$A$6,Preisindex,4,FALSE),2),IF(AND($E54&lt;&gt;0,$F54&gt;0,YEAR($F54)&lt;Preisindex!$A$6,YEAR(CU$4)&gt;=YEAR($F54),$K54="k"),ROUND(VLOOKUP(CZ$4,Preisindex,2,FALSE)/VLOOKUP(Preisindex!$A$6,Preisindex,2,FALSE),2),0)))))</f>
        <v>0</v>
      </c>
      <c r="DB54" s="51">
        <f>IF(AND($E54&lt;&gt;0,$F54&gt;0,YEAR($F54)&lt;=CZ$4,YEAR($F54)&gt;=Preisindex!$A$6),ROUND($E54*CZ54,2),IF(AND($E54&lt;&gt;0,$F54&gt;0,YEAR($F54)&lt;=CZ$4,YEAR($F54)&lt;Preisindex!$A$6),ROUND($E54*DA54,2),0))</f>
        <v>44820</v>
      </c>
      <c r="DC54" s="53">
        <f t="shared" si="199"/>
        <v>896.4</v>
      </c>
      <c r="DD54" s="51">
        <f t="shared" si="360"/>
        <v>0</v>
      </c>
      <c r="DE54" s="51">
        <f t="shared" si="337"/>
        <v>0</v>
      </c>
      <c r="DF54" s="51">
        <f t="shared" si="202"/>
        <v>0</v>
      </c>
      <c r="DG54" s="51">
        <f t="shared" si="338"/>
        <v>0</v>
      </c>
      <c r="DH54" s="51">
        <f t="shared" si="204"/>
        <v>27000</v>
      </c>
      <c r="DI54" s="51">
        <f t="shared" si="339"/>
        <v>27000</v>
      </c>
      <c r="DJ54" s="51">
        <f t="shared" si="206"/>
        <v>540</v>
      </c>
      <c r="DK54" s="51">
        <f t="shared" si="340"/>
        <v>540</v>
      </c>
      <c r="DL54" s="51">
        <f t="shared" si="208"/>
        <v>11610</v>
      </c>
      <c r="DM54" s="51">
        <f t="shared" si="341"/>
        <v>11610</v>
      </c>
      <c r="DN54" s="51">
        <f t="shared" si="210"/>
        <v>15390</v>
      </c>
      <c r="DO54" s="54">
        <f t="shared" si="211"/>
        <v>0</v>
      </c>
      <c r="DP54" s="55">
        <f t="shared" si="212"/>
        <v>0</v>
      </c>
      <c r="DQ54" s="56">
        <f>IF(AND($E54&lt;&gt;0,$F54&gt;0,YEAR($F54)&gt;=Preisindex!$A$6,YEAR(DL$4)&gt;=YEAR($F54),AND($K54&lt;&gt;"a",$K54&lt;&gt;"b",$K54&lt;&gt;"g",$K54&lt;&gt;"k")),1,IF(AND($E54&lt;&gt;0,$F54&gt;0,YEAR($F54)&gt;=Preisindex!$A$6,YEAR(DL$4)&gt;=YEAR($F54),$K54="a"),ROUND(VLOOKUP(DQ$4,Preisindex,5,FALSE)/VLOOKUP(YEAR($F54),Preisindex,5,FALSE),2),IF(AND($E54&lt;&gt;0,$F54&gt;0,YEAR($F54)&gt;=Preisindex!$A$6,YEAR(DL$4)&gt;=YEAR($F54),$K54="b"),ROUND(VLOOKUP(DQ$4,Preisindex,3,FALSE)/VLOOKUP(YEAR($F54),Preisindex,3,FALSE),2),IF(AND($E54&lt;&gt;0,$F54&gt;0,YEAR($F54)&gt;=Preisindex!$A$6,YEAR(DL$4)&gt;=YEAR($F54),$K54="g"),ROUND(VLOOKUP(DQ$4,Preisindex,4,FALSE)/VLOOKUP(YEAR($F54),Preisindex,4,FALSE),2),IF(AND($E54&lt;&gt;0,$F54&gt;0,YEAR($F54)&gt;=Preisindex!$A$6,YEAR(DL$4)&gt;=YEAR($F54),$K54="k"),ROUND(VLOOKUP(DQ$4,Preisindex,2,FALSE)/VLOOKUP(YEAR($F54),Preisindex,2,FALSE),2),0)))))</f>
        <v>1.71</v>
      </c>
      <c r="DR54" s="56">
        <f>IF(AND($E54&lt;&gt;0,$F54&gt;0,YEAR($F54)&lt;Preisindex!$A$6,YEAR(DL$4)&gt;=YEAR($F54),AND($K54&lt;&gt;"a",$K54&lt;&gt;"b",$K54&lt;&gt;"g",$K54&lt;&gt;"k")),1,IF(AND($E54&lt;&gt;0,$F54&gt;0,YEAR($F54)&lt;Preisindex!$A$6,YEAR(DL$4)&gt;=YEAR($F54),$K54="a"),ROUND(VLOOKUP(DQ$4,Preisindex,5,FALSE)/VLOOKUP(Preisindex!$A$6,Preisindex,5,FALSE),2),IF(AND($E54&lt;&gt;0,$F54&gt;0,YEAR($F54)&lt;Preisindex!$A$6,YEAR(DL$4)&gt;=YEAR($F54),$K54="b"),ROUND(VLOOKUP(DQ$4,Preisindex,3,FALSE)/VLOOKUP(Preisindex!$A$6,Preisindex,3,FALSE),2),IF(AND($E54&lt;&gt;0,$F54&gt;0,YEAR($F54)&lt;Preisindex!$A$6,YEAR(DL$4)&gt;=YEAR($F54),$K54="g"),ROUND(VLOOKUP(DQ$4,Preisindex,4,FALSE)/VLOOKUP(Preisindex!$A$6,Preisindex,4,FALSE),2),IF(AND($E54&lt;&gt;0,$F54&gt;0,YEAR($F54)&lt;Preisindex!$A$6,YEAR(DL$4)&gt;=YEAR($F54),$K54="k"),ROUND(VLOOKUP(DQ$4,Preisindex,2,FALSE)/VLOOKUP(Preisindex!$A$6,Preisindex,2,FALSE),2),0)))))</f>
        <v>0</v>
      </c>
      <c r="DS54" s="51">
        <f>IF(AND($E54&lt;&gt;0,$F54&gt;0,YEAR($F54)&lt;=DQ$4,YEAR($F54)&gt;=Preisindex!$A$6),ROUND($E54*DQ54,2),IF(AND($E54&lt;&gt;0,$F54&gt;0,YEAR($F54)&lt;=DQ$4,YEAR($F54)&lt;Preisindex!$A$6),ROUND($E54*DR54,2),0))</f>
        <v>46170</v>
      </c>
      <c r="DT54" s="53">
        <f t="shared" si="213"/>
        <v>923.4</v>
      </c>
      <c r="DU54" s="51">
        <f t="shared" si="360"/>
        <v>0</v>
      </c>
      <c r="DV54" s="51">
        <f t="shared" si="342"/>
        <v>0</v>
      </c>
      <c r="DW54" s="51">
        <f t="shared" si="216"/>
        <v>0</v>
      </c>
      <c r="DX54" s="51">
        <f t="shared" si="343"/>
        <v>0</v>
      </c>
      <c r="DY54" s="51">
        <f t="shared" si="218"/>
        <v>27000</v>
      </c>
      <c r="DZ54" s="51">
        <f t="shared" si="344"/>
        <v>27000</v>
      </c>
      <c r="EA54" s="51">
        <f t="shared" si="220"/>
        <v>540</v>
      </c>
      <c r="EB54" s="51">
        <f t="shared" si="345"/>
        <v>540</v>
      </c>
      <c r="EC54" s="51">
        <f t="shared" si="222"/>
        <v>11070</v>
      </c>
      <c r="ED54" s="51">
        <f t="shared" si="346"/>
        <v>11070</v>
      </c>
      <c r="EE54" s="51">
        <f t="shared" si="224"/>
        <v>15930</v>
      </c>
      <c r="EF54" s="54">
        <f t="shared" si="225"/>
        <v>0</v>
      </c>
      <c r="EG54" s="55">
        <f t="shared" si="226"/>
        <v>0</v>
      </c>
      <c r="EH54" s="56">
        <f>IF(AND($E54&lt;&gt;0,$F54&gt;0,YEAR($F54)&gt;=Preisindex!$A$6,YEAR(EC$4)&gt;=YEAR($F54),AND($K54&lt;&gt;"a",$K54&lt;&gt;"b",$K54&lt;&gt;"g",$K54&lt;&gt;"k")),1,IF(AND($E54&lt;&gt;0,$F54&gt;0,YEAR($F54)&gt;=Preisindex!$A$6,YEAR(EC$4)&gt;=YEAR($F54),$K54="a"),ROUND(VLOOKUP(EH$4,Preisindex,5,FALSE)/VLOOKUP(YEAR($F54),Preisindex,5,FALSE),2),IF(AND($E54&lt;&gt;0,$F54&gt;0,YEAR($F54)&gt;=Preisindex!$A$6,YEAR(EC$4)&gt;=YEAR($F54),$K54="b"),ROUND(VLOOKUP(EH$4,Preisindex,3,FALSE)/VLOOKUP(YEAR($F54),Preisindex,3,FALSE),2),IF(AND($E54&lt;&gt;0,$F54&gt;0,YEAR($F54)&gt;=Preisindex!$A$6,YEAR(EC$4)&gt;=YEAR($F54),$K54="g"),ROUND(VLOOKUP(EH$4,Preisindex,4,FALSE)/VLOOKUP(YEAR($F54),Preisindex,4,FALSE),2),IF(AND($E54&lt;&gt;0,$F54&gt;0,YEAR($F54)&gt;=Preisindex!$A$6,YEAR(EC$4)&gt;=YEAR($F54),$K54="k"),ROUND(VLOOKUP(EH$4,Preisindex,2,FALSE)/VLOOKUP(YEAR($F54),Preisindex,2,FALSE),2),0)))))</f>
        <v>1.8</v>
      </c>
      <c r="EI54" s="56">
        <f>IF(AND($E54&lt;&gt;0,$F54&gt;0,YEAR($F54)&lt;Preisindex!$A$6,YEAR(EC$4)&gt;=YEAR($F54),AND($K54&lt;&gt;"a",$K54&lt;&gt;"b",$K54&lt;&gt;"g",$K54&lt;&gt;"k")),1,IF(AND($E54&lt;&gt;0,$F54&gt;0,YEAR($F54)&lt;Preisindex!$A$6,YEAR(EC$4)&gt;=YEAR($F54),$K54="a"),ROUND(VLOOKUP(EH$4,Preisindex,5,FALSE)/VLOOKUP(Preisindex!$A$6,Preisindex,5,FALSE),2),IF(AND($E54&lt;&gt;0,$F54&gt;0,YEAR($F54)&lt;Preisindex!$A$6,YEAR(EC$4)&gt;=YEAR($F54),$K54="b"),ROUND(VLOOKUP(EH$4,Preisindex,3,FALSE)/VLOOKUP(Preisindex!$A$6,Preisindex,3,FALSE),2),IF(AND($E54&lt;&gt;0,$F54&gt;0,YEAR($F54)&lt;Preisindex!$A$6,YEAR(EC$4)&gt;=YEAR($F54),$K54="g"),ROUND(VLOOKUP(EH$4,Preisindex,4,FALSE)/VLOOKUP(Preisindex!$A$6,Preisindex,4,FALSE),2),IF(AND($E54&lt;&gt;0,$F54&gt;0,YEAR($F54)&lt;Preisindex!$A$6,YEAR(EC$4)&gt;=YEAR($F54),$K54="k"),ROUND(VLOOKUP(EH$4,Preisindex,2,FALSE)/VLOOKUP(Preisindex!$A$6,Preisindex,2,FALSE),2),0)))))</f>
        <v>0</v>
      </c>
      <c r="EJ54" s="51">
        <f>IF(AND($E54&lt;&gt;0,$F54&gt;0,YEAR($F54)&lt;=EH$4,YEAR($F54)&gt;=Preisindex!$A$6),ROUND($E54*EH54,2),IF(AND($E54&lt;&gt;0,$F54&gt;0,YEAR($F54)&lt;=EH$4,YEAR($F54)&lt;Preisindex!$A$6),ROUND($E54*EI54,2),0))</f>
        <v>48600</v>
      </c>
      <c r="EK54" s="53">
        <f t="shared" si="227"/>
        <v>972</v>
      </c>
      <c r="EL54" s="51">
        <f t="shared" si="360"/>
        <v>0</v>
      </c>
      <c r="EM54" s="51">
        <f t="shared" si="347"/>
        <v>0</v>
      </c>
      <c r="EN54" s="51">
        <f t="shared" si="230"/>
        <v>0</v>
      </c>
      <c r="EO54" s="51">
        <f t="shared" si="348"/>
        <v>0</v>
      </c>
      <c r="EP54" s="51">
        <f t="shared" si="232"/>
        <v>27000</v>
      </c>
      <c r="EQ54" s="51">
        <f t="shared" si="349"/>
        <v>27000</v>
      </c>
      <c r="ER54" s="51">
        <f t="shared" si="234"/>
        <v>540</v>
      </c>
      <c r="ES54" s="51">
        <f t="shared" si="350"/>
        <v>540</v>
      </c>
      <c r="ET54" s="51">
        <f t="shared" si="236"/>
        <v>10530</v>
      </c>
      <c r="EU54" s="51">
        <f t="shared" si="351"/>
        <v>10530</v>
      </c>
      <c r="EV54" s="51">
        <f t="shared" si="238"/>
        <v>16470</v>
      </c>
      <c r="EW54" s="54">
        <f t="shared" si="239"/>
        <v>0</v>
      </c>
      <c r="EX54" s="55">
        <f t="shared" si="240"/>
        <v>0</v>
      </c>
      <c r="EY54" s="56">
        <f>IF(AND($E54&lt;&gt;0,$F54&gt;0,YEAR($F54)&gt;=Preisindex!$A$6,YEAR(ET$4)&gt;=YEAR($F54),AND($K54&lt;&gt;"a",$K54&lt;&gt;"b",$K54&lt;&gt;"g",$K54&lt;&gt;"k")),1,IF(AND($E54&lt;&gt;0,$F54&gt;0,YEAR($F54)&gt;=Preisindex!$A$6,YEAR(ET$4)&gt;=YEAR($F54),$K54="a"),ROUND(VLOOKUP(EY$4,Preisindex,5,FALSE)/VLOOKUP(YEAR($F54),Preisindex,5,FALSE),2),IF(AND($E54&lt;&gt;0,$F54&gt;0,YEAR($F54)&gt;=Preisindex!$A$6,YEAR(ET$4)&gt;=YEAR($F54),$K54="b"),ROUND(VLOOKUP(EY$4,Preisindex,3,FALSE)/VLOOKUP(YEAR($F54),Preisindex,3,FALSE),2),IF(AND($E54&lt;&gt;0,$F54&gt;0,YEAR($F54)&gt;=Preisindex!$A$6,YEAR(ET$4)&gt;=YEAR($F54),$K54="g"),ROUND(VLOOKUP(EY$4,Preisindex,4,FALSE)/VLOOKUP(YEAR($F54),Preisindex,4,FALSE),2),IF(AND($E54&lt;&gt;0,$F54&gt;0,YEAR($F54)&gt;=Preisindex!$A$6,YEAR(ET$4)&gt;=YEAR($F54),$K54="k"),ROUND(VLOOKUP(EY$4,Preisindex,2,FALSE)/VLOOKUP(YEAR($F54),Preisindex,2,FALSE),2),0)))))</f>
        <v>1.8</v>
      </c>
      <c r="EZ54" s="56">
        <f>IF(AND($E54&lt;&gt;0,$F54&gt;0,YEAR($F54)&lt;Preisindex!$A$6,YEAR(ET$4)&gt;=YEAR($F54),AND($K54&lt;&gt;"a",$K54&lt;&gt;"b",$K54&lt;&gt;"g",$K54&lt;&gt;"k")),1,IF(AND($E54&lt;&gt;0,$F54&gt;0,YEAR($F54)&lt;Preisindex!$A$6,YEAR(ET$4)&gt;=YEAR($F54),$K54="a"),ROUND(VLOOKUP(EY$4,Preisindex,5,FALSE)/VLOOKUP(Preisindex!$A$6,Preisindex,5,FALSE),2),IF(AND($E54&lt;&gt;0,$F54&gt;0,YEAR($F54)&lt;Preisindex!$A$6,YEAR(ET$4)&gt;=YEAR($F54),$K54="b"),ROUND(VLOOKUP(EY$4,Preisindex,3,FALSE)/VLOOKUP(Preisindex!$A$6,Preisindex,3,FALSE),2),IF(AND($E54&lt;&gt;0,$F54&gt;0,YEAR($F54)&lt;Preisindex!$A$6,YEAR(ET$4)&gt;=YEAR($F54),$K54="g"),ROUND(VLOOKUP(EY$4,Preisindex,4,FALSE)/VLOOKUP(Preisindex!$A$6,Preisindex,4,FALSE),2),IF(AND($E54&lt;&gt;0,$F54&gt;0,YEAR($F54)&lt;Preisindex!$A$6,YEAR(ET$4)&gt;=YEAR($F54),$K54="k"),ROUND(VLOOKUP(EY$4,Preisindex,2,FALSE)/VLOOKUP(Preisindex!$A$6,Preisindex,2,FALSE),2),0)))))</f>
        <v>0</v>
      </c>
      <c r="FA54" s="51">
        <f>IF(AND($E54&lt;&gt;0,$F54&gt;0,YEAR($F54)&lt;=EY$4,YEAR($F54)&gt;=Preisindex!$A$6),ROUND($E54*EY54,2),IF(AND($E54&lt;&gt;0,$F54&gt;0,YEAR($F54)&lt;=EY$4,YEAR($F54)&lt;Preisindex!$A$6),ROUND($E54*EZ54,2),0))</f>
        <v>48600</v>
      </c>
      <c r="FB54" s="53">
        <f t="shared" si="241"/>
        <v>972</v>
      </c>
      <c r="FC54" s="51">
        <f t="shared" si="360"/>
        <v>0</v>
      </c>
      <c r="FD54" s="51">
        <f t="shared" si="352"/>
        <v>0</v>
      </c>
      <c r="FE54" s="51">
        <f t="shared" si="244"/>
        <v>0</v>
      </c>
      <c r="FF54" s="51">
        <f t="shared" si="353"/>
        <v>0</v>
      </c>
      <c r="FG54" s="51">
        <f t="shared" si="246"/>
        <v>27000</v>
      </c>
      <c r="FH54" s="51">
        <f t="shared" si="354"/>
        <v>27000</v>
      </c>
      <c r="FI54" s="51">
        <f t="shared" si="248"/>
        <v>540</v>
      </c>
      <c r="FJ54" s="51">
        <f t="shared" si="355"/>
        <v>540</v>
      </c>
      <c r="FK54" s="51">
        <f t="shared" si="250"/>
        <v>9990</v>
      </c>
      <c r="FL54" s="51">
        <f t="shared" si="356"/>
        <v>9990</v>
      </c>
      <c r="FM54" s="51">
        <f t="shared" si="252"/>
        <v>17010</v>
      </c>
      <c r="FN54" s="54">
        <f t="shared" si="253"/>
        <v>0</v>
      </c>
      <c r="FO54" s="55">
        <f t="shared" si="254"/>
        <v>0</v>
      </c>
      <c r="FP54" s="56">
        <f>IF(AND($E54&lt;&gt;0,$F54&gt;0,YEAR($F54)&gt;=Preisindex!$A$6,YEAR(FK$4)&gt;=YEAR($F54),AND($K54&lt;&gt;"a",$K54&lt;&gt;"b",$K54&lt;&gt;"g",$K54&lt;&gt;"k")),1,IF(AND($E54&lt;&gt;0,$F54&gt;0,YEAR($F54)&gt;=Preisindex!$A$6,YEAR(FK$4)&gt;=YEAR($F54),$K54="a"),ROUND(VLOOKUP(FP$4,Preisindex,5,FALSE)/VLOOKUP(YEAR($F54),Preisindex,5,FALSE),2),IF(AND($E54&lt;&gt;0,$F54&gt;0,YEAR($F54)&gt;=Preisindex!$A$6,YEAR(FK$4)&gt;=YEAR($F54),$K54="b"),ROUND(VLOOKUP(FP$4,Preisindex,3,FALSE)/VLOOKUP(YEAR($F54),Preisindex,3,FALSE),2),IF(AND($E54&lt;&gt;0,$F54&gt;0,YEAR($F54)&gt;=Preisindex!$A$6,YEAR(FK$4)&gt;=YEAR($F54),$K54="g"),ROUND(VLOOKUP(FP$4,Preisindex,4,FALSE)/VLOOKUP(YEAR($F54),Preisindex,4,FALSE),2),IF(AND($E54&lt;&gt;0,$F54&gt;0,YEAR($F54)&gt;=Preisindex!$A$6,YEAR(FK$4)&gt;=YEAR($F54),$K54="k"),ROUND(VLOOKUP(FP$4,Preisindex,2,FALSE)/VLOOKUP(YEAR($F54),Preisindex,2,FALSE),2),0)))))</f>
        <v>1.8</v>
      </c>
      <c r="FQ54" s="56">
        <f>IF(AND($E54&lt;&gt;0,$F54&gt;0,YEAR($F54)&lt;Preisindex!$A$6,YEAR(FK$4)&gt;=YEAR($F54),AND($K54&lt;&gt;"a",$K54&lt;&gt;"b",$K54&lt;&gt;"g",$K54&lt;&gt;"k")),1,IF(AND($E54&lt;&gt;0,$F54&gt;0,YEAR($F54)&lt;Preisindex!$A$6,YEAR(FK$4)&gt;=YEAR($F54),$K54="a"),ROUND(VLOOKUP(FP$4,Preisindex,5,FALSE)/VLOOKUP(Preisindex!$A$6,Preisindex,5,FALSE),2),IF(AND($E54&lt;&gt;0,$F54&gt;0,YEAR($F54)&lt;Preisindex!$A$6,YEAR(FK$4)&gt;=YEAR($F54),$K54="b"),ROUND(VLOOKUP(FP$4,Preisindex,3,FALSE)/VLOOKUP(Preisindex!$A$6,Preisindex,3,FALSE),2),IF(AND($E54&lt;&gt;0,$F54&gt;0,YEAR($F54)&lt;Preisindex!$A$6,YEAR(FK$4)&gt;=YEAR($F54),$K54="g"),ROUND(VLOOKUP(FP$4,Preisindex,4,FALSE)/VLOOKUP(Preisindex!$A$6,Preisindex,4,FALSE),2),IF(AND($E54&lt;&gt;0,$F54&gt;0,YEAR($F54)&lt;Preisindex!$A$6,YEAR(FK$4)&gt;=YEAR($F54),$K54="k"),ROUND(VLOOKUP(FP$4,Preisindex,2,FALSE)/VLOOKUP(Preisindex!$A$6,Preisindex,2,FALSE),2),0)))))</f>
        <v>0</v>
      </c>
      <c r="FR54" s="51">
        <f>IF(AND($E54&lt;&gt;0,$F54&gt;0,YEAR($F54)&lt;=FP$4,YEAR($F54)&gt;=Preisindex!$A$6),ROUND($E54*FP54,2),IF(AND($E54&lt;&gt;0,$F54&gt;0,YEAR($F54)&lt;=FP$4,YEAR($F54)&lt;Preisindex!$A$6),ROUND($E54*FQ54,2),0))</f>
        <v>48600</v>
      </c>
      <c r="FS54" s="53">
        <f t="shared" si="255"/>
        <v>972</v>
      </c>
    </row>
    <row r="55" spans="1:175" x14ac:dyDescent="0.3">
      <c r="A55" s="93">
        <v>1990</v>
      </c>
      <c r="B55" s="94" t="s">
        <v>241</v>
      </c>
      <c r="C55" s="94"/>
      <c r="D55" s="95" t="s">
        <v>63</v>
      </c>
      <c r="E55" s="99">
        <v>90000</v>
      </c>
      <c r="F55" s="97">
        <v>33055</v>
      </c>
      <c r="G55" s="98">
        <v>50</v>
      </c>
      <c r="H55" s="620"/>
      <c r="I55" s="621"/>
      <c r="J55" s="194"/>
      <c r="K55" s="630" t="s">
        <v>266</v>
      </c>
      <c r="L55" s="49">
        <f t="shared" si="296"/>
        <v>0.02</v>
      </c>
      <c r="M55" s="50">
        <f t="shared" si="297"/>
        <v>1800</v>
      </c>
      <c r="N55" s="51">
        <f t="shared" si="298"/>
        <v>51300</v>
      </c>
      <c r="O55" s="51"/>
      <c r="P55" s="51">
        <f t="shared" si="299"/>
        <v>38700</v>
      </c>
      <c r="Q55" s="52"/>
      <c r="R55" s="52"/>
      <c r="S55" s="52"/>
      <c r="T55" s="52"/>
      <c r="U55" s="52"/>
      <c r="V55" s="53">
        <f t="shared" si="300"/>
        <v>90000</v>
      </c>
      <c r="W55" s="51">
        <f t="shared" si="301"/>
        <v>0</v>
      </c>
      <c r="X55" s="51">
        <f t="shared" si="302"/>
        <v>0</v>
      </c>
      <c r="Y55" s="51">
        <f t="shared" si="303"/>
        <v>0</v>
      </c>
      <c r="Z55" s="51">
        <f t="shared" si="304"/>
        <v>0</v>
      </c>
      <c r="AA55" s="51">
        <f t="shared" si="305"/>
        <v>90000</v>
      </c>
      <c r="AB55" s="51">
        <f t="shared" si="306"/>
        <v>90000</v>
      </c>
      <c r="AC55" s="51">
        <f t="shared" si="307"/>
        <v>1800</v>
      </c>
      <c r="AD55" s="51">
        <f t="shared" si="308"/>
        <v>1800</v>
      </c>
      <c r="AE55" s="51">
        <f t="shared" si="309"/>
        <v>49500</v>
      </c>
      <c r="AF55" s="51">
        <f t="shared" si="310"/>
        <v>49500</v>
      </c>
      <c r="AG55" s="51">
        <f t="shared" si="311"/>
        <v>40500</v>
      </c>
      <c r="AH55" s="54">
        <f t="shared" si="312"/>
        <v>0</v>
      </c>
      <c r="AI55" s="55">
        <f t="shared" si="313"/>
        <v>0</v>
      </c>
      <c r="AJ55" s="56">
        <f>IF(AND($E55&lt;&gt;0,$F55&gt;0,YEAR($F55)&gt;=Preisindex!$A$6,YEAR(AE$4)&gt;=YEAR($F55),AND($K55&lt;&gt;"a",$K55&lt;&gt;"b",$K55&lt;&gt;"g",$K55&lt;&gt;"k")),1,IF(AND($E55&lt;&gt;0,$F55&gt;0,YEAR($F55)&gt;=Preisindex!$A$6,YEAR(AE$4)&gt;=YEAR($F55),$K55="a"),ROUND(VLOOKUP(AJ$4,Preisindex,5,FALSE)/VLOOKUP(YEAR($F55),Preisindex,5,FALSE),2),IF(AND($E55&lt;&gt;0,$F55&gt;0,YEAR($F55)&gt;=Preisindex!$A$6,YEAR(AE$4)&gt;=YEAR($F55),$K55="b"),ROUND(VLOOKUP(AJ$4,Preisindex,3,FALSE)/VLOOKUP(YEAR($F55),Preisindex,3,FALSE),2),IF(AND($E55&lt;&gt;0,$F55&gt;0,YEAR($F55)&gt;=Preisindex!$A$6,YEAR(AE$4)&gt;=YEAR($F55),$K55="g"),ROUND(VLOOKUP(AJ$4,Preisindex,4,FALSE)/VLOOKUP(YEAR($F55),Preisindex,4,FALSE),2),IF(AND($E55&lt;&gt;0,$F55&gt;0,YEAR($F55)&gt;=Preisindex!$A$6,YEAR(AE$4)&gt;=YEAR($F55),$K55="k"),ROUND(VLOOKUP(AJ$4,Preisindex,2,FALSE)/VLOOKUP(YEAR($F55),Preisindex,2,FALSE),2),0)))))</f>
        <v>1.46</v>
      </c>
      <c r="AK55" s="56">
        <f>IF(AND($E55&lt;&gt;0,$F55&gt;0,YEAR($F55)&lt;Preisindex!$A$6,YEAR(AE$4)&gt;=YEAR($F55),AND($K55&lt;&gt;"a",$K55&lt;&gt;"b",$K55&lt;&gt;"g",$K55&lt;&gt;"k")),1,IF(AND($E55&lt;&gt;0,$F55&gt;0,YEAR($F55)&lt;Preisindex!$A$6,YEAR(AE$4)&gt;=YEAR($F55),$K55="a"),ROUND(VLOOKUP(AJ$4,Preisindex,5,FALSE)/VLOOKUP(Preisindex!$A$6,Preisindex,5,FALSE),2),IF(AND($E55&lt;&gt;0,$F55&gt;0,YEAR($F55)&lt;Preisindex!$A$6,YEAR(AE$4)&gt;=YEAR($F55),$K55="b"),ROUND(VLOOKUP(AJ$4,Preisindex,3,FALSE)/VLOOKUP(Preisindex!$A$6,Preisindex,3,FALSE),2),IF(AND($E55&lt;&gt;0,$F55&gt;0,YEAR($F55)&lt;Preisindex!$A$6,YEAR(AE$4)&gt;=YEAR($F55),$K55="g"),ROUND(VLOOKUP(AJ$4,Preisindex,4,FALSE)/VLOOKUP(Preisindex!$A$6,Preisindex,4,FALSE),2),IF(AND($E55&lt;&gt;0,$F55&gt;0,YEAR($F55)&lt;Preisindex!$A$6,YEAR(AE$4)&gt;=YEAR($F55),$K55="k"),ROUND(VLOOKUP(AJ$4,Preisindex,2,FALSE)/VLOOKUP(Preisindex!$A$6,Preisindex,2,FALSE),2),0)))))</f>
        <v>0</v>
      </c>
      <c r="AL55" s="51">
        <f>IF(AND($E55&lt;&gt;0,$F55&gt;0,YEAR($F55)&lt;=AJ$4,YEAR($F55)&gt;=Preisindex!$A$6),ROUND($E55*AJ55,2),IF(AND($E55&lt;&gt;0,$F55&gt;0,YEAR($F55)&lt;=AJ$4,YEAR($F55)&lt;Preisindex!$A$6),ROUND($E55*AK55,2),0))</f>
        <v>131400</v>
      </c>
      <c r="AM55" s="53">
        <f t="shared" si="314"/>
        <v>2628</v>
      </c>
      <c r="AN55" s="51">
        <f t="shared" si="359"/>
        <v>0</v>
      </c>
      <c r="AO55" s="51">
        <f t="shared" si="317"/>
        <v>0</v>
      </c>
      <c r="AP55" s="51">
        <f t="shared" si="146"/>
        <v>0</v>
      </c>
      <c r="AQ55" s="51">
        <f t="shared" si="318"/>
        <v>0</v>
      </c>
      <c r="AR55" s="51">
        <f t="shared" si="148"/>
        <v>90000</v>
      </c>
      <c r="AS55" s="51">
        <f t="shared" si="319"/>
        <v>90000</v>
      </c>
      <c r="AT55" s="51">
        <f t="shared" si="150"/>
        <v>1800</v>
      </c>
      <c r="AU55" s="51">
        <f t="shared" si="320"/>
        <v>1800</v>
      </c>
      <c r="AV55" s="51">
        <f t="shared" si="152"/>
        <v>47700</v>
      </c>
      <c r="AW55" s="51">
        <f t="shared" si="321"/>
        <v>47700</v>
      </c>
      <c r="AX55" s="51">
        <f t="shared" si="154"/>
        <v>42300</v>
      </c>
      <c r="AY55" s="54">
        <f t="shared" si="155"/>
        <v>0</v>
      </c>
      <c r="AZ55" s="55">
        <f t="shared" si="156"/>
        <v>0</v>
      </c>
      <c r="BA55" s="56">
        <f>IF(AND($E55&lt;&gt;0,$F55&gt;0,YEAR($F55)&gt;=Preisindex!$A$6,YEAR(AV$4)&gt;=YEAR($F55),AND($K55&lt;&gt;"a",$K55&lt;&gt;"b",$K55&lt;&gt;"g",$K55&lt;&gt;"k")),1,IF(AND($E55&lt;&gt;0,$F55&gt;0,YEAR($F55)&gt;=Preisindex!$A$6,YEAR(AV$4)&gt;=YEAR($F55),$K55="a"),ROUND(VLOOKUP(BA$4,Preisindex,5,FALSE)/VLOOKUP(YEAR($F55),Preisindex,5,FALSE),2),IF(AND($E55&lt;&gt;0,$F55&gt;0,YEAR($F55)&gt;=Preisindex!$A$6,YEAR(AV$4)&gt;=YEAR($F55),$K55="b"),ROUND(VLOOKUP(BA$4,Preisindex,3,FALSE)/VLOOKUP(YEAR($F55),Preisindex,3,FALSE),2),IF(AND($E55&lt;&gt;0,$F55&gt;0,YEAR($F55)&gt;=Preisindex!$A$6,YEAR(AV$4)&gt;=YEAR($F55),$K55="g"),ROUND(VLOOKUP(BA$4,Preisindex,4,FALSE)/VLOOKUP(YEAR($F55),Preisindex,4,FALSE),2),IF(AND($E55&lt;&gt;0,$F55&gt;0,YEAR($F55)&gt;=Preisindex!$A$6,YEAR(AV$4)&gt;=YEAR($F55),$K55="k"),ROUND(VLOOKUP(BA$4,Preisindex,2,FALSE)/VLOOKUP(YEAR($F55),Preisindex,2,FALSE),2),0)))))</f>
        <v>1.49</v>
      </c>
      <c r="BB55" s="56">
        <f>IF(AND($E55&lt;&gt;0,$F55&gt;0,YEAR($F55)&lt;Preisindex!$A$6,YEAR(AV$4)&gt;=YEAR($F55),AND($K55&lt;&gt;"a",$K55&lt;&gt;"b",$K55&lt;&gt;"g",$K55&lt;&gt;"k")),1,IF(AND($E55&lt;&gt;0,$F55&gt;0,YEAR($F55)&lt;Preisindex!$A$6,YEAR(AV$4)&gt;=YEAR($F55),$K55="a"),ROUND(VLOOKUP(BA$4,Preisindex,5,FALSE)/VLOOKUP(Preisindex!$A$6,Preisindex,5,FALSE),2),IF(AND($E55&lt;&gt;0,$F55&gt;0,YEAR($F55)&lt;Preisindex!$A$6,YEAR(AV$4)&gt;=YEAR($F55),$K55="b"),ROUND(VLOOKUP(BA$4,Preisindex,3,FALSE)/VLOOKUP(Preisindex!$A$6,Preisindex,3,FALSE),2),IF(AND($E55&lt;&gt;0,$F55&gt;0,YEAR($F55)&lt;Preisindex!$A$6,YEAR(AV$4)&gt;=YEAR($F55),$K55="g"),ROUND(VLOOKUP(BA$4,Preisindex,4,FALSE)/VLOOKUP(Preisindex!$A$6,Preisindex,4,FALSE),2),IF(AND($E55&lt;&gt;0,$F55&gt;0,YEAR($F55)&lt;Preisindex!$A$6,YEAR(AV$4)&gt;=YEAR($F55),$K55="k"),ROUND(VLOOKUP(BA$4,Preisindex,2,FALSE)/VLOOKUP(Preisindex!$A$6,Preisindex,2,FALSE),2),0)))))</f>
        <v>0</v>
      </c>
      <c r="BC55" s="51">
        <f>IF(AND($E55&lt;&gt;0,$F55&gt;0,YEAR($F55)&lt;=BA$4,YEAR($F55)&gt;=Preisindex!$A$6),ROUND($E55*BA55,2),IF(AND($E55&lt;&gt;0,$F55&gt;0,YEAR($F55)&lt;=BA$4,YEAR($F55)&lt;Preisindex!$A$6),ROUND($E55*BB55,2),0))</f>
        <v>134100</v>
      </c>
      <c r="BD55" s="53">
        <f t="shared" si="157"/>
        <v>2682</v>
      </c>
      <c r="BE55" s="51">
        <f t="shared" si="359"/>
        <v>0</v>
      </c>
      <c r="BF55" s="51">
        <f t="shared" si="322"/>
        <v>0</v>
      </c>
      <c r="BG55" s="51">
        <f t="shared" si="160"/>
        <v>0</v>
      </c>
      <c r="BH55" s="51">
        <f t="shared" si="323"/>
        <v>0</v>
      </c>
      <c r="BI55" s="51">
        <f t="shared" si="162"/>
        <v>90000</v>
      </c>
      <c r="BJ55" s="51">
        <f t="shared" si="324"/>
        <v>90000</v>
      </c>
      <c r="BK55" s="51">
        <f t="shared" si="164"/>
        <v>1800</v>
      </c>
      <c r="BL55" s="51">
        <f t="shared" si="325"/>
        <v>1800</v>
      </c>
      <c r="BM55" s="51">
        <f t="shared" si="166"/>
        <v>45900</v>
      </c>
      <c r="BN55" s="51">
        <f t="shared" si="326"/>
        <v>45900</v>
      </c>
      <c r="BO55" s="51">
        <f t="shared" si="168"/>
        <v>44100</v>
      </c>
      <c r="BP55" s="54">
        <f t="shared" si="169"/>
        <v>0</v>
      </c>
      <c r="BQ55" s="55">
        <f t="shared" si="170"/>
        <v>0</v>
      </c>
      <c r="BR55" s="56">
        <f>IF(AND($E55&lt;&gt;0,$F55&gt;0,YEAR($F55)&gt;=Preisindex!$A$6,YEAR(BM$4)&gt;=YEAR($F55),AND($K55&lt;&gt;"a",$K55&lt;&gt;"b",$K55&lt;&gt;"g",$K55&lt;&gt;"k")),1,IF(AND($E55&lt;&gt;0,$F55&gt;0,YEAR($F55)&gt;=Preisindex!$A$6,YEAR(BM$4)&gt;=YEAR($F55),$K55="a"),ROUND(VLOOKUP(BR$4,Preisindex,5,FALSE)/VLOOKUP(YEAR($F55),Preisindex,5,FALSE),2),IF(AND($E55&lt;&gt;0,$F55&gt;0,YEAR($F55)&gt;=Preisindex!$A$6,YEAR(BM$4)&gt;=YEAR($F55),$K55="b"),ROUND(VLOOKUP(BR$4,Preisindex,3,FALSE)/VLOOKUP(YEAR($F55),Preisindex,3,FALSE),2),IF(AND($E55&lt;&gt;0,$F55&gt;0,YEAR($F55)&gt;=Preisindex!$A$6,YEAR(BM$4)&gt;=YEAR($F55),$K55="g"),ROUND(VLOOKUP(BR$4,Preisindex,4,FALSE)/VLOOKUP(YEAR($F55),Preisindex,4,FALSE),2),IF(AND($E55&lt;&gt;0,$F55&gt;0,YEAR($F55)&gt;=Preisindex!$A$6,YEAR(BM$4)&gt;=YEAR($F55),$K55="k"),ROUND(VLOOKUP(BR$4,Preisindex,2,FALSE)/VLOOKUP(YEAR($F55),Preisindex,2,FALSE),2),0)))))</f>
        <v>1.51</v>
      </c>
      <c r="BS55" s="56">
        <f>IF(AND($E55&lt;&gt;0,$F55&gt;0,YEAR($F55)&lt;Preisindex!$A$6,YEAR(BM$4)&gt;=YEAR($F55),AND($K55&lt;&gt;"a",$K55&lt;&gt;"b",$K55&lt;&gt;"g",$K55&lt;&gt;"k")),1,IF(AND($E55&lt;&gt;0,$F55&gt;0,YEAR($F55)&lt;Preisindex!$A$6,YEAR(BM$4)&gt;=YEAR($F55),$K55="a"),ROUND(VLOOKUP(BR$4,Preisindex,5,FALSE)/VLOOKUP(Preisindex!$A$6,Preisindex,5,FALSE),2),IF(AND($E55&lt;&gt;0,$F55&gt;0,YEAR($F55)&lt;Preisindex!$A$6,YEAR(BM$4)&gt;=YEAR($F55),$K55="b"),ROUND(VLOOKUP(BR$4,Preisindex,3,FALSE)/VLOOKUP(Preisindex!$A$6,Preisindex,3,FALSE),2),IF(AND($E55&lt;&gt;0,$F55&gt;0,YEAR($F55)&lt;Preisindex!$A$6,YEAR(BM$4)&gt;=YEAR($F55),$K55="g"),ROUND(VLOOKUP(BR$4,Preisindex,4,FALSE)/VLOOKUP(Preisindex!$A$6,Preisindex,4,FALSE),2),IF(AND($E55&lt;&gt;0,$F55&gt;0,YEAR($F55)&lt;Preisindex!$A$6,YEAR(BM$4)&gt;=YEAR($F55),$K55="k"),ROUND(VLOOKUP(BR$4,Preisindex,2,FALSE)/VLOOKUP(Preisindex!$A$6,Preisindex,2,FALSE),2),0)))))</f>
        <v>0</v>
      </c>
      <c r="BT55" s="51">
        <f>IF(AND($E55&lt;&gt;0,$F55&gt;0,YEAR($F55)&lt;=BR$4,YEAR($F55)&gt;=Preisindex!$A$6),ROUND($E55*BR55,2),IF(AND($E55&lt;&gt;0,$F55&gt;0,YEAR($F55)&lt;=BR$4,YEAR($F55)&lt;Preisindex!$A$6),ROUND($E55*BS55,2),0))</f>
        <v>135900</v>
      </c>
      <c r="BU55" s="53">
        <f t="shared" si="171"/>
        <v>2718</v>
      </c>
      <c r="BV55" s="51">
        <f t="shared" si="359"/>
        <v>0</v>
      </c>
      <c r="BW55" s="51">
        <f t="shared" si="327"/>
        <v>0</v>
      </c>
      <c r="BX55" s="51">
        <f t="shared" si="174"/>
        <v>0</v>
      </c>
      <c r="BY55" s="51">
        <f t="shared" si="328"/>
        <v>0</v>
      </c>
      <c r="BZ55" s="51">
        <f t="shared" si="176"/>
        <v>90000</v>
      </c>
      <c r="CA55" s="51">
        <f t="shared" si="329"/>
        <v>90000</v>
      </c>
      <c r="CB55" s="51">
        <f t="shared" si="178"/>
        <v>1800</v>
      </c>
      <c r="CC55" s="51">
        <f t="shared" si="330"/>
        <v>1800</v>
      </c>
      <c r="CD55" s="51">
        <f t="shared" si="180"/>
        <v>44100</v>
      </c>
      <c r="CE55" s="51">
        <f t="shared" si="331"/>
        <v>44100</v>
      </c>
      <c r="CF55" s="51">
        <f t="shared" si="182"/>
        <v>45900</v>
      </c>
      <c r="CG55" s="54">
        <f t="shared" si="183"/>
        <v>0</v>
      </c>
      <c r="CH55" s="55">
        <f t="shared" si="184"/>
        <v>0</v>
      </c>
      <c r="CI55" s="56">
        <f>IF(AND($E55&lt;&gt;0,$F55&gt;0,YEAR($F55)&gt;=Preisindex!$A$6,YEAR(CD$4)&gt;=YEAR($F55),AND($K55&lt;&gt;"a",$K55&lt;&gt;"b",$K55&lt;&gt;"g",$K55&lt;&gt;"k")),1,IF(AND($E55&lt;&gt;0,$F55&gt;0,YEAR($F55)&gt;=Preisindex!$A$6,YEAR(CD$4)&gt;=YEAR($F55),$K55="a"),ROUND(VLOOKUP(CI$4,Preisindex,5,FALSE)/VLOOKUP(YEAR($F55),Preisindex,5,FALSE),2),IF(AND($E55&lt;&gt;0,$F55&gt;0,YEAR($F55)&gt;=Preisindex!$A$6,YEAR(CD$4)&gt;=YEAR($F55),$K55="b"),ROUND(VLOOKUP(CI$4,Preisindex,3,FALSE)/VLOOKUP(YEAR($F55),Preisindex,3,FALSE),2),IF(AND($E55&lt;&gt;0,$F55&gt;0,YEAR($F55)&gt;=Preisindex!$A$6,YEAR(CD$4)&gt;=YEAR($F55),$K55="g"),ROUND(VLOOKUP(CI$4,Preisindex,4,FALSE)/VLOOKUP(YEAR($F55),Preisindex,4,FALSE),2),IF(AND($E55&lt;&gt;0,$F55&gt;0,YEAR($F55)&gt;=Preisindex!$A$6,YEAR(CD$4)&gt;=YEAR($F55),$K55="k"),ROUND(VLOOKUP(CI$4,Preisindex,2,FALSE)/VLOOKUP(YEAR($F55),Preisindex,2,FALSE),2),0)))))</f>
        <v>1.53</v>
      </c>
      <c r="CJ55" s="56">
        <f>IF(AND($E55&lt;&gt;0,$F55&gt;0,YEAR($F55)&lt;Preisindex!$A$6,YEAR(CD$4)&gt;=YEAR($F55),AND($K55&lt;&gt;"a",$K55&lt;&gt;"b",$K55&lt;&gt;"g",$K55&lt;&gt;"k")),1,IF(AND($E55&lt;&gt;0,$F55&gt;0,YEAR($F55)&lt;Preisindex!$A$6,YEAR(CD$4)&gt;=YEAR($F55),$K55="a"),ROUND(VLOOKUP(CI$4,Preisindex,5,FALSE)/VLOOKUP(Preisindex!$A$6,Preisindex,5,FALSE),2),IF(AND($E55&lt;&gt;0,$F55&gt;0,YEAR($F55)&lt;Preisindex!$A$6,YEAR(CD$4)&gt;=YEAR($F55),$K55="b"),ROUND(VLOOKUP(CI$4,Preisindex,3,FALSE)/VLOOKUP(Preisindex!$A$6,Preisindex,3,FALSE),2),IF(AND($E55&lt;&gt;0,$F55&gt;0,YEAR($F55)&lt;Preisindex!$A$6,YEAR(CD$4)&gt;=YEAR($F55),$K55="g"),ROUND(VLOOKUP(CI$4,Preisindex,4,FALSE)/VLOOKUP(Preisindex!$A$6,Preisindex,4,FALSE),2),IF(AND($E55&lt;&gt;0,$F55&gt;0,YEAR($F55)&lt;Preisindex!$A$6,YEAR(CD$4)&gt;=YEAR($F55),$K55="k"),ROUND(VLOOKUP(CI$4,Preisindex,2,FALSE)/VLOOKUP(Preisindex!$A$6,Preisindex,2,FALSE),2),0)))))</f>
        <v>0</v>
      </c>
      <c r="CK55" s="51">
        <f>IF(AND($E55&lt;&gt;0,$F55&gt;0,YEAR($F55)&lt;=CI$4,YEAR($F55)&gt;=Preisindex!$A$6),ROUND($E55*CI55,2),IF(AND($E55&lt;&gt;0,$F55&gt;0,YEAR($F55)&lt;=CI$4,YEAR($F55)&lt;Preisindex!$A$6),ROUND($E55*CJ55,2),0))</f>
        <v>137700</v>
      </c>
      <c r="CL55" s="53">
        <f t="shared" si="185"/>
        <v>2754</v>
      </c>
      <c r="CM55" s="51">
        <f t="shared" si="359"/>
        <v>0</v>
      </c>
      <c r="CN55" s="51">
        <f t="shared" si="332"/>
        <v>0</v>
      </c>
      <c r="CO55" s="51">
        <f t="shared" si="188"/>
        <v>0</v>
      </c>
      <c r="CP55" s="51">
        <f t="shared" si="333"/>
        <v>0</v>
      </c>
      <c r="CQ55" s="51">
        <f t="shared" si="190"/>
        <v>90000</v>
      </c>
      <c r="CR55" s="51">
        <f t="shared" si="334"/>
        <v>90000</v>
      </c>
      <c r="CS55" s="51">
        <f t="shared" si="192"/>
        <v>1800</v>
      </c>
      <c r="CT55" s="51">
        <f t="shared" si="335"/>
        <v>1800</v>
      </c>
      <c r="CU55" s="51">
        <f t="shared" si="194"/>
        <v>42300</v>
      </c>
      <c r="CV55" s="51">
        <f t="shared" si="336"/>
        <v>42300</v>
      </c>
      <c r="CW55" s="51">
        <f t="shared" si="196"/>
        <v>47700</v>
      </c>
      <c r="CX55" s="54">
        <f t="shared" si="197"/>
        <v>0</v>
      </c>
      <c r="CY55" s="55">
        <f t="shared" si="198"/>
        <v>0</v>
      </c>
      <c r="CZ55" s="56">
        <f>IF(AND($E55&lt;&gt;0,$F55&gt;0,YEAR($F55)&gt;=Preisindex!$A$6,YEAR(CU$4)&gt;=YEAR($F55),AND($K55&lt;&gt;"a",$K55&lt;&gt;"b",$K55&lt;&gt;"g",$K55&lt;&gt;"k")),1,IF(AND($E55&lt;&gt;0,$F55&gt;0,YEAR($F55)&gt;=Preisindex!$A$6,YEAR(CU$4)&gt;=YEAR($F55),$K55="a"),ROUND(VLOOKUP(CZ$4,Preisindex,5,FALSE)/VLOOKUP(YEAR($F55),Preisindex,5,FALSE),2),IF(AND($E55&lt;&gt;0,$F55&gt;0,YEAR($F55)&gt;=Preisindex!$A$6,YEAR(CU$4)&gt;=YEAR($F55),$K55="b"),ROUND(VLOOKUP(CZ$4,Preisindex,3,FALSE)/VLOOKUP(YEAR($F55),Preisindex,3,FALSE),2),IF(AND($E55&lt;&gt;0,$F55&gt;0,YEAR($F55)&gt;=Preisindex!$A$6,YEAR(CU$4)&gt;=YEAR($F55),$K55="g"),ROUND(VLOOKUP(CZ$4,Preisindex,4,FALSE)/VLOOKUP(YEAR($F55),Preisindex,4,FALSE),2),IF(AND($E55&lt;&gt;0,$F55&gt;0,YEAR($F55)&gt;=Preisindex!$A$6,YEAR(CU$4)&gt;=YEAR($F55),$K55="k"),ROUND(VLOOKUP(CZ$4,Preisindex,2,FALSE)/VLOOKUP(YEAR($F55),Preisindex,2,FALSE),2),0)))))</f>
        <v>1.56</v>
      </c>
      <c r="DA55" s="56">
        <f>IF(AND($E55&lt;&gt;0,$F55&gt;0,YEAR($F55)&lt;Preisindex!$A$6,YEAR(CU$4)&gt;=YEAR($F55),AND($K55&lt;&gt;"a",$K55&lt;&gt;"b",$K55&lt;&gt;"g",$K55&lt;&gt;"k")),1,IF(AND($E55&lt;&gt;0,$F55&gt;0,YEAR($F55)&lt;Preisindex!$A$6,YEAR(CU$4)&gt;=YEAR($F55),$K55="a"),ROUND(VLOOKUP(CZ$4,Preisindex,5,FALSE)/VLOOKUP(Preisindex!$A$6,Preisindex,5,FALSE),2),IF(AND($E55&lt;&gt;0,$F55&gt;0,YEAR($F55)&lt;Preisindex!$A$6,YEAR(CU$4)&gt;=YEAR($F55),$K55="b"),ROUND(VLOOKUP(CZ$4,Preisindex,3,FALSE)/VLOOKUP(Preisindex!$A$6,Preisindex,3,FALSE),2),IF(AND($E55&lt;&gt;0,$F55&gt;0,YEAR($F55)&lt;Preisindex!$A$6,YEAR(CU$4)&gt;=YEAR($F55),$K55="g"),ROUND(VLOOKUP(CZ$4,Preisindex,4,FALSE)/VLOOKUP(Preisindex!$A$6,Preisindex,4,FALSE),2),IF(AND($E55&lt;&gt;0,$F55&gt;0,YEAR($F55)&lt;Preisindex!$A$6,YEAR(CU$4)&gt;=YEAR($F55),$K55="k"),ROUND(VLOOKUP(CZ$4,Preisindex,2,FALSE)/VLOOKUP(Preisindex!$A$6,Preisindex,2,FALSE),2),0)))))</f>
        <v>0</v>
      </c>
      <c r="DB55" s="51">
        <f>IF(AND($E55&lt;&gt;0,$F55&gt;0,YEAR($F55)&lt;=CZ$4,YEAR($F55)&gt;=Preisindex!$A$6),ROUND($E55*CZ55,2),IF(AND($E55&lt;&gt;0,$F55&gt;0,YEAR($F55)&lt;=CZ$4,YEAR($F55)&lt;Preisindex!$A$6),ROUND($E55*DA55,2),0))</f>
        <v>140400</v>
      </c>
      <c r="DC55" s="53">
        <f t="shared" si="199"/>
        <v>2808</v>
      </c>
      <c r="DD55" s="51">
        <f t="shared" si="360"/>
        <v>0</v>
      </c>
      <c r="DE55" s="51">
        <f t="shared" si="337"/>
        <v>0</v>
      </c>
      <c r="DF55" s="51">
        <f t="shared" si="202"/>
        <v>0</v>
      </c>
      <c r="DG55" s="51">
        <f t="shared" si="338"/>
        <v>0</v>
      </c>
      <c r="DH55" s="51">
        <f t="shared" si="204"/>
        <v>90000</v>
      </c>
      <c r="DI55" s="51">
        <f t="shared" si="339"/>
        <v>90000</v>
      </c>
      <c r="DJ55" s="51">
        <f t="shared" si="206"/>
        <v>1800</v>
      </c>
      <c r="DK55" s="51">
        <f t="shared" si="340"/>
        <v>1800</v>
      </c>
      <c r="DL55" s="51">
        <f t="shared" si="208"/>
        <v>40500</v>
      </c>
      <c r="DM55" s="51">
        <f t="shared" si="341"/>
        <v>40500</v>
      </c>
      <c r="DN55" s="51">
        <f t="shared" si="210"/>
        <v>49500</v>
      </c>
      <c r="DO55" s="54">
        <f t="shared" si="211"/>
        <v>0</v>
      </c>
      <c r="DP55" s="55">
        <f t="shared" si="212"/>
        <v>0</v>
      </c>
      <c r="DQ55" s="56">
        <f>IF(AND($E55&lt;&gt;0,$F55&gt;0,YEAR($F55)&gt;=Preisindex!$A$6,YEAR(DL$4)&gt;=YEAR($F55),AND($K55&lt;&gt;"a",$K55&lt;&gt;"b",$K55&lt;&gt;"g",$K55&lt;&gt;"k")),1,IF(AND($E55&lt;&gt;0,$F55&gt;0,YEAR($F55)&gt;=Preisindex!$A$6,YEAR(DL$4)&gt;=YEAR($F55),$K55="a"),ROUND(VLOOKUP(DQ$4,Preisindex,5,FALSE)/VLOOKUP(YEAR($F55),Preisindex,5,FALSE),2),IF(AND($E55&lt;&gt;0,$F55&gt;0,YEAR($F55)&gt;=Preisindex!$A$6,YEAR(DL$4)&gt;=YEAR($F55),$K55="b"),ROUND(VLOOKUP(DQ$4,Preisindex,3,FALSE)/VLOOKUP(YEAR($F55),Preisindex,3,FALSE),2),IF(AND($E55&lt;&gt;0,$F55&gt;0,YEAR($F55)&gt;=Preisindex!$A$6,YEAR(DL$4)&gt;=YEAR($F55),$K55="g"),ROUND(VLOOKUP(DQ$4,Preisindex,4,FALSE)/VLOOKUP(YEAR($F55),Preisindex,4,FALSE),2),IF(AND($E55&lt;&gt;0,$F55&gt;0,YEAR($F55)&gt;=Preisindex!$A$6,YEAR(DL$4)&gt;=YEAR($F55),$K55="k"),ROUND(VLOOKUP(DQ$4,Preisindex,2,FALSE)/VLOOKUP(YEAR($F55),Preisindex,2,FALSE),2),0)))))</f>
        <v>1.61</v>
      </c>
      <c r="DR55" s="56">
        <f>IF(AND($E55&lt;&gt;0,$F55&gt;0,YEAR($F55)&lt;Preisindex!$A$6,YEAR(DL$4)&gt;=YEAR($F55),AND($K55&lt;&gt;"a",$K55&lt;&gt;"b",$K55&lt;&gt;"g",$K55&lt;&gt;"k")),1,IF(AND($E55&lt;&gt;0,$F55&gt;0,YEAR($F55)&lt;Preisindex!$A$6,YEAR(DL$4)&gt;=YEAR($F55),$K55="a"),ROUND(VLOOKUP(DQ$4,Preisindex,5,FALSE)/VLOOKUP(Preisindex!$A$6,Preisindex,5,FALSE),2),IF(AND($E55&lt;&gt;0,$F55&gt;0,YEAR($F55)&lt;Preisindex!$A$6,YEAR(DL$4)&gt;=YEAR($F55),$K55="b"),ROUND(VLOOKUP(DQ$4,Preisindex,3,FALSE)/VLOOKUP(Preisindex!$A$6,Preisindex,3,FALSE),2),IF(AND($E55&lt;&gt;0,$F55&gt;0,YEAR($F55)&lt;Preisindex!$A$6,YEAR(DL$4)&gt;=YEAR($F55),$K55="g"),ROUND(VLOOKUP(DQ$4,Preisindex,4,FALSE)/VLOOKUP(Preisindex!$A$6,Preisindex,4,FALSE),2),IF(AND($E55&lt;&gt;0,$F55&gt;0,YEAR($F55)&lt;Preisindex!$A$6,YEAR(DL$4)&gt;=YEAR($F55),$K55="k"),ROUND(VLOOKUP(DQ$4,Preisindex,2,FALSE)/VLOOKUP(Preisindex!$A$6,Preisindex,2,FALSE),2),0)))))</f>
        <v>0</v>
      </c>
      <c r="DS55" s="51">
        <f>IF(AND($E55&lt;&gt;0,$F55&gt;0,YEAR($F55)&lt;=DQ$4,YEAR($F55)&gt;=Preisindex!$A$6),ROUND($E55*DQ55,2),IF(AND($E55&lt;&gt;0,$F55&gt;0,YEAR($F55)&lt;=DQ$4,YEAR($F55)&lt;Preisindex!$A$6),ROUND($E55*DR55,2),0))</f>
        <v>144900</v>
      </c>
      <c r="DT55" s="53">
        <f t="shared" si="213"/>
        <v>2898</v>
      </c>
      <c r="DU55" s="51">
        <f t="shared" si="360"/>
        <v>0</v>
      </c>
      <c r="DV55" s="51">
        <f t="shared" si="342"/>
        <v>0</v>
      </c>
      <c r="DW55" s="51">
        <f t="shared" si="216"/>
        <v>0</v>
      </c>
      <c r="DX55" s="51">
        <f t="shared" si="343"/>
        <v>0</v>
      </c>
      <c r="DY55" s="51">
        <f t="shared" si="218"/>
        <v>90000</v>
      </c>
      <c r="DZ55" s="51">
        <f t="shared" si="344"/>
        <v>90000</v>
      </c>
      <c r="EA55" s="51">
        <f t="shared" si="220"/>
        <v>1800</v>
      </c>
      <c r="EB55" s="51">
        <f t="shared" si="345"/>
        <v>1800</v>
      </c>
      <c r="EC55" s="51">
        <f t="shared" si="222"/>
        <v>38700</v>
      </c>
      <c r="ED55" s="51">
        <f t="shared" si="346"/>
        <v>38700</v>
      </c>
      <c r="EE55" s="51">
        <f t="shared" si="224"/>
        <v>51300</v>
      </c>
      <c r="EF55" s="54">
        <f t="shared" si="225"/>
        <v>0</v>
      </c>
      <c r="EG55" s="55">
        <f t="shared" si="226"/>
        <v>0</v>
      </c>
      <c r="EH55" s="56">
        <f>IF(AND($E55&lt;&gt;0,$F55&gt;0,YEAR($F55)&gt;=Preisindex!$A$6,YEAR(EC$4)&gt;=YEAR($F55),AND($K55&lt;&gt;"a",$K55&lt;&gt;"b",$K55&lt;&gt;"g",$K55&lt;&gt;"k")),1,IF(AND($E55&lt;&gt;0,$F55&gt;0,YEAR($F55)&gt;=Preisindex!$A$6,YEAR(EC$4)&gt;=YEAR($F55),$K55="a"),ROUND(VLOOKUP(EH$4,Preisindex,5,FALSE)/VLOOKUP(YEAR($F55),Preisindex,5,FALSE),2),IF(AND($E55&lt;&gt;0,$F55&gt;0,YEAR($F55)&gt;=Preisindex!$A$6,YEAR(EC$4)&gt;=YEAR($F55),$K55="b"),ROUND(VLOOKUP(EH$4,Preisindex,3,FALSE)/VLOOKUP(YEAR($F55),Preisindex,3,FALSE),2),IF(AND($E55&lt;&gt;0,$F55&gt;0,YEAR($F55)&gt;=Preisindex!$A$6,YEAR(EC$4)&gt;=YEAR($F55),$K55="g"),ROUND(VLOOKUP(EH$4,Preisindex,4,FALSE)/VLOOKUP(YEAR($F55),Preisindex,4,FALSE),2),IF(AND($E55&lt;&gt;0,$F55&gt;0,YEAR($F55)&gt;=Preisindex!$A$6,YEAR(EC$4)&gt;=YEAR($F55),$K55="k"),ROUND(VLOOKUP(EH$4,Preisindex,2,FALSE)/VLOOKUP(YEAR($F55),Preisindex,2,FALSE),2),0)))))</f>
        <v>1.69</v>
      </c>
      <c r="EI55" s="56">
        <f>IF(AND($E55&lt;&gt;0,$F55&gt;0,YEAR($F55)&lt;Preisindex!$A$6,YEAR(EC$4)&gt;=YEAR($F55),AND($K55&lt;&gt;"a",$K55&lt;&gt;"b",$K55&lt;&gt;"g",$K55&lt;&gt;"k")),1,IF(AND($E55&lt;&gt;0,$F55&gt;0,YEAR($F55)&lt;Preisindex!$A$6,YEAR(EC$4)&gt;=YEAR($F55),$K55="a"),ROUND(VLOOKUP(EH$4,Preisindex,5,FALSE)/VLOOKUP(Preisindex!$A$6,Preisindex,5,FALSE),2),IF(AND($E55&lt;&gt;0,$F55&gt;0,YEAR($F55)&lt;Preisindex!$A$6,YEAR(EC$4)&gt;=YEAR($F55),$K55="b"),ROUND(VLOOKUP(EH$4,Preisindex,3,FALSE)/VLOOKUP(Preisindex!$A$6,Preisindex,3,FALSE),2),IF(AND($E55&lt;&gt;0,$F55&gt;0,YEAR($F55)&lt;Preisindex!$A$6,YEAR(EC$4)&gt;=YEAR($F55),$K55="g"),ROUND(VLOOKUP(EH$4,Preisindex,4,FALSE)/VLOOKUP(Preisindex!$A$6,Preisindex,4,FALSE),2),IF(AND($E55&lt;&gt;0,$F55&gt;0,YEAR($F55)&lt;Preisindex!$A$6,YEAR(EC$4)&gt;=YEAR($F55),$K55="k"),ROUND(VLOOKUP(EH$4,Preisindex,2,FALSE)/VLOOKUP(Preisindex!$A$6,Preisindex,2,FALSE),2),0)))))</f>
        <v>0</v>
      </c>
      <c r="EJ55" s="51">
        <f>IF(AND($E55&lt;&gt;0,$F55&gt;0,YEAR($F55)&lt;=EH$4,YEAR($F55)&gt;=Preisindex!$A$6),ROUND($E55*EH55,2),IF(AND($E55&lt;&gt;0,$F55&gt;0,YEAR($F55)&lt;=EH$4,YEAR($F55)&lt;Preisindex!$A$6),ROUND($E55*EI55,2),0))</f>
        <v>152100</v>
      </c>
      <c r="EK55" s="53">
        <f t="shared" si="227"/>
        <v>3042</v>
      </c>
      <c r="EL55" s="51">
        <f t="shared" si="360"/>
        <v>0</v>
      </c>
      <c r="EM55" s="51">
        <f t="shared" si="347"/>
        <v>0</v>
      </c>
      <c r="EN55" s="51">
        <f t="shared" si="230"/>
        <v>0</v>
      </c>
      <c r="EO55" s="51">
        <f t="shared" si="348"/>
        <v>0</v>
      </c>
      <c r="EP55" s="51">
        <f t="shared" si="232"/>
        <v>90000</v>
      </c>
      <c r="EQ55" s="51">
        <f t="shared" si="349"/>
        <v>90000</v>
      </c>
      <c r="ER55" s="51">
        <f t="shared" si="234"/>
        <v>1800</v>
      </c>
      <c r="ES55" s="51">
        <f t="shared" si="350"/>
        <v>1800</v>
      </c>
      <c r="ET55" s="51">
        <f t="shared" si="236"/>
        <v>36900</v>
      </c>
      <c r="EU55" s="51">
        <f t="shared" si="351"/>
        <v>36900</v>
      </c>
      <c r="EV55" s="51">
        <f t="shared" si="238"/>
        <v>53100</v>
      </c>
      <c r="EW55" s="54">
        <f t="shared" si="239"/>
        <v>0</v>
      </c>
      <c r="EX55" s="55">
        <f t="shared" si="240"/>
        <v>0</v>
      </c>
      <c r="EY55" s="56">
        <f>IF(AND($E55&lt;&gt;0,$F55&gt;0,YEAR($F55)&gt;=Preisindex!$A$6,YEAR(ET$4)&gt;=YEAR($F55),AND($K55&lt;&gt;"a",$K55&lt;&gt;"b",$K55&lt;&gt;"g",$K55&lt;&gt;"k")),1,IF(AND($E55&lt;&gt;0,$F55&gt;0,YEAR($F55)&gt;=Preisindex!$A$6,YEAR(ET$4)&gt;=YEAR($F55),$K55="a"),ROUND(VLOOKUP(EY$4,Preisindex,5,FALSE)/VLOOKUP(YEAR($F55),Preisindex,5,FALSE),2),IF(AND($E55&lt;&gt;0,$F55&gt;0,YEAR($F55)&gt;=Preisindex!$A$6,YEAR(ET$4)&gt;=YEAR($F55),$K55="b"),ROUND(VLOOKUP(EY$4,Preisindex,3,FALSE)/VLOOKUP(YEAR($F55),Preisindex,3,FALSE),2),IF(AND($E55&lt;&gt;0,$F55&gt;0,YEAR($F55)&gt;=Preisindex!$A$6,YEAR(ET$4)&gt;=YEAR($F55),$K55="g"),ROUND(VLOOKUP(EY$4,Preisindex,4,FALSE)/VLOOKUP(YEAR($F55),Preisindex,4,FALSE),2),IF(AND($E55&lt;&gt;0,$F55&gt;0,YEAR($F55)&gt;=Preisindex!$A$6,YEAR(ET$4)&gt;=YEAR($F55),$K55="k"),ROUND(VLOOKUP(EY$4,Preisindex,2,FALSE)/VLOOKUP(YEAR($F55),Preisindex,2,FALSE),2),0)))))</f>
        <v>1.69</v>
      </c>
      <c r="EZ55" s="56">
        <f>IF(AND($E55&lt;&gt;0,$F55&gt;0,YEAR($F55)&lt;Preisindex!$A$6,YEAR(ET$4)&gt;=YEAR($F55),AND($K55&lt;&gt;"a",$K55&lt;&gt;"b",$K55&lt;&gt;"g",$K55&lt;&gt;"k")),1,IF(AND($E55&lt;&gt;0,$F55&gt;0,YEAR($F55)&lt;Preisindex!$A$6,YEAR(ET$4)&gt;=YEAR($F55),$K55="a"),ROUND(VLOOKUP(EY$4,Preisindex,5,FALSE)/VLOOKUP(Preisindex!$A$6,Preisindex,5,FALSE),2),IF(AND($E55&lt;&gt;0,$F55&gt;0,YEAR($F55)&lt;Preisindex!$A$6,YEAR(ET$4)&gt;=YEAR($F55),$K55="b"),ROUND(VLOOKUP(EY$4,Preisindex,3,FALSE)/VLOOKUP(Preisindex!$A$6,Preisindex,3,FALSE),2),IF(AND($E55&lt;&gt;0,$F55&gt;0,YEAR($F55)&lt;Preisindex!$A$6,YEAR(ET$4)&gt;=YEAR($F55),$K55="g"),ROUND(VLOOKUP(EY$4,Preisindex,4,FALSE)/VLOOKUP(Preisindex!$A$6,Preisindex,4,FALSE),2),IF(AND($E55&lt;&gt;0,$F55&gt;0,YEAR($F55)&lt;Preisindex!$A$6,YEAR(ET$4)&gt;=YEAR($F55),$K55="k"),ROUND(VLOOKUP(EY$4,Preisindex,2,FALSE)/VLOOKUP(Preisindex!$A$6,Preisindex,2,FALSE),2),0)))))</f>
        <v>0</v>
      </c>
      <c r="FA55" s="51">
        <f>IF(AND($E55&lt;&gt;0,$F55&gt;0,YEAR($F55)&lt;=EY$4,YEAR($F55)&gt;=Preisindex!$A$6),ROUND($E55*EY55,2),IF(AND($E55&lt;&gt;0,$F55&gt;0,YEAR($F55)&lt;=EY$4,YEAR($F55)&lt;Preisindex!$A$6),ROUND($E55*EZ55,2),0))</f>
        <v>152100</v>
      </c>
      <c r="FB55" s="53">
        <f t="shared" si="241"/>
        <v>3042</v>
      </c>
      <c r="FC55" s="51">
        <f t="shared" si="360"/>
        <v>0</v>
      </c>
      <c r="FD55" s="51">
        <f t="shared" si="352"/>
        <v>0</v>
      </c>
      <c r="FE55" s="51">
        <f t="shared" si="244"/>
        <v>0</v>
      </c>
      <c r="FF55" s="51">
        <f t="shared" si="353"/>
        <v>0</v>
      </c>
      <c r="FG55" s="51">
        <f t="shared" si="246"/>
        <v>90000</v>
      </c>
      <c r="FH55" s="51">
        <f t="shared" si="354"/>
        <v>90000</v>
      </c>
      <c r="FI55" s="51">
        <f t="shared" si="248"/>
        <v>1800</v>
      </c>
      <c r="FJ55" s="51">
        <f t="shared" si="355"/>
        <v>1800</v>
      </c>
      <c r="FK55" s="51">
        <f t="shared" si="250"/>
        <v>35100</v>
      </c>
      <c r="FL55" s="51">
        <f t="shared" si="356"/>
        <v>35100</v>
      </c>
      <c r="FM55" s="51">
        <f t="shared" si="252"/>
        <v>54900</v>
      </c>
      <c r="FN55" s="54">
        <f t="shared" si="253"/>
        <v>0</v>
      </c>
      <c r="FO55" s="55">
        <f t="shared" si="254"/>
        <v>0</v>
      </c>
      <c r="FP55" s="56">
        <f>IF(AND($E55&lt;&gt;0,$F55&gt;0,YEAR($F55)&gt;=Preisindex!$A$6,YEAR(FK$4)&gt;=YEAR($F55),AND($K55&lt;&gt;"a",$K55&lt;&gt;"b",$K55&lt;&gt;"g",$K55&lt;&gt;"k")),1,IF(AND($E55&lt;&gt;0,$F55&gt;0,YEAR($F55)&gt;=Preisindex!$A$6,YEAR(FK$4)&gt;=YEAR($F55),$K55="a"),ROUND(VLOOKUP(FP$4,Preisindex,5,FALSE)/VLOOKUP(YEAR($F55),Preisindex,5,FALSE),2),IF(AND($E55&lt;&gt;0,$F55&gt;0,YEAR($F55)&gt;=Preisindex!$A$6,YEAR(FK$4)&gt;=YEAR($F55),$K55="b"),ROUND(VLOOKUP(FP$4,Preisindex,3,FALSE)/VLOOKUP(YEAR($F55),Preisindex,3,FALSE),2),IF(AND($E55&lt;&gt;0,$F55&gt;0,YEAR($F55)&gt;=Preisindex!$A$6,YEAR(FK$4)&gt;=YEAR($F55),$K55="g"),ROUND(VLOOKUP(FP$4,Preisindex,4,FALSE)/VLOOKUP(YEAR($F55),Preisindex,4,FALSE),2),IF(AND($E55&lt;&gt;0,$F55&gt;0,YEAR($F55)&gt;=Preisindex!$A$6,YEAR(FK$4)&gt;=YEAR($F55),$K55="k"),ROUND(VLOOKUP(FP$4,Preisindex,2,FALSE)/VLOOKUP(YEAR($F55),Preisindex,2,FALSE),2),0)))))</f>
        <v>1.69</v>
      </c>
      <c r="FQ55" s="56">
        <f>IF(AND($E55&lt;&gt;0,$F55&gt;0,YEAR($F55)&lt;Preisindex!$A$6,YEAR(FK$4)&gt;=YEAR($F55),AND($K55&lt;&gt;"a",$K55&lt;&gt;"b",$K55&lt;&gt;"g",$K55&lt;&gt;"k")),1,IF(AND($E55&lt;&gt;0,$F55&gt;0,YEAR($F55)&lt;Preisindex!$A$6,YEAR(FK$4)&gt;=YEAR($F55),$K55="a"),ROUND(VLOOKUP(FP$4,Preisindex,5,FALSE)/VLOOKUP(Preisindex!$A$6,Preisindex,5,FALSE),2),IF(AND($E55&lt;&gt;0,$F55&gt;0,YEAR($F55)&lt;Preisindex!$A$6,YEAR(FK$4)&gt;=YEAR($F55),$K55="b"),ROUND(VLOOKUP(FP$4,Preisindex,3,FALSE)/VLOOKUP(Preisindex!$A$6,Preisindex,3,FALSE),2),IF(AND($E55&lt;&gt;0,$F55&gt;0,YEAR($F55)&lt;Preisindex!$A$6,YEAR(FK$4)&gt;=YEAR($F55),$K55="g"),ROUND(VLOOKUP(FP$4,Preisindex,4,FALSE)/VLOOKUP(Preisindex!$A$6,Preisindex,4,FALSE),2),IF(AND($E55&lt;&gt;0,$F55&gt;0,YEAR($F55)&lt;Preisindex!$A$6,YEAR(FK$4)&gt;=YEAR($F55),$K55="k"),ROUND(VLOOKUP(FP$4,Preisindex,2,FALSE)/VLOOKUP(Preisindex!$A$6,Preisindex,2,FALSE),2),0)))))</f>
        <v>0</v>
      </c>
      <c r="FR55" s="51">
        <f>IF(AND($E55&lt;&gt;0,$F55&gt;0,YEAR($F55)&lt;=FP$4,YEAR($F55)&gt;=Preisindex!$A$6),ROUND($E55*FP55,2),IF(AND($E55&lt;&gt;0,$F55&gt;0,YEAR($F55)&lt;=FP$4,YEAR($F55)&lt;Preisindex!$A$6),ROUND($E55*FQ55,2),0))</f>
        <v>152100</v>
      </c>
      <c r="FS55" s="53">
        <f t="shared" si="255"/>
        <v>3042</v>
      </c>
    </row>
    <row r="56" spans="1:175" x14ac:dyDescent="0.3">
      <c r="A56" s="93">
        <v>1993</v>
      </c>
      <c r="B56" s="94" t="s">
        <v>242</v>
      </c>
      <c r="C56" s="94"/>
      <c r="D56" s="95" t="s">
        <v>63</v>
      </c>
      <c r="E56" s="99">
        <v>52500</v>
      </c>
      <c r="F56" s="97">
        <v>34151</v>
      </c>
      <c r="G56" s="98">
        <v>50</v>
      </c>
      <c r="H56" s="620"/>
      <c r="I56" s="621"/>
      <c r="J56" s="194"/>
      <c r="K56" s="630" t="s">
        <v>266</v>
      </c>
      <c r="L56" s="49">
        <f t="shared" si="296"/>
        <v>0.02</v>
      </c>
      <c r="M56" s="50">
        <f t="shared" si="297"/>
        <v>1050</v>
      </c>
      <c r="N56" s="51">
        <f t="shared" si="298"/>
        <v>33075</v>
      </c>
      <c r="O56" s="51"/>
      <c r="P56" s="51">
        <f t="shared" si="299"/>
        <v>19425</v>
      </c>
      <c r="Q56" s="52"/>
      <c r="R56" s="52"/>
      <c r="S56" s="52"/>
      <c r="T56" s="52"/>
      <c r="U56" s="52"/>
      <c r="V56" s="53">
        <f t="shared" si="300"/>
        <v>52500</v>
      </c>
      <c r="W56" s="51">
        <f t="shared" si="301"/>
        <v>0</v>
      </c>
      <c r="X56" s="51">
        <f t="shared" si="302"/>
        <v>0</v>
      </c>
      <c r="Y56" s="51">
        <f t="shared" si="303"/>
        <v>0</v>
      </c>
      <c r="Z56" s="51">
        <f t="shared" si="304"/>
        <v>0</v>
      </c>
      <c r="AA56" s="51">
        <f t="shared" si="305"/>
        <v>52500</v>
      </c>
      <c r="AB56" s="51">
        <f t="shared" si="306"/>
        <v>52500</v>
      </c>
      <c r="AC56" s="51">
        <f t="shared" si="307"/>
        <v>1050</v>
      </c>
      <c r="AD56" s="51">
        <f t="shared" si="308"/>
        <v>1050</v>
      </c>
      <c r="AE56" s="51">
        <f t="shared" si="309"/>
        <v>32025</v>
      </c>
      <c r="AF56" s="51">
        <f t="shared" si="310"/>
        <v>32025</v>
      </c>
      <c r="AG56" s="51">
        <f t="shared" si="311"/>
        <v>20475</v>
      </c>
      <c r="AH56" s="54">
        <f t="shared" si="312"/>
        <v>0</v>
      </c>
      <c r="AI56" s="55">
        <f t="shared" si="313"/>
        <v>0</v>
      </c>
      <c r="AJ56" s="56">
        <f>IF(AND($E56&lt;&gt;0,$F56&gt;0,YEAR($F56)&gt;=Preisindex!$A$6,YEAR(AE$4)&gt;=YEAR($F56),AND($K56&lt;&gt;"a",$K56&lt;&gt;"b",$K56&lt;&gt;"g",$K56&lt;&gt;"k")),1,IF(AND($E56&lt;&gt;0,$F56&gt;0,YEAR($F56)&gt;=Preisindex!$A$6,YEAR(AE$4)&gt;=YEAR($F56),$K56="a"),ROUND(VLOOKUP(AJ$4,Preisindex,5,FALSE)/VLOOKUP(YEAR($F56),Preisindex,5,FALSE),2),IF(AND($E56&lt;&gt;0,$F56&gt;0,YEAR($F56)&gt;=Preisindex!$A$6,YEAR(AE$4)&gt;=YEAR($F56),$K56="b"),ROUND(VLOOKUP(AJ$4,Preisindex,3,FALSE)/VLOOKUP(YEAR($F56),Preisindex,3,FALSE),2),IF(AND($E56&lt;&gt;0,$F56&gt;0,YEAR($F56)&gt;=Preisindex!$A$6,YEAR(AE$4)&gt;=YEAR($F56),$K56="g"),ROUND(VLOOKUP(AJ$4,Preisindex,4,FALSE)/VLOOKUP(YEAR($F56),Preisindex,4,FALSE),2),IF(AND($E56&lt;&gt;0,$F56&gt;0,YEAR($F56)&gt;=Preisindex!$A$6,YEAR(AE$4)&gt;=YEAR($F56),$K56="k"),ROUND(VLOOKUP(AJ$4,Preisindex,2,FALSE)/VLOOKUP(YEAR($F56),Preisindex,2,FALSE),2),0)))))</f>
        <v>1.23</v>
      </c>
      <c r="AK56" s="56">
        <f>IF(AND($E56&lt;&gt;0,$F56&gt;0,YEAR($F56)&lt;Preisindex!$A$6,YEAR(AE$4)&gt;=YEAR($F56),AND($K56&lt;&gt;"a",$K56&lt;&gt;"b",$K56&lt;&gt;"g",$K56&lt;&gt;"k")),1,IF(AND($E56&lt;&gt;0,$F56&gt;0,YEAR($F56)&lt;Preisindex!$A$6,YEAR(AE$4)&gt;=YEAR($F56),$K56="a"),ROUND(VLOOKUP(AJ$4,Preisindex,5,FALSE)/VLOOKUP(Preisindex!$A$6,Preisindex,5,FALSE),2),IF(AND($E56&lt;&gt;0,$F56&gt;0,YEAR($F56)&lt;Preisindex!$A$6,YEAR(AE$4)&gt;=YEAR($F56),$K56="b"),ROUND(VLOOKUP(AJ$4,Preisindex,3,FALSE)/VLOOKUP(Preisindex!$A$6,Preisindex,3,FALSE),2),IF(AND($E56&lt;&gt;0,$F56&gt;0,YEAR($F56)&lt;Preisindex!$A$6,YEAR(AE$4)&gt;=YEAR($F56),$K56="g"),ROUND(VLOOKUP(AJ$4,Preisindex,4,FALSE)/VLOOKUP(Preisindex!$A$6,Preisindex,4,FALSE),2),IF(AND($E56&lt;&gt;0,$F56&gt;0,YEAR($F56)&lt;Preisindex!$A$6,YEAR(AE$4)&gt;=YEAR($F56),$K56="k"),ROUND(VLOOKUP(AJ$4,Preisindex,2,FALSE)/VLOOKUP(Preisindex!$A$6,Preisindex,2,FALSE),2),0)))))</f>
        <v>0</v>
      </c>
      <c r="AL56" s="51">
        <f>IF(AND($E56&lt;&gt;0,$F56&gt;0,YEAR($F56)&lt;=AJ$4,YEAR($F56)&gt;=Preisindex!$A$6),ROUND($E56*AJ56,2),IF(AND($E56&lt;&gt;0,$F56&gt;0,YEAR($F56)&lt;=AJ$4,YEAR($F56)&lt;Preisindex!$A$6),ROUND($E56*AK56,2),0))</f>
        <v>64575</v>
      </c>
      <c r="AM56" s="53">
        <f t="shared" si="314"/>
        <v>1291.5</v>
      </c>
      <c r="AN56" s="51">
        <f t="shared" si="359"/>
        <v>0</v>
      </c>
      <c r="AO56" s="51">
        <f t="shared" si="317"/>
        <v>0</v>
      </c>
      <c r="AP56" s="51">
        <f t="shared" si="146"/>
        <v>0</v>
      </c>
      <c r="AQ56" s="51">
        <f t="shared" si="318"/>
        <v>0</v>
      </c>
      <c r="AR56" s="51">
        <f t="shared" si="148"/>
        <v>52500</v>
      </c>
      <c r="AS56" s="51">
        <f t="shared" si="319"/>
        <v>52500</v>
      </c>
      <c r="AT56" s="51">
        <f t="shared" si="150"/>
        <v>1050</v>
      </c>
      <c r="AU56" s="51">
        <f t="shared" si="320"/>
        <v>1050</v>
      </c>
      <c r="AV56" s="51">
        <f t="shared" si="152"/>
        <v>30975</v>
      </c>
      <c r="AW56" s="51">
        <f t="shared" si="321"/>
        <v>30975</v>
      </c>
      <c r="AX56" s="51">
        <f t="shared" si="154"/>
        <v>21525</v>
      </c>
      <c r="AY56" s="54">
        <f t="shared" si="155"/>
        <v>0</v>
      </c>
      <c r="AZ56" s="55">
        <f t="shared" si="156"/>
        <v>0</v>
      </c>
      <c r="BA56" s="56">
        <f>IF(AND($E56&lt;&gt;0,$F56&gt;0,YEAR($F56)&gt;=Preisindex!$A$6,YEAR(AV$4)&gt;=YEAR($F56),AND($K56&lt;&gt;"a",$K56&lt;&gt;"b",$K56&lt;&gt;"g",$K56&lt;&gt;"k")),1,IF(AND($E56&lt;&gt;0,$F56&gt;0,YEAR($F56)&gt;=Preisindex!$A$6,YEAR(AV$4)&gt;=YEAR($F56),$K56="a"),ROUND(VLOOKUP(BA$4,Preisindex,5,FALSE)/VLOOKUP(YEAR($F56),Preisindex,5,FALSE),2),IF(AND($E56&lt;&gt;0,$F56&gt;0,YEAR($F56)&gt;=Preisindex!$A$6,YEAR(AV$4)&gt;=YEAR($F56),$K56="b"),ROUND(VLOOKUP(BA$4,Preisindex,3,FALSE)/VLOOKUP(YEAR($F56),Preisindex,3,FALSE),2),IF(AND($E56&lt;&gt;0,$F56&gt;0,YEAR($F56)&gt;=Preisindex!$A$6,YEAR(AV$4)&gt;=YEAR($F56),$K56="g"),ROUND(VLOOKUP(BA$4,Preisindex,4,FALSE)/VLOOKUP(YEAR($F56),Preisindex,4,FALSE),2),IF(AND($E56&lt;&gt;0,$F56&gt;0,YEAR($F56)&gt;=Preisindex!$A$6,YEAR(AV$4)&gt;=YEAR($F56),$K56="k"),ROUND(VLOOKUP(BA$4,Preisindex,2,FALSE)/VLOOKUP(YEAR($F56),Preisindex,2,FALSE),2),0)))))</f>
        <v>1.25</v>
      </c>
      <c r="BB56" s="56">
        <f>IF(AND($E56&lt;&gt;0,$F56&gt;0,YEAR($F56)&lt;Preisindex!$A$6,YEAR(AV$4)&gt;=YEAR($F56),AND($K56&lt;&gt;"a",$K56&lt;&gt;"b",$K56&lt;&gt;"g",$K56&lt;&gt;"k")),1,IF(AND($E56&lt;&gt;0,$F56&gt;0,YEAR($F56)&lt;Preisindex!$A$6,YEAR(AV$4)&gt;=YEAR($F56),$K56="a"),ROUND(VLOOKUP(BA$4,Preisindex,5,FALSE)/VLOOKUP(Preisindex!$A$6,Preisindex,5,FALSE),2),IF(AND($E56&lt;&gt;0,$F56&gt;0,YEAR($F56)&lt;Preisindex!$A$6,YEAR(AV$4)&gt;=YEAR($F56),$K56="b"),ROUND(VLOOKUP(BA$4,Preisindex,3,FALSE)/VLOOKUP(Preisindex!$A$6,Preisindex,3,FALSE),2),IF(AND($E56&lt;&gt;0,$F56&gt;0,YEAR($F56)&lt;Preisindex!$A$6,YEAR(AV$4)&gt;=YEAR($F56),$K56="g"),ROUND(VLOOKUP(BA$4,Preisindex,4,FALSE)/VLOOKUP(Preisindex!$A$6,Preisindex,4,FALSE),2),IF(AND($E56&lt;&gt;0,$F56&gt;0,YEAR($F56)&lt;Preisindex!$A$6,YEAR(AV$4)&gt;=YEAR($F56),$K56="k"),ROUND(VLOOKUP(BA$4,Preisindex,2,FALSE)/VLOOKUP(Preisindex!$A$6,Preisindex,2,FALSE),2),0)))))</f>
        <v>0</v>
      </c>
      <c r="BC56" s="51">
        <f>IF(AND($E56&lt;&gt;0,$F56&gt;0,YEAR($F56)&lt;=BA$4,YEAR($F56)&gt;=Preisindex!$A$6),ROUND($E56*BA56,2),IF(AND($E56&lt;&gt;0,$F56&gt;0,YEAR($F56)&lt;=BA$4,YEAR($F56)&lt;Preisindex!$A$6),ROUND($E56*BB56,2),0))</f>
        <v>65625</v>
      </c>
      <c r="BD56" s="53">
        <f t="shared" si="157"/>
        <v>1312.5</v>
      </c>
      <c r="BE56" s="51">
        <f t="shared" si="359"/>
        <v>0</v>
      </c>
      <c r="BF56" s="51">
        <f t="shared" si="322"/>
        <v>0</v>
      </c>
      <c r="BG56" s="51">
        <f t="shared" si="160"/>
        <v>0</v>
      </c>
      <c r="BH56" s="51">
        <f t="shared" si="323"/>
        <v>0</v>
      </c>
      <c r="BI56" s="51">
        <f t="shared" si="162"/>
        <v>52500</v>
      </c>
      <c r="BJ56" s="51">
        <f t="shared" si="324"/>
        <v>52500</v>
      </c>
      <c r="BK56" s="51">
        <f t="shared" si="164"/>
        <v>1050</v>
      </c>
      <c r="BL56" s="51">
        <f t="shared" si="325"/>
        <v>1050</v>
      </c>
      <c r="BM56" s="51">
        <f t="shared" si="166"/>
        <v>29925</v>
      </c>
      <c r="BN56" s="51">
        <f t="shared" si="326"/>
        <v>29925</v>
      </c>
      <c r="BO56" s="51">
        <f t="shared" si="168"/>
        <v>22575</v>
      </c>
      <c r="BP56" s="54">
        <f t="shared" si="169"/>
        <v>0</v>
      </c>
      <c r="BQ56" s="55">
        <f t="shared" si="170"/>
        <v>0</v>
      </c>
      <c r="BR56" s="56">
        <f>IF(AND($E56&lt;&gt;0,$F56&gt;0,YEAR($F56)&gt;=Preisindex!$A$6,YEAR(BM$4)&gt;=YEAR($F56),AND($K56&lt;&gt;"a",$K56&lt;&gt;"b",$K56&lt;&gt;"g",$K56&lt;&gt;"k")),1,IF(AND($E56&lt;&gt;0,$F56&gt;0,YEAR($F56)&gt;=Preisindex!$A$6,YEAR(BM$4)&gt;=YEAR($F56),$K56="a"),ROUND(VLOOKUP(BR$4,Preisindex,5,FALSE)/VLOOKUP(YEAR($F56),Preisindex,5,FALSE),2),IF(AND($E56&lt;&gt;0,$F56&gt;0,YEAR($F56)&gt;=Preisindex!$A$6,YEAR(BM$4)&gt;=YEAR($F56),$K56="b"),ROUND(VLOOKUP(BR$4,Preisindex,3,FALSE)/VLOOKUP(YEAR($F56),Preisindex,3,FALSE),2),IF(AND($E56&lt;&gt;0,$F56&gt;0,YEAR($F56)&gt;=Preisindex!$A$6,YEAR(BM$4)&gt;=YEAR($F56),$K56="g"),ROUND(VLOOKUP(BR$4,Preisindex,4,FALSE)/VLOOKUP(YEAR($F56),Preisindex,4,FALSE),2),IF(AND($E56&lt;&gt;0,$F56&gt;0,YEAR($F56)&gt;=Preisindex!$A$6,YEAR(BM$4)&gt;=YEAR($F56),$K56="k"),ROUND(VLOOKUP(BR$4,Preisindex,2,FALSE)/VLOOKUP(YEAR($F56),Preisindex,2,FALSE),2),0)))))</f>
        <v>1.27</v>
      </c>
      <c r="BS56" s="56">
        <f>IF(AND($E56&lt;&gt;0,$F56&gt;0,YEAR($F56)&lt;Preisindex!$A$6,YEAR(BM$4)&gt;=YEAR($F56),AND($K56&lt;&gt;"a",$K56&lt;&gt;"b",$K56&lt;&gt;"g",$K56&lt;&gt;"k")),1,IF(AND($E56&lt;&gt;0,$F56&gt;0,YEAR($F56)&lt;Preisindex!$A$6,YEAR(BM$4)&gt;=YEAR($F56),$K56="a"),ROUND(VLOOKUP(BR$4,Preisindex,5,FALSE)/VLOOKUP(Preisindex!$A$6,Preisindex,5,FALSE),2),IF(AND($E56&lt;&gt;0,$F56&gt;0,YEAR($F56)&lt;Preisindex!$A$6,YEAR(BM$4)&gt;=YEAR($F56),$K56="b"),ROUND(VLOOKUP(BR$4,Preisindex,3,FALSE)/VLOOKUP(Preisindex!$A$6,Preisindex,3,FALSE),2),IF(AND($E56&lt;&gt;0,$F56&gt;0,YEAR($F56)&lt;Preisindex!$A$6,YEAR(BM$4)&gt;=YEAR($F56),$K56="g"),ROUND(VLOOKUP(BR$4,Preisindex,4,FALSE)/VLOOKUP(Preisindex!$A$6,Preisindex,4,FALSE),2),IF(AND($E56&lt;&gt;0,$F56&gt;0,YEAR($F56)&lt;Preisindex!$A$6,YEAR(BM$4)&gt;=YEAR($F56),$K56="k"),ROUND(VLOOKUP(BR$4,Preisindex,2,FALSE)/VLOOKUP(Preisindex!$A$6,Preisindex,2,FALSE),2),0)))))</f>
        <v>0</v>
      </c>
      <c r="BT56" s="51">
        <f>IF(AND($E56&lt;&gt;0,$F56&gt;0,YEAR($F56)&lt;=BR$4,YEAR($F56)&gt;=Preisindex!$A$6),ROUND($E56*BR56,2),IF(AND($E56&lt;&gt;0,$F56&gt;0,YEAR($F56)&lt;=BR$4,YEAR($F56)&lt;Preisindex!$A$6),ROUND($E56*BS56,2),0))</f>
        <v>66675</v>
      </c>
      <c r="BU56" s="53">
        <f t="shared" si="171"/>
        <v>1333.5</v>
      </c>
      <c r="BV56" s="51">
        <f t="shared" si="359"/>
        <v>0</v>
      </c>
      <c r="BW56" s="51">
        <f t="shared" si="327"/>
        <v>0</v>
      </c>
      <c r="BX56" s="51">
        <f t="shared" si="174"/>
        <v>0</v>
      </c>
      <c r="BY56" s="51">
        <f t="shared" si="328"/>
        <v>0</v>
      </c>
      <c r="BZ56" s="51">
        <f t="shared" si="176"/>
        <v>52500</v>
      </c>
      <c r="CA56" s="51">
        <f t="shared" si="329"/>
        <v>52500</v>
      </c>
      <c r="CB56" s="51">
        <f t="shared" si="178"/>
        <v>1050</v>
      </c>
      <c r="CC56" s="51">
        <f t="shared" si="330"/>
        <v>1050</v>
      </c>
      <c r="CD56" s="51">
        <f t="shared" si="180"/>
        <v>28875</v>
      </c>
      <c r="CE56" s="51">
        <f t="shared" si="331"/>
        <v>28875</v>
      </c>
      <c r="CF56" s="51">
        <f t="shared" si="182"/>
        <v>23625</v>
      </c>
      <c r="CG56" s="54">
        <f t="shared" si="183"/>
        <v>0</v>
      </c>
      <c r="CH56" s="55">
        <f t="shared" si="184"/>
        <v>0</v>
      </c>
      <c r="CI56" s="56">
        <f>IF(AND($E56&lt;&gt;0,$F56&gt;0,YEAR($F56)&gt;=Preisindex!$A$6,YEAR(CD$4)&gt;=YEAR($F56),AND($K56&lt;&gt;"a",$K56&lt;&gt;"b",$K56&lt;&gt;"g",$K56&lt;&gt;"k")),1,IF(AND($E56&lt;&gt;0,$F56&gt;0,YEAR($F56)&gt;=Preisindex!$A$6,YEAR(CD$4)&gt;=YEAR($F56),$K56="a"),ROUND(VLOOKUP(CI$4,Preisindex,5,FALSE)/VLOOKUP(YEAR($F56),Preisindex,5,FALSE),2),IF(AND($E56&lt;&gt;0,$F56&gt;0,YEAR($F56)&gt;=Preisindex!$A$6,YEAR(CD$4)&gt;=YEAR($F56),$K56="b"),ROUND(VLOOKUP(CI$4,Preisindex,3,FALSE)/VLOOKUP(YEAR($F56),Preisindex,3,FALSE),2),IF(AND($E56&lt;&gt;0,$F56&gt;0,YEAR($F56)&gt;=Preisindex!$A$6,YEAR(CD$4)&gt;=YEAR($F56),$K56="g"),ROUND(VLOOKUP(CI$4,Preisindex,4,FALSE)/VLOOKUP(YEAR($F56),Preisindex,4,FALSE),2),IF(AND($E56&lt;&gt;0,$F56&gt;0,YEAR($F56)&gt;=Preisindex!$A$6,YEAR(CD$4)&gt;=YEAR($F56),$K56="k"),ROUND(VLOOKUP(CI$4,Preisindex,2,FALSE)/VLOOKUP(YEAR($F56),Preisindex,2,FALSE),2),0)))))</f>
        <v>1.29</v>
      </c>
      <c r="CJ56" s="56">
        <f>IF(AND($E56&lt;&gt;0,$F56&gt;0,YEAR($F56)&lt;Preisindex!$A$6,YEAR(CD$4)&gt;=YEAR($F56),AND($K56&lt;&gt;"a",$K56&lt;&gt;"b",$K56&lt;&gt;"g",$K56&lt;&gt;"k")),1,IF(AND($E56&lt;&gt;0,$F56&gt;0,YEAR($F56)&lt;Preisindex!$A$6,YEAR(CD$4)&gt;=YEAR($F56),$K56="a"),ROUND(VLOOKUP(CI$4,Preisindex,5,FALSE)/VLOOKUP(Preisindex!$A$6,Preisindex,5,FALSE),2),IF(AND($E56&lt;&gt;0,$F56&gt;0,YEAR($F56)&lt;Preisindex!$A$6,YEAR(CD$4)&gt;=YEAR($F56),$K56="b"),ROUND(VLOOKUP(CI$4,Preisindex,3,FALSE)/VLOOKUP(Preisindex!$A$6,Preisindex,3,FALSE),2),IF(AND($E56&lt;&gt;0,$F56&gt;0,YEAR($F56)&lt;Preisindex!$A$6,YEAR(CD$4)&gt;=YEAR($F56),$K56="g"),ROUND(VLOOKUP(CI$4,Preisindex,4,FALSE)/VLOOKUP(Preisindex!$A$6,Preisindex,4,FALSE),2),IF(AND($E56&lt;&gt;0,$F56&gt;0,YEAR($F56)&lt;Preisindex!$A$6,YEAR(CD$4)&gt;=YEAR($F56),$K56="k"),ROUND(VLOOKUP(CI$4,Preisindex,2,FALSE)/VLOOKUP(Preisindex!$A$6,Preisindex,2,FALSE),2),0)))))</f>
        <v>0</v>
      </c>
      <c r="CK56" s="51">
        <f>IF(AND($E56&lt;&gt;0,$F56&gt;0,YEAR($F56)&lt;=CI$4,YEAR($F56)&gt;=Preisindex!$A$6),ROUND($E56*CI56,2),IF(AND($E56&lt;&gt;0,$F56&gt;0,YEAR($F56)&lt;=CI$4,YEAR($F56)&lt;Preisindex!$A$6),ROUND($E56*CJ56,2),0))</f>
        <v>67725</v>
      </c>
      <c r="CL56" s="53">
        <f t="shared" si="185"/>
        <v>1354.5</v>
      </c>
      <c r="CM56" s="51">
        <f t="shared" si="359"/>
        <v>0</v>
      </c>
      <c r="CN56" s="51">
        <f t="shared" si="332"/>
        <v>0</v>
      </c>
      <c r="CO56" s="51">
        <f t="shared" si="188"/>
        <v>0</v>
      </c>
      <c r="CP56" s="51">
        <f t="shared" si="333"/>
        <v>0</v>
      </c>
      <c r="CQ56" s="51">
        <f t="shared" si="190"/>
        <v>52500</v>
      </c>
      <c r="CR56" s="51">
        <f t="shared" si="334"/>
        <v>52500</v>
      </c>
      <c r="CS56" s="51">
        <f t="shared" si="192"/>
        <v>1050</v>
      </c>
      <c r="CT56" s="51">
        <f t="shared" si="335"/>
        <v>1050</v>
      </c>
      <c r="CU56" s="51">
        <f t="shared" si="194"/>
        <v>27825</v>
      </c>
      <c r="CV56" s="51">
        <f t="shared" si="336"/>
        <v>27825</v>
      </c>
      <c r="CW56" s="51">
        <f t="shared" si="196"/>
        <v>24675</v>
      </c>
      <c r="CX56" s="54">
        <f t="shared" si="197"/>
        <v>0</v>
      </c>
      <c r="CY56" s="55">
        <f t="shared" si="198"/>
        <v>0</v>
      </c>
      <c r="CZ56" s="56">
        <f>IF(AND($E56&lt;&gt;0,$F56&gt;0,YEAR($F56)&gt;=Preisindex!$A$6,YEAR(CU$4)&gt;=YEAR($F56),AND($K56&lt;&gt;"a",$K56&lt;&gt;"b",$K56&lt;&gt;"g",$K56&lt;&gt;"k")),1,IF(AND($E56&lt;&gt;0,$F56&gt;0,YEAR($F56)&gt;=Preisindex!$A$6,YEAR(CU$4)&gt;=YEAR($F56),$K56="a"),ROUND(VLOOKUP(CZ$4,Preisindex,5,FALSE)/VLOOKUP(YEAR($F56),Preisindex,5,FALSE),2),IF(AND($E56&lt;&gt;0,$F56&gt;0,YEAR($F56)&gt;=Preisindex!$A$6,YEAR(CU$4)&gt;=YEAR($F56),$K56="b"),ROUND(VLOOKUP(CZ$4,Preisindex,3,FALSE)/VLOOKUP(YEAR($F56),Preisindex,3,FALSE),2),IF(AND($E56&lt;&gt;0,$F56&gt;0,YEAR($F56)&gt;=Preisindex!$A$6,YEAR(CU$4)&gt;=YEAR($F56),$K56="g"),ROUND(VLOOKUP(CZ$4,Preisindex,4,FALSE)/VLOOKUP(YEAR($F56),Preisindex,4,FALSE),2),IF(AND($E56&lt;&gt;0,$F56&gt;0,YEAR($F56)&gt;=Preisindex!$A$6,YEAR(CU$4)&gt;=YEAR($F56),$K56="k"),ROUND(VLOOKUP(CZ$4,Preisindex,2,FALSE)/VLOOKUP(YEAR($F56),Preisindex,2,FALSE),2),0)))))</f>
        <v>1.31</v>
      </c>
      <c r="DA56" s="56">
        <f>IF(AND($E56&lt;&gt;0,$F56&gt;0,YEAR($F56)&lt;Preisindex!$A$6,YEAR(CU$4)&gt;=YEAR($F56),AND($K56&lt;&gt;"a",$K56&lt;&gt;"b",$K56&lt;&gt;"g",$K56&lt;&gt;"k")),1,IF(AND($E56&lt;&gt;0,$F56&gt;0,YEAR($F56)&lt;Preisindex!$A$6,YEAR(CU$4)&gt;=YEAR($F56),$K56="a"),ROUND(VLOOKUP(CZ$4,Preisindex,5,FALSE)/VLOOKUP(Preisindex!$A$6,Preisindex,5,FALSE),2),IF(AND($E56&lt;&gt;0,$F56&gt;0,YEAR($F56)&lt;Preisindex!$A$6,YEAR(CU$4)&gt;=YEAR($F56),$K56="b"),ROUND(VLOOKUP(CZ$4,Preisindex,3,FALSE)/VLOOKUP(Preisindex!$A$6,Preisindex,3,FALSE),2),IF(AND($E56&lt;&gt;0,$F56&gt;0,YEAR($F56)&lt;Preisindex!$A$6,YEAR(CU$4)&gt;=YEAR($F56),$K56="g"),ROUND(VLOOKUP(CZ$4,Preisindex,4,FALSE)/VLOOKUP(Preisindex!$A$6,Preisindex,4,FALSE),2),IF(AND($E56&lt;&gt;0,$F56&gt;0,YEAR($F56)&lt;Preisindex!$A$6,YEAR(CU$4)&gt;=YEAR($F56),$K56="k"),ROUND(VLOOKUP(CZ$4,Preisindex,2,FALSE)/VLOOKUP(Preisindex!$A$6,Preisindex,2,FALSE),2),0)))))</f>
        <v>0</v>
      </c>
      <c r="DB56" s="51">
        <f>IF(AND($E56&lt;&gt;0,$F56&gt;0,YEAR($F56)&lt;=CZ$4,YEAR($F56)&gt;=Preisindex!$A$6),ROUND($E56*CZ56,2),IF(AND($E56&lt;&gt;0,$F56&gt;0,YEAR($F56)&lt;=CZ$4,YEAR($F56)&lt;Preisindex!$A$6),ROUND($E56*DA56,2),0))</f>
        <v>68775</v>
      </c>
      <c r="DC56" s="53">
        <f t="shared" si="199"/>
        <v>1375.5</v>
      </c>
      <c r="DD56" s="51">
        <f t="shared" si="360"/>
        <v>0</v>
      </c>
      <c r="DE56" s="51">
        <f t="shared" si="337"/>
        <v>0</v>
      </c>
      <c r="DF56" s="51">
        <f t="shared" si="202"/>
        <v>0</v>
      </c>
      <c r="DG56" s="51">
        <f t="shared" si="338"/>
        <v>0</v>
      </c>
      <c r="DH56" s="51">
        <f t="shared" si="204"/>
        <v>52500</v>
      </c>
      <c r="DI56" s="51">
        <f t="shared" si="339"/>
        <v>52500</v>
      </c>
      <c r="DJ56" s="51">
        <f t="shared" si="206"/>
        <v>1050</v>
      </c>
      <c r="DK56" s="51">
        <f t="shared" si="340"/>
        <v>1050</v>
      </c>
      <c r="DL56" s="51">
        <f t="shared" si="208"/>
        <v>26775</v>
      </c>
      <c r="DM56" s="51">
        <f t="shared" si="341"/>
        <v>26775</v>
      </c>
      <c r="DN56" s="51">
        <f t="shared" si="210"/>
        <v>25725</v>
      </c>
      <c r="DO56" s="54">
        <f t="shared" si="211"/>
        <v>0</v>
      </c>
      <c r="DP56" s="55">
        <f t="shared" si="212"/>
        <v>0</v>
      </c>
      <c r="DQ56" s="56">
        <f>IF(AND($E56&lt;&gt;0,$F56&gt;0,YEAR($F56)&gt;=Preisindex!$A$6,YEAR(DL$4)&gt;=YEAR($F56),AND($K56&lt;&gt;"a",$K56&lt;&gt;"b",$K56&lt;&gt;"g",$K56&lt;&gt;"k")),1,IF(AND($E56&lt;&gt;0,$F56&gt;0,YEAR($F56)&gt;=Preisindex!$A$6,YEAR(DL$4)&gt;=YEAR($F56),$K56="a"),ROUND(VLOOKUP(DQ$4,Preisindex,5,FALSE)/VLOOKUP(YEAR($F56),Preisindex,5,FALSE),2),IF(AND($E56&lt;&gt;0,$F56&gt;0,YEAR($F56)&gt;=Preisindex!$A$6,YEAR(DL$4)&gt;=YEAR($F56),$K56="b"),ROUND(VLOOKUP(DQ$4,Preisindex,3,FALSE)/VLOOKUP(YEAR($F56),Preisindex,3,FALSE),2),IF(AND($E56&lt;&gt;0,$F56&gt;0,YEAR($F56)&gt;=Preisindex!$A$6,YEAR(DL$4)&gt;=YEAR($F56),$K56="g"),ROUND(VLOOKUP(DQ$4,Preisindex,4,FALSE)/VLOOKUP(YEAR($F56),Preisindex,4,FALSE),2),IF(AND($E56&lt;&gt;0,$F56&gt;0,YEAR($F56)&gt;=Preisindex!$A$6,YEAR(DL$4)&gt;=YEAR($F56),$K56="k"),ROUND(VLOOKUP(DQ$4,Preisindex,2,FALSE)/VLOOKUP(YEAR($F56),Preisindex,2,FALSE),2),0)))))</f>
        <v>1.35</v>
      </c>
      <c r="DR56" s="56">
        <f>IF(AND($E56&lt;&gt;0,$F56&gt;0,YEAR($F56)&lt;Preisindex!$A$6,YEAR(DL$4)&gt;=YEAR($F56),AND($K56&lt;&gt;"a",$K56&lt;&gt;"b",$K56&lt;&gt;"g",$K56&lt;&gt;"k")),1,IF(AND($E56&lt;&gt;0,$F56&gt;0,YEAR($F56)&lt;Preisindex!$A$6,YEAR(DL$4)&gt;=YEAR($F56),$K56="a"),ROUND(VLOOKUP(DQ$4,Preisindex,5,FALSE)/VLOOKUP(Preisindex!$A$6,Preisindex,5,FALSE),2),IF(AND($E56&lt;&gt;0,$F56&gt;0,YEAR($F56)&lt;Preisindex!$A$6,YEAR(DL$4)&gt;=YEAR($F56),$K56="b"),ROUND(VLOOKUP(DQ$4,Preisindex,3,FALSE)/VLOOKUP(Preisindex!$A$6,Preisindex,3,FALSE),2),IF(AND($E56&lt;&gt;0,$F56&gt;0,YEAR($F56)&lt;Preisindex!$A$6,YEAR(DL$4)&gt;=YEAR($F56),$K56="g"),ROUND(VLOOKUP(DQ$4,Preisindex,4,FALSE)/VLOOKUP(Preisindex!$A$6,Preisindex,4,FALSE),2),IF(AND($E56&lt;&gt;0,$F56&gt;0,YEAR($F56)&lt;Preisindex!$A$6,YEAR(DL$4)&gt;=YEAR($F56),$K56="k"),ROUND(VLOOKUP(DQ$4,Preisindex,2,FALSE)/VLOOKUP(Preisindex!$A$6,Preisindex,2,FALSE),2),0)))))</f>
        <v>0</v>
      </c>
      <c r="DS56" s="51">
        <f>IF(AND($E56&lt;&gt;0,$F56&gt;0,YEAR($F56)&lt;=DQ$4,YEAR($F56)&gt;=Preisindex!$A$6),ROUND($E56*DQ56,2),IF(AND($E56&lt;&gt;0,$F56&gt;0,YEAR($F56)&lt;=DQ$4,YEAR($F56)&lt;Preisindex!$A$6),ROUND($E56*DR56,2),0))</f>
        <v>70875</v>
      </c>
      <c r="DT56" s="53">
        <f t="shared" si="213"/>
        <v>1417.5</v>
      </c>
      <c r="DU56" s="51">
        <f t="shared" si="360"/>
        <v>0</v>
      </c>
      <c r="DV56" s="51">
        <f t="shared" si="342"/>
        <v>0</v>
      </c>
      <c r="DW56" s="51">
        <f t="shared" si="216"/>
        <v>0</v>
      </c>
      <c r="DX56" s="51">
        <f t="shared" si="343"/>
        <v>0</v>
      </c>
      <c r="DY56" s="51">
        <f t="shared" si="218"/>
        <v>52500</v>
      </c>
      <c r="DZ56" s="51">
        <f t="shared" si="344"/>
        <v>52500</v>
      </c>
      <c r="EA56" s="51">
        <f t="shared" si="220"/>
        <v>1050</v>
      </c>
      <c r="EB56" s="51">
        <f t="shared" si="345"/>
        <v>1050</v>
      </c>
      <c r="EC56" s="51">
        <f t="shared" si="222"/>
        <v>25725</v>
      </c>
      <c r="ED56" s="51">
        <f t="shared" si="346"/>
        <v>25725</v>
      </c>
      <c r="EE56" s="51">
        <f t="shared" si="224"/>
        <v>26775</v>
      </c>
      <c r="EF56" s="54">
        <f t="shared" si="225"/>
        <v>0</v>
      </c>
      <c r="EG56" s="55">
        <f t="shared" si="226"/>
        <v>0</v>
      </c>
      <c r="EH56" s="56">
        <f>IF(AND($E56&lt;&gt;0,$F56&gt;0,YEAR($F56)&gt;=Preisindex!$A$6,YEAR(EC$4)&gt;=YEAR($F56),AND($K56&lt;&gt;"a",$K56&lt;&gt;"b",$K56&lt;&gt;"g",$K56&lt;&gt;"k")),1,IF(AND($E56&lt;&gt;0,$F56&gt;0,YEAR($F56)&gt;=Preisindex!$A$6,YEAR(EC$4)&gt;=YEAR($F56),$K56="a"),ROUND(VLOOKUP(EH$4,Preisindex,5,FALSE)/VLOOKUP(YEAR($F56),Preisindex,5,FALSE),2),IF(AND($E56&lt;&gt;0,$F56&gt;0,YEAR($F56)&gt;=Preisindex!$A$6,YEAR(EC$4)&gt;=YEAR($F56),$K56="b"),ROUND(VLOOKUP(EH$4,Preisindex,3,FALSE)/VLOOKUP(YEAR($F56),Preisindex,3,FALSE),2),IF(AND($E56&lt;&gt;0,$F56&gt;0,YEAR($F56)&gt;=Preisindex!$A$6,YEAR(EC$4)&gt;=YEAR($F56),$K56="g"),ROUND(VLOOKUP(EH$4,Preisindex,4,FALSE)/VLOOKUP(YEAR($F56),Preisindex,4,FALSE),2),IF(AND($E56&lt;&gt;0,$F56&gt;0,YEAR($F56)&gt;=Preisindex!$A$6,YEAR(EC$4)&gt;=YEAR($F56),$K56="k"),ROUND(VLOOKUP(EH$4,Preisindex,2,FALSE)/VLOOKUP(YEAR($F56),Preisindex,2,FALSE),2),0)))))</f>
        <v>1.42</v>
      </c>
      <c r="EI56" s="56">
        <f>IF(AND($E56&lt;&gt;0,$F56&gt;0,YEAR($F56)&lt;Preisindex!$A$6,YEAR(EC$4)&gt;=YEAR($F56),AND($K56&lt;&gt;"a",$K56&lt;&gt;"b",$K56&lt;&gt;"g",$K56&lt;&gt;"k")),1,IF(AND($E56&lt;&gt;0,$F56&gt;0,YEAR($F56)&lt;Preisindex!$A$6,YEAR(EC$4)&gt;=YEAR($F56),$K56="a"),ROUND(VLOOKUP(EH$4,Preisindex,5,FALSE)/VLOOKUP(Preisindex!$A$6,Preisindex,5,FALSE),2),IF(AND($E56&lt;&gt;0,$F56&gt;0,YEAR($F56)&lt;Preisindex!$A$6,YEAR(EC$4)&gt;=YEAR($F56),$K56="b"),ROUND(VLOOKUP(EH$4,Preisindex,3,FALSE)/VLOOKUP(Preisindex!$A$6,Preisindex,3,FALSE),2),IF(AND($E56&lt;&gt;0,$F56&gt;0,YEAR($F56)&lt;Preisindex!$A$6,YEAR(EC$4)&gt;=YEAR($F56),$K56="g"),ROUND(VLOOKUP(EH$4,Preisindex,4,FALSE)/VLOOKUP(Preisindex!$A$6,Preisindex,4,FALSE),2),IF(AND($E56&lt;&gt;0,$F56&gt;0,YEAR($F56)&lt;Preisindex!$A$6,YEAR(EC$4)&gt;=YEAR($F56),$K56="k"),ROUND(VLOOKUP(EH$4,Preisindex,2,FALSE)/VLOOKUP(Preisindex!$A$6,Preisindex,2,FALSE),2),0)))))</f>
        <v>0</v>
      </c>
      <c r="EJ56" s="51">
        <f>IF(AND($E56&lt;&gt;0,$F56&gt;0,YEAR($F56)&lt;=EH$4,YEAR($F56)&gt;=Preisindex!$A$6),ROUND($E56*EH56,2),IF(AND($E56&lt;&gt;0,$F56&gt;0,YEAR($F56)&lt;=EH$4,YEAR($F56)&lt;Preisindex!$A$6),ROUND($E56*EI56,2),0))</f>
        <v>74550</v>
      </c>
      <c r="EK56" s="53">
        <f t="shared" si="227"/>
        <v>1491</v>
      </c>
      <c r="EL56" s="51">
        <f t="shared" si="360"/>
        <v>0</v>
      </c>
      <c r="EM56" s="51">
        <f t="shared" si="347"/>
        <v>0</v>
      </c>
      <c r="EN56" s="51">
        <f t="shared" si="230"/>
        <v>0</v>
      </c>
      <c r="EO56" s="51">
        <f t="shared" si="348"/>
        <v>0</v>
      </c>
      <c r="EP56" s="51">
        <f t="shared" si="232"/>
        <v>52500</v>
      </c>
      <c r="EQ56" s="51">
        <f t="shared" si="349"/>
        <v>52500</v>
      </c>
      <c r="ER56" s="51">
        <f t="shared" si="234"/>
        <v>1050</v>
      </c>
      <c r="ES56" s="51">
        <f t="shared" si="350"/>
        <v>1050</v>
      </c>
      <c r="ET56" s="51">
        <f t="shared" si="236"/>
        <v>24675</v>
      </c>
      <c r="EU56" s="51">
        <f t="shared" si="351"/>
        <v>24675</v>
      </c>
      <c r="EV56" s="51">
        <f t="shared" si="238"/>
        <v>27825</v>
      </c>
      <c r="EW56" s="54">
        <f t="shared" si="239"/>
        <v>0</v>
      </c>
      <c r="EX56" s="55">
        <f t="shared" si="240"/>
        <v>0</v>
      </c>
      <c r="EY56" s="56">
        <f>IF(AND($E56&lt;&gt;0,$F56&gt;0,YEAR($F56)&gt;=Preisindex!$A$6,YEAR(ET$4)&gt;=YEAR($F56),AND($K56&lt;&gt;"a",$K56&lt;&gt;"b",$K56&lt;&gt;"g",$K56&lt;&gt;"k")),1,IF(AND($E56&lt;&gt;0,$F56&gt;0,YEAR($F56)&gt;=Preisindex!$A$6,YEAR(ET$4)&gt;=YEAR($F56),$K56="a"),ROUND(VLOOKUP(EY$4,Preisindex,5,FALSE)/VLOOKUP(YEAR($F56),Preisindex,5,FALSE),2),IF(AND($E56&lt;&gt;0,$F56&gt;0,YEAR($F56)&gt;=Preisindex!$A$6,YEAR(ET$4)&gt;=YEAR($F56),$K56="b"),ROUND(VLOOKUP(EY$4,Preisindex,3,FALSE)/VLOOKUP(YEAR($F56),Preisindex,3,FALSE),2),IF(AND($E56&lt;&gt;0,$F56&gt;0,YEAR($F56)&gt;=Preisindex!$A$6,YEAR(ET$4)&gt;=YEAR($F56),$K56="g"),ROUND(VLOOKUP(EY$4,Preisindex,4,FALSE)/VLOOKUP(YEAR($F56),Preisindex,4,FALSE),2),IF(AND($E56&lt;&gt;0,$F56&gt;0,YEAR($F56)&gt;=Preisindex!$A$6,YEAR(ET$4)&gt;=YEAR($F56),$K56="k"),ROUND(VLOOKUP(EY$4,Preisindex,2,FALSE)/VLOOKUP(YEAR($F56),Preisindex,2,FALSE),2),0)))))</f>
        <v>1.42</v>
      </c>
      <c r="EZ56" s="56">
        <f>IF(AND($E56&lt;&gt;0,$F56&gt;0,YEAR($F56)&lt;Preisindex!$A$6,YEAR(ET$4)&gt;=YEAR($F56),AND($K56&lt;&gt;"a",$K56&lt;&gt;"b",$K56&lt;&gt;"g",$K56&lt;&gt;"k")),1,IF(AND($E56&lt;&gt;0,$F56&gt;0,YEAR($F56)&lt;Preisindex!$A$6,YEAR(ET$4)&gt;=YEAR($F56),$K56="a"),ROUND(VLOOKUP(EY$4,Preisindex,5,FALSE)/VLOOKUP(Preisindex!$A$6,Preisindex,5,FALSE),2),IF(AND($E56&lt;&gt;0,$F56&gt;0,YEAR($F56)&lt;Preisindex!$A$6,YEAR(ET$4)&gt;=YEAR($F56),$K56="b"),ROUND(VLOOKUP(EY$4,Preisindex,3,FALSE)/VLOOKUP(Preisindex!$A$6,Preisindex,3,FALSE),2),IF(AND($E56&lt;&gt;0,$F56&gt;0,YEAR($F56)&lt;Preisindex!$A$6,YEAR(ET$4)&gt;=YEAR($F56),$K56="g"),ROUND(VLOOKUP(EY$4,Preisindex,4,FALSE)/VLOOKUP(Preisindex!$A$6,Preisindex,4,FALSE),2),IF(AND($E56&lt;&gt;0,$F56&gt;0,YEAR($F56)&lt;Preisindex!$A$6,YEAR(ET$4)&gt;=YEAR($F56),$K56="k"),ROUND(VLOOKUP(EY$4,Preisindex,2,FALSE)/VLOOKUP(Preisindex!$A$6,Preisindex,2,FALSE),2),0)))))</f>
        <v>0</v>
      </c>
      <c r="FA56" s="51">
        <f>IF(AND($E56&lt;&gt;0,$F56&gt;0,YEAR($F56)&lt;=EY$4,YEAR($F56)&gt;=Preisindex!$A$6),ROUND($E56*EY56,2),IF(AND($E56&lt;&gt;0,$F56&gt;0,YEAR($F56)&lt;=EY$4,YEAR($F56)&lt;Preisindex!$A$6),ROUND($E56*EZ56,2),0))</f>
        <v>74550</v>
      </c>
      <c r="FB56" s="53">
        <f t="shared" si="241"/>
        <v>1491</v>
      </c>
      <c r="FC56" s="51">
        <f t="shared" si="360"/>
        <v>0</v>
      </c>
      <c r="FD56" s="51">
        <f t="shared" si="352"/>
        <v>0</v>
      </c>
      <c r="FE56" s="51">
        <f t="shared" si="244"/>
        <v>0</v>
      </c>
      <c r="FF56" s="51">
        <f t="shared" si="353"/>
        <v>0</v>
      </c>
      <c r="FG56" s="51">
        <f t="shared" si="246"/>
        <v>52500</v>
      </c>
      <c r="FH56" s="51">
        <f t="shared" si="354"/>
        <v>52500</v>
      </c>
      <c r="FI56" s="51">
        <f t="shared" si="248"/>
        <v>1050</v>
      </c>
      <c r="FJ56" s="51">
        <f t="shared" si="355"/>
        <v>1050</v>
      </c>
      <c r="FK56" s="51">
        <f t="shared" si="250"/>
        <v>23625</v>
      </c>
      <c r="FL56" s="51">
        <f t="shared" si="356"/>
        <v>23625</v>
      </c>
      <c r="FM56" s="51">
        <f t="shared" si="252"/>
        <v>28875</v>
      </c>
      <c r="FN56" s="54">
        <f t="shared" si="253"/>
        <v>0</v>
      </c>
      <c r="FO56" s="55">
        <f t="shared" si="254"/>
        <v>0</v>
      </c>
      <c r="FP56" s="56">
        <f>IF(AND($E56&lt;&gt;0,$F56&gt;0,YEAR($F56)&gt;=Preisindex!$A$6,YEAR(FK$4)&gt;=YEAR($F56),AND($K56&lt;&gt;"a",$K56&lt;&gt;"b",$K56&lt;&gt;"g",$K56&lt;&gt;"k")),1,IF(AND($E56&lt;&gt;0,$F56&gt;0,YEAR($F56)&gt;=Preisindex!$A$6,YEAR(FK$4)&gt;=YEAR($F56),$K56="a"),ROUND(VLOOKUP(FP$4,Preisindex,5,FALSE)/VLOOKUP(YEAR($F56),Preisindex,5,FALSE),2),IF(AND($E56&lt;&gt;0,$F56&gt;0,YEAR($F56)&gt;=Preisindex!$A$6,YEAR(FK$4)&gt;=YEAR($F56),$K56="b"),ROUND(VLOOKUP(FP$4,Preisindex,3,FALSE)/VLOOKUP(YEAR($F56),Preisindex,3,FALSE),2),IF(AND($E56&lt;&gt;0,$F56&gt;0,YEAR($F56)&gt;=Preisindex!$A$6,YEAR(FK$4)&gt;=YEAR($F56),$K56="g"),ROUND(VLOOKUP(FP$4,Preisindex,4,FALSE)/VLOOKUP(YEAR($F56),Preisindex,4,FALSE),2),IF(AND($E56&lt;&gt;0,$F56&gt;0,YEAR($F56)&gt;=Preisindex!$A$6,YEAR(FK$4)&gt;=YEAR($F56),$K56="k"),ROUND(VLOOKUP(FP$4,Preisindex,2,FALSE)/VLOOKUP(YEAR($F56),Preisindex,2,FALSE),2),0)))))</f>
        <v>1.42</v>
      </c>
      <c r="FQ56" s="56">
        <f>IF(AND($E56&lt;&gt;0,$F56&gt;0,YEAR($F56)&lt;Preisindex!$A$6,YEAR(FK$4)&gt;=YEAR($F56),AND($K56&lt;&gt;"a",$K56&lt;&gt;"b",$K56&lt;&gt;"g",$K56&lt;&gt;"k")),1,IF(AND($E56&lt;&gt;0,$F56&gt;0,YEAR($F56)&lt;Preisindex!$A$6,YEAR(FK$4)&gt;=YEAR($F56),$K56="a"),ROUND(VLOOKUP(FP$4,Preisindex,5,FALSE)/VLOOKUP(Preisindex!$A$6,Preisindex,5,FALSE),2),IF(AND($E56&lt;&gt;0,$F56&gt;0,YEAR($F56)&lt;Preisindex!$A$6,YEAR(FK$4)&gt;=YEAR($F56),$K56="b"),ROUND(VLOOKUP(FP$4,Preisindex,3,FALSE)/VLOOKUP(Preisindex!$A$6,Preisindex,3,FALSE),2),IF(AND($E56&lt;&gt;0,$F56&gt;0,YEAR($F56)&lt;Preisindex!$A$6,YEAR(FK$4)&gt;=YEAR($F56),$K56="g"),ROUND(VLOOKUP(FP$4,Preisindex,4,FALSE)/VLOOKUP(Preisindex!$A$6,Preisindex,4,FALSE),2),IF(AND($E56&lt;&gt;0,$F56&gt;0,YEAR($F56)&lt;Preisindex!$A$6,YEAR(FK$4)&gt;=YEAR($F56),$K56="k"),ROUND(VLOOKUP(FP$4,Preisindex,2,FALSE)/VLOOKUP(Preisindex!$A$6,Preisindex,2,FALSE),2),0)))))</f>
        <v>0</v>
      </c>
      <c r="FR56" s="51">
        <f>IF(AND($E56&lt;&gt;0,$F56&gt;0,YEAR($F56)&lt;=FP$4,YEAR($F56)&gt;=Preisindex!$A$6),ROUND($E56*FP56,2),IF(AND($E56&lt;&gt;0,$F56&gt;0,YEAR($F56)&lt;=FP$4,YEAR($F56)&lt;Preisindex!$A$6),ROUND($E56*FQ56,2),0))</f>
        <v>74550</v>
      </c>
      <c r="FS56" s="53">
        <f t="shared" si="255"/>
        <v>1491</v>
      </c>
    </row>
    <row r="57" spans="1:175" x14ac:dyDescent="0.3">
      <c r="A57" s="93">
        <v>1998</v>
      </c>
      <c r="B57" s="94" t="s">
        <v>243</v>
      </c>
      <c r="C57" s="94"/>
      <c r="D57" s="95" t="s">
        <v>63</v>
      </c>
      <c r="E57" s="99">
        <v>36000</v>
      </c>
      <c r="F57" s="97">
        <v>35977</v>
      </c>
      <c r="G57" s="98">
        <v>50</v>
      </c>
      <c r="H57" s="620"/>
      <c r="I57" s="621"/>
      <c r="J57" s="194"/>
      <c r="K57" s="630" t="s">
        <v>266</v>
      </c>
      <c r="L57" s="49">
        <f t="shared" si="296"/>
        <v>0.02</v>
      </c>
      <c r="M57" s="50">
        <f t="shared" si="297"/>
        <v>720</v>
      </c>
      <c r="N57" s="51">
        <f t="shared" si="298"/>
        <v>26280</v>
      </c>
      <c r="O57" s="51"/>
      <c r="P57" s="51">
        <f t="shared" si="299"/>
        <v>9720</v>
      </c>
      <c r="Q57" s="52"/>
      <c r="R57" s="52"/>
      <c r="S57" s="52"/>
      <c r="T57" s="52"/>
      <c r="U57" s="52"/>
      <c r="V57" s="53">
        <f t="shared" si="300"/>
        <v>36000</v>
      </c>
      <c r="W57" s="51">
        <f t="shared" si="301"/>
        <v>0</v>
      </c>
      <c r="X57" s="51">
        <f t="shared" si="302"/>
        <v>0</v>
      </c>
      <c r="Y57" s="51">
        <f t="shared" si="303"/>
        <v>0</v>
      </c>
      <c r="Z57" s="51">
        <f t="shared" si="304"/>
        <v>0</v>
      </c>
      <c r="AA57" s="51">
        <f t="shared" si="305"/>
        <v>36000</v>
      </c>
      <c r="AB57" s="51">
        <f t="shared" si="306"/>
        <v>36000</v>
      </c>
      <c r="AC57" s="51">
        <f t="shared" si="307"/>
        <v>720</v>
      </c>
      <c r="AD57" s="51">
        <f t="shared" si="308"/>
        <v>720</v>
      </c>
      <c r="AE57" s="51">
        <f t="shared" si="309"/>
        <v>25560</v>
      </c>
      <c r="AF57" s="51">
        <f t="shared" si="310"/>
        <v>25560</v>
      </c>
      <c r="AG57" s="51">
        <f t="shared" si="311"/>
        <v>10440</v>
      </c>
      <c r="AH57" s="54">
        <f t="shared" si="312"/>
        <v>0</v>
      </c>
      <c r="AI57" s="55">
        <f t="shared" si="313"/>
        <v>0</v>
      </c>
      <c r="AJ57" s="56">
        <f>IF(AND($E57&lt;&gt;0,$F57&gt;0,YEAR($F57)&gt;=Preisindex!$A$6,YEAR(AE$4)&gt;=YEAR($F57),AND($K57&lt;&gt;"a",$K57&lt;&gt;"b",$K57&lt;&gt;"g",$K57&lt;&gt;"k")),1,IF(AND($E57&lt;&gt;0,$F57&gt;0,YEAR($F57)&gt;=Preisindex!$A$6,YEAR(AE$4)&gt;=YEAR($F57),$K57="a"),ROUND(VLOOKUP(AJ$4,Preisindex,5,FALSE)/VLOOKUP(YEAR($F57),Preisindex,5,FALSE),2),IF(AND($E57&lt;&gt;0,$F57&gt;0,YEAR($F57)&gt;=Preisindex!$A$6,YEAR(AE$4)&gt;=YEAR($F57),$K57="b"),ROUND(VLOOKUP(AJ$4,Preisindex,3,FALSE)/VLOOKUP(YEAR($F57),Preisindex,3,FALSE),2),IF(AND($E57&lt;&gt;0,$F57&gt;0,YEAR($F57)&gt;=Preisindex!$A$6,YEAR(AE$4)&gt;=YEAR($F57),$K57="g"),ROUND(VLOOKUP(AJ$4,Preisindex,4,FALSE)/VLOOKUP(YEAR($F57),Preisindex,4,FALSE),2),IF(AND($E57&lt;&gt;0,$F57&gt;0,YEAR($F57)&gt;=Preisindex!$A$6,YEAR(AE$4)&gt;=YEAR($F57),$K57="k"),ROUND(VLOOKUP(AJ$4,Preisindex,2,FALSE)/VLOOKUP(YEAR($F57),Preisindex,2,FALSE),2),0)))))</f>
        <v>1.25</v>
      </c>
      <c r="AK57" s="56">
        <f>IF(AND($E57&lt;&gt;0,$F57&gt;0,YEAR($F57)&lt;Preisindex!$A$6,YEAR(AE$4)&gt;=YEAR($F57),AND($K57&lt;&gt;"a",$K57&lt;&gt;"b",$K57&lt;&gt;"g",$K57&lt;&gt;"k")),1,IF(AND($E57&lt;&gt;0,$F57&gt;0,YEAR($F57)&lt;Preisindex!$A$6,YEAR(AE$4)&gt;=YEAR($F57),$K57="a"),ROUND(VLOOKUP(AJ$4,Preisindex,5,FALSE)/VLOOKUP(Preisindex!$A$6,Preisindex,5,FALSE),2),IF(AND($E57&lt;&gt;0,$F57&gt;0,YEAR($F57)&lt;Preisindex!$A$6,YEAR(AE$4)&gt;=YEAR($F57),$K57="b"),ROUND(VLOOKUP(AJ$4,Preisindex,3,FALSE)/VLOOKUP(Preisindex!$A$6,Preisindex,3,FALSE),2),IF(AND($E57&lt;&gt;0,$F57&gt;0,YEAR($F57)&lt;Preisindex!$A$6,YEAR(AE$4)&gt;=YEAR($F57),$K57="g"),ROUND(VLOOKUP(AJ$4,Preisindex,4,FALSE)/VLOOKUP(Preisindex!$A$6,Preisindex,4,FALSE),2),IF(AND($E57&lt;&gt;0,$F57&gt;0,YEAR($F57)&lt;Preisindex!$A$6,YEAR(AE$4)&gt;=YEAR($F57),$K57="k"),ROUND(VLOOKUP(AJ$4,Preisindex,2,FALSE)/VLOOKUP(Preisindex!$A$6,Preisindex,2,FALSE),2),0)))))</f>
        <v>0</v>
      </c>
      <c r="AL57" s="51">
        <f>IF(AND($E57&lt;&gt;0,$F57&gt;0,YEAR($F57)&lt;=AJ$4,YEAR($F57)&gt;=Preisindex!$A$6),ROUND($E57*AJ57,2),IF(AND($E57&lt;&gt;0,$F57&gt;0,YEAR($F57)&lt;=AJ$4,YEAR($F57)&lt;Preisindex!$A$6),ROUND($E57*AK57,2),0))</f>
        <v>45000</v>
      </c>
      <c r="AM57" s="53">
        <f t="shared" si="314"/>
        <v>900</v>
      </c>
      <c r="AN57" s="51">
        <f t="shared" si="359"/>
        <v>0</v>
      </c>
      <c r="AO57" s="51">
        <f t="shared" si="317"/>
        <v>0</v>
      </c>
      <c r="AP57" s="51">
        <f t="shared" si="146"/>
        <v>0</v>
      </c>
      <c r="AQ57" s="51">
        <f t="shared" si="318"/>
        <v>0</v>
      </c>
      <c r="AR57" s="51">
        <f t="shared" si="148"/>
        <v>36000</v>
      </c>
      <c r="AS57" s="51">
        <f t="shared" si="319"/>
        <v>36000</v>
      </c>
      <c r="AT57" s="51">
        <f t="shared" si="150"/>
        <v>720</v>
      </c>
      <c r="AU57" s="51">
        <f t="shared" si="320"/>
        <v>720</v>
      </c>
      <c r="AV57" s="51">
        <f t="shared" si="152"/>
        <v>24840</v>
      </c>
      <c r="AW57" s="51">
        <f t="shared" si="321"/>
        <v>24840</v>
      </c>
      <c r="AX57" s="51">
        <f t="shared" si="154"/>
        <v>11160</v>
      </c>
      <c r="AY57" s="54">
        <f t="shared" si="155"/>
        <v>0</v>
      </c>
      <c r="AZ57" s="55">
        <f t="shared" si="156"/>
        <v>0</v>
      </c>
      <c r="BA57" s="56">
        <f>IF(AND($E57&lt;&gt;0,$F57&gt;0,YEAR($F57)&gt;=Preisindex!$A$6,YEAR(AV$4)&gt;=YEAR($F57),AND($K57&lt;&gt;"a",$K57&lt;&gt;"b",$K57&lt;&gt;"g",$K57&lt;&gt;"k")),1,IF(AND($E57&lt;&gt;0,$F57&gt;0,YEAR($F57)&gt;=Preisindex!$A$6,YEAR(AV$4)&gt;=YEAR($F57),$K57="a"),ROUND(VLOOKUP(BA$4,Preisindex,5,FALSE)/VLOOKUP(YEAR($F57),Preisindex,5,FALSE),2),IF(AND($E57&lt;&gt;0,$F57&gt;0,YEAR($F57)&gt;=Preisindex!$A$6,YEAR(AV$4)&gt;=YEAR($F57),$K57="b"),ROUND(VLOOKUP(BA$4,Preisindex,3,FALSE)/VLOOKUP(YEAR($F57),Preisindex,3,FALSE),2),IF(AND($E57&lt;&gt;0,$F57&gt;0,YEAR($F57)&gt;=Preisindex!$A$6,YEAR(AV$4)&gt;=YEAR($F57),$K57="g"),ROUND(VLOOKUP(BA$4,Preisindex,4,FALSE)/VLOOKUP(YEAR($F57),Preisindex,4,FALSE),2),IF(AND($E57&lt;&gt;0,$F57&gt;0,YEAR($F57)&gt;=Preisindex!$A$6,YEAR(AV$4)&gt;=YEAR($F57),$K57="k"),ROUND(VLOOKUP(BA$4,Preisindex,2,FALSE)/VLOOKUP(YEAR($F57),Preisindex,2,FALSE),2),0)))))</f>
        <v>1.28</v>
      </c>
      <c r="BB57" s="56">
        <f>IF(AND($E57&lt;&gt;0,$F57&gt;0,YEAR($F57)&lt;Preisindex!$A$6,YEAR(AV$4)&gt;=YEAR($F57),AND($K57&lt;&gt;"a",$K57&lt;&gt;"b",$K57&lt;&gt;"g",$K57&lt;&gt;"k")),1,IF(AND($E57&lt;&gt;0,$F57&gt;0,YEAR($F57)&lt;Preisindex!$A$6,YEAR(AV$4)&gt;=YEAR($F57),$K57="a"),ROUND(VLOOKUP(BA$4,Preisindex,5,FALSE)/VLOOKUP(Preisindex!$A$6,Preisindex,5,FALSE),2),IF(AND($E57&lt;&gt;0,$F57&gt;0,YEAR($F57)&lt;Preisindex!$A$6,YEAR(AV$4)&gt;=YEAR($F57),$K57="b"),ROUND(VLOOKUP(BA$4,Preisindex,3,FALSE)/VLOOKUP(Preisindex!$A$6,Preisindex,3,FALSE),2),IF(AND($E57&lt;&gt;0,$F57&gt;0,YEAR($F57)&lt;Preisindex!$A$6,YEAR(AV$4)&gt;=YEAR($F57),$K57="g"),ROUND(VLOOKUP(BA$4,Preisindex,4,FALSE)/VLOOKUP(Preisindex!$A$6,Preisindex,4,FALSE),2),IF(AND($E57&lt;&gt;0,$F57&gt;0,YEAR($F57)&lt;Preisindex!$A$6,YEAR(AV$4)&gt;=YEAR($F57),$K57="k"),ROUND(VLOOKUP(BA$4,Preisindex,2,FALSE)/VLOOKUP(Preisindex!$A$6,Preisindex,2,FALSE),2),0)))))</f>
        <v>0</v>
      </c>
      <c r="BC57" s="51">
        <f>IF(AND($E57&lt;&gt;0,$F57&gt;0,YEAR($F57)&lt;=BA$4,YEAR($F57)&gt;=Preisindex!$A$6),ROUND($E57*BA57,2),IF(AND($E57&lt;&gt;0,$F57&gt;0,YEAR($F57)&lt;=BA$4,YEAR($F57)&lt;Preisindex!$A$6),ROUND($E57*BB57,2),0))</f>
        <v>46080</v>
      </c>
      <c r="BD57" s="53">
        <f t="shared" si="157"/>
        <v>921.6</v>
      </c>
      <c r="BE57" s="51">
        <f t="shared" si="359"/>
        <v>0</v>
      </c>
      <c r="BF57" s="51">
        <f t="shared" si="322"/>
        <v>0</v>
      </c>
      <c r="BG57" s="51">
        <f t="shared" si="160"/>
        <v>0</v>
      </c>
      <c r="BH57" s="51">
        <f t="shared" si="323"/>
        <v>0</v>
      </c>
      <c r="BI57" s="51">
        <f t="shared" si="162"/>
        <v>36000</v>
      </c>
      <c r="BJ57" s="51">
        <f t="shared" si="324"/>
        <v>36000</v>
      </c>
      <c r="BK57" s="51">
        <f t="shared" si="164"/>
        <v>720</v>
      </c>
      <c r="BL57" s="51">
        <f t="shared" si="325"/>
        <v>720</v>
      </c>
      <c r="BM57" s="51">
        <f t="shared" si="166"/>
        <v>24120</v>
      </c>
      <c r="BN57" s="51">
        <f t="shared" si="326"/>
        <v>24120</v>
      </c>
      <c r="BO57" s="51">
        <f t="shared" si="168"/>
        <v>11880</v>
      </c>
      <c r="BP57" s="54">
        <f t="shared" si="169"/>
        <v>0</v>
      </c>
      <c r="BQ57" s="55">
        <f t="shared" si="170"/>
        <v>0</v>
      </c>
      <c r="BR57" s="56">
        <f>IF(AND($E57&lt;&gt;0,$F57&gt;0,YEAR($F57)&gt;=Preisindex!$A$6,YEAR(BM$4)&gt;=YEAR($F57),AND($K57&lt;&gt;"a",$K57&lt;&gt;"b",$K57&lt;&gt;"g",$K57&lt;&gt;"k")),1,IF(AND($E57&lt;&gt;0,$F57&gt;0,YEAR($F57)&gt;=Preisindex!$A$6,YEAR(BM$4)&gt;=YEAR($F57),$K57="a"),ROUND(VLOOKUP(BR$4,Preisindex,5,FALSE)/VLOOKUP(YEAR($F57),Preisindex,5,FALSE),2),IF(AND($E57&lt;&gt;0,$F57&gt;0,YEAR($F57)&gt;=Preisindex!$A$6,YEAR(BM$4)&gt;=YEAR($F57),$K57="b"),ROUND(VLOOKUP(BR$4,Preisindex,3,FALSE)/VLOOKUP(YEAR($F57),Preisindex,3,FALSE),2),IF(AND($E57&lt;&gt;0,$F57&gt;0,YEAR($F57)&gt;=Preisindex!$A$6,YEAR(BM$4)&gt;=YEAR($F57),$K57="g"),ROUND(VLOOKUP(BR$4,Preisindex,4,FALSE)/VLOOKUP(YEAR($F57),Preisindex,4,FALSE),2),IF(AND($E57&lt;&gt;0,$F57&gt;0,YEAR($F57)&gt;=Preisindex!$A$6,YEAR(BM$4)&gt;=YEAR($F57),$K57="k"),ROUND(VLOOKUP(BR$4,Preisindex,2,FALSE)/VLOOKUP(YEAR($F57),Preisindex,2,FALSE),2),0)))))</f>
        <v>1.3</v>
      </c>
      <c r="BS57" s="56">
        <f>IF(AND($E57&lt;&gt;0,$F57&gt;0,YEAR($F57)&lt;Preisindex!$A$6,YEAR(BM$4)&gt;=YEAR($F57),AND($K57&lt;&gt;"a",$K57&lt;&gt;"b",$K57&lt;&gt;"g",$K57&lt;&gt;"k")),1,IF(AND($E57&lt;&gt;0,$F57&gt;0,YEAR($F57)&lt;Preisindex!$A$6,YEAR(BM$4)&gt;=YEAR($F57),$K57="a"),ROUND(VLOOKUP(BR$4,Preisindex,5,FALSE)/VLOOKUP(Preisindex!$A$6,Preisindex,5,FALSE),2),IF(AND($E57&lt;&gt;0,$F57&gt;0,YEAR($F57)&lt;Preisindex!$A$6,YEAR(BM$4)&gt;=YEAR($F57),$K57="b"),ROUND(VLOOKUP(BR$4,Preisindex,3,FALSE)/VLOOKUP(Preisindex!$A$6,Preisindex,3,FALSE),2),IF(AND($E57&lt;&gt;0,$F57&gt;0,YEAR($F57)&lt;Preisindex!$A$6,YEAR(BM$4)&gt;=YEAR($F57),$K57="g"),ROUND(VLOOKUP(BR$4,Preisindex,4,FALSE)/VLOOKUP(Preisindex!$A$6,Preisindex,4,FALSE),2),IF(AND($E57&lt;&gt;0,$F57&gt;0,YEAR($F57)&lt;Preisindex!$A$6,YEAR(BM$4)&gt;=YEAR($F57),$K57="k"),ROUND(VLOOKUP(BR$4,Preisindex,2,FALSE)/VLOOKUP(Preisindex!$A$6,Preisindex,2,FALSE),2),0)))))</f>
        <v>0</v>
      </c>
      <c r="BT57" s="51">
        <f>IF(AND($E57&lt;&gt;0,$F57&gt;0,YEAR($F57)&lt;=BR$4,YEAR($F57)&gt;=Preisindex!$A$6),ROUND($E57*BR57,2),IF(AND($E57&lt;&gt;0,$F57&gt;0,YEAR($F57)&lt;=BR$4,YEAR($F57)&lt;Preisindex!$A$6),ROUND($E57*BS57,2),0))</f>
        <v>46800</v>
      </c>
      <c r="BU57" s="53">
        <f t="shared" si="171"/>
        <v>936</v>
      </c>
      <c r="BV57" s="51">
        <f t="shared" si="359"/>
        <v>0</v>
      </c>
      <c r="BW57" s="51">
        <f t="shared" si="327"/>
        <v>0</v>
      </c>
      <c r="BX57" s="51">
        <f t="shared" si="174"/>
        <v>0</v>
      </c>
      <c r="BY57" s="51">
        <f t="shared" si="328"/>
        <v>0</v>
      </c>
      <c r="BZ57" s="51">
        <f t="shared" si="176"/>
        <v>36000</v>
      </c>
      <c r="CA57" s="51">
        <f t="shared" si="329"/>
        <v>36000</v>
      </c>
      <c r="CB57" s="51">
        <f t="shared" si="178"/>
        <v>720</v>
      </c>
      <c r="CC57" s="51">
        <f t="shared" si="330"/>
        <v>720</v>
      </c>
      <c r="CD57" s="51">
        <f t="shared" si="180"/>
        <v>23400</v>
      </c>
      <c r="CE57" s="51">
        <f t="shared" si="331"/>
        <v>23400</v>
      </c>
      <c r="CF57" s="51">
        <f t="shared" si="182"/>
        <v>12600</v>
      </c>
      <c r="CG57" s="54">
        <f t="shared" si="183"/>
        <v>0</v>
      </c>
      <c r="CH57" s="55">
        <f t="shared" si="184"/>
        <v>0</v>
      </c>
      <c r="CI57" s="56">
        <f>IF(AND($E57&lt;&gt;0,$F57&gt;0,YEAR($F57)&gt;=Preisindex!$A$6,YEAR(CD$4)&gt;=YEAR($F57),AND($K57&lt;&gt;"a",$K57&lt;&gt;"b",$K57&lt;&gt;"g",$K57&lt;&gt;"k")),1,IF(AND($E57&lt;&gt;0,$F57&gt;0,YEAR($F57)&gt;=Preisindex!$A$6,YEAR(CD$4)&gt;=YEAR($F57),$K57="a"),ROUND(VLOOKUP(CI$4,Preisindex,5,FALSE)/VLOOKUP(YEAR($F57),Preisindex,5,FALSE),2),IF(AND($E57&lt;&gt;0,$F57&gt;0,YEAR($F57)&gt;=Preisindex!$A$6,YEAR(CD$4)&gt;=YEAR($F57),$K57="b"),ROUND(VLOOKUP(CI$4,Preisindex,3,FALSE)/VLOOKUP(YEAR($F57),Preisindex,3,FALSE),2),IF(AND($E57&lt;&gt;0,$F57&gt;0,YEAR($F57)&gt;=Preisindex!$A$6,YEAR(CD$4)&gt;=YEAR($F57),$K57="g"),ROUND(VLOOKUP(CI$4,Preisindex,4,FALSE)/VLOOKUP(YEAR($F57),Preisindex,4,FALSE),2),IF(AND($E57&lt;&gt;0,$F57&gt;0,YEAR($F57)&gt;=Preisindex!$A$6,YEAR(CD$4)&gt;=YEAR($F57),$K57="k"),ROUND(VLOOKUP(CI$4,Preisindex,2,FALSE)/VLOOKUP(YEAR($F57),Preisindex,2,FALSE),2),0)))))</f>
        <v>1.31</v>
      </c>
      <c r="CJ57" s="56">
        <f>IF(AND($E57&lt;&gt;0,$F57&gt;0,YEAR($F57)&lt;Preisindex!$A$6,YEAR(CD$4)&gt;=YEAR($F57),AND($K57&lt;&gt;"a",$K57&lt;&gt;"b",$K57&lt;&gt;"g",$K57&lt;&gt;"k")),1,IF(AND($E57&lt;&gt;0,$F57&gt;0,YEAR($F57)&lt;Preisindex!$A$6,YEAR(CD$4)&gt;=YEAR($F57),$K57="a"),ROUND(VLOOKUP(CI$4,Preisindex,5,FALSE)/VLOOKUP(Preisindex!$A$6,Preisindex,5,FALSE),2),IF(AND($E57&lt;&gt;0,$F57&gt;0,YEAR($F57)&lt;Preisindex!$A$6,YEAR(CD$4)&gt;=YEAR($F57),$K57="b"),ROUND(VLOOKUP(CI$4,Preisindex,3,FALSE)/VLOOKUP(Preisindex!$A$6,Preisindex,3,FALSE),2),IF(AND($E57&lt;&gt;0,$F57&gt;0,YEAR($F57)&lt;Preisindex!$A$6,YEAR(CD$4)&gt;=YEAR($F57),$K57="g"),ROUND(VLOOKUP(CI$4,Preisindex,4,FALSE)/VLOOKUP(Preisindex!$A$6,Preisindex,4,FALSE),2),IF(AND($E57&lt;&gt;0,$F57&gt;0,YEAR($F57)&lt;Preisindex!$A$6,YEAR(CD$4)&gt;=YEAR($F57),$K57="k"),ROUND(VLOOKUP(CI$4,Preisindex,2,FALSE)/VLOOKUP(Preisindex!$A$6,Preisindex,2,FALSE),2),0)))))</f>
        <v>0</v>
      </c>
      <c r="CK57" s="51">
        <f>IF(AND($E57&lt;&gt;0,$F57&gt;0,YEAR($F57)&lt;=CI$4,YEAR($F57)&gt;=Preisindex!$A$6),ROUND($E57*CI57,2),IF(AND($E57&lt;&gt;0,$F57&gt;0,YEAR($F57)&lt;=CI$4,YEAR($F57)&lt;Preisindex!$A$6),ROUND($E57*CJ57,2),0))</f>
        <v>47160</v>
      </c>
      <c r="CL57" s="53">
        <f t="shared" si="185"/>
        <v>943.2</v>
      </c>
      <c r="CM57" s="51">
        <f t="shared" si="359"/>
        <v>0</v>
      </c>
      <c r="CN57" s="51">
        <f t="shared" si="332"/>
        <v>0</v>
      </c>
      <c r="CO57" s="51">
        <f t="shared" si="188"/>
        <v>0</v>
      </c>
      <c r="CP57" s="51">
        <f t="shared" si="333"/>
        <v>0</v>
      </c>
      <c r="CQ57" s="51">
        <f t="shared" si="190"/>
        <v>36000</v>
      </c>
      <c r="CR57" s="51">
        <f t="shared" si="334"/>
        <v>36000</v>
      </c>
      <c r="CS57" s="51">
        <f t="shared" si="192"/>
        <v>720</v>
      </c>
      <c r="CT57" s="51">
        <f t="shared" si="335"/>
        <v>720</v>
      </c>
      <c r="CU57" s="51">
        <f t="shared" si="194"/>
        <v>22680</v>
      </c>
      <c r="CV57" s="51">
        <f t="shared" si="336"/>
        <v>22680</v>
      </c>
      <c r="CW57" s="51">
        <f t="shared" si="196"/>
        <v>13320</v>
      </c>
      <c r="CX57" s="54">
        <f t="shared" si="197"/>
        <v>0</v>
      </c>
      <c r="CY57" s="55">
        <f t="shared" si="198"/>
        <v>0</v>
      </c>
      <c r="CZ57" s="56">
        <f>IF(AND($E57&lt;&gt;0,$F57&gt;0,YEAR($F57)&gt;=Preisindex!$A$6,YEAR(CU$4)&gt;=YEAR($F57),AND($K57&lt;&gt;"a",$K57&lt;&gt;"b",$K57&lt;&gt;"g",$K57&lt;&gt;"k")),1,IF(AND($E57&lt;&gt;0,$F57&gt;0,YEAR($F57)&gt;=Preisindex!$A$6,YEAR(CU$4)&gt;=YEAR($F57),$K57="a"),ROUND(VLOOKUP(CZ$4,Preisindex,5,FALSE)/VLOOKUP(YEAR($F57),Preisindex,5,FALSE),2),IF(AND($E57&lt;&gt;0,$F57&gt;0,YEAR($F57)&gt;=Preisindex!$A$6,YEAR(CU$4)&gt;=YEAR($F57),$K57="b"),ROUND(VLOOKUP(CZ$4,Preisindex,3,FALSE)/VLOOKUP(YEAR($F57),Preisindex,3,FALSE),2),IF(AND($E57&lt;&gt;0,$F57&gt;0,YEAR($F57)&gt;=Preisindex!$A$6,YEAR(CU$4)&gt;=YEAR($F57),$K57="g"),ROUND(VLOOKUP(CZ$4,Preisindex,4,FALSE)/VLOOKUP(YEAR($F57),Preisindex,4,FALSE),2),IF(AND($E57&lt;&gt;0,$F57&gt;0,YEAR($F57)&gt;=Preisindex!$A$6,YEAR(CU$4)&gt;=YEAR($F57),$K57="k"),ROUND(VLOOKUP(CZ$4,Preisindex,2,FALSE)/VLOOKUP(YEAR($F57),Preisindex,2,FALSE),2),0)))))</f>
        <v>1.34</v>
      </c>
      <c r="DA57" s="56">
        <f>IF(AND($E57&lt;&gt;0,$F57&gt;0,YEAR($F57)&lt;Preisindex!$A$6,YEAR(CU$4)&gt;=YEAR($F57),AND($K57&lt;&gt;"a",$K57&lt;&gt;"b",$K57&lt;&gt;"g",$K57&lt;&gt;"k")),1,IF(AND($E57&lt;&gt;0,$F57&gt;0,YEAR($F57)&lt;Preisindex!$A$6,YEAR(CU$4)&gt;=YEAR($F57),$K57="a"),ROUND(VLOOKUP(CZ$4,Preisindex,5,FALSE)/VLOOKUP(Preisindex!$A$6,Preisindex,5,FALSE),2),IF(AND($E57&lt;&gt;0,$F57&gt;0,YEAR($F57)&lt;Preisindex!$A$6,YEAR(CU$4)&gt;=YEAR($F57),$K57="b"),ROUND(VLOOKUP(CZ$4,Preisindex,3,FALSE)/VLOOKUP(Preisindex!$A$6,Preisindex,3,FALSE),2),IF(AND($E57&lt;&gt;0,$F57&gt;0,YEAR($F57)&lt;Preisindex!$A$6,YEAR(CU$4)&gt;=YEAR($F57),$K57="g"),ROUND(VLOOKUP(CZ$4,Preisindex,4,FALSE)/VLOOKUP(Preisindex!$A$6,Preisindex,4,FALSE),2),IF(AND($E57&lt;&gt;0,$F57&gt;0,YEAR($F57)&lt;Preisindex!$A$6,YEAR(CU$4)&gt;=YEAR($F57),$K57="k"),ROUND(VLOOKUP(CZ$4,Preisindex,2,FALSE)/VLOOKUP(Preisindex!$A$6,Preisindex,2,FALSE),2),0)))))</f>
        <v>0</v>
      </c>
      <c r="DB57" s="51">
        <f>IF(AND($E57&lt;&gt;0,$F57&gt;0,YEAR($F57)&lt;=CZ$4,YEAR($F57)&gt;=Preisindex!$A$6),ROUND($E57*CZ57,2),IF(AND($E57&lt;&gt;0,$F57&gt;0,YEAR($F57)&lt;=CZ$4,YEAR($F57)&lt;Preisindex!$A$6),ROUND($E57*DA57,2),0))</f>
        <v>48240</v>
      </c>
      <c r="DC57" s="53">
        <f t="shared" si="199"/>
        <v>964.80000000000007</v>
      </c>
      <c r="DD57" s="51">
        <f t="shared" si="360"/>
        <v>0</v>
      </c>
      <c r="DE57" s="51">
        <f t="shared" si="337"/>
        <v>0</v>
      </c>
      <c r="DF57" s="51">
        <f t="shared" si="202"/>
        <v>0</v>
      </c>
      <c r="DG57" s="51">
        <f t="shared" si="338"/>
        <v>0</v>
      </c>
      <c r="DH57" s="51">
        <f t="shared" si="204"/>
        <v>36000</v>
      </c>
      <c r="DI57" s="51">
        <f t="shared" si="339"/>
        <v>36000</v>
      </c>
      <c r="DJ57" s="51">
        <f t="shared" si="206"/>
        <v>720</v>
      </c>
      <c r="DK57" s="51">
        <f t="shared" si="340"/>
        <v>720</v>
      </c>
      <c r="DL57" s="51">
        <f t="shared" si="208"/>
        <v>21960</v>
      </c>
      <c r="DM57" s="51">
        <f t="shared" si="341"/>
        <v>21960</v>
      </c>
      <c r="DN57" s="51">
        <f t="shared" si="210"/>
        <v>14040</v>
      </c>
      <c r="DO57" s="54">
        <f t="shared" si="211"/>
        <v>0</v>
      </c>
      <c r="DP57" s="55">
        <f t="shared" si="212"/>
        <v>0</v>
      </c>
      <c r="DQ57" s="56">
        <f>IF(AND($E57&lt;&gt;0,$F57&gt;0,YEAR($F57)&gt;=Preisindex!$A$6,YEAR(DL$4)&gt;=YEAR($F57),AND($K57&lt;&gt;"a",$K57&lt;&gt;"b",$K57&lt;&gt;"g",$K57&lt;&gt;"k")),1,IF(AND($E57&lt;&gt;0,$F57&gt;0,YEAR($F57)&gt;=Preisindex!$A$6,YEAR(DL$4)&gt;=YEAR($F57),$K57="a"),ROUND(VLOOKUP(DQ$4,Preisindex,5,FALSE)/VLOOKUP(YEAR($F57),Preisindex,5,FALSE),2),IF(AND($E57&lt;&gt;0,$F57&gt;0,YEAR($F57)&gt;=Preisindex!$A$6,YEAR(DL$4)&gt;=YEAR($F57),$K57="b"),ROUND(VLOOKUP(DQ$4,Preisindex,3,FALSE)/VLOOKUP(YEAR($F57),Preisindex,3,FALSE),2),IF(AND($E57&lt;&gt;0,$F57&gt;0,YEAR($F57)&gt;=Preisindex!$A$6,YEAR(DL$4)&gt;=YEAR($F57),$K57="g"),ROUND(VLOOKUP(DQ$4,Preisindex,4,FALSE)/VLOOKUP(YEAR($F57),Preisindex,4,FALSE),2),IF(AND($E57&lt;&gt;0,$F57&gt;0,YEAR($F57)&gt;=Preisindex!$A$6,YEAR(DL$4)&gt;=YEAR($F57),$K57="k"),ROUND(VLOOKUP(DQ$4,Preisindex,2,FALSE)/VLOOKUP(YEAR($F57),Preisindex,2,FALSE),2),0)))))</f>
        <v>1.38</v>
      </c>
      <c r="DR57" s="56">
        <f>IF(AND($E57&lt;&gt;0,$F57&gt;0,YEAR($F57)&lt;Preisindex!$A$6,YEAR(DL$4)&gt;=YEAR($F57),AND($K57&lt;&gt;"a",$K57&lt;&gt;"b",$K57&lt;&gt;"g",$K57&lt;&gt;"k")),1,IF(AND($E57&lt;&gt;0,$F57&gt;0,YEAR($F57)&lt;Preisindex!$A$6,YEAR(DL$4)&gt;=YEAR($F57),$K57="a"),ROUND(VLOOKUP(DQ$4,Preisindex,5,FALSE)/VLOOKUP(Preisindex!$A$6,Preisindex,5,FALSE),2),IF(AND($E57&lt;&gt;0,$F57&gt;0,YEAR($F57)&lt;Preisindex!$A$6,YEAR(DL$4)&gt;=YEAR($F57),$K57="b"),ROUND(VLOOKUP(DQ$4,Preisindex,3,FALSE)/VLOOKUP(Preisindex!$A$6,Preisindex,3,FALSE),2),IF(AND($E57&lt;&gt;0,$F57&gt;0,YEAR($F57)&lt;Preisindex!$A$6,YEAR(DL$4)&gt;=YEAR($F57),$K57="g"),ROUND(VLOOKUP(DQ$4,Preisindex,4,FALSE)/VLOOKUP(Preisindex!$A$6,Preisindex,4,FALSE),2),IF(AND($E57&lt;&gt;0,$F57&gt;0,YEAR($F57)&lt;Preisindex!$A$6,YEAR(DL$4)&gt;=YEAR($F57),$K57="k"),ROUND(VLOOKUP(DQ$4,Preisindex,2,FALSE)/VLOOKUP(Preisindex!$A$6,Preisindex,2,FALSE),2),0)))))</f>
        <v>0</v>
      </c>
      <c r="DS57" s="51">
        <f>IF(AND($E57&lt;&gt;0,$F57&gt;0,YEAR($F57)&lt;=DQ$4,YEAR($F57)&gt;=Preisindex!$A$6),ROUND($E57*DQ57,2),IF(AND($E57&lt;&gt;0,$F57&gt;0,YEAR($F57)&lt;=DQ$4,YEAR($F57)&lt;Preisindex!$A$6),ROUND($E57*DR57,2),0))</f>
        <v>49680</v>
      </c>
      <c r="DT57" s="53">
        <f t="shared" si="213"/>
        <v>993.6</v>
      </c>
      <c r="DU57" s="51">
        <f t="shared" si="360"/>
        <v>0</v>
      </c>
      <c r="DV57" s="51">
        <f t="shared" si="342"/>
        <v>0</v>
      </c>
      <c r="DW57" s="51">
        <f t="shared" si="216"/>
        <v>0</v>
      </c>
      <c r="DX57" s="51">
        <f t="shared" si="343"/>
        <v>0</v>
      </c>
      <c r="DY57" s="51">
        <f t="shared" si="218"/>
        <v>36000</v>
      </c>
      <c r="DZ57" s="51">
        <f t="shared" si="344"/>
        <v>36000</v>
      </c>
      <c r="EA57" s="51">
        <f t="shared" si="220"/>
        <v>720</v>
      </c>
      <c r="EB57" s="51">
        <f t="shared" si="345"/>
        <v>720</v>
      </c>
      <c r="EC57" s="51">
        <f t="shared" si="222"/>
        <v>21240</v>
      </c>
      <c r="ED57" s="51">
        <f t="shared" si="346"/>
        <v>21240</v>
      </c>
      <c r="EE57" s="51">
        <f t="shared" si="224"/>
        <v>14760</v>
      </c>
      <c r="EF57" s="54">
        <f t="shared" si="225"/>
        <v>0</v>
      </c>
      <c r="EG57" s="55">
        <f t="shared" si="226"/>
        <v>0</v>
      </c>
      <c r="EH57" s="56">
        <f>IF(AND($E57&lt;&gt;0,$F57&gt;0,YEAR($F57)&gt;=Preisindex!$A$6,YEAR(EC$4)&gt;=YEAR($F57),AND($K57&lt;&gt;"a",$K57&lt;&gt;"b",$K57&lt;&gt;"g",$K57&lt;&gt;"k")),1,IF(AND($E57&lt;&gt;0,$F57&gt;0,YEAR($F57)&gt;=Preisindex!$A$6,YEAR(EC$4)&gt;=YEAR($F57),$K57="a"),ROUND(VLOOKUP(EH$4,Preisindex,5,FALSE)/VLOOKUP(YEAR($F57),Preisindex,5,FALSE),2),IF(AND($E57&lt;&gt;0,$F57&gt;0,YEAR($F57)&gt;=Preisindex!$A$6,YEAR(EC$4)&gt;=YEAR($F57),$K57="b"),ROUND(VLOOKUP(EH$4,Preisindex,3,FALSE)/VLOOKUP(YEAR($F57),Preisindex,3,FALSE),2),IF(AND($E57&lt;&gt;0,$F57&gt;0,YEAR($F57)&gt;=Preisindex!$A$6,YEAR(EC$4)&gt;=YEAR($F57),$K57="g"),ROUND(VLOOKUP(EH$4,Preisindex,4,FALSE)/VLOOKUP(YEAR($F57),Preisindex,4,FALSE),2),IF(AND($E57&lt;&gt;0,$F57&gt;0,YEAR($F57)&gt;=Preisindex!$A$6,YEAR(EC$4)&gt;=YEAR($F57),$K57="k"),ROUND(VLOOKUP(EH$4,Preisindex,2,FALSE)/VLOOKUP(YEAR($F57),Preisindex,2,FALSE),2),0)))))</f>
        <v>1.45</v>
      </c>
      <c r="EI57" s="56">
        <f>IF(AND($E57&lt;&gt;0,$F57&gt;0,YEAR($F57)&lt;Preisindex!$A$6,YEAR(EC$4)&gt;=YEAR($F57),AND($K57&lt;&gt;"a",$K57&lt;&gt;"b",$K57&lt;&gt;"g",$K57&lt;&gt;"k")),1,IF(AND($E57&lt;&gt;0,$F57&gt;0,YEAR($F57)&lt;Preisindex!$A$6,YEAR(EC$4)&gt;=YEAR($F57),$K57="a"),ROUND(VLOOKUP(EH$4,Preisindex,5,FALSE)/VLOOKUP(Preisindex!$A$6,Preisindex,5,FALSE),2),IF(AND($E57&lt;&gt;0,$F57&gt;0,YEAR($F57)&lt;Preisindex!$A$6,YEAR(EC$4)&gt;=YEAR($F57),$K57="b"),ROUND(VLOOKUP(EH$4,Preisindex,3,FALSE)/VLOOKUP(Preisindex!$A$6,Preisindex,3,FALSE),2),IF(AND($E57&lt;&gt;0,$F57&gt;0,YEAR($F57)&lt;Preisindex!$A$6,YEAR(EC$4)&gt;=YEAR($F57),$K57="g"),ROUND(VLOOKUP(EH$4,Preisindex,4,FALSE)/VLOOKUP(Preisindex!$A$6,Preisindex,4,FALSE),2),IF(AND($E57&lt;&gt;0,$F57&gt;0,YEAR($F57)&lt;Preisindex!$A$6,YEAR(EC$4)&gt;=YEAR($F57),$K57="k"),ROUND(VLOOKUP(EH$4,Preisindex,2,FALSE)/VLOOKUP(Preisindex!$A$6,Preisindex,2,FALSE),2),0)))))</f>
        <v>0</v>
      </c>
      <c r="EJ57" s="51">
        <f>IF(AND($E57&lt;&gt;0,$F57&gt;0,YEAR($F57)&lt;=EH$4,YEAR($F57)&gt;=Preisindex!$A$6),ROUND($E57*EH57,2),IF(AND($E57&lt;&gt;0,$F57&gt;0,YEAR($F57)&lt;=EH$4,YEAR($F57)&lt;Preisindex!$A$6),ROUND($E57*EI57,2),0))</f>
        <v>52200</v>
      </c>
      <c r="EK57" s="53">
        <f t="shared" si="227"/>
        <v>1044</v>
      </c>
      <c r="EL57" s="51">
        <f t="shared" si="360"/>
        <v>0</v>
      </c>
      <c r="EM57" s="51">
        <f t="shared" si="347"/>
        <v>0</v>
      </c>
      <c r="EN57" s="51">
        <f t="shared" si="230"/>
        <v>0</v>
      </c>
      <c r="EO57" s="51">
        <f t="shared" si="348"/>
        <v>0</v>
      </c>
      <c r="EP57" s="51">
        <f t="shared" si="232"/>
        <v>36000</v>
      </c>
      <c r="EQ57" s="51">
        <f t="shared" si="349"/>
        <v>36000</v>
      </c>
      <c r="ER57" s="51">
        <f t="shared" si="234"/>
        <v>720</v>
      </c>
      <c r="ES57" s="51">
        <f t="shared" si="350"/>
        <v>720</v>
      </c>
      <c r="ET57" s="51">
        <f t="shared" si="236"/>
        <v>20520</v>
      </c>
      <c r="EU57" s="51">
        <f t="shared" si="351"/>
        <v>20520</v>
      </c>
      <c r="EV57" s="51">
        <f t="shared" si="238"/>
        <v>15480</v>
      </c>
      <c r="EW57" s="54">
        <f t="shared" si="239"/>
        <v>0</v>
      </c>
      <c r="EX57" s="55">
        <f t="shared" si="240"/>
        <v>0</v>
      </c>
      <c r="EY57" s="56">
        <f>IF(AND($E57&lt;&gt;0,$F57&gt;0,YEAR($F57)&gt;=Preisindex!$A$6,YEAR(ET$4)&gt;=YEAR($F57),AND($K57&lt;&gt;"a",$K57&lt;&gt;"b",$K57&lt;&gt;"g",$K57&lt;&gt;"k")),1,IF(AND($E57&lt;&gt;0,$F57&gt;0,YEAR($F57)&gt;=Preisindex!$A$6,YEAR(ET$4)&gt;=YEAR($F57),$K57="a"),ROUND(VLOOKUP(EY$4,Preisindex,5,FALSE)/VLOOKUP(YEAR($F57),Preisindex,5,FALSE),2),IF(AND($E57&lt;&gt;0,$F57&gt;0,YEAR($F57)&gt;=Preisindex!$A$6,YEAR(ET$4)&gt;=YEAR($F57),$K57="b"),ROUND(VLOOKUP(EY$4,Preisindex,3,FALSE)/VLOOKUP(YEAR($F57),Preisindex,3,FALSE),2),IF(AND($E57&lt;&gt;0,$F57&gt;0,YEAR($F57)&gt;=Preisindex!$A$6,YEAR(ET$4)&gt;=YEAR($F57),$K57="g"),ROUND(VLOOKUP(EY$4,Preisindex,4,FALSE)/VLOOKUP(YEAR($F57),Preisindex,4,FALSE),2),IF(AND($E57&lt;&gt;0,$F57&gt;0,YEAR($F57)&gt;=Preisindex!$A$6,YEAR(ET$4)&gt;=YEAR($F57),$K57="k"),ROUND(VLOOKUP(EY$4,Preisindex,2,FALSE)/VLOOKUP(YEAR($F57),Preisindex,2,FALSE),2),0)))))</f>
        <v>1.45</v>
      </c>
      <c r="EZ57" s="56">
        <f>IF(AND($E57&lt;&gt;0,$F57&gt;0,YEAR($F57)&lt;Preisindex!$A$6,YEAR(ET$4)&gt;=YEAR($F57),AND($K57&lt;&gt;"a",$K57&lt;&gt;"b",$K57&lt;&gt;"g",$K57&lt;&gt;"k")),1,IF(AND($E57&lt;&gt;0,$F57&gt;0,YEAR($F57)&lt;Preisindex!$A$6,YEAR(ET$4)&gt;=YEAR($F57),$K57="a"),ROUND(VLOOKUP(EY$4,Preisindex,5,FALSE)/VLOOKUP(Preisindex!$A$6,Preisindex,5,FALSE),2),IF(AND($E57&lt;&gt;0,$F57&gt;0,YEAR($F57)&lt;Preisindex!$A$6,YEAR(ET$4)&gt;=YEAR($F57),$K57="b"),ROUND(VLOOKUP(EY$4,Preisindex,3,FALSE)/VLOOKUP(Preisindex!$A$6,Preisindex,3,FALSE),2),IF(AND($E57&lt;&gt;0,$F57&gt;0,YEAR($F57)&lt;Preisindex!$A$6,YEAR(ET$4)&gt;=YEAR($F57),$K57="g"),ROUND(VLOOKUP(EY$4,Preisindex,4,FALSE)/VLOOKUP(Preisindex!$A$6,Preisindex,4,FALSE),2),IF(AND($E57&lt;&gt;0,$F57&gt;0,YEAR($F57)&lt;Preisindex!$A$6,YEAR(ET$4)&gt;=YEAR($F57),$K57="k"),ROUND(VLOOKUP(EY$4,Preisindex,2,FALSE)/VLOOKUP(Preisindex!$A$6,Preisindex,2,FALSE),2),0)))))</f>
        <v>0</v>
      </c>
      <c r="FA57" s="51">
        <f>IF(AND($E57&lt;&gt;0,$F57&gt;0,YEAR($F57)&lt;=EY$4,YEAR($F57)&gt;=Preisindex!$A$6),ROUND($E57*EY57,2),IF(AND($E57&lt;&gt;0,$F57&gt;0,YEAR($F57)&lt;=EY$4,YEAR($F57)&lt;Preisindex!$A$6),ROUND($E57*EZ57,2),0))</f>
        <v>52200</v>
      </c>
      <c r="FB57" s="53">
        <f t="shared" si="241"/>
        <v>1044</v>
      </c>
      <c r="FC57" s="51">
        <f t="shared" si="360"/>
        <v>0</v>
      </c>
      <c r="FD57" s="51">
        <f t="shared" si="352"/>
        <v>0</v>
      </c>
      <c r="FE57" s="51">
        <f t="shared" si="244"/>
        <v>0</v>
      </c>
      <c r="FF57" s="51">
        <f t="shared" si="353"/>
        <v>0</v>
      </c>
      <c r="FG57" s="51">
        <f t="shared" si="246"/>
        <v>36000</v>
      </c>
      <c r="FH57" s="51">
        <f t="shared" si="354"/>
        <v>36000</v>
      </c>
      <c r="FI57" s="51">
        <f t="shared" si="248"/>
        <v>720</v>
      </c>
      <c r="FJ57" s="51">
        <f t="shared" si="355"/>
        <v>720</v>
      </c>
      <c r="FK57" s="51">
        <f t="shared" si="250"/>
        <v>19800</v>
      </c>
      <c r="FL57" s="51">
        <f t="shared" si="356"/>
        <v>19800</v>
      </c>
      <c r="FM57" s="51">
        <f t="shared" si="252"/>
        <v>16200</v>
      </c>
      <c r="FN57" s="54">
        <f t="shared" si="253"/>
        <v>0</v>
      </c>
      <c r="FO57" s="55">
        <f t="shared" si="254"/>
        <v>0</v>
      </c>
      <c r="FP57" s="56">
        <f>IF(AND($E57&lt;&gt;0,$F57&gt;0,YEAR($F57)&gt;=Preisindex!$A$6,YEAR(FK$4)&gt;=YEAR($F57),AND($K57&lt;&gt;"a",$K57&lt;&gt;"b",$K57&lt;&gt;"g",$K57&lt;&gt;"k")),1,IF(AND($E57&lt;&gt;0,$F57&gt;0,YEAR($F57)&gt;=Preisindex!$A$6,YEAR(FK$4)&gt;=YEAR($F57),$K57="a"),ROUND(VLOOKUP(FP$4,Preisindex,5,FALSE)/VLOOKUP(YEAR($F57),Preisindex,5,FALSE),2),IF(AND($E57&lt;&gt;0,$F57&gt;0,YEAR($F57)&gt;=Preisindex!$A$6,YEAR(FK$4)&gt;=YEAR($F57),$K57="b"),ROUND(VLOOKUP(FP$4,Preisindex,3,FALSE)/VLOOKUP(YEAR($F57),Preisindex,3,FALSE),2),IF(AND($E57&lt;&gt;0,$F57&gt;0,YEAR($F57)&gt;=Preisindex!$A$6,YEAR(FK$4)&gt;=YEAR($F57),$K57="g"),ROUND(VLOOKUP(FP$4,Preisindex,4,FALSE)/VLOOKUP(YEAR($F57),Preisindex,4,FALSE),2),IF(AND($E57&lt;&gt;0,$F57&gt;0,YEAR($F57)&gt;=Preisindex!$A$6,YEAR(FK$4)&gt;=YEAR($F57),$K57="k"),ROUND(VLOOKUP(FP$4,Preisindex,2,FALSE)/VLOOKUP(YEAR($F57),Preisindex,2,FALSE),2),0)))))</f>
        <v>1.45</v>
      </c>
      <c r="FQ57" s="56">
        <f>IF(AND($E57&lt;&gt;0,$F57&gt;0,YEAR($F57)&lt;Preisindex!$A$6,YEAR(FK$4)&gt;=YEAR($F57),AND($K57&lt;&gt;"a",$K57&lt;&gt;"b",$K57&lt;&gt;"g",$K57&lt;&gt;"k")),1,IF(AND($E57&lt;&gt;0,$F57&gt;0,YEAR($F57)&lt;Preisindex!$A$6,YEAR(FK$4)&gt;=YEAR($F57),$K57="a"),ROUND(VLOOKUP(FP$4,Preisindex,5,FALSE)/VLOOKUP(Preisindex!$A$6,Preisindex,5,FALSE),2),IF(AND($E57&lt;&gt;0,$F57&gt;0,YEAR($F57)&lt;Preisindex!$A$6,YEAR(FK$4)&gt;=YEAR($F57),$K57="b"),ROUND(VLOOKUP(FP$4,Preisindex,3,FALSE)/VLOOKUP(Preisindex!$A$6,Preisindex,3,FALSE),2),IF(AND($E57&lt;&gt;0,$F57&gt;0,YEAR($F57)&lt;Preisindex!$A$6,YEAR(FK$4)&gt;=YEAR($F57),$K57="g"),ROUND(VLOOKUP(FP$4,Preisindex,4,FALSE)/VLOOKUP(Preisindex!$A$6,Preisindex,4,FALSE),2),IF(AND($E57&lt;&gt;0,$F57&gt;0,YEAR($F57)&lt;Preisindex!$A$6,YEAR(FK$4)&gt;=YEAR($F57),$K57="k"),ROUND(VLOOKUP(FP$4,Preisindex,2,FALSE)/VLOOKUP(Preisindex!$A$6,Preisindex,2,FALSE),2),0)))))</f>
        <v>0</v>
      </c>
      <c r="FR57" s="51">
        <f>IF(AND($E57&lt;&gt;0,$F57&gt;0,YEAR($F57)&lt;=FP$4,YEAR($F57)&gt;=Preisindex!$A$6),ROUND($E57*FP57,2),IF(AND($E57&lt;&gt;0,$F57&gt;0,YEAR($F57)&lt;=FP$4,YEAR($F57)&lt;Preisindex!$A$6),ROUND($E57*FQ57,2),0))</f>
        <v>52200</v>
      </c>
      <c r="FS57" s="53">
        <f t="shared" si="255"/>
        <v>1044</v>
      </c>
    </row>
    <row r="58" spans="1:175" x14ac:dyDescent="0.3">
      <c r="A58" s="93">
        <v>2000</v>
      </c>
      <c r="B58" s="94" t="s">
        <v>244</v>
      </c>
      <c r="C58" s="94"/>
      <c r="D58" s="95" t="s">
        <v>63</v>
      </c>
      <c r="E58" s="99">
        <v>78000</v>
      </c>
      <c r="F58" s="97">
        <v>36708</v>
      </c>
      <c r="G58" s="98">
        <v>50</v>
      </c>
      <c r="H58" s="620"/>
      <c r="I58" s="621"/>
      <c r="J58" s="194"/>
      <c r="K58" s="630" t="s">
        <v>266</v>
      </c>
      <c r="L58" s="49">
        <f t="shared" si="296"/>
        <v>0.02</v>
      </c>
      <c r="M58" s="50">
        <f t="shared" si="297"/>
        <v>1560</v>
      </c>
      <c r="N58" s="51">
        <f t="shared" si="298"/>
        <v>60060</v>
      </c>
      <c r="O58" s="51"/>
      <c r="P58" s="51">
        <f t="shared" si="299"/>
        <v>17940</v>
      </c>
      <c r="Q58" s="52"/>
      <c r="R58" s="52"/>
      <c r="S58" s="52"/>
      <c r="T58" s="52"/>
      <c r="U58" s="52"/>
      <c r="V58" s="53">
        <f t="shared" si="300"/>
        <v>78000</v>
      </c>
      <c r="W58" s="51">
        <f t="shared" si="301"/>
        <v>0</v>
      </c>
      <c r="X58" s="51">
        <f t="shared" si="302"/>
        <v>0</v>
      </c>
      <c r="Y58" s="51">
        <f t="shared" si="303"/>
        <v>0</v>
      </c>
      <c r="Z58" s="51">
        <f t="shared" si="304"/>
        <v>0</v>
      </c>
      <c r="AA58" s="51">
        <f t="shared" si="305"/>
        <v>78000</v>
      </c>
      <c r="AB58" s="51">
        <f t="shared" si="306"/>
        <v>78000</v>
      </c>
      <c r="AC58" s="51">
        <f t="shared" si="307"/>
        <v>1560</v>
      </c>
      <c r="AD58" s="51">
        <f t="shared" si="308"/>
        <v>1560</v>
      </c>
      <c r="AE58" s="51">
        <f t="shared" si="309"/>
        <v>58500</v>
      </c>
      <c r="AF58" s="51">
        <f t="shared" si="310"/>
        <v>58500</v>
      </c>
      <c r="AG58" s="51">
        <f t="shared" si="311"/>
        <v>19500</v>
      </c>
      <c r="AH58" s="54">
        <f t="shared" si="312"/>
        <v>0</v>
      </c>
      <c r="AI58" s="55">
        <f t="shared" si="313"/>
        <v>0</v>
      </c>
      <c r="AJ58" s="56">
        <f>IF(AND($E58&lt;&gt;0,$F58&gt;0,YEAR($F58)&gt;=Preisindex!$A$6,YEAR(AE$4)&gt;=YEAR($F58),AND($K58&lt;&gt;"a",$K58&lt;&gt;"b",$K58&lt;&gt;"g",$K58&lt;&gt;"k")),1,IF(AND($E58&lt;&gt;0,$F58&gt;0,YEAR($F58)&gt;=Preisindex!$A$6,YEAR(AE$4)&gt;=YEAR($F58),$K58="a"),ROUND(VLOOKUP(AJ$4,Preisindex,5,FALSE)/VLOOKUP(YEAR($F58),Preisindex,5,FALSE),2),IF(AND($E58&lt;&gt;0,$F58&gt;0,YEAR($F58)&gt;=Preisindex!$A$6,YEAR(AE$4)&gt;=YEAR($F58),$K58="b"),ROUND(VLOOKUP(AJ$4,Preisindex,3,FALSE)/VLOOKUP(YEAR($F58),Preisindex,3,FALSE),2),IF(AND($E58&lt;&gt;0,$F58&gt;0,YEAR($F58)&gt;=Preisindex!$A$6,YEAR(AE$4)&gt;=YEAR($F58),$K58="g"),ROUND(VLOOKUP(AJ$4,Preisindex,4,FALSE)/VLOOKUP(YEAR($F58),Preisindex,4,FALSE),2),IF(AND($E58&lt;&gt;0,$F58&gt;0,YEAR($F58)&gt;=Preisindex!$A$6,YEAR(AE$4)&gt;=YEAR($F58),$K58="k"),ROUND(VLOOKUP(AJ$4,Preisindex,2,FALSE)/VLOOKUP(YEAR($F58),Preisindex,2,FALSE),2),0)))))</f>
        <v>1.23</v>
      </c>
      <c r="AK58" s="56">
        <f>IF(AND($E58&lt;&gt;0,$F58&gt;0,YEAR($F58)&lt;Preisindex!$A$6,YEAR(AE$4)&gt;=YEAR($F58),AND($K58&lt;&gt;"a",$K58&lt;&gt;"b",$K58&lt;&gt;"g",$K58&lt;&gt;"k")),1,IF(AND($E58&lt;&gt;0,$F58&gt;0,YEAR($F58)&lt;Preisindex!$A$6,YEAR(AE$4)&gt;=YEAR($F58),$K58="a"),ROUND(VLOOKUP(AJ$4,Preisindex,5,FALSE)/VLOOKUP(Preisindex!$A$6,Preisindex,5,FALSE),2),IF(AND($E58&lt;&gt;0,$F58&gt;0,YEAR($F58)&lt;Preisindex!$A$6,YEAR(AE$4)&gt;=YEAR($F58),$K58="b"),ROUND(VLOOKUP(AJ$4,Preisindex,3,FALSE)/VLOOKUP(Preisindex!$A$6,Preisindex,3,FALSE),2),IF(AND($E58&lt;&gt;0,$F58&gt;0,YEAR($F58)&lt;Preisindex!$A$6,YEAR(AE$4)&gt;=YEAR($F58),$K58="g"),ROUND(VLOOKUP(AJ$4,Preisindex,4,FALSE)/VLOOKUP(Preisindex!$A$6,Preisindex,4,FALSE),2),IF(AND($E58&lt;&gt;0,$F58&gt;0,YEAR($F58)&lt;Preisindex!$A$6,YEAR(AE$4)&gt;=YEAR($F58),$K58="k"),ROUND(VLOOKUP(AJ$4,Preisindex,2,FALSE)/VLOOKUP(Preisindex!$A$6,Preisindex,2,FALSE),2),0)))))</f>
        <v>0</v>
      </c>
      <c r="AL58" s="51">
        <f>IF(AND($E58&lt;&gt;0,$F58&gt;0,YEAR($F58)&lt;=AJ$4,YEAR($F58)&gt;=Preisindex!$A$6),ROUND($E58*AJ58,2),IF(AND($E58&lt;&gt;0,$F58&gt;0,YEAR($F58)&lt;=AJ$4,YEAR($F58)&lt;Preisindex!$A$6),ROUND($E58*AK58,2),0))</f>
        <v>95940</v>
      </c>
      <c r="AM58" s="53">
        <f t="shared" si="314"/>
        <v>1918.8</v>
      </c>
      <c r="AN58" s="51">
        <f t="shared" si="359"/>
        <v>0</v>
      </c>
      <c r="AO58" s="51">
        <f t="shared" si="317"/>
        <v>0</v>
      </c>
      <c r="AP58" s="51">
        <f t="shared" si="146"/>
        <v>0</v>
      </c>
      <c r="AQ58" s="51">
        <f t="shared" si="318"/>
        <v>0</v>
      </c>
      <c r="AR58" s="51">
        <f t="shared" si="148"/>
        <v>78000</v>
      </c>
      <c r="AS58" s="51">
        <f t="shared" si="319"/>
        <v>78000</v>
      </c>
      <c r="AT58" s="51">
        <f t="shared" si="150"/>
        <v>1560</v>
      </c>
      <c r="AU58" s="51">
        <f t="shared" si="320"/>
        <v>1560</v>
      </c>
      <c r="AV58" s="51">
        <f t="shared" si="152"/>
        <v>56940</v>
      </c>
      <c r="AW58" s="51">
        <f t="shared" si="321"/>
        <v>56940</v>
      </c>
      <c r="AX58" s="51">
        <f t="shared" si="154"/>
        <v>21060</v>
      </c>
      <c r="AY58" s="54">
        <f t="shared" si="155"/>
        <v>0</v>
      </c>
      <c r="AZ58" s="55">
        <f t="shared" si="156"/>
        <v>0</v>
      </c>
      <c r="BA58" s="56">
        <f>IF(AND($E58&lt;&gt;0,$F58&gt;0,YEAR($F58)&gt;=Preisindex!$A$6,YEAR(AV$4)&gt;=YEAR($F58),AND($K58&lt;&gt;"a",$K58&lt;&gt;"b",$K58&lt;&gt;"g",$K58&lt;&gt;"k")),1,IF(AND($E58&lt;&gt;0,$F58&gt;0,YEAR($F58)&gt;=Preisindex!$A$6,YEAR(AV$4)&gt;=YEAR($F58),$K58="a"),ROUND(VLOOKUP(BA$4,Preisindex,5,FALSE)/VLOOKUP(YEAR($F58),Preisindex,5,FALSE),2),IF(AND($E58&lt;&gt;0,$F58&gt;0,YEAR($F58)&gt;=Preisindex!$A$6,YEAR(AV$4)&gt;=YEAR($F58),$K58="b"),ROUND(VLOOKUP(BA$4,Preisindex,3,FALSE)/VLOOKUP(YEAR($F58),Preisindex,3,FALSE),2),IF(AND($E58&lt;&gt;0,$F58&gt;0,YEAR($F58)&gt;=Preisindex!$A$6,YEAR(AV$4)&gt;=YEAR($F58),$K58="g"),ROUND(VLOOKUP(BA$4,Preisindex,4,FALSE)/VLOOKUP(YEAR($F58),Preisindex,4,FALSE),2),IF(AND($E58&lt;&gt;0,$F58&gt;0,YEAR($F58)&gt;=Preisindex!$A$6,YEAR(AV$4)&gt;=YEAR($F58),$K58="k"),ROUND(VLOOKUP(BA$4,Preisindex,2,FALSE)/VLOOKUP(YEAR($F58),Preisindex,2,FALSE),2),0)))))</f>
        <v>1.25</v>
      </c>
      <c r="BB58" s="56">
        <f>IF(AND($E58&lt;&gt;0,$F58&gt;0,YEAR($F58)&lt;Preisindex!$A$6,YEAR(AV$4)&gt;=YEAR($F58),AND($K58&lt;&gt;"a",$K58&lt;&gt;"b",$K58&lt;&gt;"g",$K58&lt;&gt;"k")),1,IF(AND($E58&lt;&gt;0,$F58&gt;0,YEAR($F58)&lt;Preisindex!$A$6,YEAR(AV$4)&gt;=YEAR($F58),$K58="a"),ROUND(VLOOKUP(BA$4,Preisindex,5,FALSE)/VLOOKUP(Preisindex!$A$6,Preisindex,5,FALSE),2),IF(AND($E58&lt;&gt;0,$F58&gt;0,YEAR($F58)&lt;Preisindex!$A$6,YEAR(AV$4)&gt;=YEAR($F58),$K58="b"),ROUND(VLOOKUP(BA$4,Preisindex,3,FALSE)/VLOOKUP(Preisindex!$A$6,Preisindex,3,FALSE),2),IF(AND($E58&lt;&gt;0,$F58&gt;0,YEAR($F58)&lt;Preisindex!$A$6,YEAR(AV$4)&gt;=YEAR($F58),$K58="g"),ROUND(VLOOKUP(BA$4,Preisindex,4,FALSE)/VLOOKUP(Preisindex!$A$6,Preisindex,4,FALSE),2),IF(AND($E58&lt;&gt;0,$F58&gt;0,YEAR($F58)&lt;Preisindex!$A$6,YEAR(AV$4)&gt;=YEAR($F58),$K58="k"),ROUND(VLOOKUP(BA$4,Preisindex,2,FALSE)/VLOOKUP(Preisindex!$A$6,Preisindex,2,FALSE),2),0)))))</f>
        <v>0</v>
      </c>
      <c r="BC58" s="51">
        <f>IF(AND($E58&lt;&gt;0,$F58&gt;0,YEAR($F58)&lt;=BA$4,YEAR($F58)&gt;=Preisindex!$A$6),ROUND($E58*BA58,2),IF(AND($E58&lt;&gt;0,$F58&gt;0,YEAR($F58)&lt;=BA$4,YEAR($F58)&lt;Preisindex!$A$6),ROUND($E58*BB58,2),0))</f>
        <v>97500</v>
      </c>
      <c r="BD58" s="53">
        <f t="shared" si="157"/>
        <v>1950</v>
      </c>
      <c r="BE58" s="51">
        <f t="shared" si="359"/>
        <v>0</v>
      </c>
      <c r="BF58" s="51">
        <f t="shared" si="322"/>
        <v>0</v>
      </c>
      <c r="BG58" s="51">
        <f t="shared" si="160"/>
        <v>0</v>
      </c>
      <c r="BH58" s="51">
        <f t="shared" si="323"/>
        <v>0</v>
      </c>
      <c r="BI58" s="51">
        <f t="shared" si="162"/>
        <v>78000</v>
      </c>
      <c r="BJ58" s="51">
        <f t="shared" si="324"/>
        <v>78000</v>
      </c>
      <c r="BK58" s="51">
        <f t="shared" si="164"/>
        <v>1560</v>
      </c>
      <c r="BL58" s="51">
        <f t="shared" si="325"/>
        <v>1560</v>
      </c>
      <c r="BM58" s="51">
        <f t="shared" si="166"/>
        <v>55380</v>
      </c>
      <c r="BN58" s="51">
        <f t="shared" si="326"/>
        <v>55380</v>
      </c>
      <c r="BO58" s="51">
        <f t="shared" si="168"/>
        <v>22620</v>
      </c>
      <c r="BP58" s="54">
        <f t="shared" si="169"/>
        <v>0</v>
      </c>
      <c r="BQ58" s="55">
        <f t="shared" si="170"/>
        <v>0</v>
      </c>
      <c r="BR58" s="56">
        <f>IF(AND($E58&lt;&gt;0,$F58&gt;0,YEAR($F58)&gt;=Preisindex!$A$6,YEAR(BM$4)&gt;=YEAR($F58),AND($K58&lt;&gt;"a",$K58&lt;&gt;"b",$K58&lt;&gt;"g",$K58&lt;&gt;"k")),1,IF(AND($E58&lt;&gt;0,$F58&gt;0,YEAR($F58)&gt;=Preisindex!$A$6,YEAR(BM$4)&gt;=YEAR($F58),$K58="a"),ROUND(VLOOKUP(BR$4,Preisindex,5,FALSE)/VLOOKUP(YEAR($F58),Preisindex,5,FALSE),2),IF(AND($E58&lt;&gt;0,$F58&gt;0,YEAR($F58)&gt;=Preisindex!$A$6,YEAR(BM$4)&gt;=YEAR($F58),$K58="b"),ROUND(VLOOKUP(BR$4,Preisindex,3,FALSE)/VLOOKUP(YEAR($F58),Preisindex,3,FALSE),2),IF(AND($E58&lt;&gt;0,$F58&gt;0,YEAR($F58)&gt;=Preisindex!$A$6,YEAR(BM$4)&gt;=YEAR($F58),$K58="g"),ROUND(VLOOKUP(BR$4,Preisindex,4,FALSE)/VLOOKUP(YEAR($F58),Preisindex,4,FALSE),2),IF(AND($E58&lt;&gt;0,$F58&gt;0,YEAR($F58)&gt;=Preisindex!$A$6,YEAR(BM$4)&gt;=YEAR($F58),$K58="k"),ROUND(VLOOKUP(BR$4,Preisindex,2,FALSE)/VLOOKUP(YEAR($F58),Preisindex,2,FALSE),2),0)))))</f>
        <v>1.27</v>
      </c>
      <c r="BS58" s="56">
        <f>IF(AND($E58&lt;&gt;0,$F58&gt;0,YEAR($F58)&lt;Preisindex!$A$6,YEAR(BM$4)&gt;=YEAR($F58),AND($K58&lt;&gt;"a",$K58&lt;&gt;"b",$K58&lt;&gt;"g",$K58&lt;&gt;"k")),1,IF(AND($E58&lt;&gt;0,$F58&gt;0,YEAR($F58)&lt;Preisindex!$A$6,YEAR(BM$4)&gt;=YEAR($F58),$K58="a"),ROUND(VLOOKUP(BR$4,Preisindex,5,FALSE)/VLOOKUP(Preisindex!$A$6,Preisindex,5,FALSE),2),IF(AND($E58&lt;&gt;0,$F58&gt;0,YEAR($F58)&lt;Preisindex!$A$6,YEAR(BM$4)&gt;=YEAR($F58),$K58="b"),ROUND(VLOOKUP(BR$4,Preisindex,3,FALSE)/VLOOKUP(Preisindex!$A$6,Preisindex,3,FALSE),2),IF(AND($E58&lt;&gt;0,$F58&gt;0,YEAR($F58)&lt;Preisindex!$A$6,YEAR(BM$4)&gt;=YEAR($F58),$K58="g"),ROUND(VLOOKUP(BR$4,Preisindex,4,FALSE)/VLOOKUP(Preisindex!$A$6,Preisindex,4,FALSE),2),IF(AND($E58&lt;&gt;0,$F58&gt;0,YEAR($F58)&lt;Preisindex!$A$6,YEAR(BM$4)&gt;=YEAR($F58),$K58="k"),ROUND(VLOOKUP(BR$4,Preisindex,2,FALSE)/VLOOKUP(Preisindex!$A$6,Preisindex,2,FALSE),2),0)))))</f>
        <v>0</v>
      </c>
      <c r="BT58" s="51">
        <f>IF(AND($E58&lt;&gt;0,$F58&gt;0,YEAR($F58)&lt;=BR$4,YEAR($F58)&gt;=Preisindex!$A$6),ROUND($E58*BR58,2),IF(AND($E58&lt;&gt;0,$F58&gt;0,YEAR($F58)&lt;=BR$4,YEAR($F58)&lt;Preisindex!$A$6),ROUND($E58*BS58,2),0))</f>
        <v>99060</v>
      </c>
      <c r="BU58" s="53">
        <f t="shared" si="171"/>
        <v>1981.2</v>
      </c>
      <c r="BV58" s="51">
        <f t="shared" si="359"/>
        <v>0</v>
      </c>
      <c r="BW58" s="51">
        <f t="shared" si="327"/>
        <v>0</v>
      </c>
      <c r="BX58" s="51">
        <f t="shared" si="174"/>
        <v>0</v>
      </c>
      <c r="BY58" s="51">
        <f t="shared" si="328"/>
        <v>0</v>
      </c>
      <c r="BZ58" s="51">
        <f t="shared" si="176"/>
        <v>78000</v>
      </c>
      <c r="CA58" s="51">
        <f t="shared" si="329"/>
        <v>78000</v>
      </c>
      <c r="CB58" s="51">
        <f t="shared" si="178"/>
        <v>1560</v>
      </c>
      <c r="CC58" s="51">
        <f t="shared" si="330"/>
        <v>1560</v>
      </c>
      <c r="CD58" s="51">
        <f t="shared" si="180"/>
        <v>53820</v>
      </c>
      <c r="CE58" s="51">
        <f t="shared" si="331"/>
        <v>53820</v>
      </c>
      <c r="CF58" s="51">
        <f t="shared" si="182"/>
        <v>24180</v>
      </c>
      <c r="CG58" s="54">
        <f t="shared" si="183"/>
        <v>0</v>
      </c>
      <c r="CH58" s="55">
        <f t="shared" si="184"/>
        <v>0</v>
      </c>
      <c r="CI58" s="56">
        <f>IF(AND($E58&lt;&gt;0,$F58&gt;0,YEAR($F58)&gt;=Preisindex!$A$6,YEAR(CD$4)&gt;=YEAR($F58),AND($K58&lt;&gt;"a",$K58&lt;&gt;"b",$K58&lt;&gt;"g",$K58&lt;&gt;"k")),1,IF(AND($E58&lt;&gt;0,$F58&gt;0,YEAR($F58)&gt;=Preisindex!$A$6,YEAR(CD$4)&gt;=YEAR($F58),$K58="a"),ROUND(VLOOKUP(CI$4,Preisindex,5,FALSE)/VLOOKUP(YEAR($F58),Preisindex,5,FALSE),2),IF(AND($E58&lt;&gt;0,$F58&gt;0,YEAR($F58)&gt;=Preisindex!$A$6,YEAR(CD$4)&gt;=YEAR($F58),$K58="b"),ROUND(VLOOKUP(CI$4,Preisindex,3,FALSE)/VLOOKUP(YEAR($F58),Preisindex,3,FALSE),2),IF(AND($E58&lt;&gt;0,$F58&gt;0,YEAR($F58)&gt;=Preisindex!$A$6,YEAR(CD$4)&gt;=YEAR($F58),$K58="g"),ROUND(VLOOKUP(CI$4,Preisindex,4,FALSE)/VLOOKUP(YEAR($F58),Preisindex,4,FALSE),2),IF(AND($E58&lt;&gt;0,$F58&gt;0,YEAR($F58)&gt;=Preisindex!$A$6,YEAR(CD$4)&gt;=YEAR($F58),$K58="k"),ROUND(VLOOKUP(CI$4,Preisindex,2,FALSE)/VLOOKUP(YEAR($F58),Preisindex,2,FALSE),2),0)))))</f>
        <v>1.28</v>
      </c>
      <c r="CJ58" s="56">
        <f>IF(AND($E58&lt;&gt;0,$F58&gt;0,YEAR($F58)&lt;Preisindex!$A$6,YEAR(CD$4)&gt;=YEAR($F58),AND($K58&lt;&gt;"a",$K58&lt;&gt;"b",$K58&lt;&gt;"g",$K58&lt;&gt;"k")),1,IF(AND($E58&lt;&gt;0,$F58&gt;0,YEAR($F58)&lt;Preisindex!$A$6,YEAR(CD$4)&gt;=YEAR($F58),$K58="a"),ROUND(VLOOKUP(CI$4,Preisindex,5,FALSE)/VLOOKUP(Preisindex!$A$6,Preisindex,5,FALSE),2),IF(AND($E58&lt;&gt;0,$F58&gt;0,YEAR($F58)&lt;Preisindex!$A$6,YEAR(CD$4)&gt;=YEAR($F58),$K58="b"),ROUND(VLOOKUP(CI$4,Preisindex,3,FALSE)/VLOOKUP(Preisindex!$A$6,Preisindex,3,FALSE),2),IF(AND($E58&lt;&gt;0,$F58&gt;0,YEAR($F58)&lt;Preisindex!$A$6,YEAR(CD$4)&gt;=YEAR($F58),$K58="g"),ROUND(VLOOKUP(CI$4,Preisindex,4,FALSE)/VLOOKUP(Preisindex!$A$6,Preisindex,4,FALSE),2),IF(AND($E58&lt;&gt;0,$F58&gt;0,YEAR($F58)&lt;Preisindex!$A$6,YEAR(CD$4)&gt;=YEAR($F58),$K58="k"),ROUND(VLOOKUP(CI$4,Preisindex,2,FALSE)/VLOOKUP(Preisindex!$A$6,Preisindex,2,FALSE),2),0)))))</f>
        <v>0</v>
      </c>
      <c r="CK58" s="51">
        <f>IF(AND($E58&lt;&gt;0,$F58&gt;0,YEAR($F58)&lt;=CI$4,YEAR($F58)&gt;=Preisindex!$A$6),ROUND($E58*CI58,2),IF(AND($E58&lt;&gt;0,$F58&gt;0,YEAR($F58)&lt;=CI$4,YEAR($F58)&lt;Preisindex!$A$6),ROUND($E58*CJ58,2),0))</f>
        <v>99840</v>
      </c>
      <c r="CL58" s="53">
        <f t="shared" si="185"/>
        <v>1996.8</v>
      </c>
      <c r="CM58" s="51">
        <f t="shared" si="359"/>
        <v>0</v>
      </c>
      <c r="CN58" s="51">
        <f t="shared" si="332"/>
        <v>0</v>
      </c>
      <c r="CO58" s="51">
        <f t="shared" si="188"/>
        <v>0</v>
      </c>
      <c r="CP58" s="51">
        <f t="shared" si="333"/>
        <v>0</v>
      </c>
      <c r="CQ58" s="51">
        <f t="shared" si="190"/>
        <v>78000</v>
      </c>
      <c r="CR58" s="51">
        <f t="shared" si="334"/>
        <v>78000</v>
      </c>
      <c r="CS58" s="51">
        <f t="shared" si="192"/>
        <v>1560</v>
      </c>
      <c r="CT58" s="51">
        <f t="shared" si="335"/>
        <v>1560</v>
      </c>
      <c r="CU58" s="51">
        <f t="shared" si="194"/>
        <v>52260</v>
      </c>
      <c r="CV58" s="51">
        <f t="shared" si="336"/>
        <v>52260</v>
      </c>
      <c r="CW58" s="51">
        <f t="shared" si="196"/>
        <v>25740</v>
      </c>
      <c r="CX58" s="54">
        <f t="shared" si="197"/>
        <v>0</v>
      </c>
      <c r="CY58" s="55">
        <f t="shared" si="198"/>
        <v>0</v>
      </c>
      <c r="CZ58" s="56">
        <f>IF(AND($E58&lt;&gt;0,$F58&gt;0,YEAR($F58)&gt;=Preisindex!$A$6,YEAR(CU$4)&gt;=YEAR($F58),AND($K58&lt;&gt;"a",$K58&lt;&gt;"b",$K58&lt;&gt;"g",$K58&lt;&gt;"k")),1,IF(AND($E58&lt;&gt;0,$F58&gt;0,YEAR($F58)&gt;=Preisindex!$A$6,YEAR(CU$4)&gt;=YEAR($F58),$K58="a"),ROUND(VLOOKUP(CZ$4,Preisindex,5,FALSE)/VLOOKUP(YEAR($F58),Preisindex,5,FALSE),2),IF(AND($E58&lt;&gt;0,$F58&gt;0,YEAR($F58)&gt;=Preisindex!$A$6,YEAR(CU$4)&gt;=YEAR($F58),$K58="b"),ROUND(VLOOKUP(CZ$4,Preisindex,3,FALSE)/VLOOKUP(YEAR($F58),Preisindex,3,FALSE),2),IF(AND($E58&lt;&gt;0,$F58&gt;0,YEAR($F58)&gt;=Preisindex!$A$6,YEAR(CU$4)&gt;=YEAR($F58),$K58="g"),ROUND(VLOOKUP(CZ$4,Preisindex,4,FALSE)/VLOOKUP(YEAR($F58),Preisindex,4,FALSE),2),IF(AND($E58&lt;&gt;0,$F58&gt;0,YEAR($F58)&gt;=Preisindex!$A$6,YEAR(CU$4)&gt;=YEAR($F58),$K58="k"),ROUND(VLOOKUP(CZ$4,Preisindex,2,FALSE)/VLOOKUP(YEAR($F58),Preisindex,2,FALSE),2),0)))))</f>
        <v>1.31</v>
      </c>
      <c r="DA58" s="56">
        <f>IF(AND($E58&lt;&gt;0,$F58&gt;0,YEAR($F58)&lt;Preisindex!$A$6,YEAR(CU$4)&gt;=YEAR($F58),AND($K58&lt;&gt;"a",$K58&lt;&gt;"b",$K58&lt;&gt;"g",$K58&lt;&gt;"k")),1,IF(AND($E58&lt;&gt;0,$F58&gt;0,YEAR($F58)&lt;Preisindex!$A$6,YEAR(CU$4)&gt;=YEAR($F58),$K58="a"),ROUND(VLOOKUP(CZ$4,Preisindex,5,FALSE)/VLOOKUP(Preisindex!$A$6,Preisindex,5,FALSE),2),IF(AND($E58&lt;&gt;0,$F58&gt;0,YEAR($F58)&lt;Preisindex!$A$6,YEAR(CU$4)&gt;=YEAR($F58),$K58="b"),ROUND(VLOOKUP(CZ$4,Preisindex,3,FALSE)/VLOOKUP(Preisindex!$A$6,Preisindex,3,FALSE),2),IF(AND($E58&lt;&gt;0,$F58&gt;0,YEAR($F58)&lt;Preisindex!$A$6,YEAR(CU$4)&gt;=YEAR($F58),$K58="g"),ROUND(VLOOKUP(CZ$4,Preisindex,4,FALSE)/VLOOKUP(Preisindex!$A$6,Preisindex,4,FALSE),2),IF(AND($E58&lt;&gt;0,$F58&gt;0,YEAR($F58)&lt;Preisindex!$A$6,YEAR(CU$4)&gt;=YEAR($F58),$K58="k"),ROUND(VLOOKUP(CZ$4,Preisindex,2,FALSE)/VLOOKUP(Preisindex!$A$6,Preisindex,2,FALSE),2),0)))))</f>
        <v>0</v>
      </c>
      <c r="DB58" s="51">
        <f>IF(AND($E58&lt;&gt;0,$F58&gt;0,YEAR($F58)&lt;=CZ$4,YEAR($F58)&gt;=Preisindex!$A$6),ROUND($E58*CZ58,2),IF(AND($E58&lt;&gt;0,$F58&gt;0,YEAR($F58)&lt;=CZ$4,YEAR($F58)&lt;Preisindex!$A$6),ROUND($E58*DA58,2),0))</f>
        <v>102180</v>
      </c>
      <c r="DC58" s="53">
        <f t="shared" si="199"/>
        <v>2043.6000000000001</v>
      </c>
      <c r="DD58" s="51">
        <f t="shared" si="360"/>
        <v>0</v>
      </c>
      <c r="DE58" s="51">
        <f t="shared" si="337"/>
        <v>0</v>
      </c>
      <c r="DF58" s="51">
        <f t="shared" si="202"/>
        <v>0</v>
      </c>
      <c r="DG58" s="51">
        <f t="shared" si="338"/>
        <v>0</v>
      </c>
      <c r="DH58" s="51">
        <f t="shared" si="204"/>
        <v>78000</v>
      </c>
      <c r="DI58" s="51">
        <f t="shared" si="339"/>
        <v>78000</v>
      </c>
      <c r="DJ58" s="51">
        <f t="shared" si="206"/>
        <v>1560</v>
      </c>
      <c r="DK58" s="51">
        <f t="shared" si="340"/>
        <v>1560</v>
      </c>
      <c r="DL58" s="51">
        <f t="shared" si="208"/>
        <v>50700</v>
      </c>
      <c r="DM58" s="51">
        <f t="shared" si="341"/>
        <v>50700</v>
      </c>
      <c r="DN58" s="51">
        <f t="shared" si="210"/>
        <v>27300</v>
      </c>
      <c r="DO58" s="54">
        <f t="shared" si="211"/>
        <v>0</v>
      </c>
      <c r="DP58" s="55">
        <f t="shared" si="212"/>
        <v>0</v>
      </c>
      <c r="DQ58" s="56">
        <f>IF(AND($E58&lt;&gt;0,$F58&gt;0,YEAR($F58)&gt;=Preisindex!$A$6,YEAR(DL$4)&gt;=YEAR($F58),AND($K58&lt;&gt;"a",$K58&lt;&gt;"b",$K58&lt;&gt;"g",$K58&lt;&gt;"k")),1,IF(AND($E58&lt;&gt;0,$F58&gt;0,YEAR($F58)&gt;=Preisindex!$A$6,YEAR(DL$4)&gt;=YEAR($F58),$K58="a"),ROUND(VLOOKUP(DQ$4,Preisindex,5,FALSE)/VLOOKUP(YEAR($F58),Preisindex,5,FALSE),2),IF(AND($E58&lt;&gt;0,$F58&gt;0,YEAR($F58)&gt;=Preisindex!$A$6,YEAR(DL$4)&gt;=YEAR($F58),$K58="b"),ROUND(VLOOKUP(DQ$4,Preisindex,3,FALSE)/VLOOKUP(YEAR($F58),Preisindex,3,FALSE),2),IF(AND($E58&lt;&gt;0,$F58&gt;0,YEAR($F58)&gt;=Preisindex!$A$6,YEAR(DL$4)&gt;=YEAR($F58),$K58="g"),ROUND(VLOOKUP(DQ$4,Preisindex,4,FALSE)/VLOOKUP(YEAR($F58),Preisindex,4,FALSE),2),IF(AND($E58&lt;&gt;0,$F58&gt;0,YEAR($F58)&gt;=Preisindex!$A$6,YEAR(DL$4)&gt;=YEAR($F58),$K58="k"),ROUND(VLOOKUP(DQ$4,Preisindex,2,FALSE)/VLOOKUP(YEAR($F58),Preisindex,2,FALSE),2),0)))))</f>
        <v>1.35</v>
      </c>
      <c r="DR58" s="56">
        <f>IF(AND($E58&lt;&gt;0,$F58&gt;0,YEAR($F58)&lt;Preisindex!$A$6,YEAR(DL$4)&gt;=YEAR($F58),AND($K58&lt;&gt;"a",$K58&lt;&gt;"b",$K58&lt;&gt;"g",$K58&lt;&gt;"k")),1,IF(AND($E58&lt;&gt;0,$F58&gt;0,YEAR($F58)&lt;Preisindex!$A$6,YEAR(DL$4)&gt;=YEAR($F58),$K58="a"),ROUND(VLOOKUP(DQ$4,Preisindex,5,FALSE)/VLOOKUP(Preisindex!$A$6,Preisindex,5,FALSE),2),IF(AND($E58&lt;&gt;0,$F58&gt;0,YEAR($F58)&lt;Preisindex!$A$6,YEAR(DL$4)&gt;=YEAR($F58),$K58="b"),ROUND(VLOOKUP(DQ$4,Preisindex,3,FALSE)/VLOOKUP(Preisindex!$A$6,Preisindex,3,FALSE),2),IF(AND($E58&lt;&gt;0,$F58&gt;0,YEAR($F58)&lt;Preisindex!$A$6,YEAR(DL$4)&gt;=YEAR($F58),$K58="g"),ROUND(VLOOKUP(DQ$4,Preisindex,4,FALSE)/VLOOKUP(Preisindex!$A$6,Preisindex,4,FALSE),2),IF(AND($E58&lt;&gt;0,$F58&gt;0,YEAR($F58)&lt;Preisindex!$A$6,YEAR(DL$4)&gt;=YEAR($F58),$K58="k"),ROUND(VLOOKUP(DQ$4,Preisindex,2,FALSE)/VLOOKUP(Preisindex!$A$6,Preisindex,2,FALSE),2),0)))))</f>
        <v>0</v>
      </c>
      <c r="DS58" s="51">
        <f>IF(AND($E58&lt;&gt;0,$F58&gt;0,YEAR($F58)&lt;=DQ$4,YEAR($F58)&gt;=Preisindex!$A$6),ROUND($E58*DQ58,2),IF(AND($E58&lt;&gt;0,$F58&gt;0,YEAR($F58)&lt;=DQ$4,YEAR($F58)&lt;Preisindex!$A$6),ROUND($E58*DR58,2),0))</f>
        <v>105300</v>
      </c>
      <c r="DT58" s="53">
        <f t="shared" si="213"/>
        <v>2106</v>
      </c>
      <c r="DU58" s="51">
        <f t="shared" si="360"/>
        <v>0</v>
      </c>
      <c r="DV58" s="51">
        <f t="shared" si="342"/>
        <v>0</v>
      </c>
      <c r="DW58" s="51">
        <f t="shared" si="216"/>
        <v>0</v>
      </c>
      <c r="DX58" s="51">
        <f t="shared" si="343"/>
        <v>0</v>
      </c>
      <c r="DY58" s="51">
        <f t="shared" si="218"/>
        <v>78000</v>
      </c>
      <c r="DZ58" s="51">
        <f t="shared" si="344"/>
        <v>78000</v>
      </c>
      <c r="EA58" s="51">
        <f t="shared" si="220"/>
        <v>1560</v>
      </c>
      <c r="EB58" s="51">
        <f t="shared" si="345"/>
        <v>1560</v>
      </c>
      <c r="EC58" s="51">
        <f t="shared" si="222"/>
        <v>49140</v>
      </c>
      <c r="ED58" s="51">
        <f t="shared" si="346"/>
        <v>49140</v>
      </c>
      <c r="EE58" s="51">
        <f t="shared" si="224"/>
        <v>28860</v>
      </c>
      <c r="EF58" s="54">
        <f t="shared" si="225"/>
        <v>0</v>
      </c>
      <c r="EG58" s="55">
        <f t="shared" si="226"/>
        <v>0</v>
      </c>
      <c r="EH58" s="56">
        <f>IF(AND($E58&lt;&gt;0,$F58&gt;0,YEAR($F58)&gt;=Preisindex!$A$6,YEAR(EC$4)&gt;=YEAR($F58),AND($K58&lt;&gt;"a",$K58&lt;&gt;"b",$K58&lt;&gt;"g",$K58&lt;&gt;"k")),1,IF(AND($E58&lt;&gt;0,$F58&gt;0,YEAR($F58)&gt;=Preisindex!$A$6,YEAR(EC$4)&gt;=YEAR($F58),$K58="a"),ROUND(VLOOKUP(EH$4,Preisindex,5,FALSE)/VLOOKUP(YEAR($F58),Preisindex,5,FALSE),2),IF(AND($E58&lt;&gt;0,$F58&gt;0,YEAR($F58)&gt;=Preisindex!$A$6,YEAR(EC$4)&gt;=YEAR($F58),$K58="b"),ROUND(VLOOKUP(EH$4,Preisindex,3,FALSE)/VLOOKUP(YEAR($F58),Preisindex,3,FALSE),2),IF(AND($E58&lt;&gt;0,$F58&gt;0,YEAR($F58)&gt;=Preisindex!$A$6,YEAR(EC$4)&gt;=YEAR($F58),$K58="g"),ROUND(VLOOKUP(EH$4,Preisindex,4,FALSE)/VLOOKUP(YEAR($F58),Preisindex,4,FALSE),2),IF(AND($E58&lt;&gt;0,$F58&gt;0,YEAR($F58)&gt;=Preisindex!$A$6,YEAR(EC$4)&gt;=YEAR($F58),$K58="k"),ROUND(VLOOKUP(EH$4,Preisindex,2,FALSE)/VLOOKUP(YEAR($F58),Preisindex,2,FALSE),2),0)))))</f>
        <v>1.42</v>
      </c>
      <c r="EI58" s="56">
        <f>IF(AND($E58&lt;&gt;0,$F58&gt;0,YEAR($F58)&lt;Preisindex!$A$6,YEAR(EC$4)&gt;=YEAR($F58),AND($K58&lt;&gt;"a",$K58&lt;&gt;"b",$K58&lt;&gt;"g",$K58&lt;&gt;"k")),1,IF(AND($E58&lt;&gt;0,$F58&gt;0,YEAR($F58)&lt;Preisindex!$A$6,YEAR(EC$4)&gt;=YEAR($F58),$K58="a"),ROUND(VLOOKUP(EH$4,Preisindex,5,FALSE)/VLOOKUP(Preisindex!$A$6,Preisindex,5,FALSE),2),IF(AND($E58&lt;&gt;0,$F58&gt;0,YEAR($F58)&lt;Preisindex!$A$6,YEAR(EC$4)&gt;=YEAR($F58),$K58="b"),ROUND(VLOOKUP(EH$4,Preisindex,3,FALSE)/VLOOKUP(Preisindex!$A$6,Preisindex,3,FALSE),2),IF(AND($E58&lt;&gt;0,$F58&gt;0,YEAR($F58)&lt;Preisindex!$A$6,YEAR(EC$4)&gt;=YEAR($F58),$K58="g"),ROUND(VLOOKUP(EH$4,Preisindex,4,FALSE)/VLOOKUP(Preisindex!$A$6,Preisindex,4,FALSE),2),IF(AND($E58&lt;&gt;0,$F58&gt;0,YEAR($F58)&lt;Preisindex!$A$6,YEAR(EC$4)&gt;=YEAR($F58),$K58="k"),ROUND(VLOOKUP(EH$4,Preisindex,2,FALSE)/VLOOKUP(Preisindex!$A$6,Preisindex,2,FALSE),2),0)))))</f>
        <v>0</v>
      </c>
      <c r="EJ58" s="51">
        <f>IF(AND($E58&lt;&gt;0,$F58&gt;0,YEAR($F58)&lt;=EH$4,YEAR($F58)&gt;=Preisindex!$A$6),ROUND($E58*EH58,2),IF(AND($E58&lt;&gt;0,$F58&gt;0,YEAR($F58)&lt;=EH$4,YEAR($F58)&lt;Preisindex!$A$6),ROUND($E58*EI58,2),0))</f>
        <v>110760</v>
      </c>
      <c r="EK58" s="53">
        <f t="shared" si="227"/>
        <v>2215.2000000000003</v>
      </c>
      <c r="EL58" s="51">
        <f t="shared" si="360"/>
        <v>0</v>
      </c>
      <c r="EM58" s="51">
        <f t="shared" si="347"/>
        <v>0</v>
      </c>
      <c r="EN58" s="51">
        <f t="shared" si="230"/>
        <v>0</v>
      </c>
      <c r="EO58" s="51">
        <f t="shared" si="348"/>
        <v>0</v>
      </c>
      <c r="EP58" s="51">
        <f t="shared" si="232"/>
        <v>78000</v>
      </c>
      <c r="EQ58" s="51">
        <f t="shared" si="349"/>
        <v>78000</v>
      </c>
      <c r="ER58" s="51">
        <f t="shared" si="234"/>
        <v>1560</v>
      </c>
      <c r="ES58" s="51">
        <f t="shared" si="350"/>
        <v>1560</v>
      </c>
      <c r="ET58" s="51">
        <f t="shared" si="236"/>
        <v>47580</v>
      </c>
      <c r="EU58" s="51">
        <f t="shared" si="351"/>
        <v>47580</v>
      </c>
      <c r="EV58" s="51">
        <f t="shared" si="238"/>
        <v>30420</v>
      </c>
      <c r="EW58" s="54">
        <f t="shared" si="239"/>
        <v>0</v>
      </c>
      <c r="EX58" s="55">
        <f t="shared" si="240"/>
        <v>0</v>
      </c>
      <c r="EY58" s="56">
        <f>IF(AND($E58&lt;&gt;0,$F58&gt;0,YEAR($F58)&gt;=Preisindex!$A$6,YEAR(ET$4)&gt;=YEAR($F58),AND($K58&lt;&gt;"a",$K58&lt;&gt;"b",$K58&lt;&gt;"g",$K58&lt;&gt;"k")),1,IF(AND($E58&lt;&gt;0,$F58&gt;0,YEAR($F58)&gt;=Preisindex!$A$6,YEAR(ET$4)&gt;=YEAR($F58),$K58="a"),ROUND(VLOOKUP(EY$4,Preisindex,5,FALSE)/VLOOKUP(YEAR($F58),Preisindex,5,FALSE),2),IF(AND($E58&lt;&gt;0,$F58&gt;0,YEAR($F58)&gt;=Preisindex!$A$6,YEAR(ET$4)&gt;=YEAR($F58),$K58="b"),ROUND(VLOOKUP(EY$4,Preisindex,3,FALSE)/VLOOKUP(YEAR($F58),Preisindex,3,FALSE),2),IF(AND($E58&lt;&gt;0,$F58&gt;0,YEAR($F58)&gt;=Preisindex!$A$6,YEAR(ET$4)&gt;=YEAR($F58),$K58="g"),ROUND(VLOOKUP(EY$4,Preisindex,4,FALSE)/VLOOKUP(YEAR($F58),Preisindex,4,FALSE),2),IF(AND($E58&lt;&gt;0,$F58&gt;0,YEAR($F58)&gt;=Preisindex!$A$6,YEAR(ET$4)&gt;=YEAR($F58),$K58="k"),ROUND(VLOOKUP(EY$4,Preisindex,2,FALSE)/VLOOKUP(YEAR($F58),Preisindex,2,FALSE),2),0)))))</f>
        <v>1.42</v>
      </c>
      <c r="EZ58" s="56">
        <f>IF(AND($E58&lt;&gt;0,$F58&gt;0,YEAR($F58)&lt;Preisindex!$A$6,YEAR(ET$4)&gt;=YEAR($F58),AND($K58&lt;&gt;"a",$K58&lt;&gt;"b",$K58&lt;&gt;"g",$K58&lt;&gt;"k")),1,IF(AND($E58&lt;&gt;0,$F58&gt;0,YEAR($F58)&lt;Preisindex!$A$6,YEAR(ET$4)&gt;=YEAR($F58),$K58="a"),ROUND(VLOOKUP(EY$4,Preisindex,5,FALSE)/VLOOKUP(Preisindex!$A$6,Preisindex,5,FALSE),2),IF(AND($E58&lt;&gt;0,$F58&gt;0,YEAR($F58)&lt;Preisindex!$A$6,YEAR(ET$4)&gt;=YEAR($F58),$K58="b"),ROUND(VLOOKUP(EY$4,Preisindex,3,FALSE)/VLOOKUP(Preisindex!$A$6,Preisindex,3,FALSE),2),IF(AND($E58&lt;&gt;0,$F58&gt;0,YEAR($F58)&lt;Preisindex!$A$6,YEAR(ET$4)&gt;=YEAR($F58),$K58="g"),ROUND(VLOOKUP(EY$4,Preisindex,4,FALSE)/VLOOKUP(Preisindex!$A$6,Preisindex,4,FALSE),2),IF(AND($E58&lt;&gt;0,$F58&gt;0,YEAR($F58)&lt;Preisindex!$A$6,YEAR(ET$4)&gt;=YEAR($F58),$K58="k"),ROUND(VLOOKUP(EY$4,Preisindex,2,FALSE)/VLOOKUP(Preisindex!$A$6,Preisindex,2,FALSE),2),0)))))</f>
        <v>0</v>
      </c>
      <c r="FA58" s="51">
        <f>IF(AND($E58&lt;&gt;0,$F58&gt;0,YEAR($F58)&lt;=EY$4,YEAR($F58)&gt;=Preisindex!$A$6),ROUND($E58*EY58,2),IF(AND($E58&lt;&gt;0,$F58&gt;0,YEAR($F58)&lt;=EY$4,YEAR($F58)&lt;Preisindex!$A$6),ROUND($E58*EZ58,2),0))</f>
        <v>110760</v>
      </c>
      <c r="FB58" s="53">
        <f t="shared" si="241"/>
        <v>2215.2000000000003</v>
      </c>
      <c r="FC58" s="51">
        <f t="shared" si="360"/>
        <v>0</v>
      </c>
      <c r="FD58" s="51">
        <f t="shared" si="352"/>
        <v>0</v>
      </c>
      <c r="FE58" s="51">
        <f t="shared" si="244"/>
        <v>0</v>
      </c>
      <c r="FF58" s="51">
        <f t="shared" si="353"/>
        <v>0</v>
      </c>
      <c r="FG58" s="51">
        <f t="shared" si="246"/>
        <v>78000</v>
      </c>
      <c r="FH58" s="51">
        <f t="shared" si="354"/>
        <v>78000</v>
      </c>
      <c r="FI58" s="51">
        <f t="shared" si="248"/>
        <v>1560</v>
      </c>
      <c r="FJ58" s="51">
        <f t="shared" si="355"/>
        <v>1560</v>
      </c>
      <c r="FK58" s="51">
        <f t="shared" si="250"/>
        <v>46020</v>
      </c>
      <c r="FL58" s="51">
        <f t="shared" si="356"/>
        <v>46020</v>
      </c>
      <c r="FM58" s="51">
        <f t="shared" si="252"/>
        <v>31980</v>
      </c>
      <c r="FN58" s="54">
        <f t="shared" si="253"/>
        <v>0</v>
      </c>
      <c r="FO58" s="55">
        <f t="shared" si="254"/>
        <v>0</v>
      </c>
      <c r="FP58" s="56">
        <f>IF(AND($E58&lt;&gt;0,$F58&gt;0,YEAR($F58)&gt;=Preisindex!$A$6,YEAR(FK$4)&gt;=YEAR($F58),AND($K58&lt;&gt;"a",$K58&lt;&gt;"b",$K58&lt;&gt;"g",$K58&lt;&gt;"k")),1,IF(AND($E58&lt;&gt;0,$F58&gt;0,YEAR($F58)&gt;=Preisindex!$A$6,YEAR(FK$4)&gt;=YEAR($F58),$K58="a"),ROUND(VLOOKUP(FP$4,Preisindex,5,FALSE)/VLOOKUP(YEAR($F58),Preisindex,5,FALSE),2),IF(AND($E58&lt;&gt;0,$F58&gt;0,YEAR($F58)&gt;=Preisindex!$A$6,YEAR(FK$4)&gt;=YEAR($F58),$K58="b"),ROUND(VLOOKUP(FP$4,Preisindex,3,FALSE)/VLOOKUP(YEAR($F58),Preisindex,3,FALSE),2),IF(AND($E58&lt;&gt;0,$F58&gt;0,YEAR($F58)&gt;=Preisindex!$A$6,YEAR(FK$4)&gt;=YEAR($F58),$K58="g"),ROUND(VLOOKUP(FP$4,Preisindex,4,FALSE)/VLOOKUP(YEAR($F58),Preisindex,4,FALSE),2),IF(AND($E58&lt;&gt;0,$F58&gt;0,YEAR($F58)&gt;=Preisindex!$A$6,YEAR(FK$4)&gt;=YEAR($F58),$K58="k"),ROUND(VLOOKUP(FP$4,Preisindex,2,FALSE)/VLOOKUP(YEAR($F58),Preisindex,2,FALSE),2),0)))))</f>
        <v>1.42</v>
      </c>
      <c r="FQ58" s="56">
        <f>IF(AND($E58&lt;&gt;0,$F58&gt;0,YEAR($F58)&lt;Preisindex!$A$6,YEAR(FK$4)&gt;=YEAR($F58),AND($K58&lt;&gt;"a",$K58&lt;&gt;"b",$K58&lt;&gt;"g",$K58&lt;&gt;"k")),1,IF(AND($E58&lt;&gt;0,$F58&gt;0,YEAR($F58)&lt;Preisindex!$A$6,YEAR(FK$4)&gt;=YEAR($F58),$K58="a"),ROUND(VLOOKUP(FP$4,Preisindex,5,FALSE)/VLOOKUP(Preisindex!$A$6,Preisindex,5,FALSE),2),IF(AND($E58&lt;&gt;0,$F58&gt;0,YEAR($F58)&lt;Preisindex!$A$6,YEAR(FK$4)&gt;=YEAR($F58),$K58="b"),ROUND(VLOOKUP(FP$4,Preisindex,3,FALSE)/VLOOKUP(Preisindex!$A$6,Preisindex,3,FALSE),2),IF(AND($E58&lt;&gt;0,$F58&gt;0,YEAR($F58)&lt;Preisindex!$A$6,YEAR(FK$4)&gt;=YEAR($F58),$K58="g"),ROUND(VLOOKUP(FP$4,Preisindex,4,FALSE)/VLOOKUP(Preisindex!$A$6,Preisindex,4,FALSE),2),IF(AND($E58&lt;&gt;0,$F58&gt;0,YEAR($F58)&lt;Preisindex!$A$6,YEAR(FK$4)&gt;=YEAR($F58),$K58="k"),ROUND(VLOOKUP(FP$4,Preisindex,2,FALSE)/VLOOKUP(Preisindex!$A$6,Preisindex,2,FALSE),2),0)))))</f>
        <v>0</v>
      </c>
      <c r="FR58" s="51">
        <f>IF(AND($E58&lt;&gt;0,$F58&gt;0,YEAR($F58)&lt;=FP$4,YEAR($F58)&gt;=Preisindex!$A$6),ROUND($E58*FP58,2),IF(AND($E58&lt;&gt;0,$F58&gt;0,YEAR($F58)&lt;=FP$4,YEAR($F58)&lt;Preisindex!$A$6),ROUND($E58*FQ58,2),0))</f>
        <v>110760</v>
      </c>
      <c r="FS58" s="53">
        <f t="shared" si="255"/>
        <v>2215.2000000000003</v>
      </c>
    </row>
    <row r="59" spans="1:175" x14ac:dyDescent="0.3">
      <c r="A59" s="93">
        <v>2001</v>
      </c>
      <c r="B59" s="94" t="s">
        <v>245</v>
      </c>
      <c r="C59" s="94"/>
      <c r="D59" s="95" t="s">
        <v>63</v>
      </c>
      <c r="E59" s="99">
        <v>75000</v>
      </c>
      <c r="F59" s="97">
        <v>37073</v>
      </c>
      <c r="G59" s="98">
        <v>50</v>
      </c>
      <c r="H59" s="620"/>
      <c r="I59" s="621"/>
      <c r="J59" s="194"/>
      <c r="K59" s="630" t="s">
        <v>266</v>
      </c>
      <c r="L59" s="49">
        <f t="shared" si="296"/>
        <v>0.02</v>
      </c>
      <c r="M59" s="50">
        <f t="shared" si="297"/>
        <v>1500</v>
      </c>
      <c r="N59" s="51">
        <f t="shared" si="298"/>
        <v>59250</v>
      </c>
      <c r="O59" s="51"/>
      <c r="P59" s="51">
        <f t="shared" si="299"/>
        <v>15750</v>
      </c>
      <c r="Q59" s="52"/>
      <c r="R59" s="52"/>
      <c r="S59" s="52"/>
      <c r="T59" s="52"/>
      <c r="U59" s="52"/>
      <c r="V59" s="53">
        <f t="shared" si="300"/>
        <v>75000</v>
      </c>
      <c r="W59" s="51">
        <f t="shared" si="301"/>
        <v>0</v>
      </c>
      <c r="X59" s="51">
        <f t="shared" si="302"/>
        <v>0</v>
      </c>
      <c r="Y59" s="51">
        <f t="shared" si="303"/>
        <v>0</v>
      </c>
      <c r="Z59" s="51">
        <f t="shared" si="304"/>
        <v>0</v>
      </c>
      <c r="AA59" s="51">
        <f t="shared" si="305"/>
        <v>75000</v>
      </c>
      <c r="AB59" s="51">
        <f t="shared" si="306"/>
        <v>75000</v>
      </c>
      <c r="AC59" s="51">
        <f t="shared" si="307"/>
        <v>1500</v>
      </c>
      <c r="AD59" s="51">
        <f t="shared" si="308"/>
        <v>1500</v>
      </c>
      <c r="AE59" s="51">
        <f t="shared" si="309"/>
        <v>57750</v>
      </c>
      <c r="AF59" s="51">
        <f t="shared" si="310"/>
        <v>57750</v>
      </c>
      <c r="AG59" s="51">
        <f t="shared" si="311"/>
        <v>17250</v>
      </c>
      <c r="AH59" s="54">
        <f t="shared" si="312"/>
        <v>0</v>
      </c>
      <c r="AI59" s="55">
        <f t="shared" si="313"/>
        <v>0</v>
      </c>
      <c r="AJ59" s="56">
        <f>IF(AND($E59&lt;&gt;0,$F59&gt;0,YEAR($F59)&gt;=Preisindex!$A$6,YEAR(AE$4)&gt;=YEAR($F59),AND($K59&lt;&gt;"a",$K59&lt;&gt;"b",$K59&lt;&gt;"g",$K59&lt;&gt;"k")),1,IF(AND($E59&lt;&gt;0,$F59&gt;0,YEAR($F59)&gt;=Preisindex!$A$6,YEAR(AE$4)&gt;=YEAR($F59),$K59="a"),ROUND(VLOOKUP(AJ$4,Preisindex,5,FALSE)/VLOOKUP(YEAR($F59),Preisindex,5,FALSE),2),IF(AND($E59&lt;&gt;0,$F59&gt;0,YEAR($F59)&gt;=Preisindex!$A$6,YEAR(AE$4)&gt;=YEAR($F59),$K59="b"),ROUND(VLOOKUP(AJ$4,Preisindex,3,FALSE)/VLOOKUP(YEAR($F59),Preisindex,3,FALSE),2),IF(AND($E59&lt;&gt;0,$F59&gt;0,YEAR($F59)&gt;=Preisindex!$A$6,YEAR(AE$4)&gt;=YEAR($F59),$K59="g"),ROUND(VLOOKUP(AJ$4,Preisindex,4,FALSE)/VLOOKUP(YEAR($F59),Preisindex,4,FALSE),2),IF(AND($E59&lt;&gt;0,$F59&gt;0,YEAR($F59)&gt;=Preisindex!$A$6,YEAR(AE$4)&gt;=YEAR($F59),$K59="k"),ROUND(VLOOKUP(AJ$4,Preisindex,2,FALSE)/VLOOKUP(YEAR($F59),Preisindex,2,FALSE),2),0)))))</f>
        <v>1.22</v>
      </c>
      <c r="AK59" s="56">
        <f>IF(AND($E59&lt;&gt;0,$F59&gt;0,YEAR($F59)&lt;Preisindex!$A$6,YEAR(AE$4)&gt;=YEAR($F59),AND($K59&lt;&gt;"a",$K59&lt;&gt;"b",$K59&lt;&gt;"g",$K59&lt;&gt;"k")),1,IF(AND($E59&lt;&gt;0,$F59&gt;0,YEAR($F59)&lt;Preisindex!$A$6,YEAR(AE$4)&gt;=YEAR($F59),$K59="a"),ROUND(VLOOKUP(AJ$4,Preisindex,5,FALSE)/VLOOKUP(Preisindex!$A$6,Preisindex,5,FALSE),2),IF(AND($E59&lt;&gt;0,$F59&gt;0,YEAR($F59)&lt;Preisindex!$A$6,YEAR(AE$4)&gt;=YEAR($F59),$K59="b"),ROUND(VLOOKUP(AJ$4,Preisindex,3,FALSE)/VLOOKUP(Preisindex!$A$6,Preisindex,3,FALSE),2),IF(AND($E59&lt;&gt;0,$F59&gt;0,YEAR($F59)&lt;Preisindex!$A$6,YEAR(AE$4)&gt;=YEAR($F59),$K59="g"),ROUND(VLOOKUP(AJ$4,Preisindex,4,FALSE)/VLOOKUP(Preisindex!$A$6,Preisindex,4,FALSE),2),IF(AND($E59&lt;&gt;0,$F59&gt;0,YEAR($F59)&lt;Preisindex!$A$6,YEAR(AE$4)&gt;=YEAR($F59),$K59="k"),ROUND(VLOOKUP(AJ$4,Preisindex,2,FALSE)/VLOOKUP(Preisindex!$A$6,Preisindex,2,FALSE),2),0)))))</f>
        <v>0</v>
      </c>
      <c r="AL59" s="51">
        <f>IF(AND($E59&lt;&gt;0,$F59&gt;0,YEAR($F59)&lt;=AJ$4,YEAR($F59)&gt;=Preisindex!$A$6),ROUND($E59*AJ59,2),IF(AND($E59&lt;&gt;0,$F59&gt;0,YEAR($F59)&lt;=AJ$4,YEAR($F59)&lt;Preisindex!$A$6),ROUND($E59*AK59,2),0))</f>
        <v>91500</v>
      </c>
      <c r="AM59" s="53">
        <f t="shared" si="314"/>
        <v>1830</v>
      </c>
      <c r="AN59" s="51">
        <f t="shared" si="359"/>
        <v>0</v>
      </c>
      <c r="AO59" s="51">
        <f t="shared" si="317"/>
        <v>0</v>
      </c>
      <c r="AP59" s="51">
        <f t="shared" si="146"/>
        <v>0</v>
      </c>
      <c r="AQ59" s="51">
        <f t="shared" si="318"/>
        <v>0</v>
      </c>
      <c r="AR59" s="51">
        <f t="shared" si="148"/>
        <v>75000</v>
      </c>
      <c r="AS59" s="51">
        <f t="shared" si="319"/>
        <v>75000</v>
      </c>
      <c r="AT59" s="51">
        <f t="shared" si="150"/>
        <v>1500</v>
      </c>
      <c r="AU59" s="51">
        <f t="shared" si="320"/>
        <v>1500</v>
      </c>
      <c r="AV59" s="51">
        <f t="shared" si="152"/>
        <v>56250</v>
      </c>
      <c r="AW59" s="51">
        <f t="shared" si="321"/>
        <v>56250</v>
      </c>
      <c r="AX59" s="51">
        <f t="shared" si="154"/>
        <v>18750</v>
      </c>
      <c r="AY59" s="54">
        <f t="shared" si="155"/>
        <v>0</v>
      </c>
      <c r="AZ59" s="55">
        <f t="shared" si="156"/>
        <v>0</v>
      </c>
      <c r="BA59" s="56">
        <f>IF(AND($E59&lt;&gt;0,$F59&gt;0,YEAR($F59)&gt;=Preisindex!$A$6,YEAR(AV$4)&gt;=YEAR($F59),AND($K59&lt;&gt;"a",$K59&lt;&gt;"b",$K59&lt;&gt;"g",$K59&lt;&gt;"k")),1,IF(AND($E59&lt;&gt;0,$F59&gt;0,YEAR($F59)&gt;=Preisindex!$A$6,YEAR(AV$4)&gt;=YEAR($F59),$K59="a"),ROUND(VLOOKUP(BA$4,Preisindex,5,FALSE)/VLOOKUP(YEAR($F59),Preisindex,5,FALSE),2),IF(AND($E59&lt;&gt;0,$F59&gt;0,YEAR($F59)&gt;=Preisindex!$A$6,YEAR(AV$4)&gt;=YEAR($F59),$K59="b"),ROUND(VLOOKUP(BA$4,Preisindex,3,FALSE)/VLOOKUP(YEAR($F59),Preisindex,3,FALSE),2),IF(AND($E59&lt;&gt;0,$F59&gt;0,YEAR($F59)&gt;=Preisindex!$A$6,YEAR(AV$4)&gt;=YEAR($F59),$K59="g"),ROUND(VLOOKUP(BA$4,Preisindex,4,FALSE)/VLOOKUP(YEAR($F59),Preisindex,4,FALSE),2),IF(AND($E59&lt;&gt;0,$F59&gt;0,YEAR($F59)&gt;=Preisindex!$A$6,YEAR(AV$4)&gt;=YEAR($F59),$K59="k"),ROUND(VLOOKUP(BA$4,Preisindex,2,FALSE)/VLOOKUP(YEAR($F59),Preisindex,2,FALSE),2),0)))))</f>
        <v>1.24</v>
      </c>
      <c r="BB59" s="56">
        <f>IF(AND($E59&lt;&gt;0,$F59&gt;0,YEAR($F59)&lt;Preisindex!$A$6,YEAR(AV$4)&gt;=YEAR($F59),AND($K59&lt;&gt;"a",$K59&lt;&gt;"b",$K59&lt;&gt;"g",$K59&lt;&gt;"k")),1,IF(AND($E59&lt;&gt;0,$F59&gt;0,YEAR($F59)&lt;Preisindex!$A$6,YEAR(AV$4)&gt;=YEAR($F59),$K59="a"),ROUND(VLOOKUP(BA$4,Preisindex,5,FALSE)/VLOOKUP(Preisindex!$A$6,Preisindex,5,FALSE),2),IF(AND($E59&lt;&gt;0,$F59&gt;0,YEAR($F59)&lt;Preisindex!$A$6,YEAR(AV$4)&gt;=YEAR($F59),$K59="b"),ROUND(VLOOKUP(BA$4,Preisindex,3,FALSE)/VLOOKUP(Preisindex!$A$6,Preisindex,3,FALSE),2),IF(AND($E59&lt;&gt;0,$F59&gt;0,YEAR($F59)&lt;Preisindex!$A$6,YEAR(AV$4)&gt;=YEAR($F59),$K59="g"),ROUND(VLOOKUP(BA$4,Preisindex,4,FALSE)/VLOOKUP(Preisindex!$A$6,Preisindex,4,FALSE),2),IF(AND($E59&lt;&gt;0,$F59&gt;0,YEAR($F59)&lt;Preisindex!$A$6,YEAR(AV$4)&gt;=YEAR($F59),$K59="k"),ROUND(VLOOKUP(BA$4,Preisindex,2,FALSE)/VLOOKUP(Preisindex!$A$6,Preisindex,2,FALSE),2),0)))))</f>
        <v>0</v>
      </c>
      <c r="BC59" s="51">
        <f>IF(AND($E59&lt;&gt;0,$F59&gt;0,YEAR($F59)&lt;=BA$4,YEAR($F59)&gt;=Preisindex!$A$6),ROUND($E59*BA59,2),IF(AND($E59&lt;&gt;0,$F59&gt;0,YEAR($F59)&lt;=BA$4,YEAR($F59)&lt;Preisindex!$A$6),ROUND($E59*BB59,2),0))</f>
        <v>93000</v>
      </c>
      <c r="BD59" s="53">
        <f t="shared" si="157"/>
        <v>1860</v>
      </c>
      <c r="BE59" s="51">
        <f t="shared" si="359"/>
        <v>0</v>
      </c>
      <c r="BF59" s="51">
        <f t="shared" si="322"/>
        <v>0</v>
      </c>
      <c r="BG59" s="51">
        <f t="shared" si="160"/>
        <v>0</v>
      </c>
      <c r="BH59" s="51">
        <f t="shared" si="323"/>
        <v>0</v>
      </c>
      <c r="BI59" s="51">
        <f t="shared" si="162"/>
        <v>75000</v>
      </c>
      <c r="BJ59" s="51">
        <f t="shared" si="324"/>
        <v>75000</v>
      </c>
      <c r="BK59" s="51">
        <f t="shared" si="164"/>
        <v>1500</v>
      </c>
      <c r="BL59" s="51">
        <f t="shared" si="325"/>
        <v>1500</v>
      </c>
      <c r="BM59" s="51">
        <f t="shared" si="166"/>
        <v>54750</v>
      </c>
      <c r="BN59" s="51">
        <f t="shared" si="326"/>
        <v>54750</v>
      </c>
      <c r="BO59" s="51">
        <f t="shared" si="168"/>
        <v>20250</v>
      </c>
      <c r="BP59" s="54">
        <f t="shared" si="169"/>
        <v>0</v>
      </c>
      <c r="BQ59" s="55">
        <f t="shared" si="170"/>
        <v>0</v>
      </c>
      <c r="BR59" s="56">
        <f>IF(AND($E59&lt;&gt;0,$F59&gt;0,YEAR($F59)&gt;=Preisindex!$A$6,YEAR(BM$4)&gt;=YEAR($F59),AND($K59&lt;&gt;"a",$K59&lt;&gt;"b",$K59&lt;&gt;"g",$K59&lt;&gt;"k")),1,IF(AND($E59&lt;&gt;0,$F59&gt;0,YEAR($F59)&gt;=Preisindex!$A$6,YEAR(BM$4)&gt;=YEAR($F59),$K59="a"),ROUND(VLOOKUP(BR$4,Preisindex,5,FALSE)/VLOOKUP(YEAR($F59),Preisindex,5,FALSE),2),IF(AND($E59&lt;&gt;0,$F59&gt;0,YEAR($F59)&gt;=Preisindex!$A$6,YEAR(BM$4)&gt;=YEAR($F59),$K59="b"),ROUND(VLOOKUP(BR$4,Preisindex,3,FALSE)/VLOOKUP(YEAR($F59),Preisindex,3,FALSE),2),IF(AND($E59&lt;&gt;0,$F59&gt;0,YEAR($F59)&gt;=Preisindex!$A$6,YEAR(BM$4)&gt;=YEAR($F59),$K59="g"),ROUND(VLOOKUP(BR$4,Preisindex,4,FALSE)/VLOOKUP(YEAR($F59),Preisindex,4,FALSE),2),IF(AND($E59&lt;&gt;0,$F59&gt;0,YEAR($F59)&gt;=Preisindex!$A$6,YEAR(BM$4)&gt;=YEAR($F59),$K59="k"),ROUND(VLOOKUP(BR$4,Preisindex,2,FALSE)/VLOOKUP(YEAR($F59),Preisindex,2,FALSE),2),0)))))</f>
        <v>1.26</v>
      </c>
      <c r="BS59" s="56">
        <f>IF(AND($E59&lt;&gt;0,$F59&gt;0,YEAR($F59)&lt;Preisindex!$A$6,YEAR(BM$4)&gt;=YEAR($F59),AND($K59&lt;&gt;"a",$K59&lt;&gt;"b",$K59&lt;&gt;"g",$K59&lt;&gt;"k")),1,IF(AND($E59&lt;&gt;0,$F59&gt;0,YEAR($F59)&lt;Preisindex!$A$6,YEAR(BM$4)&gt;=YEAR($F59),$K59="a"),ROUND(VLOOKUP(BR$4,Preisindex,5,FALSE)/VLOOKUP(Preisindex!$A$6,Preisindex,5,FALSE),2),IF(AND($E59&lt;&gt;0,$F59&gt;0,YEAR($F59)&lt;Preisindex!$A$6,YEAR(BM$4)&gt;=YEAR($F59),$K59="b"),ROUND(VLOOKUP(BR$4,Preisindex,3,FALSE)/VLOOKUP(Preisindex!$A$6,Preisindex,3,FALSE),2),IF(AND($E59&lt;&gt;0,$F59&gt;0,YEAR($F59)&lt;Preisindex!$A$6,YEAR(BM$4)&gt;=YEAR($F59),$K59="g"),ROUND(VLOOKUP(BR$4,Preisindex,4,FALSE)/VLOOKUP(Preisindex!$A$6,Preisindex,4,FALSE),2),IF(AND($E59&lt;&gt;0,$F59&gt;0,YEAR($F59)&lt;Preisindex!$A$6,YEAR(BM$4)&gt;=YEAR($F59),$K59="k"),ROUND(VLOOKUP(BR$4,Preisindex,2,FALSE)/VLOOKUP(Preisindex!$A$6,Preisindex,2,FALSE),2),0)))))</f>
        <v>0</v>
      </c>
      <c r="BT59" s="51">
        <f>IF(AND($E59&lt;&gt;0,$F59&gt;0,YEAR($F59)&lt;=BR$4,YEAR($F59)&gt;=Preisindex!$A$6),ROUND($E59*BR59,2),IF(AND($E59&lt;&gt;0,$F59&gt;0,YEAR($F59)&lt;=BR$4,YEAR($F59)&lt;Preisindex!$A$6),ROUND($E59*BS59,2),0))</f>
        <v>94500</v>
      </c>
      <c r="BU59" s="53">
        <f t="shared" si="171"/>
        <v>1890</v>
      </c>
      <c r="BV59" s="51">
        <f t="shared" si="359"/>
        <v>0</v>
      </c>
      <c r="BW59" s="51">
        <f t="shared" si="327"/>
        <v>0</v>
      </c>
      <c r="BX59" s="51">
        <f t="shared" si="174"/>
        <v>0</v>
      </c>
      <c r="BY59" s="51">
        <f t="shared" si="328"/>
        <v>0</v>
      </c>
      <c r="BZ59" s="51">
        <f t="shared" si="176"/>
        <v>75000</v>
      </c>
      <c r="CA59" s="51">
        <f t="shared" si="329"/>
        <v>75000</v>
      </c>
      <c r="CB59" s="51">
        <f t="shared" si="178"/>
        <v>1500</v>
      </c>
      <c r="CC59" s="51">
        <f t="shared" si="330"/>
        <v>1500</v>
      </c>
      <c r="CD59" s="51">
        <f t="shared" si="180"/>
        <v>53250</v>
      </c>
      <c r="CE59" s="51">
        <f t="shared" si="331"/>
        <v>53250</v>
      </c>
      <c r="CF59" s="51">
        <f t="shared" si="182"/>
        <v>21750</v>
      </c>
      <c r="CG59" s="54">
        <f t="shared" si="183"/>
        <v>0</v>
      </c>
      <c r="CH59" s="55">
        <f t="shared" si="184"/>
        <v>0</v>
      </c>
      <c r="CI59" s="56">
        <f>IF(AND($E59&lt;&gt;0,$F59&gt;0,YEAR($F59)&gt;=Preisindex!$A$6,YEAR(CD$4)&gt;=YEAR($F59),AND($K59&lt;&gt;"a",$K59&lt;&gt;"b",$K59&lt;&gt;"g",$K59&lt;&gt;"k")),1,IF(AND($E59&lt;&gt;0,$F59&gt;0,YEAR($F59)&gt;=Preisindex!$A$6,YEAR(CD$4)&gt;=YEAR($F59),$K59="a"),ROUND(VLOOKUP(CI$4,Preisindex,5,FALSE)/VLOOKUP(YEAR($F59),Preisindex,5,FALSE),2),IF(AND($E59&lt;&gt;0,$F59&gt;0,YEAR($F59)&gt;=Preisindex!$A$6,YEAR(CD$4)&gt;=YEAR($F59),$K59="b"),ROUND(VLOOKUP(CI$4,Preisindex,3,FALSE)/VLOOKUP(YEAR($F59),Preisindex,3,FALSE),2),IF(AND($E59&lt;&gt;0,$F59&gt;0,YEAR($F59)&gt;=Preisindex!$A$6,YEAR(CD$4)&gt;=YEAR($F59),$K59="g"),ROUND(VLOOKUP(CI$4,Preisindex,4,FALSE)/VLOOKUP(YEAR($F59),Preisindex,4,FALSE),2),IF(AND($E59&lt;&gt;0,$F59&gt;0,YEAR($F59)&gt;=Preisindex!$A$6,YEAR(CD$4)&gt;=YEAR($F59),$K59="k"),ROUND(VLOOKUP(CI$4,Preisindex,2,FALSE)/VLOOKUP(YEAR($F59),Preisindex,2,FALSE),2),0)))))</f>
        <v>1.27</v>
      </c>
      <c r="CJ59" s="56">
        <f>IF(AND($E59&lt;&gt;0,$F59&gt;0,YEAR($F59)&lt;Preisindex!$A$6,YEAR(CD$4)&gt;=YEAR($F59),AND($K59&lt;&gt;"a",$K59&lt;&gt;"b",$K59&lt;&gt;"g",$K59&lt;&gt;"k")),1,IF(AND($E59&lt;&gt;0,$F59&gt;0,YEAR($F59)&lt;Preisindex!$A$6,YEAR(CD$4)&gt;=YEAR($F59),$K59="a"),ROUND(VLOOKUP(CI$4,Preisindex,5,FALSE)/VLOOKUP(Preisindex!$A$6,Preisindex,5,FALSE),2),IF(AND($E59&lt;&gt;0,$F59&gt;0,YEAR($F59)&lt;Preisindex!$A$6,YEAR(CD$4)&gt;=YEAR($F59),$K59="b"),ROUND(VLOOKUP(CI$4,Preisindex,3,FALSE)/VLOOKUP(Preisindex!$A$6,Preisindex,3,FALSE),2),IF(AND($E59&lt;&gt;0,$F59&gt;0,YEAR($F59)&lt;Preisindex!$A$6,YEAR(CD$4)&gt;=YEAR($F59),$K59="g"),ROUND(VLOOKUP(CI$4,Preisindex,4,FALSE)/VLOOKUP(Preisindex!$A$6,Preisindex,4,FALSE),2),IF(AND($E59&lt;&gt;0,$F59&gt;0,YEAR($F59)&lt;Preisindex!$A$6,YEAR(CD$4)&gt;=YEAR($F59),$K59="k"),ROUND(VLOOKUP(CI$4,Preisindex,2,FALSE)/VLOOKUP(Preisindex!$A$6,Preisindex,2,FALSE),2),0)))))</f>
        <v>0</v>
      </c>
      <c r="CK59" s="51">
        <f>IF(AND($E59&lt;&gt;0,$F59&gt;0,YEAR($F59)&lt;=CI$4,YEAR($F59)&gt;=Preisindex!$A$6),ROUND($E59*CI59,2),IF(AND($E59&lt;&gt;0,$F59&gt;0,YEAR($F59)&lt;=CI$4,YEAR($F59)&lt;Preisindex!$A$6),ROUND($E59*CJ59,2),0))</f>
        <v>95250</v>
      </c>
      <c r="CL59" s="53">
        <f t="shared" si="185"/>
        <v>1905</v>
      </c>
      <c r="CM59" s="51">
        <f t="shared" si="359"/>
        <v>0</v>
      </c>
      <c r="CN59" s="51">
        <f t="shared" si="332"/>
        <v>0</v>
      </c>
      <c r="CO59" s="51">
        <f t="shared" si="188"/>
        <v>0</v>
      </c>
      <c r="CP59" s="51">
        <f t="shared" si="333"/>
        <v>0</v>
      </c>
      <c r="CQ59" s="51">
        <f t="shared" si="190"/>
        <v>75000</v>
      </c>
      <c r="CR59" s="51">
        <f t="shared" si="334"/>
        <v>75000</v>
      </c>
      <c r="CS59" s="51">
        <f t="shared" si="192"/>
        <v>1500</v>
      </c>
      <c r="CT59" s="51">
        <f t="shared" si="335"/>
        <v>1500</v>
      </c>
      <c r="CU59" s="51">
        <f t="shared" si="194"/>
        <v>51750</v>
      </c>
      <c r="CV59" s="51">
        <f t="shared" si="336"/>
        <v>51750</v>
      </c>
      <c r="CW59" s="51">
        <f t="shared" si="196"/>
        <v>23250</v>
      </c>
      <c r="CX59" s="54">
        <f t="shared" si="197"/>
        <v>0</v>
      </c>
      <c r="CY59" s="55">
        <f t="shared" si="198"/>
        <v>0</v>
      </c>
      <c r="CZ59" s="56">
        <f>IF(AND($E59&lt;&gt;0,$F59&gt;0,YEAR($F59)&gt;=Preisindex!$A$6,YEAR(CU$4)&gt;=YEAR($F59),AND($K59&lt;&gt;"a",$K59&lt;&gt;"b",$K59&lt;&gt;"g",$K59&lt;&gt;"k")),1,IF(AND($E59&lt;&gt;0,$F59&gt;0,YEAR($F59)&gt;=Preisindex!$A$6,YEAR(CU$4)&gt;=YEAR($F59),$K59="a"),ROUND(VLOOKUP(CZ$4,Preisindex,5,FALSE)/VLOOKUP(YEAR($F59),Preisindex,5,FALSE),2),IF(AND($E59&lt;&gt;0,$F59&gt;0,YEAR($F59)&gt;=Preisindex!$A$6,YEAR(CU$4)&gt;=YEAR($F59),$K59="b"),ROUND(VLOOKUP(CZ$4,Preisindex,3,FALSE)/VLOOKUP(YEAR($F59),Preisindex,3,FALSE),2),IF(AND($E59&lt;&gt;0,$F59&gt;0,YEAR($F59)&gt;=Preisindex!$A$6,YEAR(CU$4)&gt;=YEAR($F59),$K59="g"),ROUND(VLOOKUP(CZ$4,Preisindex,4,FALSE)/VLOOKUP(YEAR($F59),Preisindex,4,FALSE),2),IF(AND($E59&lt;&gt;0,$F59&gt;0,YEAR($F59)&gt;=Preisindex!$A$6,YEAR(CU$4)&gt;=YEAR($F59),$K59="k"),ROUND(VLOOKUP(CZ$4,Preisindex,2,FALSE)/VLOOKUP(YEAR($F59),Preisindex,2,FALSE),2),0)))))</f>
        <v>1.29</v>
      </c>
      <c r="DA59" s="56">
        <f>IF(AND($E59&lt;&gt;0,$F59&gt;0,YEAR($F59)&lt;Preisindex!$A$6,YEAR(CU$4)&gt;=YEAR($F59),AND($K59&lt;&gt;"a",$K59&lt;&gt;"b",$K59&lt;&gt;"g",$K59&lt;&gt;"k")),1,IF(AND($E59&lt;&gt;0,$F59&gt;0,YEAR($F59)&lt;Preisindex!$A$6,YEAR(CU$4)&gt;=YEAR($F59),$K59="a"),ROUND(VLOOKUP(CZ$4,Preisindex,5,FALSE)/VLOOKUP(Preisindex!$A$6,Preisindex,5,FALSE),2),IF(AND($E59&lt;&gt;0,$F59&gt;0,YEAR($F59)&lt;Preisindex!$A$6,YEAR(CU$4)&gt;=YEAR($F59),$K59="b"),ROUND(VLOOKUP(CZ$4,Preisindex,3,FALSE)/VLOOKUP(Preisindex!$A$6,Preisindex,3,FALSE),2),IF(AND($E59&lt;&gt;0,$F59&gt;0,YEAR($F59)&lt;Preisindex!$A$6,YEAR(CU$4)&gt;=YEAR($F59),$K59="g"),ROUND(VLOOKUP(CZ$4,Preisindex,4,FALSE)/VLOOKUP(Preisindex!$A$6,Preisindex,4,FALSE),2),IF(AND($E59&lt;&gt;0,$F59&gt;0,YEAR($F59)&lt;Preisindex!$A$6,YEAR(CU$4)&gt;=YEAR($F59),$K59="k"),ROUND(VLOOKUP(CZ$4,Preisindex,2,FALSE)/VLOOKUP(Preisindex!$A$6,Preisindex,2,FALSE),2),0)))))</f>
        <v>0</v>
      </c>
      <c r="DB59" s="51">
        <f>IF(AND($E59&lt;&gt;0,$F59&gt;0,YEAR($F59)&lt;=CZ$4,YEAR($F59)&gt;=Preisindex!$A$6),ROUND($E59*CZ59,2),IF(AND($E59&lt;&gt;0,$F59&gt;0,YEAR($F59)&lt;=CZ$4,YEAR($F59)&lt;Preisindex!$A$6),ROUND($E59*DA59,2),0))</f>
        <v>96750</v>
      </c>
      <c r="DC59" s="53">
        <f t="shared" si="199"/>
        <v>1935</v>
      </c>
      <c r="DD59" s="51">
        <f t="shared" si="360"/>
        <v>0</v>
      </c>
      <c r="DE59" s="51">
        <f t="shared" si="337"/>
        <v>0</v>
      </c>
      <c r="DF59" s="51">
        <f t="shared" si="202"/>
        <v>0</v>
      </c>
      <c r="DG59" s="51">
        <f t="shared" si="338"/>
        <v>0</v>
      </c>
      <c r="DH59" s="51">
        <f t="shared" si="204"/>
        <v>75000</v>
      </c>
      <c r="DI59" s="51">
        <f t="shared" si="339"/>
        <v>75000</v>
      </c>
      <c r="DJ59" s="51">
        <f t="shared" si="206"/>
        <v>1500</v>
      </c>
      <c r="DK59" s="51">
        <f t="shared" si="340"/>
        <v>1500</v>
      </c>
      <c r="DL59" s="51">
        <f t="shared" si="208"/>
        <v>50250</v>
      </c>
      <c r="DM59" s="51">
        <f t="shared" si="341"/>
        <v>50250</v>
      </c>
      <c r="DN59" s="51">
        <f t="shared" si="210"/>
        <v>24750</v>
      </c>
      <c r="DO59" s="54">
        <f t="shared" si="211"/>
        <v>0</v>
      </c>
      <c r="DP59" s="55">
        <f t="shared" si="212"/>
        <v>0</v>
      </c>
      <c r="DQ59" s="56">
        <f>IF(AND($E59&lt;&gt;0,$F59&gt;0,YEAR($F59)&gt;=Preisindex!$A$6,YEAR(DL$4)&gt;=YEAR($F59),AND($K59&lt;&gt;"a",$K59&lt;&gt;"b",$K59&lt;&gt;"g",$K59&lt;&gt;"k")),1,IF(AND($E59&lt;&gt;0,$F59&gt;0,YEAR($F59)&gt;=Preisindex!$A$6,YEAR(DL$4)&gt;=YEAR($F59),$K59="a"),ROUND(VLOOKUP(DQ$4,Preisindex,5,FALSE)/VLOOKUP(YEAR($F59),Preisindex,5,FALSE),2),IF(AND($E59&lt;&gt;0,$F59&gt;0,YEAR($F59)&gt;=Preisindex!$A$6,YEAR(DL$4)&gt;=YEAR($F59),$K59="b"),ROUND(VLOOKUP(DQ$4,Preisindex,3,FALSE)/VLOOKUP(YEAR($F59),Preisindex,3,FALSE),2),IF(AND($E59&lt;&gt;0,$F59&gt;0,YEAR($F59)&gt;=Preisindex!$A$6,YEAR(DL$4)&gt;=YEAR($F59),$K59="g"),ROUND(VLOOKUP(DQ$4,Preisindex,4,FALSE)/VLOOKUP(YEAR($F59),Preisindex,4,FALSE),2),IF(AND($E59&lt;&gt;0,$F59&gt;0,YEAR($F59)&gt;=Preisindex!$A$6,YEAR(DL$4)&gt;=YEAR($F59),$K59="k"),ROUND(VLOOKUP(DQ$4,Preisindex,2,FALSE)/VLOOKUP(YEAR($F59),Preisindex,2,FALSE),2),0)))))</f>
        <v>1.34</v>
      </c>
      <c r="DR59" s="56">
        <f>IF(AND($E59&lt;&gt;0,$F59&gt;0,YEAR($F59)&lt;Preisindex!$A$6,YEAR(DL$4)&gt;=YEAR($F59),AND($K59&lt;&gt;"a",$K59&lt;&gt;"b",$K59&lt;&gt;"g",$K59&lt;&gt;"k")),1,IF(AND($E59&lt;&gt;0,$F59&gt;0,YEAR($F59)&lt;Preisindex!$A$6,YEAR(DL$4)&gt;=YEAR($F59),$K59="a"),ROUND(VLOOKUP(DQ$4,Preisindex,5,FALSE)/VLOOKUP(Preisindex!$A$6,Preisindex,5,FALSE),2),IF(AND($E59&lt;&gt;0,$F59&gt;0,YEAR($F59)&lt;Preisindex!$A$6,YEAR(DL$4)&gt;=YEAR($F59),$K59="b"),ROUND(VLOOKUP(DQ$4,Preisindex,3,FALSE)/VLOOKUP(Preisindex!$A$6,Preisindex,3,FALSE),2),IF(AND($E59&lt;&gt;0,$F59&gt;0,YEAR($F59)&lt;Preisindex!$A$6,YEAR(DL$4)&gt;=YEAR($F59),$K59="g"),ROUND(VLOOKUP(DQ$4,Preisindex,4,FALSE)/VLOOKUP(Preisindex!$A$6,Preisindex,4,FALSE),2),IF(AND($E59&lt;&gt;0,$F59&gt;0,YEAR($F59)&lt;Preisindex!$A$6,YEAR(DL$4)&gt;=YEAR($F59),$K59="k"),ROUND(VLOOKUP(DQ$4,Preisindex,2,FALSE)/VLOOKUP(Preisindex!$A$6,Preisindex,2,FALSE),2),0)))))</f>
        <v>0</v>
      </c>
      <c r="DS59" s="51">
        <f>IF(AND($E59&lt;&gt;0,$F59&gt;0,YEAR($F59)&lt;=DQ$4,YEAR($F59)&gt;=Preisindex!$A$6),ROUND($E59*DQ59,2),IF(AND($E59&lt;&gt;0,$F59&gt;0,YEAR($F59)&lt;=DQ$4,YEAR($F59)&lt;Preisindex!$A$6),ROUND($E59*DR59,2),0))</f>
        <v>100500</v>
      </c>
      <c r="DT59" s="53">
        <f t="shared" si="213"/>
        <v>2010</v>
      </c>
      <c r="DU59" s="51">
        <f t="shared" si="360"/>
        <v>0</v>
      </c>
      <c r="DV59" s="51">
        <f t="shared" si="342"/>
        <v>0</v>
      </c>
      <c r="DW59" s="51">
        <f t="shared" si="216"/>
        <v>0</v>
      </c>
      <c r="DX59" s="51">
        <f t="shared" si="343"/>
        <v>0</v>
      </c>
      <c r="DY59" s="51">
        <f t="shared" si="218"/>
        <v>75000</v>
      </c>
      <c r="DZ59" s="51">
        <f t="shared" si="344"/>
        <v>75000</v>
      </c>
      <c r="EA59" s="51">
        <f t="shared" si="220"/>
        <v>1500</v>
      </c>
      <c r="EB59" s="51">
        <f t="shared" si="345"/>
        <v>1500</v>
      </c>
      <c r="EC59" s="51">
        <f t="shared" si="222"/>
        <v>48750</v>
      </c>
      <c r="ED59" s="51">
        <f t="shared" si="346"/>
        <v>48750</v>
      </c>
      <c r="EE59" s="51">
        <f t="shared" si="224"/>
        <v>26250</v>
      </c>
      <c r="EF59" s="54">
        <f t="shared" si="225"/>
        <v>0</v>
      </c>
      <c r="EG59" s="55">
        <f t="shared" si="226"/>
        <v>0</v>
      </c>
      <c r="EH59" s="56">
        <f>IF(AND($E59&lt;&gt;0,$F59&gt;0,YEAR($F59)&gt;=Preisindex!$A$6,YEAR(EC$4)&gt;=YEAR($F59),AND($K59&lt;&gt;"a",$K59&lt;&gt;"b",$K59&lt;&gt;"g",$K59&lt;&gt;"k")),1,IF(AND($E59&lt;&gt;0,$F59&gt;0,YEAR($F59)&gt;=Preisindex!$A$6,YEAR(EC$4)&gt;=YEAR($F59),$K59="a"),ROUND(VLOOKUP(EH$4,Preisindex,5,FALSE)/VLOOKUP(YEAR($F59),Preisindex,5,FALSE),2),IF(AND($E59&lt;&gt;0,$F59&gt;0,YEAR($F59)&gt;=Preisindex!$A$6,YEAR(EC$4)&gt;=YEAR($F59),$K59="b"),ROUND(VLOOKUP(EH$4,Preisindex,3,FALSE)/VLOOKUP(YEAR($F59),Preisindex,3,FALSE),2),IF(AND($E59&lt;&gt;0,$F59&gt;0,YEAR($F59)&gt;=Preisindex!$A$6,YEAR(EC$4)&gt;=YEAR($F59),$K59="g"),ROUND(VLOOKUP(EH$4,Preisindex,4,FALSE)/VLOOKUP(YEAR($F59),Preisindex,4,FALSE),2),IF(AND($E59&lt;&gt;0,$F59&gt;0,YEAR($F59)&gt;=Preisindex!$A$6,YEAR(EC$4)&gt;=YEAR($F59),$K59="k"),ROUND(VLOOKUP(EH$4,Preisindex,2,FALSE)/VLOOKUP(YEAR($F59),Preisindex,2,FALSE),2),0)))))</f>
        <v>1.4</v>
      </c>
      <c r="EI59" s="56">
        <f>IF(AND($E59&lt;&gt;0,$F59&gt;0,YEAR($F59)&lt;Preisindex!$A$6,YEAR(EC$4)&gt;=YEAR($F59),AND($K59&lt;&gt;"a",$K59&lt;&gt;"b",$K59&lt;&gt;"g",$K59&lt;&gt;"k")),1,IF(AND($E59&lt;&gt;0,$F59&gt;0,YEAR($F59)&lt;Preisindex!$A$6,YEAR(EC$4)&gt;=YEAR($F59),$K59="a"),ROUND(VLOOKUP(EH$4,Preisindex,5,FALSE)/VLOOKUP(Preisindex!$A$6,Preisindex,5,FALSE),2),IF(AND($E59&lt;&gt;0,$F59&gt;0,YEAR($F59)&lt;Preisindex!$A$6,YEAR(EC$4)&gt;=YEAR($F59),$K59="b"),ROUND(VLOOKUP(EH$4,Preisindex,3,FALSE)/VLOOKUP(Preisindex!$A$6,Preisindex,3,FALSE),2),IF(AND($E59&lt;&gt;0,$F59&gt;0,YEAR($F59)&lt;Preisindex!$A$6,YEAR(EC$4)&gt;=YEAR($F59),$K59="g"),ROUND(VLOOKUP(EH$4,Preisindex,4,FALSE)/VLOOKUP(Preisindex!$A$6,Preisindex,4,FALSE),2),IF(AND($E59&lt;&gt;0,$F59&gt;0,YEAR($F59)&lt;Preisindex!$A$6,YEAR(EC$4)&gt;=YEAR($F59),$K59="k"),ROUND(VLOOKUP(EH$4,Preisindex,2,FALSE)/VLOOKUP(Preisindex!$A$6,Preisindex,2,FALSE),2),0)))))</f>
        <v>0</v>
      </c>
      <c r="EJ59" s="51">
        <f>IF(AND($E59&lt;&gt;0,$F59&gt;0,YEAR($F59)&lt;=EH$4,YEAR($F59)&gt;=Preisindex!$A$6),ROUND($E59*EH59,2),IF(AND($E59&lt;&gt;0,$F59&gt;0,YEAR($F59)&lt;=EH$4,YEAR($F59)&lt;Preisindex!$A$6),ROUND($E59*EI59,2),0))</f>
        <v>105000</v>
      </c>
      <c r="EK59" s="53">
        <f t="shared" si="227"/>
        <v>2100</v>
      </c>
      <c r="EL59" s="51">
        <f t="shared" si="360"/>
        <v>0</v>
      </c>
      <c r="EM59" s="51">
        <f t="shared" si="347"/>
        <v>0</v>
      </c>
      <c r="EN59" s="51">
        <f t="shared" si="230"/>
        <v>0</v>
      </c>
      <c r="EO59" s="51">
        <f t="shared" si="348"/>
        <v>0</v>
      </c>
      <c r="EP59" s="51">
        <f t="shared" si="232"/>
        <v>75000</v>
      </c>
      <c r="EQ59" s="51">
        <f t="shared" si="349"/>
        <v>75000</v>
      </c>
      <c r="ER59" s="51">
        <f t="shared" si="234"/>
        <v>1500</v>
      </c>
      <c r="ES59" s="51">
        <f t="shared" si="350"/>
        <v>1500</v>
      </c>
      <c r="ET59" s="51">
        <f t="shared" si="236"/>
        <v>47250</v>
      </c>
      <c r="EU59" s="51">
        <f t="shared" si="351"/>
        <v>47250</v>
      </c>
      <c r="EV59" s="51">
        <f t="shared" si="238"/>
        <v>27750</v>
      </c>
      <c r="EW59" s="54">
        <f t="shared" si="239"/>
        <v>0</v>
      </c>
      <c r="EX59" s="55">
        <f t="shared" si="240"/>
        <v>0</v>
      </c>
      <c r="EY59" s="56">
        <f>IF(AND($E59&lt;&gt;0,$F59&gt;0,YEAR($F59)&gt;=Preisindex!$A$6,YEAR(ET$4)&gt;=YEAR($F59),AND($K59&lt;&gt;"a",$K59&lt;&gt;"b",$K59&lt;&gt;"g",$K59&lt;&gt;"k")),1,IF(AND($E59&lt;&gt;0,$F59&gt;0,YEAR($F59)&gt;=Preisindex!$A$6,YEAR(ET$4)&gt;=YEAR($F59),$K59="a"),ROUND(VLOOKUP(EY$4,Preisindex,5,FALSE)/VLOOKUP(YEAR($F59),Preisindex,5,FALSE),2),IF(AND($E59&lt;&gt;0,$F59&gt;0,YEAR($F59)&gt;=Preisindex!$A$6,YEAR(ET$4)&gt;=YEAR($F59),$K59="b"),ROUND(VLOOKUP(EY$4,Preisindex,3,FALSE)/VLOOKUP(YEAR($F59),Preisindex,3,FALSE),2),IF(AND($E59&lt;&gt;0,$F59&gt;0,YEAR($F59)&gt;=Preisindex!$A$6,YEAR(ET$4)&gt;=YEAR($F59),$K59="g"),ROUND(VLOOKUP(EY$4,Preisindex,4,FALSE)/VLOOKUP(YEAR($F59),Preisindex,4,FALSE),2),IF(AND($E59&lt;&gt;0,$F59&gt;0,YEAR($F59)&gt;=Preisindex!$A$6,YEAR(ET$4)&gt;=YEAR($F59),$K59="k"),ROUND(VLOOKUP(EY$4,Preisindex,2,FALSE)/VLOOKUP(YEAR($F59),Preisindex,2,FALSE),2),0)))))</f>
        <v>1.4</v>
      </c>
      <c r="EZ59" s="56">
        <f>IF(AND($E59&lt;&gt;0,$F59&gt;0,YEAR($F59)&lt;Preisindex!$A$6,YEAR(ET$4)&gt;=YEAR($F59),AND($K59&lt;&gt;"a",$K59&lt;&gt;"b",$K59&lt;&gt;"g",$K59&lt;&gt;"k")),1,IF(AND($E59&lt;&gt;0,$F59&gt;0,YEAR($F59)&lt;Preisindex!$A$6,YEAR(ET$4)&gt;=YEAR($F59),$K59="a"),ROUND(VLOOKUP(EY$4,Preisindex,5,FALSE)/VLOOKUP(Preisindex!$A$6,Preisindex,5,FALSE),2),IF(AND($E59&lt;&gt;0,$F59&gt;0,YEAR($F59)&lt;Preisindex!$A$6,YEAR(ET$4)&gt;=YEAR($F59),$K59="b"),ROUND(VLOOKUP(EY$4,Preisindex,3,FALSE)/VLOOKUP(Preisindex!$A$6,Preisindex,3,FALSE),2),IF(AND($E59&lt;&gt;0,$F59&gt;0,YEAR($F59)&lt;Preisindex!$A$6,YEAR(ET$4)&gt;=YEAR($F59),$K59="g"),ROUND(VLOOKUP(EY$4,Preisindex,4,FALSE)/VLOOKUP(Preisindex!$A$6,Preisindex,4,FALSE),2),IF(AND($E59&lt;&gt;0,$F59&gt;0,YEAR($F59)&lt;Preisindex!$A$6,YEAR(ET$4)&gt;=YEAR($F59),$K59="k"),ROUND(VLOOKUP(EY$4,Preisindex,2,FALSE)/VLOOKUP(Preisindex!$A$6,Preisindex,2,FALSE),2),0)))))</f>
        <v>0</v>
      </c>
      <c r="FA59" s="51">
        <f>IF(AND($E59&lt;&gt;0,$F59&gt;0,YEAR($F59)&lt;=EY$4,YEAR($F59)&gt;=Preisindex!$A$6),ROUND($E59*EY59,2),IF(AND($E59&lt;&gt;0,$F59&gt;0,YEAR($F59)&lt;=EY$4,YEAR($F59)&lt;Preisindex!$A$6),ROUND($E59*EZ59,2),0))</f>
        <v>105000</v>
      </c>
      <c r="FB59" s="53">
        <f t="shared" si="241"/>
        <v>2100</v>
      </c>
      <c r="FC59" s="51">
        <f t="shared" si="360"/>
        <v>0</v>
      </c>
      <c r="FD59" s="51">
        <f t="shared" si="352"/>
        <v>0</v>
      </c>
      <c r="FE59" s="51">
        <f t="shared" si="244"/>
        <v>0</v>
      </c>
      <c r="FF59" s="51">
        <f t="shared" si="353"/>
        <v>0</v>
      </c>
      <c r="FG59" s="51">
        <f t="shared" si="246"/>
        <v>75000</v>
      </c>
      <c r="FH59" s="51">
        <f t="shared" si="354"/>
        <v>75000</v>
      </c>
      <c r="FI59" s="51">
        <f t="shared" si="248"/>
        <v>1500</v>
      </c>
      <c r="FJ59" s="51">
        <f t="shared" si="355"/>
        <v>1500</v>
      </c>
      <c r="FK59" s="51">
        <f t="shared" si="250"/>
        <v>45750</v>
      </c>
      <c r="FL59" s="51">
        <f t="shared" si="356"/>
        <v>45750</v>
      </c>
      <c r="FM59" s="51">
        <f t="shared" si="252"/>
        <v>29250</v>
      </c>
      <c r="FN59" s="54">
        <f t="shared" si="253"/>
        <v>0</v>
      </c>
      <c r="FO59" s="55">
        <f t="shared" si="254"/>
        <v>0</v>
      </c>
      <c r="FP59" s="56">
        <f>IF(AND($E59&lt;&gt;0,$F59&gt;0,YEAR($F59)&gt;=Preisindex!$A$6,YEAR(FK$4)&gt;=YEAR($F59),AND($K59&lt;&gt;"a",$K59&lt;&gt;"b",$K59&lt;&gt;"g",$K59&lt;&gt;"k")),1,IF(AND($E59&lt;&gt;0,$F59&gt;0,YEAR($F59)&gt;=Preisindex!$A$6,YEAR(FK$4)&gt;=YEAR($F59),$K59="a"),ROUND(VLOOKUP(FP$4,Preisindex,5,FALSE)/VLOOKUP(YEAR($F59),Preisindex,5,FALSE),2),IF(AND($E59&lt;&gt;0,$F59&gt;0,YEAR($F59)&gt;=Preisindex!$A$6,YEAR(FK$4)&gt;=YEAR($F59),$K59="b"),ROUND(VLOOKUP(FP$4,Preisindex,3,FALSE)/VLOOKUP(YEAR($F59),Preisindex,3,FALSE),2),IF(AND($E59&lt;&gt;0,$F59&gt;0,YEAR($F59)&gt;=Preisindex!$A$6,YEAR(FK$4)&gt;=YEAR($F59),$K59="g"),ROUND(VLOOKUP(FP$4,Preisindex,4,FALSE)/VLOOKUP(YEAR($F59),Preisindex,4,FALSE),2),IF(AND($E59&lt;&gt;0,$F59&gt;0,YEAR($F59)&gt;=Preisindex!$A$6,YEAR(FK$4)&gt;=YEAR($F59),$K59="k"),ROUND(VLOOKUP(FP$4,Preisindex,2,FALSE)/VLOOKUP(YEAR($F59),Preisindex,2,FALSE),2),0)))))</f>
        <v>1.4</v>
      </c>
      <c r="FQ59" s="56">
        <f>IF(AND($E59&lt;&gt;0,$F59&gt;0,YEAR($F59)&lt;Preisindex!$A$6,YEAR(FK$4)&gt;=YEAR($F59),AND($K59&lt;&gt;"a",$K59&lt;&gt;"b",$K59&lt;&gt;"g",$K59&lt;&gt;"k")),1,IF(AND($E59&lt;&gt;0,$F59&gt;0,YEAR($F59)&lt;Preisindex!$A$6,YEAR(FK$4)&gt;=YEAR($F59),$K59="a"),ROUND(VLOOKUP(FP$4,Preisindex,5,FALSE)/VLOOKUP(Preisindex!$A$6,Preisindex,5,FALSE),2),IF(AND($E59&lt;&gt;0,$F59&gt;0,YEAR($F59)&lt;Preisindex!$A$6,YEAR(FK$4)&gt;=YEAR($F59),$K59="b"),ROUND(VLOOKUP(FP$4,Preisindex,3,FALSE)/VLOOKUP(Preisindex!$A$6,Preisindex,3,FALSE),2),IF(AND($E59&lt;&gt;0,$F59&gt;0,YEAR($F59)&lt;Preisindex!$A$6,YEAR(FK$4)&gt;=YEAR($F59),$K59="g"),ROUND(VLOOKUP(FP$4,Preisindex,4,FALSE)/VLOOKUP(Preisindex!$A$6,Preisindex,4,FALSE),2),IF(AND($E59&lt;&gt;0,$F59&gt;0,YEAR($F59)&lt;Preisindex!$A$6,YEAR(FK$4)&gt;=YEAR($F59),$K59="k"),ROUND(VLOOKUP(FP$4,Preisindex,2,FALSE)/VLOOKUP(Preisindex!$A$6,Preisindex,2,FALSE),2),0)))))</f>
        <v>0</v>
      </c>
      <c r="FR59" s="51">
        <f>IF(AND($E59&lt;&gt;0,$F59&gt;0,YEAR($F59)&lt;=FP$4,YEAR($F59)&gt;=Preisindex!$A$6),ROUND($E59*FP59,2),IF(AND($E59&lt;&gt;0,$F59&gt;0,YEAR($F59)&lt;=FP$4,YEAR($F59)&lt;Preisindex!$A$6),ROUND($E59*FQ59,2),0))</f>
        <v>105000</v>
      </c>
      <c r="FS59" s="53">
        <f t="shared" si="255"/>
        <v>2100</v>
      </c>
    </row>
    <row r="60" spans="1:175" x14ac:dyDescent="0.3">
      <c r="A60" s="93">
        <v>2004</v>
      </c>
      <c r="B60" s="94" t="s">
        <v>246</v>
      </c>
      <c r="C60" s="94"/>
      <c r="D60" s="95" t="s">
        <v>63</v>
      </c>
      <c r="E60" s="99">
        <v>54000</v>
      </c>
      <c r="F60" s="97">
        <v>38169</v>
      </c>
      <c r="G60" s="98">
        <v>50</v>
      </c>
      <c r="H60" s="620"/>
      <c r="I60" s="621"/>
      <c r="J60" s="194"/>
      <c r="K60" s="630" t="s">
        <v>266</v>
      </c>
      <c r="L60" s="49">
        <f t="shared" si="296"/>
        <v>0.02</v>
      </c>
      <c r="M60" s="50">
        <f t="shared" si="297"/>
        <v>1080</v>
      </c>
      <c r="N60" s="51">
        <f t="shared" si="298"/>
        <v>45900</v>
      </c>
      <c r="O60" s="51"/>
      <c r="P60" s="51">
        <f t="shared" si="299"/>
        <v>8100</v>
      </c>
      <c r="Q60" s="52"/>
      <c r="R60" s="52"/>
      <c r="S60" s="52"/>
      <c r="T60" s="52"/>
      <c r="U60" s="52"/>
      <c r="V60" s="53">
        <f t="shared" si="300"/>
        <v>54000</v>
      </c>
      <c r="W60" s="51">
        <f t="shared" si="301"/>
        <v>0</v>
      </c>
      <c r="X60" s="51">
        <f t="shared" si="302"/>
        <v>0</v>
      </c>
      <c r="Y60" s="51">
        <f t="shared" si="303"/>
        <v>0</v>
      </c>
      <c r="Z60" s="51">
        <f t="shared" si="304"/>
        <v>0</v>
      </c>
      <c r="AA60" s="51">
        <f t="shared" si="305"/>
        <v>54000</v>
      </c>
      <c r="AB60" s="51">
        <f t="shared" si="306"/>
        <v>54000</v>
      </c>
      <c r="AC60" s="51">
        <f t="shared" si="307"/>
        <v>1080</v>
      </c>
      <c r="AD60" s="51">
        <f t="shared" si="308"/>
        <v>1080</v>
      </c>
      <c r="AE60" s="51">
        <f t="shared" si="309"/>
        <v>44820</v>
      </c>
      <c r="AF60" s="51">
        <f t="shared" si="310"/>
        <v>44820</v>
      </c>
      <c r="AG60" s="51">
        <f t="shared" si="311"/>
        <v>9180</v>
      </c>
      <c r="AH60" s="54">
        <f t="shared" si="312"/>
        <v>0</v>
      </c>
      <c r="AI60" s="55">
        <f t="shared" si="313"/>
        <v>0</v>
      </c>
      <c r="AJ60" s="56">
        <f>IF(AND($E60&lt;&gt;0,$F60&gt;0,YEAR($F60)&gt;=Preisindex!$A$6,YEAR(AE$4)&gt;=YEAR($F60),AND($K60&lt;&gt;"a",$K60&lt;&gt;"b",$K60&lt;&gt;"g",$K60&lt;&gt;"k")),1,IF(AND($E60&lt;&gt;0,$F60&gt;0,YEAR($F60)&gt;=Preisindex!$A$6,YEAR(AE$4)&gt;=YEAR($F60),$K60="a"),ROUND(VLOOKUP(AJ$4,Preisindex,5,FALSE)/VLOOKUP(YEAR($F60),Preisindex,5,FALSE),2),IF(AND($E60&lt;&gt;0,$F60&gt;0,YEAR($F60)&gt;=Preisindex!$A$6,YEAR(AE$4)&gt;=YEAR($F60),$K60="b"),ROUND(VLOOKUP(AJ$4,Preisindex,3,FALSE)/VLOOKUP(YEAR($F60),Preisindex,3,FALSE),2),IF(AND($E60&lt;&gt;0,$F60&gt;0,YEAR($F60)&gt;=Preisindex!$A$6,YEAR(AE$4)&gt;=YEAR($F60),$K60="g"),ROUND(VLOOKUP(AJ$4,Preisindex,4,FALSE)/VLOOKUP(YEAR($F60),Preisindex,4,FALSE),2),IF(AND($E60&lt;&gt;0,$F60&gt;0,YEAR($F60)&gt;=Preisindex!$A$6,YEAR(AE$4)&gt;=YEAR($F60),$K60="k"),ROUND(VLOOKUP(AJ$4,Preisindex,2,FALSE)/VLOOKUP(YEAR($F60),Preisindex,2,FALSE),2),0)))))</f>
        <v>1.24</v>
      </c>
      <c r="AK60" s="56">
        <f>IF(AND($E60&lt;&gt;0,$F60&gt;0,YEAR($F60)&lt;Preisindex!$A$6,YEAR(AE$4)&gt;=YEAR($F60),AND($K60&lt;&gt;"a",$K60&lt;&gt;"b",$K60&lt;&gt;"g",$K60&lt;&gt;"k")),1,IF(AND($E60&lt;&gt;0,$F60&gt;0,YEAR($F60)&lt;Preisindex!$A$6,YEAR(AE$4)&gt;=YEAR($F60),$K60="a"),ROUND(VLOOKUP(AJ$4,Preisindex,5,FALSE)/VLOOKUP(Preisindex!$A$6,Preisindex,5,FALSE),2),IF(AND($E60&lt;&gt;0,$F60&gt;0,YEAR($F60)&lt;Preisindex!$A$6,YEAR(AE$4)&gt;=YEAR($F60),$K60="b"),ROUND(VLOOKUP(AJ$4,Preisindex,3,FALSE)/VLOOKUP(Preisindex!$A$6,Preisindex,3,FALSE),2),IF(AND($E60&lt;&gt;0,$F60&gt;0,YEAR($F60)&lt;Preisindex!$A$6,YEAR(AE$4)&gt;=YEAR($F60),$K60="g"),ROUND(VLOOKUP(AJ$4,Preisindex,4,FALSE)/VLOOKUP(Preisindex!$A$6,Preisindex,4,FALSE),2),IF(AND($E60&lt;&gt;0,$F60&gt;0,YEAR($F60)&lt;Preisindex!$A$6,YEAR(AE$4)&gt;=YEAR($F60),$K60="k"),ROUND(VLOOKUP(AJ$4,Preisindex,2,FALSE)/VLOOKUP(Preisindex!$A$6,Preisindex,2,FALSE),2),0)))))</f>
        <v>0</v>
      </c>
      <c r="AL60" s="51">
        <f>IF(AND($E60&lt;&gt;0,$F60&gt;0,YEAR($F60)&lt;=AJ$4,YEAR($F60)&gt;=Preisindex!$A$6),ROUND($E60*AJ60,2),IF(AND($E60&lt;&gt;0,$F60&gt;0,YEAR($F60)&lt;=AJ$4,YEAR($F60)&lt;Preisindex!$A$6),ROUND($E60*AK60,2),0))</f>
        <v>66960</v>
      </c>
      <c r="AM60" s="53">
        <f t="shared" si="314"/>
        <v>1339.2</v>
      </c>
      <c r="AN60" s="51">
        <f t="shared" si="359"/>
        <v>0</v>
      </c>
      <c r="AO60" s="51">
        <f t="shared" si="317"/>
        <v>0</v>
      </c>
      <c r="AP60" s="51">
        <f t="shared" si="146"/>
        <v>0</v>
      </c>
      <c r="AQ60" s="51">
        <f t="shared" si="318"/>
        <v>0</v>
      </c>
      <c r="AR60" s="51">
        <f t="shared" si="148"/>
        <v>54000</v>
      </c>
      <c r="AS60" s="51">
        <f t="shared" si="319"/>
        <v>54000</v>
      </c>
      <c r="AT60" s="51">
        <f t="shared" si="150"/>
        <v>1080</v>
      </c>
      <c r="AU60" s="51">
        <f t="shared" si="320"/>
        <v>1080</v>
      </c>
      <c r="AV60" s="51">
        <f t="shared" si="152"/>
        <v>43740</v>
      </c>
      <c r="AW60" s="51">
        <f t="shared" si="321"/>
        <v>43740</v>
      </c>
      <c r="AX60" s="51">
        <f t="shared" si="154"/>
        <v>10260</v>
      </c>
      <c r="AY60" s="54">
        <f t="shared" si="155"/>
        <v>0</v>
      </c>
      <c r="AZ60" s="55">
        <f t="shared" si="156"/>
        <v>0</v>
      </c>
      <c r="BA60" s="56">
        <f>IF(AND($E60&lt;&gt;0,$F60&gt;0,YEAR($F60)&gt;=Preisindex!$A$6,YEAR(AV$4)&gt;=YEAR($F60),AND($K60&lt;&gt;"a",$K60&lt;&gt;"b",$K60&lt;&gt;"g",$K60&lt;&gt;"k")),1,IF(AND($E60&lt;&gt;0,$F60&gt;0,YEAR($F60)&gt;=Preisindex!$A$6,YEAR(AV$4)&gt;=YEAR($F60),$K60="a"),ROUND(VLOOKUP(BA$4,Preisindex,5,FALSE)/VLOOKUP(YEAR($F60),Preisindex,5,FALSE),2),IF(AND($E60&lt;&gt;0,$F60&gt;0,YEAR($F60)&gt;=Preisindex!$A$6,YEAR(AV$4)&gt;=YEAR($F60),$K60="b"),ROUND(VLOOKUP(BA$4,Preisindex,3,FALSE)/VLOOKUP(YEAR($F60),Preisindex,3,FALSE),2),IF(AND($E60&lt;&gt;0,$F60&gt;0,YEAR($F60)&gt;=Preisindex!$A$6,YEAR(AV$4)&gt;=YEAR($F60),$K60="g"),ROUND(VLOOKUP(BA$4,Preisindex,4,FALSE)/VLOOKUP(YEAR($F60),Preisindex,4,FALSE),2),IF(AND($E60&lt;&gt;0,$F60&gt;0,YEAR($F60)&gt;=Preisindex!$A$6,YEAR(AV$4)&gt;=YEAR($F60),$K60="k"),ROUND(VLOOKUP(BA$4,Preisindex,2,FALSE)/VLOOKUP(YEAR($F60),Preisindex,2,FALSE),2),0)))))</f>
        <v>1.26</v>
      </c>
      <c r="BB60" s="56">
        <f>IF(AND($E60&lt;&gt;0,$F60&gt;0,YEAR($F60)&lt;Preisindex!$A$6,YEAR(AV$4)&gt;=YEAR($F60),AND($K60&lt;&gt;"a",$K60&lt;&gt;"b",$K60&lt;&gt;"g",$K60&lt;&gt;"k")),1,IF(AND($E60&lt;&gt;0,$F60&gt;0,YEAR($F60)&lt;Preisindex!$A$6,YEAR(AV$4)&gt;=YEAR($F60),$K60="a"),ROUND(VLOOKUP(BA$4,Preisindex,5,FALSE)/VLOOKUP(Preisindex!$A$6,Preisindex,5,FALSE),2),IF(AND($E60&lt;&gt;0,$F60&gt;0,YEAR($F60)&lt;Preisindex!$A$6,YEAR(AV$4)&gt;=YEAR($F60),$K60="b"),ROUND(VLOOKUP(BA$4,Preisindex,3,FALSE)/VLOOKUP(Preisindex!$A$6,Preisindex,3,FALSE),2),IF(AND($E60&lt;&gt;0,$F60&gt;0,YEAR($F60)&lt;Preisindex!$A$6,YEAR(AV$4)&gt;=YEAR($F60),$K60="g"),ROUND(VLOOKUP(BA$4,Preisindex,4,FALSE)/VLOOKUP(Preisindex!$A$6,Preisindex,4,FALSE),2),IF(AND($E60&lt;&gt;0,$F60&gt;0,YEAR($F60)&lt;Preisindex!$A$6,YEAR(AV$4)&gt;=YEAR($F60),$K60="k"),ROUND(VLOOKUP(BA$4,Preisindex,2,FALSE)/VLOOKUP(Preisindex!$A$6,Preisindex,2,FALSE),2),0)))))</f>
        <v>0</v>
      </c>
      <c r="BC60" s="51">
        <f>IF(AND($E60&lt;&gt;0,$F60&gt;0,YEAR($F60)&lt;=BA$4,YEAR($F60)&gt;=Preisindex!$A$6),ROUND($E60*BA60,2),IF(AND($E60&lt;&gt;0,$F60&gt;0,YEAR($F60)&lt;=BA$4,YEAR($F60)&lt;Preisindex!$A$6),ROUND($E60*BB60,2),0))</f>
        <v>68040</v>
      </c>
      <c r="BD60" s="53">
        <f t="shared" si="157"/>
        <v>1360.8</v>
      </c>
      <c r="BE60" s="51">
        <f t="shared" si="359"/>
        <v>0</v>
      </c>
      <c r="BF60" s="51">
        <f t="shared" si="322"/>
        <v>0</v>
      </c>
      <c r="BG60" s="51">
        <f t="shared" si="160"/>
        <v>0</v>
      </c>
      <c r="BH60" s="51">
        <f t="shared" si="323"/>
        <v>0</v>
      </c>
      <c r="BI60" s="51">
        <f t="shared" si="162"/>
        <v>54000</v>
      </c>
      <c r="BJ60" s="51">
        <f t="shared" si="324"/>
        <v>54000</v>
      </c>
      <c r="BK60" s="51">
        <f t="shared" si="164"/>
        <v>1080</v>
      </c>
      <c r="BL60" s="51">
        <f t="shared" si="325"/>
        <v>1080</v>
      </c>
      <c r="BM60" s="51">
        <f t="shared" si="166"/>
        <v>42660</v>
      </c>
      <c r="BN60" s="51">
        <f t="shared" si="326"/>
        <v>42660</v>
      </c>
      <c r="BO60" s="51">
        <f t="shared" si="168"/>
        <v>11340</v>
      </c>
      <c r="BP60" s="54">
        <f t="shared" si="169"/>
        <v>0</v>
      </c>
      <c r="BQ60" s="55">
        <f t="shared" si="170"/>
        <v>0</v>
      </c>
      <c r="BR60" s="56">
        <f>IF(AND($E60&lt;&gt;0,$F60&gt;0,YEAR($F60)&gt;=Preisindex!$A$6,YEAR(BM$4)&gt;=YEAR($F60),AND($K60&lt;&gt;"a",$K60&lt;&gt;"b",$K60&lt;&gt;"g",$K60&lt;&gt;"k")),1,IF(AND($E60&lt;&gt;0,$F60&gt;0,YEAR($F60)&gt;=Preisindex!$A$6,YEAR(BM$4)&gt;=YEAR($F60),$K60="a"),ROUND(VLOOKUP(BR$4,Preisindex,5,FALSE)/VLOOKUP(YEAR($F60),Preisindex,5,FALSE),2),IF(AND($E60&lt;&gt;0,$F60&gt;0,YEAR($F60)&gt;=Preisindex!$A$6,YEAR(BM$4)&gt;=YEAR($F60),$K60="b"),ROUND(VLOOKUP(BR$4,Preisindex,3,FALSE)/VLOOKUP(YEAR($F60),Preisindex,3,FALSE),2),IF(AND($E60&lt;&gt;0,$F60&gt;0,YEAR($F60)&gt;=Preisindex!$A$6,YEAR(BM$4)&gt;=YEAR($F60),$K60="g"),ROUND(VLOOKUP(BR$4,Preisindex,4,FALSE)/VLOOKUP(YEAR($F60),Preisindex,4,FALSE),2),IF(AND($E60&lt;&gt;0,$F60&gt;0,YEAR($F60)&gt;=Preisindex!$A$6,YEAR(BM$4)&gt;=YEAR($F60),$K60="k"),ROUND(VLOOKUP(BR$4,Preisindex,2,FALSE)/VLOOKUP(YEAR($F60),Preisindex,2,FALSE),2),0)))))</f>
        <v>1.28</v>
      </c>
      <c r="BS60" s="56">
        <f>IF(AND($E60&lt;&gt;0,$F60&gt;0,YEAR($F60)&lt;Preisindex!$A$6,YEAR(BM$4)&gt;=YEAR($F60),AND($K60&lt;&gt;"a",$K60&lt;&gt;"b",$K60&lt;&gt;"g",$K60&lt;&gt;"k")),1,IF(AND($E60&lt;&gt;0,$F60&gt;0,YEAR($F60)&lt;Preisindex!$A$6,YEAR(BM$4)&gt;=YEAR($F60),$K60="a"),ROUND(VLOOKUP(BR$4,Preisindex,5,FALSE)/VLOOKUP(Preisindex!$A$6,Preisindex,5,FALSE),2),IF(AND($E60&lt;&gt;0,$F60&gt;0,YEAR($F60)&lt;Preisindex!$A$6,YEAR(BM$4)&gt;=YEAR($F60),$K60="b"),ROUND(VLOOKUP(BR$4,Preisindex,3,FALSE)/VLOOKUP(Preisindex!$A$6,Preisindex,3,FALSE),2),IF(AND($E60&lt;&gt;0,$F60&gt;0,YEAR($F60)&lt;Preisindex!$A$6,YEAR(BM$4)&gt;=YEAR($F60),$K60="g"),ROUND(VLOOKUP(BR$4,Preisindex,4,FALSE)/VLOOKUP(Preisindex!$A$6,Preisindex,4,FALSE),2),IF(AND($E60&lt;&gt;0,$F60&gt;0,YEAR($F60)&lt;Preisindex!$A$6,YEAR(BM$4)&gt;=YEAR($F60),$K60="k"),ROUND(VLOOKUP(BR$4,Preisindex,2,FALSE)/VLOOKUP(Preisindex!$A$6,Preisindex,2,FALSE),2),0)))))</f>
        <v>0</v>
      </c>
      <c r="BT60" s="51">
        <f>IF(AND($E60&lt;&gt;0,$F60&gt;0,YEAR($F60)&lt;=BR$4,YEAR($F60)&gt;=Preisindex!$A$6),ROUND($E60*BR60,2),IF(AND($E60&lt;&gt;0,$F60&gt;0,YEAR($F60)&lt;=BR$4,YEAR($F60)&lt;Preisindex!$A$6),ROUND($E60*BS60,2),0))</f>
        <v>69120</v>
      </c>
      <c r="BU60" s="53">
        <f t="shared" si="171"/>
        <v>1382.4</v>
      </c>
      <c r="BV60" s="51">
        <f t="shared" si="359"/>
        <v>0</v>
      </c>
      <c r="BW60" s="51">
        <f t="shared" si="327"/>
        <v>0</v>
      </c>
      <c r="BX60" s="51">
        <f t="shared" si="174"/>
        <v>0</v>
      </c>
      <c r="BY60" s="51">
        <f t="shared" si="328"/>
        <v>0</v>
      </c>
      <c r="BZ60" s="51">
        <f t="shared" si="176"/>
        <v>54000</v>
      </c>
      <c r="CA60" s="51">
        <f t="shared" si="329"/>
        <v>54000</v>
      </c>
      <c r="CB60" s="51">
        <f t="shared" si="178"/>
        <v>1080</v>
      </c>
      <c r="CC60" s="51">
        <f t="shared" si="330"/>
        <v>1080</v>
      </c>
      <c r="CD60" s="51">
        <f t="shared" si="180"/>
        <v>41580</v>
      </c>
      <c r="CE60" s="51">
        <f t="shared" si="331"/>
        <v>41580</v>
      </c>
      <c r="CF60" s="51">
        <f t="shared" si="182"/>
        <v>12420</v>
      </c>
      <c r="CG60" s="54">
        <f t="shared" si="183"/>
        <v>0</v>
      </c>
      <c r="CH60" s="55">
        <f t="shared" si="184"/>
        <v>0</v>
      </c>
      <c r="CI60" s="56">
        <f>IF(AND($E60&lt;&gt;0,$F60&gt;0,YEAR($F60)&gt;=Preisindex!$A$6,YEAR(CD$4)&gt;=YEAR($F60),AND($K60&lt;&gt;"a",$K60&lt;&gt;"b",$K60&lt;&gt;"g",$K60&lt;&gt;"k")),1,IF(AND($E60&lt;&gt;0,$F60&gt;0,YEAR($F60)&gt;=Preisindex!$A$6,YEAR(CD$4)&gt;=YEAR($F60),$K60="a"),ROUND(VLOOKUP(CI$4,Preisindex,5,FALSE)/VLOOKUP(YEAR($F60),Preisindex,5,FALSE),2),IF(AND($E60&lt;&gt;0,$F60&gt;0,YEAR($F60)&gt;=Preisindex!$A$6,YEAR(CD$4)&gt;=YEAR($F60),$K60="b"),ROUND(VLOOKUP(CI$4,Preisindex,3,FALSE)/VLOOKUP(YEAR($F60),Preisindex,3,FALSE),2),IF(AND($E60&lt;&gt;0,$F60&gt;0,YEAR($F60)&gt;=Preisindex!$A$6,YEAR(CD$4)&gt;=YEAR($F60),$K60="g"),ROUND(VLOOKUP(CI$4,Preisindex,4,FALSE)/VLOOKUP(YEAR($F60),Preisindex,4,FALSE),2),IF(AND($E60&lt;&gt;0,$F60&gt;0,YEAR($F60)&gt;=Preisindex!$A$6,YEAR(CD$4)&gt;=YEAR($F60),$K60="k"),ROUND(VLOOKUP(CI$4,Preisindex,2,FALSE)/VLOOKUP(YEAR($F60),Preisindex,2,FALSE),2),0)))))</f>
        <v>1.29</v>
      </c>
      <c r="CJ60" s="56">
        <f>IF(AND($E60&lt;&gt;0,$F60&gt;0,YEAR($F60)&lt;Preisindex!$A$6,YEAR(CD$4)&gt;=YEAR($F60),AND($K60&lt;&gt;"a",$K60&lt;&gt;"b",$K60&lt;&gt;"g",$K60&lt;&gt;"k")),1,IF(AND($E60&lt;&gt;0,$F60&gt;0,YEAR($F60)&lt;Preisindex!$A$6,YEAR(CD$4)&gt;=YEAR($F60),$K60="a"),ROUND(VLOOKUP(CI$4,Preisindex,5,FALSE)/VLOOKUP(Preisindex!$A$6,Preisindex,5,FALSE),2),IF(AND($E60&lt;&gt;0,$F60&gt;0,YEAR($F60)&lt;Preisindex!$A$6,YEAR(CD$4)&gt;=YEAR($F60),$K60="b"),ROUND(VLOOKUP(CI$4,Preisindex,3,FALSE)/VLOOKUP(Preisindex!$A$6,Preisindex,3,FALSE),2),IF(AND($E60&lt;&gt;0,$F60&gt;0,YEAR($F60)&lt;Preisindex!$A$6,YEAR(CD$4)&gt;=YEAR($F60),$K60="g"),ROUND(VLOOKUP(CI$4,Preisindex,4,FALSE)/VLOOKUP(Preisindex!$A$6,Preisindex,4,FALSE),2),IF(AND($E60&lt;&gt;0,$F60&gt;0,YEAR($F60)&lt;Preisindex!$A$6,YEAR(CD$4)&gt;=YEAR($F60),$K60="k"),ROUND(VLOOKUP(CI$4,Preisindex,2,FALSE)/VLOOKUP(Preisindex!$A$6,Preisindex,2,FALSE),2),0)))))</f>
        <v>0</v>
      </c>
      <c r="CK60" s="51">
        <f>IF(AND($E60&lt;&gt;0,$F60&gt;0,YEAR($F60)&lt;=CI$4,YEAR($F60)&gt;=Preisindex!$A$6),ROUND($E60*CI60,2),IF(AND($E60&lt;&gt;0,$F60&gt;0,YEAR($F60)&lt;=CI$4,YEAR($F60)&lt;Preisindex!$A$6),ROUND($E60*CJ60,2),0))</f>
        <v>69660</v>
      </c>
      <c r="CL60" s="53">
        <f t="shared" si="185"/>
        <v>1393.2</v>
      </c>
      <c r="CM60" s="51">
        <f t="shared" si="359"/>
        <v>0</v>
      </c>
      <c r="CN60" s="51">
        <f t="shared" si="332"/>
        <v>0</v>
      </c>
      <c r="CO60" s="51">
        <f t="shared" si="188"/>
        <v>0</v>
      </c>
      <c r="CP60" s="51">
        <f t="shared" si="333"/>
        <v>0</v>
      </c>
      <c r="CQ60" s="51">
        <f t="shared" si="190"/>
        <v>54000</v>
      </c>
      <c r="CR60" s="51">
        <f t="shared" si="334"/>
        <v>54000</v>
      </c>
      <c r="CS60" s="51">
        <f t="shared" si="192"/>
        <v>1080</v>
      </c>
      <c r="CT60" s="51">
        <f t="shared" si="335"/>
        <v>1080</v>
      </c>
      <c r="CU60" s="51">
        <f t="shared" si="194"/>
        <v>40500</v>
      </c>
      <c r="CV60" s="51">
        <f t="shared" si="336"/>
        <v>40500</v>
      </c>
      <c r="CW60" s="51">
        <f t="shared" si="196"/>
        <v>13500</v>
      </c>
      <c r="CX60" s="54">
        <f t="shared" si="197"/>
        <v>0</v>
      </c>
      <c r="CY60" s="55">
        <f t="shared" si="198"/>
        <v>0</v>
      </c>
      <c r="CZ60" s="56">
        <f>IF(AND($E60&lt;&gt;0,$F60&gt;0,YEAR($F60)&gt;=Preisindex!$A$6,YEAR(CU$4)&gt;=YEAR($F60),AND($K60&lt;&gt;"a",$K60&lt;&gt;"b",$K60&lt;&gt;"g",$K60&lt;&gt;"k")),1,IF(AND($E60&lt;&gt;0,$F60&gt;0,YEAR($F60)&gt;=Preisindex!$A$6,YEAR(CU$4)&gt;=YEAR($F60),$K60="a"),ROUND(VLOOKUP(CZ$4,Preisindex,5,FALSE)/VLOOKUP(YEAR($F60),Preisindex,5,FALSE),2),IF(AND($E60&lt;&gt;0,$F60&gt;0,YEAR($F60)&gt;=Preisindex!$A$6,YEAR(CU$4)&gt;=YEAR($F60),$K60="b"),ROUND(VLOOKUP(CZ$4,Preisindex,3,FALSE)/VLOOKUP(YEAR($F60),Preisindex,3,FALSE),2),IF(AND($E60&lt;&gt;0,$F60&gt;0,YEAR($F60)&gt;=Preisindex!$A$6,YEAR(CU$4)&gt;=YEAR($F60),$K60="g"),ROUND(VLOOKUP(CZ$4,Preisindex,4,FALSE)/VLOOKUP(YEAR($F60),Preisindex,4,FALSE),2),IF(AND($E60&lt;&gt;0,$F60&gt;0,YEAR($F60)&gt;=Preisindex!$A$6,YEAR(CU$4)&gt;=YEAR($F60),$K60="k"),ROUND(VLOOKUP(CZ$4,Preisindex,2,FALSE)/VLOOKUP(YEAR($F60),Preisindex,2,FALSE),2),0)))))</f>
        <v>1.32</v>
      </c>
      <c r="DA60" s="56">
        <f>IF(AND($E60&lt;&gt;0,$F60&gt;0,YEAR($F60)&lt;Preisindex!$A$6,YEAR(CU$4)&gt;=YEAR($F60),AND($K60&lt;&gt;"a",$K60&lt;&gt;"b",$K60&lt;&gt;"g",$K60&lt;&gt;"k")),1,IF(AND($E60&lt;&gt;0,$F60&gt;0,YEAR($F60)&lt;Preisindex!$A$6,YEAR(CU$4)&gt;=YEAR($F60),$K60="a"),ROUND(VLOOKUP(CZ$4,Preisindex,5,FALSE)/VLOOKUP(Preisindex!$A$6,Preisindex,5,FALSE),2),IF(AND($E60&lt;&gt;0,$F60&gt;0,YEAR($F60)&lt;Preisindex!$A$6,YEAR(CU$4)&gt;=YEAR($F60),$K60="b"),ROUND(VLOOKUP(CZ$4,Preisindex,3,FALSE)/VLOOKUP(Preisindex!$A$6,Preisindex,3,FALSE),2),IF(AND($E60&lt;&gt;0,$F60&gt;0,YEAR($F60)&lt;Preisindex!$A$6,YEAR(CU$4)&gt;=YEAR($F60),$K60="g"),ROUND(VLOOKUP(CZ$4,Preisindex,4,FALSE)/VLOOKUP(Preisindex!$A$6,Preisindex,4,FALSE),2),IF(AND($E60&lt;&gt;0,$F60&gt;0,YEAR($F60)&lt;Preisindex!$A$6,YEAR(CU$4)&gt;=YEAR($F60),$K60="k"),ROUND(VLOOKUP(CZ$4,Preisindex,2,FALSE)/VLOOKUP(Preisindex!$A$6,Preisindex,2,FALSE),2),0)))))</f>
        <v>0</v>
      </c>
      <c r="DB60" s="51">
        <f>IF(AND($E60&lt;&gt;0,$F60&gt;0,YEAR($F60)&lt;=CZ$4,YEAR($F60)&gt;=Preisindex!$A$6),ROUND($E60*CZ60,2),IF(AND($E60&lt;&gt;0,$F60&gt;0,YEAR($F60)&lt;=CZ$4,YEAR($F60)&lt;Preisindex!$A$6),ROUND($E60*DA60,2),0))</f>
        <v>71280</v>
      </c>
      <c r="DC60" s="53">
        <f t="shared" si="199"/>
        <v>1425.6000000000001</v>
      </c>
      <c r="DD60" s="51">
        <f t="shared" si="360"/>
        <v>0</v>
      </c>
      <c r="DE60" s="51">
        <f t="shared" si="337"/>
        <v>0</v>
      </c>
      <c r="DF60" s="51">
        <f t="shared" si="202"/>
        <v>0</v>
      </c>
      <c r="DG60" s="51">
        <f t="shared" si="338"/>
        <v>0</v>
      </c>
      <c r="DH60" s="51">
        <f t="shared" si="204"/>
        <v>54000</v>
      </c>
      <c r="DI60" s="51">
        <f t="shared" si="339"/>
        <v>54000</v>
      </c>
      <c r="DJ60" s="51">
        <f t="shared" si="206"/>
        <v>1080</v>
      </c>
      <c r="DK60" s="51">
        <f t="shared" si="340"/>
        <v>1080</v>
      </c>
      <c r="DL60" s="51">
        <f t="shared" si="208"/>
        <v>39420</v>
      </c>
      <c r="DM60" s="51">
        <f t="shared" si="341"/>
        <v>39420</v>
      </c>
      <c r="DN60" s="51">
        <f t="shared" si="210"/>
        <v>14580</v>
      </c>
      <c r="DO60" s="54">
        <f t="shared" si="211"/>
        <v>0</v>
      </c>
      <c r="DP60" s="55">
        <f t="shared" si="212"/>
        <v>0</v>
      </c>
      <c r="DQ60" s="56">
        <f>IF(AND($E60&lt;&gt;0,$F60&gt;0,YEAR($F60)&gt;=Preisindex!$A$6,YEAR(DL$4)&gt;=YEAR($F60),AND($K60&lt;&gt;"a",$K60&lt;&gt;"b",$K60&lt;&gt;"g",$K60&lt;&gt;"k")),1,IF(AND($E60&lt;&gt;0,$F60&gt;0,YEAR($F60)&gt;=Preisindex!$A$6,YEAR(DL$4)&gt;=YEAR($F60),$K60="a"),ROUND(VLOOKUP(DQ$4,Preisindex,5,FALSE)/VLOOKUP(YEAR($F60),Preisindex,5,FALSE),2),IF(AND($E60&lt;&gt;0,$F60&gt;0,YEAR($F60)&gt;=Preisindex!$A$6,YEAR(DL$4)&gt;=YEAR($F60),$K60="b"),ROUND(VLOOKUP(DQ$4,Preisindex,3,FALSE)/VLOOKUP(YEAR($F60),Preisindex,3,FALSE),2),IF(AND($E60&lt;&gt;0,$F60&gt;0,YEAR($F60)&gt;=Preisindex!$A$6,YEAR(DL$4)&gt;=YEAR($F60),$K60="g"),ROUND(VLOOKUP(DQ$4,Preisindex,4,FALSE)/VLOOKUP(YEAR($F60),Preisindex,4,FALSE),2),IF(AND($E60&lt;&gt;0,$F60&gt;0,YEAR($F60)&gt;=Preisindex!$A$6,YEAR(DL$4)&gt;=YEAR($F60),$K60="k"),ROUND(VLOOKUP(DQ$4,Preisindex,2,FALSE)/VLOOKUP(YEAR($F60),Preisindex,2,FALSE),2),0)))))</f>
        <v>1.36</v>
      </c>
      <c r="DR60" s="56">
        <f>IF(AND($E60&lt;&gt;0,$F60&gt;0,YEAR($F60)&lt;Preisindex!$A$6,YEAR(DL$4)&gt;=YEAR($F60),AND($K60&lt;&gt;"a",$K60&lt;&gt;"b",$K60&lt;&gt;"g",$K60&lt;&gt;"k")),1,IF(AND($E60&lt;&gt;0,$F60&gt;0,YEAR($F60)&lt;Preisindex!$A$6,YEAR(DL$4)&gt;=YEAR($F60),$K60="a"),ROUND(VLOOKUP(DQ$4,Preisindex,5,FALSE)/VLOOKUP(Preisindex!$A$6,Preisindex,5,FALSE),2),IF(AND($E60&lt;&gt;0,$F60&gt;0,YEAR($F60)&lt;Preisindex!$A$6,YEAR(DL$4)&gt;=YEAR($F60),$K60="b"),ROUND(VLOOKUP(DQ$4,Preisindex,3,FALSE)/VLOOKUP(Preisindex!$A$6,Preisindex,3,FALSE),2),IF(AND($E60&lt;&gt;0,$F60&gt;0,YEAR($F60)&lt;Preisindex!$A$6,YEAR(DL$4)&gt;=YEAR($F60),$K60="g"),ROUND(VLOOKUP(DQ$4,Preisindex,4,FALSE)/VLOOKUP(Preisindex!$A$6,Preisindex,4,FALSE),2),IF(AND($E60&lt;&gt;0,$F60&gt;0,YEAR($F60)&lt;Preisindex!$A$6,YEAR(DL$4)&gt;=YEAR($F60),$K60="k"),ROUND(VLOOKUP(DQ$4,Preisindex,2,FALSE)/VLOOKUP(Preisindex!$A$6,Preisindex,2,FALSE),2),0)))))</f>
        <v>0</v>
      </c>
      <c r="DS60" s="51">
        <f>IF(AND($E60&lt;&gt;0,$F60&gt;0,YEAR($F60)&lt;=DQ$4,YEAR($F60)&gt;=Preisindex!$A$6),ROUND($E60*DQ60,2),IF(AND($E60&lt;&gt;0,$F60&gt;0,YEAR($F60)&lt;=DQ$4,YEAR($F60)&lt;Preisindex!$A$6),ROUND($E60*DR60,2),0))</f>
        <v>73440</v>
      </c>
      <c r="DT60" s="53">
        <f t="shared" si="213"/>
        <v>1468.8</v>
      </c>
      <c r="DU60" s="51">
        <f t="shared" si="360"/>
        <v>0</v>
      </c>
      <c r="DV60" s="51">
        <f t="shared" si="342"/>
        <v>0</v>
      </c>
      <c r="DW60" s="51">
        <f t="shared" si="216"/>
        <v>0</v>
      </c>
      <c r="DX60" s="51">
        <f t="shared" si="343"/>
        <v>0</v>
      </c>
      <c r="DY60" s="51">
        <f t="shared" si="218"/>
        <v>54000</v>
      </c>
      <c r="DZ60" s="51">
        <f t="shared" si="344"/>
        <v>54000</v>
      </c>
      <c r="EA60" s="51">
        <f t="shared" si="220"/>
        <v>1080</v>
      </c>
      <c r="EB60" s="51">
        <f t="shared" si="345"/>
        <v>1080</v>
      </c>
      <c r="EC60" s="51">
        <f t="shared" si="222"/>
        <v>38340</v>
      </c>
      <c r="ED60" s="51">
        <f t="shared" si="346"/>
        <v>38340</v>
      </c>
      <c r="EE60" s="51">
        <f t="shared" si="224"/>
        <v>15660</v>
      </c>
      <c r="EF60" s="54">
        <f t="shared" si="225"/>
        <v>0</v>
      </c>
      <c r="EG60" s="55">
        <f t="shared" si="226"/>
        <v>0</v>
      </c>
      <c r="EH60" s="56">
        <f>IF(AND($E60&lt;&gt;0,$F60&gt;0,YEAR($F60)&gt;=Preisindex!$A$6,YEAR(EC$4)&gt;=YEAR($F60),AND($K60&lt;&gt;"a",$K60&lt;&gt;"b",$K60&lt;&gt;"g",$K60&lt;&gt;"k")),1,IF(AND($E60&lt;&gt;0,$F60&gt;0,YEAR($F60)&gt;=Preisindex!$A$6,YEAR(EC$4)&gt;=YEAR($F60),$K60="a"),ROUND(VLOOKUP(EH$4,Preisindex,5,FALSE)/VLOOKUP(YEAR($F60),Preisindex,5,FALSE),2),IF(AND($E60&lt;&gt;0,$F60&gt;0,YEAR($F60)&gt;=Preisindex!$A$6,YEAR(EC$4)&gt;=YEAR($F60),$K60="b"),ROUND(VLOOKUP(EH$4,Preisindex,3,FALSE)/VLOOKUP(YEAR($F60),Preisindex,3,FALSE),2),IF(AND($E60&lt;&gt;0,$F60&gt;0,YEAR($F60)&gt;=Preisindex!$A$6,YEAR(EC$4)&gt;=YEAR($F60),$K60="g"),ROUND(VLOOKUP(EH$4,Preisindex,4,FALSE)/VLOOKUP(YEAR($F60),Preisindex,4,FALSE),2),IF(AND($E60&lt;&gt;0,$F60&gt;0,YEAR($F60)&gt;=Preisindex!$A$6,YEAR(EC$4)&gt;=YEAR($F60),$K60="k"),ROUND(VLOOKUP(EH$4,Preisindex,2,FALSE)/VLOOKUP(YEAR($F60),Preisindex,2,FALSE),2),0)))))</f>
        <v>1.43</v>
      </c>
      <c r="EI60" s="56">
        <f>IF(AND($E60&lt;&gt;0,$F60&gt;0,YEAR($F60)&lt;Preisindex!$A$6,YEAR(EC$4)&gt;=YEAR($F60),AND($K60&lt;&gt;"a",$K60&lt;&gt;"b",$K60&lt;&gt;"g",$K60&lt;&gt;"k")),1,IF(AND($E60&lt;&gt;0,$F60&gt;0,YEAR($F60)&lt;Preisindex!$A$6,YEAR(EC$4)&gt;=YEAR($F60),$K60="a"),ROUND(VLOOKUP(EH$4,Preisindex,5,FALSE)/VLOOKUP(Preisindex!$A$6,Preisindex,5,FALSE),2),IF(AND($E60&lt;&gt;0,$F60&gt;0,YEAR($F60)&lt;Preisindex!$A$6,YEAR(EC$4)&gt;=YEAR($F60),$K60="b"),ROUND(VLOOKUP(EH$4,Preisindex,3,FALSE)/VLOOKUP(Preisindex!$A$6,Preisindex,3,FALSE),2),IF(AND($E60&lt;&gt;0,$F60&gt;0,YEAR($F60)&lt;Preisindex!$A$6,YEAR(EC$4)&gt;=YEAR($F60),$K60="g"),ROUND(VLOOKUP(EH$4,Preisindex,4,FALSE)/VLOOKUP(Preisindex!$A$6,Preisindex,4,FALSE),2),IF(AND($E60&lt;&gt;0,$F60&gt;0,YEAR($F60)&lt;Preisindex!$A$6,YEAR(EC$4)&gt;=YEAR($F60),$K60="k"),ROUND(VLOOKUP(EH$4,Preisindex,2,FALSE)/VLOOKUP(Preisindex!$A$6,Preisindex,2,FALSE),2),0)))))</f>
        <v>0</v>
      </c>
      <c r="EJ60" s="51">
        <f>IF(AND($E60&lt;&gt;0,$F60&gt;0,YEAR($F60)&lt;=EH$4,YEAR($F60)&gt;=Preisindex!$A$6),ROUND($E60*EH60,2),IF(AND($E60&lt;&gt;0,$F60&gt;0,YEAR($F60)&lt;=EH$4,YEAR($F60)&lt;Preisindex!$A$6),ROUND($E60*EI60,2),0))</f>
        <v>77220</v>
      </c>
      <c r="EK60" s="53">
        <f t="shared" si="227"/>
        <v>1544.4</v>
      </c>
      <c r="EL60" s="51">
        <f t="shared" si="360"/>
        <v>0</v>
      </c>
      <c r="EM60" s="51">
        <f t="shared" si="347"/>
        <v>0</v>
      </c>
      <c r="EN60" s="51">
        <f t="shared" si="230"/>
        <v>0</v>
      </c>
      <c r="EO60" s="51">
        <f t="shared" si="348"/>
        <v>0</v>
      </c>
      <c r="EP60" s="51">
        <f t="shared" si="232"/>
        <v>54000</v>
      </c>
      <c r="EQ60" s="51">
        <f t="shared" si="349"/>
        <v>54000</v>
      </c>
      <c r="ER60" s="51">
        <f t="shared" si="234"/>
        <v>1080</v>
      </c>
      <c r="ES60" s="51">
        <f t="shared" si="350"/>
        <v>1080</v>
      </c>
      <c r="ET60" s="51">
        <f t="shared" si="236"/>
        <v>37260</v>
      </c>
      <c r="EU60" s="51">
        <f t="shared" si="351"/>
        <v>37260</v>
      </c>
      <c r="EV60" s="51">
        <f t="shared" si="238"/>
        <v>16740</v>
      </c>
      <c r="EW60" s="54">
        <f t="shared" si="239"/>
        <v>0</v>
      </c>
      <c r="EX60" s="55">
        <f t="shared" si="240"/>
        <v>0</v>
      </c>
      <c r="EY60" s="56">
        <f>IF(AND($E60&lt;&gt;0,$F60&gt;0,YEAR($F60)&gt;=Preisindex!$A$6,YEAR(ET$4)&gt;=YEAR($F60),AND($K60&lt;&gt;"a",$K60&lt;&gt;"b",$K60&lt;&gt;"g",$K60&lt;&gt;"k")),1,IF(AND($E60&lt;&gt;0,$F60&gt;0,YEAR($F60)&gt;=Preisindex!$A$6,YEAR(ET$4)&gt;=YEAR($F60),$K60="a"),ROUND(VLOOKUP(EY$4,Preisindex,5,FALSE)/VLOOKUP(YEAR($F60),Preisindex,5,FALSE),2),IF(AND($E60&lt;&gt;0,$F60&gt;0,YEAR($F60)&gt;=Preisindex!$A$6,YEAR(ET$4)&gt;=YEAR($F60),$K60="b"),ROUND(VLOOKUP(EY$4,Preisindex,3,FALSE)/VLOOKUP(YEAR($F60),Preisindex,3,FALSE),2),IF(AND($E60&lt;&gt;0,$F60&gt;0,YEAR($F60)&gt;=Preisindex!$A$6,YEAR(ET$4)&gt;=YEAR($F60),$K60="g"),ROUND(VLOOKUP(EY$4,Preisindex,4,FALSE)/VLOOKUP(YEAR($F60),Preisindex,4,FALSE),2),IF(AND($E60&lt;&gt;0,$F60&gt;0,YEAR($F60)&gt;=Preisindex!$A$6,YEAR(ET$4)&gt;=YEAR($F60),$K60="k"),ROUND(VLOOKUP(EY$4,Preisindex,2,FALSE)/VLOOKUP(YEAR($F60),Preisindex,2,FALSE),2),0)))))</f>
        <v>1.43</v>
      </c>
      <c r="EZ60" s="56">
        <f>IF(AND($E60&lt;&gt;0,$F60&gt;0,YEAR($F60)&lt;Preisindex!$A$6,YEAR(ET$4)&gt;=YEAR($F60),AND($K60&lt;&gt;"a",$K60&lt;&gt;"b",$K60&lt;&gt;"g",$K60&lt;&gt;"k")),1,IF(AND($E60&lt;&gt;0,$F60&gt;0,YEAR($F60)&lt;Preisindex!$A$6,YEAR(ET$4)&gt;=YEAR($F60),$K60="a"),ROUND(VLOOKUP(EY$4,Preisindex,5,FALSE)/VLOOKUP(Preisindex!$A$6,Preisindex,5,FALSE),2),IF(AND($E60&lt;&gt;0,$F60&gt;0,YEAR($F60)&lt;Preisindex!$A$6,YEAR(ET$4)&gt;=YEAR($F60),$K60="b"),ROUND(VLOOKUP(EY$4,Preisindex,3,FALSE)/VLOOKUP(Preisindex!$A$6,Preisindex,3,FALSE),2),IF(AND($E60&lt;&gt;0,$F60&gt;0,YEAR($F60)&lt;Preisindex!$A$6,YEAR(ET$4)&gt;=YEAR($F60),$K60="g"),ROUND(VLOOKUP(EY$4,Preisindex,4,FALSE)/VLOOKUP(Preisindex!$A$6,Preisindex,4,FALSE),2),IF(AND($E60&lt;&gt;0,$F60&gt;0,YEAR($F60)&lt;Preisindex!$A$6,YEAR(ET$4)&gt;=YEAR($F60),$K60="k"),ROUND(VLOOKUP(EY$4,Preisindex,2,FALSE)/VLOOKUP(Preisindex!$A$6,Preisindex,2,FALSE),2),0)))))</f>
        <v>0</v>
      </c>
      <c r="FA60" s="51">
        <f>IF(AND($E60&lt;&gt;0,$F60&gt;0,YEAR($F60)&lt;=EY$4,YEAR($F60)&gt;=Preisindex!$A$6),ROUND($E60*EY60,2),IF(AND($E60&lt;&gt;0,$F60&gt;0,YEAR($F60)&lt;=EY$4,YEAR($F60)&lt;Preisindex!$A$6),ROUND($E60*EZ60,2),0))</f>
        <v>77220</v>
      </c>
      <c r="FB60" s="53">
        <f t="shared" si="241"/>
        <v>1544.4</v>
      </c>
      <c r="FC60" s="51">
        <f t="shared" si="360"/>
        <v>0</v>
      </c>
      <c r="FD60" s="51">
        <f t="shared" si="352"/>
        <v>0</v>
      </c>
      <c r="FE60" s="51">
        <f t="shared" si="244"/>
        <v>0</v>
      </c>
      <c r="FF60" s="51">
        <f t="shared" si="353"/>
        <v>0</v>
      </c>
      <c r="FG60" s="51">
        <f t="shared" si="246"/>
        <v>54000</v>
      </c>
      <c r="FH60" s="51">
        <f t="shared" si="354"/>
        <v>54000</v>
      </c>
      <c r="FI60" s="51">
        <f t="shared" si="248"/>
        <v>1080</v>
      </c>
      <c r="FJ60" s="51">
        <f t="shared" si="355"/>
        <v>1080</v>
      </c>
      <c r="FK60" s="51">
        <f t="shared" si="250"/>
        <v>36180</v>
      </c>
      <c r="FL60" s="51">
        <f t="shared" si="356"/>
        <v>36180</v>
      </c>
      <c r="FM60" s="51">
        <f t="shared" si="252"/>
        <v>17820</v>
      </c>
      <c r="FN60" s="54">
        <f t="shared" si="253"/>
        <v>0</v>
      </c>
      <c r="FO60" s="55">
        <f t="shared" si="254"/>
        <v>0</v>
      </c>
      <c r="FP60" s="56">
        <f>IF(AND($E60&lt;&gt;0,$F60&gt;0,YEAR($F60)&gt;=Preisindex!$A$6,YEAR(FK$4)&gt;=YEAR($F60),AND($K60&lt;&gt;"a",$K60&lt;&gt;"b",$K60&lt;&gt;"g",$K60&lt;&gt;"k")),1,IF(AND($E60&lt;&gt;0,$F60&gt;0,YEAR($F60)&gt;=Preisindex!$A$6,YEAR(FK$4)&gt;=YEAR($F60),$K60="a"),ROUND(VLOOKUP(FP$4,Preisindex,5,FALSE)/VLOOKUP(YEAR($F60),Preisindex,5,FALSE),2),IF(AND($E60&lt;&gt;0,$F60&gt;0,YEAR($F60)&gt;=Preisindex!$A$6,YEAR(FK$4)&gt;=YEAR($F60),$K60="b"),ROUND(VLOOKUP(FP$4,Preisindex,3,FALSE)/VLOOKUP(YEAR($F60),Preisindex,3,FALSE),2),IF(AND($E60&lt;&gt;0,$F60&gt;0,YEAR($F60)&gt;=Preisindex!$A$6,YEAR(FK$4)&gt;=YEAR($F60),$K60="g"),ROUND(VLOOKUP(FP$4,Preisindex,4,FALSE)/VLOOKUP(YEAR($F60),Preisindex,4,FALSE),2),IF(AND($E60&lt;&gt;0,$F60&gt;0,YEAR($F60)&gt;=Preisindex!$A$6,YEAR(FK$4)&gt;=YEAR($F60),$K60="k"),ROUND(VLOOKUP(FP$4,Preisindex,2,FALSE)/VLOOKUP(YEAR($F60),Preisindex,2,FALSE),2),0)))))</f>
        <v>1.43</v>
      </c>
      <c r="FQ60" s="56">
        <f>IF(AND($E60&lt;&gt;0,$F60&gt;0,YEAR($F60)&lt;Preisindex!$A$6,YEAR(FK$4)&gt;=YEAR($F60),AND($K60&lt;&gt;"a",$K60&lt;&gt;"b",$K60&lt;&gt;"g",$K60&lt;&gt;"k")),1,IF(AND($E60&lt;&gt;0,$F60&gt;0,YEAR($F60)&lt;Preisindex!$A$6,YEAR(FK$4)&gt;=YEAR($F60),$K60="a"),ROUND(VLOOKUP(FP$4,Preisindex,5,FALSE)/VLOOKUP(Preisindex!$A$6,Preisindex,5,FALSE),2),IF(AND($E60&lt;&gt;0,$F60&gt;0,YEAR($F60)&lt;Preisindex!$A$6,YEAR(FK$4)&gt;=YEAR($F60),$K60="b"),ROUND(VLOOKUP(FP$4,Preisindex,3,FALSE)/VLOOKUP(Preisindex!$A$6,Preisindex,3,FALSE),2),IF(AND($E60&lt;&gt;0,$F60&gt;0,YEAR($F60)&lt;Preisindex!$A$6,YEAR(FK$4)&gt;=YEAR($F60),$K60="g"),ROUND(VLOOKUP(FP$4,Preisindex,4,FALSE)/VLOOKUP(Preisindex!$A$6,Preisindex,4,FALSE),2),IF(AND($E60&lt;&gt;0,$F60&gt;0,YEAR($F60)&lt;Preisindex!$A$6,YEAR(FK$4)&gt;=YEAR($F60),$K60="k"),ROUND(VLOOKUP(FP$4,Preisindex,2,FALSE)/VLOOKUP(Preisindex!$A$6,Preisindex,2,FALSE),2),0)))))</f>
        <v>0</v>
      </c>
      <c r="FR60" s="51">
        <f>IF(AND($E60&lt;&gt;0,$F60&gt;0,YEAR($F60)&lt;=FP$4,YEAR($F60)&gt;=Preisindex!$A$6),ROUND($E60*FP60,2),IF(AND($E60&lt;&gt;0,$F60&gt;0,YEAR($F60)&lt;=FP$4,YEAR($F60)&lt;Preisindex!$A$6),ROUND($E60*FQ60,2),0))</f>
        <v>77220</v>
      </c>
      <c r="FS60" s="53">
        <f t="shared" si="255"/>
        <v>1544.4</v>
      </c>
    </row>
    <row r="61" spans="1:175" x14ac:dyDescent="0.3">
      <c r="A61" s="93">
        <v>2006</v>
      </c>
      <c r="B61" s="94" t="s">
        <v>247</v>
      </c>
      <c r="C61" s="94"/>
      <c r="D61" s="95" t="s">
        <v>63</v>
      </c>
      <c r="E61" s="99">
        <v>12000</v>
      </c>
      <c r="F61" s="97">
        <v>38899</v>
      </c>
      <c r="G61" s="98">
        <v>50</v>
      </c>
      <c r="H61" s="620"/>
      <c r="I61" s="621"/>
      <c r="J61" s="194"/>
      <c r="K61" s="630" t="s">
        <v>266</v>
      </c>
      <c r="L61" s="49">
        <f t="shared" si="296"/>
        <v>0.02</v>
      </c>
      <c r="M61" s="50">
        <f t="shared" si="297"/>
        <v>240</v>
      </c>
      <c r="N61" s="51">
        <f t="shared" si="298"/>
        <v>10680</v>
      </c>
      <c r="O61" s="51"/>
      <c r="P61" s="51">
        <f t="shared" si="299"/>
        <v>1320</v>
      </c>
      <c r="Q61" s="52"/>
      <c r="R61" s="52"/>
      <c r="S61" s="52"/>
      <c r="T61" s="52"/>
      <c r="U61" s="52"/>
      <c r="V61" s="53">
        <f t="shared" si="300"/>
        <v>12000</v>
      </c>
      <c r="W61" s="51">
        <f t="shared" si="301"/>
        <v>0</v>
      </c>
      <c r="X61" s="51">
        <f t="shared" si="302"/>
        <v>0</v>
      </c>
      <c r="Y61" s="51">
        <f t="shared" si="303"/>
        <v>0</v>
      </c>
      <c r="Z61" s="51">
        <f t="shared" si="304"/>
        <v>0</v>
      </c>
      <c r="AA61" s="51">
        <f t="shared" si="305"/>
        <v>12000</v>
      </c>
      <c r="AB61" s="51">
        <f t="shared" si="306"/>
        <v>12000</v>
      </c>
      <c r="AC61" s="51">
        <f t="shared" si="307"/>
        <v>240</v>
      </c>
      <c r="AD61" s="51">
        <f t="shared" si="308"/>
        <v>240</v>
      </c>
      <c r="AE61" s="51">
        <f t="shared" si="309"/>
        <v>10440</v>
      </c>
      <c r="AF61" s="51">
        <f t="shared" si="310"/>
        <v>10440</v>
      </c>
      <c r="AG61" s="51">
        <f t="shared" si="311"/>
        <v>1560</v>
      </c>
      <c r="AH61" s="54">
        <f t="shared" si="312"/>
        <v>0</v>
      </c>
      <c r="AI61" s="55">
        <f t="shared" si="313"/>
        <v>0</v>
      </c>
      <c r="AJ61" s="56">
        <f>IF(AND($E61&lt;&gt;0,$F61&gt;0,YEAR($F61)&gt;=Preisindex!$A$6,YEAR(AE$4)&gt;=YEAR($F61),AND($K61&lt;&gt;"a",$K61&lt;&gt;"b",$K61&lt;&gt;"g",$K61&lt;&gt;"k")),1,IF(AND($E61&lt;&gt;0,$F61&gt;0,YEAR($F61)&gt;=Preisindex!$A$6,YEAR(AE$4)&gt;=YEAR($F61),$K61="a"),ROUND(VLOOKUP(AJ$4,Preisindex,5,FALSE)/VLOOKUP(YEAR($F61),Preisindex,5,FALSE),2),IF(AND($E61&lt;&gt;0,$F61&gt;0,YEAR($F61)&gt;=Preisindex!$A$6,YEAR(AE$4)&gt;=YEAR($F61),$K61="b"),ROUND(VLOOKUP(AJ$4,Preisindex,3,FALSE)/VLOOKUP(YEAR($F61),Preisindex,3,FALSE),2),IF(AND($E61&lt;&gt;0,$F61&gt;0,YEAR($F61)&gt;=Preisindex!$A$6,YEAR(AE$4)&gt;=YEAR($F61),$K61="g"),ROUND(VLOOKUP(AJ$4,Preisindex,4,FALSE)/VLOOKUP(YEAR($F61),Preisindex,4,FALSE),2),IF(AND($E61&lt;&gt;0,$F61&gt;0,YEAR($F61)&gt;=Preisindex!$A$6,YEAR(AE$4)&gt;=YEAR($F61),$K61="k"),ROUND(VLOOKUP(AJ$4,Preisindex,2,FALSE)/VLOOKUP(YEAR($F61),Preisindex,2,FALSE),2),0)))))</f>
        <v>1.2</v>
      </c>
      <c r="AK61" s="56">
        <f>IF(AND($E61&lt;&gt;0,$F61&gt;0,YEAR($F61)&lt;Preisindex!$A$6,YEAR(AE$4)&gt;=YEAR($F61),AND($K61&lt;&gt;"a",$K61&lt;&gt;"b",$K61&lt;&gt;"g",$K61&lt;&gt;"k")),1,IF(AND($E61&lt;&gt;0,$F61&gt;0,YEAR($F61)&lt;Preisindex!$A$6,YEAR(AE$4)&gt;=YEAR($F61),$K61="a"),ROUND(VLOOKUP(AJ$4,Preisindex,5,FALSE)/VLOOKUP(Preisindex!$A$6,Preisindex,5,FALSE),2),IF(AND($E61&lt;&gt;0,$F61&gt;0,YEAR($F61)&lt;Preisindex!$A$6,YEAR(AE$4)&gt;=YEAR($F61),$K61="b"),ROUND(VLOOKUP(AJ$4,Preisindex,3,FALSE)/VLOOKUP(Preisindex!$A$6,Preisindex,3,FALSE),2),IF(AND($E61&lt;&gt;0,$F61&gt;0,YEAR($F61)&lt;Preisindex!$A$6,YEAR(AE$4)&gt;=YEAR($F61),$K61="g"),ROUND(VLOOKUP(AJ$4,Preisindex,4,FALSE)/VLOOKUP(Preisindex!$A$6,Preisindex,4,FALSE),2),IF(AND($E61&lt;&gt;0,$F61&gt;0,YEAR($F61)&lt;Preisindex!$A$6,YEAR(AE$4)&gt;=YEAR($F61),$K61="k"),ROUND(VLOOKUP(AJ$4,Preisindex,2,FALSE)/VLOOKUP(Preisindex!$A$6,Preisindex,2,FALSE),2),0)))))</f>
        <v>0</v>
      </c>
      <c r="AL61" s="51">
        <f>IF(AND($E61&lt;&gt;0,$F61&gt;0,YEAR($F61)&lt;=AJ$4,YEAR($F61)&gt;=Preisindex!$A$6),ROUND($E61*AJ61,2),IF(AND($E61&lt;&gt;0,$F61&gt;0,YEAR($F61)&lt;=AJ$4,YEAR($F61)&lt;Preisindex!$A$6),ROUND($E61*AK61,2),0))</f>
        <v>14400</v>
      </c>
      <c r="AM61" s="53">
        <f t="shared" si="314"/>
        <v>288</v>
      </c>
      <c r="AN61" s="51">
        <f t="shared" si="359"/>
        <v>0</v>
      </c>
      <c r="AO61" s="51">
        <f t="shared" si="317"/>
        <v>0</v>
      </c>
      <c r="AP61" s="51">
        <f t="shared" si="146"/>
        <v>0</v>
      </c>
      <c r="AQ61" s="51">
        <f t="shared" si="318"/>
        <v>0</v>
      </c>
      <c r="AR61" s="51">
        <f t="shared" si="148"/>
        <v>12000</v>
      </c>
      <c r="AS61" s="51">
        <f t="shared" si="319"/>
        <v>12000</v>
      </c>
      <c r="AT61" s="51">
        <f t="shared" si="150"/>
        <v>240</v>
      </c>
      <c r="AU61" s="51">
        <f t="shared" si="320"/>
        <v>240</v>
      </c>
      <c r="AV61" s="51">
        <f t="shared" si="152"/>
        <v>10200</v>
      </c>
      <c r="AW61" s="51">
        <f t="shared" si="321"/>
        <v>10200</v>
      </c>
      <c r="AX61" s="51">
        <f t="shared" si="154"/>
        <v>1800</v>
      </c>
      <c r="AY61" s="54">
        <f t="shared" si="155"/>
        <v>0</v>
      </c>
      <c r="AZ61" s="55">
        <f t="shared" si="156"/>
        <v>0</v>
      </c>
      <c r="BA61" s="56">
        <f>IF(AND($E61&lt;&gt;0,$F61&gt;0,YEAR($F61)&gt;=Preisindex!$A$6,YEAR(AV$4)&gt;=YEAR($F61),AND($K61&lt;&gt;"a",$K61&lt;&gt;"b",$K61&lt;&gt;"g",$K61&lt;&gt;"k")),1,IF(AND($E61&lt;&gt;0,$F61&gt;0,YEAR($F61)&gt;=Preisindex!$A$6,YEAR(AV$4)&gt;=YEAR($F61),$K61="a"),ROUND(VLOOKUP(BA$4,Preisindex,5,FALSE)/VLOOKUP(YEAR($F61),Preisindex,5,FALSE),2),IF(AND($E61&lt;&gt;0,$F61&gt;0,YEAR($F61)&gt;=Preisindex!$A$6,YEAR(AV$4)&gt;=YEAR($F61),$K61="b"),ROUND(VLOOKUP(BA$4,Preisindex,3,FALSE)/VLOOKUP(YEAR($F61),Preisindex,3,FALSE),2),IF(AND($E61&lt;&gt;0,$F61&gt;0,YEAR($F61)&gt;=Preisindex!$A$6,YEAR(AV$4)&gt;=YEAR($F61),$K61="g"),ROUND(VLOOKUP(BA$4,Preisindex,4,FALSE)/VLOOKUP(YEAR($F61),Preisindex,4,FALSE),2),IF(AND($E61&lt;&gt;0,$F61&gt;0,YEAR($F61)&gt;=Preisindex!$A$6,YEAR(AV$4)&gt;=YEAR($F61),$K61="k"),ROUND(VLOOKUP(BA$4,Preisindex,2,FALSE)/VLOOKUP(YEAR($F61),Preisindex,2,FALSE),2),0)))))</f>
        <v>1.22</v>
      </c>
      <c r="BB61" s="56">
        <f>IF(AND($E61&lt;&gt;0,$F61&gt;0,YEAR($F61)&lt;Preisindex!$A$6,YEAR(AV$4)&gt;=YEAR($F61),AND($K61&lt;&gt;"a",$K61&lt;&gt;"b",$K61&lt;&gt;"g",$K61&lt;&gt;"k")),1,IF(AND($E61&lt;&gt;0,$F61&gt;0,YEAR($F61)&lt;Preisindex!$A$6,YEAR(AV$4)&gt;=YEAR($F61),$K61="a"),ROUND(VLOOKUP(BA$4,Preisindex,5,FALSE)/VLOOKUP(Preisindex!$A$6,Preisindex,5,FALSE),2),IF(AND($E61&lt;&gt;0,$F61&gt;0,YEAR($F61)&lt;Preisindex!$A$6,YEAR(AV$4)&gt;=YEAR($F61),$K61="b"),ROUND(VLOOKUP(BA$4,Preisindex,3,FALSE)/VLOOKUP(Preisindex!$A$6,Preisindex,3,FALSE),2),IF(AND($E61&lt;&gt;0,$F61&gt;0,YEAR($F61)&lt;Preisindex!$A$6,YEAR(AV$4)&gt;=YEAR($F61),$K61="g"),ROUND(VLOOKUP(BA$4,Preisindex,4,FALSE)/VLOOKUP(Preisindex!$A$6,Preisindex,4,FALSE),2),IF(AND($E61&lt;&gt;0,$F61&gt;0,YEAR($F61)&lt;Preisindex!$A$6,YEAR(AV$4)&gt;=YEAR($F61),$K61="k"),ROUND(VLOOKUP(BA$4,Preisindex,2,FALSE)/VLOOKUP(Preisindex!$A$6,Preisindex,2,FALSE),2),0)))))</f>
        <v>0</v>
      </c>
      <c r="BC61" s="51">
        <f>IF(AND($E61&lt;&gt;0,$F61&gt;0,YEAR($F61)&lt;=BA$4,YEAR($F61)&gt;=Preisindex!$A$6),ROUND($E61*BA61,2),IF(AND($E61&lt;&gt;0,$F61&gt;0,YEAR($F61)&lt;=BA$4,YEAR($F61)&lt;Preisindex!$A$6),ROUND($E61*BB61,2),0))</f>
        <v>14640</v>
      </c>
      <c r="BD61" s="53">
        <f t="shared" si="157"/>
        <v>292.8</v>
      </c>
      <c r="BE61" s="51">
        <f t="shared" si="359"/>
        <v>0</v>
      </c>
      <c r="BF61" s="51">
        <f t="shared" si="322"/>
        <v>0</v>
      </c>
      <c r="BG61" s="51">
        <f t="shared" si="160"/>
        <v>0</v>
      </c>
      <c r="BH61" s="51">
        <f t="shared" si="323"/>
        <v>0</v>
      </c>
      <c r="BI61" s="51">
        <f t="shared" si="162"/>
        <v>12000</v>
      </c>
      <c r="BJ61" s="51">
        <f t="shared" si="324"/>
        <v>12000</v>
      </c>
      <c r="BK61" s="51">
        <f t="shared" si="164"/>
        <v>240</v>
      </c>
      <c r="BL61" s="51">
        <f t="shared" si="325"/>
        <v>240</v>
      </c>
      <c r="BM61" s="51">
        <f t="shared" si="166"/>
        <v>9960</v>
      </c>
      <c r="BN61" s="51">
        <f t="shared" si="326"/>
        <v>9960</v>
      </c>
      <c r="BO61" s="51">
        <f t="shared" si="168"/>
        <v>2040</v>
      </c>
      <c r="BP61" s="54">
        <f t="shared" si="169"/>
        <v>0</v>
      </c>
      <c r="BQ61" s="55">
        <f t="shared" si="170"/>
        <v>0</v>
      </c>
      <c r="BR61" s="56">
        <f>IF(AND($E61&lt;&gt;0,$F61&gt;0,YEAR($F61)&gt;=Preisindex!$A$6,YEAR(BM$4)&gt;=YEAR($F61),AND($K61&lt;&gt;"a",$K61&lt;&gt;"b",$K61&lt;&gt;"g",$K61&lt;&gt;"k")),1,IF(AND($E61&lt;&gt;0,$F61&gt;0,YEAR($F61)&gt;=Preisindex!$A$6,YEAR(BM$4)&gt;=YEAR($F61),$K61="a"),ROUND(VLOOKUP(BR$4,Preisindex,5,FALSE)/VLOOKUP(YEAR($F61),Preisindex,5,FALSE),2),IF(AND($E61&lt;&gt;0,$F61&gt;0,YEAR($F61)&gt;=Preisindex!$A$6,YEAR(BM$4)&gt;=YEAR($F61),$K61="b"),ROUND(VLOOKUP(BR$4,Preisindex,3,FALSE)/VLOOKUP(YEAR($F61),Preisindex,3,FALSE),2),IF(AND($E61&lt;&gt;0,$F61&gt;0,YEAR($F61)&gt;=Preisindex!$A$6,YEAR(BM$4)&gt;=YEAR($F61),$K61="g"),ROUND(VLOOKUP(BR$4,Preisindex,4,FALSE)/VLOOKUP(YEAR($F61),Preisindex,4,FALSE),2),IF(AND($E61&lt;&gt;0,$F61&gt;0,YEAR($F61)&gt;=Preisindex!$A$6,YEAR(BM$4)&gt;=YEAR($F61),$K61="k"),ROUND(VLOOKUP(BR$4,Preisindex,2,FALSE)/VLOOKUP(YEAR($F61),Preisindex,2,FALSE),2),0)))))</f>
        <v>1.24</v>
      </c>
      <c r="BS61" s="56">
        <f>IF(AND($E61&lt;&gt;0,$F61&gt;0,YEAR($F61)&lt;Preisindex!$A$6,YEAR(BM$4)&gt;=YEAR($F61),AND($K61&lt;&gt;"a",$K61&lt;&gt;"b",$K61&lt;&gt;"g",$K61&lt;&gt;"k")),1,IF(AND($E61&lt;&gt;0,$F61&gt;0,YEAR($F61)&lt;Preisindex!$A$6,YEAR(BM$4)&gt;=YEAR($F61),$K61="a"),ROUND(VLOOKUP(BR$4,Preisindex,5,FALSE)/VLOOKUP(Preisindex!$A$6,Preisindex,5,FALSE),2),IF(AND($E61&lt;&gt;0,$F61&gt;0,YEAR($F61)&lt;Preisindex!$A$6,YEAR(BM$4)&gt;=YEAR($F61),$K61="b"),ROUND(VLOOKUP(BR$4,Preisindex,3,FALSE)/VLOOKUP(Preisindex!$A$6,Preisindex,3,FALSE),2),IF(AND($E61&lt;&gt;0,$F61&gt;0,YEAR($F61)&lt;Preisindex!$A$6,YEAR(BM$4)&gt;=YEAR($F61),$K61="g"),ROUND(VLOOKUP(BR$4,Preisindex,4,FALSE)/VLOOKUP(Preisindex!$A$6,Preisindex,4,FALSE),2),IF(AND($E61&lt;&gt;0,$F61&gt;0,YEAR($F61)&lt;Preisindex!$A$6,YEAR(BM$4)&gt;=YEAR($F61),$K61="k"),ROUND(VLOOKUP(BR$4,Preisindex,2,FALSE)/VLOOKUP(Preisindex!$A$6,Preisindex,2,FALSE),2),0)))))</f>
        <v>0</v>
      </c>
      <c r="BT61" s="51">
        <f>IF(AND($E61&lt;&gt;0,$F61&gt;0,YEAR($F61)&lt;=BR$4,YEAR($F61)&gt;=Preisindex!$A$6),ROUND($E61*BR61,2),IF(AND($E61&lt;&gt;0,$F61&gt;0,YEAR($F61)&lt;=BR$4,YEAR($F61)&lt;Preisindex!$A$6),ROUND($E61*BS61,2),0))</f>
        <v>14880</v>
      </c>
      <c r="BU61" s="53">
        <f t="shared" si="171"/>
        <v>297.60000000000002</v>
      </c>
      <c r="BV61" s="51">
        <f t="shared" si="359"/>
        <v>0</v>
      </c>
      <c r="BW61" s="51">
        <f t="shared" si="327"/>
        <v>0</v>
      </c>
      <c r="BX61" s="51">
        <f t="shared" si="174"/>
        <v>0</v>
      </c>
      <c r="BY61" s="51">
        <f t="shared" si="328"/>
        <v>0</v>
      </c>
      <c r="BZ61" s="51">
        <f t="shared" si="176"/>
        <v>12000</v>
      </c>
      <c r="CA61" s="51">
        <f t="shared" si="329"/>
        <v>12000</v>
      </c>
      <c r="CB61" s="51">
        <f t="shared" si="178"/>
        <v>240</v>
      </c>
      <c r="CC61" s="51">
        <f t="shared" si="330"/>
        <v>240</v>
      </c>
      <c r="CD61" s="51">
        <f t="shared" si="180"/>
        <v>9720</v>
      </c>
      <c r="CE61" s="51">
        <f t="shared" si="331"/>
        <v>9720</v>
      </c>
      <c r="CF61" s="51">
        <f t="shared" si="182"/>
        <v>2280</v>
      </c>
      <c r="CG61" s="54">
        <f t="shared" si="183"/>
        <v>0</v>
      </c>
      <c r="CH61" s="55">
        <f t="shared" si="184"/>
        <v>0</v>
      </c>
      <c r="CI61" s="56">
        <f>IF(AND($E61&lt;&gt;0,$F61&gt;0,YEAR($F61)&gt;=Preisindex!$A$6,YEAR(CD$4)&gt;=YEAR($F61),AND($K61&lt;&gt;"a",$K61&lt;&gt;"b",$K61&lt;&gt;"g",$K61&lt;&gt;"k")),1,IF(AND($E61&lt;&gt;0,$F61&gt;0,YEAR($F61)&gt;=Preisindex!$A$6,YEAR(CD$4)&gt;=YEAR($F61),$K61="a"),ROUND(VLOOKUP(CI$4,Preisindex,5,FALSE)/VLOOKUP(YEAR($F61),Preisindex,5,FALSE),2),IF(AND($E61&lt;&gt;0,$F61&gt;0,YEAR($F61)&gt;=Preisindex!$A$6,YEAR(CD$4)&gt;=YEAR($F61),$K61="b"),ROUND(VLOOKUP(CI$4,Preisindex,3,FALSE)/VLOOKUP(YEAR($F61),Preisindex,3,FALSE),2),IF(AND($E61&lt;&gt;0,$F61&gt;0,YEAR($F61)&gt;=Preisindex!$A$6,YEAR(CD$4)&gt;=YEAR($F61),$K61="g"),ROUND(VLOOKUP(CI$4,Preisindex,4,FALSE)/VLOOKUP(YEAR($F61),Preisindex,4,FALSE),2),IF(AND($E61&lt;&gt;0,$F61&gt;0,YEAR($F61)&gt;=Preisindex!$A$6,YEAR(CD$4)&gt;=YEAR($F61),$K61="k"),ROUND(VLOOKUP(CI$4,Preisindex,2,FALSE)/VLOOKUP(YEAR($F61),Preisindex,2,FALSE),2),0)))))</f>
        <v>1.26</v>
      </c>
      <c r="CJ61" s="56">
        <f>IF(AND($E61&lt;&gt;0,$F61&gt;0,YEAR($F61)&lt;Preisindex!$A$6,YEAR(CD$4)&gt;=YEAR($F61),AND($K61&lt;&gt;"a",$K61&lt;&gt;"b",$K61&lt;&gt;"g",$K61&lt;&gt;"k")),1,IF(AND($E61&lt;&gt;0,$F61&gt;0,YEAR($F61)&lt;Preisindex!$A$6,YEAR(CD$4)&gt;=YEAR($F61),$K61="a"),ROUND(VLOOKUP(CI$4,Preisindex,5,FALSE)/VLOOKUP(Preisindex!$A$6,Preisindex,5,FALSE),2),IF(AND($E61&lt;&gt;0,$F61&gt;0,YEAR($F61)&lt;Preisindex!$A$6,YEAR(CD$4)&gt;=YEAR($F61),$K61="b"),ROUND(VLOOKUP(CI$4,Preisindex,3,FALSE)/VLOOKUP(Preisindex!$A$6,Preisindex,3,FALSE),2),IF(AND($E61&lt;&gt;0,$F61&gt;0,YEAR($F61)&lt;Preisindex!$A$6,YEAR(CD$4)&gt;=YEAR($F61),$K61="g"),ROUND(VLOOKUP(CI$4,Preisindex,4,FALSE)/VLOOKUP(Preisindex!$A$6,Preisindex,4,FALSE),2),IF(AND($E61&lt;&gt;0,$F61&gt;0,YEAR($F61)&lt;Preisindex!$A$6,YEAR(CD$4)&gt;=YEAR($F61),$K61="k"),ROUND(VLOOKUP(CI$4,Preisindex,2,FALSE)/VLOOKUP(Preisindex!$A$6,Preisindex,2,FALSE),2),0)))))</f>
        <v>0</v>
      </c>
      <c r="CK61" s="51">
        <f>IF(AND($E61&lt;&gt;0,$F61&gt;0,YEAR($F61)&lt;=CI$4,YEAR($F61)&gt;=Preisindex!$A$6),ROUND($E61*CI61,2),IF(AND($E61&lt;&gt;0,$F61&gt;0,YEAR($F61)&lt;=CI$4,YEAR($F61)&lt;Preisindex!$A$6),ROUND($E61*CJ61,2),0))</f>
        <v>15120</v>
      </c>
      <c r="CL61" s="53">
        <f t="shared" si="185"/>
        <v>302.40000000000003</v>
      </c>
      <c r="CM61" s="51">
        <f t="shared" si="359"/>
        <v>0</v>
      </c>
      <c r="CN61" s="51">
        <f t="shared" si="332"/>
        <v>0</v>
      </c>
      <c r="CO61" s="51">
        <f t="shared" si="188"/>
        <v>0</v>
      </c>
      <c r="CP61" s="51">
        <f t="shared" si="333"/>
        <v>0</v>
      </c>
      <c r="CQ61" s="51">
        <f t="shared" si="190"/>
        <v>12000</v>
      </c>
      <c r="CR61" s="51">
        <f t="shared" si="334"/>
        <v>12000</v>
      </c>
      <c r="CS61" s="51">
        <f t="shared" si="192"/>
        <v>240</v>
      </c>
      <c r="CT61" s="51">
        <f t="shared" si="335"/>
        <v>240</v>
      </c>
      <c r="CU61" s="51">
        <f t="shared" si="194"/>
        <v>9480</v>
      </c>
      <c r="CV61" s="51">
        <f t="shared" si="336"/>
        <v>9480</v>
      </c>
      <c r="CW61" s="51">
        <f t="shared" si="196"/>
        <v>2520</v>
      </c>
      <c r="CX61" s="54">
        <f t="shared" si="197"/>
        <v>0</v>
      </c>
      <c r="CY61" s="55">
        <f t="shared" si="198"/>
        <v>0</v>
      </c>
      <c r="CZ61" s="56">
        <f>IF(AND($E61&lt;&gt;0,$F61&gt;0,YEAR($F61)&gt;=Preisindex!$A$6,YEAR(CU$4)&gt;=YEAR($F61),AND($K61&lt;&gt;"a",$K61&lt;&gt;"b",$K61&lt;&gt;"g",$K61&lt;&gt;"k")),1,IF(AND($E61&lt;&gt;0,$F61&gt;0,YEAR($F61)&gt;=Preisindex!$A$6,YEAR(CU$4)&gt;=YEAR($F61),$K61="a"),ROUND(VLOOKUP(CZ$4,Preisindex,5,FALSE)/VLOOKUP(YEAR($F61),Preisindex,5,FALSE),2),IF(AND($E61&lt;&gt;0,$F61&gt;0,YEAR($F61)&gt;=Preisindex!$A$6,YEAR(CU$4)&gt;=YEAR($F61),$K61="b"),ROUND(VLOOKUP(CZ$4,Preisindex,3,FALSE)/VLOOKUP(YEAR($F61),Preisindex,3,FALSE),2),IF(AND($E61&lt;&gt;0,$F61&gt;0,YEAR($F61)&gt;=Preisindex!$A$6,YEAR(CU$4)&gt;=YEAR($F61),$K61="g"),ROUND(VLOOKUP(CZ$4,Preisindex,4,FALSE)/VLOOKUP(YEAR($F61),Preisindex,4,FALSE),2),IF(AND($E61&lt;&gt;0,$F61&gt;0,YEAR($F61)&gt;=Preisindex!$A$6,YEAR(CU$4)&gt;=YEAR($F61),$K61="k"),ROUND(VLOOKUP(CZ$4,Preisindex,2,FALSE)/VLOOKUP(YEAR($F61),Preisindex,2,FALSE),2),0)))))</f>
        <v>1.28</v>
      </c>
      <c r="DA61" s="56">
        <f>IF(AND($E61&lt;&gt;0,$F61&gt;0,YEAR($F61)&lt;Preisindex!$A$6,YEAR(CU$4)&gt;=YEAR($F61),AND($K61&lt;&gt;"a",$K61&lt;&gt;"b",$K61&lt;&gt;"g",$K61&lt;&gt;"k")),1,IF(AND($E61&lt;&gt;0,$F61&gt;0,YEAR($F61)&lt;Preisindex!$A$6,YEAR(CU$4)&gt;=YEAR($F61),$K61="a"),ROUND(VLOOKUP(CZ$4,Preisindex,5,FALSE)/VLOOKUP(Preisindex!$A$6,Preisindex,5,FALSE),2),IF(AND($E61&lt;&gt;0,$F61&gt;0,YEAR($F61)&lt;Preisindex!$A$6,YEAR(CU$4)&gt;=YEAR($F61),$K61="b"),ROUND(VLOOKUP(CZ$4,Preisindex,3,FALSE)/VLOOKUP(Preisindex!$A$6,Preisindex,3,FALSE),2),IF(AND($E61&lt;&gt;0,$F61&gt;0,YEAR($F61)&lt;Preisindex!$A$6,YEAR(CU$4)&gt;=YEAR($F61),$K61="g"),ROUND(VLOOKUP(CZ$4,Preisindex,4,FALSE)/VLOOKUP(Preisindex!$A$6,Preisindex,4,FALSE),2),IF(AND($E61&lt;&gt;0,$F61&gt;0,YEAR($F61)&lt;Preisindex!$A$6,YEAR(CU$4)&gt;=YEAR($F61),$K61="k"),ROUND(VLOOKUP(CZ$4,Preisindex,2,FALSE)/VLOOKUP(Preisindex!$A$6,Preisindex,2,FALSE),2),0)))))</f>
        <v>0</v>
      </c>
      <c r="DB61" s="51">
        <f>IF(AND($E61&lt;&gt;0,$F61&gt;0,YEAR($F61)&lt;=CZ$4,YEAR($F61)&gt;=Preisindex!$A$6),ROUND($E61*CZ61,2),IF(AND($E61&lt;&gt;0,$F61&gt;0,YEAR($F61)&lt;=CZ$4,YEAR($F61)&lt;Preisindex!$A$6),ROUND($E61*DA61,2),0))</f>
        <v>15360</v>
      </c>
      <c r="DC61" s="53">
        <f t="shared" si="199"/>
        <v>307.2</v>
      </c>
      <c r="DD61" s="51">
        <f t="shared" si="360"/>
        <v>0</v>
      </c>
      <c r="DE61" s="51">
        <f t="shared" si="337"/>
        <v>0</v>
      </c>
      <c r="DF61" s="51">
        <f t="shared" si="202"/>
        <v>0</v>
      </c>
      <c r="DG61" s="51">
        <f t="shared" si="338"/>
        <v>0</v>
      </c>
      <c r="DH61" s="51">
        <f t="shared" si="204"/>
        <v>12000</v>
      </c>
      <c r="DI61" s="51">
        <f t="shared" si="339"/>
        <v>12000</v>
      </c>
      <c r="DJ61" s="51">
        <f t="shared" si="206"/>
        <v>240</v>
      </c>
      <c r="DK61" s="51">
        <f t="shared" si="340"/>
        <v>240</v>
      </c>
      <c r="DL61" s="51">
        <f t="shared" si="208"/>
        <v>9240</v>
      </c>
      <c r="DM61" s="51">
        <f t="shared" si="341"/>
        <v>9240</v>
      </c>
      <c r="DN61" s="51">
        <f t="shared" si="210"/>
        <v>2760</v>
      </c>
      <c r="DO61" s="54">
        <f t="shared" si="211"/>
        <v>0</v>
      </c>
      <c r="DP61" s="55">
        <f t="shared" si="212"/>
        <v>0</v>
      </c>
      <c r="DQ61" s="56">
        <f>IF(AND($E61&lt;&gt;0,$F61&gt;0,YEAR($F61)&gt;=Preisindex!$A$6,YEAR(DL$4)&gt;=YEAR($F61),AND($K61&lt;&gt;"a",$K61&lt;&gt;"b",$K61&lt;&gt;"g",$K61&lt;&gt;"k")),1,IF(AND($E61&lt;&gt;0,$F61&gt;0,YEAR($F61)&gt;=Preisindex!$A$6,YEAR(DL$4)&gt;=YEAR($F61),$K61="a"),ROUND(VLOOKUP(DQ$4,Preisindex,5,FALSE)/VLOOKUP(YEAR($F61),Preisindex,5,FALSE),2),IF(AND($E61&lt;&gt;0,$F61&gt;0,YEAR($F61)&gt;=Preisindex!$A$6,YEAR(DL$4)&gt;=YEAR($F61),$K61="b"),ROUND(VLOOKUP(DQ$4,Preisindex,3,FALSE)/VLOOKUP(YEAR($F61),Preisindex,3,FALSE),2),IF(AND($E61&lt;&gt;0,$F61&gt;0,YEAR($F61)&gt;=Preisindex!$A$6,YEAR(DL$4)&gt;=YEAR($F61),$K61="g"),ROUND(VLOOKUP(DQ$4,Preisindex,4,FALSE)/VLOOKUP(YEAR($F61),Preisindex,4,FALSE),2),IF(AND($E61&lt;&gt;0,$F61&gt;0,YEAR($F61)&gt;=Preisindex!$A$6,YEAR(DL$4)&gt;=YEAR($F61),$K61="k"),ROUND(VLOOKUP(DQ$4,Preisindex,2,FALSE)/VLOOKUP(YEAR($F61),Preisindex,2,FALSE),2),0)))))</f>
        <v>1.32</v>
      </c>
      <c r="DR61" s="56">
        <f>IF(AND($E61&lt;&gt;0,$F61&gt;0,YEAR($F61)&lt;Preisindex!$A$6,YEAR(DL$4)&gt;=YEAR($F61),AND($K61&lt;&gt;"a",$K61&lt;&gt;"b",$K61&lt;&gt;"g",$K61&lt;&gt;"k")),1,IF(AND($E61&lt;&gt;0,$F61&gt;0,YEAR($F61)&lt;Preisindex!$A$6,YEAR(DL$4)&gt;=YEAR($F61),$K61="a"),ROUND(VLOOKUP(DQ$4,Preisindex,5,FALSE)/VLOOKUP(Preisindex!$A$6,Preisindex,5,FALSE),2),IF(AND($E61&lt;&gt;0,$F61&gt;0,YEAR($F61)&lt;Preisindex!$A$6,YEAR(DL$4)&gt;=YEAR($F61),$K61="b"),ROUND(VLOOKUP(DQ$4,Preisindex,3,FALSE)/VLOOKUP(Preisindex!$A$6,Preisindex,3,FALSE),2),IF(AND($E61&lt;&gt;0,$F61&gt;0,YEAR($F61)&lt;Preisindex!$A$6,YEAR(DL$4)&gt;=YEAR($F61),$K61="g"),ROUND(VLOOKUP(DQ$4,Preisindex,4,FALSE)/VLOOKUP(Preisindex!$A$6,Preisindex,4,FALSE),2),IF(AND($E61&lt;&gt;0,$F61&gt;0,YEAR($F61)&lt;Preisindex!$A$6,YEAR(DL$4)&gt;=YEAR($F61),$K61="k"),ROUND(VLOOKUP(DQ$4,Preisindex,2,FALSE)/VLOOKUP(Preisindex!$A$6,Preisindex,2,FALSE),2),0)))))</f>
        <v>0</v>
      </c>
      <c r="DS61" s="51">
        <f>IF(AND($E61&lt;&gt;0,$F61&gt;0,YEAR($F61)&lt;=DQ$4,YEAR($F61)&gt;=Preisindex!$A$6),ROUND($E61*DQ61,2),IF(AND($E61&lt;&gt;0,$F61&gt;0,YEAR($F61)&lt;=DQ$4,YEAR($F61)&lt;Preisindex!$A$6),ROUND($E61*DR61,2),0))</f>
        <v>15840</v>
      </c>
      <c r="DT61" s="53">
        <f t="shared" si="213"/>
        <v>316.8</v>
      </c>
      <c r="DU61" s="51">
        <f t="shared" si="360"/>
        <v>0</v>
      </c>
      <c r="DV61" s="51">
        <f t="shared" si="342"/>
        <v>0</v>
      </c>
      <c r="DW61" s="51">
        <f t="shared" si="216"/>
        <v>0</v>
      </c>
      <c r="DX61" s="51">
        <f t="shared" si="343"/>
        <v>0</v>
      </c>
      <c r="DY61" s="51">
        <f t="shared" si="218"/>
        <v>12000</v>
      </c>
      <c r="DZ61" s="51">
        <f t="shared" si="344"/>
        <v>12000</v>
      </c>
      <c r="EA61" s="51">
        <f t="shared" si="220"/>
        <v>240</v>
      </c>
      <c r="EB61" s="51">
        <f t="shared" si="345"/>
        <v>240</v>
      </c>
      <c r="EC61" s="51">
        <f t="shared" si="222"/>
        <v>9000</v>
      </c>
      <c r="ED61" s="51">
        <f t="shared" si="346"/>
        <v>9000</v>
      </c>
      <c r="EE61" s="51">
        <f t="shared" si="224"/>
        <v>3000</v>
      </c>
      <c r="EF61" s="54">
        <f t="shared" si="225"/>
        <v>0</v>
      </c>
      <c r="EG61" s="55">
        <f t="shared" si="226"/>
        <v>0</v>
      </c>
      <c r="EH61" s="56">
        <f>IF(AND($E61&lt;&gt;0,$F61&gt;0,YEAR($F61)&gt;=Preisindex!$A$6,YEAR(EC$4)&gt;=YEAR($F61),AND($K61&lt;&gt;"a",$K61&lt;&gt;"b",$K61&lt;&gt;"g",$K61&lt;&gt;"k")),1,IF(AND($E61&lt;&gt;0,$F61&gt;0,YEAR($F61)&gt;=Preisindex!$A$6,YEAR(EC$4)&gt;=YEAR($F61),$K61="a"),ROUND(VLOOKUP(EH$4,Preisindex,5,FALSE)/VLOOKUP(YEAR($F61),Preisindex,5,FALSE),2),IF(AND($E61&lt;&gt;0,$F61&gt;0,YEAR($F61)&gt;=Preisindex!$A$6,YEAR(EC$4)&gt;=YEAR($F61),$K61="b"),ROUND(VLOOKUP(EH$4,Preisindex,3,FALSE)/VLOOKUP(YEAR($F61),Preisindex,3,FALSE),2),IF(AND($E61&lt;&gt;0,$F61&gt;0,YEAR($F61)&gt;=Preisindex!$A$6,YEAR(EC$4)&gt;=YEAR($F61),$K61="g"),ROUND(VLOOKUP(EH$4,Preisindex,4,FALSE)/VLOOKUP(YEAR($F61),Preisindex,4,FALSE),2),IF(AND($E61&lt;&gt;0,$F61&gt;0,YEAR($F61)&gt;=Preisindex!$A$6,YEAR(EC$4)&gt;=YEAR($F61),$K61="k"),ROUND(VLOOKUP(EH$4,Preisindex,2,FALSE)/VLOOKUP(YEAR($F61),Preisindex,2,FALSE),2),0)))))</f>
        <v>1.39</v>
      </c>
      <c r="EI61" s="56">
        <f>IF(AND($E61&lt;&gt;0,$F61&gt;0,YEAR($F61)&lt;Preisindex!$A$6,YEAR(EC$4)&gt;=YEAR($F61),AND($K61&lt;&gt;"a",$K61&lt;&gt;"b",$K61&lt;&gt;"g",$K61&lt;&gt;"k")),1,IF(AND($E61&lt;&gt;0,$F61&gt;0,YEAR($F61)&lt;Preisindex!$A$6,YEAR(EC$4)&gt;=YEAR($F61),$K61="a"),ROUND(VLOOKUP(EH$4,Preisindex,5,FALSE)/VLOOKUP(Preisindex!$A$6,Preisindex,5,FALSE),2),IF(AND($E61&lt;&gt;0,$F61&gt;0,YEAR($F61)&lt;Preisindex!$A$6,YEAR(EC$4)&gt;=YEAR($F61),$K61="b"),ROUND(VLOOKUP(EH$4,Preisindex,3,FALSE)/VLOOKUP(Preisindex!$A$6,Preisindex,3,FALSE),2),IF(AND($E61&lt;&gt;0,$F61&gt;0,YEAR($F61)&lt;Preisindex!$A$6,YEAR(EC$4)&gt;=YEAR($F61),$K61="g"),ROUND(VLOOKUP(EH$4,Preisindex,4,FALSE)/VLOOKUP(Preisindex!$A$6,Preisindex,4,FALSE),2),IF(AND($E61&lt;&gt;0,$F61&gt;0,YEAR($F61)&lt;Preisindex!$A$6,YEAR(EC$4)&gt;=YEAR($F61),$K61="k"),ROUND(VLOOKUP(EH$4,Preisindex,2,FALSE)/VLOOKUP(Preisindex!$A$6,Preisindex,2,FALSE),2),0)))))</f>
        <v>0</v>
      </c>
      <c r="EJ61" s="51">
        <f>IF(AND($E61&lt;&gt;0,$F61&gt;0,YEAR($F61)&lt;=EH$4,YEAR($F61)&gt;=Preisindex!$A$6),ROUND($E61*EH61,2),IF(AND($E61&lt;&gt;0,$F61&gt;0,YEAR($F61)&lt;=EH$4,YEAR($F61)&lt;Preisindex!$A$6),ROUND($E61*EI61,2),0))</f>
        <v>16680</v>
      </c>
      <c r="EK61" s="53">
        <f t="shared" si="227"/>
        <v>333.6</v>
      </c>
      <c r="EL61" s="51">
        <f t="shared" si="360"/>
        <v>0</v>
      </c>
      <c r="EM61" s="51">
        <f t="shared" si="347"/>
        <v>0</v>
      </c>
      <c r="EN61" s="51">
        <f t="shared" si="230"/>
        <v>0</v>
      </c>
      <c r="EO61" s="51">
        <f t="shared" si="348"/>
        <v>0</v>
      </c>
      <c r="EP61" s="51">
        <f t="shared" si="232"/>
        <v>12000</v>
      </c>
      <c r="EQ61" s="51">
        <f t="shared" si="349"/>
        <v>12000</v>
      </c>
      <c r="ER61" s="51">
        <f t="shared" si="234"/>
        <v>240</v>
      </c>
      <c r="ES61" s="51">
        <f t="shared" si="350"/>
        <v>240</v>
      </c>
      <c r="ET61" s="51">
        <f t="shared" si="236"/>
        <v>8760</v>
      </c>
      <c r="EU61" s="51">
        <f t="shared" si="351"/>
        <v>8760</v>
      </c>
      <c r="EV61" s="51">
        <f t="shared" si="238"/>
        <v>3240</v>
      </c>
      <c r="EW61" s="54">
        <f t="shared" si="239"/>
        <v>0</v>
      </c>
      <c r="EX61" s="55">
        <f t="shared" si="240"/>
        <v>0</v>
      </c>
      <c r="EY61" s="56">
        <f>IF(AND($E61&lt;&gt;0,$F61&gt;0,YEAR($F61)&gt;=Preisindex!$A$6,YEAR(ET$4)&gt;=YEAR($F61),AND($K61&lt;&gt;"a",$K61&lt;&gt;"b",$K61&lt;&gt;"g",$K61&lt;&gt;"k")),1,IF(AND($E61&lt;&gt;0,$F61&gt;0,YEAR($F61)&gt;=Preisindex!$A$6,YEAR(ET$4)&gt;=YEAR($F61),$K61="a"),ROUND(VLOOKUP(EY$4,Preisindex,5,FALSE)/VLOOKUP(YEAR($F61),Preisindex,5,FALSE),2),IF(AND($E61&lt;&gt;0,$F61&gt;0,YEAR($F61)&gt;=Preisindex!$A$6,YEAR(ET$4)&gt;=YEAR($F61),$K61="b"),ROUND(VLOOKUP(EY$4,Preisindex,3,FALSE)/VLOOKUP(YEAR($F61),Preisindex,3,FALSE),2),IF(AND($E61&lt;&gt;0,$F61&gt;0,YEAR($F61)&gt;=Preisindex!$A$6,YEAR(ET$4)&gt;=YEAR($F61),$K61="g"),ROUND(VLOOKUP(EY$4,Preisindex,4,FALSE)/VLOOKUP(YEAR($F61),Preisindex,4,FALSE),2),IF(AND($E61&lt;&gt;0,$F61&gt;0,YEAR($F61)&gt;=Preisindex!$A$6,YEAR(ET$4)&gt;=YEAR($F61),$K61="k"),ROUND(VLOOKUP(EY$4,Preisindex,2,FALSE)/VLOOKUP(YEAR($F61),Preisindex,2,FALSE),2),0)))))</f>
        <v>1.39</v>
      </c>
      <c r="EZ61" s="56">
        <f>IF(AND($E61&lt;&gt;0,$F61&gt;0,YEAR($F61)&lt;Preisindex!$A$6,YEAR(ET$4)&gt;=YEAR($F61),AND($K61&lt;&gt;"a",$K61&lt;&gt;"b",$K61&lt;&gt;"g",$K61&lt;&gt;"k")),1,IF(AND($E61&lt;&gt;0,$F61&gt;0,YEAR($F61)&lt;Preisindex!$A$6,YEAR(ET$4)&gt;=YEAR($F61),$K61="a"),ROUND(VLOOKUP(EY$4,Preisindex,5,FALSE)/VLOOKUP(Preisindex!$A$6,Preisindex,5,FALSE),2),IF(AND($E61&lt;&gt;0,$F61&gt;0,YEAR($F61)&lt;Preisindex!$A$6,YEAR(ET$4)&gt;=YEAR($F61),$K61="b"),ROUND(VLOOKUP(EY$4,Preisindex,3,FALSE)/VLOOKUP(Preisindex!$A$6,Preisindex,3,FALSE),2),IF(AND($E61&lt;&gt;0,$F61&gt;0,YEAR($F61)&lt;Preisindex!$A$6,YEAR(ET$4)&gt;=YEAR($F61),$K61="g"),ROUND(VLOOKUP(EY$4,Preisindex,4,FALSE)/VLOOKUP(Preisindex!$A$6,Preisindex,4,FALSE),2),IF(AND($E61&lt;&gt;0,$F61&gt;0,YEAR($F61)&lt;Preisindex!$A$6,YEAR(ET$4)&gt;=YEAR($F61),$K61="k"),ROUND(VLOOKUP(EY$4,Preisindex,2,FALSE)/VLOOKUP(Preisindex!$A$6,Preisindex,2,FALSE),2),0)))))</f>
        <v>0</v>
      </c>
      <c r="FA61" s="51">
        <f>IF(AND($E61&lt;&gt;0,$F61&gt;0,YEAR($F61)&lt;=EY$4,YEAR($F61)&gt;=Preisindex!$A$6),ROUND($E61*EY61,2),IF(AND($E61&lt;&gt;0,$F61&gt;0,YEAR($F61)&lt;=EY$4,YEAR($F61)&lt;Preisindex!$A$6),ROUND($E61*EZ61,2),0))</f>
        <v>16680</v>
      </c>
      <c r="FB61" s="53">
        <f t="shared" si="241"/>
        <v>333.6</v>
      </c>
      <c r="FC61" s="51">
        <f t="shared" si="360"/>
        <v>0</v>
      </c>
      <c r="FD61" s="51">
        <f t="shared" si="352"/>
        <v>0</v>
      </c>
      <c r="FE61" s="51">
        <f t="shared" si="244"/>
        <v>0</v>
      </c>
      <c r="FF61" s="51">
        <f t="shared" si="353"/>
        <v>0</v>
      </c>
      <c r="FG61" s="51">
        <f t="shared" si="246"/>
        <v>12000</v>
      </c>
      <c r="FH61" s="51">
        <f t="shared" si="354"/>
        <v>12000</v>
      </c>
      <c r="FI61" s="51">
        <f t="shared" si="248"/>
        <v>240</v>
      </c>
      <c r="FJ61" s="51">
        <f t="shared" si="355"/>
        <v>240</v>
      </c>
      <c r="FK61" s="51">
        <f t="shared" si="250"/>
        <v>8520</v>
      </c>
      <c r="FL61" s="51">
        <f t="shared" si="356"/>
        <v>8520</v>
      </c>
      <c r="FM61" s="51">
        <f t="shared" si="252"/>
        <v>3480</v>
      </c>
      <c r="FN61" s="54">
        <f t="shared" si="253"/>
        <v>0</v>
      </c>
      <c r="FO61" s="55">
        <f t="shared" si="254"/>
        <v>0</v>
      </c>
      <c r="FP61" s="56">
        <f>IF(AND($E61&lt;&gt;0,$F61&gt;0,YEAR($F61)&gt;=Preisindex!$A$6,YEAR(FK$4)&gt;=YEAR($F61),AND($K61&lt;&gt;"a",$K61&lt;&gt;"b",$K61&lt;&gt;"g",$K61&lt;&gt;"k")),1,IF(AND($E61&lt;&gt;0,$F61&gt;0,YEAR($F61)&gt;=Preisindex!$A$6,YEAR(FK$4)&gt;=YEAR($F61),$K61="a"),ROUND(VLOOKUP(FP$4,Preisindex,5,FALSE)/VLOOKUP(YEAR($F61),Preisindex,5,FALSE),2),IF(AND($E61&lt;&gt;0,$F61&gt;0,YEAR($F61)&gt;=Preisindex!$A$6,YEAR(FK$4)&gt;=YEAR($F61),$K61="b"),ROUND(VLOOKUP(FP$4,Preisindex,3,FALSE)/VLOOKUP(YEAR($F61),Preisindex,3,FALSE),2),IF(AND($E61&lt;&gt;0,$F61&gt;0,YEAR($F61)&gt;=Preisindex!$A$6,YEAR(FK$4)&gt;=YEAR($F61),$K61="g"),ROUND(VLOOKUP(FP$4,Preisindex,4,FALSE)/VLOOKUP(YEAR($F61),Preisindex,4,FALSE),2),IF(AND($E61&lt;&gt;0,$F61&gt;0,YEAR($F61)&gt;=Preisindex!$A$6,YEAR(FK$4)&gt;=YEAR($F61),$K61="k"),ROUND(VLOOKUP(FP$4,Preisindex,2,FALSE)/VLOOKUP(YEAR($F61),Preisindex,2,FALSE),2),0)))))</f>
        <v>1.39</v>
      </c>
      <c r="FQ61" s="56">
        <f>IF(AND($E61&lt;&gt;0,$F61&gt;0,YEAR($F61)&lt;Preisindex!$A$6,YEAR(FK$4)&gt;=YEAR($F61),AND($K61&lt;&gt;"a",$K61&lt;&gt;"b",$K61&lt;&gt;"g",$K61&lt;&gt;"k")),1,IF(AND($E61&lt;&gt;0,$F61&gt;0,YEAR($F61)&lt;Preisindex!$A$6,YEAR(FK$4)&gt;=YEAR($F61),$K61="a"),ROUND(VLOOKUP(FP$4,Preisindex,5,FALSE)/VLOOKUP(Preisindex!$A$6,Preisindex,5,FALSE),2),IF(AND($E61&lt;&gt;0,$F61&gt;0,YEAR($F61)&lt;Preisindex!$A$6,YEAR(FK$4)&gt;=YEAR($F61),$K61="b"),ROUND(VLOOKUP(FP$4,Preisindex,3,FALSE)/VLOOKUP(Preisindex!$A$6,Preisindex,3,FALSE),2),IF(AND($E61&lt;&gt;0,$F61&gt;0,YEAR($F61)&lt;Preisindex!$A$6,YEAR(FK$4)&gt;=YEAR($F61),$K61="g"),ROUND(VLOOKUP(FP$4,Preisindex,4,FALSE)/VLOOKUP(Preisindex!$A$6,Preisindex,4,FALSE),2),IF(AND($E61&lt;&gt;0,$F61&gt;0,YEAR($F61)&lt;Preisindex!$A$6,YEAR(FK$4)&gt;=YEAR($F61),$K61="k"),ROUND(VLOOKUP(FP$4,Preisindex,2,FALSE)/VLOOKUP(Preisindex!$A$6,Preisindex,2,FALSE),2),0)))))</f>
        <v>0</v>
      </c>
      <c r="FR61" s="51">
        <f>IF(AND($E61&lt;&gt;0,$F61&gt;0,YEAR($F61)&lt;=FP$4,YEAR($F61)&gt;=Preisindex!$A$6),ROUND($E61*FP61,2),IF(AND($E61&lt;&gt;0,$F61&gt;0,YEAR($F61)&lt;=FP$4,YEAR($F61)&lt;Preisindex!$A$6),ROUND($E61*FQ61,2),0))</f>
        <v>16680</v>
      </c>
      <c r="FS61" s="53">
        <f t="shared" si="255"/>
        <v>333.6</v>
      </c>
    </row>
    <row r="62" spans="1:175" x14ac:dyDescent="0.3">
      <c r="A62" s="93">
        <v>2008</v>
      </c>
      <c r="B62" s="94" t="s">
        <v>248</v>
      </c>
      <c r="C62" s="94"/>
      <c r="D62" s="95" t="s">
        <v>63</v>
      </c>
      <c r="E62" s="99">
        <v>46500</v>
      </c>
      <c r="F62" s="97">
        <v>39630</v>
      </c>
      <c r="G62" s="98">
        <v>50</v>
      </c>
      <c r="H62" s="620"/>
      <c r="I62" s="621"/>
      <c r="J62" s="194"/>
      <c r="K62" s="630" t="s">
        <v>266</v>
      </c>
      <c r="L62" s="49">
        <f t="shared" si="296"/>
        <v>0.02</v>
      </c>
      <c r="M62" s="50">
        <f t="shared" si="297"/>
        <v>930</v>
      </c>
      <c r="N62" s="51">
        <f t="shared" si="298"/>
        <v>43245</v>
      </c>
      <c r="O62" s="51"/>
      <c r="P62" s="51">
        <f t="shared" si="299"/>
        <v>3255</v>
      </c>
      <c r="Q62" s="52"/>
      <c r="R62" s="52"/>
      <c r="S62" s="52"/>
      <c r="T62" s="52"/>
      <c r="U62" s="52"/>
      <c r="V62" s="53">
        <f t="shared" si="300"/>
        <v>46500</v>
      </c>
      <c r="W62" s="51">
        <f t="shared" si="301"/>
        <v>0</v>
      </c>
      <c r="X62" s="51">
        <f t="shared" si="302"/>
        <v>0</v>
      </c>
      <c r="Y62" s="51">
        <f t="shared" si="303"/>
        <v>0</v>
      </c>
      <c r="Z62" s="51">
        <f t="shared" si="304"/>
        <v>0</v>
      </c>
      <c r="AA62" s="51">
        <f t="shared" si="305"/>
        <v>46500</v>
      </c>
      <c r="AB62" s="51">
        <f t="shared" si="306"/>
        <v>46500</v>
      </c>
      <c r="AC62" s="51">
        <f t="shared" si="307"/>
        <v>930</v>
      </c>
      <c r="AD62" s="51">
        <f t="shared" si="308"/>
        <v>930</v>
      </c>
      <c r="AE62" s="51">
        <f t="shared" si="309"/>
        <v>42315</v>
      </c>
      <c r="AF62" s="51">
        <f t="shared" si="310"/>
        <v>42315</v>
      </c>
      <c r="AG62" s="51">
        <f t="shared" si="311"/>
        <v>4185</v>
      </c>
      <c r="AH62" s="54">
        <f t="shared" si="312"/>
        <v>0</v>
      </c>
      <c r="AI62" s="55">
        <f t="shared" si="313"/>
        <v>0</v>
      </c>
      <c r="AJ62" s="56">
        <f>IF(AND($E62&lt;&gt;0,$F62&gt;0,YEAR($F62)&gt;=Preisindex!$A$6,YEAR(AE$4)&gt;=YEAR($F62),AND($K62&lt;&gt;"a",$K62&lt;&gt;"b",$K62&lt;&gt;"g",$K62&lt;&gt;"k")),1,IF(AND($E62&lt;&gt;0,$F62&gt;0,YEAR($F62)&gt;=Preisindex!$A$6,YEAR(AE$4)&gt;=YEAR($F62),$K62="a"),ROUND(VLOOKUP(AJ$4,Preisindex,5,FALSE)/VLOOKUP(YEAR($F62),Preisindex,5,FALSE),2),IF(AND($E62&lt;&gt;0,$F62&gt;0,YEAR($F62)&gt;=Preisindex!$A$6,YEAR(AE$4)&gt;=YEAR($F62),$K62="b"),ROUND(VLOOKUP(AJ$4,Preisindex,3,FALSE)/VLOOKUP(YEAR($F62),Preisindex,3,FALSE),2),IF(AND($E62&lt;&gt;0,$F62&gt;0,YEAR($F62)&gt;=Preisindex!$A$6,YEAR(AE$4)&gt;=YEAR($F62),$K62="g"),ROUND(VLOOKUP(AJ$4,Preisindex,4,FALSE)/VLOOKUP(YEAR($F62),Preisindex,4,FALSE),2),IF(AND($E62&lt;&gt;0,$F62&gt;0,YEAR($F62)&gt;=Preisindex!$A$6,YEAR(AE$4)&gt;=YEAR($F62),$K62="k"),ROUND(VLOOKUP(AJ$4,Preisindex,2,FALSE)/VLOOKUP(YEAR($F62),Preisindex,2,FALSE),2),0)))))</f>
        <v>1.07</v>
      </c>
      <c r="AK62" s="56">
        <f>IF(AND($E62&lt;&gt;0,$F62&gt;0,YEAR($F62)&lt;Preisindex!$A$6,YEAR(AE$4)&gt;=YEAR($F62),AND($K62&lt;&gt;"a",$K62&lt;&gt;"b",$K62&lt;&gt;"g",$K62&lt;&gt;"k")),1,IF(AND($E62&lt;&gt;0,$F62&gt;0,YEAR($F62)&lt;Preisindex!$A$6,YEAR(AE$4)&gt;=YEAR($F62),$K62="a"),ROUND(VLOOKUP(AJ$4,Preisindex,5,FALSE)/VLOOKUP(Preisindex!$A$6,Preisindex,5,FALSE),2),IF(AND($E62&lt;&gt;0,$F62&gt;0,YEAR($F62)&lt;Preisindex!$A$6,YEAR(AE$4)&gt;=YEAR($F62),$K62="b"),ROUND(VLOOKUP(AJ$4,Preisindex,3,FALSE)/VLOOKUP(Preisindex!$A$6,Preisindex,3,FALSE),2),IF(AND($E62&lt;&gt;0,$F62&gt;0,YEAR($F62)&lt;Preisindex!$A$6,YEAR(AE$4)&gt;=YEAR($F62),$K62="g"),ROUND(VLOOKUP(AJ$4,Preisindex,4,FALSE)/VLOOKUP(Preisindex!$A$6,Preisindex,4,FALSE),2),IF(AND($E62&lt;&gt;0,$F62&gt;0,YEAR($F62)&lt;Preisindex!$A$6,YEAR(AE$4)&gt;=YEAR($F62),$K62="k"),ROUND(VLOOKUP(AJ$4,Preisindex,2,FALSE)/VLOOKUP(Preisindex!$A$6,Preisindex,2,FALSE),2),0)))))</f>
        <v>0</v>
      </c>
      <c r="AL62" s="51">
        <f>IF(AND($E62&lt;&gt;0,$F62&gt;0,YEAR($F62)&lt;=AJ$4,YEAR($F62)&gt;=Preisindex!$A$6),ROUND($E62*AJ62,2),IF(AND($E62&lt;&gt;0,$F62&gt;0,YEAR($F62)&lt;=AJ$4,YEAR($F62)&lt;Preisindex!$A$6),ROUND($E62*AK62,2),0))</f>
        <v>49755</v>
      </c>
      <c r="AM62" s="53">
        <f t="shared" si="314"/>
        <v>995.1</v>
      </c>
      <c r="AN62" s="51">
        <f t="shared" si="359"/>
        <v>0</v>
      </c>
      <c r="AO62" s="51">
        <f t="shared" si="317"/>
        <v>0</v>
      </c>
      <c r="AP62" s="51">
        <f t="shared" si="146"/>
        <v>0</v>
      </c>
      <c r="AQ62" s="51">
        <f t="shared" si="318"/>
        <v>0</v>
      </c>
      <c r="AR62" s="51">
        <f t="shared" si="148"/>
        <v>46500</v>
      </c>
      <c r="AS62" s="51">
        <f t="shared" si="319"/>
        <v>46500</v>
      </c>
      <c r="AT62" s="51">
        <f t="shared" si="150"/>
        <v>930</v>
      </c>
      <c r="AU62" s="51">
        <f t="shared" si="320"/>
        <v>930</v>
      </c>
      <c r="AV62" s="51">
        <f t="shared" si="152"/>
        <v>41385</v>
      </c>
      <c r="AW62" s="51">
        <f t="shared" si="321"/>
        <v>41385</v>
      </c>
      <c r="AX62" s="51">
        <f t="shared" si="154"/>
        <v>5115</v>
      </c>
      <c r="AY62" s="54">
        <f t="shared" si="155"/>
        <v>0</v>
      </c>
      <c r="AZ62" s="55">
        <f t="shared" si="156"/>
        <v>0</v>
      </c>
      <c r="BA62" s="56">
        <f>IF(AND($E62&lt;&gt;0,$F62&gt;0,YEAR($F62)&gt;=Preisindex!$A$6,YEAR(AV$4)&gt;=YEAR($F62),AND($K62&lt;&gt;"a",$K62&lt;&gt;"b",$K62&lt;&gt;"g",$K62&lt;&gt;"k")),1,IF(AND($E62&lt;&gt;0,$F62&gt;0,YEAR($F62)&gt;=Preisindex!$A$6,YEAR(AV$4)&gt;=YEAR($F62),$K62="a"),ROUND(VLOOKUP(BA$4,Preisindex,5,FALSE)/VLOOKUP(YEAR($F62),Preisindex,5,FALSE),2),IF(AND($E62&lt;&gt;0,$F62&gt;0,YEAR($F62)&gt;=Preisindex!$A$6,YEAR(AV$4)&gt;=YEAR($F62),$K62="b"),ROUND(VLOOKUP(BA$4,Preisindex,3,FALSE)/VLOOKUP(YEAR($F62),Preisindex,3,FALSE),2),IF(AND($E62&lt;&gt;0,$F62&gt;0,YEAR($F62)&gt;=Preisindex!$A$6,YEAR(AV$4)&gt;=YEAR($F62),$K62="g"),ROUND(VLOOKUP(BA$4,Preisindex,4,FALSE)/VLOOKUP(YEAR($F62),Preisindex,4,FALSE),2),IF(AND($E62&lt;&gt;0,$F62&gt;0,YEAR($F62)&gt;=Preisindex!$A$6,YEAR(AV$4)&gt;=YEAR($F62),$K62="k"),ROUND(VLOOKUP(BA$4,Preisindex,2,FALSE)/VLOOKUP(YEAR($F62),Preisindex,2,FALSE),2),0)))))</f>
        <v>1.0900000000000001</v>
      </c>
      <c r="BB62" s="56">
        <f>IF(AND($E62&lt;&gt;0,$F62&gt;0,YEAR($F62)&lt;Preisindex!$A$6,YEAR(AV$4)&gt;=YEAR($F62),AND($K62&lt;&gt;"a",$K62&lt;&gt;"b",$K62&lt;&gt;"g",$K62&lt;&gt;"k")),1,IF(AND($E62&lt;&gt;0,$F62&gt;0,YEAR($F62)&lt;Preisindex!$A$6,YEAR(AV$4)&gt;=YEAR($F62),$K62="a"),ROUND(VLOOKUP(BA$4,Preisindex,5,FALSE)/VLOOKUP(Preisindex!$A$6,Preisindex,5,FALSE),2),IF(AND($E62&lt;&gt;0,$F62&gt;0,YEAR($F62)&lt;Preisindex!$A$6,YEAR(AV$4)&gt;=YEAR($F62),$K62="b"),ROUND(VLOOKUP(BA$4,Preisindex,3,FALSE)/VLOOKUP(Preisindex!$A$6,Preisindex,3,FALSE),2),IF(AND($E62&lt;&gt;0,$F62&gt;0,YEAR($F62)&lt;Preisindex!$A$6,YEAR(AV$4)&gt;=YEAR($F62),$K62="g"),ROUND(VLOOKUP(BA$4,Preisindex,4,FALSE)/VLOOKUP(Preisindex!$A$6,Preisindex,4,FALSE),2),IF(AND($E62&lt;&gt;0,$F62&gt;0,YEAR($F62)&lt;Preisindex!$A$6,YEAR(AV$4)&gt;=YEAR($F62),$K62="k"),ROUND(VLOOKUP(BA$4,Preisindex,2,FALSE)/VLOOKUP(Preisindex!$A$6,Preisindex,2,FALSE),2),0)))))</f>
        <v>0</v>
      </c>
      <c r="BC62" s="51">
        <f>IF(AND($E62&lt;&gt;0,$F62&gt;0,YEAR($F62)&lt;=BA$4,YEAR($F62)&gt;=Preisindex!$A$6),ROUND($E62*BA62,2),IF(AND($E62&lt;&gt;0,$F62&gt;0,YEAR($F62)&lt;=BA$4,YEAR($F62)&lt;Preisindex!$A$6),ROUND($E62*BB62,2),0))</f>
        <v>50685</v>
      </c>
      <c r="BD62" s="53">
        <f t="shared" si="157"/>
        <v>1013.7</v>
      </c>
      <c r="BE62" s="51">
        <f t="shared" si="359"/>
        <v>0</v>
      </c>
      <c r="BF62" s="51">
        <f t="shared" si="322"/>
        <v>0</v>
      </c>
      <c r="BG62" s="51">
        <f t="shared" si="160"/>
        <v>0</v>
      </c>
      <c r="BH62" s="51">
        <f t="shared" si="323"/>
        <v>0</v>
      </c>
      <c r="BI62" s="51">
        <f t="shared" si="162"/>
        <v>46500</v>
      </c>
      <c r="BJ62" s="51">
        <f t="shared" si="324"/>
        <v>46500</v>
      </c>
      <c r="BK62" s="51">
        <f t="shared" si="164"/>
        <v>930</v>
      </c>
      <c r="BL62" s="51">
        <f t="shared" si="325"/>
        <v>930</v>
      </c>
      <c r="BM62" s="51">
        <f t="shared" si="166"/>
        <v>40455</v>
      </c>
      <c r="BN62" s="51">
        <f t="shared" si="326"/>
        <v>40455</v>
      </c>
      <c r="BO62" s="51">
        <f t="shared" si="168"/>
        <v>6045</v>
      </c>
      <c r="BP62" s="54">
        <f t="shared" si="169"/>
        <v>0</v>
      </c>
      <c r="BQ62" s="55">
        <f t="shared" si="170"/>
        <v>0</v>
      </c>
      <c r="BR62" s="56">
        <f>IF(AND($E62&lt;&gt;0,$F62&gt;0,YEAR($F62)&gt;=Preisindex!$A$6,YEAR(BM$4)&gt;=YEAR($F62),AND($K62&lt;&gt;"a",$K62&lt;&gt;"b",$K62&lt;&gt;"g",$K62&lt;&gt;"k")),1,IF(AND($E62&lt;&gt;0,$F62&gt;0,YEAR($F62)&gt;=Preisindex!$A$6,YEAR(BM$4)&gt;=YEAR($F62),$K62="a"),ROUND(VLOOKUP(BR$4,Preisindex,5,FALSE)/VLOOKUP(YEAR($F62),Preisindex,5,FALSE),2),IF(AND($E62&lt;&gt;0,$F62&gt;0,YEAR($F62)&gt;=Preisindex!$A$6,YEAR(BM$4)&gt;=YEAR($F62),$K62="b"),ROUND(VLOOKUP(BR$4,Preisindex,3,FALSE)/VLOOKUP(YEAR($F62),Preisindex,3,FALSE),2),IF(AND($E62&lt;&gt;0,$F62&gt;0,YEAR($F62)&gt;=Preisindex!$A$6,YEAR(BM$4)&gt;=YEAR($F62),$K62="g"),ROUND(VLOOKUP(BR$4,Preisindex,4,FALSE)/VLOOKUP(YEAR($F62),Preisindex,4,FALSE),2),IF(AND($E62&lt;&gt;0,$F62&gt;0,YEAR($F62)&gt;=Preisindex!$A$6,YEAR(BM$4)&gt;=YEAR($F62),$K62="k"),ROUND(VLOOKUP(BR$4,Preisindex,2,FALSE)/VLOOKUP(YEAR($F62),Preisindex,2,FALSE),2),0)))))</f>
        <v>1.1100000000000001</v>
      </c>
      <c r="BS62" s="56">
        <f>IF(AND($E62&lt;&gt;0,$F62&gt;0,YEAR($F62)&lt;Preisindex!$A$6,YEAR(BM$4)&gt;=YEAR($F62),AND($K62&lt;&gt;"a",$K62&lt;&gt;"b",$K62&lt;&gt;"g",$K62&lt;&gt;"k")),1,IF(AND($E62&lt;&gt;0,$F62&gt;0,YEAR($F62)&lt;Preisindex!$A$6,YEAR(BM$4)&gt;=YEAR($F62),$K62="a"),ROUND(VLOOKUP(BR$4,Preisindex,5,FALSE)/VLOOKUP(Preisindex!$A$6,Preisindex,5,FALSE),2),IF(AND($E62&lt;&gt;0,$F62&gt;0,YEAR($F62)&lt;Preisindex!$A$6,YEAR(BM$4)&gt;=YEAR($F62),$K62="b"),ROUND(VLOOKUP(BR$4,Preisindex,3,FALSE)/VLOOKUP(Preisindex!$A$6,Preisindex,3,FALSE),2),IF(AND($E62&lt;&gt;0,$F62&gt;0,YEAR($F62)&lt;Preisindex!$A$6,YEAR(BM$4)&gt;=YEAR($F62),$K62="g"),ROUND(VLOOKUP(BR$4,Preisindex,4,FALSE)/VLOOKUP(Preisindex!$A$6,Preisindex,4,FALSE),2),IF(AND($E62&lt;&gt;0,$F62&gt;0,YEAR($F62)&lt;Preisindex!$A$6,YEAR(BM$4)&gt;=YEAR($F62),$K62="k"),ROUND(VLOOKUP(BR$4,Preisindex,2,FALSE)/VLOOKUP(Preisindex!$A$6,Preisindex,2,FALSE),2),0)))))</f>
        <v>0</v>
      </c>
      <c r="BT62" s="51">
        <f>IF(AND($E62&lt;&gt;0,$F62&gt;0,YEAR($F62)&lt;=BR$4,YEAR($F62)&gt;=Preisindex!$A$6),ROUND($E62*BR62,2),IF(AND($E62&lt;&gt;0,$F62&gt;0,YEAR($F62)&lt;=BR$4,YEAR($F62)&lt;Preisindex!$A$6),ROUND($E62*BS62,2),0))</f>
        <v>51615</v>
      </c>
      <c r="BU62" s="53">
        <f t="shared" si="171"/>
        <v>1032.3</v>
      </c>
      <c r="BV62" s="51">
        <f t="shared" si="359"/>
        <v>0</v>
      </c>
      <c r="BW62" s="51">
        <f t="shared" si="327"/>
        <v>0</v>
      </c>
      <c r="BX62" s="51">
        <f t="shared" si="174"/>
        <v>0</v>
      </c>
      <c r="BY62" s="51">
        <f t="shared" si="328"/>
        <v>0</v>
      </c>
      <c r="BZ62" s="51">
        <f t="shared" si="176"/>
        <v>46500</v>
      </c>
      <c r="CA62" s="51">
        <f t="shared" si="329"/>
        <v>46500</v>
      </c>
      <c r="CB62" s="51">
        <f t="shared" si="178"/>
        <v>930</v>
      </c>
      <c r="CC62" s="51">
        <f t="shared" si="330"/>
        <v>930</v>
      </c>
      <c r="CD62" s="51">
        <f t="shared" si="180"/>
        <v>39525</v>
      </c>
      <c r="CE62" s="51">
        <f t="shared" si="331"/>
        <v>39525</v>
      </c>
      <c r="CF62" s="51">
        <f t="shared" si="182"/>
        <v>6975</v>
      </c>
      <c r="CG62" s="54">
        <f t="shared" si="183"/>
        <v>0</v>
      </c>
      <c r="CH62" s="55">
        <f t="shared" si="184"/>
        <v>0</v>
      </c>
      <c r="CI62" s="56">
        <f>IF(AND($E62&lt;&gt;0,$F62&gt;0,YEAR($F62)&gt;=Preisindex!$A$6,YEAR(CD$4)&gt;=YEAR($F62),AND($K62&lt;&gt;"a",$K62&lt;&gt;"b",$K62&lt;&gt;"g",$K62&lt;&gt;"k")),1,IF(AND($E62&lt;&gt;0,$F62&gt;0,YEAR($F62)&gt;=Preisindex!$A$6,YEAR(CD$4)&gt;=YEAR($F62),$K62="a"),ROUND(VLOOKUP(CI$4,Preisindex,5,FALSE)/VLOOKUP(YEAR($F62),Preisindex,5,FALSE),2),IF(AND($E62&lt;&gt;0,$F62&gt;0,YEAR($F62)&gt;=Preisindex!$A$6,YEAR(CD$4)&gt;=YEAR($F62),$K62="b"),ROUND(VLOOKUP(CI$4,Preisindex,3,FALSE)/VLOOKUP(YEAR($F62),Preisindex,3,FALSE),2),IF(AND($E62&lt;&gt;0,$F62&gt;0,YEAR($F62)&gt;=Preisindex!$A$6,YEAR(CD$4)&gt;=YEAR($F62),$K62="g"),ROUND(VLOOKUP(CI$4,Preisindex,4,FALSE)/VLOOKUP(YEAR($F62),Preisindex,4,FALSE),2),IF(AND($E62&lt;&gt;0,$F62&gt;0,YEAR($F62)&gt;=Preisindex!$A$6,YEAR(CD$4)&gt;=YEAR($F62),$K62="k"),ROUND(VLOOKUP(CI$4,Preisindex,2,FALSE)/VLOOKUP(YEAR($F62),Preisindex,2,FALSE),2),0)))))</f>
        <v>1.1200000000000001</v>
      </c>
      <c r="CJ62" s="56">
        <f>IF(AND($E62&lt;&gt;0,$F62&gt;0,YEAR($F62)&lt;Preisindex!$A$6,YEAR(CD$4)&gt;=YEAR($F62),AND($K62&lt;&gt;"a",$K62&lt;&gt;"b",$K62&lt;&gt;"g",$K62&lt;&gt;"k")),1,IF(AND($E62&lt;&gt;0,$F62&gt;0,YEAR($F62)&lt;Preisindex!$A$6,YEAR(CD$4)&gt;=YEAR($F62),$K62="a"),ROUND(VLOOKUP(CI$4,Preisindex,5,FALSE)/VLOOKUP(Preisindex!$A$6,Preisindex,5,FALSE),2),IF(AND($E62&lt;&gt;0,$F62&gt;0,YEAR($F62)&lt;Preisindex!$A$6,YEAR(CD$4)&gt;=YEAR($F62),$K62="b"),ROUND(VLOOKUP(CI$4,Preisindex,3,FALSE)/VLOOKUP(Preisindex!$A$6,Preisindex,3,FALSE),2),IF(AND($E62&lt;&gt;0,$F62&gt;0,YEAR($F62)&lt;Preisindex!$A$6,YEAR(CD$4)&gt;=YEAR($F62),$K62="g"),ROUND(VLOOKUP(CI$4,Preisindex,4,FALSE)/VLOOKUP(Preisindex!$A$6,Preisindex,4,FALSE),2),IF(AND($E62&lt;&gt;0,$F62&gt;0,YEAR($F62)&lt;Preisindex!$A$6,YEAR(CD$4)&gt;=YEAR($F62),$K62="k"),ROUND(VLOOKUP(CI$4,Preisindex,2,FALSE)/VLOOKUP(Preisindex!$A$6,Preisindex,2,FALSE),2),0)))))</f>
        <v>0</v>
      </c>
      <c r="CK62" s="51">
        <f>IF(AND($E62&lt;&gt;0,$F62&gt;0,YEAR($F62)&lt;=CI$4,YEAR($F62)&gt;=Preisindex!$A$6),ROUND($E62*CI62,2),IF(AND($E62&lt;&gt;0,$F62&gt;0,YEAR($F62)&lt;=CI$4,YEAR($F62)&lt;Preisindex!$A$6),ROUND($E62*CJ62,2),0))</f>
        <v>52080</v>
      </c>
      <c r="CL62" s="53">
        <f t="shared" si="185"/>
        <v>1041.5999999999999</v>
      </c>
      <c r="CM62" s="51">
        <f t="shared" si="359"/>
        <v>0</v>
      </c>
      <c r="CN62" s="51">
        <f t="shared" si="332"/>
        <v>0</v>
      </c>
      <c r="CO62" s="51">
        <f t="shared" si="188"/>
        <v>0</v>
      </c>
      <c r="CP62" s="51">
        <f t="shared" si="333"/>
        <v>0</v>
      </c>
      <c r="CQ62" s="51">
        <f t="shared" si="190"/>
        <v>46500</v>
      </c>
      <c r="CR62" s="51">
        <f t="shared" si="334"/>
        <v>46500</v>
      </c>
      <c r="CS62" s="51">
        <f t="shared" si="192"/>
        <v>930</v>
      </c>
      <c r="CT62" s="51">
        <f t="shared" si="335"/>
        <v>930</v>
      </c>
      <c r="CU62" s="51">
        <f t="shared" si="194"/>
        <v>38595</v>
      </c>
      <c r="CV62" s="51">
        <f t="shared" si="336"/>
        <v>38595</v>
      </c>
      <c r="CW62" s="51">
        <f t="shared" si="196"/>
        <v>7905</v>
      </c>
      <c r="CX62" s="54">
        <f t="shared" si="197"/>
        <v>0</v>
      </c>
      <c r="CY62" s="55">
        <f t="shared" si="198"/>
        <v>0</v>
      </c>
      <c r="CZ62" s="56">
        <f>IF(AND($E62&lt;&gt;0,$F62&gt;0,YEAR($F62)&gt;=Preisindex!$A$6,YEAR(CU$4)&gt;=YEAR($F62),AND($K62&lt;&gt;"a",$K62&lt;&gt;"b",$K62&lt;&gt;"g",$K62&lt;&gt;"k")),1,IF(AND($E62&lt;&gt;0,$F62&gt;0,YEAR($F62)&gt;=Preisindex!$A$6,YEAR(CU$4)&gt;=YEAR($F62),$K62="a"),ROUND(VLOOKUP(CZ$4,Preisindex,5,FALSE)/VLOOKUP(YEAR($F62),Preisindex,5,FALSE),2),IF(AND($E62&lt;&gt;0,$F62&gt;0,YEAR($F62)&gt;=Preisindex!$A$6,YEAR(CU$4)&gt;=YEAR($F62),$K62="b"),ROUND(VLOOKUP(CZ$4,Preisindex,3,FALSE)/VLOOKUP(YEAR($F62),Preisindex,3,FALSE),2),IF(AND($E62&lt;&gt;0,$F62&gt;0,YEAR($F62)&gt;=Preisindex!$A$6,YEAR(CU$4)&gt;=YEAR($F62),$K62="g"),ROUND(VLOOKUP(CZ$4,Preisindex,4,FALSE)/VLOOKUP(YEAR($F62),Preisindex,4,FALSE),2),IF(AND($E62&lt;&gt;0,$F62&gt;0,YEAR($F62)&gt;=Preisindex!$A$6,YEAR(CU$4)&gt;=YEAR($F62),$K62="k"),ROUND(VLOOKUP(CZ$4,Preisindex,2,FALSE)/VLOOKUP(YEAR($F62),Preisindex,2,FALSE),2),0)))))</f>
        <v>1.1399999999999999</v>
      </c>
      <c r="DA62" s="56">
        <f>IF(AND($E62&lt;&gt;0,$F62&gt;0,YEAR($F62)&lt;Preisindex!$A$6,YEAR(CU$4)&gt;=YEAR($F62),AND($K62&lt;&gt;"a",$K62&lt;&gt;"b",$K62&lt;&gt;"g",$K62&lt;&gt;"k")),1,IF(AND($E62&lt;&gt;0,$F62&gt;0,YEAR($F62)&lt;Preisindex!$A$6,YEAR(CU$4)&gt;=YEAR($F62),$K62="a"),ROUND(VLOOKUP(CZ$4,Preisindex,5,FALSE)/VLOOKUP(Preisindex!$A$6,Preisindex,5,FALSE),2),IF(AND($E62&lt;&gt;0,$F62&gt;0,YEAR($F62)&lt;Preisindex!$A$6,YEAR(CU$4)&gt;=YEAR($F62),$K62="b"),ROUND(VLOOKUP(CZ$4,Preisindex,3,FALSE)/VLOOKUP(Preisindex!$A$6,Preisindex,3,FALSE),2),IF(AND($E62&lt;&gt;0,$F62&gt;0,YEAR($F62)&lt;Preisindex!$A$6,YEAR(CU$4)&gt;=YEAR($F62),$K62="g"),ROUND(VLOOKUP(CZ$4,Preisindex,4,FALSE)/VLOOKUP(Preisindex!$A$6,Preisindex,4,FALSE),2),IF(AND($E62&lt;&gt;0,$F62&gt;0,YEAR($F62)&lt;Preisindex!$A$6,YEAR(CU$4)&gt;=YEAR($F62),$K62="k"),ROUND(VLOOKUP(CZ$4,Preisindex,2,FALSE)/VLOOKUP(Preisindex!$A$6,Preisindex,2,FALSE),2),0)))))</f>
        <v>0</v>
      </c>
      <c r="DB62" s="51">
        <f>IF(AND($E62&lt;&gt;0,$F62&gt;0,YEAR($F62)&lt;=CZ$4,YEAR($F62)&gt;=Preisindex!$A$6),ROUND($E62*CZ62,2),IF(AND($E62&lt;&gt;0,$F62&gt;0,YEAR($F62)&lt;=CZ$4,YEAR($F62)&lt;Preisindex!$A$6),ROUND($E62*DA62,2),0))</f>
        <v>53010</v>
      </c>
      <c r="DC62" s="53">
        <f t="shared" si="199"/>
        <v>1060.2</v>
      </c>
      <c r="DD62" s="51">
        <f t="shared" si="360"/>
        <v>0</v>
      </c>
      <c r="DE62" s="51">
        <f t="shared" si="337"/>
        <v>0</v>
      </c>
      <c r="DF62" s="51">
        <f t="shared" si="202"/>
        <v>0</v>
      </c>
      <c r="DG62" s="51">
        <f t="shared" si="338"/>
        <v>0</v>
      </c>
      <c r="DH62" s="51">
        <f t="shared" si="204"/>
        <v>46500</v>
      </c>
      <c r="DI62" s="51">
        <f t="shared" si="339"/>
        <v>46500</v>
      </c>
      <c r="DJ62" s="51">
        <f t="shared" si="206"/>
        <v>930</v>
      </c>
      <c r="DK62" s="51">
        <f t="shared" si="340"/>
        <v>930</v>
      </c>
      <c r="DL62" s="51">
        <f t="shared" si="208"/>
        <v>37665</v>
      </c>
      <c r="DM62" s="51">
        <f t="shared" si="341"/>
        <v>37665</v>
      </c>
      <c r="DN62" s="51">
        <f t="shared" si="210"/>
        <v>8835</v>
      </c>
      <c r="DO62" s="54">
        <f t="shared" si="211"/>
        <v>0</v>
      </c>
      <c r="DP62" s="55">
        <f t="shared" si="212"/>
        <v>0</v>
      </c>
      <c r="DQ62" s="56">
        <f>IF(AND($E62&lt;&gt;0,$F62&gt;0,YEAR($F62)&gt;=Preisindex!$A$6,YEAR(DL$4)&gt;=YEAR($F62),AND($K62&lt;&gt;"a",$K62&lt;&gt;"b",$K62&lt;&gt;"g",$K62&lt;&gt;"k")),1,IF(AND($E62&lt;&gt;0,$F62&gt;0,YEAR($F62)&gt;=Preisindex!$A$6,YEAR(DL$4)&gt;=YEAR($F62),$K62="a"),ROUND(VLOOKUP(DQ$4,Preisindex,5,FALSE)/VLOOKUP(YEAR($F62),Preisindex,5,FALSE),2),IF(AND($E62&lt;&gt;0,$F62&gt;0,YEAR($F62)&gt;=Preisindex!$A$6,YEAR(DL$4)&gt;=YEAR($F62),$K62="b"),ROUND(VLOOKUP(DQ$4,Preisindex,3,FALSE)/VLOOKUP(YEAR($F62),Preisindex,3,FALSE),2),IF(AND($E62&lt;&gt;0,$F62&gt;0,YEAR($F62)&gt;=Preisindex!$A$6,YEAR(DL$4)&gt;=YEAR($F62),$K62="g"),ROUND(VLOOKUP(DQ$4,Preisindex,4,FALSE)/VLOOKUP(YEAR($F62),Preisindex,4,FALSE),2),IF(AND($E62&lt;&gt;0,$F62&gt;0,YEAR($F62)&gt;=Preisindex!$A$6,YEAR(DL$4)&gt;=YEAR($F62),$K62="k"),ROUND(VLOOKUP(DQ$4,Preisindex,2,FALSE)/VLOOKUP(YEAR($F62),Preisindex,2,FALSE),2),0)))))</f>
        <v>1.17</v>
      </c>
      <c r="DR62" s="56">
        <f>IF(AND($E62&lt;&gt;0,$F62&gt;0,YEAR($F62)&lt;Preisindex!$A$6,YEAR(DL$4)&gt;=YEAR($F62),AND($K62&lt;&gt;"a",$K62&lt;&gt;"b",$K62&lt;&gt;"g",$K62&lt;&gt;"k")),1,IF(AND($E62&lt;&gt;0,$F62&gt;0,YEAR($F62)&lt;Preisindex!$A$6,YEAR(DL$4)&gt;=YEAR($F62),$K62="a"),ROUND(VLOOKUP(DQ$4,Preisindex,5,FALSE)/VLOOKUP(Preisindex!$A$6,Preisindex,5,FALSE),2),IF(AND($E62&lt;&gt;0,$F62&gt;0,YEAR($F62)&lt;Preisindex!$A$6,YEAR(DL$4)&gt;=YEAR($F62),$K62="b"),ROUND(VLOOKUP(DQ$4,Preisindex,3,FALSE)/VLOOKUP(Preisindex!$A$6,Preisindex,3,FALSE),2),IF(AND($E62&lt;&gt;0,$F62&gt;0,YEAR($F62)&lt;Preisindex!$A$6,YEAR(DL$4)&gt;=YEAR($F62),$K62="g"),ROUND(VLOOKUP(DQ$4,Preisindex,4,FALSE)/VLOOKUP(Preisindex!$A$6,Preisindex,4,FALSE),2),IF(AND($E62&lt;&gt;0,$F62&gt;0,YEAR($F62)&lt;Preisindex!$A$6,YEAR(DL$4)&gt;=YEAR($F62),$K62="k"),ROUND(VLOOKUP(DQ$4,Preisindex,2,FALSE)/VLOOKUP(Preisindex!$A$6,Preisindex,2,FALSE),2),0)))))</f>
        <v>0</v>
      </c>
      <c r="DS62" s="51">
        <f>IF(AND($E62&lt;&gt;0,$F62&gt;0,YEAR($F62)&lt;=DQ$4,YEAR($F62)&gt;=Preisindex!$A$6),ROUND($E62*DQ62,2),IF(AND($E62&lt;&gt;0,$F62&gt;0,YEAR($F62)&lt;=DQ$4,YEAR($F62)&lt;Preisindex!$A$6),ROUND($E62*DR62,2),0))</f>
        <v>54405</v>
      </c>
      <c r="DT62" s="53">
        <f t="shared" si="213"/>
        <v>1088.0999999999999</v>
      </c>
      <c r="DU62" s="51">
        <f t="shared" si="360"/>
        <v>0</v>
      </c>
      <c r="DV62" s="51">
        <f t="shared" si="342"/>
        <v>0</v>
      </c>
      <c r="DW62" s="51">
        <f t="shared" si="216"/>
        <v>0</v>
      </c>
      <c r="DX62" s="51">
        <f t="shared" si="343"/>
        <v>0</v>
      </c>
      <c r="DY62" s="51">
        <f t="shared" si="218"/>
        <v>46500</v>
      </c>
      <c r="DZ62" s="51">
        <f t="shared" si="344"/>
        <v>46500</v>
      </c>
      <c r="EA62" s="51">
        <f t="shared" si="220"/>
        <v>930</v>
      </c>
      <c r="EB62" s="51">
        <f t="shared" si="345"/>
        <v>930</v>
      </c>
      <c r="EC62" s="51">
        <f t="shared" si="222"/>
        <v>36735</v>
      </c>
      <c r="ED62" s="51">
        <f t="shared" si="346"/>
        <v>36735</v>
      </c>
      <c r="EE62" s="51">
        <f t="shared" si="224"/>
        <v>9765</v>
      </c>
      <c r="EF62" s="54">
        <f t="shared" si="225"/>
        <v>0</v>
      </c>
      <c r="EG62" s="55">
        <f t="shared" si="226"/>
        <v>0</v>
      </c>
      <c r="EH62" s="56">
        <f>IF(AND($E62&lt;&gt;0,$F62&gt;0,YEAR($F62)&gt;=Preisindex!$A$6,YEAR(EC$4)&gt;=YEAR($F62),AND($K62&lt;&gt;"a",$K62&lt;&gt;"b",$K62&lt;&gt;"g",$K62&lt;&gt;"k")),1,IF(AND($E62&lt;&gt;0,$F62&gt;0,YEAR($F62)&gt;=Preisindex!$A$6,YEAR(EC$4)&gt;=YEAR($F62),$K62="a"),ROUND(VLOOKUP(EH$4,Preisindex,5,FALSE)/VLOOKUP(YEAR($F62),Preisindex,5,FALSE),2),IF(AND($E62&lt;&gt;0,$F62&gt;0,YEAR($F62)&gt;=Preisindex!$A$6,YEAR(EC$4)&gt;=YEAR($F62),$K62="b"),ROUND(VLOOKUP(EH$4,Preisindex,3,FALSE)/VLOOKUP(YEAR($F62),Preisindex,3,FALSE),2),IF(AND($E62&lt;&gt;0,$F62&gt;0,YEAR($F62)&gt;=Preisindex!$A$6,YEAR(EC$4)&gt;=YEAR($F62),$K62="g"),ROUND(VLOOKUP(EH$4,Preisindex,4,FALSE)/VLOOKUP(YEAR($F62),Preisindex,4,FALSE),2),IF(AND($E62&lt;&gt;0,$F62&gt;0,YEAR($F62)&gt;=Preisindex!$A$6,YEAR(EC$4)&gt;=YEAR($F62),$K62="k"),ROUND(VLOOKUP(EH$4,Preisindex,2,FALSE)/VLOOKUP(YEAR($F62),Preisindex,2,FALSE),2),0)))))</f>
        <v>1.23</v>
      </c>
      <c r="EI62" s="56">
        <f>IF(AND($E62&lt;&gt;0,$F62&gt;0,YEAR($F62)&lt;Preisindex!$A$6,YEAR(EC$4)&gt;=YEAR($F62),AND($K62&lt;&gt;"a",$K62&lt;&gt;"b",$K62&lt;&gt;"g",$K62&lt;&gt;"k")),1,IF(AND($E62&lt;&gt;0,$F62&gt;0,YEAR($F62)&lt;Preisindex!$A$6,YEAR(EC$4)&gt;=YEAR($F62),$K62="a"),ROUND(VLOOKUP(EH$4,Preisindex,5,FALSE)/VLOOKUP(Preisindex!$A$6,Preisindex,5,FALSE),2),IF(AND($E62&lt;&gt;0,$F62&gt;0,YEAR($F62)&lt;Preisindex!$A$6,YEAR(EC$4)&gt;=YEAR($F62),$K62="b"),ROUND(VLOOKUP(EH$4,Preisindex,3,FALSE)/VLOOKUP(Preisindex!$A$6,Preisindex,3,FALSE),2),IF(AND($E62&lt;&gt;0,$F62&gt;0,YEAR($F62)&lt;Preisindex!$A$6,YEAR(EC$4)&gt;=YEAR($F62),$K62="g"),ROUND(VLOOKUP(EH$4,Preisindex,4,FALSE)/VLOOKUP(Preisindex!$A$6,Preisindex,4,FALSE),2),IF(AND($E62&lt;&gt;0,$F62&gt;0,YEAR($F62)&lt;Preisindex!$A$6,YEAR(EC$4)&gt;=YEAR($F62),$K62="k"),ROUND(VLOOKUP(EH$4,Preisindex,2,FALSE)/VLOOKUP(Preisindex!$A$6,Preisindex,2,FALSE),2),0)))))</f>
        <v>0</v>
      </c>
      <c r="EJ62" s="51">
        <f>IF(AND($E62&lt;&gt;0,$F62&gt;0,YEAR($F62)&lt;=EH$4,YEAR($F62)&gt;=Preisindex!$A$6),ROUND($E62*EH62,2),IF(AND($E62&lt;&gt;0,$F62&gt;0,YEAR($F62)&lt;=EH$4,YEAR($F62)&lt;Preisindex!$A$6),ROUND($E62*EI62,2),0))</f>
        <v>57195</v>
      </c>
      <c r="EK62" s="53">
        <f t="shared" si="227"/>
        <v>1143.9000000000001</v>
      </c>
      <c r="EL62" s="51">
        <f t="shared" si="360"/>
        <v>0</v>
      </c>
      <c r="EM62" s="51">
        <f t="shared" si="347"/>
        <v>0</v>
      </c>
      <c r="EN62" s="51">
        <f t="shared" si="230"/>
        <v>0</v>
      </c>
      <c r="EO62" s="51">
        <f t="shared" si="348"/>
        <v>0</v>
      </c>
      <c r="EP62" s="51">
        <f t="shared" si="232"/>
        <v>46500</v>
      </c>
      <c r="EQ62" s="51">
        <f t="shared" si="349"/>
        <v>46500</v>
      </c>
      <c r="ER62" s="51">
        <f t="shared" si="234"/>
        <v>930</v>
      </c>
      <c r="ES62" s="51">
        <f t="shared" si="350"/>
        <v>930</v>
      </c>
      <c r="ET62" s="51">
        <f t="shared" si="236"/>
        <v>35805</v>
      </c>
      <c r="EU62" s="51">
        <f t="shared" si="351"/>
        <v>35805</v>
      </c>
      <c r="EV62" s="51">
        <f t="shared" si="238"/>
        <v>10695</v>
      </c>
      <c r="EW62" s="54">
        <f t="shared" si="239"/>
        <v>0</v>
      </c>
      <c r="EX62" s="55">
        <f t="shared" si="240"/>
        <v>0</v>
      </c>
      <c r="EY62" s="56">
        <f>IF(AND($E62&lt;&gt;0,$F62&gt;0,YEAR($F62)&gt;=Preisindex!$A$6,YEAR(ET$4)&gt;=YEAR($F62),AND($K62&lt;&gt;"a",$K62&lt;&gt;"b",$K62&lt;&gt;"g",$K62&lt;&gt;"k")),1,IF(AND($E62&lt;&gt;0,$F62&gt;0,YEAR($F62)&gt;=Preisindex!$A$6,YEAR(ET$4)&gt;=YEAR($F62),$K62="a"),ROUND(VLOOKUP(EY$4,Preisindex,5,FALSE)/VLOOKUP(YEAR($F62),Preisindex,5,FALSE),2),IF(AND($E62&lt;&gt;0,$F62&gt;0,YEAR($F62)&gt;=Preisindex!$A$6,YEAR(ET$4)&gt;=YEAR($F62),$K62="b"),ROUND(VLOOKUP(EY$4,Preisindex,3,FALSE)/VLOOKUP(YEAR($F62),Preisindex,3,FALSE),2),IF(AND($E62&lt;&gt;0,$F62&gt;0,YEAR($F62)&gt;=Preisindex!$A$6,YEAR(ET$4)&gt;=YEAR($F62),$K62="g"),ROUND(VLOOKUP(EY$4,Preisindex,4,FALSE)/VLOOKUP(YEAR($F62),Preisindex,4,FALSE),2),IF(AND($E62&lt;&gt;0,$F62&gt;0,YEAR($F62)&gt;=Preisindex!$A$6,YEAR(ET$4)&gt;=YEAR($F62),$K62="k"),ROUND(VLOOKUP(EY$4,Preisindex,2,FALSE)/VLOOKUP(YEAR($F62),Preisindex,2,FALSE),2),0)))))</f>
        <v>1.23</v>
      </c>
      <c r="EZ62" s="56">
        <f>IF(AND($E62&lt;&gt;0,$F62&gt;0,YEAR($F62)&lt;Preisindex!$A$6,YEAR(ET$4)&gt;=YEAR($F62),AND($K62&lt;&gt;"a",$K62&lt;&gt;"b",$K62&lt;&gt;"g",$K62&lt;&gt;"k")),1,IF(AND($E62&lt;&gt;0,$F62&gt;0,YEAR($F62)&lt;Preisindex!$A$6,YEAR(ET$4)&gt;=YEAR($F62),$K62="a"),ROUND(VLOOKUP(EY$4,Preisindex,5,FALSE)/VLOOKUP(Preisindex!$A$6,Preisindex,5,FALSE),2),IF(AND($E62&lt;&gt;0,$F62&gt;0,YEAR($F62)&lt;Preisindex!$A$6,YEAR(ET$4)&gt;=YEAR($F62),$K62="b"),ROUND(VLOOKUP(EY$4,Preisindex,3,FALSE)/VLOOKUP(Preisindex!$A$6,Preisindex,3,FALSE),2),IF(AND($E62&lt;&gt;0,$F62&gt;0,YEAR($F62)&lt;Preisindex!$A$6,YEAR(ET$4)&gt;=YEAR($F62),$K62="g"),ROUND(VLOOKUP(EY$4,Preisindex,4,FALSE)/VLOOKUP(Preisindex!$A$6,Preisindex,4,FALSE),2),IF(AND($E62&lt;&gt;0,$F62&gt;0,YEAR($F62)&lt;Preisindex!$A$6,YEAR(ET$4)&gt;=YEAR($F62),$K62="k"),ROUND(VLOOKUP(EY$4,Preisindex,2,FALSE)/VLOOKUP(Preisindex!$A$6,Preisindex,2,FALSE),2),0)))))</f>
        <v>0</v>
      </c>
      <c r="FA62" s="51">
        <f>IF(AND($E62&lt;&gt;0,$F62&gt;0,YEAR($F62)&lt;=EY$4,YEAR($F62)&gt;=Preisindex!$A$6),ROUND($E62*EY62,2),IF(AND($E62&lt;&gt;0,$F62&gt;0,YEAR($F62)&lt;=EY$4,YEAR($F62)&lt;Preisindex!$A$6),ROUND($E62*EZ62,2),0))</f>
        <v>57195</v>
      </c>
      <c r="FB62" s="53">
        <f t="shared" si="241"/>
        <v>1143.9000000000001</v>
      </c>
      <c r="FC62" s="51">
        <f t="shared" si="360"/>
        <v>0</v>
      </c>
      <c r="FD62" s="51">
        <f t="shared" si="352"/>
        <v>0</v>
      </c>
      <c r="FE62" s="51">
        <f t="shared" si="244"/>
        <v>0</v>
      </c>
      <c r="FF62" s="51">
        <f t="shared" si="353"/>
        <v>0</v>
      </c>
      <c r="FG62" s="51">
        <f t="shared" si="246"/>
        <v>46500</v>
      </c>
      <c r="FH62" s="51">
        <f t="shared" si="354"/>
        <v>46500</v>
      </c>
      <c r="FI62" s="51">
        <f t="shared" si="248"/>
        <v>930</v>
      </c>
      <c r="FJ62" s="51">
        <f t="shared" si="355"/>
        <v>930</v>
      </c>
      <c r="FK62" s="51">
        <f t="shared" si="250"/>
        <v>34875</v>
      </c>
      <c r="FL62" s="51">
        <f t="shared" si="356"/>
        <v>34875</v>
      </c>
      <c r="FM62" s="51">
        <f t="shared" si="252"/>
        <v>11625</v>
      </c>
      <c r="FN62" s="54">
        <f t="shared" si="253"/>
        <v>0</v>
      </c>
      <c r="FO62" s="55">
        <f t="shared" si="254"/>
        <v>0</v>
      </c>
      <c r="FP62" s="56">
        <f>IF(AND($E62&lt;&gt;0,$F62&gt;0,YEAR($F62)&gt;=Preisindex!$A$6,YEAR(FK$4)&gt;=YEAR($F62),AND($K62&lt;&gt;"a",$K62&lt;&gt;"b",$K62&lt;&gt;"g",$K62&lt;&gt;"k")),1,IF(AND($E62&lt;&gt;0,$F62&gt;0,YEAR($F62)&gt;=Preisindex!$A$6,YEAR(FK$4)&gt;=YEAR($F62),$K62="a"),ROUND(VLOOKUP(FP$4,Preisindex,5,FALSE)/VLOOKUP(YEAR($F62),Preisindex,5,FALSE),2),IF(AND($E62&lt;&gt;0,$F62&gt;0,YEAR($F62)&gt;=Preisindex!$A$6,YEAR(FK$4)&gt;=YEAR($F62),$K62="b"),ROUND(VLOOKUP(FP$4,Preisindex,3,FALSE)/VLOOKUP(YEAR($F62),Preisindex,3,FALSE),2),IF(AND($E62&lt;&gt;0,$F62&gt;0,YEAR($F62)&gt;=Preisindex!$A$6,YEAR(FK$4)&gt;=YEAR($F62),$K62="g"),ROUND(VLOOKUP(FP$4,Preisindex,4,FALSE)/VLOOKUP(YEAR($F62),Preisindex,4,FALSE),2),IF(AND($E62&lt;&gt;0,$F62&gt;0,YEAR($F62)&gt;=Preisindex!$A$6,YEAR(FK$4)&gt;=YEAR($F62),$K62="k"),ROUND(VLOOKUP(FP$4,Preisindex,2,FALSE)/VLOOKUP(YEAR($F62),Preisindex,2,FALSE),2),0)))))</f>
        <v>1.23</v>
      </c>
      <c r="FQ62" s="56">
        <f>IF(AND($E62&lt;&gt;0,$F62&gt;0,YEAR($F62)&lt;Preisindex!$A$6,YEAR(FK$4)&gt;=YEAR($F62),AND($K62&lt;&gt;"a",$K62&lt;&gt;"b",$K62&lt;&gt;"g",$K62&lt;&gt;"k")),1,IF(AND($E62&lt;&gt;0,$F62&gt;0,YEAR($F62)&lt;Preisindex!$A$6,YEAR(FK$4)&gt;=YEAR($F62),$K62="a"),ROUND(VLOOKUP(FP$4,Preisindex,5,FALSE)/VLOOKUP(Preisindex!$A$6,Preisindex,5,FALSE),2),IF(AND($E62&lt;&gt;0,$F62&gt;0,YEAR($F62)&lt;Preisindex!$A$6,YEAR(FK$4)&gt;=YEAR($F62),$K62="b"),ROUND(VLOOKUP(FP$4,Preisindex,3,FALSE)/VLOOKUP(Preisindex!$A$6,Preisindex,3,FALSE),2),IF(AND($E62&lt;&gt;0,$F62&gt;0,YEAR($F62)&lt;Preisindex!$A$6,YEAR(FK$4)&gt;=YEAR($F62),$K62="g"),ROUND(VLOOKUP(FP$4,Preisindex,4,FALSE)/VLOOKUP(Preisindex!$A$6,Preisindex,4,FALSE),2),IF(AND($E62&lt;&gt;0,$F62&gt;0,YEAR($F62)&lt;Preisindex!$A$6,YEAR(FK$4)&gt;=YEAR($F62),$K62="k"),ROUND(VLOOKUP(FP$4,Preisindex,2,FALSE)/VLOOKUP(Preisindex!$A$6,Preisindex,2,FALSE),2),0)))))</f>
        <v>0</v>
      </c>
      <c r="FR62" s="51">
        <f>IF(AND($E62&lt;&gt;0,$F62&gt;0,YEAR($F62)&lt;=FP$4,YEAR($F62)&gt;=Preisindex!$A$6),ROUND($E62*FP62,2),IF(AND($E62&lt;&gt;0,$F62&gt;0,YEAR($F62)&lt;=FP$4,YEAR($F62)&lt;Preisindex!$A$6),ROUND($E62*FQ62,2),0))</f>
        <v>57195</v>
      </c>
      <c r="FS62" s="53">
        <f t="shared" si="255"/>
        <v>1143.9000000000001</v>
      </c>
    </row>
    <row r="63" spans="1:175" x14ac:dyDescent="0.3">
      <c r="A63" s="93">
        <v>2009</v>
      </c>
      <c r="B63" s="94" t="s">
        <v>249</v>
      </c>
      <c r="C63" s="94"/>
      <c r="D63" s="95" t="s">
        <v>63</v>
      </c>
      <c r="E63" s="99">
        <v>28500</v>
      </c>
      <c r="F63" s="97">
        <v>39995</v>
      </c>
      <c r="G63" s="98">
        <v>50</v>
      </c>
      <c r="H63" s="620"/>
      <c r="I63" s="621"/>
      <c r="J63" s="194"/>
      <c r="K63" s="630" t="s">
        <v>266</v>
      </c>
      <c r="L63" s="49">
        <f t="shared" si="296"/>
        <v>0.02</v>
      </c>
      <c r="M63" s="50">
        <f t="shared" si="297"/>
        <v>570</v>
      </c>
      <c r="N63" s="51">
        <f t="shared" si="298"/>
        <v>27075</v>
      </c>
      <c r="O63" s="51"/>
      <c r="P63" s="51">
        <f t="shared" si="299"/>
        <v>1425</v>
      </c>
      <c r="Q63" s="52"/>
      <c r="R63" s="52"/>
      <c r="S63" s="52"/>
      <c r="T63" s="52"/>
      <c r="U63" s="52"/>
      <c r="V63" s="53">
        <f t="shared" si="300"/>
        <v>28500</v>
      </c>
      <c r="W63" s="51">
        <f t="shared" si="301"/>
        <v>0</v>
      </c>
      <c r="X63" s="51">
        <f t="shared" si="302"/>
        <v>0</v>
      </c>
      <c r="Y63" s="51">
        <f t="shared" si="303"/>
        <v>0</v>
      </c>
      <c r="Z63" s="51">
        <f t="shared" si="304"/>
        <v>0</v>
      </c>
      <c r="AA63" s="51">
        <f t="shared" si="305"/>
        <v>28500</v>
      </c>
      <c r="AB63" s="51">
        <f t="shared" si="306"/>
        <v>28500</v>
      </c>
      <c r="AC63" s="51">
        <f t="shared" si="307"/>
        <v>570</v>
      </c>
      <c r="AD63" s="51">
        <f t="shared" si="308"/>
        <v>570</v>
      </c>
      <c r="AE63" s="51">
        <f t="shared" si="309"/>
        <v>26505</v>
      </c>
      <c r="AF63" s="51">
        <f t="shared" si="310"/>
        <v>26505</v>
      </c>
      <c r="AG63" s="51">
        <f t="shared" si="311"/>
        <v>1995</v>
      </c>
      <c r="AH63" s="54">
        <f t="shared" si="312"/>
        <v>0</v>
      </c>
      <c r="AI63" s="55">
        <f t="shared" si="313"/>
        <v>0</v>
      </c>
      <c r="AJ63" s="56">
        <f>IF(AND($E63&lt;&gt;0,$F63&gt;0,YEAR($F63)&gt;=Preisindex!$A$6,YEAR(AE$4)&gt;=YEAR($F63),AND($K63&lt;&gt;"a",$K63&lt;&gt;"b",$K63&lt;&gt;"g",$K63&lt;&gt;"k")),1,IF(AND($E63&lt;&gt;0,$F63&gt;0,YEAR($F63)&gt;=Preisindex!$A$6,YEAR(AE$4)&gt;=YEAR($F63),$K63="a"),ROUND(VLOOKUP(AJ$4,Preisindex,5,FALSE)/VLOOKUP(YEAR($F63),Preisindex,5,FALSE),2),IF(AND($E63&lt;&gt;0,$F63&gt;0,YEAR($F63)&gt;=Preisindex!$A$6,YEAR(AE$4)&gt;=YEAR($F63),$K63="b"),ROUND(VLOOKUP(AJ$4,Preisindex,3,FALSE)/VLOOKUP(YEAR($F63),Preisindex,3,FALSE),2),IF(AND($E63&lt;&gt;0,$F63&gt;0,YEAR($F63)&gt;=Preisindex!$A$6,YEAR(AE$4)&gt;=YEAR($F63),$K63="g"),ROUND(VLOOKUP(AJ$4,Preisindex,4,FALSE)/VLOOKUP(YEAR($F63),Preisindex,4,FALSE),2),IF(AND($E63&lt;&gt;0,$F63&gt;0,YEAR($F63)&gt;=Preisindex!$A$6,YEAR(AE$4)&gt;=YEAR($F63),$K63="k"),ROUND(VLOOKUP(AJ$4,Preisindex,2,FALSE)/VLOOKUP(YEAR($F63),Preisindex,2,FALSE),2),0)))))</f>
        <v>1.05</v>
      </c>
      <c r="AK63" s="56">
        <f>IF(AND($E63&lt;&gt;0,$F63&gt;0,YEAR($F63)&lt;Preisindex!$A$6,YEAR(AE$4)&gt;=YEAR($F63),AND($K63&lt;&gt;"a",$K63&lt;&gt;"b",$K63&lt;&gt;"g",$K63&lt;&gt;"k")),1,IF(AND($E63&lt;&gt;0,$F63&gt;0,YEAR($F63)&lt;Preisindex!$A$6,YEAR(AE$4)&gt;=YEAR($F63),$K63="a"),ROUND(VLOOKUP(AJ$4,Preisindex,5,FALSE)/VLOOKUP(Preisindex!$A$6,Preisindex,5,FALSE),2),IF(AND($E63&lt;&gt;0,$F63&gt;0,YEAR($F63)&lt;Preisindex!$A$6,YEAR(AE$4)&gt;=YEAR($F63),$K63="b"),ROUND(VLOOKUP(AJ$4,Preisindex,3,FALSE)/VLOOKUP(Preisindex!$A$6,Preisindex,3,FALSE),2),IF(AND($E63&lt;&gt;0,$F63&gt;0,YEAR($F63)&lt;Preisindex!$A$6,YEAR(AE$4)&gt;=YEAR($F63),$K63="g"),ROUND(VLOOKUP(AJ$4,Preisindex,4,FALSE)/VLOOKUP(Preisindex!$A$6,Preisindex,4,FALSE),2),IF(AND($E63&lt;&gt;0,$F63&gt;0,YEAR($F63)&lt;Preisindex!$A$6,YEAR(AE$4)&gt;=YEAR($F63),$K63="k"),ROUND(VLOOKUP(AJ$4,Preisindex,2,FALSE)/VLOOKUP(Preisindex!$A$6,Preisindex,2,FALSE),2),0)))))</f>
        <v>0</v>
      </c>
      <c r="AL63" s="51">
        <f>IF(AND($E63&lt;&gt;0,$F63&gt;0,YEAR($F63)&lt;=AJ$4,YEAR($F63)&gt;=Preisindex!$A$6),ROUND($E63*AJ63,2),IF(AND($E63&lt;&gt;0,$F63&gt;0,YEAR($F63)&lt;=AJ$4,YEAR($F63)&lt;Preisindex!$A$6),ROUND($E63*AK63,2),0))</f>
        <v>29925</v>
      </c>
      <c r="AM63" s="53">
        <f t="shared" si="314"/>
        <v>598.5</v>
      </c>
      <c r="AN63" s="51">
        <f t="shared" si="359"/>
        <v>0</v>
      </c>
      <c r="AO63" s="51">
        <f t="shared" si="317"/>
        <v>0</v>
      </c>
      <c r="AP63" s="51">
        <f t="shared" si="146"/>
        <v>0</v>
      </c>
      <c r="AQ63" s="51">
        <f t="shared" si="318"/>
        <v>0</v>
      </c>
      <c r="AR63" s="51">
        <f t="shared" si="148"/>
        <v>28500</v>
      </c>
      <c r="AS63" s="51">
        <f t="shared" si="319"/>
        <v>28500</v>
      </c>
      <c r="AT63" s="51">
        <f t="shared" si="150"/>
        <v>570</v>
      </c>
      <c r="AU63" s="51">
        <f t="shared" si="320"/>
        <v>570</v>
      </c>
      <c r="AV63" s="51">
        <f t="shared" si="152"/>
        <v>25935</v>
      </c>
      <c r="AW63" s="51">
        <f t="shared" si="321"/>
        <v>25935</v>
      </c>
      <c r="AX63" s="51">
        <f t="shared" si="154"/>
        <v>2565</v>
      </c>
      <c r="AY63" s="54">
        <f t="shared" si="155"/>
        <v>0</v>
      </c>
      <c r="AZ63" s="55">
        <f t="shared" si="156"/>
        <v>0</v>
      </c>
      <c r="BA63" s="56">
        <f>IF(AND($E63&lt;&gt;0,$F63&gt;0,YEAR($F63)&gt;=Preisindex!$A$6,YEAR(AV$4)&gt;=YEAR($F63),AND($K63&lt;&gt;"a",$K63&lt;&gt;"b",$K63&lt;&gt;"g",$K63&lt;&gt;"k")),1,IF(AND($E63&lt;&gt;0,$F63&gt;0,YEAR($F63)&gt;=Preisindex!$A$6,YEAR(AV$4)&gt;=YEAR($F63),$K63="a"),ROUND(VLOOKUP(BA$4,Preisindex,5,FALSE)/VLOOKUP(YEAR($F63),Preisindex,5,FALSE),2),IF(AND($E63&lt;&gt;0,$F63&gt;0,YEAR($F63)&gt;=Preisindex!$A$6,YEAR(AV$4)&gt;=YEAR($F63),$K63="b"),ROUND(VLOOKUP(BA$4,Preisindex,3,FALSE)/VLOOKUP(YEAR($F63),Preisindex,3,FALSE),2),IF(AND($E63&lt;&gt;0,$F63&gt;0,YEAR($F63)&gt;=Preisindex!$A$6,YEAR(AV$4)&gt;=YEAR($F63),$K63="g"),ROUND(VLOOKUP(BA$4,Preisindex,4,FALSE)/VLOOKUP(YEAR($F63),Preisindex,4,FALSE),2),IF(AND($E63&lt;&gt;0,$F63&gt;0,YEAR($F63)&gt;=Preisindex!$A$6,YEAR(AV$4)&gt;=YEAR($F63),$K63="k"),ROUND(VLOOKUP(BA$4,Preisindex,2,FALSE)/VLOOKUP(YEAR($F63),Preisindex,2,FALSE),2),0)))))</f>
        <v>1.07</v>
      </c>
      <c r="BB63" s="56">
        <f>IF(AND($E63&lt;&gt;0,$F63&gt;0,YEAR($F63)&lt;Preisindex!$A$6,YEAR(AV$4)&gt;=YEAR($F63),AND($K63&lt;&gt;"a",$K63&lt;&gt;"b",$K63&lt;&gt;"g",$K63&lt;&gt;"k")),1,IF(AND($E63&lt;&gt;0,$F63&gt;0,YEAR($F63)&lt;Preisindex!$A$6,YEAR(AV$4)&gt;=YEAR($F63),$K63="a"),ROUND(VLOOKUP(BA$4,Preisindex,5,FALSE)/VLOOKUP(Preisindex!$A$6,Preisindex,5,FALSE),2),IF(AND($E63&lt;&gt;0,$F63&gt;0,YEAR($F63)&lt;Preisindex!$A$6,YEAR(AV$4)&gt;=YEAR($F63),$K63="b"),ROUND(VLOOKUP(BA$4,Preisindex,3,FALSE)/VLOOKUP(Preisindex!$A$6,Preisindex,3,FALSE),2),IF(AND($E63&lt;&gt;0,$F63&gt;0,YEAR($F63)&lt;Preisindex!$A$6,YEAR(AV$4)&gt;=YEAR($F63),$K63="g"),ROUND(VLOOKUP(BA$4,Preisindex,4,FALSE)/VLOOKUP(Preisindex!$A$6,Preisindex,4,FALSE),2),IF(AND($E63&lt;&gt;0,$F63&gt;0,YEAR($F63)&lt;Preisindex!$A$6,YEAR(AV$4)&gt;=YEAR($F63),$K63="k"),ROUND(VLOOKUP(BA$4,Preisindex,2,FALSE)/VLOOKUP(Preisindex!$A$6,Preisindex,2,FALSE),2),0)))))</f>
        <v>0</v>
      </c>
      <c r="BC63" s="51">
        <f>IF(AND($E63&lt;&gt;0,$F63&gt;0,YEAR($F63)&lt;=BA$4,YEAR($F63)&gt;=Preisindex!$A$6),ROUND($E63*BA63,2),IF(AND($E63&lt;&gt;0,$F63&gt;0,YEAR($F63)&lt;=BA$4,YEAR($F63)&lt;Preisindex!$A$6),ROUND($E63*BB63,2),0))</f>
        <v>30495</v>
      </c>
      <c r="BD63" s="53">
        <f t="shared" si="157"/>
        <v>609.9</v>
      </c>
      <c r="BE63" s="51">
        <f t="shared" si="359"/>
        <v>0</v>
      </c>
      <c r="BF63" s="51">
        <f t="shared" si="322"/>
        <v>0</v>
      </c>
      <c r="BG63" s="51">
        <f t="shared" si="160"/>
        <v>0</v>
      </c>
      <c r="BH63" s="51">
        <f t="shared" si="323"/>
        <v>0</v>
      </c>
      <c r="BI63" s="51">
        <f t="shared" si="162"/>
        <v>28500</v>
      </c>
      <c r="BJ63" s="51">
        <f t="shared" si="324"/>
        <v>28500</v>
      </c>
      <c r="BK63" s="51">
        <f t="shared" si="164"/>
        <v>570</v>
      </c>
      <c r="BL63" s="51">
        <f t="shared" si="325"/>
        <v>570</v>
      </c>
      <c r="BM63" s="51">
        <f t="shared" si="166"/>
        <v>25365</v>
      </c>
      <c r="BN63" s="51">
        <f t="shared" si="326"/>
        <v>25365</v>
      </c>
      <c r="BO63" s="51">
        <f t="shared" si="168"/>
        <v>3135</v>
      </c>
      <c r="BP63" s="54">
        <f t="shared" si="169"/>
        <v>0</v>
      </c>
      <c r="BQ63" s="55">
        <f t="shared" si="170"/>
        <v>0</v>
      </c>
      <c r="BR63" s="56">
        <f>IF(AND($E63&lt;&gt;0,$F63&gt;0,YEAR($F63)&gt;=Preisindex!$A$6,YEAR(BM$4)&gt;=YEAR($F63),AND($K63&lt;&gt;"a",$K63&lt;&gt;"b",$K63&lt;&gt;"g",$K63&lt;&gt;"k")),1,IF(AND($E63&lt;&gt;0,$F63&gt;0,YEAR($F63)&gt;=Preisindex!$A$6,YEAR(BM$4)&gt;=YEAR($F63),$K63="a"),ROUND(VLOOKUP(BR$4,Preisindex,5,FALSE)/VLOOKUP(YEAR($F63),Preisindex,5,FALSE),2),IF(AND($E63&lt;&gt;0,$F63&gt;0,YEAR($F63)&gt;=Preisindex!$A$6,YEAR(BM$4)&gt;=YEAR($F63),$K63="b"),ROUND(VLOOKUP(BR$4,Preisindex,3,FALSE)/VLOOKUP(YEAR($F63),Preisindex,3,FALSE),2),IF(AND($E63&lt;&gt;0,$F63&gt;0,YEAR($F63)&gt;=Preisindex!$A$6,YEAR(BM$4)&gt;=YEAR($F63),$K63="g"),ROUND(VLOOKUP(BR$4,Preisindex,4,FALSE)/VLOOKUP(YEAR($F63),Preisindex,4,FALSE),2),IF(AND($E63&lt;&gt;0,$F63&gt;0,YEAR($F63)&gt;=Preisindex!$A$6,YEAR(BM$4)&gt;=YEAR($F63),$K63="k"),ROUND(VLOOKUP(BR$4,Preisindex,2,FALSE)/VLOOKUP(YEAR($F63),Preisindex,2,FALSE),2),0)))))</f>
        <v>1.0900000000000001</v>
      </c>
      <c r="BS63" s="56">
        <f>IF(AND($E63&lt;&gt;0,$F63&gt;0,YEAR($F63)&lt;Preisindex!$A$6,YEAR(BM$4)&gt;=YEAR($F63),AND($K63&lt;&gt;"a",$K63&lt;&gt;"b",$K63&lt;&gt;"g",$K63&lt;&gt;"k")),1,IF(AND($E63&lt;&gt;0,$F63&gt;0,YEAR($F63)&lt;Preisindex!$A$6,YEAR(BM$4)&gt;=YEAR($F63),$K63="a"),ROUND(VLOOKUP(BR$4,Preisindex,5,FALSE)/VLOOKUP(Preisindex!$A$6,Preisindex,5,FALSE),2),IF(AND($E63&lt;&gt;0,$F63&gt;0,YEAR($F63)&lt;Preisindex!$A$6,YEAR(BM$4)&gt;=YEAR($F63),$K63="b"),ROUND(VLOOKUP(BR$4,Preisindex,3,FALSE)/VLOOKUP(Preisindex!$A$6,Preisindex,3,FALSE),2),IF(AND($E63&lt;&gt;0,$F63&gt;0,YEAR($F63)&lt;Preisindex!$A$6,YEAR(BM$4)&gt;=YEAR($F63),$K63="g"),ROUND(VLOOKUP(BR$4,Preisindex,4,FALSE)/VLOOKUP(Preisindex!$A$6,Preisindex,4,FALSE),2),IF(AND($E63&lt;&gt;0,$F63&gt;0,YEAR($F63)&lt;Preisindex!$A$6,YEAR(BM$4)&gt;=YEAR($F63),$K63="k"),ROUND(VLOOKUP(BR$4,Preisindex,2,FALSE)/VLOOKUP(Preisindex!$A$6,Preisindex,2,FALSE),2),0)))))</f>
        <v>0</v>
      </c>
      <c r="BT63" s="51">
        <f>IF(AND($E63&lt;&gt;0,$F63&gt;0,YEAR($F63)&lt;=BR$4,YEAR($F63)&gt;=Preisindex!$A$6),ROUND($E63*BR63,2),IF(AND($E63&lt;&gt;0,$F63&gt;0,YEAR($F63)&lt;=BR$4,YEAR($F63)&lt;Preisindex!$A$6),ROUND($E63*BS63,2),0))</f>
        <v>31065</v>
      </c>
      <c r="BU63" s="53">
        <f t="shared" si="171"/>
        <v>621.30000000000007</v>
      </c>
      <c r="BV63" s="51">
        <f t="shared" si="359"/>
        <v>0</v>
      </c>
      <c r="BW63" s="51">
        <f t="shared" si="327"/>
        <v>0</v>
      </c>
      <c r="BX63" s="51">
        <f t="shared" si="174"/>
        <v>0</v>
      </c>
      <c r="BY63" s="51">
        <f t="shared" si="328"/>
        <v>0</v>
      </c>
      <c r="BZ63" s="51">
        <f t="shared" si="176"/>
        <v>28500</v>
      </c>
      <c r="CA63" s="51">
        <f t="shared" si="329"/>
        <v>28500</v>
      </c>
      <c r="CB63" s="51">
        <f t="shared" si="178"/>
        <v>570</v>
      </c>
      <c r="CC63" s="51">
        <f t="shared" si="330"/>
        <v>570</v>
      </c>
      <c r="CD63" s="51">
        <f t="shared" si="180"/>
        <v>24795</v>
      </c>
      <c r="CE63" s="51">
        <f t="shared" si="331"/>
        <v>24795</v>
      </c>
      <c r="CF63" s="51">
        <f t="shared" si="182"/>
        <v>3705</v>
      </c>
      <c r="CG63" s="54">
        <f t="shared" si="183"/>
        <v>0</v>
      </c>
      <c r="CH63" s="55">
        <f t="shared" si="184"/>
        <v>0</v>
      </c>
      <c r="CI63" s="56">
        <f>IF(AND($E63&lt;&gt;0,$F63&gt;0,YEAR($F63)&gt;=Preisindex!$A$6,YEAR(CD$4)&gt;=YEAR($F63),AND($K63&lt;&gt;"a",$K63&lt;&gt;"b",$K63&lt;&gt;"g",$K63&lt;&gt;"k")),1,IF(AND($E63&lt;&gt;0,$F63&gt;0,YEAR($F63)&gt;=Preisindex!$A$6,YEAR(CD$4)&gt;=YEAR($F63),$K63="a"),ROUND(VLOOKUP(CI$4,Preisindex,5,FALSE)/VLOOKUP(YEAR($F63),Preisindex,5,FALSE),2),IF(AND($E63&lt;&gt;0,$F63&gt;0,YEAR($F63)&gt;=Preisindex!$A$6,YEAR(CD$4)&gt;=YEAR($F63),$K63="b"),ROUND(VLOOKUP(CI$4,Preisindex,3,FALSE)/VLOOKUP(YEAR($F63),Preisindex,3,FALSE),2),IF(AND($E63&lt;&gt;0,$F63&gt;0,YEAR($F63)&gt;=Preisindex!$A$6,YEAR(CD$4)&gt;=YEAR($F63),$K63="g"),ROUND(VLOOKUP(CI$4,Preisindex,4,FALSE)/VLOOKUP(YEAR($F63),Preisindex,4,FALSE),2),IF(AND($E63&lt;&gt;0,$F63&gt;0,YEAR($F63)&gt;=Preisindex!$A$6,YEAR(CD$4)&gt;=YEAR($F63),$K63="k"),ROUND(VLOOKUP(CI$4,Preisindex,2,FALSE)/VLOOKUP(YEAR($F63),Preisindex,2,FALSE),2),0)))))</f>
        <v>1.1000000000000001</v>
      </c>
      <c r="CJ63" s="56">
        <f>IF(AND($E63&lt;&gt;0,$F63&gt;0,YEAR($F63)&lt;Preisindex!$A$6,YEAR(CD$4)&gt;=YEAR($F63),AND($K63&lt;&gt;"a",$K63&lt;&gt;"b",$K63&lt;&gt;"g",$K63&lt;&gt;"k")),1,IF(AND($E63&lt;&gt;0,$F63&gt;0,YEAR($F63)&lt;Preisindex!$A$6,YEAR(CD$4)&gt;=YEAR($F63),$K63="a"),ROUND(VLOOKUP(CI$4,Preisindex,5,FALSE)/VLOOKUP(Preisindex!$A$6,Preisindex,5,FALSE),2),IF(AND($E63&lt;&gt;0,$F63&gt;0,YEAR($F63)&lt;Preisindex!$A$6,YEAR(CD$4)&gt;=YEAR($F63),$K63="b"),ROUND(VLOOKUP(CI$4,Preisindex,3,FALSE)/VLOOKUP(Preisindex!$A$6,Preisindex,3,FALSE),2),IF(AND($E63&lt;&gt;0,$F63&gt;0,YEAR($F63)&lt;Preisindex!$A$6,YEAR(CD$4)&gt;=YEAR($F63),$K63="g"),ROUND(VLOOKUP(CI$4,Preisindex,4,FALSE)/VLOOKUP(Preisindex!$A$6,Preisindex,4,FALSE),2),IF(AND($E63&lt;&gt;0,$F63&gt;0,YEAR($F63)&lt;Preisindex!$A$6,YEAR(CD$4)&gt;=YEAR($F63),$K63="k"),ROUND(VLOOKUP(CI$4,Preisindex,2,FALSE)/VLOOKUP(Preisindex!$A$6,Preisindex,2,FALSE),2),0)))))</f>
        <v>0</v>
      </c>
      <c r="CK63" s="51">
        <f>IF(AND($E63&lt;&gt;0,$F63&gt;0,YEAR($F63)&lt;=CI$4,YEAR($F63)&gt;=Preisindex!$A$6),ROUND($E63*CI63,2),IF(AND($E63&lt;&gt;0,$F63&gt;0,YEAR($F63)&lt;=CI$4,YEAR($F63)&lt;Preisindex!$A$6),ROUND($E63*CJ63,2),0))</f>
        <v>31350</v>
      </c>
      <c r="CL63" s="53">
        <f t="shared" si="185"/>
        <v>627</v>
      </c>
      <c r="CM63" s="51">
        <f t="shared" si="359"/>
        <v>0</v>
      </c>
      <c r="CN63" s="51">
        <f t="shared" si="332"/>
        <v>0</v>
      </c>
      <c r="CO63" s="51">
        <f t="shared" si="188"/>
        <v>0</v>
      </c>
      <c r="CP63" s="51">
        <f t="shared" si="333"/>
        <v>0</v>
      </c>
      <c r="CQ63" s="51">
        <f t="shared" si="190"/>
        <v>28500</v>
      </c>
      <c r="CR63" s="51">
        <f t="shared" si="334"/>
        <v>28500</v>
      </c>
      <c r="CS63" s="51">
        <f t="shared" si="192"/>
        <v>570</v>
      </c>
      <c r="CT63" s="51">
        <f t="shared" si="335"/>
        <v>570</v>
      </c>
      <c r="CU63" s="51">
        <f t="shared" si="194"/>
        <v>24225</v>
      </c>
      <c r="CV63" s="51">
        <f t="shared" si="336"/>
        <v>24225</v>
      </c>
      <c r="CW63" s="51">
        <f t="shared" si="196"/>
        <v>4275</v>
      </c>
      <c r="CX63" s="54">
        <f t="shared" si="197"/>
        <v>0</v>
      </c>
      <c r="CY63" s="55">
        <f t="shared" si="198"/>
        <v>0</v>
      </c>
      <c r="CZ63" s="56">
        <f>IF(AND($E63&lt;&gt;0,$F63&gt;0,YEAR($F63)&gt;=Preisindex!$A$6,YEAR(CU$4)&gt;=YEAR($F63),AND($K63&lt;&gt;"a",$K63&lt;&gt;"b",$K63&lt;&gt;"g",$K63&lt;&gt;"k")),1,IF(AND($E63&lt;&gt;0,$F63&gt;0,YEAR($F63)&gt;=Preisindex!$A$6,YEAR(CU$4)&gt;=YEAR($F63),$K63="a"),ROUND(VLOOKUP(CZ$4,Preisindex,5,FALSE)/VLOOKUP(YEAR($F63),Preisindex,5,FALSE),2),IF(AND($E63&lt;&gt;0,$F63&gt;0,YEAR($F63)&gt;=Preisindex!$A$6,YEAR(CU$4)&gt;=YEAR($F63),$K63="b"),ROUND(VLOOKUP(CZ$4,Preisindex,3,FALSE)/VLOOKUP(YEAR($F63),Preisindex,3,FALSE),2),IF(AND($E63&lt;&gt;0,$F63&gt;0,YEAR($F63)&gt;=Preisindex!$A$6,YEAR(CU$4)&gt;=YEAR($F63),$K63="g"),ROUND(VLOOKUP(CZ$4,Preisindex,4,FALSE)/VLOOKUP(YEAR($F63),Preisindex,4,FALSE),2),IF(AND($E63&lt;&gt;0,$F63&gt;0,YEAR($F63)&gt;=Preisindex!$A$6,YEAR(CU$4)&gt;=YEAR($F63),$K63="k"),ROUND(VLOOKUP(CZ$4,Preisindex,2,FALSE)/VLOOKUP(YEAR($F63),Preisindex,2,FALSE),2),0)))))</f>
        <v>1.1200000000000001</v>
      </c>
      <c r="DA63" s="56">
        <f>IF(AND($E63&lt;&gt;0,$F63&gt;0,YEAR($F63)&lt;Preisindex!$A$6,YEAR(CU$4)&gt;=YEAR($F63),AND($K63&lt;&gt;"a",$K63&lt;&gt;"b",$K63&lt;&gt;"g",$K63&lt;&gt;"k")),1,IF(AND($E63&lt;&gt;0,$F63&gt;0,YEAR($F63)&lt;Preisindex!$A$6,YEAR(CU$4)&gt;=YEAR($F63),$K63="a"),ROUND(VLOOKUP(CZ$4,Preisindex,5,FALSE)/VLOOKUP(Preisindex!$A$6,Preisindex,5,FALSE),2),IF(AND($E63&lt;&gt;0,$F63&gt;0,YEAR($F63)&lt;Preisindex!$A$6,YEAR(CU$4)&gt;=YEAR($F63),$K63="b"),ROUND(VLOOKUP(CZ$4,Preisindex,3,FALSE)/VLOOKUP(Preisindex!$A$6,Preisindex,3,FALSE),2),IF(AND($E63&lt;&gt;0,$F63&gt;0,YEAR($F63)&lt;Preisindex!$A$6,YEAR(CU$4)&gt;=YEAR($F63),$K63="g"),ROUND(VLOOKUP(CZ$4,Preisindex,4,FALSE)/VLOOKUP(Preisindex!$A$6,Preisindex,4,FALSE),2),IF(AND($E63&lt;&gt;0,$F63&gt;0,YEAR($F63)&lt;Preisindex!$A$6,YEAR(CU$4)&gt;=YEAR($F63),$K63="k"),ROUND(VLOOKUP(CZ$4,Preisindex,2,FALSE)/VLOOKUP(Preisindex!$A$6,Preisindex,2,FALSE),2),0)))))</f>
        <v>0</v>
      </c>
      <c r="DB63" s="51">
        <f>IF(AND($E63&lt;&gt;0,$F63&gt;0,YEAR($F63)&lt;=CZ$4,YEAR($F63)&gt;=Preisindex!$A$6),ROUND($E63*CZ63,2),IF(AND($E63&lt;&gt;0,$F63&gt;0,YEAR($F63)&lt;=CZ$4,YEAR($F63)&lt;Preisindex!$A$6),ROUND($E63*DA63,2),0))</f>
        <v>31920</v>
      </c>
      <c r="DC63" s="53">
        <f t="shared" si="199"/>
        <v>638.4</v>
      </c>
      <c r="DD63" s="51">
        <f t="shared" si="360"/>
        <v>0</v>
      </c>
      <c r="DE63" s="51">
        <f t="shared" si="337"/>
        <v>0</v>
      </c>
      <c r="DF63" s="51">
        <f t="shared" si="202"/>
        <v>0</v>
      </c>
      <c r="DG63" s="51">
        <f t="shared" si="338"/>
        <v>0</v>
      </c>
      <c r="DH63" s="51">
        <f t="shared" si="204"/>
        <v>28500</v>
      </c>
      <c r="DI63" s="51">
        <f t="shared" si="339"/>
        <v>28500</v>
      </c>
      <c r="DJ63" s="51">
        <f t="shared" si="206"/>
        <v>570</v>
      </c>
      <c r="DK63" s="51">
        <f t="shared" si="340"/>
        <v>570</v>
      </c>
      <c r="DL63" s="51">
        <f t="shared" si="208"/>
        <v>23655</v>
      </c>
      <c r="DM63" s="51">
        <f t="shared" si="341"/>
        <v>23655</v>
      </c>
      <c r="DN63" s="51">
        <f t="shared" si="210"/>
        <v>4845</v>
      </c>
      <c r="DO63" s="54">
        <f t="shared" si="211"/>
        <v>0</v>
      </c>
      <c r="DP63" s="55">
        <f t="shared" si="212"/>
        <v>0</v>
      </c>
      <c r="DQ63" s="56">
        <f>IF(AND($E63&lt;&gt;0,$F63&gt;0,YEAR($F63)&gt;=Preisindex!$A$6,YEAR(DL$4)&gt;=YEAR($F63),AND($K63&lt;&gt;"a",$K63&lt;&gt;"b",$K63&lt;&gt;"g",$K63&lt;&gt;"k")),1,IF(AND($E63&lt;&gt;0,$F63&gt;0,YEAR($F63)&gt;=Preisindex!$A$6,YEAR(DL$4)&gt;=YEAR($F63),$K63="a"),ROUND(VLOOKUP(DQ$4,Preisindex,5,FALSE)/VLOOKUP(YEAR($F63),Preisindex,5,FALSE),2),IF(AND($E63&lt;&gt;0,$F63&gt;0,YEAR($F63)&gt;=Preisindex!$A$6,YEAR(DL$4)&gt;=YEAR($F63),$K63="b"),ROUND(VLOOKUP(DQ$4,Preisindex,3,FALSE)/VLOOKUP(YEAR($F63),Preisindex,3,FALSE),2),IF(AND($E63&lt;&gt;0,$F63&gt;0,YEAR($F63)&gt;=Preisindex!$A$6,YEAR(DL$4)&gt;=YEAR($F63),$K63="g"),ROUND(VLOOKUP(DQ$4,Preisindex,4,FALSE)/VLOOKUP(YEAR($F63),Preisindex,4,FALSE),2),IF(AND($E63&lt;&gt;0,$F63&gt;0,YEAR($F63)&gt;=Preisindex!$A$6,YEAR(DL$4)&gt;=YEAR($F63),$K63="k"),ROUND(VLOOKUP(DQ$4,Preisindex,2,FALSE)/VLOOKUP(YEAR($F63),Preisindex,2,FALSE),2),0)))))</f>
        <v>1.1599999999999999</v>
      </c>
      <c r="DR63" s="56">
        <f>IF(AND($E63&lt;&gt;0,$F63&gt;0,YEAR($F63)&lt;Preisindex!$A$6,YEAR(DL$4)&gt;=YEAR($F63),AND($K63&lt;&gt;"a",$K63&lt;&gt;"b",$K63&lt;&gt;"g",$K63&lt;&gt;"k")),1,IF(AND($E63&lt;&gt;0,$F63&gt;0,YEAR($F63)&lt;Preisindex!$A$6,YEAR(DL$4)&gt;=YEAR($F63),$K63="a"),ROUND(VLOOKUP(DQ$4,Preisindex,5,FALSE)/VLOOKUP(Preisindex!$A$6,Preisindex,5,FALSE),2),IF(AND($E63&lt;&gt;0,$F63&gt;0,YEAR($F63)&lt;Preisindex!$A$6,YEAR(DL$4)&gt;=YEAR($F63),$K63="b"),ROUND(VLOOKUP(DQ$4,Preisindex,3,FALSE)/VLOOKUP(Preisindex!$A$6,Preisindex,3,FALSE),2),IF(AND($E63&lt;&gt;0,$F63&gt;0,YEAR($F63)&lt;Preisindex!$A$6,YEAR(DL$4)&gt;=YEAR($F63),$K63="g"),ROUND(VLOOKUP(DQ$4,Preisindex,4,FALSE)/VLOOKUP(Preisindex!$A$6,Preisindex,4,FALSE),2),IF(AND($E63&lt;&gt;0,$F63&gt;0,YEAR($F63)&lt;Preisindex!$A$6,YEAR(DL$4)&gt;=YEAR($F63),$K63="k"),ROUND(VLOOKUP(DQ$4,Preisindex,2,FALSE)/VLOOKUP(Preisindex!$A$6,Preisindex,2,FALSE),2),0)))))</f>
        <v>0</v>
      </c>
      <c r="DS63" s="51">
        <f>IF(AND($E63&lt;&gt;0,$F63&gt;0,YEAR($F63)&lt;=DQ$4,YEAR($F63)&gt;=Preisindex!$A$6),ROUND($E63*DQ63,2),IF(AND($E63&lt;&gt;0,$F63&gt;0,YEAR($F63)&lt;=DQ$4,YEAR($F63)&lt;Preisindex!$A$6),ROUND($E63*DR63,2),0))</f>
        <v>33060</v>
      </c>
      <c r="DT63" s="53">
        <f t="shared" si="213"/>
        <v>661.2</v>
      </c>
      <c r="DU63" s="51">
        <f t="shared" si="360"/>
        <v>0</v>
      </c>
      <c r="DV63" s="51">
        <f t="shared" si="342"/>
        <v>0</v>
      </c>
      <c r="DW63" s="51">
        <f t="shared" si="216"/>
        <v>0</v>
      </c>
      <c r="DX63" s="51">
        <f t="shared" si="343"/>
        <v>0</v>
      </c>
      <c r="DY63" s="51">
        <f t="shared" si="218"/>
        <v>28500</v>
      </c>
      <c r="DZ63" s="51">
        <f t="shared" si="344"/>
        <v>28500</v>
      </c>
      <c r="EA63" s="51">
        <f t="shared" si="220"/>
        <v>570</v>
      </c>
      <c r="EB63" s="51">
        <f t="shared" si="345"/>
        <v>570</v>
      </c>
      <c r="EC63" s="51">
        <f t="shared" si="222"/>
        <v>23085</v>
      </c>
      <c r="ED63" s="51">
        <f t="shared" si="346"/>
        <v>23085</v>
      </c>
      <c r="EE63" s="51">
        <f t="shared" si="224"/>
        <v>5415</v>
      </c>
      <c r="EF63" s="54">
        <f t="shared" si="225"/>
        <v>0</v>
      </c>
      <c r="EG63" s="55">
        <f t="shared" si="226"/>
        <v>0</v>
      </c>
      <c r="EH63" s="56">
        <f>IF(AND($E63&lt;&gt;0,$F63&gt;0,YEAR($F63)&gt;=Preisindex!$A$6,YEAR(EC$4)&gt;=YEAR($F63),AND($K63&lt;&gt;"a",$K63&lt;&gt;"b",$K63&lt;&gt;"g",$K63&lt;&gt;"k")),1,IF(AND($E63&lt;&gt;0,$F63&gt;0,YEAR($F63)&gt;=Preisindex!$A$6,YEAR(EC$4)&gt;=YEAR($F63),$K63="a"),ROUND(VLOOKUP(EH$4,Preisindex,5,FALSE)/VLOOKUP(YEAR($F63),Preisindex,5,FALSE),2),IF(AND($E63&lt;&gt;0,$F63&gt;0,YEAR($F63)&gt;=Preisindex!$A$6,YEAR(EC$4)&gt;=YEAR($F63),$K63="b"),ROUND(VLOOKUP(EH$4,Preisindex,3,FALSE)/VLOOKUP(YEAR($F63),Preisindex,3,FALSE),2),IF(AND($E63&lt;&gt;0,$F63&gt;0,YEAR($F63)&gt;=Preisindex!$A$6,YEAR(EC$4)&gt;=YEAR($F63),$K63="g"),ROUND(VLOOKUP(EH$4,Preisindex,4,FALSE)/VLOOKUP(YEAR($F63),Preisindex,4,FALSE),2),IF(AND($E63&lt;&gt;0,$F63&gt;0,YEAR($F63)&gt;=Preisindex!$A$6,YEAR(EC$4)&gt;=YEAR($F63),$K63="k"),ROUND(VLOOKUP(EH$4,Preisindex,2,FALSE)/VLOOKUP(YEAR($F63),Preisindex,2,FALSE),2),0)))))</f>
        <v>1.22</v>
      </c>
      <c r="EI63" s="56">
        <f>IF(AND($E63&lt;&gt;0,$F63&gt;0,YEAR($F63)&lt;Preisindex!$A$6,YEAR(EC$4)&gt;=YEAR($F63),AND($K63&lt;&gt;"a",$K63&lt;&gt;"b",$K63&lt;&gt;"g",$K63&lt;&gt;"k")),1,IF(AND($E63&lt;&gt;0,$F63&gt;0,YEAR($F63)&lt;Preisindex!$A$6,YEAR(EC$4)&gt;=YEAR($F63),$K63="a"),ROUND(VLOOKUP(EH$4,Preisindex,5,FALSE)/VLOOKUP(Preisindex!$A$6,Preisindex,5,FALSE),2),IF(AND($E63&lt;&gt;0,$F63&gt;0,YEAR($F63)&lt;Preisindex!$A$6,YEAR(EC$4)&gt;=YEAR($F63),$K63="b"),ROUND(VLOOKUP(EH$4,Preisindex,3,FALSE)/VLOOKUP(Preisindex!$A$6,Preisindex,3,FALSE),2),IF(AND($E63&lt;&gt;0,$F63&gt;0,YEAR($F63)&lt;Preisindex!$A$6,YEAR(EC$4)&gt;=YEAR($F63),$K63="g"),ROUND(VLOOKUP(EH$4,Preisindex,4,FALSE)/VLOOKUP(Preisindex!$A$6,Preisindex,4,FALSE),2),IF(AND($E63&lt;&gt;0,$F63&gt;0,YEAR($F63)&lt;Preisindex!$A$6,YEAR(EC$4)&gt;=YEAR($F63),$K63="k"),ROUND(VLOOKUP(EH$4,Preisindex,2,FALSE)/VLOOKUP(Preisindex!$A$6,Preisindex,2,FALSE),2),0)))))</f>
        <v>0</v>
      </c>
      <c r="EJ63" s="51">
        <f>IF(AND($E63&lt;&gt;0,$F63&gt;0,YEAR($F63)&lt;=EH$4,YEAR($F63)&gt;=Preisindex!$A$6),ROUND($E63*EH63,2),IF(AND($E63&lt;&gt;0,$F63&gt;0,YEAR($F63)&lt;=EH$4,YEAR($F63)&lt;Preisindex!$A$6),ROUND($E63*EI63,2),0))</f>
        <v>34770</v>
      </c>
      <c r="EK63" s="53">
        <f t="shared" si="227"/>
        <v>695.4</v>
      </c>
      <c r="EL63" s="51">
        <f t="shared" si="360"/>
        <v>0</v>
      </c>
      <c r="EM63" s="51">
        <f t="shared" si="347"/>
        <v>0</v>
      </c>
      <c r="EN63" s="51">
        <f t="shared" si="230"/>
        <v>0</v>
      </c>
      <c r="EO63" s="51">
        <f t="shared" si="348"/>
        <v>0</v>
      </c>
      <c r="EP63" s="51">
        <f t="shared" si="232"/>
        <v>28500</v>
      </c>
      <c r="EQ63" s="51">
        <f t="shared" si="349"/>
        <v>28500</v>
      </c>
      <c r="ER63" s="51">
        <f t="shared" si="234"/>
        <v>570</v>
      </c>
      <c r="ES63" s="51">
        <f t="shared" si="350"/>
        <v>570</v>
      </c>
      <c r="ET63" s="51">
        <f t="shared" si="236"/>
        <v>22515</v>
      </c>
      <c r="EU63" s="51">
        <f t="shared" si="351"/>
        <v>22515</v>
      </c>
      <c r="EV63" s="51">
        <f t="shared" si="238"/>
        <v>5985</v>
      </c>
      <c r="EW63" s="54">
        <f t="shared" si="239"/>
        <v>0</v>
      </c>
      <c r="EX63" s="55">
        <f t="shared" si="240"/>
        <v>0</v>
      </c>
      <c r="EY63" s="56">
        <f>IF(AND($E63&lt;&gt;0,$F63&gt;0,YEAR($F63)&gt;=Preisindex!$A$6,YEAR(ET$4)&gt;=YEAR($F63),AND($K63&lt;&gt;"a",$K63&lt;&gt;"b",$K63&lt;&gt;"g",$K63&lt;&gt;"k")),1,IF(AND($E63&lt;&gt;0,$F63&gt;0,YEAR($F63)&gt;=Preisindex!$A$6,YEAR(ET$4)&gt;=YEAR($F63),$K63="a"),ROUND(VLOOKUP(EY$4,Preisindex,5,FALSE)/VLOOKUP(YEAR($F63),Preisindex,5,FALSE),2),IF(AND($E63&lt;&gt;0,$F63&gt;0,YEAR($F63)&gt;=Preisindex!$A$6,YEAR(ET$4)&gt;=YEAR($F63),$K63="b"),ROUND(VLOOKUP(EY$4,Preisindex,3,FALSE)/VLOOKUP(YEAR($F63),Preisindex,3,FALSE),2),IF(AND($E63&lt;&gt;0,$F63&gt;0,YEAR($F63)&gt;=Preisindex!$A$6,YEAR(ET$4)&gt;=YEAR($F63),$K63="g"),ROUND(VLOOKUP(EY$4,Preisindex,4,FALSE)/VLOOKUP(YEAR($F63),Preisindex,4,FALSE),2),IF(AND($E63&lt;&gt;0,$F63&gt;0,YEAR($F63)&gt;=Preisindex!$A$6,YEAR(ET$4)&gt;=YEAR($F63),$K63="k"),ROUND(VLOOKUP(EY$4,Preisindex,2,FALSE)/VLOOKUP(YEAR($F63),Preisindex,2,FALSE),2),0)))))</f>
        <v>1.22</v>
      </c>
      <c r="EZ63" s="56">
        <f>IF(AND($E63&lt;&gt;0,$F63&gt;0,YEAR($F63)&lt;Preisindex!$A$6,YEAR(ET$4)&gt;=YEAR($F63),AND($K63&lt;&gt;"a",$K63&lt;&gt;"b",$K63&lt;&gt;"g",$K63&lt;&gt;"k")),1,IF(AND($E63&lt;&gt;0,$F63&gt;0,YEAR($F63)&lt;Preisindex!$A$6,YEAR(ET$4)&gt;=YEAR($F63),$K63="a"),ROUND(VLOOKUP(EY$4,Preisindex,5,FALSE)/VLOOKUP(Preisindex!$A$6,Preisindex,5,FALSE),2),IF(AND($E63&lt;&gt;0,$F63&gt;0,YEAR($F63)&lt;Preisindex!$A$6,YEAR(ET$4)&gt;=YEAR($F63),$K63="b"),ROUND(VLOOKUP(EY$4,Preisindex,3,FALSE)/VLOOKUP(Preisindex!$A$6,Preisindex,3,FALSE),2),IF(AND($E63&lt;&gt;0,$F63&gt;0,YEAR($F63)&lt;Preisindex!$A$6,YEAR(ET$4)&gt;=YEAR($F63),$K63="g"),ROUND(VLOOKUP(EY$4,Preisindex,4,FALSE)/VLOOKUP(Preisindex!$A$6,Preisindex,4,FALSE),2),IF(AND($E63&lt;&gt;0,$F63&gt;0,YEAR($F63)&lt;Preisindex!$A$6,YEAR(ET$4)&gt;=YEAR($F63),$K63="k"),ROUND(VLOOKUP(EY$4,Preisindex,2,FALSE)/VLOOKUP(Preisindex!$A$6,Preisindex,2,FALSE),2),0)))))</f>
        <v>0</v>
      </c>
      <c r="FA63" s="51">
        <f>IF(AND($E63&lt;&gt;0,$F63&gt;0,YEAR($F63)&lt;=EY$4,YEAR($F63)&gt;=Preisindex!$A$6),ROUND($E63*EY63,2),IF(AND($E63&lt;&gt;0,$F63&gt;0,YEAR($F63)&lt;=EY$4,YEAR($F63)&lt;Preisindex!$A$6),ROUND($E63*EZ63,2),0))</f>
        <v>34770</v>
      </c>
      <c r="FB63" s="53">
        <f t="shared" si="241"/>
        <v>695.4</v>
      </c>
      <c r="FC63" s="51">
        <f t="shared" si="360"/>
        <v>0</v>
      </c>
      <c r="FD63" s="51">
        <f t="shared" si="352"/>
        <v>0</v>
      </c>
      <c r="FE63" s="51">
        <f t="shared" si="244"/>
        <v>0</v>
      </c>
      <c r="FF63" s="51">
        <f t="shared" si="353"/>
        <v>0</v>
      </c>
      <c r="FG63" s="51">
        <f t="shared" si="246"/>
        <v>28500</v>
      </c>
      <c r="FH63" s="51">
        <f t="shared" si="354"/>
        <v>28500</v>
      </c>
      <c r="FI63" s="51">
        <f t="shared" si="248"/>
        <v>570</v>
      </c>
      <c r="FJ63" s="51">
        <f t="shared" si="355"/>
        <v>570</v>
      </c>
      <c r="FK63" s="51">
        <f t="shared" si="250"/>
        <v>21945</v>
      </c>
      <c r="FL63" s="51">
        <f t="shared" si="356"/>
        <v>21945</v>
      </c>
      <c r="FM63" s="51">
        <f t="shared" si="252"/>
        <v>6555</v>
      </c>
      <c r="FN63" s="54">
        <f t="shared" si="253"/>
        <v>0</v>
      </c>
      <c r="FO63" s="55">
        <f t="shared" si="254"/>
        <v>0</v>
      </c>
      <c r="FP63" s="56">
        <f>IF(AND($E63&lt;&gt;0,$F63&gt;0,YEAR($F63)&gt;=Preisindex!$A$6,YEAR(FK$4)&gt;=YEAR($F63),AND($K63&lt;&gt;"a",$K63&lt;&gt;"b",$K63&lt;&gt;"g",$K63&lt;&gt;"k")),1,IF(AND($E63&lt;&gt;0,$F63&gt;0,YEAR($F63)&gt;=Preisindex!$A$6,YEAR(FK$4)&gt;=YEAR($F63),$K63="a"),ROUND(VLOOKUP(FP$4,Preisindex,5,FALSE)/VLOOKUP(YEAR($F63),Preisindex,5,FALSE),2),IF(AND($E63&lt;&gt;0,$F63&gt;0,YEAR($F63)&gt;=Preisindex!$A$6,YEAR(FK$4)&gt;=YEAR($F63),$K63="b"),ROUND(VLOOKUP(FP$4,Preisindex,3,FALSE)/VLOOKUP(YEAR($F63),Preisindex,3,FALSE),2),IF(AND($E63&lt;&gt;0,$F63&gt;0,YEAR($F63)&gt;=Preisindex!$A$6,YEAR(FK$4)&gt;=YEAR($F63),$K63="g"),ROUND(VLOOKUP(FP$4,Preisindex,4,FALSE)/VLOOKUP(YEAR($F63),Preisindex,4,FALSE),2),IF(AND($E63&lt;&gt;0,$F63&gt;0,YEAR($F63)&gt;=Preisindex!$A$6,YEAR(FK$4)&gt;=YEAR($F63),$K63="k"),ROUND(VLOOKUP(FP$4,Preisindex,2,FALSE)/VLOOKUP(YEAR($F63),Preisindex,2,FALSE),2),0)))))</f>
        <v>1.22</v>
      </c>
      <c r="FQ63" s="56">
        <f>IF(AND($E63&lt;&gt;0,$F63&gt;0,YEAR($F63)&lt;Preisindex!$A$6,YEAR(FK$4)&gt;=YEAR($F63),AND($K63&lt;&gt;"a",$K63&lt;&gt;"b",$K63&lt;&gt;"g",$K63&lt;&gt;"k")),1,IF(AND($E63&lt;&gt;0,$F63&gt;0,YEAR($F63)&lt;Preisindex!$A$6,YEAR(FK$4)&gt;=YEAR($F63),$K63="a"),ROUND(VLOOKUP(FP$4,Preisindex,5,FALSE)/VLOOKUP(Preisindex!$A$6,Preisindex,5,FALSE),2),IF(AND($E63&lt;&gt;0,$F63&gt;0,YEAR($F63)&lt;Preisindex!$A$6,YEAR(FK$4)&gt;=YEAR($F63),$K63="b"),ROUND(VLOOKUP(FP$4,Preisindex,3,FALSE)/VLOOKUP(Preisindex!$A$6,Preisindex,3,FALSE),2),IF(AND($E63&lt;&gt;0,$F63&gt;0,YEAR($F63)&lt;Preisindex!$A$6,YEAR(FK$4)&gt;=YEAR($F63),$K63="g"),ROUND(VLOOKUP(FP$4,Preisindex,4,FALSE)/VLOOKUP(Preisindex!$A$6,Preisindex,4,FALSE),2),IF(AND($E63&lt;&gt;0,$F63&gt;0,YEAR($F63)&lt;Preisindex!$A$6,YEAR(FK$4)&gt;=YEAR($F63),$K63="k"),ROUND(VLOOKUP(FP$4,Preisindex,2,FALSE)/VLOOKUP(Preisindex!$A$6,Preisindex,2,FALSE),2),0)))))</f>
        <v>0</v>
      </c>
      <c r="FR63" s="51">
        <f>IF(AND($E63&lt;&gt;0,$F63&gt;0,YEAR($F63)&lt;=FP$4,YEAR($F63)&gt;=Preisindex!$A$6),ROUND($E63*FP63,2),IF(AND($E63&lt;&gt;0,$F63&gt;0,YEAR($F63)&lt;=FP$4,YEAR($F63)&lt;Preisindex!$A$6),ROUND($E63*FQ63,2),0))</f>
        <v>34770</v>
      </c>
      <c r="FS63" s="53">
        <f t="shared" si="255"/>
        <v>695.4</v>
      </c>
    </row>
    <row r="64" spans="1:175" x14ac:dyDescent="0.3">
      <c r="A64" s="93"/>
      <c r="B64" s="94"/>
      <c r="C64" s="94"/>
      <c r="D64" s="95"/>
      <c r="E64" s="99"/>
      <c r="F64" s="97"/>
      <c r="G64" s="98"/>
      <c r="H64" s="620"/>
      <c r="I64" s="621"/>
      <c r="J64" s="194"/>
      <c r="K64" s="630"/>
      <c r="L64" s="49">
        <f t="shared" si="296"/>
        <v>0</v>
      </c>
      <c r="M64" s="50">
        <f t="shared" si="297"/>
        <v>0</v>
      </c>
      <c r="N64" s="51">
        <f t="shared" si="298"/>
        <v>0</v>
      </c>
      <c r="O64" s="51"/>
      <c r="P64" s="51">
        <f t="shared" si="299"/>
        <v>0</v>
      </c>
      <c r="Q64" s="52"/>
      <c r="R64" s="52"/>
      <c r="S64" s="52"/>
      <c r="T64" s="52"/>
      <c r="U64" s="52"/>
      <c r="V64" s="53">
        <f t="shared" si="300"/>
        <v>0</v>
      </c>
      <c r="W64" s="51">
        <f t="shared" si="301"/>
        <v>0</v>
      </c>
      <c r="X64" s="51">
        <f t="shared" si="302"/>
        <v>0</v>
      </c>
      <c r="Y64" s="51">
        <f t="shared" si="303"/>
        <v>0</v>
      </c>
      <c r="Z64" s="51">
        <f t="shared" si="304"/>
        <v>0</v>
      </c>
      <c r="AA64" s="51">
        <f t="shared" si="305"/>
        <v>0</v>
      </c>
      <c r="AB64" s="51">
        <f t="shared" si="306"/>
        <v>0</v>
      </c>
      <c r="AC64" s="51">
        <f t="shared" si="307"/>
        <v>0</v>
      </c>
      <c r="AD64" s="51">
        <f t="shared" si="308"/>
        <v>0</v>
      </c>
      <c r="AE64" s="51">
        <f t="shared" si="309"/>
        <v>0</v>
      </c>
      <c r="AF64" s="51">
        <f t="shared" si="310"/>
        <v>0</v>
      </c>
      <c r="AG64" s="51">
        <f t="shared" si="311"/>
        <v>0</v>
      </c>
      <c r="AH64" s="54">
        <f t="shared" si="312"/>
        <v>0</v>
      </c>
      <c r="AI64" s="55">
        <f t="shared" si="313"/>
        <v>0</v>
      </c>
      <c r="AJ64" s="56">
        <f>IF(AND($E64&lt;&gt;0,$F64&gt;0,YEAR($F64)&gt;=Preisindex!$A$6,YEAR(AE$4)&gt;=YEAR($F64),AND($K64&lt;&gt;"a",$K64&lt;&gt;"b",$K64&lt;&gt;"g",$K64&lt;&gt;"k")),1,IF(AND($E64&lt;&gt;0,$F64&gt;0,YEAR($F64)&gt;=Preisindex!$A$6,YEAR(AE$4)&gt;=YEAR($F64),$K64="a"),ROUND(VLOOKUP(AJ$4,Preisindex,5,FALSE)/VLOOKUP(YEAR($F64),Preisindex,5,FALSE),2),IF(AND($E64&lt;&gt;0,$F64&gt;0,YEAR($F64)&gt;=Preisindex!$A$6,YEAR(AE$4)&gt;=YEAR($F64),$K64="b"),ROUND(VLOOKUP(AJ$4,Preisindex,3,FALSE)/VLOOKUP(YEAR($F64),Preisindex,3,FALSE),2),IF(AND($E64&lt;&gt;0,$F64&gt;0,YEAR($F64)&gt;=Preisindex!$A$6,YEAR(AE$4)&gt;=YEAR($F64),$K64="g"),ROUND(VLOOKUP(AJ$4,Preisindex,4,FALSE)/VLOOKUP(YEAR($F64),Preisindex,4,FALSE),2),IF(AND($E64&lt;&gt;0,$F64&gt;0,YEAR($F64)&gt;=Preisindex!$A$6,YEAR(AE$4)&gt;=YEAR($F64),$K64="k"),ROUND(VLOOKUP(AJ$4,Preisindex,2,FALSE)/VLOOKUP(YEAR($F64),Preisindex,2,FALSE),2),0)))))</f>
        <v>0</v>
      </c>
      <c r="AK64" s="56">
        <f>IF(AND($E64&lt;&gt;0,$F64&gt;0,YEAR($F64)&lt;Preisindex!$A$6,YEAR(AE$4)&gt;=YEAR($F64),AND($K64&lt;&gt;"a",$K64&lt;&gt;"b",$K64&lt;&gt;"g",$K64&lt;&gt;"k")),1,IF(AND($E64&lt;&gt;0,$F64&gt;0,YEAR($F64)&lt;Preisindex!$A$6,YEAR(AE$4)&gt;=YEAR($F64),$K64="a"),ROUND(VLOOKUP(AJ$4,Preisindex,5,FALSE)/VLOOKUP(Preisindex!$A$6,Preisindex,5,FALSE),2),IF(AND($E64&lt;&gt;0,$F64&gt;0,YEAR($F64)&lt;Preisindex!$A$6,YEAR(AE$4)&gt;=YEAR($F64),$K64="b"),ROUND(VLOOKUP(AJ$4,Preisindex,3,FALSE)/VLOOKUP(Preisindex!$A$6,Preisindex,3,FALSE),2),IF(AND($E64&lt;&gt;0,$F64&gt;0,YEAR($F64)&lt;Preisindex!$A$6,YEAR(AE$4)&gt;=YEAR($F64),$K64="g"),ROUND(VLOOKUP(AJ$4,Preisindex,4,FALSE)/VLOOKUP(Preisindex!$A$6,Preisindex,4,FALSE),2),IF(AND($E64&lt;&gt;0,$F64&gt;0,YEAR($F64)&lt;Preisindex!$A$6,YEAR(AE$4)&gt;=YEAR($F64),$K64="k"),ROUND(VLOOKUP(AJ$4,Preisindex,2,FALSE)/VLOOKUP(Preisindex!$A$6,Preisindex,2,FALSE),2),0)))))</f>
        <v>0</v>
      </c>
      <c r="AL64" s="51">
        <f>IF(AND($E64&lt;&gt;0,$F64&gt;0,YEAR($F64)&lt;=AJ$4,YEAR($F64)&gt;=Preisindex!$A$6),ROUND($E64*AJ64,2),IF(AND($E64&lt;&gt;0,$F64&gt;0,YEAR($F64)&lt;=AJ$4,YEAR($F64)&lt;Preisindex!$A$6),ROUND($E64*AK64,2),0))</f>
        <v>0</v>
      </c>
      <c r="AM64" s="53">
        <f t="shared" si="314"/>
        <v>0</v>
      </c>
      <c r="AN64" s="51">
        <f t="shared" si="359"/>
        <v>0</v>
      </c>
      <c r="AO64" s="51">
        <f t="shared" si="317"/>
        <v>0</v>
      </c>
      <c r="AP64" s="51">
        <f t="shared" si="146"/>
        <v>0</v>
      </c>
      <c r="AQ64" s="51">
        <f t="shared" si="318"/>
        <v>0</v>
      </c>
      <c r="AR64" s="51">
        <f t="shared" si="148"/>
        <v>0</v>
      </c>
      <c r="AS64" s="51">
        <f t="shared" si="319"/>
        <v>0</v>
      </c>
      <c r="AT64" s="51">
        <f t="shared" si="150"/>
        <v>0</v>
      </c>
      <c r="AU64" s="51">
        <f t="shared" si="320"/>
        <v>0</v>
      </c>
      <c r="AV64" s="51">
        <f t="shared" si="152"/>
        <v>0</v>
      </c>
      <c r="AW64" s="51">
        <f t="shared" si="321"/>
        <v>0</v>
      </c>
      <c r="AX64" s="51">
        <f t="shared" si="154"/>
        <v>0</v>
      </c>
      <c r="AY64" s="54">
        <f t="shared" si="155"/>
        <v>0</v>
      </c>
      <c r="AZ64" s="55">
        <f t="shared" si="156"/>
        <v>0</v>
      </c>
      <c r="BA64" s="56">
        <f>IF(AND($E64&lt;&gt;0,$F64&gt;0,YEAR($F64)&gt;=Preisindex!$A$6,YEAR(AV$4)&gt;=YEAR($F64),AND($K64&lt;&gt;"a",$K64&lt;&gt;"b",$K64&lt;&gt;"g",$K64&lt;&gt;"k")),1,IF(AND($E64&lt;&gt;0,$F64&gt;0,YEAR($F64)&gt;=Preisindex!$A$6,YEAR(AV$4)&gt;=YEAR($F64),$K64="a"),ROUND(VLOOKUP(BA$4,Preisindex,5,FALSE)/VLOOKUP(YEAR($F64),Preisindex,5,FALSE),2),IF(AND($E64&lt;&gt;0,$F64&gt;0,YEAR($F64)&gt;=Preisindex!$A$6,YEAR(AV$4)&gt;=YEAR($F64),$K64="b"),ROUND(VLOOKUP(BA$4,Preisindex,3,FALSE)/VLOOKUP(YEAR($F64),Preisindex,3,FALSE),2),IF(AND($E64&lt;&gt;0,$F64&gt;0,YEAR($F64)&gt;=Preisindex!$A$6,YEAR(AV$4)&gt;=YEAR($F64),$K64="g"),ROUND(VLOOKUP(BA$4,Preisindex,4,FALSE)/VLOOKUP(YEAR($F64),Preisindex,4,FALSE),2),IF(AND($E64&lt;&gt;0,$F64&gt;0,YEAR($F64)&gt;=Preisindex!$A$6,YEAR(AV$4)&gt;=YEAR($F64),$K64="k"),ROUND(VLOOKUP(BA$4,Preisindex,2,FALSE)/VLOOKUP(YEAR($F64),Preisindex,2,FALSE),2),0)))))</f>
        <v>0</v>
      </c>
      <c r="BB64" s="56">
        <f>IF(AND($E64&lt;&gt;0,$F64&gt;0,YEAR($F64)&lt;Preisindex!$A$6,YEAR(AV$4)&gt;=YEAR($F64),AND($K64&lt;&gt;"a",$K64&lt;&gt;"b",$K64&lt;&gt;"g",$K64&lt;&gt;"k")),1,IF(AND($E64&lt;&gt;0,$F64&gt;0,YEAR($F64)&lt;Preisindex!$A$6,YEAR(AV$4)&gt;=YEAR($F64),$K64="a"),ROUND(VLOOKUP(BA$4,Preisindex,5,FALSE)/VLOOKUP(Preisindex!$A$6,Preisindex,5,FALSE),2),IF(AND($E64&lt;&gt;0,$F64&gt;0,YEAR($F64)&lt;Preisindex!$A$6,YEAR(AV$4)&gt;=YEAR($F64),$K64="b"),ROUND(VLOOKUP(BA$4,Preisindex,3,FALSE)/VLOOKUP(Preisindex!$A$6,Preisindex,3,FALSE),2),IF(AND($E64&lt;&gt;0,$F64&gt;0,YEAR($F64)&lt;Preisindex!$A$6,YEAR(AV$4)&gt;=YEAR($F64),$K64="g"),ROUND(VLOOKUP(BA$4,Preisindex,4,FALSE)/VLOOKUP(Preisindex!$A$6,Preisindex,4,FALSE),2),IF(AND($E64&lt;&gt;0,$F64&gt;0,YEAR($F64)&lt;Preisindex!$A$6,YEAR(AV$4)&gt;=YEAR($F64),$K64="k"),ROUND(VLOOKUP(BA$4,Preisindex,2,FALSE)/VLOOKUP(Preisindex!$A$6,Preisindex,2,FALSE),2),0)))))</f>
        <v>0</v>
      </c>
      <c r="BC64" s="51">
        <f>IF(AND($E64&lt;&gt;0,$F64&gt;0,YEAR($F64)&lt;=BA$4,YEAR($F64)&gt;=Preisindex!$A$6),ROUND($E64*BA64,2),IF(AND($E64&lt;&gt;0,$F64&gt;0,YEAR($F64)&lt;=BA$4,YEAR($F64)&lt;Preisindex!$A$6),ROUND($E64*BB64,2),0))</f>
        <v>0</v>
      </c>
      <c r="BD64" s="53">
        <f t="shared" si="157"/>
        <v>0</v>
      </c>
      <c r="BE64" s="51">
        <f t="shared" si="359"/>
        <v>0</v>
      </c>
      <c r="BF64" s="51">
        <f t="shared" si="322"/>
        <v>0</v>
      </c>
      <c r="BG64" s="51">
        <f t="shared" si="160"/>
        <v>0</v>
      </c>
      <c r="BH64" s="51">
        <f t="shared" si="323"/>
        <v>0</v>
      </c>
      <c r="BI64" s="51">
        <f t="shared" si="162"/>
        <v>0</v>
      </c>
      <c r="BJ64" s="51">
        <f t="shared" si="324"/>
        <v>0</v>
      </c>
      <c r="BK64" s="51">
        <f t="shared" si="164"/>
        <v>0</v>
      </c>
      <c r="BL64" s="51">
        <f t="shared" si="325"/>
        <v>0</v>
      </c>
      <c r="BM64" s="51">
        <f t="shared" si="166"/>
        <v>0</v>
      </c>
      <c r="BN64" s="51">
        <f t="shared" si="326"/>
        <v>0</v>
      </c>
      <c r="BO64" s="51">
        <f t="shared" si="168"/>
        <v>0</v>
      </c>
      <c r="BP64" s="54">
        <f t="shared" si="169"/>
        <v>0</v>
      </c>
      <c r="BQ64" s="55">
        <f t="shared" si="170"/>
        <v>0</v>
      </c>
      <c r="BR64" s="56">
        <f>IF(AND($E64&lt;&gt;0,$F64&gt;0,YEAR($F64)&gt;=Preisindex!$A$6,YEAR(BM$4)&gt;=YEAR($F64),AND($K64&lt;&gt;"a",$K64&lt;&gt;"b",$K64&lt;&gt;"g",$K64&lt;&gt;"k")),1,IF(AND($E64&lt;&gt;0,$F64&gt;0,YEAR($F64)&gt;=Preisindex!$A$6,YEAR(BM$4)&gt;=YEAR($F64),$K64="a"),ROUND(VLOOKUP(BR$4,Preisindex,5,FALSE)/VLOOKUP(YEAR($F64),Preisindex,5,FALSE),2),IF(AND($E64&lt;&gt;0,$F64&gt;0,YEAR($F64)&gt;=Preisindex!$A$6,YEAR(BM$4)&gt;=YEAR($F64),$K64="b"),ROUND(VLOOKUP(BR$4,Preisindex,3,FALSE)/VLOOKUP(YEAR($F64),Preisindex,3,FALSE),2),IF(AND($E64&lt;&gt;0,$F64&gt;0,YEAR($F64)&gt;=Preisindex!$A$6,YEAR(BM$4)&gt;=YEAR($F64),$K64="g"),ROUND(VLOOKUP(BR$4,Preisindex,4,FALSE)/VLOOKUP(YEAR($F64),Preisindex,4,FALSE),2),IF(AND($E64&lt;&gt;0,$F64&gt;0,YEAR($F64)&gt;=Preisindex!$A$6,YEAR(BM$4)&gt;=YEAR($F64),$K64="k"),ROUND(VLOOKUP(BR$4,Preisindex,2,FALSE)/VLOOKUP(YEAR($F64),Preisindex,2,FALSE),2),0)))))</f>
        <v>0</v>
      </c>
      <c r="BS64" s="56">
        <f>IF(AND($E64&lt;&gt;0,$F64&gt;0,YEAR($F64)&lt;Preisindex!$A$6,YEAR(BM$4)&gt;=YEAR($F64),AND($K64&lt;&gt;"a",$K64&lt;&gt;"b",$K64&lt;&gt;"g",$K64&lt;&gt;"k")),1,IF(AND($E64&lt;&gt;0,$F64&gt;0,YEAR($F64)&lt;Preisindex!$A$6,YEAR(BM$4)&gt;=YEAR($F64),$K64="a"),ROUND(VLOOKUP(BR$4,Preisindex,5,FALSE)/VLOOKUP(Preisindex!$A$6,Preisindex,5,FALSE),2),IF(AND($E64&lt;&gt;0,$F64&gt;0,YEAR($F64)&lt;Preisindex!$A$6,YEAR(BM$4)&gt;=YEAR($F64),$K64="b"),ROUND(VLOOKUP(BR$4,Preisindex,3,FALSE)/VLOOKUP(Preisindex!$A$6,Preisindex,3,FALSE),2),IF(AND($E64&lt;&gt;0,$F64&gt;0,YEAR($F64)&lt;Preisindex!$A$6,YEAR(BM$4)&gt;=YEAR($F64),$K64="g"),ROUND(VLOOKUP(BR$4,Preisindex,4,FALSE)/VLOOKUP(Preisindex!$A$6,Preisindex,4,FALSE),2),IF(AND($E64&lt;&gt;0,$F64&gt;0,YEAR($F64)&lt;Preisindex!$A$6,YEAR(BM$4)&gt;=YEAR($F64),$K64="k"),ROUND(VLOOKUP(BR$4,Preisindex,2,FALSE)/VLOOKUP(Preisindex!$A$6,Preisindex,2,FALSE),2),0)))))</f>
        <v>0</v>
      </c>
      <c r="BT64" s="51">
        <f>IF(AND($E64&lt;&gt;0,$F64&gt;0,YEAR($F64)&lt;=BR$4,YEAR($F64)&gt;=Preisindex!$A$6),ROUND($E64*BR64,2),IF(AND($E64&lt;&gt;0,$F64&gt;0,YEAR($F64)&lt;=BR$4,YEAR($F64)&lt;Preisindex!$A$6),ROUND($E64*BS64,2),0))</f>
        <v>0</v>
      </c>
      <c r="BU64" s="53">
        <f t="shared" si="171"/>
        <v>0</v>
      </c>
      <c r="BV64" s="51">
        <f t="shared" si="359"/>
        <v>0</v>
      </c>
      <c r="BW64" s="51">
        <f t="shared" si="327"/>
        <v>0</v>
      </c>
      <c r="BX64" s="51">
        <f t="shared" si="174"/>
        <v>0</v>
      </c>
      <c r="BY64" s="51">
        <f t="shared" si="328"/>
        <v>0</v>
      </c>
      <c r="BZ64" s="51">
        <f t="shared" si="176"/>
        <v>0</v>
      </c>
      <c r="CA64" s="51">
        <f t="shared" si="329"/>
        <v>0</v>
      </c>
      <c r="CB64" s="51">
        <f t="shared" si="178"/>
        <v>0</v>
      </c>
      <c r="CC64" s="51">
        <f t="shared" si="330"/>
        <v>0</v>
      </c>
      <c r="CD64" s="51">
        <f t="shared" si="180"/>
        <v>0</v>
      </c>
      <c r="CE64" s="51">
        <f t="shared" si="331"/>
        <v>0</v>
      </c>
      <c r="CF64" s="51">
        <f t="shared" si="182"/>
        <v>0</v>
      </c>
      <c r="CG64" s="54">
        <f t="shared" si="183"/>
        <v>0</v>
      </c>
      <c r="CH64" s="55">
        <f t="shared" si="184"/>
        <v>0</v>
      </c>
      <c r="CI64" s="56">
        <f>IF(AND($E64&lt;&gt;0,$F64&gt;0,YEAR($F64)&gt;=Preisindex!$A$6,YEAR(CD$4)&gt;=YEAR($F64),AND($K64&lt;&gt;"a",$K64&lt;&gt;"b",$K64&lt;&gt;"g",$K64&lt;&gt;"k")),1,IF(AND($E64&lt;&gt;0,$F64&gt;0,YEAR($F64)&gt;=Preisindex!$A$6,YEAR(CD$4)&gt;=YEAR($F64),$K64="a"),ROUND(VLOOKUP(CI$4,Preisindex,5,FALSE)/VLOOKUP(YEAR($F64),Preisindex,5,FALSE),2),IF(AND($E64&lt;&gt;0,$F64&gt;0,YEAR($F64)&gt;=Preisindex!$A$6,YEAR(CD$4)&gt;=YEAR($F64),$K64="b"),ROUND(VLOOKUP(CI$4,Preisindex,3,FALSE)/VLOOKUP(YEAR($F64),Preisindex,3,FALSE),2),IF(AND($E64&lt;&gt;0,$F64&gt;0,YEAR($F64)&gt;=Preisindex!$A$6,YEAR(CD$4)&gt;=YEAR($F64),$K64="g"),ROUND(VLOOKUP(CI$4,Preisindex,4,FALSE)/VLOOKUP(YEAR($F64),Preisindex,4,FALSE),2),IF(AND($E64&lt;&gt;0,$F64&gt;0,YEAR($F64)&gt;=Preisindex!$A$6,YEAR(CD$4)&gt;=YEAR($F64),$K64="k"),ROUND(VLOOKUP(CI$4,Preisindex,2,FALSE)/VLOOKUP(YEAR($F64),Preisindex,2,FALSE),2),0)))))</f>
        <v>0</v>
      </c>
      <c r="CJ64" s="56">
        <f>IF(AND($E64&lt;&gt;0,$F64&gt;0,YEAR($F64)&lt;Preisindex!$A$6,YEAR(CD$4)&gt;=YEAR($F64),AND($K64&lt;&gt;"a",$K64&lt;&gt;"b",$K64&lt;&gt;"g",$K64&lt;&gt;"k")),1,IF(AND($E64&lt;&gt;0,$F64&gt;0,YEAR($F64)&lt;Preisindex!$A$6,YEAR(CD$4)&gt;=YEAR($F64),$K64="a"),ROUND(VLOOKUP(CI$4,Preisindex,5,FALSE)/VLOOKUP(Preisindex!$A$6,Preisindex,5,FALSE),2),IF(AND($E64&lt;&gt;0,$F64&gt;0,YEAR($F64)&lt;Preisindex!$A$6,YEAR(CD$4)&gt;=YEAR($F64),$K64="b"),ROUND(VLOOKUP(CI$4,Preisindex,3,FALSE)/VLOOKUP(Preisindex!$A$6,Preisindex,3,FALSE),2),IF(AND($E64&lt;&gt;0,$F64&gt;0,YEAR($F64)&lt;Preisindex!$A$6,YEAR(CD$4)&gt;=YEAR($F64),$K64="g"),ROUND(VLOOKUP(CI$4,Preisindex,4,FALSE)/VLOOKUP(Preisindex!$A$6,Preisindex,4,FALSE),2),IF(AND($E64&lt;&gt;0,$F64&gt;0,YEAR($F64)&lt;Preisindex!$A$6,YEAR(CD$4)&gt;=YEAR($F64),$K64="k"),ROUND(VLOOKUP(CI$4,Preisindex,2,FALSE)/VLOOKUP(Preisindex!$A$6,Preisindex,2,FALSE),2),0)))))</f>
        <v>0</v>
      </c>
      <c r="CK64" s="51">
        <f>IF(AND($E64&lt;&gt;0,$F64&gt;0,YEAR($F64)&lt;=CI$4,YEAR($F64)&gt;=Preisindex!$A$6),ROUND($E64*CI64,2),IF(AND($E64&lt;&gt;0,$F64&gt;0,YEAR($F64)&lt;=CI$4,YEAR($F64)&lt;Preisindex!$A$6),ROUND($E64*CJ64,2),0))</f>
        <v>0</v>
      </c>
      <c r="CL64" s="53">
        <f t="shared" si="185"/>
        <v>0</v>
      </c>
      <c r="CM64" s="51">
        <f t="shared" si="359"/>
        <v>0</v>
      </c>
      <c r="CN64" s="51">
        <f t="shared" si="332"/>
        <v>0</v>
      </c>
      <c r="CO64" s="51">
        <f t="shared" si="188"/>
        <v>0</v>
      </c>
      <c r="CP64" s="51">
        <f t="shared" si="333"/>
        <v>0</v>
      </c>
      <c r="CQ64" s="51">
        <f t="shared" si="190"/>
        <v>0</v>
      </c>
      <c r="CR64" s="51">
        <f t="shared" si="334"/>
        <v>0</v>
      </c>
      <c r="CS64" s="51">
        <f t="shared" si="192"/>
        <v>0</v>
      </c>
      <c r="CT64" s="51">
        <f t="shared" si="335"/>
        <v>0</v>
      </c>
      <c r="CU64" s="51">
        <f t="shared" si="194"/>
        <v>0</v>
      </c>
      <c r="CV64" s="51">
        <f t="shared" si="336"/>
        <v>0</v>
      </c>
      <c r="CW64" s="51">
        <f t="shared" si="196"/>
        <v>0</v>
      </c>
      <c r="CX64" s="54">
        <f t="shared" si="197"/>
        <v>0</v>
      </c>
      <c r="CY64" s="55">
        <f t="shared" si="198"/>
        <v>0</v>
      </c>
      <c r="CZ64" s="56">
        <f>IF(AND($E64&lt;&gt;0,$F64&gt;0,YEAR($F64)&gt;=Preisindex!$A$6,YEAR(CU$4)&gt;=YEAR($F64),AND($K64&lt;&gt;"a",$K64&lt;&gt;"b",$K64&lt;&gt;"g",$K64&lt;&gt;"k")),1,IF(AND($E64&lt;&gt;0,$F64&gt;0,YEAR($F64)&gt;=Preisindex!$A$6,YEAR(CU$4)&gt;=YEAR($F64),$K64="a"),ROUND(VLOOKUP(CZ$4,Preisindex,5,FALSE)/VLOOKUP(YEAR($F64),Preisindex,5,FALSE),2),IF(AND($E64&lt;&gt;0,$F64&gt;0,YEAR($F64)&gt;=Preisindex!$A$6,YEAR(CU$4)&gt;=YEAR($F64),$K64="b"),ROUND(VLOOKUP(CZ$4,Preisindex,3,FALSE)/VLOOKUP(YEAR($F64),Preisindex,3,FALSE),2),IF(AND($E64&lt;&gt;0,$F64&gt;0,YEAR($F64)&gt;=Preisindex!$A$6,YEAR(CU$4)&gt;=YEAR($F64),$K64="g"),ROUND(VLOOKUP(CZ$4,Preisindex,4,FALSE)/VLOOKUP(YEAR($F64),Preisindex,4,FALSE),2),IF(AND($E64&lt;&gt;0,$F64&gt;0,YEAR($F64)&gt;=Preisindex!$A$6,YEAR(CU$4)&gt;=YEAR($F64),$K64="k"),ROUND(VLOOKUP(CZ$4,Preisindex,2,FALSE)/VLOOKUP(YEAR($F64),Preisindex,2,FALSE),2),0)))))</f>
        <v>0</v>
      </c>
      <c r="DA64" s="56">
        <f>IF(AND($E64&lt;&gt;0,$F64&gt;0,YEAR($F64)&lt;Preisindex!$A$6,YEAR(CU$4)&gt;=YEAR($F64),AND($K64&lt;&gt;"a",$K64&lt;&gt;"b",$K64&lt;&gt;"g",$K64&lt;&gt;"k")),1,IF(AND($E64&lt;&gt;0,$F64&gt;0,YEAR($F64)&lt;Preisindex!$A$6,YEAR(CU$4)&gt;=YEAR($F64),$K64="a"),ROUND(VLOOKUP(CZ$4,Preisindex,5,FALSE)/VLOOKUP(Preisindex!$A$6,Preisindex,5,FALSE),2),IF(AND($E64&lt;&gt;0,$F64&gt;0,YEAR($F64)&lt;Preisindex!$A$6,YEAR(CU$4)&gt;=YEAR($F64),$K64="b"),ROUND(VLOOKUP(CZ$4,Preisindex,3,FALSE)/VLOOKUP(Preisindex!$A$6,Preisindex,3,FALSE),2),IF(AND($E64&lt;&gt;0,$F64&gt;0,YEAR($F64)&lt;Preisindex!$A$6,YEAR(CU$4)&gt;=YEAR($F64),$K64="g"),ROUND(VLOOKUP(CZ$4,Preisindex,4,FALSE)/VLOOKUP(Preisindex!$A$6,Preisindex,4,FALSE),2),IF(AND($E64&lt;&gt;0,$F64&gt;0,YEAR($F64)&lt;Preisindex!$A$6,YEAR(CU$4)&gt;=YEAR($F64),$K64="k"),ROUND(VLOOKUP(CZ$4,Preisindex,2,FALSE)/VLOOKUP(Preisindex!$A$6,Preisindex,2,FALSE),2),0)))))</f>
        <v>0</v>
      </c>
      <c r="DB64" s="51">
        <f>IF(AND($E64&lt;&gt;0,$F64&gt;0,YEAR($F64)&lt;=CZ$4,YEAR($F64)&gt;=Preisindex!$A$6),ROUND($E64*CZ64,2),IF(AND($E64&lt;&gt;0,$F64&gt;0,YEAR($F64)&lt;=CZ$4,YEAR($F64)&lt;Preisindex!$A$6),ROUND($E64*DA64,2),0))</f>
        <v>0</v>
      </c>
      <c r="DC64" s="53">
        <f t="shared" si="199"/>
        <v>0</v>
      </c>
      <c r="DD64" s="51">
        <f t="shared" si="360"/>
        <v>0</v>
      </c>
      <c r="DE64" s="51">
        <f t="shared" si="337"/>
        <v>0</v>
      </c>
      <c r="DF64" s="51">
        <f t="shared" si="202"/>
        <v>0</v>
      </c>
      <c r="DG64" s="51">
        <f t="shared" si="338"/>
        <v>0</v>
      </c>
      <c r="DH64" s="51">
        <f t="shared" si="204"/>
        <v>0</v>
      </c>
      <c r="DI64" s="51">
        <f t="shared" si="339"/>
        <v>0</v>
      </c>
      <c r="DJ64" s="51">
        <f t="shared" si="206"/>
        <v>0</v>
      </c>
      <c r="DK64" s="51">
        <f t="shared" si="340"/>
        <v>0</v>
      </c>
      <c r="DL64" s="51">
        <f t="shared" si="208"/>
        <v>0</v>
      </c>
      <c r="DM64" s="51">
        <f t="shared" si="341"/>
        <v>0</v>
      </c>
      <c r="DN64" s="51">
        <f t="shared" si="210"/>
        <v>0</v>
      </c>
      <c r="DO64" s="54">
        <f t="shared" si="211"/>
        <v>0</v>
      </c>
      <c r="DP64" s="55">
        <f t="shared" si="212"/>
        <v>0</v>
      </c>
      <c r="DQ64" s="56">
        <f>IF(AND($E64&lt;&gt;0,$F64&gt;0,YEAR($F64)&gt;=Preisindex!$A$6,YEAR(DL$4)&gt;=YEAR($F64),AND($K64&lt;&gt;"a",$K64&lt;&gt;"b",$K64&lt;&gt;"g",$K64&lt;&gt;"k")),1,IF(AND($E64&lt;&gt;0,$F64&gt;0,YEAR($F64)&gt;=Preisindex!$A$6,YEAR(DL$4)&gt;=YEAR($F64),$K64="a"),ROUND(VLOOKUP(DQ$4,Preisindex,5,FALSE)/VLOOKUP(YEAR($F64),Preisindex,5,FALSE),2),IF(AND($E64&lt;&gt;0,$F64&gt;0,YEAR($F64)&gt;=Preisindex!$A$6,YEAR(DL$4)&gt;=YEAR($F64),$K64="b"),ROUND(VLOOKUP(DQ$4,Preisindex,3,FALSE)/VLOOKUP(YEAR($F64),Preisindex,3,FALSE),2),IF(AND($E64&lt;&gt;0,$F64&gt;0,YEAR($F64)&gt;=Preisindex!$A$6,YEAR(DL$4)&gt;=YEAR($F64),$K64="g"),ROUND(VLOOKUP(DQ$4,Preisindex,4,FALSE)/VLOOKUP(YEAR($F64),Preisindex,4,FALSE),2),IF(AND($E64&lt;&gt;0,$F64&gt;0,YEAR($F64)&gt;=Preisindex!$A$6,YEAR(DL$4)&gt;=YEAR($F64),$K64="k"),ROUND(VLOOKUP(DQ$4,Preisindex,2,FALSE)/VLOOKUP(YEAR($F64),Preisindex,2,FALSE),2),0)))))</f>
        <v>0</v>
      </c>
      <c r="DR64" s="56">
        <f>IF(AND($E64&lt;&gt;0,$F64&gt;0,YEAR($F64)&lt;Preisindex!$A$6,YEAR(DL$4)&gt;=YEAR($F64),AND($K64&lt;&gt;"a",$K64&lt;&gt;"b",$K64&lt;&gt;"g",$K64&lt;&gt;"k")),1,IF(AND($E64&lt;&gt;0,$F64&gt;0,YEAR($F64)&lt;Preisindex!$A$6,YEAR(DL$4)&gt;=YEAR($F64),$K64="a"),ROUND(VLOOKUP(DQ$4,Preisindex,5,FALSE)/VLOOKUP(Preisindex!$A$6,Preisindex,5,FALSE),2),IF(AND($E64&lt;&gt;0,$F64&gt;0,YEAR($F64)&lt;Preisindex!$A$6,YEAR(DL$4)&gt;=YEAR($F64),$K64="b"),ROUND(VLOOKUP(DQ$4,Preisindex,3,FALSE)/VLOOKUP(Preisindex!$A$6,Preisindex,3,FALSE),2),IF(AND($E64&lt;&gt;0,$F64&gt;0,YEAR($F64)&lt;Preisindex!$A$6,YEAR(DL$4)&gt;=YEAR($F64),$K64="g"),ROUND(VLOOKUP(DQ$4,Preisindex,4,FALSE)/VLOOKUP(Preisindex!$A$6,Preisindex,4,FALSE),2),IF(AND($E64&lt;&gt;0,$F64&gt;0,YEAR($F64)&lt;Preisindex!$A$6,YEAR(DL$4)&gt;=YEAR($F64),$K64="k"),ROUND(VLOOKUP(DQ$4,Preisindex,2,FALSE)/VLOOKUP(Preisindex!$A$6,Preisindex,2,FALSE),2),0)))))</f>
        <v>0</v>
      </c>
      <c r="DS64" s="51">
        <f>IF(AND($E64&lt;&gt;0,$F64&gt;0,YEAR($F64)&lt;=DQ$4,YEAR($F64)&gt;=Preisindex!$A$6),ROUND($E64*DQ64,2),IF(AND($E64&lt;&gt;0,$F64&gt;0,YEAR($F64)&lt;=DQ$4,YEAR($F64)&lt;Preisindex!$A$6),ROUND($E64*DR64,2),0))</f>
        <v>0</v>
      </c>
      <c r="DT64" s="53">
        <f t="shared" si="213"/>
        <v>0</v>
      </c>
      <c r="DU64" s="51">
        <f t="shared" si="360"/>
        <v>0</v>
      </c>
      <c r="DV64" s="51">
        <f t="shared" si="342"/>
        <v>0</v>
      </c>
      <c r="DW64" s="51">
        <f t="shared" si="216"/>
        <v>0</v>
      </c>
      <c r="DX64" s="51">
        <f t="shared" si="343"/>
        <v>0</v>
      </c>
      <c r="DY64" s="51">
        <f t="shared" si="218"/>
        <v>0</v>
      </c>
      <c r="DZ64" s="51">
        <f t="shared" si="344"/>
        <v>0</v>
      </c>
      <c r="EA64" s="51">
        <f t="shared" si="220"/>
        <v>0</v>
      </c>
      <c r="EB64" s="51">
        <f t="shared" si="345"/>
        <v>0</v>
      </c>
      <c r="EC64" s="51">
        <f t="shared" si="222"/>
        <v>0</v>
      </c>
      <c r="ED64" s="51">
        <f t="shared" si="346"/>
        <v>0</v>
      </c>
      <c r="EE64" s="51">
        <f t="shared" si="224"/>
        <v>0</v>
      </c>
      <c r="EF64" s="54">
        <f t="shared" si="225"/>
        <v>0</v>
      </c>
      <c r="EG64" s="55">
        <f t="shared" si="226"/>
        <v>0</v>
      </c>
      <c r="EH64" s="56">
        <f>IF(AND($E64&lt;&gt;0,$F64&gt;0,YEAR($F64)&gt;=Preisindex!$A$6,YEAR(EC$4)&gt;=YEAR($F64),AND($K64&lt;&gt;"a",$K64&lt;&gt;"b",$K64&lt;&gt;"g",$K64&lt;&gt;"k")),1,IF(AND($E64&lt;&gt;0,$F64&gt;0,YEAR($F64)&gt;=Preisindex!$A$6,YEAR(EC$4)&gt;=YEAR($F64),$K64="a"),ROUND(VLOOKUP(EH$4,Preisindex,5,FALSE)/VLOOKUP(YEAR($F64),Preisindex,5,FALSE),2),IF(AND($E64&lt;&gt;0,$F64&gt;0,YEAR($F64)&gt;=Preisindex!$A$6,YEAR(EC$4)&gt;=YEAR($F64),$K64="b"),ROUND(VLOOKUP(EH$4,Preisindex,3,FALSE)/VLOOKUP(YEAR($F64),Preisindex,3,FALSE),2),IF(AND($E64&lt;&gt;0,$F64&gt;0,YEAR($F64)&gt;=Preisindex!$A$6,YEAR(EC$4)&gt;=YEAR($F64),$K64="g"),ROUND(VLOOKUP(EH$4,Preisindex,4,FALSE)/VLOOKUP(YEAR($F64),Preisindex,4,FALSE),2),IF(AND($E64&lt;&gt;0,$F64&gt;0,YEAR($F64)&gt;=Preisindex!$A$6,YEAR(EC$4)&gt;=YEAR($F64),$K64="k"),ROUND(VLOOKUP(EH$4,Preisindex,2,FALSE)/VLOOKUP(YEAR($F64),Preisindex,2,FALSE),2),0)))))</f>
        <v>0</v>
      </c>
      <c r="EI64" s="56">
        <f>IF(AND($E64&lt;&gt;0,$F64&gt;0,YEAR($F64)&lt;Preisindex!$A$6,YEAR(EC$4)&gt;=YEAR($F64),AND($K64&lt;&gt;"a",$K64&lt;&gt;"b",$K64&lt;&gt;"g",$K64&lt;&gt;"k")),1,IF(AND($E64&lt;&gt;0,$F64&gt;0,YEAR($F64)&lt;Preisindex!$A$6,YEAR(EC$4)&gt;=YEAR($F64),$K64="a"),ROUND(VLOOKUP(EH$4,Preisindex,5,FALSE)/VLOOKUP(Preisindex!$A$6,Preisindex,5,FALSE),2),IF(AND($E64&lt;&gt;0,$F64&gt;0,YEAR($F64)&lt;Preisindex!$A$6,YEAR(EC$4)&gt;=YEAR($F64),$K64="b"),ROUND(VLOOKUP(EH$4,Preisindex,3,FALSE)/VLOOKUP(Preisindex!$A$6,Preisindex,3,FALSE),2),IF(AND($E64&lt;&gt;0,$F64&gt;0,YEAR($F64)&lt;Preisindex!$A$6,YEAR(EC$4)&gt;=YEAR($F64),$K64="g"),ROUND(VLOOKUP(EH$4,Preisindex,4,FALSE)/VLOOKUP(Preisindex!$A$6,Preisindex,4,FALSE),2),IF(AND($E64&lt;&gt;0,$F64&gt;0,YEAR($F64)&lt;Preisindex!$A$6,YEAR(EC$4)&gt;=YEAR($F64),$K64="k"),ROUND(VLOOKUP(EH$4,Preisindex,2,FALSE)/VLOOKUP(Preisindex!$A$6,Preisindex,2,FALSE),2),0)))))</f>
        <v>0</v>
      </c>
      <c r="EJ64" s="51">
        <f>IF(AND($E64&lt;&gt;0,$F64&gt;0,YEAR($F64)&lt;=EH$4,YEAR($F64)&gt;=Preisindex!$A$6),ROUND($E64*EH64,2),IF(AND($E64&lt;&gt;0,$F64&gt;0,YEAR($F64)&lt;=EH$4,YEAR($F64)&lt;Preisindex!$A$6),ROUND($E64*EI64,2),0))</f>
        <v>0</v>
      </c>
      <c r="EK64" s="53">
        <f t="shared" si="227"/>
        <v>0</v>
      </c>
      <c r="EL64" s="51">
        <f t="shared" si="360"/>
        <v>0</v>
      </c>
      <c r="EM64" s="51">
        <f t="shared" si="347"/>
        <v>0</v>
      </c>
      <c r="EN64" s="51">
        <f t="shared" si="230"/>
        <v>0</v>
      </c>
      <c r="EO64" s="51">
        <f t="shared" si="348"/>
        <v>0</v>
      </c>
      <c r="EP64" s="51">
        <f t="shared" si="232"/>
        <v>0</v>
      </c>
      <c r="EQ64" s="51">
        <f t="shared" si="349"/>
        <v>0</v>
      </c>
      <c r="ER64" s="51">
        <f t="shared" si="234"/>
        <v>0</v>
      </c>
      <c r="ES64" s="51">
        <f t="shared" si="350"/>
        <v>0</v>
      </c>
      <c r="ET64" s="51">
        <f t="shared" si="236"/>
        <v>0</v>
      </c>
      <c r="EU64" s="51">
        <f t="shared" si="351"/>
        <v>0</v>
      </c>
      <c r="EV64" s="51">
        <f t="shared" si="238"/>
        <v>0</v>
      </c>
      <c r="EW64" s="54">
        <f t="shared" si="239"/>
        <v>0</v>
      </c>
      <c r="EX64" s="55">
        <f t="shared" si="240"/>
        <v>0</v>
      </c>
      <c r="EY64" s="56">
        <f>IF(AND($E64&lt;&gt;0,$F64&gt;0,YEAR($F64)&gt;=Preisindex!$A$6,YEAR(ET$4)&gt;=YEAR($F64),AND($K64&lt;&gt;"a",$K64&lt;&gt;"b",$K64&lt;&gt;"g",$K64&lt;&gt;"k")),1,IF(AND($E64&lt;&gt;0,$F64&gt;0,YEAR($F64)&gt;=Preisindex!$A$6,YEAR(ET$4)&gt;=YEAR($F64),$K64="a"),ROUND(VLOOKUP(EY$4,Preisindex,5,FALSE)/VLOOKUP(YEAR($F64),Preisindex,5,FALSE),2),IF(AND($E64&lt;&gt;0,$F64&gt;0,YEAR($F64)&gt;=Preisindex!$A$6,YEAR(ET$4)&gt;=YEAR($F64),$K64="b"),ROUND(VLOOKUP(EY$4,Preisindex,3,FALSE)/VLOOKUP(YEAR($F64),Preisindex,3,FALSE),2),IF(AND($E64&lt;&gt;0,$F64&gt;0,YEAR($F64)&gt;=Preisindex!$A$6,YEAR(ET$4)&gt;=YEAR($F64),$K64="g"),ROUND(VLOOKUP(EY$4,Preisindex,4,FALSE)/VLOOKUP(YEAR($F64),Preisindex,4,FALSE),2),IF(AND($E64&lt;&gt;0,$F64&gt;0,YEAR($F64)&gt;=Preisindex!$A$6,YEAR(ET$4)&gt;=YEAR($F64),$K64="k"),ROUND(VLOOKUP(EY$4,Preisindex,2,FALSE)/VLOOKUP(YEAR($F64),Preisindex,2,FALSE),2),0)))))</f>
        <v>0</v>
      </c>
      <c r="EZ64" s="56">
        <f>IF(AND($E64&lt;&gt;0,$F64&gt;0,YEAR($F64)&lt;Preisindex!$A$6,YEAR(ET$4)&gt;=YEAR($F64),AND($K64&lt;&gt;"a",$K64&lt;&gt;"b",$K64&lt;&gt;"g",$K64&lt;&gt;"k")),1,IF(AND($E64&lt;&gt;0,$F64&gt;0,YEAR($F64)&lt;Preisindex!$A$6,YEAR(ET$4)&gt;=YEAR($F64),$K64="a"),ROUND(VLOOKUP(EY$4,Preisindex,5,FALSE)/VLOOKUP(Preisindex!$A$6,Preisindex,5,FALSE),2),IF(AND($E64&lt;&gt;0,$F64&gt;0,YEAR($F64)&lt;Preisindex!$A$6,YEAR(ET$4)&gt;=YEAR($F64),$K64="b"),ROUND(VLOOKUP(EY$4,Preisindex,3,FALSE)/VLOOKUP(Preisindex!$A$6,Preisindex,3,FALSE),2),IF(AND($E64&lt;&gt;0,$F64&gt;0,YEAR($F64)&lt;Preisindex!$A$6,YEAR(ET$4)&gt;=YEAR($F64),$K64="g"),ROUND(VLOOKUP(EY$4,Preisindex,4,FALSE)/VLOOKUP(Preisindex!$A$6,Preisindex,4,FALSE),2),IF(AND($E64&lt;&gt;0,$F64&gt;0,YEAR($F64)&lt;Preisindex!$A$6,YEAR(ET$4)&gt;=YEAR($F64),$K64="k"),ROUND(VLOOKUP(EY$4,Preisindex,2,FALSE)/VLOOKUP(Preisindex!$A$6,Preisindex,2,FALSE),2),0)))))</f>
        <v>0</v>
      </c>
      <c r="FA64" s="51">
        <f>IF(AND($E64&lt;&gt;0,$F64&gt;0,YEAR($F64)&lt;=EY$4,YEAR($F64)&gt;=Preisindex!$A$6),ROUND($E64*EY64,2),IF(AND($E64&lt;&gt;0,$F64&gt;0,YEAR($F64)&lt;=EY$4,YEAR($F64)&lt;Preisindex!$A$6),ROUND($E64*EZ64,2),0))</f>
        <v>0</v>
      </c>
      <c r="FB64" s="53">
        <f t="shared" si="241"/>
        <v>0</v>
      </c>
      <c r="FC64" s="51">
        <f t="shared" si="360"/>
        <v>0</v>
      </c>
      <c r="FD64" s="51">
        <f t="shared" si="352"/>
        <v>0</v>
      </c>
      <c r="FE64" s="51">
        <f t="shared" si="244"/>
        <v>0</v>
      </c>
      <c r="FF64" s="51">
        <f t="shared" si="353"/>
        <v>0</v>
      </c>
      <c r="FG64" s="51">
        <f t="shared" si="246"/>
        <v>0</v>
      </c>
      <c r="FH64" s="51">
        <f t="shared" si="354"/>
        <v>0</v>
      </c>
      <c r="FI64" s="51">
        <f t="shared" si="248"/>
        <v>0</v>
      </c>
      <c r="FJ64" s="51">
        <f t="shared" si="355"/>
        <v>0</v>
      </c>
      <c r="FK64" s="51">
        <f t="shared" si="250"/>
        <v>0</v>
      </c>
      <c r="FL64" s="51">
        <f t="shared" si="356"/>
        <v>0</v>
      </c>
      <c r="FM64" s="51">
        <f t="shared" si="252"/>
        <v>0</v>
      </c>
      <c r="FN64" s="54">
        <f t="shared" si="253"/>
        <v>0</v>
      </c>
      <c r="FO64" s="55">
        <f t="shared" si="254"/>
        <v>0</v>
      </c>
      <c r="FP64" s="56">
        <f>IF(AND($E64&lt;&gt;0,$F64&gt;0,YEAR($F64)&gt;=Preisindex!$A$6,YEAR(FK$4)&gt;=YEAR($F64),AND($K64&lt;&gt;"a",$K64&lt;&gt;"b",$K64&lt;&gt;"g",$K64&lt;&gt;"k")),1,IF(AND($E64&lt;&gt;0,$F64&gt;0,YEAR($F64)&gt;=Preisindex!$A$6,YEAR(FK$4)&gt;=YEAR($F64),$K64="a"),ROUND(VLOOKUP(FP$4,Preisindex,5,FALSE)/VLOOKUP(YEAR($F64),Preisindex,5,FALSE),2),IF(AND($E64&lt;&gt;0,$F64&gt;0,YEAR($F64)&gt;=Preisindex!$A$6,YEAR(FK$4)&gt;=YEAR($F64),$K64="b"),ROUND(VLOOKUP(FP$4,Preisindex,3,FALSE)/VLOOKUP(YEAR($F64),Preisindex,3,FALSE),2),IF(AND($E64&lt;&gt;0,$F64&gt;0,YEAR($F64)&gt;=Preisindex!$A$6,YEAR(FK$4)&gt;=YEAR($F64),$K64="g"),ROUND(VLOOKUP(FP$4,Preisindex,4,FALSE)/VLOOKUP(YEAR($F64),Preisindex,4,FALSE),2),IF(AND($E64&lt;&gt;0,$F64&gt;0,YEAR($F64)&gt;=Preisindex!$A$6,YEAR(FK$4)&gt;=YEAR($F64),$K64="k"),ROUND(VLOOKUP(FP$4,Preisindex,2,FALSE)/VLOOKUP(YEAR($F64),Preisindex,2,FALSE),2),0)))))</f>
        <v>0</v>
      </c>
      <c r="FQ64" s="56">
        <f>IF(AND($E64&lt;&gt;0,$F64&gt;0,YEAR($F64)&lt;Preisindex!$A$6,YEAR(FK$4)&gt;=YEAR($F64),AND($K64&lt;&gt;"a",$K64&lt;&gt;"b",$K64&lt;&gt;"g",$K64&lt;&gt;"k")),1,IF(AND($E64&lt;&gt;0,$F64&gt;0,YEAR($F64)&lt;Preisindex!$A$6,YEAR(FK$4)&gt;=YEAR($F64),$K64="a"),ROUND(VLOOKUP(FP$4,Preisindex,5,FALSE)/VLOOKUP(Preisindex!$A$6,Preisindex,5,FALSE),2),IF(AND($E64&lt;&gt;0,$F64&gt;0,YEAR($F64)&lt;Preisindex!$A$6,YEAR(FK$4)&gt;=YEAR($F64),$K64="b"),ROUND(VLOOKUP(FP$4,Preisindex,3,FALSE)/VLOOKUP(Preisindex!$A$6,Preisindex,3,FALSE),2),IF(AND($E64&lt;&gt;0,$F64&gt;0,YEAR($F64)&lt;Preisindex!$A$6,YEAR(FK$4)&gt;=YEAR($F64),$K64="g"),ROUND(VLOOKUP(FP$4,Preisindex,4,FALSE)/VLOOKUP(Preisindex!$A$6,Preisindex,4,FALSE),2),IF(AND($E64&lt;&gt;0,$F64&gt;0,YEAR($F64)&lt;Preisindex!$A$6,YEAR(FK$4)&gt;=YEAR($F64),$K64="k"),ROUND(VLOOKUP(FP$4,Preisindex,2,FALSE)/VLOOKUP(Preisindex!$A$6,Preisindex,2,FALSE),2),0)))))</f>
        <v>0</v>
      </c>
      <c r="FR64" s="51">
        <f>IF(AND($E64&lt;&gt;0,$F64&gt;0,YEAR($F64)&lt;=FP$4,YEAR($F64)&gt;=Preisindex!$A$6),ROUND($E64*FP64,2),IF(AND($E64&lt;&gt;0,$F64&gt;0,YEAR($F64)&lt;=FP$4,YEAR($F64)&lt;Preisindex!$A$6),ROUND($E64*FQ64,2),0))</f>
        <v>0</v>
      </c>
      <c r="FS64" s="53">
        <f t="shared" si="255"/>
        <v>0</v>
      </c>
    </row>
    <row r="65" spans="1:175" x14ac:dyDescent="0.3">
      <c r="A65" s="93"/>
      <c r="B65" s="94" t="s">
        <v>250</v>
      </c>
      <c r="C65" s="94"/>
      <c r="D65" s="95"/>
      <c r="E65" s="99"/>
      <c r="F65" s="97"/>
      <c r="G65" s="98"/>
      <c r="H65" s="620"/>
      <c r="I65" s="621"/>
      <c r="J65" s="194"/>
      <c r="K65" s="630"/>
      <c r="L65" s="49">
        <f t="shared" si="296"/>
        <v>0</v>
      </c>
      <c r="M65" s="50">
        <f t="shared" si="297"/>
        <v>0</v>
      </c>
      <c r="N65" s="51">
        <f t="shared" si="298"/>
        <v>0</v>
      </c>
      <c r="O65" s="51"/>
      <c r="P65" s="51">
        <f t="shared" si="299"/>
        <v>0</v>
      </c>
      <c r="Q65" s="52"/>
      <c r="R65" s="52"/>
      <c r="S65" s="52"/>
      <c r="T65" s="52"/>
      <c r="U65" s="52"/>
      <c r="V65" s="53">
        <f t="shared" si="300"/>
        <v>0</v>
      </c>
      <c r="W65" s="51">
        <f t="shared" si="301"/>
        <v>0</v>
      </c>
      <c r="X65" s="51">
        <f t="shared" si="302"/>
        <v>0</v>
      </c>
      <c r="Y65" s="51">
        <f t="shared" si="303"/>
        <v>0</v>
      </c>
      <c r="Z65" s="51">
        <f t="shared" si="304"/>
        <v>0</v>
      </c>
      <c r="AA65" s="51">
        <f t="shared" si="305"/>
        <v>0</v>
      </c>
      <c r="AB65" s="51">
        <f t="shared" si="306"/>
        <v>0</v>
      </c>
      <c r="AC65" s="51">
        <f t="shared" si="307"/>
        <v>0</v>
      </c>
      <c r="AD65" s="51">
        <f t="shared" si="308"/>
        <v>0</v>
      </c>
      <c r="AE65" s="51">
        <f t="shared" si="309"/>
        <v>0</v>
      </c>
      <c r="AF65" s="51">
        <f t="shared" si="310"/>
        <v>0</v>
      </c>
      <c r="AG65" s="51">
        <f t="shared" si="311"/>
        <v>0</v>
      </c>
      <c r="AH65" s="54">
        <f t="shared" si="312"/>
        <v>0</v>
      </c>
      <c r="AI65" s="55">
        <f t="shared" si="313"/>
        <v>0</v>
      </c>
      <c r="AJ65" s="56">
        <f>IF(AND($E65&lt;&gt;0,$F65&gt;0,YEAR($F65)&gt;=Preisindex!$A$6,YEAR(AE$4)&gt;=YEAR($F65),AND($K65&lt;&gt;"a",$K65&lt;&gt;"b",$K65&lt;&gt;"g",$K65&lt;&gt;"k")),1,IF(AND($E65&lt;&gt;0,$F65&gt;0,YEAR($F65)&gt;=Preisindex!$A$6,YEAR(AE$4)&gt;=YEAR($F65),$K65="a"),ROUND(VLOOKUP(AJ$4,Preisindex,5,FALSE)/VLOOKUP(YEAR($F65),Preisindex,5,FALSE),2),IF(AND($E65&lt;&gt;0,$F65&gt;0,YEAR($F65)&gt;=Preisindex!$A$6,YEAR(AE$4)&gt;=YEAR($F65),$K65="b"),ROUND(VLOOKUP(AJ$4,Preisindex,3,FALSE)/VLOOKUP(YEAR($F65),Preisindex,3,FALSE),2),IF(AND($E65&lt;&gt;0,$F65&gt;0,YEAR($F65)&gt;=Preisindex!$A$6,YEAR(AE$4)&gt;=YEAR($F65),$K65="g"),ROUND(VLOOKUP(AJ$4,Preisindex,4,FALSE)/VLOOKUP(YEAR($F65),Preisindex,4,FALSE),2),IF(AND($E65&lt;&gt;0,$F65&gt;0,YEAR($F65)&gt;=Preisindex!$A$6,YEAR(AE$4)&gt;=YEAR($F65),$K65="k"),ROUND(VLOOKUP(AJ$4,Preisindex,2,FALSE)/VLOOKUP(YEAR($F65),Preisindex,2,FALSE),2),0)))))</f>
        <v>0</v>
      </c>
      <c r="AK65" s="56">
        <f>IF(AND($E65&lt;&gt;0,$F65&gt;0,YEAR($F65)&lt;Preisindex!$A$6,YEAR(AE$4)&gt;=YEAR($F65),AND($K65&lt;&gt;"a",$K65&lt;&gt;"b",$K65&lt;&gt;"g",$K65&lt;&gt;"k")),1,IF(AND($E65&lt;&gt;0,$F65&gt;0,YEAR($F65)&lt;Preisindex!$A$6,YEAR(AE$4)&gt;=YEAR($F65),$K65="a"),ROUND(VLOOKUP(AJ$4,Preisindex,5,FALSE)/VLOOKUP(Preisindex!$A$6,Preisindex,5,FALSE),2),IF(AND($E65&lt;&gt;0,$F65&gt;0,YEAR($F65)&lt;Preisindex!$A$6,YEAR(AE$4)&gt;=YEAR($F65),$K65="b"),ROUND(VLOOKUP(AJ$4,Preisindex,3,FALSE)/VLOOKUP(Preisindex!$A$6,Preisindex,3,FALSE),2),IF(AND($E65&lt;&gt;0,$F65&gt;0,YEAR($F65)&lt;Preisindex!$A$6,YEAR(AE$4)&gt;=YEAR($F65),$K65="g"),ROUND(VLOOKUP(AJ$4,Preisindex,4,FALSE)/VLOOKUP(Preisindex!$A$6,Preisindex,4,FALSE),2),IF(AND($E65&lt;&gt;0,$F65&gt;0,YEAR($F65)&lt;Preisindex!$A$6,YEAR(AE$4)&gt;=YEAR($F65),$K65="k"),ROUND(VLOOKUP(AJ$4,Preisindex,2,FALSE)/VLOOKUP(Preisindex!$A$6,Preisindex,2,FALSE),2),0)))))</f>
        <v>0</v>
      </c>
      <c r="AL65" s="51">
        <f>IF(AND($E65&lt;&gt;0,$F65&gt;0,YEAR($F65)&lt;=AJ$4,YEAR($F65)&gt;=Preisindex!$A$6),ROUND($E65*AJ65,2),IF(AND($E65&lt;&gt;0,$F65&gt;0,YEAR($F65)&lt;=AJ$4,YEAR($F65)&lt;Preisindex!$A$6),ROUND($E65*AK65,2),0))</f>
        <v>0</v>
      </c>
      <c r="AM65" s="53">
        <f t="shared" si="314"/>
        <v>0</v>
      </c>
      <c r="AN65" s="51">
        <f t="shared" si="359"/>
        <v>0</v>
      </c>
      <c r="AO65" s="51">
        <f t="shared" si="317"/>
        <v>0</v>
      </c>
      <c r="AP65" s="51">
        <f t="shared" si="146"/>
        <v>0</v>
      </c>
      <c r="AQ65" s="51">
        <f t="shared" si="318"/>
        <v>0</v>
      </c>
      <c r="AR65" s="51">
        <f t="shared" si="148"/>
        <v>0</v>
      </c>
      <c r="AS65" s="51">
        <f t="shared" si="319"/>
        <v>0</v>
      </c>
      <c r="AT65" s="51">
        <f t="shared" si="150"/>
        <v>0</v>
      </c>
      <c r="AU65" s="51">
        <f t="shared" si="320"/>
        <v>0</v>
      </c>
      <c r="AV65" s="51">
        <f t="shared" si="152"/>
        <v>0</v>
      </c>
      <c r="AW65" s="51">
        <f t="shared" si="321"/>
        <v>0</v>
      </c>
      <c r="AX65" s="51">
        <f t="shared" si="154"/>
        <v>0</v>
      </c>
      <c r="AY65" s="54">
        <f t="shared" si="155"/>
        <v>0</v>
      </c>
      <c r="AZ65" s="55">
        <f t="shared" si="156"/>
        <v>0</v>
      </c>
      <c r="BA65" s="56">
        <f>IF(AND($E65&lt;&gt;0,$F65&gt;0,YEAR($F65)&gt;=Preisindex!$A$6,YEAR(AV$4)&gt;=YEAR($F65),AND($K65&lt;&gt;"a",$K65&lt;&gt;"b",$K65&lt;&gt;"g",$K65&lt;&gt;"k")),1,IF(AND($E65&lt;&gt;0,$F65&gt;0,YEAR($F65)&gt;=Preisindex!$A$6,YEAR(AV$4)&gt;=YEAR($F65),$K65="a"),ROUND(VLOOKUP(BA$4,Preisindex,5,FALSE)/VLOOKUP(YEAR($F65),Preisindex,5,FALSE),2),IF(AND($E65&lt;&gt;0,$F65&gt;0,YEAR($F65)&gt;=Preisindex!$A$6,YEAR(AV$4)&gt;=YEAR($F65),$K65="b"),ROUND(VLOOKUP(BA$4,Preisindex,3,FALSE)/VLOOKUP(YEAR($F65),Preisindex,3,FALSE),2),IF(AND($E65&lt;&gt;0,$F65&gt;0,YEAR($F65)&gt;=Preisindex!$A$6,YEAR(AV$4)&gt;=YEAR($F65),$K65="g"),ROUND(VLOOKUP(BA$4,Preisindex,4,FALSE)/VLOOKUP(YEAR($F65),Preisindex,4,FALSE),2),IF(AND($E65&lt;&gt;0,$F65&gt;0,YEAR($F65)&gt;=Preisindex!$A$6,YEAR(AV$4)&gt;=YEAR($F65),$K65="k"),ROUND(VLOOKUP(BA$4,Preisindex,2,FALSE)/VLOOKUP(YEAR($F65),Preisindex,2,FALSE),2),0)))))</f>
        <v>0</v>
      </c>
      <c r="BB65" s="56">
        <f>IF(AND($E65&lt;&gt;0,$F65&gt;0,YEAR($F65)&lt;Preisindex!$A$6,YEAR(AV$4)&gt;=YEAR($F65),AND($K65&lt;&gt;"a",$K65&lt;&gt;"b",$K65&lt;&gt;"g",$K65&lt;&gt;"k")),1,IF(AND($E65&lt;&gt;0,$F65&gt;0,YEAR($F65)&lt;Preisindex!$A$6,YEAR(AV$4)&gt;=YEAR($F65),$K65="a"),ROUND(VLOOKUP(BA$4,Preisindex,5,FALSE)/VLOOKUP(Preisindex!$A$6,Preisindex,5,FALSE),2),IF(AND($E65&lt;&gt;0,$F65&gt;0,YEAR($F65)&lt;Preisindex!$A$6,YEAR(AV$4)&gt;=YEAR($F65),$K65="b"),ROUND(VLOOKUP(BA$4,Preisindex,3,FALSE)/VLOOKUP(Preisindex!$A$6,Preisindex,3,FALSE),2),IF(AND($E65&lt;&gt;0,$F65&gt;0,YEAR($F65)&lt;Preisindex!$A$6,YEAR(AV$4)&gt;=YEAR($F65),$K65="g"),ROUND(VLOOKUP(BA$4,Preisindex,4,FALSE)/VLOOKUP(Preisindex!$A$6,Preisindex,4,FALSE),2),IF(AND($E65&lt;&gt;0,$F65&gt;0,YEAR($F65)&lt;Preisindex!$A$6,YEAR(AV$4)&gt;=YEAR($F65),$K65="k"),ROUND(VLOOKUP(BA$4,Preisindex,2,FALSE)/VLOOKUP(Preisindex!$A$6,Preisindex,2,FALSE),2),0)))))</f>
        <v>0</v>
      </c>
      <c r="BC65" s="51">
        <f>IF(AND($E65&lt;&gt;0,$F65&gt;0,YEAR($F65)&lt;=BA$4,YEAR($F65)&gt;=Preisindex!$A$6),ROUND($E65*BA65,2),IF(AND($E65&lt;&gt;0,$F65&gt;0,YEAR($F65)&lt;=BA$4,YEAR($F65)&lt;Preisindex!$A$6),ROUND($E65*BB65,2),0))</f>
        <v>0</v>
      </c>
      <c r="BD65" s="53">
        <f t="shared" si="157"/>
        <v>0</v>
      </c>
      <c r="BE65" s="51">
        <f t="shared" si="359"/>
        <v>0</v>
      </c>
      <c r="BF65" s="51">
        <f t="shared" si="322"/>
        <v>0</v>
      </c>
      <c r="BG65" s="51">
        <f t="shared" si="160"/>
        <v>0</v>
      </c>
      <c r="BH65" s="51">
        <f t="shared" si="323"/>
        <v>0</v>
      </c>
      <c r="BI65" s="51">
        <f t="shared" si="162"/>
        <v>0</v>
      </c>
      <c r="BJ65" s="51">
        <f t="shared" si="324"/>
        <v>0</v>
      </c>
      <c r="BK65" s="51">
        <f t="shared" si="164"/>
        <v>0</v>
      </c>
      <c r="BL65" s="51">
        <f t="shared" si="325"/>
        <v>0</v>
      </c>
      <c r="BM65" s="51">
        <f t="shared" si="166"/>
        <v>0</v>
      </c>
      <c r="BN65" s="51">
        <f t="shared" si="326"/>
        <v>0</v>
      </c>
      <c r="BO65" s="51">
        <f t="shared" si="168"/>
        <v>0</v>
      </c>
      <c r="BP65" s="54">
        <f t="shared" si="169"/>
        <v>0</v>
      </c>
      <c r="BQ65" s="55">
        <f t="shared" si="170"/>
        <v>0</v>
      </c>
      <c r="BR65" s="56">
        <f>IF(AND($E65&lt;&gt;0,$F65&gt;0,YEAR($F65)&gt;=Preisindex!$A$6,YEAR(BM$4)&gt;=YEAR($F65),AND($K65&lt;&gt;"a",$K65&lt;&gt;"b",$K65&lt;&gt;"g",$K65&lt;&gt;"k")),1,IF(AND($E65&lt;&gt;0,$F65&gt;0,YEAR($F65)&gt;=Preisindex!$A$6,YEAR(BM$4)&gt;=YEAR($F65),$K65="a"),ROUND(VLOOKUP(BR$4,Preisindex,5,FALSE)/VLOOKUP(YEAR($F65),Preisindex,5,FALSE),2),IF(AND($E65&lt;&gt;0,$F65&gt;0,YEAR($F65)&gt;=Preisindex!$A$6,YEAR(BM$4)&gt;=YEAR($F65),$K65="b"),ROUND(VLOOKUP(BR$4,Preisindex,3,FALSE)/VLOOKUP(YEAR($F65),Preisindex,3,FALSE),2),IF(AND($E65&lt;&gt;0,$F65&gt;0,YEAR($F65)&gt;=Preisindex!$A$6,YEAR(BM$4)&gt;=YEAR($F65),$K65="g"),ROUND(VLOOKUP(BR$4,Preisindex,4,FALSE)/VLOOKUP(YEAR($F65),Preisindex,4,FALSE),2),IF(AND($E65&lt;&gt;0,$F65&gt;0,YEAR($F65)&gt;=Preisindex!$A$6,YEAR(BM$4)&gt;=YEAR($F65),$K65="k"),ROUND(VLOOKUP(BR$4,Preisindex,2,FALSE)/VLOOKUP(YEAR($F65),Preisindex,2,FALSE),2),0)))))</f>
        <v>0</v>
      </c>
      <c r="BS65" s="56">
        <f>IF(AND($E65&lt;&gt;0,$F65&gt;0,YEAR($F65)&lt;Preisindex!$A$6,YEAR(BM$4)&gt;=YEAR($F65),AND($K65&lt;&gt;"a",$K65&lt;&gt;"b",$K65&lt;&gt;"g",$K65&lt;&gt;"k")),1,IF(AND($E65&lt;&gt;0,$F65&gt;0,YEAR($F65)&lt;Preisindex!$A$6,YEAR(BM$4)&gt;=YEAR($F65),$K65="a"),ROUND(VLOOKUP(BR$4,Preisindex,5,FALSE)/VLOOKUP(Preisindex!$A$6,Preisindex,5,FALSE),2),IF(AND($E65&lt;&gt;0,$F65&gt;0,YEAR($F65)&lt;Preisindex!$A$6,YEAR(BM$4)&gt;=YEAR($F65),$K65="b"),ROUND(VLOOKUP(BR$4,Preisindex,3,FALSE)/VLOOKUP(Preisindex!$A$6,Preisindex,3,FALSE),2),IF(AND($E65&lt;&gt;0,$F65&gt;0,YEAR($F65)&lt;Preisindex!$A$6,YEAR(BM$4)&gt;=YEAR($F65),$K65="g"),ROUND(VLOOKUP(BR$4,Preisindex,4,FALSE)/VLOOKUP(Preisindex!$A$6,Preisindex,4,FALSE),2),IF(AND($E65&lt;&gt;0,$F65&gt;0,YEAR($F65)&lt;Preisindex!$A$6,YEAR(BM$4)&gt;=YEAR($F65),$K65="k"),ROUND(VLOOKUP(BR$4,Preisindex,2,FALSE)/VLOOKUP(Preisindex!$A$6,Preisindex,2,FALSE),2),0)))))</f>
        <v>0</v>
      </c>
      <c r="BT65" s="51">
        <f>IF(AND($E65&lt;&gt;0,$F65&gt;0,YEAR($F65)&lt;=BR$4,YEAR($F65)&gt;=Preisindex!$A$6),ROUND($E65*BR65,2),IF(AND($E65&lt;&gt;0,$F65&gt;0,YEAR($F65)&lt;=BR$4,YEAR($F65)&lt;Preisindex!$A$6),ROUND($E65*BS65,2),0))</f>
        <v>0</v>
      </c>
      <c r="BU65" s="53">
        <f t="shared" si="171"/>
        <v>0</v>
      </c>
      <c r="BV65" s="51">
        <f t="shared" si="359"/>
        <v>0</v>
      </c>
      <c r="BW65" s="51">
        <f t="shared" si="327"/>
        <v>0</v>
      </c>
      <c r="BX65" s="51">
        <f t="shared" si="174"/>
        <v>0</v>
      </c>
      <c r="BY65" s="51">
        <f t="shared" si="328"/>
        <v>0</v>
      </c>
      <c r="BZ65" s="51">
        <f t="shared" si="176"/>
        <v>0</v>
      </c>
      <c r="CA65" s="51">
        <f t="shared" si="329"/>
        <v>0</v>
      </c>
      <c r="CB65" s="51">
        <f t="shared" si="178"/>
        <v>0</v>
      </c>
      <c r="CC65" s="51">
        <f t="shared" si="330"/>
        <v>0</v>
      </c>
      <c r="CD65" s="51">
        <f t="shared" si="180"/>
        <v>0</v>
      </c>
      <c r="CE65" s="51">
        <f t="shared" si="331"/>
        <v>0</v>
      </c>
      <c r="CF65" s="51">
        <f t="shared" si="182"/>
        <v>0</v>
      </c>
      <c r="CG65" s="54">
        <f t="shared" si="183"/>
        <v>0</v>
      </c>
      <c r="CH65" s="55">
        <f t="shared" si="184"/>
        <v>0</v>
      </c>
      <c r="CI65" s="56">
        <f>IF(AND($E65&lt;&gt;0,$F65&gt;0,YEAR($F65)&gt;=Preisindex!$A$6,YEAR(CD$4)&gt;=YEAR($F65),AND($K65&lt;&gt;"a",$K65&lt;&gt;"b",$K65&lt;&gt;"g",$K65&lt;&gt;"k")),1,IF(AND($E65&lt;&gt;0,$F65&gt;0,YEAR($F65)&gt;=Preisindex!$A$6,YEAR(CD$4)&gt;=YEAR($F65),$K65="a"),ROUND(VLOOKUP(CI$4,Preisindex,5,FALSE)/VLOOKUP(YEAR($F65),Preisindex,5,FALSE),2),IF(AND($E65&lt;&gt;0,$F65&gt;0,YEAR($F65)&gt;=Preisindex!$A$6,YEAR(CD$4)&gt;=YEAR($F65),$K65="b"),ROUND(VLOOKUP(CI$4,Preisindex,3,FALSE)/VLOOKUP(YEAR($F65),Preisindex,3,FALSE),2),IF(AND($E65&lt;&gt;0,$F65&gt;0,YEAR($F65)&gt;=Preisindex!$A$6,YEAR(CD$4)&gt;=YEAR($F65),$K65="g"),ROUND(VLOOKUP(CI$4,Preisindex,4,FALSE)/VLOOKUP(YEAR($F65),Preisindex,4,FALSE),2),IF(AND($E65&lt;&gt;0,$F65&gt;0,YEAR($F65)&gt;=Preisindex!$A$6,YEAR(CD$4)&gt;=YEAR($F65),$K65="k"),ROUND(VLOOKUP(CI$4,Preisindex,2,FALSE)/VLOOKUP(YEAR($F65),Preisindex,2,FALSE),2),0)))))</f>
        <v>0</v>
      </c>
      <c r="CJ65" s="56">
        <f>IF(AND($E65&lt;&gt;0,$F65&gt;0,YEAR($F65)&lt;Preisindex!$A$6,YEAR(CD$4)&gt;=YEAR($F65),AND($K65&lt;&gt;"a",$K65&lt;&gt;"b",$K65&lt;&gt;"g",$K65&lt;&gt;"k")),1,IF(AND($E65&lt;&gt;0,$F65&gt;0,YEAR($F65)&lt;Preisindex!$A$6,YEAR(CD$4)&gt;=YEAR($F65),$K65="a"),ROUND(VLOOKUP(CI$4,Preisindex,5,FALSE)/VLOOKUP(Preisindex!$A$6,Preisindex,5,FALSE),2),IF(AND($E65&lt;&gt;0,$F65&gt;0,YEAR($F65)&lt;Preisindex!$A$6,YEAR(CD$4)&gt;=YEAR($F65),$K65="b"),ROUND(VLOOKUP(CI$4,Preisindex,3,FALSE)/VLOOKUP(Preisindex!$A$6,Preisindex,3,FALSE),2),IF(AND($E65&lt;&gt;0,$F65&gt;0,YEAR($F65)&lt;Preisindex!$A$6,YEAR(CD$4)&gt;=YEAR($F65),$K65="g"),ROUND(VLOOKUP(CI$4,Preisindex,4,FALSE)/VLOOKUP(Preisindex!$A$6,Preisindex,4,FALSE),2),IF(AND($E65&lt;&gt;0,$F65&gt;0,YEAR($F65)&lt;Preisindex!$A$6,YEAR(CD$4)&gt;=YEAR($F65),$K65="k"),ROUND(VLOOKUP(CI$4,Preisindex,2,FALSE)/VLOOKUP(Preisindex!$A$6,Preisindex,2,FALSE),2),0)))))</f>
        <v>0</v>
      </c>
      <c r="CK65" s="51">
        <f>IF(AND($E65&lt;&gt;0,$F65&gt;0,YEAR($F65)&lt;=CI$4,YEAR($F65)&gt;=Preisindex!$A$6),ROUND($E65*CI65,2),IF(AND($E65&lt;&gt;0,$F65&gt;0,YEAR($F65)&lt;=CI$4,YEAR($F65)&lt;Preisindex!$A$6),ROUND($E65*CJ65,2),0))</f>
        <v>0</v>
      </c>
      <c r="CL65" s="53">
        <f t="shared" si="185"/>
        <v>0</v>
      </c>
      <c r="CM65" s="51">
        <f t="shared" si="359"/>
        <v>0</v>
      </c>
      <c r="CN65" s="51">
        <f t="shared" si="332"/>
        <v>0</v>
      </c>
      <c r="CO65" s="51">
        <f t="shared" si="188"/>
        <v>0</v>
      </c>
      <c r="CP65" s="51">
        <f t="shared" si="333"/>
        <v>0</v>
      </c>
      <c r="CQ65" s="51">
        <f t="shared" si="190"/>
        <v>0</v>
      </c>
      <c r="CR65" s="51">
        <f t="shared" si="334"/>
        <v>0</v>
      </c>
      <c r="CS65" s="51">
        <f t="shared" si="192"/>
        <v>0</v>
      </c>
      <c r="CT65" s="51">
        <f t="shared" si="335"/>
        <v>0</v>
      </c>
      <c r="CU65" s="51">
        <f t="shared" si="194"/>
        <v>0</v>
      </c>
      <c r="CV65" s="51">
        <f t="shared" si="336"/>
        <v>0</v>
      </c>
      <c r="CW65" s="51">
        <f t="shared" si="196"/>
        <v>0</v>
      </c>
      <c r="CX65" s="54">
        <f t="shared" si="197"/>
        <v>0</v>
      </c>
      <c r="CY65" s="55">
        <f t="shared" si="198"/>
        <v>0</v>
      </c>
      <c r="CZ65" s="56">
        <f>IF(AND($E65&lt;&gt;0,$F65&gt;0,YEAR($F65)&gt;=Preisindex!$A$6,YEAR(CU$4)&gt;=YEAR($F65),AND($K65&lt;&gt;"a",$K65&lt;&gt;"b",$K65&lt;&gt;"g",$K65&lt;&gt;"k")),1,IF(AND($E65&lt;&gt;0,$F65&gt;0,YEAR($F65)&gt;=Preisindex!$A$6,YEAR(CU$4)&gt;=YEAR($F65),$K65="a"),ROUND(VLOOKUP(CZ$4,Preisindex,5,FALSE)/VLOOKUP(YEAR($F65),Preisindex,5,FALSE),2),IF(AND($E65&lt;&gt;0,$F65&gt;0,YEAR($F65)&gt;=Preisindex!$A$6,YEAR(CU$4)&gt;=YEAR($F65),$K65="b"),ROUND(VLOOKUP(CZ$4,Preisindex,3,FALSE)/VLOOKUP(YEAR($F65),Preisindex,3,FALSE),2),IF(AND($E65&lt;&gt;0,$F65&gt;0,YEAR($F65)&gt;=Preisindex!$A$6,YEAR(CU$4)&gt;=YEAR($F65),$K65="g"),ROUND(VLOOKUP(CZ$4,Preisindex,4,FALSE)/VLOOKUP(YEAR($F65),Preisindex,4,FALSE),2),IF(AND($E65&lt;&gt;0,$F65&gt;0,YEAR($F65)&gt;=Preisindex!$A$6,YEAR(CU$4)&gt;=YEAR($F65),$K65="k"),ROUND(VLOOKUP(CZ$4,Preisindex,2,FALSE)/VLOOKUP(YEAR($F65),Preisindex,2,FALSE),2),0)))))</f>
        <v>0</v>
      </c>
      <c r="DA65" s="56">
        <f>IF(AND($E65&lt;&gt;0,$F65&gt;0,YEAR($F65)&lt;Preisindex!$A$6,YEAR(CU$4)&gt;=YEAR($F65),AND($K65&lt;&gt;"a",$K65&lt;&gt;"b",$K65&lt;&gt;"g",$K65&lt;&gt;"k")),1,IF(AND($E65&lt;&gt;0,$F65&gt;0,YEAR($F65)&lt;Preisindex!$A$6,YEAR(CU$4)&gt;=YEAR($F65),$K65="a"),ROUND(VLOOKUP(CZ$4,Preisindex,5,FALSE)/VLOOKUP(Preisindex!$A$6,Preisindex,5,FALSE),2),IF(AND($E65&lt;&gt;0,$F65&gt;0,YEAR($F65)&lt;Preisindex!$A$6,YEAR(CU$4)&gt;=YEAR($F65),$K65="b"),ROUND(VLOOKUP(CZ$4,Preisindex,3,FALSE)/VLOOKUP(Preisindex!$A$6,Preisindex,3,FALSE),2),IF(AND($E65&lt;&gt;0,$F65&gt;0,YEAR($F65)&lt;Preisindex!$A$6,YEAR(CU$4)&gt;=YEAR($F65),$K65="g"),ROUND(VLOOKUP(CZ$4,Preisindex,4,FALSE)/VLOOKUP(Preisindex!$A$6,Preisindex,4,FALSE),2),IF(AND($E65&lt;&gt;0,$F65&gt;0,YEAR($F65)&lt;Preisindex!$A$6,YEAR(CU$4)&gt;=YEAR($F65),$K65="k"),ROUND(VLOOKUP(CZ$4,Preisindex,2,FALSE)/VLOOKUP(Preisindex!$A$6,Preisindex,2,FALSE),2),0)))))</f>
        <v>0</v>
      </c>
      <c r="DB65" s="51">
        <f>IF(AND($E65&lt;&gt;0,$F65&gt;0,YEAR($F65)&lt;=CZ$4,YEAR($F65)&gt;=Preisindex!$A$6),ROUND($E65*CZ65,2),IF(AND($E65&lt;&gt;0,$F65&gt;0,YEAR($F65)&lt;=CZ$4,YEAR($F65)&lt;Preisindex!$A$6),ROUND($E65*DA65,2),0))</f>
        <v>0</v>
      </c>
      <c r="DC65" s="53">
        <f t="shared" si="199"/>
        <v>0</v>
      </c>
      <c r="DD65" s="51">
        <f t="shared" si="360"/>
        <v>0</v>
      </c>
      <c r="DE65" s="51">
        <f t="shared" si="337"/>
        <v>0</v>
      </c>
      <c r="DF65" s="51">
        <f t="shared" si="202"/>
        <v>0</v>
      </c>
      <c r="DG65" s="51">
        <f t="shared" si="338"/>
        <v>0</v>
      </c>
      <c r="DH65" s="51">
        <f t="shared" si="204"/>
        <v>0</v>
      </c>
      <c r="DI65" s="51">
        <f t="shared" si="339"/>
        <v>0</v>
      </c>
      <c r="DJ65" s="51">
        <f t="shared" si="206"/>
        <v>0</v>
      </c>
      <c r="DK65" s="51">
        <f t="shared" si="340"/>
        <v>0</v>
      </c>
      <c r="DL65" s="51">
        <f t="shared" si="208"/>
        <v>0</v>
      </c>
      <c r="DM65" s="51">
        <f t="shared" si="341"/>
        <v>0</v>
      </c>
      <c r="DN65" s="51">
        <f t="shared" si="210"/>
        <v>0</v>
      </c>
      <c r="DO65" s="54">
        <f t="shared" si="211"/>
        <v>0</v>
      </c>
      <c r="DP65" s="55">
        <f t="shared" si="212"/>
        <v>0</v>
      </c>
      <c r="DQ65" s="56">
        <f>IF(AND($E65&lt;&gt;0,$F65&gt;0,YEAR($F65)&gt;=Preisindex!$A$6,YEAR(DL$4)&gt;=YEAR($F65),AND($K65&lt;&gt;"a",$K65&lt;&gt;"b",$K65&lt;&gt;"g",$K65&lt;&gt;"k")),1,IF(AND($E65&lt;&gt;0,$F65&gt;0,YEAR($F65)&gt;=Preisindex!$A$6,YEAR(DL$4)&gt;=YEAR($F65),$K65="a"),ROUND(VLOOKUP(DQ$4,Preisindex,5,FALSE)/VLOOKUP(YEAR($F65),Preisindex,5,FALSE),2),IF(AND($E65&lt;&gt;0,$F65&gt;0,YEAR($F65)&gt;=Preisindex!$A$6,YEAR(DL$4)&gt;=YEAR($F65),$K65="b"),ROUND(VLOOKUP(DQ$4,Preisindex,3,FALSE)/VLOOKUP(YEAR($F65),Preisindex,3,FALSE),2),IF(AND($E65&lt;&gt;0,$F65&gt;0,YEAR($F65)&gt;=Preisindex!$A$6,YEAR(DL$4)&gt;=YEAR($F65),$K65="g"),ROUND(VLOOKUP(DQ$4,Preisindex,4,FALSE)/VLOOKUP(YEAR($F65),Preisindex,4,FALSE),2),IF(AND($E65&lt;&gt;0,$F65&gt;0,YEAR($F65)&gt;=Preisindex!$A$6,YEAR(DL$4)&gt;=YEAR($F65),$K65="k"),ROUND(VLOOKUP(DQ$4,Preisindex,2,FALSE)/VLOOKUP(YEAR($F65),Preisindex,2,FALSE),2),0)))))</f>
        <v>0</v>
      </c>
      <c r="DR65" s="56">
        <f>IF(AND($E65&lt;&gt;0,$F65&gt;0,YEAR($F65)&lt;Preisindex!$A$6,YEAR(DL$4)&gt;=YEAR($F65),AND($K65&lt;&gt;"a",$K65&lt;&gt;"b",$K65&lt;&gt;"g",$K65&lt;&gt;"k")),1,IF(AND($E65&lt;&gt;0,$F65&gt;0,YEAR($F65)&lt;Preisindex!$A$6,YEAR(DL$4)&gt;=YEAR($F65),$K65="a"),ROUND(VLOOKUP(DQ$4,Preisindex,5,FALSE)/VLOOKUP(Preisindex!$A$6,Preisindex,5,FALSE),2),IF(AND($E65&lt;&gt;0,$F65&gt;0,YEAR($F65)&lt;Preisindex!$A$6,YEAR(DL$4)&gt;=YEAR($F65),$K65="b"),ROUND(VLOOKUP(DQ$4,Preisindex,3,FALSE)/VLOOKUP(Preisindex!$A$6,Preisindex,3,FALSE),2),IF(AND($E65&lt;&gt;0,$F65&gt;0,YEAR($F65)&lt;Preisindex!$A$6,YEAR(DL$4)&gt;=YEAR($F65),$K65="g"),ROUND(VLOOKUP(DQ$4,Preisindex,4,FALSE)/VLOOKUP(Preisindex!$A$6,Preisindex,4,FALSE),2),IF(AND($E65&lt;&gt;0,$F65&gt;0,YEAR($F65)&lt;Preisindex!$A$6,YEAR(DL$4)&gt;=YEAR($F65),$K65="k"),ROUND(VLOOKUP(DQ$4,Preisindex,2,FALSE)/VLOOKUP(Preisindex!$A$6,Preisindex,2,FALSE),2),0)))))</f>
        <v>0</v>
      </c>
      <c r="DS65" s="51">
        <f>IF(AND($E65&lt;&gt;0,$F65&gt;0,YEAR($F65)&lt;=DQ$4,YEAR($F65)&gt;=Preisindex!$A$6),ROUND($E65*DQ65,2),IF(AND($E65&lt;&gt;0,$F65&gt;0,YEAR($F65)&lt;=DQ$4,YEAR($F65)&lt;Preisindex!$A$6),ROUND($E65*DR65,2),0))</f>
        <v>0</v>
      </c>
      <c r="DT65" s="53">
        <f t="shared" si="213"/>
        <v>0</v>
      </c>
      <c r="DU65" s="51">
        <f t="shared" si="360"/>
        <v>0</v>
      </c>
      <c r="DV65" s="51">
        <f t="shared" si="342"/>
        <v>0</v>
      </c>
      <c r="DW65" s="51">
        <f t="shared" si="216"/>
        <v>0</v>
      </c>
      <c r="DX65" s="51">
        <f t="shared" si="343"/>
        <v>0</v>
      </c>
      <c r="DY65" s="51">
        <f t="shared" si="218"/>
        <v>0</v>
      </c>
      <c r="DZ65" s="51">
        <f t="shared" si="344"/>
        <v>0</v>
      </c>
      <c r="EA65" s="51">
        <f t="shared" si="220"/>
        <v>0</v>
      </c>
      <c r="EB65" s="51">
        <f t="shared" si="345"/>
        <v>0</v>
      </c>
      <c r="EC65" s="51">
        <f t="shared" si="222"/>
        <v>0</v>
      </c>
      <c r="ED65" s="51">
        <f t="shared" si="346"/>
        <v>0</v>
      </c>
      <c r="EE65" s="51">
        <f t="shared" si="224"/>
        <v>0</v>
      </c>
      <c r="EF65" s="54">
        <f t="shared" si="225"/>
        <v>0</v>
      </c>
      <c r="EG65" s="55">
        <f t="shared" si="226"/>
        <v>0</v>
      </c>
      <c r="EH65" s="56">
        <f>IF(AND($E65&lt;&gt;0,$F65&gt;0,YEAR($F65)&gt;=Preisindex!$A$6,YEAR(EC$4)&gt;=YEAR($F65),AND($K65&lt;&gt;"a",$K65&lt;&gt;"b",$K65&lt;&gt;"g",$K65&lt;&gt;"k")),1,IF(AND($E65&lt;&gt;0,$F65&gt;0,YEAR($F65)&gt;=Preisindex!$A$6,YEAR(EC$4)&gt;=YEAR($F65),$K65="a"),ROUND(VLOOKUP(EH$4,Preisindex,5,FALSE)/VLOOKUP(YEAR($F65),Preisindex,5,FALSE),2),IF(AND($E65&lt;&gt;0,$F65&gt;0,YEAR($F65)&gt;=Preisindex!$A$6,YEAR(EC$4)&gt;=YEAR($F65),$K65="b"),ROUND(VLOOKUP(EH$4,Preisindex,3,FALSE)/VLOOKUP(YEAR($F65),Preisindex,3,FALSE),2),IF(AND($E65&lt;&gt;0,$F65&gt;0,YEAR($F65)&gt;=Preisindex!$A$6,YEAR(EC$4)&gt;=YEAR($F65),$K65="g"),ROUND(VLOOKUP(EH$4,Preisindex,4,FALSE)/VLOOKUP(YEAR($F65),Preisindex,4,FALSE),2),IF(AND($E65&lt;&gt;0,$F65&gt;0,YEAR($F65)&gt;=Preisindex!$A$6,YEAR(EC$4)&gt;=YEAR($F65),$K65="k"),ROUND(VLOOKUP(EH$4,Preisindex,2,FALSE)/VLOOKUP(YEAR($F65),Preisindex,2,FALSE),2),0)))))</f>
        <v>0</v>
      </c>
      <c r="EI65" s="56">
        <f>IF(AND($E65&lt;&gt;0,$F65&gt;0,YEAR($F65)&lt;Preisindex!$A$6,YEAR(EC$4)&gt;=YEAR($F65),AND($K65&lt;&gt;"a",$K65&lt;&gt;"b",$K65&lt;&gt;"g",$K65&lt;&gt;"k")),1,IF(AND($E65&lt;&gt;0,$F65&gt;0,YEAR($F65)&lt;Preisindex!$A$6,YEAR(EC$4)&gt;=YEAR($F65),$K65="a"),ROUND(VLOOKUP(EH$4,Preisindex,5,FALSE)/VLOOKUP(Preisindex!$A$6,Preisindex,5,FALSE),2),IF(AND($E65&lt;&gt;0,$F65&gt;0,YEAR($F65)&lt;Preisindex!$A$6,YEAR(EC$4)&gt;=YEAR($F65),$K65="b"),ROUND(VLOOKUP(EH$4,Preisindex,3,FALSE)/VLOOKUP(Preisindex!$A$6,Preisindex,3,FALSE),2),IF(AND($E65&lt;&gt;0,$F65&gt;0,YEAR($F65)&lt;Preisindex!$A$6,YEAR(EC$4)&gt;=YEAR($F65),$K65="g"),ROUND(VLOOKUP(EH$4,Preisindex,4,FALSE)/VLOOKUP(Preisindex!$A$6,Preisindex,4,FALSE),2),IF(AND($E65&lt;&gt;0,$F65&gt;0,YEAR($F65)&lt;Preisindex!$A$6,YEAR(EC$4)&gt;=YEAR($F65),$K65="k"),ROUND(VLOOKUP(EH$4,Preisindex,2,FALSE)/VLOOKUP(Preisindex!$A$6,Preisindex,2,FALSE),2),0)))))</f>
        <v>0</v>
      </c>
      <c r="EJ65" s="51">
        <f>IF(AND($E65&lt;&gt;0,$F65&gt;0,YEAR($F65)&lt;=EH$4,YEAR($F65)&gt;=Preisindex!$A$6),ROUND($E65*EH65,2),IF(AND($E65&lt;&gt;0,$F65&gt;0,YEAR($F65)&lt;=EH$4,YEAR($F65)&lt;Preisindex!$A$6),ROUND($E65*EI65,2),0))</f>
        <v>0</v>
      </c>
      <c r="EK65" s="53">
        <f t="shared" si="227"/>
        <v>0</v>
      </c>
      <c r="EL65" s="51">
        <f t="shared" si="360"/>
        <v>0</v>
      </c>
      <c r="EM65" s="51">
        <f t="shared" si="347"/>
        <v>0</v>
      </c>
      <c r="EN65" s="51">
        <f t="shared" si="230"/>
        <v>0</v>
      </c>
      <c r="EO65" s="51">
        <f t="shared" si="348"/>
        <v>0</v>
      </c>
      <c r="EP65" s="51">
        <f t="shared" si="232"/>
        <v>0</v>
      </c>
      <c r="EQ65" s="51">
        <f t="shared" si="349"/>
        <v>0</v>
      </c>
      <c r="ER65" s="51">
        <f t="shared" si="234"/>
        <v>0</v>
      </c>
      <c r="ES65" s="51">
        <f t="shared" si="350"/>
        <v>0</v>
      </c>
      <c r="ET65" s="51">
        <f t="shared" si="236"/>
        <v>0</v>
      </c>
      <c r="EU65" s="51">
        <f t="shared" si="351"/>
        <v>0</v>
      </c>
      <c r="EV65" s="51">
        <f t="shared" si="238"/>
        <v>0</v>
      </c>
      <c r="EW65" s="54">
        <f t="shared" si="239"/>
        <v>0</v>
      </c>
      <c r="EX65" s="55">
        <f t="shared" si="240"/>
        <v>0</v>
      </c>
      <c r="EY65" s="56">
        <f>IF(AND($E65&lt;&gt;0,$F65&gt;0,YEAR($F65)&gt;=Preisindex!$A$6,YEAR(ET$4)&gt;=YEAR($F65),AND($K65&lt;&gt;"a",$K65&lt;&gt;"b",$K65&lt;&gt;"g",$K65&lt;&gt;"k")),1,IF(AND($E65&lt;&gt;0,$F65&gt;0,YEAR($F65)&gt;=Preisindex!$A$6,YEAR(ET$4)&gt;=YEAR($F65),$K65="a"),ROUND(VLOOKUP(EY$4,Preisindex,5,FALSE)/VLOOKUP(YEAR($F65),Preisindex,5,FALSE),2),IF(AND($E65&lt;&gt;0,$F65&gt;0,YEAR($F65)&gt;=Preisindex!$A$6,YEAR(ET$4)&gt;=YEAR($F65),$K65="b"),ROUND(VLOOKUP(EY$4,Preisindex,3,FALSE)/VLOOKUP(YEAR($F65),Preisindex,3,FALSE),2),IF(AND($E65&lt;&gt;0,$F65&gt;0,YEAR($F65)&gt;=Preisindex!$A$6,YEAR(ET$4)&gt;=YEAR($F65),$K65="g"),ROUND(VLOOKUP(EY$4,Preisindex,4,FALSE)/VLOOKUP(YEAR($F65),Preisindex,4,FALSE),2),IF(AND($E65&lt;&gt;0,$F65&gt;0,YEAR($F65)&gt;=Preisindex!$A$6,YEAR(ET$4)&gt;=YEAR($F65),$K65="k"),ROUND(VLOOKUP(EY$4,Preisindex,2,FALSE)/VLOOKUP(YEAR($F65),Preisindex,2,FALSE),2),0)))))</f>
        <v>0</v>
      </c>
      <c r="EZ65" s="56">
        <f>IF(AND($E65&lt;&gt;0,$F65&gt;0,YEAR($F65)&lt;Preisindex!$A$6,YEAR(ET$4)&gt;=YEAR($F65),AND($K65&lt;&gt;"a",$K65&lt;&gt;"b",$K65&lt;&gt;"g",$K65&lt;&gt;"k")),1,IF(AND($E65&lt;&gt;0,$F65&gt;0,YEAR($F65)&lt;Preisindex!$A$6,YEAR(ET$4)&gt;=YEAR($F65),$K65="a"),ROUND(VLOOKUP(EY$4,Preisindex,5,FALSE)/VLOOKUP(Preisindex!$A$6,Preisindex,5,FALSE),2),IF(AND($E65&lt;&gt;0,$F65&gt;0,YEAR($F65)&lt;Preisindex!$A$6,YEAR(ET$4)&gt;=YEAR($F65),$K65="b"),ROUND(VLOOKUP(EY$4,Preisindex,3,FALSE)/VLOOKUP(Preisindex!$A$6,Preisindex,3,FALSE),2),IF(AND($E65&lt;&gt;0,$F65&gt;0,YEAR($F65)&lt;Preisindex!$A$6,YEAR(ET$4)&gt;=YEAR($F65),$K65="g"),ROUND(VLOOKUP(EY$4,Preisindex,4,FALSE)/VLOOKUP(Preisindex!$A$6,Preisindex,4,FALSE),2),IF(AND($E65&lt;&gt;0,$F65&gt;0,YEAR($F65)&lt;Preisindex!$A$6,YEAR(ET$4)&gt;=YEAR($F65),$K65="k"),ROUND(VLOOKUP(EY$4,Preisindex,2,FALSE)/VLOOKUP(Preisindex!$A$6,Preisindex,2,FALSE),2),0)))))</f>
        <v>0</v>
      </c>
      <c r="FA65" s="51">
        <f>IF(AND($E65&lt;&gt;0,$F65&gt;0,YEAR($F65)&lt;=EY$4,YEAR($F65)&gt;=Preisindex!$A$6),ROUND($E65*EY65,2),IF(AND($E65&lt;&gt;0,$F65&gt;0,YEAR($F65)&lt;=EY$4,YEAR($F65)&lt;Preisindex!$A$6),ROUND($E65*EZ65,2),0))</f>
        <v>0</v>
      </c>
      <c r="FB65" s="53">
        <f t="shared" si="241"/>
        <v>0</v>
      </c>
      <c r="FC65" s="51">
        <f t="shared" si="360"/>
        <v>0</v>
      </c>
      <c r="FD65" s="51">
        <f t="shared" si="352"/>
        <v>0</v>
      </c>
      <c r="FE65" s="51">
        <f t="shared" si="244"/>
        <v>0</v>
      </c>
      <c r="FF65" s="51">
        <f t="shared" si="353"/>
        <v>0</v>
      </c>
      <c r="FG65" s="51">
        <f t="shared" si="246"/>
        <v>0</v>
      </c>
      <c r="FH65" s="51">
        <f t="shared" si="354"/>
        <v>0</v>
      </c>
      <c r="FI65" s="51">
        <f t="shared" si="248"/>
        <v>0</v>
      </c>
      <c r="FJ65" s="51">
        <f t="shared" si="355"/>
        <v>0</v>
      </c>
      <c r="FK65" s="51">
        <f t="shared" si="250"/>
        <v>0</v>
      </c>
      <c r="FL65" s="51">
        <f t="shared" si="356"/>
        <v>0</v>
      </c>
      <c r="FM65" s="51">
        <f t="shared" si="252"/>
        <v>0</v>
      </c>
      <c r="FN65" s="54">
        <f t="shared" si="253"/>
        <v>0</v>
      </c>
      <c r="FO65" s="55">
        <f t="shared" si="254"/>
        <v>0</v>
      </c>
      <c r="FP65" s="56">
        <f>IF(AND($E65&lt;&gt;0,$F65&gt;0,YEAR($F65)&gt;=Preisindex!$A$6,YEAR(FK$4)&gt;=YEAR($F65),AND($K65&lt;&gt;"a",$K65&lt;&gt;"b",$K65&lt;&gt;"g",$K65&lt;&gt;"k")),1,IF(AND($E65&lt;&gt;0,$F65&gt;0,YEAR($F65)&gt;=Preisindex!$A$6,YEAR(FK$4)&gt;=YEAR($F65),$K65="a"),ROUND(VLOOKUP(FP$4,Preisindex,5,FALSE)/VLOOKUP(YEAR($F65),Preisindex,5,FALSE),2),IF(AND($E65&lt;&gt;0,$F65&gt;0,YEAR($F65)&gt;=Preisindex!$A$6,YEAR(FK$4)&gt;=YEAR($F65),$K65="b"),ROUND(VLOOKUP(FP$4,Preisindex,3,FALSE)/VLOOKUP(YEAR($F65),Preisindex,3,FALSE),2),IF(AND($E65&lt;&gt;0,$F65&gt;0,YEAR($F65)&gt;=Preisindex!$A$6,YEAR(FK$4)&gt;=YEAR($F65),$K65="g"),ROUND(VLOOKUP(FP$4,Preisindex,4,FALSE)/VLOOKUP(YEAR($F65),Preisindex,4,FALSE),2),IF(AND($E65&lt;&gt;0,$F65&gt;0,YEAR($F65)&gt;=Preisindex!$A$6,YEAR(FK$4)&gt;=YEAR($F65),$K65="k"),ROUND(VLOOKUP(FP$4,Preisindex,2,FALSE)/VLOOKUP(YEAR($F65),Preisindex,2,FALSE),2),0)))))</f>
        <v>0</v>
      </c>
      <c r="FQ65" s="56">
        <f>IF(AND($E65&lt;&gt;0,$F65&gt;0,YEAR($F65)&lt;Preisindex!$A$6,YEAR(FK$4)&gt;=YEAR($F65),AND($K65&lt;&gt;"a",$K65&lt;&gt;"b",$K65&lt;&gt;"g",$K65&lt;&gt;"k")),1,IF(AND($E65&lt;&gt;0,$F65&gt;0,YEAR($F65)&lt;Preisindex!$A$6,YEAR(FK$4)&gt;=YEAR($F65),$K65="a"),ROUND(VLOOKUP(FP$4,Preisindex,5,FALSE)/VLOOKUP(Preisindex!$A$6,Preisindex,5,FALSE),2),IF(AND($E65&lt;&gt;0,$F65&gt;0,YEAR($F65)&lt;Preisindex!$A$6,YEAR(FK$4)&gt;=YEAR($F65),$K65="b"),ROUND(VLOOKUP(FP$4,Preisindex,3,FALSE)/VLOOKUP(Preisindex!$A$6,Preisindex,3,FALSE),2),IF(AND($E65&lt;&gt;0,$F65&gt;0,YEAR($F65)&lt;Preisindex!$A$6,YEAR(FK$4)&gt;=YEAR($F65),$K65="g"),ROUND(VLOOKUP(FP$4,Preisindex,4,FALSE)/VLOOKUP(Preisindex!$A$6,Preisindex,4,FALSE),2),IF(AND($E65&lt;&gt;0,$F65&gt;0,YEAR($F65)&lt;Preisindex!$A$6,YEAR(FK$4)&gt;=YEAR($F65),$K65="k"),ROUND(VLOOKUP(FP$4,Preisindex,2,FALSE)/VLOOKUP(Preisindex!$A$6,Preisindex,2,FALSE),2),0)))))</f>
        <v>0</v>
      </c>
      <c r="FR65" s="51">
        <f>IF(AND($E65&lt;&gt;0,$F65&gt;0,YEAR($F65)&lt;=FP$4,YEAR($F65)&gt;=Preisindex!$A$6),ROUND($E65*FP65,2),IF(AND($E65&lt;&gt;0,$F65&gt;0,YEAR($F65)&lt;=FP$4,YEAR($F65)&lt;Preisindex!$A$6),ROUND($E65*FQ65,2),0))</f>
        <v>0</v>
      </c>
      <c r="FS65" s="53">
        <f t="shared" si="255"/>
        <v>0</v>
      </c>
    </row>
    <row r="66" spans="1:175" x14ac:dyDescent="0.3">
      <c r="A66" s="93">
        <v>1998</v>
      </c>
      <c r="B66" s="94" t="s">
        <v>251</v>
      </c>
      <c r="C66" s="94"/>
      <c r="D66" s="95" t="s">
        <v>66</v>
      </c>
      <c r="E66" s="99">
        <v>27000</v>
      </c>
      <c r="F66" s="97">
        <v>35977</v>
      </c>
      <c r="G66" s="98">
        <v>50</v>
      </c>
      <c r="H66" s="620"/>
      <c r="I66" s="621"/>
      <c r="J66" s="194"/>
      <c r="K66" s="630" t="s">
        <v>266</v>
      </c>
      <c r="L66" s="49">
        <f t="shared" si="296"/>
        <v>0.02</v>
      </c>
      <c r="M66" s="50">
        <f t="shared" si="297"/>
        <v>540</v>
      </c>
      <c r="N66" s="51">
        <f t="shared" si="298"/>
        <v>19710</v>
      </c>
      <c r="O66" s="51"/>
      <c r="P66" s="51">
        <f t="shared" si="299"/>
        <v>7290</v>
      </c>
      <c r="Q66" s="52"/>
      <c r="R66" s="52"/>
      <c r="S66" s="52"/>
      <c r="T66" s="52"/>
      <c r="U66" s="52"/>
      <c r="V66" s="53">
        <f t="shared" si="300"/>
        <v>27000</v>
      </c>
      <c r="W66" s="51">
        <f t="shared" si="301"/>
        <v>0</v>
      </c>
      <c r="X66" s="51">
        <f t="shared" si="302"/>
        <v>0</v>
      </c>
      <c r="Y66" s="51">
        <f t="shared" si="303"/>
        <v>0</v>
      </c>
      <c r="Z66" s="51">
        <f t="shared" si="304"/>
        <v>0</v>
      </c>
      <c r="AA66" s="51">
        <f t="shared" si="305"/>
        <v>27000</v>
      </c>
      <c r="AB66" s="51">
        <f t="shared" si="306"/>
        <v>27000</v>
      </c>
      <c r="AC66" s="51">
        <f t="shared" si="307"/>
        <v>540</v>
      </c>
      <c r="AD66" s="51">
        <f t="shared" si="308"/>
        <v>540</v>
      </c>
      <c r="AE66" s="51">
        <f t="shared" si="309"/>
        <v>19170</v>
      </c>
      <c r="AF66" s="51">
        <f t="shared" si="310"/>
        <v>19170</v>
      </c>
      <c r="AG66" s="51">
        <f t="shared" si="311"/>
        <v>7830</v>
      </c>
      <c r="AH66" s="54">
        <f t="shared" si="312"/>
        <v>0</v>
      </c>
      <c r="AI66" s="55">
        <f t="shared" si="313"/>
        <v>0</v>
      </c>
      <c r="AJ66" s="56">
        <f>IF(AND($E66&lt;&gt;0,$F66&gt;0,YEAR($F66)&gt;=Preisindex!$A$6,YEAR(AE$4)&gt;=YEAR($F66),AND($K66&lt;&gt;"a",$K66&lt;&gt;"b",$K66&lt;&gt;"g",$K66&lt;&gt;"k")),1,IF(AND($E66&lt;&gt;0,$F66&gt;0,YEAR($F66)&gt;=Preisindex!$A$6,YEAR(AE$4)&gt;=YEAR($F66),$K66="a"),ROUND(VLOOKUP(AJ$4,Preisindex,5,FALSE)/VLOOKUP(YEAR($F66),Preisindex,5,FALSE),2),IF(AND($E66&lt;&gt;0,$F66&gt;0,YEAR($F66)&gt;=Preisindex!$A$6,YEAR(AE$4)&gt;=YEAR($F66),$K66="b"),ROUND(VLOOKUP(AJ$4,Preisindex,3,FALSE)/VLOOKUP(YEAR($F66),Preisindex,3,FALSE),2),IF(AND($E66&lt;&gt;0,$F66&gt;0,YEAR($F66)&gt;=Preisindex!$A$6,YEAR(AE$4)&gt;=YEAR($F66),$K66="g"),ROUND(VLOOKUP(AJ$4,Preisindex,4,FALSE)/VLOOKUP(YEAR($F66),Preisindex,4,FALSE),2),IF(AND($E66&lt;&gt;0,$F66&gt;0,YEAR($F66)&gt;=Preisindex!$A$6,YEAR(AE$4)&gt;=YEAR($F66),$K66="k"),ROUND(VLOOKUP(AJ$4,Preisindex,2,FALSE)/VLOOKUP(YEAR($F66),Preisindex,2,FALSE),2),0)))))</f>
        <v>1.25</v>
      </c>
      <c r="AK66" s="56">
        <f>IF(AND($E66&lt;&gt;0,$F66&gt;0,YEAR($F66)&lt;Preisindex!$A$6,YEAR(AE$4)&gt;=YEAR($F66),AND($K66&lt;&gt;"a",$K66&lt;&gt;"b",$K66&lt;&gt;"g",$K66&lt;&gt;"k")),1,IF(AND($E66&lt;&gt;0,$F66&gt;0,YEAR($F66)&lt;Preisindex!$A$6,YEAR(AE$4)&gt;=YEAR($F66),$K66="a"),ROUND(VLOOKUP(AJ$4,Preisindex,5,FALSE)/VLOOKUP(Preisindex!$A$6,Preisindex,5,FALSE),2),IF(AND($E66&lt;&gt;0,$F66&gt;0,YEAR($F66)&lt;Preisindex!$A$6,YEAR(AE$4)&gt;=YEAR($F66),$K66="b"),ROUND(VLOOKUP(AJ$4,Preisindex,3,FALSE)/VLOOKUP(Preisindex!$A$6,Preisindex,3,FALSE),2),IF(AND($E66&lt;&gt;0,$F66&gt;0,YEAR($F66)&lt;Preisindex!$A$6,YEAR(AE$4)&gt;=YEAR($F66),$K66="g"),ROUND(VLOOKUP(AJ$4,Preisindex,4,FALSE)/VLOOKUP(Preisindex!$A$6,Preisindex,4,FALSE),2),IF(AND($E66&lt;&gt;0,$F66&gt;0,YEAR($F66)&lt;Preisindex!$A$6,YEAR(AE$4)&gt;=YEAR($F66),$K66="k"),ROUND(VLOOKUP(AJ$4,Preisindex,2,FALSE)/VLOOKUP(Preisindex!$A$6,Preisindex,2,FALSE),2),0)))))</f>
        <v>0</v>
      </c>
      <c r="AL66" s="51">
        <f>IF(AND($E66&lt;&gt;0,$F66&gt;0,YEAR($F66)&lt;=AJ$4,YEAR($F66)&gt;=Preisindex!$A$6),ROUND($E66*AJ66,2),IF(AND($E66&lt;&gt;0,$F66&gt;0,YEAR($F66)&lt;=AJ$4,YEAR($F66)&lt;Preisindex!$A$6),ROUND($E66*AK66,2),0))</f>
        <v>33750</v>
      </c>
      <c r="AM66" s="53">
        <f t="shared" si="314"/>
        <v>675</v>
      </c>
      <c r="AN66" s="51">
        <f t="shared" si="359"/>
        <v>0</v>
      </c>
      <c r="AO66" s="51">
        <f t="shared" si="317"/>
        <v>0</v>
      </c>
      <c r="AP66" s="51">
        <f t="shared" si="146"/>
        <v>0</v>
      </c>
      <c r="AQ66" s="51">
        <f t="shared" si="318"/>
        <v>0</v>
      </c>
      <c r="AR66" s="51">
        <f t="shared" si="148"/>
        <v>27000</v>
      </c>
      <c r="AS66" s="51">
        <f t="shared" si="319"/>
        <v>27000</v>
      </c>
      <c r="AT66" s="51">
        <f t="shared" si="150"/>
        <v>540</v>
      </c>
      <c r="AU66" s="51">
        <f t="shared" si="320"/>
        <v>540</v>
      </c>
      <c r="AV66" s="51">
        <f t="shared" si="152"/>
        <v>18630</v>
      </c>
      <c r="AW66" s="51">
        <f t="shared" si="321"/>
        <v>18630</v>
      </c>
      <c r="AX66" s="51">
        <f t="shared" si="154"/>
        <v>8370</v>
      </c>
      <c r="AY66" s="54">
        <f t="shared" si="155"/>
        <v>0</v>
      </c>
      <c r="AZ66" s="55">
        <f t="shared" si="156"/>
        <v>0</v>
      </c>
      <c r="BA66" s="56">
        <f>IF(AND($E66&lt;&gt;0,$F66&gt;0,YEAR($F66)&gt;=Preisindex!$A$6,YEAR(AV$4)&gt;=YEAR($F66),AND($K66&lt;&gt;"a",$K66&lt;&gt;"b",$K66&lt;&gt;"g",$K66&lt;&gt;"k")),1,IF(AND($E66&lt;&gt;0,$F66&gt;0,YEAR($F66)&gt;=Preisindex!$A$6,YEAR(AV$4)&gt;=YEAR($F66),$K66="a"),ROUND(VLOOKUP(BA$4,Preisindex,5,FALSE)/VLOOKUP(YEAR($F66),Preisindex,5,FALSE),2),IF(AND($E66&lt;&gt;0,$F66&gt;0,YEAR($F66)&gt;=Preisindex!$A$6,YEAR(AV$4)&gt;=YEAR($F66),$K66="b"),ROUND(VLOOKUP(BA$4,Preisindex,3,FALSE)/VLOOKUP(YEAR($F66),Preisindex,3,FALSE),2),IF(AND($E66&lt;&gt;0,$F66&gt;0,YEAR($F66)&gt;=Preisindex!$A$6,YEAR(AV$4)&gt;=YEAR($F66),$K66="g"),ROUND(VLOOKUP(BA$4,Preisindex,4,FALSE)/VLOOKUP(YEAR($F66),Preisindex,4,FALSE),2),IF(AND($E66&lt;&gt;0,$F66&gt;0,YEAR($F66)&gt;=Preisindex!$A$6,YEAR(AV$4)&gt;=YEAR($F66),$K66="k"),ROUND(VLOOKUP(BA$4,Preisindex,2,FALSE)/VLOOKUP(YEAR($F66),Preisindex,2,FALSE),2),0)))))</f>
        <v>1.28</v>
      </c>
      <c r="BB66" s="56">
        <f>IF(AND($E66&lt;&gt;0,$F66&gt;0,YEAR($F66)&lt;Preisindex!$A$6,YEAR(AV$4)&gt;=YEAR($F66),AND($K66&lt;&gt;"a",$K66&lt;&gt;"b",$K66&lt;&gt;"g",$K66&lt;&gt;"k")),1,IF(AND($E66&lt;&gt;0,$F66&gt;0,YEAR($F66)&lt;Preisindex!$A$6,YEAR(AV$4)&gt;=YEAR($F66),$K66="a"),ROUND(VLOOKUP(BA$4,Preisindex,5,FALSE)/VLOOKUP(Preisindex!$A$6,Preisindex,5,FALSE),2),IF(AND($E66&lt;&gt;0,$F66&gt;0,YEAR($F66)&lt;Preisindex!$A$6,YEAR(AV$4)&gt;=YEAR($F66),$K66="b"),ROUND(VLOOKUP(BA$4,Preisindex,3,FALSE)/VLOOKUP(Preisindex!$A$6,Preisindex,3,FALSE),2),IF(AND($E66&lt;&gt;0,$F66&gt;0,YEAR($F66)&lt;Preisindex!$A$6,YEAR(AV$4)&gt;=YEAR($F66),$K66="g"),ROUND(VLOOKUP(BA$4,Preisindex,4,FALSE)/VLOOKUP(Preisindex!$A$6,Preisindex,4,FALSE),2),IF(AND($E66&lt;&gt;0,$F66&gt;0,YEAR($F66)&lt;Preisindex!$A$6,YEAR(AV$4)&gt;=YEAR($F66),$K66="k"),ROUND(VLOOKUP(BA$4,Preisindex,2,FALSE)/VLOOKUP(Preisindex!$A$6,Preisindex,2,FALSE),2),0)))))</f>
        <v>0</v>
      </c>
      <c r="BC66" s="51">
        <f>IF(AND($E66&lt;&gt;0,$F66&gt;0,YEAR($F66)&lt;=BA$4,YEAR($F66)&gt;=Preisindex!$A$6),ROUND($E66*BA66,2),IF(AND($E66&lt;&gt;0,$F66&gt;0,YEAR($F66)&lt;=BA$4,YEAR($F66)&lt;Preisindex!$A$6),ROUND($E66*BB66,2),0))</f>
        <v>34560</v>
      </c>
      <c r="BD66" s="53">
        <f t="shared" si="157"/>
        <v>691.2</v>
      </c>
      <c r="BE66" s="51">
        <f t="shared" si="359"/>
        <v>0</v>
      </c>
      <c r="BF66" s="51">
        <f t="shared" si="322"/>
        <v>0</v>
      </c>
      <c r="BG66" s="51">
        <f t="shared" si="160"/>
        <v>0</v>
      </c>
      <c r="BH66" s="51">
        <f t="shared" si="323"/>
        <v>0</v>
      </c>
      <c r="BI66" s="51">
        <f t="shared" si="162"/>
        <v>27000</v>
      </c>
      <c r="BJ66" s="51">
        <f t="shared" si="324"/>
        <v>27000</v>
      </c>
      <c r="BK66" s="51">
        <f t="shared" si="164"/>
        <v>540</v>
      </c>
      <c r="BL66" s="51">
        <f t="shared" si="325"/>
        <v>540</v>
      </c>
      <c r="BM66" s="51">
        <f t="shared" si="166"/>
        <v>18090</v>
      </c>
      <c r="BN66" s="51">
        <f t="shared" si="326"/>
        <v>18090</v>
      </c>
      <c r="BO66" s="51">
        <f t="shared" si="168"/>
        <v>8910</v>
      </c>
      <c r="BP66" s="54">
        <f t="shared" si="169"/>
        <v>0</v>
      </c>
      <c r="BQ66" s="55">
        <f t="shared" si="170"/>
        <v>0</v>
      </c>
      <c r="BR66" s="56">
        <f>IF(AND($E66&lt;&gt;0,$F66&gt;0,YEAR($F66)&gt;=Preisindex!$A$6,YEAR(BM$4)&gt;=YEAR($F66),AND($K66&lt;&gt;"a",$K66&lt;&gt;"b",$K66&lt;&gt;"g",$K66&lt;&gt;"k")),1,IF(AND($E66&lt;&gt;0,$F66&gt;0,YEAR($F66)&gt;=Preisindex!$A$6,YEAR(BM$4)&gt;=YEAR($F66),$K66="a"),ROUND(VLOOKUP(BR$4,Preisindex,5,FALSE)/VLOOKUP(YEAR($F66),Preisindex,5,FALSE),2),IF(AND($E66&lt;&gt;0,$F66&gt;0,YEAR($F66)&gt;=Preisindex!$A$6,YEAR(BM$4)&gt;=YEAR($F66),$K66="b"),ROUND(VLOOKUP(BR$4,Preisindex,3,FALSE)/VLOOKUP(YEAR($F66),Preisindex,3,FALSE),2),IF(AND($E66&lt;&gt;0,$F66&gt;0,YEAR($F66)&gt;=Preisindex!$A$6,YEAR(BM$4)&gt;=YEAR($F66),$K66="g"),ROUND(VLOOKUP(BR$4,Preisindex,4,FALSE)/VLOOKUP(YEAR($F66),Preisindex,4,FALSE),2),IF(AND($E66&lt;&gt;0,$F66&gt;0,YEAR($F66)&gt;=Preisindex!$A$6,YEAR(BM$4)&gt;=YEAR($F66),$K66="k"),ROUND(VLOOKUP(BR$4,Preisindex,2,FALSE)/VLOOKUP(YEAR($F66),Preisindex,2,FALSE),2),0)))))</f>
        <v>1.3</v>
      </c>
      <c r="BS66" s="56">
        <f>IF(AND($E66&lt;&gt;0,$F66&gt;0,YEAR($F66)&lt;Preisindex!$A$6,YEAR(BM$4)&gt;=YEAR($F66),AND($K66&lt;&gt;"a",$K66&lt;&gt;"b",$K66&lt;&gt;"g",$K66&lt;&gt;"k")),1,IF(AND($E66&lt;&gt;0,$F66&gt;0,YEAR($F66)&lt;Preisindex!$A$6,YEAR(BM$4)&gt;=YEAR($F66),$K66="a"),ROUND(VLOOKUP(BR$4,Preisindex,5,FALSE)/VLOOKUP(Preisindex!$A$6,Preisindex,5,FALSE),2),IF(AND($E66&lt;&gt;0,$F66&gt;0,YEAR($F66)&lt;Preisindex!$A$6,YEAR(BM$4)&gt;=YEAR($F66),$K66="b"),ROUND(VLOOKUP(BR$4,Preisindex,3,FALSE)/VLOOKUP(Preisindex!$A$6,Preisindex,3,FALSE),2),IF(AND($E66&lt;&gt;0,$F66&gt;0,YEAR($F66)&lt;Preisindex!$A$6,YEAR(BM$4)&gt;=YEAR($F66),$K66="g"),ROUND(VLOOKUP(BR$4,Preisindex,4,FALSE)/VLOOKUP(Preisindex!$A$6,Preisindex,4,FALSE),2),IF(AND($E66&lt;&gt;0,$F66&gt;0,YEAR($F66)&lt;Preisindex!$A$6,YEAR(BM$4)&gt;=YEAR($F66),$K66="k"),ROUND(VLOOKUP(BR$4,Preisindex,2,FALSE)/VLOOKUP(Preisindex!$A$6,Preisindex,2,FALSE),2),0)))))</f>
        <v>0</v>
      </c>
      <c r="BT66" s="51">
        <f>IF(AND($E66&lt;&gt;0,$F66&gt;0,YEAR($F66)&lt;=BR$4,YEAR($F66)&gt;=Preisindex!$A$6),ROUND($E66*BR66,2),IF(AND($E66&lt;&gt;0,$F66&gt;0,YEAR($F66)&lt;=BR$4,YEAR($F66)&lt;Preisindex!$A$6),ROUND($E66*BS66,2),0))</f>
        <v>35100</v>
      </c>
      <c r="BU66" s="53">
        <f t="shared" si="171"/>
        <v>702</v>
      </c>
      <c r="BV66" s="51">
        <f t="shared" si="359"/>
        <v>0</v>
      </c>
      <c r="BW66" s="51">
        <f t="shared" si="327"/>
        <v>0</v>
      </c>
      <c r="BX66" s="51">
        <f t="shared" si="174"/>
        <v>0</v>
      </c>
      <c r="BY66" s="51">
        <f t="shared" si="328"/>
        <v>0</v>
      </c>
      <c r="BZ66" s="51">
        <f t="shared" si="176"/>
        <v>27000</v>
      </c>
      <c r="CA66" s="51">
        <f t="shared" si="329"/>
        <v>27000</v>
      </c>
      <c r="CB66" s="51">
        <f t="shared" si="178"/>
        <v>540</v>
      </c>
      <c r="CC66" s="51">
        <f t="shared" si="330"/>
        <v>540</v>
      </c>
      <c r="CD66" s="51">
        <f t="shared" si="180"/>
        <v>17550</v>
      </c>
      <c r="CE66" s="51">
        <f t="shared" si="331"/>
        <v>17550</v>
      </c>
      <c r="CF66" s="51">
        <f t="shared" si="182"/>
        <v>9450</v>
      </c>
      <c r="CG66" s="54">
        <f t="shared" si="183"/>
        <v>0</v>
      </c>
      <c r="CH66" s="55">
        <f t="shared" si="184"/>
        <v>0</v>
      </c>
      <c r="CI66" s="56">
        <f>IF(AND($E66&lt;&gt;0,$F66&gt;0,YEAR($F66)&gt;=Preisindex!$A$6,YEAR(CD$4)&gt;=YEAR($F66),AND($K66&lt;&gt;"a",$K66&lt;&gt;"b",$K66&lt;&gt;"g",$K66&lt;&gt;"k")),1,IF(AND($E66&lt;&gt;0,$F66&gt;0,YEAR($F66)&gt;=Preisindex!$A$6,YEAR(CD$4)&gt;=YEAR($F66),$K66="a"),ROUND(VLOOKUP(CI$4,Preisindex,5,FALSE)/VLOOKUP(YEAR($F66),Preisindex,5,FALSE),2),IF(AND($E66&lt;&gt;0,$F66&gt;0,YEAR($F66)&gt;=Preisindex!$A$6,YEAR(CD$4)&gt;=YEAR($F66),$K66="b"),ROUND(VLOOKUP(CI$4,Preisindex,3,FALSE)/VLOOKUP(YEAR($F66),Preisindex,3,FALSE),2),IF(AND($E66&lt;&gt;0,$F66&gt;0,YEAR($F66)&gt;=Preisindex!$A$6,YEAR(CD$4)&gt;=YEAR($F66),$K66="g"),ROUND(VLOOKUP(CI$4,Preisindex,4,FALSE)/VLOOKUP(YEAR($F66),Preisindex,4,FALSE),2),IF(AND($E66&lt;&gt;0,$F66&gt;0,YEAR($F66)&gt;=Preisindex!$A$6,YEAR(CD$4)&gt;=YEAR($F66),$K66="k"),ROUND(VLOOKUP(CI$4,Preisindex,2,FALSE)/VLOOKUP(YEAR($F66),Preisindex,2,FALSE),2),0)))))</f>
        <v>1.31</v>
      </c>
      <c r="CJ66" s="56">
        <f>IF(AND($E66&lt;&gt;0,$F66&gt;0,YEAR($F66)&lt;Preisindex!$A$6,YEAR(CD$4)&gt;=YEAR($F66),AND($K66&lt;&gt;"a",$K66&lt;&gt;"b",$K66&lt;&gt;"g",$K66&lt;&gt;"k")),1,IF(AND($E66&lt;&gt;0,$F66&gt;0,YEAR($F66)&lt;Preisindex!$A$6,YEAR(CD$4)&gt;=YEAR($F66),$K66="a"),ROUND(VLOOKUP(CI$4,Preisindex,5,FALSE)/VLOOKUP(Preisindex!$A$6,Preisindex,5,FALSE),2),IF(AND($E66&lt;&gt;0,$F66&gt;0,YEAR($F66)&lt;Preisindex!$A$6,YEAR(CD$4)&gt;=YEAR($F66),$K66="b"),ROUND(VLOOKUP(CI$4,Preisindex,3,FALSE)/VLOOKUP(Preisindex!$A$6,Preisindex,3,FALSE),2),IF(AND($E66&lt;&gt;0,$F66&gt;0,YEAR($F66)&lt;Preisindex!$A$6,YEAR(CD$4)&gt;=YEAR($F66),$K66="g"),ROUND(VLOOKUP(CI$4,Preisindex,4,FALSE)/VLOOKUP(Preisindex!$A$6,Preisindex,4,FALSE),2),IF(AND($E66&lt;&gt;0,$F66&gt;0,YEAR($F66)&lt;Preisindex!$A$6,YEAR(CD$4)&gt;=YEAR($F66),$K66="k"),ROUND(VLOOKUP(CI$4,Preisindex,2,FALSE)/VLOOKUP(Preisindex!$A$6,Preisindex,2,FALSE),2),0)))))</f>
        <v>0</v>
      </c>
      <c r="CK66" s="51">
        <f>IF(AND($E66&lt;&gt;0,$F66&gt;0,YEAR($F66)&lt;=CI$4,YEAR($F66)&gt;=Preisindex!$A$6),ROUND($E66*CI66,2),IF(AND($E66&lt;&gt;0,$F66&gt;0,YEAR($F66)&lt;=CI$4,YEAR($F66)&lt;Preisindex!$A$6),ROUND($E66*CJ66,2),0))</f>
        <v>35370</v>
      </c>
      <c r="CL66" s="53">
        <f t="shared" si="185"/>
        <v>707.4</v>
      </c>
      <c r="CM66" s="51">
        <f t="shared" si="359"/>
        <v>0</v>
      </c>
      <c r="CN66" s="51">
        <f t="shared" si="332"/>
        <v>0</v>
      </c>
      <c r="CO66" s="51">
        <f t="shared" si="188"/>
        <v>0</v>
      </c>
      <c r="CP66" s="51">
        <f t="shared" si="333"/>
        <v>0</v>
      </c>
      <c r="CQ66" s="51">
        <f t="shared" si="190"/>
        <v>27000</v>
      </c>
      <c r="CR66" s="51">
        <f t="shared" si="334"/>
        <v>27000</v>
      </c>
      <c r="CS66" s="51">
        <f t="shared" si="192"/>
        <v>540</v>
      </c>
      <c r="CT66" s="51">
        <f t="shared" si="335"/>
        <v>540</v>
      </c>
      <c r="CU66" s="51">
        <f t="shared" si="194"/>
        <v>17010</v>
      </c>
      <c r="CV66" s="51">
        <f t="shared" si="336"/>
        <v>17010</v>
      </c>
      <c r="CW66" s="51">
        <f t="shared" si="196"/>
        <v>9990</v>
      </c>
      <c r="CX66" s="54">
        <f t="shared" si="197"/>
        <v>0</v>
      </c>
      <c r="CY66" s="55">
        <f t="shared" si="198"/>
        <v>0</v>
      </c>
      <c r="CZ66" s="56">
        <f>IF(AND($E66&lt;&gt;0,$F66&gt;0,YEAR($F66)&gt;=Preisindex!$A$6,YEAR(CU$4)&gt;=YEAR($F66),AND($K66&lt;&gt;"a",$K66&lt;&gt;"b",$K66&lt;&gt;"g",$K66&lt;&gt;"k")),1,IF(AND($E66&lt;&gt;0,$F66&gt;0,YEAR($F66)&gt;=Preisindex!$A$6,YEAR(CU$4)&gt;=YEAR($F66),$K66="a"),ROUND(VLOOKUP(CZ$4,Preisindex,5,FALSE)/VLOOKUP(YEAR($F66),Preisindex,5,FALSE),2),IF(AND($E66&lt;&gt;0,$F66&gt;0,YEAR($F66)&gt;=Preisindex!$A$6,YEAR(CU$4)&gt;=YEAR($F66),$K66="b"),ROUND(VLOOKUP(CZ$4,Preisindex,3,FALSE)/VLOOKUP(YEAR($F66),Preisindex,3,FALSE),2),IF(AND($E66&lt;&gt;0,$F66&gt;0,YEAR($F66)&gt;=Preisindex!$A$6,YEAR(CU$4)&gt;=YEAR($F66),$K66="g"),ROUND(VLOOKUP(CZ$4,Preisindex,4,FALSE)/VLOOKUP(YEAR($F66),Preisindex,4,FALSE),2),IF(AND($E66&lt;&gt;0,$F66&gt;0,YEAR($F66)&gt;=Preisindex!$A$6,YEAR(CU$4)&gt;=YEAR($F66),$K66="k"),ROUND(VLOOKUP(CZ$4,Preisindex,2,FALSE)/VLOOKUP(YEAR($F66),Preisindex,2,FALSE),2),0)))))</f>
        <v>1.34</v>
      </c>
      <c r="DA66" s="56">
        <f>IF(AND($E66&lt;&gt;0,$F66&gt;0,YEAR($F66)&lt;Preisindex!$A$6,YEAR(CU$4)&gt;=YEAR($F66),AND($K66&lt;&gt;"a",$K66&lt;&gt;"b",$K66&lt;&gt;"g",$K66&lt;&gt;"k")),1,IF(AND($E66&lt;&gt;0,$F66&gt;0,YEAR($F66)&lt;Preisindex!$A$6,YEAR(CU$4)&gt;=YEAR($F66),$K66="a"),ROUND(VLOOKUP(CZ$4,Preisindex,5,FALSE)/VLOOKUP(Preisindex!$A$6,Preisindex,5,FALSE),2),IF(AND($E66&lt;&gt;0,$F66&gt;0,YEAR($F66)&lt;Preisindex!$A$6,YEAR(CU$4)&gt;=YEAR($F66),$K66="b"),ROUND(VLOOKUP(CZ$4,Preisindex,3,FALSE)/VLOOKUP(Preisindex!$A$6,Preisindex,3,FALSE),2),IF(AND($E66&lt;&gt;0,$F66&gt;0,YEAR($F66)&lt;Preisindex!$A$6,YEAR(CU$4)&gt;=YEAR($F66),$K66="g"),ROUND(VLOOKUP(CZ$4,Preisindex,4,FALSE)/VLOOKUP(Preisindex!$A$6,Preisindex,4,FALSE),2),IF(AND($E66&lt;&gt;0,$F66&gt;0,YEAR($F66)&lt;Preisindex!$A$6,YEAR(CU$4)&gt;=YEAR($F66),$K66="k"),ROUND(VLOOKUP(CZ$4,Preisindex,2,FALSE)/VLOOKUP(Preisindex!$A$6,Preisindex,2,FALSE),2),0)))))</f>
        <v>0</v>
      </c>
      <c r="DB66" s="51">
        <f>IF(AND($E66&lt;&gt;0,$F66&gt;0,YEAR($F66)&lt;=CZ$4,YEAR($F66)&gt;=Preisindex!$A$6),ROUND($E66*CZ66,2),IF(AND($E66&lt;&gt;0,$F66&gt;0,YEAR($F66)&lt;=CZ$4,YEAR($F66)&lt;Preisindex!$A$6),ROUND($E66*DA66,2),0))</f>
        <v>36180</v>
      </c>
      <c r="DC66" s="53">
        <f t="shared" si="199"/>
        <v>723.6</v>
      </c>
      <c r="DD66" s="51">
        <f t="shared" si="360"/>
        <v>0</v>
      </c>
      <c r="DE66" s="51">
        <f t="shared" si="337"/>
        <v>0</v>
      </c>
      <c r="DF66" s="51">
        <f t="shared" si="202"/>
        <v>0</v>
      </c>
      <c r="DG66" s="51">
        <f t="shared" si="338"/>
        <v>0</v>
      </c>
      <c r="DH66" s="51">
        <f t="shared" si="204"/>
        <v>27000</v>
      </c>
      <c r="DI66" s="51">
        <f t="shared" si="339"/>
        <v>27000</v>
      </c>
      <c r="DJ66" s="51">
        <f t="shared" si="206"/>
        <v>540</v>
      </c>
      <c r="DK66" s="51">
        <f t="shared" si="340"/>
        <v>540</v>
      </c>
      <c r="DL66" s="51">
        <f t="shared" si="208"/>
        <v>16470</v>
      </c>
      <c r="DM66" s="51">
        <f t="shared" si="341"/>
        <v>16470</v>
      </c>
      <c r="DN66" s="51">
        <f t="shared" si="210"/>
        <v>10530</v>
      </c>
      <c r="DO66" s="54">
        <f t="shared" si="211"/>
        <v>0</v>
      </c>
      <c r="DP66" s="55">
        <f t="shared" si="212"/>
        <v>0</v>
      </c>
      <c r="DQ66" s="56">
        <f>IF(AND($E66&lt;&gt;0,$F66&gt;0,YEAR($F66)&gt;=Preisindex!$A$6,YEAR(DL$4)&gt;=YEAR($F66),AND($K66&lt;&gt;"a",$K66&lt;&gt;"b",$K66&lt;&gt;"g",$K66&lt;&gt;"k")),1,IF(AND($E66&lt;&gt;0,$F66&gt;0,YEAR($F66)&gt;=Preisindex!$A$6,YEAR(DL$4)&gt;=YEAR($F66),$K66="a"),ROUND(VLOOKUP(DQ$4,Preisindex,5,FALSE)/VLOOKUP(YEAR($F66),Preisindex,5,FALSE),2),IF(AND($E66&lt;&gt;0,$F66&gt;0,YEAR($F66)&gt;=Preisindex!$A$6,YEAR(DL$4)&gt;=YEAR($F66),$K66="b"),ROUND(VLOOKUP(DQ$4,Preisindex,3,FALSE)/VLOOKUP(YEAR($F66),Preisindex,3,FALSE),2),IF(AND($E66&lt;&gt;0,$F66&gt;0,YEAR($F66)&gt;=Preisindex!$A$6,YEAR(DL$4)&gt;=YEAR($F66),$K66="g"),ROUND(VLOOKUP(DQ$4,Preisindex,4,FALSE)/VLOOKUP(YEAR($F66),Preisindex,4,FALSE),2),IF(AND($E66&lt;&gt;0,$F66&gt;0,YEAR($F66)&gt;=Preisindex!$A$6,YEAR(DL$4)&gt;=YEAR($F66),$K66="k"),ROUND(VLOOKUP(DQ$4,Preisindex,2,FALSE)/VLOOKUP(YEAR($F66),Preisindex,2,FALSE),2),0)))))</f>
        <v>1.38</v>
      </c>
      <c r="DR66" s="56">
        <f>IF(AND($E66&lt;&gt;0,$F66&gt;0,YEAR($F66)&lt;Preisindex!$A$6,YEAR(DL$4)&gt;=YEAR($F66),AND($K66&lt;&gt;"a",$K66&lt;&gt;"b",$K66&lt;&gt;"g",$K66&lt;&gt;"k")),1,IF(AND($E66&lt;&gt;0,$F66&gt;0,YEAR($F66)&lt;Preisindex!$A$6,YEAR(DL$4)&gt;=YEAR($F66),$K66="a"),ROUND(VLOOKUP(DQ$4,Preisindex,5,FALSE)/VLOOKUP(Preisindex!$A$6,Preisindex,5,FALSE),2),IF(AND($E66&lt;&gt;0,$F66&gt;0,YEAR($F66)&lt;Preisindex!$A$6,YEAR(DL$4)&gt;=YEAR($F66),$K66="b"),ROUND(VLOOKUP(DQ$4,Preisindex,3,FALSE)/VLOOKUP(Preisindex!$A$6,Preisindex,3,FALSE),2),IF(AND($E66&lt;&gt;0,$F66&gt;0,YEAR($F66)&lt;Preisindex!$A$6,YEAR(DL$4)&gt;=YEAR($F66),$K66="g"),ROUND(VLOOKUP(DQ$4,Preisindex,4,FALSE)/VLOOKUP(Preisindex!$A$6,Preisindex,4,FALSE),2),IF(AND($E66&lt;&gt;0,$F66&gt;0,YEAR($F66)&lt;Preisindex!$A$6,YEAR(DL$4)&gt;=YEAR($F66),$K66="k"),ROUND(VLOOKUP(DQ$4,Preisindex,2,FALSE)/VLOOKUP(Preisindex!$A$6,Preisindex,2,FALSE),2),0)))))</f>
        <v>0</v>
      </c>
      <c r="DS66" s="51">
        <f>IF(AND($E66&lt;&gt;0,$F66&gt;0,YEAR($F66)&lt;=DQ$4,YEAR($F66)&gt;=Preisindex!$A$6),ROUND($E66*DQ66,2),IF(AND($E66&lt;&gt;0,$F66&gt;0,YEAR($F66)&lt;=DQ$4,YEAR($F66)&lt;Preisindex!$A$6),ROUND($E66*DR66,2),0))</f>
        <v>37260</v>
      </c>
      <c r="DT66" s="53">
        <f t="shared" si="213"/>
        <v>745.2</v>
      </c>
      <c r="DU66" s="51">
        <f t="shared" si="360"/>
        <v>0</v>
      </c>
      <c r="DV66" s="51">
        <f t="shared" si="342"/>
        <v>0</v>
      </c>
      <c r="DW66" s="51">
        <f t="shared" si="216"/>
        <v>0</v>
      </c>
      <c r="DX66" s="51">
        <f t="shared" si="343"/>
        <v>0</v>
      </c>
      <c r="DY66" s="51">
        <f t="shared" si="218"/>
        <v>27000</v>
      </c>
      <c r="DZ66" s="51">
        <f t="shared" si="344"/>
        <v>27000</v>
      </c>
      <c r="EA66" s="51">
        <f t="shared" si="220"/>
        <v>540</v>
      </c>
      <c r="EB66" s="51">
        <f t="shared" si="345"/>
        <v>540</v>
      </c>
      <c r="EC66" s="51">
        <f t="shared" si="222"/>
        <v>15930</v>
      </c>
      <c r="ED66" s="51">
        <f t="shared" si="346"/>
        <v>15930</v>
      </c>
      <c r="EE66" s="51">
        <f t="shared" si="224"/>
        <v>11070</v>
      </c>
      <c r="EF66" s="54">
        <f t="shared" si="225"/>
        <v>0</v>
      </c>
      <c r="EG66" s="55">
        <f t="shared" si="226"/>
        <v>0</v>
      </c>
      <c r="EH66" s="56">
        <f>IF(AND($E66&lt;&gt;0,$F66&gt;0,YEAR($F66)&gt;=Preisindex!$A$6,YEAR(EC$4)&gt;=YEAR($F66),AND($K66&lt;&gt;"a",$K66&lt;&gt;"b",$K66&lt;&gt;"g",$K66&lt;&gt;"k")),1,IF(AND($E66&lt;&gt;0,$F66&gt;0,YEAR($F66)&gt;=Preisindex!$A$6,YEAR(EC$4)&gt;=YEAR($F66),$K66="a"),ROUND(VLOOKUP(EH$4,Preisindex,5,FALSE)/VLOOKUP(YEAR($F66),Preisindex,5,FALSE),2),IF(AND($E66&lt;&gt;0,$F66&gt;0,YEAR($F66)&gt;=Preisindex!$A$6,YEAR(EC$4)&gt;=YEAR($F66),$K66="b"),ROUND(VLOOKUP(EH$4,Preisindex,3,FALSE)/VLOOKUP(YEAR($F66),Preisindex,3,FALSE),2),IF(AND($E66&lt;&gt;0,$F66&gt;0,YEAR($F66)&gt;=Preisindex!$A$6,YEAR(EC$4)&gt;=YEAR($F66),$K66="g"),ROUND(VLOOKUP(EH$4,Preisindex,4,FALSE)/VLOOKUP(YEAR($F66),Preisindex,4,FALSE),2),IF(AND($E66&lt;&gt;0,$F66&gt;0,YEAR($F66)&gt;=Preisindex!$A$6,YEAR(EC$4)&gt;=YEAR($F66),$K66="k"),ROUND(VLOOKUP(EH$4,Preisindex,2,FALSE)/VLOOKUP(YEAR($F66),Preisindex,2,FALSE),2),0)))))</f>
        <v>1.45</v>
      </c>
      <c r="EI66" s="56">
        <f>IF(AND($E66&lt;&gt;0,$F66&gt;0,YEAR($F66)&lt;Preisindex!$A$6,YEAR(EC$4)&gt;=YEAR($F66),AND($K66&lt;&gt;"a",$K66&lt;&gt;"b",$K66&lt;&gt;"g",$K66&lt;&gt;"k")),1,IF(AND($E66&lt;&gt;0,$F66&gt;0,YEAR($F66)&lt;Preisindex!$A$6,YEAR(EC$4)&gt;=YEAR($F66),$K66="a"),ROUND(VLOOKUP(EH$4,Preisindex,5,FALSE)/VLOOKUP(Preisindex!$A$6,Preisindex,5,FALSE),2),IF(AND($E66&lt;&gt;0,$F66&gt;0,YEAR($F66)&lt;Preisindex!$A$6,YEAR(EC$4)&gt;=YEAR($F66),$K66="b"),ROUND(VLOOKUP(EH$4,Preisindex,3,FALSE)/VLOOKUP(Preisindex!$A$6,Preisindex,3,FALSE),2),IF(AND($E66&lt;&gt;0,$F66&gt;0,YEAR($F66)&lt;Preisindex!$A$6,YEAR(EC$4)&gt;=YEAR($F66),$K66="g"),ROUND(VLOOKUP(EH$4,Preisindex,4,FALSE)/VLOOKUP(Preisindex!$A$6,Preisindex,4,FALSE),2),IF(AND($E66&lt;&gt;0,$F66&gt;0,YEAR($F66)&lt;Preisindex!$A$6,YEAR(EC$4)&gt;=YEAR($F66),$K66="k"),ROUND(VLOOKUP(EH$4,Preisindex,2,FALSE)/VLOOKUP(Preisindex!$A$6,Preisindex,2,FALSE),2),0)))))</f>
        <v>0</v>
      </c>
      <c r="EJ66" s="51">
        <f>IF(AND($E66&lt;&gt;0,$F66&gt;0,YEAR($F66)&lt;=EH$4,YEAR($F66)&gt;=Preisindex!$A$6),ROUND($E66*EH66,2),IF(AND($E66&lt;&gt;0,$F66&gt;0,YEAR($F66)&lt;=EH$4,YEAR($F66)&lt;Preisindex!$A$6),ROUND($E66*EI66,2),0))</f>
        <v>39150</v>
      </c>
      <c r="EK66" s="53">
        <f t="shared" si="227"/>
        <v>783</v>
      </c>
      <c r="EL66" s="51">
        <f t="shared" si="360"/>
        <v>0</v>
      </c>
      <c r="EM66" s="51">
        <f t="shared" si="347"/>
        <v>0</v>
      </c>
      <c r="EN66" s="51">
        <f t="shared" si="230"/>
        <v>0</v>
      </c>
      <c r="EO66" s="51">
        <f t="shared" si="348"/>
        <v>0</v>
      </c>
      <c r="EP66" s="51">
        <f t="shared" si="232"/>
        <v>27000</v>
      </c>
      <c r="EQ66" s="51">
        <f t="shared" si="349"/>
        <v>27000</v>
      </c>
      <c r="ER66" s="51">
        <f t="shared" si="234"/>
        <v>540</v>
      </c>
      <c r="ES66" s="51">
        <f t="shared" si="350"/>
        <v>540</v>
      </c>
      <c r="ET66" s="51">
        <f t="shared" si="236"/>
        <v>15390</v>
      </c>
      <c r="EU66" s="51">
        <f t="shared" si="351"/>
        <v>15390</v>
      </c>
      <c r="EV66" s="51">
        <f t="shared" si="238"/>
        <v>11610</v>
      </c>
      <c r="EW66" s="54">
        <f t="shared" si="239"/>
        <v>0</v>
      </c>
      <c r="EX66" s="55">
        <f t="shared" si="240"/>
        <v>0</v>
      </c>
      <c r="EY66" s="56">
        <f>IF(AND($E66&lt;&gt;0,$F66&gt;0,YEAR($F66)&gt;=Preisindex!$A$6,YEAR(ET$4)&gt;=YEAR($F66),AND($K66&lt;&gt;"a",$K66&lt;&gt;"b",$K66&lt;&gt;"g",$K66&lt;&gt;"k")),1,IF(AND($E66&lt;&gt;0,$F66&gt;0,YEAR($F66)&gt;=Preisindex!$A$6,YEAR(ET$4)&gt;=YEAR($F66),$K66="a"),ROUND(VLOOKUP(EY$4,Preisindex,5,FALSE)/VLOOKUP(YEAR($F66),Preisindex,5,FALSE),2),IF(AND($E66&lt;&gt;0,$F66&gt;0,YEAR($F66)&gt;=Preisindex!$A$6,YEAR(ET$4)&gt;=YEAR($F66),$K66="b"),ROUND(VLOOKUP(EY$4,Preisindex,3,FALSE)/VLOOKUP(YEAR($F66),Preisindex,3,FALSE),2),IF(AND($E66&lt;&gt;0,$F66&gt;0,YEAR($F66)&gt;=Preisindex!$A$6,YEAR(ET$4)&gt;=YEAR($F66),$K66="g"),ROUND(VLOOKUP(EY$4,Preisindex,4,FALSE)/VLOOKUP(YEAR($F66),Preisindex,4,FALSE),2),IF(AND($E66&lt;&gt;0,$F66&gt;0,YEAR($F66)&gt;=Preisindex!$A$6,YEAR(ET$4)&gt;=YEAR($F66),$K66="k"),ROUND(VLOOKUP(EY$4,Preisindex,2,FALSE)/VLOOKUP(YEAR($F66),Preisindex,2,FALSE),2),0)))))</f>
        <v>1.45</v>
      </c>
      <c r="EZ66" s="56">
        <f>IF(AND($E66&lt;&gt;0,$F66&gt;0,YEAR($F66)&lt;Preisindex!$A$6,YEAR(ET$4)&gt;=YEAR($F66),AND($K66&lt;&gt;"a",$K66&lt;&gt;"b",$K66&lt;&gt;"g",$K66&lt;&gt;"k")),1,IF(AND($E66&lt;&gt;0,$F66&gt;0,YEAR($F66)&lt;Preisindex!$A$6,YEAR(ET$4)&gt;=YEAR($F66),$K66="a"),ROUND(VLOOKUP(EY$4,Preisindex,5,FALSE)/VLOOKUP(Preisindex!$A$6,Preisindex,5,FALSE),2),IF(AND($E66&lt;&gt;0,$F66&gt;0,YEAR($F66)&lt;Preisindex!$A$6,YEAR(ET$4)&gt;=YEAR($F66),$K66="b"),ROUND(VLOOKUP(EY$4,Preisindex,3,FALSE)/VLOOKUP(Preisindex!$A$6,Preisindex,3,FALSE),2),IF(AND($E66&lt;&gt;0,$F66&gt;0,YEAR($F66)&lt;Preisindex!$A$6,YEAR(ET$4)&gt;=YEAR($F66),$K66="g"),ROUND(VLOOKUP(EY$4,Preisindex,4,FALSE)/VLOOKUP(Preisindex!$A$6,Preisindex,4,FALSE),2),IF(AND($E66&lt;&gt;0,$F66&gt;0,YEAR($F66)&lt;Preisindex!$A$6,YEAR(ET$4)&gt;=YEAR($F66),$K66="k"),ROUND(VLOOKUP(EY$4,Preisindex,2,FALSE)/VLOOKUP(Preisindex!$A$6,Preisindex,2,FALSE),2),0)))))</f>
        <v>0</v>
      </c>
      <c r="FA66" s="51">
        <f>IF(AND($E66&lt;&gt;0,$F66&gt;0,YEAR($F66)&lt;=EY$4,YEAR($F66)&gt;=Preisindex!$A$6),ROUND($E66*EY66,2),IF(AND($E66&lt;&gt;0,$F66&gt;0,YEAR($F66)&lt;=EY$4,YEAR($F66)&lt;Preisindex!$A$6),ROUND($E66*EZ66,2),0))</f>
        <v>39150</v>
      </c>
      <c r="FB66" s="53">
        <f t="shared" si="241"/>
        <v>783</v>
      </c>
      <c r="FC66" s="51">
        <f t="shared" si="360"/>
        <v>0</v>
      </c>
      <c r="FD66" s="51">
        <f t="shared" si="352"/>
        <v>0</v>
      </c>
      <c r="FE66" s="51">
        <f t="shared" si="244"/>
        <v>0</v>
      </c>
      <c r="FF66" s="51">
        <f t="shared" si="353"/>
        <v>0</v>
      </c>
      <c r="FG66" s="51">
        <f t="shared" si="246"/>
        <v>27000</v>
      </c>
      <c r="FH66" s="51">
        <f t="shared" si="354"/>
        <v>27000</v>
      </c>
      <c r="FI66" s="51">
        <f t="shared" si="248"/>
        <v>540</v>
      </c>
      <c r="FJ66" s="51">
        <f t="shared" si="355"/>
        <v>540</v>
      </c>
      <c r="FK66" s="51">
        <f t="shared" si="250"/>
        <v>14850</v>
      </c>
      <c r="FL66" s="51">
        <f t="shared" si="356"/>
        <v>14850</v>
      </c>
      <c r="FM66" s="51">
        <f t="shared" si="252"/>
        <v>12150</v>
      </c>
      <c r="FN66" s="54">
        <f t="shared" si="253"/>
        <v>0</v>
      </c>
      <c r="FO66" s="55">
        <f t="shared" si="254"/>
        <v>0</v>
      </c>
      <c r="FP66" s="56">
        <f>IF(AND($E66&lt;&gt;0,$F66&gt;0,YEAR($F66)&gt;=Preisindex!$A$6,YEAR(FK$4)&gt;=YEAR($F66),AND($K66&lt;&gt;"a",$K66&lt;&gt;"b",$K66&lt;&gt;"g",$K66&lt;&gt;"k")),1,IF(AND($E66&lt;&gt;0,$F66&gt;0,YEAR($F66)&gt;=Preisindex!$A$6,YEAR(FK$4)&gt;=YEAR($F66),$K66="a"),ROUND(VLOOKUP(FP$4,Preisindex,5,FALSE)/VLOOKUP(YEAR($F66),Preisindex,5,FALSE),2),IF(AND($E66&lt;&gt;0,$F66&gt;0,YEAR($F66)&gt;=Preisindex!$A$6,YEAR(FK$4)&gt;=YEAR($F66),$K66="b"),ROUND(VLOOKUP(FP$4,Preisindex,3,FALSE)/VLOOKUP(YEAR($F66),Preisindex,3,FALSE),2),IF(AND($E66&lt;&gt;0,$F66&gt;0,YEAR($F66)&gt;=Preisindex!$A$6,YEAR(FK$4)&gt;=YEAR($F66),$K66="g"),ROUND(VLOOKUP(FP$4,Preisindex,4,FALSE)/VLOOKUP(YEAR($F66),Preisindex,4,FALSE),2),IF(AND($E66&lt;&gt;0,$F66&gt;0,YEAR($F66)&gt;=Preisindex!$A$6,YEAR(FK$4)&gt;=YEAR($F66),$K66="k"),ROUND(VLOOKUP(FP$4,Preisindex,2,FALSE)/VLOOKUP(YEAR($F66),Preisindex,2,FALSE),2),0)))))</f>
        <v>1.45</v>
      </c>
      <c r="FQ66" s="56">
        <f>IF(AND($E66&lt;&gt;0,$F66&gt;0,YEAR($F66)&lt;Preisindex!$A$6,YEAR(FK$4)&gt;=YEAR($F66),AND($K66&lt;&gt;"a",$K66&lt;&gt;"b",$K66&lt;&gt;"g",$K66&lt;&gt;"k")),1,IF(AND($E66&lt;&gt;0,$F66&gt;0,YEAR($F66)&lt;Preisindex!$A$6,YEAR(FK$4)&gt;=YEAR($F66),$K66="a"),ROUND(VLOOKUP(FP$4,Preisindex,5,FALSE)/VLOOKUP(Preisindex!$A$6,Preisindex,5,FALSE),2),IF(AND($E66&lt;&gt;0,$F66&gt;0,YEAR($F66)&lt;Preisindex!$A$6,YEAR(FK$4)&gt;=YEAR($F66),$K66="b"),ROUND(VLOOKUP(FP$4,Preisindex,3,FALSE)/VLOOKUP(Preisindex!$A$6,Preisindex,3,FALSE),2),IF(AND($E66&lt;&gt;0,$F66&gt;0,YEAR($F66)&lt;Preisindex!$A$6,YEAR(FK$4)&gt;=YEAR($F66),$K66="g"),ROUND(VLOOKUP(FP$4,Preisindex,4,FALSE)/VLOOKUP(Preisindex!$A$6,Preisindex,4,FALSE),2),IF(AND($E66&lt;&gt;0,$F66&gt;0,YEAR($F66)&lt;Preisindex!$A$6,YEAR(FK$4)&gt;=YEAR($F66),$K66="k"),ROUND(VLOOKUP(FP$4,Preisindex,2,FALSE)/VLOOKUP(Preisindex!$A$6,Preisindex,2,FALSE),2),0)))))</f>
        <v>0</v>
      </c>
      <c r="FR66" s="51">
        <f>IF(AND($E66&lt;&gt;0,$F66&gt;0,YEAR($F66)&lt;=FP$4,YEAR($F66)&gt;=Preisindex!$A$6),ROUND($E66*FP66,2),IF(AND($E66&lt;&gt;0,$F66&gt;0,YEAR($F66)&lt;=FP$4,YEAR($F66)&lt;Preisindex!$A$6),ROUND($E66*FQ66,2),0))</f>
        <v>39150</v>
      </c>
      <c r="FS66" s="53">
        <f t="shared" si="255"/>
        <v>783</v>
      </c>
    </row>
    <row r="67" spans="1:175" x14ac:dyDescent="0.3">
      <c r="A67" s="93">
        <v>2000</v>
      </c>
      <c r="B67" s="94" t="s">
        <v>252</v>
      </c>
      <c r="C67" s="94"/>
      <c r="D67" s="95" t="s">
        <v>66</v>
      </c>
      <c r="E67" s="99">
        <v>12000</v>
      </c>
      <c r="F67" s="97">
        <v>36708</v>
      </c>
      <c r="G67" s="98">
        <v>50</v>
      </c>
      <c r="H67" s="620"/>
      <c r="I67" s="621"/>
      <c r="J67" s="194"/>
      <c r="K67" s="630" t="s">
        <v>266</v>
      </c>
      <c r="L67" s="49">
        <f t="shared" si="296"/>
        <v>0.02</v>
      </c>
      <c r="M67" s="50">
        <f t="shared" si="297"/>
        <v>240</v>
      </c>
      <c r="N67" s="51">
        <f t="shared" si="298"/>
        <v>9240</v>
      </c>
      <c r="O67" s="51"/>
      <c r="P67" s="51">
        <f t="shared" si="299"/>
        <v>2760</v>
      </c>
      <c r="Q67" s="52"/>
      <c r="R67" s="52"/>
      <c r="S67" s="52"/>
      <c r="T67" s="52"/>
      <c r="U67" s="52"/>
      <c r="V67" s="53">
        <f t="shared" si="300"/>
        <v>12000</v>
      </c>
      <c r="W67" s="51">
        <f t="shared" si="301"/>
        <v>0</v>
      </c>
      <c r="X67" s="51">
        <f t="shared" si="302"/>
        <v>0</v>
      </c>
      <c r="Y67" s="51">
        <f t="shared" si="303"/>
        <v>0</v>
      </c>
      <c r="Z67" s="51">
        <f t="shared" si="304"/>
        <v>0</v>
      </c>
      <c r="AA67" s="51">
        <f t="shared" si="305"/>
        <v>12000</v>
      </c>
      <c r="AB67" s="51">
        <f t="shared" si="306"/>
        <v>12000</v>
      </c>
      <c r="AC67" s="51">
        <f t="shared" si="307"/>
        <v>240</v>
      </c>
      <c r="AD67" s="51">
        <f t="shared" si="308"/>
        <v>240</v>
      </c>
      <c r="AE67" s="51">
        <f t="shared" si="309"/>
        <v>9000</v>
      </c>
      <c r="AF67" s="51">
        <f t="shared" si="310"/>
        <v>9000</v>
      </c>
      <c r="AG67" s="51">
        <f t="shared" si="311"/>
        <v>3000</v>
      </c>
      <c r="AH67" s="54">
        <f t="shared" si="312"/>
        <v>0</v>
      </c>
      <c r="AI67" s="55">
        <f t="shared" si="313"/>
        <v>0</v>
      </c>
      <c r="AJ67" s="56">
        <f>IF(AND($E67&lt;&gt;0,$F67&gt;0,YEAR($F67)&gt;=Preisindex!$A$6,YEAR(AE$4)&gt;=YEAR($F67),AND($K67&lt;&gt;"a",$K67&lt;&gt;"b",$K67&lt;&gt;"g",$K67&lt;&gt;"k")),1,IF(AND($E67&lt;&gt;0,$F67&gt;0,YEAR($F67)&gt;=Preisindex!$A$6,YEAR(AE$4)&gt;=YEAR($F67),$K67="a"),ROUND(VLOOKUP(AJ$4,Preisindex,5,FALSE)/VLOOKUP(YEAR($F67),Preisindex,5,FALSE),2),IF(AND($E67&lt;&gt;0,$F67&gt;0,YEAR($F67)&gt;=Preisindex!$A$6,YEAR(AE$4)&gt;=YEAR($F67),$K67="b"),ROUND(VLOOKUP(AJ$4,Preisindex,3,FALSE)/VLOOKUP(YEAR($F67),Preisindex,3,FALSE),2),IF(AND($E67&lt;&gt;0,$F67&gt;0,YEAR($F67)&gt;=Preisindex!$A$6,YEAR(AE$4)&gt;=YEAR($F67),$K67="g"),ROUND(VLOOKUP(AJ$4,Preisindex,4,FALSE)/VLOOKUP(YEAR($F67),Preisindex,4,FALSE),2),IF(AND($E67&lt;&gt;0,$F67&gt;0,YEAR($F67)&gt;=Preisindex!$A$6,YEAR(AE$4)&gt;=YEAR($F67),$K67="k"),ROUND(VLOOKUP(AJ$4,Preisindex,2,FALSE)/VLOOKUP(YEAR($F67),Preisindex,2,FALSE),2),0)))))</f>
        <v>1.23</v>
      </c>
      <c r="AK67" s="56">
        <f>IF(AND($E67&lt;&gt;0,$F67&gt;0,YEAR($F67)&lt;Preisindex!$A$6,YEAR(AE$4)&gt;=YEAR($F67),AND($K67&lt;&gt;"a",$K67&lt;&gt;"b",$K67&lt;&gt;"g",$K67&lt;&gt;"k")),1,IF(AND($E67&lt;&gt;0,$F67&gt;0,YEAR($F67)&lt;Preisindex!$A$6,YEAR(AE$4)&gt;=YEAR($F67),$K67="a"),ROUND(VLOOKUP(AJ$4,Preisindex,5,FALSE)/VLOOKUP(Preisindex!$A$6,Preisindex,5,FALSE),2),IF(AND($E67&lt;&gt;0,$F67&gt;0,YEAR($F67)&lt;Preisindex!$A$6,YEAR(AE$4)&gt;=YEAR($F67),$K67="b"),ROUND(VLOOKUP(AJ$4,Preisindex,3,FALSE)/VLOOKUP(Preisindex!$A$6,Preisindex,3,FALSE),2),IF(AND($E67&lt;&gt;0,$F67&gt;0,YEAR($F67)&lt;Preisindex!$A$6,YEAR(AE$4)&gt;=YEAR($F67),$K67="g"),ROUND(VLOOKUP(AJ$4,Preisindex,4,FALSE)/VLOOKUP(Preisindex!$A$6,Preisindex,4,FALSE),2),IF(AND($E67&lt;&gt;0,$F67&gt;0,YEAR($F67)&lt;Preisindex!$A$6,YEAR(AE$4)&gt;=YEAR($F67),$K67="k"),ROUND(VLOOKUP(AJ$4,Preisindex,2,FALSE)/VLOOKUP(Preisindex!$A$6,Preisindex,2,FALSE),2),0)))))</f>
        <v>0</v>
      </c>
      <c r="AL67" s="51">
        <f>IF(AND($E67&lt;&gt;0,$F67&gt;0,YEAR($F67)&lt;=AJ$4,YEAR($F67)&gt;=Preisindex!$A$6),ROUND($E67*AJ67,2),IF(AND($E67&lt;&gt;0,$F67&gt;0,YEAR($F67)&lt;=AJ$4,YEAR($F67)&lt;Preisindex!$A$6),ROUND($E67*AK67,2),0))</f>
        <v>14760</v>
      </c>
      <c r="AM67" s="53">
        <f t="shared" si="314"/>
        <v>295.2</v>
      </c>
      <c r="AN67" s="51">
        <f t="shared" si="359"/>
        <v>0</v>
      </c>
      <c r="AO67" s="51">
        <f t="shared" si="317"/>
        <v>0</v>
      </c>
      <c r="AP67" s="51">
        <f t="shared" si="146"/>
        <v>0</v>
      </c>
      <c r="AQ67" s="51">
        <f t="shared" si="318"/>
        <v>0</v>
      </c>
      <c r="AR67" s="51">
        <f t="shared" si="148"/>
        <v>12000</v>
      </c>
      <c r="AS67" s="51">
        <f t="shared" si="319"/>
        <v>12000</v>
      </c>
      <c r="AT67" s="51">
        <f t="shared" si="150"/>
        <v>240</v>
      </c>
      <c r="AU67" s="51">
        <f t="shared" si="320"/>
        <v>240</v>
      </c>
      <c r="AV67" s="51">
        <f t="shared" si="152"/>
        <v>8760</v>
      </c>
      <c r="AW67" s="51">
        <f t="shared" si="321"/>
        <v>8760</v>
      </c>
      <c r="AX67" s="51">
        <f t="shared" si="154"/>
        <v>3240</v>
      </c>
      <c r="AY67" s="54">
        <f t="shared" si="155"/>
        <v>0</v>
      </c>
      <c r="AZ67" s="55">
        <f t="shared" si="156"/>
        <v>0</v>
      </c>
      <c r="BA67" s="56">
        <f>IF(AND($E67&lt;&gt;0,$F67&gt;0,YEAR($F67)&gt;=Preisindex!$A$6,YEAR(AV$4)&gt;=YEAR($F67),AND($K67&lt;&gt;"a",$K67&lt;&gt;"b",$K67&lt;&gt;"g",$K67&lt;&gt;"k")),1,IF(AND($E67&lt;&gt;0,$F67&gt;0,YEAR($F67)&gt;=Preisindex!$A$6,YEAR(AV$4)&gt;=YEAR($F67),$K67="a"),ROUND(VLOOKUP(BA$4,Preisindex,5,FALSE)/VLOOKUP(YEAR($F67),Preisindex,5,FALSE),2),IF(AND($E67&lt;&gt;0,$F67&gt;0,YEAR($F67)&gt;=Preisindex!$A$6,YEAR(AV$4)&gt;=YEAR($F67),$K67="b"),ROUND(VLOOKUP(BA$4,Preisindex,3,FALSE)/VLOOKUP(YEAR($F67),Preisindex,3,FALSE),2),IF(AND($E67&lt;&gt;0,$F67&gt;0,YEAR($F67)&gt;=Preisindex!$A$6,YEAR(AV$4)&gt;=YEAR($F67),$K67="g"),ROUND(VLOOKUP(BA$4,Preisindex,4,FALSE)/VLOOKUP(YEAR($F67),Preisindex,4,FALSE),2),IF(AND($E67&lt;&gt;0,$F67&gt;0,YEAR($F67)&gt;=Preisindex!$A$6,YEAR(AV$4)&gt;=YEAR($F67),$K67="k"),ROUND(VLOOKUP(BA$4,Preisindex,2,FALSE)/VLOOKUP(YEAR($F67),Preisindex,2,FALSE),2),0)))))</f>
        <v>1.25</v>
      </c>
      <c r="BB67" s="56">
        <f>IF(AND($E67&lt;&gt;0,$F67&gt;0,YEAR($F67)&lt;Preisindex!$A$6,YEAR(AV$4)&gt;=YEAR($F67),AND($K67&lt;&gt;"a",$K67&lt;&gt;"b",$K67&lt;&gt;"g",$K67&lt;&gt;"k")),1,IF(AND($E67&lt;&gt;0,$F67&gt;0,YEAR($F67)&lt;Preisindex!$A$6,YEAR(AV$4)&gt;=YEAR($F67),$K67="a"),ROUND(VLOOKUP(BA$4,Preisindex,5,FALSE)/VLOOKUP(Preisindex!$A$6,Preisindex,5,FALSE),2),IF(AND($E67&lt;&gt;0,$F67&gt;0,YEAR($F67)&lt;Preisindex!$A$6,YEAR(AV$4)&gt;=YEAR($F67),$K67="b"),ROUND(VLOOKUP(BA$4,Preisindex,3,FALSE)/VLOOKUP(Preisindex!$A$6,Preisindex,3,FALSE),2),IF(AND($E67&lt;&gt;0,$F67&gt;0,YEAR($F67)&lt;Preisindex!$A$6,YEAR(AV$4)&gt;=YEAR($F67),$K67="g"),ROUND(VLOOKUP(BA$4,Preisindex,4,FALSE)/VLOOKUP(Preisindex!$A$6,Preisindex,4,FALSE),2),IF(AND($E67&lt;&gt;0,$F67&gt;0,YEAR($F67)&lt;Preisindex!$A$6,YEAR(AV$4)&gt;=YEAR($F67),$K67="k"),ROUND(VLOOKUP(BA$4,Preisindex,2,FALSE)/VLOOKUP(Preisindex!$A$6,Preisindex,2,FALSE),2),0)))))</f>
        <v>0</v>
      </c>
      <c r="BC67" s="51">
        <f>IF(AND($E67&lt;&gt;0,$F67&gt;0,YEAR($F67)&lt;=BA$4,YEAR($F67)&gt;=Preisindex!$A$6),ROUND($E67*BA67,2),IF(AND($E67&lt;&gt;0,$F67&gt;0,YEAR($F67)&lt;=BA$4,YEAR($F67)&lt;Preisindex!$A$6),ROUND($E67*BB67,2),0))</f>
        <v>15000</v>
      </c>
      <c r="BD67" s="53">
        <f t="shared" si="157"/>
        <v>300</v>
      </c>
      <c r="BE67" s="51">
        <f t="shared" si="359"/>
        <v>0</v>
      </c>
      <c r="BF67" s="51">
        <f t="shared" si="322"/>
        <v>0</v>
      </c>
      <c r="BG67" s="51">
        <f t="shared" si="160"/>
        <v>0</v>
      </c>
      <c r="BH67" s="51">
        <f t="shared" si="323"/>
        <v>0</v>
      </c>
      <c r="BI67" s="51">
        <f t="shared" si="162"/>
        <v>12000</v>
      </c>
      <c r="BJ67" s="51">
        <f t="shared" si="324"/>
        <v>12000</v>
      </c>
      <c r="BK67" s="51">
        <f t="shared" si="164"/>
        <v>240</v>
      </c>
      <c r="BL67" s="51">
        <f t="shared" si="325"/>
        <v>240</v>
      </c>
      <c r="BM67" s="51">
        <f t="shared" si="166"/>
        <v>8520</v>
      </c>
      <c r="BN67" s="51">
        <f t="shared" si="326"/>
        <v>8520</v>
      </c>
      <c r="BO67" s="51">
        <f t="shared" si="168"/>
        <v>3480</v>
      </c>
      <c r="BP67" s="54">
        <f t="shared" si="169"/>
        <v>0</v>
      </c>
      <c r="BQ67" s="55">
        <f t="shared" si="170"/>
        <v>0</v>
      </c>
      <c r="BR67" s="56">
        <f>IF(AND($E67&lt;&gt;0,$F67&gt;0,YEAR($F67)&gt;=Preisindex!$A$6,YEAR(BM$4)&gt;=YEAR($F67),AND($K67&lt;&gt;"a",$K67&lt;&gt;"b",$K67&lt;&gt;"g",$K67&lt;&gt;"k")),1,IF(AND($E67&lt;&gt;0,$F67&gt;0,YEAR($F67)&gt;=Preisindex!$A$6,YEAR(BM$4)&gt;=YEAR($F67),$K67="a"),ROUND(VLOOKUP(BR$4,Preisindex,5,FALSE)/VLOOKUP(YEAR($F67),Preisindex,5,FALSE),2),IF(AND($E67&lt;&gt;0,$F67&gt;0,YEAR($F67)&gt;=Preisindex!$A$6,YEAR(BM$4)&gt;=YEAR($F67),$K67="b"),ROUND(VLOOKUP(BR$4,Preisindex,3,FALSE)/VLOOKUP(YEAR($F67),Preisindex,3,FALSE),2),IF(AND($E67&lt;&gt;0,$F67&gt;0,YEAR($F67)&gt;=Preisindex!$A$6,YEAR(BM$4)&gt;=YEAR($F67),$K67="g"),ROUND(VLOOKUP(BR$4,Preisindex,4,FALSE)/VLOOKUP(YEAR($F67),Preisindex,4,FALSE),2),IF(AND($E67&lt;&gt;0,$F67&gt;0,YEAR($F67)&gt;=Preisindex!$A$6,YEAR(BM$4)&gt;=YEAR($F67),$K67="k"),ROUND(VLOOKUP(BR$4,Preisindex,2,FALSE)/VLOOKUP(YEAR($F67),Preisindex,2,FALSE),2),0)))))</f>
        <v>1.27</v>
      </c>
      <c r="BS67" s="56">
        <f>IF(AND($E67&lt;&gt;0,$F67&gt;0,YEAR($F67)&lt;Preisindex!$A$6,YEAR(BM$4)&gt;=YEAR($F67),AND($K67&lt;&gt;"a",$K67&lt;&gt;"b",$K67&lt;&gt;"g",$K67&lt;&gt;"k")),1,IF(AND($E67&lt;&gt;0,$F67&gt;0,YEAR($F67)&lt;Preisindex!$A$6,YEAR(BM$4)&gt;=YEAR($F67),$K67="a"),ROUND(VLOOKUP(BR$4,Preisindex,5,FALSE)/VLOOKUP(Preisindex!$A$6,Preisindex,5,FALSE),2),IF(AND($E67&lt;&gt;0,$F67&gt;0,YEAR($F67)&lt;Preisindex!$A$6,YEAR(BM$4)&gt;=YEAR($F67),$K67="b"),ROUND(VLOOKUP(BR$4,Preisindex,3,FALSE)/VLOOKUP(Preisindex!$A$6,Preisindex,3,FALSE),2),IF(AND($E67&lt;&gt;0,$F67&gt;0,YEAR($F67)&lt;Preisindex!$A$6,YEAR(BM$4)&gt;=YEAR($F67),$K67="g"),ROUND(VLOOKUP(BR$4,Preisindex,4,FALSE)/VLOOKUP(Preisindex!$A$6,Preisindex,4,FALSE),2),IF(AND($E67&lt;&gt;0,$F67&gt;0,YEAR($F67)&lt;Preisindex!$A$6,YEAR(BM$4)&gt;=YEAR($F67),$K67="k"),ROUND(VLOOKUP(BR$4,Preisindex,2,FALSE)/VLOOKUP(Preisindex!$A$6,Preisindex,2,FALSE),2),0)))))</f>
        <v>0</v>
      </c>
      <c r="BT67" s="51">
        <f>IF(AND($E67&lt;&gt;0,$F67&gt;0,YEAR($F67)&lt;=BR$4,YEAR($F67)&gt;=Preisindex!$A$6),ROUND($E67*BR67,2),IF(AND($E67&lt;&gt;0,$F67&gt;0,YEAR($F67)&lt;=BR$4,YEAR($F67)&lt;Preisindex!$A$6),ROUND($E67*BS67,2),0))</f>
        <v>15240</v>
      </c>
      <c r="BU67" s="53">
        <f t="shared" si="171"/>
        <v>304.8</v>
      </c>
      <c r="BV67" s="51">
        <f t="shared" si="359"/>
        <v>0</v>
      </c>
      <c r="BW67" s="51">
        <f t="shared" si="327"/>
        <v>0</v>
      </c>
      <c r="BX67" s="51">
        <f t="shared" si="174"/>
        <v>0</v>
      </c>
      <c r="BY67" s="51">
        <f t="shared" si="328"/>
        <v>0</v>
      </c>
      <c r="BZ67" s="51">
        <f t="shared" si="176"/>
        <v>12000</v>
      </c>
      <c r="CA67" s="51">
        <f t="shared" si="329"/>
        <v>12000</v>
      </c>
      <c r="CB67" s="51">
        <f t="shared" si="178"/>
        <v>240</v>
      </c>
      <c r="CC67" s="51">
        <f t="shared" si="330"/>
        <v>240</v>
      </c>
      <c r="CD67" s="51">
        <f t="shared" si="180"/>
        <v>8280</v>
      </c>
      <c r="CE67" s="51">
        <f t="shared" si="331"/>
        <v>8280</v>
      </c>
      <c r="CF67" s="51">
        <f t="shared" si="182"/>
        <v>3720</v>
      </c>
      <c r="CG67" s="54">
        <f t="shared" si="183"/>
        <v>0</v>
      </c>
      <c r="CH67" s="55">
        <f t="shared" si="184"/>
        <v>0</v>
      </c>
      <c r="CI67" s="56">
        <f>IF(AND($E67&lt;&gt;0,$F67&gt;0,YEAR($F67)&gt;=Preisindex!$A$6,YEAR(CD$4)&gt;=YEAR($F67),AND($K67&lt;&gt;"a",$K67&lt;&gt;"b",$K67&lt;&gt;"g",$K67&lt;&gt;"k")),1,IF(AND($E67&lt;&gt;0,$F67&gt;0,YEAR($F67)&gt;=Preisindex!$A$6,YEAR(CD$4)&gt;=YEAR($F67),$K67="a"),ROUND(VLOOKUP(CI$4,Preisindex,5,FALSE)/VLOOKUP(YEAR($F67),Preisindex,5,FALSE),2),IF(AND($E67&lt;&gt;0,$F67&gt;0,YEAR($F67)&gt;=Preisindex!$A$6,YEAR(CD$4)&gt;=YEAR($F67),$K67="b"),ROUND(VLOOKUP(CI$4,Preisindex,3,FALSE)/VLOOKUP(YEAR($F67),Preisindex,3,FALSE),2),IF(AND($E67&lt;&gt;0,$F67&gt;0,YEAR($F67)&gt;=Preisindex!$A$6,YEAR(CD$4)&gt;=YEAR($F67),$K67="g"),ROUND(VLOOKUP(CI$4,Preisindex,4,FALSE)/VLOOKUP(YEAR($F67),Preisindex,4,FALSE),2),IF(AND($E67&lt;&gt;0,$F67&gt;0,YEAR($F67)&gt;=Preisindex!$A$6,YEAR(CD$4)&gt;=YEAR($F67),$K67="k"),ROUND(VLOOKUP(CI$4,Preisindex,2,FALSE)/VLOOKUP(YEAR($F67),Preisindex,2,FALSE),2),0)))))</f>
        <v>1.28</v>
      </c>
      <c r="CJ67" s="56">
        <f>IF(AND($E67&lt;&gt;0,$F67&gt;0,YEAR($F67)&lt;Preisindex!$A$6,YEAR(CD$4)&gt;=YEAR($F67),AND($K67&lt;&gt;"a",$K67&lt;&gt;"b",$K67&lt;&gt;"g",$K67&lt;&gt;"k")),1,IF(AND($E67&lt;&gt;0,$F67&gt;0,YEAR($F67)&lt;Preisindex!$A$6,YEAR(CD$4)&gt;=YEAR($F67),$K67="a"),ROUND(VLOOKUP(CI$4,Preisindex,5,FALSE)/VLOOKUP(Preisindex!$A$6,Preisindex,5,FALSE),2),IF(AND($E67&lt;&gt;0,$F67&gt;0,YEAR($F67)&lt;Preisindex!$A$6,YEAR(CD$4)&gt;=YEAR($F67),$K67="b"),ROUND(VLOOKUP(CI$4,Preisindex,3,FALSE)/VLOOKUP(Preisindex!$A$6,Preisindex,3,FALSE),2),IF(AND($E67&lt;&gt;0,$F67&gt;0,YEAR($F67)&lt;Preisindex!$A$6,YEAR(CD$4)&gt;=YEAR($F67),$K67="g"),ROUND(VLOOKUP(CI$4,Preisindex,4,FALSE)/VLOOKUP(Preisindex!$A$6,Preisindex,4,FALSE),2),IF(AND($E67&lt;&gt;0,$F67&gt;0,YEAR($F67)&lt;Preisindex!$A$6,YEAR(CD$4)&gt;=YEAR($F67),$K67="k"),ROUND(VLOOKUP(CI$4,Preisindex,2,FALSE)/VLOOKUP(Preisindex!$A$6,Preisindex,2,FALSE),2),0)))))</f>
        <v>0</v>
      </c>
      <c r="CK67" s="51">
        <f>IF(AND($E67&lt;&gt;0,$F67&gt;0,YEAR($F67)&lt;=CI$4,YEAR($F67)&gt;=Preisindex!$A$6),ROUND($E67*CI67,2),IF(AND($E67&lt;&gt;0,$F67&gt;0,YEAR($F67)&lt;=CI$4,YEAR($F67)&lt;Preisindex!$A$6),ROUND($E67*CJ67,2),0))</f>
        <v>15360</v>
      </c>
      <c r="CL67" s="53">
        <f t="shared" si="185"/>
        <v>307.2</v>
      </c>
      <c r="CM67" s="51">
        <f t="shared" si="359"/>
        <v>0</v>
      </c>
      <c r="CN67" s="51">
        <f t="shared" si="332"/>
        <v>0</v>
      </c>
      <c r="CO67" s="51">
        <f t="shared" si="188"/>
        <v>0</v>
      </c>
      <c r="CP67" s="51">
        <f t="shared" si="333"/>
        <v>0</v>
      </c>
      <c r="CQ67" s="51">
        <f t="shared" si="190"/>
        <v>12000</v>
      </c>
      <c r="CR67" s="51">
        <f t="shared" si="334"/>
        <v>12000</v>
      </c>
      <c r="CS67" s="51">
        <f t="shared" si="192"/>
        <v>240</v>
      </c>
      <c r="CT67" s="51">
        <f t="shared" si="335"/>
        <v>240</v>
      </c>
      <c r="CU67" s="51">
        <f t="shared" si="194"/>
        <v>8040</v>
      </c>
      <c r="CV67" s="51">
        <f t="shared" si="336"/>
        <v>8040</v>
      </c>
      <c r="CW67" s="51">
        <f t="shared" si="196"/>
        <v>3960</v>
      </c>
      <c r="CX67" s="54">
        <f t="shared" si="197"/>
        <v>0</v>
      </c>
      <c r="CY67" s="55">
        <f t="shared" si="198"/>
        <v>0</v>
      </c>
      <c r="CZ67" s="56">
        <f>IF(AND($E67&lt;&gt;0,$F67&gt;0,YEAR($F67)&gt;=Preisindex!$A$6,YEAR(CU$4)&gt;=YEAR($F67),AND($K67&lt;&gt;"a",$K67&lt;&gt;"b",$K67&lt;&gt;"g",$K67&lt;&gt;"k")),1,IF(AND($E67&lt;&gt;0,$F67&gt;0,YEAR($F67)&gt;=Preisindex!$A$6,YEAR(CU$4)&gt;=YEAR($F67),$K67="a"),ROUND(VLOOKUP(CZ$4,Preisindex,5,FALSE)/VLOOKUP(YEAR($F67),Preisindex,5,FALSE),2),IF(AND($E67&lt;&gt;0,$F67&gt;0,YEAR($F67)&gt;=Preisindex!$A$6,YEAR(CU$4)&gt;=YEAR($F67),$K67="b"),ROUND(VLOOKUP(CZ$4,Preisindex,3,FALSE)/VLOOKUP(YEAR($F67),Preisindex,3,FALSE),2),IF(AND($E67&lt;&gt;0,$F67&gt;0,YEAR($F67)&gt;=Preisindex!$A$6,YEAR(CU$4)&gt;=YEAR($F67),$K67="g"),ROUND(VLOOKUP(CZ$4,Preisindex,4,FALSE)/VLOOKUP(YEAR($F67),Preisindex,4,FALSE),2),IF(AND($E67&lt;&gt;0,$F67&gt;0,YEAR($F67)&gt;=Preisindex!$A$6,YEAR(CU$4)&gt;=YEAR($F67),$K67="k"),ROUND(VLOOKUP(CZ$4,Preisindex,2,FALSE)/VLOOKUP(YEAR($F67),Preisindex,2,FALSE),2),0)))))</f>
        <v>1.31</v>
      </c>
      <c r="DA67" s="56">
        <f>IF(AND($E67&lt;&gt;0,$F67&gt;0,YEAR($F67)&lt;Preisindex!$A$6,YEAR(CU$4)&gt;=YEAR($F67),AND($K67&lt;&gt;"a",$K67&lt;&gt;"b",$K67&lt;&gt;"g",$K67&lt;&gt;"k")),1,IF(AND($E67&lt;&gt;0,$F67&gt;0,YEAR($F67)&lt;Preisindex!$A$6,YEAR(CU$4)&gt;=YEAR($F67),$K67="a"),ROUND(VLOOKUP(CZ$4,Preisindex,5,FALSE)/VLOOKUP(Preisindex!$A$6,Preisindex,5,FALSE),2),IF(AND($E67&lt;&gt;0,$F67&gt;0,YEAR($F67)&lt;Preisindex!$A$6,YEAR(CU$4)&gt;=YEAR($F67),$K67="b"),ROUND(VLOOKUP(CZ$4,Preisindex,3,FALSE)/VLOOKUP(Preisindex!$A$6,Preisindex,3,FALSE),2),IF(AND($E67&lt;&gt;0,$F67&gt;0,YEAR($F67)&lt;Preisindex!$A$6,YEAR(CU$4)&gt;=YEAR($F67),$K67="g"),ROUND(VLOOKUP(CZ$4,Preisindex,4,FALSE)/VLOOKUP(Preisindex!$A$6,Preisindex,4,FALSE),2),IF(AND($E67&lt;&gt;0,$F67&gt;0,YEAR($F67)&lt;Preisindex!$A$6,YEAR(CU$4)&gt;=YEAR($F67),$K67="k"),ROUND(VLOOKUP(CZ$4,Preisindex,2,FALSE)/VLOOKUP(Preisindex!$A$6,Preisindex,2,FALSE),2),0)))))</f>
        <v>0</v>
      </c>
      <c r="DB67" s="51">
        <f>IF(AND($E67&lt;&gt;0,$F67&gt;0,YEAR($F67)&lt;=CZ$4,YEAR($F67)&gt;=Preisindex!$A$6),ROUND($E67*CZ67,2),IF(AND($E67&lt;&gt;0,$F67&gt;0,YEAR($F67)&lt;=CZ$4,YEAR($F67)&lt;Preisindex!$A$6),ROUND($E67*DA67,2),0))</f>
        <v>15720</v>
      </c>
      <c r="DC67" s="53">
        <f t="shared" si="199"/>
        <v>314.40000000000003</v>
      </c>
      <c r="DD67" s="51">
        <f t="shared" si="360"/>
        <v>0</v>
      </c>
      <c r="DE67" s="51">
        <f t="shared" si="337"/>
        <v>0</v>
      </c>
      <c r="DF67" s="51">
        <f t="shared" si="202"/>
        <v>0</v>
      </c>
      <c r="DG67" s="51">
        <f t="shared" si="338"/>
        <v>0</v>
      </c>
      <c r="DH67" s="51">
        <f t="shared" si="204"/>
        <v>12000</v>
      </c>
      <c r="DI67" s="51">
        <f t="shared" si="339"/>
        <v>12000</v>
      </c>
      <c r="DJ67" s="51">
        <f t="shared" si="206"/>
        <v>240</v>
      </c>
      <c r="DK67" s="51">
        <f t="shared" si="340"/>
        <v>240</v>
      </c>
      <c r="DL67" s="51">
        <f t="shared" si="208"/>
        <v>7800</v>
      </c>
      <c r="DM67" s="51">
        <f t="shared" si="341"/>
        <v>7800</v>
      </c>
      <c r="DN67" s="51">
        <f t="shared" si="210"/>
        <v>4200</v>
      </c>
      <c r="DO67" s="54">
        <f t="shared" si="211"/>
        <v>0</v>
      </c>
      <c r="DP67" s="55">
        <f t="shared" si="212"/>
        <v>0</v>
      </c>
      <c r="DQ67" s="56">
        <f>IF(AND($E67&lt;&gt;0,$F67&gt;0,YEAR($F67)&gt;=Preisindex!$A$6,YEAR(DL$4)&gt;=YEAR($F67),AND($K67&lt;&gt;"a",$K67&lt;&gt;"b",$K67&lt;&gt;"g",$K67&lt;&gt;"k")),1,IF(AND($E67&lt;&gt;0,$F67&gt;0,YEAR($F67)&gt;=Preisindex!$A$6,YEAR(DL$4)&gt;=YEAR($F67),$K67="a"),ROUND(VLOOKUP(DQ$4,Preisindex,5,FALSE)/VLOOKUP(YEAR($F67),Preisindex,5,FALSE),2),IF(AND($E67&lt;&gt;0,$F67&gt;0,YEAR($F67)&gt;=Preisindex!$A$6,YEAR(DL$4)&gt;=YEAR($F67),$K67="b"),ROUND(VLOOKUP(DQ$4,Preisindex,3,FALSE)/VLOOKUP(YEAR($F67),Preisindex,3,FALSE),2),IF(AND($E67&lt;&gt;0,$F67&gt;0,YEAR($F67)&gt;=Preisindex!$A$6,YEAR(DL$4)&gt;=YEAR($F67),$K67="g"),ROUND(VLOOKUP(DQ$4,Preisindex,4,FALSE)/VLOOKUP(YEAR($F67),Preisindex,4,FALSE),2),IF(AND($E67&lt;&gt;0,$F67&gt;0,YEAR($F67)&gt;=Preisindex!$A$6,YEAR(DL$4)&gt;=YEAR($F67),$K67="k"),ROUND(VLOOKUP(DQ$4,Preisindex,2,FALSE)/VLOOKUP(YEAR($F67),Preisindex,2,FALSE),2),0)))))</f>
        <v>1.35</v>
      </c>
      <c r="DR67" s="56">
        <f>IF(AND($E67&lt;&gt;0,$F67&gt;0,YEAR($F67)&lt;Preisindex!$A$6,YEAR(DL$4)&gt;=YEAR($F67),AND($K67&lt;&gt;"a",$K67&lt;&gt;"b",$K67&lt;&gt;"g",$K67&lt;&gt;"k")),1,IF(AND($E67&lt;&gt;0,$F67&gt;0,YEAR($F67)&lt;Preisindex!$A$6,YEAR(DL$4)&gt;=YEAR($F67),$K67="a"),ROUND(VLOOKUP(DQ$4,Preisindex,5,FALSE)/VLOOKUP(Preisindex!$A$6,Preisindex,5,FALSE),2),IF(AND($E67&lt;&gt;0,$F67&gt;0,YEAR($F67)&lt;Preisindex!$A$6,YEAR(DL$4)&gt;=YEAR($F67),$K67="b"),ROUND(VLOOKUP(DQ$4,Preisindex,3,FALSE)/VLOOKUP(Preisindex!$A$6,Preisindex,3,FALSE),2),IF(AND($E67&lt;&gt;0,$F67&gt;0,YEAR($F67)&lt;Preisindex!$A$6,YEAR(DL$4)&gt;=YEAR($F67),$K67="g"),ROUND(VLOOKUP(DQ$4,Preisindex,4,FALSE)/VLOOKUP(Preisindex!$A$6,Preisindex,4,FALSE),2),IF(AND($E67&lt;&gt;0,$F67&gt;0,YEAR($F67)&lt;Preisindex!$A$6,YEAR(DL$4)&gt;=YEAR($F67),$K67="k"),ROUND(VLOOKUP(DQ$4,Preisindex,2,FALSE)/VLOOKUP(Preisindex!$A$6,Preisindex,2,FALSE),2),0)))))</f>
        <v>0</v>
      </c>
      <c r="DS67" s="51">
        <f>IF(AND($E67&lt;&gt;0,$F67&gt;0,YEAR($F67)&lt;=DQ$4,YEAR($F67)&gt;=Preisindex!$A$6),ROUND($E67*DQ67,2),IF(AND($E67&lt;&gt;0,$F67&gt;0,YEAR($F67)&lt;=DQ$4,YEAR($F67)&lt;Preisindex!$A$6),ROUND($E67*DR67,2),0))</f>
        <v>16200</v>
      </c>
      <c r="DT67" s="53">
        <f t="shared" si="213"/>
        <v>324</v>
      </c>
      <c r="DU67" s="51">
        <f t="shared" si="360"/>
        <v>0</v>
      </c>
      <c r="DV67" s="51">
        <f t="shared" si="342"/>
        <v>0</v>
      </c>
      <c r="DW67" s="51">
        <f t="shared" si="216"/>
        <v>0</v>
      </c>
      <c r="DX67" s="51">
        <f t="shared" si="343"/>
        <v>0</v>
      </c>
      <c r="DY67" s="51">
        <f t="shared" si="218"/>
        <v>12000</v>
      </c>
      <c r="DZ67" s="51">
        <f t="shared" si="344"/>
        <v>12000</v>
      </c>
      <c r="EA67" s="51">
        <f t="shared" si="220"/>
        <v>240</v>
      </c>
      <c r="EB67" s="51">
        <f t="shared" si="345"/>
        <v>240</v>
      </c>
      <c r="EC67" s="51">
        <f t="shared" si="222"/>
        <v>7560</v>
      </c>
      <c r="ED67" s="51">
        <f t="shared" si="346"/>
        <v>7560</v>
      </c>
      <c r="EE67" s="51">
        <f t="shared" si="224"/>
        <v>4440</v>
      </c>
      <c r="EF67" s="54">
        <f t="shared" si="225"/>
        <v>0</v>
      </c>
      <c r="EG67" s="55">
        <f t="shared" si="226"/>
        <v>0</v>
      </c>
      <c r="EH67" s="56">
        <f>IF(AND($E67&lt;&gt;0,$F67&gt;0,YEAR($F67)&gt;=Preisindex!$A$6,YEAR(EC$4)&gt;=YEAR($F67),AND($K67&lt;&gt;"a",$K67&lt;&gt;"b",$K67&lt;&gt;"g",$K67&lt;&gt;"k")),1,IF(AND($E67&lt;&gt;0,$F67&gt;0,YEAR($F67)&gt;=Preisindex!$A$6,YEAR(EC$4)&gt;=YEAR($F67),$K67="a"),ROUND(VLOOKUP(EH$4,Preisindex,5,FALSE)/VLOOKUP(YEAR($F67),Preisindex,5,FALSE),2),IF(AND($E67&lt;&gt;0,$F67&gt;0,YEAR($F67)&gt;=Preisindex!$A$6,YEAR(EC$4)&gt;=YEAR($F67),$K67="b"),ROUND(VLOOKUP(EH$4,Preisindex,3,FALSE)/VLOOKUP(YEAR($F67),Preisindex,3,FALSE),2),IF(AND($E67&lt;&gt;0,$F67&gt;0,YEAR($F67)&gt;=Preisindex!$A$6,YEAR(EC$4)&gt;=YEAR($F67),$K67="g"),ROUND(VLOOKUP(EH$4,Preisindex,4,FALSE)/VLOOKUP(YEAR($F67),Preisindex,4,FALSE),2),IF(AND($E67&lt;&gt;0,$F67&gt;0,YEAR($F67)&gt;=Preisindex!$A$6,YEAR(EC$4)&gt;=YEAR($F67),$K67="k"),ROUND(VLOOKUP(EH$4,Preisindex,2,FALSE)/VLOOKUP(YEAR($F67),Preisindex,2,FALSE),2),0)))))</f>
        <v>1.42</v>
      </c>
      <c r="EI67" s="56">
        <f>IF(AND($E67&lt;&gt;0,$F67&gt;0,YEAR($F67)&lt;Preisindex!$A$6,YEAR(EC$4)&gt;=YEAR($F67),AND($K67&lt;&gt;"a",$K67&lt;&gt;"b",$K67&lt;&gt;"g",$K67&lt;&gt;"k")),1,IF(AND($E67&lt;&gt;0,$F67&gt;0,YEAR($F67)&lt;Preisindex!$A$6,YEAR(EC$4)&gt;=YEAR($F67),$K67="a"),ROUND(VLOOKUP(EH$4,Preisindex,5,FALSE)/VLOOKUP(Preisindex!$A$6,Preisindex,5,FALSE),2),IF(AND($E67&lt;&gt;0,$F67&gt;0,YEAR($F67)&lt;Preisindex!$A$6,YEAR(EC$4)&gt;=YEAR($F67),$K67="b"),ROUND(VLOOKUP(EH$4,Preisindex,3,FALSE)/VLOOKUP(Preisindex!$A$6,Preisindex,3,FALSE),2),IF(AND($E67&lt;&gt;0,$F67&gt;0,YEAR($F67)&lt;Preisindex!$A$6,YEAR(EC$4)&gt;=YEAR($F67),$K67="g"),ROUND(VLOOKUP(EH$4,Preisindex,4,FALSE)/VLOOKUP(Preisindex!$A$6,Preisindex,4,FALSE),2),IF(AND($E67&lt;&gt;0,$F67&gt;0,YEAR($F67)&lt;Preisindex!$A$6,YEAR(EC$4)&gt;=YEAR($F67),$K67="k"),ROUND(VLOOKUP(EH$4,Preisindex,2,FALSE)/VLOOKUP(Preisindex!$A$6,Preisindex,2,FALSE),2),0)))))</f>
        <v>0</v>
      </c>
      <c r="EJ67" s="51">
        <f>IF(AND($E67&lt;&gt;0,$F67&gt;0,YEAR($F67)&lt;=EH$4,YEAR($F67)&gt;=Preisindex!$A$6),ROUND($E67*EH67,2),IF(AND($E67&lt;&gt;0,$F67&gt;0,YEAR($F67)&lt;=EH$4,YEAR($F67)&lt;Preisindex!$A$6),ROUND($E67*EI67,2),0))</f>
        <v>17040</v>
      </c>
      <c r="EK67" s="53">
        <f t="shared" si="227"/>
        <v>340.8</v>
      </c>
      <c r="EL67" s="51">
        <f t="shared" si="360"/>
        <v>0</v>
      </c>
      <c r="EM67" s="51">
        <f t="shared" si="347"/>
        <v>0</v>
      </c>
      <c r="EN67" s="51">
        <f t="shared" si="230"/>
        <v>0</v>
      </c>
      <c r="EO67" s="51">
        <f t="shared" si="348"/>
        <v>0</v>
      </c>
      <c r="EP67" s="51">
        <f t="shared" si="232"/>
        <v>12000</v>
      </c>
      <c r="EQ67" s="51">
        <f t="shared" si="349"/>
        <v>12000</v>
      </c>
      <c r="ER67" s="51">
        <f t="shared" si="234"/>
        <v>240</v>
      </c>
      <c r="ES67" s="51">
        <f t="shared" si="350"/>
        <v>240</v>
      </c>
      <c r="ET67" s="51">
        <f t="shared" si="236"/>
        <v>7320</v>
      </c>
      <c r="EU67" s="51">
        <f t="shared" si="351"/>
        <v>7320</v>
      </c>
      <c r="EV67" s="51">
        <f t="shared" si="238"/>
        <v>4680</v>
      </c>
      <c r="EW67" s="54">
        <f t="shared" si="239"/>
        <v>0</v>
      </c>
      <c r="EX67" s="55">
        <f t="shared" si="240"/>
        <v>0</v>
      </c>
      <c r="EY67" s="56">
        <f>IF(AND($E67&lt;&gt;0,$F67&gt;0,YEAR($F67)&gt;=Preisindex!$A$6,YEAR(ET$4)&gt;=YEAR($F67),AND($K67&lt;&gt;"a",$K67&lt;&gt;"b",$K67&lt;&gt;"g",$K67&lt;&gt;"k")),1,IF(AND($E67&lt;&gt;0,$F67&gt;0,YEAR($F67)&gt;=Preisindex!$A$6,YEAR(ET$4)&gt;=YEAR($F67),$K67="a"),ROUND(VLOOKUP(EY$4,Preisindex,5,FALSE)/VLOOKUP(YEAR($F67),Preisindex,5,FALSE),2),IF(AND($E67&lt;&gt;0,$F67&gt;0,YEAR($F67)&gt;=Preisindex!$A$6,YEAR(ET$4)&gt;=YEAR($F67),$K67="b"),ROUND(VLOOKUP(EY$4,Preisindex,3,FALSE)/VLOOKUP(YEAR($F67),Preisindex,3,FALSE),2),IF(AND($E67&lt;&gt;0,$F67&gt;0,YEAR($F67)&gt;=Preisindex!$A$6,YEAR(ET$4)&gt;=YEAR($F67),$K67="g"),ROUND(VLOOKUP(EY$4,Preisindex,4,FALSE)/VLOOKUP(YEAR($F67),Preisindex,4,FALSE),2),IF(AND($E67&lt;&gt;0,$F67&gt;0,YEAR($F67)&gt;=Preisindex!$A$6,YEAR(ET$4)&gt;=YEAR($F67),$K67="k"),ROUND(VLOOKUP(EY$4,Preisindex,2,FALSE)/VLOOKUP(YEAR($F67),Preisindex,2,FALSE),2),0)))))</f>
        <v>1.42</v>
      </c>
      <c r="EZ67" s="56">
        <f>IF(AND($E67&lt;&gt;0,$F67&gt;0,YEAR($F67)&lt;Preisindex!$A$6,YEAR(ET$4)&gt;=YEAR($F67),AND($K67&lt;&gt;"a",$K67&lt;&gt;"b",$K67&lt;&gt;"g",$K67&lt;&gt;"k")),1,IF(AND($E67&lt;&gt;0,$F67&gt;0,YEAR($F67)&lt;Preisindex!$A$6,YEAR(ET$4)&gt;=YEAR($F67),$K67="a"),ROUND(VLOOKUP(EY$4,Preisindex,5,FALSE)/VLOOKUP(Preisindex!$A$6,Preisindex,5,FALSE),2),IF(AND($E67&lt;&gt;0,$F67&gt;0,YEAR($F67)&lt;Preisindex!$A$6,YEAR(ET$4)&gt;=YEAR($F67),$K67="b"),ROUND(VLOOKUP(EY$4,Preisindex,3,FALSE)/VLOOKUP(Preisindex!$A$6,Preisindex,3,FALSE),2),IF(AND($E67&lt;&gt;0,$F67&gt;0,YEAR($F67)&lt;Preisindex!$A$6,YEAR(ET$4)&gt;=YEAR($F67),$K67="g"),ROUND(VLOOKUP(EY$4,Preisindex,4,FALSE)/VLOOKUP(Preisindex!$A$6,Preisindex,4,FALSE),2),IF(AND($E67&lt;&gt;0,$F67&gt;0,YEAR($F67)&lt;Preisindex!$A$6,YEAR(ET$4)&gt;=YEAR($F67),$K67="k"),ROUND(VLOOKUP(EY$4,Preisindex,2,FALSE)/VLOOKUP(Preisindex!$A$6,Preisindex,2,FALSE),2),0)))))</f>
        <v>0</v>
      </c>
      <c r="FA67" s="51">
        <f>IF(AND($E67&lt;&gt;0,$F67&gt;0,YEAR($F67)&lt;=EY$4,YEAR($F67)&gt;=Preisindex!$A$6),ROUND($E67*EY67,2),IF(AND($E67&lt;&gt;0,$F67&gt;0,YEAR($F67)&lt;=EY$4,YEAR($F67)&lt;Preisindex!$A$6),ROUND($E67*EZ67,2),0))</f>
        <v>17040</v>
      </c>
      <c r="FB67" s="53">
        <f t="shared" si="241"/>
        <v>340.8</v>
      </c>
      <c r="FC67" s="51">
        <f t="shared" si="360"/>
        <v>0</v>
      </c>
      <c r="FD67" s="51">
        <f t="shared" si="352"/>
        <v>0</v>
      </c>
      <c r="FE67" s="51">
        <f t="shared" si="244"/>
        <v>0</v>
      </c>
      <c r="FF67" s="51">
        <f t="shared" si="353"/>
        <v>0</v>
      </c>
      <c r="FG67" s="51">
        <f t="shared" si="246"/>
        <v>12000</v>
      </c>
      <c r="FH67" s="51">
        <f t="shared" si="354"/>
        <v>12000</v>
      </c>
      <c r="FI67" s="51">
        <f t="shared" si="248"/>
        <v>240</v>
      </c>
      <c r="FJ67" s="51">
        <f t="shared" si="355"/>
        <v>240</v>
      </c>
      <c r="FK67" s="51">
        <f t="shared" si="250"/>
        <v>7080</v>
      </c>
      <c r="FL67" s="51">
        <f t="shared" si="356"/>
        <v>7080</v>
      </c>
      <c r="FM67" s="51">
        <f t="shared" si="252"/>
        <v>4920</v>
      </c>
      <c r="FN67" s="54">
        <f t="shared" si="253"/>
        <v>0</v>
      </c>
      <c r="FO67" s="55">
        <f t="shared" si="254"/>
        <v>0</v>
      </c>
      <c r="FP67" s="56">
        <f>IF(AND($E67&lt;&gt;0,$F67&gt;0,YEAR($F67)&gt;=Preisindex!$A$6,YEAR(FK$4)&gt;=YEAR($F67),AND($K67&lt;&gt;"a",$K67&lt;&gt;"b",$K67&lt;&gt;"g",$K67&lt;&gt;"k")),1,IF(AND($E67&lt;&gt;0,$F67&gt;0,YEAR($F67)&gt;=Preisindex!$A$6,YEAR(FK$4)&gt;=YEAR($F67),$K67="a"),ROUND(VLOOKUP(FP$4,Preisindex,5,FALSE)/VLOOKUP(YEAR($F67),Preisindex,5,FALSE),2),IF(AND($E67&lt;&gt;0,$F67&gt;0,YEAR($F67)&gt;=Preisindex!$A$6,YEAR(FK$4)&gt;=YEAR($F67),$K67="b"),ROUND(VLOOKUP(FP$4,Preisindex,3,FALSE)/VLOOKUP(YEAR($F67),Preisindex,3,FALSE),2),IF(AND($E67&lt;&gt;0,$F67&gt;0,YEAR($F67)&gt;=Preisindex!$A$6,YEAR(FK$4)&gt;=YEAR($F67),$K67="g"),ROUND(VLOOKUP(FP$4,Preisindex,4,FALSE)/VLOOKUP(YEAR($F67),Preisindex,4,FALSE),2),IF(AND($E67&lt;&gt;0,$F67&gt;0,YEAR($F67)&gt;=Preisindex!$A$6,YEAR(FK$4)&gt;=YEAR($F67),$K67="k"),ROUND(VLOOKUP(FP$4,Preisindex,2,FALSE)/VLOOKUP(YEAR($F67),Preisindex,2,FALSE),2),0)))))</f>
        <v>1.42</v>
      </c>
      <c r="FQ67" s="56">
        <f>IF(AND($E67&lt;&gt;0,$F67&gt;0,YEAR($F67)&lt;Preisindex!$A$6,YEAR(FK$4)&gt;=YEAR($F67),AND($K67&lt;&gt;"a",$K67&lt;&gt;"b",$K67&lt;&gt;"g",$K67&lt;&gt;"k")),1,IF(AND($E67&lt;&gt;0,$F67&gt;0,YEAR($F67)&lt;Preisindex!$A$6,YEAR(FK$4)&gt;=YEAR($F67),$K67="a"),ROUND(VLOOKUP(FP$4,Preisindex,5,FALSE)/VLOOKUP(Preisindex!$A$6,Preisindex,5,FALSE),2),IF(AND($E67&lt;&gt;0,$F67&gt;0,YEAR($F67)&lt;Preisindex!$A$6,YEAR(FK$4)&gt;=YEAR($F67),$K67="b"),ROUND(VLOOKUP(FP$4,Preisindex,3,FALSE)/VLOOKUP(Preisindex!$A$6,Preisindex,3,FALSE),2),IF(AND($E67&lt;&gt;0,$F67&gt;0,YEAR($F67)&lt;Preisindex!$A$6,YEAR(FK$4)&gt;=YEAR($F67),$K67="g"),ROUND(VLOOKUP(FP$4,Preisindex,4,FALSE)/VLOOKUP(Preisindex!$A$6,Preisindex,4,FALSE),2),IF(AND($E67&lt;&gt;0,$F67&gt;0,YEAR($F67)&lt;Preisindex!$A$6,YEAR(FK$4)&gt;=YEAR($F67),$K67="k"),ROUND(VLOOKUP(FP$4,Preisindex,2,FALSE)/VLOOKUP(Preisindex!$A$6,Preisindex,2,FALSE),2),0)))))</f>
        <v>0</v>
      </c>
      <c r="FR67" s="51">
        <f>IF(AND($E67&lt;&gt;0,$F67&gt;0,YEAR($F67)&lt;=FP$4,YEAR($F67)&gt;=Preisindex!$A$6),ROUND($E67*FP67,2),IF(AND($E67&lt;&gt;0,$F67&gt;0,YEAR($F67)&lt;=FP$4,YEAR($F67)&lt;Preisindex!$A$6),ROUND($E67*FQ67,2),0))</f>
        <v>17040</v>
      </c>
      <c r="FS67" s="53">
        <f t="shared" si="255"/>
        <v>340.8</v>
      </c>
    </row>
    <row r="68" spans="1:175" x14ac:dyDescent="0.3">
      <c r="A68" s="93">
        <v>2002</v>
      </c>
      <c r="B68" s="94" t="s">
        <v>253</v>
      </c>
      <c r="C68" s="94"/>
      <c r="D68" s="95" t="s">
        <v>66</v>
      </c>
      <c r="E68" s="99">
        <v>13500</v>
      </c>
      <c r="F68" s="97">
        <v>37438</v>
      </c>
      <c r="G68" s="98">
        <v>50</v>
      </c>
      <c r="H68" s="620"/>
      <c r="I68" s="621"/>
      <c r="J68" s="194"/>
      <c r="K68" s="630" t="s">
        <v>266</v>
      </c>
      <c r="L68" s="49">
        <f t="shared" si="296"/>
        <v>0.02</v>
      </c>
      <c r="M68" s="50">
        <f t="shared" si="297"/>
        <v>270</v>
      </c>
      <c r="N68" s="51">
        <f t="shared" si="298"/>
        <v>10935</v>
      </c>
      <c r="O68" s="51"/>
      <c r="P68" s="51">
        <f t="shared" si="299"/>
        <v>2565</v>
      </c>
      <c r="Q68" s="52"/>
      <c r="R68" s="52"/>
      <c r="S68" s="52"/>
      <c r="T68" s="52"/>
      <c r="U68" s="52"/>
      <c r="V68" s="53">
        <f t="shared" si="300"/>
        <v>13500</v>
      </c>
      <c r="W68" s="51">
        <f t="shared" si="301"/>
        <v>0</v>
      </c>
      <c r="X68" s="51">
        <f t="shared" si="302"/>
        <v>0</v>
      </c>
      <c r="Y68" s="51">
        <f t="shared" si="303"/>
        <v>0</v>
      </c>
      <c r="Z68" s="51">
        <f t="shared" si="304"/>
        <v>0</v>
      </c>
      <c r="AA68" s="51">
        <f t="shared" si="305"/>
        <v>13500</v>
      </c>
      <c r="AB68" s="51">
        <f t="shared" si="306"/>
        <v>13500</v>
      </c>
      <c r="AC68" s="51">
        <f t="shared" si="307"/>
        <v>270</v>
      </c>
      <c r="AD68" s="51">
        <f t="shared" si="308"/>
        <v>270</v>
      </c>
      <c r="AE68" s="51">
        <f t="shared" si="309"/>
        <v>10665</v>
      </c>
      <c r="AF68" s="51">
        <f t="shared" si="310"/>
        <v>10665</v>
      </c>
      <c r="AG68" s="51">
        <f t="shared" si="311"/>
        <v>2835</v>
      </c>
      <c r="AH68" s="54">
        <f t="shared" si="312"/>
        <v>0</v>
      </c>
      <c r="AI68" s="55">
        <f t="shared" si="313"/>
        <v>0</v>
      </c>
      <c r="AJ68" s="56">
        <f>IF(AND($E68&lt;&gt;0,$F68&gt;0,YEAR($F68)&gt;=Preisindex!$A$6,YEAR(AE$4)&gt;=YEAR($F68),AND($K68&lt;&gt;"a",$K68&lt;&gt;"b",$K68&lt;&gt;"g",$K68&lt;&gt;"k")),1,IF(AND($E68&lt;&gt;0,$F68&gt;0,YEAR($F68)&gt;=Preisindex!$A$6,YEAR(AE$4)&gt;=YEAR($F68),$K68="a"),ROUND(VLOOKUP(AJ$4,Preisindex,5,FALSE)/VLOOKUP(YEAR($F68),Preisindex,5,FALSE),2),IF(AND($E68&lt;&gt;0,$F68&gt;0,YEAR($F68)&gt;=Preisindex!$A$6,YEAR(AE$4)&gt;=YEAR($F68),$K68="b"),ROUND(VLOOKUP(AJ$4,Preisindex,3,FALSE)/VLOOKUP(YEAR($F68),Preisindex,3,FALSE),2),IF(AND($E68&lt;&gt;0,$F68&gt;0,YEAR($F68)&gt;=Preisindex!$A$6,YEAR(AE$4)&gt;=YEAR($F68),$K68="g"),ROUND(VLOOKUP(AJ$4,Preisindex,4,FALSE)/VLOOKUP(YEAR($F68),Preisindex,4,FALSE),2),IF(AND($E68&lt;&gt;0,$F68&gt;0,YEAR($F68)&gt;=Preisindex!$A$6,YEAR(AE$4)&gt;=YEAR($F68),$K68="k"),ROUND(VLOOKUP(AJ$4,Preisindex,2,FALSE)/VLOOKUP(YEAR($F68),Preisindex,2,FALSE),2),0)))))</f>
        <v>1.22</v>
      </c>
      <c r="AK68" s="56">
        <f>IF(AND($E68&lt;&gt;0,$F68&gt;0,YEAR($F68)&lt;Preisindex!$A$6,YEAR(AE$4)&gt;=YEAR($F68),AND($K68&lt;&gt;"a",$K68&lt;&gt;"b",$K68&lt;&gt;"g",$K68&lt;&gt;"k")),1,IF(AND($E68&lt;&gt;0,$F68&gt;0,YEAR($F68)&lt;Preisindex!$A$6,YEAR(AE$4)&gt;=YEAR($F68),$K68="a"),ROUND(VLOOKUP(AJ$4,Preisindex,5,FALSE)/VLOOKUP(Preisindex!$A$6,Preisindex,5,FALSE),2),IF(AND($E68&lt;&gt;0,$F68&gt;0,YEAR($F68)&lt;Preisindex!$A$6,YEAR(AE$4)&gt;=YEAR($F68),$K68="b"),ROUND(VLOOKUP(AJ$4,Preisindex,3,FALSE)/VLOOKUP(Preisindex!$A$6,Preisindex,3,FALSE),2),IF(AND($E68&lt;&gt;0,$F68&gt;0,YEAR($F68)&lt;Preisindex!$A$6,YEAR(AE$4)&gt;=YEAR($F68),$K68="g"),ROUND(VLOOKUP(AJ$4,Preisindex,4,FALSE)/VLOOKUP(Preisindex!$A$6,Preisindex,4,FALSE),2),IF(AND($E68&lt;&gt;0,$F68&gt;0,YEAR($F68)&lt;Preisindex!$A$6,YEAR(AE$4)&gt;=YEAR($F68),$K68="k"),ROUND(VLOOKUP(AJ$4,Preisindex,2,FALSE)/VLOOKUP(Preisindex!$A$6,Preisindex,2,FALSE),2),0)))))</f>
        <v>0</v>
      </c>
      <c r="AL68" s="51">
        <f>IF(AND($E68&lt;&gt;0,$F68&gt;0,YEAR($F68)&lt;=AJ$4,YEAR($F68)&gt;=Preisindex!$A$6),ROUND($E68*AJ68,2),IF(AND($E68&lt;&gt;0,$F68&gt;0,YEAR($F68)&lt;=AJ$4,YEAR($F68)&lt;Preisindex!$A$6),ROUND($E68*AK68,2),0))</f>
        <v>16470</v>
      </c>
      <c r="AM68" s="53">
        <f t="shared" si="314"/>
        <v>329.40000000000003</v>
      </c>
      <c r="AN68" s="51">
        <f t="shared" si="359"/>
        <v>0</v>
      </c>
      <c r="AO68" s="51">
        <f t="shared" si="317"/>
        <v>0</v>
      </c>
      <c r="AP68" s="51">
        <f t="shared" si="146"/>
        <v>0</v>
      </c>
      <c r="AQ68" s="51">
        <f t="shared" si="318"/>
        <v>0</v>
      </c>
      <c r="AR68" s="51">
        <f t="shared" si="148"/>
        <v>13500</v>
      </c>
      <c r="AS68" s="51">
        <f t="shared" si="319"/>
        <v>13500</v>
      </c>
      <c r="AT68" s="51">
        <f t="shared" si="150"/>
        <v>270</v>
      </c>
      <c r="AU68" s="51">
        <f t="shared" si="320"/>
        <v>270</v>
      </c>
      <c r="AV68" s="51">
        <f t="shared" si="152"/>
        <v>10395</v>
      </c>
      <c r="AW68" s="51">
        <f t="shared" si="321"/>
        <v>10395</v>
      </c>
      <c r="AX68" s="51">
        <f t="shared" si="154"/>
        <v>3105</v>
      </c>
      <c r="AY68" s="54">
        <f t="shared" si="155"/>
        <v>0</v>
      </c>
      <c r="AZ68" s="55">
        <f t="shared" si="156"/>
        <v>0</v>
      </c>
      <c r="BA68" s="56">
        <f>IF(AND($E68&lt;&gt;0,$F68&gt;0,YEAR($F68)&gt;=Preisindex!$A$6,YEAR(AV$4)&gt;=YEAR($F68),AND($K68&lt;&gt;"a",$K68&lt;&gt;"b",$K68&lt;&gt;"g",$K68&lt;&gt;"k")),1,IF(AND($E68&lt;&gt;0,$F68&gt;0,YEAR($F68)&gt;=Preisindex!$A$6,YEAR(AV$4)&gt;=YEAR($F68),$K68="a"),ROUND(VLOOKUP(BA$4,Preisindex,5,FALSE)/VLOOKUP(YEAR($F68),Preisindex,5,FALSE),2),IF(AND($E68&lt;&gt;0,$F68&gt;0,YEAR($F68)&gt;=Preisindex!$A$6,YEAR(AV$4)&gt;=YEAR($F68),$K68="b"),ROUND(VLOOKUP(BA$4,Preisindex,3,FALSE)/VLOOKUP(YEAR($F68),Preisindex,3,FALSE),2),IF(AND($E68&lt;&gt;0,$F68&gt;0,YEAR($F68)&gt;=Preisindex!$A$6,YEAR(AV$4)&gt;=YEAR($F68),$K68="g"),ROUND(VLOOKUP(BA$4,Preisindex,4,FALSE)/VLOOKUP(YEAR($F68),Preisindex,4,FALSE),2),IF(AND($E68&lt;&gt;0,$F68&gt;0,YEAR($F68)&gt;=Preisindex!$A$6,YEAR(AV$4)&gt;=YEAR($F68),$K68="k"),ROUND(VLOOKUP(BA$4,Preisindex,2,FALSE)/VLOOKUP(YEAR($F68),Preisindex,2,FALSE),2),0)))))</f>
        <v>1.24</v>
      </c>
      <c r="BB68" s="56">
        <f>IF(AND($E68&lt;&gt;0,$F68&gt;0,YEAR($F68)&lt;Preisindex!$A$6,YEAR(AV$4)&gt;=YEAR($F68),AND($K68&lt;&gt;"a",$K68&lt;&gt;"b",$K68&lt;&gt;"g",$K68&lt;&gt;"k")),1,IF(AND($E68&lt;&gt;0,$F68&gt;0,YEAR($F68)&lt;Preisindex!$A$6,YEAR(AV$4)&gt;=YEAR($F68),$K68="a"),ROUND(VLOOKUP(BA$4,Preisindex,5,FALSE)/VLOOKUP(Preisindex!$A$6,Preisindex,5,FALSE),2),IF(AND($E68&lt;&gt;0,$F68&gt;0,YEAR($F68)&lt;Preisindex!$A$6,YEAR(AV$4)&gt;=YEAR($F68),$K68="b"),ROUND(VLOOKUP(BA$4,Preisindex,3,FALSE)/VLOOKUP(Preisindex!$A$6,Preisindex,3,FALSE),2),IF(AND($E68&lt;&gt;0,$F68&gt;0,YEAR($F68)&lt;Preisindex!$A$6,YEAR(AV$4)&gt;=YEAR($F68),$K68="g"),ROUND(VLOOKUP(BA$4,Preisindex,4,FALSE)/VLOOKUP(Preisindex!$A$6,Preisindex,4,FALSE),2),IF(AND($E68&lt;&gt;0,$F68&gt;0,YEAR($F68)&lt;Preisindex!$A$6,YEAR(AV$4)&gt;=YEAR($F68),$K68="k"),ROUND(VLOOKUP(BA$4,Preisindex,2,FALSE)/VLOOKUP(Preisindex!$A$6,Preisindex,2,FALSE),2),0)))))</f>
        <v>0</v>
      </c>
      <c r="BC68" s="51">
        <f>IF(AND($E68&lt;&gt;0,$F68&gt;0,YEAR($F68)&lt;=BA$4,YEAR($F68)&gt;=Preisindex!$A$6),ROUND($E68*BA68,2),IF(AND($E68&lt;&gt;0,$F68&gt;0,YEAR($F68)&lt;=BA$4,YEAR($F68)&lt;Preisindex!$A$6),ROUND($E68*BB68,2),0))</f>
        <v>16740</v>
      </c>
      <c r="BD68" s="53">
        <f t="shared" si="157"/>
        <v>334.8</v>
      </c>
      <c r="BE68" s="51">
        <f t="shared" si="359"/>
        <v>0</v>
      </c>
      <c r="BF68" s="51">
        <f t="shared" si="322"/>
        <v>0</v>
      </c>
      <c r="BG68" s="51">
        <f t="shared" si="160"/>
        <v>0</v>
      </c>
      <c r="BH68" s="51">
        <f t="shared" si="323"/>
        <v>0</v>
      </c>
      <c r="BI68" s="51">
        <f t="shared" si="162"/>
        <v>13500</v>
      </c>
      <c r="BJ68" s="51">
        <f t="shared" si="324"/>
        <v>13500</v>
      </c>
      <c r="BK68" s="51">
        <f t="shared" si="164"/>
        <v>270</v>
      </c>
      <c r="BL68" s="51">
        <f t="shared" si="325"/>
        <v>270</v>
      </c>
      <c r="BM68" s="51">
        <f t="shared" si="166"/>
        <v>10125</v>
      </c>
      <c r="BN68" s="51">
        <f t="shared" si="326"/>
        <v>10125</v>
      </c>
      <c r="BO68" s="51">
        <f t="shared" si="168"/>
        <v>3375</v>
      </c>
      <c r="BP68" s="54">
        <f t="shared" si="169"/>
        <v>0</v>
      </c>
      <c r="BQ68" s="55">
        <f t="shared" si="170"/>
        <v>0</v>
      </c>
      <c r="BR68" s="56">
        <f>IF(AND($E68&lt;&gt;0,$F68&gt;0,YEAR($F68)&gt;=Preisindex!$A$6,YEAR(BM$4)&gt;=YEAR($F68),AND($K68&lt;&gt;"a",$K68&lt;&gt;"b",$K68&lt;&gt;"g",$K68&lt;&gt;"k")),1,IF(AND($E68&lt;&gt;0,$F68&gt;0,YEAR($F68)&gt;=Preisindex!$A$6,YEAR(BM$4)&gt;=YEAR($F68),$K68="a"),ROUND(VLOOKUP(BR$4,Preisindex,5,FALSE)/VLOOKUP(YEAR($F68),Preisindex,5,FALSE),2),IF(AND($E68&lt;&gt;0,$F68&gt;0,YEAR($F68)&gt;=Preisindex!$A$6,YEAR(BM$4)&gt;=YEAR($F68),$K68="b"),ROUND(VLOOKUP(BR$4,Preisindex,3,FALSE)/VLOOKUP(YEAR($F68),Preisindex,3,FALSE),2),IF(AND($E68&lt;&gt;0,$F68&gt;0,YEAR($F68)&gt;=Preisindex!$A$6,YEAR(BM$4)&gt;=YEAR($F68),$K68="g"),ROUND(VLOOKUP(BR$4,Preisindex,4,FALSE)/VLOOKUP(YEAR($F68),Preisindex,4,FALSE),2),IF(AND($E68&lt;&gt;0,$F68&gt;0,YEAR($F68)&gt;=Preisindex!$A$6,YEAR(BM$4)&gt;=YEAR($F68),$K68="k"),ROUND(VLOOKUP(BR$4,Preisindex,2,FALSE)/VLOOKUP(YEAR($F68),Preisindex,2,FALSE),2),0)))))</f>
        <v>1.26</v>
      </c>
      <c r="BS68" s="56">
        <f>IF(AND($E68&lt;&gt;0,$F68&gt;0,YEAR($F68)&lt;Preisindex!$A$6,YEAR(BM$4)&gt;=YEAR($F68),AND($K68&lt;&gt;"a",$K68&lt;&gt;"b",$K68&lt;&gt;"g",$K68&lt;&gt;"k")),1,IF(AND($E68&lt;&gt;0,$F68&gt;0,YEAR($F68)&lt;Preisindex!$A$6,YEAR(BM$4)&gt;=YEAR($F68),$K68="a"),ROUND(VLOOKUP(BR$4,Preisindex,5,FALSE)/VLOOKUP(Preisindex!$A$6,Preisindex,5,FALSE),2),IF(AND($E68&lt;&gt;0,$F68&gt;0,YEAR($F68)&lt;Preisindex!$A$6,YEAR(BM$4)&gt;=YEAR($F68),$K68="b"),ROUND(VLOOKUP(BR$4,Preisindex,3,FALSE)/VLOOKUP(Preisindex!$A$6,Preisindex,3,FALSE),2),IF(AND($E68&lt;&gt;0,$F68&gt;0,YEAR($F68)&lt;Preisindex!$A$6,YEAR(BM$4)&gt;=YEAR($F68),$K68="g"),ROUND(VLOOKUP(BR$4,Preisindex,4,FALSE)/VLOOKUP(Preisindex!$A$6,Preisindex,4,FALSE),2),IF(AND($E68&lt;&gt;0,$F68&gt;0,YEAR($F68)&lt;Preisindex!$A$6,YEAR(BM$4)&gt;=YEAR($F68),$K68="k"),ROUND(VLOOKUP(BR$4,Preisindex,2,FALSE)/VLOOKUP(Preisindex!$A$6,Preisindex,2,FALSE),2),0)))))</f>
        <v>0</v>
      </c>
      <c r="BT68" s="51">
        <f>IF(AND($E68&lt;&gt;0,$F68&gt;0,YEAR($F68)&lt;=BR$4,YEAR($F68)&gt;=Preisindex!$A$6),ROUND($E68*BR68,2),IF(AND($E68&lt;&gt;0,$F68&gt;0,YEAR($F68)&lt;=BR$4,YEAR($F68)&lt;Preisindex!$A$6),ROUND($E68*BS68,2),0))</f>
        <v>17010</v>
      </c>
      <c r="BU68" s="53">
        <f t="shared" si="171"/>
        <v>340.2</v>
      </c>
      <c r="BV68" s="51">
        <f t="shared" si="359"/>
        <v>0</v>
      </c>
      <c r="BW68" s="51">
        <f t="shared" si="327"/>
        <v>0</v>
      </c>
      <c r="BX68" s="51">
        <f t="shared" si="174"/>
        <v>0</v>
      </c>
      <c r="BY68" s="51">
        <f t="shared" si="328"/>
        <v>0</v>
      </c>
      <c r="BZ68" s="51">
        <f t="shared" si="176"/>
        <v>13500</v>
      </c>
      <c r="CA68" s="51">
        <f t="shared" si="329"/>
        <v>13500</v>
      </c>
      <c r="CB68" s="51">
        <f t="shared" si="178"/>
        <v>270</v>
      </c>
      <c r="CC68" s="51">
        <f t="shared" si="330"/>
        <v>270</v>
      </c>
      <c r="CD68" s="51">
        <f t="shared" si="180"/>
        <v>9855</v>
      </c>
      <c r="CE68" s="51">
        <f t="shared" si="331"/>
        <v>9855</v>
      </c>
      <c r="CF68" s="51">
        <f t="shared" si="182"/>
        <v>3645</v>
      </c>
      <c r="CG68" s="54">
        <f t="shared" si="183"/>
        <v>0</v>
      </c>
      <c r="CH68" s="55">
        <f t="shared" si="184"/>
        <v>0</v>
      </c>
      <c r="CI68" s="56">
        <f>IF(AND($E68&lt;&gt;0,$F68&gt;0,YEAR($F68)&gt;=Preisindex!$A$6,YEAR(CD$4)&gt;=YEAR($F68),AND($K68&lt;&gt;"a",$K68&lt;&gt;"b",$K68&lt;&gt;"g",$K68&lt;&gt;"k")),1,IF(AND($E68&lt;&gt;0,$F68&gt;0,YEAR($F68)&gt;=Preisindex!$A$6,YEAR(CD$4)&gt;=YEAR($F68),$K68="a"),ROUND(VLOOKUP(CI$4,Preisindex,5,FALSE)/VLOOKUP(YEAR($F68),Preisindex,5,FALSE),2),IF(AND($E68&lt;&gt;0,$F68&gt;0,YEAR($F68)&gt;=Preisindex!$A$6,YEAR(CD$4)&gt;=YEAR($F68),$K68="b"),ROUND(VLOOKUP(CI$4,Preisindex,3,FALSE)/VLOOKUP(YEAR($F68),Preisindex,3,FALSE),2),IF(AND($E68&lt;&gt;0,$F68&gt;0,YEAR($F68)&gt;=Preisindex!$A$6,YEAR(CD$4)&gt;=YEAR($F68),$K68="g"),ROUND(VLOOKUP(CI$4,Preisindex,4,FALSE)/VLOOKUP(YEAR($F68),Preisindex,4,FALSE),2),IF(AND($E68&lt;&gt;0,$F68&gt;0,YEAR($F68)&gt;=Preisindex!$A$6,YEAR(CD$4)&gt;=YEAR($F68),$K68="k"),ROUND(VLOOKUP(CI$4,Preisindex,2,FALSE)/VLOOKUP(YEAR($F68),Preisindex,2,FALSE),2),0)))))</f>
        <v>1.28</v>
      </c>
      <c r="CJ68" s="56">
        <f>IF(AND($E68&lt;&gt;0,$F68&gt;0,YEAR($F68)&lt;Preisindex!$A$6,YEAR(CD$4)&gt;=YEAR($F68),AND($K68&lt;&gt;"a",$K68&lt;&gt;"b",$K68&lt;&gt;"g",$K68&lt;&gt;"k")),1,IF(AND($E68&lt;&gt;0,$F68&gt;0,YEAR($F68)&lt;Preisindex!$A$6,YEAR(CD$4)&gt;=YEAR($F68),$K68="a"),ROUND(VLOOKUP(CI$4,Preisindex,5,FALSE)/VLOOKUP(Preisindex!$A$6,Preisindex,5,FALSE),2),IF(AND($E68&lt;&gt;0,$F68&gt;0,YEAR($F68)&lt;Preisindex!$A$6,YEAR(CD$4)&gt;=YEAR($F68),$K68="b"),ROUND(VLOOKUP(CI$4,Preisindex,3,FALSE)/VLOOKUP(Preisindex!$A$6,Preisindex,3,FALSE),2),IF(AND($E68&lt;&gt;0,$F68&gt;0,YEAR($F68)&lt;Preisindex!$A$6,YEAR(CD$4)&gt;=YEAR($F68),$K68="g"),ROUND(VLOOKUP(CI$4,Preisindex,4,FALSE)/VLOOKUP(Preisindex!$A$6,Preisindex,4,FALSE),2),IF(AND($E68&lt;&gt;0,$F68&gt;0,YEAR($F68)&lt;Preisindex!$A$6,YEAR(CD$4)&gt;=YEAR($F68),$K68="k"),ROUND(VLOOKUP(CI$4,Preisindex,2,FALSE)/VLOOKUP(Preisindex!$A$6,Preisindex,2,FALSE),2),0)))))</f>
        <v>0</v>
      </c>
      <c r="CK68" s="51">
        <f>IF(AND($E68&lt;&gt;0,$F68&gt;0,YEAR($F68)&lt;=CI$4,YEAR($F68)&gt;=Preisindex!$A$6),ROUND($E68*CI68,2),IF(AND($E68&lt;&gt;0,$F68&gt;0,YEAR($F68)&lt;=CI$4,YEAR($F68)&lt;Preisindex!$A$6),ROUND($E68*CJ68,2),0))</f>
        <v>17280</v>
      </c>
      <c r="CL68" s="53">
        <f t="shared" si="185"/>
        <v>345.6</v>
      </c>
      <c r="CM68" s="51">
        <f t="shared" si="359"/>
        <v>0</v>
      </c>
      <c r="CN68" s="51">
        <f t="shared" si="332"/>
        <v>0</v>
      </c>
      <c r="CO68" s="51">
        <f t="shared" si="188"/>
        <v>0</v>
      </c>
      <c r="CP68" s="51">
        <f t="shared" si="333"/>
        <v>0</v>
      </c>
      <c r="CQ68" s="51">
        <f t="shared" si="190"/>
        <v>13500</v>
      </c>
      <c r="CR68" s="51">
        <f t="shared" si="334"/>
        <v>13500</v>
      </c>
      <c r="CS68" s="51">
        <f t="shared" si="192"/>
        <v>270</v>
      </c>
      <c r="CT68" s="51">
        <f t="shared" si="335"/>
        <v>270</v>
      </c>
      <c r="CU68" s="51">
        <f t="shared" si="194"/>
        <v>9585</v>
      </c>
      <c r="CV68" s="51">
        <f t="shared" si="336"/>
        <v>9585</v>
      </c>
      <c r="CW68" s="51">
        <f t="shared" si="196"/>
        <v>3915</v>
      </c>
      <c r="CX68" s="54">
        <f t="shared" si="197"/>
        <v>0</v>
      </c>
      <c r="CY68" s="55">
        <f t="shared" si="198"/>
        <v>0</v>
      </c>
      <c r="CZ68" s="56">
        <f>IF(AND($E68&lt;&gt;0,$F68&gt;0,YEAR($F68)&gt;=Preisindex!$A$6,YEAR(CU$4)&gt;=YEAR($F68),AND($K68&lt;&gt;"a",$K68&lt;&gt;"b",$K68&lt;&gt;"g",$K68&lt;&gt;"k")),1,IF(AND($E68&lt;&gt;0,$F68&gt;0,YEAR($F68)&gt;=Preisindex!$A$6,YEAR(CU$4)&gt;=YEAR($F68),$K68="a"),ROUND(VLOOKUP(CZ$4,Preisindex,5,FALSE)/VLOOKUP(YEAR($F68),Preisindex,5,FALSE),2),IF(AND($E68&lt;&gt;0,$F68&gt;0,YEAR($F68)&gt;=Preisindex!$A$6,YEAR(CU$4)&gt;=YEAR($F68),$K68="b"),ROUND(VLOOKUP(CZ$4,Preisindex,3,FALSE)/VLOOKUP(YEAR($F68),Preisindex,3,FALSE),2),IF(AND($E68&lt;&gt;0,$F68&gt;0,YEAR($F68)&gt;=Preisindex!$A$6,YEAR(CU$4)&gt;=YEAR($F68),$K68="g"),ROUND(VLOOKUP(CZ$4,Preisindex,4,FALSE)/VLOOKUP(YEAR($F68),Preisindex,4,FALSE),2),IF(AND($E68&lt;&gt;0,$F68&gt;0,YEAR($F68)&gt;=Preisindex!$A$6,YEAR(CU$4)&gt;=YEAR($F68),$K68="k"),ROUND(VLOOKUP(CZ$4,Preisindex,2,FALSE)/VLOOKUP(YEAR($F68),Preisindex,2,FALSE),2),0)))))</f>
        <v>1.3</v>
      </c>
      <c r="DA68" s="56">
        <f>IF(AND($E68&lt;&gt;0,$F68&gt;0,YEAR($F68)&lt;Preisindex!$A$6,YEAR(CU$4)&gt;=YEAR($F68),AND($K68&lt;&gt;"a",$K68&lt;&gt;"b",$K68&lt;&gt;"g",$K68&lt;&gt;"k")),1,IF(AND($E68&lt;&gt;0,$F68&gt;0,YEAR($F68)&lt;Preisindex!$A$6,YEAR(CU$4)&gt;=YEAR($F68),$K68="a"),ROUND(VLOOKUP(CZ$4,Preisindex,5,FALSE)/VLOOKUP(Preisindex!$A$6,Preisindex,5,FALSE),2),IF(AND($E68&lt;&gt;0,$F68&gt;0,YEAR($F68)&lt;Preisindex!$A$6,YEAR(CU$4)&gt;=YEAR($F68),$K68="b"),ROUND(VLOOKUP(CZ$4,Preisindex,3,FALSE)/VLOOKUP(Preisindex!$A$6,Preisindex,3,FALSE),2),IF(AND($E68&lt;&gt;0,$F68&gt;0,YEAR($F68)&lt;Preisindex!$A$6,YEAR(CU$4)&gt;=YEAR($F68),$K68="g"),ROUND(VLOOKUP(CZ$4,Preisindex,4,FALSE)/VLOOKUP(Preisindex!$A$6,Preisindex,4,FALSE),2),IF(AND($E68&lt;&gt;0,$F68&gt;0,YEAR($F68)&lt;Preisindex!$A$6,YEAR(CU$4)&gt;=YEAR($F68),$K68="k"),ROUND(VLOOKUP(CZ$4,Preisindex,2,FALSE)/VLOOKUP(Preisindex!$A$6,Preisindex,2,FALSE),2),0)))))</f>
        <v>0</v>
      </c>
      <c r="DB68" s="51">
        <f>IF(AND($E68&lt;&gt;0,$F68&gt;0,YEAR($F68)&lt;=CZ$4,YEAR($F68)&gt;=Preisindex!$A$6),ROUND($E68*CZ68,2),IF(AND($E68&lt;&gt;0,$F68&gt;0,YEAR($F68)&lt;=CZ$4,YEAR($F68)&lt;Preisindex!$A$6),ROUND($E68*DA68,2),0))</f>
        <v>17550</v>
      </c>
      <c r="DC68" s="53">
        <f t="shared" si="199"/>
        <v>351</v>
      </c>
      <c r="DD68" s="51">
        <f t="shared" si="360"/>
        <v>0</v>
      </c>
      <c r="DE68" s="51">
        <f t="shared" si="337"/>
        <v>0</v>
      </c>
      <c r="DF68" s="51">
        <f t="shared" si="202"/>
        <v>0</v>
      </c>
      <c r="DG68" s="51">
        <f t="shared" si="338"/>
        <v>0</v>
      </c>
      <c r="DH68" s="51">
        <f t="shared" si="204"/>
        <v>13500</v>
      </c>
      <c r="DI68" s="51">
        <f t="shared" si="339"/>
        <v>13500</v>
      </c>
      <c r="DJ68" s="51">
        <f t="shared" si="206"/>
        <v>270</v>
      </c>
      <c r="DK68" s="51">
        <f t="shared" si="340"/>
        <v>270</v>
      </c>
      <c r="DL68" s="51">
        <f t="shared" si="208"/>
        <v>9315</v>
      </c>
      <c r="DM68" s="51">
        <f t="shared" si="341"/>
        <v>9315</v>
      </c>
      <c r="DN68" s="51">
        <f t="shared" si="210"/>
        <v>4185</v>
      </c>
      <c r="DO68" s="54">
        <f t="shared" si="211"/>
        <v>0</v>
      </c>
      <c r="DP68" s="55">
        <f t="shared" si="212"/>
        <v>0</v>
      </c>
      <c r="DQ68" s="56">
        <f>IF(AND($E68&lt;&gt;0,$F68&gt;0,YEAR($F68)&gt;=Preisindex!$A$6,YEAR(DL$4)&gt;=YEAR($F68),AND($K68&lt;&gt;"a",$K68&lt;&gt;"b",$K68&lt;&gt;"g",$K68&lt;&gt;"k")),1,IF(AND($E68&lt;&gt;0,$F68&gt;0,YEAR($F68)&gt;=Preisindex!$A$6,YEAR(DL$4)&gt;=YEAR($F68),$K68="a"),ROUND(VLOOKUP(DQ$4,Preisindex,5,FALSE)/VLOOKUP(YEAR($F68),Preisindex,5,FALSE),2),IF(AND($E68&lt;&gt;0,$F68&gt;0,YEAR($F68)&gt;=Preisindex!$A$6,YEAR(DL$4)&gt;=YEAR($F68),$K68="b"),ROUND(VLOOKUP(DQ$4,Preisindex,3,FALSE)/VLOOKUP(YEAR($F68),Preisindex,3,FALSE),2),IF(AND($E68&lt;&gt;0,$F68&gt;0,YEAR($F68)&gt;=Preisindex!$A$6,YEAR(DL$4)&gt;=YEAR($F68),$K68="g"),ROUND(VLOOKUP(DQ$4,Preisindex,4,FALSE)/VLOOKUP(YEAR($F68),Preisindex,4,FALSE),2),IF(AND($E68&lt;&gt;0,$F68&gt;0,YEAR($F68)&gt;=Preisindex!$A$6,YEAR(DL$4)&gt;=YEAR($F68),$K68="k"),ROUND(VLOOKUP(DQ$4,Preisindex,2,FALSE)/VLOOKUP(YEAR($F68),Preisindex,2,FALSE),2),0)))))</f>
        <v>1.34</v>
      </c>
      <c r="DR68" s="56">
        <f>IF(AND($E68&lt;&gt;0,$F68&gt;0,YEAR($F68)&lt;Preisindex!$A$6,YEAR(DL$4)&gt;=YEAR($F68),AND($K68&lt;&gt;"a",$K68&lt;&gt;"b",$K68&lt;&gt;"g",$K68&lt;&gt;"k")),1,IF(AND($E68&lt;&gt;0,$F68&gt;0,YEAR($F68)&lt;Preisindex!$A$6,YEAR(DL$4)&gt;=YEAR($F68),$K68="a"),ROUND(VLOOKUP(DQ$4,Preisindex,5,FALSE)/VLOOKUP(Preisindex!$A$6,Preisindex,5,FALSE),2),IF(AND($E68&lt;&gt;0,$F68&gt;0,YEAR($F68)&lt;Preisindex!$A$6,YEAR(DL$4)&gt;=YEAR($F68),$K68="b"),ROUND(VLOOKUP(DQ$4,Preisindex,3,FALSE)/VLOOKUP(Preisindex!$A$6,Preisindex,3,FALSE),2),IF(AND($E68&lt;&gt;0,$F68&gt;0,YEAR($F68)&lt;Preisindex!$A$6,YEAR(DL$4)&gt;=YEAR($F68),$K68="g"),ROUND(VLOOKUP(DQ$4,Preisindex,4,FALSE)/VLOOKUP(Preisindex!$A$6,Preisindex,4,FALSE),2),IF(AND($E68&lt;&gt;0,$F68&gt;0,YEAR($F68)&lt;Preisindex!$A$6,YEAR(DL$4)&gt;=YEAR($F68),$K68="k"),ROUND(VLOOKUP(DQ$4,Preisindex,2,FALSE)/VLOOKUP(Preisindex!$A$6,Preisindex,2,FALSE),2),0)))))</f>
        <v>0</v>
      </c>
      <c r="DS68" s="51">
        <f>IF(AND($E68&lt;&gt;0,$F68&gt;0,YEAR($F68)&lt;=DQ$4,YEAR($F68)&gt;=Preisindex!$A$6),ROUND($E68*DQ68,2),IF(AND($E68&lt;&gt;0,$F68&gt;0,YEAR($F68)&lt;=DQ$4,YEAR($F68)&lt;Preisindex!$A$6),ROUND($E68*DR68,2),0))</f>
        <v>18090</v>
      </c>
      <c r="DT68" s="53">
        <f t="shared" si="213"/>
        <v>361.8</v>
      </c>
      <c r="DU68" s="51">
        <f t="shared" si="360"/>
        <v>0</v>
      </c>
      <c r="DV68" s="51">
        <f t="shared" si="342"/>
        <v>0</v>
      </c>
      <c r="DW68" s="51">
        <f t="shared" si="216"/>
        <v>0</v>
      </c>
      <c r="DX68" s="51">
        <f t="shared" si="343"/>
        <v>0</v>
      </c>
      <c r="DY68" s="51">
        <f t="shared" si="218"/>
        <v>13500</v>
      </c>
      <c r="DZ68" s="51">
        <f t="shared" si="344"/>
        <v>13500</v>
      </c>
      <c r="EA68" s="51">
        <f t="shared" si="220"/>
        <v>270</v>
      </c>
      <c r="EB68" s="51">
        <f t="shared" si="345"/>
        <v>270</v>
      </c>
      <c r="EC68" s="51">
        <f t="shared" si="222"/>
        <v>9045</v>
      </c>
      <c r="ED68" s="51">
        <f t="shared" si="346"/>
        <v>9045</v>
      </c>
      <c r="EE68" s="51">
        <f t="shared" si="224"/>
        <v>4455</v>
      </c>
      <c r="EF68" s="54">
        <f t="shared" si="225"/>
        <v>0</v>
      </c>
      <c r="EG68" s="55">
        <f t="shared" si="226"/>
        <v>0</v>
      </c>
      <c r="EH68" s="56">
        <f>IF(AND($E68&lt;&gt;0,$F68&gt;0,YEAR($F68)&gt;=Preisindex!$A$6,YEAR(EC$4)&gt;=YEAR($F68),AND($K68&lt;&gt;"a",$K68&lt;&gt;"b",$K68&lt;&gt;"g",$K68&lt;&gt;"k")),1,IF(AND($E68&lt;&gt;0,$F68&gt;0,YEAR($F68)&gt;=Preisindex!$A$6,YEAR(EC$4)&gt;=YEAR($F68),$K68="a"),ROUND(VLOOKUP(EH$4,Preisindex,5,FALSE)/VLOOKUP(YEAR($F68),Preisindex,5,FALSE),2),IF(AND($E68&lt;&gt;0,$F68&gt;0,YEAR($F68)&gt;=Preisindex!$A$6,YEAR(EC$4)&gt;=YEAR($F68),$K68="b"),ROUND(VLOOKUP(EH$4,Preisindex,3,FALSE)/VLOOKUP(YEAR($F68),Preisindex,3,FALSE),2),IF(AND($E68&lt;&gt;0,$F68&gt;0,YEAR($F68)&gt;=Preisindex!$A$6,YEAR(EC$4)&gt;=YEAR($F68),$K68="g"),ROUND(VLOOKUP(EH$4,Preisindex,4,FALSE)/VLOOKUP(YEAR($F68),Preisindex,4,FALSE),2),IF(AND($E68&lt;&gt;0,$F68&gt;0,YEAR($F68)&gt;=Preisindex!$A$6,YEAR(EC$4)&gt;=YEAR($F68),$K68="k"),ROUND(VLOOKUP(EH$4,Preisindex,2,FALSE)/VLOOKUP(YEAR($F68),Preisindex,2,FALSE),2),0)))))</f>
        <v>1.41</v>
      </c>
      <c r="EI68" s="56">
        <f>IF(AND($E68&lt;&gt;0,$F68&gt;0,YEAR($F68)&lt;Preisindex!$A$6,YEAR(EC$4)&gt;=YEAR($F68),AND($K68&lt;&gt;"a",$K68&lt;&gt;"b",$K68&lt;&gt;"g",$K68&lt;&gt;"k")),1,IF(AND($E68&lt;&gt;0,$F68&gt;0,YEAR($F68)&lt;Preisindex!$A$6,YEAR(EC$4)&gt;=YEAR($F68),$K68="a"),ROUND(VLOOKUP(EH$4,Preisindex,5,FALSE)/VLOOKUP(Preisindex!$A$6,Preisindex,5,FALSE),2),IF(AND($E68&lt;&gt;0,$F68&gt;0,YEAR($F68)&lt;Preisindex!$A$6,YEAR(EC$4)&gt;=YEAR($F68),$K68="b"),ROUND(VLOOKUP(EH$4,Preisindex,3,FALSE)/VLOOKUP(Preisindex!$A$6,Preisindex,3,FALSE),2),IF(AND($E68&lt;&gt;0,$F68&gt;0,YEAR($F68)&lt;Preisindex!$A$6,YEAR(EC$4)&gt;=YEAR($F68),$K68="g"),ROUND(VLOOKUP(EH$4,Preisindex,4,FALSE)/VLOOKUP(Preisindex!$A$6,Preisindex,4,FALSE),2),IF(AND($E68&lt;&gt;0,$F68&gt;0,YEAR($F68)&lt;Preisindex!$A$6,YEAR(EC$4)&gt;=YEAR($F68),$K68="k"),ROUND(VLOOKUP(EH$4,Preisindex,2,FALSE)/VLOOKUP(Preisindex!$A$6,Preisindex,2,FALSE),2),0)))))</f>
        <v>0</v>
      </c>
      <c r="EJ68" s="51">
        <f>IF(AND($E68&lt;&gt;0,$F68&gt;0,YEAR($F68)&lt;=EH$4,YEAR($F68)&gt;=Preisindex!$A$6),ROUND($E68*EH68,2),IF(AND($E68&lt;&gt;0,$F68&gt;0,YEAR($F68)&lt;=EH$4,YEAR($F68)&lt;Preisindex!$A$6),ROUND($E68*EI68,2),0))</f>
        <v>19035</v>
      </c>
      <c r="EK68" s="53">
        <f t="shared" si="227"/>
        <v>380.7</v>
      </c>
      <c r="EL68" s="51">
        <f t="shared" si="360"/>
        <v>0</v>
      </c>
      <c r="EM68" s="51">
        <f t="shared" si="347"/>
        <v>0</v>
      </c>
      <c r="EN68" s="51">
        <f t="shared" si="230"/>
        <v>0</v>
      </c>
      <c r="EO68" s="51">
        <f t="shared" si="348"/>
        <v>0</v>
      </c>
      <c r="EP68" s="51">
        <f t="shared" si="232"/>
        <v>13500</v>
      </c>
      <c r="EQ68" s="51">
        <f t="shared" si="349"/>
        <v>13500</v>
      </c>
      <c r="ER68" s="51">
        <f t="shared" si="234"/>
        <v>270</v>
      </c>
      <c r="ES68" s="51">
        <f t="shared" si="350"/>
        <v>270</v>
      </c>
      <c r="ET68" s="51">
        <f t="shared" si="236"/>
        <v>8775</v>
      </c>
      <c r="EU68" s="51">
        <f t="shared" si="351"/>
        <v>8775</v>
      </c>
      <c r="EV68" s="51">
        <f t="shared" si="238"/>
        <v>4725</v>
      </c>
      <c r="EW68" s="54">
        <f t="shared" si="239"/>
        <v>0</v>
      </c>
      <c r="EX68" s="55">
        <f t="shared" si="240"/>
        <v>0</v>
      </c>
      <c r="EY68" s="56">
        <f>IF(AND($E68&lt;&gt;0,$F68&gt;0,YEAR($F68)&gt;=Preisindex!$A$6,YEAR(ET$4)&gt;=YEAR($F68),AND($K68&lt;&gt;"a",$K68&lt;&gt;"b",$K68&lt;&gt;"g",$K68&lt;&gt;"k")),1,IF(AND($E68&lt;&gt;0,$F68&gt;0,YEAR($F68)&gt;=Preisindex!$A$6,YEAR(ET$4)&gt;=YEAR($F68),$K68="a"),ROUND(VLOOKUP(EY$4,Preisindex,5,FALSE)/VLOOKUP(YEAR($F68),Preisindex,5,FALSE),2),IF(AND($E68&lt;&gt;0,$F68&gt;0,YEAR($F68)&gt;=Preisindex!$A$6,YEAR(ET$4)&gt;=YEAR($F68),$K68="b"),ROUND(VLOOKUP(EY$4,Preisindex,3,FALSE)/VLOOKUP(YEAR($F68),Preisindex,3,FALSE),2),IF(AND($E68&lt;&gt;0,$F68&gt;0,YEAR($F68)&gt;=Preisindex!$A$6,YEAR(ET$4)&gt;=YEAR($F68),$K68="g"),ROUND(VLOOKUP(EY$4,Preisindex,4,FALSE)/VLOOKUP(YEAR($F68),Preisindex,4,FALSE),2),IF(AND($E68&lt;&gt;0,$F68&gt;0,YEAR($F68)&gt;=Preisindex!$A$6,YEAR(ET$4)&gt;=YEAR($F68),$K68="k"),ROUND(VLOOKUP(EY$4,Preisindex,2,FALSE)/VLOOKUP(YEAR($F68),Preisindex,2,FALSE),2),0)))))</f>
        <v>1.41</v>
      </c>
      <c r="EZ68" s="56">
        <f>IF(AND($E68&lt;&gt;0,$F68&gt;0,YEAR($F68)&lt;Preisindex!$A$6,YEAR(ET$4)&gt;=YEAR($F68),AND($K68&lt;&gt;"a",$K68&lt;&gt;"b",$K68&lt;&gt;"g",$K68&lt;&gt;"k")),1,IF(AND($E68&lt;&gt;0,$F68&gt;0,YEAR($F68)&lt;Preisindex!$A$6,YEAR(ET$4)&gt;=YEAR($F68),$K68="a"),ROUND(VLOOKUP(EY$4,Preisindex,5,FALSE)/VLOOKUP(Preisindex!$A$6,Preisindex,5,FALSE),2),IF(AND($E68&lt;&gt;0,$F68&gt;0,YEAR($F68)&lt;Preisindex!$A$6,YEAR(ET$4)&gt;=YEAR($F68),$K68="b"),ROUND(VLOOKUP(EY$4,Preisindex,3,FALSE)/VLOOKUP(Preisindex!$A$6,Preisindex,3,FALSE),2),IF(AND($E68&lt;&gt;0,$F68&gt;0,YEAR($F68)&lt;Preisindex!$A$6,YEAR(ET$4)&gt;=YEAR($F68),$K68="g"),ROUND(VLOOKUP(EY$4,Preisindex,4,FALSE)/VLOOKUP(Preisindex!$A$6,Preisindex,4,FALSE),2),IF(AND($E68&lt;&gt;0,$F68&gt;0,YEAR($F68)&lt;Preisindex!$A$6,YEAR(ET$4)&gt;=YEAR($F68),$K68="k"),ROUND(VLOOKUP(EY$4,Preisindex,2,FALSE)/VLOOKUP(Preisindex!$A$6,Preisindex,2,FALSE),2),0)))))</f>
        <v>0</v>
      </c>
      <c r="FA68" s="51">
        <f>IF(AND($E68&lt;&gt;0,$F68&gt;0,YEAR($F68)&lt;=EY$4,YEAR($F68)&gt;=Preisindex!$A$6),ROUND($E68*EY68,2),IF(AND($E68&lt;&gt;0,$F68&gt;0,YEAR($F68)&lt;=EY$4,YEAR($F68)&lt;Preisindex!$A$6),ROUND($E68*EZ68,2),0))</f>
        <v>19035</v>
      </c>
      <c r="FB68" s="53">
        <f t="shared" si="241"/>
        <v>380.7</v>
      </c>
      <c r="FC68" s="51">
        <f t="shared" si="360"/>
        <v>0</v>
      </c>
      <c r="FD68" s="51">
        <f t="shared" si="352"/>
        <v>0</v>
      </c>
      <c r="FE68" s="51">
        <f t="shared" si="244"/>
        <v>0</v>
      </c>
      <c r="FF68" s="51">
        <f t="shared" si="353"/>
        <v>0</v>
      </c>
      <c r="FG68" s="51">
        <f t="shared" si="246"/>
        <v>13500</v>
      </c>
      <c r="FH68" s="51">
        <f t="shared" si="354"/>
        <v>13500</v>
      </c>
      <c r="FI68" s="51">
        <f t="shared" si="248"/>
        <v>270</v>
      </c>
      <c r="FJ68" s="51">
        <f t="shared" si="355"/>
        <v>270</v>
      </c>
      <c r="FK68" s="51">
        <f t="shared" si="250"/>
        <v>8505</v>
      </c>
      <c r="FL68" s="51">
        <f t="shared" si="356"/>
        <v>8505</v>
      </c>
      <c r="FM68" s="51">
        <f t="shared" si="252"/>
        <v>4995</v>
      </c>
      <c r="FN68" s="54">
        <f t="shared" si="253"/>
        <v>0</v>
      </c>
      <c r="FO68" s="55">
        <f t="shared" si="254"/>
        <v>0</v>
      </c>
      <c r="FP68" s="56">
        <f>IF(AND($E68&lt;&gt;0,$F68&gt;0,YEAR($F68)&gt;=Preisindex!$A$6,YEAR(FK$4)&gt;=YEAR($F68),AND($K68&lt;&gt;"a",$K68&lt;&gt;"b",$K68&lt;&gt;"g",$K68&lt;&gt;"k")),1,IF(AND($E68&lt;&gt;0,$F68&gt;0,YEAR($F68)&gt;=Preisindex!$A$6,YEAR(FK$4)&gt;=YEAR($F68),$K68="a"),ROUND(VLOOKUP(FP$4,Preisindex,5,FALSE)/VLOOKUP(YEAR($F68),Preisindex,5,FALSE),2),IF(AND($E68&lt;&gt;0,$F68&gt;0,YEAR($F68)&gt;=Preisindex!$A$6,YEAR(FK$4)&gt;=YEAR($F68),$K68="b"),ROUND(VLOOKUP(FP$4,Preisindex,3,FALSE)/VLOOKUP(YEAR($F68),Preisindex,3,FALSE),2),IF(AND($E68&lt;&gt;0,$F68&gt;0,YEAR($F68)&gt;=Preisindex!$A$6,YEAR(FK$4)&gt;=YEAR($F68),$K68="g"),ROUND(VLOOKUP(FP$4,Preisindex,4,FALSE)/VLOOKUP(YEAR($F68),Preisindex,4,FALSE),2),IF(AND($E68&lt;&gt;0,$F68&gt;0,YEAR($F68)&gt;=Preisindex!$A$6,YEAR(FK$4)&gt;=YEAR($F68),$K68="k"),ROUND(VLOOKUP(FP$4,Preisindex,2,FALSE)/VLOOKUP(YEAR($F68),Preisindex,2,FALSE),2),0)))))</f>
        <v>1.41</v>
      </c>
      <c r="FQ68" s="56">
        <f>IF(AND($E68&lt;&gt;0,$F68&gt;0,YEAR($F68)&lt;Preisindex!$A$6,YEAR(FK$4)&gt;=YEAR($F68),AND($K68&lt;&gt;"a",$K68&lt;&gt;"b",$K68&lt;&gt;"g",$K68&lt;&gt;"k")),1,IF(AND($E68&lt;&gt;0,$F68&gt;0,YEAR($F68)&lt;Preisindex!$A$6,YEAR(FK$4)&gt;=YEAR($F68),$K68="a"),ROUND(VLOOKUP(FP$4,Preisindex,5,FALSE)/VLOOKUP(Preisindex!$A$6,Preisindex,5,FALSE),2),IF(AND($E68&lt;&gt;0,$F68&gt;0,YEAR($F68)&lt;Preisindex!$A$6,YEAR(FK$4)&gt;=YEAR($F68),$K68="b"),ROUND(VLOOKUP(FP$4,Preisindex,3,FALSE)/VLOOKUP(Preisindex!$A$6,Preisindex,3,FALSE),2),IF(AND($E68&lt;&gt;0,$F68&gt;0,YEAR($F68)&lt;Preisindex!$A$6,YEAR(FK$4)&gt;=YEAR($F68),$K68="g"),ROUND(VLOOKUP(FP$4,Preisindex,4,FALSE)/VLOOKUP(Preisindex!$A$6,Preisindex,4,FALSE),2),IF(AND($E68&lt;&gt;0,$F68&gt;0,YEAR($F68)&lt;Preisindex!$A$6,YEAR(FK$4)&gt;=YEAR($F68),$K68="k"),ROUND(VLOOKUP(FP$4,Preisindex,2,FALSE)/VLOOKUP(Preisindex!$A$6,Preisindex,2,FALSE),2),0)))))</f>
        <v>0</v>
      </c>
      <c r="FR68" s="51">
        <f>IF(AND($E68&lt;&gt;0,$F68&gt;0,YEAR($F68)&lt;=FP$4,YEAR($F68)&gt;=Preisindex!$A$6),ROUND($E68*FP68,2),IF(AND($E68&lt;&gt;0,$F68&gt;0,YEAR($F68)&lt;=FP$4,YEAR($F68)&lt;Preisindex!$A$6),ROUND($E68*FQ68,2),0))</f>
        <v>19035</v>
      </c>
      <c r="FS68" s="53">
        <f t="shared" si="255"/>
        <v>380.7</v>
      </c>
    </row>
    <row r="69" spans="1:175" x14ac:dyDescent="0.3">
      <c r="A69" s="93">
        <v>2003</v>
      </c>
      <c r="B69" s="94" t="s">
        <v>254</v>
      </c>
      <c r="C69" s="94"/>
      <c r="D69" s="95" t="s">
        <v>66</v>
      </c>
      <c r="E69" s="99">
        <v>10500</v>
      </c>
      <c r="F69" s="97">
        <v>37803</v>
      </c>
      <c r="G69" s="98">
        <v>50</v>
      </c>
      <c r="H69" s="620"/>
      <c r="I69" s="621"/>
      <c r="J69" s="194"/>
      <c r="K69" s="630" t="s">
        <v>266</v>
      </c>
      <c r="L69" s="49">
        <f t="shared" si="296"/>
        <v>0.02</v>
      </c>
      <c r="M69" s="50">
        <f t="shared" si="297"/>
        <v>210</v>
      </c>
      <c r="N69" s="51">
        <f t="shared" si="298"/>
        <v>8715</v>
      </c>
      <c r="O69" s="51"/>
      <c r="P69" s="51">
        <f t="shared" si="299"/>
        <v>1785</v>
      </c>
      <c r="Q69" s="52"/>
      <c r="R69" s="52"/>
      <c r="S69" s="52"/>
      <c r="T69" s="52"/>
      <c r="U69" s="52"/>
      <c r="V69" s="53">
        <f t="shared" si="300"/>
        <v>10500</v>
      </c>
      <c r="W69" s="51">
        <f t="shared" si="301"/>
        <v>0</v>
      </c>
      <c r="X69" s="51">
        <f t="shared" si="302"/>
        <v>0</v>
      </c>
      <c r="Y69" s="51">
        <f t="shared" si="303"/>
        <v>0</v>
      </c>
      <c r="Z69" s="51">
        <f t="shared" si="304"/>
        <v>0</v>
      </c>
      <c r="AA69" s="51">
        <f t="shared" si="305"/>
        <v>10500</v>
      </c>
      <c r="AB69" s="51">
        <f t="shared" si="306"/>
        <v>10500</v>
      </c>
      <c r="AC69" s="51">
        <f t="shared" si="307"/>
        <v>210</v>
      </c>
      <c r="AD69" s="51">
        <f t="shared" si="308"/>
        <v>210</v>
      </c>
      <c r="AE69" s="51">
        <f t="shared" si="309"/>
        <v>8505</v>
      </c>
      <c r="AF69" s="51">
        <f t="shared" si="310"/>
        <v>8505</v>
      </c>
      <c r="AG69" s="51">
        <f t="shared" si="311"/>
        <v>1995</v>
      </c>
      <c r="AH69" s="54">
        <f t="shared" si="312"/>
        <v>0</v>
      </c>
      <c r="AI69" s="55">
        <f t="shared" si="313"/>
        <v>0</v>
      </c>
      <c r="AJ69" s="56">
        <f>IF(AND($E69&lt;&gt;0,$F69&gt;0,YEAR($F69)&gt;=Preisindex!$A$6,YEAR(AE$4)&gt;=YEAR($F69),AND($K69&lt;&gt;"a",$K69&lt;&gt;"b",$K69&lt;&gt;"g",$K69&lt;&gt;"k")),1,IF(AND($E69&lt;&gt;0,$F69&gt;0,YEAR($F69)&gt;=Preisindex!$A$6,YEAR(AE$4)&gt;=YEAR($F69),$K69="a"),ROUND(VLOOKUP(AJ$4,Preisindex,5,FALSE)/VLOOKUP(YEAR($F69),Preisindex,5,FALSE),2),IF(AND($E69&lt;&gt;0,$F69&gt;0,YEAR($F69)&gt;=Preisindex!$A$6,YEAR(AE$4)&gt;=YEAR($F69),$K69="b"),ROUND(VLOOKUP(AJ$4,Preisindex,3,FALSE)/VLOOKUP(YEAR($F69),Preisindex,3,FALSE),2),IF(AND($E69&lt;&gt;0,$F69&gt;0,YEAR($F69)&gt;=Preisindex!$A$6,YEAR(AE$4)&gt;=YEAR($F69),$K69="g"),ROUND(VLOOKUP(AJ$4,Preisindex,4,FALSE)/VLOOKUP(YEAR($F69),Preisindex,4,FALSE),2),IF(AND($E69&lt;&gt;0,$F69&gt;0,YEAR($F69)&gt;=Preisindex!$A$6,YEAR(AE$4)&gt;=YEAR($F69),$K69="k"),ROUND(VLOOKUP(AJ$4,Preisindex,2,FALSE)/VLOOKUP(YEAR($F69),Preisindex,2,FALSE),2),0)))))</f>
        <v>1.23</v>
      </c>
      <c r="AK69" s="56">
        <f>IF(AND($E69&lt;&gt;0,$F69&gt;0,YEAR($F69)&lt;Preisindex!$A$6,YEAR(AE$4)&gt;=YEAR($F69),AND($K69&lt;&gt;"a",$K69&lt;&gt;"b",$K69&lt;&gt;"g",$K69&lt;&gt;"k")),1,IF(AND($E69&lt;&gt;0,$F69&gt;0,YEAR($F69)&lt;Preisindex!$A$6,YEAR(AE$4)&gt;=YEAR($F69),$K69="a"),ROUND(VLOOKUP(AJ$4,Preisindex,5,FALSE)/VLOOKUP(Preisindex!$A$6,Preisindex,5,FALSE),2),IF(AND($E69&lt;&gt;0,$F69&gt;0,YEAR($F69)&lt;Preisindex!$A$6,YEAR(AE$4)&gt;=YEAR($F69),$K69="b"),ROUND(VLOOKUP(AJ$4,Preisindex,3,FALSE)/VLOOKUP(Preisindex!$A$6,Preisindex,3,FALSE),2),IF(AND($E69&lt;&gt;0,$F69&gt;0,YEAR($F69)&lt;Preisindex!$A$6,YEAR(AE$4)&gt;=YEAR($F69),$K69="g"),ROUND(VLOOKUP(AJ$4,Preisindex,4,FALSE)/VLOOKUP(Preisindex!$A$6,Preisindex,4,FALSE),2),IF(AND($E69&lt;&gt;0,$F69&gt;0,YEAR($F69)&lt;Preisindex!$A$6,YEAR(AE$4)&gt;=YEAR($F69),$K69="k"),ROUND(VLOOKUP(AJ$4,Preisindex,2,FALSE)/VLOOKUP(Preisindex!$A$6,Preisindex,2,FALSE),2),0)))))</f>
        <v>0</v>
      </c>
      <c r="AL69" s="51">
        <f>IF(AND($E69&lt;&gt;0,$F69&gt;0,YEAR($F69)&lt;=AJ$4,YEAR($F69)&gt;=Preisindex!$A$6),ROUND($E69*AJ69,2),IF(AND($E69&lt;&gt;0,$F69&gt;0,YEAR($F69)&lt;=AJ$4,YEAR($F69)&lt;Preisindex!$A$6),ROUND($E69*AK69,2),0))</f>
        <v>12915</v>
      </c>
      <c r="AM69" s="53">
        <f t="shared" si="314"/>
        <v>258.3</v>
      </c>
      <c r="AN69" s="51">
        <f t="shared" ref="AN69:CM84" si="361">IF(YEAR($F69)=AN$4,$E69,0)</f>
        <v>0</v>
      </c>
      <c r="AO69" s="51">
        <f t="shared" si="317"/>
        <v>0</v>
      </c>
      <c r="AP69" s="51">
        <f t="shared" ref="AP69:AP132" si="362">IF(AN69&lt;&gt;0,ROUND(AN69*YEARFRAC($F69,AV$4,0),2),0)</f>
        <v>0</v>
      </c>
      <c r="AQ69" s="51">
        <f t="shared" si="318"/>
        <v>0</v>
      </c>
      <c r="AR69" s="51">
        <f t="shared" ref="AR69:AR132" si="363">IF(AND($F69&gt;0,$F69&lt;=AV$4),$E69,0)</f>
        <v>10500</v>
      </c>
      <c r="AS69" s="51">
        <f t="shared" si="319"/>
        <v>10500</v>
      </c>
      <c r="AT69" s="51">
        <f t="shared" ref="AT69:AT132" si="364">IF(AND(YEAR($F69)=YEAR(AV$4),$E69&lt;1000,$E69&gt;-1000,$F69&gt;0,$L69=1),$E69-$I69,IF(AND(YEAR($F69)=YEAR(AV$4),$F69&gt;0,$L69&gt;0),ROUND(($M69/12)*(13-MONTH($F69)),2),IF(AND(YEAR($F69)&lt;YEAR(AV$4),$E69&gt;0,$F69&gt;0,$L69&gt;0,AE69&gt;$M69+$I69),$M69,IF(AND(YEAR($F69)&lt;YEAR(AV$4),$E69&gt;0,$F69&gt;0,$L69&gt;0,AE69&gt;0,AE69&lt;=$M69+$I69),AE69-$I69,IF(AND(YEAR($F69)&lt;YEAR(AV$4),$E69&lt;0,$F69&gt;0,$L69&gt;0,AE69&lt;0,AE69&lt;=$M69),$M69,IF(AND(YEAR($F69)&lt;YEAR(AV$4),$E69&lt;0,$F69&gt;0,$L69&gt;0,AE69&lt;0,AE69&gt;$M69),AE69,0))))))</f>
        <v>210</v>
      </c>
      <c r="AU69" s="51">
        <f t="shared" si="320"/>
        <v>210</v>
      </c>
      <c r="AV69" s="51">
        <f t="shared" ref="AV69:AV132" si="365">IF(AND(YEAR(AV$4)=YEAR($F69),$E69&gt;0,$F69&gt;0,$E69-AT69&gt;=0),$E69-AT69,IF(AND(YEAR(AV$4)&gt;YEAR($F69),$E69&gt;0,$F69&gt;0,AE69-AT69&gt;=0),AE69-AT69,IF(AND(YEAR(AV$4)=YEAR($F69),$E69&lt;0,$F69&gt;0,$E69-AT69&lt;0),$E69-AT69,IF(AND(YEAR(AV$4)&gt;YEAR($F69),$E69&lt;0,$F69&gt;0,AE69-AT69&lt;=0),AE69-AT69,0))))</f>
        <v>8295</v>
      </c>
      <c r="AW69" s="51">
        <f t="shared" si="321"/>
        <v>8295</v>
      </c>
      <c r="AX69" s="51">
        <f t="shared" ref="AX69:AX132" si="366">AG69+AT69</f>
        <v>2205</v>
      </c>
      <c r="AY69" s="54">
        <f t="shared" ref="AY69:AY132" si="367">IF(AND(AN69&lt;&gt;0,$J69="H",$M69=0),AP69,IF(AND(YEAR(AV$4)&gt;YEAR($F69),$J69="H",$F69&gt;0,$M69=0),$E69,0))</f>
        <v>0</v>
      </c>
      <c r="AZ69" s="55">
        <f t="shared" ref="AZ69:AZ132" si="368">IF(AND(YEAR(AV$4)&gt;=YEAR($F69),$E69&gt;0,$F69&gt;0,AT69&gt;0,$J69="H"),ROUND(AT69/$M69*$E69,2),IF(AND(YEAR(AV$4)&gt;=YEAR($F69),$E69&lt;0,$F69&gt;0,AT69&lt;0,$J69="H"),ROUND(AT69/$M69*$E69,2),0))</f>
        <v>0</v>
      </c>
      <c r="BA69" s="56">
        <f>IF(AND($E69&lt;&gt;0,$F69&gt;0,YEAR($F69)&gt;=Preisindex!$A$6,YEAR(AV$4)&gt;=YEAR($F69),AND($K69&lt;&gt;"a",$K69&lt;&gt;"b",$K69&lt;&gt;"g",$K69&lt;&gt;"k")),1,IF(AND($E69&lt;&gt;0,$F69&gt;0,YEAR($F69)&gt;=Preisindex!$A$6,YEAR(AV$4)&gt;=YEAR($F69),$K69="a"),ROUND(VLOOKUP(BA$4,Preisindex,5,FALSE)/VLOOKUP(YEAR($F69),Preisindex,5,FALSE),2),IF(AND($E69&lt;&gt;0,$F69&gt;0,YEAR($F69)&gt;=Preisindex!$A$6,YEAR(AV$4)&gt;=YEAR($F69),$K69="b"),ROUND(VLOOKUP(BA$4,Preisindex,3,FALSE)/VLOOKUP(YEAR($F69),Preisindex,3,FALSE),2),IF(AND($E69&lt;&gt;0,$F69&gt;0,YEAR($F69)&gt;=Preisindex!$A$6,YEAR(AV$4)&gt;=YEAR($F69),$K69="g"),ROUND(VLOOKUP(BA$4,Preisindex,4,FALSE)/VLOOKUP(YEAR($F69),Preisindex,4,FALSE),2),IF(AND($E69&lt;&gt;0,$F69&gt;0,YEAR($F69)&gt;=Preisindex!$A$6,YEAR(AV$4)&gt;=YEAR($F69),$K69="k"),ROUND(VLOOKUP(BA$4,Preisindex,2,FALSE)/VLOOKUP(YEAR($F69),Preisindex,2,FALSE),2),0)))))</f>
        <v>1.25</v>
      </c>
      <c r="BB69" s="56">
        <f>IF(AND($E69&lt;&gt;0,$F69&gt;0,YEAR($F69)&lt;Preisindex!$A$6,YEAR(AV$4)&gt;=YEAR($F69),AND($K69&lt;&gt;"a",$K69&lt;&gt;"b",$K69&lt;&gt;"g",$K69&lt;&gt;"k")),1,IF(AND($E69&lt;&gt;0,$F69&gt;0,YEAR($F69)&lt;Preisindex!$A$6,YEAR(AV$4)&gt;=YEAR($F69),$K69="a"),ROUND(VLOOKUP(BA$4,Preisindex,5,FALSE)/VLOOKUP(Preisindex!$A$6,Preisindex,5,FALSE),2),IF(AND($E69&lt;&gt;0,$F69&gt;0,YEAR($F69)&lt;Preisindex!$A$6,YEAR(AV$4)&gt;=YEAR($F69),$K69="b"),ROUND(VLOOKUP(BA$4,Preisindex,3,FALSE)/VLOOKUP(Preisindex!$A$6,Preisindex,3,FALSE),2),IF(AND($E69&lt;&gt;0,$F69&gt;0,YEAR($F69)&lt;Preisindex!$A$6,YEAR(AV$4)&gt;=YEAR($F69),$K69="g"),ROUND(VLOOKUP(BA$4,Preisindex,4,FALSE)/VLOOKUP(Preisindex!$A$6,Preisindex,4,FALSE),2),IF(AND($E69&lt;&gt;0,$F69&gt;0,YEAR($F69)&lt;Preisindex!$A$6,YEAR(AV$4)&gt;=YEAR($F69),$K69="k"),ROUND(VLOOKUP(BA$4,Preisindex,2,FALSE)/VLOOKUP(Preisindex!$A$6,Preisindex,2,FALSE),2),0)))))</f>
        <v>0</v>
      </c>
      <c r="BC69" s="51">
        <f>IF(AND($E69&lt;&gt;0,$F69&gt;0,YEAR($F69)&lt;=BA$4,YEAR($F69)&gt;=Preisindex!$A$6),ROUND($E69*BA69,2),IF(AND($E69&lt;&gt;0,$F69&gt;0,YEAR($F69)&lt;=BA$4,YEAR($F69)&lt;Preisindex!$A$6),ROUND($E69*BB69,2),0))</f>
        <v>13125</v>
      </c>
      <c r="BD69" s="53">
        <f t="shared" ref="BD69:BD132" si="369">IF(AND(AT69&lt;&gt;0,AT69=$M69),BC69*$L69,IF(AND(AT69&lt;&gt;0,AT69&lt;&gt;$M69),BC69*($L69*(AT69/$M69)),0))</f>
        <v>262.5</v>
      </c>
      <c r="BE69" s="51">
        <f t="shared" si="361"/>
        <v>0</v>
      </c>
      <c r="BF69" s="51">
        <f t="shared" si="322"/>
        <v>0</v>
      </c>
      <c r="BG69" s="51">
        <f t="shared" ref="BG69:BG132" si="370">IF(BE69&lt;&gt;0,ROUND(BE69*YEARFRAC($F69,BM$4,0),2),0)</f>
        <v>0</v>
      </c>
      <c r="BH69" s="51">
        <f t="shared" si="323"/>
        <v>0</v>
      </c>
      <c r="BI69" s="51">
        <f t="shared" ref="BI69:BI132" si="371">IF(AND($F69&gt;0,$F69&lt;=BM$4),$E69,0)</f>
        <v>10500</v>
      </c>
      <c r="BJ69" s="51">
        <f t="shared" si="324"/>
        <v>10500</v>
      </c>
      <c r="BK69" s="51">
        <f t="shared" ref="BK69:BK132" si="372">IF(AND(YEAR($F69)=YEAR(BM$4),$E69&lt;1000,$E69&gt;-1000,$F69&gt;0,$L69=1),$E69-$I69,IF(AND(YEAR($F69)=YEAR(BM$4),$F69&gt;0,$L69&gt;0),ROUND(($M69/12)*(13-MONTH($F69)),2),IF(AND(YEAR($F69)&lt;YEAR(BM$4),$E69&gt;0,$F69&gt;0,$L69&gt;0,AV69&gt;$M69+$I69),$M69,IF(AND(YEAR($F69)&lt;YEAR(BM$4),$E69&gt;0,$F69&gt;0,$L69&gt;0,AV69&gt;0,AV69&lt;=$M69+$I69),AV69-$I69,IF(AND(YEAR($F69)&lt;YEAR(BM$4),$E69&lt;0,$F69&gt;0,$L69&gt;0,AV69&lt;0,AV69&lt;=$M69),$M69,IF(AND(YEAR($F69)&lt;YEAR(BM$4),$E69&lt;0,$F69&gt;0,$L69&gt;0,AV69&lt;0,AV69&gt;$M69),AV69,0))))))</f>
        <v>210</v>
      </c>
      <c r="BL69" s="51">
        <f t="shared" si="325"/>
        <v>210</v>
      </c>
      <c r="BM69" s="51">
        <f t="shared" ref="BM69:BM132" si="373">IF(AND(YEAR(BM$4)=YEAR($F69),$E69&gt;0,$F69&gt;0,$E69-BK69&gt;=0),$E69-BK69,IF(AND(YEAR(BM$4)&gt;YEAR($F69),$E69&gt;0,$F69&gt;0,AV69-BK69&gt;=0),AV69-BK69,IF(AND(YEAR(BM$4)=YEAR($F69),$E69&lt;0,$F69&gt;0,$E69-BK69&lt;0),$E69-BK69,IF(AND(YEAR(BM$4)&gt;YEAR($F69),$E69&lt;0,$F69&gt;0,AV69-BK69&lt;=0),AV69-BK69,0))))</f>
        <v>8085</v>
      </c>
      <c r="BN69" s="51">
        <f t="shared" si="326"/>
        <v>8085</v>
      </c>
      <c r="BO69" s="51">
        <f t="shared" ref="BO69:BO132" si="374">AX69+BK69</f>
        <v>2415</v>
      </c>
      <c r="BP69" s="54">
        <f t="shared" ref="BP69:BP132" si="375">IF(AND(BE69&lt;&gt;0,$J69="H",$M69=0),BG69,IF(AND(YEAR(BM$4)&gt;YEAR($F69),$J69="H",$F69&gt;0,$M69=0),$E69,0))</f>
        <v>0</v>
      </c>
      <c r="BQ69" s="55">
        <f t="shared" ref="BQ69:BQ132" si="376">IF(AND(YEAR(BM$4)&gt;=YEAR($F69),$E69&gt;0,$F69&gt;0,BK69&gt;0,$J69="H"),ROUND(BK69/$M69*$E69,2),IF(AND(YEAR(BM$4)&gt;=YEAR($F69),$E69&lt;0,$F69&gt;0,BK69&lt;0,$J69="H"),ROUND(BK69/$M69*$E69,2),0))</f>
        <v>0</v>
      </c>
      <c r="BR69" s="56">
        <f>IF(AND($E69&lt;&gt;0,$F69&gt;0,YEAR($F69)&gt;=Preisindex!$A$6,YEAR(BM$4)&gt;=YEAR($F69),AND($K69&lt;&gt;"a",$K69&lt;&gt;"b",$K69&lt;&gt;"g",$K69&lt;&gt;"k")),1,IF(AND($E69&lt;&gt;0,$F69&gt;0,YEAR($F69)&gt;=Preisindex!$A$6,YEAR(BM$4)&gt;=YEAR($F69),$K69="a"),ROUND(VLOOKUP(BR$4,Preisindex,5,FALSE)/VLOOKUP(YEAR($F69),Preisindex,5,FALSE),2),IF(AND($E69&lt;&gt;0,$F69&gt;0,YEAR($F69)&gt;=Preisindex!$A$6,YEAR(BM$4)&gt;=YEAR($F69),$K69="b"),ROUND(VLOOKUP(BR$4,Preisindex,3,FALSE)/VLOOKUP(YEAR($F69),Preisindex,3,FALSE),2),IF(AND($E69&lt;&gt;0,$F69&gt;0,YEAR($F69)&gt;=Preisindex!$A$6,YEAR(BM$4)&gt;=YEAR($F69),$K69="g"),ROUND(VLOOKUP(BR$4,Preisindex,4,FALSE)/VLOOKUP(YEAR($F69),Preisindex,4,FALSE),2),IF(AND($E69&lt;&gt;0,$F69&gt;0,YEAR($F69)&gt;=Preisindex!$A$6,YEAR(BM$4)&gt;=YEAR($F69),$K69="k"),ROUND(VLOOKUP(BR$4,Preisindex,2,FALSE)/VLOOKUP(YEAR($F69),Preisindex,2,FALSE),2),0)))))</f>
        <v>1.27</v>
      </c>
      <c r="BS69" s="56">
        <f>IF(AND($E69&lt;&gt;0,$F69&gt;0,YEAR($F69)&lt;Preisindex!$A$6,YEAR(BM$4)&gt;=YEAR($F69),AND($K69&lt;&gt;"a",$K69&lt;&gt;"b",$K69&lt;&gt;"g",$K69&lt;&gt;"k")),1,IF(AND($E69&lt;&gt;0,$F69&gt;0,YEAR($F69)&lt;Preisindex!$A$6,YEAR(BM$4)&gt;=YEAR($F69),$K69="a"),ROUND(VLOOKUP(BR$4,Preisindex,5,FALSE)/VLOOKUP(Preisindex!$A$6,Preisindex,5,FALSE),2),IF(AND($E69&lt;&gt;0,$F69&gt;0,YEAR($F69)&lt;Preisindex!$A$6,YEAR(BM$4)&gt;=YEAR($F69),$K69="b"),ROUND(VLOOKUP(BR$4,Preisindex,3,FALSE)/VLOOKUP(Preisindex!$A$6,Preisindex,3,FALSE),2),IF(AND($E69&lt;&gt;0,$F69&gt;0,YEAR($F69)&lt;Preisindex!$A$6,YEAR(BM$4)&gt;=YEAR($F69),$K69="g"),ROUND(VLOOKUP(BR$4,Preisindex,4,FALSE)/VLOOKUP(Preisindex!$A$6,Preisindex,4,FALSE),2),IF(AND($E69&lt;&gt;0,$F69&gt;0,YEAR($F69)&lt;Preisindex!$A$6,YEAR(BM$4)&gt;=YEAR($F69),$K69="k"),ROUND(VLOOKUP(BR$4,Preisindex,2,FALSE)/VLOOKUP(Preisindex!$A$6,Preisindex,2,FALSE),2),0)))))</f>
        <v>0</v>
      </c>
      <c r="BT69" s="51">
        <f>IF(AND($E69&lt;&gt;0,$F69&gt;0,YEAR($F69)&lt;=BR$4,YEAR($F69)&gt;=Preisindex!$A$6),ROUND($E69*BR69,2),IF(AND($E69&lt;&gt;0,$F69&gt;0,YEAR($F69)&lt;=BR$4,YEAR($F69)&lt;Preisindex!$A$6),ROUND($E69*BS69,2),0))</f>
        <v>13335</v>
      </c>
      <c r="BU69" s="53">
        <f t="shared" ref="BU69:BU132" si="377">IF(AND(BK69&lt;&gt;0,BK69=$M69),BT69*$L69,IF(AND(BK69&lt;&gt;0,BK69&lt;&gt;$M69),BT69*($L69*(BK69/$M69)),0))</f>
        <v>266.7</v>
      </c>
      <c r="BV69" s="51">
        <f t="shared" si="361"/>
        <v>0</v>
      </c>
      <c r="BW69" s="51">
        <f t="shared" si="327"/>
        <v>0</v>
      </c>
      <c r="BX69" s="51">
        <f t="shared" ref="BX69:BX132" si="378">IF(BV69&lt;&gt;0,ROUND(BV69*YEARFRAC($F69,CD$4,0),2),0)</f>
        <v>0</v>
      </c>
      <c r="BY69" s="51">
        <f t="shared" si="328"/>
        <v>0</v>
      </c>
      <c r="BZ69" s="51">
        <f t="shared" ref="BZ69:BZ132" si="379">IF(AND($F69&gt;0,$F69&lt;=CD$4),$E69,0)</f>
        <v>10500</v>
      </c>
      <c r="CA69" s="51">
        <f t="shared" si="329"/>
        <v>10500</v>
      </c>
      <c r="CB69" s="51">
        <f t="shared" ref="CB69:CB132" si="380">IF(AND(YEAR($F69)=YEAR(CD$4),$E69&lt;1000,$E69&gt;-1000,$F69&gt;0,$L69=1),$E69-$I69,IF(AND(YEAR($F69)=YEAR(CD$4),$F69&gt;0,$L69&gt;0),ROUND(($M69/12)*(13-MONTH($F69)),2),IF(AND(YEAR($F69)&lt;YEAR(CD$4),$E69&gt;0,$F69&gt;0,$L69&gt;0,BM69&gt;$M69+$I69),$M69,IF(AND(YEAR($F69)&lt;YEAR(CD$4),$E69&gt;0,$F69&gt;0,$L69&gt;0,BM69&gt;0,BM69&lt;=$M69+$I69),BM69-$I69,IF(AND(YEAR($F69)&lt;YEAR(CD$4),$E69&lt;0,$F69&gt;0,$L69&gt;0,BM69&lt;0,BM69&lt;=$M69),$M69,IF(AND(YEAR($F69)&lt;YEAR(CD$4),$E69&lt;0,$F69&gt;0,$L69&gt;0,BM69&lt;0,BM69&gt;$M69),BM69,0))))))</f>
        <v>210</v>
      </c>
      <c r="CC69" s="51">
        <f t="shared" si="330"/>
        <v>210</v>
      </c>
      <c r="CD69" s="51">
        <f t="shared" ref="CD69:CD132" si="381">IF(AND(YEAR(CD$4)=YEAR($F69),$E69&gt;0,$F69&gt;0,$E69-CB69&gt;=0),$E69-CB69,IF(AND(YEAR(CD$4)&gt;YEAR($F69),$E69&gt;0,$F69&gt;0,BM69-CB69&gt;=0),BM69-CB69,IF(AND(YEAR(CD$4)=YEAR($F69),$E69&lt;0,$F69&gt;0,$E69-CB69&lt;0),$E69-CB69,IF(AND(YEAR(CD$4)&gt;YEAR($F69),$E69&lt;0,$F69&gt;0,BM69-CB69&lt;=0),BM69-CB69,0))))</f>
        <v>7875</v>
      </c>
      <c r="CE69" s="51">
        <f t="shared" si="331"/>
        <v>7875</v>
      </c>
      <c r="CF69" s="51">
        <f t="shared" ref="CF69:CF132" si="382">BO69+CB69</f>
        <v>2625</v>
      </c>
      <c r="CG69" s="54">
        <f t="shared" ref="CG69:CG132" si="383">IF(AND(BV69&lt;&gt;0,$J69="H",$M69=0),BX69,IF(AND(YEAR(CD$4)&gt;YEAR($F69),$J69="H",$F69&gt;0,$M69=0),$E69,0))</f>
        <v>0</v>
      </c>
      <c r="CH69" s="55">
        <f t="shared" ref="CH69:CH132" si="384">IF(AND(YEAR(CD$4)&gt;=YEAR($F69),$E69&gt;0,$F69&gt;0,CB69&gt;0,$J69="H"),ROUND(CB69/$M69*$E69,2),IF(AND(YEAR(CD$4)&gt;=YEAR($F69),$E69&lt;0,$F69&gt;0,CB69&lt;0,$J69="H"),ROUND(CB69/$M69*$E69,2),0))</f>
        <v>0</v>
      </c>
      <c r="CI69" s="56">
        <f>IF(AND($E69&lt;&gt;0,$F69&gt;0,YEAR($F69)&gt;=Preisindex!$A$6,YEAR(CD$4)&gt;=YEAR($F69),AND($K69&lt;&gt;"a",$K69&lt;&gt;"b",$K69&lt;&gt;"g",$K69&lt;&gt;"k")),1,IF(AND($E69&lt;&gt;0,$F69&gt;0,YEAR($F69)&gt;=Preisindex!$A$6,YEAR(CD$4)&gt;=YEAR($F69),$K69="a"),ROUND(VLOOKUP(CI$4,Preisindex,5,FALSE)/VLOOKUP(YEAR($F69),Preisindex,5,FALSE),2),IF(AND($E69&lt;&gt;0,$F69&gt;0,YEAR($F69)&gt;=Preisindex!$A$6,YEAR(CD$4)&gt;=YEAR($F69),$K69="b"),ROUND(VLOOKUP(CI$4,Preisindex,3,FALSE)/VLOOKUP(YEAR($F69),Preisindex,3,FALSE),2),IF(AND($E69&lt;&gt;0,$F69&gt;0,YEAR($F69)&gt;=Preisindex!$A$6,YEAR(CD$4)&gt;=YEAR($F69),$K69="g"),ROUND(VLOOKUP(CI$4,Preisindex,4,FALSE)/VLOOKUP(YEAR($F69),Preisindex,4,FALSE),2),IF(AND($E69&lt;&gt;0,$F69&gt;0,YEAR($F69)&gt;=Preisindex!$A$6,YEAR(CD$4)&gt;=YEAR($F69),$K69="k"),ROUND(VLOOKUP(CI$4,Preisindex,2,FALSE)/VLOOKUP(YEAR($F69),Preisindex,2,FALSE),2),0)))))</f>
        <v>1.28</v>
      </c>
      <c r="CJ69" s="56">
        <f>IF(AND($E69&lt;&gt;0,$F69&gt;0,YEAR($F69)&lt;Preisindex!$A$6,YEAR(CD$4)&gt;=YEAR($F69),AND($K69&lt;&gt;"a",$K69&lt;&gt;"b",$K69&lt;&gt;"g",$K69&lt;&gt;"k")),1,IF(AND($E69&lt;&gt;0,$F69&gt;0,YEAR($F69)&lt;Preisindex!$A$6,YEAR(CD$4)&gt;=YEAR($F69),$K69="a"),ROUND(VLOOKUP(CI$4,Preisindex,5,FALSE)/VLOOKUP(Preisindex!$A$6,Preisindex,5,FALSE),2),IF(AND($E69&lt;&gt;0,$F69&gt;0,YEAR($F69)&lt;Preisindex!$A$6,YEAR(CD$4)&gt;=YEAR($F69),$K69="b"),ROUND(VLOOKUP(CI$4,Preisindex,3,FALSE)/VLOOKUP(Preisindex!$A$6,Preisindex,3,FALSE),2),IF(AND($E69&lt;&gt;0,$F69&gt;0,YEAR($F69)&lt;Preisindex!$A$6,YEAR(CD$4)&gt;=YEAR($F69),$K69="g"),ROUND(VLOOKUP(CI$4,Preisindex,4,FALSE)/VLOOKUP(Preisindex!$A$6,Preisindex,4,FALSE),2),IF(AND($E69&lt;&gt;0,$F69&gt;0,YEAR($F69)&lt;Preisindex!$A$6,YEAR(CD$4)&gt;=YEAR($F69),$K69="k"),ROUND(VLOOKUP(CI$4,Preisindex,2,FALSE)/VLOOKUP(Preisindex!$A$6,Preisindex,2,FALSE),2),0)))))</f>
        <v>0</v>
      </c>
      <c r="CK69" s="51">
        <f>IF(AND($E69&lt;&gt;0,$F69&gt;0,YEAR($F69)&lt;=CI$4,YEAR($F69)&gt;=Preisindex!$A$6),ROUND($E69*CI69,2),IF(AND($E69&lt;&gt;0,$F69&gt;0,YEAR($F69)&lt;=CI$4,YEAR($F69)&lt;Preisindex!$A$6),ROUND($E69*CJ69,2),0))</f>
        <v>13440</v>
      </c>
      <c r="CL69" s="53">
        <f t="shared" ref="CL69:CL132" si="385">IF(AND(CB69&lt;&gt;0,CB69=$M69),CK69*$L69,IF(AND(CB69&lt;&gt;0,CB69&lt;&gt;$M69),CK69*($L69*(CB69/$M69)),0))</f>
        <v>268.8</v>
      </c>
      <c r="CM69" s="51">
        <f t="shared" si="361"/>
        <v>0</v>
      </c>
      <c r="CN69" s="51">
        <f t="shared" si="332"/>
        <v>0</v>
      </c>
      <c r="CO69" s="51">
        <f t="shared" ref="CO69:CO132" si="386">IF(CM69&lt;&gt;0,ROUND(CM69*YEARFRAC($F69,CU$4,0),2),0)</f>
        <v>0</v>
      </c>
      <c r="CP69" s="51">
        <f t="shared" si="333"/>
        <v>0</v>
      </c>
      <c r="CQ69" s="51">
        <f t="shared" ref="CQ69:CQ132" si="387">IF(AND($F69&gt;0,$F69&lt;=CU$4),$E69,0)</f>
        <v>10500</v>
      </c>
      <c r="CR69" s="51">
        <f t="shared" si="334"/>
        <v>10500</v>
      </c>
      <c r="CS69" s="51">
        <f t="shared" ref="CS69:CS132" si="388">IF(AND(YEAR($F69)=YEAR(CU$4),$E69&lt;1000,$E69&gt;-1000,$F69&gt;0,$L69=1),$E69-$I69,IF(AND(YEAR($F69)=YEAR(CU$4),$F69&gt;0,$L69&gt;0),ROUND(($M69/12)*(13-MONTH($F69)),2),IF(AND(YEAR($F69)&lt;YEAR(CU$4),$E69&gt;0,$F69&gt;0,$L69&gt;0,CD69&gt;$M69+$I69),$M69,IF(AND(YEAR($F69)&lt;YEAR(CU$4),$E69&gt;0,$F69&gt;0,$L69&gt;0,CD69&gt;0,CD69&lt;=$M69+$I69),CD69-$I69,IF(AND(YEAR($F69)&lt;YEAR(CU$4),$E69&lt;0,$F69&gt;0,$L69&gt;0,CD69&lt;0,CD69&lt;=$M69),$M69,IF(AND(YEAR($F69)&lt;YEAR(CU$4),$E69&lt;0,$F69&gt;0,$L69&gt;0,CD69&lt;0,CD69&gt;$M69),CD69,0))))))</f>
        <v>210</v>
      </c>
      <c r="CT69" s="51">
        <f t="shared" si="335"/>
        <v>210</v>
      </c>
      <c r="CU69" s="51">
        <f t="shared" ref="CU69:CU132" si="389">IF(AND(YEAR(CU$4)=YEAR($F69),$E69&gt;0,$F69&gt;0,$E69-CS69&gt;=0),$E69-CS69,IF(AND(YEAR(CU$4)&gt;YEAR($F69),$E69&gt;0,$F69&gt;0,CD69-CS69&gt;=0),CD69-CS69,IF(AND(YEAR(CU$4)=YEAR($F69),$E69&lt;0,$F69&gt;0,$E69-CS69&lt;0),$E69-CS69,IF(AND(YEAR(CU$4)&gt;YEAR($F69),$E69&lt;0,$F69&gt;0,CD69-CS69&lt;=0),CD69-CS69,0))))</f>
        <v>7665</v>
      </c>
      <c r="CV69" s="51">
        <f t="shared" si="336"/>
        <v>7665</v>
      </c>
      <c r="CW69" s="51">
        <f t="shared" ref="CW69:CW132" si="390">CF69+CS69</f>
        <v>2835</v>
      </c>
      <c r="CX69" s="54">
        <f t="shared" ref="CX69:CX132" si="391">IF(AND(CM69&lt;&gt;0,$J69="H",$M69=0),CO69,IF(AND(YEAR(CU$4)&gt;YEAR($F69),$J69="H",$F69&gt;0,$M69=0),$E69,0))</f>
        <v>0</v>
      </c>
      <c r="CY69" s="55">
        <f t="shared" ref="CY69:CY132" si="392">IF(AND(YEAR(CU$4)&gt;=YEAR($F69),$E69&gt;0,$F69&gt;0,CS69&gt;0,$J69="H"),ROUND(CS69/$M69*$E69,2),IF(AND(YEAR(CU$4)&gt;=YEAR($F69),$E69&lt;0,$F69&gt;0,CS69&lt;0,$J69="H"),ROUND(CS69/$M69*$E69,2),0))</f>
        <v>0</v>
      </c>
      <c r="CZ69" s="56">
        <f>IF(AND($E69&lt;&gt;0,$F69&gt;0,YEAR($F69)&gt;=Preisindex!$A$6,YEAR(CU$4)&gt;=YEAR($F69),AND($K69&lt;&gt;"a",$K69&lt;&gt;"b",$K69&lt;&gt;"g",$K69&lt;&gt;"k")),1,IF(AND($E69&lt;&gt;0,$F69&gt;0,YEAR($F69)&gt;=Preisindex!$A$6,YEAR(CU$4)&gt;=YEAR($F69),$K69="a"),ROUND(VLOOKUP(CZ$4,Preisindex,5,FALSE)/VLOOKUP(YEAR($F69),Preisindex,5,FALSE),2),IF(AND($E69&lt;&gt;0,$F69&gt;0,YEAR($F69)&gt;=Preisindex!$A$6,YEAR(CU$4)&gt;=YEAR($F69),$K69="b"),ROUND(VLOOKUP(CZ$4,Preisindex,3,FALSE)/VLOOKUP(YEAR($F69),Preisindex,3,FALSE),2),IF(AND($E69&lt;&gt;0,$F69&gt;0,YEAR($F69)&gt;=Preisindex!$A$6,YEAR(CU$4)&gt;=YEAR($F69),$K69="g"),ROUND(VLOOKUP(CZ$4,Preisindex,4,FALSE)/VLOOKUP(YEAR($F69),Preisindex,4,FALSE),2),IF(AND($E69&lt;&gt;0,$F69&gt;0,YEAR($F69)&gt;=Preisindex!$A$6,YEAR(CU$4)&gt;=YEAR($F69),$K69="k"),ROUND(VLOOKUP(CZ$4,Preisindex,2,FALSE)/VLOOKUP(YEAR($F69),Preisindex,2,FALSE),2),0)))))</f>
        <v>1.31</v>
      </c>
      <c r="DA69" s="56">
        <f>IF(AND($E69&lt;&gt;0,$F69&gt;0,YEAR($F69)&lt;Preisindex!$A$6,YEAR(CU$4)&gt;=YEAR($F69),AND($K69&lt;&gt;"a",$K69&lt;&gt;"b",$K69&lt;&gt;"g",$K69&lt;&gt;"k")),1,IF(AND($E69&lt;&gt;0,$F69&gt;0,YEAR($F69)&lt;Preisindex!$A$6,YEAR(CU$4)&gt;=YEAR($F69),$K69="a"),ROUND(VLOOKUP(CZ$4,Preisindex,5,FALSE)/VLOOKUP(Preisindex!$A$6,Preisindex,5,FALSE),2),IF(AND($E69&lt;&gt;0,$F69&gt;0,YEAR($F69)&lt;Preisindex!$A$6,YEAR(CU$4)&gt;=YEAR($F69),$K69="b"),ROUND(VLOOKUP(CZ$4,Preisindex,3,FALSE)/VLOOKUP(Preisindex!$A$6,Preisindex,3,FALSE),2),IF(AND($E69&lt;&gt;0,$F69&gt;0,YEAR($F69)&lt;Preisindex!$A$6,YEAR(CU$4)&gt;=YEAR($F69),$K69="g"),ROUND(VLOOKUP(CZ$4,Preisindex,4,FALSE)/VLOOKUP(Preisindex!$A$6,Preisindex,4,FALSE),2),IF(AND($E69&lt;&gt;0,$F69&gt;0,YEAR($F69)&lt;Preisindex!$A$6,YEAR(CU$4)&gt;=YEAR($F69),$K69="k"),ROUND(VLOOKUP(CZ$4,Preisindex,2,FALSE)/VLOOKUP(Preisindex!$A$6,Preisindex,2,FALSE),2),0)))))</f>
        <v>0</v>
      </c>
      <c r="DB69" s="51">
        <f>IF(AND($E69&lt;&gt;0,$F69&gt;0,YEAR($F69)&lt;=CZ$4,YEAR($F69)&gt;=Preisindex!$A$6),ROUND($E69*CZ69,2),IF(AND($E69&lt;&gt;0,$F69&gt;0,YEAR($F69)&lt;=CZ$4,YEAR($F69)&lt;Preisindex!$A$6),ROUND($E69*DA69,2),0))</f>
        <v>13755</v>
      </c>
      <c r="DC69" s="53">
        <f t="shared" ref="DC69:DC132" si="393">IF(AND(CS69&lt;&gt;0,CS69=$M69),DB69*$L69,IF(AND(CS69&lt;&gt;0,CS69&lt;&gt;$M69),DB69*($L69*(CS69/$M69)),0))</f>
        <v>275.10000000000002</v>
      </c>
      <c r="DD69" s="51">
        <f t="shared" ref="DD69:FC84" si="394">IF(YEAR($F69)=DD$4,$E69,0)</f>
        <v>0</v>
      </c>
      <c r="DE69" s="51">
        <f t="shared" si="337"/>
        <v>0</v>
      </c>
      <c r="DF69" s="51">
        <f t="shared" ref="DF69:DF132" si="395">IF(DD69&lt;&gt;0,ROUND(DD69*YEARFRAC($F69,DL$4,0),2),0)</f>
        <v>0</v>
      </c>
      <c r="DG69" s="51">
        <f t="shared" si="338"/>
        <v>0</v>
      </c>
      <c r="DH69" s="51">
        <f t="shared" ref="DH69:DH132" si="396">IF(AND($F69&gt;0,$F69&lt;=DL$4),$E69,0)</f>
        <v>10500</v>
      </c>
      <c r="DI69" s="51">
        <f t="shared" si="339"/>
        <v>10500</v>
      </c>
      <c r="DJ69" s="51">
        <f t="shared" ref="DJ69:DJ132" si="397">IF(AND(YEAR($F69)=YEAR(DL$4),$E69&lt;1000,$E69&gt;-1000,$F69&gt;0,$L69=1),$E69-$I69,IF(AND(YEAR($F69)=YEAR(DL$4),$F69&gt;0,$L69&gt;0),ROUND(($M69/12)*(13-MONTH($F69)),2),IF(AND(YEAR($F69)&lt;YEAR(DL$4),$E69&gt;0,$F69&gt;0,$L69&gt;0,CU69&gt;$M69+$I69),$M69,IF(AND(YEAR($F69)&lt;YEAR(DL$4),$E69&gt;0,$F69&gt;0,$L69&gt;0,CU69&gt;0,CU69&lt;=$M69+$I69),CU69-$I69,IF(AND(YEAR($F69)&lt;YEAR(DL$4),$E69&lt;0,$F69&gt;0,$L69&gt;0,CU69&lt;0,CU69&lt;=$M69),$M69,IF(AND(YEAR($F69)&lt;YEAR(DL$4),$E69&lt;0,$F69&gt;0,$L69&gt;0,CU69&lt;0,CU69&gt;$M69),CU69,0))))))</f>
        <v>210</v>
      </c>
      <c r="DK69" s="51">
        <f t="shared" si="340"/>
        <v>210</v>
      </c>
      <c r="DL69" s="51">
        <f t="shared" ref="DL69:DL132" si="398">IF(AND(YEAR(DL$4)=YEAR($F69),$E69&gt;0,$F69&gt;0,$E69-DJ69&gt;=0),$E69-DJ69,IF(AND(YEAR(DL$4)&gt;YEAR($F69),$E69&gt;0,$F69&gt;0,CU69-DJ69&gt;=0),CU69-DJ69,IF(AND(YEAR(DL$4)=YEAR($F69),$E69&lt;0,$F69&gt;0,$E69-DJ69&lt;0),$E69-DJ69,IF(AND(YEAR(DL$4)&gt;YEAR($F69),$E69&lt;0,$F69&gt;0,CU69-DJ69&lt;=0),CU69-DJ69,0))))</f>
        <v>7455</v>
      </c>
      <c r="DM69" s="51">
        <f t="shared" si="341"/>
        <v>7455</v>
      </c>
      <c r="DN69" s="51">
        <f t="shared" ref="DN69:DN132" si="399">CW69+DJ69</f>
        <v>3045</v>
      </c>
      <c r="DO69" s="54">
        <f t="shared" ref="DO69:DO132" si="400">IF(AND(DD69&lt;&gt;0,$J69="H",$M69=0),DF69,IF(AND(YEAR(DL$4)&gt;YEAR($F69),$J69="H",$F69&gt;0,$M69=0),$E69,0))</f>
        <v>0</v>
      </c>
      <c r="DP69" s="55">
        <f t="shared" ref="DP69:DP132" si="401">IF(AND(YEAR(DL$4)&gt;=YEAR($F69),$E69&gt;0,$F69&gt;0,DJ69&gt;0,$J69="H"),ROUND(DJ69/$M69*$E69,2),IF(AND(YEAR(DL$4)&gt;=YEAR($F69),$E69&lt;0,$F69&gt;0,DJ69&lt;0,$J69="H"),ROUND(DJ69/$M69*$E69,2),0))</f>
        <v>0</v>
      </c>
      <c r="DQ69" s="56">
        <f>IF(AND($E69&lt;&gt;0,$F69&gt;0,YEAR($F69)&gt;=Preisindex!$A$6,YEAR(DL$4)&gt;=YEAR($F69),AND($K69&lt;&gt;"a",$K69&lt;&gt;"b",$K69&lt;&gt;"g",$K69&lt;&gt;"k")),1,IF(AND($E69&lt;&gt;0,$F69&gt;0,YEAR($F69)&gt;=Preisindex!$A$6,YEAR(DL$4)&gt;=YEAR($F69),$K69="a"),ROUND(VLOOKUP(DQ$4,Preisindex,5,FALSE)/VLOOKUP(YEAR($F69),Preisindex,5,FALSE),2),IF(AND($E69&lt;&gt;0,$F69&gt;0,YEAR($F69)&gt;=Preisindex!$A$6,YEAR(DL$4)&gt;=YEAR($F69),$K69="b"),ROUND(VLOOKUP(DQ$4,Preisindex,3,FALSE)/VLOOKUP(YEAR($F69),Preisindex,3,FALSE),2),IF(AND($E69&lt;&gt;0,$F69&gt;0,YEAR($F69)&gt;=Preisindex!$A$6,YEAR(DL$4)&gt;=YEAR($F69),$K69="g"),ROUND(VLOOKUP(DQ$4,Preisindex,4,FALSE)/VLOOKUP(YEAR($F69),Preisindex,4,FALSE),2),IF(AND($E69&lt;&gt;0,$F69&gt;0,YEAR($F69)&gt;=Preisindex!$A$6,YEAR(DL$4)&gt;=YEAR($F69),$K69="k"),ROUND(VLOOKUP(DQ$4,Preisindex,2,FALSE)/VLOOKUP(YEAR($F69),Preisindex,2,FALSE),2),0)))))</f>
        <v>1.35</v>
      </c>
      <c r="DR69" s="56">
        <f>IF(AND($E69&lt;&gt;0,$F69&gt;0,YEAR($F69)&lt;Preisindex!$A$6,YEAR(DL$4)&gt;=YEAR($F69),AND($K69&lt;&gt;"a",$K69&lt;&gt;"b",$K69&lt;&gt;"g",$K69&lt;&gt;"k")),1,IF(AND($E69&lt;&gt;0,$F69&gt;0,YEAR($F69)&lt;Preisindex!$A$6,YEAR(DL$4)&gt;=YEAR($F69),$K69="a"),ROUND(VLOOKUP(DQ$4,Preisindex,5,FALSE)/VLOOKUP(Preisindex!$A$6,Preisindex,5,FALSE),2),IF(AND($E69&lt;&gt;0,$F69&gt;0,YEAR($F69)&lt;Preisindex!$A$6,YEAR(DL$4)&gt;=YEAR($F69),$K69="b"),ROUND(VLOOKUP(DQ$4,Preisindex,3,FALSE)/VLOOKUP(Preisindex!$A$6,Preisindex,3,FALSE),2),IF(AND($E69&lt;&gt;0,$F69&gt;0,YEAR($F69)&lt;Preisindex!$A$6,YEAR(DL$4)&gt;=YEAR($F69),$K69="g"),ROUND(VLOOKUP(DQ$4,Preisindex,4,FALSE)/VLOOKUP(Preisindex!$A$6,Preisindex,4,FALSE),2),IF(AND($E69&lt;&gt;0,$F69&gt;0,YEAR($F69)&lt;Preisindex!$A$6,YEAR(DL$4)&gt;=YEAR($F69),$K69="k"),ROUND(VLOOKUP(DQ$4,Preisindex,2,FALSE)/VLOOKUP(Preisindex!$A$6,Preisindex,2,FALSE),2),0)))))</f>
        <v>0</v>
      </c>
      <c r="DS69" s="51">
        <f>IF(AND($E69&lt;&gt;0,$F69&gt;0,YEAR($F69)&lt;=DQ$4,YEAR($F69)&gt;=Preisindex!$A$6),ROUND($E69*DQ69,2),IF(AND($E69&lt;&gt;0,$F69&gt;0,YEAR($F69)&lt;=DQ$4,YEAR($F69)&lt;Preisindex!$A$6),ROUND($E69*DR69,2),0))</f>
        <v>14175</v>
      </c>
      <c r="DT69" s="53">
        <f t="shared" ref="DT69:DT132" si="402">IF(AND(DJ69&lt;&gt;0,DJ69=$M69),DS69*$L69,IF(AND(DJ69&lt;&gt;0,DJ69&lt;&gt;$M69),DS69*($L69*(DJ69/$M69)),0))</f>
        <v>283.5</v>
      </c>
      <c r="DU69" s="51">
        <f t="shared" si="394"/>
        <v>0</v>
      </c>
      <c r="DV69" s="51">
        <f t="shared" si="342"/>
        <v>0</v>
      </c>
      <c r="DW69" s="51">
        <f t="shared" ref="DW69:DW132" si="403">IF(DU69&lt;&gt;0,ROUND(DU69*YEARFRAC($F69,EC$4,0),2),0)</f>
        <v>0</v>
      </c>
      <c r="DX69" s="51">
        <f t="shared" si="343"/>
        <v>0</v>
      </c>
      <c r="DY69" s="51">
        <f t="shared" ref="DY69:DY132" si="404">IF(AND($F69&gt;0,$F69&lt;=EC$4),$E69,0)</f>
        <v>10500</v>
      </c>
      <c r="DZ69" s="51">
        <f t="shared" si="344"/>
        <v>10500</v>
      </c>
      <c r="EA69" s="51">
        <f t="shared" ref="EA69:EA132" si="405">IF(AND(YEAR($F69)=YEAR(EC$4),$E69&lt;1000,$E69&gt;-1000,$F69&gt;0,$L69=1),$E69-$I69,IF(AND(YEAR($F69)=YEAR(EC$4),$F69&gt;0,$L69&gt;0),ROUND(($M69/12)*(13-MONTH($F69)),2),IF(AND(YEAR($F69)&lt;YEAR(EC$4),$E69&gt;0,$F69&gt;0,$L69&gt;0,DL69&gt;$M69+$I69),$M69,IF(AND(YEAR($F69)&lt;YEAR(EC$4),$E69&gt;0,$F69&gt;0,$L69&gt;0,DL69&gt;0,DL69&lt;=$M69+$I69),DL69-$I69,IF(AND(YEAR($F69)&lt;YEAR(EC$4),$E69&lt;0,$F69&gt;0,$L69&gt;0,DL69&lt;0,DL69&lt;=$M69),$M69,IF(AND(YEAR($F69)&lt;YEAR(EC$4),$E69&lt;0,$F69&gt;0,$L69&gt;0,DL69&lt;0,DL69&gt;$M69),DL69,0))))))</f>
        <v>210</v>
      </c>
      <c r="EB69" s="51">
        <f t="shared" si="345"/>
        <v>210</v>
      </c>
      <c r="EC69" s="51">
        <f t="shared" ref="EC69:EC132" si="406">IF(AND(YEAR(EC$4)=YEAR($F69),$E69&gt;0,$F69&gt;0,$E69-EA69&gt;=0),$E69-EA69,IF(AND(YEAR(EC$4)&gt;YEAR($F69),$E69&gt;0,$F69&gt;0,DL69-EA69&gt;=0),DL69-EA69,IF(AND(YEAR(EC$4)=YEAR($F69),$E69&lt;0,$F69&gt;0,$E69-EA69&lt;0),$E69-EA69,IF(AND(YEAR(EC$4)&gt;YEAR($F69),$E69&lt;0,$F69&gt;0,DL69-EA69&lt;=0),DL69-EA69,0))))</f>
        <v>7245</v>
      </c>
      <c r="ED69" s="51">
        <f t="shared" si="346"/>
        <v>7245</v>
      </c>
      <c r="EE69" s="51">
        <f t="shared" ref="EE69:EE132" si="407">DN69+EA69</f>
        <v>3255</v>
      </c>
      <c r="EF69" s="54">
        <f t="shared" ref="EF69:EF132" si="408">IF(AND(DU69&lt;&gt;0,$J69="H",$M69=0),DW69,IF(AND(YEAR(EC$4)&gt;YEAR($F69),$J69="H",$F69&gt;0,$M69=0),$E69,0))</f>
        <v>0</v>
      </c>
      <c r="EG69" s="55">
        <f t="shared" ref="EG69:EG132" si="409">IF(AND(YEAR(EC$4)&gt;=YEAR($F69),$E69&gt;0,$F69&gt;0,EA69&gt;0,$J69="H"),ROUND(EA69/$M69*$E69,2),IF(AND(YEAR(EC$4)&gt;=YEAR($F69),$E69&lt;0,$F69&gt;0,EA69&lt;0,$J69="H"),ROUND(EA69/$M69*$E69,2),0))</f>
        <v>0</v>
      </c>
      <c r="EH69" s="56">
        <f>IF(AND($E69&lt;&gt;0,$F69&gt;0,YEAR($F69)&gt;=Preisindex!$A$6,YEAR(EC$4)&gt;=YEAR($F69),AND($K69&lt;&gt;"a",$K69&lt;&gt;"b",$K69&lt;&gt;"g",$K69&lt;&gt;"k")),1,IF(AND($E69&lt;&gt;0,$F69&gt;0,YEAR($F69)&gt;=Preisindex!$A$6,YEAR(EC$4)&gt;=YEAR($F69),$K69="a"),ROUND(VLOOKUP(EH$4,Preisindex,5,FALSE)/VLOOKUP(YEAR($F69),Preisindex,5,FALSE),2),IF(AND($E69&lt;&gt;0,$F69&gt;0,YEAR($F69)&gt;=Preisindex!$A$6,YEAR(EC$4)&gt;=YEAR($F69),$K69="b"),ROUND(VLOOKUP(EH$4,Preisindex,3,FALSE)/VLOOKUP(YEAR($F69),Preisindex,3,FALSE),2),IF(AND($E69&lt;&gt;0,$F69&gt;0,YEAR($F69)&gt;=Preisindex!$A$6,YEAR(EC$4)&gt;=YEAR($F69),$K69="g"),ROUND(VLOOKUP(EH$4,Preisindex,4,FALSE)/VLOOKUP(YEAR($F69),Preisindex,4,FALSE),2),IF(AND($E69&lt;&gt;0,$F69&gt;0,YEAR($F69)&gt;=Preisindex!$A$6,YEAR(EC$4)&gt;=YEAR($F69),$K69="k"),ROUND(VLOOKUP(EH$4,Preisindex,2,FALSE)/VLOOKUP(YEAR($F69),Preisindex,2,FALSE),2),0)))))</f>
        <v>1.42</v>
      </c>
      <c r="EI69" s="56">
        <f>IF(AND($E69&lt;&gt;0,$F69&gt;0,YEAR($F69)&lt;Preisindex!$A$6,YEAR(EC$4)&gt;=YEAR($F69),AND($K69&lt;&gt;"a",$K69&lt;&gt;"b",$K69&lt;&gt;"g",$K69&lt;&gt;"k")),1,IF(AND($E69&lt;&gt;0,$F69&gt;0,YEAR($F69)&lt;Preisindex!$A$6,YEAR(EC$4)&gt;=YEAR($F69),$K69="a"),ROUND(VLOOKUP(EH$4,Preisindex,5,FALSE)/VLOOKUP(Preisindex!$A$6,Preisindex,5,FALSE),2),IF(AND($E69&lt;&gt;0,$F69&gt;0,YEAR($F69)&lt;Preisindex!$A$6,YEAR(EC$4)&gt;=YEAR($F69),$K69="b"),ROUND(VLOOKUP(EH$4,Preisindex,3,FALSE)/VLOOKUP(Preisindex!$A$6,Preisindex,3,FALSE),2),IF(AND($E69&lt;&gt;0,$F69&gt;0,YEAR($F69)&lt;Preisindex!$A$6,YEAR(EC$4)&gt;=YEAR($F69),$K69="g"),ROUND(VLOOKUP(EH$4,Preisindex,4,FALSE)/VLOOKUP(Preisindex!$A$6,Preisindex,4,FALSE),2),IF(AND($E69&lt;&gt;0,$F69&gt;0,YEAR($F69)&lt;Preisindex!$A$6,YEAR(EC$4)&gt;=YEAR($F69),$K69="k"),ROUND(VLOOKUP(EH$4,Preisindex,2,FALSE)/VLOOKUP(Preisindex!$A$6,Preisindex,2,FALSE),2),0)))))</f>
        <v>0</v>
      </c>
      <c r="EJ69" s="51">
        <f>IF(AND($E69&lt;&gt;0,$F69&gt;0,YEAR($F69)&lt;=EH$4,YEAR($F69)&gt;=Preisindex!$A$6),ROUND($E69*EH69,2),IF(AND($E69&lt;&gt;0,$F69&gt;0,YEAR($F69)&lt;=EH$4,YEAR($F69)&lt;Preisindex!$A$6),ROUND($E69*EI69,2),0))</f>
        <v>14910</v>
      </c>
      <c r="EK69" s="53">
        <f t="shared" ref="EK69:EK132" si="410">IF(AND(EA69&lt;&gt;0,EA69=$M69),EJ69*$L69,IF(AND(EA69&lt;&gt;0,EA69&lt;&gt;$M69),EJ69*($L69*(EA69/$M69)),0))</f>
        <v>298.2</v>
      </c>
      <c r="EL69" s="51">
        <f t="shared" si="394"/>
        <v>0</v>
      </c>
      <c r="EM69" s="51">
        <f t="shared" si="347"/>
        <v>0</v>
      </c>
      <c r="EN69" s="51">
        <f t="shared" ref="EN69:EN132" si="411">IF(EL69&lt;&gt;0,ROUND(EL69*YEARFRAC($F69,ET$4,0),2),0)</f>
        <v>0</v>
      </c>
      <c r="EO69" s="51">
        <f t="shared" si="348"/>
        <v>0</v>
      </c>
      <c r="EP69" s="51">
        <f t="shared" ref="EP69:EP132" si="412">IF(AND($F69&gt;0,$F69&lt;=ET$4),$E69,0)</f>
        <v>10500</v>
      </c>
      <c r="EQ69" s="51">
        <f t="shared" si="349"/>
        <v>10500</v>
      </c>
      <c r="ER69" s="51">
        <f t="shared" ref="ER69:ER132" si="413">IF(AND(YEAR($F69)=YEAR(ET$4),$E69&lt;1000,$E69&gt;-1000,$F69&gt;0,$L69=1),$E69-$I69,IF(AND(YEAR($F69)=YEAR(ET$4),$F69&gt;0,$L69&gt;0),ROUND(($M69/12)*(13-MONTH($F69)),2),IF(AND(YEAR($F69)&lt;YEAR(ET$4),$E69&gt;0,$F69&gt;0,$L69&gt;0,EC69&gt;$M69+$I69),$M69,IF(AND(YEAR($F69)&lt;YEAR(ET$4),$E69&gt;0,$F69&gt;0,$L69&gt;0,EC69&gt;0,EC69&lt;=$M69+$I69),EC69-$I69,IF(AND(YEAR($F69)&lt;YEAR(ET$4),$E69&lt;0,$F69&gt;0,$L69&gt;0,EC69&lt;0,EC69&lt;=$M69),$M69,IF(AND(YEAR($F69)&lt;YEAR(ET$4),$E69&lt;0,$F69&gt;0,$L69&gt;0,EC69&lt;0,EC69&gt;$M69),EC69,0))))))</f>
        <v>210</v>
      </c>
      <c r="ES69" s="51">
        <f t="shared" si="350"/>
        <v>210</v>
      </c>
      <c r="ET69" s="51">
        <f t="shared" ref="ET69:ET132" si="414">IF(AND(YEAR(ET$4)=YEAR($F69),$E69&gt;0,$F69&gt;0,$E69-ER69&gt;=0),$E69-ER69,IF(AND(YEAR(ET$4)&gt;YEAR($F69),$E69&gt;0,$F69&gt;0,EC69-ER69&gt;=0),EC69-ER69,IF(AND(YEAR(ET$4)=YEAR($F69),$E69&lt;0,$F69&gt;0,$E69-ER69&lt;0),$E69-ER69,IF(AND(YEAR(ET$4)&gt;YEAR($F69),$E69&lt;0,$F69&gt;0,EC69-ER69&lt;=0),EC69-ER69,0))))</f>
        <v>7035</v>
      </c>
      <c r="EU69" s="51">
        <f t="shared" si="351"/>
        <v>7035</v>
      </c>
      <c r="EV69" s="51">
        <f t="shared" ref="EV69:EV132" si="415">EE69+ER69</f>
        <v>3465</v>
      </c>
      <c r="EW69" s="54">
        <f t="shared" ref="EW69:EW132" si="416">IF(AND(EL69&lt;&gt;0,$J69="H",$M69=0),EN69,IF(AND(YEAR(ET$4)&gt;YEAR($F69),$J69="H",$F69&gt;0,$M69=0),$E69,0))</f>
        <v>0</v>
      </c>
      <c r="EX69" s="55">
        <f t="shared" ref="EX69:EX132" si="417">IF(AND(YEAR(ET$4)&gt;=YEAR($F69),$E69&gt;0,$F69&gt;0,ER69&gt;0,$J69="H"),ROUND(ER69/$M69*$E69,2),IF(AND(YEAR(ET$4)&gt;=YEAR($F69),$E69&lt;0,$F69&gt;0,ER69&lt;0,$J69="H"),ROUND(ER69/$M69*$E69,2),0))</f>
        <v>0</v>
      </c>
      <c r="EY69" s="56">
        <f>IF(AND($E69&lt;&gt;0,$F69&gt;0,YEAR($F69)&gt;=Preisindex!$A$6,YEAR(ET$4)&gt;=YEAR($F69),AND($K69&lt;&gt;"a",$K69&lt;&gt;"b",$K69&lt;&gt;"g",$K69&lt;&gt;"k")),1,IF(AND($E69&lt;&gt;0,$F69&gt;0,YEAR($F69)&gt;=Preisindex!$A$6,YEAR(ET$4)&gt;=YEAR($F69),$K69="a"),ROUND(VLOOKUP(EY$4,Preisindex,5,FALSE)/VLOOKUP(YEAR($F69),Preisindex,5,FALSE),2),IF(AND($E69&lt;&gt;0,$F69&gt;0,YEAR($F69)&gt;=Preisindex!$A$6,YEAR(ET$4)&gt;=YEAR($F69),$K69="b"),ROUND(VLOOKUP(EY$4,Preisindex,3,FALSE)/VLOOKUP(YEAR($F69),Preisindex,3,FALSE),2),IF(AND($E69&lt;&gt;0,$F69&gt;0,YEAR($F69)&gt;=Preisindex!$A$6,YEAR(ET$4)&gt;=YEAR($F69),$K69="g"),ROUND(VLOOKUP(EY$4,Preisindex,4,FALSE)/VLOOKUP(YEAR($F69),Preisindex,4,FALSE),2),IF(AND($E69&lt;&gt;0,$F69&gt;0,YEAR($F69)&gt;=Preisindex!$A$6,YEAR(ET$4)&gt;=YEAR($F69),$K69="k"),ROUND(VLOOKUP(EY$4,Preisindex,2,FALSE)/VLOOKUP(YEAR($F69),Preisindex,2,FALSE),2),0)))))</f>
        <v>1.42</v>
      </c>
      <c r="EZ69" s="56">
        <f>IF(AND($E69&lt;&gt;0,$F69&gt;0,YEAR($F69)&lt;Preisindex!$A$6,YEAR(ET$4)&gt;=YEAR($F69),AND($K69&lt;&gt;"a",$K69&lt;&gt;"b",$K69&lt;&gt;"g",$K69&lt;&gt;"k")),1,IF(AND($E69&lt;&gt;0,$F69&gt;0,YEAR($F69)&lt;Preisindex!$A$6,YEAR(ET$4)&gt;=YEAR($F69),$K69="a"),ROUND(VLOOKUP(EY$4,Preisindex,5,FALSE)/VLOOKUP(Preisindex!$A$6,Preisindex,5,FALSE),2),IF(AND($E69&lt;&gt;0,$F69&gt;0,YEAR($F69)&lt;Preisindex!$A$6,YEAR(ET$4)&gt;=YEAR($F69),$K69="b"),ROUND(VLOOKUP(EY$4,Preisindex,3,FALSE)/VLOOKUP(Preisindex!$A$6,Preisindex,3,FALSE),2),IF(AND($E69&lt;&gt;0,$F69&gt;0,YEAR($F69)&lt;Preisindex!$A$6,YEAR(ET$4)&gt;=YEAR($F69),$K69="g"),ROUND(VLOOKUP(EY$4,Preisindex,4,FALSE)/VLOOKUP(Preisindex!$A$6,Preisindex,4,FALSE),2),IF(AND($E69&lt;&gt;0,$F69&gt;0,YEAR($F69)&lt;Preisindex!$A$6,YEAR(ET$4)&gt;=YEAR($F69),$K69="k"),ROUND(VLOOKUP(EY$4,Preisindex,2,FALSE)/VLOOKUP(Preisindex!$A$6,Preisindex,2,FALSE),2),0)))))</f>
        <v>0</v>
      </c>
      <c r="FA69" s="51">
        <f>IF(AND($E69&lt;&gt;0,$F69&gt;0,YEAR($F69)&lt;=EY$4,YEAR($F69)&gt;=Preisindex!$A$6),ROUND($E69*EY69,2),IF(AND($E69&lt;&gt;0,$F69&gt;0,YEAR($F69)&lt;=EY$4,YEAR($F69)&lt;Preisindex!$A$6),ROUND($E69*EZ69,2),0))</f>
        <v>14910</v>
      </c>
      <c r="FB69" s="53">
        <f t="shared" ref="FB69:FB132" si="418">IF(AND(ER69&lt;&gt;0,ER69=$M69),FA69*$L69,IF(AND(ER69&lt;&gt;0,ER69&lt;&gt;$M69),FA69*($L69*(ER69/$M69)),0))</f>
        <v>298.2</v>
      </c>
      <c r="FC69" s="51">
        <f t="shared" si="394"/>
        <v>0</v>
      </c>
      <c r="FD69" s="51">
        <f t="shared" si="352"/>
        <v>0</v>
      </c>
      <c r="FE69" s="51">
        <f t="shared" ref="FE69:FE132" si="419">IF(FC69&lt;&gt;0,ROUND(FC69*YEARFRAC($F69,FK$4,0),2),0)</f>
        <v>0</v>
      </c>
      <c r="FF69" s="51">
        <f t="shared" si="353"/>
        <v>0</v>
      </c>
      <c r="FG69" s="51">
        <f t="shared" ref="FG69:FG132" si="420">IF(AND($F69&gt;0,$F69&lt;=FK$4),$E69,0)</f>
        <v>10500</v>
      </c>
      <c r="FH69" s="51">
        <f t="shared" si="354"/>
        <v>10500</v>
      </c>
      <c r="FI69" s="51">
        <f t="shared" ref="FI69:FI132" si="421">IF(AND(YEAR($F69)=YEAR(FK$4),$E69&lt;1000,$E69&gt;-1000,$F69&gt;0,$L69=1),$E69-$I69,IF(AND(YEAR($F69)=YEAR(FK$4),$F69&gt;0,$L69&gt;0),ROUND(($M69/12)*(13-MONTH($F69)),2),IF(AND(YEAR($F69)&lt;YEAR(FK$4),$E69&gt;0,$F69&gt;0,$L69&gt;0,ET69&gt;$M69+$I69),$M69,IF(AND(YEAR($F69)&lt;YEAR(FK$4),$E69&gt;0,$F69&gt;0,$L69&gt;0,ET69&gt;0,ET69&lt;=$M69+$I69),ET69-$I69,IF(AND(YEAR($F69)&lt;YEAR(FK$4),$E69&lt;0,$F69&gt;0,$L69&gt;0,ET69&lt;0,ET69&lt;=$M69),$M69,IF(AND(YEAR($F69)&lt;YEAR(FK$4),$E69&lt;0,$F69&gt;0,$L69&gt;0,ET69&lt;0,ET69&gt;$M69),ET69,0))))))</f>
        <v>210</v>
      </c>
      <c r="FJ69" s="51">
        <f t="shared" si="355"/>
        <v>210</v>
      </c>
      <c r="FK69" s="51">
        <f t="shared" ref="FK69:FK132" si="422">IF(AND(YEAR(FK$4)=YEAR($F69),$E69&gt;0,$F69&gt;0,$E69-FI69&gt;=0),$E69-FI69,IF(AND(YEAR(FK$4)&gt;YEAR($F69),$E69&gt;0,$F69&gt;0,ET69-FI69&gt;=0),ET69-FI69,IF(AND(YEAR(FK$4)=YEAR($F69),$E69&lt;0,$F69&gt;0,$E69-FI69&lt;0),$E69-FI69,IF(AND(YEAR(FK$4)&gt;YEAR($F69),$E69&lt;0,$F69&gt;0,ET69-FI69&lt;=0),ET69-FI69,0))))</f>
        <v>6825</v>
      </c>
      <c r="FL69" s="51">
        <f t="shared" si="356"/>
        <v>6825</v>
      </c>
      <c r="FM69" s="51">
        <f t="shared" ref="FM69:FM132" si="423">EV69+FI69</f>
        <v>3675</v>
      </c>
      <c r="FN69" s="54">
        <f t="shared" ref="FN69:FN132" si="424">IF(AND(FC69&lt;&gt;0,$J69="H",$M69=0),FE69,IF(AND(YEAR(FK$4)&gt;YEAR($F69),$J69="H",$F69&gt;0,$M69=0),$E69,0))</f>
        <v>0</v>
      </c>
      <c r="FO69" s="55">
        <f t="shared" ref="FO69:FO132" si="425">IF(AND(YEAR(FK$4)&gt;=YEAR($F69),$E69&gt;0,$F69&gt;0,FI69&gt;0,$J69="H"),ROUND(FI69/$M69*$E69,2),IF(AND(YEAR(FK$4)&gt;=YEAR($F69),$E69&lt;0,$F69&gt;0,FI69&lt;0,$J69="H"),ROUND(FI69/$M69*$E69,2),0))</f>
        <v>0</v>
      </c>
      <c r="FP69" s="56">
        <f>IF(AND($E69&lt;&gt;0,$F69&gt;0,YEAR($F69)&gt;=Preisindex!$A$6,YEAR(FK$4)&gt;=YEAR($F69),AND($K69&lt;&gt;"a",$K69&lt;&gt;"b",$K69&lt;&gt;"g",$K69&lt;&gt;"k")),1,IF(AND($E69&lt;&gt;0,$F69&gt;0,YEAR($F69)&gt;=Preisindex!$A$6,YEAR(FK$4)&gt;=YEAR($F69),$K69="a"),ROUND(VLOOKUP(FP$4,Preisindex,5,FALSE)/VLOOKUP(YEAR($F69),Preisindex,5,FALSE),2),IF(AND($E69&lt;&gt;0,$F69&gt;0,YEAR($F69)&gt;=Preisindex!$A$6,YEAR(FK$4)&gt;=YEAR($F69),$K69="b"),ROUND(VLOOKUP(FP$4,Preisindex,3,FALSE)/VLOOKUP(YEAR($F69),Preisindex,3,FALSE),2),IF(AND($E69&lt;&gt;0,$F69&gt;0,YEAR($F69)&gt;=Preisindex!$A$6,YEAR(FK$4)&gt;=YEAR($F69),$K69="g"),ROUND(VLOOKUP(FP$4,Preisindex,4,FALSE)/VLOOKUP(YEAR($F69),Preisindex,4,FALSE),2),IF(AND($E69&lt;&gt;0,$F69&gt;0,YEAR($F69)&gt;=Preisindex!$A$6,YEAR(FK$4)&gt;=YEAR($F69),$K69="k"),ROUND(VLOOKUP(FP$4,Preisindex,2,FALSE)/VLOOKUP(YEAR($F69),Preisindex,2,FALSE),2),0)))))</f>
        <v>1.42</v>
      </c>
      <c r="FQ69" s="56">
        <f>IF(AND($E69&lt;&gt;0,$F69&gt;0,YEAR($F69)&lt;Preisindex!$A$6,YEAR(FK$4)&gt;=YEAR($F69),AND($K69&lt;&gt;"a",$K69&lt;&gt;"b",$K69&lt;&gt;"g",$K69&lt;&gt;"k")),1,IF(AND($E69&lt;&gt;0,$F69&gt;0,YEAR($F69)&lt;Preisindex!$A$6,YEAR(FK$4)&gt;=YEAR($F69),$K69="a"),ROUND(VLOOKUP(FP$4,Preisindex,5,FALSE)/VLOOKUP(Preisindex!$A$6,Preisindex,5,FALSE),2),IF(AND($E69&lt;&gt;0,$F69&gt;0,YEAR($F69)&lt;Preisindex!$A$6,YEAR(FK$4)&gt;=YEAR($F69),$K69="b"),ROUND(VLOOKUP(FP$4,Preisindex,3,FALSE)/VLOOKUP(Preisindex!$A$6,Preisindex,3,FALSE),2),IF(AND($E69&lt;&gt;0,$F69&gt;0,YEAR($F69)&lt;Preisindex!$A$6,YEAR(FK$4)&gt;=YEAR($F69),$K69="g"),ROUND(VLOOKUP(FP$4,Preisindex,4,FALSE)/VLOOKUP(Preisindex!$A$6,Preisindex,4,FALSE),2),IF(AND($E69&lt;&gt;0,$F69&gt;0,YEAR($F69)&lt;Preisindex!$A$6,YEAR(FK$4)&gt;=YEAR($F69),$K69="k"),ROUND(VLOOKUP(FP$4,Preisindex,2,FALSE)/VLOOKUP(Preisindex!$A$6,Preisindex,2,FALSE),2),0)))))</f>
        <v>0</v>
      </c>
      <c r="FR69" s="51">
        <f>IF(AND($E69&lt;&gt;0,$F69&gt;0,YEAR($F69)&lt;=FP$4,YEAR($F69)&gt;=Preisindex!$A$6),ROUND($E69*FP69,2),IF(AND($E69&lt;&gt;0,$F69&gt;0,YEAR($F69)&lt;=FP$4,YEAR($F69)&lt;Preisindex!$A$6),ROUND($E69*FQ69,2),0))</f>
        <v>14910</v>
      </c>
      <c r="FS69" s="53">
        <f t="shared" ref="FS69:FS132" si="426">IF(AND(FI69&lt;&gt;0,FI69=$M69),FR69*$L69,IF(AND(FI69&lt;&gt;0,FI69&lt;&gt;$M69),FR69*($L69*(FI69/$M69)),0))</f>
        <v>298.2</v>
      </c>
    </row>
    <row r="70" spans="1:175" x14ac:dyDescent="0.3">
      <c r="A70" s="93">
        <v>2006</v>
      </c>
      <c r="B70" s="94" t="s">
        <v>255</v>
      </c>
      <c r="C70" s="94"/>
      <c r="D70" s="95" t="s">
        <v>66</v>
      </c>
      <c r="E70" s="99">
        <v>90000</v>
      </c>
      <c r="F70" s="97">
        <v>38899</v>
      </c>
      <c r="G70" s="98">
        <v>50</v>
      </c>
      <c r="H70" s="620"/>
      <c r="I70" s="621"/>
      <c r="J70" s="194"/>
      <c r="K70" s="630" t="s">
        <v>266</v>
      </c>
      <c r="L70" s="49">
        <f t="shared" si="296"/>
        <v>0.02</v>
      </c>
      <c r="M70" s="50">
        <f t="shared" si="297"/>
        <v>1800</v>
      </c>
      <c r="N70" s="51">
        <f t="shared" si="298"/>
        <v>80100</v>
      </c>
      <c r="O70" s="51"/>
      <c r="P70" s="51">
        <f t="shared" si="299"/>
        <v>9900</v>
      </c>
      <c r="Q70" s="52"/>
      <c r="R70" s="52"/>
      <c r="S70" s="52"/>
      <c r="T70" s="52"/>
      <c r="U70" s="52"/>
      <c r="V70" s="53">
        <f t="shared" si="300"/>
        <v>90000</v>
      </c>
      <c r="W70" s="51">
        <f t="shared" si="301"/>
        <v>0</v>
      </c>
      <c r="X70" s="51">
        <f t="shared" si="302"/>
        <v>0</v>
      </c>
      <c r="Y70" s="51">
        <f t="shared" si="303"/>
        <v>0</v>
      </c>
      <c r="Z70" s="51">
        <f t="shared" si="304"/>
        <v>0</v>
      </c>
      <c r="AA70" s="51">
        <f t="shared" si="305"/>
        <v>90000</v>
      </c>
      <c r="AB70" s="51">
        <f t="shared" si="306"/>
        <v>90000</v>
      </c>
      <c r="AC70" s="51">
        <f t="shared" si="307"/>
        <v>1800</v>
      </c>
      <c r="AD70" s="51">
        <f t="shared" si="308"/>
        <v>1800</v>
      </c>
      <c r="AE70" s="51">
        <f t="shared" si="309"/>
        <v>78300</v>
      </c>
      <c r="AF70" s="51">
        <f t="shared" si="310"/>
        <v>78300</v>
      </c>
      <c r="AG70" s="51">
        <f t="shared" si="311"/>
        <v>11700</v>
      </c>
      <c r="AH70" s="54">
        <f t="shared" si="312"/>
        <v>0</v>
      </c>
      <c r="AI70" s="55">
        <f t="shared" si="313"/>
        <v>0</v>
      </c>
      <c r="AJ70" s="56">
        <f>IF(AND($E70&lt;&gt;0,$F70&gt;0,YEAR($F70)&gt;=Preisindex!$A$6,YEAR(AE$4)&gt;=YEAR($F70),AND($K70&lt;&gt;"a",$K70&lt;&gt;"b",$K70&lt;&gt;"g",$K70&lt;&gt;"k")),1,IF(AND($E70&lt;&gt;0,$F70&gt;0,YEAR($F70)&gt;=Preisindex!$A$6,YEAR(AE$4)&gt;=YEAR($F70),$K70="a"),ROUND(VLOOKUP(AJ$4,Preisindex,5,FALSE)/VLOOKUP(YEAR($F70),Preisindex,5,FALSE),2),IF(AND($E70&lt;&gt;0,$F70&gt;0,YEAR($F70)&gt;=Preisindex!$A$6,YEAR(AE$4)&gt;=YEAR($F70),$K70="b"),ROUND(VLOOKUP(AJ$4,Preisindex,3,FALSE)/VLOOKUP(YEAR($F70),Preisindex,3,FALSE),2),IF(AND($E70&lt;&gt;0,$F70&gt;0,YEAR($F70)&gt;=Preisindex!$A$6,YEAR(AE$4)&gt;=YEAR($F70),$K70="g"),ROUND(VLOOKUP(AJ$4,Preisindex,4,FALSE)/VLOOKUP(YEAR($F70),Preisindex,4,FALSE),2),IF(AND($E70&lt;&gt;0,$F70&gt;0,YEAR($F70)&gt;=Preisindex!$A$6,YEAR(AE$4)&gt;=YEAR($F70),$K70="k"),ROUND(VLOOKUP(AJ$4,Preisindex,2,FALSE)/VLOOKUP(YEAR($F70),Preisindex,2,FALSE),2),0)))))</f>
        <v>1.2</v>
      </c>
      <c r="AK70" s="56">
        <f>IF(AND($E70&lt;&gt;0,$F70&gt;0,YEAR($F70)&lt;Preisindex!$A$6,YEAR(AE$4)&gt;=YEAR($F70),AND($K70&lt;&gt;"a",$K70&lt;&gt;"b",$K70&lt;&gt;"g",$K70&lt;&gt;"k")),1,IF(AND($E70&lt;&gt;0,$F70&gt;0,YEAR($F70)&lt;Preisindex!$A$6,YEAR(AE$4)&gt;=YEAR($F70),$K70="a"),ROUND(VLOOKUP(AJ$4,Preisindex,5,FALSE)/VLOOKUP(Preisindex!$A$6,Preisindex,5,FALSE),2),IF(AND($E70&lt;&gt;0,$F70&gt;0,YEAR($F70)&lt;Preisindex!$A$6,YEAR(AE$4)&gt;=YEAR($F70),$K70="b"),ROUND(VLOOKUP(AJ$4,Preisindex,3,FALSE)/VLOOKUP(Preisindex!$A$6,Preisindex,3,FALSE),2),IF(AND($E70&lt;&gt;0,$F70&gt;0,YEAR($F70)&lt;Preisindex!$A$6,YEAR(AE$4)&gt;=YEAR($F70),$K70="g"),ROUND(VLOOKUP(AJ$4,Preisindex,4,FALSE)/VLOOKUP(Preisindex!$A$6,Preisindex,4,FALSE),2),IF(AND($E70&lt;&gt;0,$F70&gt;0,YEAR($F70)&lt;Preisindex!$A$6,YEAR(AE$4)&gt;=YEAR($F70),$K70="k"),ROUND(VLOOKUP(AJ$4,Preisindex,2,FALSE)/VLOOKUP(Preisindex!$A$6,Preisindex,2,FALSE),2),0)))))</f>
        <v>0</v>
      </c>
      <c r="AL70" s="51">
        <f>IF(AND($E70&lt;&gt;0,$F70&gt;0,YEAR($F70)&lt;=AJ$4,YEAR($F70)&gt;=Preisindex!$A$6),ROUND($E70*AJ70,2),IF(AND($E70&lt;&gt;0,$F70&gt;0,YEAR($F70)&lt;=AJ$4,YEAR($F70)&lt;Preisindex!$A$6),ROUND($E70*AK70,2),0))</f>
        <v>108000</v>
      </c>
      <c r="AM70" s="53">
        <f t="shared" si="314"/>
        <v>2160</v>
      </c>
      <c r="AN70" s="51">
        <f t="shared" si="361"/>
        <v>0</v>
      </c>
      <c r="AO70" s="51">
        <f t="shared" si="317"/>
        <v>0</v>
      </c>
      <c r="AP70" s="51">
        <f t="shared" si="362"/>
        <v>0</v>
      </c>
      <c r="AQ70" s="51">
        <f t="shared" si="318"/>
        <v>0</v>
      </c>
      <c r="AR70" s="51">
        <f t="shared" si="363"/>
        <v>90000</v>
      </c>
      <c r="AS70" s="51">
        <f t="shared" si="319"/>
        <v>90000</v>
      </c>
      <c r="AT70" s="51">
        <f t="shared" si="364"/>
        <v>1800</v>
      </c>
      <c r="AU70" s="51">
        <f t="shared" si="320"/>
        <v>1800</v>
      </c>
      <c r="AV70" s="51">
        <f t="shared" si="365"/>
        <v>76500</v>
      </c>
      <c r="AW70" s="51">
        <f t="shared" si="321"/>
        <v>76500</v>
      </c>
      <c r="AX70" s="51">
        <f t="shared" si="366"/>
        <v>13500</v>
      </c>
      <c r="AY70" s="54">
        <f t="shared" si="367"/>
        <v>0</v>
      </c>
      <c r="AZ70" s="55">
        <f t="shared" si="368"/>
        <v>0</v>
      </c>
      <c r="BA70" s="56">
        <f>IF(AND($E70&lt;&gt;0,$F70&gt;0,YEAR($F70)&gt;=Preisindex!$A$6,YEAR(AV$4)&gt;=YEAR($F70),AND($K70&lt;&gt;"a",$K70&lt;&gt;"b",$K70&lt;&gt;"g",$K70&lt;&gt;"k")),1,IF(AND($E70&lt;&gt;0,$F70&gt;0,YEAR($F70)&gt;=Preisindex!$A$6,YEAR(AV$4)&gt;=YEAR($F70),$K70="a"),ROUND(VLOOKUP(BA$4,Preisindex,5,FALSE)/VLOOKUP(YEAR($F70),Preisindex,5,FALSE),2),IF(AND($E70&lt;&gt;0,$F70&gt;0,YEAR($F70)&gt;=Preisindex!$A$6,YEAR(AV$4)&gt;=YEAR($F70),$K70="b"),ROUND(VLOOKUP(BA$4,Preisindex,3,FALSE)/VLOOKUP(YEAR($F70),Preisindex,3,FALSE),2),IF(AND($E70&lt;&gt;0,$F70&gt;0,YEAR($F70)&gt;=Preisindex!$A$6,YEAR(AV$4)&gt;=YEAR($F70),$K70="g"),ROUND(VLOOKUP(BA$4,Preisindex,4,FALSE)/VLOOKUP(YEAR($F70),Preisindex,4,FALSE),2),IF(AND($E70&lt;&gt;0,$F70&gt;0,YEAR($F70)&gt;=Preisindex!$A$6,YEAR(AV$4)&gt;=YEAR($F70),$K70="k"),ROUND(VLOOKUP(BA$4,Preisindex,2,FALSE)/VLOOKUP(YEAR($F70),Preisindex,2,FALSE),2),0)))))</f>
        <v>1.22</v>
      </c>
      <c r="BB70" s="56">
        <f>IF(AND($E70&lt;&gt;0,$F70&gt;0,YEAR($F70)&lt;Preisindex!$A$6,YEAR(AV$4)&gt;=YEAR($F70),AND($K70&lt;&gt;"a",$K70&lt;&gt;"b",$K70&lt;&gt;"g",$K70&lt;&gt;"k")),1,IF(AND($E70&lt;&gt;0,$F70&gt;0,YEAR($F70)&lt;Preisindex!$A$6,YEAR(AV$4)&gt;=YEAR($F70),$K70="a"),ROUND(VLOOKUP(BA$4,Preisindex,5,FALSE)/VLOOKUP(Preisindex!$A$6,Preisindex,5,FALSE),2),IF(AND($E70&lt;&gt;0,$F70&gt;0,YEAR($F70)&lt;Preisindex!$A$6,YEAR(AV$4)&gt;=YEAR($F70),$K70="b"),ROUND(VLOOKUP(BA$4,Preisindex,3,FALSE)/VLOOKUP(Preisindex!$A$6,Preisindex,3,FALSE),2),IF(AND($E70&lt;&gt;0,$F70&gt;0,YEAR($F70)&lt;Preisindex!$A$6,YEAR(AV$4)&gt;=YEAR($F70),$K70="g"),ROUND(VLOOKUP(BA$4,Preisindex,4,FALSE)/VLOOKUP(Preisindex!$A$6,Preisindex,4,FALSE),2),IF(AND($E70&lt;&gt;0,$F70&gt;0,YEAR($F70)&lt;Preisindex!$A$6,YEAR(AV$4)&gt;=YEAR($F70),$K70="k"),ROUND(VLOOKUP(BA$4,Preisindex,2,FALSE)/VLOOKUP(Preisindex!$A$6,Preisindex,2,FALSE),2),0)))))</f>
        <v>0</v>
      </c>
      <c r="BC70" s="51">
        <f>IF(AND($E70&lt;&gt;0,$F70&gt;0,YEAR($F70)&lt;=BA$4,YEAR($F70)&gt;=Preisindex!$A$6),ROUND($E70*BA70,2),IF(AND($E70&lt;&gt;0,$F70&gt;0,YEAR($F70)&lt;=BA$4,YEAR($F70)&lt;Preisindex!$A$6),ROUND($E70*BB70,2),0))</f>
        <v>109800</v>
      </c>
      <c r="BD70" s="53">
        <f t="shared" si="369"/>
        <v>2196</v>
      </c>
      <c r="BE70" s="51">
        <f t="shared" si="361"/>
        <v>0</v>
      </c>
      <c r="BF70" s="51">
        <f t="shared" si="322"/>
        <v>0</v>
      </c>
      <c r="BG70" s="51">
        <f t="shared" si="370"/>
        <v>0</v>
      </c>
      <c r="BH70" s="51">
        <f t="shared" si="323"/>
        <v>0</v>
      </c>
      <c r="BI70" s="51">
        <f t="shared" si="371"/>
        <v>90000</v>
      </c>
      <c r="BJ70" s="51">
        <f t="shared" si="324"/>
        <v>90000</v>
      </c>
      <c r="BK70" s="51">
        <f t="shared" si="372"/>
        <v>1800</v>
      </c>
      <c r="BL70" s="51">
        <f t="shared" si="325"/>
        <v>1800</v>
      </c>
      <c r="BM70" s="51">
        <f t="shared" si="373"/>
        <v>74700</v>
      </c>
      <c r="BN70" s="51">
        <f t="shared" si="326"/>
        <v>74700</v>
      </c>
      <c r="BO70" s="51">
        <f t="shared" si="374"/>
        <v>15300</v>
      </c>
      <c r="BP70" s="54">
        <f t="shared" si="375"/>
        <v>0</v>
      </c>
      <c r="BQ70" s="55">
        <f t="shared" si="376"/>
        <v>0</v>
      </c>
      <c r="BR70" s="56">
        <f>IF(AND($E70&lt;&gt;0,$F70&gt;0,YEAR($F70)&gt;=Preisindex!$A$6,YEAR(BM$4)&gt;=YEAR($F70),AND($K70&lt;&gt;"a",$K70&lt;&gt;"b",$K70&lt;&gt;"g",$K70&lt;&gt;"k")),1,IF(AND($E70&lt;&gt;0,$F70&gt;0,YEAR($F70)&gt;=Preisindex!$A$6,YEAR(BM$4)&gt;=YEAR($F70),$K70="a"),ROUND(VLOOKUP(BR$4,Preisindex,5,FALSE)/VLOOKUP(YEAR($F70),Preisindex,5,FALSE),2),IF(AND($E70&lt;&gt;0,$F70&gt;0,YEAR($F70)&gt;=Preisindex!$A$6,YEAR(BM$4)&gt;=YEAR($F70),$K70="b"),ROUND(VLOOKUP(BR$4,Preisindex,3,FALSE)/VLOOKUP(YEAR($F70),Preisindex,3,FALSE),2),IF(AND($E70&lt;&gt;0,$F70&gt;0,YEAR($F70)&gt;=Preisindex!$A$6,YEAR(BM$4)&gt;=YEAR($F70),$K70="g"),ROUND(VLOOKUP(BR$4,Preisindex,4,FALSE)/VLOOKUP(YEAR($F70),Preisindex,4,FALSE),2),IF(AND($E70&lt;&gt;0,$F70&gt;0,YEAR($F70)&gt;=Preisindex!$A$6,YEAR(BM$4)&gt;=YEAR($F70),$K70="k"),ROUND(VLOOKUP(BR$4,Preisindex,2,FALSE)/VLOOKUP(YEAR($F70),Preisindex,2,FALSE),2),0)))))</f>
        <v>1.24</v>
      </c>
      <c r="BS70" s="56">
        <f>IF(AND($E70&lt;&gt;0,$F70&gt;0,YEAR($F70)&lt;Preisindex!$A$6,YEAR(BM$4)&gt;=YEAR($F70),AND($K70&lt;&gt;"a",$K70&lt;&gt;"b",$K70&lt;&gt;"g",$K70&lt;&gt;"k")),1,IF(AND($E70&lt;&gt;0,$F70&gt;0,YEAR($F70)&lt;Preisindex!$A$6,YEAR(BM$4)&gt;=YEAR($F70),$K70="a"),ROUND(VLOOKUP(BR$4,Preisindex,5,FALSE)/VLOOKUP(Preisindex!$A$6,Preisindex,5,FALSE),2),IF(AND($E70&lt;&gt;0,$F70&gt;0,YEAR($F70)&lt;Preisindex!$A$6,YEAR(BM$4)&gt;=YEAR($F70),$K70="b"),ROUND(VLOOKUP(BR$4,Preisindex,3,FALSE)/VLOOKUP(Preisindex!$A$6,Preisindex,3,FALSE),2),IF(AND($E70&lt;&gt;0,$F70&gt;0,YEAR($F70)&lt;Preisindex!$A$6,YEAR(BM$4)&gt;=YEAR($F70),$K70="g"),ROUND(VLOOKUP(BR$4,Preisindex,4,FALSE)/VLOOKUP(Preisindex!$A$6,Preisindex,4,FALSE),2),IF(AND($E70&lt;&gt;0,$F70&gt;0,YEAR($F70)&lt;Preisindex!$A$6,YEAR(BM$4)&gt;=YEAR($F70),$K70="k"),ROUND(VLOOKUP(BR$4,Preisindex,2,FALSE)/VLOOKUP(Preisindex!$A$6,Preisindex,2,FALSE),2),0)))))</f>
        <v>0</v>
      </c>
      <c r="BT70" s="51">
        <f>IF(AND($E70&lt;&gt;0,$F70&gt;0,YEAR($F70)&lt;=BR$4,YEAR($F70)&gt;=Preisindex!$A$6),ROUND($E70*BR70,2),IF(AND($E70&lt;&gt;0,$F70&gt;0,YEAR($F70)&lt;=BR$4,YEAR($F70)&lt;Preisindex!$A$6),ROUND($E70*BS70,2),0))</f>
        <v>111600</v>
      </c>
      <c r="BU70" s="53">
        <f t="shared" si="377"/>
        <v>2232</v>
      </c>
      <c r="BV70" s="51">
        <f t="shared" si="361"/>
        <v>0</v>
      </c>
      <c r="BW70" s="51">
        <f t="shared" si="327"/>
        <v>0</v>
      </c>
      <c r="BX70" s="51">
        <f t="shared" si="378"/>
        <v>0</v>
      </c>
      <c r="BY70" s="51">
        <f t="shared" si="328"/>
        <v>0</v>
      </c>
      <c r="BZ70" s="51">
        <f t="shared" si="379"/>
        <v>90000</v>
      </c>
      <c r="CA70" s="51">
        <f t="shared" si="329"/>
        <v>90000</v>
      </c>
      <c r="CB70" s="51">
        <f t="shared" si="380"/>
        <v>1800</v>
      </c>
      <c r="CC70" s="51">
        <f t="shared" si="330"/>
        <v>1800</v>
      </c>
      <c r="CD70" s="51">
        <f t="shared" si="381"/>
        <v>72900</v>
      </c>
      <c r="CE70" s="51">
        <f t="shared" si="331"/>
        <v>72900</v>
      </c>
      <c r="CF70" s="51">
        <f t="shared" si="382"/>
        <v>17100</v>
      </c>
      <c r="CG70" s="54">
        <f t="shared" si="383"/>
        <v>0</v>
      </c>
      <c r="CH70" s="55">
        <f t="shared" si="384"/>
        <v>0</v>
      </c>
      <c r="CI70" s="56">
        <f>IF(AND($E70&lt;&gt;0,$F70&gt;0,YEAR($F70)&gt;=Preisindex!$A$6,YEAR(CD$4)&gt;=YEAR($F70),AND($K70&lt;&gt;"a",$K70&lt;&gt;"b",$K70&lt;&gt;"g",$K70&lt;&gt;"k")),1,IF(AND($E70&lt;&gt;0,$F70&gt;0,YEAR($F70)&gt;=Preisindex!$A$6,YEAR(CD$4)&gt;=YEAR($F70),$K70="a"),ROUND(VLOOKUP(CI$4,Preisindex,5,FALSE)/VLOOKUP(YEAR($F70),Preisindex,5,FALSE),2),IF(AND($E70&lt;&gt;0,$F70&gt;0,YEAR($F70)&gt;=Preisindex!$A$6,YEAR(CD$4)&gt;=YEAR($F70),$K70="b"),ROUND(VLOOKUP(CI$4,Preisindex,3,FALSE)/VLOOKUP(YEAR($F70),Preisindex,3,FALSE),2),IF(AND($E70&lt;&gt;0,$F70&gt;0,YEAR($F70)&gt;=Preisindex!$A$6,YEAR(CD$4)&gt;=YEAR($F70),$K70="g"),ROUND(VLOOKUP(CI$4,Preisindex,4,FALSE)/VLOOKUP(YEAR($F70),Preisindex,4,FALSE),2),IF(AND($E70&lt;&gt;0,$F70&gt;0,YEAR($F70)&gt;=Preisindex!$A$6,YEAR(CD$4)&gt;=YEAR($F70),$K70="k"),ROUND(VLOOKUP(CI$4,Preisindex,2,FALSE)/VLOOKUP(YEAR($F70),Preisindex,2,FALSE),2),0)))))</f>
        <v>1.26</v>
      </c>
      <c r="CJ70" s="56">
        <f>IF(AND($E70&lt;&gt;0,$F70&gt;0,YEAR($F70)&lt;Preisindex!$A$6,YEAR(CD$4)&gt;=YEAR($F70),AND($K70&lt;&gt;"a",$K70&lt;&gt;"b",$K70&lt;&gt;"g",$K70&lt;&gt;"k")),1,IF(AND($E70&lt;&gt;0,$F70&gt;0,YEAR($F70)&lt;Preisindex!$A$6,YEAR(CD$4)&gt;=YEAR($F70),$K70="a"),ROUND(VLOOKUP(CI$4,Preisindex,5,FALSE)/VLOOKUP(Preisindex!$A$6,Preisindex,5,FALSE),2),IF(AND($E70&lt;&gt;0,$F70&gt;0,YEAR($F70)&lt;Preisindex!$A$6,YEAR(CD$4)&gt;=YEAR($F70),$K70="b"),ROUND(VLOOKUP(CI$4,Preisindex,3,FALSE)/VLOOKUP(Preisindex!$A$6,Preisindex,3,FALSE),2),IF(AND($E70&lt;&gt;0,$F70&gt;0,YEAR($F70)&lt;Preisindex!$A$6,YEAR(CD$4)&gt;=YEAR($F70),$K70="g"),ROUND(VLOOKUP(CI$4,Preisindex,4,FALSE)/VLOOKUP(Preisindex!$A$6,Preisindex,4,FALSE),2),IF(AND($E70&lt;&gt;0,$F70&gt;0,YEAR($F70)&lt;Preisindex!$A$6,YEAR(CD$4)&gt;=YEAR($F70),$K70="k"),ROUND(VLOOKUP(CI$4,Preisindex,2,FALSE)/VLOOKUP(Preisindex!$A$6,Preisindex,2,FALSE),2),0)))))</f>
        <v>0</v>
      </c>
      <c r="CK70" s="51">
        <f>IF(AND($E70&lt;&gt;0,$F70&gt;0,YEAR($F70)&lt;=CI$4,YEAR($F70)&gt;=Preisindex!$A$6),ROUND($E70*CI70,2),IF(AND($E70&lt;&gt;0,$F70&gt;0,YEAR($F70)&lt;=CI$4,YEAR($F70)&lt;Preisindex!$A$6),ROUND($E70*CJ70,2),0))</f>
        <v>113400</v>
      </c>
      <c r="CL70" s="53">
        <f t="shared" si="385"/>
        <v>2268</v>
      </c>
      <c r="CM70" s="51">
        <f t="shared" si="361"/>
        <v>0</v>
      </c>
      <c r="CN70" s="51">
        <f t="shared" si="332"/>
        <v>0</v>
      </c>
      <c r="CO70" s="51">
        <f t="shared" si="386"/>
        <v>0</v>
      </c>
      <c r="CP70" s="51">
        <f t="shared" si="333"/>
        <v>0</v>
      </c>
      <c r="CQ70" s="51">
        <f t="shared" si="387"/>
        <v>90000</v>
      </c>
      <c r="CR70" s="51">
        <f t="shared" si="334"/>
        <v>90000</v>
      </c>
      <c r="CS70" s="51">
        <f t="shared" si="388"/>
        <v>1800</v>
      </c>
      <c r="CT70" s="51">
        <f t="shared" si="335"/>
        <v>1800</v>
      </c>
      <c r="CU70" s="51">
        <f t="shared" si="389"/>
        <v>71100</v>
      </c>
      <c r="CV70" s="51">
        <f t="shared" si="336"/>
        <v>71100</v>
      </c>
      <c r="CW70" s="51">
        <f t="shared" si="390"/>
        <v>18900</v>
      </c>
      <c r="CX70" s="54">
        <f t="shared" si="391"/>
        <v>0</v>
      </c>
      <c r="CY70" s="55">
        <f t="shared" si="392"/>
        <v>0</v>
      </c>
      <c r="CZ70" s="56">
        <f>IF(AND($E70&lt;&gt;0,$F70&gt;0,YEAR($F70)&gt;=Preisindex!$A$6,YEAR(CU$4)&gt;=YEAR($F70),AND($K70&lt;&gt;"a",$K70&lt;&gt;"b",$K70&lt;&gt;"g",$K70&lt;&gt;"k")),1,IF(AND($E70&lt;&gt;0,$F70&gt;0,YEAR($F70)&gt;=Preisindex!$A$6,YEAR(CU$4)&gt;=YEAR($F70),$K70="a"),ROUND(VLOOKUP(CZ$4,Preisindex,5,FALSE)/VLOOKUP(YEAR($F70),Preisindex,5,FALSE),2),IF(AND($E70&lt;&gt;0,$F70&gt;0,YEAR($F70)&gt;=Preisindex!$A$6,YEAR(CU$4)&gt;=YEAR($F70),$K70="b"),ROUND(VLOOKUP(CZ$4,Preisindex,3,FALSE)/VLOOKUP(YEAR($F70),Preisindex,3,FALSE),2),IF(AND($E70&lt;&gt;0,$F70&gt;0,YEAR($F70)&gt;=Preisindex!$A$6,YEAR(CU$4)&gt;=YEAR($F70),$K70="g"),ROUND(VLOOKUP(CZ$4,Preisindex,4,FALSE)/VLOOKUP(YEAR($F70),Preisindex,4,FALSE),2),IF(AND($E70&lt;&gt;0,$F70&gt;0,YEAR($F70)&gt;=Preisindex!$A$6,YEAR(CU$4)&gt;=YEAR($F70),$K70="k"),ROUND(VLOOKUP(CZ$4,Preisindex,2,FALSE)/VLOOKUP(YEAR($F70),Preisindex,2,FALSE),2),0)))))</f>
        <v>1.28</v>
      </c>
      <c r="DA70" s="56">
        <f>IF(AND($E70&lt;&gt;0,$F70&gt;0,YEAR($F70)&lt;Preisindex!$A$6,YEAR(CU$4)&gt;=YEAR($F70),AND($K70&lt;&gt;"a",$K70&lt;&gt;"b",$K70&lt;&gt;"g",$K70&lt;&gt;"k")),1,IF(AND($E70&lt;&gt;0,$F70&gt;0,YEAR($F70)&lt;Preisindex!$A$6,YEAR(CU$4)&gt;=YEAR($F70),$K70="a"),ROUND(VLOOKUP(CZ$4,Preisindex,5,FALSE)/VLOOKUP(Preisindex!$A$6,Preisindex,5,FALSE),2),IF(AND($E70&lt;&gt;0,$F70&gt;0,YEAR($F70)&lt;Preisindex!$A$6,YEAR(CU$4)&gt;=YEAR($F70),$K70="b"),ROUND(VLOOKUP(CZ$4,Preisindex,3,FALSE)/VLOOKUP(Preisindex!$A$6,Preisindex,3,FALSE),2),IF(AND($E70&lt;&gt;0,$F70&gt;0,YEAR($F70)&lt;Preisindex!$A$6,YEAR(CU$4)&gt;=YEAR($F70),$K70="g"),ROUND(VLOOKUP(CZ$4,Preisindex,4,FALSE)/VLOOKUP(Preisindex!$A$6,Preisindex,4,FALSE),2),IF(AND($E70&lt;&gt;0,$F70&gt;0,YEAR($F70)&lt;Preisindex!$A$6,YEAR(CU$4)&gt;=YEAR($F70),$K70="k"),ROUND(VLOOKUP(CZ$4,Preisindex,2,FALSE)/VLOOKUP(Preisindex!$A$6,Preisindex,2,FALSE),2),0)))))</f>
        <v>0</v>
      </c>
      <c r="DB70" s="51">
        <f>IF(AND($E70&lt;&gt;0,$F70&gt;0,YEAR($F70)&lt;=CZ$4,YEAR($F70)&gt;=Preisindex!$A$6),ROUND($E70*CZ70,2),IF(AND($E70&lt;&gt;0,$F70&gt;0,YEAR($F70)&lt;=CZ$4,YEAR($F70)&lt;Preisindex!$A$6),ROUND($E70*DA70,2),0))</f>
        <v>115200</v>
      </c>
      <c r="DC70" s="53">
        <f t="shared" si="393"/>
        <v>2304</v>
      </c>
      <c r="DD70" s="51">
        <f t="shared" si="394"/>
        <v>0</v>
      </c>
      <c r="DE70" s="51">
        <f t="shared" si="337"/>
        <v>0</v>
      </c>
      <c r="DF70" s="51">
        <f t="shared" si="395"/>
        <v>0</v>
      </c>
      <c r="DG70" s="51">
        <f t="shared" si="338"/>
        <v>0</v>
      </c>
      <c r="DH70" s="51">
        <f t="shared" si="396"/>
        <v>90000</v>
      </c>
      <c r="DI70" s="51">
        <f t="shared" si="339"/>
        <v>90000</v>
      </c>
      <c r="DJ70" s="51">
        <f t="shared" si="397"/>
        <v>1800</v>
      </c>
      <c r="DK70" s="51">
        <f t="shared" si="340"/>
        <v>1800</v>
      </c>
      <c r="DL70" s="51">
        <f t="shared" si="398"/>
        <v>69300</v>
      </c>
      <c r="DM70" s="51">
        <f t="shared" si="341"/>
        <v>69300</v>
      </c>
      <c r="DN70" s="51">
        <f t="shared" si="399"/>
        <v>20700</v>
      </c>
      <c r="DO70" s="54">
        <f t="shared" si="400"/>
        <v>0</v>
      </c>
      <c r="DP70" s="55">
        <f t="shared" si="401"/>
        <v>0</v>
      </c>
      <c r="DQ70" s="56">
        <f>IF(AND($E70&lt;&gt;0,$F70&gt;0,YEAR($F70)&gt;=Preisindex!$A$6,YEAR(DL$4)&gt;=YEAR($F70),AND($K70&lt;&gt;"a",$K70&lt;&gt;"b",$K70&lt;&gt;"g",$K70&lt;&gt;"k")),1,IF(AND($E70&lt;&gt;0,$F70&gt;0,YEAR($F70)&gt;=Preisindex!$A$6,YEAR(DL$4)&gt;=YEAR($F70),$K70="a"),ROUND(VLOOKUP(DQ$4,Preisindex,5,FALSE)/VLOOKUP(YEAR($F70),Preisindex,5,FALSE),2),IF(AND($E70&lt;&gt;0,$F70&gt;0,YEAR($F70)&gt;=Preisindex!$A$6,YEAR(DL$4)&gt;=YEAR($F70),$K70="b"),ROUND(VLOOKUP(DQ$4,Preisindex,3,FALSE)/VLOOKUP(YEAR($F70),Preisindex,3,FALSE),2),IF(AND($E70&lt;&gt;0,$F70&gt;0,YEAR($F70)&gt;=Preisindex!$A$6,YEAR(DL$4)&gt;=YEAR($F70),$K70="g"),ROUND(VLOOKUP(DQ$4,Preisindex,4,FALSE)/VLOOKUP(YEAR($F70),Preisindex,4,FALSE),2),IF(AND($E70&lt;&gt;0,$F70&gt;0,YEAR($F70)&gt;=Preisindex!$A$6,YEAR(DL$4)&gt;=YEAR($F70),$K70="k"),ROUND(VLOOKUP(DQ$4,Preisindex,2,FALSE)/VLOOKUP(YEAR($F70),Preisindex,2,FALSE),2),0)))))</f>
        <v>1.32</v>
      </c>
      <c r="DR70" s="56">
        <f>IF(AND($E70&lt;&gt;0,$F70&gt;0,YEAR($F70)&lt;Preisindex!$A$6,YEAR(DL$4)&gt;=YEAR($F70),AND($K70&lt;&gt;"a",$K70&lt;&gt;"b",$K70&lt;&gt;"g",$K70&lt;&gt;"k")),1,IF(AND($E70&lt;&gt;0,$F70&gt;0,YEAR($F70)&lt;Preisindex!$A$6,YEAR(DL$4)&gt;=YEAR($F70),$K70="a"),ROUND(VLOOKUP(DQ$4,Preisindex,5,FALSE)/VLOOKUP(Preisindex!$A$6,Preisindex,5,FALSE),2),IF(AND($E70&lt;&gt;0,$F70&gt;0,YEAR($F70)&lt;Preisindex!$A$6,YEAR(DL$4)&gt;=YEAR($F70),$K70="b"),ROUND(VLOOKUP(DQ$4,Preisindex,3,FALSE)/VLOOKUP(Preisindex!$A$6,Preisindex,3,FALSE),2),IF(AND($E70&lt;&gt;0,$F70&gt;0,YEAR($F70)&lt;Preisindex!$A$6,YEAR(DL$4)&gt;=YEAR($F70),$K70="g"),ROUND(VLOOKUP(DQ$4,Preisindex,4,FALSE)/VLOOKUP(Preisindex!$A$6,Preisindex,4,FALSE),2),IF(AND($E70&lt;&gt;0,$F70&gt;0,YEAR($F70)&lt;Preisindex!$A$6,YEAR(DL$4)&gt;=YEAR($F70),$K70="k"),ROUND(VLOOKUP(DQ$4,Preisindex,2,FALSE)/VLOOKUP(Preisindex!$A$6,Preisindex,2,FALSE),2),0)))))</f>
        <v>0</v>
      </c>
      <c r="DS70" s="51">
        <f>IF(AND($E70&lt;&gt;0,$F70&gt;0,YEAR($F70)&lt;=DQ$4,YEAR($F70)&gt;=Preisindex!$A$6),ROUND($E70*DQ70,2),IF(AND($E70&lt;&gt;0,$F70&gt;0,YEAR($F70)&lt;=DQ$4,YEAR($F70)&lt;Preisindex!$A$6),ROUND($E70*DR70,2),0))</f>
        <v>118800</v>
      </c>
      <c r="DT70" s="53">
        <f t="shared" si="402"/>
        <v>2376</v>
      </c>
      <c r="DU70" s="51">
        <f t="shared" si="394"/>
        <v>0</v>
      </c>
      <c r="DV70" s="51">
        <f t="shared" si="342"/>
        <v>0</v>
      </c>
      <c r="DW70" s="51">
        <f t="shared" si="403"/>
        <v>0</v>
      </c>
      <c r="DX70" s="51">
        <f t="shared" si="343"/>
        <v>0</v>
      </c>
      <c r="DY70" s="51">
        <f t="shared" si="404"/>
        <v>90000</v>
      </c>
      <c r="DZ70" s="51">
        <f t="shared" si="344"/>
        <v>90000</v>
      </c>
      <c r="EA70" s="51">
        <f t="shared" si="405"/>
        <v>1800</v>
      </c>
      <c r="EB70" s="51">
        <f t="shared" si="345"/>
        <v>1800</v>
      </c>
      <c r="EC70" s="51">
        <f t="shared" si="406"/>
        <v>67500</v>
      </c>
      <c r="ED70" s="51">
        <f t="shared" si="346"/>
        <v>67500</v>
      </c>
      <c r="EE70" s="51">
        <f t="shared" si="407"/>
        <v>22500</v>
      </c>
      <c r="EF70" s="54">
        <f t="shared" si="408"/>
        <v>0</v>
      </c>
      <c r="EG70" s="55">
        <f t="shared" si="409"/>
        <v>0</v>
      </c>
      <c r="EH70" s="56">
        <f>IF(AND($E70&lt;&gt;0,$F70&gt;0,YEAR($F70)&gt;=Preisindex!$A$6,YEAR(EC$4)&gt;=YEAR($F70),AND($K70&lt;&gt;"a",$K70&lt;&gt;"b",$K70&lt;&gt;"g",$K70&lt;&gt;"k")),1,IF(AND($E70&lt;&gt;0,$F70&gt;0,YEAR($F70)&gt;=Preisindex!$A$6,YEAR(EC$4)&gt;=YEAR($F70),$K70="a"),ROUND(VLOOKUP(EH$4,Preisindex,5,FALSE)/VLOOKUP(YEAR($F70),Preisindex,5,FALSE),2),IF(AND($E70&lt;&gt;0,$F70&gt;0,YEAR($F70)&gt;=Preisindex!$A$6,YEAR(EC$4)&gt;=YEAR($F70),$K70="b"),ROUND(VLOOKUP(EH$4,Preisindex,3,FALSE)/VLOOKUP(YEAR($F70),Preisindex,3,FALSE),2),IF(AND($E70&lt;&gt;0,$F70&gt;0,YEAR($F70)&gt;=Preisindex!$A$6,YEAR(EC$4)&gt;=YEAR($F70),$K70="g"),ROUND(VLOOKUP(EH$4,Preisindex,4,FALSE)/VLOOKUP(YEAR($F70),Preisindex,4,FALSE),2),IF(AND($E70&lt;&gt;0,$F70&gt;0,YEAR($F70)&gt;=Preisindex!$A$6,YEAR(EC$4)&gt;=YEAR($F70),$K70="k"),ROUND(VLOOKUP(EH$4,Preisindex,2,FALSE)/VLOOKUP(YEAR($F70),Preisindex,2,FALSE),2),0)))))</f>
        <v>1.39</v>
      </c>
      <c r="EI70" s="56">
        <f>IF(AND($E70&lt;&gt;0,$F70&gt;0,YEAR($F70)&lt;Preisindex!$A$6,YEAR(EC$4)&gt;=YEAR($F70),AND($K70&lt;&gt;"a",$K70&lt;&gt;"b",$K70&lt;&gt;"g",$K70&lt;&gt;"k")),1,IF(AND($E70&lt;&gt;0,$F70&gt;0,YEAR($F70)&lt;Preisindex!$A$6,YEAR(EC$4)&gt;=YEAR($F70),$K70="a"),ROUND(VLOOKUP(EH$4,Preisindex,5,FALSE)/VLOOKUP(Preisindex!$A$6,Preisindex,5,FALSE),2),IF(AND($E70&lt;&gt;0,$F70&gt;0,YEAR($F70)&lt;Preisindex!$A$6,YEAR(EC$4)&gt;=YEAR($F70),$K70="b"),ROUND(VLOOKUP(EH$4,Preisindex,3,FALSE)/VLOOKUP(Preisindex!$A$6,Preisindex,3,FALSE),2),IF(AND($E70&lt;&gt;0,$F70&gt;0,YEAR($F70)&lt;Preisindex!$A$6,YEAR(EC$4)&gt;=YEAR($F70),$K70="g"),ROUND(VLOOKUP(EH$4,Preisindex,4,FALSE)/VLOOKUP(Preisindex!$A$6,Preisindex,4,FALSE),2),IF(AND($E70&lt;&gt;0,$F70&gt;0,YEAR($F70)&lt;Preisindex!$A$6,YEAR(EC$4)&gt;=YEAR($F70),$K70="k"),ROUND(VLOOKUP(EH$4,Preisindex,2,FALSE)/VLOOKUP(Preisindex!$A$6,Preisindex,2,FALSE),2),0)))))</f>
        <v>0</v>
      </c>
      <c r="EJ70" s="51">
        <f>IF(AND($E70&lt;&gt;0,$F70&gt;0,YEAR($F70)&lt;=EH$4,YEAR($F70)&gt;=Preisindex!$A$6),ROUND($E70*EH70,2),IF(AND($E70&lt;&gt;0,$F70&gt;0,YEAR($F70)&lt;=EH$4,YEAR($F70)&lt;Preisindex!$A$6),ROUND($E70*EI70,2),0))</f>
        <v>125100</v>
      </c>
      <c r="EK70" s="53">
        <f t="shared" si="410"/>
        <v>2502</v>
      </c>
      <c r="EL70" s="51">
        <f t="shared" si="394"/>
        <v>0</v>
      </c>
      <c r="EM70" s="51">
        <f t="shared" si="347"/>
        <v>0</v>
      </c>
      <c r="EN70" s="51">
        <f t="shared" si="411"/>
        <v>0</v>
      </c>
      <c r="EO70" s="51">
        <f t="shared" si="348"/>
        <v>0</v>
      </c>
      <c r="EP70" s="51">
        <f t="shared" si="412"/>
        <v>90000</v>
      </c>
      <c r="EQ70" s="51">
        <f t="shared" si="349"/>
        <v>90000</v>
      </c>
      <c r="ER70" s="51">
        <f t="shared" si="413"/>
        <v>1800</v>
      </c>
      <c r="ES70" s="51">
        <f t="shared" si="350"/>
        <v>1800</v>
      </c>
      <c r="ET70" s="51">
        <f t="shared" si="414"/>
        <v>65700</v>
      </c>
      <c r="EU70" s="51">
        <f t="shared" si="351"/>
        <v>65700</v>
      </c>
      <c r="EV70" s="51">
        <f t="shared" si="415"/>
        <v>24300</v>
      </c>
      <c r="EW70" s="54">
        <f t="shared" si="416"/>
        <v>0</v>
      </c>
      <c r="EX70" s="55">
        <f t="shared" si="417"/>
        <v>0</v>
      </c>
      <c r="EY70" s="56">
        <f>IF(AND($E70&lt;&gt;0,$F70&gt;0,YEAR($F70)&gt;=Preisindex!$A$6,YEAR(ET$4)&gt;=YEAR($F70),AND($K70&lt;&gt;"a",$K70&lt;&gt;"b",$K70&lt;&gt;"g",$K70&lt;&gt;"k")),1,IF(AND($E70&lt;&gt;0,$F70&gt;0,YEAR($F70)&gt;=Preisindex!$A$6,YEAR(ET$4)&gt;=YEAR($F70),$K70="a"),ROUND(VLOOKUP(EY$4,Preisindex,5,FALSE)/VLOOKUP(YEAR($F70),Preisindex,5,FALSE),2),IF(AND($E70&lt;&gt;0,$F70&gt;0,YEAR($F70)&gt;=Preisindex!$A$6,YEAR(ET$4)&gt;=YEAR($F70),$K70="b"),ROUND(VLOOKUP(EY$4,Preisindex,3,FALSE)/VLOOKUP(YEAR($F70),Preisindex,3,FALSE),2),IF(AND($E70&lt;&gt;0,$F70&gt;0,YEAR($F70)&gt;=Preisindex!$A$6,YEAR(ET$4)&gt;=YEAR($F70),$K70="g"),ROUND(VLOOKUP(EY$4,Preisindex,4,FALSE)/VLOOKUP(YEAR($F70),Preisindex,4,FALSE),2),IF(AND($E70&lt;&gt;0,$F70&gt;0,YEAR($F70)&gt;=Preisindex!$A$6,YEAR(ET$4)&gt;=YEAR($F70),$K70="k"),ROUND(VLOOKUP(EY$4,Preisindex,2,FALSE)/VLOOKUP(YEAR($F70),Preisindex,2,FALSE),2),0)))))</f>
        <v>1.39</v>
      </c>
      <c r="EZ70" s="56">
        <f>IF(AND($E70&lt;&gt;0,$F70&gt;0,YEAR($F70)&lt;Preisindex!$A$6,YEAR(ET$4)&gt;=YEAR($F70),AND($K70&lt;&gt;"a",$K70&lt;&gt;"b",$K70&lt;&gt;"g",$K70&lt;&gt;"k")),1,IF(AND($E70&lt;&gt;0,$F70&gt;0,YEAR($F70)&lt;Preisindex!$A$6,YEAR(ET$4)&gt;=YEAR($F70),$K70="a"),ROUND(VLOOKUP(EY$4,Preisindex,5,FALSE)/VLOOKUP(Preisindex!$A$6,Preisindex,5,FALSE),2),IF(AND($E70&lt;&gt;0,$F70&gt;0,YEAR($F70)&lt;Preisindex!$A$6,YEAR(ET$4)&gt;=YEAR($F70),$K70="b"),ROUND(VLOOKUP(EY$4,Preisindex,3,FALSE)/VLOOKUP(Preisindex!$A$6,Preisindex,3,FALSE),2),IF(AND($E70&lt;&gt;0,$F70&gt;0,YEAR($F70)&lt;Preisindex!$A$6,YEAR(ET$4)&gt;=YEAR($F70),$K70="g"),ROUND(VLOOKUP(EY$4,Preisindex,4,FALSE)/VLOOKUP(Preisindex!$A$6,Preisindex,4,FALSE),2),IF(AND($E70&lt;&gt;0,$F70&gt;0,YEAR($F70)&lt;Preisindex!$A$6,YEAR(ET$4)&gt;=YEAR($F70),$K70="k"),ROUND(VLOOKUP(EY$4,Preisindex,2,FALSE)/VLOOKUP(Preisindex!$A$6,Preisindex,2,FALSE),2),0)))))</f>
        <v>0</v>
      </c>
      <c r="FA70" s="51">
        <f>IF(AND($E70&lt;&gt;0,$F70&gt;0,YEAR($F70)&lt;=EY$4,YEAR($F70)&gt;=Preisindex!$A$6),ROUND($E70*EY70,2),IF(AND($E70&lt;&gt;0,$F70&gt;0,YEAR($F70)&lt;=EY$4,YEAR($F70)&lt;Preisindex!$A$6),ROUND($E70*EZ70,2),0))</f>
        <v>125100</v>
      </c>
      <c r="FB70" s="53">
        <f t="shared" si="418"/>
        <v>2502</v>
      </c>
      <c r="FC70" s="51">
        <f t="shared" si="394"/>
        <v>0</v>
      </c>
      <c r="FD70" s="51">
        <f t="shared" si="352"/>
        <v>0</v>
      </c>
      <c r="FE70" s="51">
        <f t="shared" si="419"/>
        <v>0</v>
      </c>
      <c r="FF70" s="51">
        <f t="shared" si="353"/>
        <v>0</v>
      </c>
      <c r="FG70" s="51">
        <f t="shared" si="420"/>
        <v>90000</v>
      </c>
      <c r="FH70" s="51">
        <f t="shared" si="354"/>
        <v>90000</v>
      </c>
      <c r="FI70" s="51">
        <f t="shared" si="421"/>
        <v>1800</v>
      </c>
      <c r="FJ70" s="51">
        <f t="shared" si="355"/>
        <v>1800</v>
      </c>
      <c r="FK70" s="51">
        <f t="shared" si="422"/>
        <v>63900</v>
      </c>
      <c r="FL70" s="51">
        <f t="shared" si="356"/>
        <v>63900</v>
      </c>
      <c r="FM70" s="51">
        <f t="shared" si="423"/>
        <v>26100</v>
      </c>
      <c r="FN70" s="54">
        <f t="shared" si="424"/>
        <v>0</v>
      </c>
      <c r="FO70" s="55">
        <f t="shared" si="425"/>
        <v>0</v>
      </c>
      <c r="FP70" s="56">
        <f>IF(AND($E70&lt;&gt;0,$F70&gt;0,YEAR($F70)&gt;=Preisindex!$A$6,YEAR(FK$4)&gt;=YEAR($F70),AND($K70&lt;&gt;"a",$K70&lt;&gt;"b",$K70&lt;&gt;"g",$K70&lt;&gt;"k")),1,IF(AND($E70&lt;&gt;0,$F70&gt;0,YEAR($F70)&gt;=Preisindex!$A$6,YEAR(FK$4)&gt;=YEAR($F70),$K70="a"),ROUND(VLOOKUP(FP$4,Preisindex,5,FALSE)/VLOOKUP(YEAR($F70),Preisindex,5,FALSE),2),IF(AND($E70&lt;&gt;0,$F70&gt;0,YEAR($F70)&gt;=Preisindex!$A$6,YEAR(FK$4)&gt;=YEAR($F70),$K70="b"),ROUND(VLOOKUP(FP$4,Preisindex,3,FALSE)/VLOOKUP(YEAR($F70),Preisindex,3,FALSE),2),IF(AND($E70&lt;&gt;0,$F70&gt;0,YEAR($F70)&gt;=Preisindex!$A$6,YEAR(FK$4)&gt;=YEAR($F70),$K70="g"),ROUND(VLOOKUP(FP$4,Preisindex,4,FALSE)/VLOOKUP(YEAR($F70),Preisindex,4,FALSE),2),IF(AND($E70&lt;&gt;0,$F70&gt;0,YEAR($F70)&gt;=Preisindex!$A$6,YEAR(FK$4)&gt;=YEAR($F70),$K70="k"),ROUND(VLOOKUP(FP$4,Preisindex,2,FALSE)/VLOOKUP(YEAR($F70),Preisindex,2,FALSE),2),0)))))</f>
        <v>1.39</v>
      </c>
      <c r="FQ70" s="56">
        <f>IF(AND($E70&lt;&gt;0,$F70&gt;0,YEAR($F70)&lt;Preisindex!$A$6,YEAR(FK$4)&gt;=YEAR($F70),AND($K70&lt;&gt;"a",$K70&lt;&gt;"b",$K70&lt;&gt;"g",$K70&lt;&gt;"k")),1,IF(AND($E70&lt;&gt;0,$F70&gt;0,YEAR($F70)&lt;Preisindex!$A$6,YEAR(FK$4)&gt;=YEAR($F70),$K70="a"),ROUND(VLOOKUP(FP$4,Preisindex,5,FALSE)/VLOOKUP(Preisindex!$A$6,Preisindex,5,FALSE),2),IF(AND($E70&lt;&gt;0,$F70&gt;0,YEAR($F70)&lt;Preisindex!$A$6,YEAR(FK$4)&gt;=YEAR($F70),$K70="b"),ROUND(VLOOKUP(FP$4,Preisindex,3,FALSE)/VLOOKUP(Preisindex!$A$6,Preisindex,3,FALSE),2),IF(AND($E70&lt;&gt;0,$F70&gt;0,YEAR($F70)&lt;Preisindex!$A$6,YEAR(FK$4)&gt;=YEAR($F70),$K70="g"),ROUND(VLOOKUP(FP$4,Preisindex,4,FALSE)/VLOOKUP(Preisindex!$A$6,Preisindex,4,FALSE),2),IF(AND($E70&lt;&gt;0,$F70&gt;0,YEAR($F70)&lt;Preisindex!$A$6,YEAR(FK$4)&gt;=YEAR($F70),$K70="k"),ROUND(VLOOKUP(FP$4,Preisindex,2,FALSE)/VLOOKUP(Preisindex!$A$6,Preisindex,2,FALSE),2),0)))))</f>
        <v>0</v>
      </c>
      <c r="FR70" s="51">
        <f>IF(AND($E70&lt;&gt;0,$F70&gt;0,YEAR($F70)&lt;=FP$4,YEAR($F70)&gt;=Preisindex!$A$6),ROUND($E70*FP70,2),IF(AND($E70&lt;&gt;0,$F70&gt;0,YEAR($F70)&lt;=FP$4,YEAR($F70)&lt;Preisindex!$A$6),ROUND($E70*FQ70,2),0))</f>
        <v>125100</v>
      </c>
      <c r="FS70" s="53">
        <f t="shared" si="426"/>
        <v>2502</v>
      </c>
    </row>
    <row r="71" spans="1:175" x14ac:dyDescent="0.3">
      <c r="A71" s="93">
        <v>2008</v>
      </c>
      <c r="B71" s="94" t="s">
        <v>256</v>
      </c>
      <c r="C71" s="94"/>
      <c r="D71" s="95" t="s">
        <v>66</v>
      </c>
      <c r="E71" s="99">
        <v>22500</v>
      </c>
      <c r="F71" s="97">
        <v>39630</v>
      </c>
      <c r="G71" s="98">
        <v>50</v>
      </c>
      <c r="H71" s="620"/>
      <c r="I71" s="621"/>
      <c r="J71" s="194"/>
      <c r="K71" s="630" t="s">
        <v>266</v>
      </c>
      <c r="L71" s="49">
        <f t="shared" ref="L71:L134" si="427">IF(AND(G71&gt;0,G71&lt;=1,H71=0),1,IF(H71&gt;=1,1,IF(AND(H71&gt;0,H71&lt;1),H71,IF(AND(G71&gt;1,OR(H71=0,H71="")),ROUND(1/G71,4),0))))</f>
        <v>0.02</v>
      </c>
      <c r="M71" s="50">
        <f t="shared" ref="M71:M134" si="428">IF(AND(E71&gt;0,F71&gt;0,OR(G71&gt;0,H71&gt;0)),ROUND((E71-I71)*L71,2),IF(AND(E71&lt;0,F71&gt;0,OR(G71&gt;0,H71&gt;0)),ROUND(E71*L71,2),0))</f>
        <v>450</v>
      </c>
      <c r="N71" s="51">
        <f t="shared" ref="N71:N134" si="429">IF(AND(E71-P71&gt;=0,F71&gt;0,YEAR(N$4)&gt;=YEAR(F71)),E71-P71,IF(AND(E71-P71&lt;0,F71&gt;0,YEAR(N$4)&gt;=YEAR(F71)),E71-P71,0))</f>
        <v>20925</v>
      </c>
      <c r="O71" s="51"/>
      <c r="P71" s="51">
        <f t="shared" ref="P71:P134" si="430">IF(AND(YEAR(F71)&lt;=YEAR(N$4),E71&lt;1000,E71&gt;-1000,F71&gt;0,L71=1),E71-I71,IF(AND(YEAR(F71)&lt;=YEAR(N$4),E71&gt;0,F71&gt;0,L71&gt;0,E71&gt;M71*(YEAR(N$4)-YEAR(F71))+ROUND((M71/12)*(13-MONTH(F71)),2)+I71),M71*(YEAR(N$4)-YEAR(F71))+ROUND((M71/12)*(13-MONTH(F71)),2),IF(AND(YEAR(F71)&lt;=YEAR(N$4),E71&gt;0,F71&gt;0,L71&gt;0,E71&lt;=(M71*(YEAR(N$4)-YEAR(F71)+ROUND((M71/12)*(13-MONTH(F71)),2)))+I71),E71-I71,IF(AND(YEAR(F71)&lt;=YEAR(N$4),E71&lt;0,F71&gt;0,L71&gt;0,E71&lt;M71*(YEAR(N$4)-YEAR(F71))+ROUND((M71/12)*(13-MONTH(F71)),2)+I71),M71*(YEAR(N$4)-YEAR(F71))+ROUND((M71/12)*(13-MONTH(F71)),2),IF(AND(YEAR(F71)&lt;=YEAR(N$4),E71&lt;0,F71&gt;0,L71&gt;0,E71&lt;=(M71*(YEAR(N$4)-YEAR(F71)+ROUND((M71/12)*(13-MONTH(F71)),2)))),E71,0)))))</f>
        <v>1575</v>
      </c>
      <c r="Q71" s="52"/>
      <c r="R71" s="52"/>
      <c r="S71" s="52"/>
      <c r="T71" s="52"/>
      <c r="U71" s="52"/>
      <c r="V71" s="53">
        <f t="shared" ref="V71:V134" si="431">IF(AND(F71&gt;0,F71&lt;=N$4),E71,0)</f>
        <v>22500</v>
      </c>
      <c r="W71" s="51">
        <f t="shared" ref="W71:W134" si="432">IF(YEAR($F71)=W$4,$E71,0)</f>
        <v>0</v>
      </c>
      <c r="X71" s="51">
        <f t="shared" ref="X71:X134" si="433">IF($J71&lt;&gt;"H",W71,0)</f>
        <v>0</v>
      </c>
      <c r="Y71" s="51">
        <f t="shared" ref="Y71:Y134" si="434">IF(W71&lt;&gt;0,ROUND(W71*YEARFRAC($F71,AE$4,0),2),0)</f>
        <v>0</v>
      </c>
      <c r="Z71" s="51">
        <f t="shared" ref="Z71:Z134" si="435">IF($J71&lt;&gt;"H",Y71,0)</f>
        <v>0</v>
      </c>
      <c r="AA71" s="51">
        <f t="shared" ref="AA71:AA134" si="436">IF(AND($F71&gt;0,$F71&lt;=AE$4),$E71,0)</f>
        <v>22500</v>
      </c>
      <c r="AB71" s="51">
        <f t="shared" ref="AB71:AB134" si="437">IF(AC71&lt;&gt;0,ROUND(AC71/$M71*AA71,2),0)</f>
        <v>22500</v>
      </c>
      <c r="AC71" s="51">
        <f t="shared" ref="AC71:AC134" si="438">IF(AND(YEAR($F71)=YEAR(AE$4),$E71&lt;1000,$E71&gt;-1000,$F71&gt;0,$L71=1),$E71-$I71,IF(AND(YEAR($F71)=YEAR(AE$4),$F71&gt;0,$L71&gt;0),ROUND(($M71/12)*(13-MONTH($F71)),2),IF(AND(YEAR($F71)&lt;YEAR(AE$4),$E71&gt;0,$F71&gt;0,$L71&gt;0,N71&gt;$M71+$I71),$M71,IF(AND(YEAR($F71)&lt;YEAR(AE$4),$E71&gt;0,$F71&gt;0,$L71&gt;0,N71&gt;0,N71&lt;=$M71+$I71),N71-$I71,IF(AND(YEAR($F71)&lt;YEAR(AE$4),$E71&lt;0,$F71&gt;0,$L71&gt;0,N71&lt;0,N71&lt;=$M71),$M71,IF(AND(YEAR($F71)&lt;YEAR(AE$4),$E71&lt;0,$F71&gt;0,$L71&gt;0,N71&lt;0,N71&gt;$M71),N71,0))))))</f>
        <v>450</v>
      </c>
      <c r="AD71" s="51">
        <f t="shared" ref="AD71:AD134" si="439">IF($J71&lt;&gt;"H",AC71,0)</f>
        <v>450</v>
      </c>
      <c r="AE71" s="51">
        <f t="shared" ref="AE71:AE134" si="440">IF(AND(YEAR(AE$4)=YEAR($F71),$E71&gt;0,$F71&gt;0,$E71-AC71&gt;=0),$E71-AC71,IF(AND(YEAR(AE$4)&gt;YEAR($F71),$E71&gt;0,$F71&gt;0,N71-AC71&gt;=0),N71-AC71,IF(AND(YEAR(AE$4)=YEAR($F71),$E71&lt;0,$F71&gt;0,$E71-AC71&lt;0),$E71-AC71,IF(AND(YEAR(AE$4)&gt;YEAR($F71),$E71&lt;0,$F71&gt;0,N71-AC71&lt;=0),N71-AC71,0))))</f>
        <v>20475</v>
      </c>
      <c r="AF71" s="51">
        <f t="shared" ref="AF71:AF134" si="441">IF($J71&lt;&gt;"H",AE71,0)</f>
        <v>20475</v>
      </c>
      <c r="AG71" s="51">
        <f t="shared" ref="AG71:AG134" si="442">P71+AC71</f>
        <v>2025</v>
      </c>
      <c r="AH71" s="54">
        <f t="shared" ref="AH71:AH134" si="443">IF(AND(W71&lt;&gt;0,$J71="H",$M71=0),Y71,IF(AND(YEAR(AE$4)&gt;YEAR($F71),$J71="H",$F71&gt;0,$M71=0),$E71,0))</f>
        <v>0</v>
      </c>
      <c r="AI71" s="55">
        <f t="shared" ref="AI71:AI134" si="444">IF(AND(YEAR(AE$4)&gt;=YEAR($F71),$E71&gt;0,$F71&gt;0,AC71&gt;0,$J71="H"),ROUND(AC71/$M71*$E71,2),IF(AND(YEAR(AE$4)&gt;=YEAR($F71),$E71&lt;0,$F71&gt;0,AC71&lt;0,$J71="H"),ROUND(AC71/$M71*$E71,2),0))</f>
        <v>0</v>
      </c>
      <c r="AJ71" s="56">
        <f>IF(AND($E71&lt;&gt;0,$F71&gt;0,YEAR($F71)&gt;=Preisindex!$A$6,YEAR(AE$4)&gt;=YEAR($F71),AND($K71&lt;&gt;"a",$K71&lt;&gt;"b",$K71&lt;&gt;"g",$K71&lt;&gt;"k")),1,IF(AND($E71&lt;&gt;0,$F71&gt;0,YEAR($F71)&gt;=Preisindex!$A$6,YEAR(AE$4)&gt;=YEAR($F71),$K71="a"),ROUND(VLOOKUP(AJ$4,Preisindex,5,FALSE)/VLOOKUP(YEAR($F71),Preisindex,5,FALSE),2),IF(AND($E71&lt;&gt;0,$F71&gt;0,YEAR($F71)&gt;=Preisindex!$A$6,YEAR(AE$4)&gt;=YEAR($F71),$K71="b"),ROUND(VLOOKUP(AJ$4,Preisindex,3,FALSE)/VLOOKUP(YEAR($F71),Preisindex,3,FALSE),2),IF(AND($E71&lt;&gt;0,$F71&gt;0,YEAR($F71)&gt;=Preisindex!$A$6,YEAR(AE$4)&gt;=YEAR($F71),$K71="g"),ROUND(VLOOKUP(AJ$4,Preisindex,4,FALSE)/VLOOKUP(YEAR($F71),Preisindex,4,FALSE),2),IF(AND($E71&lt;&gt;0,$F71&gt;0,YEAR($F71)&gt;=Preisindex!$A$6,YEAR(AE$4)&gt;=YEAR($F71),$K71="k"),ROUND(VLOOKUP(AJ$4,Preisindex,2,FALSE)/VLOOKUP(YEAR($F71),Preisindex,2,FALSE),2),0)))))</f>
        <v>1.07</v>
      </c>
      <c r="AK71" s="56">
        <f>IF(AND($E71&lt;&gt;0,$F71&gt;0,YEAR($F71)&lt;Preisindex!$A$6,YEAR(AE$4)&gt;=YEAR($F71),AND($K71&lt;&gt;"a",$K71&lt;&gt;"b",$K71&lt;&gt;"g",$K71&lt;&gt;"k")),1,IF(AND($E71&lt;&gt;0,$F71&gt;0,YEAR($F71)&lt;Preisindex!$A$6,YEAR(AE$4)&gt;=YEAR($F71),$K71="a"),ROUND(VLOOKUP(AJ$4,Preisindex,5,FALSE)/VLOOKUP(Preisindex!$A$6,Preisindex,5,FALSE),2),IF(AND($E71&lt;&gt;0,$F71&gt;0,YEAR($F71)&lt;Preisindex!$A$6,YEAR(AE$4)&gt;=YEAR($F71),$K71="b"),ROUND(VLOOKUP(AJ$4,Preisindex,3,FALSE)/VLOOKUP(Preisindex!$A$6,Preisindex,3,FALSE),2),IF(AND($E71&lt;&gt;0,$F71&gt;0,YEAR($F71)&lt;Preisindex!$A$6,YEAR(AE$4)&gt;=YEAR($F71),$K71="g"),ROUND(VLOOKUP(AJ$4,Preisindex,4,FALSE)/VLOOKUP(Preisindex!$A$6,Preisindex,4,FALSE),2),IF(AND($E71&lt;&gt;0,$F71&gt;0,YEAR($F71)&lt;Preisindex!$A$6,YEAR(AE$4)&gt;=YEAR($F71),$K71="k"),ROUND(VLOOKUP(AJ$4,Preisindex,2,FALSE)/VLOOKUP(Preisindex!$A$6,Preisindex,2,FALSE),2),0)))))</f>
        <v>0</v>
      </c>
      <c r="AL71" s="51">
        <f>IF(AND($E71&lt;&gt;0,$F71&gt;0,YEAR($F71)&lt;=AJ$4,YEAR($F71)&gt;=Preisindex!$A$6),ROUND($E71*AJ71,2),IF(AND($E71&lt;&gt;0,$F71&gt;0,YEAR($F71)&lt;=AJ$4,YEAR($F71)&lt;Preisindex!$A$6),ROUND($E71*AK71,2),0))</f>
        <v>24075</v>
      </c>
      <c r="AM71" s="53">
        <f t="shared" ref="AM71:AM134" si="445">IF(AND(AC71&lt;&gt;0,AC71=$M71),AL71*$L71,IF(AND(AC71&lt;&gt;0,AC71&lt;&gt;$M71),AL71*($L71*(AC71/$M71)),0))</f>
        <v>481.5</v>
      </c>
      <c r="AN71" s="51">
        <f t="shared" si="361"/>
        <v>0</v>
      </c>
      <c r="AO71" s="51">
        <f t="shared" si="317"/>
        <v>0</v>
      </c>
      <c r="AP71" s="51">
        <f t="shared" si="362"/>
        <v>0</v>
      </c>
      <c r="AQ71" s="51">
        <f t="shared" si="318"/>
        <v>0</v>
      </c>
      <c r="AR71" s="51">
        <f t="shared" si="363"/>
        <v>22500</v>
      </c>
      <c r="AS71" s="51">
        <f t="shared" si="319"/>
        <v>22500</v>
      </c>
      <c r="AT71" s="51">
        <f t="shared" si="364"/>
        <v>450</v>
      </c>
      <c r="AU71" s="51">
        <f t="shared" si="320"/>
        <v>450</v>
      </c>
      <c r="AV71" s="51">
        <f t="shared" si="365"/>
        <v>20025</v>
      </c>
      <c r="AW71" s="51">
        <f t="shared" si="321"/>
        <v>20025</v>
      </c>
      <c r="AX71" s="51">
        <f t="shared" si="366"/>
        <v>2475</v>
      </c>
      <c r="AY71" s="54">
        <f t="shared" si="367"/>
        <v>0</v>
      </c>
      <c r="AZ71" s="55">
        <f t="shared" si="368"/>
        <v>0</v>
      </c>
      <c r="BA71" s="56">
        <f>IF(AND($E71&lt;&gt;0,$F71&gt;0,YEAR($F71)&gt;=Preisindex!$A$6,YEAR(AV$4)&gt;=YEAR($F71),AND($K71&lt;&gt;"a",$K71&lt;&gt;"b",$K71&lt;&gt;"g",$K71&lt;&gt;"k")),1,IF(AND($E71&lt;&gt;0,$F71&gt;0,YEAR($F71)&gt;=Preisindex!$A$6,YEAR(AV$4)&gt;=YEAR($F71),$K71="a"),ROUND(VLOOKUP(BA$4,Preisindex,5,FALSE)/VLOOKUP(YEAR($F71),Preisindex,5,FALSE),2),IF(AND($E71&lt;&gt;0,$F71&gt;0,YEAR($F71)&gt;=Preisindex!$A$6,YEAR(AV$4)&gt;=YEAR($F71),$K71="b"),ROUND(VLOOKUP(BA$4,Preisindex,3,FALSE)/VLOOKUP(YEAR($F71),Preisindex,3,FALSE),2),IF(AND($E71&lt;&gt;0,$F71&gt;0,YEAR($F71)&gt;=Preisindex!$A$6,YEAR(AV$4)&gt;=YEAR($F71),$K71="g"),ROUND(VLOOKUP(BA$4,Preisindex,4,FALSE)/VLOOKUP(YEAR($F71),Preisindex,4,FALSE),2),IF(AND($E71&lt;&gt;0,$F71&gt;0,YEAR($F71)&gt;=Preisindex!$A$6,YEAR(AV$4)&gt;=YEAR($F71),$K71="k"),ROUND(VLOOKUP(BA$4,Preisindex,2,FALSE)/VLOOKUP(YEAR($F71),Preisindex,2,FALSE),2),0)))))</f>
        <v>1.0900000000000001</v>
      </c>
      <c r="BB71" s="56">
        <f>IF(AND($E71&lt;&gt;0,$F71&gt;0,YEAR($F71)&lt;Preisindex!$A$6,YEAR(AV$4)&gt;=YEAR($F71),AND($K71&lt;&gt;"a",$K71&lt;&gt;"b",$K71&lt;&gt;"g",$K71&lt;&gt;"k")),1,IF(AND($E71&lt;&gt;0,$F71&gt;0,YEAR($F71)&lt;Preisindex!$A$6,YEAR(AV$4)&gt;=YEAR($F71),$K71="a"),ROUND(VLOOKUP(BA$4,Preisindex,5,FALSE)/VLOOKUP(Preisindex!$A$6,Preisindex,5,FALSE),2),IF(AND($E71&lt;&gt;0,$F71&gt;0,YEAR($F71)&lt;Preisindex!$A$6,YEAR(AV$4)&gt;=YEAR($F71),$K71="b"),ROUND(VLOOKUP(BA$4,Preisindex,3,FALSE)/VLOOKUP(Preisindex!$A$6,Preisindex,3,FALSE),2),IF(AND($E71&lt;&gt;0,$F71&gt;0,YEAR($F71)&lt;Preisindex!$A$6,YEAR(AV$4)&gt;=YEAR($F71),$K71="g"),ROUND(VLOOKUP(BA$4,Preisindex,4,FALSE)/VLOOKUP(Preisindex!$A$6,Preisindex,4,FALSE),2),IF(AND($E71&lt;&gt;0,$F71&gt;0,YEAR($F71)&lt;Preisindex!$A$6,YEAR(AV$4)&gt;=YEAR($F71),$K71="k"),ROUND(VLOOKUP(BA$4,Preisindex,2,FALSE)/VLOOKUP(Preisindex!$A$6,Preisindex,2,FALSE),2),0)))))</f>
        <v>0</v>
      </c>
      <c r="BC71" s="51">
        <f>IF(AND($E71&lt;&gt;0,$F71&gt;0,YEAR($F71)&lt;=BA$4,YEAR($F71)&gt;=Preisindex!$A$6),ROUND($E71*BA71,2),IF(AND($E71&lt;&gt;0,$F71&gt;0,YEAR($F71)&lt;=BA$4,YEAR($F71)&lt;Preisindex!$A$6),ROUND($E71*BB71,2),0))</f>
        <v>24525</v>
      </c>
      <c r="BD71" s="53">
        <f t="shared" si="369"/>
        <v>490.5</v>
      </c>
      <c r="BE71" s="51">
        <f t="shared" si="361"/>
        <v>0</v>
      </c>
      <c r="BF71" s="51">
        <f t="shared" si="322"/>
        <v>0</v>
      </c>
      <c r="BG71" s="51">
        <f t="shared" si="370"/>
        <v>0</v>
      </c>
      <c r="BH71" s="51">
        <f t="shared" si="323"/>
        <v>0</v>
      </c>
      <c r="BI71" s="51">
        <f t="shared" si="371"/>
        <v>22500</v>
      </c>
      <c r="BJ71" s="51">
        <f t="shared" si="324"/>
        <v>22500</v>
      </c>
      <c r="BK71" s="51">
        <f t="shared" si="372"/>
        <v>450</v>
      </c>
      <c r="BL71" s="51">
        <f t="shared" si="325"/>
        <v>450</v>
      </c>
      <c r="BM71" s="51">
        <f t="shared" si="373"/>
        <v>19575</v>
      </c>
      <c r="BN71" s="51">
        <f t="shared" si="326"/>
        <v>19575</v>
      </c>
      <c r="BO71" s="51">
        <f t="shared" si="374"/>
        <v>2925</v>
      </c>
      <c r="BP71" s="54">
        <f t="shared" si="375"/>
        <v>0</v>
      </c>
      <c r="BQ71" s="55">
        <f t="shared" si="376"/>
        <v>0</v>
      </c>
      <c r="BR71" s="56">
        <f>IF(AND($E71&lt;&gt;0,$F71&gt;0,YEAR($F71)&gt;=Preisindex!$A$6,YEAR(BM$4)&gt;=YEAR($F71),AND($K71&lt;&gt;"a",$K71&lt;&gt;"b",$K71&lt;&gt;"g",$K71&lt;&gt;"k")),1,IF(AND($E71&lt;&gt;0,$F71&gt;0,YEAR($F71)&gt;=Preisindex!$A$6,YEAR(BM$4)&gt;=YEAR($F71),$K71="a"),ROUND(VLOOKUP(BR$4,Preisindex,5,FALSE)/VLOOKUP(YEAR($F71),Preisindex,5,FALSE),2),IF(AND($E71&lt;&gt;0,$F71&gt;0,YEAR($F71)&gt;=Preisindex!$A$6,YEAR(BM$4)&gt;=YEAR($F71),$K71="b"),ROUND(VLOOKUP(BR$4,Preisindex,3,FALSE)/VLOOKUP(YEAR($F71),Preisindex,3,FALSE),2),IF(AND($E71&lt;&gt;0,$F71&gt;0,YEAR($F71)&gt;=Preisindex!$A$6,YEAR(BM$4)&gt;=YEAR($F71),$K71="g"),ROUND(VLOOKUP(BR$4,Preisindex,4,FALSE)/VLOOKUP(YEAR($F71),Preisindex,4,FALSE),2),IF(AND($E71&lt;&gt;0,$F71&gt;0,YEAR($F71)&gt;=Preisindex!$A$6,YEAR(BM$4)&gt;=YEAR($F71),$K71="k"),ROUND(VLOOKUP(BR$4,Preisindex,2,FALSE)/VLOOKUP(YEAR($F71),Preisindex,2,FALSE),2),0)))))</f>
        <v>1.1100000000000001</v>
      </c>
      <c r="BS71" s="56">
        <f>IF(AND($E71&lt;&gt;0,$F71&gt;0,YEAR($F71)&lt;Preisindex!$A$6,YEAR(BM$4)&gt;=YEAR($F71),AND($K71&lt;&gt;"a",$K71&lt;&gt;"b",$K71&lt;&gt;"g",$K71&lt;&gt;"k")),1,IF(AND($E71&lt;&gt;0,$F71&gt;0,YEAR($F71)&lt;Preisindex!$A$6,YEAR(BM$4)&gt;=YEAR($F71),$K71="a"),ROUND(VLOOKUP(BR$4,Preisindex,5,FALSE)/VLOOKUP(Preisindex!$A$6,Preisindex,5,FALSE),2),IF(AND($E71&lt;&gt;0,$F71&gt;0,YEAR($F71)&lt;Preisindex!$A$6,YEAR(BM$4)&gt;=YEAR($F71),$K71="b"),ROUND(VLOOKUP(BR$4,Preisindex,3,FALSE)/VLOOKUP(Preisindex!$A$6,Preisindex,3,FALSE),2),IF(AND($E71&lt;&gt;0,$F71&gt;0,YEAR($F71)&lt;Preisindex!$A$6,YEAR(BM$4)&gt;=YEAR($F71),$K71="g"),ROUND(VLOOKUP(BR$4,Preisindex,4,FALSE)/VLOOKUP(Preisindex!$A$6,Preisindex,4,FALSE),2),IF(AND($E71&lt;&gt;0,$F71&gt;0,YEAR($F71)&lt;Preisindex!$A$6,YEAR(BM$4)&gt;=YEAR($F71),$K71="k"),ROUND(VLOOKUP(BR$4,Preisindex,2,FALSE)/VLOOKUP(Preisindex!$A$6,Preisindex,2,FALSE),2),0)))))</f>
        <v>0</v>
      </c>
      <c r="BT71" s="51">
        <f>IF(AND($E71&lt;&gt;0,$F71&gt;0,YEAR($F71)&lt;=BR$4,YEAR($F71)&gt;=Preisindex!$A$6),ROUND($E71*BR71,2),IF(AND($E71&lt;&gt;0,$F71&gt;0,YEAR($F71)&lt;=BR$4,YEAR($F71)&lt;Preisindex!$A$6),ROUND($E71*BS71,2),0))</f>
        <v>24975</v>
      </c>
      <c r="BU71" s="53">
        <f t="shared" si="377"/>
        <v>499.5</v>
      </c>
      <c r="BV71" s="51">
        <f t="shared" si="361"/>
        <v>0</v>
      </c>
      <c r="BW71" s="51">
        <f t="shared" si="327"/>
        <v>0</v>
      </c>
      <c r="BX71" s="51">
        <f t="shared" si="378"/>
        <v>0</v>
      </c>
      <c r="BY71" s="51">
        <f t="shared" si="328"/>
        <v>0</v>
      </c>
      <c r="BZ71" s="51">
        <f t="shared" si="379"/>
        <v>22500</v>
      </c>
      <c r="CA71" s="51">
        <f t="shared" si="329"/>
        <v>22500</v>
      </c>
      <c r="CB71" s="51">
        <f t="shared" si="380"/>
        <v>450</v>
      </c>
      <c r="CC71" s="51">
        <f t="shared" si="330"/>
        <v>450</v>
      </c>
      <c r="CD71" s="51">
        <f t="shared" si="381"/>
        <v>19125</v>
      </c>
      <c r="CE71" s="51">
        <f t="shared" si="331"/>
        <v>19125</v>
      </c>
      <c r="CF71" s="51">
        <f t="shared" si="382"/>
        <v>3375</v>
      </c>
      <c r="CG71" s="54">
        <f t="shared" si="383"/>
        <v>0</v>
      </c>
      <c r="CH71" s="55">
        <f t="shared" si="384"/>
        <v>0</v>
      </c>
      <c r="CI71" s="56">
        <f>IF(AND($E71&lt;&gt;0,$F71&gt;0,YEAR($F71)&gt;=Preisindex!$A$6,YEAR(CD$4)&gt;=YEAR($F71),AND($K71&lt;&gt;"a",$K71&lt;&gt;"b",$K71&lt;&gt;"g",$K71&lt;&gt;"k")),1,IF(AND($E71&lt;&gt;0,$F71&gt;0,YEAR($F71)&gt;=Preisindex!$A$6,YEAR(CD$4)&gt;=YEAR($F71),$K71="a"),ROUND(VLOOKUP(CI$4,Preisindex,5,FALSE)/VLOOKUP(YEAR($F71),Preisindex,5,FALSE),2),IF(AND($E71&lt;&gt;0,$F71&gt;0,YEAR($F71)&gt;=Preisindex!$A$6,YEAR(CD$4)&gt;=YEAR($F71),$K71="b"),ROUND(VLOOKUP(CI$4,Preisindex,3,FALSE)/VLOOKUP(YEAR($F71),Preisindex,3,FALSE),2),IF(AND($E71&lt;&gt;0,$F71&gt;0,YEAR($F71)&gt;=Preisindex!$A$6,YEAR(CD$4)&gt;=YEAR($F71),$K71="g"),ROUND(VLOOKUP(CI$4,Preisindex,4,FALSE)/VLOOKUP(YEAR($F71),Preisindex,4,FALSE),2),IF(AND($E71&lt;&gt;0,$F71&gt;0,YEAR($F71)&gt;=Preisindex!$A$6,YEAR(CD$4)&gt;=YEAR($F71),$K71="k"),ROUND(VLOOKUP(CI$4,Preisindex,2,FALSE)/VLOOKUP(YEAR($F71),Preisindex,2,FALSE),2),0)))))</f>
        <v>1.1200000000000001</v>
      </c>
      <c r="CJ71" s="56">
        <f>IF(AND($E71&lt;&gt;0,$F71&gt;0,YEAR($F71)&lt;Preisindex!$A$6,YEAR(CD$4)&gt;=YEAR($F71),AND($K71&lt;&gt;"a",$K71&lt;&gt;"b",$K71&lt;&gt;"g",$K71&lt;&gt;"k")),1,IF(AND($E71&lt;&gt;0,$F71&gt;0,YEAR($F71)&lt;Preisindex!$A$6,YEAR(CD$4)&gt;=YEAR($F71),$K71="a"),ROUND(VLOOKUP(CI$4,Preisindex,5,FALSE)/VLOOKUP(Preisindex!$A$6,Preisindex,5,FALSE),2),IF(AND($E71&lt;&gt;0,$F71&gt;0,YEAR($F71)&lt;Preisindex!$A$6,YEAR(CD$4)&gt;=YEAR($F71),$K71="b"),ROUND(VLOOKUP(CI$4,Preisindex,3,FALSE)/VLOOKUP(Preisindex!$A$6,Preisindex,3,FALSE),2),IF(AND($E71&lt;&gt;0,$F71&gt;0,YEAR($F71)&lt;Preisindex!$A$6,YEAR(CD$4)&gt;=YEAR($F71),$K71="g"),ROUND(VLOOKUP(CI$4,Preisindex,4,FALSE)/VLOOKUP(Preisindex!$A$6,Preisindex,4,FALSE),2),IF(AND($E71&lt;&gt;0,$F71&gt;0,YEAR($F71)&lt;Preisindex!$A$6,YEAR(CD$4)&gt;=YEAR($F71),$K71="k"),ROUND(VLOOKUP(CI$4,Preisindex,2,FALSE)/VLOOKUP(Preisindex!$A$6,Preisindex,2,FALSE),2),0)))))</f>
        <v>0</v>
      </c>
      <c r="CK71" s="51">
        <f>IF(AND($E71&lt;&gt;0,$F71&gt;0,YEAR($F71)&lt;=CI$4,YEAR($F71)&gt;=Preisindex!$A$6),ROUND($E71*CI71,2),IF(AND($E71&lt;&gt;0,$F71&gt;0,YEAR($F71)&lt;=CI$4,YEAR($F71)&lt;Preisindex!$A$6),ROUND($E71*CJ71,2),0))</f>
        <v>25200</v>
      </c>
      <c r="CL71" s="53">
        <f t="shared" si="385"/>
        <v>504</v>
      </c>
      <c r="CM71" s="51">
        <f t="shared" si="361"/>
        <v>0</v>
      </c>
      <c r="CN71" s="51">
        <f t="shared" si="332"/>
        <v>0</v>
      </c>
      <c r="CO71" s="51">
        <f t="shared" si="386"/>
        <v>0</v>
      </c>
      <c r="CP71" s="51">
        <f t="shared" si="333"/>
        <v>0</v>
      </c>
      <c r="CQ71" s="51">
        <f t="shared" si="387"/>
        <v>22500</v>
      </c>
      <c r="CR71" s="51">
        <f t="shared" si="334"/>
        <v>22500</v>
      </c>
      <c r="CS71" s="51">
        <f t="shared" si="388"/>
        <v>450</v>
      </c>
      <c r="CT71" s="51">
        <f t="shared" si="335"/>
        <v>450</v>
      </c>
      <c r="CU71" s="51">
        <f t="shared" si="389"/>
        <v>18675</v>
      </c>
      <c r="CV71" s="51">
        <f t="shared" si="336"/>
        <v>18675</v>
      </c>
      <c r="CW71" s="51">
        <f t="shared" si="390"/>
        <v>3825</v>
      </c>
      <c r="CX71" s="54">
        <f t="shared" si="391"/>
        <v>0</v>
      </c>
      <c r="CY71" s="55">
        <f t="shared" si="392"/>
        <v>0</v>
      </c>
      <c r="CZ71" s="56">
        <f>IF(AND($E71&lt;&gt;0,$F71&gt;0,YEAR($F71)&gt;=Preisindex!$A$6,YEAR(CU$4)&gt;=YEAR($F71),AND($K71&lt;&gt;"a",$K71&lt;&gt;"b",$K71&lt;&gt;"g",$K71&lt;&gt;"k")),1,IF(AND($E71&lt;&gt;0,$F71&gt;0,YEAR($F71)&gt;=Preisindex!$A$6,YEAR(CU$4)&gt;=YEAR($F71),$K71="a"),ROUND(VLOOKUP(CZ$4,Preisindex,5,FALSE)/VLOOKUP(YEAR($F71),Preisindex,5,FALSE),2),IF(AND($E71&lt;&gt;0,$F71&gt;0,YEAR($F71)&gt;=Preisindex!$A$6,YEAR(CU$4)&gt;=YEAR($F71),$K71="b"),ROUND(VLOOKUP(CZ$4,Preisindex,3,FALSE)/VLOOKUP(YEAR($F71),Preisindex,3,FALSE),2),IF(AND($E71&lt;&gt;0,$F71&gt;0,YEAR($F71)&gt;=Preisindex!$A$6,YEAR(CU$4)&gt;=YEAR($F71),$K71="g"),ROUND(VLOOKUP(CZ$4,Preisindex,4,FALSE)/VLOOKUP(YEAR($F71),Preisindex,4,FALSE),2),IF(AND($E71&lt;&gt;0,$F71&gt;0,YEAR($F71)&gt;=Preisindex!$A$6,YEAR(CU$4)&gt;=YEAR($F71),$K71="k"),ROUND(VLOOKUP(CZ$4,Preisindex,2,FALSE)/VLOOKUP(YEAR($F71),Preisindex,2,FALSE),2),0)))))</f>
        <v>1.1399999999999999</v>
      </c>
      <c r="DA71" s="56">
        <f>IF(AND($E71&lt;&gt;0,$F71&gt;0,YEAR($F71)&lt;Preisindex!$A$6,YEAR(CU$4)&gt;=YEAR($F71),AND($K71&lt;&gt;"a",$K71&lt;&gt;"b",$K71&lt;&gt;"g",$K71&lt;&gt;"k")),1,IF(AND($E71&lt;&gt;0,$F71&gt;0,YEAR($F71)&lt;Preisindex!$A$6,YEAR(CU$4)&gt;=YEAR($F71),$K71="a"),ROUND(VLOOKUP(CZ$4,Preisindex,5,FALSE)/VLOOKUP(Preisindex!$A$6,Preisindex,5,FALSE),2),IF(AND($E71&lt;&gt;0,$F71&gt;0,YEAR($F71)&lt;Preisindex!$A$6,YEAR(CU$4)&gt;=YEAR($F71),$K71="b"),ROUND(VLOOKUP(CZ$4,Preisindex,3,FALSE)/VLOOKUP(Preisindex!$A$6,Preisindex,3,FALSE),2),IF(AND($E71&lt;&gt;0,$F71&gt;0,YEAR($F71)&lt;Preisindex!$A$6,YEAR(CU$4)&gt;=YEAR($F71),$K71="g"),ROUND(VLOOKUP(CZ$4,Preisindex,4,FALSE)/VLOOKUP(Preisindex!$A$6,Preisindex,4,FALSE),2),IF(AND($E71&lt;&gt;0,$F71&gt;0,YEAR($F71)&lt;Preisindex!$A$6,YEAR(CU$4)&gt;=YEAR($F71),$K71="k"),ROUND(VLOOKUP(CZ$4,Preisindex,2,FALSE)/VLOOKUP(Preisindex!$A$6,Preisindex,2,FALSE),2),0)))))</f>
        <v>0</v>
      </c>
      <c r="DB71" s="51">
        <f>IF(AND($E71&lt;&gt;0,$F71&gt;0,YEAR($F71)&lt;=CZ$4,YEAR($F71)&gt;=Preisindex!$A$6),ROUND($E71*CZ71,2),IF(AND($E71&lt;&gt;0,$F71&gt;0,YEAR($F71)&lt;=CZ$4,YEAR($F71)&lt;Preisindex!$A$6),ROUND($E71*DA71,2),0))</f>
        <v>25650</v>
      </c>
      <c r="DC71" s="53">
        <f t="shared" si="393"/>
        <v>513</v>
      </c>
      <c r="DD71" s="51">
        <f t="shared" si="394"/>
        <v>0</v>
      </c>
      <c r="DE71" s="51">
        <f t="shared" si="337"/>
        <v>0</v>
      </c>
      <c r="DF71" s="51">
        <f t="shared" si="395"/>
        <v>0</v>
      </c>
      <c r="DG71" s="51">
        <f t="shared" si="338"/>
        <v>0</v>
      </c>
      <c r="DH71" s="51">
        <f t="shared" si="396"/>
        <v>22500</v>
      </c>
      <c r="DI71" s="51">
        <f t="shared" si="339"/>
        <v>22500</v>
      </c>
      <c r="DJ71" s="51">
        <f t="shared" si="397"/>
        <v>450</v>
      </c>
      <c r="DK71" s="51">
        <f t="shared" si="340"/>
        <v>450</v>
      </c>
      <c r="DL71" s="51">
        <f t="shared" si="398"/>
        <v>18225</v>
      </c>
      <c r="DM71" s="51">
        <f t="shared" si="341"/>
        <v>18225</v>
      </c>
      <c r="DN71" s="51">
        <f t="shared" si="399"/>
        <v>4275</v>
      </c>
      <c r="DO71" s="54">
        <f t="shared" si="400"/>
        <v>0</v>
      </c>
      <c r="DP71" s="55">
        <f t="shared" si="401"/>
        <v>0</v>
      </c>
      <c r="DQ71" s="56">
        <f>IF(AND($E71&lt;&gt;0,$F71&gt;0,YEAR($F71)&gt;=Preisindex!$A$6,YEAR(DL$4)&gt;=YEAR($F71),AND($K71&lt;&gt;"a",$K71&lt;&gt;"b",$K71&lt;&gt;"g",$K71&lt;&gt;"k")),1,IF(AND($E71&lt;&gt;0,$F71&gt;0,YEAR($F71)&gt;=Preisindex!$A$6,YEAR(DL$4)&gt;=YEAR($F71),$K71="a"),ROUND(VLOOKUP(DQ$4,Preisindex,5,FALSE)/VLOOKUP(YEAR($F71),Preisindex,5,FALSE),2),IF(AND($E71&lt;&gt;0,$F71&gt;0,YEAR($F71)&gt;=Preisindex!$A$6,YEAR(DL$4)&gt;=YEAR($F71),$K71="b"),ROUND(VLOOKUP(DQ$4,Preisindex,3,FALSE)/VLOOKUP(YEAR($F71),Preisindex,3,FALSE),2),IF(AND($E71&lt;&gt;0,$F71&gt;0,YEAR($F71)&gt;=Preisindex!$A$6,YEAR(DL$4)&gt;=YEAR($F71),$K71="g"),ROUND(VLOOKUP(DQ$4,Preisindex,4,FALSE)/VLOOKUP(YEAR($F71),Preisindex,4,FALSE),2),IF(AND($E71&lt;&gt;0,$F71&gt;0,YEAR($F71)&gt;=Preisindex!$A$6,YEAR(DL$4)&gt;=YEAR($F71),$K71="k"),ROUND(VLOOKUP(DQ$4,Preisindex,2,FALSE)/VLOOKUP(YEAR($F71),Preisindex,2,FALSE),2),0)))))</f>
        <v>1.17</v>
      </c>
      <c r="DR71" s="56">
        <f>IF(AND($E71&lt;&gt;0,$F71&gt;0,YEAR($F71)&lt;Preisindex!$A$6,YEAR(DL$4)&gt;=YEAR($F71),AND($K71&lt;&gt;"a",$K71&lt;&gt;"b",$K71&lt;&gt;"g",$K71&lt;&gt;"k")),1,IF(AND($E71&lt;&gt;0,$F71&gt;0,YEAR($F71)&lt;Preisindex!$A$6,YEAR(DL$4)&gt;=YEAR($F71),$K71="a"),ROUND(VLOOKUP(DQ$4,Preisindex,5,FALSE)/VLOOKUP(Preisindex!$A$6,Preisindex,5,FALSE),2),IF(AND($E71&lt;&gt;0,$F71&gt;0,YEAR($F71)&lt;Preisindex!$A$6,YEAR(DL$4)&gt;=YEAR($F71),$K71="b"),ROUND(VLOOKUP(DQ$4,Preisindex,3,FALSE)/VLOOKUP(Preisindex!$A$6,Preisindex,3,FALSE),2),IF(AND($E71&lt;&gt;0,$F71&gt;0,YEAR($F71)&lt;Preisindex!$A$6,YEAR(DL$4)&gt;=YEAR($F71),$K71="g"),ROUND(VLOOKUP(DQ$4,Preisindex,4,FALSE)/VLOOKUP(Preisindex!$A$6,Preisindex,4,FALSE),2),IF(AND($E71&lt;&gt;0,$F71&gt;0,YEAR($F71)&lt;Preisindex!$A$6,YEAR(DL$4)&gt;=YEAR($F71),$K71="k"),ROUND(VLOOKUP(DQ$4,Preisindex,2,FALSE)/VLOOKUP(Preisindex!$A$6,Preisindex,2,FALSE),2),0)))))</f>
        <v>0</v>
      </c>
      <c r="DS71" s="51">
        <f>IF(AND($E71&lt;&gt;0,$F71&gt;0,YEAR($F71)&lt;=DQ$4,YEAR($F71)&gt;=Preisindex!$A$6),ROUND($E71*DQ71,2),IF(AND($E71&lt;&gt;0,$F71&gt;0,YEAR($F71)&lt;=DQ$4,YEAR($F71)&lt;Preisindex!$A$6),ROUND($E71*DR71,2),0))</f>
        <v>26325</v>
      </c>
      <c r="DT71" s="53">
        <f t="shared" si="402"/>
        <v>526.5</v>
      </c>
      <c r="DU71" s="51">
        <f t="shared" si="394"/>
        <v>0</v>
      </c>
      <c r="DV71" s="51">
        <f t="shared" si="342"/>
        <v>0</v>
      </c>
      <c r="DW71" s="51">
        <f t="shared" si="403"/>
        <v>0</v>
      </c>
      <c r="DX71" s="51">
        <f t="shared" si="343"/>
        <v>0</v>
      </c>
      <c r="DY71" s="51">
        <f t="shared" si="404"/>
        <v>22500</v>
      </c>
      <c r="DZ71" s="51">
        <f t="shared" si="344"/>
        <v>22500</v>
      </c>
      <c r="EA71" s="51">
        <f t="shared" si="405"/>
        <v>450</v>
      </c>
      <c r="EB71" s="51">
        <f t="shared" si="345"/>
        <v>450</v>
      </c>
      <c r="EC71" s="51">
        <f t="shared" si="406"/>
        <v>17775</v>
      </c>
      <c r="ED71" s="51">
        <f t="shared" si="346"/>
        <v>17775</v>
      </c>
      <c r="EE71" s="51">
        <f t="shared" si="407"/>
        <v>4725</v>
      </c>
      <c r="EF71" s="54">
        <f t="shared" si="408"/>
        <v>0</v>
      </c>
      <c r="EG71" s="55">
        <f t="shared" si="409"/>
        <v>0</v>
      </c>
      <c r="EH71" s="56">
        <f>IF(AND($E71&lt;&gt;0,$F71&gt;0,YEAR($F71)&gt;=Preisindex!$A$6,YEAR(EC$4)&gt;=YEAR($F71),AND($K71&lt;&gt;"a",$K71&lt;&gt;"b",$K71&lt;&gt;"g",$K71&lt;&gt;"k")),1,IF(AND($E71&lt;&gt;0,$F71&gt;0,YEAR($F71)&gt;=Preisindex!$A$6,YEAR(EC$4)&gt;=YEAR($F71),$K71="a"),ROUND(VLOOKUP(EH$4,Preisindex,5,FALSE)/VLOOKUP(YEAR($F71),Preisindex,5,FALSE),2),IF(AND($E71&lt;&gt;0,$F71&gt;0,YEAR($F71)&gt;=Preisindex!$A$6,YEAR(EC$4)&gt;=YEAR($F71),$K71="b"),ROUND(VLOOKUP(EH$4,Preisindex,3,FALSE)/VLOOKUP(YEAR($F71),Preisindex,3,FALSE),2),IF(AND($E71&lt;&gt;0,$F71&gt;0,YEAR($F71)&gt;=Preisindex!$A$6,YEAR(EC$4)&gt;=YEAR($F71),$K71="g"),ROUND(VLOOKUP(EH$4,Preisindex,4,FALSE)/VLOOKUP(YEAR($F71),Preisindex,4,FALSE),2),IF(AND($E71&lt;&gt;0,$F71&gt;0,YEAR($F71)&gt;=Preisindex!$A$6,YEAR(EC$4)&gt;=YEAR($F71),$K71="k"),ROUND(VLOOKUP(EH$4,Preisindex,2,FALSE)/VLOOKUP(YEAR($F71),Preisindex,2,FALSE),2),0)))))</f>
        <v>1.23</v>
      </c>
      <c r="EI71" s="56">
        <f>IF(AND($E71&lt;&gt;0,$F71&gt;0,YEAR($F71)&lt;Preisindex!$A$6,YEAR(EC$4)&gt;=YEAR($F71),AND($K71&lt;&gt;"a",$K71&lt;&gt;"b",$K71&lt;&gt;"g",$K71&lt;&gt;"k")),1,IF(AND($E71&lt;&gt;0,$F71&gt;0,YEAR($F71)&lt;Preisindex!$A$6,YEAR(EC$4)&gt;=YEAR($F71),$K71="a"),ROUND(VLOOKUP(EH$4,Preisindex,5,FALSE)/VLOOKUP(Preisindex!$A$6,Preisindex,5,FALSE),2),IF(AND($E71&lt;&gt;0,$F71&gt;0,YEAR($F71)&lt;Preisindex!$A$6,YEAR(EC$4)&gt;=YEAR($F71),$K71="b"),ROUND(VLOOKUP(EH$4,Preisindex,3,FALSE)/VLOOKUP(Preisindex!$A$6,Preisindex,3,FALSE),2),IF(AND($E71&lt;&gt;0,$F71&gt;0,YEAR($F71)&lt;Preisindex!$A$6,YEAR(EC$4)&gt;=YEAR($F71),$K71="g"),ROUND(VLOOKUP(EH$4,Preisindex,4,FALSE)/VLOOKUP(Preisindex!$A$6,Preisindex,4,FALSE),2),IF(AND($E71&lt;&gt;0,$F71&gt;0,YEAR($F71)&lt;Preisindex!$A$6,YEAR(EC$4)&gt;=YEAR($F71),$K71="k"),ROUND(VLOOKUP(EH$4,Preisindex,2,FALSE)/VLOOKUP(Preisindex!$A$6,Preisindex,2,FALSE),2),0)))))</f>
        <v>0</v>
      </c>
      <c r="EJ71" s="51">
        <f>IF(AND($E71&lt;&gt;0,$F71&gt;0,YEAR($F71)&lt;=EH$4,YEAR($F71)&gt;=Preisindex!$A$6),ROUND($E71*EH71,2),IF(AND($E71&lt;&gt;0,$F71&gt;0,YEAR($F71)&lt;=EH$4,YEAR($F71)&lt;Preisindex!$A$6),ROUND($E71*EI71,2),0))</f>
        <v>27675</v>
      </c>
      <c r="EK71" s="53">
        <f t="shared" si="410"/>
        <v>553.5</v>
      </c>
      <c r="EL71" s="51">
        <f t="shared" si="394"/>
        <v>0</v>
      </c>
      <c r="EM71" s="51">
        <f t="shared" si="347"/>
        <v>0</v>
      </c>
      <c r="EN71" s="51">
        <f t="shared" si="411"/>
        <v>0</v>
      </c>
      <c r="EO71" s="51">
        <f t="shared" si="348"/>
        <v>0</v>
      </c>
      <c r="EP71" s="51">
        <f t="shared" si="412"/>
        <v>22500</v>
      </c>
      <c r="EQ71" s="51">
        <f t="shared" si="349"/>
        <v>22500</v>
      </c>
      <c r="ER71" s="51">
        <f t="shared" si="413"/>
        <v>450</v>
      </c>
      <c r="ES71" s="51">
        <f t="shared" si="350"/>
        <v>450</v>
      </c>
      <c r="ET71" s="51">
        <f t="shared" si="414"/>
        <v>17325</v>
      </c>
      <c r="EU71" s="51">
        <f t="shared" si="351"/>
        <v>17325</v>
      </c>
      <c r="EV71" s="51">
        <f t="shared" si="415"/>
        <v>5175</v>
      </c>
      <c r="EW71" s="54">
        <f t="shared" si="416"/>
        <v>0</v>
      </c>
      <c r="EX71" s="55">
        <f t="shared" si="417"/>
        <v>0</v>
      </c>
      <c r="EY71" s="56">
        <f>IF(AND($E71&lt;&gt;0,$F71&gt;0,YEAR($F71)&gt;=Preisindex!$A$6,YEAR(ET$4)&gt;=YEAR($F71),AND($K71&lt;&gt;"a",$K71&lt;&gt;"b",$K71&lt;&gt;"g",$K71&lt;&gt;"k")),1,IF(AND($E71&lt;&gt;0,$F71&gt;0,YEAR($F71)&gt;=Preisindex!$A$6,YEAR(ET$4)&gt;=YEAR($F71),$K71="a"),ROUND(VLOOKUP(EY$4,Preisindex,5,FALSE)/VLOOKUP(YEAR($F71),Preisindex,5,FALSE),2),IF(AND($E71&lt;&gt;0,$F71&gt;0,YEAR($F71)&gt;=Preisindex!$A$6,YEAR(ET$4)&gt;=YEAR($F71),$K71="b"),ROUND(VLOOKUP(EY$4,Preisindex,3,FALSE)/VLOOKUP(YEAR($F71),Preisindex,3,FALSE),2),IF(AND($E71&lt;&gt;0,$F71&gt;0,YEAR($F71)&gt;=Preisindex!$A$6,YEAR(ET$4)&gt;=YEAR($F71),$K71="g"),ROUND(VLOOKUP(EY$4,Preisindex,4,FALSE)/VLOOKUP(YEAR($F71),Preisindex,4,FALSE),2),IF(AND($E71&lt;&gt;0,$F71&gt;0,YEAR($F71)&gt;=Preisindex!$A$6,YEAR(ET$4)&gt;=YEAR($F71),$K71="k"),ROUND(VLOOKUP(EY$4,Preisindex,2,FALSE)/VLOOKUP(YEAR($F71),Preisindex,2,FALSE),2),0)))))</f>
        <v>1.23</v>
      </c>
      <c r="EZ71" s="56">
        <f>IF(AND($E71&lt;&gt;0,$F71&gt;0,YEAR($F71)&lt;Preisindex!$A$6,YEAR(ET$4)&gt;=YEAR($F71),AND($K71&lt;&gt;"a",$K71&lt;&gt;"b",$K71&lt;&gt;"g",$K71&lt;&gt;"k")),1,IF(AND($E71&lt;&gt;0,$F71&gt;0,YEAR($F71)&lt;Preisindex!$A$6,YEAR(ET$4)&gt;=YEAR($F71),$K71="a"),ROUND(VLOOKUP(EY$4,Preisindex,5,FALSE)/VLOOKUP(Preisindex!$A$6,Preisindex,5,FALSE),2),IF(AND($E71&lt;&gt;0,$F71&gt;0,YEAR($F71)&lt;Preisindex!$A$6,YEAR(ET$4)&gt;=YEAR($F71),$K71="b"),ROUND(VLOOKUP(EY$4,Preisindex,3,FALSE)/VLOOKUP(Preisindex!$A$6,Preisindex,3,FALSE),2),IF(AND($E71&lt;&gt;0,$F71&gt;0,YEAR($F71)&lt;Preisindex!$A$6,YEAR(ET$4)&gt;=YEAR($F71),$K71="g"),ROUND(VLOOKUP(EY$4,Preisindex,4,FALSE)/VLOOKUP(Preisindex!$A$6,Preisindex,4,FALSE),2),IF(AND($E71&lt;&gt;0,$F71&gt;0,YEAR($F71)&lt;Preisindex!$A$6,YEAR(ET$4)&gt;=YEAR($F71),$K71="k"),ROUND(VLOOKUP(EY$4,Preisindex,2,FALSE)/VLOOKUP(Preisindex!$A$6,Preisindex,2,FALSE),2),0)))))</f>
        <v>0</v>
      </c>
      <c r="FA71" s="51">
        <f>IF(AND($E71&lt;&gt;0,$F71&gt;0,YEAR($F71)&lt;=EY$4,YEAR($F71)&gt;=Preisindex!$A$6),ROUND($E71*EY71,2),IF(AND($E71&lt;&gt;0,$F71&gt;0,YEAR($F71)&lt;=EY$4,YEAR($F71)&lt;Preisindex!$A$6),ROUND($E71*EZ71,2),0))</f>
        <v>27675</v>
      </c>
      <c r="FB71" s="53">
        <f t="shared" si="418"/>
        <v>553.5</v>
      </c>
      <c r="FC71" s="51">
        <f t="shared" si="394"/>
        <v>0</v>
      </c>
      <c r="FD71" s="51">
        <f t="shared" si="352"/>
        <v>0</v>
      </c>
      <c r="FE71" s="51">
        <f t="shared" si="419"/>
        <v>0</v>
      </c>
      <c r="FF71" s="51">
        <f t="shared" si="353"/>
        <v>0</v>
      </c>
      <c r="FG71" s="51">
        <f t="shared" si="420"/>
        <v>22500</v>
      </c>
      <c r="FH71" s="51">
        <f t="shared" si="354"/>
        <v>22500</v>
      </c>
      <c r="FI71" s="51">
        <f t="shared" si="421"/>
        <v>450</v>
      </c>
      <c r="FJ71" s="51">
        <f t="shared" si="355"/>
        <v>450</v>
      </c>
      <c r="FK71" s="51">
        <f t="shared" si="422"/>
        <v>16875</v>
      </c>
      <c r="FL71" s="51">
        <f t="shared" si="356"/>
        <v>16875</v>
      </c>
      <c r="FM71" s="51">
        <f t="shared" si="423"/>
        <v>5625</v>
      </c>
      <c r="FN71" s="54">
        <f t="shared" si="424"/>
        <v>0</v>
      </c>
      <c r="FO71" s="55">
        <f t="shared" si="425"/>
        <v>0</v>
      </c>
      <c r="FP71" s="56">
        <f>IF(AND($E71&lt;&gt;0,$F71&gt;0,YEAR($F71)&gt;=Preisindex!$A$6,YEAR(FK$4)&gt;=YEAR($F71),AND($K71&lt;&gt;"a",$K71&lt;&gt;"b",$K71&lt;&gt;"g",$K71&lt;&gt;"k")),1,IF(AND($E71&lt;&gt;0,$F71&gt;0,YEAR($F71)&gt;=Preisindex!$A$6,YEAR(FK$4)&gt;=YEAR($F71),$K71="a"),ROUND(VLOOKUP(FP$4,Preisindex,5,FALSE)/VLOOKUP(YEAR($F71),Preisindex,5,FALSE),2),IF(AND($E71&lt;&gt;0,$F71&gt;0,YEAR($F71)&gt;=Preisindex!$A$6,YEAR(FK$4)&gt;=YEAR($F71),$K71="b"),ROUND(VLOOKUP(FP$4,Preisindex,3,FALSE)/VLOOKUP(YEAR($F71),Preisindex,3,FALSE),2),IF(AND($E71&lt;&gt;0,$F71&gt;0,YEAR($F71)&gt;=Preisindex!$A$6,YEAR(FK$4)&gt;=YEAR($F71),$K71="g"),ROUND(VLOOKUP(FP$4,Preisindex,4,FALSE)/VLOOKUP(YEAR($F71),Preisindex,4,FALSE),2),IF(AND($E71&lt;&gt;0,$F71&gt;0,YEAR($F71)&gt;=Preisindex!$A$6,YEAR(FK$4)&gt;=YEAR($F71),$K71="k"),ROUND(VLOOKUP(FP$4,Preisindex,2,FALSE)/VLOOKUP(YEAR($F71),Preisindex,2,FALSE),2),0)))))</f>
        <v>1.23</v>
      </c>
      <c r="FQ71" s="56">
        <f>IF(AND($E71&lt;&gt;0,$F71&gt;0,YEAR($F71)&lt;Preisindex!$A$6,YEAR(FK$4)&gt;=YEAR($F71),AND($K71&lt;&gt;"a",$K71&lt;&gt;"b",$K71&lt;&gt;"g",$K71&lt;&gt;"k")),1,IF(AND($E71&lt;&gt;0,$F71&gt;0,YEAR($F71)&lt;Preisindex!$A$6,YEAR(FK$4)&gt;=YEAR($F71),$K71="a"),ROUND(VLOOKUP(FP$4,Preisindex,5,FALSE)/VLOOKUP(Preisindex!$A$6,Preisindex,5,FALSE),2),IF(AND($E71&lt;&gt;0,$F71&gt;0,YEAR($F71)&lt;Preisindex!$A$6,YEAR(FK$4)&gt;=YEAR($F71),$K71="b"),ROUND(VLOOKUP(FP$4,Preisindex,3,FALSE)/VLOOKUP(Preisindex!$A$6,Preisindex,3,FALSE),2),IF(AND($E71&lt;&gt;0,$F71&gt;0,YEAR($F71)&lt;Preisindex!$A$6,YEAR(FK$4)&gt;=YEAR($F71),$K71="g"),ROUND(VLOOKUP(FP$4,Preisindex,4,FALSE)/VLOOKUP(Preisindex!$A$6,Preisindex,4,FALSE),2),IF(AND($E71&lt;&gt;0,$F71&gt;0,YEAR($F71)&lt;Preisindex!$A$6,YEAR(FK$4)&gt;=YEAR($F71),$K71="k"),ROUND(VLOOKUP(FP$4,Preisindex,2,FALSE)/VLOOKUP(Preisindex!$A$6,Preisindex,2,FALSE),2),0)))))</f>
        <v>0</v>
      </c>
      <c r="FR71" s="51">
        <f>IF(AND($E71&lt;&gt;0,$F71&gt;0,YEAR($F71)&lt;=FP$4,YEAR($F71)&gt;=Preisindex!$A$6),ROUND($E71*FP71,2),IF(AND($E71&lt;&gt;0,$F71&gt;0,YEAR($F71)&lt;=FP$4,YEAR($F71)&lt;Preisindex!$A$6),ROUND($E71*FQ71,2),0))</f>
        <v>27675</v>
      </c>
      <c r="FS71" s="53">
        <f t="shared" si="426"/>
        <v>553.5</v>
      </c>
    </row>
    <row r="72" spans="1:175" x14ac:dyDescent="0.3">
      <c r="A72" s="93">
        <v>2009</v>
      </c>
      <c r="B72" s="94" t="s">
        <v>257</v>
      </c>
      <c r="C72" s="94"/>
      <c r="D72" s="95" t="s">
        <v>66</v>
      </c>
      <c r="E72" s="99">
        <v>33000</v>
      </c>
      <c r="F72" s="97">
        <v>39995</v>
      </c>
      <c r="G72" s="98">
        <v>50</v>
      </c>
      <c r="H72" s="620"/>
      <c r="I72" s="621"/>
      <c r="J72" s="194"/>
      <c r="K72" s="630" t="s">
        <v>266</v>
      </c>
      <c r="L72" s="49">
        <f t="shared" si="427"/>
        <v>0.02</v>
      </c>
      <c r="M72" s="50">
        <f t="shared" si="428"/>
        <v>660</v>
      </c>
      <c r="N72" s="51">
        <f t="shared" si="429"/>
        <v>31350</v>
      </c>
      <c r="O72" s="51"/>
      <c r="P72" s="51">
        <f t="shared" si="430"/>
        <v>1650</v>
      </c>
      <c r="Q72" s="52"/>
      <c r="R72" s="52"/>
      <c r="S72" s="52"/>
      <c r="T72" s="52"/>
      <c r="U72" s="52"/>
      <c r="V72" s="53">
        <f t="shared" si="431"/>
        <v>33000</v>
      </c>
      <c r="W72" s="51">
        <f t="shared" si="432"/>
        <v>0</v>
      </c>
      <c r="X72" s="51">
        <f t="shared" si="433"/>
        <v>0</v>
      </c>
      <c r="Y72" s="51">
        <f t="shared" si="434"/>
        <v>0</v>
      </c>
      <c r="Z72" s="51">
        <f t="shared" si="435"/>
        <v>0</v>
      </c>
      <c r="AA72" s="51">
        <f t="shared" si="436"/>
        <v>33000</v>
      </c>
      <c r="AB72" s="51">
        <f t="shared" si="437"/>
        <v>33000</v>
      </c>
      <c r="AC72" s="51">
        <f t="shared" si="438"/>
        <v>660</v>
      </c>
      <c r="AD72" s="51">
        <f t="shared" si="439"/>
        <v>660</v>
      </c>
      <c r="AE72" s="51">
        <f t="shared" si="440"/>
        <v>30690</v>
      </c>
      <c r="AF72" s="51">
        <f t="shared" si="441"/>
        <v>30690</v>
      </c>
      <c r="AG72" s="51">
        <f t="shared" si="442"/>
        <v>2310</v>
      </c>
      <c r="AH72" s="54">
        <f t="shared" si="443"/>
        <v>0</v>
      </c>
      <c r="AI72" s="55">
        <f t="shared" si="444"/>
        <v>0</v>
      </c>
      <c r="AJ72" s="56">
        <f>IF(AND($E72&lt;&gt;0,$F72&gt;0,YEAR($F72)&gt;=Preisindex!$A$6,YEAR(AE$4)&gt;=YEAR($F72),AND($K72&lt;&gt;"a",$K72&lt;&gt;"b",$K72&lt;&gt;"g",$K72&lt;&gt;"k")),1,IF(AND($E72&lt;&gt;0,$F72&gt;0,YEAR($F72)&gt;=Preisindex!$A$6,YEAR(AE$4)&gt;=YEAR($F72),$K72="a"),ROUND(VLOOKUP(AJ$4,Preisindex,5,FALSE)/VLOOKUP(YEAR($F72),Preisindex,5,FALSE),2),IF(AND($E72&lt;&gt;0,$F72&gt;0,YEAR($F72)&gt;=Preisindex!$A$6,YEAR(AE$4)&gt;=YEAR($F72),$K72="b"),ROUND(VLOOKUP(AJ$4,Preisindex,3,FALSE)/VLOOKUP(YEAR($F72),Preisindex,3,FALSE),2),IF(AND($E72&lt;&gt;0,$F72&gt;0,YEAR($F72)&gt;=Preisindex!$A$6,YEAR(AE$4)&gt;=YEAR($F72),$K72="g"),ROUND(VLOOKUP(AJ$4,Preisindex,4,FALSE)/VLOOKUP(YEAR($F72),Preisindex,4,FALSE),2),IF(AND($E72&lt;&gt;0,$F72&gt;0,YEAR($F72)&gt;=Preisindex!$A$6,YEAR(AE$4)&gt;=YEAR($F72),$K72="k"),ROUND(VLOOKUP(AJ$4,Preisindex,2,FALSE)/VLOOKUP(YEAR($F72),Preisindex,2,FALSE),2),0)))))</f>
        <v>1.05</v>
      </c>
      <c r="AK72" s="56">
        <f>IF(AND($E72&lt;&gt;0,$F72&gt;0,YEAR($F72)&lt;Preisindex!$A$6,YEAR(AE$4)&gt;=YEAR($F72),AND($K72&lt;&gt;"a",$K72&lt;&gt;"b",$K72&lt;&gt;"g",$K72&lt;&gt;"k")),1,IF(AND($E72&lt;&gt;0,$F72&gt;0,YEAR($F72)&lt;Preisindex!$A$6,YEAR(AE$4)&gt;=YEAR($F72),$K72="a"),ROUND(VLOOKUP(AJ$4,Preisindex,5,FALSE)/VLOOKUP(Preisindex!$A$6,Preisindex,5,FALSE),2),IF(AND($E72&lt;&gt;0,$F72&gt;0,YEAR($F72)&lt;Preisindex!$A$6,YEAR(AE$4)&gt;=YEAR($F72),$K72="b"),ROUND(VLOOKUP(AJ$4,Preisindex,3,FALSE)/VLOOKUP(Preisindex!$A$6,Preisindex,3,FALSE),2),IF(AND($E72&lt;&gt;0,$F72&gt;0,YEAR($F72)&lt;Preisindex!$A$6,YEAR(AE$4)&gt;=YEAR($F72),$K72="g"),ROUND(VLOOKUP(AJ$4,Preisindex,4,FALSE)/VLOOKUP(Preisindex!$A$6,Preisindex,4,FALSE),2),IF(AND($E72&lt;&gt;0,$F72&gt;0,YEAR($F72)&lt;Preisindex!$A$6,YEAR(AE$4)&gt;=YEAR($F72),$K72="k"),ROUND(VLOOKUP(AJ$4,Preisindex,2,FALSE)/VLOOKUP(Preisindex!$A$6,Preisindex,2,FALSE),2),0)))))</f>
        <v>0</v>
      </c>
      <c r="AL72" s="51">
        <f>IF(AND($E72&lt;&gt;0,$F72&gt;0,YEAR($F72)&lt;=AJ$4,YEAR($F72)&gt;=Preisindex!$A$6),ROUND($E72*AJ72,2),IF(AND($E72&lt;&gt;0,$F72&gt;0,YEAR($F72)&lt;=AJ$4,YEAR($F72)&lt;Preisindex!$A$6),ROUND($E72*AK72,2),0))</f>
        <v>34650</v>
      </c>
      <c r="AM72" s="53">
        <f t="shared" si="445"/>
        <v>693</v>
      </c>
      <c r="AN72" s="51">
        <f t="shared" si="361"/>
        <v>0</v>
      </c>
      <c r="AO72" s="51">
        <f t="shared" si="317"/>
        <v>0</v>
      </c>
      <c r="AP72" s="51">
        <f t="shared" si="362"/>
        <v>0</v>
      </c>
      <c r="AQ72" s="51">
        <f t="shared" si="318"/>
        <v>0</v>
      </c>
      <c r="AR72" s="51">
        <f t="shared" si="363"/>
        <v>33000</v>
      </c>
      <c r="AS72" s="51">
        <f t="shared" si="319"/>
        <v>33000</v>
      </c>
      <c r="AT72" s="51">
        <f t="shared" si="364"/>
        <v>660</v>
      </c>
      <c r="AU72" s="51">
        <f t="shared" si="320"/>
        <v>660</v>
      </c>
      <c r="AV72" s="51">
        <f t="shared" si="365"/>
        <v>30030</v>
      </c>
      <c r="AW72" s="51">
        <f t="shared" si="321"/>
        <v>30030</v>
      </c>
      <c r="AX72" s="51">
        <f t="shared" si="366"/>
        <v>2970</v>
      </c>
      <c r="AY72" s="54">
        <f t="shared" si="367"/>
        <v>0</v>
      </c>
      <c r="AZ72" s="55">
        <f t="shared" si="368"/>
        <v>0</v>
      </c>
      <c r="BA72" s="56">
        <f>IF(AND($E72&lt;&gt;0,$F72&gt;0,YEAR($F72)&gt;=Preisindex!$A$6,YEAR(AV$4)&gt;=YEAR($F72),AND($K72&lt;&gt;"a",$K72&lt;&gt;"b",$K72&lt;&gt;"g",$K72&lt;&gt;"k")),1,IF(AND($E72&lt;&gt;0,$F72&gt;0,YEAR($F72)&gt;=Preisindex!$A$6,YEAR(AV$4)&gt;=YEAR($F72),$K72="a"),ROUND(VLOOKUP(BA$4,Preisindex,5,FALSE)/VLOOKUP(YEAR($F72),Preisindex,5,FALSE),2),IF(AND($E72&lt;&gt;0,$F72&gt;0,YEAR($F72)&gt;=Preisindex!$A$6,YEAR(AV$4)&gt;=YEAR($F72),$K72="b"),ROUND(VLOOKUP(BA$4,Preisindex,3,FALSE)/VLOOKUP(YEAR($F72),Preisindex,3,FALSE),2),IF(AND($E72&lt;&gt;0,$F72&gt;0,YEAR($F72)&gt;=Preisindex!$A$6,YEAR(AV$4)&gt;=YEAR($F72),$K72="g"),ROUND(VLOOKUP(BA$4,Preisindex,4,FALSE)/VLOOKUP(YEAR($F72),Preisindex,4,FALSE),2),IF(AND($E72&lt;&gt;0,$F72&gt;0,YEAR($F72)&gt;=Preisindex!$A$6,YEAR(AV$4)&gt;=YEAR($F72),$K72="k"),ROUND(VLOOKUP(BA$4,Preisindex,2,FALSE)/VLOOKUP(YEAR($F72),Preisindex,2,FALSE),2),0)))))</f>
        <v>1.07</v>
      </c>
      <c r="BB72" s="56">
        <f>IF(AND($E72&lt;&gt;0,$F72&gt;0,YEAR($F72)&lt;Preisindex!$A$6,YEAR(AV$4)&gt;=YEAR($F72),AND($K72&lt;&gt;"a",$K72&lt;&gt;"b",$K72&lt;&gt;"g",$K72&lt;&gt;"k")),1,IF(AND($E72&lt;&gt;0,$F72&gt;0,YEAR($F72)&lt;Preisindex!$A$6,YEAR(AV$4)&gt;=YEAR($F72),$K72="a"),ROUND(VLOOKUP(BA$4,Preisindex,5,FALSE)/VLOOKUP(Preisindex!$A$6,Preisindex,5,FALSE),2),IF(AND($E72&lt;&gt;0,$F72&gt;0,YEAR($F72)&lt;Preisindex!$A$6,YEAR(AV$4)&gt;=YEAR($F72),$K72="b"),ROUND(VLOOKUP(BA$4,Preisindex,3,FALSE)/VLOOKUP(Preisindex!$A$6,Preisindex,3,FALSE),2),IF(AND($E72&lt;&gt;0,$F72&gt;0,YEAR($F72)&lt;Preisindex!$A$6,YEAR(AV$4)&gt;=YEAR($F72),$K72="g"),ROUND(VLOOKUP(BA$4,Preisindex,4,FALSE)/VLOOKUP(Preisindex!$A$6,Preisindex,4,FALSE),2),IF(AND($E72&lt;&gt;0,$F72&gt;0,YEAR($F72)&lt;Preisindex!$A$6,YEAR(AV$4)&gt;=YEAR($F72),$K72="k"),ROUND(VLOOKUP(BA$4,Preisindex,2,FALSE)/VLOOKUP(Preisindex!$A$6,Preisindex,2,FALSE),2),0)))))</f>
        <v>0</v>
      </c>
      <c r="BC72" s="51">
        <f>IF(AND($E72&lt;&gt;0,$F72&gt;0,YEAR($F72)&lt;=BA$4,YEAR($F72)&gt;=Preisindex!$A$6),ROUND($E72*BA72,2),IF(AND($E72&lt;&gt;0,$F72&gt;0,YEAR($F72)&lt;=BA$4,YEAR($F72)&lt;Preisindex!$A$6),ROUND($E72*BB72,2),0))</f>
        <v>35310</v>
      </c>
      <c r="BD72" s="53">
        <f t="shared" si="369"/>
        <v>706.2</v>
      </c>
      <c r="BE72" s="51">
        <f t="shared" si="361"/>
        <v>0</v>
      </c>
      <c r="BF72" s="51">
        <f t="shared" si="322"/>
        <v>0</v>
      </c>
      <c r="BG72" s="51">
        <f t="shared" si="370"/>
        <v>0</v>
      </c>
      <c r="BH72" s="51">
        <f t="shared" si="323"/>
        <v>0</v>
      </c>
      <c r="BI72" s="51">
        <f t="shared" si="371"/>
        <v>33000</v>
      </c>
      <c r="BJ72" s="51">
        <f t="shared" si="324"/>
        <v>33000</v>
      </c>
      <c r="BK72" s="51">
        <f t="shared" si="372"/>
        <v>660</v>
      </c>
      <c r="BL72" s="51">
        <f t="shared" si="325"/>
        <v>660</v>
      </c>
      <c r="BM72" s="51">
        <f t="shared" si="373"/>
        <v>29370</v>
      </c>
      <c r="BN72" s="51">
        <f t="shared" si="326"/>
        <v>29370</v>
      </c>
      <c r="BO72" s="51">
        <f t="shared" si="374"/>
        <v>3630</v>
      </c>
      <c r="BP72" s="54">
        <f t="shared" si="375"/>
        <v>0</v>
      </c>
      <c r="BQ72" s="55">
        <f t="shared" si="376"/>
        <v>0</v>
      </c>
      <c r="BR72" s="56">
        <f>IF(AND($E72&lt;&gt;0,$F72&gt;0,YEAR($F72)&gt;=Preisindex!$A$6,YEAR(BM$4)&gt;=YEAR($F72),AND($K72&lt;&gt;"a",$K72&lt;&gt;"b",$K72&lt;&gt;"g",$K72&lt;&gt;"k")),1,IF(AND($E72&lt;&gt;0,$F72&gt;0,YEAR($F72)&gt;=Preisindex!$A$6,YEAR(BM$4)&gt;=YEAR($F72),$K72="a"),ROUND(VLOOKUP(BR$4,Preisindex,5,FALSE)/VLOOKUP(YEAR($F72),Preisindex,5,FALSE),2),IF(AND($E72&lt;&gt;0,$F72&gt;0,YEAR($F72)&gt;=Preisindex!$A$6,YEAR(BM$4)&gt;=YEAR($F72),$K72="b"),ROUND(VLOOKUP(BR$4,Preisindex,3,FALSE)/VLOOKUP(YEAR($F72),Preisindex,3,FALSE),2),IF(AND($E72&lt;&gt;0,$F72&gt;0,YEAR($F72)&gt;=Preisindex!$A$6,YEAR(BM$4)&gt;=YEAR($F72),$K72="g"),ROUND(VLOOKUP(BR$4,Preisindex,4,FALSE)/VLOOKUP(YEAR($F72),Preisindex,4,FALSE),2),IF(AND($E72&lt;&gt;0,$F72&gt;0,YEAR($F72)&gt;=Preisindex!$A$6,YEAR(BM$4)&gt;=YEAR($F72),$K72="k"),ROUND(VLOOKUP(BR$4,Preisindex,2,FALSE)/VLOOKUP(YEAR($F72),Preisindex,2,FALSE),2),0)))))</f>
        <v>1.0900000000000001</v>
      </c>
      <c r="BS72" s="56">
        <f>IF(AND($E72&lt;&gt;0,$F72&gt;0,YEAR($F72)&lt;Preisindex!$A$6,YEAR(BM$4)&gt;=YEAR($F72),AND($K72&lt;&gt;"a",$K72&lt;&gt;"b",$K72&lt;&gt;"g",$K72&lt;&gt;"k")),1,IF(AND($E72&lt;&gt;0,$F72&gt;0,YEAR($F72)&lt;Preisindex!$A$6,YEAR(BM$4)&gt;=YEAR($F72),$K72="a"),ROUND(VLOOKUP(BR$4,Preisindex,5,FALSE)/VLOOKUP(Preisindex!$A$6,Preisindex,5,FALSE),2),IF(AND($E72&lt;&gt;0,$F72&gt;0,YEAR($F72)&lt;Preisindex!$A$6,YEAR(BM$4)&gt;=YEAR($F72),$K72="b"),ROUND(VLOOKUP(BR$4,Preisindex,3,FALSE)/VLOOKUP(Preisindex!$A$6,Preisindex,3,FALSE),2),IF(AND($E72&lt;&gt;0,$F72&gt;0,YEAR($F72)&lt;Preisindex!$A$6,YEAR(BM$4)&gt;=YEAR($F72),$K72="g"),ROUND(VLOOKUP(BR$4,Preisindex,4,FALSE)/VLOOKUP(Preisindex!$A$6,Preisindex,4,FALSE),2),IF(AND($E72&lt;&gt;0,$F72&gt;0,YEAR($F72)&lt;Preisindex!$A$6,YEAR(BM$4)&gt;=YEAR($F72),$K72="k"),ROUND(VLOOKUP(BR$4,Preisindex,2,FALSE)/VLOOKUP(Preisindex!$A$6,Preisindex,2,FALSE),2),0)))))</f>
        <v>0</v>
      </c>
      <c r="BT72" s="51">
        <f>IF(AND($E72&lt;&gt;0,$F72&gt;0,YEAR($F72)&lt;=BR$4,YEAR($F72)&gt;=Preisindex!$A$6),ROUND($E72*BR72,2),IF(AND($E72&lt;&gt;0,$F72&gt;0,YEAR($F72)&lt;=BR$4,YEAR($F72)&lt;Preisindex!$A$6),ROUND($E72*BS72,2),0))</f>
        <v>35970</v>
      </c>
      <c r="BU72" s="53">
        <f t="shared" si="377"/>
        <v>719.4</v>
      </c>
      <c r="BV72" s="51">
        <f t="shared" si="361"/>
        <v>0</v>
      </c>
      <c r="BW72" s="51">
        <f t="shared" si="327"/>
        <v>0</v>
      </c>
      <c r="BX72" s="51">
        <f t="shared" si="378"/>
        <v>0</v>
      </c>
      <c r="BY72" s="51">
        <f t="shared" si="328"/>
        <v>0</v>
      </c>
      <c r="BZ72" s="51">
        <f t="shared" si="379"/>
        <v>33000</v>
      </c>
      <c r="CA72" s="51">
        <f t="shared" si="329"/>
        <v>33000</v>
      </c>
      <c r="CB72" s="51">
        <f t="shared" si="380"/>
        <v>660</v>
      </c>
      <c r="CC72" s="51">
        <f t="shared" si="330"/>
        <v>660</v>
      </c>
      <c r="CD72" s="51">
        <f t="shared" si="381"/>
        <v>28710</v>
      </c>
      <c r="CE72" s="51">
        <f t="shared" si="331"/>
        <v>28710</v>
      </c>
      <c r="CF72" s="51">
        <f t="shared" si="382"/>
        <v>4290</v>
      </c>
      <c r="CG72" s="54">
        <f t="shared" si="383"/>
        <v>0</v>
      </c>
      <c r="CH72" s="55">
        <f t="shared" si="384"/>
        <v>0</v>
      </c>
      <c r="CI72" s="56">
        <f>IF(AND($E72&lt;&gt;0,$F72&gt;0,YEAR($F72)&gt;=Preisindex!$A$6,YEAR(CD$4)&gt;=YEAR($F72),AND($K72&lt;&gt;"a",$K72&lt;&gt;"b",$K72&lt;&gt;"g",$K72&lt;&gt;"k")),1,IF(AND($E72&lt;&gt;0,$F72&gt;0,YEAR($F72)&gt;=Preisindex!$A$6,YEAR(CD$4)&gt;=YEAR($F72),$K72="a"),ROUND(VLOOKUP(CI$4,Preisindex,5,FALSE)/VLOOKUP(YEAR($F72),Preisindex,5,FALSE),2),IF(AND($E72&lt;&gt;0,$F72&gt;0,YEAR($F72)&gt;=Preisindex!$A$6,YEAR(CD$4)&gt;=YEAR($F72),$K72="b"),ROUND(VLOOKUP(CI$4,Preisindex,3,FALSE)/VLOOKUP(YEAR($F72),Preisindex,3,FALSE),2),IF(AND($E72&lt;&gt;0,$F72&gt;0,YEAR($F72)&gt;=Preisindex!$A$6,YEAR(CD$4)&gt;=YEAR($F72),$K72="g"),ROUND(VLOOKUP(CI$4,Preisindex,4,FALSE)/VLOOKUP(YEAR($F72),Preisindex,4,FALSE),2),IF(AND($E72&lt;&gt;0,$F72&gt;0,YEAR($F72)&gt;=Preisindex!$A$6,YEAR(CD$4)&gt;=YEAR($F72),$K72="k"),ROUND(VLOOKUP(CI$4,Preisindex,2,FALSE)/VLOOKUP(YEAR($F72),Preisindex,2,FALSE),2),0)))))</f>
        <v>1.1000000000000001</v>
      </c>
      <c r="CJ72" s="56">
        <f>IF(AND($E72&lt;&gt;0,$F72&gt;0,YEAR($F72)&lt;Preisindex!$A$6,YEAR(CD$4)&gt;=YEAR($F72),AND($K72&lt;&gt;"a",$K72&lt;&gt;"b",$K72&lt;&gt;"g",$K72&lt;&gt;"k")),1,IF(AND($E72&lt;&gt;0,$F72&gt;0,YEAR($F72)&lt;Preisindex!$A$6,YEAR(CD$4)&gt;=YEAR($F72),$K72="a"),ROUND(VLOOKUP(CI$4,Preisindex,5,FALSE)/VLOOKUP(Preisindex!$A$6,Preisindex,5,FALSE),2),IF(AND($E72&lt;&gt;0,$F72&gt;0,YEAR($F72)&lt;Preisindex!$A$6,YEAR(CD$4)&gt;=YEAR($F72),$K72="b"),ROUND(VLOOKUP(CI$4,Preisindex,3,FALSE)/VLOOKUP(Preisindex!$A$6,Preisindex,3,FALSE),2),IF(AND($E72&lt;&gt;0,$F72&gt;0,YEAR($F72)&lt;Preisindex!$A$6,YEAR(CD$4)&gt;=YEAR($F72),$K72="g"),ROUND(VLOOKUP(CI$4,Preisindex,4,FALSE)/VLOOKUP(Preisindex!$A$6,Preisindex,4,FALSE),2),IF(AND($E72&lt;&gt;0,$F72&gt;0,YEAR($F72)&lt;Preisindex!$A$6,YEAR(CD$4)&gt;=YEAR($F72),$K72="k"),ROUND(VLOOKUP(CI$4,Preisindex,2,FALSE)/VLOOKUP(Preisindex!$A$6,Preisindex,2,FALSE),2),0)))))</f>
        <v>0</v>
      </c>
      <c r="CK72" s="51">
        <f>IF(AND($E72&lt;&gt;0,$F72&gt;0,YEAR($F72)&lt;=CI$4,YEAR($F72)&gt;=Preisindex!$A$6),ROUND($E72*CI72,2),IF(AND($E72&lt;&gt;0,$F72&gt;0,YEAR($F72)&lt;=CI$4,YEAR($F72)&lt;Preisindex!$A$6),ROUND($E72*CJ72,2),0))</f>
        <v>36300</v>
      </c>
      <c r="CL72" s="53">
        <f t="shared" si="385"/>
        <v>726</v>
      </c>
      <c r="CM72" s="51">
        <f t="shared" si="361"/>
        <v>0</v>
      </c>
      <c r="CN72" s="51">
        <f t="shared" si="332"/>
        <v>0</v>
      </c>
      <c r="CO72" s="51">
        <f t="shared" si="386"/>
        <v>0</v>
      </c>
      <c r="CP72" s="51">
        <f t="shared" si="333"/>
        <v>0</v>
      </c>
      <c r="CQ72" s="51">
        <f t="shared" si="387"/>
        <v>33000</v>
      </c>
      <c r="CR72" s="51">
        <f t="shared" si="334"/>
        <v>33000</v>
      </c>
      <c r="CS72" s="51">
        <f t="shared" si="388"/>
        <v>660</v>
      </c>
      <c r="CT72" s="51">
        <f t="shared" si="335"/>
        <v>660</v>
      </c>
      <c r="CU72" s="51">
        <f t="shared" si="389"/>
        <v>28050</v>
      </c>
      <c r="CV72" s="51">
        <f t="shared" si="336"/>
        <v>28050</v>
      </c>
      <c r="CW72" s="51">
        <f t="shared" si="390"/>
        <v>4950</v>
      </c>
      <c r="CX72" s="54">
        <f t="shared" si="391"/>
        <v>0</v>
      </c>
      <c r="CY72" s="55">
        <f t="shared" si="392"/>
        <v>0</v>
      </c>
      <c r="CZ72" s="56">
        <f>IF(AND($E72&lt;&gt;0,$F72&gt;0,YEAR($F72)&gt;=Preisindex!$A$6,YEAR(CU$4)&gt;=YEAR($F72),AND($K72&lt;&gt;"a",$K72&lt;&gt;"b",$K72&lt;&gt;"g",$K72&lt;&gt;"k")),1,IF(AND($E72&lt;&gt;0,$F72&gt;0,YEAR($F72)&gt;=Preisindex!$A$6,YEAR(CU$4)&gt;=YEAR($F72),$K72="a"),ROUND(VLOOKUP(CZ$4,Preisindex,5,FALSE)/VLOOKUP(YEAR($F72),Preisindex,5,FALSE),2),IF(AND($E72&lt;&gt;0,$F72&gt;0,YEAR($F72)&gt;=Preisindex!$A$6,YEAR(CU$4)&gt;=YEAR($F72),$K72="b"),ROUND(VLOOKUP(CZ$4,Preisindex,3,FALSE)/VLOOKUP(YEAR($F72),Preisindex,3,FALSE),2),IF(AND($E72&lt;&gt;0,$F72&gt;0,YEAR($F72)&gt;=Preisindex!$A$6,YEAR(CU$4)&gt;=YEAR($F72),$K72="g"),ROUND(VLOOKUP(CZ$4,Preisindex,4,FALSE)/VLOOKUP(YEAR($F72),Preisindex,4,FALSE),2),IF(AND($E72&lt;&gt;0,$F72&gt;0,YEAR($F72)&gt;=Preisindex!$A$6,YEAR(CU$4)&gt;=YEAR($F72),$K72="k"),ROUND(VLOOKUP(CZ$4,Preisindex,2,FALSE)/VLOOKUP(YEAR($F72),Preisindex,2,FALSE),2),0)))))</f>
        <v>1.1200000000000001</v>
      </c>
      <c r="DA72" s="56">
        <f>IF(AND($E72&lt;&gt;0,$F72&gt;0,YEAR($F72)&lt;Preisindex!$A$6,YEAR(CU$4)&gt;=YEAR($F72),AND($K72&lt;&gt;"a",$K72&lt;&gt;"b",$K72&lt;&gt;"g",$K72&lt;&gt;"k")),1,IF(AND($E72&lt;&gt;0,$F72&gt;0,YEAR($F72)&lt;Preisindex!$A$6,YEAR(CU$4)&gt;=YEAR($F72),$K72="a"),ROUND(VLOOKUP(CZ$4,Preisindex,5,FALSE)/VLOOKUP(Preisindex!$A$6,Preisindex,5,FALSE),2),IF(AND($E72&lt;&gt;0,$F72&gt;0,YEAR($F72)&lt;Preisindex!$A$6,YEAR(CU$4)&gt;=YEAR($F72),$K72="b"),ROUND(VLOOKUP(CZ$4,Preisindex,3,FALSE)/VLOOKUP(Preisindex!$A$6,Preisindex,3,FALSE),2),IF(AND($E72&lt;&gt;0,$F72&gt;0,YEAR($F72)&lt;Preisindex!$A$6,YEAR(CU$4)&gt;=YEAR($F72),$K72="g"),ROUND(VLOOKUP(CZ$4,Preisindex,4,FALSE)/VLOOKUP(Preisindex!$A$6,Preisindex,4,FALSE),2),IF(AND($E72&lt;&gt;0,$F72&gt;0,YEAR($F72)&lt;Preisindex!$A$6,YEAR(CU$4)&gt;=YEAR($F72),$K72="k"),ROUND(VLOOKUP(CZ$4,Preisindex,2,FALSE)/VLOOKUP(Preisindex!$A$6,Preisindex,2,FALSE),2),0)))))</f>
        <v>0</v>
      </c>
      <c r="DB72" s="51">
        <f>IF(AND($E72&lt;&gt;0,$F72&gt;0,YEAR($F72)&lt;=CZ$4,YEAR($F72)&gt;=Preisindex!$A$6),ROUND($E72*CZ72,2),IF(AND($E72&lt;&gt;0,$F72&gt;0,YEAR($F72)&lt;=CZ$4,YEAR($F72)&lt;Preisindex!$A$6),ROUND($E72*DA72,2),0))</f>
        <v>36960</v>
      </c>
      <c r="DC72" s="53">
        <f t="shared" si="393"/>
        <v>739.2</v>
      </c>
      <c r="DD72" s="51">
        <f t="shared" si="394"/>
        <v>0</v>
      </c>
      <c r="DE72" s="51">
        <f t="shared" si="337"/>
        <v>0</v>
      </c>
      <c r="DF72" s="51">
        <f t="shared" si="395"/>
        <v>0</v>
      </c>
      <c r="DG72" s="51">
        <f t="shared" si="338"/>
        <v>0</v>
      </c>
      <c r="DH72" s="51">
        <f t="shared" si="396"/>
        <v>33000</v>
      </c>
      <c r="DI72" s="51">
        <f t="shared" si="339"/>
        <v>33000</v>
      </c>
      <c r="DJ72" s="51">
        <f t="shared" si="397"/>
        <v>660</v>
      </c>
      <c r="DK72" s="51">
        <f t="shared" si="340"/>
        <v>660</v>
      </c>
      <c r="DL72" s="51">
        <f t="shared" si="398"/>
        <v>27390</v>
      </c>
      <c r="DM72" s="51">
        <f t="shared" si="341"/>
        <v>27390</v>
      </c>
      <c r="DN72" s="51">
        <f t="shared" si="399"/>
        <v>5610</v>
      </c>
      <c r="DO72" s="54">
        <f t="shared" si="400"/>
        <v>0</v>
      </c>
      <c r="DP72" s="55">
        <f t="shared" si="401"/>
        <v>0</v>
      </c>
      <c r="DQ72" s="56">
        <f>IF(AND($E72&lt;&gt;0,$F72&gt;0,YEAR($F72)&gt;=Preisindex!$A$6,YEAR(DL$4)&gt;=YEAR($F72),AND($K72&lt;&gt;"a",$K72&lt;&gt;"b",$K72&lt;&gt;"g",$K72&lt;&gt;"k")),1,IF(AND($E72&lt;&gt;0,$F72&gt;0,YEAR($F72)&gt;=Preisindex!$A$6,YEAR(DL$4)&gt;=YEAR($F72),$K72="a"),ROUND(VLOOKUP(DQ$4,Preisindex,5,FALSE)/VLOOKUP(YEAR($F72),Preisindex,5,FALSE),2),IF(AND($E72&lt;&gt;0,$F72&gt;0,YEAR($F72)&gt;=Preisindex!$A$6,YEAR(DL$4)&gt;=YEAR($F72),$K72="b"),ROUND(VLOOKUP(DQ$4,Preisindex,3,FALSE)/VLOOKUP(YEAR($F72),Preisindex,3,FALSE),2),IF(AND($E72&lt;&gt;0,$F72&gt;0,YEAR($F72)&gt;=Preisindex!$A$6,YEAR(DL$4)&gt;=YEAR($F72),$K72="g"),ROUND(VLOOKUP(DQ$4,Preisindex,4,FALSE)/VLOOKUP(YEAR($F72),Preisindex,4,FALSE),2),IF(AND($E72&lt;&gt;0,$F72&gt;0,YEAR($F72)&gt;=Preisindex!$A$6,YEAR(DL$4)&gt;=YEAR($F72),$K72="k"),ROUND(VLOOKUP(DQ$4,Preisindex,2,FALSE)/VLOOKUP(YEAR($F72),Preisindex,2,FALSE),2),0)))))</f>
        <v>1.1599999999999999</v>
      </c>
      <c r="DR72" s="56">
        <f>IF(AND($E72&lt;&gt;0,$F72&gt;0,YEAR($F72)&lt;Preisindex!$A$6,YEAR(DL$4)&gt;=YEAR($F72),AND($K72&lt;&gt;"a",$K72&lt;&gt;"b",$K72&lt;&gt;"g",$K72&lt;&gt;"k")),1,IF(AND($E72&lt;&gt;0,$F72&gt;0,YEAR($F72)&lt;Preisindex!$A$6,YEAR(DL$4)&gt;=YEAR($F72),$K72="a"),ROUND(VLOOKUP(DQ$4,Preisindex,5,FALSE)/VLOOKUP(Preisindex!$A$6,Preisindex,5,FALSE),2),IF(AND($E72&lt;&gt;0,$F72&gt;0,YEAR($F72)&lt;Preisindex!$A$6,YEAR(DL$4)&gt;=YEAR($F72),$K72="b"),ROUND(VLOOKUP(DQ$4,Preisindex,3,FALSE)/VLOOKUP(Preisindex!$A$6,Preisindex,3,FALSE),2),IF(AND($E72&lt;&gt;0,$F72&gt;0,YEAR($F72)&lt;Preisindex!$A$6,YEAR(DL$4)&gt;=YEAR($F72),$K72="g"),ROUND(VLOOKUP(DQ$4,Preisindex,4,FALSE)/VLOOKUP(Preisindex!$A$6,Preisindex,4,FALSE),2),IF(AND($E72&lt;&gt;0,$F72&gt;0,YEAR($F72)&lt;Preisindex!$A$6,YEAR(DL$4)&gt;=YEAR($F72),$K72="k"),ROUND(VLOOKUP(DQ$4,Preisindex,2,FALSE)/VLOOKUP(Preisindex!$A$6,Preisindex,2,FALSE),2),0)))))</f>
        <v>0</v>
      </c>
      <c r="DS72" s="51">
        <f>IF(AND($E72&lt;&gt;0,$F72&gt;0,YEAR($F72)&lt;=DQ$4,YEAR($F72)&gt;=Preisindex!$A$6),ROUND($E72*DQ72,2),IF(AND($E72&lt;&gt;0,$F72&gt;0,YEAR($F72)&lt;=DQ$4,YEAR($F72)&lt;Preisindex!$A$6),ROUND($E72*DR72,2),0))</f>
        <v>38280</v>
      </c>
      <c r="DT72" s="53">
        <f t="shared" si="402"/>
        <v>765.6</v>
      </c>
      <c r="DU72" s="51">
        <f t="shared" si="394"/>
        <v>0</v>
      </c>
      <c r="DV72" s="51">
        <f t="shared" si="342"/>
        <v>0</v>
      </c>
      <c r="DW72" s="51">
        <f t="shared" si="403"/>
        <v>0</v>
      </c>
      <c r="DX72" s="51">
        <f t="shared" si="343"/>
        <v>0</v>
      </c>
      <c r="DY72" s="51">
        <f t="shared" si="404"/>
        <v>33000</v>
      </c>
      <c r="DZ72" s="51">
        <f t="shared" si="344"/>
        <v>33000</v>
      </c>
      <c r="EA72" s="51">
        <f t="shared" si="405"/>
        <v>660</v>
      </c>
      <c r="EB72" s="51">
        <f t="shared" si="345"/>
        <v>660</v>
      </c>
      <c r="EC72" s="51">
        <f t="shared" si="406"/>
        <v>26730</v>
      </c>
      <c r="ED72" s="51">
        <f t="shared" si="346"/>
        <v>26730</v>
      </c>
      <c r="EE72" s="51">
        <f t="shared" si="407"/>
        <v>6270</v>
      </c>
      <c r="EF72" s="54">
        <f t="shared" si="408"/>
        <v>0</v>
      </c>
      <c r="EG72" s="55">
        <f t="shared" si="409"/>
        <v>0</v>
      </c>
      <c r="EH72" s="56">
        <f>IF(AND($E72&lt;&gt;0,$F72&gt;0,YEAR($F72)&gt;=Preisindex!$A$6,YEAR(EC$4)&gt;=YEAR($F72),AND($K72&lt;&gt;"a",$K72&lt;&gt;"b",$K72&lt;&gt;"g",$K72&lt;&gt;"k")),1,IF(AND($E72&lt;&gt;0,$F72&gt;0,YEAR($F72)&gt;=Preisindex!$A$6,YEAR(EC$4)&gt;=YEAR($F72),$K72="a"),ROUND(VLOOKUP(EH$4,Preisindex,5,FALSE)/VLOOKUP(YEAR($F72),Preisindex,5,FALSE),2),IF(AND($E72&lt;&gt;0,$F72&gt;0,YEAR($F72)&gt;=Preisindex!$A$6,YEAR(EC$4)&gt;=YEAR($F72),$K72="b"),ROUND(VLOOKUP(EH$4,Preisindex,3,FALSE)/VLOOKUP(YEAR($F72),Preisindex,3,FALSE),2),IF(AND($E72&lt;&gt;0,$F72&gt;0,YEAR($F72)&gt;=Preisindex!$A$6,YEAR(EC$4)&gt;=YEAR($F72),$K72="g"),ROUND(VLOOKUP(EH$4,Preisindex,4,FALSE)/VLOOKUP(YEAR($F72),Preisindex,4,FALSE),2),IF(AND($E72&lt;&gt;0,$F72&gt;0,YEAR($F72)&gt;=Preisindex!$A$6,YEAR(EC$4)&gt;=YEAR($F72),$K72="k"),ROUND(VLOOKUP(EH$4,Preisindex,2,FALSE)/VLOOKUP(YEAR($F72),Preisindex,2,FALSE),2),0)))))</f>
        <v>1.22</v>
      </c>
      <c r="EI72" s="56">
        <f>IF(AND($E72&lt;&gt;0,$F72&gt;0,YEAR($F72)&lt;Preisindex!$A$6,YEAR(EC$4)&gt;=YEAR($F72),AND($K72&lt;&gt;"a",$K72&lt;&gt;"b",$K72&lt;&gt;"g",$K72&lt;&gt;"k")),1,IF(AND($E72&lt;&gt;0,$F72&gt;0,YEAR($F72)&lt;Preisindex!$A$6,YEAR(EC$4)&gt;=YEAR($F72),$K72="a"),ROUND(VLOOKUP(EH$4,Preisindex,5,FALSE)/VLOOKUP(Preisindex!$A$6,Preisindex,5,FALSE),2),IF(AND($E72&lt;&gt;0,$F72&gt;0,YEAR($F72)&lt;Preisindex!$A$6,YEAR(EC$4)&gt;=YEAR($F72),$K72="b"),ROUND(VLOOKUP(EH$4,Preisindex,3,FALSE)/VLOOKUP(Preisindex!$A$6,Preisindex,3,FALSE),2),IF(AND($E72&lt;&gt;0,$F72&gt;0,YEAR($F72)&lt;Preisindex!$A$6,YEAR(EC$4)&gt;=YEAR($F72),$K72="g"),ROUND(VLOOKUP(EH$4,Preisindex,4,FALSE)/VLOOKUP(Preisindex!$A$6,Preisindex,4,FALSE),2),IF(AND($E72&lt;&gt;0,$F72&gt;0,YEAR($F72)&lt;Preisindex!$A$6,YEAR(EC$4)&gt;=YEAR($F72),$K72="k"),ROUND(VLOOKUP(EH$4,Preisindex,2,FALSE)/VLOOKUP(Preisindex!$A$6,Preisindex,2,FALSE),2),0)))))</f>
        <v>0</v>
      </c>
      <c r="EJ72" s="51">
        <f>IF(AND($E72&lt;&gt;0,$F72&gt;0,YEAR($F72)&lt;=EH$4,YEAR($F72)&gt;=Preisindex!$A$6),ROUND($E72*EH72,2),IF(AND($E72&lt;&gt;0,$F72&gt;0,YEAR($F72)&lt;=EH$4,YEAR($F72)&lt;Preisindex!$A$6),ROUND($E72*EI72,2),0))</f>
        <v>40260</v>
      </c>
      <c r="EK72" s="53">
        <f t="shared" si="410"/>
        <v>805.2</v>
      </c>
      <c r="EL72" s="51">
        <f t="shared" si="394"/>
        <v>0</v>
      </c>
      <c r="EM72" s="51">
        <f t="shared" si="347"/>
        <v>0</v>
      </c>
      <c r="EN72" s="51">
        <f t="shared" si="411"/>
        <v>0</v>
      </c>
      <c r="EO72" s="51">
        <f t="shared" si="348"/>
        <v>0</v>
      </c>
      <c r="EP72" s="51">
        <f t="shared" si="412"/>
        <v>33000</v>
      </c>
      <c r="EQ72" s="51">
        <f t="shared" si="349"/>
        <v>33000</v>
      </c>
      <c r="ER72" s="51">
        <f t="shared" si="413"/>
        <v>660</v>
      </c>
      <c r="ES72" s="51">
        <f t="shared" si="350"/>
        <v>660</v>
      </c>
      <c r="ET72" s="51">
        <f t="shared" si="414"/>
        <v>26070</v>
      </c>
      <c r="EU72" s="51">
        <f t="shared" si="351"/>
        <v>26070</v>
      </c>
      <c r="EV72" s="51">
        <f t="shared" si="415"/>
        <v>6930</v>
      </c>
      <c r="EW72" s="54">
        <f t="shared" si="416"/>
        <v>0</v>
      </c>
      <c r="EX72" s="55">
        <f t="shared" si="417"/>
        <v>0</v>
      </c>
      <c r="EY72" s="56">
        <f>IF(AND($E72&lt;&gt;0,$F72&gt;0,YEAR($F72)&gt;=Preisindex!$A$6,YEAR(ET$4)&gt;=YEAR($F72),AND($K72&lt;&gt;"a",$K72&lt;&gt;"b",$K72&lt;&gt;"g",$K72&lt;&gt;"k")),1,IF(AND($E72&lt;&gt;0,$F72&gt;0,YEAR($F72)&gt;=Preisindex!$A$6,YEAR(ET$4)&gt;=YEAR($F72),$K72="a"),ROUND(VLOOKUP(EY$4,Preisindex,5,FALSE)/VLOOKUP(YEAR($F72),Preisindex,5,FALSE),2),IF(AND($E72&lt;&gt;0,$F72&gt;0,YEAR($F72)&gt;=Preisindex!$A$6,YEAR(ET$4)&gt;=YEAR($F72),$K72="b"),ROUND(VLOOKUP(EY$4,Preisindex,3,FALSE)/VLOOKUP(YEAR($F72),Preisindex,3,FALSE),2),IF(AND($E72&lt;&gt;0,$F72&gt;0,YEAR($F72)&gt;=Preisindex!$A$6,YEAR(ET$4)&gt;=YEAR($F72),$K72="g"),ROUND(VLOOKUP(EY$4,Preisindex,4,FALSE)/VLOOKUP(YEAR($F72),Preisindex,4,FALSE),2),IF(AND($E72&lt;&gt;0,$F72&gt;0,YEAR($F72)&gt;=Preisindex!$A$6,YEAR(ET$4)&gt;=YEAR($F72),$K72="k"),ROUND(VLOOKUP(EY$4,Preisindex,2,FALSE)/VLOOKUP(YEAR($F72),Preisindex,2,FALSE),2),0)))))</f>
        <v>1.22</v>
      </c>
      <c r="EZ72" s="56">
        <f>IF(AND($E72&lt;&gt;0,$F72&gt;0,YEAR($F72)&lt;Preisindex!$A$6,YEAR(ET$4)&gt;=YEAR($F72),AND($K72&lt;&gt;"a",$K72&lt;&gt;"b",$K72&lt;&gt;"g",$K72&lt;&gt;"k")),1,IF(AND($E72&lt;&gt;0,$F72&gt;0,YEAR($F72)&lt;Preisindex!$A$6,YEAR(ET$4)&gt;=YEAR($F72),$K72="a"),ROUND(VLOOKUP(EY$4,Preisindex,5,FALSE)/VLOOKUP(Preisindex!$A$6,Preisindex,5,FALSE),2),IF(AND($E72&lt;&gt;0,$F72&gt;0,YEAR($F72)&lt;Preisindex!$A$6,YEAR(ET$4)&gt;=YEAR($F72),$K72="b"),ROUND(VLOOKUP(EY$4,Preisindex,3,FALSE)/VLOOKUP(Preisindex!$A$6,Preisindex,3,FALSE),2),IF(AND($E72&lt;&gt;0,$F72&gt;0,YEAR($F72)&lt;Preisindex!$A$6,YEAR(ET$4)&gt;=YEAR($F72),$K72="g"),ROUND(VLOOKUP(EY$4,Preisindex,4,FALSE)/VLOOKUP(Preisindex!$A$6,Preisindex,4,FALSE),2),IF(AND($E72&lt;&gt;0,$F72&gt;0,YEAR($F72)&lt;Preisindex!$A$6,YEAR(ET$4)&gt;=YEAR($F72),$K72="k"),ROUND(VLOOKUP(EY$4,Preisindex,2,FALSE)/VLOOKUP(Preisindex!$A$6,Preisindex,2,FALSE),2),0)))))</f>
        <v>0</v>
      </c>
      <c r="FA72" s="51">
        <f>IF(AND($E72&lt;&gt;0,$F72&gt;0,YEAR($F72)&lt;=EY$4,YEAR($F72)&gt;=Preisindex!$A$6),ROUND($E72*EY72,2),IF(AND($E72&lt;&gt;0,$F72&gt;0,YEAR($F72)&lt;=EY$4,YEAR($F72)&lt;Preisindex!$A$6),ROUND($E72*EZ72,2),0))</f>
        <v>40260</v>
      </c>
      <c r="FB72" s="53">
        <f t="shared" si="418"/>
        <v>805.2</v>
      </c>
      <c r="FC72" s="51">
        <f t="shared" si="394"/>
        <v>0</v>
      </c>
      <c r="FD72" s="51">
        <f t="shared" si="352"/>
        <v>0</v>
      </c>
      <c r="FE72" s="51">
        <f t="shared" si="419"/>
        <v>0</v>
      </c>
      <c r="FF72" s="51">
        <f t="shared" si="353"/>
        <v>0</v>
      </c>
      <c r="FG72" s="51">
        <f t="shared" si="420"/>
        <v>33000</v>
      </c>
      <c r="FH72" s="51">
        <f t="shared" si="354"/>
        <v>33000</v>
      </c>
      <c r="FI72" s="51">
        <f t="shared" si="421"/>
        <v>660</v>
      </c>
      <c r="FJ72" s="51">
        <f t="shared" si="355"/>
        <v>660</v>
      </c>
      <c r="FK72" s="51">
        <f t="shared" si="422"/>
        <v>25410</v>
      </c>
      <c r="FL72" s="51">
        <f t="shared" si="356"/>
        <v>25410</v>
      </c>
      <c r="FM72" s="51">
        <f t="shared" si="423"/>
        <v>7590</v>
      </c>
      <c r="FN72" s="54">
        <f t="shared" si="424"/>
        <v>0</v>
      </c>
      <c r="FO72" s="55">
        <f t="shared" si="425"/>
        <v>0</v>
      </c>
      <c r="FP72" s="56">
        <f>IF(AND($E72&lt;&gt;0,$F72&gt;0,YEAR($F72)&gt;=Preisindex!$A$6,YEAR(FK$4)&gt;=YEAR($F72),AND($K72&lt;&gt;"a",$K72&lt;&gt;"b",$K72&lt;&gt;"g",$K72&lt;&gt;"k")),1,IF(AND($E72&lt;&gt;0,$F72&gt;0,YEAR($F72)&gt;=Preisindex!$A$6,YEAR(FK$4)&gt;=YEAR($F72),$K72="a"),ROUND(VLOOKUP(FP$4,Preisindex,5,FALSE)/VLOOKUP(YEAR($F72),Preisindex,5,FALSE),2),IF(AND($E72&lt;&gt;0,$F72&gt;0,YEAR($F72)&gt;=Preisindex!$A$6,YEAR(FK$4)&gt;=YEAR($F72),$K72="b"),ROUND(VLOOKUP(FP$4,Preisindex,3,FALSE)/VLOOKUP(YEAR($F72),Preisindex,3,FALSE),2),IF(AND($E72&lt;&gt;0,$F72&gt;0,YEAR($F72)&gt;=Preisindex!$A$6,YEAR(FK$4)&gt;=YEAR($F72),$K72="g"),ROUND(VLOOKUP(FP$4,Preisindex,4,FALSE)/VLOOKUP(YEAR($F72),Preisindex,4,FALSE),2),IF(AND($E72&lt;&gt;0,$F72&gt;0,YEAR($F72)&gt;=Preisindex!$A$6,YEAR(FK$4)&gt;=YEAR($F72),$K72="k"),ROUND(VLOOKUP(FP$4,Preisindex,2,FALSE)/VLOOKUP(YEAR($F72),Preisindex,2,FALSE),2),0)))))</f>
        <v>1.22</v>
      </c>
      <c r="FQ72" s="56">
        <f>IF(AND($E72&lt;&gt;0,$F72&gt;0,YEAR($F72)&lt;Preisindex!$A$6,YEAR(FK$4)&gt;=YEAR($F72),AND($K72&lt;&gt;"a",$K72&lt;&gt;"b",$K72&lt;&gt;"g",$K72&lt;&gt;"k")),1,IF(AND($E72&lt;&gt;0,$F72&gt;0,YEAR($F72)&lt;Preisindex!$A$6,YEAR(FK$4)&gt;=YEAR($F72),$K72="a"),ROUND(VLOOKUP(FP$4,Preisindex,5,FALSE)/VLOOKUP(Preisindex!$A$6,Preisindex,5,FALSE),2),IF(AND($E72&lt;&gt;0,$F72&gt;0,YEAR($F72)&lt;Preisindex!$A$6,YEAR(FK$4)&gt;=YEAR($F72),$K72="b"),ROUND(VLOOKUP(FP$4,Preisindex,3,FALSE)/VLOOKUP(Preisindex!$A$6,Preisindex,3,FALSE),2),IF(AND($E72&lt;&gt;0,$F72&gt;0,YEAR($F72)&lt;Preisindex!$A$6,YEAR(FK$4)&gt;=YEAR($F72),$K72="g"),ROUND(VLOOKUP(FP$4,Preisindex,4,FALSE)/VLOOKUP(Preisindex!$A$6,Preisindex,4,FALSE),2),IF(AND($E72&lt;&gt;0,$F72&gt;0,YEAR($F72)&lt;Preisindex!$A$6,YEAR(FK$4)&gt;=YEAR($F72),$K72="k"),ROUND(VLOOKUP(FP$4,Preisindex,2,FALSE)/VLOOKUP(Preisindex!$A$6,Preisindex,2,FALSE),2),0)))))</f>
        <v>0</v>
      </c>
      <c r="FR72" s="51">
        <f>IF(AND($E72&lt;&gt;0,$F72&gt;0,YEAR($F72)&lt;=FP$4,YEAR($F72)&gt;=Preisindex!$A$6),ROUND($E72*FP72,2),IF(AND($E72&lt;&gt;0,$F72&gt;0,YEAR($F72)&lt;=FP$4,YEAR($F72)&lt;Preisindex!$A$6),ROUND($E72*FQ72,2),0))</f>
        <v>40260</v>
      </c>
      <c r="FS72" s="53">
        <f t="shared" si="426"/>
        <v>805.2</v>
      </c>
    </row>
    <row r="73" spans="1:175" x14ac:dyDescent="0.3">
      <c r="A73" s="93"/>
      <c r="B73" s="94"/>
      <c r="C73" s="94"/>
      <c r="D73" s="95"/>
      <c r="E73" s="99"/>
      <c r="F73" s="97"/>
      <c r="G73" s="98"/>
      <c r="H73" s="620"/>
      <c r="I73" s="621"/>
      <c r="J73" s="194"/>
      <c r="K73" s="630"/>
      <c r="L73" s="49">
        <f t="shared" si="427"/>
        <v>0</v>
      </c>
      <c r="M73" s="50">
        <f t="shared" si="428"/>
        <v>0</v>
      </c>
      <c r="N73" s="51">
        <f t="shared" si="429"/>
        <v>0</v>
      </c>
      <c r="O73" s="51"/>
      <c r="P73" s="51">
        <f t="shared" si="430"/>
        <v>0</v>
      </c>
      <c r="Q73" s="52"/>
      <c r="R73" s="52"/>
      <c r="S73" s="52"/>
      <c r="T73" s="52"/>
      <c r="U73" s="52"/>
      <c r="V73" s="53">
        <f t="shared" si="431"/>
        <v>0</v>
      </c>
      <c r="W73" s="51">
        <f t="shared" si="432"/>
        <v>0</v>
      </c>
      <c r="X73" s="51">
        <f t="shared" si="433"/>
        <v>0</v>
      </c>
      <c r="Y73" s="51">
        <f t="shared" si="434"/>
        <v>0</v>
      </c>
      <c r="Z73" s="51">
        <f t="shared" si="435"/>
        <v>0</v>
      </c>
      <c r="AA73" s="51">
        <f t="shared" si="436"/>
        <v>0</v>
      </c>
      <c r="AB73" s="51">
        <f t="shared" si="437"/>
        <v>0</v>
      </c>
      <c r="AC73" s="51">
        <f t="shared" si="438"/>
        <v>0</v>
      </c>
      <c r="AD73" s="51">
        <f t="shared" si="439"/>
        <v>0</v>
      </c>
      <c r="AE73" s="51">
        <f t="shared" si="440"/>
        <v>0</v>
      </c>
      <c r="AF73" s="51">
        <f t="shared" si="441"/>
        <v>0</v>
      </c>
      <c r="AG73" s="51">
        <f t="shared" si="442"/>
        <v>0</v>
      </c>
      <c r="AH73" s="54">
        <f t="shared" si="443"/>
        <v>0</v>
      </c>
      <c r="AI73" s="55">
        <f t="shared" si="444"/>
        <v>0</v>
      </c>
      <c r="AJ73" s="56">
        <f>IF(AND($E73&lt;&gt;0,$F73&gt;0,YEAR($F73)&gt;=Preisindex!$A$6,YEAR(AE$4)&gt;=YEAR($F73),AND($K73&lt;&gt;"a",$K73&lt;&gt;"b",$K73&lt;&gt;"g",$K73&lt;&gt;"k")),1,IF(AND($E73&lt;&gt;0,$F73&gt;0,YEAR($F73)&gt;=Preisindex!$A$6,YEAR(AE$4)&gt;=YEAR($F73),$K73="a"),ROUND(VLOOKUP(AJ$4,Preisindex,5,FALSE)/VLOOKUP(YEAR($F73),Preisindex,5,FALSE),2),IF(AND($E73&lt;&gt;0,$F73&gt;0,YEAR($F73)&gt;=Preisindex!$A$6,YEAR(AE$4)&gt;=YEAR($F73),$K73="b"),ROUND(VLOOKUP(AJ$4,Preisindex,3,FALSE)/VLOOKUP(YEAR($F73),Preisindex,3,FALSE),2),IF(AND($E73&lt;&gt;0,$F73&gt;0,YEAR($F73)&gt;=Preisindex!$A$6,YEAR(AE$4)&gt;=YEAR($F73),$K73="g"),ROUND(VLOOKUP(AJ$4,Preisindex,4,FALSE)/VLOOKUP(YEAR($F73),Preisindex,4,FALSE),2),IF(AND($E73&lt;&gt;0,$F73&gt;0,YEAR($F73)&gt;=Preisindex!$A$6,YEAR(AE$4)&gt;=YEAR($F73),$K73="k"),ROUND(VLOOKUP(AJ$4,Preisindex,2,FALSE)/VLOOKUP(YEAR($F73),Preisindex,2,FALSE),2),0)))))</f>
        <v>0</v>
      </c>
      <c r="AK73" s="56">
        <f>IF(AND($E73&lt;&gt;0,$F73&gt;0,YEAR($F73)&lt;Preisindex!$A$6,YEAR(AE$4)&gt;=YEAR($F73),AND($K73&lt;&gt;"a",$K73&lt;&gt;"b",$K73&lt;&gt;"g",$K73&lt;&gt;"k")),1,IF(AND($E73&lt;&gt;0,$F73&gt;0,YEAR($F73)&lt;Preisindex!$A$6,YEAR(AE$4)&gt;=YEAR($F73),$K73="a"),ROUND(VLOOKUP(AJ$4,Preisindex,5,FALSE)/VLOOKUP(Preisindex!$A$6,Preisindex,5,FALSE),2),IF(AND($E73&lt;&gt;0,$F73&gt;0,YEAR($F73)&lt;Preisindex!$A$6,YEAR(AE$4)&gt;=YEAR($F73),$K73="b"),ROUND(VLOOKUP(AJ$4,Preisindex,3,FALSE)/VLOOKUP(Preisindex!$A$6,Preisindex,3,FALSE),2),IF(AND($E73&lt;&gt;0,$F73&gt;0,YEAR($F73)&lt;Preisindex!$A$6,YEAR(AE$4)&gt;=YEAR($F73),$K73="g"),ROUND(VLOOKUP(AJ$4,Preisindex,4,FALSE)/VLOOKUP(Preisindex!$A$6,Preisindex,4,FALSE),2),IF(AND($E73&lt;&gt;0,$F73&gt;0,YEAR($F73)&lt;Preisindex!$A$6,YEAR(AE$4)&gt;=YEAR($F73),$K73="k"),ROUND(VLOOKUP(AJ$4,Preisindex,2,FALSE)/VLOOKUP(Preisindex!$A$6,Preisindex,2,FALSE),2),0)))))</f>
        <v>0</v>
      </c>
      <c r="AL73" s="51">
        <f>IF(AND($E73&lt;&gt;0,$F73&gt;0,YEAR($F73)&lt;=AJ$4,YEAR($F73)&gt;=Preisindex!$A$6),ROUND($E73*AJ73,2),IF(AND($E73&lt;&gt;0,$F73&gt;0,YEAR($F73)&lt;=AJ$4,YEAR($F73)&lt;Preisindex!$A$6),ROUND($E73*AK73,2),0))</f>
        <v>0</v>
      </c>
      <c r="AM73" s="53">
        <f t="shared" si="445"/>
        <v>0</v>
      </c>
      <c r="AN73" s="51">
        <f t="shared" si="361"/>
        <v>0</v>
      </c>
      <c r="AO73" s="51">
        <f t="shared" si="317"/>
        <v>0</v>
      </c>
      <c r="AP73" s="51">
        <f t="shared" si="362"/>
        <v>0</v>
      </c>
      <c r="AQ73" s="51">
        <f t="shared" si="318"/>
        <v>0</v>
      </c>
      <c r="AR73" s="51">
        <f t="shared" si="363"/>
        <v>0</v>
      </c>
      <c r="AS73" s="51">
        <f t="shared" si="319"/>
        <v>0</v>
      </c>
      <c r="AT73" s="51">
        <f t="shared" si="364"/>
        <v>0</v>
      </c>
      <c r="AU73" s="51">
        <f t="shared" si="320"/>
        <v>0</v>
      </c>
      <c r="AV73" s="51">
        <f t="shared" si="365"/>
        <v>0</v>
      </c>
      <c r="AW73" s="51">
        <f t="shared" si="321"/>
        <v>0</v>
      </c>
      <c r="AX73" s="51">
        <f t="shared" si="366"/>
        <v>0</v>
      </c>
      <c r="AY73" s="54">
        <f t="shared" si="367"/>
        <v>0</v>
      </c>
      <c r="AZ73" s="55">
        <f t="shared" si="368"/>
        <v>0</v>
      </c>
      <c r="BA73" s="56">
        <f>IF(AND($E73&lt;&gt;0,$F73&gt;0,YEAR($F73)&gt;=Preisindex!$A$6,YEAR(AV$4)&gt;=YEAR($F73),AND($K73&lt;&gt;"a",$K73&lt;&gt;"b",$K73&lt;&gt;"g",$K73&lt;&gt;"k")),1,IF(AND($E73&lt;&gt;0,$F73&gt;0,YEAR($F73)&gt;=Preisindex!$A$6,YEAR(AV$4)&gt;=YEAR($F73),$K73="a"),ROUND(VLOOKUP(BA$4,Preisindex,5,FALSE)/VLOOKUP(YEAR($F73),Preisindex,5,FALSE),2),IF(AND($E73&lt;&gt;0,$F73&gt;0,YEAR($F73)&gt;=Preisindex!$A$6,YEAR(AV$4)&gt;=YEAR($F73),$K73="b"),ROUND(VLOOKUP(BA$4,Preisindex,3,FALSE)/VLOOKUP(YEAR($F73),Preisindex,3,FALSE),2),IF(AND($E73&lt;&gt;0,$F73&gt;0,YEAR($F73)&gt;=Preisindex!$A$6,YEAR(AV$4)&gt;=YEAR($F73),$K73="g"),ROUND(VLOOKUP(BA$4,Preisindex,4,FALSE)/VLOOKUP(YEAR($F73),Preisindex,4,FALSE),2),IF(AND($E73&lt;&gt;0,$F73&gt;0,YEAR($F73)&gt;=Preisindex!$A$6,YEAR(AV$4)&gt;=YEAR($F73),$K73="k"),ROUND(VLOOKUP(BA$4,Preisindex,2,FALSE)/VLOOKUP(YEAR($F73),Preisindex,2,FALSE),2),0)))))</f>
        <v>0</v>
      </c>
      <c r="BB73" s="56">
        <f>IF(AND($E73&lt;&gt;0,$F73&gt;0,YEAR($F73)&lt;Preisindex!$A$6,YEAR(AV$4)&gt;=YEAR($F73),AND($K73&lt;&gt;"a",$K73&lt;&gt;"b",$K73&lt;&gt;"g",$K73&lt;&gt;"k")),1,IF(AND($E73&lt;&gt;0,$F73&gt;0,YEAR($F73)&lt;Preisindex!$A$6,YEAR(AV$4)&gt;=YEAR($F73),$K73="a"),ROUND(VLOOKUP(BA$4,Preisindex,5,FALSE)/VLOOKUP(Preisindex!$A$6,Preisindex,5,FALSE),2),IF(AND($E73&lt;&gt;0,$F73&gt;0,YEAR($F73)&lt;Preisindex!$A$6,YEAR(AV$4)&gt;=YEAR($F73),$K73="b"),ROUND(VLOOKUP(BA$4,Preisindex,3,FALSE)/VLOOKUP(Preisindex!$A$6,Preisindex,3,FALSE),2),IF(AND($E73&lt;&gt;0,$F73&gt;0,YEAR($F73)&lt;Preisindex!$A$6,YEAR(AV$4)&gt;=YEAR($F73),$K73="g"),ROUND(VLOOKUP(BA$4,Preisindex,4,FALSE)/VLOOKUP(Preisindex!$A$6,Preisindex,4,FALSE),2),IF(AND($E73&lt;&gt;0,$F73&gt;0,YEAR($F73)&lt;Preisindex!$A$6,YEAR(AV$4)&gt;=YEAR($F73),$K73="k"),ROUND(VLOOKUP(BA$4,Preisindex,2,FALSE)/VLOOKUP(Preisindex!$A$6,Preisindex,2,FALSE),2),0)))))</f>
        <v>0</v>
      </c>
      <c r="BC73" s="51">
        <f>IF(AND($E73&lt;&gt;0,$F73&gt;0,YEAR($F73)&lt;=BA$4,YEAR($F73)&gt;=Preisindex!$A$6),ROUND($E73*BA73,2),IF(AND($E73&lt;&gt;0,$F73&gt;0,YEAR($F73)&lt;=BA$4,YEAR($F73)&lt;Preisindex!$A$6),ROUND($E73*BB73,2),0))</f>
        <v>0</v>
      </c>
      <c r="BD73" s="53">
        <f t="shared" si="369"/>
        <v>0</v>
      </c>
      <c r="BE73" s="51">
        <f t="shared" si="361"/>
        <v>0</v>
      </c>
      <c r="BF73" s="51">
        <f t="shared" si="322"/>
        <v>0</v>
      </c>
      <c r="BG73" s="51">
        <f t="shared" si="370"/>
        <v>0</v>
      </c>
      <c r="BH73" s="51">
        <f t="shared" si="323"/>
        <v>0</v>
      </c>
      <c r="BI73" s="51">
        <f t="shared" si="371"/>
        <v>0</v>
      </c>
      <c r="BJ73" s="51">
        <f t="shared" si="324"/>
        <v>0</v>
      </c>
      <c r="BK73" s="51">
        <f t="shared" si="372"/>
        <v>0</v>
      </c>
      <c r="BL73" s="51">
        <f t="shared" si="325"/>
        <v>0</v>
      </c>
      <c r="BM73" s="51">
        <f t="shared" si="373"/>
        <v>0</v>
      </c>
      <c r="BN73" s="51">
        <f t="shared" si="326"/>
        <v>0</v>
      </c>
      <c r="BO73" s="51">
        <f t="shared" si="374"/>
        <v>0</v>
      </c>
      <c r="BP73" s="54">
        <f t="shared" si="375"/>
        <v>0</v>
      </c>
      <c r="BQ73" s="55">
        <f t="shared" si="376"/>
        <v>0</v>
      </c>
      <c r="BR73" s="56">
        <f>IF(AND($E73&lt;&gt;0,$F73&gt;0,YEAR($F73)&gt;=Preisindex!$A$6,YEAR(BM$4)&gt;=YEAR($F73),AND($K73&lt;&gt;"a",$K73&lt;&gt;"b",$K73&lt;&gt;"g",$K73&lt;&gt;"k")),1,IF(AND($E73&lt;&gt;0,$F73&gt;0,YEAR($F73)&gt;=Preisindex!$A$6,YEAR(BM$4)&gt;=YEAR($F73),$K73="a"),ROUND(VLOOKUP(BR$4,Preisindex,5,FALSE)/VLOOKUP(YEAR($F73),Preisindex,5,FALSE),2),IF(AND($E73&lt;&gt;0,$F73&gt;0,YEAR($F73)&gt;=Preisindex!$A$6,YEAR(BM$4)&gt;=YEAR($F73),$K73="b"),ROUND(VLOOKUP(BR$4,Preisindex,3,FALSE)/VLOOKUP(YEAR($F73),Preisindex,3,FALSE),2),IF(AND($E73&lt;&gt;0,$F73&gt;0,YEAR($F73)&gt;=Preisindex!$A$6,YEAR(BM$4)&gt;=YEAR($F73),$K73="g"),ROUND(VLOOKUP(BR$4,Preisindex,4,FALSE)/VLOOKUP(YEAR($F73),Preisindex,4,FALSE),2),IF(AND($E73&lt;&gt;0,$F73&gt;0,YEAR($F73)&gt;=Preisindex!$A$6,YEAR(BM$4)&gt;=YEAR($F73),$K73="k"),ROUND(VLOOKUP(BR$4,Preisindex,2,FALSE)/VLOOKUP(YEAR($F73),Preisindex,2,FALSE),2),0)))))</f>
        <v>0</v>
      </c>
      <c r="BS73" s="56">
        <f>IF(AND($E73&lt;&gt;0,$F73&gt;0,YEAR($F73)&lt;Preisindex!$A$6,YEAR(BM$4)&gt;=YEAR($F73),AND($K73&lt;&gt;"a",$K73&lt;&gt;"b",$K73&lt;&gt;"g",$K73&lt;&gt;"k")),1,IF(AND($E73&lt;&gt;0,$F73&gt;0,YEAR($F73)&lt;Preisindex!$A$6,YEAR(BM$4)&gt;=YEAR($F73),$K73="a"),ROUND(VLOOKUP(BR$4,Preisindex,5,FALSE)/VLOOKUP(Preisindex!$A$6,Preisindex,5,FALSE),2),IF(AND($E73&lt;&gt;0,$F73&gt;0,YEAR($F73)&lt;Preisindex!$A$6,YEAR(BM$4)&gt;=YEAR($F73),$K73="b"),ROUND(VLOOKUP(BR$4,Preisindex,3,FALSE)/VLOOKUP(Preisindex!$A$6,Preisindex,3,FALSE),2),IF(AND($E73&lt;&gt;0,$F73&gt;0,YEAR($F73)&lt;Preisindex!$A$6,YEAR(BM$4)&gt;=YEAR($F73),$K73="g"),ROUND(VLOOKUP(BR$4,Preisindex,4,FALSE)/VLOOKUP(Preisindex!$A$6,Preisindex,4,FALSE),2),IF(AND($E73&lt;&gt;0,$F73&gt;0,YEAR($F73)&lt;Preisindex!$A$6,YEAR(BM$4)&gt;=YEAR($F73),$K73="k"),ROUND(VLOOKUP(BR$4,Preisindex,2,FALSE)/VLOOKUP(Preisindex!$A$6,Preisindex,2,FALSE),2),0)))))</f>
        <v>0</v>
      </c>
      <c r="BT73" s="51">
        <f>IF(AND($E73&lt;&gt;0,$F73&gt;0,YEAR($F73)&lt;=BR$4,YEAR($F73)&gt;=Preisindex!$A$6),ROUND($E73*BR73,2),IF(AND($E73&lt;&gt;0,$F73&gt;0,YEAR($F73)&lt;=BR$4,YEAR($F73)&lt;Preisindex!$A$6),ROUND($E73*BS73,2),0))</f>
        <v>0</v>
      </c>
      <c r="BU73" s="53">
        <f t="shared" si="377"/>
        <v>0</v>
      </c>
      <c r="BV73" s="51">
        <f t="shared" si="361"/>
        <v>0</v>
      </c>
      <c r="BW73" s="51">
        <f t="shared" si="327"/>
        <v>0</v>
      </c>
      <c r="BX73" s="51">
        <f t="shared" si="378"/>
        <v>0</v>
      </c>
      <c r="BY73" s="51">
        <f t="shared" si="328"/>
        <v>0</v>
      </c>
      <c r="BZ73" s="51">
        <f t="shared" si="379"/>
        <v>0</v>
      </c>
      <c r="CA73" s="51">
        <f t="shared" si="329"/>
        <v>0</v>
      </c>
      <c r="CB73" s="51">
        <f t="shared" si="380"/>
        <v>0</v>
      </c>
      <c r="CC73" s="51">
        <f t="shared" si="330"/>
        <v>0</v>
      </c>
      <c r="CD73" s="51">
        <f t="shared" si="381"/>
        <v>0</v>
      </c>
      <c r="CE73" s="51">
        <f t="shared" si="331"/>
        <v>0</v>
      </c>
      <c r="CF73" s="51">
        <f t="shared" si="382"/>
        <v>0</v>
      </c>
      <c r="CG73" s="54">
        <f t="shared" si="383"/>
        <v>0</v>
      </c>
      <c r="CH73" s="55">
        <f t="shared" si="384"/>
        <v>0</v>
      </c>
      <c r="CI73" s="56">
        <f>IF(AND($E73&lt;&gt;0,$F73&gt;0,YEAR($F73)&gt;=Preisindex!$A$6,YEAR(CD$4)&gt;=YEAR($F73),AND($K73&lt;&gt;"a",$K73&lt;&gt;"b",$K73&lt;&gt;"g",$K73&lt;&gt;"k")),1,IF(AND($E73&lt;&gt;0,$F73&gt;0,YEAR($F73)&gt;=Preisindex!$A$6,YEAR(CD$4)&gt;=YEAR($F73),$K73="a"),ROUND(VLOOKUP(CI$4,Preisindex,5,FALSE)/VLOOKUP(YEAR($F73),Preisindex,5,FALSE),2),IF(AND($E73&lt;&gt;0,$F73&gt;0,YEAR($F73)&gt;=Preisindex!$A$6,YEAR(CD$4)&gt;=YEAR($F73),$K73="b"),ROUND(VLOOKUP(CI$4,Preisindex,3,FALSE)/VLOOKUP(YEAR($F73),Preisindex,3,FALSE),2),IF(AND($E73&lt;&gt;0,$F73&gt;0,YEAR($F73)&gt;=Preisindex!$A$6,YEAR(CD$4)&gt;=YEAR($F73),$K73="g"),ROUND(VLOOKUP(CI$4,Preisindex,4,FALSE)/VLOOKUP(YEAR($F73),Preisindex,4,FALSE),2),IF(AND($E73&lt;&gt;0,$F73&gt;0,YEAR($F73)&gt;=Preisindex!$A$6,YEAR(CD$4)&gt;=YEAR($F73),$K73="k"),ROUND(VLOOKUP(CI$4,Preisindex,2,FALSE)/VLOOKUP(YEAR($F73),Preisindex,2,FALSE),2),0)))))</f>
        <v>0</v>
      </c>
      <c r="CJ73" s="56">
        <f>IF(AND($E73&lt;&gt;0,$F73&gt;0,YEAR($F73)&lt;Preisindex!$A$6,YEAR(CD$4)&gt;=YEAR($F73),AND($K73&lt;&gt;"a",$K73&lt;&gt;"b",$K73&lt;&gt;"g",$K73&lt;&gt;"k")),1,IF(AND($E73&lt;&gt;0,$F73&gt;0,YEAR($F73)&lt;Preisindex!$A$6,YEAR(CD$4)&gt;=YEAR($F73),$K73="a"),ROUND(VLOOKUP(CI$4,Preisindex,5,FALSE)/VLOOKUP(Preisindex!$A$6,Preisindex,5,FALSE),2),IF(AND($E73&lt;&gt;0,$F73&gt;0,YEAR($F73)&lt;Preisindex!$A$6,YEAR(CD$4)&gt;=YEAR($F73),$K73="b"),ROUND(VLOOKUP(CI$4,Preisindex,3,FALSE)/VLOOKUP(Preisindex!$A$6,Preisindex,3,FALSE),2),IF(AND($E73&lt;&gt;0,$F73&gt;0,YEAR($F73)&lt;Preisindex!$A$6,YEAR(CD$4)&gt;=YEAR($F73),$K73="g"),ROUND(VLOOKUP(CI$4,Preisindex,4,FALSE)/VLOOKUP(Preisindex!$A$6,Preisindex,4,FALSE),2),IF(AND($E73&lt;&gt;0,$F73&gt;0,YEAR($F73)&lt;Preisindex!$A$6,YEAR(CD$4)&gt;=YEAR($F73),$K73="k"),ROUND(VLOOKUP(CI$4,Preisindex,2,FALSE)/VLOOKUP(Preisindex!$A$6,Preisindex,2,FALSE),2),0)))))</f>
        <v>0</v>
      </c>
      <c r="CK73" s="51">
        <f>IF(AND($E73&lt;&gt;0,$F73&gt;0,YEAR($F73)&lt;=CI$4,YEAR($F73)&gt;=Preisindex!$A$6),ROUND($E73*CI73,2),IF(AND($E73&lt;&gt;0,$F73&gt;0,YEAR($F73)&lt;=CI$4,YEAR($F73)&lt;Preisindex!$A$6),ROUND($E73*CJ73,2),0))</f>
        <v>0</v>
      </c>
      <c r="CL73" s="53">
        <f t="shared" si="385"/>
        <v>0</v>
      </c>
      <c r="CM73" s="51">
        <f t="shared" si="361"/>
        <v>0</v>
      </c>
      <c r="CN73" s="51">
        <f t="shared" si="332"/>
        <v>0</v>
      </c>
      <c r="CO73" s="51">
        <f t="shared" si="386"/>
        <v>0</v>
      </c>
      <c r="CP73" s="51">
        <f t="shared" si="333"/>
        <v>0</v>
      </c>
      <c r="CQ73" s="51">
        <f t="shared" si="387"/>
        <v>0</v>
      </c>
      <c r="CR73" s="51">
        <f t="shared" si="334"/>
        <v>0</v>
      </c>
      <c r="CS73" s="51">
        <f t="shared" si="388"/>
        <v>0</v>
      </c>
      <c r="CT73" s="51">
        <f t="shared" si="335"/>
        <v>0</v>
      </c>
      <c r="CU73" s="51">
        <f t="shared" si="389"/>
        <v>0</v>
      </c>
      <c r="CV73" s="51">
        <f t="shared" si="336"/>
        <v>0</v>
      </c>
      <c r="CW73" s="51">
        <f t="shared" si="390"/>
        <v>0</v>
      </c>
      <c r="CX73" s="54">
        <f t="shared" si="391"/>
        <v>0</v>
      </c>
      <c r="CY73" s="55">
        <f t="shared" si="392"/>
        <v>0</v>
      </c>
      <c r="CZ73" s="56">
        <f>IF(AND($E73&lt;&gt;0,$F73&gt;0,YEAR($F73)&gt;=Preisindex!$A$6,YEAR(CU$4)&gt;=YEAR($F73),AND($K73&lt;&gt;"a",$K73&lt;&gt;"b",$K73&lt;&gt;"g",$K73&lt;&gt;"k")),1,IF(AND($E73&lt;&gt;0,$F73&gt;0,YEAR($F73)&gt;=Preisindex!$A$6,YEAR(CU$4)&gt;=YEAR($F73),$K73="a"),ROUND(VLOOKUP(CZ$4,Preisindex,5,FALSE)/VLOOKUP(YEAR($F73),Preisindex,5,FALSE),2),IF(AND($E73&lt;&gt;0,$F73&gt;0,YEAR($F73)&gt;=Preisindex!$A$6,YEAR(CU$4)&gt;=YEAR($F73),$K73="b"),ROUND(VLOOKUP(CZ$4,Preisindex,3,FALSE)/VLOOKUP(YEAR($F73),Preisindex,3,FALSE),2),IF(AND($E73&lt;&gt;0,$F73&gt;0,YEAR($F73)&gt;=Preisindex!$A$6,YEAR(CU$4)&gt;=YEAR($F73),$K73="g"),ROUND(VLOOKUP(CZ$4,Preisindex,4,FALSE)/VLOOKUP(YEAR($F73),Preisindex,4,FALSE),2),IF(AND($E73&lt;&gt;0,$F73&gt;0,YEAR($F73)&gt;=Preisindex!$A$6,YEAR(CU$4)&gt;=YEAR($F73),$K73="k"),ROUND(VLOOKUP(CZ$4,Preisindex,2,FALSE)/VLOOKUP(YEAR($F73),Preisindex,2,FALSE),2),0)))))</f>
        <v>0</v>
      </c>
      <c r="DA73" s="56">
        <f>IF(AND($E73&lt;&gt;0,$F73&gt;0,YEAR($F73)&lt;Preisindex!$A$6,YEAR(CU$4)&gt;=YEAR($F73),AND($K73&lt;&gt;"a",$K73&lt;&gt;"b",$K73&lt;&gt;"g",$K73&lt;&gt;"k")),1,IF(AND($E73&lt;&gt;0,$F73&gt;0,YEAR($F73)&lt;Preisindex!$A$6,YEAR(CU$4)&gt;=YEAR($F73),$K73="a"),ROUND(VLOOKUP(CZ$4,Preisindex,5,FALSE)/VLOOKUP(Preisindex!$A$6,Preisindex,5,FALSE),2),IF(AND($E73&lt;&gt;0,$F73&gt;0,YEAR($F73)&lt;Preisindex!$A$6,YEAR(CU$4)&gt;=YEAR($F73),$K73="b"),ROUND(VLOOKUP(CZ$4,Preisindex,3,FALSE)/VLOOKUP(Preisindex!$A$6,Preisindex,3,FALSE),2),IF(AND($E73&lt;&gt;0,$F73&gt;0,YEAR($F73)&lt;Preisindex!$A$6,YEAR(CU$4)&gt;=YEAR($F73),$K73="g"),ROUND(VLOOKUP(CZ$4,Preisindex,4,FALSE)/VLOOKUP(Preisindex!$A$6,Preisindex,4,FALSE),2),IF(AND($E73&lt;&gt;0,$F73&gt;0,YEAR($F73)&lt;Preisindex!$A$6,YEAR(CU$4)&gt;=YEAR($F73),$K73="k"),ROUND(VLOOKUP(CZ$4,Preisindex,2,FALSE)/VLOOKUP(Preisindex!$A$6,Preisindex,2,FALSE),2),0)))))</f>
        <v>0</v>
      </c>
      <c r="DB73" s="51">
        <f>IF(AND($E73&lt;&gt;0,$F73&gt;0,YEAR($F73)&lt;=CZ$4,YEAR($F73)&gt;=Preisindex!$A$6),ROUND($E73*CZ73,2),IF(AND($E73&lt;&gt;0,$F73&gt;0,YEAR($F73)&lt;=CZ$4,YEAR($F73)&lt;Preisindex!$A$6),ROUND($E73*DA73,2),0))</f>
        <v>0</v>
      </c>
      <c r="DC73" s="53">
        <f t="shared" si="393"/>
        <v>0</v>
      </c>
      <c r="DD73" s="51">
        <f t="shared" si="394"/>
        <v>0</v>
      </c>
      <c r="DE73" s="51">
        <f t="shared" si="337"/>
        <v>0</v>
      </c>
      <c r="DF73" s="51">
        <f t="shared" si="395"/>
        <v>0</v>
      </c>
      <c r="DG73" s="51">
        <f t="shared" si="338"/>
        <v>0</v>
      </c>
      <c r="DH73" s="51">
        <f t="shared" si="396"/>
        <v>0</v>
      </c>
      <c r="DI73" s="51">
        <f t="shared" si="339"/>
        <v>0</v>
      </c>
      <c r="DJ73" s="51">
        <f t="shared" si="397"/>
        <v>0</v>
      </c>
      <c r="DK73" s="51">
        <f t="shared" si="340"/>
        <v>0</v>
      </c>
      <c r="DL73" s="51">
        <f t="shared" si="398"/>
        <v>0</v>
      </c>
      <c r="DM73" s="51">
        <f t="shared" si="341"/>
        <v>0</v>
      </c>
      <c r="DN73" s="51">
        <f t="shared" si="399"/>
        <v>0</v>
      </c>
      <c r="DO73" s="54">
        <f t="shared" si="400"/>
        <v>0</v>
      </c>
      <c r="DP73" s="55">
        <f t="shared" si="401"/>
        <v>0</v>
      </c>
      <c r="DQ73" s="56">
        <f>IF(AND($E73&lt;&gt;0,$F73&gt;0,YEAR($F73)&gt;=Preisindex!$A$6,YEAR(DL$4)&gt;=YEAR($F73),AND($K73&lt;&gt;"a",$K73&lt;&gt;"b",$K73&lt;&gt;"g",$K73&lt;&gt;"k")),1,IF(AND($E73&lt;&gt;0,$F73&gt;0,YEAR($F73)&gt;=Preisindex!$A$6,YEAR(DL$4)&gt;=YEAR($F73),$K73="a"),ROUND(VLOOKUP(DQ$4,Preisindex,5,FALSE)/VLOOKUP(YEAR($F73),Preisindex,5,FALSE),2),IF(AND($E73&lt;&gt;0,$F73&gt;0,YEAR($F73)&gt;=Preisindex!$A$6,YEAR(DL$4)&gt;=YEAR($F73),$K73="b"),ROUND(VLOOKUP(DQ$4,Preisindex,3,FALSE)/VLOOKUP(YEAR($F73),Preisindex,3,FALSE),2),IF(AND($E73&lt;&gt;0,$F73&gt;0,YEAR($F73)&gt;=Preisindex!$A$6,YEAR(DL$4)&gt;=YEAR($F73),$K73="g"),ROUND(VLOOKUP(DQ$4,Preisindex,4,FALSE)/VLOOKUP(YEAR($F73),Preisindex,4,FALSE),2),IF(AND($E73&lt;&gt;0,$F73&gt;0,YEAR($F73)&gt;=Preisindex!$A$6,YEAR(DL$4)&gt;=YEAR($F73),$K73="k"),ROUND(VLOOKUP(DQ$4,Preisindex,2,FALSE)/VLOOKUP(YEAR($F73),Preisindex,2,FALSE),2),0)))))</f>
        <v>0</v>
      </c>
      <c r="DR73" s="56">
        <f>IF(AND($E73&lt;&gt;0,$F73&gt;0,YEAR($F73)&lt;Preisindex!$A$6,YEAR(DL$4)&gt;=YEAR($F73),AND($K73&lt;&gt;"a",$K73&lt;&gt;"b",$K73&lt;&gt;"g",$K73&lt;&gt;"k")),1,IF(AND($E73&lt;&gt;0,$F73&gt;0,YEAR($F73)&lt;Preisindex!$A$6,YEAR(DL$4)&gt;=YEAR($F73),$K73="a"),ROUND(VLOOKUP(DQ$4,Preisindex,5,FALSE)/VLOOKUP(Preisindex!$A$6,Preisindex,5,FALSE),2),IF(AND($E73&lt;&gt;0,$F73&gt;0,YEAR($F73)&lt;Preisindex!$A$6,YEAR(DL$4)&gt;=YEAR($F73),$K73="b"),ROUND(VLOOKUP(DQ$4,Preisindex,3,FALSE)/VLOOKUP(Preisindex!$A$6,Preisindex,3,FALSE),2),IF(AND($E73&lt;&gt;0,$F73&gt;0,YEAR($F73)&lt;Preisindex!$A$6,YEAR(DL$4)&gt;=YEAR($F73),$K73="g"),ROUND(VLOOKUP(DQ$4,Preisindex,4,FALSE)/VLOOKUP(Preisindex!$A$6,Preisindex,4,FALSE),2),IF(AND($E73&lt;&gt;0,$F73&gt;0,YEAR($F73)&lt;Preisindex!$A$6,YEAR(DL$4)&gt;=YEAR($F73),$K73="k"),ROUND(VLOOKUP(DQ$4,Preisindex,2,FALSE)/VLOOKUP(Preisindex!$A$6,Preisindex,2,FALSE),2),0)))))</f>
        <v>0</v>
      </c>
      <c r="DS73" s="51">
        <f>IF(AND($E73&lt;&gt;0,$F73&gt;0,YEAR($F73)&lt;=DQ$4,YEAR($F73)&gt;=Preisindex!$A$6),ROUND($E73*DQ73,2),IF(AND($E73&lt;&gt;0,$F73&gt;0,YEAR($F73)&lt;=DQ$4,YEAR($F73)&lt;Preisindex!$A$6),ROUND($E73*DR73,2),0))</f>
        <v>0</v>
      </c>
      <c r="DT73" s="53">
        <f t="shared" si="402"/>
        <v>0</v>
      </c>
      <c r="DU73" s="51">
        <f t="shared" si="394"/>
        <v>0</v>
      </c>
      <c r="DV73" s="51">
        <f t="shared" si="342"/>
        <v>0</v>
      </c>
      <c r="DW73" s="51">
        <f t="shared" si="403"/>
        <v>0</v>
      </c>
      <c r="DX73" s="51">
        <f t="shared" si="343"/>
        <v>0</v>
      </c>
      <c r="DY73" s="51">
        <f t="shared" si="404"/>
        <v>0</v>
      </c>
      <c r="DZ73" s="51">
        <f t="shared" si="344"/>
        <v>0</v>
      </c>
      <c r="EA73" s="51">
        <f t="shared" si="405"/>
        <v>0</v>
      </c>
      <c r="EB73" s="51">
        <f t="shared" si="345"/>
        <v>0</v>
      </c>
      <c r="EC73" s="51">
        <f t="shared" si="406"/>
        <v>0</v>
      </c>
      <c r="ED73" s="51">
        <f t="shared" si="346"/>
        <v>0</v>
      </c>
      <c r="EE73" s="51">
        <f t="shared" si="407"/>
        <v>0</v>
      </c>
      <c r="EF73" s="54">
        <f t="shared" si="408"/>
        <v>0</v>
      </c>
      <c r="EG73" s="55">
        <f t="shared" si="409"/>
        <v>0</v>
      </c>
      <c r="EH73" s="56">
        <f>IF(AND($E73&lt;&gt;0,$F73&gt;0,YEAR($F73)&gt;=Preisindex!$A$6,YEAR(EC$4)&gt;=YEAR($F73),AND($K73&lt;&gt;"a",$K73&lt;&gt;"b",$K73&lt;&gt;"g",$K73&lt;&gt;"k")),1,IF(AND($E73&lt;&gt;0,$F73&gt;0,YEAR($F73)&gt;=Preisindex!$A$6,YEAR(EC$4)&gt;=YEAR($F73),$K73="a"),ROUND(VLOOKUP(EH$4,Preisindex,5,FALSE)/VLOOKUP(YEAR($F73),Preisindex,5,FALSE),2),IF(AND($E73&lt;&gt;0,$F73&gt;0,YEAR($F73)&gt;=Preisindex!$A$6,YEAR(EC$4)&gt;=YEAR($F73),$K73="b"),ROUND(VLOOKUP(EH$4,Preisindex,3,FALSE)/VLOOKUP(YEAR($F73),Preisindex,3,FALSE),2),IF(AND($E73&lt;&gt;0,$F73&gt;0,YEAR($F73)&gt;=Preisindex!$A$6,YEAR(EC$4)&gt;=YEAR($F73),$K73="g"),ROUND(VLOOKUP(EH$4,Preisindex,4,FALSE)/VLOOKUP(YEAR($F73),Preisindex,4,FALSE),2),IF(AND($E73&lt;&gt;0,$F73&gt;0,YEAR($F73)&gt;=Preisindex!$A$6,YEAR(EC$4)&gt;=YEAR($F73),$K73="k"),ROUND(VLOOKUP(EH$4,Preisindex,2,FALSE)/VLOOKUP(YEAR($F73),Preisindex,2,FALSE),2),0)))))</f>
        <v>0</v>
      </c>
      <c r="EI73" s="56">
        <f>IF(AND($E73&lt;&gt;0,$F73&gt;0,YEAR($F73)&lt;Preisindex!$A$6,YEAR(EC$4)&gt;=YEAR($F73),AND($K73&lt;&gt;"a",$K73&lt;&gt;"b",$K73&lt;&gt;"g",$K73&lt;&gt;"k")),1,IF(AND($E73&lt;&gt;0,$F73&gt;0,YEAR($F73)&lt;Preisindex!$A$6,YEAR(EC$4)&gt;=YEAR($F73),$K73="a"),ROUND(VLOOKUP(EH$4,Preisindex,5,FALSE)/VLOOKUP(Preisindex!$A$6,Preisindex,5,FALSE),2),IF(AND($E73&lt;&gt;0,$F73&gt;0,YEAR($F73)&lt;Preisindex!$A$6,YEAR(EC$4)&gt;=YEAR($F73),$K73="b"),ROUND(VLOOKUP(EH$4,Preisindex,3,FALSE)/VLOOKUP(Preisindex!$A$6,Preisindex,3,FALSE),2),IF(AND($E73&lt;&gt;0,$F73&gt;0,YEAR($F73)&lt;Preisindex!$A$6,YEAR(EC$4)&gt;=YEAR($F73),$K73="g"),ROUND(VLOOKUP(EH$4,Preisindex,4,FALSE)/VLOOKUP(Preisindex!$A$6,Preisindex,4,FALSE),2),IF(AND($E73&lt;&gt;0,$F73&gt;0,YEAR($F73)&lt;Preisindex!$A$6,YEAR(EC$4)&gt;=YEAR($F73),$K73="k"),ROUND(VLOOKUP(EH$4,Preisindex,2,FALSE)/VLOOKUP(Preisindex!$A$6,Preisindex,2,FALSE),2),0)))))</f>
        <v>0</v>
      </c>
      <c r="EJ73" s="51">
        <f>IF(AND($E73&lt;&gt;0,$F73&gt;0,YEAR($F73)&lt;=EH$4,YEAR($F73)&gt;=Preisindex!$A$6),ROUND($E73*EH73,2),IF(AND($E73&lt;&gt;0,$F73&gt;0,YEAR($F73)&lt;=EH$4,YEAR($F73)&lt;Preisindex!$A$6),ROUND($E73*EI73,2),0))</f>
        <v>0</v>
      </c>
      <c r="EK73" s="53">
        <f t="shared" si="410"/>
        <v>0</v>
      </c>
      <c r="EL73" s="51">
        <f t="shared" si="394"/>
        <v>0</v>
      </c>
      <c r="EM73" s="51">
        <f t="shared" si="347"/>
        <v>0</v>
      </c>
      <c r="EN73" s="51">
        <f t="shared" si="411"/>
        <v>0</v>
      </c>
      <c r="EO73" s="51">
        <f t="shared" si="348"/>
        <v>0</v>
      </c>
      <c r="EP73" s="51">
        <f t="shared" si="412"/>
        <v>0</v>
      </c>
      <c r="EQ73" s="51">
        <f t="shared" si="349"/>
        <v>0</v>
      </c>
      <c r="ER73" s="51">
        <f t="shared" si="413"/>
        <v>0</v>
      </c>
      <c r="ES73" s="51">
        <f t="shared" si="350"/>
        <v>0</v>
      </c>
      <c r="ET73" s="51">
        <f t="shared" si="414"/>
        <v>0</v>
      </c>
      <c r="EU73" s="51">
        <f t="shared" si="351"/>
        <v>0</v>
      </c>
      <c r="EV73" s="51">
        <f t="shared" si="415"/>
        <v>0</v>
      </c>
      <c r="EW73" s="54">
        <f t="shared" si="416"/>
        <v>0</v>
      </c>
      <c r="EX73" s="55">
        <f t="shared" si="417"/>
        <v>0</v>
      </c>
      <c r="EY73" s="56">
        <f>IF(AND($E73&lt;&gt;0,$F73&gt;0,YEAR($F73)&gt;=Preisindex!$A$6,YEAR(ET$4)&gt;=YEAR($F73),AND($K73&lt;&gt;"a",$K73&lt;&gt;"b",$K73&lt;&gt;"g",$K73&lt;&gt;"k")),1,IF(AND($E73&lt;&gt;0,$F73&gt;0,YEAR($F73)&gt;=Preisindex!$A$6,YEAR(ET$4)&gt;=YEAR($F73),$K73="a"),ROUND(VLOOKUP(EY$4,Preisindex,5,FALSE)/VLOOKUP(YEAR($F73),Preisindex,5,FALSE),2),IF(AND($E73&lt;&gt;0,$F73&gt;0,YEAR($F73)&gt;=Preisindex!$A$6,YEAR(ET$4)&gt;=YEAR($F73),$K73="b"),ROUND(VLOOKUP(EY$4,Preisindex,3,FALSE)/VLOOKUP(YEAR($F73),Preisindex,3,FALSE),2),IF(AND($E73&lt;&gt;0,$F73&gt;0,YEAR($F73)&gt;=Preisindex!$A$6,YEAR(ET$4)&gt;=YEAR($F73),$K73="g"),ROUND(VLOOKUP(EY$4,Preisindex,4,FALSE)/VLOOKUP(YEAR($F73),Preisindex,4,FALSE),2),IF(AND($E73&lt;&gt;0,$F73&gt;0,YEAR($F73)&gt;=Preisindex!$A$6,YEAR(ET$4)&gt;=YEAR($F73),$K73="k"),ROUND(VLOOKUP(EY$4,Preisindex,2,FALSE)/VLOOKUP(YEAR($F73),Preisindex,2,FALSE),2),0)))))</f>
        <v>0</v>
      </c>
      <c r="EZ73" s="56">
        <f>IF(AND($E73&lt;&gt;0,$F73&gt;0,YEAR($F73)&lt;Preisindex!$A$6,YEAR(ET$4)&gt;=YEAR($F73),AND($K73&lt;&gt;"a",$K73&lt;&gt;"b",$K73&lt;&gt;"g",$K73&lt;&gt;"k")),1,IF(AND($E73&lt;&gt;0,$F73&gt;0,YEAR($F73)&lt;Preisindex!$A$6,YEAR(ET$4)&gt;=YEAR($F73),$K73="a"),ROUND(VLOOKUP(EY$4,Preisindex,5,FALSE)/VLOOKUP(Preisindex!$A$6,Preisindex,5,FALSE),2),IF(AND($E73&lt;&gt;0,$F73&gt;0,YEAR($F73)&lt;Preisindex!$A$6,YEAR(ET$4)&gt;=YEAR($F73),$K73="b"),ROUND(VLOOKUP(EY$4,Preisindex,3,FALSE)/VLOOKUP(Preisindex!$A$6,Preisindex,3,FALSE),2),IF(AND($E73&lt;&gt;0,$F73&gt;0,YEAR($F73)&lt;Preisindex!$A$6,YEAR(ET$4)&gt;=YEAR($F73),$K73="g"),ROUND(VLOOKUP(EY$4,Preisindex,4,FALSE)/VLOOKUP(Preisindex!$A$6,Preisindex,4,FALSE),2),IF(AND($E73&lt;&gt;0,$F73&gt;0,YEAR($F73)&lt;Preisindex!$A$6,YEAR(ET$4)&gt;=YEAR($F73),$K73="k"),ROUND(VLOOKUP(EY$4,Preisindex,2,FALSE)/VLOOKUP(Preisindex!$A$6,Preisindex,2,FALSE),2),0)))))</f>
        <v>0</v>
      </c>
      <c r="FA73" s="51">
        <f>IF(AND($E73&lt;&gt;0,$F73&gt;0,YEAR($F73)&lt;=EY$4,YEAR($F73)&gt;=Preisindex!$A$6),ROUND($E73*EY73,2),IF(AND($E73&lt;&gt;0,$F73&gt;0,YEAR($F73)&lt;=EY$4,YEAR($F73)&lt;Preisindex!$A$6),ROUND($E73*EZ73,2),0))</f>
        <v>0</v>
      </c>
      <c r="FB73" s="53">
        <f t="shared" si="418"/>
        <v>0</v>
      </c>
      <c r="FC73" s="51">
        <f t="shared" si="394"/>
        <v>0</v>
      </c>
      <c r="FD73" s="51">
        <f t="shared" si="352"/>
        <v>0</v>
      </c>
      <c r="FE73" s="51">
        <f t="shared" si="419"/>
        <v>0</v>
      </c>
      <c r="FF73" s="51">
        <f t="shared" si="353"/>
        <v>0</v>
      </c>
      <c r="FG73" s="51">
        <f t="shared" si="420"/>
        <v>0</v>
      </c>
      <c r="FH73" s="51">
        <f t="shared" si="354"/>
        <v>0</v>
      </c>
      <c r="FI73" s="51">
        <f t="shared" si="421"/>
        <v>0</v>
      </c>
      <c r="FJ73" s="51">
        <f t="shared" si="355"/>
        <v>0</v>
      </c>
      <c r="FK73" s="51">
        <f t="shared" si="422"/>
        <v>0</v>
      </c>
      <c r="FL73" s="51">
        <f t="shared" si="356"/>
        <v>0</v>
      </c>
      <c r="FM73" s="51">
        <f t="shared" si="423"/>
        <v>0</v>
      </c>
      <c r="FN73" s="54">
        <f t="shared" si="424"/>
        <v>0</v>
      </c>
      <c r="FO73" s="55">
        <f t="shared" si="425"/>
        <v>0</v>
      </c>
      <c r="FP73" s="56">
        <f>IF(AND($E73&lt;&gt;0,$F73&gt;0,YEAR($F73)&gt;=Preisindex!$A$6,YEAR(FK$4)&gt;=YEAR($F73),AND($K73&lt;&gt;"a",$K73&lt;&gt;"b",$K73&lt;&gt;"g",$K73&lt;&gt;"k")),1,IF(AND($E73&lt;&gt;0,$F73&gt;0,YEAR($F73)&gt;=Preisindex!$A$6,YEAR(FK$4)&gt;=YEAR($F73),$K73="a"),ROUND(VLOOKUP(FP$4,Preisindex,5,FALSE)/VLOOKUP(YEAR($F73),Preisindex,5,FALSE),2),IF(AND($E73&lt;&gt;0,$F73&gt;0,YEAR($F73)&gt;=Preisindex!$A$6,YEAR(FK$4)&gt;=YEAR($F73),$K73="b"),ROUND(VLOOKUP(FP$4,Preisindex,3,FALSE)/VLOOKUP(YEAR($F73),Preisindex,3,FALSE),2),IF(AND($E73&lt;&gt;0,$F73&gt;0,YEAR($F73)&gt;=Preisindex!$A$6,YEAR(FK$4)&gt;=YEAR($F73),$K73="g"),ROUND(VLOOKUP(FP$4,Preisindex,4,FALSE)/VLOOKUP(YEAR($F73),Preisindex,4,FALSE),2),IF(AND($E73&lt;&gt;0,$F73&gt;0,YEAR($F73)&gt;=Preisindex!$A$6,YEAR(FK$4)&gt;=YEAR($F73),$K73="k"),ROUND(VLOOKUP(FP$4,Preisindex,2,FALSE)/VLOOKUP(YEAR($F73),Preisindex,2,FALSE),2),0)))))</f>
        <v>0</v>
      </c>
      <c r="FQ73" s="56">
        <f>IF(AND($E73&lt;&gt;0,$F73&gt;0,YEAR($F73)&lt;Preisindex!$A$6,YEAR(FK$4)&gt;=YEAR($F73),AND($K73&lt;&gt;"a",$K73&lt;&gt;"b",$K73&lt;&gt;"g",$K73&lt;&gt;"k")),1,IF(AND($E73&lt;&gt;0,$F73&gt;0,YEAR($F73)&lt;Preisindex!$A$6,YEAR(FK$4)&gt;=YEAR($F73),$K73="a"),ROUND(VLOOKUP(FP$4,Preisindex,5,FALSE)/VLOOKUP(Preisindex!$A$6,Preisindex,5,FALSE),2),IF(AND($E73&lt;&gt;0,$F73&gt;0,YEAR($F73)&lt;Preisindex!$A$6,YEAR(FK$4)&gt;=YEAR($F73),$K73="b"),ROUND(VLOOKUP(FP$4,Preisindex,3,FALSE)/VLOOKUP(Preisindex!$A$6,Preisindex,3,FALSE),2),IF(AND($E73&lt;&gt;0,$F73&gt;0,YEAR($F73)&lt;Preisindex!$A$6,YEAR(FK$4)&gt;=YEAR($F73),$K73="g"),ROUND(VLOOKUP(FP$4,Preisindex,4,FALSE)/VLOOKUP(Preisindex!$A$6,Preisindex,4,FALSE),2),IF(AND($E73&lt;&gt;0,$F73&gt;0,YEAR($F73)&lt;Preisindex!$A$6,YEAR(FK$4)&gt;=YEAR($F73),$K73="k"),ROUND(VLOOKUP(FP$4,Preisindex,2,FALSE)/VLOOKUP(Preisindex!$A$6,Preisindex,2,FALSE),2),0)))))</f>
        <v>0</v>
      </c>
      <c r="FR73" s="51">
        <f>IF(AND($E73&lt;&gt;0,$F73&gt;0,YEAR($F73)&lt;=FP$4,YEAR($F73)&gt;=Preisindex!$A$6),ROUND($E73*FP73,2),IF(AND($E73&lt;&gt;0,$F73&gt;0,YEAR($F73)&lt;=FP$4,YEAR($F73)&lt;Preisindex!$A$6),ROUND($E73*FQ73,2),0))</f>
        <v>0</v>
      </c>
      <c r="FS73" s="53">
        <f t="shared" si="426"/>
        <v>0</v>
      </c>
    </row>
    <row r="74" spans="1:175" x14ac:dyDescent="0.3">
      <c r="A74" s="93"/>
      <c r="B74" s="94" t="s">
        <v>258</v>
      </c>
      <c r="C74" s="94"/>
      <c r="D74" s="95"/>
      <c r="E74" s="99"/>
      <c r="F74" s="97"/>
      <c r="G74" s="98"/>
      <c r="H74" s="620"/>
      <c r="I74" s="621"/>
      <c r="J74" s="194"/>
      <c r="K74" s="630"/>
      <c r="L74" s="49">
        <f t="shared" si="427"/>
        <v>0</v>
      </c>
      <c r="M74" s="50">
        <f t="shared" si="428"/>
        <v>0</v>
      </c>
      <c r="N74" s="51">
        <f t="shared" si="429"/>
        <v>0</v>
      </c>
      <c r="O74" s="51"/>
      <c r="P74" s="51">
        <f t="shared" si="430"/>
        <v>0</v>
      </c>
      <c r="Q74" s="52"/>
      <c r="R74" s="52"/>
      <c r="S74" s="52"/>
      <c r="T74" s="52"/>
      <c r="U74" s="52"/>
      <c r="V74" s="53">
        <f t="shared" si="431"/>
        <v>0</v>
      </c>
      <c r="W74" s="51">
        <f t="shared" si="432"/>
        <v>0</v>
      </c>
      <c r="X74" s="51">
        <f t="shared" si="433"/>
        <v>0</v>
      </c>
      <c r="Y74" s="51">
        <f t="shared" si="434"/>
        <v>0</v>
      </c>
      <c r="Z74" s="51">
        <f t="shared" si="435"/>
        <v>0</v>
      </c>
      <c r="AA74" s="51">
        <f t="shared" si="436"/>
        <v>0</v>
      </c>
      <c r="AB74" s="51">
        <f t="shared" si="437"/>
        <v>0</v>
      </c>
      <c r="AC74" s="51">
        <f t="shared" si="438"/>
        <v>0</v>
      </c>
      <c r="AD74" s="51">
        <f t="shared" si="439"/>
        <v>0</v>
      </c>
      <c r="AE74" s="51">
        <f t="shared" si="440"/>
        <v>0</v>
      </c>
      <c r="AF74" s="51">
        <f t="shared" si="441"/>
        <v>0</v>
      </c>
      <c r="AG74" s="51">
        <f t="shared" si="442"/>
        <v>0</v>
      </c>
      <c r="AH74" s="54">
        <f t="shared" si="443"/>
        <v>0</v>
      </c>
      <c r="AI74" s="55">
        <f t="shared" si="444"/>
        <v>0</v>
      </c>
      <c r="AJ74" s="56">
        <f>IF(AND($E74&lt;&gt;0,$F74&gt;0,YEAR($F74)&gt;=Preisindex!$A$6,YEAR(AE$4)&gt;=YEAR($F74),AND($K74&lt;&gt;"a",$K74&lt;&gt;"b",$K74&lt;&gt;"g",$K74&lt;&gt;"k")),1,IF(AND($E74&lt;&gt;0,$F74&gt;0,YEAR($F74)&gt;=Preisindex!$A$6,YEAR(AE$4)&gt;=YEAR($F74),$K74="a"),ROUND(VLOOKUP(AJ$4,Preisindex,5,FALSE)/VLOOKUP(YEAR($F74),Preisindex,5,FALSE),2),IF(AND($E74&lt;&gt;0,$F74&gt;0,YEAR($F74)&gt;=Preisindex!$A$6,YEAR(AE$4)&gt;=YEAR($F74),$K74="b"),ROUND(VLOOKUP(AJ$4,Preisindex,3,FALSE)/VLOOKUP(YEAR($F74),Preisindex,3,FALSE),2),IF(AND($E74&lt;&gt;0,$F74&gt;0,YEAR($F74)&gt;=Preisindex!$A$6,YEAR(AE$4)&gt;=YEAR($F74),$K74="g"),ROUND(VLOOKUP(AJ$4,Preisindex,4,FALSE)/VLOOKUP(YEAR($F74),Preisindex,4,FALSE),2),IF(AND($E74&lt;&gt;0,$F74&gt;0,YEAR($F74)&gt;=Preisindex!$A$6,YEAR(AE$4)&gt;=YEAR($F74),$K74="k"),ROUND(VLOOKUP(AJ$4,Preisindex,2,FALSE)/VLOOKUP(YEAR($F74),Preisindex,2,FALSE),2),0)))))</f>
        <v>0</v>
      </c>
      <c r="AK74" s="56">
        <f>IF(AND($E74&lt;&gt;0,$F74&gt;0,YEAR($F74)&lt;Preisindex!$A$6,YEAR(AE$4)&gt;=YEAR($F74),AND($K74&lt;&gt;"a",$K74&lt;&gt;"b",$K74&lt;&gt;"g",$K74&lt;&gt;"k")),1,IF(AND($E74&lt;&gt;0,$F74&gt;0,YEAR($F74)&lt;Preisindex!$A$6,YEAR(AE$4)&gt;=YEAR($F74),$K74="a"),ROUND(VLOOKUP(AJ$4,Preisindex,5,FALSE)/VLOOKUP(Preisindex!$A$6,Preisindex,5,FALSE),2),IF(AND($E74&lt;&gt;0,$F74&gt;0,YEAR($F74)&lt;Preisindex!$A$6,YEAR(AE$4)&gt;=YEAR($F74),$K74="b"),ROUND(VLOOKUP(AJ$4,Preisindex,3,FALSE)/VLOOKUP(Preisindex!$A$6,Preisindex,3,FALSE),2),IF(AND($E74&lt;&gt;0,$F74&gt;0,YEAR($F74)&lt;Preisindex!$A$6,YEAR(AE$4)&gt;=YEAR($F74),$K74="g"),ROUND(VLOOKUP(AJ$4,Preisindex,4,FALSE)/VLOOKUP(Preisindex!$A$6,Preisindex,4,FALSE),2),IF(AND($E74&lt;&gt;0,$F74&gt;0,YEAR($F74)&lt;Preisindex!$A$6,YEAR(AE$4)&gt;=YEAR($F74),$K74="k"),ROUND(VLOOKUP(AJ$4,Preisindex,2,FALSE)/VLOOKUP(Preisindex!$A$6,Preisindex,2,FALSE),2),0)))))</f>
        <v>0</v>
      </c>
      <c r="AL74" s="51">
        <f>IF(AND($E74&lt;&gt;0,$F74&gt;0,YEAR($F74)&lt;=AJ$4,YEAR($F74)&gt;=Preisindex!$A$6),ROUND($E74*AJ74,2),IF(AND($E74&lt;&gt;0,$F74&gt;0,YEAR($F74)&lt;=AJ$4,YEAR($F74)&lt;Preisindex!$A$6),ROUND($E74*AK74,2),0))</f>
        <v>0</v>
      </c>
      <c r="AM74" s="53">
        <f t="shared" si="445"/>
        <v>0</v>
      </c>
      <c r="AN74" s="51">
        <f t="shared" si="361"/>
        <v>0</v>
      </c>
      <c r="AO74" s="51">
        <f t="shared" si="317"/>
        <v>0</v>
      </c>
      <c r="AP74" s="51">
        <f t="shared" si="362"/>
        <v>0</v>
      </c>
      <c r="AQ74" s="51">
        <f t="shared" si="318"/>
        <v>0</v>
      </c>
      <c r="AR74" s="51">
        <f t="shared" si="363"/>
        <v>0</v>
      </c>
      <c r="AS74" s="51">
        <f t="shared" si="319"/>
        <v>0</v>
      </c>
      <c r="AT74" s="51">
        <f t="shared" si="364"/>
        <v>0</v>
      </c>
      <c r="AU74" s="51">
        <f t="shared" si="320"/>
        <v>0</v>
      </c>
      <c r="AV74" s="51">
        <f t="shared" si="365"/>
        <v>0</v>
      </c>
      <c r="AW74" s="51">
        <f t="shared" si="321"/>
        <v>0</v>
      </c>
      <c r="AX74" s="51">
        <f t="shared" si="366"/>
        <v>0</v>
      </c>
      <c r="AY74" s="54">
        <f t="shared" si="367"/>
        <v>0</v>
      </c>
      <c r="AZ74" s="55">
        <f t="shared" si="368"/>
        <v>0</v>
      </c>
      <c r="BA74" s="56">
        <f>IF(AND($E74&lt;&gt;0,$F74&gt;0,YEAR($F74)&gt;=Preisindex!$A$6,YEAR(AV$4)&gt;=YEAR($F74),AND($K74&lt;&gt;"a",$K74&lt;&gt;"b",$K74&lt;&gt;"g",$K74&lt;&gt;"k")),1,IF(AND($E74&lt;&gt;0,$F74&gt;0,YEAR($F74)&gt;=Preisindex!$A$6,YEAR(AV$4)&gt;=YEAR($F74),$K74="a"),ROUND(VLOOKUP(BA$4,Preisindex,5,FALSE)/VLOOKUP(YEAR($F74),Preisindex,5,FALSE),2),IF(AND($E74&lt;&gt;0,$F74&gt;0,YEAR($F74)&gt;=Preisindex!$A$6,YEAR(AV$4)&gt;=YEAR($F74),$K74="b"),ROUND(VLOOKUP(BA$4,Preisindex,3,FALSE)/VLOOKUP(YEAR($F74),Preisindex,3,FALSE),2),IF(AND($E74&lt;&gt;0,$F74&gt;0,YEAR($F74)&gt;=Preisindex!$A$6,YEAR(AV$4)&gt;=YEAR($F74),$K74="g"),ROUND(VLOOKUP(BA$4,Preisindex,4,FALSE)/VLOOKUP(YEAR($F74),Preisindex,4,FALSE),2),IF(AND($E74&lt;&gt;0,$F74&gt;0,YEAR($F74)&gt;=Preisindex!$A$6,YEAR(AV$4)&gt;=YEAR($F74),$K74="k"),ROUND(VLOOKUP(BA$4,Preisindex,2,FALSE)/VLOOKUP(YEAR($F74),Preisindex,2,FALSE),2),0)))))</f>
        <v>0</v>
      </c>
      <c r="BB74" s="56">
        <f>IF(AND($E74&lt;&gt;0,$F74&gt;0,YEAR($F74)&lt;Preisindex!$A$6,YEAR(AV$4)&gt;=YEAR($F74),AND($K74&lt;&gt;"a",$K74&lt;&gt;"b",$K74&lt;&gt;"g",$K74&lt;&gt;"k")),1,IF(AND($E74&lt;&gt;0,$F74&gt;0,YEAR($F74)&lt;Preisindex!$A$6,YEAR(AV$4)&gt;=YEAR($F74),$K74="a"),ROUND(VLOOKUP(BA$4,Preisindex,5,FALSE)/VLOOKUP(Preisindex!$A$6,Preisindex,5,FALSE),2),IF(AND($E74&lt;&gt;0,$F74&gt;0,YEAR($F74)&lt;Preisindex!$A$6,YEAR(AV$4)&gt;=YEAR($F74),$K74="b"),ROUND(VLOOKUP(BA$4,Preisindex,3,FALSE)/VLOOKUP(Preisindex!$A$6,Preisindex,3,FALSE),2),IF(AND($E74&lt;&gt;0,$F74&gt;0,YEAR($F74)&lt;Preisindex!$A$6,YEAR(AV$4)&gt;=YEAR($F74),$K74="g"),ROUND(VLOOKUP(BA$4,Preisindex,4,FALSE)/VLOOKUP(Preisindex!$A$6,Preisindex,4,FALSE),2),IF(AND($E74&lt;&gt;0,$F74&gt;0,YEAR($F74)&lt;Preisindex!$A$6,YEAR(AV$4)&gt;=YEAR($F74),$K74="k"),ROUND(VLOOKUP(BA$4,Preisindex,2,FALSE)/VLOOKUP(Preisindex!$A$6,Preisindex,2,FALSE),2),0)))))</f>
        <v>0</v>
      </c>
      <c r="BC74" s="51">
        <f>IF(AND($E74&lt;&gt;0,$F74&gt;0,YEAR($F74)&lt;=BA$4,YEAR($F74)&gt;=Preisindex!$A$6),ROUND($E74*BA74,2),IF(AND($E74&lt;&gt;0,$F74&gt;0,YEAR($F74)&lt;=BA$4,YEAR($F74)&lt;Preisindex!$A$6),ROUND($E74*BB74,2),0))</f>
        <v>0</v>
      </c>
      <c r="BD74" s="53">
        <f t="shared" si="369"/>
        <v>0</v>
      </c>
      <c r="BE74" s="51">
        <f t="shared" si="361"/>
        <v>0</v>
      </c>
      <c r="BF74" s="51">
        <f t="shared" si="322"/>
        <v>0</v>
      </c>
      <c r="BG74" s="51">
        <f t="shared" si="370"/>
        <v>0</v>
      </c>
      <c r="BH74" s="51">
        <f t="shared" si="323"/>
        <v>0</v>
      </c>
      <c r="BI74" s="51">
        <f t="shared" si="371"/>
        <v>0</v>
      </c>
      <c r="BJ74" s="51">
        <f t="shared" si="324"/>
        <v>0</v>
      </c>
      <c r="BK74" s="51">
        <f t="shared" si="372"/>
        <v>0</v>
      </c>
      <c r="BL74" s="51">
        <f t="shared" si="325"/>
        <v>0</v>
      </c>
      <c r="BM74" s="51">
        <f t="shared" si="373"/>
        <v>0</v>
      </c>
      <c r="BN74" s="51">
        <f t="shared" si="326"/>
        <v>0</v>
      </c>
      <c r="BO74" s="51">
        <f t="shared" si="374"/>
        <v>0</v>
      </c>
      <c r="BP74" s="54">
        <f t="shared" si="375"/>
        <v>0</v>
      </c>
      <c r="BQ74" s="55">
        <f t="shared" si="376"/>
        <v>0</v>
      </c>
      <c r="BR74" s="56">
        <f>IF(AND($E74&lt;&gt;0,$F74&gt;0,YEAR($F74)&gt;=Preisindex!$A$6,YEAR(BM$4)&gt;=YEAR($F74),AND($K74&lt;&gt;"a",$K74&lt;&gt;"b",$K74&lt;&gt;"g",$K74&lt;&gt;"k")),1,IF(AND($E74&lt;&gt;0,$F74&gt;0,YEAR($F74)&gt;=Preisindex!$A$6,YEAR(BM$4)&gt;=YEAR($F74),$K74="a"),ROUND(VLOOKUP(BR$4,Preisindex,5,FALSE)/VLOOKUP(YEAR($F74),Preisindex,5,FALSE),2),IF(AND($E74&lt;&gt;0,$F74&gt;0,YEAR($F74)&gt;=Preisindex!$A$6,YEAR(BM$4)&gt;=YEAR($F74),$K74="b"),ROUND(VLOOKUP(BR$4,Preisindex,3,FALSE)/VLOOKUP(YEAR($F74),Preisindex,3,FALSE),2),IF(AND($E74&lt;&gt;0,$F74&gt;0,YEAR($F74)&gt;=Preisindex!$A$6,YEAR(BM$4)&gt;=YEAR($F74),$K74="g"),ROUND(VLOOKUP(BR$4,Preisindex,4,FALSE)/VLOOKUP(YEAR($F74),Preisindex,4,FALSE),2),IF(AND($E74&lt;&gt;0,$F74&gt;0,YEAR($F74)&gt;=Preisindex!$A$6,YEAR(BM$4)&gt;=YEAR($F74),$K74="k"),ROUND(VLOOKUP(BR$4,Preisindex,2,FALSE)/VLOOKUP(YEAR($F74),Preisindex,2,FALSE),2),0)))))</f>
        <v>0</v>
      </c>
      <c r="BS74" s="56">
        <f>IF(AND($E74&lt;&gt;0,$F74&gt;0,YEAR($F74)&lt;Preisindex!$A$6,YEAR(BM$4)&gt;=YEAR($F74),AND($K74&lt;&gt;"a",$K74&lt;&gt;"b",$K74&lt;&gt;"g",$K74&lt;&gt;"k")),1,IF(AND($E74&lt;&gt;0,$F74&gt;0,YEAR($F74)&lt;Preisindex!$A$6,YEAR(BM$4)&gt;=YEAR($F74),$K74="a"),ROUND(VLOOKUP(BR$4,Preisindex,5,FALSE)/VLOOKUP(Preisindex!$A$6,Preisindex,5,FALSE),2),IF(AND($E74&lt;&gt;0,$F74&gt;0,YEAR($F74)&lt;Preisindex!$A$6,YEAR(BM$4)&gt;=YEAR($F74),$K74="b"),ROUND(VLOOKUP(BR$4,Preisindex,3,FALSE)/VLOOKUP(Preisindex!$A$6,Preisindex,3,FALSE),2),IF(AND($E74&lt;&gt;0,$F74&gt;0,YEAR($F74)&lt;Preisindex!$A$6,YEAR(BM$4)&gt;=YEAR($F74),$K74="g"),ROUND(VLOOKUP(BR$4,Preisindex,4,FALSE)/VLOOKUP(Preisindex!$A$6,Preisindex,4,FALSE),2),IF(AND($E74&lt;&gt;0,$F74&gt;0,YEAR($F74)&lt;Preisindex!$A$6,YEAR(BM$4)&gt;=YEAR($F74),$K74="k"),ROUND(VLOOKUP(BR$4,Preisindex,2,FALSE)/VLOOKUP(Preisindex!$A$6,Preisindex,2,FALSE),2),0)))))</f>
        <v>0</v>
      </c>
      <c r="BT74" s="51">
        <f>IF(AND($E74&lt;&gt;0,$F74&gt;0,YEAR($F74)&lt;=BR$4,YEAR($F74)&gt;=Preisindex!$A$6),ROUND($E74*BR74,2),IF(AND($E74&lt;&gt;0,$F74&gt;0,YEAR($F74)&lt;=BR$4,YEAR($F74)&lt;Preisindex!$A$6),ROUND($E74*BS74,2),0))</f>
        <v>0</v>
      </c>
      <c r="BU74" s="53">
        <f t="shared" si="377"/>
        <v>0</v>
      </c>
      <c r="BV74" s="51">
        <f t="shared" si="361"/>
        <v>0</v>
      </c>
      <c r="BW74" s="51">
        <f t="shared" si="327"/>
        <v>0</v>
      </c>
      <c r="BX74" s="51">
        <f t="shared" si="378"/>
        <v>0</v>
      </c>
      <c r="BY74" s="51">
        <f t="shared" si="328"/>
        <v>0</v>
      </c>
      <c r="BZ74" s="51">
        <f t="shared" si="379"/>
        <v>0</v>
      </c>
      <c r="CA74" s="51">
        <f t="shared" si="329"/>
        <v>0</v>
      </c>
      <c r="CB74" s="51">
        <f t="shared" si="380"/>
        <v>0</v>
      </c>
      <c r="CC74" s="51">
        <f t="shared" si="330"/>
        <v>0</v>
      </c>
      <c r="CD74" s="51">
        <f t="shared" si="381"/>
        <v>0</v>
      </c>
      <c r="CE74" s="51">
        <f t="shared" si="331"/>
        <v>0</v>
      </c>
      <c r="CF74" s="51">
        <f t="shared" si="382"/>
        <v>0</v>
      </c>
      <c r="CG74" s="54">
        <f t="shared" si="383"/>
        <v>0</v>
      </c>
      <c r="CH74" s="55">
        <f t="shared" si="384"/>
        <v>0</v>
      </c>
      <c r="CI74" s="56">
        <f>IF(AND($E74&lt;&gt;0,$F74&gt;0,YEAR($F74)&gt;=Preisindex!$A$6,YEAR(CD$4)&gt;=YEAR($F74),AND($K74&lt;&gt;"a",$K74&lt;&gt;"b",$K74&lt;&gt;"g",$K74&lt;&gt;"k")),1,IF(AND($E74&lt;&gt;0,$F74&gt;0,YEAR($F74)&gt;=Preisindex!$A$6,YEAR(CD$4)&gt;=YEAR($F74),$K74="a"),ROUND(VLOOKUP(CI$4,Preisindex,5,FALSE)/VLOOKUP(YEAR($F74),Preisindex,5,FALSE),2),IF(AND($E74&lt;&gt;0,$F74&gt;0,YEAR($F74)&gt;=Preisindex!$A$6,YEAR(CD$4)&gt;=YEAR($F74),$K74="b"),ROUND(VLOOKUP(CI$4,Preisindex,3,FALSE)/VLOOKUP(YEAR($F74),Preisindex,3,FALSE),2),IF(AND($E74&lt;&gt;0,$F74&gt;0,YEAR($F74)&gt;=Preisindex!$A$6,YEAR(CD$4)&gt;=YEAR($F74),$K74="g"),ROUND(VLOOKUP(CI$4,Preisindex,4,FALSE)/VLOOKUP(YEAR($F74),Preisindex,4,FALSE),2),IF(AND($E74&lt;&gt;0,$F74&gt;0,YEAR($F74)&gt;=Preisindex!$A$6,YEAR(CD$4)&gt;=YEAR($F74),$K74="k"),ROUND(VLOOKUP(CI$4,Preisindex,2,FALSE)/VLOOKUP(YEAR($F74),Preisindex,2,FALSE),2),0)))))</f>
        <v>0</v>
      </c>
      <c r="CJ74" s="56">
        <f>IF(AND($E74&lt;&gt;0,$F74&gt;0,YEAR($F74)&lt;Preisindex!$A$6,YEAR(CD$4)&gt;=YEAR($F74),AND($K74&lt;&gt;"a",$K74&lt;&gt;"b",$K74&lt;&gt;"g",$K74&lt;&gt;"k")),1,IF(AND($E74&lt;&gt;0,$F74&gt;0,YEAR($F74)&lt;Preisindex!$A$6,YEAR(CD$4)&gt;=YEAR($F74),$K74="a"),ROUND(VLOOKUP(CI$4,Preisindex,5,FALSE)/VLOOKUP(Preisindex!$A$6,Preisindex,5,FALSE),2),IF(AND($E74&lt;&gt;0,$F74&gt;0,YEAR($F74)&lt;Preisindex!$A$6,YEAR(CD$4)&gt;=YEAR($F74),$K74="b"),ROUND(VLOOKUP(CI$4,Preisindex,3,FALSE)/VLOOKUP(Preisindex!$A$6,Preisindex,3,FALSE),2),IF(AND($E74&lt;&gt;0,$F74&gt;0,YEAR($F74)&lt;Preisindex!$A$6,YEAR(CD$4)&gt;=YEAR($F74),$K74="g"),ROUND(VLOOKUP(CI$4,Preisindex,4,FALSE)/VLOOKUP(Preisindex!$A$6,Preisindex,4,FALSE),2),IF(AND($E74&lt;&gt;0,$F74&gt;0,YEAR($F74)&lt;Preisindex!$A$6,YEAR(CD$4)&gt;=YEAR($F74),$K74="k"),ROUND(VLOOKUP(CI$4,Preisindex,2,FALSE)/VLOOKUP(Preisindex!$A$6,Preisindex,2,FALSE),2),0)))))</f>
        <v>0</v>
      </c>
      <c r="CK74" s="51">
        <f>IF(AND($E74&lt;&gt;0,$F74&gt;0,YEAR($F74)&lt;=CI$4,YEAR($F74)&gt;=Preisindex!$A$6),ROUND($E74*CI74,2),IF(AND($E74&lt;&gt;0,$F74&gt;0,YEAR($F74)&lt;=CI$4,YEAR($F74)&lt;Preisindex!$A$6),ROUND($E74*CJ74,2),0))</f>
        <v>0</v>
      </c>
      <c r="CL74" s="53">
        <f t="shared" si="385"/>
        <v>0</v>
      </c>
      <c r="CM74" s="51">
        <f t="shared" si="361"/>
        <v>0</v>
      </c>
      <c r="CN74" s="51">
        <f t="shared" si="332"/>
        <v>0</v>
      </c>
      <c r="CO74" s="51">
        <f t="shared" si="386"/>
        <v>0</v>
      </c>
      <c r="CP74" s="51">
        <f t="shared" si="333"/>
        <v>0</v>
      </c>
      <c r="CQ74" s="51">
        <f t="shared" si="387"/>
        <v>0</v>
      </c>
      <c r="CR74" s="51">
        <f t="shared" si="334"/>
        <v>0</v>
      </c>
      <c r="CS74" s="51">
        <f t="shared" si="388"/>
        <v>0</v>
      </c>
      <c r="CT74" s="51">
        <f t="shared" si="335"/>
        <v>0</v>
      </c>
      <c r="CU74" s="51">
        <f t="shared" si="389"/>
        <v>0</v>
      </c>
      <c r="CV74" s="51">
        <f t="shared" si="336"/>
        <v>0</v>
      </c>
      <c r="CW74" s="51">
        <f t="shared" si="390"/>
        <v>0</v>
      </c>
      <c r="CX74" s="54">
        <f t="shared" si="391"/>
        <v>0</v>
      </c>
      <c r="CY74" s="55">
        <f t="shared" si="392"/>
        <v>0</v>
      </c>
      <c r="CZ74" s="56">
        <f>IF(AND($E74&lt;&gt;0,$F74&gt;0,YEAR($F74)&gt;=Preisindex!$A$6,YEAR(CU$4)&gt;=YEAR($F74),AND($K74&lt;&gt;"a",$K74&lt;&gt;"b",$K74&lt;&gt;"g",$K74&lt;&gt;"k")),1,IF(AND($E74&lt;&gt;0,$F74&gt;0,YEAR($F74)&gt;=Preisindex!$A$6,YEAR(CU$4)&gt;=YEAR($F74),$K74="a"),ROUND(VLOOKUP(CZ$4,Preisindex,5,FALSE)/VLOOKUP(YEAR($F74),Preisindex,5,FALSE),2),IF(AND($E74&lt;&gt;0,$F74&gt;0,YEAR($F74)&gt;=Preisindex!$A$6,YEAR(CU$4)&gt;=YEAR($F74),$K74="b"),ROUND(VLOOKUP(CZ$4,Preisindex,3,FALSE)/VLOOKUP(YEAR($F74),Preisindex,3,FALSE),2),IF(AND($E74&lt;&gt;0,$F74&gt;0,YEAR($F74)&gt;=Preisindex!$A$6,YEAR(CU$4)&gt;=YEAR($F74),$K74="g"),ROUND(VLOOKUP(CZ$4,Preisindex,4,FALSE)/VLOOKUP(YEAR($F74),Preisindex,4,FALSE),2),IF(AND($E74&lt;&gt;0,$F74&gt;0,YEAR($F74)&gt;=Preisindex!$A$6,YEAR(CU$4)&gt;=YEAR($F74),$K74="k"),ROUND(VLOOKUP(CZ$4,Preisindex,2,FALSE)/VLOOKUP(YEAR($F74),Preisindex,2,FALSE),2),0)))))</f>
        <v>0</v>
      </c>
      <c r="DA74" s="56">
        <f>IF(AND($E74&lt;&gt;0,$F74&gt;0,YEAR($F74)&lt;Preisindex!$A$6,YEAR(CU$4)&gt;=YEAR($F74),AND($K74&lt;&gt;"a",$K74&lt;&gt;"b",$K74&lt;&gt;"g",$K74&lt;&gt;"k")),1,IF(AND($E74&lt;&gt;0,$F74&gt;0,YEAR($F74)&lt;Preisindex!$A$6,YEAR(CU$4)&gt;=YEAR($F74),$K74="a"),ROUND(VLOOKUP(CZ$4,Preisindex,5,FALSE)/VLOOKUP(Preisindex!$A$6,Preisindex,5,FALSE),2),IF(AND($E74&lt;&gt;0,$F74&gt;0,YEAR($F74)&lt;Preisindex!$A$6,YEAR(CU$4)&gt;=YEAR($F74),$K74="b"),ROUND(VLOOKUP(CZ$4,Preisindex,3,FALSE)/VLOOKUP(Preisindex!$A$6,Preisindex,3,FALSE),2),IF(AND($E74&lt;&gt;0,$F74&gt;0,YEAR($F74)&lt;Preisindex!$A$6,YEAR(CU$4)&gt;=YEAR($F74),$K74="g"),ROUND(VLOOKUP(CZ$4,Preisindex,4,FALSE)/VLOOKUP(Preisindex!$A$6,Preisindex,4,FALSE),2),IF(AND($E74&lt;&gt;0,$F74&gt;0,YEAR($F74)&lt;Preisindex!$A$6,YEAR(CU$4)&gt;=YEAR($F74),$K74="k"),ROUND(VLOOKUP(CZ$4,Preisindex,2,FALSE)/VLOOKUP(Preisindex!$A$6,Preisindex,2,FALSE),2),0)))))</f>
        <v>0</v>
      </c>
      <c r="DB74" s="51">
        <f>IF(AND($E74&lt;&gt;0,$F74&gt;0,YEAR($F74)&lt;=CZ$4,YEAR($F74)&gt;=Preisindex!$A$6),ROUND($E74*CZ74,2),IF(AND($E74&lt;&gt;0,$F74&gt;0,YEAR($F74)&lt;=CZ$4,YEAR($F74)&lt;Preisindex!$A$6),ROUND($E74*DA74,2),0))</f>
        <v>0</v>
      </c>
      <c r="DC74" s="53">
        <f t="shared" si="393"/>
        <v>0</v>
      </c>
      <c r="DD74" s="51">
        <f t="shared" si="394"/>
        <v>0</v>
      </c>
      <c r="DE74" s="51">
        <f t="shared" si="337"/>
        <v>0</v>
      </c>
      <c r="DF74" s="51">
        <f t="shared" si="395"/>
        <v>0</v>
      </c>
      <c r="DG74" s="51">
        <f t="shared" si="338"/>
        <v>0</v>
      </c>
      <c r="DH74" s="51">
        <f t="shared" si="396"/>
        <v>0</v>
      </c>
      <c r="DI74" s="51">
        <f t="shared" si="339"/>
        <v>0</v>
      </c>
      <c r="DJ74" s="51">
        <f t="shared" si="397"/>
        <v>0</v>
      </c>
      <c r="DK74" s="51">
        <f t="shared" si="340"/>
        <v>0</v>
      </c>
      <c r="DL74" s="51">
        <f t="shared" si="398"/>
        <v>0</v>
      </c>
      <c r="DM74" s="51">
        <f t="shared" si="341"/>
        <v>0</v>
      </c>
      <c r="DN74" s="51">
        <f t="shared" si="399"/>
        <v>0</v>
      </c>
      <c r="DO74" s="54">
        <f t="shared" si="400"/>
        <v>0</v>
      </c>
      <c r="DP74" s="55">
        <f t="shared" si="401"/>
        <v>0</v>
      </c>
      <c r="DQ74" s="56">
        <f>IF(AND($E74&lt;&gt;0,$F74&gt;0,YEAR($F74)&gt;=Preisindex!$A$6,YEAR(DL$4)&gt;=YEAR($F74),AND($K74&lt;&gt;"a",$K74&lt;&gt;"b",$K74&lt;&gt;"g",$K74&lt;&gt;"k")),1,IF(AND($E74&lt;&gt;0,$F74&gt;0,YEAR($F74)&gt;=Preisindex!$A$6,YEAR(DL$4)&gt;=YEAR($F74),$K74="a"),ROUND(VLOOKUP(DQ$4,Preisindex,5,FALSE)/VLOOKUP(YEAR($F74),Preisindex,5,FALSE),2),IF(AND($E74&lt;&gt;0,$F74&gt;0,YEAR($F74)&gt;=Preisindex!$A$6,YEAR(DL$4)&gt;=YEAR($F74),$K74="b"),ROUND(VLOOKUP(DQ$4,Preisindex,3,FALSE)/VLOOKUP(YEAR($F74),Preisindex,3,FALSE),2),IF(AND($E74&lt;&gt;0,$F74&gt;0,YEAR($F74)&gt;=Preisindex!$A$6,YEAR(DL$4)&gt;=YEAR($F74),$K74="g"),ROUND(VLOOKUP(DQ$4,Preisindex,4,FALSE)/VLOOKUP(YEAR($F74),Preisindex,4,FALSE),2),IF(AND($E74&lt;&gt;0,$F74&gt;0,YEAR($F74)&gt;=Preisindex!$A$6,YEAR(DL$4)&gt;=YEAR($F74),$K74="k"),ROUND(VLOOKUP(DQ$4,Preisindex,2,FALSE)/VLOOKUP(YEAR($F74),Preisindex,2,FALSE),2),0)))))</f>
        <v>0</v>
      </c>
      <c r="DR74" s="56">
        <f>IF(AND($E74&lt;&gt;0,$F74&gt;0,YEAR($F74)&lt;Preisindex!$A$6,YEAR(DL$4)&gt;=YEAR($F74),AND($K74&lt;&gt;"a",$K74&lt;&gt;"b",$K74&lt;&gt;"g",$K74&lt;&gt;"k")),1,IF(AND($E74&lt;&gt;0,$F74&gt;0,YEAR($F74)&lt;Preisindex!$A$6,YEAR(DL$4)&gt;=YEAR($F74),$K74="a"),ROUND(VLOOKUP(DQ$4,Preisindex,5,FALSE)/VLOOKUP(Preisindex!$A$6,Preisindex,5,FALSE),2),IF(AND($E74&lt;&gt;0,$F74&gt;0,YEAR($F74)&lt;Preisindex!$A$6,YEAR(DL$4)&gt;=YEAR($F74),$K74="b"),ROUND(VLOOKUP(DQ$4,Preisindex,3,FALSE)/VLOOKUP(Preisindex!$A$6,Preisindex,3,FALSE),2),IF(AND($E74&lt;&gt;0,$F74&gt;0,YEAR($F74)&lt;Preisindex!$A$6,YEAR(DL$4)&gt;=YEAR($F74),$K74="g"),ROUND(VLOOKUP(DQ$4,Preisindex,4,FALSE)/VLOOKUP(Preisindex!$A$6,Preisindex,4,FALSE),2),IF(AND($E74&lt;&gt;0,$F74&gt;0,YEAR($F74)&lt;Preisindex!$A$6,YEAR(DL$4)&gt;=YEAR($F74),$K74="k"),ROUND(VLOOKUP(DQ$4,Preisindex,2,FALSE)/VLOOKUP(Preisindex!$A$6,Preisindex,2,FALSE),2),0)))))</f>
        <v>0</v>
      </c>
      <c r="DS74" s="51">
        <f>IF(AND($E74&lt;&gt;0,$F74&gt;0,YEAR($F74)&lt;=DQ$4,YEAR($F74)&gt;=Preisindex!$A$6),ROUND($E74*DQ74,2),IF(AND($E74&lt;&gt;0,$F74&gt;0,YEAR($F74)&lt;=DQ$4,YEAR($F74)&lt;Preisindex!$A$6),ROUND($E74*DR74,2),0))</f>
        <v>0</v>
      </c>
      <c r="DT74" s="53">
        <f t="shared" si="402"/>
        <v>0</v>
      </c>
      <c r="DU74" s="51">
        <f t="shared" si="394"/>
        <v>0</v>
      </c>
      <c r="DV74" s="51">
        <f t="shared" si="342"/>
        <v>0</v>
      </c>
      <c r="DW74" s="51">
        <f t="shared" si="403"/>
        <v>0</v>
      </c>
      <c r="DX74" s="51">
        <f t="shared" si="343"/>
        <v>0</v>
      </c>
      <c r="DY74" s="51">
        <f t="shared" si="404"/>
        <v>0</v>
      </c>
      <c r="DZ74" s="51">
        <f t="shared" si="344"/>
        <v>0</v>
      </c>
      <c r="EA74" s="51">
        <f t="shared" si="405"/>
        <v>0</v>
      </c>
      <c r="EB74" s="51">
        <f t="shared" si="345"/>
        <v>0</v>
      </c>
      <c r="EC74" s="51">
        <f t="shared" si="406"/>
        <v>0</v>
      </c>
      <c r="ED74" s="51">
        <f t="shared" si="346"/>
        <v>0</v>
      </c>
      <c r="EE74" s="51">
        <f t="shared" si="407"/>
        <v>0</v>
      </c>
      <c r="EF74" s="54">
        <f t="shared" si="408"/>
        <v>0</v>
      </c>
      <c r="EG74" s="55">
        <f t="shared" si="409"/>
        <v>0</v>
      </c>
      <c r="EH74" s="56">
        <f>IF(AND($E74&lt;&gt;0,$F74&gt;0,YEAR($F74)&gt;=Preisindex!$A$6,YEAR(EC$4)&gt;=YEAR($F74),AND($K74&lt;&gt;"a",$K74&lt;&gt;"b",$K74&lt;&gt;"g",$K74&lt;&gt;"k")),1,IF(AND($E74&lt;&gt;0,$F74&gt;0,YEAR($F74)&gt;=Preisindex!$A$6,YEAR(EC$4)&gt;=YEAR($F74),$K74="a"),ROUND(VLOOKUP(EH$4,Preisindex,5,FALSE)/VLOOKUP(YEAR($F74),Preisindex,5,FALSE),2),IF(AND($E74&lt;&gt;0,$F74&gt;0,YEAR($F74)&gt;=Preisindex!$A$6,YEAR(EC$4)&gt;=YEAR($F74),$K74="b"),ROUND(VLOOKUP(EH$4,Preisindex,3,FALSE)/VLOOKUP(YEAR($F74),Preisindex,3,FALSE),2),IF(AND($E74&lt;&gt;0,$F74&gt;0,YEAR($F74)&gt;=Preisindex!$A$6,YEAR(EC$4)&gt;=YEAR($F74),$K74="g"),ROUND(VLOOKUP(EH$4,Preisindex,4,FALSE)/VLOOKUP(YEAR($F74),Preisindex,4,FALSE),2),IF(AND($E74&lt;&gt;0,$F74&gt;0,YEAR($F74)&gt;=Preisindex!$A$6,YEAR(EC$4)&gt;=YEAR($F74),$K74="k"),ROUND(VLOOKUP(EH$4,Preisindex,2,FALSE)/VLOOKUP(YEAR($F74),Preisindex,2,FALSE),2),0)))))</f>
        <v>0</v>
      </c>
      <c r="EI74" s="56">
        <f>IF(AND($E74&lt;&gt;0,$F74&gt;0,YEAR($F74)&lt;Preisindex!$A$6,YEAR(EC$4)&gt;=YEAR($F74),AND($K74&lt;&gt;"a",$K74&lt;&gt;"b",$K74&lt;&gt;"g",$K74&lt;&gt;"k")),1,IF(AND($E74&lt;&gt;0,$F74&gt;0,YEAR($F74)&lt;Preisindex!$A$6,YEAR(EC$4)&gt;=YEAR($F74),$K74="a"),ROUND(VLOOKUP(EH$4,Preisindex,5,FALSE)/VLOOKUP(Preisindex!$A$6,Preisindex,5,FALSE),2),IF(AND($E74&lt;&gt;0,$F74&gt;0,YEAR($F74)&lt;Preisindex!$A$6,YEAR(EC$4)&gt;=YEAR($F74),$K74="b"),ROUND(VLOOKUP(EH$4,Preisindex,3,FALSE)/VLOOKUP(Preisindex!$A$6,Preisindex,3,FALSE),2),IF(AND($E74&lt;&gt;0,$F74&gt;0,YEAR($F74)&lt;Preisindex!$A$6,YEAR(EC$4)&gt;=YEAR($F74),$K74="g"),ROUND(VLOOKUP(EH$4,Preisindex,4,FALSE)/VLOOKUP(Preisindex!$A$6,Preisindex,4,FALSE),2),IF(AND($E74&lt;&gt;0,$F74&gt;0,YEAR($F74)&lt;Preisindex!$A$6,YEAR(EC$4)&gt;=YEAR($F74),$K74="k"),ROUND(VLOOKUP(EH$4,Preisindex,2,FALSE)/VLOOKUP(Preisindex!$A$6,Preisindex,2,FALSE),2),0)))))</f>
        <v>0</v>
      </c>
      <c r="EJ74" s="51">
        <f>IF(AND($E74&lt;&gt;0,$F74&gt;0,YEAR($F74)&lt;=EH$4,YEAR($F74)&gt;=Preisindex!$A$6),ROUND($E74*EH74,2),IF(AND($E74&lt;&gt;0,$F74&gt;0,YEAR($F74)&lt;=EH$4,YEAR($F74)&lt;Preisindex!$A$6),ROUND($E74*EI74,2),0))</f>
        <v>0</v>
      </c>
      <c r="EK74" s="53">
        <f t="shared" si="410"/>
        <v>0</v>
      </c>
      <c r="EL74" s="51">
        <f t="shared" si="394"/>
        <v>0</v>
      </c>
      <c r="EM74" s="51">
        <f t="shared" si="347"/>
        <v>0</v>
      </c>
      <c r="EN74" s="51">
        <f t="shared" si="411"/>
        <v>0</v>
      </c>
      <c r="EO74" s="51">
        <f t="shared" si="348"/>
        <v>0</v>
      </c>
      <c r="EP74" s="51">
        <f t="shared" si="412"/>
        <v>0</v>
      </c>
      <c r="EQ74" s="51">
        <f t="shared" si="349"/>
        <v>0</v>
      </c>
      <c r="ER74" s="51">
        <f t="shared" si="413"/>
        <v>0</v>
      </c>
      <c r="ES74" s="51">
        <f t="shared" si="350"/>
        <v>0</v>
      </c>
      <c r="ET74" s="51">
        <f t="shared" si="414"/>
        <v>0</v>
      </c>
      <c r="EU74" s="51">
        <f t="shared" si="351"/>
        <v>0</v>
      </c>
      <c r="EV74" s="51">
        <f t="shared" si="415"/>
        <v>0</v>
      </c>
      <c r="EW74" s="54">
        <f t="shared" si="416"/>
        <v>0</v>
      </c>
      <c r="EX74" s="55">
        <f t="shared" si="417"/>
        <v>0</v>
      </c>
      <c r="EY74" s="56">
        <f>IF(AND($E74&lt;&gt;0,$F74&gt;0,YEAR($F74)&gt;=Preisindex!$A$6,YEAR(ET$4)&gt;=YEAR($F74),AND($K74&lt;&gt;"a",$K74&lt;&gt;"b",$K74&lt;&gt;"g",$K74&lt;&gt;"k")),1,IF(AND($E74&lt;&gt;0,$F74&gt;0,YEAR($F74)&gt;=Preisindex!$A$6,YEAR(ET$4)&gt;=YEAR($F74),$K74="a"),ROUND(VLOOKUP(EY$4,Preisindex,5,FALSE)/VLOOKUP(YEAR($F74),Preisindex,5,FALSE),2),IF(AND($E74&lt;&gt;0,$F74&gt;0,YEAR($F74)&gt;=Preisindex!$A$6,YEAR(ET$4)&gt;=YEAR($F74),$K74="b"),ROUND(VLOOKUP(EY$4,Preisindex,3,FALSE)/VLOOKUP(YEAR($F74),Preisindex,3,FALSE),2),IF(AND($E74&lt;&gt;0,$F74&gt;0,YEAR($F74)&gt;=Preisindex!$A$6,YEAR(ET$4)&gt;=YEAR($F74),$K74="g"),ROUND(VLOOKUP(EY$4,Preisindex,4,FALSE)/VLOOKUP(YEAR($F74),Preisindex,4,FALSE),2),IF(AND($E74&lt;&gt;0,$F74&gt;0,YEAR($F74)&gt;=Preisindex!$A$6,YEAR(ET$4)&gt;=YEAR($F74),$K74="k"),ROUND(VLOOKUP(EY$4,Preisindex,2,FALSE)/VLOOKUP(YEAR($F74),Preisindex,2,FALSE),2),0)))))</f>
        <v>0</v>
      </c>
      <c r="EZ74" s="56">
        <f>IF(AND($E74&lt;&gt;0,$F74&gt;0,YEAR($F74)&lt;Preisindex!$A$6,YEAR(ET$4)&gt;=YEAR($F74),AND($K74&lt;&gt;"a",$K74&lt;&gt;"b",$K74&lt;&gt;"g",$K74&lt;&gt;"k")),1,IF(AND($E74&lt;&gt;0,$F74&gt;0,YEAR($F74)&lt;Preisindex!$A$6,YEAR(ET$4)&gt;=YEAR($F74),$K74="a"),ROUND(VLOOKUP(EY$4,Preisindex,5,FALSE)/VLOOKUP(Preisindex!$A$6,Preisindex,5,FALSE),2),IF(AND($E74&lt;&gt;0,$F74&gt;0,YEAR($F74)&lt;Preisindex!$A$6,YEAR(ET$4)&gt;=YEAR($F74),$K74="b"),ROUND(VLOOKUP(EY$4,Preisindex,3,FALSE)/VLOOKUP(Preisindex!$A$6,Preisindex,3,FALSE),2),IF(AND($E74&lt;&gt;0,$F74&gt;0,YEAR($F74)&lt;Preisindex!$A$6,YEAR(ET$4)&gt;=YEAR($F74),$K74="g"),ROUND(VLOOKUP(EY$4,Preisindex,4,FALSE)/VLOOKUP(Preisindex!$A$6,Preisindex,4,FALSE),2),IF(AND($E74&lt;&gt;0,$F74&gt;0,YEAR($F74)&lt;Preisindex!$A$6,YEAR(ET$4)&gt;=YEAR($F74),$K74="k"),ROUND(VLOOKUP(EY$4,Preisindex,2,FALSE)/VLOOKUP(Preisindex!$A$6,Preisindex,2,FALSE),2),0)))))</f>
        <v>0</v>
      </c>
      <c r="FA74" s="51">
        <f>IF(AND($E74&lt;&gt;0,$F74&gt;0,YEAR($F74)&lt;=EY$4,YEAR($F74)&gt;=Preisindex!$A$6),ROUND($E74*EY74,2),IF(AND($E74&lt;&gt;0,$F74&gt;0,YEAR($F74)&lt;=EY$4,YEAR($F74)&lt;Preisindex!$A$6),ROUND($E74*EZ74,2),0))</f>
        <v>0</v>
      </c>
      <c r="FB74" s="53">
        <f t="shared" si="418"/>
        <v>0</v>
      </c>
      <c r="FC74" s="51">
        <f t="shared" si="394"/>
        <v>0</v>
      </c>
      <c r="FD74" s="51">
        <f t="shared" si="352"/>
        <v>0</v>
      </c>
      <c r="FE74" s="51">
        <f t="shared" si="419"/>
        <v>0</v>
      </c>
      <c r="FF74" s="51">
        <f t="shared" si="353"/>
        <v>0</v>
      </c>
      <c r="FG74" s="51">
        <f t="shared" si="420"/>
        <v>0</v>
      </c>
      <c r="FH74" s="51">
        <f t="shared" si="354"/>
        <v>0</v>
      </c>
      <c r="FI74" s="51">
        <f t="shared" si="421"/>
        <v>0</v>
      </c>
      <c r="FJ74" s="51">
        <f t="shared" si="355"/>
        <v>0</v>
      </c>
      <c r="FK74" s="51">
        <f t="shared" si="422"/>
        <v>0</v>
      </c>
      <c r="FL74" s="51">
        <f t="shared" si="356"/>
        <v>0</v>
      </c>
      <c r="FM74" s="51">
        <f t="shared" si="423"/>
        <v>0</v>
      </c>
      <c r="FN74" s="54">
        <f t="shared" si="424"/>
        <v>0</v>
      </c>
      <c r="FO74" s="55">
        <f t="shared" si="425"/>
        <v>0</v>
      </c>
      <c r="FP74" s="56">
        <f>IF(AND($E74&lt;&gt;0,$F74&gt;0,YEAR($F74)&gt;=Preisindex!$A$6,YEAR(FK$4)&gt;=YEAR($F74),AND($K74&lt;&gt;"a",$K74&lt;&gt;"b",$K74&lt;&gt;"g",$K74&lt;&gt;"k")),1,IF(AND($E74&lt;&gt;0,$F74&gt;0,YEAR($F74)&gt;=Preisindex!$A$6,YEAR(FK$4)&gt;=YEAR($F74),$K74="a"),ROUND(VLOOKUP(FP$4,Preisindex,5,FALSE)/VLOOKUP(YEAR($F74),Preisindex,5,FALSE),2),IF(AND($E74&lt;&gt;0,$F74&gt;0,YEAR($F74)&gt;=Preisindex!$A$6,YEAR(FK$4)&gt;=YEAR($F74),$K74="b"),ROUND(VLOOKUP(FP$4,Preisindex,3,FALSE)/VLOOKUP(YEAR($F74),Preisindex,3,FALSE),2),IF(AND($E74&lt;&gt;0,$F74&gt;0,YEAR($F74)&gt;=Preisindex!$A$6,YEAR(FK$4)&gt;=YEAR($F74),$K74="g"),ROUND(VLOOKUP(FP$4,Preisindex,4,FALSE)/VLOOKUP(YEAR($F74),Preisindex,4,FALSE),2),IF(AND($E74&lt;&gt;0,$F74&gt;0,YEAR($F74)&gt;=Preisindex!$A$6,YEAR(FK$4)&gt;=YEAR($F74),$K74="k"),ROUND(VLOOKUP(FP$4,Preisindex,2,FALSE)/VLOOKUP(YEAR($F74),Preisindex,2,FALSE),2),0)))))</f>
        <v>0</v>
      </c>
      <c r="FQ74" s="56">
        <f>IF(AND($E74&lt;&gt;0,$F74&gt;0,YEAR($F74)&lt;Preisindex!$A$6,YEAR(FK$4)&gt;=YEAR($F74),AND($K74&lt;&gt;"a",$K74&lt;&gt;"b",$K74&lt;&gt;"g",$K74&lt;&gt;"k")),1,IF(AND($E74&lt;&gt;0,$F74&gt;0,YEAR($F74)&lt;Preisindex!$A$6,YEAR(FK$4)&gt;=YEAR($F74),$K74="a"),ROUND(VLOOKUP(FP$4,Preisindex,5,FALSE)/VLOOKUP(Preisindex!$A$6,Preisindex,5,FALSE),2),IF(AND($E74&lt;&gt;0,$F74&gt;0,YEAR($F74)&lt;Preisindex!$A$6,YEAR(FK$4)&gt;=YEAR($F74),$K74="b"),ROUND(VLOOKUP(FP$4,Preisindex,3,FALSE)/VLOOKUP(Preisindex!$A$6,Preisindex,3,FALSE),2),IF(AND($E74&lt;&gt;0,$F74&gt;0,YEAR($F74)&lt;Preisindex!$A$6,YEAR(FK$4)&gt;=YEAR($F74),$K74="g"),ROUND(VLOOKUP(FP$4,Preisindex,4,FALSE)/VLOOKUP(Preisindex!$A$6,Preisindex,4,FALSE),2),IF(AND($E74&lt;&gt;0,$F74&gt;0,YEAR($F74)&lt;Preisindex!$A$6,YEAR(FK$4)&gt;=YEAR($F74),$K74="k"),ROUND(VLOOKUP(FP$4,Preisindex,2,FALSE)/VLOOKUP(Preisindex!$A$6,Preisindex,2,FALSE),2),0)))))</f>
        <v>0</v>
      </c>
      <c r="FR74" s="51">
        <f>IF(AND($E74&lt;&gt;0,$F74&gt;0,YEAR($F74)&lt;=FP$4,YEAR($F74)&gt;=Preisindex!$A$6),ROUND($E74*FP74,2),IF(AND($E74&lt;&gt;0,$F74&gt;0,YEAR($F74)&lt;=FP$4,YEAR($F74)&lt;Preisindex!$A$6),ROUND($E74*FQ74,2),0))</f>
        <v>0</v>
      </c>
      <c r="FS74" s="53">
        <f t="shared" si="426"/>
        <v>0</v>
      </c>
    </row>
    <row r="75" spans="1:175" x14ac:dyDescent="0.3">
      <c r="A75" s="93">
        <v>1998</v>
      </c>
      <c r="B75" s="94" t="s">
        <v>259</v>
      </c>
      <c r="C75" s="94"/>
      <c r="D75" s="95" t="s">
        <v>60</v>
      </c>
      <c r="E75" s="99">
        <v>63000</v>
      </c>
      <c r="F75" s="97">
        <v>35977</v>
      </c>
      <c r="G75" s="98">
        <v>50</v>
      </c>
      <c r="H75" s="620"/>
      <c r="I75" s="193"/>
      <c r="J75" s="194"/>
      <c r="K75" s="630" t="s">
        <v>266</v>
      </c>
      <c r="L75" s="49">
        <f t="shared" si="427"/>
        <v>0.02</v>
      </c>
      <c r="M75" s="50">
        <f t="shared" si="428"/>
        <v>1260</v>
      </c>
      <c r="N75" s="51">
        <f t="shared" si="429"/>
        <v>45990</v>
      </c>
      <c r="O75" s="51"/>
      <c r="P75" s="51">
        <f t="shared" si="430"/>
        <v>17010</v>
      </c>
      <c r="Q75" s="52"/>
      <c r="R75" s="52"/>
      <c r="S75" s="52"/>
      <c r="T75" s="52"/>
      <c r="U75" s="52"/>
      <c r="V75" s="53">
        <f t="shared" si="431"/>
        <v>63000</v>
      </c>
      <c r="W75" s="51">
        <f t="shared" si="432"/>
        <v>0</v>
      </c>
      <c r="X75" s="51">
        <f t="shared" si="433"/>
        <v>0</v>
      </c>
      <c r="Y75" s="51">
        <f t="shared" si="434"/>
        <v>0</v>
      </c>
      <c r="Z75" s="51">
        <f t="shared" si="435"/>
        <v>0</v>
      </c>
      <c r="AA75" s="51">
        <f t="shared" si="436"/>
        <v>63000</v>
      </c>
      <c r="AB75" s="51">
        <f t="shared" si="437"/>
        <v>63000</v>
      </c>
      <c r="AC75" s="51">
        <f t="shared" si="438"/>
        <v>1260</v>
      </c>
      <c r="AD75" s="51">
        <f t="shared" si="439"/>
        <v>1260</v>
      </c>
      <c r="AE75" s="51">
        <f t="shared" si="440"/>
        <v>44730</v>
      </c>
      <c r="AF75" s="51">
        <f t="shared" si="441"/>
        <v>44730</v>
      </c>
      <c r="AG75" s="51">
        <f t="shared" si="442"/>
        <v>18270</v>
      </c>
      <c r="AH75" s="54">
        <f t="shared" si="443"/>
        <v>0</v>
      </c>
      <c r="AI75" s="55">
        <f t="shared" si="444"/>
        <v>0</v>
      </c>
      <c r="AJ75" s="56">
        <f>IF(AND($E75&lt;&gt;0,$F75&gt;0,YEAR($F75)&gt;=Preisindex!$A$6,YEAR(AE$4)&gt;=YEAR($F75),AND($K75&lt;&gt;"a",$K75&lt;&gt;"b",$K75&lt;&gt;"g",$K75&lt;&gt;"k")),1,IF(AND($E75&lt;&gt;0,$F75&gt;0,YEAR($F75)&gt;=Preisindex!$A$6,YEAR(AE$4)&gt;=YEAR($F75),$K75="a"),ROUND(VLOOKUP(AJ$4,Preisindex,5,FALSE)/VLOOKUP(YEAR($F75),Preisindex,5,FALSE),2),IF(AND($E75&lt;&gt;0,$F75&gt;0,YEAR($F75)&gt;=Preisindex!$A$6,YEAR(AE$4)&gt;=YEAR($F75),$K75="b"),ROUND(VLOOKUP(AJ$4,Preisindex,3,FALSE)/VLOOKUP(YEAR($F75),Preisindex,3,FALSE),2),IF(AND($E75&lt;&gt;0,$F75&gt;0,YEAR($F75)&gt;=Preisindex!$A$6,YEAR(AE$4)&gt;=YEAR($F75),$K75="g"),ROUND(VLOOKUP(AJ$4,Preisindex,4,FALSE)/VLOOKUP(YEAR($F75),Preisindex,4,FALSE),2),IF(AND($E75&lt;&gt;0,$F75&gt;0,YEAR($F75)&gt;=Preisindex!$A$6,YEAR(AE$4)&gt;=YEAR($F75),$K75="k"),ROUND(VLOOKUP(AJ$4,Preisindex,2,FALSE)/VLOOKUP(YEAR($F75),Preisindex,2,FALSE),2),0)))))</f>
        <v>1.25</v>
      </c>
      <c r="AK75" s="56">
        <f>IF(AND($E75&lt;&gt;0,$F75&gt;0,YEAR($F75)&lt;Preisindex!$A$6,YEAR(AE$4)&gt;=YEAR($F75),AND($K75&lt;&gt;"a",$K75&lt;&gt;"b",$K75&lt;&gt;"g",$K75&lt;&gt;"k")),1,IF(AND($E75&lt;&gt;0,$F75&gt;0,YEAR($F75)&lt;Preisindex!$A$6,YEAR(AE$4)&gt;=YEAR($F75),$K75="a"),ROUND(VLOOKUP(AJ$4,Preisindex,5,FALSE)/VLOOKUP(Preisindex!$A$6,Preisindex,5,FALSE),2),IF(AND($E75&lt;&gt;0,$F75&gt;0,YEAR($F75)&lt;Preisindex!$A$6,YEAR(AE$4)&gt;=YEAR($F75),$K75="b"),ROUND(VLOOKUP(AJ$4,Preisindex,3,FALSE)/VLOOKUP(Preisindex!$A$6,Preisindex,3,FALSE),2),IF(AND($E75&lt;&gt;0,$F75&gt;0,YEAR($F75)&lt;Preisindex!$A$6,YEAR(AE$4)&gt;=YEAR($F75),$K75="g"),ROUND(VLOOKUP(AJ$4,Preisindex,4,FALSE)/VLOOKUP(Preisindex!$A$6,Preisindex,4,FALSE),2),IF(AND($E75&lt;&gt;0,$F75&gt;0,YEAR($F75)&lt;Preisindex!$A$6,YEAR(AE$4)&gt;=YEAR($F75),$K75="k"),ROUND(VLOOKUP(AJ$4,Preisindex,2,FALSE)/VLOOKUP(Preisindex!$A$6,Preisindex,2,FALSE),2),0)))))</f>
        <v>0</v>
      </c>
      <c r="AL75" s="51">
        <f>IF(AND($E75&lt;&gt;0,$F75&gt;0,YEAR($F75)&lt;=AJ$4,YEAR($F75)&gt;=Preisindex!$A$6),ROUND($E75*AJ75,2),IF(AND($E75&lt;&gt;0,$F75&gt;0,YEAR($F75)&lt;=AJ$4,YEAR($F75)&lt;Preisindex!$A$6),ROUND($E75*AK75,2),0))</f>
        <v>78750</v>
      </c>
      <c r="AM75" s="53">
        <f t="shared" si="445"/>
        <v>1575</v>
      </c>
      <c r="AN75" s="51">
        <f t="shared" si="361"/>
        <v>0</v>
      </c>
      <c r="AO75" s="51">
        <f t="shared" si="317"/>
        <v>0</v>
      </c>
      <c r="AP75" s="51">
        <f t="shared" si="362"/>
        <v>0</v>
      </c>
      <c r="AQ75" s="51">
        <f t="shared" si="318"/>
        <v>0</v>
      </c>
      <c r="AR75" s="51">
        <f t="shared" si="363"/>
        <v>63000</v>
      </c>
      <c r="AS75" s="51">
        <f t="shared" si="319"/>
        <v>63000</v>
      </c>
      <c r="AT75" s="51">
        <f t="shared" si="364"/>
        <v>1260</v>
      </c>
      <c r="AU75" s="51">
        <f t="shared" si="320"/>
        <v>1260</v>
      </c>
      <c r="AV75" s="51">
        <f t="shared" si="365"/>
        <v>43470</v>
      </c>
      <c r="AW75" s="51">
        <f t="shared" si="321"/>
        <v>43470</v>
      </c>
      <c r="AX75" s="51">
        <f t="shared" si="366"/>
        <v>19530</v>
      </c>
      <c r="AY75" s="54">
        <f t="shared" si="367"/>
        <v>0</v>
      </c>
      <c r="AZ75" s="55">
        <f t="shared" si="368"/>
        <v>0</v>
      </c>
      <c r="BA75" s="56">
        <f>IF(AND($E75&lt;&gt;0,$F75&gt;0,YEAR($F75)&gt;=Preisindex!$A$6,YEAR(AV$4)&gt;=YEAR($F75),AND($K75&lt;&gt;"a",$K75&lt;&gt;"b",$K75&lt;&gt;"g",$K75&lt;&gt;"k")),1,IF(AND($E75&lt;&gt;0,$F75&gt;0,YEAR($F75)&gt;=Preisindex!$A$6,YEAR(AV$4)&gt;=YEAR($F75),$K75="a"),ROUND(VLOOKUP(BA$4,Preisindex,5,FALSE)/VLOOKUP(YEAR($F75),Preisindex,5,FALSE),2),IF(AND($E75&lt;&gt;0,$F75&gt;0,YEAR($F75)&gt;=Preisindex!$A$6,YEAR(AV$4)&gt;=YEAR($F75),$K75="b"),ROUND(VLOOKUP(BA$4,Preisindex,3,FALSE)/VLOOKUP(YEAR($F75),Preisindex,3,FALSE),2),IF(AND($E75&lt;&gt;0,$F75&gt;0,YEAR($F75)&gt;=Preisindex!$A$6,YEAR(AV$4)&gt;=YEAR($F75),$K75="g"),ROUND(VLOOKUP(BA$4,Preisindex,4,FALSE)/VLOOKUP(YEAR($F75),Preisindex,4,FALSE),2),IF(AND($E75&lt;&gt;0,$F75&gt;0,YEAR($F75)&gt;=Preisindex!$A$6,YEAR(AV$4)&gt;=YEAR($F75),$K75="k"),ROUND(VLOOKUP(BA$4,Preisindex,2,FALSE)/VLOOKUP(YEAR($F75),Preisindex,2,FALSE),2),0)))))</f>
        <v>1.28</v>
      </c>
      <c r="BB75" s="56">
        <f>IF(AND($E75&lt;&gt;0,$F75&gt;0,YEAR($F75)&lt;Preisindex!$A$6,YEAR(AV$4)&gt;=YEAR($F75),AND($K75&lt;&gt;"a",$K75&lt;&gt;"b",$K75&lt;&gt;"g",$K75&lt;&gt;"k")),1,IF(AND($E75&lt;&gt;0,$F75&gt;0,YEAR($F75)&lt;Preisindex!$A$6,YEAR(AV$4)&gt;=YEAR($F75),$K75="a"),ROUND(VLOOKUP(BA$4,Preisindex,5,FALSE)/VLOOKUP(Preisindex!$A$6,Preisindex,5,FALSE),2),IF(AND($E75&lt;&gt;0,$F75&gt;0,YEAR($F75)&lt;Preisindex!$A$6,YEAR(AV$4)&gt;=YEAR($F75),$K75="b"),ROUND(VLOOKUP(BA$4,Preisindex,3,FALSE)/VLOOKUP(Preisindex!$A$6,Preisindex,3,FALSE),2),IF(AND($E75&lt;&gt;0,$F75&gt;0,YEAR($F75)&lt;Preisindex!$A$6,YEAR(AV$4)&gt;=YEAR($F75),$K75="g"),ROUND(VLOOKUP(BA$4,Preisindex,4,FALSE)/VLOOKUP(Preisindex!$A$6,Preisindex,4,FALSE),2),IF(AND($E75&lt;&gt;0,$F75&gt;0,YEAR($F75)&lt;Preisindex!$A$6,YEAR(AV$4)&gt;=YEAR($F75),$K75="k"),ROUND(VLOOKUP(BA$4,Preisindex,2,FALSE)/VLOOKUP(Preisindex!$A$6,Preisindex,2,FALSE),2),0)))))</f>
        <v>0</v>
      </c>
      <c r="BC75" s="51">
        <f>IF(AND($E75&lt;&gt;0,$F75&gt;0,YEAR($F75)&lt;=BA$4,YEAR($F75)&gt;=Preisindex!$A$6),ROUND($E75*BA75,2),IF(AND($E75&lt;&gt;0,$F75&gt;0,YEAR($F75)&lt;=BA$4,YEAR($F75)&lt;Preisindex!$A$6),ROUND($E75*BB75,2),0))</f>
        <v>80640</v>
      </c>
      <c r="BD75" s="53">
        <f t="shared" si="369"/>
        <v>1612.8</v>
      </c>
      <c r="BE75" s="51">
        <f t="shared" si="361"/>
        <v>0</v>
      </c>
      <c r="BF75" s="51">
        <f t="shared" si="322"/>
        <v>0</v>
      </c>
      <c r="BG75" s="51">
        <f t="shared" si="370"/>
        <v>0</v>
      </c>
      <c r="BH75" s="51">
        <f t="shared" si="323"/>
        <v>0</v>
      </c>
      <c r="BI75" s="51">
        <f t="shared" si="371"/>
        <v>63000</v>
      </c>
      <c r="BJ75" s="51">
        <f t="shared" si="324"/>
        <v>63000</v>
      </c>
      <c r="BK75" s="51">
        <f t="shared" si="372"/>
        <v>1260</v>
      </c>
      <c r="BL75" s="51">
        <f t="shared" si="325"/>
        <v>1260</v>
      </c>
      <c r="BM75" s="51">
        <f t="shared" si="373"/>
        <v>42210</v>
      </c>
      <c r="BN75" s="51">
        <f t="shared" si="326"/>
        <v>42210</v>
      </c>
      <c r="BO75" s="51">
        <f t="shared" si="374"/>
        <v>20790</v>
      </c>
      <c r="BP75" s="54">
        <f t="shared" si="375"/>
        <v>0</v>
      </c>
      <c r="BQ75" s="55">
        <f t="shared" si="376"/>
        <v>0</v>
      </c>
      <c r="BR75" s="56">
        <f>IF(AND($E75&lt;&gt;0,$F75&gt;0,YEAR($F75)&gt;=Preisindex!$A$6,YEAR(BM$4)&gt;=YEAR($F75),AND($K75&lt;&gt;"a",$K75&lt;&gt;"b",$K75&lt;&gt;"g",$K75&lt;&gt;"k")),1,IF(AND($E75&lt;&gt;0,$F75&gt;0,YEAR($F75)&gt;=Preisindex!$A$6,YEAR(BM$4)&gt;=YEAR($F75),$K75="a"),ROUND(VLOOKUP(BR$4,Preisindex,5,FALSE)/VLOOKUP(YEAR($F75),Preisindex,5,FALSE),2),IF(AND($E75&lt;&gt;0,$F75&gt;0,YEAR($F75)&gt;=Preisindex!$A$6,YEAR(BM$4)&gt;=YEAR($F75),$K75="b"),ROUND(VLOOKUP(BR$4,Preisindex,3,FALSE)/VLOOKUP(YEAR($F75),Preisindex,3,FALSE),2),IF(AND($E75&lt;&gt;0,$F75&gt;0,YEAR($F75)&gt;=Preisindex!$A$6,YEAR(BM$4)&gt;=YEAR($F75),$K75="g"),ROUND(VLOOKUP(BR$4,Preisindex,4,FALSE)/VLOOKUP(YEAR($F75),Preisindex,4,FALSE),2),IF(AND($E75&lt;&gt;0,$F75&gt;0,YEAR($F75)&gt;=Preisindex!$A$6,YEAR(BM$4)&gt;=YEAR($F75),$K75="k"),ROUND(VLOOKUP(BR$4,Preisindex,2,FALSE)/VLOOKUP(YEAR($F75),Preisindex,2,FALSE),2),0)))))</f>
        <v>1.3</v>
      </c>
      <c r="BS75" s="56">
        <f>IF(AND($E75&lt;&gt;0,$F75&gt;0,YEAR($F75)&lt;Preisindex!$A$6,YEAR(BM$4)&gt;=YEAR($F75),AND($K75&lt;&gt;"a",$K75&lt;&gt;"b",$K75&lt;&gt;"g",$K75&lt;&gt;"k")),1,IF(AND($E75&lt;&gt;0,$F75&gt;0,YEAR($F75)&lt;Preisindex!$A$6,YEAR(BM$4)&gt;=YEAR($F75),$K75="a"),ROUND(VLOOKUP(BR$4,Preisindex,5,FALSE)/VLOOKUP(Preisindex!$A$6,Preisindex,5,FALSE),2),IF(AND($E75&lt;&gt;0,$F75&gt;0,YEAR($F75)&lt;Preisindex!$A$6,YEAR(BM$4)&gt;=YEAR($F75),$K75="b"),ROUND(VLOOKUP(BR$4,Preisindex,3,FALSE)/VLOOKUP(Preisindex!$A$6,Preisindex,3,FALSE),2),IF(AND($E75&lt;&gt;0,$F75&gt;0,YEAR($F75)&lt;Preisindex!$A$6,YEAR(BM$4)&gt;=YEAR($F75),$K75="g"),ROUND(VLOOKUP(BR$4,Preisindex,4,FALSE)/VLOOKUP(Preisindex!$A$6,Preisindex,4,FALSE),2),IF(AND($E75&lt;&gt;0,$F75&gt;0,YEAR($F75)&lt;Preisindex!$A$6,YEAR(BM$4)&gt;=YEAR($F75),$K75="k"),ROUND(VLOOKUP(BR$4,Preisindex,2,FALSE)/VLOOKUP(Preisindex!$A$6,Preisindex,2,FALSE),2),0)))))</f>
        <v>0</v>
      </c>
      <c r="BT75" s="51">
        <f>IF(AND($E75&lt;&gt;0,$F75&gt;0,YEAR($F75)&lt;=BR$4,YEAR($F75)&gt;=Preisindex!$A$6),ROUND($E75*BR75,2),IF(AND($E75&lt;&gt;0,$F75&gt;0,YEAR($F75)&lt;=BR$4,YEAR($F75)&lt;Preisindex!$A$6),ROUND($E75*BS75,2),0))</f>
        <v>81900</v>
      </c>
      <c r="BU75" s="53">
        <f t="shared" si="377"/>
        <v>1638</v>
      </c>
      <c r="BV75" s="51">
        <f t="shared" si="361"/>
        <v>0</v>
      </c>
      <c r="BW75" s="51">
        <f t="shared" si="327"/>
        <v>0</v>
      </c>
      <c r="BX75" s="51">
        <f t="shared" si="378"/>
        <v>0</v>
      </c>
      <c r="BY75" s="51">
        <f t="shared" si="328"/>
        <v>0</v>
      </c>
      <c r="BZ75" s="51">
        <f t="shared" si="379"/>
        <v>63000</v>
      </c>
      <c r="CA75" s="51">
        <f t="shared" si="329"/>
        <v>63000</v>
      </c>
      <c r="CB75" s="51">
        <f t="shared" si="380"/>
        <v>1260</v>
      </c>
      <c r="CC75" s="51">
        <f t="shared" si="330"/>
        <v>1260</v>
      </c>
      <c r="CD75" s="51">
        <f t="shared" si="381"/>
        <v>40950</v>
      </c>
      <c r="CE75" s="51">
        <f t="shared" si="331"/>
        <v>40950</v>
      </c>
      <c r="CF75" s="51">
        <f t="shared" si="382"/>
        <v>22050</v>
      </c>
      <c r="CG75" s="54">
        <f t="shared" si="383"/>
        <v>0</v>
      </c>
      <c r="CH75" s="55">
        <f t="shared" si="384"/>
        <v>0</v>
      </c>
      <c r="CI75" s="56">
        <f>IF(AND($E75&lt;&gt;0,$F75&gt;0,YEAR($F75)&gt;=Preisindex!$A$6,YEAR(CD$4)&gt;=YEAR($F75),AND($K75&lt;&gt;"a",$K75&lt;&gt;"b",$K75&lt;&gt;"g",$K75&lt;&gt;"k")),1,IF(AND($E75&lt;&gt;0,$F75&gt;0,YEAR($F75)&gt;=Preisindex!$A$6,YEAR(CD$4)&gt;=YEAR($F75),$K75="a"),ROUND(VLOOKUP(CI$4,Preisindex,5,FALSE)/VLOOKUP(YEAR($F75),Preisindex,5,FALSE),2),IF(AND($E75&lt;&gt;0,$F75&gt;0,YEAR($F75)&gt;=Preisindex!$A$6,YEAR(CD$4)&gt;=YEAR($F75),$K75="b"),ROUND(VLOOKUP(CI$4,Preisindex,3,FALSE)/VLOOKUP(YEAR($F75),Preisindex,3,FALSE),2),IF(AND($E75&lt;&gt;0,$F75&gt;0,YEAR($F75)&gt;=Preisindex!$A$6,YEAR(CD$4)&gt;=YEAR($F75),$K75="g"),ROUND(VLOOKUP(CI$4,Preisindex,4,FALSE)/VLOOKUP(YEAR($F75),Preisindex,4,FALSE),2),IF(AND($E75&lt;&gt;0,$F75&gt;0,YEAR($F75)&gt;=Preisindex!$A$6,YEAR(CD$4)&gt;=YEAR($F75),$K75="k"),ROUND(VLOOKUP(CI$4,Preisindex,2,FALSE)/VLOOKUP(YEAR($F75),Preisindex,2,FALSE),2),0)))))</f>
        <v>1.31</v>
      </c>
      <c r="CJ75" s="56">
        <f>IF(AND($E75&lt;&gt;0,$F75&gt;0,YEAR($F75)&lt;Preisindex!$A$6,YEAR(CD$4)&gt;=YEAR($F75),AND($K75&lt;&gt;"a",$K75&lt;&gt;"b",$K75&lt;&gt;"g",$K75&lt;&gt;"k")),1,IF(AND($E75&lt;&gt;0,$F75&gt;0,YEAR($F75)&lt;Preisindex!$A$6,YEAR(CD$4)&gt;=YEAR($F75),$K75="a"),ROUND(VLOOKUP(CI$4,Preisindex,5,FALSE)/VLOOKUP(Preisindex!$A$6,Preisindex,5,FALSE),2),IF(AND($E75&lt;&gt;0,$F75&gt;0,YEAR($F75)&lt;Preisindex!$A$6,YEAR(CD$4)&gt;=YEAR($F75),$K75="b"),ROUND(VLOOKUP(CI$4,Preisindex,3,FALSE)/VLOOKUP(Preisindex!$A$6,Preisindex,3,FALSE),2),IF(AND($E75&lt;&gt;0,$F75&gt;0,YEAR($F75)&lt;Preisindex!$A$6,YEAR(CD$4)&gt;=YEAR($F75),$K75="g"),ROUND(VLOOKUP(CI$4,Preisindex,4,FALSE)/VLOOKUP(Preisindex!$A$6,Preisindex,4,FALSE),2),IF(AND($E75&lt;&gt;0,$F75&gt;0,YEAR($F75)&lt;Preisindex!$A$6,YEAR(CD$4)&gt;=YEAR($F75),$K75="k"),ROUND(VLOOKUP(CI$4,Preisindex,2,FALSE)/VLOOKUP(Preisindex!$A$6,Preisindex,2,FALSE),2),0)))))</f>
        <v>0</v>
      </c>
      <c r="CK75" s="51">
        <f>IF(AND($E75&lt;&gt;0,$F75&gt;0,YEAR($F75)&lt;=CI$4,YEAR($F75)&gt;=Preisindex!$A$6),ROUND($E75*CI75,2),IF(AND($E75&lt;&gt;0,$F75&gt;0,YEAR($F75)&lt;=CI$4,YEAR($F75)&lt;Preisindex!$A$6),ROUND($E75*CJ75,2),0))</f>
        <v>82530</v>
      </c>
      <c r="CL75" s="53">
        <f t="shared" si="385"/>
        <v>1650.6000000000001</v>
      </c>
      <c r="CM75" s="51">
        <f t="shared" si="361"/>
        <v>0</v>
      </c>
      <c r="CN75" s="51">
        <f t="shared" si="332"/>
        <v>0</v>
      </c>
      <c r="CO75" s="51">
        <f t="shared" si="386"/>
        <v>0</v>
      </c>
      <c r="CP75" s="51">
        <f t="shared" si="333"/>
        <v>0</v>
      </c>
      <c r="CQ75" s="51">
        <f t="shared" si="387"/>
        <v>63000</v>
      </c>
      <c r="CR75" s="51">
        <f t="shared" si="334"/>
        <v>63000</v>
      </c>
      <c r="CS75" s="51">
        <f t="shared" si="388"/>
        <v>1260</v>
      </c>
      <c r="CT75" s="51">
        <f t="shared" si="335"/>
        <v>1260</v>
      </c>
      <c r="CU75" s="51">
        <f t="shared" si="389"/>
        <v>39690</v>
      </c>
      <c r="CV75" s="51">
        <f t="shared" si="336"/>
        <v>39690</v>
      </c>
      <c r="CW75" s="51">
        <f t="shared" si="390"/>
        <v>23310</v>
      </c>
      <c r="CX75" s="54">
        <f t="shared" si="391"/>
        <v>0</v>
      </c>
      <c r="CY75" s="55">
        <f t="shared" si="392"/>
        <v>0</v>
      </c>
      <c r="CZ75" s="56">
        <f>IF(AND($E75&lt;&gt;0,$F75&gt;0,YEAR($F75)&gt;=Preisindex!$A$6,YEAR(CU$4)&gt;=YEAR($F75),AND($K75&lt;&gt;"a",$K75&lt;&gt;"b",$K75&lt;&gt;"g",$K75&lt;&gt;"k")),1,IF(AND($E75&lt;&gt;0,$F75&gt;0,YEAR($F75)&gt;=Preisindex!$A$6,YEAR(CU$4)&gt;=YEAR($F75),$K75="a"),ROUND(VLOOKUP(CZ$4,Preisindex,5,FALSE)/VLOOKUP(YEAR($F75),Preisindex,5,FALSE),2),IF(AND($E75&lt;&gt;0,$F75&gt;0,YEAR($F75)&gt;=Preisindex!$A$6,YEAR(CU$4)&gt;=YEAR($F75),$K75="b"),ROUND(VLOOKUP(CZ$4,Preisindex,3,FALSE)/VLOOKUP(YEAR($F75),Preisindex,3,FALSE),2),IF(AND($E75&lt;&gt;0,$F75&gt;0,YEAR($F75)&gt;=Preisindex!$A$6,YEAR(CU$4)&gt;=YEAR($F75),$K75="g"),ROUND(VLOOKUP(CZ$4,Preisindex,4,FALSE)/VLOOKUP(YEAR($F75),Preisindex,4,FALSE),2),IF(AND($E75&lt;&gt;0,$F75&gt;0,YEAR($F75)&gt;=Preisindex!$A$6,YEAR(CU$4)&gt;=YEAR($F75),$K75="k"),ROUND(VLOOKUP(CZ$4,Preisindex,2,FALSE)/VLOOKUP(YEAR($F75),Preisindex,2,FALSE),2),0)))))</f>
        <v>1.34</v>
      </c>
      <c r="DA75" s="56">
        <f>IF(AND($E75&lt;&gt;0,$F75&gt;0,YEAR($F75)&lt;Preisindex!$A$6,YEAR(CU$4)&gt;=YEAR($F75),AND($K75&lt;&gt;"a",$K75&lt;&gt;"b",$K75&lt;&gt;"g",$K75&lt;&gt;"k")),1,IF(AND($E75&lt;&gt;0,$F75&gt;0,YEAR($F75)&lt;Preisindex!$A$6,YEAR(CU$4)&gt;=YEAR($F75),$K75="a"),ROUND(VLOOKUP(CZ$4,Preisindex,5,FALSE)/VLOOKUP(Preisindex!$A$6,Preisindex,5,FALSE),2),IF(AND($E75&lt;&gt;0,$F75&gt;0,YEAR($F75)&lt;Preisindex!$A$6,YEAR(CU$4)&gt;=YEAR($F75),$K75="b"),ROUND(VLOOKUP(CZ$4,Preisindex,3,FALSE)/VLOOKUP(Preisindex!$A$6,Preisindex,3,FALSE),2),IF(AND($E75&lt;&gt;0,$F75&gt;0,YEAR($F75)&lt;Preisindex!$A$6,YEAR(CU$4)&gt;=YEAR($F75),$K75="g"),ROUND(VLOOKUP(CZ$4,Preisindex,4,FALSE)/VLOOKUP(Preisindex!$A$6,Preisindex,4,FALSE),2),IF(AND($E75&lt;&gt;0,$F75&gt;0,YEAR($F75)&lt;Preisindex!$A$6,YEAR(CU$4)&gt;=YEAR($F75),$K75="k"),ROUND(VLOOKUP(CZ$4,Preisindex,2,FALSE)/VLOOKUP(Preisindex!$A$6,Preisindex,2,FALSE),2),0)))))</f>
        <v>0</v>
      </c>
      <c r="DB75" s="51">
        <f>IF(AND($E75&lt;&gt;0,$F75&gt;0,YEAR($F75)&lt;=CZ$4,YEAR($F75)&gt;=Preisindex!$A$6),ROUND($E75*CZ75,2),IF(AND($E75&lt;&gt;0,$F75&gt;0,YEAR($F75)&lt;=CZ$4,YEAR($F75)&lt;Preisindex!$A$6),ROUND($E75*DA75,2),0))</f>
        <v>84420</v>
      </c>
      <c r="DC75" s="53">
        <f t="shared" si="393"/>
        <v>1688.4</v>
      </c>
      <c r="DD75" s="51">
        <f t="shared" si="394"/>
        <v>0</v>
      </c>
      <c r="DE75" s="51">
        <f t="shared" si="337"/>
        <v>0</v>
      </c>
      <c r="DF75" s="51">
        <f t="shared" si="395"/>
        <v>0</v>
      </c>
      <c r="DG75" s="51">
        <f t="shared" si="338"/>
        <v>0</v>
      </c>
      <c r="DH75" s="51">
        <f t="shared" si="396"/>
        <v>63000</v>
      </c>
      <c r="DI75" s="51">
        <f t="shared" si="339"/>
        <v>63000</v>
      </c>
      <c r="DJ75" s="51">
        <f t="shared" si="397"/>
        <v>1260</v>
      </c>
      <c r="DK75" s="51">
        <f t="shared" si="340"/>
        <v>1260</v>
      </c>
      <c r="DL75" s="51">
        <f t="shared" si="398"/>
        <v>38430</v>
      </c>
      <c r="DM75" s="51">
        <f t="shared" si="341"/>
        <v>38430</v>
      </c>
      <c r="DN75" s="51">
        <f t="shared" si="399"/>
        <v>24570</v>
      </c>
      <c r="DO75" s="54">
        <f t="shared" si="400"/>
        <v>0</v>
      </c>
      <c r="DP75" s="55">
        <f t="shared" si="401"/>
        <v>0</v>
      </c>
      <c r="DQ75" s="56">
        <f>IF(AND($E75&lt;&gt;0,$F75&gt;0,YEAR($F75)&gt;=Preisindex!$A$6,YEAR(DL$4)&gt;=YEAR($F75),AND($K75&lt;&gt;"a",$K75&lt;&gt;"b",$K75&lt;&gt;"g",$K75&lt;&gt;"k")),1,IF(AND($E75&lt;&gt;0,$F75&gt;0,YEAR($F75)&gt;=Preisindex!$A$6,YEAR(DL$4)&gt;=YEAR($F75),$K75="a"),ROUND(VLOOKUP(DQ$4,Preisindex,5,FALSE)/VLOOKUP(YEAR($F75),Preisindex,5,FALSE),2),IF(AND($E75&lt;&gt;0,$F75&gt;0,YEAR($F75)&gt;=Preisindex!$A$6,YEAR(DL$4)&gt;=YEAR($F75),$K75="b"),ROUND(VLOOKUP(DQ$4,Preisindex,3,FALSE)/VLOOKUP(YEAR($F75),Preisindex,3,FALSE),2),IF(AND($E75&lt;&gt;0,$F75&gt;0,YEAR($F75)&gt;=Preisindex!$A$6,YEAR(DL$4)&gt;=YEAR($F75),$K75="g"),ROUND(VLOOKUP(DQ$4,Preisindex,4,FALSE)/VLOOKUP(YEAR($F75),Preisindex,4,FALSE),2),IF(AND($E75&lt;&gt;0,$F75&gt;0,YEAR($F75)&gt;=Preisindex!$A$6,YEAR(DL$4)&gt;=YEAR($F75),$K75="k"),ROUND(VLOOKUP(DQ$4,Preisindex,2,FALSE)/VLOOKUP(YEAR($F75),Preisindex,2,FALSE),2),0)))))</f>
        <v>1.38</v>
      </c>
      <c r="DR75" s="56">
        <f>IF(AND($E75&lt;&gt;0,$F75&gt;0,YEAR($F75)&lt;Preisindex!$A$6,YEAR(DL$4)&gt;=YEAR($F75),AND($K75&lt;&gt;"a",$K75&lt;&gt;"b",$K75&lt;&gt;"g",$K75&lt;&gt;"k")),1,IF(AND($E75&lt;&gt;0,$F75&gt;0,YEAR($F75)&lt;Preisindex!$A$6,YEAR(DL$4)&gt;=YEAR($F75),$K75="a"),ROUND(VLOOKUP(DQ$4,Preisindex,5,FALSE)/VLOOKUP(Preisindex!$A$6,Preisindex,5,FALSE),2),IF(AND($E75&lt;&gt;0,$F75&gt;0,YEAR($F75)&lt;Preisindex!$A$6,YEAR(DL$4)&gt;=YEAR($F75),$K75="b"),ROUND(VLOOKUP(DQ$4,Preisindex,3,FALSE)/VLOOKUP(Preisindex!$A$6,Preisindex,3,FALSE),2),IF(AND($E75&lt;&gt;0,$F75&gt;0,YEAR($F75)&lt;Preisindex!$A$6,YEAR(DL$4)&gt;=YEAR($F75),$K75="g"),ROUND(VLOOKUP(DQ$4,Preisindex,4,FALSE)/VLOOKUP(Preisindex!$A$6,Preisindex,4,FALSE),2),IF(AND($E75&lt;&gt;0,$F75&gt;0,YEAR($F75)&lt;Preisindex!$A$6,YEAR(DL$4)&gt;=YEAR($F75),$K75="k"),ROUND(VLOOKUP(DQ$4,Preisindex,2,FALSE)/VLOOKUP(Preisindex!$A$6,Preisindex,2,FALSE),2),0)))))</f>
        <v>0</v>
      </c>
      <c r="DS75" s="51">
        <f>IF(AND($E75&lt;&gt;0,$F75&gt;0,YEAR($F75)&lt;=DQ$4,YEAR($F75)&gt;=Preisindex!$A$6),ROUND($E75*DQ75,2),IF(AND($E75&lt;&gt;0,$F75&gt;0,YEAR($F75)&lt;=DQ$4,YEAR($F75)&lt;Preisindex!$A$6),ROUND($E75*DR75,2),0))</f>
        <v>86940</v>
      </c>
      <c r="DT75" s="53">
        <f t="shared" si="402"/>
        <v>1738.8</v>
      </c>
      <c r="DU75" s="51">
        <f t="shared" si="394"/>
        <v>0</v>
      </c>
      <c r="DV75" s="51">
        <f t="shared" si="342"/>
        <v>0</v>
      </c>
      <c r="DW75" s="51">
        <f t="shared" si="403"/>
        <v>0</v>
      </c>
      <c r="DX75" s="51">
        <f t="shared" si="343"/>
        <v>0</v>
      </c>
      <c r="DY75" s="51">
        <f t="shared" si="404"/>
        <v>63000</v>
      </c>
      <c r="DZ75" s="51">
        <f t="shared" si="344"/>
        <v>63000</v>
      </c>
      <c r="EA75" s="51">
        <f t="shared" si="405"/>
        <v>1260</v>
      </c>
      <c r="EB75" s="51">
        <f t="shared" si="345"/>
        <v>1260</v>
      </c>
      <c r="EC75" s="51">
        <f t="shared" si="406"/>
        <v>37170</v>
      </c>
      <c r="ED75" s="51">
        <f t="shared" si="346"/>
        <v>37170</v>
      </c>
      <c r="EE75" s="51">
        <f t="shared" si="407"/>
        <v>25830</v>
      </c>
      <c r="EF75" s="54">
        <f t="shared" si="408"/>
        <v>0</v>
      </c>
      <c r="EG75" s="55">
        <f t="shared" si="409"/>
        <v>0</v>
      </c>
      <c r="EH75" s="56">
        <f>IF(AND($E75&lt;&gt;0,$F75&gt;0,YEAR($F75)&gt;=Preisindex!$A$6,YEAR(EC$4)&gt;=YEAR($F75),AND($K75&lt;&gt;"a",$K75&lt;&gt;"b",$K75&lt;&gt;"g",$K75&lt;&gt;"k")),1,IF(AND($E75&lt;&gt;0,$F75&gt;0,YEAR($F75)&gt;=Preisindex!$A$6,YEAR(EC$4)&gt;=YEAR($F75),$K75="a"),ROUND(VLOOKUP(EH$4,Preisindex,5,FALSE)/VLOOKUP(YEAR($F75),Preisindex,5,FALSE),2),IF(AND($E75&lt;&gt;0,$F75&gt;0,YEAR($F75)&gt;=Preisindex!$A$6,YEAR(EC$4)&gt;=YEAR($F75),$K75="b"),ROUND(VLOOKUP(EH$4,Preisindex,3,FALSE)/VLOOKUP(YEAR($F75),Preisindex,3,FALSE),2),IF(AND($E75&lt;&gt;0,$F75&gt;0,YEAR($F75)&gt;=Preisindex!$A$6,YEAR(EC$4)&gt;=YEAR($F75),$K75="g"),ROUND(VLOOKUP(EH$4,Preisindex,4,FALSE)/VLOOKUP(YEAR($F75),Preisindex,4,FALSE),2),IF(AND($E75&lt;&gt;0,$F75&gt;0,YEAR($F75)&gt;=Preisindex!$A$6,YEAR(EC$4)&gt;=YEAR($F75),$K75="k"),ROUND(VLOOKUP(EH$4,Preisindex,2,FALSE)/VLOOKUP(YEAR($F75),Preisindex,2,FALSE),2),0)))))</f>
        <v>1.45</v>
      </c>
      <c r="EI75" s="56">
        <f>IF(AND($E75&lt;&gt;0,$F75&gt;0,YEAR($F75)&lt;Preisindex!$A$6,YEAR(EC$4)&gt;=YEAR($F75),AND($K75&lt;&gt;"a",$K75&lt;&gt;"b",$K75&lt;&gt;"g",$K75&lt;&gt;"k")),1,IF(AND($E75&lt;&gt;0,$F75&gt;0,YEAR($F75)&lt;Preisindex!$A$6,YEAR(EC$4)&gt;=YEAR($F75),$K75="a"),ROUND(VLOOKUP(EH$4,Preisindex,5,FALSE)/VLOOKUP(Preisindex!$A$6,Preisindex,5,FALSE),2),IF(AND($E75&lt;&gt;0,$F75&gt;0,YEAR($F75)&lt;Preisindex!$A$6,YEAR(EC$4)&gt;=YEAR($F75),$K75="b"),ROUND(VLOOKUP(EH$4,Preisindex,3,FALSE)/VLOOKUP(Preisindex!$A$6,Preisindex,3,FALSE),2),IF(AND($E75&lt;&gt;0,$F75&gt;0,YEAR($F75)&lt;Preisindex!$A$6,YEAR(EC$4)&gt;=YEAR($F75),$K75="g"),ROUND(VLOOKUP(EH$4,Preisindex,4,FALSE)/VLOOKUP(Preisindex!$A$6,Preisindex,4,FALSE),2),IF(AND($E75&lt;&gt;0,$F75&gt;0,YEAR($F75)&lt;Preisindex!$A$6,YEAR(EC$4)&gt;=YEAR($F75),$K75="k"),ROUND(VLOOKUP(EH$4,Preisindex,2,FALSE)/VLOOKUP(Preisindex!$A$6,Preisindex,2,FALSE),2),0)))))</f>
        <v>0</v>
      </c>
      <c r="EJ75" s="51">
        <f>IF(AND($E75&lt;&gt;0,$F75&gt;0,YEAR($F75)&lt;=EH$4,YEAR($F75)&gt;=Preisindex!$A$6),ROUND($E75*EH75,2),IF(AND($E75&lt;&gt;0,$F75&gt;0,YEAR($F75)&lt;=EH$4,YEAR($F75)&lt;Preisindex!$A$6),ROUND($E75*EI75,2),0))</f>
        <v>91350</v>
      </c>
      <c r="EK75" s="53">
        <f t="shared" si="410"/>
        <v>1827</v>
      </c>
      <c r="EL75" s="51">
        <f t="shared" si="394"/>
        <v>0</v>
      </c>
      <c r="EM75" s="51">
        <f t="shared" si="347"/>
        <v>0</v>
      </c>
      <c r="EN75" s="51">
        <f t="shared" si="411"/>
        <v>0</v>
      </c>
      <c r="EO75" s="51">
        <f t="shared" si="348"/>
        <v>0</v>
      </c>
      <c r="EP75" s="51">
        <f t="shared" si="412"/>
        <v>63000</v>
      </c>
      <c r="EQ75" s="51">
        <f t="shared" si="349"/>
        <v>63000</v>
      </c>
      <c r="ER75" s="51">
        <f t="shared" si="413"/>
        <v>1260</v>
      </c>
      <c r="ES75" s="51">
        <f t="shared" si="350"/>
        <v>1260</v>
      </c>
      <c r="ET75" s="51">
        <f t="shared" si="414"/>
        <v>35910</v>
      </c>
      <c r="EU75" s="51">
        <f t="shared" si="351"/>
        <v>35910</v>
      </c>
      <c r="EV75" s="51">
        <f t="shared" si="415"/>
        <v>27090</v>
      </c>
      <c r="EW75" s="54">
        <f t="shared" si="416"/>
        <v>0</v>
      </c>
      <c r="EX75" s="55">
        <f t="shared" si="417"/>
        <v>0</v>
      </c>
      <c r="EY75" s="56">
        <f>IF(AND($E75&lt;&gt;0,$F75&gt;0,YEAR($F75)&gt;=Preisindex!$A$6,YEAR(ET$4)&gt;=YEAR($F75),AND($K75&lt;&gt;"a",$K75&lt;&gt;"b",$K75&lt;&gt;"g",$K75&lt;&gt;"k")),1,IF(AND($E75&lt;&gt;0,$F75&gt;0,YEAR($F75)&gt;=Preisindex!$A$6,YEAR(ET$4)&gt;=YEAR($F75),$K75="a"),ROUND(VLOOKUP(EY$4,Preisindex,5,FALSE)/VLOOKUP(YEAR($F75),Preisindex,5,FALSE),2),IF(AND($E75&lt;&gt;0,$F75&gt;0,YEAR($F75)&gt;=Preisindex!$A$6,YEAR(ET$4)&gt;=YEAR($F75),$K75="b"),ROUND(VLOOKUP(EY$4,Preisindex,3,FALSE)/VLOOKUP(YEAR($F75),Preisindex,3,FALSE),2),IF(AND($E75&lt;&gt;0,$F75&gt;0,YEAR($F75)&gt;=Preisindex!$A$6,YEAR(ET$4)&gt;=YEAR($F75),$K75="g"),ROUND(VLOOKUP(EY$4,Preisindex,4,FALSE)/VLOOKUP(YEAR($F75),Preisindex,4,FALSE),2),IF(AND($E75&lt;&gt;0,$F75&gt;0,YEAR($F75)&gt;=Preisindex!$A$6,YEAR(ET$4)&gt;=YEAR($F75),$K75="k"),ROUND(VLOOKUP(EY$4,Preisindex,2,FALSE)/VLOOKUP(YEAR($F75),Preisindex,2,FALSE),2),0)))))</f>
        <v>1.45</v>
      </c>
      <c r="EZ75" s="56">
        <f>IF(AND($E75&lt;&gt;0,$F75&gt;0,YEAR($F75)&lt;Preisindex!$A$6,YEAR(ET$4)&gt;=YEAR($F75),AND($K75&lt;&gt;"a",$K75&lt;&gt;"b",$K75&lt;&gt;"g",$K75&lt;&gt;"k")),1,IF(AND($E75&lt;&gt;0,$F75&gt;0,YEAR($F75)&lt;Preisindex!$A$6,YEAR(ET$4)&gt;=YEAR($F75),$K75="a"),ROUND(VLOOKUP(EY$4,Preisindex,5,FALSE)/VLOOKUP(Preisindex!$A$6,Preisindex,5,FALSE),2),IF(AND($E75&lt;&gt;0,$F75&gt;0,YEAR($F75)&lt;Preisindex!$A$6,YEAR(ET$4)&gt;=YEAR($F75),$K75="b"),ROUND(VLOOKUP(EY$4,Preisindex,3,FALSE)/VLOOKUP(Preisindex!$A$6,Preisindex,3,FALSE),2),IF(AND($E75&lt;&gt;0,$F75&gt;0,YEAR($F75)&lt;Preisindex!$A$6,YEAR(ET$4)&gt;=YEAR($F75),$K75="g"),ROUND(VLOOKUP(EY$4,Preisindex,4,FALSE)/VLOOKUP(Preisindex!$A$6,Preisindex,4,FALSE),2),IF(AND($E75&lt;&gt;0,$F75&gt;0,YEAR($F75)&lt;Preisindex!$A$6,YEAR(ET$4)&gt;=YEAR($F75),$K75="k"),ROUND(VLOOKUP(EY$4,Preisindex,2,FALSE)/VLOOKUP(Preisindex!$A$6,Preisindex,2,FALSE),2),0)))))</f>
        <v>0</v>
      </c>
      <c r="FA75" s="51">
        <f>IF(AND($E75&lt;&gt;0,$F75&gt;0,YEAR($F75)&lt;=EY$4,YEAR($F75)&gt;=Preisindex!$A$6),ROUND($E75*EY75,2),IF(AND($E75&lt;&gt;0,$F75&gt;0,YEAR($F75)&lt;=EY$4,YEAR($F75)&lt;Preisindex!$A$6),ROUND($E75*EZ75,2),0))</f>
        <v>91350</v>
      </c>
      <c r="FB75" s="53">
        <f t="shared" si="418"/>
        <v>1827</v>
      </c>
      <c r="FC75" s="51">
        <f t="shared" si="394"/>
        <v>0</v>
      </c>
      <c r="FD75" s="51">
        <f t="shared" si="352"/>
        <v>0</v>
      </c>
      <c r="FE75" s="51">
        <f t="shared" si="419"/>
        <v>0</v>
      </c>
      <c r="FF75" s="51">
        <f t="shared" si="353"/>
        <v>0</v>
      </c>
      <c r="FG75" s="51">
        <f t="shared" si="420"/>
        <v>63000</v>
      </c>
      <c r="FH75" s="51">
        <f t="shared" si="354"/>
        <v>63000</v>
      </c>
      <c r="FI75" s="51">
        <f t="shared" si="421"/>
        <v>1260</v>
      </c>
      <c r="FJ75" s="51">
        <f t="shared" si="355"/>
        <v>1260</v>
      </c>
      <c r="FK75" s="51">
        <f t="shared" si="422"/>
        <v>34650</v>
      </c>
      <c r="FL75" s="51">
        <f t="shared" si="356"/>
        <v>34650</v>
      </c>
      <c r="FM75" s="51">
        <f t="shared" si="423"/>
        <v>28350</v>
      </c>
      <c r="FN75" s="54">
        <f t="shared" si="424"/>
        <v>0</v>
      </c>
      <c r="FO75" s="55">
        <f t="shared" si="425"/>
        <v>0</v>
      </c>
      <c r="FP75" s="56">
        <f>IF(AND($E75&lt;&gt;0,$F75&gt;0,YEAR($F75)&gt;=Preisindex!$A$6,YEAR(FK$4)&gt;=YEAR($F75),AND($K75&lt;&gt;"a",$K75&lt;&gt;"b",$K75&lt;&gt;"g",$K75&lt;&gt;"k")),1,IF(AND($E75&lt;&gt;0,$F75&gt;0,YEAR($F75)&gt;=Preisindex!$A$6,YEAR(FK$4)&gt;=YEAR($F75),$K75="a"),ROUND(VLOOKUP(FP$4,Preisindex,5,FALSE)/VLOOKUP(YEAR($F75),Preisindex,5,FALSE),2),IF(AND($E75&lt;&gt;0,$F75&gt;0,YEAR($F75)&gt;=Preisindex!$A$6,YEAR(FK$4)&gt;=YEAR($F75),$K75="b"),ROUND(VLOOKUP(FP$4,Preisindex,3,FALSE)/VLOOKUP(YEAR($F75),Preisindex,3,FALSE),2),IF(AND($E75&lt;&gt;0,$F75&gt;0,YEAR($F75)&gt;=Preisindex!$A$6,YEAR(FK$4)&gt;=YEAR($F75),$K75="g"),ROUND(VLOOKUP(FP$4,Preisindex,4,FALSE)/VLOOKUP(YEAR($F75),Preisindex,4,FALSE),2),IF(AND($E75&lt;&gt;0,$F75&gt;0,YEAR($F75)&gt;=Preisindex!$A$6,YEAR(FK$4)&gt;=YEAR($F75),$K75="k"),ROUND(VLOOKUP(FP$4,Preisindex,2,FALSE)/VLOOKUP(YEAR($F75),Preisindex,2,FALSE),2),0)))))</f>
        <v>1.45</v>
      </c>
      <c r="FQ75" s="56">
        <f>IF(AND($E75&lt;&gt;0,$F75&gt;0,YEAR($F75)&lt;Preisindex!$A$6,YEAR(FK$4)&gt;=YEAR($F75),AND($K75&lt;&gt;"a",$K75&lt;&gt;"b",$K75&lt;&gt;"g",$K75&lt;&gt;"k")),1,IF(AND($E75&lt;&gt;0,$F75&gt;0,YEAR($F75)&lt;Preisindex!$A$6,YEAR(FK$4)&gt;=YEAR($F75),$K75="a"),ROUND(VLOOKUP(FP$4,Preisindex,5,FALSE)/VLOOKUP(Preisindex!$A$6,Preisindex,5,FALSE),2),IF(AND($E75&lt;&gt;0,$F75&gt;0,YEAR($F75)&lt;Preisindex!$A$6,YEAR(FK$4)&gt;=YEAR($F75),$K75="b"),ROUND(VLOOKUP(FP$4,Preisindex,3,FALSE)/VLOOKUP(Preisindex!$A$6,Preisindex,3,FALSE),2),IF(AND($E75&lt;&gt;0,$F75&gt;0,YEAR($F75)&lt;Preisindex!$A$6,YEAR(FK$4)&gt;=YEAR($F75),$K75="g"),ROUND(VLOOKUP(FP$4,Preisindex,4,FALSE)/VLOOKUP(Preisindex!$A$6,Preisindex,4,FALSE),2),IF(AND($E75&lt;&gt;0,$F75&gt;0,YEAR($F75)&lt;Preisindex!$A$6,YEAR(FK$4)&gt;=YEAR($F75),$K75="k"),ROUND(VLOOKUP(FP$4,Preisindex,2,FALSE)/VLOOKUP(Preisindex!$A$6,Preisindex,2,FALSE),2),0)))))</f>
        <v>0</v>
      </c>
      <c r="FR75" s="51">
        <f>IF(AND($E75&lt;&gt;0,$F75&gt;0,YEAR($F75)&lt;=FP$4,YEAR($F75)&gt;=Preisindex!$A$6),ROUND($E75*FP75,2),IF(AND($E75&lt;&gt;0,$F75&gt;0,YEAR($F75)&lt;=FP$4,YEAR($F75)&lt;Preisindex!$A$6),ROUND($E75*FQ75,2),0))</f>
        <v>91350</v>
      </c>
      <c r="FS75" s="53">
        <f t="shared" si="426"/>
        <v>1827</v>
      </c>
    </row>
    <row r="76" spans="1:175" x14ac:dyDescent="0.3">
      <c r="A76" s="93">
        <v>2000</v>
      </c>
      <c r="B76" s="94" t="s">
        <v>260</v>
      </c>
      <c r="C76" s="94"/>
      <c r="D76" s="95" t="s">
        <v>60</v>
      </c>
      <c r="E76" s="99">
        <v>19500</v>
      </c>
      <c r="F76" s="97">
        <v>36708</v>
      </c>
      <c r="G76" s="98">
        <v>50</v>
      </c>
      <c r="H76" s="620"/>
      <c r="I76" s="193"/>
      <c r="J76" s="194"/>
      <c r="K76" s="630" t="s">
        <v>266</v>
      </c>
      <c r="L76" s="49">
        <f t="shared" si="427"/>
        <v>0.02</v>
      </c>
      <c r="M76" s="50">
        <f t="shared" si="428"/>
        <v>390</v>
      </c>
      <c r="N76" s="51">
        <f t="shared" si="429"/>
        <v>15015</v>
      </c>
      <c r="O76" s="51"/>
      <c r="P76" s="51">
        <f t="shared" si="430"/>
        <v>4485</v>
      </c>
      <c r="Q76" s="52"/>
      <c r="R76" s="52"/>
      <c r="S76" s="52"/>
      <c r="T76" s="52"/>
      <c r="U76" s="52"/>
      <c r="V76" s="53">
        <f t="shared" si="431"/>
        <v>19500</v>
      </c>
      <c r="W76" s="51">
        <f t="shared" si="432"/>
        <v>0</v>
      </c>
      <c r="X76" s="51">
        <f t="shared" si="433"/>
        <v>0</v>
      </c>
      <c r="Y76" s="51">
        <f t="shared" si="434"/>
        <v>0</v>
      </c>
      <c r="Z76" s="51">
        <f t="shared" si="435"/>
        <v>0</v>
      </c>
      <c r="AA76" s="51">
        <f t="shared" si="436"/>
        <v>19500</v>
      </c>
      <c r="AB76" s="51">
        <f t="shared" si="437"/>
        <v>19500</v>
      </c>
      <c r="AC76" s="51">
        <f t="shared" si="438"/>
        <v>390</v>
      </c>
      <c r="AD76" s="51">
        <f t="shared" si="439"/>
        <v>390</v>
      </c>
      <c r="AE76" s="51">
        <f t="shared" si="440"/>
        <v>14625</v>
      </c>
      <c r="AF76" s="51">
        <f t="shared" si="441"/>
        <v>14625</v>
      </c>
      <c r="AG76" s="51">
        <f t="shared" si="442"/>
        <v>4875</v>
      </c>
      <c r="AH76" s="54">
        <f t="shared" si="443"/>
        <v>0</v>
      </c>
      <c r="AI76" s="55">
        <f t="shared" si="444"/>
        <v>0</v>
      </c>
      <c r="AJ76" s="56">
        <f>IF(AND($E76&lt;&gt;0,$F76&gt;0,YEAR($F76)&gt;=Preisindex!$A$6,YEAR(AE$4)&gt;=YEAR($F76),AND($K76&lt;&gt;"a",$K76&lt;&gt;"b",$K76&lt;&gt;"g",$K76&lt;&gt;"k")),1,IF(AND($E76&lt;&gt;0,$F76&gt;0,YEAR($F76)&gt;=Preisindex!$A$6,YEAR(AE$4)&gt;=YEAR($F76),$K76="a"),ROUND(VLOOKUP(AJ$4,Preisindex,5,FALSE)/VLOOKUP(YEAR($F76),Preisindex,5,FALSE),2),IF(AND($E76&lt;&gt;0,$F76&gt;0,YEAR($F76)&gt;=Preisindex!$A$6,YEAR(AE$4)&gt;=YEAR($F76),$K76="b"),ROUND(VLOOKUP(AJ$4,Preisindex,3,FALSE)/VLOOKUP(YEAR($F76),Preisindex,3,FALSE),2),IF(AND($E76&lt;&gt;0,$F76&gt;0,YEAR($F76)&gt;=Preisindex!$A$6,YEAR(AE$4)&gt;=YEAR($F76),$K76="g"),ROUND(VLOOKUP(AJ$4,Preisindex,4,FALSE)/VLOOKUP(YEAR($F76),Preisindex,4,FALSE),2),IF(AND($E76&lt;&gt;0,$F76&gt;0,YEAR($F76)&gt;=Preisindex!$A$6,YEAR(AE$4)&gt;=YEAR($F76),$K76="k"),ROUND(VLOOKUP(AJ$4,Preisindex,2,FALSE)/VLOOKUP(YEAR($F76),Preisindex,2,FALSE),2),0)))))</f>
        <v>1.23</v>
      </c>
      <c r="AK76" s="56">
        <f>IF(AND($E76&lt;&gt;0,$F76&gt;0,YEAR($F76)&lt;Preisindex!$A$6,YEAR(AE$4)&gt;=YEAR($F76),AND($K76&lt;&gt;"a",$K76&lt;&gt;"b",$K76&lt;&gt;"g",$K76&lt;&gt;"k")),1,IF(AND($E76&lt;&gt;0,$F76&gt;0,YEAR($F76)&lt;Preisindex!$A$6,YEAR(AE$4)&gt;=YEAR($F76),$K76="a"),ROUND(VLOOKUP(AJ$4,Preisindex,5,FALSE)/VLOOKUP(Preisindex!$A$6,Preisindex,5,FALSE),2),IF(AND($E76&lt;&gt;0,$F76&gt;0,YEAR($F76)&lt;Preisindex!$A$6,YEAR(AE$4)&gt;=YEAR($F76),$K76="b"),ROUND(VLOOKUP(AJ$4,Preisindex,3,FALSE)/VLOOKUP(Preisindex!$A$6,Preisindex,3,FALSE),2),IF(AND($E76&lt;&gt;0,$F76&gt;0,YEAR($F76)&lt;Preisindex!$A$6,YEAR(AE$4)&gt;=YEAR($F76),$K76="g"),ROUND(VLOOKUP(AJ$4,Preisindex,4,FALSE)/VLOOKUP(Preisindex!$A$6,Preisindex,4,FALSE),2),IF(AND($E76&lt;&gt;0,$F76&gt;0,YEAR($F76)&lt;Preisindex!$A$6,YEAR(AE$4)&gt;=YEAR($F76),$K76="k"),ROUND(VLOOKUP(AJ$4,Preisindex,2,FALSE)/VLOOKUP(Preisindex!$A$6,Preisindex,2,FALSE),2),0)))))</f>
        <v>0</v>
      </c>
      <c r="AL76" s="51">
        <f>IF(AND($E76&lt;&gt;0,$F76&gt;0,YEAR($F76)&lt;=AJ$4,YEAR($F76)&gt;=Preisindex!$A$6),ROUND($E76*AJ76,2),IF(AND($E76&lt;&gt;0,$F76&gt;0,YEAR($F76)&lt;=AJ$4,YEAR($F76)&lt;Preisindex!$A$6),ROUND($E76*AK76,2),0))</f>
        <v>23985</v>
      </c>
      <c r="AM76" s="53">
        <f t="shared" si="445"/>
        <v>479.7</v>
      </c>
      <c r="AN76" s="51">
        <f t="shared" si="361"/>
        <v>0</v>
      </c>
      <c r="AO76" s="51">
        <f t="shared" si="317"/>
        <v>0</v>
      </c>
      <c r="AP76" s="51">
        <f t="shared" si="362"/>
        <v>0</v>
      </c>
      <c r="AQ76" s="51">
        <f t="shared" si="318"/>
        <v>0</v>
      </c>
      <c r="AR76" s="51">
        <f t="shared" si="363"/>
        <v>19500</v>
      </c>
      <c r="AS76" s="51">
        <f t="shared" si="319"/>
        <v>19500</v>
      </c>
      <c r="AT76" s="51">
        <f t="shared" si="364"/>
        <v>390</v>
      </c>
      <c r="AU76" s="51">
        <f t="shared" si="320"/>
        <v>390</v>
      </c>
      <c r="AV76" s="51">
        <f t="shared" si="365"/>
        <v>14235</v>
      </c>
      <c r="AW76" s="51">
        <f t="shared" si="321"/>
        <v>14235</v>
      </c>
      <c r="AX76" s="51">
        <f t="shared" si="366"/>
        <v>5265</v>
      </c>
      <c r="AY76" s="54">
        <f t="shared" si="367"/>
        <v>0</v>
      </c>
      <c r="AZ76" s="55">
        <f t="shared" si="368"/>
        <v>0</v>
      </c>
      <c r="BA76" s="56">
        <f>IF(AND($E76&lt;&gt;0,$F76&gt;0,YEAR($F76)&gt;=Preisindex!$A$6,YEAR(AV$4)&gt;=YEAR($F76),AND($K76&lt;&gt;"a",$K76&lt;&gt;"b",$K76&lt;&gt;"g",$K76&lt;&gt;"k")),1,IF(AND($E76&lt;&gt;0,$F76&gt;0,YEAR($F76)&gt;=Preisindex!$A$6,YEAR(AV$4)&gt;=YEAR($F76),$K76="a"),ROUND(VLOOKUP(BA$4,Preisindex,5,FALSE)/VLOOKUP(YEAR($F76),Preisindex,5,FALSE),2),IF(AND($E76&lt;&gt;0,$F76&gt;0,YEAR($F76)&gt;=Preisindex!$A$6,YEAR(AV$4)&gt;=YEAR($F76),$K76="b"),ROUND(VLOOKUP(BA$4,Preisindex,3,FALSE)/VLOOKUP(YEAR($F76),Preisindex,3,FALSE),2),IF(AND($E76&lt;&gt;0,$F76&gt;0,YEAR($F76)&gt;=Preisindex!$A$6,YEAR(AV$4)&gt;=YEAR($F76),$K76="g"),ROUND(VLOOKUP(BA$4,Preisindex,4,FALSE)/VLOOKUP(YEAR($F76),Preisindex,4,FALSE),2),IF(AND($E76&lt;&gt;0,$F76&gt;0,YEAR($F76)&gt;=Preisindex!$A$6,YEAR(AV$4)&gt;=YEAR($F76),$K76="k"),ROUND(VLOOKUP(BA$4,Preisindex,2,FALSE)/VLOOKUP(YEAR($F76),Preisindex,2,FALSE),2),0)))))</f>
        <v>1.25</v>
      </c>
      <c r="BB76" s="56">
        <f>IF(AND($E76&lt;&gt;0,$F76&gt;0,YEAR($F76)&lt;Preisindex!$A$6,YEAR(AV$4)&gt;=YEAR($F76),AND($K76&lt;&gt;"a",$K76&lt;&gt;"b",$K76&lt;&gt;"g",$K76&lt;&gt;"k")),1,IF(AND($E76&lt;&gt;0,$F76&gt;0,YEAR($F76)&lt;Preisindex!$A$6,YEAR(AV$4)&gt;=YEAR($F76),$K76="a"),ROUND(VLOOKUP(BA$4,Preisindex,5,FALSE)/VLOOKUP(Preisindex!$A$6,Preisindex,5,FALSE),2),IF(AND($E76&lt;&gt;0,$F76&gt;0,YEAR($F76)&lt;Preisindex!$A$6,YEAR(AV$4)&gt;=YEAR($F76),$K76="b"),ROUND(VLOOKUP(BA$4,Preisindex,3,FALSE)/VLOOKUP(Preisindex!$A$6,Preisindex,3,FALSE),2),IF(AND($E76&lt;&gt;0,$F76&gt;0,YEAR($F76)&lt;Preisindex!$A$6,YEAR(AV$4)&gt;=YEAR($F76),$K76="g"),ROUND(VLOOKUP(BA$4,Preisindex,4,FALSE)/VLOOKUP(Preisindex!$A$6,Preisindex,4,FALSE),2),IF(AND($E76&lt;&gt;0,$F76&gt;0,YEAR($F76)&lt;Preisindex!$A$6,YEAR(AV$4)&gt;=YEAR($F76),$K76="k"),ROUND(VLOOKUP(BA$4,Preisindex,2,FALSE)/VLOOKUP(Preisindex!$A$6,Preisindex,2,FALSE),2),0)))))</f>
        <v>0</v>
      </c>
      <c r="BC76" s="51">
        <f>IF(AND($E76&lt;&gt;0,$F76&gt;0,YEAR($F76)&lt;=BA$4,YEAR($F76)&gt;=Preisindex!$A$6),ROUND($E76*BA76,2),IF(AND($E76&lt;&gt;0,$F76&gt;0,YEAR($F76)&lt;=BA$4,YEAR($F76)&lt;Preisindex!$A$6),ROUND($E76*BB76,2),0))</f>
        <v>24375</v>
      </c>
      <c r="BD76" s="53">
        <f t="shared" si="369"/>
        <v>487.5</v>
      </c>
      <c r="BE76" s="51">
        <f t="shared" si="361"/>
        <v>0</v>
      </c>
      <c r="BF76" s="51">
        <f t="shared" si="322"/>
        <v>0</v>
      </c>
      <c r="BG76" s="51">
        <f t="shared" si="370"/>
        <v>0</v>
      </c>
      <c r="BH76" s="51">
        <f t="shared" si="323"/>
        <v>0</v>
      </c>
      <c r="BI76" s="51">
        <f t="shared" si="371"/>
        <v>19500</v>
      </c>
      <c r="BJ76" s="51">
        <f t="shared" si="324"/>
        <v>19500</v>
      </c>
      <c r="BK76" s="51">
        <f t="shared" si="372"/>
        <v>390</v>
      </c>
      <c r="BL76" s="51">
        <f t="shared" si="325"/>
        <v>390</v>
      </c>
      <c r="BM76" s="51">
        <f t="shared" si="373"/>
        <v>13845</v>
      </c>
      <c r="BN76" s="51">
        <f t="shared" si="326"/>
        <v>13845</v>
      </c>
      <c r="BO76" s="51">
        <f t="shared" si="374"/>
        <v>5655</v>
      </c>
      <c r="BP76" s="54">
        <f t="shared" si="375"/>
        <v>0</v>
      </c>
      <c r="BQ76" s="55">
        <f t="shared" si="376"/>
        <v>0</v>
      </c>
      <c r="BR76" s="56">
        <f>IF(AND($E76&lt;&gt;0,$F76&gt;0,YEAR($F76)&gt;=Preisindex!$A$6,YEAR(BM$4)&gt;=YEAR($F76),AND($K76&lt;&gt;"a",$K76&lt;&gt;"b",$K76&lt;&gt;"g",$K76&lt;&gt;"k")),1,IF(AND($E76&lt;&gt;0,$F76&gt;0,YEAR($F76)&gt;=Preisindex!$A$6,YEAR(BM$4)&gt;=YEAR($F76),$K76="a"),ROUND(VLOOKUP(BR$4,Preisindex,5,FALSE)/VLOOKUP(YEAR($F76),Preisindex,5,FALSE),2),IF(AND($E76&lt;&gt;0,$F76&gt;0,YEAR($F76)&gt;=Preisindex!$A$6,YEAR(BM$4)&gt;=YEAR($F76),$K76="b"),ROUND(VLOOKUP(BR$4,Preisindex,3,FALSE)/VLOOKUP(YEAR($F76),Preisindex,3,FALSE),2),IF(AND($E76&lt;&gt;0,$F76&gt;0,YEAR($F76)&gt;=Preisindex!$A$6,YEAR(BM$4)&gt;=YEAR($F76),$K76="g"),ROUND(VLOOKUP(BR$4,Preisindex,4,FALSE)/VLOOKUP(YEAR($F76),Preisindex,4,FALSE),2),IF(AND($E76&lt;&gt;0,$F76&gt;0,YEAR($F76)&gt;=Preisindex!$A$6,YEAR(BM$4)&gt;=YEAR($F76),$K76="k"),ROUND(VLOOKUP(BR$4,Preisindex,2,FALSE)/VLOOKUP(YEAR($F76),Preisindex,2,FALSE),2),0)))))</f>
        <v>1.27</v>
      </c>
      <c r="BS76" s="56">
        <f>IF(AND($E76&lt;&gt;0,$F76&gt;0,YEAR($F76)&lt;Preisindex!$A$6,YEAR(BM$4)&gt;=YEAR($F76),AND($K76&lt;&gt;"a",$K76&lt;&gt;"b",$K76&lt;&gt;"g",$K76&lt;&gt;"k")),1,IF(AND($E76&lt;&gt;0,$F76&gt;0,YEAR($F76)&lt;Preisindex!$A$6,YEAR(BM$4)&gt;=YEAR($F76),$K76="a"),ROUND(VLOOKUP(BR$4,Preisindex,5,FALSE)/VLOOKUP(Preisindex!$A$6,Preisindex,5,FALSE),2),IF(AND($E76&lt;&gt;0,$F76&gt;0,YEAR($F76)&lt;Preisindex!$A$6,YEAR(BM$4)&gt;=YEAR($F76),$K76="b"),ROUND(VLOOKUP(BR$4,Preisindex,3,FALSE)/VLOOKUP(Preisindex!$A$6,Preisindex,3,FALSE),2),IF(AND($E76&lt;&gt;0,$F76&gt;0,YEAR($F76)&lt;Preisindex!$A$6,YEAR(BM$4)&gt;=YEAR($F76),$K76="g"),ROUND(VLOOKUP(BR$4,Preisindex,4,FALSE)/VLOOKUP(Preisindex!$A$6,Preisindex,4,FALSE),2),IF(AND($E76&lt;&gt;0,$F76&gt;0,YEAR($F76)&lt;Preisindex!$A$6,YEAR(BM$4)&gt;=YEAR($F76),$K76="k"),ROUND(VLOOKUP(BR$4,Preisindex,2,FALSE)/VLOOKUP(Preisindex!$A$6,Preisindex,2,FALSE),2),0)))))</f>
        <v>0</v>
      </c>
      <c r="BT76" s="51">
        <f>IF(AND($E76&lt;&gt;0,$F76&gt;0,YEAR($F76)&lt;=BR$4,YEAR($F76)&gt;=Preisindex!$A$6),ROUND($E76*BR76,2),IF(AND($E76&lt;&gt;0,$F76&gt;0,YEAR($F76)&lt;=BR$4,YEAR($F76)&lt;Preisindex!$A$6),ROUND($E76*BS76,2),0))</f>
        <v>24765</v>
      </c>
      <c r="BU76" s="53">
        <f t="shared" si="377"/>
        <v>495.3</v>
      </c>
      <c r="BV76" s="51">
        <f t="shared" si="361"/>
        <v>0</v>
      </c>
      <c r="BW76" s="51">
        <f t="shared" si="327"/>
        <v>0</v>
      </c>
      <c r="BX76" s="51">
        <f t="shared" si="378"/>
        <v>0</v>
      </c>
      <c r="BY76" s="51">
        <f t="shared" si="328"/>
        <v>0</v>
      </c>
      <c r="BZ76" s="51">
        <f t="shared" si="379"/>
        <v>19500</v>
      </c>
      <c r="CA76" s="51">
        <f t="shared" si="329"/>
        <v>19500</v>
      </c>
      <c r="CB76" s="51">
        <f t="shared" si="380"/>
        <v>390</v>
      </c>
      <c r="CC76" s="51">
        <f t="shared" si="330"/>
        <v>390</v>
      </c>
      <c r="CD76" s="51">
        <f t="shared" si="381"/>
        <v>13455</v>
      </c>
      <c r="CE76" s="51">
        <f t="shared" si="331"/>
        <v>13455</v>
      </c>
      <c r="CF76" s="51">
        <f t="shared" si="382"/>
        <v>6045</v>
      </c>
      <c r="CG76" s="54">
        <f t="shared" si="383"/>
        <v>0</v>
      </c>
      <c r="CH76" s="55">
        <f t="shared" si="384"/>
        <v>0</v>
      </c>
      <c r="CI76" s="56">
        <f>IF(AND($E76&lt;&gt;0,$F76&gt;0,YEAR($F76)&gt;=Preisindex!$A$6,YEAR(CD$4)&gt;=YEAR($F76),AND($K76&lt;&gt;"a",$K76&lt;&gt;"b",$K76&lt;&gt;"g",$K76&lt;&gt;"k")),1,IF(AND($E76&lt;&gt;0,$F76&gt;0,YEAR($F76)&gt;=Preisindex!$A$6,YEAR(CD$4)&gt;=YEAR($F76),$K76="a"),ROUND(VLOOKUP(CI$4,Preisindex,5,FALSE)/VLOOKUP(YEAR($F76),Preisindex,5,FALSE),2),IF(AND($E76&lt;&gt;0,$F76&gt;0,YEAR($F76)&gt;=Preisindex!$A$6,YEAR(CD$4)&gt;=YEAR($F76),$K76="b"),ROUND(VLOOKUP(CI$4,Preisindex,3,FALSE)/VLOOKUP(YEAR($F76),Preisindex,3,FALSE),2),IF(AND($E76&lt;&gt;0,$F76&gt;0,YEAR($F76)&gt;=Preisindex!$A$6,YEAR(CD$4)&gt;=YEAR($F76),$K76="g"),ROUND(VLOOKUP(CI$4,Preisindex,4,FALSE)/VLOOKUP(YEAR($F76),Preisindex,4,FALSE),2),IF(AND($E76&lt;&gt;0,$F76&gt;0,YEAR($F76)&gt;=Preisindex!$A$6,YEAR(CD$4)&gt;=YEAR($F76),$K76="k"),ROUND(VLOOKUP(CI$4,Preisindex,2,FALSE)/VLOOKUP(YEAR($F76),Preisindex,2,FALSE),2),0)))))</f>
        <v>1.28</v>
      </c>
      <c r="CJ76" s="56">
        <f>IF(AND($E76&lt;&gt;0,$F76&gt;0,YEAR($F76)&lt;Preisindex!$A$6,YEAR(CD$4)&gt;=YEAR($F76),AND($K76&lt;&gt;"a",$K76&lt;&gt;"b",$K76&lt;&gt;"g",$K76&lt;&gt;"k")),1,IF(AND($E76&lt;&gt;0,$F76&gt;0,YEAR($F76)&lt;Preisindex!$A$6,YEAR(CD$4)&gt;=YEAR($F76),$K76="a"),ROUND(VLOOKUP(CI$4,Preisindex,5,FALSE)/VLOOKUP(Preisindex!$A$6,Preisindex,5,FALSE),2),IF(AND($E76&lt;&gt;0,$F76&gt;0,YEAR($F76)&lt;Preisindex!$A$6,YEAR(CD$4)&gt;=YEAR($F76),$K76="b"),ROUND(VLOOKUP(CI$4,Preisindex,3,FALSE)/VLOOKUP(Preisindex!$A$6,Preisindex,3,FALSE),2),IF(AND($E76&lt;&gt;0,$F76&gt;0,YEAR($F76)&lt;Preisindex!$A$6,YEAR(CD$4)&gt;=YEAR($F76),$K76="g"),ROUND(VLOOKUP(CI$4,Preisindex,4,FALSE)/VLOOKUP(Preisindex!$A$6,Preisindex,4,FALSE),2),IF(AND($E76&lt;&gt;0,$F76&gt;0,YEAR($F76)&lt;Preisindex!$A$6,YEAR(CD$4)&gt;=YEAR($F76),$K76="k"),ROUND(VLOOKUP(CI$4,Preisindex,2,FALSE)/VLOOKUP(Preisindex!$A$6,Preisindex,2,FALSE),2),0)))))</f>
        <v>0</v>
      </c>
      <c r="CK76" s="51">
        <f>IF(AND($E76&lt;&gt;0,$F76&gt;0,YEAR($F76)&lt;=CI$4,YEAR($F76)&gt;=Preisindex!$A$6),ROUND($E76*CI76,2),IF(AND($E76&lt;&gt;0,$F76&gt;0,YEAR($F76)&lt;=CI$4,YEAR($F76)&lt;Preisindex!$A$6),ROUND($E76*CJ76,2),0))</f>
        <v>24960</v>
      </c>
      <c r="CL76" s="53">
        <f t="shared" si="385"/>
        <v>499.2</v>
      </c>
      <c r="CM76" s="51">
        <f t="shared" si="361"/>
        <v>0</v>
      </c>
      <c r="CN76" s="51">
        <f t="shared" si="332"/>
        <v>0</v>
      </c>
      <c r="CO76" s="51">
        <f t="shared" si="386"/>
        <v>0</v>
      </c>
      <c r="CP76" s="51">
        <f t="shared" si="333"/>
        <v>0</v>
      </c>
      <c r="CQ76" s="51">
        <f t="shared" si="387"/>
        <v>19500</v>
      </c>
      <c r="CR76" s="51">
        <f t="shared" si="334"/>
        <v>19500</v>
      </c>
      <c r="CS76" s="51">
        <f t="shared" si="388"/>
        <v>390</v>
      </c>
      <c r="CT76" s="51">
        <f t="shared" si="335"/>
        <v>390</v>
      </c>
      <c r="CU76" s="51">
        <f t="shared" si="389"/>
        <v>13065</v>
      </c>
      <c r="CV76" s="51">
        <f t="shared" si="336"/>
        <v>13065</v>
      </c>
      <c r="CW76" s="51">
        <f t="shared" si="390"/>
        <v>6435</v>
      </c>
      <c r="CX76" s="54">
        <f t="shared" si="391"/>
        <v>0</v>
      </c>
      <c r="CY76" s="55">
        <f t="shared" si="392"/>
        <v>0</v>
      </c>
      <c r="CZ76" s="56">
        <f>IF(AND($E76&lt;&gt;0,$F76&gt;0,YEAR($F76)&gt;=Preisindex!$A$6,YEAR(CU$4)&gt;=YEAR($F76),AND($K76&lt;&gt;"a",$K76&lt;&gt;"b",$K76&lt;&gt;"g",$K76&lt;&gt;"k")),1,IF(AND($E76&lt;&gt;0,$F76&gt;0,YEAR($F76)&gt;=Preisindex!$A$6,YEAR(CU$4)&gt;=YEAR($F76),$K76="a"),ROUND(VLOOKUP(CZ$4,Preisindex,5,FALSE)/VLOOKUP(YEAR($F76),Preisindex,5,FALSE),2),IF(AND($E76&lt;&gt;0,$F76&gt;0,YEAR($F76)&gt;=Preisindex!$A$6,YEAR(CU$4)&gt;=YEAR($F76),$K76="b"),ROUND(VLOOKUP(CZ$4,Preisindex,3,FALSE)/VLOOKUP(YEAR($F76),Preisindex,3,FALSE),2),IF(AND($E76&lt;&gt;0,$F76&gt;0,YEAR($F76)&gt;=Preisindex!$A$6,YEAR(CU$4)&gt;=YEAR($F76),$K76="g"),ROUND(VLOOKUP(CZ$4,Preisindex,4,FALSE)/VLOOKUP(YEAR($F76),Preisindex,4,FALSE),2),IF(AND($E76&lt;&gt;0,$F76&gt;0,YEAR($F76)&gt;=Preisindex!$A$6,YEAR(CU$4)&gt;=YEAR($F76),$K76="k"),ROUND(VLOOKUP(CZ$4,Preisindex,2,FALSE)/VLOOKUP(YEAR($F76),Preisindex,2,FALSE),2),0)))))</f>
        <v>1.31</v>
      </c>
      <c r="DA76" s="56">
        <f>IF(AND($E76&lt;&gt;0,$F76&gt;0,YEAR($F76)&lt;Preisindex!$A$6,YEAR(CU$4)&gt;=YEAR($F76),AND($K76&lt;&gt;"a",$K76&lt;&gt;"b",$K76&lt;&gt;"g",$K76&lt;&gt;"k")),1,IF(AND($E76&lt;&gt;0,$F76&gt;0,YEAR($F76)&lt;Preisindex!$A$6,YEAR(CU$4)&gt;=YEAR($F76),$K76="a"),ROUND(VLOOKUP(CZ$4,Preisindex,5,FALSE)/VLOOKUP(Preisindex!$A$6,Preisindex,5,FALSE),2),IF(AND($E76&lt;&gt;0,$F76&gt;0,YEAR($F76)&lt;Preisindex!$A$6,YEAR(CU$4)&gt;=YEAR($F76),$K76="b"),ROUND(VLOOKUP(CZ$4,Preisindex,3,FALSE)/VLOOKUP(Preisindex!$A$6,Preisindex,3,FALSE),2),IF(AND($E76&lt;&gt;0,$F76&gt;0,YEAR($F76)&lt;Preisindex!$A$6,YEAR(CU$4)&gt;=YEAR($F76),$K76="g"),ROUND(VLOOKUP(CZ$4,Preisindex,4,FALSE)/VLOOKUP(Preisindex!$A$6,Preisindex,4,FALSE),2),IF(AND($E76&lt;&gt;0,$F76&gt;0,YEAR($F76)&lt;Preisindex!$A$6,YEAR(CU$4)&gt;=YEAR($F76),$K76="k"),ROUND(VLOOKUP(CZ$4,Preisindex,2,FALSE)/VLOOKUP(Preisindex!$A$6,Preisindex,2,FALSE),2),0)))))</f>
        <v>0</v>
      </c>
      <c r="DB76" s="51">
        <f>IF(AND($E76&lt;&gt;0,$F76&gt;0,YEAR($F76)&lt;=CZ$4,YEAR($F76)&gt;=Preisindex!$A$6),ROUND($E76*CZ76,2),IF(AND($E76&lt;&gt;0,$F76&gt;0,YEAR($F76)&lt;=CZ$4,YEAR($F76)&lt;Preisindex!$A$6),ROUND($E76*DA76,2),0))</f>
        <v>25545</v>
      </c>
      <c r="DC76" s="53">
        <f t="shared" si="393"/>
        <v>510.90000000000003</v>
      </c>
      <c r="DD76" s="51">
        <f t="shared" si="394"/>
        <v>0</v>
      </c>
      <c r="DE76" s="51">
        <f t="shared" si="337"/>
        <v>0</v>
      </c>
      <c r="DF76" s="51">
        <f t="shared" si="395"/>
        <v>0</v>
      </c>
      <c r="DG76" s="51">
        <f t="shared" si="338"/>
        <v>0</v>
      </c>
      <c r="DH76" s="51">
        <f t="shared" si="396"/>
        <v>19500</v>
      </c>
      <c r="DI76" s="51">
        <f t="shared" si="339"/>
        <v>19500</v>
      </c>
      <c r="DJ76" s="51">
        <f t="shared" si="397"/>
        <v>390</v>
      </c>
      <c r="DK76" s="51">
        <f t="shared" si="340"/>
        <v>390</v>
      </c>
      <c r="DL76" s="51">
        <f t="shared" si="398"/>
        <v>12675</v>
      </c>
      <c r="DM76" s="51">
        <f t="shared" si="341"/>
        <v>12675</v>
      </c>
      <c r="DN76" s="51">
        <f t="shared" si="399"/>
        <v>6825</v>
      </c>
      <c r="DO76" s="54">
        <f t="shared" si="400"/>
        <v>0</v>
      </c>
      <c r="DP76" s="55">
        <f t="shared" si="401"/>
        <v>0</v>
      </c>
      <c r="DQ76" s="56">
        <f>IF(AND($E76&lt;&gt;0,$F76&gt;0,YEAR($F76)&gt;=Preisindex!$A$6,YEAR(DL$4)&gt;=YEAR($F76),AND($K76&lt;&gt;"a",$K76&lt;&gt;"b",$K76&lt;&gt;"g",$K76&lt;&gt;"k")),1,IF(AND($E76&lt;&gt;0,$F76&gt;0,YEAR($F76)&gt;=Preisindex!$A$6,YEAR(DL$4)&gt;=YEAR($F76),$K76="a"),ROUND(VLOOKUP(DQ$4,Preisindex,5,FALSE)/VLOOKUP(YEAR($F76),Preisindex,5,FALSE),2),IF(AND($E76&lt;&gt;0,$F76&gt;0,YEAR($F76)&gt;=Preisindex!$A$6,YEAR(DL$4)&gt;=YEAR($F76),$K76="b"),ROUND(VLOOKUP(DQ$4,Preisindex,3,FALSE)/VLOOKUP(YEAR($F76),Preisindex,3,FALSE),2),IF(AND($E76&lt;&gt;0,$F76&gt;0,YEAR($F76)&gt;=Preisindex!$A$6,YEAR(DL$4)&gt;=YEAR($F76),$K76="g"),ROUND(VLOOKUP(DQ$4,Preisindex,4,FALSE)/VLOOKUP(YEAR($F76),Preisindex,4,FALSE),2),IF(AND($E76&lt;&gt;0,$F76&gt;0,YEAR($F76)&gt;=Preisindex!$A$6,YEAR(DL$4)&gt;=YEAR($F76),$K76="k"),ROUND(VLOOKUP(DQ$4,Preisindex,2,FALSE)/VLOOKUP(YEAR($F76),Preisindex,2,FALSE),2),0)))))</f>
        <v>1.35</v>
      </c>
      <c r="DR76" s="56">
        <f>IF(AND($E76&lt;&gt;0,$F76&gt;0,YEAR($F76)&lt;Preisindex!$A$6,YEAR(DL$4)&gt;=YEAR($F76),AND($K76&lt;&gt;"a",$K76&lt;&gt;"b",$K76&lt;&gt;"g",$K76&lt;&gt;"k")),1,IF(AND($E76&lt;&gt;0,$F76&gt;0,YEAR($F76)&lt;Preisindex!$A$6,YEAR(DL$4)&gt;=YEAR($F76),$K76="a"),ROUND(VLOOKUP(DQ$4,Preisindex,5,FALSE)/VLOOKUP(Preisindex!$A$6,Preisindex,5,FALSE),2),IF(AND($E76&lt;&gt;0,$F76&gt;0,YEAR($F76)&lt;Preisindex!$A$6,YEAR(DL$4)&gt;=YEAR($F76),$K76="b"),ROUND(VLOOKUP(DQ$4,Preisindex,3,FALSE)/VLOOKUP(Preisindex!$A$6,Preisindex,3,FALSE),2),IF(AND($E76&lt;&gt;0,$F76&gt;0,YEAR($F76)&lt;Preisindex!$A$6,YEAR(DL$4)&gt;=YEAR($F76),$K76="g"),ROUND(VLOOKUP(DQ$4,Preisindex,4,FALSE)/VLOOKUP(Preisindex!$A$6,Preisindex,4,FALSE),2),IF(AND($E76&lt;&gt;0,$F76&gt;0,YEAR($F76)&lt;Preisindex!$A$6,YEAR(DL$4)&gt;=YEAR($F76),$K76="k"),ROUND(VLOOKUP(DQ$4,Preisindex,2,FALSE)/VLOOKUP(Preisindex!$A$6,Preisindex,2,FALSE),2),0)))))</f>
        <v>0</v>
      </c>
      <c r="DS76" s="51">
        <f>IF(AND($E76&lt;&gt;0,$F76&gt;0,YEAR($F76)&lt;=DQ$4,YEAR($F76)&gt;=Preisindex!$A$6),ROUND($E76*DQ76,2),IF(AND($E76&lt;&gt;0,$F76&gt;0,YEAR($F76)&lt;=DQ$4,YEAR($F76)&lt;Preisindex!$A$6),ROUND($E76*DR76,2),0))</f>
        <v>26325</v>
      </c>
      <c r="DT76" s="53">
        <f t="shared" si="402"/>
        <v>526.5</v>
      </c>
      <c r="DU76" s="51">
        <f t="shared" si="394"/>
        <v>0</v>
      </c>
      <c r="DV76" s="51">
        <f t="shared" si="342"/>
        <v>0</v>
      </c>
      <c r="DW76" s="51">
        <f t="shared" si="403"/>
        <v>0</v>
      </c>
      <c r="DX76" s="51">
        <f t="shared" si="343"/>
        <v>0</v>
      </c>
      <c r="DY76" s="51">
        <f t="shared" si="404"/>
        <v>19500</v>
      </c>
      <c r="DZ76" s="51">
        <f t="shared" si="344"/>
        <v>19500</v>
      </c>
      <c r="EA76" s="51">
        <f t="shared" si="405"/>
        <v>390</v>
      </c>
      <c r="EB76" s="51">
        <f t="shared" si="345"/>
        <v>390</v>
      </c>
      <c r="EC76" s="51">
        <f t="shared" si="406"/>
        <v>12285</v>
      </c>
      <c r="ED76" s="51">
        <f t="shared" si="346"/>
        <v>12285</v>
      </c>
      <c r="EE76" s="51">
        <f t="shared" si="407"/>
        <v>7215</v>
      </c>
      <c r="EF76" s="54">
        <f t="shared" si="408"/>
        <v>0</v>
      </c>
      <c r="EG76" s="55">
        <f t="shared" si="409"/>
        <v>0</v>
      </c>
      <c r="EH76" s="56">
        <f>IF(AND($E76&lt;&gt;0,$F76&gt;0,YEAR($F76)&gt;=Preisindex!$A$6,YEAR(EC$4)&gt;=YEAR($F76),AND($K76&lt;&gt;"a",$K76&lt;&gt;"b",$K76&lt;&gt;"g",$K76&lt;&gt;"k")),1,IF(AND($E76&lt;&gt;0,$F76&gt;0,YEAR($F76)&gt;=Preisindex!$A$6,YEAR(EC$4)&gt;=YEAR($F76),$K76="a"),ROUND(VLOOKUP(EH$4,Preisindex,5,FALSE)/VLOOKUP(YEAR($F76),Preisindex,5,FALSE),2),IF(AND($E76&lt;&gt;0,$F76&gt;0,YEAR($F76)&gt;=Preisindex!$A$6,YEAR(EC$4)&gt;=YEAR($F76),$K76="b"),ROUND(VLOOKUP(EH$4,Preisindex,3,FALSE)/VLOOKUP(YEAR($F76),Preisindex,3,FALSE),2),IF(AND($E76&lt;&gt;0,$F76&gt;0,YEAR($F76)&gt;=Preisindex!$A$6,YEAR(EC$4)&gt;=YEAR($F76),$K76="g"),ROUND(VLOOKUP(EH$4,Preisindex,4,FALSE)/VLOOKUP(YEAR($F76),Preisindex,4,FALSE),2),IF(AND($E76&lt;&gt;0,$F76&gt;0,YEAR($F76)&gt;=Preisindex!$A$6,YEAR(EC$4)&gt;=YEAR($F76),$K76="k"),ROUND(VLOOKUP(EH$4,Preisindex,2,FALSE)/VLOOKUP(YEAR($F76),Preisindex,2,FALSE),2),0)))))</f>
        <v>1.42</v>
      </c>
      <c r="EI76" s="56">
        <f>IF(AND($E76&lt;&gt;0,$F76&gt;0,YEAR($F76)&lt;Preisindex!$A$6,YEAR(EC$4)&gt;=YEAR($F76),AND($K76&lt;&gt;"a",$K76&lt;&gt;"b",$K76&lt;&gt;"g",$K76&lt;&gt;"k")),1,IF(AND($E76&lt;&gt;0,$F76&gt;0,YEAR($F76)&lt;Preisindex!$A$6,YEAR(EC$4)&gt;=YEAR($F76),$K76="a"),ROUND(VLOOKUP(EH$4,Preisindex,5,FALSE)/VLOOKUP(Preisindex!$A$6,Preisindex,5,FALSE),2),IF(AND($E76&lt;&gt;0,$F76&gt;0,YEAR($F76)&lt;Preisindex!$A$6,YEAR(EC$4)&gt;=YEAR($F76),$K76="b"),ROUND(VLOOKUP(EH$4,Preisindex,3,FALSE)/VLOOKUP(Preisindex!$A$6,Preisindex,3,FALSE),2),IF(AND($E76&lt;&gt;0,$F76&gt;0,YEAR($F76)&lt;Preisindex!$A$6,YEAR(EC$4)&gt;=YEAR($F76),$K76="g"),ROUND(VLOOKUP(EH$4,Preisindex,4,FALSE)/VLOOKUP(Preisindex!$A$6,Preisindex,4,FALSE),2),IF(AND($E76&lt;&gt;0,$F76&gt;0,YEAR($F76)&lt;Preisindex!$A$6,YEAR(EC$4)&gt;=YEAR($F76),$K76="k"),ROUND(VLOOKUP(EH$4,Preisindex,2,FALSE)/VLOOKUP(Preisindex!$A$6,Preisindex,2,FALSE),2),0)))))</f>
        <v>0</v>
      </c>
      <c r="EJ76" s="51">
        <f>IF(AND($E76&lt;&gt;0,$F76&gt;0,YEAR($F76)&lt;=EH$4,YEAR($F76)&gt;=Preisindex!$A$6),ROUND($E76*EH76,2),IF(AND($E76&lt;&gt;0,$F76&gt;0,YEAR($F76)&lt;=EH$4,YEAR($F76)&lt;Preisindex!$A$6),ROUND($E76*EI76,2),0))</f>
        <v>27690</v>
      </c>
      <c r="EK76" s="53">
        <f t="shared" si="410"/>
        <v>553.80000000000007</v>
      </c>
      <c r="EL76" s="51">
        <f t="shared" si="394"/>
        <v>0</v>
      </c>
      <c r="EM76" s="51">
        <f t="shared" si="347"/>
        <v>0</v>
      </c>
      <c r="EN76" s="51">
        <f t="shared" si="411"/>
        <v>0</v>
      </c>
      <c r="EO76" s="51">
        <f t="shared" si="348"/>
        <v>0</v>
      </c>
      <c r="EP76" s="51">
        <f t="shared" si="412"/>
        <v>19500</v>
      </c>
      <c r="EQ76" s="51">
        <f t="shared" si="349"/>
        <v>19500</v>
      </c>
      <c r="ER76" s="51">
        <f t="shared" si="413"/>
        <v>390</v>
      </c>
      <c r="ES76" s="51">
        <f t="shared" si="350"/>
        <v>390</v>
      </c>
      <c r="ET76" s="51">
        <f t="shared" si="414"/>
        <v>11895</v>
      </c>
      <c r="EU76" s="51">
        <f t="shared" si="351"/>
        <v>11895</v>
      </c>
      <c r="EV76" s="51">
        <f t="shared" si="415"/>
        <v>7605</v>
      </c>
      <c r="EW76" s="54">
        <f t="shared" si="416"/>
        <v>0</v>
      </c>
      <c r="EX76" s="55">
        <f t="shared" si="417"/>
        <v>0</v>
      </c>
      <c r="EY76" s="56">
        <f>IF(AND($E76&lt;&gt;0,$F76&gt;0,YEAR($F76)&gt;=Preisindex!$A$6,YEAR(ET$4)&gt;=YEAR($F76),AND($K76&lt;&gt;"a",$K76&lt;&gt;"b",$K76&lt;&gt;"g",$K76&lt;&gt;"k")),1,IF(AND($E76&lt;&gt;0,$F76&gt;0,YEAR($F76)&gt;=Preisindex!$A$6,YEAR(ET$4)&gt;=YEAR($F76),$K76="a"),ROUND(VLOOKUP(EY$4,Preisindex,5,FALSE)/VLOOKUP(YEAR($F76),Preisindex,5,FALSE),2),IF(AND($E76&lt;&gt;0,$F76&gt;0,YEAR($F76)&gt;=Preisindex!$A$6,YEAR(ET$4)&gt;=YEAR($F76),$K76="b"),ROUND(VLOOKUP(EY$4,Preisindex,3,FALSE)/VLOOKUP(YEAR($F76),Preisindex,3,FALSE),2),IF(AND($E76&lt;&gt;0,$F76&gt;0,YEAR($F76)&gt;=Preisindex!$A$6,YEAR(ET$4)&gt;=YEAR($F76),$K76="g"),ROUND(VLOOKUP(EY$4,Preisindex,4,FALSE)/VLOOKUP(YEAR($F76),Preisindex,4,FALSE),2),IF(AND($E76&lt;&gt;0,$F76&gt;0,YEAR($F76)&gt;=Preisindex!$A$6,YEAR(ET$4)&gt;=YEAR($F76),$K76="k"),ROUND(VLOOKUP(EY$4,Preisindex,2,FALSE)/VLOOKUP(YEAR($F76),Preisindex,2,FALSE),2),0)))))</f>
        <v>1.42</v>
      </c>
      <c r="EZ76" s="56">
        <f>IF(AND($E76&lt;&gt;0,$F76&gt;0,YEAR($F76)&lt;Preisindex!$A$6,YEAR(ET$4)&gt;=YEAR($F76),AND($K76&lt;&gt;"a",$K76&lt;&gt;"b",$K76&lt;&gt;"g",$K76&lt;&gt;"k")),1,IF(AND($E76&lt;&gt;0,$F76&gt;0,YEAR($F76)&lt;Preisindex!$A$6,YEAR(ET$4)&gt;=YEAR($F76),$K76="a"),ROUND(VLOOKUP(EY$4,Preisindex,5,FALSE)/VLOOKUP(Preisindex!$A$6,Preisindex,5,FALSE),2),IF(AND($E76&lt;&gt;0,$F76&gt;0,YEAR($F76)&lt;Preisindex!$A$6,YEAR(ET$4)&gt;=YEAR($F76),$K76="b"),ROUND(VLOOKUP(EY$4,Preisindex,3,FALSE)/VLOOKUP(Preisindex!$A$6,Preisindex,3,FALSE),2),IF(AND($E76&lt;&gt;0,$F76&gt;0,YEAR($F76)&lt;Preisindex!$A$6,YEAR(ET$4)&gt;=YEAR($F76),$K76="g"),ROUND(VLOOKUP(EY$4,Preisindex,4,FALSE)/VLOOKUP(Preisindex!$A$6,Preisindex,4,FALSE),2),IF(AND($E76&lt;&gt;0,$F76&gt;0,YEAR($F76)&lt;Preisindex!$A$6,YEAR(ET$4)&gt;=YEAR($F76),$K76="k"),ROUND(VLOOKUP(EY$4,Preisindex,2,FALSE)/VLOOKUP(Preisindex!$A$6,Preisindex,2,FALSE),2),0)))))</f>
        <v>0</v>
      </c>
      <c r="FA76" s="51">
        <f>IF(AND($E76&lt;&gt;0,$F76&gt;0,YEAR($F76)&lt;=EY$4,YEAR($F76)&gt;=Preisindex!$A$6),ROUND($E76*EY76,2),IF(AND($E76&lt;&gt;0,$F76&gt;0,YEAR($F76)&lt;=EY$4,YEAR($F76)&lt;Preisindex!$A$6),ROUND($E76*EZ76,2),0))</f>
        <v>27690</v>
      </c>
      <c r="FB76" s="53">
        <f t="shared" si="418"/>
        <v>553.80000000000007</v>
      </c>
      <c r="FC76" s="51">
        <f t="shared" si="394"/>
        <v>0</v>
      </c>
      <c r="FD76" s="51">
        <f t="shared" si="352"/>
        <v>0</v>
      </c>
      <c r="FE76" s="51">
        <f t="shared" si="419"/>
        <v>0</v>
      </c>
      <c r="FF76" s="51">
        <f t="shared" si="353"/>
        <v>0</v>
      </c>
      <c r="FG76" s="51">
        <f t="shared" si="420"/>
        <v>19500</v>
      </c>
      <c r="FH76" s="51">
        <f t="shared" si="354"/>
        <v>19500</v>
      </c>
      <c r="FI76" s="51">
        <f t="shared" si="421"/>
        <v>390</v>
      </c>
      <c r="FJ76" s="51">
        <f t="shared" si="355"/>
        <v>390</v>
      </c>
      <c r="FK76" s="51">
        <f t="shared" si="422"/>
        <v>11505</v>
      </c>
      <c r="FL76" s="51">
        <f t="shared" si="356"/>
        <v>11505</v>
      </c>
      <c r="FM76" s="51">
        <f t="shared" si="423"/>
        <v>7995</v>
      </c>
      <c r="FN76" s="54">
        <f t="shared" si="424"/>
        <v>0</v>
      </c>
      <c r="FO76" s="55">
        <f t="shared" si="425"/>
        <v>0</v>
      </c>
      <c r="FP76" s="56">
        <f>IF(AND($E76&lt;&gt;0,$F76&gt;0,YEAR($F76)&gt;=Preisindex!$A$6,YEAR(FK$4)&gt;=YEAR($F76),AND($K76&lt;&gt;"a",$K76&lt;&gt;"b",$K76&lt;&gt;"g",$K76&lt;&gt;"k")),1,IF(AND($E76&lt;&gt;0,$F76&gt;0,YEAR($F76)&gt;=Preisindex!$A$6,YEAR(FK$4)&gt;=YEAR($F76),$K76="a"),ROUND(VLOOKUP(FP$4,Preisindex,5,FALSE)/VLOOKUP(YEAR($F76),Preisindex,5,FALSE),2),IF(AND($E76&lt;&gt;0,$F76&gt;0,YEAR($F76)&gt;=Preisindex!$A$6,YEAR(FK$4)&gt;=YEAR($F76),$K76="b"),ROUND(VLOOKUP(FP$4,Preisindex,3,FALSE)/VLOOKUP(YEAR($F76),Preisindex,3,FALSE),2),IF(AND($E76&lt;&gt;0,$F76&gt;0,YEAR($F76)&gt;=Preisindex!$A$6,YEAR(FK$4)&gt;=YEAR($F76),$K76="g"),ROUND(VLOOKUP(FP$4,Preisindex,4,FALSE)/VLOOKUP(YEAR($F76),Preisindex,4,FALSE),2),IF(AND($E76&lt;&gt;0,$F76&gt;0,YEAR($F76)&gt;=Preisindex!$A$6,YEAR(FK$4)&gt;=YEAR($F76),$K76="k"),ROUND(VLOOKUP(FP$4,Preisindex,2,FALSE)/VLOOKUP(YEAR($F76),Preisindex,2,FALSE),2),0)))))</f>
        <v>1.42</v>
      </c>
      <c r="FQ76" s="56">
        <f>IF(AND($E76&lt;&gt;0,$F76&gt;0,YEAR($F76)&lt;Preisindex!$A$6,YEAR(FK$4)&gt;=YEAR($F76),AND($K76&lt;&gt;"a",$K76&lt;&gt;"b",$K76&lt;&gt;"g",$K76&lt;&gt;"k")),1,IF(AND($E76&lt;&gt;0,$F76&gt;0,YEAR($F76)&lt;Preisindex!$A$6,YEAR(FK$4)&gt;=YEAR($F76),$K76="a"),ROUND(VLOOKUP(FP$4,Preisindex,5,FALSE)/VLOOKUP(Preisindex!$A$6,Preisindex,5,FALSE),2),IF(AND($E76&lt;&gt;0,$F76&gt;0,YEAR($F76)&lt;Preisindex!$A$6,YEAR(FK$4)&gt;=YEAR($F76),$K76="b"),ROUND(VLOOKUP(FP$4,Preisindex,3,FALSE)/VLOOKUP(Preisindex!$A$6,Preisindex,3,FALSE),2),IF(AND($E76&lt;&gt;0,$F76&gt;0,YEAR($F76)&lt;Preisindex!$A$6,YEAR(FK$4)&gt;=YEAR($F76),$K76="g"),ROUND(VLOOKUP(FP$4,Preisindex,4,FALSE)/VLOOKUP(Preisindex!$A$6,Preisindex,4,FALSE),2),IF(AND($E76&lt;&gt;0,$F76&gt;0,YEAR($F76)&lt;Preisindex!$A$6,YEAR(FK$4)&gt;=YEAR($F76),$K76="k"),ROUND(VLOOKUP(FP$4,Preisindex,2,FALSE)/VLOOKUP(Preisindex!$A$6,Preisindex,2,FALSE),2),0)))))</f>
        <v>0</v>
      </c>
      <c r="FR76" s="51">
        <f>IF(AND($E76&lt;&gt;0,$F76&gt;0,YEAR($F76)&lt;=FP$4,YEAR($F76)&gt;=Preisindex!$A$6),ROUND($E76*FP76,2),IF(AND($E76&lt;&gt;0,$F76&gt;0,YEAR($F76)&lt;=FP$4,YEAR($F76)&lt;Preisindex!$A$6),ROUND($E76*FQ76,2),0))</f>
        <v>27690</v>
      </c>
      <c r="FS76" s="53">
        <f t="shared" si="426"/>
        <v>553.80000000000007</v>
      </c>
    </row>
    <row r="77" spans="1:175" x14ac:dyDescent="0.3">
      <c r="A77" s="93">
        <v>2002</v>
      </c>
      <c r="B77" s="94" t="s">
        <v>261</v>
      </c>
      <c r="C77" s="94"/>
      <c r="D77" s="95" t="s">
        <v>60</v>
      </c>
      <c r="E77" s="99">
        <v>27000</v>
      </c>
      <c r="F77" s="97">
        <v>37438</v>
      </c>
      <c r="G77" s="98">
        <v>50</v>
      </c>
      <c r="H77" s="620"/>
      <c r="I77" s="193"/>
      <c r="J77" s="194"/>
      <c r="K77" s="630" t="s">
        <v>266</v>
      </c>
      <c r="L77" s="49">
        <f t="shared" si="427"/>
        <v>0.02</v>
      </c>
      <c r="M77" s="50">
        <f t="shared" si="428"/>
        <v>540</v>
      </c>
      <c r="N77" s="51">
        <f t="shared" si="429"/>
        <v>21870</v>
      </c>
      <c r="O77" s="51"/>
      <c r="P77" s="51">
        <f t="shared" si="430"/>
        <v>5130</v>
      </c>
      <c r="Q77" s="52"/>
      <c r="R77" s="52"/>
      <c r="S77" s="52"/>
      <c r="T77" s="52"/>
      <c r="U77" s="52"/>
      <c r="V77" s="53">
        <f t="shared" si="431"/>
        <v>27000</v>
      </c>
      <c r="W77" s="51">
        <f t="shared" si="432"/>
        <v>0</v>
      </c>
      <c r="X77" s="51">
        <f t="shared" si="433"/>
        <v>0</v>
      </c>
      <c r="Y77" s="51">
        <f t="shared" si="434"/>
        <v>0</v>
      </c>
      <c r="Z77" s="51">
        <f t="shared" si="435"/>
        <v>0</v>
      </c>
      <c r="AA77" s="51">
        <f t="shared" si="436"/>
        <v>27000</v>
      </c>
      <c r="AB77" s="51">
        <f t="shared" si="437"/>
        <v>27000</v>
      </c>
      <c r="AC77" s="51">
        <f t="shared" si="438"/>
        <v>540</v>
      </c>
      <c r="AD77" s="51">
        <f t="shared" si="439"/>
        <v>540</v>
      </c>
      <c r="AE77" s="51">
        <f t="shared" si="440"/>
        <v>21330</v>
      </c>
      <c r="AF77" s="51">
        <f t="shared" si="441"/>
        <v>21330</v>
      </c>
      <c r="AG77" s="51">
        <f t="shared" si="442"/>
        <v>5670</v>
      </c>
      <c r="AH77" s="54">
        <f t="shared" si="443"/>
        <v>0</v>
      </c>
      <c r="AI77" s="55">
        <f t="shared" si="444"/>
        <v>0</v>
      </c>
      <c r="AJ77" s="56">
        <f>IF(AND($E77&lt;&gt;0,$F77&gt;0,YEAR($F77)&gt;=Preisindex!$A$6,YEAR(AE$4)&gt;=YEAR($F77),AND($K77&lt;&gt;"a",$K77&lt;&gt;"b",$K77&lt;&gt;"g",$K77&lt;&gt;"k")),1,IF(AND($E77&lt;&gt;0,$F77&gt;0,YEAR($F77)&gt;=Preisindex!$A$6,YEAR(AE$4)&gt;=YEAR($F77),$K77="a"),ROUND(VLOOKUP(AJ$4,Preisindex,5,FALSE)/VLOOKUP(YEAR($F77),Preisindex,5,FALSE),2),IF(AND($E77&lt;&gt;0,$F77&gt;0,YEAR($F77)&gt;=Preisindex!$A$6,YEAR(AE$4)&gt;=YEAR($F77),$K77="b"),ROUND(VLOOKUP(AJ$4,Preisindex,3,FALSE)/VLOOKUP(YEAR($F77),Preisindex,3,FALSE),2),IF(AND($E77&lt;&gt;0,$F77&gt;0,YEAR($F77)&gt;=Preisindex!$A$6,YEAR(AE$4)&gt;=YEAR($F77),$K77="g"),ROUND(VLOOKUP(AJ$4,Preisindex,4,FALSE)/VLOOKUP(YEAR($F77),Preisindex,4,FALSE),2),IF(AND($E77&lt;&gt;0,$F77&gt;0,YEAR($F77)&gt;=Preisindex!$A$6,YEAR(AE$4)&gt;=YEAR($F77),$K77="k"),ROUND(VLOOKUP(AJ$4,Preisindex,2,FALSE)/VLOOKUP(YEAR($F77),Preisindex,2,FALSE),2),0)))))</f>
        <v>1.22</v>
      </c>
      <c r="AK77" s="56">
        <f>IF(AND($E77&lt;&gt;0,$F77&gt;0,YEAR($F77)&lt;Preisindex!$A$6,YEAR(AE$4)&gt;=YEAR($F77),AND($K77&lt;&gt;"a",$K77&lt;&gt;"b",$K77&lt;&gt;"g",$K77&lt;&gt;"k")),1,IF(AND($E77&lt;&gt;0,$F77&gt;0,YEAR($F77)&lt;Preisindex!$A$6,YEAR(AE$4)&gt;=YEAR($F77),$K77="a"),ROUND(VLOOKUP(AJ$4,Preisindex,5,FALSE)/VLOOKUP(Preisindex!$A$6,Preisindex,5,FALSE),2),IF(AND($E77&lt;&gt;0,$F77&gt;0,YEAR($F77)&lt;Preisindex!$A$6,YEAR(AE$4)&gt;=YEAR($F77),$K77="b"),ROUND(VLOOKUP(AJ$4,Preisindex,3,FALSE)/VLOOKUP(Preisindex!$A$6,Preisindex,3,FALSE),2),IF(AND($E77&lt;&gt;0,$F77&gt;0,YEAR($F77)&lt;Preisindex!$A$6,YEAR(AE$4)&gt;=YEAR($F77),$K77="g"),ROUND(VLOOKUP(AJ$4,Preisindex,4,FALSE)/VLOOKUP(Preisindex!$A$6,Preisindex,4,FALSE),2),IF(AND($E77&lt;&gt;0,$F77&gt;0,YEAR($F77)&lt;Preisindex!$A$6,YEAR(AE$4)&gt;=YEAR($F77),$K77="k"),ROUND(VLOOKUP(AJ$4,Preisindex,2,FALSE)/VLOOKUP(Preisindex!$A$6,Preisindex,2,FALSE),2),0)))))</f>
        <v>0</v>
      </c>
      <c r="AL77" s="51">
        <f>IF(AND($E77&lt;&gt;0,$F77&gt;0,YEAR($F77)&lt;=AJ$4,YEAR($F77)&gt;=Preisindex!$A$6),ROUND($E77*AJ77,2),IF(AND($E77&lt;&gt;0,$F77&gt;0,YEAR($F77)&lt;=AJ$4,YEAR($F77)&lt;Preisindex!$A$6),ROUND($E77*AK77,2),0))</f>
        <v>32940</v>
      </c>
      <c r="AM77" s="53">
        <f t="shared" si="445"/>
        <v>658.80000000000007</v>
      </c>
      <c r="AN77" s="51">
        <f t="shared" si="361"/>
        <v>0</v>
      </c>
      <c r="AO77" s="51">
        <f t="shared" si="317"/>
        <v>0</v>
      </c>
      <c r="AP77" s="51">
        <f t="shared" si="362"/>
        <v>0</v>
      </c>
      <c r="AQ77" s="51">
        <f t="shared" si="318"/>
        <v>0</v>
      </c>
      <c r="AR77" s="51">
        <f t="shared" si="363"/>
        <v>27000</v>
      </c>
      <c r="AS77" s="51">
        <f t="shared" si="319"/>
        <v>27000</v>
      </c>
      <c r="AT77" s="51">
        <f t="shared" si="364"/>
        <v>540</v>
      </c>
      <c r="AU77" s="51">
        <f t="shared" si="320"/>
        <v>540</v>
      </c>
      <c r="AV77" s="51">
        <f t="shared" si="365"/>
        <v>20790</v>
      </c>
      <c r="AW77" s="51">
        <f t="shared" si="321"/>
        <v>20790</v>
      </c>
      <c r="AX77" s="51">
        <f t="shared" si="366"/>
        <v>6210</v>
      </c>
      <c r="AY77" s="54">
        <f t="shared" si="367"/>
        <v>0</v>
      </c>
      <c r="AZ77" s="55">
        <f t="shared" si="368"/>
        <v>0</v>
      </c>
      <c r="BA77" s="56">
        <f>IF(AND($E77&lt;&gt;0,$F77&gt;0,YEAR($F77)&gt;=Preisindex!$A$6,YEAR(AV$4)&gt;=YEAR($F77),AND($K77&lt;&gt;"a",$K77&lt;&gt;"b",$K77&lt;&gt;"g",$K77&lt;&gt;"k")),1,IF(AND($E77&lt;&gt;0,$F77&gt;0,YEAR($F77)&gt;=Preisindex!$A$6,YEAR(AV$4)&gt;=YEAR($F77),$K77="a"),ROUND(VLOOKUP(BA$4,Preisindex,5,FALSE)/VLOOKUP(YEAR($F77),Preisindex,5,FALSE),2),IF(AND($E77&lt;&gt;0,$F77&gt;0,YEAR($F77)&gt;=Preisindex!$A$6,YEAR(AV$4)&gt;=YEAR($F77),$K77="b"),ROUND(VLOOKUP(BA$4,Preisindex,3,FALSE)/VLOOKUP(YEAR($F77),Preisindex,3,FALSE),2),IF(AND($E77&lt;&gt;0,$F77&gt;0,YEAR($F77)&gt;=Preisindex!$A$6,YEAR(AV$4)&gt;=YEAR($F77),$K77="g"),ROUND(VLOOKUP(BA$4,Preisindex,4,FALSE)/VLOOKUP(YEAR($F77),Preisindex,4,FALSE),2),IF(AND($E77&lt;&gt;0,$F77&gt;0,YEAR($F77)&gt;=Preisindex!$A$6,YEAR(AV$4)&gt;=YEAR($F77),$K77="k"),ROUND(VLOOKUP(BA$4,Preisindex,2,FALSE)/VLOOKUP(YEAR($F77),Preisindex,2,FALSE),2),0)))))</f>
        <v>1.24</v>
      </c>
      <c r="BB77" s="56">
        <f>IF(AND($E77&lt;&gt;0,$F77&gt;0,YEAR($F77)&lt;Preisindex!$A$6,YEAR(AV$4)&gt;=YEAR($F77),AND($K77&lt;&gt;"a",$K77&lt;&gt;"b",$K77&lt;&gt;"g",$K77&lt;&gt;"k")),1,IF(AND($E77&lt;&gt;0,$F77&gt;0,YEAR($F77)&lt;Preisindex!$A$6,YEAR(AV$4)&gt;=YEAR($F77),$K77="a"),ROUND(VLOOKUP(BA$4,Preisindex,5,FALSE)/VLOOKUP(Preisindex!$A$6,Preisindex,5,FALSE),2),IF(AND($E77&lt;&gt;0,$F77&gt;0,YEAR($F77)&lt;Preisindex!$A$6,YEAR(AV$4)&gt;=YEAR($F77),$K77="b"),ROUND(VLOOKUP(BA$4,Preisindex,3,FALSE)/VLOOKUP(Preisindex!$A$6,Preisindex,3,FALSE),2),IF(AND($E77&lt;&gt;0,$F77&gt;0,YEAR($F77)&lt;Preisindex!$A$6,YEAR(AV$4)&gt;=YEAR($F77),$K77="g"),ROUND(VLOOKUP(BA$4,Preisindex,4,FALSE)/VLOOKUP(Preisindex!$A$6,Preisindex,4,FALSE),2),IF(AND($E77&lt;&gt;0,$F77&gt;0,YEAR($F77)&lt;Preisindex!$A$6,YEAR(AV$4)&gt;=YEAR($F77),$K77="k"),ROUND(VLOOKUP(BA$4,Preisindex,2,FALSE)/VLOOKUP(Preisindex!$A$6,Preisindex,2,FALSE),2),0)))))</f>
        <v>0</v>
      </c>
      <c r="BC77" s="51">
        <f>IF(AND($E77&lt;&gt;0,$F77&gt;0,YEAR($F77)&lt;=BA$4,YEAR($F77)&gt;=Preisindex!$A$6),ROUND($E77*BA77,2),IF(AND($E77&lt;&gt;0,$F77&gt;0,YEAR($F77)&lt;=BA$4,YEAR($F77)&lt;Preisindex!$A$6),ROUND($E77*BB77,2),0))</f>
        <v>33480</v>
      </c>
      <c r="BD77" s="53">
        <f t="shared" si="369"/>
        <v>669.6</v>
      </c>
      <c r="BE77" s="51">
        <f t="shared" si="361"/>
        <v>0</v>
      </c>
      <c r="BF77" s="51">
        <f t="shared" si="322"/>
        <v>0</v>
      </c>
      <c r="BG77" s="51">
        <f t="shared" si="370"/>
        <v>0</v>
      </c>
      <c r="BH77" s="51">
        <f t="shared" si="323"/>
        <v>0</v>
      </c>
      <c r="BI77" s="51">
        <f t="shared" si="371"/>
        <v>27000</v>
      </c>
      <c r="BJ77" s="51">
        <f t="shared" si="324"/>
        <v>27000</v>
      </c>
      <c r="BK77" s="51">
        <f t="shared" si="372"/>
        <v>540</v>
      </c>
      <c r="BL77" s="51">
        <f t="shared" si="325"/>
        <v>540</v>
      </c>
      <c r="BM77" s="51">
        <f t="shared" si="373"/>
        <v>20250</v>
      </c>
      <c r="BN77" s="51">
        <f t="shared" si="326"/>
        <v>20250</v>
      </c>
      <c r="BO77" s="51">
        <f t="shared" si="374"/>
        <v>6750</v>
      </c>
      <c r="BP77" s="54">
        <f t="shared" si="375"/>
        <v>0</v>
      </c>
      <c r="BQ77" s="55">
        <f t="shared" si="376"/>
        <v>0</v>
      </c>
      <c r="BR77" s="56">
        <f>IF(AND($E77&lt;&gt;0,$F77&gt;0,YEAR($F77)&gt;=Preisindex!$A$6,YEAR(BM$4)&gt;=YEAR($F77),AND($K77&lt;&gt;"a",$K77&lt;&gt;"b",$K77&lt;&gt;"g",$K77&lt;&gt;"k")),1,IF(AND($E77&lt;&gt;0,$F77&gt;0,YEAR($F77)&gt;=Preisindex!$A$6,YEAR(BM$4)&gt;=YEAR($F77),$K77="a"),ROUND(VLOOKUP(BR$4,Preisindex,5,FALSE)/VLOOKUP(YEAR($F77),Preisindex,5,FALSE),2),IF(AND($E77&lt;&gt;0,$F77&gt;0,YEAR($F77)&gt;=Preisindex!$A$6,YEAR(BM$4)&gt;=YEAR($F77),$K77="b"),ROUND(VLOOKUP(BR$4,Preisindex,3,FALSE)/VLOOKUP(YEAR($F77),Preisindex,3,FALSE),2),IF(AND($E77&lt;&gt;0,$F77&gt;0,YEAR($F77)&gt;=Preisindex!$A$6,YEAR(BM$4)&gt;=YEAR($F77),$K77="g"),ROUND(VLOOKUP(BR$4,Preisindex,4,FALSE)/VLOOKUP(YEAR($F77),Preisindex,4,FALSE),2),IF(AND($E77&lt;&gt;0,$F77&gt;0,YEAR($F77)&gt;=Preisindex!$A$6,YEAR(BM$4)&gt;=YEAR($F77),$K77="k"),ROUND(VLOOKUP(BR$4,Preisindex,2,FALSE)/VLOOKUP(YEAR($F77),Preisindex,2,FALSE),2),0)))))</f>
        <v>1.26</v>
      </c>
      <c r="BS77" s="56">
        <f>IF(AND($E77&lt;&gt;0,$F77&gt;0,YEAR($F77)&lt;Preisindex!$A$6,YEAR(BM$4)&gt;=YEAR($F77),AND($K77&lt;&gt;"a",$K77&lt;&gt;"b",$K77&lt;&gt;"g",$K77&lt;&gt;"k")),1,IF(AND($E77&lt;&gt;0,$F77&gt;0,YEAR($F77)&lt;Preisindex!$A$6,YEAR(BM$4)&gt;=YEAR($F77),$K77="a"),ROUND(VLOOKUP(BR$4,Preisindex,5,FALSE)/VLOOKUP(Preisindex!$A$6,Preisindex,5,FALSE),2),IF(AND($E77&lt;&gt;0,$F77&gt;0,YEAR($F77)&lt;Preisindex!$A$6,YEAR(BM$4)&gt;=YEAR($F77),$K77="b"),ROUND(VLOOKUP(BR$4,Preisindex,3,FALSE)/VLOOKUP(Preisindex!$A$6,Preisindex,3,FALSE),2),IF(AND($E77&lt;&gt;0,$F77&gt;0,YEAR($F77)&lt;Preisindex!$A$6,YEAR(BM$4)&gt;=YEAR($F77),$K77="g"),ROUND(VLOOKUP(BR$4,Preisindex,4,FALSE)/VLOOKUP(Preisindex!$A$6,Preisindex,4,FALSE),2),IF(AND($E77&lt;&gt;0,$F77&gt;0,YEAR($F77)&lt;Preisindex!$A$6,YEAR(BM$4)&gt;=YEAR($F77),$K77="k"),ROUND(VLOOKUP(BR$4,Preisindex,2,FALSE)/VLOOKUP(Preisindex!$A$6,Preisindex,2,FALSE),2),0)))))</f>
        <v>0</v>
      </c>
      <c r="BT77" s="51">
        <f>IF(AND($E77&lt;&gt;0,$F77&gt;0,YEAR($F77)&lt;=BR$4,YEAR($F77)&gt;=Preisindex!$A$6),ROUND($E77*BR77,2),IF(AND($E77&lt;&gt;0,$F77&gt;0,YEAR($F77)&lt;=BR$4,YEAR($F77)&lt;Preisindex!$A$6),ROUND($E77*BS77,2),0))</f>
        <v>34020</v>
      </c>
      <c r="BU77" s="53">
        <f t="shared" si="377"/>
        <v>680.4</v>
      </c>
      <c r="BV77" s="51">
        <f t="shared" si="361"/>
        <v>0</v>
      </c>
      <c r="BW77" s="51">
        <f t="shared" si="327"/>
        <v>0</v>
      </c>
      <c r="BX77" s="51">
        <f t="shared" si="378"/>
        <v>0</v>
      </c>
      <c r="BY77" s="51">
        <f t="shared" si="328"/>
        <v>0</v>
      </c>
      <c r="BZ77" s="51">
        <f t="shared" si="379"/>
        <v>27000</v>
      </c>
      <c r="CA77" s="51">
        <f t="shared" si="329"/>
        <v>27000</v>
      </c>
      <c r="CB77" s="51">
        <f t="shared" si="380"/>
        <v>540</v>
      </c>
      <c r="CC77" s="51">
        <f t="shared" si="330"/>
        <v>540</v>
      </c>
      <c r="CD77" s="51">
        <f t="shared" si="381"/>
        <v>19710</v>
      </c>
      <c r="CE77" s="51">
        <f t="shared" si="331"/>
        <v>19710</v>
      </c>
      <c r="CF77" s="51">
        <f t="shared" si="382"/>
        <v>7290</v>
      </c>
      <c r="CG77" s="54">
        <f t="shared" si="383"/>
        <v>0</v>
      </c>
      <c r="CH77" s="55">
        <f t="shared" si="384"/>
        <v>0</v>
      </c>
      <c r="CI77" s="56">
        <f>IF(AND($E77&lt;&gt;0,$F77&gt;0,YEAR($F77)&gt;=Preisindex!$A$6,YEAR(CD$4)&gt;=YEAR($F77),AND($K77&lt;&gt;"a",$K77&lt;&gt;"b",$K77&lt;&gt;"g",$K77&lt;&gt;"k")),1,IF(AND($E77&lt;&gt;0,$F77&gt;0,YEAR($F77)&gt;=Preisindex!$A$6,YEAR(CD$4)&gt;=YEAR($F77),$K77="a"),ROUND(VLOOKUP(CI$4,Preisindex,5,FALSE)/VLOOKUP(YEAR($F77),Preisindex,5,FALSE),2),IF(AND($E77&lt;&gt;0,$F77&gt;0,YEAR($F77)&gt;=Preisindex!$A$6,YEAR(CD$4)&gt;=YEAR($F77),$K77="b"),ROUND(VLOOKUP(CI$4,Preisindex,3,FALSE)/VLOOKUP(YEAR($F77),Preisindex,3,FALSE),2),IF(AND($E77&lt;&gt;0,$F77&gt;0,YEAR($F77)&gt;=Preisindex!$A$6,YEAR(CD$4)&gt;=YEAR($F77),$K77="g"),ROUND(VLOOKUP(CI$4,Preisindex,4,FALSE)/VLOOKUP(YEAR($F77),Preisindex,4,FALSE),2),IF(AND($E77&lt;&gt;0,$F77&gt;0,YEAR($F77)&gt;=Preisindex!$A$6,YEAR(CD$4)&gt;=YEAR($F77),$K77="k"),ROUND(VLOOKUP(CI$4,Preisindex,2,FALSE)/VLOOKUP(YEAR($F77),Preisindex,2,FALSE),2),0)))))</f>
        <v>1.28</v>
      </c>
      <c r="CJ77" s="56">
        <f>IF(AND($E77&lt;&gt;0,$F77&gt;0,YEAR($F77)&lt;Preisindex!$A$6,YEAR(CD$4)&gt;=YEAR($F77),AND($K77&lt;&gt;"a",$K77&lt;&gt;"b",$K77&lt;&gt;"g",$K77&lt;&gt;"k")),1,IF(AND($E77&lt;&gt;0,$F77&gt;0,YEAR($F77)&lt;Preisindex!$A$6,YEAR(CD$4)&gt;=YEAR($F77),$K77="a"),ROUND(VLOOKUP(CI$4,Preisindex,5,FALSE)/VLOOKUP(Preisindex!$A$6,Preisindex,5,FALSE),2),IF(AND($E77&lt;&gt;0,$F77&gt;0,YEAR($F77)&lt;Preisindex!$A$6,YEAR(CD$4)&gt;=YEAR($F77),$K77="b"),ROUND(VLOOKUP(CI$4,Preisindex,3,FALSE)/VLOOKUP(Preisindex!$A$6,Preisindex,3,FALSE),2),IF(AND($E77&lt;&gt;0,$F77&gt;0,YEAR($F77)&lt;Preisindex!$A$6,YEAR(CD$4)&gt;=YEAR($F77),$K77="g"),ROUND(VLOOKUP(CI$4,Preisindex,4,FALSE)/VLOOKUP(Preisindex!$A$6,Preisindex,4,FALSE),2),IF(AND($E77&lt;&gt;0,$F77&gt;0,YEAR($F77)&lt;Preisindex!$A$6,YEAR(CD$4)&gt;=YEAR($F77),$K77="k"),ROUND(VLOOKUP(CI$4,Preisindex,2,FALSE)/VLOOKUP(Preisindex!$A$6,Preisindex,2,FALSE),2),0)))))</f>
        <v>0</v>
      </c>
      <c r="CK77" s="51">
        <f>IF(AND($E77&lt;&gt;0,$F77&gt;0,YEAR($F77)&lt;=CI$4,YEAR($F77)&gt;=Preisindex!$A$6),ROUND($E77*CI77,2),IF(AND($E77&lt;&gt;0,$F77&gt;0,YEAR($F77)&lt;=CI$4,YEAR($F77)&lt;Preisindex!$A$6),ROUND($E77*CJ77,2),0))</f>
        <v>34560</v>
      </c>
      <c r="CL77" s="53">
        <f t="shared" si="385"/>
        <v>691.2</v>
      </c>
      <c r="CM77" s="51">
        <f t="shared" si="361"/>
        <v>0</v>
      </c>
      <c r="CN77" s="51">
        <f t="shared" si="332"/>
        <v>0</v>
      </c>
      <c r="CO77" s="51">
        <f t="shared" si="386"/>
        <v>0</v>
      </c>
      <c r="CP77" s="51">
        <f t="shared" si="333"/>
        <v>0</v>
      </c>
      <c r="CQ77" s="51">
        <f t="shared" si="387"/>
        <v>27000</v>
      </c>
      <c r="CR77" s="51">
        <f t="shared" si="334"/>
        <v>27000</v>
      </c>
      <c r="CS77" s="51">
        <f t="shared" si="388"/>
        <v>540</v>
      </c>
      <c r="CT77" s="51">
        <f t="shared" si="335"/>
        <v>540</v>
      </c>
      <c r="CU77" s="51">
        <f t="shared" si="389"/>
        <v>19170</v>
      </c>
      <c r="CV77" s="51">
        <f t="shared" si="336"/>
        <v>19170</v>
      </c>
      <c r="CW77" s="51">
        <f t="shared" si="390"/>
        <v>7830</v>
      </c>
      <c r="CX77" s="54">
        <f t="shared" si="391"/>
        <v>0</v>
      </c>
      <c r="CY77" s="55">
        <f t="shared" si="392"/>
        <v>0</v>
      </c>
      <c r="CZ77" s="56">
        <f>IF(AND($E77&lt;&gt;0,$F77&gt;0,YEAR($F77)&gt;=Preisindex!$A$6,YEAR(CU$4)&gt;=YEAR($F77),AND($K77&lt;&gt;"a",$K77&lt;&gt;"b",$K77&lt;&gt;"g",$K77&lt;&gt;"k")),1,IF(AND($E77&lt;&gt;0,$F77&gt;0,YEAR($F77)&gt;=Preisindex!$A$6,YEAR(CU$4)&gt;=YEAR($F77),$K77="a"),ROUND(VLOOKUP(CZ$4,Preisindex,5,FALSE)/VLOOKUP(YEAR($F77),Preisindex,5,FALSE),2),IF(AND($E77&lt;&gt;0,$F77&gt;0,YEAR($F77)&gt;=Preisindex!$A$6,YEAR(CU$4)&gt;=YEAR($F77),$K77="b"),ROUND(VLOOKUP(CZ$4,Preisindex,3,FALSE)/VLOOKUP(YEAR($F77),Preisindex,3,FALSE),2),IF(AND($E77&lt;&gt;0,$F77&gt;0,YEAR($F77)&gt;=Preisindex!$A$6,YEAR(CU$4)&gt;=YEAR($F77),$K77="g"),ROUND(VLOOKUP(CZ$4,Preisindex,4,FALSE)/VLOOKUP(YEAR($F77),Preisindex,4,FALSE),2),IF(AND($E77&lt;&gt;0,$F77&gt;0,YEAR($F77)&gt;=Preisindex!$A$6,YEAR(CU$4)&gt;=YEAR($F77),$K77="k"),ROUND(VLOOKUP(CZ$4,Preisindex,2,FALSE)/VLOOKUP(YEAR($F77),Preisindex,2,FALSE),2),0)))))</f>
        <v>1.3</v>
      </c>
      <c r="DA77" s="56">
        <f>IF(AND($E77&lt;&gt;0,$F77&gt;0,YEAR($F77)&lt;Preisindex!$A$6,YEAR(CU$4)&gt;=YEAR($F77),AND($K77&lt;&gt;"a",$K77&lt;&gt;"b",$K77&lt;&gt;"g",$K77&lt;&gt;"k")),1,IF(AND($E77&lt;&gt;0,$F77&gt;0,YEAR($F77)&lt;Preisindex!$A$6,YEAR(CU$4)&gt;=YEAR($F77),$K77="a"),ROUND(VLOOKUP(CZ$4,Preisindex,5,FALSE)/VLOOKUP(Preisindex!$A$6,Preisindex,5,FALSE),2),IF(AND($E77&lt;&gt;0,$F77&gt;0,YEAR($F77)&lt;Preisindex!$A$6,YEAR(CU$4)&gt;=YEAR($F77),$K77="b"),ROUND(VLOOKUP(CZ$4,Preisindex,3,FALSE)/VLOOKUP(Preisindex!$A$6,Preisindex,3,FALSE),2),IF(AND($E77&lt;&gt;0,$F77&gt;0,YEAR($F77)&lt;Preisindex!$A$6,YEAR(CU$4)&gt;=YEAR($F77),$K77="g"),ROUND(VLOOKUP(CZ$4,Preisindex,4,FALSE)/VLOOKUP(Preisindex!$A$6,Preisindex,4,FALSE),2),IF(AND($E77&lt;&gt;0,$F77&gt;0,YEAR($F77)&lt;Preisindex!$A$6,YEAR(CU$4)&gt;=YEAR($F77),$K77="k"),ROUND(VLOOKUP(CZ$4,Preisindex,2,FALSE)/VLOOKUP(Preisindex!$A$6,Preisindex,2,FALSE),2),0)))))</f>
        <v>0</v>
      </c>
      <c r="DB77" s="51">
        <f>IF(AND($E77&lt;&gt;0,$F77&gt;0,YEAR($F77)&lt;=CZ$4,YEAR($F77)&gt;=Preisindex!$A$6),ROUND($E77*CZ77,2),IF(AND($E77&lt;&gt;0,$F77&gt;0,YEAR($F77)&lt;=CZ$4,YEAR($F77)&lt;Preisindex!$A$6),ROUND($E77*DA77,2),0))</f>
        <v>35100</v>
      </c>
      <c r="DC77" s="53">
        <f t="shared" si="393"/>
        <v>702</v>
      </c>
      <c r="DD77" s="51">
        <f t="shared" si="394"/>
        <v>0</v>
      </c>
      <c r="DE77" s="51">
        <f t="shared" si="337"/>
        <v>0</v>
      </c>
      <c r="DF77" s="51">
        <f t="shared" si="395"/>
        <v>0</v>
      </c>
      <c r="DG77" s="51">
        <f t="shared" si="338"/>
        <v>0</v>
      </c>
      <c r="DH77" s="51">
        <f t="shared" si="396"/>
        <v>27000</v>
      </c>
      <c r="DI77" s="51">
        <f t="shared" si="339"/>
        <v>27000</v>
      </c>
      <c r="DJ77" s="51">
        <f t="shared" si="397"/>
        <v>540</v>
      </c>
      <c r="DK77" s="51">
        <f t="shared" si="340"/>
        <v>540</v>
      </c>
      <c r="DL77" s="51">
        <f t="shared" si="398"/>
        <v>18630</v>
      </c>
      <c r="DM77" s="51">
        <f t="shared" si="341"/>
        <v>18630</v>
      </c>
      <c r="DN77" s="51">
        <f t="shared" si="399"/>
        <v>8370</v>
      </c>
      <c r="DO77" s="54">
        <f t="shared" si="400"/>
        <v>0</v>
      </c>
      <c r="DP77" s="55">
        <f t="shared" si="401"/>
        <v>0</v>
      </c>
      <c r="DQ77" s="56">
        <f>IF(AND($E77&lt;&gt;0,$F77&gt;0,YEAR($F77)&gt;=Preisindex!$A$6,YEAR(DL$4)&gt;=YEAR($F77),AND($K77&lt;&gt;"a",$K77&lt;&gt;"b",$K77&lt;&gt;"g",$K77&lt;&gt;"k")),1,IF(AND($E77&lt;&gt;0,$F77&gt;0,YEAR($F77)&gt;=Preisindex!$A$6,YEAR(DL$4)&gt;=YEAR($F77),$K77="a"),ROUND(VLOOKUP(DQ$4,Preisindex,5,FALSE)/VLOOKUP(YEAR($F77),Preisindex,5,FALSE),2),IF(AND($E77&lt;&gt;0,$F77&gt;0,YEAR($F77)&gt;=Preisindex!$A$6,YEAR(DL$4)&gt;=YEAR($F77),$K77="b"),ROUND(VLOOKUP(DQ$4,Preisindex,3,FALSE)/VLOOKUP(YEAR($F77),Preisindex,3,FALSE),2),IF(AND($E77&lt;&gt;0,$F77&gt;0,YEAR($F77)&gt;=Preisindex!$A$6,YEAR(DL$4)&gt;=YEAR($F77),$K77="g"),ROUND(VLOOKUP(DQ$4,Preisindex,4,FALSE)/VLOOKUP(YEAR($F77),Preisindex,4,FALSE),2),IF(AND($E77&lt;&gt;0,$F77&gt;0,YEAR($F77)&gt;=Preisindex!$A$6,YEAR(DL$4)&gt;=YEAR($F77),$K77="k"),ROUND(VLOOKUP(DQ$4,Preisindex,2,FALSE)/VLOOKUP(YEAR($F77),Preisindex,2,FALSE),2),0)))))</f>
        <v>1.34</v>
      </c>
      <c r="DR77" s="56">
        <f>IF(AND($E77&lt;&gt;0,$F77&gt;0,YEAR($F77)&lt;Preisindex!$A$6,YEAR(DL$4)&gt;=YEAR($F77),AND($K77&lt;&gt;"a",$K77&lt;&gt;"b",$K77&lt;&gt;"g",$K77&lt;&gt;"k")),1,IF(AND($E77&lt;&gt;0,$F77&gt;0,YEAR($F77)&lt;Preisindex!$A$6,YEAR(DL$4)&gt;=YEAR($F77),$K77="a"),ROUND(VLOOKUP(DQ$4,Preisindex,5,FALSE)/VLOOKUP(Preisindex!$A$6,Preisindex,5,FALSE),2),IF(AND($E77&lt;&gt;0,$F77&gt;0,YEAR($F77)&lt;Preisindex!$A$6,YEAR(DL$4)&gt;=YEAR($F77),$K77="b"),ROUND(VLOOKUP(DQ$4,Preisindex,3,FALSE)/VLOOKUP(Preisindex!$A$6,Preisindex,3,FALSE),2),IF(AND($E77&lt;&gt;0,$F77&gt;0,YEAR($F77)&lt;Preisindex!$A$6,YEAR(DL$4)&gt;=YEAR($F77),$K77="g"),ROUND(VLOOKUP(DQ$4,Preisindex,4,FALSE)/VLOOKUP(Preisindex!$A$6,Preisindex,4,FALSE),2),IF(AND($E77&lt;&gt;0,$F77&gt;0,YEAR($F77)&lt;Preisindex!$A$6,YEAR(DL$4)&gt;=YEAR($F77),$K77="k"),ROUND(VLOOKUP(DQ$4,Preisindex,2,FALSE)/VLOOKUP(Preisindex!$A$6,Preisindex,2,FALSE),2),0)))))</f>
        <v>0</v>
      </c>
      <c r="DS77" s="51">
        <f>IF(AND($E77&lt;&gt;0,$F77&gt;0,YEAR($F77)&lt;=DQ$4,YEAR($F77)&gt;=Preisindex!$A$6),ROUND($E77*DQ77,2),IF(AND($E77&lt;&gt;0,$F77&gt;0,YEAR($F77)&lt;=DQ$4,YEAR($F77)&lt;Preisindex!$A$6),ROUND($E77*DR77,2),0))</f>
        <v>36180</v>
      </c>
      <c r="DT77" s="53">
        <f t="shared" si="402"/>
        <v>723.6</v>
      </c>
      <c r="DU77" s="51">
        <f t="shared" si="394"/>
        <v>0</v>
      </c>
      <c r="DV77" s="51">
        <f t="shared" si="342"/>
        <v>0</v>
      </c>
      <c r="DW77" s="51">
        <f t="shared" si="403"/>
        <v>0</v>
      </c>
      <c r="DX77" s="51">
        <f t="shared" si="343"/>
        <v>0</v>
      </c>
      <c r="DY77" s="51">
        <f t="shared" si="404"/>
        <v>27000</v>
      </c>
      <c r="DZ77" s="51">
        <f t="shared" si="344"/>
        <v>27000</v>
      </c>
      <c r="EA77" s="51">
        <f t="shared" si="405"/>
        <v>540</v>
      </c>
      <c r="EB77" s="51">
        <f t="shared" si="345"/>
        <v>540</v>
      </c>
      <c r="EC77" s="51">
        <f t="shared" si="406"/>
        <v>18090</v>
      </c>
      <c r="ED77" s="51">
        <f t="shared" si="346"/>
        <v>18090</v>
      </c>
      <c r="EE77" s="51">
        <f t="shared" si="407"/>
        <v>8910</v>
      </c>
      <c r="EF77" s="54">
        <f t="shared" si="408"/>
        <v>0</v>
      </c>
      <c r="EG77" s="55">
        <f t="shared" si="409"/>
        <v>0</v>
      </c>
      <c r="EH77" s="56">
        <f>IF(AND($E77&lt;&gt;0,$F77&gt;0,YEAR($F77)&gt;=Preisindex!$A$6,YEAR(EC$4)&gt;=YEAR($F77),AND($K77&lt;&gt;"a",$K77&lt;&gt;"b",$K77&lt;&gt;"g",$K77&lt;&gt;"k")),1,IF(AND($E77&lt;&gt;0,$F77&gt;0,YEAR($F77)&gt;=Preisindex!$A$6,YEAR(EC$4)&gt;=YEAR($F77),$K77="a"),ROUND(VLOOKUP(EH$4,Preisindex,5,FALSE)/VLOOKUP(YEAR($F77),Preisindex,5,FALSE),2),IF(AND($E77&lt;&gt;0,$F77&gt;0,YEAR($F77)&gt;=Preisindex!$A$6,YEAR(EC$4)&gt;=YEAR($F77),$K77="b"),ROUND(VLOOKUP(EH$4,Preisindex,3,FALSE)/VLOOKUP(YEAR($F77),Preisindex,3,FALSE),2),IF(AND($E77&lt;&gt;0,$F77&gt;0,YEAR($F77)&gt;=Preisindex!$A$6,YEAR(EC$4)&gt;=YEAR($F77),$K77="g"),ROUND(VLOOKUP(EH$4,Preisindex,4,FALSE)/VLOOKUP(YEAR($F77),Preisindex,4,FALSE),2),IF(AND($E77&lt;&gt;0,$F77&gt;0,YEAR($F77)&gt;=Preisindex!$A$6,YEAR(EC$4)&gt;=YEAR($F77),$K77="k"),ROUND(VLOOKUP(EH$4,Preisindex,2,FALSE)/VLOOKUP(YEAR($F77),Preisindex,2,FALSE),2),0)))))</f>
        <v>1.41</v>
      </c>
      <c r="EI77" s="56">
        <f>IF(AND($E77&lt;&gt;0,$F77&gt;0,YEAR($F77)&lt;Preisindex!$A$6,YEAR(EC$4)&gt;=YEAR($F77),AND($K77&lt;&gt;"a",$K77&lt;&gt;"b",$K77&lt;&gt;"g",$K77&lt;&gt;"k")),1,IF(AND($E77&lt;&gt;0,$F77&gt;0,YEAR($F77)&lt;Preisindex!$A$6,YEAR(EC$4)&gt;=YEAR($F77),$K77="a"),ROUND(VLOOKUP(EH$4,Preisindex,5,FALSE)/VLOOKUP(Preisindex!$A$6,Preisindex,5,FALSE),2),IF(AND($E77&lt;&gt;0,$F77&gt;0,YEAR($F77)&lt;Preisindex!$A$6,YEAR(EC$4)&gt;=YEAR($F77),$K77="b"),ROUND(VLOOKUP(EH$4,Preisindex,3,FALSE)/VLOOKUP(Preisindex!$A$6,Preisindex,3,FALSE),2),IF(AND($E77&lt;&gt;0,$F77&gt;0,YEAR($F77)&lt;Preisindex!$A$6,YEAR(EC$4)&gt;=YEAR($F77),$K77="g"),ROUND(VLOOKUP(EH$4,Preisindex,4,FALSE)/VLOOKUP(Preisindex!$A$6,Preisindex,4,FALSE),2),IF(AND($E77&lt;&gt;0,$F77&gt;0,YEAR($F77)&lt;Preisindex!$A$6,YEAR(EC$4)&gt;=YEAR($F77),$K77="k"),ROUND(VLOOKUP(EH$4,Preisindex,2,FALSE)/VLOOKUP(Preisindex!$A$6,Preisindex,2,FALSE),2),0)))))</f>
        <v>0</v>
      </c>
      <c r="EJ77" s="51">
        <f>IF(AND($E77&lt;&gt;0,$F77&gt;0,YEAR($F77)&lt;=EH$4,YEAR($F77)&gt;=Preisindex!$A$6),ROUND($E77*EH77,2),IF(AND($E77&lt;&gt;0,$F77&gt;0,YEAR($F77)&lt;=EH$4,YEAR($F77)&lt;Preisindex!$A$6),ROUND($E77*EI77,2),0))</f>
        <v>38070</v>
      </c>
      <c r="EK77" s="53">
        <f t="shared" si="410"/>
        <v>761.4</v>
      </c>
      <c r="EL77" s="51">
        <f t="shared" si="394"/>
        <v>0</v>
      </c>
      <c r="EM77" s="51">
        <f t="shared" si="347"/>
        <v>0</v>
      </c>
      <c r="EN77" s="51">
        <f t="shared" si="411"/>
        <v>0</v>
      </c>
      <c r="EO77" s="51">
        <f t="shared" si="348"/>
        <v>0</v>
      </c>
      <c r="EP77" s="51">
        <f t="shared" si="412"/>
        <v>27000</v>
      </c>
      <c r="EQ77" s="51">
        <f t="shared" si="349"/>
        <v>27000</v>
      </c>
      <c r="ER77" s="51">
        <f t="shared" si="413"/>
        <v>540</v>
      </c>
      <c r="ES77" s="51">
        <f t="shared" si="350"/>
        <v>540</v>
      </c>
      <c r="ET77" s="51">
        <f t="shared" si="414"/>
        <v>17550</v>
      </c>
      <c r="EU77" s="51">
        <f t="shared" si="351"/>
        <v>17550</v>
      </c>
      <c r="EV77" s="51">
        <f t="shared" si="415"/>
        <v>9450</v>
      </c>
      <c r="EW77" s="54">
        <f t="shared" si="416"/>
        <v>0</v>
      </c>
      <c r="EX77" s="55">
        <f t="shared" si="417"/>
        <v>0</v>
      </c>
      <c r="EY77" s="56">
        <f>IF(AND($E77&lt;&gt;0,$F77&gt;0,YEAR($F77)&gt;=Preisindex!$A$6,YEAR(ET$4)&gt;=YEAR($F77),AND($K77&lt;&gt;"a",$K77&lt;&gt;"b",$K77&lt;&gt;"g",$K77&lt;&gt;"k")),1,IF(AND($E77&lt;&gt;0,$F77&gt;0,YEAR($F77)&gt;=Preisindex!$A$6,YEAR(ET$4)&gt;=YEAR($F77),$K77="a"),ROUND(VLOOKUP(EY$4,Preisindex,5,FALSE)/VLOOKUP(YEAR($F77),Preisindex,5,FALSE),2),IF(AND($E77&lt;&gt;0,$F77&gt;0,YEAR($F77)&gt;=Preisindex!$A$6,YEAR(ET$4)&gt;=YEAR($F77),$K77="b"),ROUND(VLOOKUP(EY$4,Preisindex,3,FALSE)/VLOOKUP(YEAR($F77),Preisindex,3,FALSE),2),IF(AND($E77&lt;&gt;0,$F77&gt;0,YEAR($F77)&gt;=Preisindex!$A$6,YEAR(ET$4)&gt;=YEAR($F77),$K77="g"),ROUND(VLOOKUP(EY$4,Preisindex,4,FALSE)/VLOOKUP(YEAR($F77),Preisindex,4,FALSE),2),IF(AND($E77&lt;&gt;0,$F77&gt;0,YEAR($F77)&gt;=Preisindex!$A$6,YEAR(ET$4)&gt;=YEAR($F77),$K77="k"),ROUND(VLOOKUP(EY$4,Preisindex,2,FALSE)/VLOOKUP(YEAR($F77),Preisindex,2,FALSE),2),0)))))</f>
        <v>1.41</v>
      </c>
      <c r="EZ77" s="56">
        <f>IF(AND($E77&lt;&gt;0,$F77&gt;0,YEAR($F77)&lt;Preisindex!$A$6,YEAR(ET$4)&gt;=YEAR($F77),AND($K77&lt;&gt;"a",$K77&lt;&gt;"b",$K77&lt;&gt;"g",$K77&lt;&gt;"k")),1,IF(AND($E77&lt;&gt;0,$F77&gt;0,YEAR($F77)&lt;Preisindex!$A$6,YEAR(ET$4)&gt;=YEAR($F77),$K77="a"),ROUND(VLOOKUP(EY$4,Preisindex,5,FALSE)/VLOOKUP(Preisindex!$A$6,Preisindex,5,FALSE),2),IF(AND($E77&lt;&gt;0,$F77&gt;0,YEAR($F77)&lt;Preisindex!$A$6,YEAR(ET$4)&gt;=YEAR($F77),$K77="b"),ROUND(VLOOKUP(EY$4,Preisindex,3,FALSE)/VLOOKUP(Preisindex!$A$6,Preisindex,3,FALSE),2),IF(AND($E77&lt;&gt;0,$F77&gt;0,YEAR($F77)&lt;Preisindex!$A$6,YEAR(ET$4)&gt;=YEAR($F77),$K77="g"),ROUND(VLOOKUP(EY$4,Preisindex,4,FALSE)/VLOOKUP(Preisindex!$A$6,Preisindex,4,FALSE),2),IF(AND($E77&lt;&gt;0,$F77&gt;0,YEAR($F77)&lt;Preisindex!$A$6,YEAR(ET$4)&gt;=YEAR($F77),$K77="k"),ROUND(VLOOKUP(EY$4,Preisindex,2,FALSE)/VLOOKUP(Preisindex!$A$6,Preisindex,2,FALSE),2),0)))))</f>
        <v>0</v>
      </c>
      <c r="FA77" s="51">
        <f>IF(AND($E77&lt;&gt;0,$F77&gt;0,YEAR($F77)&lt;=EY$4,YEAR($F77)&gt;=Preisindex!$A$6),ROUND($E77*EY77,2),IF(AND($E77&lt;&gt;0,$F77&gt;0,YEAR($F77)&lt;=EY$4,YEAR($F77)&lt;Preisindex!$A$6),ROUND($E77*EZ77,2),0))</f>
        <v>38070</v>
      </c>
      <c r="FB77" s="53">
        <f t="shared" si="418"/>
        <v>761.4</v>
      </c>
      <c r="FC77" s="51">
        <f t="shared" si="394"/>
        <v>0</v>
      </c>
      <c r="FD77" s="51">
        <f t="shared" si="352"/>
        <v>0</v>
      </c>
      <c r="FE77" s="51">
        <f t="shared" si="419"/>
        <v>0</v>
      </c>
      <c r="FF77" s="51">
        <f t="shared" si="353"/>
        <v>0</v>
      </c>
      <c r="FG77" s="51">
        <f t="shared" si="420"/>
        <v>27000</v>
      </c>
      <c r="FH77" s="51">
        <f t="shared" si="354"/>
        <v>27000</v>
      </c>
      <c r="FI77" s="51">
        <f t="shared" si="421"/>
        <v>540</v>
      </c>
      <c r="FJ77" s="51">
        <f t="shared" si="355"/>
        <v>540</v>
      </c>
      <c r="FK77" s="51">
        <f t="shared" si="422"/>
        <v>17010</v>
      </c>
      <c r="FL77" s="51">
        <f t="shared" si="356"/>
        <v>17010</v>
      </c>
      <c r="FM77" s="51">
        <f t="shared" si="423"/>
        <v>9990</v>
      </c>
      <c r="FN77" s="54">
        <f t="shared" si="424"/>
        <v>0</v>
      </c>
      <c r="FO77" s="55">
        <f t="shared" si="425"/>
        <v>0</v>
      </c>
      <c r="FP77" s="56">
        <f>IF(AND($E77&lt;&gt;0,$F77&gt;0,YEAR($F77)&gt;=Preisindex!$A$6,YEAR(FK$4)&gt;=YEAR($F77),AND($K77&lt;&gt;"a",$K77&lt;&gt;"b",$K77&lt;&gt;"g",$K77&lt;&gt;"k")),1,IF(AND($E77&lt;&gt;0,$F77&gt;0,YEAR($F77)&gt;=Preisindex!$A$6,YEAR(FK$4)&gt;=YEAR($F77),$K77="a"),ROUND(VLOOKUP(FP$4,Preisindex,5,FALSE)/VLOOKUP(YEAR($F77),Preisindex,5,FALSE),2),IF(AND($E77&lt;&gt;0,$F77&gt;0,YEAR($F77)&gt;=Preisindex!$A$6,YEAR(FK$4)&gt;=YEAR($F77),$K77="b"),ROUND(VLOOKUP(FP$4,Preisindex,3,FALSE)/VLOOKUP(YEAR($F77),Preisindex,3,FALSE),2),IF(AND($E77&lt;&gt;0,$F77&gt;0,YEAR($F77)&gt;=Preisindex!$A$6,YEAR(FK$4)&gt;=YEAR($F77),$K77="g"),ROUND(VLOOKUP(FP$4,Preisindex,4,FALSE)/VLOOKUP(YEAR($F77),Preisindex,4,FALSE),2),IF(AND($E77&lt;&gt;0,$F77&gt;0,YEAR($F77)&gt;=Preisindex!$A$6,YEAR(FK$4)&gt;=YEAR($F77),$K77="k"),ROUND(VLOOKUP(FP$4,Preisindex,2,FALSE)/VLOOKUP(YEAR($F77),Preisindex,2,FALSE),2),0)))))</f>
        <v>1.41</v>
      </c>
      <c r="FQ77" s="56">
        <f>IF(AND($E77&lt;&gt;0,$F77&gt;0,YEAR($F77)&lt;Preisindex!$A$6,YEAR(FK$4)&gt;=YEAR($F77),AND($K77&lt;&gt;"a",$K77&lt;&gt;"b",$K77&lt;&gt;"g",$K77&lt;&gt;"k")),1,IF(AND($E77&lt;&gt;0,$F77&gt;0,YEAR($F77)&lt;Preisindex!$A$6,YEAR(FK$4)&gt;=YEAR($F77),$K77="a"),ROUND(VLOOKUP(FP$4,Preisindex,5,FALSE)/VLOOKUP(Preisindex!$A$6,Preisindex,5,FALSE),2),IF(AND($E77&lt;&gt;0,$F77&gt;0,YEAR($F77)&lt;Preisindex!$A$6,YEAR(FK$4)&gt;=YEAR($F77),$K77="b"),ROUND(VLOOKUP(FP$4,Preisindex,3,FALSE)/VLOOKUP(Preisindex!$A$6,Preisindex,3,FALSE),2),IF(AND($E77&lt;&gt;0,$F77&gt;0,YEAR($F77)&lt;Preisindex!$A$6,YEAR(FK$4)&gt;=YEAR($F77),$K77="g"),ROUND(VLOOKUP(FP$4,Preisindex,4,FALSE)/VLOOKUP(Preisindex!$A$6,Preisindex,4,FALSE),2),IF(AND($E77&lt;&gt;0,$F77&gt;0,YEAR($F77)&lt;Preisindex!$A$6,YEAR(FK$4)&gt;=YEAR($F77),$K77="k"),ROUND(VLOOKUP(FP$4,Preisindex,2,FALSE)/VLOOKUP(Preisindex!$A$6,Preisindex,2,FALSE),2),0)))))</f>
        <v>0</v>
      </c>
      <c r="FR77" s="51">
        <f>IF(AND($E77&lt;&gt;0,$F77&gt;0,YEAR($F77)&lt;=FP$4,YEAR($F77)&gt;=Preisindex!$A$6),ROUND($E77*FP77,2),IF(AND($E77&lt;&gt;0,$F77&gt;0,YEAR($F77)&lt;=FP$4,YEAR($F77)&lt;Preisindex!$A$6),ROUND($E77*FQ77,2),0))</f>
        <v>38070</v>
      </c>
      <c r="FS77" s="53">
        <f t="shared" si="426"/>
        <v>761.4</v>
      </c>
    </row>
    <row r="78" spans="1:175" x14ac:dyDescent="0.3">
      <c r="A78" s="93">
        <v>2003</v>
      </c>
      <c r="B78" s="94" t="s">
        <v>262</v>
      </c>
      <c r="C78" s="94"/>
      <c r="D78" s="95" t="s">
        <v>60</v>
      </c>
      <c r="E78" s="99">
        <v>19500</v>
      </c>
      <c r="F78" s="97">
        <v>37803</v>
      </c>
      <c r="G78" s="98">
        <v>50</v>
      </c>
      <c r="H78" s="620"/>
      <c r="I78" s="193"/>
      <c r="J78" s="194"/>
      <c r="K78" s="630" t="s">
        <v>266</v>
      </c>
      <c r="L78" s="49">
        <f t="shared" si="427"/>
        <v>0.02</v>
      </c>
      <c r="M78" s="50">
        <f t="shared" si="428"/>
        <v>390</v>
      </c>
      <c r="N78" s="51">
        <f t="shared" si="429"/>
        <v>16185</v>
      </c>
      <c r="O78" s="51"/>
      <c r="P78" s="51">
        <f t="shared" si="430"/>
        <v>3315</v>
      </c>
      <c r="Q78" s="52"/>
      <c r="R78" s="52"/>
      <c r="S78" s="52"/>
      <c r="T78" s="52"/>
      <c r="U78" s="52"/>
      <c r="V78" s="53">
        <f t="shared" si="431"/>
        <v>19500</v>
      </c>
      <c r="W78" s="51">
        <f t="shared" si="432"/>
        <v>0</v>
      </c>
      <c r="X78" s="51">
        <f t="shared" si="433"/>
        <v>0</v>
      </c>
      <c r="Y78" s="51">
        <f t="shared" si="434"/>
        <v>0</v>
      </c>
      <c r="Z78" s="51">
        <f t="shared" si="435"/>
        <v>0</v>
      </c>
      <c r="AA78" s="51">
        <f t="shared" si="436"/>
        <v>19500</v>
      </c>
      <c r="AB78" s="51">
        <f t="shared" si="437"/>
        <v>19500</v>
      </c>
      <c r="AC78" s="51">
        <f t="shared" si="438"/>
        <v>390</v>
      </c>
      <c r="AD78" s="51">
        <f t="shared" si="439"/>
        <v>390</v>
      </c>
      <c r="AE78" s="51">
        <f t="shared" si="440"/>
        <v>15795</v>
      </c>
      <c r="AF78" s="51">
        <f t="shared" si="441"/>
        <v>15795</v>
      </c>
      <c r="AG78" s="51">
        <f t="shared" si="442"/>
        <v>3705</v>
      </c>
      <c r="AH78" s="54">
        <f t="shared" si="443"/>
        <v>0</v>
      </c>
      <c r="AI78" s="55">
        <f t="shared" si="444"/>
        <v>0</v>
      </c>
      <c r="AJ78" s="56">
        <f>IF(AND($E78&lt;&gt;0,$F78&gt;0,YEAR($F78)&gt;=Preisindex!$A$6,YEAR(AE$4)&gt;=YEAR($F78),AND($K78&lt;&gt;"a",$K78&lt;&gt;"b",$K78&lt;&gt;"g",$K78&lt;&gt;"k")),1,IF(AND($E78&lt;&gt;0,$F78&gt;0,YEAR($F78)&gt;=Preisindex!$A$6,YEAR(AE$4)&gt;=YEAR($F78),$K78="a"),ROUND(VLOOKUP(AJ$4,Preisindex,5,FALSE)/VLOOKUP(YEAR($F78),Preisindex,5,FALSE),2),IF(AND($E78&lt;&gt;0,$F78&gt;0,YEAR($F78)&gt;=Preisindex!$A$6,YEAR(AE$4)&gt;=YEAR($F78),$K78="b"),ROUND(VLOOKUP(AJ$4,Preisindex,3,FALSE)/VLOOKUP(YEAR($F78),Preisindex,3,FALSE),2),IF(AND($E78&lt;&gt;0,$F78&gt;0,YEAR($F78)&gt;=Preisindex!$A$6,YEAR(AE$4)&gt;=YEAR($F78),$K78="g"),ROUND(VLOOKUP(AJ$4,Preisindex,4,FALSE)/VLOOKUP(YEAR($F78),Preisindex,4,FALSE),2),IF(AND($E78&lt;&gt;0,$F78&gt;0,YEAR($F78)&gt;=Preisindex!$A$6,YEAR(AE$4)&gt;=YEAR($F78),$K78="k"),ROUND(VLOOKUP(AJ$4,Preisindex,2,FALSE)/VLOOKUP(YEAR($F78),Preisindex,2,FALSE),2),0)))))</f>
        <v>1.23</v>
      </c>
      <c r="AK78" s="56">
        <f>IF(AND($E78&lt;&gt;0,$F78&gt;0,YEAR($F78)&lt;Preisindex!$A$6,YEAR(AE$4)&gt;=YEAR($F78),AND($K78&lt;&gt;"a",$K78&lt;&gt;"b",$K78&lt;&gt;"g",$K78&lt;&gt;"k")),1,IF(AND($E78&lt;&gt;0,$F78&gt;0,YEAR($F78)&lt;Preisindex!$A$6,YEAR(AE$4)&gt;=YEAR($F78),$K78="a"),ROUND(VLOOKUP(AJ$4,Preisindex,5,FALSE)/VLOOKUP(Preisindex!$A$6,Preisindex,5,FALSE),2),IF(AND($E78&lt;&gt;0,$F78&gt;0,YEAR($F78)&lt;Preisindex!$A$6,YEAR(AE$4)&gt;=YEAR($F78),$K78="b"),ROUND(VLOOKUP(AJ$4,Preisindex,3,FALSE)/VLOOKUP(Preisindex!$A$6,Preisindex,3,FALSE),2),IF(AND($E78&lt;&gt;0,$F78&gt;0,YEAR($F78)&lt;Preisindex!$A$6,YEAR(AE$4)&gt;=YEAR($F78),$K78="g"),ROUND(VLOOKUP(AJ$4,Preisindex,4,FALSE)/VLOOKUP(Preisindex!$A$6,Preisindex,4,FALSE),2),IF(AND($E78&lt;&gt;0,$F78&gt;0,YEAR($F78)&lt;Preisindex!$A$6,YEAR(AE$4)&gt;=YEAR($F78),$K78="k"),ROUND(VLOOKUP(AJ$4,Preisindex,2,FALSE)/VLOOKUP(Preisindex!$A$6,Preisindex,2,FALSE),2),0)))))</f>
        <v>0</v>
      </c>
      <c r="AL78" s="51">
        <f>IF(AND($E78&lt;&gt;0,$F78&gt;0,YEAR($F78)&lt;=AJ$4,YEAR($F78)&gt;=Preisindex!$A$6),ROUND($E78*AJ78,2),IF(AND($E78&lt;&gt;0,$F78&gt;0,YEAR($F78)&lt;=AJ$4,YEAR($F78)&lt;Preisindex!$A$6),ROUND($E78*AK78,2),0))</f>
        <v>23985</v>
      </c>
      <c r="AM78" s="53">
        <f t="shared" si="445"/>
        <v>479.7</v>
      </c>
      <c r="AN78" s="51">
        <f t="shared" si="361"/>
        <v>0</v>
      </c>
      <c r="AO78" s="51">
        <f t="shared" si="317"/>
        <v>0</v>
      </c>
      <c r="AP78" s="51">
        <f t="shared" si="362"/>
        <v>0</v>
      </c>
      <c r="AQ78" s="51">
        <f t="shared" si="318"/>
        <v>0</v>
      </c>
      <c r="AR78" s="51">
        <f t="shared" si="363"/>
        <v>19500</v>
      </c>
      <c r="AS78" s="51">
        <f t="shared" si="319"/>
        <v>19500</v>
      </c>
      <c r="AT78" s="51">
        <f t="shared" si="364"/>
        <v>390</v>
      </c>
      <c r="AU78" s="51">
        <f t="shared" si="320"/>
        <v>390</v>
      </c>
      <c r="AV78" s="51">
        <f t="shared" si="365"/>
        <v>15405</v>
      </c>
      <c r="AW78" s="51">
        <f t="shared" si="321"/>
        <v>15405</v>
      </c>
      <c r="AX78" s="51">
        <f t="shared" si="366"/>
        <v>4095</v>
      </c>
      <c r="AY78" s="54">
        <f t="shared" si="367"/>
        <v>0</v>
      </c>
      <c r="AZ78" s="55">
        <f t="shared" si="368"/>
        <v>0</v>
      </c>
      <c r="BA78" s="56">
        <f>IF(AND($E78&lt;&gt;0,$F78&gt;0,YEAR($F78)&gt;=Preisindex!$A$6,YEAR(AV$4)&gt;=YEAR($F78),AND($K78&lt;&gt;"a",$K78&lt;&gt;"b",$K78&lt;&gt;"g",$K78&lt;&gt;"k")),1,IF(AND($E78&lt;&gt;0,$F78&gt;0,YEAR($F78)&gt;=Preisindex!$A$6,YEAR(AV$4)&gt;=YEAR($F78),$K78="a"),ROUND(VLOOKUP(BA$4,Preisindex,5,FALSE)/VLOOKUP(YEAR($F78),Preisindex,5,FALSE),2),IF(AND($E78&lt;&gt;0,$F78&gt;0,YEAR($F78)&gt;=Preisindex!$A$6,YEAR(AV$4)&gt;=YEAR($F78),$K78="b"),ROUND(VLOOKUP(BA$4,Preisindex,3,FALSE)/VLOOKUP(YEAR($F78),Preisindex,3,FALSE),2),IF(AND($E78&lt;&gt;0,$F78&gt;0,YEAR($F78)&gt;=Preisindex!$A$6,YEAR(AV$4)&gt;=YEAR($F78),$K78="g"),ROUND(VLOOKUP(BA$4,Preisindex,4,FALSE)/VLOOKUP(YEAR($F78),Preisindex,4,FALSE),2),IF(AND($E78&lt;&gt;0,$F78&gt;0,YEAR($F78)&gt;=Preisindex!$A$6,YEAR(AV$4)&gt;=YEAR($F78),$K78="k"),ROUND(VLOOKUP(BA$4,Preisindex,2,FALSE)/VLOOKUP(YEAR($F78),Preisindex,2,FALSE),2),0)))))</f>
        <v>1.25</v>
      </c>
      <c r="BB78" s="56">
        <f>IF(AND($E78&lt;&gt;0,$F78&gt;0,YEAR($F78)&lt;Preisindex!$A$6,YEAR(AV$4)&gt;=YEAR($F78),AND($K78&lt;&gt;"a",$K78&lt;&gt;"b",$K78&lt;&gt;"g",$K78&lt;&gt;"k")),1,IF(AND($E78&lt;&gt;0,$F78&gt;0,YEAR($F78)&lt;Preisindex!$A$6,YEAR(AV$4)&gt;=YEAR($F78),$K78="a"),ROUND(VLOOKUP(BA$4,Preisindex,5,FALSE)/VLOOKUP(Preisindex!$A$6,Preisindex,5,FALSE),2),IF(AND($E78&lt;&gt;0,$F78&gt;0,YEAR($F78)&lt;Preisindex!$A$6,YEAR(AV$4)&gt;=YEAR($F78),$K78="b"),ROUND(VLOOKUP(BA$4,Preisindex,3,FALSE)/VLOOKUP(Preisindex!$A$6,Preisindex,3,FALSE),2),IF(AND($E78&lt;&gt;0,$F78&gt;0,YEAR($F78)&lt;Preisindex!$A$6,YEAR(AV$4)&gt;=YEAR($F78),$K78="g"),ROUND(VLOOKUP(BA$4,Preisindex,4,FALSE)/VLOOKUP(Preisindex!$A$6,Preisindex,4,FALSE),2),IF(AND($E78&lt;&gt;0,$F78&gt;0,YEAR($F78)&lt;Preisindex!$A$6,YEAR(AV$4)&gt;=YEAR($F78),$K78="k"),ROUND(VLOOKUP(BA$4,Preisindex,2,FALSE)/VLOOKUP(Preisindex!$A$6,Preisindex,2,FALSE),2),0)))))</f>
        <v>0</v>
      </c>
      <c r="BC78" s="51">
        <f>IF(AND($E78&lt;&gt;0,$F78&gt;0,YEAR($F78)&lt;=BA$4,YEAR($F78)&gt;=Preisindex!$A$6),ROUND($E78*BA78,2),IF(AND($E78&lt;&gt;0,$F78&gt;0,YEAR($F78)&lt;=BA$4,YEAR($F78)&lt;Preisindex!$A$6),ROUND($E78*BB78,2),0))</f>
        <v>24375</v>
      </c>
      <c r="BD78" s="53">
        <f t="shared" si="369"/>
        <v>487.5</v>
      </c>
      <c r="BE78" s="51">
        <f t="shared" si="361"/>
        <v>0</v>
      </c>
      <c r="BF78" s="51">
        <f t="shared" si="322"/>
        <v>0</v>
      </c>
      <c r="BG78" s="51">
        <f t="shared" si="370"/>
        <v>0</v>
      </c>
      <c r="BH78" s="51">
        <f t="shared" si="323"/>
        <v>0</v>
      </c>
      <c r="BI78" s="51">
        <f t="shared" si="371"/>
        <v>19500</v>
      </c>
      <c r="BJ78" s="51">
        <f t="shared" si="324"/>
        <v>19500</v>
      </c>
      <c r="BK78" s="51">
        <f t="shared" si="372"/>
        <v>390</v>
      </c>
      <c r="BL78" s="51">
        <f t="shared" si="325"/>
        <v>390</v>
      </c>
      <c r="BM78" s="51">
        <f t="shared" si="373"/>
        <v>15015</v>
      </c>
      <c r="BN78" s="51">
        <f t="shared" si="326"/>
        <v>15015</v>
      </c>
      <c r="BO78" s="51">
        <f t="shared" si="374"/>
        <v>4485</v>
      </c>
      <c r="BP78" s="54">
        <f t="shared" si="375"/>
        <v>0</v>
      </c>
      <c r="BQ78" s="55">
        <f t="shared" si="376"/>
        <v>0</v>
      </c>
      <c r="BR78" s="56">
        <f>IF(AND($E78&lt;&gt;0,$F78&gt;0,YEAR($F78)&gt;=Preisindex!$A$6,YEAR(BM$4)&gt;=YEAR($F78),AND($K78&lt;&gt;"a",$K78&lt;&gt;"b",$K78&lt;&gt;"g",$K78&lt;&gt;"k")),1,IF(AND($E78&lt;&gt;0,$F78&gt;0,YEAR($F78)&gt;=Preisindex!$A$6,YEAR(BM$4)&gt;=YEAR($F78),$K78="a"),ROUND(VLOOKUP(BR$4,Preisindex,5,FALSE)/VLOOKUP(YEAR($F78),Preisindex,5,FALSE),2),IF(AND($E78&lt;&gt;0,$F78&gt;0,YEAR($F78)&gt;=Preisindex!$A$6,YEAR(BM$4)&gt;=YEAR($F78),$K78="b"),ROUND(VLOOKUP(BR$4,Preisindex,3,FALSE)/VLOOKUP(YEAR($F78),Preisindex,3,FALSE),2),IF(AND($E78&lt;&gt;0,$F78&gt;0,YEAR($F78)&gt;=Preisindex!$A$6,YEAR(BM$4)&gt;=YEAR($F78),$K78="g"),ROUND(VLOOKUP(BR$4,Preisindex,4,FALSE)/VLOOKUP(YEAR($F78),Preisindex,4,FALSE),2),IF(AND($E78&lt;&gt;0,$F78&gt;0,YEAR($F78)&gt;=Preisindex!$A$6,YEAR(BM$4)&gt;=YEAR($F78),$K78="k"),ROUND(VLOOKUP(BR$4,Preisindex,2,FALSE)/VLOOKUP(YEAR($F78),Preisindex,2,FALSE),2),0)))))</f>
        <v>1.27</v>
      </c>
      <c r="BS78" s="56">
        <f>IF(AND($E78&lt;&gt;0,$F78&gt;0,YEAR($F78)&lt;Preisindex!$A$6,YEAR(BM$4)&gt;=YEAR($F78),AND($K78&lt;&gt;"a",$K78&lt;&gt;"b",$K78&lt;&gt;"g",$K78&lt;&gt;"k")),1,IF(AND($E78&lt;&gt;0,$F78&gt;0,YEAR($F78)&lt;Preisindex!$A$6,YEAR(BM$4)&gt;=YEAR($F78),$K78="a"),ROUND(VLOOKUP(BR$4,Preisindex,5,FALSE)/VLOOKUP(Preisindex!$A$6,Preisindex,5,FALSE),2),IF(AND($E78&lt;&gt;0,$F78&gt;0,YEAR($F78)&lt;Preisindex!$A$6,YEAR(BM$4)&gt;=YEAR($F78),$K78="b"),ROUND(VLOOKUP(BR$4,Preisindex,3,FALSE)/VLOOKUP(Preisindex!$A$6,Preisindex,3,FALSE),2),IF(AND($E78&lt;&gt;0,$F78&gt;0,YEAR($F78)&lt;Preisindex!$A$6,YEAR(BM$4)&gt;=YEAR($F78),$K78="g"),ROUND(VLOOKUP(BR$4,Preisindex,4,FALSE)/VLOOKUP(Preisindex!$A$6,Preisindex,4,FALSE),2),IF(AND($E78&lt;&gt;0,$F78&gt;0,YEAR($F78)&lt;Preisindex!$A$6,YEAR(BM$4)&gt;=YEAR($F78),$K78="k"),ROUND(VLOOKUP(BR$4,Preisindex,2,FALSE)/VLOOKUP(Preisindex!$A$6,Preisindex,2,FALSE),2),0)))))</f>
        <v>0</v>
      </c>
      <c r="BT78" s="51">
        <f>IF(AND($E78&lt;&gt;0,$F78&gt;0,YEAR($F78)&lt;=BR$4,YEAR($F78)&gt;=Preisindex!$A$6),ROUND($E78*BR78,2),IF(AND($E78&lt;&gt;0,$F78&gt;0,YEAR($F78)&lt;=BR$4,YEAR($F78)&lt;Preisindex!$A$6),ROUND($E78*BS78,2),0))</f>
        <v>24765</v>
      </c>
      <c r="BU78" s="53">
        <f t="shared" si="377"/>
        <v>495.3</v>
      </c>
      <c r="BV78" s="51">
        <f t="shared" si="361"/>
        <v>0</v>
      </c>
      <c r="BW78" s="51">
        <f t="shared" si="327"/>
        <v>0</v>
      </c>
      <c r="BX78" s="51">
        <f t="shared" si="378"/>
        <v>0</v>
      </c>
      <c r="BY78" s="51">
        <f t="shared" si="328"/>
        <v>0</v>
      </c>
      <c r="BZ78" s="51">
        <f t="shared" si="379"/>
        <v>19500</v>
      </c>
      <c r="CA78" s="51">
        <f t="shared" si="329"/>
        <v>19500</v>
      </c>
      <c r="CB78" s="51">
        <f t="shared" si="380"/>
        <v>390</v>
      </c>
      <c r="CC78" s="51">
        <f t="shared" si="330"/>
        <v>390</v>
      </c>
      <c r="CD78" s="51">
        <f t="shared" si="381"/>
        <v>14625</v>
      </c>
      <c r="CE78" s="51">
        <f t="shared" si="331"/>
        <v>14625</v>
      </c>
      <c r="CF78" s="51">
        <f t="shared" si="382"/>
        <v>4875</v>
      </c>
      <c r="CG78" s="54">
        <f t="shared" si="383"/>
        <v>0</v>
      </c>
      <c r="CH78" s="55">
        <f t="shared" si="384"/>
        <v>0</v>
      </c>
      <c r="CI78" s="56">
        <f>IF(AND($E78&lt;&gt;0,$F78&gt;0,YEAR($F78)&gt;=Preisindex!$A$6,YEAR(CD$4)&gt;=YEAR($F78),AND($K78&lt;&gt;"a",$K78&lt;&gt;"b",$K78&lt;&gt;"g",$K78&lt;&gt;"k")),1,IF(AND($E78&lt;&gt;0,$F78&gt;0,YEAR($F78)&gt;=Preisindex!$A$6,YEAR(CD$4)&gt;=YEAR($F78),$K78="a"),ROUND(VLOOKUP(CI$4,Preisindex,5,FALSE)/VLOOKUP(YEAR($F78),Preisindex,5,FALSE),2),IF(AND($E78&lt;&gt;0,$F78&gt;0,YEAR($F78)&gt;=Preisindex!$A$6,YEAR(CD$4)&gt;=YEAR($F78),$K78="b"),ROUND(VLOOKUP(CI$4,Preisindex,3,FALSE)/VLOOKUP(YEAR($F78),Preisindex,3,FALSE),2),IF(AND($E78&lt;&gt;0,$F78&gt;0,YEAR($F78)&gt;=Preisindex!$A$6,YEAR(CD$4)&gt;=YEAR($F78),$K78="g"),ROUND(VLOOKUP(CI$4,Preisindex,4,FALSE)/VLOOKUP(YEAR($F78),Preisindex,4,FALSE),2),IF(AND($E78&lt;&gt;0,$F78&gt;0,YEAR($F78)&gt;=Preisindex!$A$6,YEAR(CD$4)&gt;=YEAR($F78),$K78="k"),ROUND(VLOOKUP(CI$4,Preisindex,2,FALSE)/VLOOKUP(YEAR($F78),Preisindex,2,FALSE),2),0)))))</f>
        <v>1.28</v>
      </c>
      <c r="CJ78" s="56">
        <f>IF(AND($E78&lt;&gt;0,$F78&gt;0,YEAR($F78)&lt;Preisindex!$A$6,YEAR(CD$4)&gt;=YEAR($F78),AND($K78&lt;&gt;"a",$K78&lt;&gt;"b",$K78&lt;&gt;"g",$K78&lt;&gt;"k")),1,IF(AND($E78&lt;&gt;0,$F78&gt;0,YEAR($F78)&lt;Preisindex!$A$6,YEAR(CD$4)&gt;=YEAR($F78),$K78="a"),ROUND(VLOOKUP(CI$4,Preisindex,5,FALSE)/VLOOKUP(Preisindex!$A$6,Preisindex,5,FALSE),2),IF(AND($E78&lt;&gt;0,$F78&gt;0,YEAR($F78)&lt;Preisindex!$A$6,YEAR(CD$4)&gt;=YEAR($F78),$K78="b"),ROUND(VLOOKUP(CI$4,Preisindex,3,FALSE)/VLOOKUP(Preisindex!$A$6,Preisindex,3,FALSE),2),IF(AND($E78&lt;&gt;0,$F78&gt;0,YEAR($F78)&lt;Preisindex!$A$6,YEAR(CD$4)&gt;=YEAR($F78),$K78="g"),ROUND(VLOOKUP(CI$4,Preisindex,4,FALSE)/VLOOKUP(Preisindex!$A$6,Preisindex,4,FALSE),2),IF(AND($E78&lt;&gt;0,$F78&gt;0,YEAR($F78)&lt;Preisindex!$A$6,YEAR(CD$4)&gt;=YEAR($F78),$K78="k"),ROUND(VLOOKUP(CI$4,Preisindex,2,FALSE)/VLOOKUP(Preisindex!$A$6,Preisindex,2,FALSE),2),0)))))</f>
        <v>0</v>
      </c>
      <c r="CK78" s="51">
        <f>IF(AND($E78&lt;&gt;0,$F78&gt;0,YEAR($F78)&lt;=CI$4,YEAR($F78)&gt;=Preisindex!$A$6),ROUND($E78*CI78,2),IF(AND($E78&lt;&gt;0,$F78&gt;0,YEAR($F78)&lt;=CI$4,YEAR($F78)&lt;Preisindex!$A$6),ROUND($E78*CJ78,2),0))</f>
        <v>24960</v>
      </c>
      <c r="CL78" s="53">
        <f t="shared" si="385"/>
        <v>499.2</v>
      </c>
      <c r="CM78" s="51">
        <f t="shared" si="361"/>
        <v>0</v>
      </c>
      <c r="CN78" s="51">
        <f t="shared" si="332"/>
        <v>0</v>
      </c>
      <c r="CO78" s="51">
        <f t="shared" si="386"/>
        <v>0</v>
      </c>
      <c r="CP78" s="51">
        <f t="shared" si="333"/>
        <v>0</v>
      </c>
      <c r="CQ78" s="51">
        <f t="shared" si="387"/>
        <v>19500</v>
      </c>
      <c r="CR78" s="51">
        <f t="shared" si="334"/>
        <v>19500</v>
      </c>
      <c r="CS78" s="51">
        <f t="shared" si="388"/>
        <v>390</v>
      </c>
      <c r="CT78" s="51">
        <f t="shared" si="335"/>
        <v>390</v>
      </c>
      <c r="CU78" s="51">
        <f t="shared" si="389"/>
        <v>14235</v>
      </c>
      <c r="CV78" s="51">
        <f t="shared" si="336"/>
        <v>14235</v>
      </c>
      <c r="CW78" s="51">
        <f t="shared" si="390"/>
        <v>5265</v>
      </c>
      <c r="CX78" s="54">
        <f t="shared" si="391"/>
        <v>0</v>
      </c>
      <c r="CY78" s="55">
        <f t="shared" si="392"/>
        <v>0</v>
      </c>
      <c r="CZ78" s="56">
        <f>IF(AND($E78&lt;&gt;0,$F78&gt;0,YEAR($F78)&gt;=Preisindex!$A$6,YEAR(CU$4)&gt;=YEAR($F78),AND($K78&lt;&gt;"a",$K78&lt;&gt;"b",$K78&lt;&gt;"g",$K78&lt;&gt;"k")),1,IF(AND($E78&lt;&gt;0,$F78&gt;0,YEAR($F78)&gt;=Preisindex!$A$6,YEAR(CU$4)&gt;=YEAR($F78),$K78="a"),ROUND(VLOOKUP(CZ$4,Preisindex,5,FALSE)/VLOOKUP(YEAR($F78),Preisindex,5,FALSE),2),IF(AND($E78&lt;&gt;0,$F78&gt;0,YEAR($F78)&gt;=Preisindex!$A$6,YEAR(CU$4)&gt;=YEAR($F78),$K78="b"),ROUND(VLOOKUP(CZ$4,Preisindex,3,FALSE)/VLOOKUP(YEAR($F78),Preisindex,3,FALSE),2),IF(AND($E78&lt;&gt;0,$F78&gt;0,YEAR($F78)&gt;=Preisindex!$A$6,YEAR(CU$4)&gt;=YEAR($F78),$K78="g"),ROUND(VLOOKUP(CZ$4,Preisindex,4,FALSE)/VLOOKUP(YEAR($F78),Preisindex,4,FALSE),2),IF(AND($E78&lt;&gt;0,$F78&gt;0,YEAR($F78)&gt;=Preisindex!$A$6,YEAR(CU$4)&gt;=YEAR($F78),$K78="k"),ROUND(VLOOKUP(CZ$4,Preisindex,2,FALSE)/VLOOKUP(YEAR($F78),Preisindex,2,FALSE),2),0)))))</f>
        <v>1.31</v>
      </c>
      <c r="DA78" s="56">
        <f>IF(AND($E78&lt;&gt;0,$F78&gt;0,YEAR($F78)&lt;Preisindex!$A$6,YEAR(CU$4)&gt;=YEAR($F78),AND($K78&lt;&gt;"a",$K78&lt;&gt;"b",$K78&lt;&gt;"g",$K78&lt;&gt;"k")),1,IF(AND($E78&lt;&gt;0,$F78&gt;0,YEAR($F78)&lt;Preisindex!$A$6,YEAR(CU$4)&gt;=YEAR($F78),$K78="a"),ROUND(VLOOKUP(CZ$4,Preisindex,5,FALSE)/VLOOKUP(Preisindex!$A$6,Preisindex,5,FALSE),2),IF(AND($E78&lt;&gt;0,$F78&gt;0,YEAR($F78)&lt;Preisindex!$A$6,YEAR(CU$4)&gt;=YEAR($F78),$K78="b"),ROUND(VLOOKUP(CZ$4,Preisindex,3,FALSE)/VLOOKUP(Preisindex!$A$6,Preisindex,3,FALSE),2),IF(AND($E78&lt;&gt;0,$F78&gt;0,YEAR($F78)&lt;Preisindex!$A$6,YEAR(CU$4)&gt;=YEAR($F78),$K78="g"),ROUND(VLOOKUP(CZ$4,Preisindex,4,FALSE)/VLOOKUP(Preisindex!$A$6,Preisindex,4,FALSE),2),IF(AND($E78&lt;&gt;0,$F78&gt;0,YEAR($F78)&lt;Preisindex!$A$6,YEAR(CU$4)&gt;=YEAR($F78),$K78="k"),ROUND(VLOOKUP(CZ$4,Preisindex,2,FALSE)/VLOOKUP(Preisindex!$A$6,Preisindex,2,FALSE),2),0)))))</f>
        <v>0</v>
      </c>
      <c r="DB78" s="51">
        <f>IF(AND($E78&lt;&gt;0,$F78&gt;0,YEAR($F78)&lt;=CZ$4,YEAR($F78)&gt;=Preisindex!$A$6),ROUND($E78*CZ78,2),IF(AND($E78&lt;&gt;0,$F78&gt;0,YEAR($F78)&lt;=CZ$4,YEAR($F78)&lt;Preisindex!$A$6),ROUND($E78*DA78,2),0))</f>
        <v>25545</v>
      </c>
      <c r="DC78" s="53">
        <f t="shared" si="393"/>
        <v>510.90000000000003</v>
      </c>
      <c r="DD78" s="51">
        <f t="shared" si="394"/>
        <v>0</v>
      </c>
      <c r="DE78" s="51">
        <f t="shared" si="337"/>
        <v>0</v>
      </c>
      <c r="DF78" s="51">
        <f t="shared" si="395"/>
        <v>0</v>
      </c>
      <c r="DG78" s="51">
        <f t="shared" si="338"/>
        <v>0</v>
      </c>
      <c r="DH78" s="51">
        <f t="shared" si="396"/>
        <v>19500</v>
      </c>
      <c r="DI78" s="51">
        <f t="shared" si="339"/>
        <v>19500</v>
      </c>
      <c r="DJ78" s="51">
        <f t="shared" si="397"/>
        <v>390</v>
      </c>
      <c r="DK78" s="51">
        <f t="shared" si="340"/>
        <v>390</v>
      </c>
      <c r="DL78" s="51">
        <f t="shared" si="398"/>
        <v>13845</v>
      </c>
      <c r="DM78" s="51">
        <f t="shared" si="341"/>
        <v>13845</v>
      </c>
      <c r="DN78" s="51">
        <f t="shared" si="399"/>
        <v>5655</v>
      </c>
      <c r="DO78" s="54">
        <f t="shared" si="400"/>
        <v>0</v>
      </c>
      <c r="DP78" s="55">
        <f t="shared" si="401"/>
        <v>0</v>
      </c>
      <c r="DQ78" s="56">
        <f>IF(AND($E78&lt;&gt;0,$F78&gt;0,YEAR($F78)&gt;=Preisindex!$A$6,YEAR(DL$4)&gt;=YEAR($F78),AND($K78&lt;&gt;"a",$K78&lt;&gt;"b",$K78&lt;&gt;"g",$K78&lt;&gt;"k")),1,IF(AND($E78&lt;&gt;0,$F78&gt;0,YEAR($F78)&gt;=Preisindex!$A$6,YEAR(DL$4)&gt;=YEAR($F78),$K78="a"),ROUND(VLOOKUP(DQ$4,Preisindex,5,FALSE)/VLOOKUP(YEAR($F78),Preisindex,5,FALSE),2),IF(AND($E78&lt;&gt;0,$F78&gt;0,YEAR($F78)&gt;=Preisindex!$A$6,YEAR(DL$4)&gt;=YEAR($F78),$K78="b"),ROUND(VLOOKUP(DQ$4,Preisindex,3,FALSE)/VLOOKUP(YEAR($F78),Preisindex,3,FALSE),2),IF(AND($E78&lt;&gt;0,$F78&gt;0,YEAR($F78)&gt;=Preisindex!$A$6,YEAR(DL$4)&gt;=YEAR($F78),$K78="g"),ROUND(VLOOKUP(DQ$4,Preisindex,4,FALSE)/VLOOKUP(YEAR($F78),Preisindex,4,FALSE),2),IF(AND($E78&lt;&gt;0,$F78&gt;0,YEAR($F78)&gt;=Preisindex!$A$6,YEAR(DL$4)&gt;=YEAR($F78),$K78="k"),ROUND(VLOOKUP(DQ$4,Preisindex,2,FALSE)/VLOOKUP(YEAR($F78),Preisindex,2,FALSE),2),0)))))</f>
        <v>1.35</v>
      </c>
      <c r="DR78" s="56">
        <f>IF(AND($E78&lt;&gt;0,$F78&gt;0,YEAR($F78)&lt;Preisindex!$A$6,YEAR(DL$4)&gt;=YEAR($F78),AND($K78&lt;&gt;"a",$K78&lt;&gt;"b",$K78&lt;&gt;"g",$K78&lt;&gt;"k")),1,IF(AND($E78&lt;&gt;0,$F78&gt;0,YEAR($F78)&lt;Preisindex!$A$6,YEAR(DL$4)&gt;=YEAR($F78),$K78="a"),ROUND(VLOOKUP(DQ$4,Preisindex,5,FALSE)/VLOOKUP(Preisindex!$A$6,Preisindex,5,FALSE),2),IF(AND($E78&lt;&gt;0,$F78&gt;0,YEAR($F78)&lt;Preisindex!$A$6,YEAR(DL$4)&gt;=YEAR($F78),$K78="b"),ROUND(VLOOKUP(DQ$4,Preisindex,3,FALSE)/VLOOKUP(Preisindex!$A$6,Preisindex,3,FALSE),2),IF(AND($E78&lt;&gt;0,$F78&gt;0,YEAR($F78)&lt;Preisindex!$A$6,YEAR(DL$4)&gt;=YEAR($F78),$K78="g"),ROUND(VLOOKUP(DQ$4,Preisindex,4,FALSE)/VLOOKUP(Preisindex!$A$6,Preisindex,4,FALSE),2),IF(AND($E78&lt;&gt;0,$F78&gt;0,YEAR($F78)&lt;Preisindex!$A$6,YEAR(DL$4)&gt;=YEAR($F78),$K78="k"),ROUND(VLOOKUP(DQ$4,Preisindex,2,FALSE)/VLOOKUP(Preisindex!$A$6,Preisindex,2,FALSE),2),0)))))</f>
        <v>0</v>
      </c>
      <c r="DS78" s="51">
        <f>IF(AND($E78&lt;&gt;0,$F78&gt;0,YEAR($F78)&lt;=DQ$4,YEAR($F78)&gt;=Preisindex!$A$6),ROUND($E78*DQ78,2),IF(AND($E78&lt;&gt;0,$F78&gt;0,YEAR($F78)&lt;=DQ$4,YEAR($F78)&lt;Preisindex!$A$6),ROUND($E78*DR78,2),0))</f>
        <v>26325</v>
      </c>
      <c r="DT78" s="53">
        <f t="shared" si="402"/>
        <v>526.5</v>
      </c>
      <c r="DU78" s="51">
        <f t="shared" si="394"/>
        <v>0</v>
      </c>
      <c r="DV78" s="51">
        <f t="shared" si="342"/>
        <v>0</v>
      </c>
      <c r="DW78" s="51">
        <f t="shared" si="403"/>
        <v>0</v>
      </c>
      <c r="DX78" s="51">
        <f t="shared" si="343"/>
        <v>0</v>
      </c>
      <c r="DY78" s="51">
        <f t="shared" si="404"/>
        <v>19500</v>
      </c>
      <c r="DZ78" s="51">
        <f t="shared" si="344"/>
        <v>19500</v>
      </c>
      <c r="EA78" s="51">
        <f t="shared" si="405"/>
        <v>390</v>
      </c>
      <c r="EB78" s="51">
        <f t="shared" si="345"/>
        <v>390</v>
      </c>
      <c r="EC78" s="51">
        <f t="shared" si="406"/>
        <v>13455</v>
      </c>
      <c r="ED78" s="51">
        <f t="shared" si="346"/>
        <v>13455</v>
      </c>
      <c r="EE78" s="51">
        <f t="shared" si="407"/>
        <v>6045</v>
      </c>
      <c r="EF78" s="54">
        <f t="shared" si="408"/>
        <v>0</v>
      </c>
      <c r="EG78" s="55">
        <f t="shared" si="409"/>
        <v>0</v>
      </c>
      <c r="EH78" s="56">
        <f>IF(AND($E78&lt;&gt;0,$F78&gt;0,YEAR($F78)&gt;=Preisindex!$A$6,YEAR(EC$4)&gt;=YEAR($F78),AND($K78&lt;&gt;"a",$K78&lt;&gt;"b",$K78&lt;&gt;"g",$K78&lt;&gt;"k")),1,IF(AND($E78&lt;&gt;0,$F78&gt;0,YEAR($F78)&gt;=Preisindex!$A$6,YEAR(EC$4)&gt;=YEAR($F78),$K78="a"),ROUND(VLOOKUP(EH$4,Preisindex,5,FALSE)/VLOOKUP(YEAR($F78),Preisindex,5,FALSE),2),IF(AND($E78&lt;&gt;0,$F78&gt;0,YEAR($F78)&gt;=Preisindex!$A$6,YEAR(EC$4)&gt;=YEAR($F78),$K78="b"),ROUND(VLOOKUP(EH$4,Preisindex,3,FALSE)/VLOOKUP(YEAR($F78),Preisindex,3,FALSE),2),IF(AND($E78&lt;&gt;0,$F78&gt;0,YEAR($F78)&gt;=Preisindex!$A$6,YEAR(EC$4)&gt;=YEAR($F78),$K78="g"),ROUND(VLOOKUP(EH$4,Preisindex,4,FALSE)/VLOOKUP(YEAR($F78),Preisindex,4,FALSE),2),IF(AND($E78&lt;&gt;0,$F78&gt;0,YEAR($F78)&gt;=Preisindex!$A$6,YEAR(EC$4)&gt;=YEAR($F78),$K78="k"),ROUND(VLOOKUP(EH$4,Preisindex,2,FALSE)/VLOOKUP(YEAR($F78),Preisindex,2,FALSE),2),0)))))</f>
        <v>1.42</v>
      </c>
      <c r="EI78" s="56">
        <f>IF(AND($E78&lt;&gt;0,$F78&gt;0,YEAR($F78)&lt;Preisindex!$A$6,YEAR(EC$4)&gt;=YEAR($F78),AND($K78&lt;&gt;"a",$K78&lt;&gt;"b",$K78&lt;&gt;"g",$K78&lt;&gt;"k")),1,IF(AND($E78&lt;&gt;0,$F78&gt;0,YEAR($F78)&lt;Preisindex!$A$6,YEAR(EC$4)&gt;=YEAR($F78),$K78="a"),ROUND(VLOOKUP(EH$4,Preisindex,5,FALSE)/VLOOKUP(Preisindex!$A$6,Preisindex,5,FALSE),2),IF(AND($E78&lt;&gt;0,$F78&gt;0,YEAR($F78)&lt;Preisindex!$A$6,YEAR(EC$4)&gt;=YEAR($F78),$K78="b"),ROUND(VLOOKUP(EH$4,Preisindex,3,FALSE)/VLOOKUP(Preisindex!$A$6,Preisindex,3,FALSE),2),IF(AND($E78&lt;&gt;0,$F78&gt;0,YEAR($F78)&lt;Preisindex!$A$6,YEAR(EC$4)&gt;=YEAR($F78),$K78="g"),ROUND(VLOOKUP(EH$4,Preisindex,4,FALSE)/VLOOKUP(Preisindex!$A$6,Preisindex,4,FALSE),2),IF(AND($E78&lt;&gt;0,$F78&gt;0,YEAR($F78)&lt;Preisindex!$A$6,YEAR(EC$4)&gt;=YEAR($F78),$K78="k"),ROUND(VLOOKUP(EH$4,Preisindex,2,FALSE)/VLOOKUP(Preisindex!$A$6,Preisindex,2,FALSE),2),0)))))</f>
        <v>0</v>
      </c>
      <c r="EJ78" s="51">
        <f>IF(AND($E78&lt;&gt;0,$F78&gt;0,YEAR($F78)&lt;=EH$4,YEAR($F78)&gt;=Preisindex!$A$6),ROUND($E78*EH78,2),IF(AND($E78&lt;&gt;0,$F78&gt;0,YEAR($F78)&lt;=EH$4,YEAR($F78)&lt;Preisindex!$A$6),ROUND($E78*EI78,2),0))</f>
        <v>27690</v>
      </c>
      <c r="EK78" s="53">
        <f t="shared" si="410"/>
        <v>553.80000000000007</v>
      </c>
      <c r="EL78" s="51">
        <f t="shared" si="394"/>
        <v>0</v>
      </c>
      <c r="EM78" s="51">
        <f t="shared" si="347"/>
        <v>0</v>
      </c>
      <c r="EN78" s="51">
        <f t="shared" si="411"/>
        <v>0</v>
      </c>
      <c r="EO78" s="51">
        <f t="shared" si="348"/>
        <v>0</v>
      </c>
      <c r="EP78" s="51">
        <f t="shared" si="412"/>
        <v>19500</v>
      </c>
      <c r="EQ78" s="51">
        <f t="shared" si="349"/>
        <v>19500</v>
      </c>
      <c r="ER78" s="51">
        <f t="shared" si="413"/>
        <v>390</v>
      </c>
      <c r="ES78" s="51">
        <f t="shared" si="350"/>
        <v>390</v>
      </c>
      <c r="ET78" s="51">
        <f t="shared" si="414"/>
        <v>13065</v>
      </c>
      <c r="EU78" s="51">
        <f t="shared" si="351"/>
        <v>13065</v>
      </c>
      <c r="EV78" s="51">
        <f t="shared" si="415"/>
        <v>6435</v>
      </c>
      <c r="EW78" s="54">
        <f t="shared" si="416"/>
        <v>0</v>
      </c>
      <c r="EX78" s="55">
        <f t="shared" si="417"/>
        <v>0</v>
      </c>
      <c r="EY78" s="56">
        <f>IF(AND($E78&lt;&gt;0,$F78&gt;0,YEAR($F78)&gt;=Preisindex!$A$6,YEAR(ET$4)&gt;=YEAR($F78),AND($K78&lt;&gt;"a",$K78&lt;&gt;"b",$K78&lt;&gt;"g",$K78&lt;&gt;"k")),1,IF(AND($E78&lt;&gt;0,$F78&gt;0,YEAR($F78)&gt;=Preisindex!$A$6,YEAR(ET$4)&gt;=YEAR($F78),$K78="a"),ROUND(VLOOKUP(EY$4,Preisindex,5,FALSE)/VLOOKUP(YEAR($F78),Preisindex,5,FALSE),2),IF(AND($E78&lt;&gt;0,$F78&gt;0,YEAR($F78)&gt;=Preisindex!$A$6,YEAR(ET$4)&gt;=YEAR($F78),$K78="b"),ROUND(VLOOKUP(EY$4,Preisindex,3,FALSE)/VLOOKUP(YEAR($F78),Preisindex,3,FALSE),2),IF(AND($E78&lt;&gt;0,$F78&gt;0,YEAR($F78)&gt;=Preisindex!$A$6,YEAR(ET$4)&gt;=YEAR($F78),$K78="g"),ROUND(VLOOKUP(EY$4,Preisindex,4,FALSE)/VLOOKUP(YEAR($F78),Preisindex,4,FALSE),2),IF(AND($E78&lt;&gt;0,$F78&gt;0,YEAR($F78)&gt;=Preisindex!$A$6,YEAR(ET$4)&gt;=YEAR($F78),$K78="k"),ROUND(VLOOKUP(EY$4,Preisindex,2,FALSE)/VLOOKUP(YEAR($F78),Preisindex,2,FALSE),2),0)))))</f>
        <v>1.42</v>
      </c>
      <c r="EZ78" s="56">
        <f>IF(AND($E78&lt;&gt;0,$F78&gt;0,YEAR($F78)&lt;Preisindex!$A$6,YEAR(ET$4)&gt;=YEAR($F78),AND($K78&lt;&gt;"a",$K78&lt;&gt;"b",$K78&lt;&gt;"g",$K78&lt;&gt;"k")),1,IF(AND($E78&lt;&gt;0,$F78&gt;0,YEAR($F78)&lt;Preisindex!$A$6,YEAR(ET$4)&gt;=YEAR($F78),$K78="a"),ROUND(VLOOKUP(EY$4,Preisindex,5,FALSE)/VLOOKUP(Preisindex!$A$6,Preisindex,5,FALSE),2),IF(AND($E78&lt;&gt;0,$F78&gt;0,YEAR($F78)&lt;Preisindex!$A$6,YEAR(ET$4)&gt;=YEAR($F78),$K78="b"),ROUND(VLOOKUP(EY$4,Preisindex,3,FALSE)/VLOOKUP(Preisindex!$A$6,Preisindex,3,FALSE),2),IF(AND($E78&lt;&gt;0,$F78&gt;0,YEAR($F78)&lt;Preisindex!$A$6,YEAR(ET$4)&gt;=YEAR($F78),$K78="g"),ROUND(VLOOKUP(EY$4,Preisindex,4,FALSE)/VLOOKUP(Preisindex!$A$6,Preisindex,4,FALSE),2),IF(AND($E78&lt;&gt;0,$F78&gt;0,YEAR($F78)&lt;Preisindex!$A$6,YEAR(ET$4)&gt;=YEAR($F78),$K78="k"),ROUND(VLOOKUP(EY$4,Preisindex,2,FALSE)/VLOOKUP(Preisindex!$A$6,Preisindex,2,FALSE),2),0)))))</f>
        <v>0</v>
      </c>
      <c r="FA78" s="51">
        <f>IF(AND($E78&lt;&gt;0,$F78&gt;0,YEAR($F78)&lt;=EY$4,YEAR($F78)&gt;=Preisindex!$A$6),ROUND($E78*EY78,2),IF(AND($E78&lt;&gt;0,$F78&gt;0,YEAR($F78)&lt;=EY$4,YEAR($F78)&lt;Preisindex!$A$6),ROUND($E78*EZ78,2),0))</f>
        <v>27690</v>
      </c>
      <c r="FB78" s="53">
        <f t="shared" si="418"/>
        <v>553.80000000000007</v>
      </c>
      <c r="FC78" s="51">
        <f t="shared" si="394"/>
        <v>0</v>
      </c>
      <c r="FD78" s="51">
        <f t="shared" si="352"/>
        <v>0</v>
      </c>
      <c r="FE78" s="51">
        <f t="shared" si="419"/>
        <v>0</v>
      </c>
      <c r="FF78" s="51">
        <f t="shared" si="353"/>
        <v>0</v>
      </c>
      <c r="FG78" s="51">
        <f t="shared" si="420"/>
        <v>19500</v>
      </c>
      <c r="FH78" s="51">
        <f t="shared" si="354"/>
        <v>19500</v>
      </c>
      <c r="FI78" s="51">
        <f t="shared" si="421"/>
        <v>390</v>
      </c>
      <c r="FJ78" s="51">
        <f t="shared" si="355"/>
        <v>390</v>
      </c>
      <c r="FK78" s="51">
        <f t="shared" si="422"/>
        <v>12675</v>
      </c>
      <c r="FL78" s="51">
        <f t="shared" si="356"/>
        <v>12675</v>
      </c>
      <c r="FM78" s="51">
        <f t="shared" si="423"/>
        <v>6825</v>
      </c>
      <c r="FN78" s="54">
        <f t="shared" si="424"/>
        <v>0</v>
      </c>
      <c r="FO78" s="55">
        <f t="shared" si="425"/>
        <v>0</v>
      </c>
      <c r="FP78" s="56">
        <f>IF(AND($E78&lt;&gt;0,$F78&gt;0,YEAR($F78)&gt;=Preisindex!$A$6,YEAR(FK$4)&gt;=YEAR($F78),AND($K78&lt;&gt;"a",$K78&lt;&gt;"b",$K78&lt;&gt;"g",$K78&lt;&gt;"k")),1,IF(AND($E78&lt;&gt;0,$F78&gt;0,YEAR($F78)&gt;=Preisindex!$A$6,YEAR(FK$4)&gt;=YEAR($F78),$K78="a"),ROUND(VLOOKUP(FP$4,Preisindex,5,FALSE)/VLOOKUP(YEAR($F78),Preisindex,5,FALSE),2),IF(AND($E78&lt;&gt;0,$F78&gt;0,YEAR($F78)&gt;=Preisindex!$A$6,YEAR(FK$4)&gt;=YEAR($F78),$K78="b"),ROUND(VLOOKUP(FP$4,Preisindex,3,FALSE)/VLOOKUP(YEAR($F78),Preisindex,3,FALSE),2),IF(AND($E78&lt;&gt;0,$F78&gt;0,YEAR($F78)&gt;=Preisindex!$A$6,YEAR(FK$4)&gt;=YEAR($F78),$K78="g"),ROUND(VLOOKUP(FP$4,Preisindex,4,FALSE)/VLOOKUP(YEAR($F78),Preisindex,4,FALSE),2),IF(AND($E78&lt;&gt;0,$F78&gt;0,YEAR($F78)&gt;=Preisindex!$A$6,YEAR(FK$4)&gt;=YEAR($F78),$K78="k"),ROUND(VLOOKUP(FP$4,Preisindex,2,FALSE)/VLOOKUP(YEAR($F78),Preisindex,2,FALSE),2),0)))))</f>
        <v>1.42</v>
      </c>
      <c r="FQ78" s="56">
        <f>IF(AND($E78&lt;&gt;0,$F78&gt;0,YEAR($F78)&lt;Preisindex!$A$6,YEAR(FK$4)&gt;=YEAR($F78),AND($K78&lt;&gt;"a",$K78&lt;&gt;"b",$K78&lt;&gt;"g",$K78&lt;&gt;"k")),1,IF(AND($E78&lt;&gt;0,$F78&gt;0,YEAR($F78)&lt;Preisindex!$A$6,YEAR(FK$4)&gt;=YEAR($F78),$K78="a"),ROUND(VLOOKUP(FP$4,Preisindex,5,FALSE)/VLOOKUP(Preisindex!$A$6,Preisindex,5,FALSE),2),IF(AND($E78&lt;&gt;0,$F78&gt;0,YEAR($F78)&lt;Preisindex!$A$6,YEAR(FK$4)&gt;=YEAR($F78),$K78="b"),ROUND(VLOOKUP(FP$4,Preisindex,3,FALSE)/VLOOKUP(Preisindex!$A$6,Preisindex,3,FALSE),2),IF(AND($E78&lt;&gt;0,$F78&gt;0,YEAR($F78)&lt;Preisindex!$A$6,YEAR(FK$4)&gt;=YEAR($F78),$K78="g"),ROUND(VLOOKUP(FP$4,Preisindex,4,FALSE)/VLOOKUP(Preisindex!$A$6,Preisindex,4,FALSE),2),IF(AND($E78&lt;&gt;0,$F78&gt;0,YEAR($F78)&lt;Preisindex!$A$6,YEAR(FK$4)&gt;=YEAR($F78),$K78="k"),ROUND(VLOOKUP(FP$4,Preisindex,2,FALSE)/VLOOKUP(Preisindex!$A$6,Preisindex,2,FALSE),2),0)))))</f>
        <v>0</v>
      </c>
      <c r="FR78" s="51">
        <f>IF(AND($E78&lt;&gt;0,$F78&gt;0,YEAR($F78)&lt;=FP$4,YEAR($F78)&gt;=Preisindex!$A$6),ROUND($E78*FP78,2),IF(AND($E78&lt;&gt;0,$F78&gt;0,YEAR($F78)&lt;=FP$4,YEAR($F78)&lt;Preisindex!$A$6),ROUND($E78*FQ78,2),0))</f>
        <v>27690</v>
      </c>
      <c r="FS78" s="53">
        <f t="shared" si="426"/>
        <v>553.80000000000007</v>
      </c>
    </row>
    <row r="79" spans="1:175" x14ac:dyDescent="0.3">
      <c r="A79" s="93">
        <v>2006</v>
      </c>
      <c r="B79" s="94" t="s">
        <v>263</v>
      </c>
      <c r="C79" s="94"/>
      <c r="D79" s="95" t="s">
        <v>60</v>
      </c>
      <c r="E79" s="99">
        <v>165000</v>
      </c>
      <c r="F79" s="97">
        <v>38899</v>
      </c>
      <c r="G79" s="98">
        <v>50</v>
      </c>
      <c r="H79" s="620"/>
      <c r="I79" s="193"/>
      <c r="J79" s="194"/>
      <c r="K79" s="630" t="s">
        <v>266</v>
      </c>
      <c r="L79" s="49">
        <f t="shared" si="427"/>
        <v>0.02</v>
      </c>
      <c r="M79" s="50">
        <f t="shared" si="428"/>
        <v>3300</v>
      </c>
      <c r="N79" s="51">
        <f t="shared" si="429"/>
        <v>146850</v>
      </c>
      <c r="O79" s="51"/>
      <c r="P79" s="51">
        <f t="shared" si="430"/>
        <v>18150</v>
      </c>
      <c r="Q79" s="52"/>
      <c r="R79" s="52"/>
      <c r="S79" s="52"/>
      <c r="T79" s="52"/>
      <c r="U79" s="52"/>
      <c r="V79" s="53">
        <f t="shared" si="431"/>
        <v>165000</v>
      </c>
      <c r="W79" s="51">
        <f t="shared" si="432"/>
        <v>0</v>
      </c>
      <c r="X79" s="51">
        <f t="shared" si="433"/>
        <v>0</v>
      </c>
      <c r="Y79" s="51">
        <f t="shared" si="434"/>
        <v>0</v>
      </c>
      <c r="Z79" s="51">
        <f t="shared" si="435"/>
        <v>0</v>
      </c>
      <c r="AA79" s="51">
        <f t="shared" si="436"/>
        <v>165000</v>
      </c>
      <c r="AB79" s="51">
        <f t="shared" si="437"/>
        <v>165000</v>
      </c>
      <c r="AC79" s="51">
        <f t="shared" si="438"/>
        <v>3300</v>
      </c>
      <c r="AD79" s="51">
        <f t="shared" si="439"/>
        <v>3300</v>
      </c>
      <c r="AE79" s="51">
        <f t="shared" si="440"/>
        <v>143550</v>
      </c>
      <c r="AF79" s="51">
        <f t="shared" si="441"/>
        <v>143550</v>
      </c>
      <c r="AG79" s="51">
        <f t="shared" si="442"/>
        <v>21450</v>
      </c>
      <c r="AH79" s="54">
        <f t="shared" si="443"/>
        <v>0</v>
      </c>
      <c r="AI79" s="55">
        <f t="shared" si="444"/>
        <v>0</v>
      </c>
      <c r="AJ79" s="56">
        <f>IF(AND($E79&lt;&gt;0,$F79&gt;0,YEAR($F79)&gt;=Preisindex!$A$6,YEAR(AE$4)&gt;=YEAR($F79),AND($K79&lt;&gt;"a",$K79&lt;&gt;"b",$K79&lt;&gt;"g",$K79&lt;&gt;"k")),1,IF(AND($E79&lt;&gt;0,$F79&gt;0,YEAR($F79)&gt;=Preisindex!$A$6,YEAR(AE$4)&gt;=YEAR($F79),$K79="a"),ROUND(VLOOKUP(AJ$4,Preisindex,5,FALSE)/VLOOKUP(YEAR($F79),Preisindex,5,FALSE),2),IF(AND($E79&lt;&gt;0,$F79&gt;0,YEAR($F79)&gt;=Preisindex!$A$6,YEAR(AE$4)&gt;=YEAR($F79),$K79="b"),ROUND(VLOOKUP(AJ$4,Preisindex,3,FALSE)/VLOOKUP(YEAR($F79),Preisindex,3,FALSE),2),IF(AND($E79&lt;&gt;0,$F79&gt;0,YEAR($F79)&gt;=Preisindex!$A$6,YEAR(AE$4)&gt;=YEAR($F79),$K79="g"),ROUND(VLOOKUP(AJ$4,Preisindex,4,FALSE)/VLOOKUP(YEAR($F79),Preisindex,4,FALSE),2),IF(AND($E79&lt;&gt;0,$F79&gt;0,YEAR($F79)&gt;=Preisindex!$A$6,YEAR(AE$4)&gt;=YEAR($F79),$K79="k"),ROUND(VLOOKUP(AJ$4,Preisindex,2,FALSE)/VLOOKUP(YEAR($F79),Preisindex,2,FALSE),2),0)))))</f>
        <v>1.2</v>
      </c>
      <c r="AK79" s="56">
        <f>IF(AND($E79&lt;&gt;0,$F79&gt;0,YEAR($F79)&lt;Preisindex!$A$6,YEAR(AE$4)&gt;=YEAR($F79),AND($K79&lt;&gt;"a",$K79&lt;&gt;"b",$K79&lt;&gt;"g",$K79&lt;&gt;"k")),1,IF(AND($E79&lt;&gt;0,$F79&gt;0,YEAR($F79)&lt;Preisindex!$A$6,YEAR(AE$4)&gt;=YEAR($F79),$K79="a"),ROUND(VLOOKUP(AJ$4,Preisindex,5,FALSE)/VLOOKUP(Preisindex!$A$6,Preisindex,5,FALSE),2),IF(AND($E79&lt;&gt;0,$F79&gt;0,YEAR($F79)&lt;Preisindex!$A$6,YEAR(AE$4)&gt;=YEAR($F79),$K79="b"),ROUND(VLOOKUP(AJ$4,Preisindex,3,FALSE)/VLOOKUP(Preisindex!$A$6,Preisindex,3,FALSE),2),IF(AND($E79&lt;&gt;0,$F79&gt;0,YEAR($F79)&lt;Preisindex!$A$6,YEAR(AE$4)&gt;=YEAR($F79),$K79="g"),ROUND(VLOOKUP(AJ$4,Preisindex,4,FALSE)/VLOOKUP(Preisindex!$A$6,Preisindex,4,FALSE),2),IF(AND($E79&lt;&gt;0,$F79&gt;0,YEAR($F79)&lt;Preisindex!$A$6,YEAR(AE$4)&gt;=YEAR($F79),$K79="k"),ROUND(VLOOKUP(AJ$4,Preisindex,2,FALSE)/VLOOKUP(Preisindex!$A$6,Preisindex,2,FALSE),2),0)))))</f>
        <v>0</v>
      </c>
      <c r="AL79" s="51">
        <f>IF(AND($E79&lt;&gt;0,$F79&gt;0,YEAR($F79)&lt;=AJ$4,YEAR($F79)&gt;=Preisindex!$A$6),ROUND($E79*AJ79,2),IF(AND($E79&lt;&gt;0,$F79&gt;0,YEAR($F79)&lt;=AJ$4,YEAR($F79)&lt;Preisindex!$A$6),ROUND($E79*AK79,2),0))</f>
        <v>198000</v>
      </c>
      <c r="AM79" s="53">
        <f t="shared" si="445"/>
        <v>3960</v>
      </c>
      <c r="AN79" s="51">
        <f t="shared" si="361"/>
        <v>0</v>
      </c>
      <c r="AO79" s="51">
        <f t="shared" si="317"/>
        <v>0</v>
      </c>
      <c r="AP79" s="51">
        <f t="shared" si="362"/>
        <v>0</v>
      </c>
      <c r="AQ79" s="51">
        <f t="shared" si="318"/>
        <v>0</v>
      </c>
      <c r="AR79" s="51">
        <f t="shared" si="363"/>
        <v>165000</v>
      </c>
      <c r="AS79" s="51">
        <f t="shared" si="319"/>
        <v>165000</v>
      </c>
      <c r="AT79" s="51">
        <f t="shared" si="364"/>
        <v>3300</v>
      </c>
      <c r="AU79" s="51">
        <f t="shared" si="320"/>
        <v>3300</v>
      </c>
      <c r="AV79" s="51">
        <f t="shared" si="365"/>
        <v>140250</v>
      </c>
      <c r="AW79" s="51">
        <f t="shared" si="321"/>
        <v>140250</v>
      </c>
      <c r="AX79" s="51">
        <f t="shared" si="366"/>
        <v>24750</v>
      </c>
      <c r="AY79" s="54">
        <f t="shared" si="367"/>
        <v>0</v>
      </c>
      <c r="AZ79" s="55">
        <f t="shared" si="368"/>
        <v>0</v>
      </c>
      <c r="BA79" s="56">
        <f>IF(AND($E79&lt;&gt;0,$F79&gt;0,YEAR($F79)&gt;=Preisindex!$A$6,YEAR(AV$4)&gt;=YEAR($F79),AND($K79&lt;&gt;"a",$K79&lt;&gt;"b",$K79&lt;&gt;"g",$K79&lt;&gt;"k")),1,IF(AND($E79&lt;&gt;0,$F79&gt;0,YEAR($F79)&gt;=Preisindex!$A$6,YEAR(AV$4)&gt;=YEAR($F79),$K79="a"),ROUND(VLOOKUP(BA$4,Preisindex,5,FALSE)/VLOOKUP(YEAR($F79),Preisindex,5,FALSE),2),IF(AND($E79&lt;&gt;0,$F79&gt;0,YEAR($F79)&gt;=Preisindex!$A$6,YEAR(AV$4)&gt;=YEAR($F79),$K79="b"),ROUND(VLOOKUP(BA$4,Preisindex,3,FALSE)/VLOOKUP(YEAR($F79),Preisindex,3,FALSE),2),IF(AND($E79&lt;&gt;0,$F79&gt;0,YEAR($F79)&gt;=Preisindex!$A$6,YEAR(AV$4)&gt;=YEAR($F79),$K79="g"),ROUND(VLOOKUP(BA$4,Preisindex,4,FALSE)/VLOOKUP(YEAR($F79),Preisindex,4,FALSE),2),IF(AND($E79&lt;&gt;0,$F79&gt;0,YEAR($F79)&gt;=Preisindex!$A$6,YEAR(AV$4)&gt;=YEAR($F79),$K79="k"),ROUND(VLOOKUP(BA$4,Preisindex,2,FALSE)/VLOOKUP(YEAR($F79),Preisindex,2,FALSE),2),0)))))</f>
        <v>1.22</v>
      </c>
      <c r="BB79" s="56">
        <f>IF(AND($E79&lt;&gt;0,$F79&gt;0,YEAR($F79)&lt;Preisindex!$A$6,YEAR(AV$4)&gt;=YEAR($F79),AND($K79&lt;&gt;"a",$K79&lt;&gt;"b",$K79&lt;&gt;"g",$K79&lt;&gt;"k")),1,IF(AND($E79&lt;&gt;0,$F79&gt;0,YEAR($F79)&lt;Preisindex!$A$6,YEAR(AV$4)&gt;=YEAR($F79),$K79="a"),ROUND(VLOOKUP(BA$4,Preisindex,5,FALSE)/VLOOKUP(Preisindex!$A$6,Preisindex,5,FALSE),2),IF(AND($E79&lt;&gt;0,$F79&gt;0,YEAR($F79)&lt;Preisindex!$A$6,YEAR(AV$4)&gt;=YEAR($F79),$K79="b"),ROUND(VLOOKUP(BA$4,Preisindex,3,FALSE)/VLOOKUP(Preisindex!$A$6,Preisindex,3,FALSE),2),IF(AND($E79&lt;&gt;0,$F79&gt;0,YEAR($F79)&lt;Preisindex!$A$6,YEAR(AV$4)&gt;=YEAR($F79),$K79="g"),ROUND(VLOOKUP(BA$4,Preisindex,4,FALSE)/VLOOKUP(Preisindex!$A$6,Preisindex,4,FALSE),2),IF(AND($E79&lt;&gt;0,$F79&gt;0,YEAR($F79)&lt;Preisindex!$A$6,YEAR(AV$4)&gt;=YEAR($F79),$K79="k"),ROUND(VLOOKUP(BA$4,Preisindex,2,FALSE)/VLOOKUP(Preisindex!$A$6,Preisindex,2,FALSE),2),0)))))</f>
        <v>0</v>
      </c>
      <c r="BC79" s="51">
        <f>IF(AND($E79&lt;&gt;0,$F79&gt;0,YEAR($F79)&lt;=BA$4,YEAR($F79)&gt;=Preisindex!$A$6),ROUND($E79*BA79,2),IF(AND($E79&lt;&gt;0,$F79&gt;0,YEAR($F79)&lt;=BA$4,YEAR($F79)&lt;Preisindex!$A$6),ROUND($E79*BB79,2),0))</f>
        <v>201300</v>
      </c>
      <c r="BD79" s="53">
        <f t="shared" si="369"/>
        <v>4026</v>
      </c>
      <c r="BE79" s="51">
        <f t="shared" si="361"/>
        <v>0</v>
      </c>
      <c r="BF79" s="51">
        <f t="shared" si="322"/>
        <v>0</v>
      </c>
      <c r="BG79" s="51">
        <f t="shared" si="370"/>
        <v>0</v>
      </c>
      <c r="BH79" s="51">
        <f t="shared" si="323"/>
        <v>0</v>
      </c>
      <c r="BI79" s="51">
        <f t="shared" si="371"/>
        <v>165000</v>
      </c>
      <c r="BJ79" s="51">
        <f t="shared" si="324"/>
        <v>165000</v>
      </c>
      <c r="BK79" s="51">
        <f t="shared" si="372"/>
        <v>3300</v>
      </c>
      <c r="BL79" s="51">
        <f t="shared" si="325"/>
        <v>3300</v>
      </c>
      <c r="BM79" s="51">
        <f t="shared" si="373"/>
        <v>136950</v>
      </c>
      <c r="BN79" s="51">
        <f t="shared" si="326"/>
        <v>136950</v>
      </c>
      <c r="BO79" s="51">
        <f t="shared" si="374"/>
        <v>28050</v>
      </c>
      <c r="BP79" s="54">
        <f t="shared" si="375"/>
        <v>0</v>
      </c>
      <c r="BQ79" s="55">
        <f t="shared" si="376"/>
        <v>0</v>
      </c>
      <c r="BR79" s="56">
        <f>IF(AND($E79&lt;&gt;0,$F79&gt;0,YEAR($F79)&gt;=Preisindex!$A$6,YEAR(BM$4)&gt;=YEAR($F79),AND($K79&lt;&gt;"a",$K79&lt;&gt;"b",$K79&lt;&gt;"g",$K79&lt;&gt;"k")),1,IF(AND($E79&lt;&gt;0,$F79&gt;0,YEAR($F79)&gt;=Preisindex!$A$6,YEAR(BM$4)&gt;=YEAR($F79),$K79="a"),ROUND(VLOOKUP(BR$4,Preisindex,5,FALSE)/VLOOKUP(YEAR($F79),Preisindex,5,FALSE),2),IF(AND($E79&lt;&gt;0,$F79&gt;0,YEAR($F79)&gt;=Preisindex!$A$6,YEAR(BM$4)&gt;=YEAR($F79),$K79="b"),ROUND(VLOOKUP(BR$4,Preisindex,3,FALSE)/VLOOKUP(YEAR($F79),Preisindex,3,FALSE),2),IF(AND($E79&lt;&gt;0,$F79&gt;0,YEAR($F79)&gt;=Preisindex!$A$6,YEAR(BM$4)&gt;=YEAR($F79),$K79="g"),ROUND(VLOOKUP(BR$4,Preisindex,4,FALSE)/VLOOKUP(YEAR($F79),Preisindex,4,FALSE),2),IF(AND($E79&lt;&gt;0,$F79&gt;0,YEAR($F79)&gt;=Preisindex!$A$6,YEAR(BM$4)&gt;=YEAR($F79),$K79="k"),ROUND(VLOOKUP(BR$4,Preisindex,2,FALSE)/VLOOKUP(YEAR($F79),Preisindex,2,FALSE),2),0)))))</f>
        <v>1.24</v>
      </c>
      <c r="BS79" s="56">
        <f>IF(AND($E79&lt;&gt;0,$F79&gt;0,YEAR($F79)&lt;Preisindex!$A$6,YEAR(BM$4)&gt;=YEAR($F79),AND($K79&lt;&gt;"a",$K79&lt;&gt;"b",$K79&lt;&gt;"g",$K79&lt;&gt;"k")),1,IF(AND($E79&lt;&gt;0,$F79&gt;0,YEAR($F79)&lt;Preisindex!$A$6,YEAR(BM$4)&gt;=YEAR($F79),$K79="a"),ROUND(VLOOKUP(BR$4,Preisindex,5,FALSE)/VLOOKUP(Preisindex!$A$6,Preisindex,5,FALSE),2),IF(AND($E79&lt;&gt;0,$F79&gt;0,YEAR($F79)&lt;Preisindex!$A$6,YEAR(BM$4)&gt;=YEAR($F79),$K79="b"),ROUND(VLOOKUP(BR$4,Preisindex,3,FALSE)/VLOOKUP(Preisindex!$A$6,Preisindex,3,FALSE),2),IF(AND($E79&lt;&gt;0,$F79&gt;0,YEAR($F79)&lt;Preisindex!$A$6,YEAR(BM$4)&gt;=YEAR($F79),$K79="g"),ROUND(VLOOKUP(BR$4,Preisindex,4,FALSE)/VLOOKUP(Preisindex!$A$6,Preisindex,4,FALSE),2),IF(AND($E79&lt;&gt;0,$F79&gt;0,YEAR($F79)&lt;Preisindex!$A$6,YEAR(BM$4)&gt;=YEAR($F79),$K79="k"),ROUND(VLOOKUP(BR$4,Preisindex,2,FALSE)/VLOOKUP(Preisindex!$A$6,Preisindex,2,FALSE),2),0)))))</f>
        <v>0</v>
      </c>
      <c r="BT79" s="51">
        <f>IF(AND($E79&lt;&gt;0,$F79&gt;0,YEAR($F79)&lt;=BR$4,YEAR($F79)&gt;=Preisindex!$A$6),ROUND($E79*BR79,2),IF(AND($E79&lt;&gt;0,$F79&gt;0,YEAR($F79)&lt;=BR$4,YEAR($F79)&lt;Preisindex!$A$6),ROUND($E79*BS79,2),0))</f>
        <v>204600</v>
      </c>
      <c r="BU79" s="53">
        <f t="shared" si="377"/>
        <v>4092</v>
      </c>
      <c r="BV79" s="51">
        <f t="shared" si="361"/>
        <v>0</v>
      </c>
      <c r="BW79" s="51">
        <f t="shared" si="327"/>
        <v>0</v>
      </c>
      <c r="BX79" s="51">
        <f t="shared" si="378"/>
        <v>0</v>
      </c>
      <c r="BY79" s="51">
        <f t="shared" si="328"/>
        <v>0</v>
      </c>
      <c r="BZ79" s="51">
        <f t="shared" si="379"/>
        <v>165000</v>
      </c>
      <c r="CA79" s="51">
        <f t="shared" si="329"/>
        <v>165000</v>
      </c>
      <c r="CB79" s="51">
        <f t="shared" si="380"/>
        <v>3300</v>
      </c>
      <c r="CC79" s="51">
        <f t="shared" si="330"/>
        <v>3300</v>
      </c>
      <c r="CD79" s="51">
        <f t="shared" si="381"/>
        <v>133650</v>
      </c>
      <c r="CE79" s="51">
        <f t="shared" si="331"/>
        <v>133650</v>
      </c>
      <c r="CF79" s="51">
        <f t="shared" si="382"/>
        <v>31350</v>
      </c>
      <c r="CG79" s="54">
        <f t="shared" si="383"/>
        <v>0</v>
      </c>
      <c r="CH79" s="55">
        <f t="shared" si="384"/>
        <v>0</v>
      </c>
      <c r="CI79" s="56">
        <f>IF(AND($E79&lt;&gt;0,$F79&gt;0,YEAR($F79)&gt;=Preisindex!$A$6,YEAR(CD$4)&gt;=YEAR($F79),AND($K79&lt;&gt;"a",$K79&lt;&gt;"b",$K79&lt;&gt;"g",$K79&lt;&gt;"k")),1,IF(AND($E79&lt;&gt;0,$F79&gt;0,YEAR($F79)&gt;=Preisindex!$A$6,YEAR(CD$4)&gt;=YEAR($F79),$K79="a"),ROUND(VLOOKUP(CI$4,Preisindex,5,FALSE)/VLOOKUP(YEAR($F79),Preisindex,5,FALSE),2),IF(AND($E79&lt;&gt;0,$F79&gt;0,YEAR($F79)&gt;=Preisindex!$A$6,YEAR(CD$4)&gt;=YEAR($F79),$K79="b"),ROUND(VLOOKUP(CI$4,Preisindex,3,FALSE)/VLOOKUP(YEAR($F79),Preisindex,3,FALSE),2),IF(AND($E79&lt;&gt;0,$F79&gt;0,YEAR($F79)&gt;=Preisindex!$A$6,YEAR(CD$4)&gt;=YEAR($F79),$K79="g"),ROUND(VLOOKUP(CI$4,Preisindex,4,FALSE)/VLOOKUP(YEAR($F79),Preisindex,4,FALSE),2),IF(AND($E79&lt;&gt;0,$F79&gt;0,YEAR($F79)&gt;=Preisindex!$A$6,YEAR(CD$4)&gt;=YEAR($F79),$K79="k"),ROUND(VLOOKUP(CI$4,Preisindex,2,FALSE)/VLOOKUP(YEAR($F79),Preisindex,2,FALSE),2),0)))))</f>
        <v>1.26</v>
      </c>
      <c r="CJ79" s="56">
        <f>IF(AND($E79&lt;&gt;0,$F79&gt;0,YEAR($F79)&lt;Preisindex!$A$6,YEAR(CD$4)&gt;=YEAR($F79),AND($K79&lt;&gt;"a",$K79&lt;&gt;"b",$K79&lt;&gt;"g",$K79&lt;&gt;"k")),1,IF(AND($E79&lt;&gt;0,$F79&gt;0,YEAR($F79)&lt;Preisindex!$A$6,YEAR(CD$4)&gt;=YEAR($F79),$K79="a"),ROUND(VLOOKUP(CI$4,Preisindex,5,FALSE)/VLOOKUP(Preisindex!$A$6,Preisindex,5,FALSE),2),IF(AND($E79&lt;&gt;0,$F79&gt;0,YEAR($F79)&lt;Preisindex!$A$6,YEAR(CD$4)&gt;=YEAR($F79),$K79="b"),ROUND(VLOOKUP(CI$4,Preisindex,3,FALSE)/VLOOKUP(Preisindex!$A$6,Preisindex,3,FALSE),2),IF(AND($E79&lt;&gt;0,$F79&gt;0,YEAR($F79)&lt;Preisindex!$A$6,YEAR(CD$4)&gt;=YEAR($F79),$K79="g"),ROUND(VLOOKUP(CI$4,Preisindex,4,FALSE)/VLOOKUP(Preisindex!$A$6,Preisindex,4,FALSE),2),IF(AND($E79&lt;&gt;0,$F79&gt;0,YEAR($F79)&lt;Preisindex!$A$6,YEAR(CD$4)&gt;=YEAR($F79),$K79="k"),ROUND(VLOOKUP(CI$4,Preisindex,2,FALSE)/VLOOKUP(Preisindex!$A$6,Preisindex,2,FALSE),2),0)))))</f>
        <v>0</v>
      </c>
      <c r="CK79" s="51">
        <f>IF(AND($E79&lt;&gt;0,$F79&gt;0,YEAR($F79)&lt;=CI$4,YEAR($F79)&gt;=Preisindex!$A$6),ROUND($E79*CI79,2),IF(AND($E79&lt;&gt;0,$F79&gt;0,YEAR($F79)&lt;=CI$4,YEAR($F79)&lt;Preisindex!$A$6),ROUND($E79*CJ79,2),0))</f>
        <v>207900</v>
      </c>
      <c r="CL79" s="53">
        <f t="shared" si="385"/>
        <v>4158</v>
      </c>
      <c r="CM79" s="51">
        <f t="shared" si="361"/>
        <v>0</v>
      </c>
      <c r="CN79" s="51">
        <f t="shared" si="332"/>
        <v>0</v>
      </c>
      <c r="CO79" s="51">
        <f t="shared" si="386"/>
        <v>0</v>
      </c>
      <c r="CP79" s="51">
        <f t="shared" si="333"/>
        <v>0</v>
      </c>
      <c r="CQ79" s="51">
        <f t="shared" si="387"/>
        <v>165000</v>
      </c>
      <c r="CR79" s="51">
        <f t="shared" si="334"/>
        <v>165000</v>
      </c>
      <c r="CS79" s="51">
        <f t="shared" si="388"/>
        <v>3300</v>
      </c>
      <c r="CT79" s="51">
        <f t="shared" si="335"/>
        <v>3300</v>
      </c>
      <c r="CU79" s="51">
        <f t="shared" si="389"/>
        <v>130350</v>
      </c>
      <c r="CV79" s="51">
        <f t="shared" si="336"/>
        <v>130350</v>
      </c>
      <c r="CW79" s="51">
        <f t="shared" si="390"/>
        <v>34650</v>
      </c>
      <c r="CX79" s="54">
        <f t="shared" si="391"/>
        <v>0</v>
      </c>
      <c r="CY79" s="55">
        <f t="shared" si="392"/>
        <v>0</v>
      </c>
      <c r="CZ79" s="56">
        <f>IF(AND($E79&lt;&gt;0,$F79&gt;0,YEAR($F79)&gt;=Preisindex!$A$6,YEAR(CU$4)&gt;=YEAR($F79),AND($K79&lt;&gt;"a",$K79&lt;&gt;"b",$K79&lt;&gt;"g",$K79&lt;&gt;"k")),1,IF(AND($E79&lt;&gt;0,$F79&gt;0,YEAR($F79)&gt;=Preisindex!$A$6,YEAR(CU$4)&gt;=YEAR($F79),$K79="a"),ROUND(VLOOKUP(CZ$4,Preisindex,5,FALSE)/VLOOKUP(YEAR($F79),Preisindex,5,FALSE),2),IF(AND($E79&lt;&gt;0,$F79&gt;0,YEAR($F79)&gt;=Preisindex!$A$6,YEAR(CU$4)&gt;=YEAR($F79),$K79="b"),ROUND(VLOOKUP(CZ$4,Preisindex,3,FALSE)/VLOOKUP(YEAR($F79),Preisindex,3,FALSE),2),IF(AND($E79&lt;&gt;0,$F79&gt;0,YEAR($F79)&gt;=Preisindex!$A$6,YEAR(CU$4)&gt;=YEAR($F79),$K79="g"),ROUND(VLOOKUP(CZ$4,Preisindex,4,FALSE)/VLOOKUP(YEAR($F79),Preisindex,4,FALSE),2),IF(AND($E79&lt;&gt;0,$F79&gt;0,YEAR($F79)&gt;=Preisindex!$A$6,YEAR(CU$4)&gt;=YEAR($F79),$K79="k"),ROUND(VLOOKUP(CZ$4,Preisindex,2,FALSE)/VLOOKUP(YEAR($F79),Preisindex,2,FALSE),2),0)))))</f>
        <v>1.28</v>
      </c>
      <c r="DA79" s="56">
        <f>IF(AND($E79&lt;&gt;0,$F79&gt;0,YEAR($F79)&lt;Preisindex!$A$6,YEAR(CU$4)&gt;=YEAR($F79),AND($K79&lt;&gt;"a",$K79&lt;&gt;"b",$K79&lt;&gt;"g",$K79&lt;&gt;"k")),1,IF(AND($E79&lt;&gt;0,$F79&gt;0,YEAR($F79)&lt;Preisindex!$A$6,YEAR(CU$4)&gt;=YEAR($F79),$K79="a"),ROUND(VLOOKUP(CZ$4,Preisindex,5,FALSE)/VLOOKUP(Preisindex!$A$6,Preisindex,5,FALSE),2),IF(AND($E79&lt;&gt;0,$F79&gt;0,YEAR($F79)&lt;Preisindex!$A$6,YEAR(CU$4)&gt;=YEAR($F79),$K79="b"),ROUND(VLOOKUP(CZ$4,Preisindex,3,FALSE)/VLOOKUP(Preisindex!$A$6,Preisindex,3,FALSE),2),IF(AND($E79&lt;&gt;0,$F79&gt;0,YEAR($F79)&lt;Preisindex!$A$6,YEAR(CU$4)&gt;=YEAR($F79),$K79="g"),ROUND(VLOOKUP(CZ$4,Preisindex,4,FALSE)/VLOOKUP(Preisindex!$A$6,Preisindex,4,FALSE),2),IF(AND($E79&lt;&gt;0,$F79&gt;0,YEAR($F79)&lt;Preisindex!$A$6,YEAR(CU$4)&gt;=YEAR($F79),$K79="k"),ROUND(VLOOKUP(CZ$4,Preisindex,2,FALSE)/VLOOKUP(Preisindex!$A$6,Preisindex,2,FALSE),2),0)))))</f>
        <v>0</v>
      </c>
      <c r="DB79" s="51">
        <f>IF(AND($E79&lt;&gt;0,$F79&gt;0,YEAR($F79)&lt;=CZ$4,YEAR($F79)&gt;=Preisindex!$A$6),ROUND($E79*CZ79,2),IF(AND($E79&lt;&gt;0,$F79&gt;0,YEAR($F79)&lt;=CZ$4,YEAR($F79)&lt;Preisindex!$A$6),ROUND($E79*DA79,2),0))</f>
        <v>211200</v>
      </c>
      <c r="DC79" s="53">
        <f t="shared" si="393"/>
        <v>4224</v>
      </c>
      <c r="DD79" s="51">
        <f t="shared" si="394"/>
        <v>0</v>
      </c>
      <c r="DE79" s="51">
        <f t="shared" si="337"/>
        <v>0</v>
      </c>
      <c r="DF79" s="51">
        <f t="shared" si="395"/>
        <v>0</v>
      </c>
      <c r="DG79" s="51">
        <f t="shared" si="338"/>
        <v>0</v>
      </c>
      <c r="DH79" s="51">
        <f t="shared" si="396"/>
        <v>165000</v>
      </c>
      <c r="DI79" s="51">
        <f t="shared" si="339"/>
        <v>165000</v>
      </c>
      <c r="DJ79" s="51">
        <f t="shared" si="397"/>
        <v>3300</v>
      </c>
      <c r="DK79" s="51">
        <f t="shared" si="340"/>
        <v>3300</v>
      </c>
      <c r="DL79" s="51">
        <f t="shared" si="398"/>
        <v>127050</v>
      </c>
      <c r="DM79" s="51">
        <f t="shared" si="341"/>
        <v>127050</v>
      </c>
      <c r="DN79" s="51">
        <f t="shared" si="399"/>
        <v>37950</v>
      </c>
      <c r="DO79" s="54">
        <f t="shared" si="400"/>
        <v>0</v>
      </c>
      <c r="DP79" s="55">
        <f t="shared" si="401"/>
        <v>0</v>
      </c>
      <c r="DQ79" s="56">
        <f>IF(AND($E79&lt;&gt;0,$F79&gt;0,YEAR($F79)&gt;=Preisindex!$A$6,YEAR(DL$4)&gt;=YEAR($F79),AND($K79&lt;&gt;"a",$K79&lt;&gt;"b",$K79&lt;&gt;"g",$K79&lt;&gt;"k")),1,IF(AND($E79&lt;&gt;0,$F79&gt;0,YEAR($F79)&gt;=Preisindex!$A$6,YEAR(DL$4)&gt;=YEAR($F79),$K79="a"),ROUND(VLOOKUP(DQ$4,Preisindex,5,FALSE)/VLOOKUP(YEAR($F79),Preisindex,5,FALSE),2),IF(AND($E79&lt;&gt;0,$F79&gt;0,YEAR($F79)&gt;=Preisindex!$A$6,YEAR(DL$4)&gt;=YEAR($F79),$K79="b"),ROUND(VLOOKUP(DQ$4,Preisindex,3,FALSE)/VLOOKUP(YEAR($F79),Preisindex,3,FALSE),2),IF(AND($E79&lt;&gt;0,$F79&gt;0,YEAR($F79)&gt;=Preisindex!$A$6,YEAR(DL$4)&gt;=YEAR($F79),$K79="g"),ROUND(VLOOKUP(DQ$4,Preisindex,4,FALSE)/VLOOKUP(YEAR($F79),Preisindex,4,FALSE),2),IF(AND($E79&lt;&gt;0,$F79&gt;0,YEAR($F79)&gt;=Preisindex!$A$6,YEAR(DL$4)&gt;=YEAR($F79),$K79="k"),ROUND(VLOOKUP(DQ$4,Preisindex,2,FALSE)/VLOOKUP(YEAR($F79),Preisindex,2,FALSE),2),0)))))</f>
        <v>1.32</v>
      </c>
      <c r="DR79" s="56">
        <f>IF(AND($E79&lt;&gt;0,$F79&gt;0,YEAR($F79)&lt;Preisindex!$A$6,YEAR(DL$4)&gt;=YEAR($F79),AND($K79&lt;&gt;"a",$K79&lt;&gt;"b",$K79&lt;&gt;"g",$K79&lt;&gt;"k")),1,IF(AND($E79&lt;&gt;0,$F79&gt;0,YEAR($F79)&lt;Preisindex!$A$6,YEAR(DL$4)&gt;=YEAR($F79),$K79="a"),ROUND(VLOOKUP(DQ$4,Preisindex,5,FALSE)/VLOOKUP(Preisindex!$A$6,Preisindex,5,FALSE),2),IF(AND($E79&lt;&gt;0,$F79&gt;0,YEAR($F79)&lt;Preisindex!$A$6,YEAR(DL$4)&gt;=YEAR($F79),$K79="b"),ROUND(VLOOKUP(DQ$4,Preisindex,3,FALSE)/VLOOKUP(Preisindex!$A$6,Preisindex,3,FALSE),2),IF(AND($E79&lt;&gt;0,$F79&gt;0,YEAR($F79)&lt;Preisindex!$A$6,YEAR(DL$4)&gt;=YEAR($F79),$K79="g"),ROUND(VLOOKUP(DQ$4,Preisindex,4,FALSE)/VLOOKUP(Preisindex!$A$6,Preisindex,4,FALSE),2),IF(AND($E79&lt;&gt;0,$F79&gt;0,YEAR($F79)&lt;Preisindex!$A$6,YEAR(DL$4)&gt;=YEAR($F79),$K79="k"),ROUND(VLOOKUP(DQ$4,Preisindex,2,FALSE)/VLOOKUP(Preisindex!$A$6,Preisindex,2,FALSE),2),0)))))</f>
        <v>0</v>
      </c>
      <c r="DS79" s="51">
        <f>IF(AND($E79&lt;&gt;0,$F79&gt;0,YEAR($F79)&lt;=DQ$4,YEAR($F79)&gt;=Preisindex!$A$6),ROUND($E79*DQ79,2),IF(AND($E79&lt;&gt;0,$F79&gt;0,YEAR($F79)&lt;=DQ$4,YEAR($F79)&lt;Preisindex!$A$6),ROUND($E79*DR79,2),0))</f>
        <v>217800</v>
      </c>
      <c r="DT79" s="53">
        <f t="shared" si="402"/>
        <v>4356</v>
      </c>
      <c r="DU79" s="51">
        <f t="shared" si="394"/>
        <v>0</v>
      </c>
      <c r="DV79" s="51">
        <f t="shared" si="342"/>
        <v>0</v>
      </c>
      <c r="DW79" s="51">
        <f t="shared" si="403"/>
        <v>0</v>
      </c>
      <c r="DX79" s="51">
        <f t="shared" si="343"/>
        <v>0</v>
      </c>
      <c r="DY79" s="51">
        <f t="shared" si="404"/>
        <v>165000</v>
      </c>
      <c r="DZ79" s="51">
        <f t="shared" si="344"/>
        <v>165000</v>
      </c>
      <c r="EA79" s="51">
        <f t="shared" si="405"/>
        <v>3300</v>
      </c>
      <c r="EB79" s="51">
        <f t="shared" si="345"/>
        <v>3300</v>
      </c>
      <c r="EC79" s="51">
        <f t="shared" si="406"/>
        <v>123750</v>
      </c>
      <c r="ED79" s="51">
        <f t="shared" si="346"/>
        <v>123750</v>
      </c>
      <c r="EE79" s="51">
        <f t="shared" si="407"/>
        <v>41250</v>
      </c>
      <c r="EF79" s="54">
        <f t="shared" si="408"/>
        <v>0</v>
      </c>
      <c r="EG79" s="55">
        <f t="shared" si="409"/>
        <v>0</v>
      </c>
      <c r="EH79" s="56">
        <f>IF(AND($E79&lt;&gt;0,$F79&gt;0,YEAR($F79)&gt;=Preisindex!$A$6,YEAR(EC$4)&gt;=YEAR($F79),AND($K79&lt;&gt;"a",$K79&lt;&gt;"b",$K79&lt;&gt;"g",$K79&lt;&gt;"k")),1,IF(AND($E79&lt;&gt;0,$F79&gt;0,YEAR($F79)&gt;=Preisindex!$A$6,YEAR(EC$4)&gt;=YEAR($F79),$K79="a"),ROUND(VLOOKUP(EH$4,Preisindex,5,FALSE)/VLOOKUP(YEAR($F79),Preisindex,5,FALSE),2),IF(AND($E79&lt;&gt;0,$F79&gt;0,YEAR($F79)&gt;=Preisindex!$A$6,YEAR(EC$4)&gt;=YEAR($F79),$K79="b"),ROUND(VLOOKUP(EH$4,Preisindex,3,FALSE)/VLOOKUP(YEAR($F79),Preisindex,3,FALSE),2),IF(AND($E79&lt;&gt;0,$F79&gt;0,YEAR($F79)&gt;=Preisindex!$A$6,YEAR(EC$4)&gt;=YEAR($F79),$K79="g"),ROUND(VLOOKUP(EH$4,Preisindex,4,FALSE)/VLOOKUP(YEAR($F79),Preisindex,4,FALSE),2),IF(AND($E79&lt;&gt;0,$F79&gt;0,YEAR($F79)&gt;=Preisindex!$A$6,YEAR(EC$4)&gt;=YEAR($F79),$K79="k"),ROUND(VLOOKUP(EH$4,Preisindex,2,FALSE)/VLOOKUP(YEAR($F79),Preisindex,2,FALSE),2),0)))))</f>
        <v>1.39</v>
      </c>
      <c r="EI79" s="56">
        <f>IF(AND($E79&lt;&gt;0,$F79&gt;0,YEAR($F79)&lt;Preisindex!$A$6,YEAR(EC$4)&gt;=YEAR($F79),AND($K79&lt;&gt;"a",$K79&lt;&gt;"b",$K79&lt;&gt;"g",$K79&lt;&gt;"k")),1,IF(AND($E79&lt;&gt;0,$F79&gt;0,YEAR($F79)&lt;Preisindex!$A$6,YEAR(EC$4)&gt;=YEAR($F79),$K79="a"),ROUND(VLOOKUP(EH$4,Preisindex,5,FALSE)/VLOOKUP(Preisindex!$A$6,Preisindex,5,FALSE),2),IF(AND($E79&lt;&gt;0,$F79&gt;0,YEAR($F79)&lt;Preisindex!$A$6,YEAR(EC$4)&gt;=YEAR($F79),$K79="b"),ROUND(VLOOKUP(EH$4,Preisindex,3,FALSE)/VLOOKUP(Preisindex!$A$6,Preisindex,3,FALSE),2),IF(AND($E79&lt;&gt;0,$F79&gt;0,YEAR($F79)&lt;Preisindex!$A$6,YEAR(EC$4)&gt;=YEAR($F79),$K79="g"),ROUND(VLOOKUP(EH$4,Preisindex,4,FALSE)/VLOOKUP(Preisindex!$A$6,Preisindex,4,FALSE),2),IF(AND($E79&lt;&gt;0,$F79&gt;0,YEAR($F79)&lt;Preisindex!$A$6,YEAR(EC$4)&gt;=YEAR($F79),$K79="k"),ROUND(VLOOKUP(EH$4,Preisindex,2,FALSE)/VLOOKUP(Preisindex!$A$6,Preisindex,2,FALSE),2),0)))))</f>
        <v>0</v>
      </c>
      <c r="EJ79" s="51">
        <f>IF(AND($E79&lt;&gt;0,$F79&gt;0,YEAR($F79)&lt;=EH$4,YEAR($F79)&gt;=Preisindex!$A$6),ROUND($E79*EH79,2),IF(AND($E79&lt;&gt;0,$F79&gt;0,YEAR($F79)&lt;=EH$4,YEAR($F79)&lt;Preisindex!$A$6),ROUND($E79*EI79,2),0))</f>
        <v>229350</v>
      </c>
      <c r="EK79" s="53">
        <f t="shared" si="410"/>
        <v>4587</v>
      </c>
      <c r="EL79" s="51">
        <f t="shared" si="394"/>
        <v>0</v>
      </c>
      <c r="EM79" s="51">
        <f t="shared" si="347"/>
        <v>0</v>
      </c>
      <c r="EN79" s="51">
        <f t="shared" si="411"/>
        <v>0</v>
      </c>
      <c r="EO79" s="51">
        <f t="shared" si="348"/>
        <v>0</v>
      </c>
      <c r="EP79" s="51">
        <f t="shared" si="412"/>
        <v>165000</v>
      </c>
      <c r="EQ79" s="51">
        <f t="shared" si="349"/>
        <v>165000</v>
      </c>
      <c r="ER79" s="51">
        <f t="shared" si="413"/>
        <v>3300</v>
      </c>
      <c r="ES79" s="51">
        <f t="shared" si="350"/>
        <v>3300</v>
      </c>
      <c r="ET79" s="51">
        <f t="shared" si="414"/>
        <v>120450</v>
      </c>
      <c r="EU79" s="51">
        <f t="shared" si="351"/>
        <v>120450</v>
      </c>
      <c r="EV79" s="51">
        <f t="shared" si="415"/>
        <v>44550</v>
      </c>
      <c r="EW79" s="54">
        <f t="shared" si="416"/>
        <v>0</v>
      </c>
      <c r="EX79" s="55">
        <f t="shared" si="417"/>
        <v>0</v>
      </c>
      <c r="EY79" s="56">
        <f>IF(AND($E79&lt;&gt;0,$F79&gt;0,YEAR($F79)&gt;=Preisindex!$A$6,YEAR(ET$4)&gt;=YEAR($F79),AND($K79&lt;&gt;"a",$K79&lt;&gt;"b",$K79&lt;&gt;"g",$K79&lt;&gt;"k")),1,IF(AND($E79&lt;&gt;0,$F79&gt;0,YEAR($F79)&gt;=Preisindex!$A$6,YEAR(ET$4)&gt;=YEAR($F79),$K79="a"),ROUND(VLOOKUP(EY$4,Preisindex,5,FALSE)/VLOOKUP(YEAR($F79),Preisindex,5,FALSE),2),IF(AND($E79&lt;&gt;0,$F79&gt;0,YEAR($F79)&gt;=Preisindex!$A$6,YEAR(ET$4)&gt;=YEAR($F79),$K79="b"),ROUND(VLOOKUP(EY$4,Preisindex,3,FALSE)/VLOOKUP(YEAR($F79),Preisindex,3,FALSE),2),IF(AND($E79&lt;&gt;0,$F79&gt;0,YEAR($F79)&gt;=Preisindex!$A$6,YEAR(ET$4)&gt;=YEAR($F79),$K79="g"),ROUND(VLOOKUP(EY$4,Preisindex,4,FALSE)/VLOOKUP(YEAR($F79),Preisindex,4,FALSE),2),IF(AND($E79&lt;&gt;0,$F79&gt;0,YEAR($F79)&gt;=Preisindex!$A$6,YEAR(ET$4)&gt;=YEAR($F79),$K79="k"),ROUND(VLOOKUP(EY$4,Preisindex,2,FALSE)/VLOOKUP(YEAR($F79),Preisindex,2,FALSE),2),0)))))</f>
        <v>1.39</v>
      </c>
      <c r="EZ79" s="56">
        <f>IF(AND($E79&lt;&gt;0,$F79&gt;0,YEAR($F79)&lt;Preisindex!$A$6,YEAR(ET$4)&gt;=YEAR($F79),AND($K79&lt;&gt;"a",$K79&lt;&gt;"b",$K79&lt;&gt;"g",$K79&lt;&gt;"k")),1,IF(AND($E79&lt;&gt;0,$F79&gt;0,YEAR($F79)&lt;Preisindex!$A$6,YEAR(ET$4)&gt;=YEAR($F79),$K79="a"),ROUND(VLOOKUP(EY$4,Preisindex,5,FALSE)/VLOOKUP(Preisindex!$A$6,Preisindex,5,FALSE),2),IF(AND($E79&lt;&gt;0,$F79&gt;0,YEAR($F79)&lt;Preisindex!$A$6,YEAR(ET$4)&gt;=YEAR($F79),$K79="b"),ROUND(VLOOKUP(EY$4,Preisindex,3,FALSE)/VLOOKUP(Preisindex!$A$6,Preisindex,3,FALSE),2),IF(AND($E79&lt;&gt;0,$F79&gt;0,YEAR($F79)&lt;Preisindex!$A$6,YEAR(ET$4)&gt;=YEAR($F79),$K79="g"),ROUND(VLOOKUP(EY$4,Preisindex,4,FALSE)/VLOOKUP(Preisindex!$A$6,Preisindex,4,FALSE),2),IF(AND($E79&lt;&gt;0,$F79&gt;0,YEAR($F79)&lt;Preisindex!$A$6,YEAR(ET$4)&gt;=YEAR($F79),$K79="k"),ROUND(VLOOKUP(EY$4,Preisindex,2,FALSE)/VLOOKUP(Preisindex!$A$6,Preisindex,2,FALSE),2),0)))))</f>
        <v>0</v>
      </c>
      <c r="FA79" s="51">
        <f>IF(AND($E79&lt;&gt;0,$F79&gt;0,YEAR($F79)&lt;=EY$4,YEAR($F79)&gt;=Preisindex!$A$6),ROUND($E79*EY79,2),IF(AND($E79&lt;&gt;0,$F79&gt;0,YEAR($F79)&lt;=EY$4,YEAR($F79)&lt;Preisindex!$A$6),ROUND($E79*EZ79,2),0))</f>
        <v>229350</v>
      </c>
      <c r="FB79" s="53">
        <f t="shared" si="418"/>
        <v>4587</v>
      </c>
      <c r="FC79" s="51">
        <f t="shared" si="394"/>
        <v>0</v>
      </c>
      <c r="FD79" s="51">
        <f t="shared" si="352"/>
        <v>0</v>
      </c>
      <c r="FE79" s="51">
        <f t="shared" si="419"/>
        <v>0</v>
      </c>
      <c r="FF79" s="51">
        <f t="shared" si="353"/>
        <v>0</v>
      </c>
      <c r="FG79" s="51">
        <f t="shared" si="420"/>
        <v>165000</v>
      </c>
      <c r="FH79" s="51">
        <f t="shared" si="354"/>
        <v>165000</v>
      </c>
      <c r="FI79" s="51">
        <f t="shared" si="421"/>
        <v>3300</v>
      </c>
      <c r="FJ79" s="51">
        <f t="shared" si="355"/>
        <v>3300</v>
      </c>
      <c r="FK79" s="51">
        <f t="shared" si="422"/>
        <v>117150</v>
      </c>
      <c r="FL79" s="51">
        <f t="shared" si="356"/>
        <v>117150</v>
      </c>
      <c r="FM79" s="51">
        <f t="shared" si="423"/>
        <v>47850</v>
      </c>
      <c r="FN79" s="54">
        <f t="shared" si="424"/>
        <v>0</v>
      </c>
      <c r="FO79" s="55">
        <f t="shared" si="425"/>
        <v>0</v>
      </c>
      <c r="FP79" s="56">
        <f>IF(AND($E79&lt;&gt;0,$F79&gt;0,YEAR($F79)&gt;=Preisindex!$A$6,YEAR(FK$4)&gt;=YEAR($F79),AND($K79&lt;&gt;"a",$K79&lt;&gt;"b",$K79&lt;&gt;"g",$K79&lt;&gt;"k")),1,IF(AND($E79&lt;&gt;0,$F79&gt;0,YEAR($F79)&gt;=Preisindex!$A$6,YEAR(FK$4)&gt;=YEAR($F79),$K79="a"),ROUND(VLOOKUP(FP$4,Preisindex,5,FALSE)/VLOOKUP(YEAR($F79),Preisindex,5,FALSE),2),IF(AND($E79&lt;&gt;0,$F79&gt;0,YEAR($F79)&gt;=Preisindex!$A$6,YEAR(FK$4)&gt;=YEAR($F79),$K79="b"),ROUND(VLOOKUP(FP$4,Preisindex,3,FALSE)/VLOOKUP(YEAR($F79),Preisindex,3,FALSE),2),IF(AND($E79&lt;&gt;0,$F79&gt;0,YEAR($F79)&gt;=Preisindex!$A$6,YEAR(FK$4)&gt;=YEAR($F79),$K79="g"),ROUND(VLOOKUP(FP$4,Preisindex,4,FALSE)/VLOOKUP(YEAR($F79),Preisindex,4,FALSE),2),IF(AND($E79&lt;&gt;0,$F79&gt;0,YEAR($F79)&gt;=Preisindex!$A$6,YEAR(FK$4)&gt;=YEAR($F79),$K79="k"),ROUND(VLOOKUP(FP$4,Preisindex,2,FALSE)/VLOOKUP(YEAR($F79),Preisindex,2,FALSE),2),0)))))</f>
        <v>1.39</v>
      </c>
      <c r="FQ79" s="56">
        <f>IF(AND($E79&lt;&gt;0,$F79&gt;0,YEAR($F79)&lt;Preisindex!$A$6,YEAR(FK$4)&gt;=YEAR($F79),AND($K79&lt;&gt;"a",$K79&lt;&gt;"b",$K79&lt;&gt;"g",$K79&lt;&gt;"k")),1,IF(AND($E79&lt;&gt;0,$F79&gt;0,YEAR($F79)&lt;Preisindex!$A$6,YEAR(FK$4)&gt;=YEAR($F79),$K79="a"),ROUND(VLOOKUP(FP$4,Preisindex,5,FALSE)/VLOOKUP(Preisindex!$A$6,Preisindex,5,FALSE),2),IF(AND($E79&lt;&gt;0,$F79&gt;0,YEAR($F79)&lt;Preisindex!$A$6,YEAR(FK$4)&gt;=YEAR($F79),$K79="b"),ROUND(VLOOKUP(FP$4,Preisindex,3,FALSE)/VLOOKUP(Preisindex!$A$6,Preisindex,3,FALSE),2),IF(AND($E79&lt;&gt;0,$F79&gt;0,YEAR($F79)&lt;Preisindex!$A$6,YEAR(FK$4)&gt;=YEAR($F79),$K79="g"),ROUND(VLOOKUP(FP$4,Preisindex,4,FALSE)/VLOOKUP(Preisindex!$A$6,Preisindex,4,FALSE),2),IF(AND($E79&lt;&gt;0,$F79&gt;0,YEAR($F79)&lt;Preisindex!$A$6,YEAR(FK$4)&gt;=YEAR($F79),$K79="k"),ROUND(VLOOKUP(FP$4,Preisindex,2,FALSE)/VLOOKUP(Preisindex!$A$6,Preisindex,2,FALSE),2),0)))))</f>
        <v>0</v>
      </c>
      <c r="FR79" s="51">
        <f>IF(AND($E79&lt;&gt;0,$F79&gt;0,YEAR($F79)&lt;=FP$4,YEAR($F79)&gt;=Preisindex!$A$6),ROUND($E79*FP79,2),IF(AND($E79&lt;&gt;0,$F79&gt;0,YEAR($F79)&lt;=FP$4,YEAR($F79)&lt;Preisindex!$A$6),ROUND($E79*FQ79,2),0))</f>
        <v>229350</v>
      </c>
      <c r="FS79" s="53">
        <f t="shared" si="426"/>
        <v>4587</v>
      </c>
    </row>
    <row r="80" spans="1:175" x14ac:dyDescent="0.3">
      <c r="A80" s="93">
        <v>2008</v>
      </c>
      <c r="B80" s="94" t="s">
        <v>264</v>
      </c>
      <c r="C80" s="94"/>
      <c r="D80" s="95" t="s">
        <v>60</v>
      </c>
      <c r="E80" s="99">
        <v>40500</v>
      </c>
      <c r="F80" s="97">
        <v>39630</v>
      </c>
      <c r="G80" s="98">
        <v>50</v>
      </c>
      <c r="H80" s="620"/>
      <c r="I80" s="193"/>
      <c r="J80" s="194"/>
      <c r="K80" s="630" t="s">
        <v>266</v>
      </c>
      <c r="L80" s="49">
        <f t="shared" si="427"/>
        <v>0.02</v>
      </c>
      <c r="M80" s="50">
        <f t="shared" si="428"/>
        <v>810</v>
      </c>
      <c r="N80" s="51">
        <f t="shared" si="429"/>
        <v>37665</v>
      </c>
      <c r="O80" s="51"/>
      <c r="P80" s="51">
        <f t="shared" si="430"/>
        <v>2835</v>
      </c>
      <c r="Q80" s="52"/>
      <c r="R80" s="52"/>
      <c r="S80" s="52"/>
      <c r="T80" s="52"/>
      <c r="U80" s="52"/>
      <c r="V80" s="53">
        <f t="shared" si="431"/>
        <v>40500</v>
      </c>
      <c r="W80" s="51">
        <f t="shared" si="432"/>
        <v>0</v>
      </c>
      <c r="X80" s="51">
        <f t="shared" si="433"/>
        <v>0</v>
      </c>
      <c r="Y80" s="51">
        <f t="shared" si="434"/>
        <v>0</v>
      </c>
      <c r="Z80" s="51">
        <f t="shared" si="435"/>
        <v>0</v>
      </c>
      <c r="AA80" s="51">
        <f t="shared" si="436"/>
        <v>40500</v>
      </c>
      <c r="AB80" s="51">
        <f t="shared" si="437"/>
        <v>40500</v>
      </c>
      <c r="AC80" s="51">
        <f t="shared" si="438"/>
        <v>810</v>
      </c>
      <c r="AD80" s="51">
        <f t="shared" si="439"/>
        <v>810</v>
      </c>
      <c r="AE80" s="51">
        <f t="shared" si="440"/>
        <v>36855</v>
      </c>
      <c r="AF80" s="51">
        <f t="shared" si="441"/>
        <v>36855</v>
      </c>
      <c r="AG80" s="51">
        <f t="shared" si="442"/>
        <v>3645</v>
      </c>
      <c r="AH80" s="54">
        <f t="shared" si="443"/>
        <v>0</v>
      </c>
      <c r="AI80" s="55">
        <f t="shared" si="444"/>
        <v>0</v>
      </c>
      <c r="AJ80" s="56">
        <f>IF(AND($E80&lt;&gt;0,$F80&gt;0,YEAR($F80)&gt;=Preisindex!$A$6,YEAR(AE$4)&gt;=YEAR($F80),AND($K80&lt;&gt;"a",$K80&lt;&gt;"b",$K80&lt;&gt;"g",$K80&lt;&gt;"k")),1,IF(AND($E80&lt;&gt;0,$F80&gt;0,YEAR($F80)&gt;=Preisindex!$A$6,YEAR(AE$4)&gt;=YEAR($F80),$K80="a"),ROUND(VLOOKUP(AJ$4,Preisindex,5,FALSE)/VLOOKUP(YEAR($F80),Preisindex,5,FALSE),2),IF(AND($E80&lt;&gt;0,$F80&gt;0,YEAR($F80)&gt;=Preisindex!$A$6,YEAR(AE$4)&gt;=YEAR($F80),$K80="b"),ROUND(VLOOKUP(AJ$4,Preisindex,3,FALSE)/VLOOKUP(YEAR($F80),Preisindex,3,FALSE),2),IF(AND($E80&lt;&gt;0,$F80&gt;0,YEAR($F80)&gt;=Preisindex!$A$6,YEAR(AE$4)&gt;=YEAR($F80),$K80="g"),ROUND(VLOOKUP(AJ$4,Preisindex,4,FALSE)/VLOOKUP(YEAR($F80),Preisindex,4,FALSE),2),IF(AND($E80&lt;&gt;0,$F80&gt;0,YEAR($F80)&gt;=Preisindex!$A$6,YEAR(AE$4)&gt;=YEAR($F80),$K80="k"),ROUND(VLOOKUP(AJ$4,Preisindex,2,FALSE)/VLOOKUP(YEAR($F80),Preisindex,2,FALSE),2),0)))))</f>
        <v>1.07</v>
      </c>
      <c r="AK80" s="56">
        <f>IF(AND($E80&lt;&gt;0,$F80&gt;0,YEAR($F80)&lt;Preisindex!$A$6,YEAR(AE$4)&gt;=YEAR($F80),AND($K80&lt;&gt;"a",$K80&lt;&gt;"b",$K80&lt;&gt;"g",$K80&lt;&gt;"k")),1,IF(AND($E80&lt;&gt;0,$F80&gt;0,YEAR($F80)&lt;Preisindex!$A$6,YEAR(AE$4)&gt;=YEAR($F80),$K80="a"),ROUND(VLOOKUP(AJ$4,Preisindex,5,FALSE)/VLOOKUP(Preisindex!$A$6,Preisindex,5,FALSE),2),IF(AND($E80&lt;&gt;0,$F80&gt;0,YEAR($F80)&lt;Preisindex!$A$6,YEAR(AE$4)&gt;=YEAR($F80),$K80="b"),ROUND(VLOOKUP(AJ$4,Preisindex,3,FALSE)/VLOOKUP(Preisindex!$A$6,Preisindex,3,FALSE),2),IF(AND($E80&lt;&gt;0,$F80&gt;0,YEAR($F80)&lt;Preisindex!$A$6,YEAR(AE$4)&gt;=YEAR($F80),$K80="g"),ROUND(VLOOKUP(AJ$4,Preisindex,4,FALSE)/VLOOKUP(Preisindex!$A$6,Preisindex,4,FALSE),2),IF(AND($E80&lt;&gt;0,$F80&gt;0,YEAR($F80)&lt;Preisindex!$A$6,YEAR(AE$4)&gt;=YEAR($F80),$K80="k"),ROUND(VLOOKUP(AJ$4,Preisindex,2,FALSE)/VLOOKUP(Preisindex!$A$6,Preisindex,2,FALSE),2),0)))))</f>
        <v>0</v>
      </c>
      <c r="AL80" s="51">
        <f>IF(AND($E80&lt;&gt;0,$F80&gt;0,YEAR($F80)&lt;=AJ$4,YEAR($F80)&gt;=Preisindex!$A$6),ROUND($E80*AJ80,2),IF(AND($E80&lt;&gt;0,$F80&gt;0,YEAR($F80)&lt;=AJ$4,YEAR($F80)&lt;Preisindex!$A$6),ROUND($E80*AK80,2),0))</f>
        <v>43335</v>
      </c>
      <c r="AM80" s="53">
        <f t="shared" si="445"/>
        <v>866.7</v>
      </c>
      <c r="AN80" s="51">
        <f t="shared" si="361"/>
        <v>0</v>
      </c>
      <c r="AO80" s="51">
        <f t="shared" si="317"/>
        <v>0</v>
      </c>
      <c r="AP80" s="51">
        <f t="shared" si="362"/>
        <v>0</v>
      </c>
      <c r="AQ80" s="51">
        <f t="shared" si="318"/>
        <v>0</v>
      </c>
      <c r="AR80" s="51">
        <f t="shared" si="363"/>
        <v>40500</v>
      </c>
      <c r="AS80" s="51">
        <f t="shared" si="319"/>
        <v>40500</v>
      </c>
      <c r="AT80" s="51">
        <f t="shared" si="364"/>
        <v>810</v>
      </c>
      <c r="AU80" s="51">
        <f t="shared" si="320"/>
        <v>810</v>
      </c>
      <c r="AV80" s="51">
        <f t="shared" si="365"/>
        <v>36045</v>
      </c>
      <c r="AW80" s="51">
        <f t="shared" si="321"/>
        <v>36045</v>
      </c>
      <c r="AX80" s="51">
        <f t="shared" si="366"/>
        <v>4455</v>
      </c>
      <c r="AY80" s="54">
        <f t="shared" si="367"/>
        <v>0</v>
      </c>
      <c r="AZ80" s="55">
        <f t="shared" si="368"/>
        <v>0</v>
      </c>
      <c r="BA80" s="56">
        <f>IF(AND($E80&lt;&gt;0,$F80&gt;0,YEAR($F80)&gt;=Preisindex!$A$6,YEAR(AV$4)&gt;=YEAR($F80),AND($K80&lt;&gt;"a",$K80&lt;&gt;"b",$K80&lt;&gt;"g",$K80&lt;&gt;"k")),1,IF(AND($E80&lt;&gt;0,$F80&gt;0,YEAR($F80)&gt;=Preisindex!$A$6,YEAR(AV$4)&gt;=YEAR($F80),$K80="a"),ROUND(VLOOKUP(BA$4,Preisindex,5,FALSE)/VLOOKUP(YEAR($F80),Preisindex,5,FALSE),2),IF(AND($E80&lt;&gt;0,$F80&gt;0,YEAR($F80)&gt;=Preisindex!$A$6,YEAR(AV$4)&gt;=YEAR($F80),$K80="b"),ROUND(VLOOKUP(BA$4,Preisindex,3,FALSE)/VLOOKUP(YEAR($F80),Preisindex,3,FALSE),2),IF(AND($E80&lt;&gt;0,$F80&gt;0,YEAR($F80)&gt;=Preisindex!$A$6,YEAR(AV$4)&gt;=YEAR($F80),$K80="g"),ROUND(VLOOKUP(BA$4,Preisindex,4,FALSE)/VLOOKUP(YEAR($F80),Preisindex,4,FALSE),2),IF(AND($E80&lt;&gt;0,$F80&gt;0,YEAR($F80)&gt;=Preisindex!$A$6,YEAR(AV$4)&gt;=YEAR($F80),$K80="k"),ROUND(VLOOKUP(BA$4,Preisindex,2,FALSE)/VLOOKUP(YEAR($F80),Preisindex,2,FALSE),2),0)))))</f>
        <v>1.0900000000000001</v>
      </c>
      <c r="BB80" s="56">
        <f>IF(AND($E80&lt;&gt;0,$F80&gt;0,YEAR($F80)&lt;Preisindex!$A$6,YEAR(AV$4)&gt;=YEAR($F80),AND($K80&lt;&gt;"a",$K80&lt;&gt;"b",$K80&lt;&gt;"g",$K80&lt;&gt;"k")),1,IF(AND($E80&lt;&gt;0,$F80&gt;0,YEAR($F80)&lt;Preisindex!$A$6,YEAR(AV$4)&gt;=YEAR($F80),$K80="a"),ROUND(VLOOKUP(BA$4,Preisindex,5,FALSE)/VLOOKUP(Preisindex!$A$6,Preisindex,5,FALSE),2),IF(AND($E80&lt;&gt;0,$F80&gt;0,YEAR($F80)&lt;Preisindex!$A$6,YEAR(AV$4)&gt;=YEAR($F80),$K80="b"),ROUND(VLOOKUP(BA$4,Preisindex,3,FALSE)/VLOOKUP(Preisindex!$A$6,Preisindex,3,FALSE),2),IF(AND($E80&lt;&gt;0,$F80&gt;0,YEAR($F80)&lt;Preisindex!$A$6,YEAR(AV$4)&gt;=YEAR($F80),$K80="g"),ROUND(VLOOKUP(BA$4,Preisindex,4,FALSE)/VLOOKUP(Preisindex!$A$6,Preisindex,4,FALSE),2),IF(AND($E80&lt;&gt;0,$F80&gt;0,YEAR($F80)&lt;Preisindex!$A$6,YEAR(AV$4)&gt;=YEAR($F80),$K80="k"),ROUND(VLOOKUP(BA$4,Preisindex,2,FALSE)/VLOOKUP(Preisindex!$A$6,Preisindex,2,FALSE),2),0)))))</f>
        <v>0</v>
      </c>
      <c r="BC80" s="51">
        <f>IF(AND($E80&lt;&gt;0,$F80&gt;0,YEAR($F80)&lt;=BA$4,YEAR($F80)&gt;=Preisindex!$A$6),ROUND($E80*BA80,2),IF(AND($E80&lt;&gt;0,$F80&gt;0,YEAR($F80)&lt;=BA$4,YEAR($F80)&lt;Preisindex!$A$6),ROUND($E80*BB80,2),0))</f>
        <v>44145</v>
      </c>
      <c r="BD80" s="53">
        <f t="shared" si="369"/>
        <v>882.9</v>
      </c>
      <c r="BE80" s="51">
        <f t="shared" si="361"/>
        <v>0</v>
      </c>
      <c r="BF80" s="51">
        <f t="shared" si="322"/>
        <v>0</v>
      </c>
      <c r="BG80" s="51">
        <f t="shared" si="370"/>
        <v>0</v>
      </c>
      <c r="BH80" s="51">
        <f t="shared" si="323"/>
        <v>0</v>
      </c>
      <c r="BI80" s="51">
        <f t="shared" si="371"/>
        <v>40500</v>
      </c>
      <c r="BJ80" s="51">
        <f t="shared" si="324"/>
        <v>40500</v>
      </c>
      <c r="BK80" s="51">
        <f t="shared" si="372"/>
        <v>810</v>
      </c>
      <c r="BL80" s="51">
        <f t="shared" si="325"/>
        <v>810</v>
      </c>
      <c r="BM80" s="51">
        <f t="shared" si="373"/>
        <v>35235</v>
      </c>
      <c r="BN80" s="51">
        <f t="shared" si="326"/>
        <v>35235</v>
      </c>
      <c r="BO80" s="51">
        <f t="shared" si="374"/>
        <v>5265</v>
      </c>
      <c r="BP80" s="54">
        <f t="shared" si="375"/>
        <v>0</v>
      </c>
      <c r="BQ80" s="55">
        <f t="shared" si="376"/>
        <v>0</v>
      </c>
      <c r="BR80" s="56">
        <f>IF(AND($E80&lt;&gt;0,$F80&gt;0,YEAR($F80)&gt;=Preisindex!$A$6,YEAR(BM$4)&gt;=YEAR($F80),AND($K80&lt;&gt;"a",$K80&lt;&gt;"b",$K80&lt;&gt;"g",$K80&lt;&gt;"k")),1,IF(AND($E80&lt;&gt;0,$F80&gt;0,YEAR($F80)&gt;=Preisindex!$A$6,YEAR(BM$4)&gt;=YEAR($F80),$K80="a"),ROUND(VLOOKUP(BR$4,Preisindex,5,FALSE)/VLOOKUP(YEAR($F80),Preisindex,5,FALSE),2),IF(AND($E80&lt;&gt;0,$F80&gt;0,YEAR($F80)&gt;=Preisindex!$A$6,YEAR(BM$4)&gt;=YEAR($F80),$K80="b"),ROUND(VLOOKUP(BR$4,Preisindex,3,FALSE)/VLOOKUP(YEAR($F80),Preisindex,3,FALSE),2),IF(AND($E80&lt;&gt;0,$F80&gt;0,YEAR($F80)&gt;=Preisindex!$A$6,YEAR(BM$4)&gt;=YEAR($F80),$K80="g"),ROUND(VLOOKUP(BR$4,Preisindex,4,FALSE)/VLOOKUP(YEAR($F80),Preisindex,4,FALSE),2),IF(AND($E80&lt;&gt;0,$F80&gt;0,YEAR($F80)&gt;=Preisindex!$A$6,YEAR(BM$4)&gt;=YEAR($F80),$K80="k"),ROUND(VLOOKUP(BR$4,Preisindex,2,FALSE)/VLOOKUP(YEAR($F80),Preisindex,2,FALSE),2),0)))))</f>
        <v>1.1100000000000001</v>
      </c>
      <c r="BS80" s="56">
        <f>IF(AND($E80&lt;&gt;0,$F80&gt;0,YEAR($F80)&lt;Preisindex!$A$6,YEAR(BM$4)&gt;=YEAR($F80),AND($K80&lt;&gt;"a",$K80&lt;&gt;"b",$K80&lt;&gt;"g",$K80&lt;&gt;"k")),1,IF(AND($E80&lt;&gt;0,$F80&gt;0,YEAR($F80)&lt;Preisindex!$A$6,YEAR(BM$4)&gt;=YEAR($F80),$K80="a"),ROUND(VLOOKUP(BR$4,Preisindex,5,FALSE)/VLOOKUP(Preisindex!$A$6,Preisindex,5,FALSE),2),IF(AND($E80&lt;&gt;0,$F80&gt;0,YEAR($F80)&lt;Preisindex!$A$6,YEAR(BM$4)&gt;=YEAR($F80),$K80="b"),ROUND(VLOOKUP(BR$4,Preisindex,3,FALSE)/VLOOKUP(Preisindex!$A$6,Preisindex,3,FALSE),2),IF(AND($E80&lt;&gt;0,$F80&gt;0,YEAR($F80)&lt;Preisindex!$A$6,YEAR(BM$4)&gt;=YEAR($F80),$K80="g"),ROUND(VLOOKUP(BR$4,Preisindex,4,FALSE)/VLOOKUP(Preisindex!$A$6,Preisindex,4,FALSE),2),IF(AND($E80&lt;&gt;0,$F80&gt;0,YEAR($F80)&lt;Preisindex!$A$6,YEAR(BM$4)&gt;=YEAR($F80),$K80="k"),ROUND(VLOOKUP(BR$4,Preisindex,2,FALSE)/VLOOKUP(Preisindex!$A$6,Preisindex,2,FALSE),2),0)))))</f>
        <v>0</v>
      </c>
      <c r="BT80" s="51">
        <f>IF(AND($E80&lt;&gt;0,$F80&gt;0,YEAR($F80)&lt;=BR$4,YEAR($F80)&gt;=Preisindex!$A$6),ROUND($E80*BR80,2),IF(AND($E80&lt;&gt;0,$F80&gt;0,YEAR($F80)&lt;=BR$4,YEAR($F80)&lt;Preisindex!$A$6),ROUND($E80*BS80,2),0))</f>
        <v>44955</v>
      </c>
      <c r="BU80" s="53">
        <f t="shared" si="377"/>
        <v>899.1</v>
      </c>
      <c r="BV80" s="51">
        <f t="shared" si="361"/>
        <v>0</v>
      </c>
      <c r="BW80" s="51">
        <f t="shared" si="327"/>
        <v>0</v>
      </c>
      <c r="BX80" s="51">
        <f t="shared" si="378"/>
        <v>0</v>
      </c>
      <c r="BY80" s="51">
        <f t="shared" si="328"/>
        <v>0</v>
      </c>
      <c r="BZ80" s="51">
        <f t="shared" si="379"/>
        <v>40500</v>
      </c>
      <c r="CA80" s="51">
        <f t="shared" si="329"/>
        <v>40500</v>
      </c>
      <c r="CB80" s="51">
        <f t="shared" si="380"/>
        <v>810</v>
      </c>
      <c r="CC80" s="51">
        <f t="shared" si="330"/>
        <v>810</v>
      </c>
      <c r="CD80" s="51">
        <f t="shared" si="381"/>
        <v>34425</v>
      </c>
      <c r="CE80" s="51">
        <f t="shared" si="331"/>
        <v>34425</v>
      </c>
      <c r="CF80" s="51">
        <f t="shared" si="382"/>
        <v>6075</v>
      </c>
      <c r="CG80" s="54">
        <f t="shared" si="383"/>
        <v>0</v>
      </c>
      <c r="CH80" s="55">
        <f t="shared" si="384"/>
        <v>0</v>
      </c>
      <c r="CI80" s="56">
        <f>IF(AND($E80&lt;&gt;0,$F80&gt;0,YEAR($F80)&gt;=Preisindex!$A$6,YEAR(CD$4)&gt;=YEAR($F80),AND($K80&lt;&gt;"a",$K80&lt;&gt;"b",$K80&lt;&gt;"g",$K80&lt;&gt;"k")),1,IF(AND($E80&lt;&gt;0,$F80&gt;0,YEAR($F80)&gt;=Preisindex!$A$6,YEAR(CD$4)&gt;=YEAR($F80),$K80="a"),ROUND(VLOOKUP(CI$4,Preisindex,5,FALSE)/VLOOKUP(YEAR($F80),Preisindex,5,FALSE),2),IF(AND($E80&lt;&gt;0,$F80&gt;0,YEAR($F80)&gt;=Preisindex!$A$6,YEAR(CD$4)&gt;=YEAR($F80),$K80="b"),ROUND(VLOOKUP(CI$4,Preisindex,3,FALSE)/VLOOKUP(YEAR($F80),Preisindex,3,FALSE),2),IF(AND($E80&lt;&gt;0,$F80&gt;0,YEAR($F80)&gt;=Preisindex!$A$6,YEAR(CD$4)&gt;=YEAR($F80),$K80="g"),ROUND(VLOOKUP(CI$4,Preisindex,4,FALSE)/VLOOKUP(YEAR($F80),Preisindex,4,FALSE),2),IF(AND($E80&lt;&gt;0,$F80&gt;0,YEAR($F80)&gt;=Preisindex!$A$6,YEAR(CD$4)&gt;=YEAR($F80),$K80="k"),ROUND(VLOOKUP(CI$4,Preisindex,2,FALSE)/VLOOKUP(YEAR($F80),Preisindex,2,FALSE),2),0)))))</f>
        <v>1.1200000000000001</v>
      </c>
      <c r="CJ80" s="56">
        <f>IF(AND($E80&lt;&gt;0,$F80&gt;0,YEAR($F80)&lt;Preisindex!$A$6,YEAR(CD$4)&gt;=YEAR($F80),AND($K80&lt;&gt;"a",$K80&lt;&gt;"b",$K80&lt;&gt;"g",$K80&lt;&gt;"k")),1,IF(AND($E80&lt;&gt;0,$F80&gt;0,YEAR($F80)&lt;Preisindex!$A$6,YEAR(CD$4)&gt;=YEAR($F80),$K80="a"),ROUND(VLOOKUP(CI$4,Preisindex,5,FALSE)/VLOOKUP(Preisindex!$A$6,Preisindex,5,FALSE),2),IF(AND($E80&lt;&gt;0,$F80&gt;0,YEAR($F80)&lt;Preisindex!$A$6,YEAR(CD$4)&gt;=YEAR($F80),$K80="b"),ROUND(VLOOKUP(CI$4,Preisindex,3,FALSE)/VLOOKUP(Preisindex!$A$6,Preisindex,3,FALSE),2),IF(AND($E80&lt;&gt;0,$F80&gt;0,YEAR($F80)&lt;Preisindex!$A$6,YEAR(CD$4)&gt;=YEAR($F80),$K80="g"),ROUND(VLOOKUP(CI$4,Preisindex,4,FALSE)/VLOOKUP(Preisindex!$A$6,Preisindex,4,FALSE),2),IF(AND($E80&lt;&gt;0,$F80&gt;0,YEAR($F80)&lt;Preisindex!$A$6,YEAR(CD$4)&gt;=YEAR($F80),$K80="k"),ROUND(VLOOKUP(CI$4,Preisindex,2,FALSE)/VLOOKUP(Preisindex!$A$6,Preisindex,2,FALSE),2),0)))))</f>
        <v>0</v>
      </c>
      <c r="CK80" s="51">
        <f>IF(AND($E80&lt;&gt;0,$F80&gt;0,YEAR($F80)&lt;=CI$4,YEAR($F80)&gt;=Preisindex!$A$6),ROUND($E80*CI80,2),IF(AND($E80&lt;&gt;0,$F80&gt;0,YEAR($F80)&lt;=CI$4,YEAR($F80)&lt;Preisindex!$A$6),ROUND($E80*CJ80,2),0))</f>
        <v>45360</v>
      </c>
      <c r="CL80" s="53">
        <f t="shared" si="385"/>
        <v>907.2</v>
      </c>
      <c r="CM80" s="51">
        <f t="shared" si="361"/>
        <v>0</v>
      </c>
      <c r="CN80" s="51">
        <f t="shared" si="332"/>
        <v>0</v>
      </c>
      <c r="CO80" s="51">
        <f t="shared" si="386"/>
        <v>0</v>
      </c>
      <c r="CP80" s="51">
        <f t="shared" si="333"/>
        <v>0</v>
      </c>
      <c r="CQ80" s="51">
        <f t="shared" si="387"/>
        <v>40500</v>
      </c>
      <c r="CR80" s="51">
        <f t="shared" si="334"/>
        <v>40500</v>
      </c>
      <c r="CS80" s="51">
        <f t="shared" si="388"/>
        <v>810</v>
      </c>
      <c r="CT80" s="51">
        <f t="shared" si="335"/>
        <v>810</v>
      </c>
      <c r="CU80" s="51">
        <f t="shared" si="389"/>
        <v>33615</v>
      </c>
      <c r="CV80" s="51">
        <f t="shared" si="336"/>
        <v>33615</v>
      </c>
      <c r="CW80" s="51">
        <f t="shared" si="390"/>
        <v>6885</v>
      </c>
      <c r="CX80" s="54">
        <f t="shared" si="391"/>
        <v>0</v>
      </c>
      <c r="CY80" s="55">
        <f t="shared" si="392"/>
        <v>0</v>
      </c>
      <c r="CZ80" s="56">
        <f>IF(AND($E80&lt;&gt;0,$F80&gt;0,YEAR($F80)&gt;=Preisindex!$A$6,YEAR(CU$4)&gt;=YEAR($F80),AND($K80&lt;&gt;"a",$K80&lt;&gt;"b",$K80&lt;&gt;"g",$K80&lt;&gt;"k")),1,IF(AND($E80&lt;&gt;0,$F80&gt;0,YEAR($F80)&gt;=Preisindex!$A$6,YEAR(CU$4)&gt;=YEAR($F80),$K80="a"),ROUND(VLOOKUP(CZ$4,Preisindex,5,FALSE)/VLOOKUP(YEAR($F80),Preisindex,5,FALSE),2),IF(AND($E80&lt;&gt;0,$F80&gt;0,YEAR($F80)&gt;=Preisindex!$A$6,YEAR(CU$4)&gt;=YEAR($F80),$K80="b"),ROUND(VLOOKUP(CZ$4,Preisindex,3,FALSE)/VLOOKUP(YEAR($F80),Preisindex,3,FALSE),2),IF(AND($E80&lt;&gt;0,$F80&gt;0,YEAR($F80)&gt;=Preisindex!$A$6,YEAR(CU$4)&gt;=YEAR($F80),$K80="g"),ROUND(VLOOKUP(CZ$4,Preisindex,4,FALSE)/VLOOKUP(YEAR($F80),Preisindex,4,FALSE),2),IF(AND($E80&lt;&gt;0,$F80&gt;0,YEAR($F80)&gt;=Preisindex!$A$6,YEAR(CU$4)&gt;=YEAR($F80),$K80="k"),ROUND(VLOOKUP(CZ$4,Preisindex,2,FALSE)/VLOOKUP(YEAR($F80),Preisindex,2,FALSE),2),0)))))</f>
        <v>1.1399999999999999</v>
      </c>
      <c r="DA80" s="56">
        <f>IF(AND($E80&lt;&gt;0,$F80&gt;0,YEAR($F80)&lt;Preisindex!$A$6,YEAR(CU$4)&gt;=YEAR($F80),AND($K80&lt;&gt;"a",$K80&lt;&gt;"b",$K80&lt;&gt;"g",$K80&lt;&gt;"k")),1,IF(AND($E80&lt;&gt;0,$F80&gt;0,YEAR($F80)&lt;Preisindex!$A$6,YEAR(CU$4)&gt;=YEAR($F80),$K80="a"),ROUND(VLOOKUP(CZ$4,Preisindex,5,FALSE)/VLOOKUP(Preisindex!$A$6,Preisindex,5,FALSE),2),IF(AND($E80&lt;&gt;0,$F80&gt;0,YEAR($F80)&lt;Preisindex!$A$6,YEAR(CU$4)&gt;=YEAR($F80),$K80="b"),ROUND(VLOOKUP(CZ$4,Preisindex,3,FALSE)/VLOOKUP(Preisindex!$A$6,Preisindex,3,FALSE),2),IF(AND($E80&lt;&gt;0,$F80&gt;0,YEAR($F80)&lt;Preisindex!$A$6,YEAR(CU$4)&gt;=YEAR($F80),$K80="g"),ROUND(VLOOKUP(CZ$4,Preisindex,4,FALSE)/VLOOKUP(Preisindex!$A$6,Preisindex,4,FALSE),2),IF(AND($E80&lt;&gt;0,$F80&gt;0,YEAR($F80)&lt;Preisindex!$A$6,YEAR(CU$4)&gt;=YEAR($F80),$K80="k"),ROUND(VLOOKUP(CZ$4,Preisindex,2,FALSE)/VLOOKUP(Preisindex!$A$6,Preisindex,2,FALSE),2),0)))))</f>
        <v>0</v>
      </c>
      <c r="DB80" s="51">
        <f>IF(AND($E80&lt;&gt;0,$F80&gt;0,YEAR($F80)&lt;=CZ$4,YEAR($F80)&gt;=Preisindex!$A$6),ROUND($E80*CZ80,2),IF(AND($E80&lt;&gt;0,$F80&gt;0,YEAR($F80)&lt;=CZ$4,YEAR($F80)&lt;Preisindex!$A$6),ROUND($E80*DA80,2),0))</f>
        <v>46170</v>
      </c>
      <c r="DC80" s="53">
        <f t="shared" si="393"/>
        <v>923.4</v>
      </c>
      <c r="DD80" s="51">
        <f t="shared" si="394"/>
        <v>0</v>
      </c>
      <c r="DE80" s="51">
        <f t="shared" si="337"/>
        <v>0</v>
      </c>
      <c r="DF80" s="51">
        <f t="shared" si="395"/>
        <v>0</v>
      </c>
      <c r="DG80" s="51">
        <f t="shared" si="338"/>
        <v>0</v>
      </c>
      <c r="DH80" s="51">
        <f t="shared" si="396"/>
        <v>40500</v>
      </c>
      <c r="DI80" s="51">
        <f t="shared" si="339"/>
        <v>40500</v>
      </c>
      <c r="DJ80" s="51">
        <f t="shared" si="397"/>
        <v>810</v>
      </c>
      <c r="DK80" s="51">
        <f t="shared" si="340"/>
        <v>810</v>
      </c>
      <c r="DL80" s="51">
        <f t="shared" si="398"/>
        <v>32805</v>
      </c>
      <c r="DM80" s="51">
        <f t="shared" si="341"/>
        <v>32805</v>
      </c>
      <c r="DN80" s="51">
        <f t="shared" si="399"/>
        <v>7695</v>
      </c>
      <c r="DO80" s="54">
        <f t="shared" si="400"/>
        <v>0</v>
      </c>
      <c r="DP80" s="55">
        <f t="shared" si="401"/>
        <v>0</v>
      </c>
      <c r="DQ80" s="56">
        <f>IF(AND($E80&lt;&gt;0,$F80&gt;0,YEAR($F80)&gt;=Preisindex!$A$6,YEAR(DL$4)&gt;=YEAR($F80),AND($K80&lt;&gt;"a",$K80&lt;&gt;"b",$K80&lt;&gt;"g",$K80&lt;&gt;"k")),1,IF(AND($E80&lt;&gt;0,$F80&gt;0,YEAR($F80)&gt;=Preisindex!$A$6,YEAR(DL$4)&gt;=YEAR($F80),$K80="a"),ROUND(VLOOKUP(DQ$4,Preisindex,5,FALSE)/VLOOKUP(YEAR($F80),Preisindex,5,FALSE),2),IF(AND($E80&lt;&gt;0,$F80&gt;0,YEAR($F80)&gt;=Preisindex!$A$6,YEAR(DL$4)&gt;=YEAR($F80),$K80="b"),ROUND(VLOOKUP(DQ$4,Preisindex,3,FALSE)/VLOOKUP(YEAR($F80),Preisindex,3,FALSE),2),IF(AND($E80&lt;&gt;0,$F80&gt;0,YEAR($F80)&gt;=Preisindex!$A$6,YEAR(DL$4)&gt;=YEAR($F80),$K80="g"),ROUND(VLOOKUP(DQ$4,Preisindex,4,FALSE)/VLOOKUP(YEAR($F80),Preisindex,4,FALSE),2),IF(AND($E80&lt;&gt;0,$F80&gt;0,YEAR($F80)&gt;=Preisindex!$A$6,YEAR(DL$4)&gt;=YEAR($F80),$K80="k"),ROUND(VLOOKUP(DQ$4,Preisindex,2,FALSE)/VLOOKUP(YEAR($F80),Preisindex,2,FALSE),2),0)))))</f>
        <v>1.17</v>
      </c>
      <c r="DR80" s="56">
        <f>IF(AND($E80&lt;&gt;0,$F80&gt;0,YEAR($F80)&lt;Preisindex!$A$6,YEAR(DL$4)&gt;=YEAR($F80),AND($K80&lt;&gt;"a",$K80&lt;&gt;"b",$K80&lt;&gt;"g",$K80&lt;&gt;"k")),1,IF(AND($E80&lt;&gt;0,$F80&gt;0,YEAR($F80)&lt;Preisindex!$A$6,YEAR(DL$4)&gt;=YEAR($F80),$K80="a"),ROUND(VLOOKUP(DQ$4,Preisindex,5,FALSE)/VLOOKUP(Preisindex!$A$6,Preisindex,5,FALSE),2),IF(AND($E80&lt;&gt;0,$F80&gt;0,YEAR($F80)&lt;Preisindex!$A$6,YEAR(DL$4)&gt;=YEAR($F80),$K80="b"),ROUND(VLOOKUP(DQ$4,Preisindex,3,FALSE)/VLOOKUP(Preisindex!$A$6,Preisindex,3,FALSE),2),IF(AND($E80&lt;&gt;0,$F80&gt;0,YEAR($F80)&lt;Preisindex!$A$6,YEAR(DL$4)&gt;=YEAR($F80),$K80="g"),ROUND(VLOOKUP(DQ$4,Preisindex,4,FALSE)/VLOOKUP(Preisindex!$A$6,Preisindex,4,FALSE),2),IF(AND($E80&lt;&gt;0,$F80&gt;0,YEAR($F80)&lt;Preisindex!$A$6,YEAR(DL$4)&gt;=YEAR($F80),$K80="k"),ROUND(VLOOKUP(DQ$4,Preisindex,2,FALSE)/VLOOKUP(Preisindex!$A$6,Preisindex,2,FALSE),2),0)))))</f>
        <v>0</v>
      </c>
      <c r="DS80" s="51">
        <f>IF(AND($E80&lt;&gt;0,$F80&gt;0,YEAR($F80)&lt;=DQ$4,YEAR($F80)&gt;=Preisindex!$A$6),ROUND($E80*DQ80,2),IF(AND($E80&lt;&gt;0,$F80&gt;0,YEAR($F80)&lt;=DQ$4,YEAR($F80)&lt;Preisindex!$A$6),ROUND($E80*DR80,2),0))</f>
        <v>47385</v>
      </c>
      <c r="DT80" s="53">
        <f t="shared" si="402"/>
        <v>947.7</v>
      </c>
      <c r="DU80" s="51">
        <f t="shared" si="394"/>
        <v>0</v>
      </c>
      <c r="DV80" s="51">
        <f t="shared" si="342"/>
        <v>0</v>
      </c>
      <c r="DW80" s="51">
        <f t="shared" si="403"/>
        <v>0</v>
      </c>
      <c r="DX80" s="51">
        <f t="shared" si="343"/>
        <v>0</v>
      </c>
      <c r="DY80" s="51">
        <f t="shared" si="404"/>
        <v>40500</v>
      </c>
      <c r="DZ80" s="51">
        <f t="shared" si="344"/>
        <v>40500</v>
      </c>
      <c r="EA80" s="51">
        <f t="shared" si="405"/>
        <v>810</v>
      </c>
      <c r="EB80" s="51">
        <f t="shared" si="345"/>
        <v>810</v>
      </c>
      <c r="EC80" s="51">
        <f t="shared" si="406"/>
        <v>31995</v>
      </c>
      <c r="ED80" s="51">
        <f t="shared" si="346"/>
        <v>31995</v>
      </c>
      <c r="EE80" s="51">
        <f t="shared" si="407"/>
        <v>8505</v>
      </c>
      <c r="EF80" s="54">
        <f t="shared" si="408"/>
        <v>0</v>
      </c>
      <c r="EG80" s="55">
        <f t="shared" si="409"/>
        <v>0</v>
      </c>
      <c r="EH80" s="56">
        <f>IF(AND($E80&lt;&gt;0,$F80&gt;0,YEAR($F80)&gt;=Preisindex!$A$6,YEAR(EC$4)&gt;=YEAR($F80),AND($K80&lt;&gt;"a",$K80&lt;&gt;"b",$K80&lt;&gt;"g",$K80&lt;&gt;"k")),1,IF(AND($E80&lt;&gt;0,$F80&gt;0,YEAR($F80)&gt;=Preisindex!$A$6,YEAR(EC$4)&gt;=YEAR($F80),$K80="a"),ROUND(VLOOKUP(EH$4,Preisindex,5,FALSE)/VLOOKUP(YEAR($F80),Preisindex,5,FALSE),2),IF(AND($E80&lt;&gt;0,$F80&gt;0,YEAR($F80)&gt;=Preisindex!$A$6,YEAR(EC$4)&gt;=YEAR($F80),$K80="b"),ROUND(VLOOKUP(EH$4,Preisindex,3,FALSE)/VLOOKUP(YEAR($F80),Preisindex,3,FALSE),2),IF(AND($E80&lt;&gt;0,$F80&gt;0,YEAR($F80)&gt;=Preisindex!$A$6,YEAR(EC$4)&gt;=YEAR($F80),$K80="g"),ROUND(VLOOKUP(EH$4,Preisindex,4,FALSE)/VLOOKUP(YEAR($F80),Preisindex,4,FALSE),2),IF(AND($E80&lt;&gt;0,$F80&gt;0,YEAR($F80)&gt;=Preisindex!$A$6,YEAR(EC$4)&gt;=YEAR($F80),$K80="k"),ROUND(VLOOKUP(EH$4,Preisindex,2,FALSE)/VLOOKUP(YEAR($F80),Preisindex,2,FALSE),2),0)))))</f>
        <v>1.23</v>
      </c>
      <c r="EI80" s="56">
        <f>IF(AND($E80&lt;&gt;0,$F80&gt;0,YEAR($F80)&lt;Preisindex!$A$6,YEAR(EC$4)&gt;=YEAR($F80),AND($K80&lt;&gt;"a",$K80&lt;&gt;"b",$K80&lt;&gt;"g",$K80&lt;&gt;"k")),1,IF(AND($E80&lt;&gt;0,$F80&gt;0,YEAR($F80)&lt;Preisindex!$A$6,YEAR(EC$4)&gt;=YEAR($F80),$K80="a"),ROUND(VLOOKUP(EH$4,Preisindex,5,FALSE)/VLOOKUP(Preisindex!$A$6,Preisindex,5,FALSE),2),IF(AND($E80&lt;&gt;0,$F80&gt;0,YEAR($F80)&lt;Preisindex!$A$6,YEAR(EC$4)&gt;=YEAR($F80),$K80="b"),ROUND(VLOOKUP(EH$4,Preisindex,3,FALSE)/VLOOKUP(Preisindex!$A$6,Preisindex,3,FALSE),2),IF(AND($E80&lt;&gt;0,$F80&gt;0,YEAR($F80)&lt;Preisindex!$A$6,YEAR(EC$4)&gt;=YEAR($F80),$K80="g"),ROUND(VLOOKUP(EH$4,Preisindex,4,FALSE)/VLOOKUP(Preisindex!$A$6,Preisindex,4,FALSE),2),IF(AND($E80&lt;&gt;0,$F80&gt;0,YEAR($F80)&lt;Preisindex!$A$6,YEAR(EC$4)&gt;=YEAR($F80),$K80="k"),ROUND(VLOOKUP(EH$4,Preisindex,2,FALSE)/VLOOKUP(Preisindex!$A$6,Preisindex,2,FALSE),2),0)))))</f>
        <v>0</v>
      </c>
      <c r="EJ80" s="51">
        <f>IF(AND($E80&lt;&gt;0,$F80&gt;0,YEAR($F80)&lt;=EH$4,YEAR($F80)&gt;=Preisindex!$A$6),ROUND($E80*EH80,2),IF(AND($E80&lt;&gt;0,$F80&gt;0,YEAR($F80)&lt;=EH$4,YEAR($F80)&lt;Preisindex!$A$6),ROUND($E80*EI80,2),0))</f>
        <v>49815</v>
      </c>
      <c r="EK80" s="53">
        <f t="shared" si="410"/>
        <v>996.30000000000007</v>
      </c>
      <c r="EL80" s="51">
        <f t="shared" si="394"/>
        <v>0</v>
      </c>
      <c r="EM80" s="51">
        <f t="shared" si="347"/>
        <v>0</v>
      </c>
      <c r="EN80" s="51">
        <f t="shared" si="411"/>
        <v>0</v>
      </c>
      <c r="EO80" s="51">
        <f t="shared" si="348"/>
        <v>0</v>
      </c>
      <c r="EP80" s="51">
        <f t="shared" si="412"/>
        <v>40500</v>
      </c>
      <c r="EQ80" s="51">
        <f t="shared" si="349"/>
        <v>40500</v>
      </c>
      <c r="ER80" s="51">
        <f t="shared" si="413"/>
        <v>810</v>
      </c>
      <c r="ES80" s="51">
        <f t="shared" si="350"/>
        <v>810</v>
      </c>
      <c r="ET80" s="51">
        <f t="shared" si="414"/>
        <v>31185</v>
      </c>
      <c r="EU80" s="51">
        <f t="shared" si="351"/>
        <v>31185</v>
      </c>
      <c r="EV80" s="51">
        <f t="shared" si="415"/>
        <v>9315</v>
      </c>
      <c r="EW80" s="54">
        <f t="shared" si="416"/>
        <v>0</v>
      </c>
      <c r="EX80" s="55">
        <f t="shared" si="417"/>
        <v>0</v>
      </c>
      <c r="EY80" s="56">
        <f>IF(AND($E80&lt;&gt;0,$F80&gt;0,YEAR($F80)&gt;=Preisindex!$A$6,YEAR(ET$4)&gt;=YEAR($F80),AND($K80&lt;&gt;"a",$K80&lt;&gt;"b",$K80&lt;&gt;"g",$K80&lt;&gt;"k")),1,IF(AND($E80&lt;&gt;0,$F80&gt;0,YEAR($F80)&gt;=Preisindex!$A$6,YEAR(ET$4)&gt;=YEAR($F80),$K80="a"),ROUND(VLOOKUP(EY$4,Preisindex,5,FALSE)/VLOOKUP(YEAR($F80),Preisindex,5,FALSE),2),IF(AND($E80&lt;&gt;0,$F80&gt;0,YEAR($F80)&gt;=Preisindex!$A$6,YEAR(ET$4)&gt;=YEAR($F80),$K80="b"),ROUND(VLOOKUP(EY$4,Preisindex,3,FALSE)/VLOOKUP(YEAR($F80),Preisindex,3,FALSE),2),IF(AND($E80&lt;&gt;0,$F80&gt;0,YEAR($F80)&gt;=Preisindex!$A$6,YEAR(ET$4)&gt;=YEAR($F80),$K80="g"),ROUND(VLOOKUP(EY$4,Preisindex,4,FALSE)/VLOOKUP(YEAR($F80),Preisindex,4,FALSE),2),IF(AND($E80&lt;&gt;0,$F80&gt;0,YEAR($F80)&gt;=Preisindex!$A$6,YEAR(ET$4)&gt;=YEAR($F80),$K80="k"),ROUND(VLOOKUP(EY$4,Preisindex,2,FALSE)/VLOOKUP(YEAR($F80),Preisindex,2,FALSE),2),0)))))</f>
        <v>1.23</v>
      </c>
      <c r="EZ80" s="56">
        <f>IF(AND($E80&lt;&gt;0,$F80&gt;0,YEAR($F80)&lt;Preisindex!$A$6,YEAR(ET$4)&gt;=YEAR($F80),AND($K80&lt;&gt;"a",$K80&lt;&gt;"b",$K80&lt;&gt;"g",$K80&lt;&gt;"k")),1,IF(AND($E80&lt;&gt;0,$F80&gt;0,YEAR($F80)&lt;Preisindex!$A$6,YEAR(ET$4)&gt;=YEAR($F80),$K80="a"),ROUND(VLOOKUP(EY$4,Preisindex,5,FALSE)/VLOOKUP(Preisindex!$A$6,Preisindex,5,FALSE),2),IF(AND($E80&lt;&gt;0,$F80&gt;0,YEAR($F80)&lt;Preisindex!$A$6,YEAR(ET$4)&gt;=YEAR($F80),$K80="b"),ROUND(VLOOKUP(EY$4,Preisindex,3,FALSE)/VLOOKUP(Preisindex!$A$6,Preisindex,3,FALSE),2),IF(AND($E80&lt;&gt;0,$F80&gt;0,YEAR($F80)&lt;Preisindex!$A$6,YEAR(ET$4)&gt;=YEAR($F80),$K80="g"),ROUND(VLOOKUP(EY$4,Preisindex,4,FALSE)/VLOOKUP(Preisindex!$A$6,Preisindex,4,FALSE),2),IF(AND($E80&lt;&gt;0,$F80&gt;0,YEAR($F80)&lt;Preisindex!$A$6,YEAR(ET$4)&gt;=YEAR($F80),$K80="k"),ROUND(VLOOKUP(EY$4,Preisindex,2,FALSE)/VLOOKUP(Preisindex!$A$6,Preisindex,2,FALSE),2),0)))))</f>
        <v>0</v>
      </c>
      <c r="FA80" s="51">
        <f>IF(AND($E80&lt;&gt;0,$F80&gt;0,YEAR($F80)&lt;=EY$4,YEAR($F80)&gt;=Preisindex!$A$6),ROUND($E80*EY80,2),IF(AND($E80&lt;&gt;0,$F80&gt;0,YEAR($F80)&lt;=EY$4,YEAR($F80)&lt;Preisindex!$A$6),ROUND($E80*EZ80,2),0))</f>
        <v>49815</v>
      </c>
      <c r="FB80" s="53">
        <f t="shared" si="418"/>
        <v>996.30000000000007</v>
      </c>
      <c r="FC80" s="51">
        <f t="shared" si="394"/>
        <v>0</v>
      </c>
      <c r="FD80" s="51">
        <f t="shared" si="352"/>
        <v>0</v>
      </c>
      <c r="FE80" s="51">
        <f t="shared" si="419"/>
        <v>0</v>
      </c>
      <c r="FF80" s="51">
        <f t="shared" si="353"/>
        <v>0</v>
      </c>
      <c r="FG80" s="51">
        <f t="shared" si="420"/>
        <v>40500</v>
      </c>
      <c r="FH80" s="51">
        <f t="shared" si="354"/>
        <v>40500</v>
      </c>
      <c r="FI80" s="51">
        <f t="shared" si="421"/>
        <v>810</v>
      </c>
      <c r="FJ80" s="51">
        <f t="shared" si="355"/>
        <v>810</v>
      </c>
      <c r="FK80" s="51">
        <f t="shared" si="422"/>
        <v>30375</v>
      </c>
      <c r="FL80" s="51">
        <f t="shared" si="356"/>
        <v>30375</v>
      </c>
      <c r="FM80" s="51">
        <f t="shared" si="423"/>
        <v>10125</v>
      </c>
      <c r="FN80" s="54">
        <f t="shared" si="424"/>
        <v>0</v>
      </c>
      <c r="FO80" s="55">
        <f t="shared" si="425"/>
        <v>0</v>
      </c>
      <c r="FP80" s="56">
        <f>IF(AND($E80&lt;&gt;0,$F80&gt;0,YEAR($F80)&gt;=Preisindex!$A$6,YEAR(FK$4)&gt;=YEAR($F80),AND($K80&lt;&gt;"a",$K80&lt;&gt;"b",$K80&lt;&gt;"g",$K80&lt;&gt;"k")),1,IF(AND($E80&lt;&gt;0,$F80&gt;0,YEAR($F80)&gt;=Preisindex!$A$6,YEAR(FK$4)&gt;=YEAR($F80),$K80="a"),ROUND(VLOOKUP(FP$4,Preisindex,5,FALSE)/VLOOKUP(YEAR($F80),Preisindex,5,FALSE),2),IF(AND($E80&lt;&gt;0,$F80&gt;0,YEAR($F80)&gt;=Preisindex!$A$6,YEAR(FK$4)&gt;=YEAR($F80),$K80="b"),ROUND(VLOOKUP(FP$4,Preisindex,3,FALSE)/VLOOKUP(YEAR($F80),Preisindex,3,FALSE),2),IF(AND($E80&lt;&gt;0,$F80&gt;0,YEAR($F80)&gt;=Preisindex!$A$6,YEAR(FK$4)&gt;=YEAR($F80),$K80="g"),ROUND(VLOOKUP(FP$4,Preisindex,4,FALSE)/VLOOKUP(YEAR($F80),Preisindex,4,FALSE),2),IF(AND($E80&lt;&gt;0,$F80&gt;0,YEAR($F80)&gt;=Preisindex!$A$6,YEAR(FK$4)&gt;=YEAR($F80),$K80="k"),ROUND(VLOOKUP(FP$4,Preisindex,2,FALSE)/VLOOKUP(YEAR($F80),Preisindex,2,FALSE),2),0)))))</f>
        <v>1.23</v>
      </c>
      <c r="FQ80" s="56">
        <f>IF(AND($E80&lt;&gt;0,$F80&gt;0,YEAR($F80)&lt;Preisindex!$A$6,YEAR(FK$4)&gt;=YEAR($F80),AND($K80&lt;&gt;"a",$K80&lt;&gt;"b",$K80&lt;&gt;"g",$K80&lt;&gt;"k")),1,IF(AND($E80&lt;&gt;0,$F80&gt;0,YEAR($F80)&lt;Preisindex!$A$6,YEAR(FK$4)&gt;=YEAR($F80),$K80="a"),ROUND(VLOOKUP(FP$4,Preisindex,5,FALSE)/VLOOKUP(Preisindex!$A$6,Preisindex,5,FALSE),2),IF(AND($E80&lt;&gt;0,$F80&gt;0,YEAR($F80)&lt;Preisindex!$A$6,YEAR(FK$4)&gt;=YEAR($F80),$K80="b"),ROUND(VLOOKUP(FP$4,Preisindex,3,FALSE)/VLOOKUP(Preisindex!$A$6,Preisindex,3,FALSE),2),IF(AND($E80&lt;&gt;0,$F80&gt;0,YEAR($F80)&lt;Preisindex!$A$6,YEAR(FK$4)&gt;=YEAR($F80),$K80="g"),ROUND(VLOOKUP(FP$4,Preisindex,4,FALSE)/VLOOKUP(Preisindex!$A$6,Preisindex,4,FALSE),2),IF(AND($E80&lt;&gt;0,$F80&gt;0,YEAR($F80)&lt;Preisindex!$A$6,YEAR(FK$4)&gt;=YEAR($F80),$K80="k"),ROUND(VLOOKUP(FP$4,Preisindex,2,FALSE)/VLOOKUP(Preisindex!$A$6,Preisindex,2,FALSE),2),0)))))</f>
        <v>0</v>
      </c>
      <c r="FR80" s="51">
        <f>IF(AND($E80&lt;&gt;0,$F80&gt;0,YEAR($F80)&lt;=FP$4,YEAR($F80)&gt;=Preisindex!$A$6),ROUND($E80*FP80,2),IF(AND($E80&lt;&gt;0,$F80&gt;0,YEAR($F80)&lt;=FP$4,YEAR($F80)&lt;Preisindex!$A$6),ROUND($E80*FQ80,2),0))</f>
        <v>49815</v>
      </c>
      <c r="FS80" s="53">
        <f t="shared" si="426"/>
        <v>996.30000000000007</v>
      </c>
    </row>
    <row r="81" spans="1:175" x14ac:dyDescent="0.3">
      <c r="A81" s="93">
        <v>2009</v>
      </c>
      <c r="B81" s="94" t="s">
        <v>265</v>
      </c>
      <c r="C81" s="94"/>
      <c r="D81" s="95" t="s">
        <v>60</v>
      </c>
      <c r="E81" s="99">
        <v>57000</v>
      </c>
      <c r="F81" s="97">
        <v>39995</v>
      </c>
      <c r="G81" s="98">
        <v>50</v>
      </c>
      <c r="H81" s="620"/>
      <c r="I81" s="193"/>
      <c r="J81" s="194"/>
      <c r="K81" s="630" t="s">
        <v>266</v>
      </c>
      <c r="L81" s="49">
        <f t="shared" si="427"/>
        <v>0.02</v>
      </c>
      <c r="M81" s="50">
        <f t="shared" si="428"/>
        <v>1140</v>
      </c>
      <c r="N81" s="51">
        <f t="shared" si="429"/>
        <v>54150</v>
      </c>
      <c r="O81" s="51"/>
      <c r="P81" s="51">
        <f t="shared" si="430"/>
        <v>2850</v>
      </c>
      <c r="Q81" s="52"/>
      <c r="R81" s="52"/>
      <c r="S81" s="52"/>
      <c r="T81" s="52"/>
      <c r="U81" s="52"/>
      <c r="V81" s="53">
        <f t="shared" si="431"/>
        <v>57000</v>
      </c>
      <c r="W81" s="51">
        <f t="shared" si="432"/>
        <v>0</v>
      </c>
      <c r="X81" s="51">
        <f t="shared" si="433"/>
        <v>0</v>
      </c>
      <c r="Y81" s="51">
        <f t="shared" si="434"/>
        <v>0</v>
      </c>
      <c r="Z81" s="51">
        <f t="shared" si="435"/>
        <v>0</v>
      </c>
      <c r="AA81" s="51">
        <f t="shared" si="436"/>
        <v>57000</v>
      </c>
      <c r="AB81" s="51">
        <f t="shared" si="437"/>
        <v>57000</v>
      </c>
      <c r="AC81" s="51">
        <f t="shared" si="438"/>
        <v>1140</v>
      </c>
      <c r="AD81" s="51">
        <f t="shared" si="439"/>
        <v>1140</v>
      </c>
      <c r="AE81" s="51">
        <f t="shared" si="440"/>
        <v>53010</v>
      </c>
      <c r="AF81" s="51">
        <f t="shared" si="441"/>
        <v>53010</v>
      </c>
      <c r="AG81" s="51">
        <f t="shared" si="442"/>
        <v>3990</v>
      </c>
      <c r="AH81" s="54">
        <f t="shared" si="443"/>
        <v>0</v>
      </c>
      <c r="AI81" s="55">
        <f t="shared" si="444"/>
        <v>0</v>
      </c>
      <c r="AJ81" s="56">
        <f>IF(AND($E81&lt;&gt;0,$F81&gt;0,YEAR($F81)&gt;=Preisindex!$A$6,YEAR(AE$4)&gt;=YEAR($F81),AND($K81&lt;&gt;"a",$K81&lt;&gt;"b",$K81&lt;&gt;"g",$K81&lt;&gt;"k")),1,IF(AND($E81&lt;&gt;0,$F81&gt;0,YEAR($F81)&gt;=Preisindex!$A$6,YEAR(AE$4)&gt;=YEAR($F81),$K81="a"),ROUND(VLOOKUP(AJ$4,Preisindex,5,FALSE)/VLOOKUP(YEAR($F81),Preisindex,5,FALSE),2),IF(AND($E81&lt;&gt;0,$F81&gt;0,YEAR($F81)&gt;=Preisindex!$A$6,YEAR(AE$4)&gt;=YEAR($F81),$K81="b"),ROUND(VLOOKUP(AJ$4,Preisindex,3,FALSE)/VLOOKUP(YEAR($F81),Preisindex,3,FALSE),2),IF(AND($E81&lt;&gt;0,$F81&gt;0,YEAR($F81)&gt;=Preisindex!$A$6,YEAR(AE$4)&gt;=YEAR($F81),$K81="g"),ROUND(VLOOKUP(AJ$4,Preisindex,4,FALSE)/VLOOKUP(YEAR($F81),Preisindex,4,FALSE),2),IF(AND($E81&lt;&gt;0,$F81&gt;0,YEAR($F81)&gt;=Preisindex!$A$6,YEAR(AE$4)&gt;=YEAR($F81),$K81="k"),ROUND(VLOOKUP(AJ$4,Preisindex,2,FALSE)/VLOOKUP(YEAR($F81),Preisindex,2,FALSE),2),0)))))</f>
        <v>1.05</v>
      </c>
      <c r="AK81" s="56">
        <f>IF(AND($E81&lt;&gt;0,$F81&gt;0,YEAR($F81)&lt;Preisindex!$A$6,YEAR(AE$4)&gt;=YEAR($F81),AND($K81&lt;&gt;"a",$K81&lt;&gt;"b",$K81&lt;&gt;"g",$K81&lt;&gt;"k")),1,IF(AND($E81&lt;&gt;0,$F81&gt;0,YEAR($F81)&lt;Preisindex!$A$6,YEAR(AE$4)&gt;=YEAR($F81),$K81="a"),ROUND(VLOOKUP(AJ$4,Preisindex,5,FALSE)/VLOOKUP(Preisindex!$A$6,Preisindex,5,FALSE),2),IF(AND($E81&lt;&gt;0,$F81&gt;0,YEAR($F81)&lt;Preisindex!$A$6,YEAR(AE$4)&gt;=YEAR($F81),$K81="b"),ROUND(VLOOKUP(AJ$4,Preisindex,3,FALSE)/VLOOKUP(Preisindex!$A$6,Preisindex,3,FALSE),2),IF(AND($E81&lt;&gt;0,$F81&gt;0,YEAR($F81)&lt;Preisindex!$A$6,YEAR(AE$4)&gt;=YEAR($F81),$K81="g"),ROUND(VLOOKUP(AJ$4,Preisindex,4,FALSE)/VLOOKUP(Preisindex!$A$6,Preisindex,4,FALSE),2),IF(AND($E81&lt;&gt;0,$F81&gt;0,YEAR($F81)&lt;Preisindex!$A$6,YEAR(AE$4)&gt;=YEAR($F81),$K81="k"),ROUND(VLOOKUP(AJ$4,Preisindex,2,FALSE)/VLOOKUP(Preisindex!$A$6,Preisindex,2,FALSE),2),0)))))</f>
        <v>0</v>
      </c>
      <c r="AL81" s="51">
        <f>IF(AND($E81&lt;&gt;0,$F81&gt;0,YEAR($F81)&lt;=AJ$4,YEAR($F81)&gt;=Preisindex!$A$6),ROUND($E81*AJ81,2),IF(AND($E81&lt;&gt;0,$F81&gt;0,YEAR($F81)&lt;=AJ$4,YEAR($F81)&lt;Preisindex!$A$6),ROUND($E81*AK81,2),0))</f>
        <v>59850</v>
      </c>
      <c r="AM81" s="53">
        <f t="shared" si="445"/>
        <v>1197</v>
      </c>
      <c r="AN81" s="51">
        <f t="shared" si="361"/>
        <v>0</v>
      </c>
      <c r="AO81" s="51">
        <f t="shared" si="317"/>
        <v>0</v>
      </c>
      <c r="AP81" s="51">
        <f t="shared" si="362"/>
        <v>0</v>
      </c>
      <c r="AQ81" s="51">
        <f t="shared" si="318"/>
        <v>0</v>
      </c>
      <c r="AR81" s="51">
        <f t="shared" si="363"/>
        <v>57000</v>
      </c>
      <c r="AS81" s="51">
        <f t="shared" si="319"/>
        <v>57000</v>
      </c>
      <c r="AT81" s="51">
        <f t="shared" si="364"/>
        <v>1140</v>
      </c>
      <c r="AU81" s="51">
        <f t="shared" si="320"/>
        <v>1140</v>
      </c>
      <c r="AV81" s="51">
        <f t="shared" si="365"/>
        <v>51870</v>
      </c>
      <c r="AW81" s="51">
        <f t="shared" si="321"/>
        <v>51870</v>
      </c>
      <c r="AX81" s="51">
        <f t="shared" si="366"/>
        <v>5130</v>
      </c>
      <c r="AY81" s="54">
        <f t="shared" si="367"/>
        <v>0</v>
      </c>
      <c r="AZ81" s="55">
        <f t="shared" si="368"/>
        <v>0</v>
      </c>
      <c r="BA81" s="56">
        <f>IF(AND($E81&lt;&gt;0,$F81&gt;0,YEAR($F81)&gt;=Preisindex!$A$6,YEAR(AV$4)&gt;=YEAR($F81),AND($K81&lt;&gt;"a",$K81&lt;&gt;"b",$K81&lt;&gt;"g",$K81&lt;&gt;"k")),1,IF(AND($E81&lt;&gt;0,$F81&gt;0,YEAR($F81)&gt;=Preisindex!$A$6,YEAR(AV$4)&gt;=YEAR($F81),$K81="a"),ROUND(VLOOKUP(BA$4,Preisindex,5,FALSE)/VLOOKUP(YEAR($F81),Preisindex,5,FALSE),2),IF(AND($E81&lt;&gt;0,$F81&gt;0,YEAR($F81)&gt;=Preisindex!$A$6,YEAR(AV$4)&gt;=YEAR($F81),$K81="b"),ROUND(VLOOKUP(BA$4,Preisindex,3,FALSE)/VLOOKUP(YEAR($F81),Preisindex,3,FALSE),2),IF(AND($E81&lt;&gt;0,$F81&gt;0,YEAR($F81)&gt;=Preisindex!$A$6,YEAR(AV$4)&gt;=YEAR($F81),$K81="g"),ROUND(VLOOKUP(BA$4,Preisindex,4,FALSE)/VLOOKUP(YEAR($F81),Preisindex,4,FALSE),2),IF(AND($E81&lt;&gt;0,$F81&gt;0,YEAR($F81)&gt;=Preisindex!$A$6,YEAR(AV$4)&gt;=YEAR($F81),$K81="k"),ROUND(VLOOKUP(BA$4,Preisindex,2,FALSE)/VLOOKUP(YEAR($F81),Preisindex,2,FALSE),2),0)))))</f>
        <v>1.07</v>
      </c>
      <c r="BB81" s="56">
        <f>IF(AND($E81&lt;&gt;0,$F81&gt;0,YEAR($F81)&lt;Preisindex!$A$6,YEAR(AV$4)&gt;=YEAR($F81),AND($K81&lt;&gt;"a",$K81&lt;&gt;"b",$K81&lt;&gt;"g",$K81&lt;&gt;"k")),1,IF(AND($E81&lt;&gt;0,$F81&gt;0,YEAR($F81)&lt;Preisindex!$A$6,YEAR(AV$4)&gt;=YEAR($F81),$K81="a"),ROUND(VLOOKUP(BA$4,Preisindex,5,FALSE)/VLOOKUP(Preisindex!$A$6,Preisindex,5,FALSE),2),IF(AND($E81&lt;&gt;0,$F81&gt;0,YEAR($F81)&lt;Preisindex!$A$6,YEAR(AV$4)&gt;=YEAR($F81),$K81="b"),ROUND(VLOOKUP(BA$4,Preisindex,3,FALSE)/VLOOKUP(Preisindex!$A$6,Preisindex,3,FALSE),2),IF(AND($E81&lt;&gt;0,$F81&gt;0,YEAR($F81)&lt;Preisindex!$A$6,YEAR(AV$4)&gt;=YEAR($F81),$K81="g"),ROUND(VLOOKUP(BA$4,Preisindex,4,FALSE)/VLOOKUP(Preisindex!$A$6,Preisindex,4,FALSE),2),IF(AND($E81&lt;&gt;0,$F81&gt;0,YEAR($F81)&lt;Preisindex!$A$6,YEAR(AV$4)&gt;=YEAR($F81),$K81="k"),ROUND(VLOOKUP(BA$4,Preisindex,2,FALSE)/VLOOKUP(Preisindex!$A$6,Preisindex,2,FALSE),2),0)))))</f>
        <v>0</v>
      </c>
      <c r="BC81" s="51">
        <f>IF(AND($E81&lt;&gt;0,$F81&gt;0,YEAR($F81)&lt;=BA$4,YEAR($F81)&gt;=Preisindex!$A$6),ROUND($E81*BA81,2),IF(AND($E81&lt;&gt;0,$F81&gt;0,YEAR($F81)&lt;=BA$4,YEAR($F81)&lt;Preisindex!$A$6),ROUND($E81*BB81,2),0))</f>
        <v>60990</v>
      </c>
      <c r="BD81" s="53">
        <f t="shared" si="369"/>
        <v>1219.8</v>
      </c>
      <c r="BE81" s="51">
        <f t="shared" si="361"/>
        <v>0</v>
      </c>
      <c r="BF81" s="51">
        <f t="shared" si="322"/>
        <v>0</v>
      </c>
      <c r="BG81" s="51">
        <f t="shared" si="370"/>
        <v>0</v>
      </c>
      <c r="BH81" s="51">
        <f t="shared" si="323"/>
        <v>0</v>
      </c>
      <c r="BI81" s="51">
        <f t="shared" si="371"/>
        <v>57000</v>
      </c>
      <c r="BJ81" s="51">
        <f t="shared" si="324"/>
        <v>57000</v>
      </c>
      <c r="BK81" s="51">
        <f t="shared" si="372"/>
        <v>1140</v>
      </c>
      <c r="BL81" s="51">
        <f t="shared" si="325"/>
        <v>1140</v>
      </c>
      <c r="BM81" s="51">
        <f t="shared" si="373"/>
        <v>50730</v>
      </c>
      <c r="BN81" s="51">
        <f t="shared" si="326"/>
        <v>50730</v>
      </c>
      <c r="BO81" s="51">
        <f t="shared" si="374"/>
        <v>6270</v>
      </c>
      <c r="BP81" s="54">
        <f t="shared" si="375"/>
        <v>0</v>
      </c>
      <c r="BQ81" s="55">
        <f t="shared" si="376"/>
        <v>0</v>
      </c>
      <c r="BR81" s="56">
        <f>IF(AND($E81&lt;&gt;0,$F81&gt;0,YEAR($F81)&gt;=Preisindex!$A$6,YEAR(BM$4)&gt;=YEAR($F81),AND($K81&lt;&gt;"a",$K81&lt;&gt;"b",$K81&lt;&gt;"g",$K81&lt;&gt;"k")),1,IF(AND($E81&lt;&gt;0,$F81&gt;0,YEAR($F81)&gt;=Preisindex!$A$6,YEAR(BM$4)&gt;=YEAR($F81),$K81="a"),ROUND(VLOOKUP(BR$4,Preisindex,5,FALSE)/VLOOKUP(YEAR($F81),Preisindex,5,FALSE),2),IF(AND($E81&lt;&gt;0,$F81&gt;0,YEAR($F81)&gt;=Preisindex!$A$6,YEAR(BM$4)&gt;=YEAR($F81),$K81="b"),ROUND(VLOOKUP(BR$4,Preisindex,3,FALSE)/VLOOKUP(YEAR($F81),Preisindex,3,FALSE),2),IF(AND($E81&lt;&gt;0,$F81&gt;0,YEAR($F81)&gt;=Preisindex!$A$6,YEAR(BM$4)&gt;=YEAR($F81),$K81="g"),ROUND(VLOOKUP(BR$4,Preisindex,4,FALSE)/VLOOKUP(YEAR($F81),Preisindex,4,FALSE),2),IF(AND($E81&lt;&gt;0,$F81&gt;0,YEAR($F81)&gt;=Preisindex!$A$6,YEAR(BM$4)&gt;=YEAR($F81),$K81="k"),ROUND(VLOOKUP(BR$4,Preisindex,2,FALSE)/VLOOKUP(YEAR($F81),Preisindex,2,FALSE),2),0)))))</f>
        <v>1.0900000000000001</v>
      </c>
      <c r="BS81" s="56">
        <f>IF(AND($E81&lt;&gt;0,$F81&gt;0,YEAR($F81)&lt;Preisindex!$A$6,YEAR(BM$4)&gt;=YEAR($F81),AND($K81&lt;&gt;"a",$K81&lt;&gt;"b",$K81&lt;&gt;"g",$K81&lt;&gt;"k")),1,IF(AND($E81&lt;&gt;0,$F81&gt;0,YEAR($F81)&lt;Preisindex!$A$6,YEAR(BM$4)&gt;=YEAR($F81),$K81="a"),ROUND(VLOOKUP(BR$4,Preisindex,5,FALSE)/VLOOKUP(Preisindex!$A$6,Preisindex,5,FALSE),2),IF(AND($E81&lt;&gt;0,$F81&gt;0,YEAR($F81)&lt;Preisindex!$A$6,YEAR(BM$4)&gt;=YEAR($F81),$K81="b"),ROUND(VLOOKUP(BR$4,Preisindex,3,FALSE)/VLOOKUP(Preisindex!$A$6,Preisindex,3,FALSE),2),IF(AND($E81&lt;&gt;0,$F81&gt;0,YEAR($F81)&lt;Preisindex!$A$6,YEAR(BM$4)&gt;=YEAR($F81),$K81="g"),ROUND(VLOOKUP(BR$4,Preisindex,4,FALSE)/VLOOKUP(Preisindex!$A$6,Preisindex,4,FALSE),2),IF(AND($E81&lt;&gt;0,$F81&gt;0,YEAR($F81)&lt;Preisindex!$A$6,YEAR(BM$4)&gt;=YEAR($F81),$K81="k"),ROUND(VLOOKUP(BR$4,Preisindex,2,FALSE)/VLOOKUP(Preisindex!$A$6,Preisindex,2,FALSE),2),0)))))</f>
        <v>0</v>
      </c>
      <c r="BT81" s="51">
        <f>IF(AND($E81&lt;&gt;0,$F81&gt;0,YEAR($F81)&lt;=BR$4,YEAR($F81)&gt;=Preisindex!$A$6),ROUND($E81*BR81,2),IF(AND($E81&lt;&gt;0,$F81&gt;0,YEAR($F81)&lt;=BR$4,YEAR($F81)&lt;Preisindex!$A$6),ROUND($E81*BS81,2),0))</f>
        <v>62130</v>
      </c>
      <c r="BU81" s="53">
        <f t="shared" si="377"/>
        <v>1242.6000000000001</v>
      </c>
      <c r="BV81" s="51">
        <f t="shared" si="361"/>
        <v>0</v>
      </c>
      <c r="BW81" s="51">
        <f t="shared" si="327"/>
        <v>0</v>
      </c>
      <c r="BX81" s="51">
        <f t="shared" si="378"/>
        <v>0</v>
      </c>
      <c r="BY81" s="51">
        <f t="shared" si="328"/>
        <v>0</v>
      </c>
      <c r="BZ81" s="51">
        <f t="shared" si="379"/>
        <v>57000</v>
      </c>
      <c r="CA81" s="51">
        <f t="shared" si="329"/>
        <v>57000</v>
      </c>
      <c r="CB81" s="51">
        <f t="shared" si="380"/>
        <v>1140</v>
      </c>
      <c r="CC81" s="51">
        <f t="shared" si="330"/>
        <v>1140</v>
      </c>
      <c r="CD81" s="51">
        <f t="shared" si="381"/>
        <v>49590</v>
      </c>
      <c r="CE81" s="51">
        <f t="shared" si="331"/>
        <v>49590</v>
      </c>
      <c r="CF81" s="51">
        <f t="shared" si="382"/>
        <v>7410</v>
      </c>
      <c r="CG81" s="54">
        <f t="shared" si="383"/>
        <v>0</v>
      </c>
      <c r="CH81" s="55">
        <f t="shared" si="384"/>
        <v>0</v>
      </c>
      <c r="CI81" s="56">
        <f>IF(AND($E81&lt;&gt;0,$F81&gt;0,YEAR($F81)&gt;=Preisindex!$A$6,YEAR(CD$4)&gt;=YEAR($F81),AND($K81&lt;&gt;"a",$K81&lt;&gt;"b",$K81&lt;&gt;"g",$K81&lt;&gt;"k")),1,IF(AND($E81&lt;&gt;0,$F81&gt;0,YEAR($F81)&gt;=Preisindex!$A$6,YEAR(CD$4)&gt;=YEAR($F81),$K81="a"),ROUND(VLOOKUP(CI$4,Preisindex,5,FALSE)/VLOOKUP(YEAR($F81),Preisindex,5,FALSE),2),IF(AND($E81&lt;&gt;0,$F81&gt;0,YEAR($F81)&gt;=Preisindex!$A$6,YEAR(CD$4)&gt;=YEAR($F81),$K81="b"),ROUND(VLOOKUP(CI$4,Preisindex,3,FALSE)/VLOOKUP(YEAR($F81),Preisindex,3,FALSE),2),IF(AND($E81&lt;&gt;0,$F81&gt;0,YEAR($F81)&gt;=Preisindex!$A$6,YEAR(CD$4)&gt;=YEAR($F81),$K81="g"),ROUND(VLOOKUP(CI$4,Preisindex,4,FALSE)/VLOOKUP(YEAR($F81),Preisindex,4,FALSE),2),IF(AND($E81&lt;&gt;0,$F81&gt;0,YEAR($F81)&gt;=Preisindex!$A$6,YEAR(CD$4)&gt;=YEAR($F81),$K81="k"),ROUND(VLOOKUP(CI$4,Preisindex,2,FALSE)/VLOOKUP(YEAR($F81),Preisindex,2,FALSE),2),0)))))</f>
        <v>1.1000000000000001</v>
      </c>
      <c r="CJ81" s="56">
        <f>IF(AND($E81&lt;&gt;0,$F81&gt;0,YEAR($F81)&lt;Preisindex!$A$6,YEAR(CD$4)&gt;=YEAR($F81),AND($K81&lt;&gt;"a",$K81&lt;&gt;"b",$K81&lt;&gt;"g",$K81&lt;&gt;"k")),1,IF(AND($E81&lt;&gt;0,$F81&gt;0,YEAR($F81)&lt;Preisindex!$A$6,YEAR(CD$4)&gt;=YEAR($F81),$K81="a"),ROUND(VLOOKUP(CI$4,Preisindex,5,FALSE)/VLOOKUP(Preisindex!$A$6,Preisindex,5,FALSE),2),IF(AND($E81&lt;&gt;0,$F81&gt;0,YEAR($F81)&lt;Preisindex!$A$6,YEAR(CD$4)&gt;=YEAR($F81),$K81="b"),ROUND(VLOOKUP(CI$4,Preisindex,3,FALSE)/VLOOKUP(Preisindex!$A$6,Preisindex,3,FALSE),2),IF(AND($E81&lt;&gt;0,$F81&gt;0,YEAR($F81)&lt;Preisindex!$A$6,YEAR(CD$4)&gt;=YEAR($F81),$K81="g"),ROUND(VLOOKUP(CI$4,Preisindex,4,FALSE)/VLOOKUP(Preisindex!$A$6,Preisindex,4,FALSE),2),IF(AND($E81&lt;&gt;0,$F81&gt;0,YEAR($F81)&lt;Preisindex!$A$6,YEAR(CD$4)&gt;=YEAR($F81),$K81="k"),ROUND(VLOOKUP(CI$4,Preisindex,2,FALSE)/VLOOKUP(Preisindex!$A$6,Preisindex,2,FALSE),2),0)))))</f>
        <v>0</v>
      </c>
      <c r="CK81" s="51">
        <f>IF(AND($E81&lt;&gt;0,$F81&gt;0,YEAR($F81)&lt;=CI$4,YEAR($F81)&gt;=Preisindex!$A$6),ROUND($E81*CI81,2),IF(AND($E81&lt;&gt;0,$F81&gt;0,YEAR($F81)&lt;=CI$4,YEAR($F81)&lt;Preisindex!$A$6),ROUND($E81*CJ81,2),0))</f>
        <v>62700</v>
      </c>
      <c r="CL81" s="53">
        <f t="shared" si="385"/>
        <v>1254</v>
      </c>
      <c r="CM81" s="51">
        <f t="shared" si="361"/>
        <v>0</v>
      </c>
      <c r="CN81" s="51">
        <f t="shared" si="332"/>
        <v>0</v>
      </c>
      <c r="CO81" s="51">
        <f t="shared" si="386"/>
        <v>0</v>
      </c>
      <c r="CP81" s="51">
        <f t="shared" si="333"/>
        <v>0</v>
      </c>
      <c r="CQ81" s="51">
        <f t="shared" si="387"/>
        <v>57000</v>
      </c>
      <c r="CR81" s="51">
        <f t="shared" si="334"/>
        <v>57000</v>
      </c>
      <c r="CS81" s="51">
        <f t="shared" si="388"/>
        <v>1140</v>
      </c>
      <c r="CT81" s="51">
        <f t="shared" si="335"/>
        <v>1140</v>
      </c>
      <c r="CU81" s="51">
        <f t="shared" si="389"/>
        <v>48450</v>
      </c>
      <c r="CV81" s="51">
        <f t="shared" si="336"/>
        <v>48450</v>
      </c>
      <c r="CW81" s="51">
        <f t="shared" si="390"/>
        <v>8550</v>
      </c>
      <c r="CX81" s="54">
        <f t="shared" si="391"/>
        <v>0</v>
      </c>
      <c r="CY81" s="55">
        <f t="shared" si="392"/>
        <v>0</v>
      </c>
      <c r="CZ81" s="56">
        <f>IF(AND($E81&lt;&gt;0,$F81&gt;0,YEAR($F81)&gt;=Preisindex!$A$6,YEAR(CU$4)&gt;=YEAR($F81),AND($K81&lt;&gt;"a",$K81&lt;&gt;"b",$K81&lt;&gt;"g",$K81&lt;&gt;"k")),1,IF(AND($E81&lt;&gt;0,$F81&gt;0,YEAR($F81)&gt;=Preisindex!$A$6,YEAR(CU$4)&gt;=YEAR($F81),$K81="a"),ROUND(VLOOKUP(CZ$4,Preisindex,5,FALSE)/VLOOKUP(YEAR($F81),Preisindex,5,FALSE),2),IF(AND($E81&lt;&gt;0,$F81&gt;0,YEAR($F81)&gt;=Preisindex!$A$6,YEAR(CU$4)&gt;=YEAR($F81),$K81="b"),ROUND(VLOOKUP(CZ$4,Preisindex,3,FALSE)/VLOOKUP(YEAR($F81),Preisindex,3,FALSE),2),IF(AND($E81&lt;&gt;0,$F81&gt;0,YEAR($F81)&gt;=Preisindex!$A$6,YEAR(CU$4)&gt;=YEAR($F81),$K81="g"),ROUND(VLOOKUP(CZ$4,Preisindex,4,FALSE)/VLOOKUP(YEAR($F81),Preisindex,4,FALSE),2),IF(AND($E81&lt;&gt;0,$F81&gt;0,YEAR($F81)&gt;=Preisindex!$A$6,YEAR(CU$4)&gt;=YEAR($F81),$K81="k"),ROUND(VLOOKUP(CZ$4,Preisindex,2,FALSE)/VLOOKUP(YEAR($F81),Preisindex,2,FALSE),2),0)))))</f>
        <v>1.1200000000000001</v>
      </c>
      <c r="DA81" s="56">
        <f>IF(AND($E81&lt;&gt;0,$F81&gt;0,YEAR($F81)&lt;Preisindex!$A$6,YEAR(CU$4)&gt;=YEAR($F81),AND($K81&lt;&gt;"a",$K81&lt;&gt;"b",$K81&lt;&gt;"g",$K81&lt;&gt;"k")),1,IF(AND($E81&lt;&gt;0,$F81&gt;0,YEAR($F81)&lt;Preisindex!$A$6,YEAR(CU$4)&gt;=YEAR($F81),$K81="a"),ROUND(VLOOKUP(CZ$4,Preisindex,5,FALSE)/VLOOKUP(Preisindex!$A$6,Preisindex,5,FALSE),2),IF(AND($E81&lt;&gt;0,$F81&gt;0,YEAR($F81)&lt;Preisindex!$A$6,YEAR(CU$4)&gt;=YEAR($F81),$K81="b"),ROUND(VLOOKUP(CZ$4,Preisindex,3,FALSE)/VLOOKUP(Preisindex!$A$6,Preisindex,3,FALSE),2),IF(AND($E81&lt;&gt;0,$F81&gt;0,YEAR($F81)&lt;Preisindex!$A$6,YEAR(CU$4)&gt;=YEAR($F81),$K81="g"),ROUND(VLOOKUP(CZ$4,Preisindex,4,FALSE)/VLOOKUP(Preisindex!$A$6,Preisindex,4,FALSE),2),IF(AND($E81&lt;&gt;0,$F81&gt;0,YEAR($F81)&lt;Preisindex!$A$6,YEAR(CU$4)&gt;=YEAR($F81),$K81="k"),ROUND(VLOOKUP(CZ$4,Preisindex,2,FALSE)/VLOOKUP(Preisindex!$A$6,Preisindex,2,FALSE),2),0)))))</f>
        <v>0</v>
      </c>
      <c r="DB81" s="51">
        <f>IF(AND($E81&lt;&gt;0,$F81&gt;0,YEAR($F81)&lt;=CZ$4,YEAR($F81)&gt;=Preisindex!$A$6),ROUND($E81*CZ81,2),IF(AND($E81&lt;&gt;0,$F81&gt;0,YEAR($F81)&lt;=CZ$4,YEAR($F81)&lt;Preisindex!$A$6),ROUND($E81*DA81,2),0))</f>
        <v>63840</v>
      </c>
      <c r="DC81" s="53">
        <f t="shared" si="393"/>
        <v>1276.8</v>
      </c>
      <c r="DD81" s="51">
        <f t="shared" si="394"/>
        <v>0</v>
      </c>
      <c r="DE81" s="51">
        <f t="shared" si="337"/>
        <v>0</v>
      </c>
      <c r="DF81" s="51">
        <f t="shared" si="395"/>
        <v>0</v>
      </c>
      <c r="DG81" s="51">
        <f t="shared" si="338"/>
        <v>0</v>
      </c>
      <c r="DH81" s="51">
        <f t="shared" si="396"/>
        <v>57000</v>
      </c>
      <c r="DI81" s="51">
        <f t="shared" si="339"/>
        <v>57000</v>
      </c>
      <c r="DJ81" s="51">
        <f t="shared" si="397"/>
        <v>1140</v>
      </c>
      <c r="DK81" s="51">
        <f t="shared" si="340"/>
        <v>1140</v>
      </c>
      <c r="DL81" s="51">
        <f t="shared" si="398"/>
        <v>47310</v>
      </c>
      <c r="DM81" s="51">
        <f t="shared" si="341"/>
        <v>47310</v>
      </c>
      <c r="DN81" s="51">
        <f t="shared" si="399"/>
        <v>9690</v>
      </c>
      <c r="DO81" s="54">
        <f t="shared" si="400"/>
        <v>0</v>
      </c>
      <c r="DP81" s="55">
        <f t="shared" si="401"/>
        <v>0</v>
      </c>
      <c r="DQ81" s="56">
        <f>IF(AND($E81&lt;&gt;0,$F81&gt;0,YEAR($F81)&gt;=Preisindex!$A$6,YEAR(DL$4)&gt;=YEAR($F81),AND($K81&lt;&gt;"a",$K81&lt;&gt;"b",$K81&lt;&gt;"g",$K81&lt;&gt;"k")),1,IF(AND($E81&lt;&gt;0,$F81&gt;0,YEAR($F81)&gt;=Preisindex!$A$6,YEAR(DL$4)&gt;=YEAR($F81),$K81="a"),ROUND(VLOOKUP(DQ$4,Preisindex,5,FALSE)/VLOOKUP(YEAR($F81),Preisindex,5,FALSE),2),IF(AND($E81&lt;&gt;0,$F81&gt;0,YEAR($F81)&gt;=Preisindex!$A$6,YEAR(DL$4)&gt;=YEAR($F81),$K81="b"),ROUND(VLOOKUP(DQ$4,Preisindex,3,FALSE)/VLOOKUP(YEAR($F81),Preisindex,3,FALSE),2),IF(AND($E81&lt;&gt;0,$F81&gt;0,YEAR($F81)&gt;=Preisindex!$A$6,YEAR(DL$4)&gt;=YEAR($F81),$K81="g"),ROUND(VLOOKUP(DQ$4,Preisindex,4,FALSE)/VLOOKUP(YEAR($F81),Preisindex,4,FALSE),2),IF(AND($E81&lt;&gt;0,$F81&gt;0,YEAR($F81)&gt;=Preisindex!$A$6,YEAR(DL$4)&gt;=YEAR($F81),$K81="k"),ROUND(VLOOKUP(DQ$4,Preisindex,2,FALSE)/VLOOKUP(YEAR($F81),Preisindex,2,FALSE),2),0)))))</f>
        <v>1.1599999999999999</v>
      </c>
      <c r="DR81" s="56">
        <f>IF(AND($E81&lt;&gt;0,$F81&gt;0,YEAR($F81)&lt;Preisindex!$A$6,YEAR(DL$4)&gt;=YEAR($F81),AND($K81&lt;&gt;"a",$K81&lt;&gt;"b",$K81&lt;&gt;"g",$K81&lt;&gt;"k")),1,IF(AND($E81&lt;&gt;0,$F81&gt;0,YEAR($F81)&lt;Preisindex!$A$6,YEAR(DL$4)&gt;=YEAR($F81),$K81="a"),ROUND(VLOOKUP(DQ$4,Preisindex,5,FALSE)/VLOOKUP(Preisindex!$A$6,Preisindex,5,FALSE),2),IF(AND($E81&lt;&gt;0,$F81&gt;0,YEAR($F81)&lt;Preisindex!$A$6,YEAR(DL$4)&gt;=YEAR($F81),$K81="b"),ROUND(VLOOKUP(DQ$4,Preisindex,3,FALSE)/VLOOKUP(Preisindex!$A$6,Preisindex,3,FALSE),2),IF(AND($E81&lt;&gt;0,$F81&gt;0,YEAR($F81)&lt;Preisindex!$A$6,YEAR(DL$4)&gt;=YEAR($F81),$K81="g"),ROUND(VLOOKUP(DQ$4,Preisindex,4,FALSE)/VLOOKUP(Preisindex!$A$6,Preisindex,4,FALSE),2),IF(AND($E81&lt;&gt;0,$F81&gt;0,YEAR($F81)&lt;Preisindex!$A$6,YEAR(DL$4)&gt;=YEAR($F81),$K81="k"),ROUND(VLOOKUP(DQ$4,Preisindex,2,FALSE)/VLOOKUP(Preisindex!$A$6,Preisindex,2,FALSE),2),0)))))</f>
        <v>0</v>
      </c>
      <c r="DS81" s="51">
        <f>IF(AND($E81&lt;&gt;0,$F81&gt;0,YEAR($F81)&lt;=DQ$4,YEAR($F81)&gt;=Preisindex!$A$6),ROUND($E81*DQ81,2),IF(AND($E81&lt;&gt;0,$F81&gt;0,YEAR($F81)&lt;=DQ$4,YEAR($F81)&lt;Preisindex!$A$6),ROUND($E81*DR81,2),0))</f>
        <v>66120</v>
      </c>
      <c r="DT81" s="53">
        <f t="shared" si="402"/>
        <v>1322.4</v>
      </c>
      <c r="DU81" s="51">
        <f t="shared" si="394"/>
        <v>0</v>
      </c>
      <c r="DV81" s="51">
        <f t="shared" si="342"/>
        <v>0</v>
      </c>
      <c r="DW81" s="51">
        <f t="shared" si="403"/>
        <v>0</v>
      </c>
      <c r="DX81" s="51">
        <f t="shared" si="343"/>
        <v>0</v>
      </c>
      <c r="DY81" s="51">
        <f t="shared" si="404"/>
        <v>57000</v>
      </c>
      <c r="DZ81" s="51">
        <f t="shared" si="344"/>
        <v>57000</v>
      </c>
      <c r="EA81" s="51">
        <f t="shared" si="405"/>
        <v>1140</v>
      </c>
      <c r="EB81" s="51">
        <f t="shared" si="345"/>
        <v>1140</v>
      </c>
      <c r="EC81" s="51">
        <f t="shared" si="406"/>
        <v>46170</v>
      </c>
      <c r="ED81" s="51">
        <f t="shared" si="346"/>
        <v>46170</v>
      </c>
      <c r="EE81" s="51">
        <f t="shared" si="407"/>
        <v>10830</v>
      </c>
      <c r="EF81" s="54">
        <f t="shared" si="408"/>
        <v>0</v>
      </c>
      <c r="EG81" s="55">
        <f t="shared" si="409"/>
        <v>0</v>
      </c>
      <c r="EH81" s="56">
        <f>IF(AND($E81&lt;&gt;0,$F81&gt;0,YEAR($F81)&gt;=Preisindex!$A$6,YEAR(EC$4)&gt;=YEAR($F81),AND($K81&lt;&gt;"a",$K81&lt;&gt;"b",$K81&lt;&gt;"g",$K81&lt;&gt;"k")),1,IF(AND($E81&lt;&gt;0,$F81&gt;0,YEAR($F81)&gt;=Preisindex!$A$6,YEAR(EC$4)&gt;=YEAR($F81),$K81="a"),ROUND(VLOOKUP(EH$4,Preisindex,5,FALSE)/VLOOKUP(YEAR($F81),Preisindex,5,FALSE),2),IF(AND($E81&lt;&gt;0,$F81&gt;0,YEAR($F81)&gt;=Preisindex!$A$6,YEAR(EC$4)&gt;=YEAR($F81),$K81="b"),ROUND(VLOOKUP(EH$4,Preisindex,3,FALSE)/VLOOKUP(YEAR($F81),Preisindex,3,FALSE),2),IF(AND($E81&lt;&gt;0,$F81&gt;0,YEAR($F81)&gt;=Preisindex!$A$6,YEAR(EC$4)&gt;=YEAR($F81),$K81="g"),ROUND(VLOOKUP(EH$4,Preisindex,4,FALSE)/VLOOKUP(YEAR($F81),Preisindex,4,FALSE),2),IF(AND($E81&lt;&gt;0,$F81&gt;0,YEAR($F81)&gt;=Preisindex!$A$6,YEAR(EC$4)&gt;=YEAR($F81),$K81="k"),ROUND(VLOOKUP(EH$4,Preisindex,2,FALSE)/VLOOKUP(YEAR($F81),Preisindex,2,FALSE),2),0)))))</f>
        <v>1.22</v>
      </c>
      <c r="EI81" s="56">
        <f>IF(AND($E81&lt;&gt;0,$F81&gt;0,YEAR($F81)&lt;Preisindex!$A$6,YEAR(EC$4)&gt;=YEAR($F81),AND($K81&lt;&gt;"a",$K81&lt;&gt;"b",$K81&lt;&gt;"g",$K81&lt;&gt;"k")),1,IF(AND($E81&lt;&gt;0,$F81&gt;0,YEAR($F81)&lt;Preisindex!$A$6,YEAR(EC$4)&gt;=YEAR($F81),$K81="a"),ROUND(VLOOKUP(EH$4,Preisindex,5,FALSE)/VLOOKUP(Preisindex!$A$6,Preisindex,5,FALSE),2),IF(AND($E81&lt;&gt;0,$F81&gt;0,YEAR($F81)&lt;Preisindex!$A$6,YEAR(EC$4)&gt;=YEAR($F81),$K81="b"),ROUND(VLOOKUP(EH$4,Preisindex,3,FALSE)/VLOOKUP(Preisindex!$A$6,Preisindex,3,FALSE),2),IF(AND($E81&lt;&gt;0,$F81&gt;0,YEAR($F81)&lt;Preisindex!$A$6,YEAR(EC$4)&gt;=YEAR($F81),$K81="g"),ROUND(VLOOKUP(EH$4,Preisindex,4,FALSE)/VLOOKUP(Preisindex!$A$6,Preisindex,4,FALSE),2),IF(AND($E81&lt;&gt;0,$F81&gt;0,YEAR($F81)&lt;Preisindex!$A$6,YEAR(EC$4)&gt;=YEAR($F81),$K81="k"),ROUND(VLOOKUP(EH$4,Preisindex,2,FALSE)/VLOOKUP(Preisindex!$A$6,Preisindex,2,FALSE),2),0)))))</f>
        <v>0</v>
      </c>
      <c r="EJ81" s="51">
        <f>IF(AND($E81&lt;&gt;0,$F81&gt;0,YEAR($F81)&lt;=EH$4,YEAR($F81)&gt;=Preisindex!$A$6),ROUND($E81*EH81,2),IF(AND($E81&lt;&gt;0,$F81&gt;0,YEAR($F81)&lt;=EH$4,YEAR($F81)&lt;Preisindex!$A$6),ROUND($E81*EI81,2),0))</f>
        <v>69540</v>
      </c>
      <c r="EK81" s="53">
        <f t="shared" si="410"/>
        <v>1390.8</v>
      </c>
      <c r="EL81" s="51">
        <f t="shared" si="394"/>
        <v>0</v>
      </c>
      <c r="EM81" s="51">
        <f t="shared" si="347"/>
        <v>0</v>
      </c>
      <c r="EN81" s="51">
        <f t="shared" si="411"/>
        <v>0</v>
      </c>
      <c r="EO81" s="51">
        <f t="shared" si="348"/>
        <v>0</v>
      </c>
      <c r="EP81" s="51">
        <f t="shared" si="412"/>
        <v>57000</v>
      </c>
      <c r="EQ81" s="51">
        <f t="shared" si="349"/>
        <v>57000</v>
      </c>
      <c r="ER81" s="51">
        <f t="shared" si="413"/>
        <v>1140</v>
      </c>
      <c r="ES81" s="51">
        <f t="shared" si="350"/>
        <v>1140</v>
      </c>
      <c r="ET81" s="51">
        <f t="shared" si="414"/>
        <v>45030</v>
      </c>
      <c r="EU81" s="51">
        <f t="shared" si="351"/>
        <v>45030</v>
      </c>
      <c r="EV81" s="51">
        <f t="shared" si="415"/>
        <v>11970</v>
      </c>
      <c r="EW81" s="54">
        <f t="shared" si="416"/>
        <v>0</v>
      </c>
      <c r="EX81" s="55">
        <f t="shared" si="417"/>
        <v>0</v>
      </c>
      <c r="EY81" s="56">
        <f>IF(AND($E81&lt;&gt;0,$F81&gt;0,YEAR($F81)&gt;=Preisindex!$A$6,YEAR(ET$4)&gt;=YEAR($F81),AND($K81&lt;&gt;"a",$K81&lt;&gt;"b",$K81&lt;&gt;"g",$K81&lt;&gt;"k")),1,IF(AND($E81&lt;&gt;0,$F81&gt;0,YEAR($F81)&gt;=Preisindex!$A$6,YEAR(ET$4)&gt;=YEAR($F81),$K81="a"),ROUND(VLOOKUP(EY$4,Preisindex,5,FALSE)/VLOOKUP(YEAR($F81),Preisindex,5,FALSE),2),IF(AND($E81&lt;&gt;0,$F81&gt;0,YEAR($F81)&gt;=Preisindex!$A$6,YEAR(ET$4)&gt;=YEAR($F81),$K81="b"),ROUND(VLOOKUP(EY$4,Preisindex,3,FALSE)/VLOOKUP(YEAR($F81),Preisindex,3,FALSE),2),IF(AND($E81&lt;&gt;0,$F81&gt;0,YEAR($F81)&gt;=Preisindex!$A$6,YEAR(ET$4)&gt;=YEAR($F81),$K81="g"),ROUND(VLOOKUP(EY$4,Preisindex,4,FALSE)/VLOOKUP(YEAR($F81),Preisindex,4,FALSE),2),IF(AND($E81&lt;&gt;0,$F81&gt;0,YEAR($F81)&gt;=Preisindex!$A$6,YEAR(ET$4)&gt;=YEAR($F81),$K81="k"),ROUND(VLOOKUP(EY$4,Preisindex,2,FALSE)/VLOOKUP(YEAR($F81),Preisindex,2,FALSE),2),0)))))</f>
        <v>1.22</v>
      </c>
      <c r="EZ81" s="56">
        <f>IF(AND($E81&lt;&gt;0,$F81&gt;0,YEAR($F81)&lt;Preisindex!$A$6,YEAR(ET$4)&gt;=YEAR($F81),AND($K81&lt;&gt;"a",$K81&lt;&gt;"b",$K81&lt;&gt;"g",$K81&lt;&gt;"k")),1,IF(AND($E81&lt;&gt;0,$F81&gt;0,YEAR($F81)&lt;Preisindex!$A$6,YEAR(ET$4)&gt;=YEAR($F81),$K81="a"),ROUND(VLOOKUP(EY$4,Preisindex,5,FALSE)/VLOOKUP(Preisindex!$A$6,Preisindex,5,FALSE),2),IF(AND($E81&lt;&gt;0,$F81&gt;0,YEAR($F81)&lt;Preisindex!$A$6,YEAR(ET$4)&gt;=YEAR($F81),$K81="b"),ROUND(VLOOKUP(EY$4,Preisindex,3,FALSE)/VLOOKUP(Preisindex!$A$6,Preisindex,3,FALSE),2),IF(AND($E81&lt;&gt;0,$F81&gt;0,YEAR($F81)&lt;Preisindex!$A$6,YEAR(ET$4)&gt;=YEAR($F81),$K81="g"),ROUND(VLOOKUP(EY$4,Preisindex,4,FALSE)/VLOOKUP(Preisindex!$A$6,Preisindex,4,FALSE),2),IF(AND($E81&lt;&gt;0,$F81&gt;0,YEAR($F81)&lt;Preisindex!$A$6,YEAR(ET$4)&gt;=YEAR($F81),$K81="k"),ROUND(VLOOKUP(EY$4,Preisindex,2,FALSE)/VLOOKUP(Preisindex!$A$6,Preisindex,2,FALSE),2),0)))))</f>
        <v>0</v>
      </c>
      <c r="FA81" s="51">
        <f>IF(AND($E81&lt;&gt;0,$F81&gt;0,YEAR($F81)&lt;=EY$4,YEAR($F81)&gt;=Preisindex!$A$6),ROUND($E81*EY81,2),IF(AND($E81&lt;&gt;0,$F81&gt;0,YEAR($F81)&lt;=EY$4,YEAR($F81)&lt;Preisindex!$A$6),ROUND($E81*EZ81,2),0))</f>
        <v>69540</v>
      </c>
      <c r="FB81" s="53">
        <f t="shared" si="418"/>
        <v>1390.8</v>
      </c>
      <c r="FC81" s="51">
        <f t="shared" si="394"/>
        <v>0</v>
      </c>
      <c r="FD81" s="51">
        <f t="shared" si="352"/>
        <v>0</v>
      </c>
      <c r="FE81" s="51">
        <f t="shared" si="419"/>
        <v>0</v>
      </c>
      <c r="FF81" s="51">
        <f t="shared" si="353"/>
        <v>0</v>
      </c>
      <c r="FG81" s="51">
        <f t="shared" si="420"/>
        <v>57000</v>
      </c>
      <c r="FH81" s="51">
        <f t="shared" si="354"/>
        <v>57000</v>
      </c>
      <c r="FI81" s="51">
        <f t="shared" si="421"/>
        <v>1140</v>
      </c>
      <c r="FJ81" s="51">
        <f t="shared" si="355"/>
        <v>1140</v>
      </c>
      <c r="FK81" s="51">
        <f t="shared" si="422"/>
        <v>43890</v>
      </c>
      <c r="FL81" s="51">
        <f t="shared" si="356"/>
        <v>43890</v>
      </c>
      <c r="FM81" s="51">
        <f t="shared" si="423"/>
        <v>13110</v>
      </c>
      <c r="FN81" s="54">
        <f t="shared" si="424"/>
        <v>0</v>
      </c>
      <c r="FO81" s="55">
        <f t="shared" si="425"/>
        <v>0</v>
      </c>
      <c r="FP81" s="56">
        <f>IF(AND($E81&lt;&gt;0,$F81&gt;0,YEAR($F81)&gt;=Preisindex!$A$6,YEAR(FK$4)&gt;=YEAR($F81),AND($K81&lt;&gt;"a",$K81&lt;&gt;"b",$K81&lt;&gt;"g",$K81&lt;&gt;"k")),1,IF(AND($E81&lt;&gt;0,$F81&gt;0,YEAR($F81)&gt;=Preisindex!$A$6,YEAR(FK$4)&gt;=YEAR($F81),$K81="a"),ROUND(VLOOKUP(FP$4,Preisindex,5,FALSE)/VLOOKUP(YEAR($F81),Preisindex,5,FALSE),2),IF(AND($E81&lt;&gt;0,$F81&gt;0,YEAR($F81)&gt;=Preisindex!$A$6,YEAR(FK$4)&gt;=YEAR($F81),$K81="b"),ROUND(VLOOKUP(FP$4,Preisindex,3,FALSE)/VLOOKUP(YEAR($F81),Preisindex,3,FALSE),2),IF(AND($E81&lt;&gt;0,$F81&gt;0,YEAR($F81)&gt;=Preisindex!$A$6,YEAR(FK$4)&gt;=YEAR($F81),$K81="g"),ROUND(VLOOKUP(FP$4,Preisindex,4,FALSE)/VLOOKUP(YEAR($F81),Preisindex,4,FALSE),2),IF(AND($E81&lt;&gt;0,$F81&gt;0,YEAR($F81)&gt;=Preisindex!$A$6,YEAR(FK$4)&gt;=YEAR($F81),$K81="k"),ROUND(VLOOKUP(FP$4,Preisindex,2,FALSE)/VLOOKUP(YEAR($F81),Preisindex,2,FALSE),2),0)))))</f>
        <v>1.22</v>
      </c>
      <c r="FQ81" s="56">
        <f>IF(AND($E81&lt;&gt;0,$F81&gt;0,YEAR($F81)&lt;Preisindex!$A$6,YEAR(FK$4)&gt;=YEAR($F81),AND($K81&lt;&gt;"a",$K81&lt;&gt;"b",$K81&lt;&gt;"g",$K81&lt;&gt;"k")),1,IF(AND($E81&lt;&gt;0,$F81&gt;0,YEAR($F81)&lt;Preisindex!$A$6,YEAR(FK$4)&gt;=YEAR($F81),$K81="a"),ROUND(VLOOKUP(FP$4,Preisindex,5,FALSE)/VLOOKUP(Preisindex!$A$6,Preisindex,5,FALSE),2),IF(AND($E81&lt;&gt;0,$F81&gt;0,YEAR($F81)&lt;Preisindex!$A$6,YEAR(FK$4)&gt;=YEAR($F81),$K81="b"),ROUND(VLOOKUP(FP$4,Preisindex,3,FALSE)/VLOOKUP(Preisindex!$A$6,Preisindex,3,FALSE),2),IF(AND($E81&lt;&gt;0,$F81&gt;0,YEAR($F81)&lt;Preisindex!$A$6,YEAR(FK$4)&gt;=YEAR($F81),$K81="g"),ROUND(VLOOKUP(FP$4,Preisindex,4,FALSE)/VLOOKUP(Preisindex!$A$6,Preisindex,4,FALSE),2),IF(AND($E81&lt;&gt;0,$F81&gt;0,YEAR($F81)&lt;Preisindex!$A$6,YEAR(FK$4)&gt;=YEAR($F81),$K81="k"),ROUND(VLOOKUP(FP$4,Preisindex,2,FALSE)/VLOOKUP(Preisindex!$A$6,Preisindex,2,FALSE),2),0)))))</f>
        <v>0</v>
      </c>
      <c r="FR81" s="51">
        <f>IF(AND($E81&lt;&gt;0,$F81&gt;0,YEAR($F81)&lt;=FP$4,YEAR($F81)&gt;=Preisindex!$A$6),ROUND($E81*FP81,2),IF(AND($E81&lt;&gt;0,$F81&gt;0,YEAR($F81)&lt;=FP$4,YEAR($F81)&lt;Preisindex!$A$6),ROUND($E81*FQ81,2),0))</f>
        <v>69540</v>
      </c>
      <c r="FS81" s="53">
        <f t="shared" si="426"/>
        <v>1390.8</v>
      </c>
    </row>
    <row r="82" spans="1:175" x14ac:dyDescent="0.3">
      <c r="A82" s="93"/>
      <c r="B82" s="623"/>
      <c r="C82" s="623"/>
      <c r="D82" s="617"/>
      <c r="E82" s="99"/>
      <c r="F82" s="97"/>
      <c r="G82" s="98"/>
      <c r="H82" s="620"/>
      <c r="I82" s="621"/>
      <c r="J82" s="194"/>
      <c r="K82" s="630"/>
      <c r="L82" s="49">
        <f t="shared" si="427"/>
        <v>0</v>
      </c>
      <c r="M82" s="50">
        <f t="shared" si="428"/>
        <v>0</v>
      </c>
      <c r="N82" s="51">
        <f t="shared" si="429"/>
        <v>0</v>
      </c>
      <c r="O82" s="51"/>
      <c r="P82" s="51">
        <f t="shared" si="430"/>
        <v>0</v>
      </c>
      <c r="Q82" s="52"/>
      <c r="R82" s="52"/>
      <c r="S82" s="52"/>
      <c r="T82" s="52"/>
      <c r="U82" s="52"/>
      <c r="V82" s="53">
        <f t="shared" si="431"/>
        <v>0</v>
      </c>
      <c r="W82" s="51">
        <f t="shared" si="432"/>
        <v>0</v>
      </c>
      <c r="X82" s="51">
        <f t="shared" si="433"/>
        <v>0</v>
      </c>
      <c r="Y82" s="51">
        <f t="shared" si="434"/>
        <v>0</v>
      </c>
      <c r="Z82" s="51">
        <f t="shared" si="435"/>
        <v>0</v>
      </c>
      <c r="AA82" s="51">
        <f t="shared" si="436"/>
        <v>0</v>
      </c>
      <c r="AB82" s="51">
        <f t="shared" si="437"/>
        <v>0</v>
      </c>
      <c r="AC82" s="51">
        <f t="shared" si="438"/>
        <v>0</v>
      </c>
      <c r="AD82" s="51">
        <f t="shared" si="439"/>
        <v>0</v>
      </c>
      <c r="AE82" s="51">
        <f t="shared" si="440"/>
        <v>0</v>
      </c>
      <c r="AF82" s="51">
        <f t="shared" si="441"/>
        <v>0</v>
      </c>
      <c r="AG82" s="51">
        <f t="shared" si="442"/>
        <v>0</v>
      </c>
      <c r="AH82" s="54">
        <f t="shared" si="443"/>
        <v>0</v>
      </c>
      <c r="AI82" s="55">
        <f t="shared" si="444"/>
        <v>0</v>
      </c>
      <c r="AJ82" s="56">
        <f>IF(AND($E82&lt;&gt;0,$F82&gt;0,YEAR($F82)&gt;=Preisindex!$A$6,YEAR(AE$4)&gt;=YEAR($F82),AND($K82&lt;&gt;"a",$K82&lt;&gt;"b",$K82&lt;&gt;"g",$K82&lt;&gt;"k")),1,IF(AND($E82&lt;&gt;0,$F82&gt;0,YEAR($F82)&gt;=Preisindex!$A$6,YEAR(AE$4)&gt;=YEAR($F82),$K82="a"),ROUND(VLOOKUP(AJ$4,Preisindex,5,FALSE)/VLOOKUP(YEAR($F82),Preisindex,5,FALSE),2),IF(AND($E82&lt;&gt;0,$F82&gt;0,YEAR($F82)&gt;=Preisindex!$A$6,YEAR(AE$4)&gt;=YEAR($F82),$K82="b"),ROUND(VLOOKUP(AJ$4,Preisindex,3,FALSE)/VLOOKUP(YEAR($F82),Preisindex,3,FALSE),2),IF(AND($E82&lt;&gt;0,$F82&gt;0,YEAR($F82)&gt;=Preisindex!$A$6,YEAR(AE$4)&gt;=YEAR($F82),$K82="g"),ROUND(VLOOKUP(AJ$4,Preisindex,4,FALSE)/VLOOKUP(YEAR($F82),Preisindex,4,FALSE),2),IF(AND($E82&lt;&gt;0,$F82&gt;0,YEAR($F82)&gt;=Preisindex!$A$6,YEAR(AE$4)&gt;=YEAR($F82),$K82="k"),ROUND(VLOOKUP(AJ$4,Preisindex,2,FALSE)/VLOOKUP(YEAR($F82),Preisindex,2,FALSE),2),0)))))</f>
        <v>0</v>
      </c>
      <c r="AK82" s="56">
        <f>IF(AND($E82&lt;&gt;0,$F82&gt;0,YEAR($F82)&lt;Preisindex!$A$6,YEAR(AE$4)&gt;=YEAR($F82),AND($K82&lt;&gt;"a",$K82&lt;&gt;"b",$K82&lt;&gt;"g",$K82&lt;&gt;"k")),1,IF(AND($E82&lt;&gt;0,$F82&gt;0,YEAR($F82)&lt;Preisindex!$A$6,YEAR(AE$4)&gt;=YEAR($F82),$K82="a"),ROUND(VLOOKUP(AJ$4,Preisindex,5,FALSE)/VLOOKUP(Preisindex!$A$6,Preisindex,5,FALSE),2),IF(AND($E82&lt;&gt;0,$F82&gt;0,YEAR($F82)&lt;Preisindex!$A$6,YEAR(AE$4)&gt;=YEAR($F82),$K82="b"),ROUND(VLOOKUP(AJ$4,Preisindex,3,FALSE)/VLOOKUP(Preisindex!$A$6,Preisindex,3,FALSE),2),IF(AND($E82&lt;&gt;0,$F82&gt;0,YEAR($F82)&lt;Preisindex!$A$6,YEAR(AE$4)&gt;=YEAR($F82),$K82="g"),ROUND(VLOOKUP(AJ$4,Preisindex,4,FALSE)/VLOOKUP(Preisindex!$A$6,Preisindex,4,FALSE),2),IF(AND($E82&lt;&gt;0,$F82&gt;0,YEAR($F82)&lt;Preisindex!$A$6,YEAR(AE$4)&gt;=YEAR($F82),$K82="k"),ROUND(VLOOKUP(AJ$4,Preisindex,2,FALSE)/VLOOKUP(Preisindex!$A$6,Preisindex,2,FALSE),2),0)))))</f>
        <v>0</v>
      </c>
      <c r="AL82" s="51">
        <f>IF(AND($E82&lt;&gt;0,$F82&gt;0,YEAR($F82)&lt;=AJ$4,YEAR($F82)&gt;=Preisindex!$A$6),ROUND($E82*AJ82,2),IF(AND($E82&lt;&gt;0,$F82&gt;0,YEAR($F82)&lt;=AJ$4,YEAR($F82)&lt;Preisindex!$A$6),ROUND($E82*AK82,2),0))</f>
        <v>0</v>
      </c>
      <c r="AM82" s="53">
        <f t="shared" si="445"/>
        <v>0</v>
      </c>
      <c r="AN82" s="51">
        <f t="shared" si="361"/>
        <v>0</v>
      </c>
      <c r="AO82" s="51">
        <f t="shared" si="317"/>
        <v>0</v>
      </c>
      <c r="AP82" s="51">
        <f t="shared" si="362"/>
        <v>0</v>
      </c>
      <c r="AQ82" s="51">
        <f t="shared" si="318"/>
        <v>0</v>
      </c>
      <c r="AR82" s="51">
        <f t="shared" si="363"/>
        <v>0</v>
      </c>
      <c r="AS82" s="51">
        <f t="shared" si="319"/>
        <v>0</v>
      </c>
      <c r="AT82" s="51">
        <f t="shared" si="364"/>
        <v>0</v>
      </c>
      <c r="AU82" s="51">
        <f t="shared" si="320"/>
        <v>0</v>
      </c>
      <c r="AV82" s="51">
        <f t="shared" si="365"/>
        <v>0</v>
      </c>
      <c r="AW82" s="51">
        <f t="shared" si="321"/>
        <v>0</v>
      </c>
      <c r="AX82" s="51">
        <f t="shared" si="366"/>
        <v>0</v>
      </c>
      <c r="AY82" s="54">
        <f t="shared" si="367"/>
        <v>0</v>
      </c>
      <c r="AZ82" s="55">
        <f t="shared" si="368"/>
        <v>0</v>
      </c>
      <c r="BA82" s="56">
        <f>IF(AND($E82&lt;&gt;0,$F82&gt;0,YEAR($F82)&gt;=Preisindex!$A$6,YEAR(AV$4)&gt;=YEAR($F82),AND($K82&lt;&gt;"a",$K82&lt;&gt;"b",$K82&lt;&gt;"g",$K82&lt;&gt;"k")),1,IF(AND($E82&lt;&gt;0,$F82&gt;0,YEAR($F82)&gt;=Preisindex!$A$6,YEAR(AV$4)&gt;=YEAR($F82),$K82="a"),ROUND(VLOOKUP(BA$4,Preisindex,5,FALSE)/VLOOKUP(YEAR($F82),Preisindex,5,FALSE),2),IF(AND($E82&lt;&gt;0,$F82&gt;0,YEAR($F82)&gt;=Preisindex!$A$6,YEAR(AV$4)&gt;=YEAR($F82),$K82="b"),ROUND(VLOOKUP(BA$4,Preisindex,3,FALSE)/VLOOKUP(YEAR($F82),Preisindex,3,FALSE),2),IF(AND($E82&lt;&gt;0,$F82&gt;0,YEAR($F82)&gt;=Preisindex!$A$6,YEAR(AV$4)&gt;=YEAR($F82),$K82="g"),ROUND(VLOOKUP(BA$4,Preisindex,4,FALSE)/VLOOKUP(YEAR($F82),Preisindex,4,FALSE),2),IF(AND($E82&lt;&gt;0,$F82&gt;0,YEAR($F82)&gt;=Preisindex!$A$6,YEAR(AV$4)&gt;=YEAR($F82),$K82="k"),ROUND(VLOOKUP(BA$4,Preisindex,2,FALSE)/VLOOKUP(YEAR($F82),Preisindex,2,FALSE),2),0)))))</f>
        <v>0</v>
      </c>
      <c r="BB82" s="56">
        <f>IF(AND($E82&lt;&gt;0,$F82&gt;0,YEAR($F82)&lt;Preisindex!$A$6,YEAR(AV$4)&gt;=YEAR($F82),AND($K82&lt;&gt;"a",$K82&lt;&gt;"b",$K82&lt;&gt;"g",$K82&lt;&gt;"k")),1,IF(AND($E82&lt;&gt;0,$F82&gt;0,YEAR($F82)&lt;Preisindex!$A$6,YEAR(AV$4)&gt;=YEAR($F82),$K82="a"),ROUND(VLOOKUP(BA$4,Preisindex,5,FALSE)/VLOOKUP(Preisindex!$A$6,Preisindex,5,FALSE),2),IF(AND($E82&lt;&gt;0,$F82&gt;0,YEAR($F82)&lt;Preisindex!$A$6,YEAR(AV$4)&gt;=YEAR($F82),$K82="b"),ROUND(VLOOKUP(BA$4,Preisindex,3,FALSE)/VLOOKUP(Preisindex!$A$6,Preisindex,3,FALSE),2),IF(AND($E82&lt;&gt;0,$F82&gt;0,YEAR($F82)&lt;Preisindex!$A$6,YEAR(AV$4)&gt;=YEAR($F82),$K82="g"),ROUND(VLOOKUP(BA$4,Preisindex,4,FALSE)/VLOOKUP(Preisindex!$A$6,Preisindex,4,FALSE),2),IF(AND($E82&lt;&gt;0,$F82&gt;0,YEAR($F82)&lt;Preisindex!$A$6,YEAR(AV$4)&gt;=YEAR($F82),$K82="k"),ROUND(VLOOKUP(BA$4,Preisindex,2,FALSE)/VLOOKUP(Preisindex!$A$6,Preisindex,2,FALSE),2),0)))))</f>
        <v>0</v>
      </c>
      <c r="BC82" s="51">
        <f>IF(AND($E82&lt;&gt;0,$F82&gt;0,YEAR($F82)&lt;=BA$4,YEAR($F82)&gt;=Preisindex!$A$6),ROUND($E82*BA82,2),IF(AND($E82&lt;&gt;0,$F82&gt;0,YEAR($F82)&lt;=BA$4,YEAR($F82)&lt;Preisindex!$A$6),ROUND($E82*BB82,2),0))</f>
        <v>0</v>
      </c>
      <c r="BD82" s="53">
        <f t="shared" si="369"/>
        <v>0</v>
      </c>
      <c r="BE82" s="51">
        <f t="shared" si="361"/>
        <v>0</v>
      </c>
      <c r="BF82" s="51">
        <f t="shared" si="322"/>
        <v>0</v>
      </c>
      <c r="BG82" s="51">
        <f t="shared" si="370"/>
        <v>0</v>
      </c>
      <c r="BH82" s="51">
        <f t="shared" si="323"/>
        <v>0</v>
      </c>
      <c r="BI82" s="51">
        <f t="shared" si="371"/>
        <v>0</v>
      </c>
      <c r="BJ82" s="51">
        <f t="shared" si="324"/>
        <v>0</v>
      </c>
      <c r="BK82" s="51">
        <f t="shared" si="372"/>
        <v>0</v>
      </c>
      <c r="BL82" s="51">
        <f t="shared" si="325"/>
        <v>0</v>
      </c>
      <c r="BM82" s="51">
        <f t="shared" si="373"/>
        <v>0</v>
      </c>
      <c r="BN82" s="51">
        <f t="shared" si="326"/>
        <v>0</v>
      </c>
      <c r="BO82" s="51">
        <f t="shared" si="374"/>
        <v>0</v>
      </c>
      <c r="BP82" s="54">
        <f t="shared" si="375"/>
        <v>0</v>
      </c>
      <c r="BQ82" s="55">
        <f t="shared" si="376"/>
        <v>0</v>
      </c>
      <c r="BR82" s="56">
        <f>IF(AND($E82&lt;&gt;0,$F82&gt;0,YEAR($F82)&gt;=Preisindex!$A$6,YEAR(BM$4)&gt;=YEAR($F82),AND($K82&lt;&gt;"a",$K82&lt;&gt;"b",$K82&lt;&gt;"g",$K82&lt;&gt;"k")),1,IF(AND($E82&lt;&gt;0,$F82&gt;0,YEAR($F82)&gt;=Preisindex!$A$6,YEAR(BM$4)&gt;=YEAR($F82),$K82="a"),ROUND(VLOOKUP(BR$4,Preisindex,5,FALSE)/VLOOKUP(YEAR($F82),Preisindex,5,FALSE),2),IF(AND($E82&lt;&gt;0,$F82&gt;0,YEAR($F82)&gt;=Preisindex!$A$6,YEAR(BM$4)&gt;=YEAR($F82),$K82="b"),ROUND(VLOOKUP(BR$4,Preisindex,3,FALSE)/VLOOKUP(YEAR($F82),Preisindex,3,FALSE),2),IF(AND($E82&lt;&gt;0,$F82&gt;0,YEAR($F82)&gt;=Preisindex!$A$6,YEAR(BM$4)&gt;=YEAR($F82),$K82="g"),ROUND(VLOOKUP(BR$4,Preisindex,4,FALSE)/VLOOKUP(YEAR($F82),Preisindex,4,FALSE),2),IF(AND($E82&lt;&gt;0,$F82&gt;0,YEAR($F82)&gt;=Preisindex!$A$6,YEAR(BM$4)&gt;=YEAR($F82),$K82="k"),ROUND(VLOOKUP(BR$4,Preisindex,2,FALSE)/VLOOKUP(YEAR($F82),Preisindex,2,FALSE),2),0)))))</f>
        <v>0</v>
      </c>
      <c r="BS82" s="56">
        <f>IF(AND($E82&lt;&gt;0,$F82&gt;0,YEAR($F82)&lt;Preisindex!$A$6,YEAR(BM$4)&gt;=YEAR($F82),AND($K82&lt;&gt;"a",$K82&lt;&gt;"b",$K82&lt;&gt;"g",$K82&lt;&gt;"k")),1,IF(AND($E82&lt;&gt;0,$F82&gt;0,YEAR($F82)&lt;Preisindex!$A$6,YEAR(BM$4)&gt;=YEAR($F82),$K82="a"),ROUND(VLOOKUP(BR$4,Preisindex,5,FALSE)/VLOOKUP(Preisindex!$A$6,Preisindex,5,FALSE),2),IF(AND($E82&lt;&gt;0,$F82&gt;0,YEAR($F82)&lt;Preisindex!$A$6,YEAR(BM$4)&gt;=YEAR($F82),$K82="b"),ROUND(VLOOKUP(BR$4,Preisindex,3,FALSE)/VLOOKUP(Preisindex!$A$6,Preisindex,3,FALSE),2),IF(AND($E82&lt;&gt;0,$F82&gt;0,YEAR($F82)&lt;Preisindex!$A$6,YEAR(BM$4)&gt;=YEAR($F82),$K82="g"),ROUND(VLOOKUP(BR$4,Preisindex,4,FALSE)/VLOOKUP(Preisindex!$A$6,Preisindex,4,FALSE),2),IF(AND($E82&lt;&gt;0,$F82&gt;0,YEAR($F82)&lt;Preisindex!$A$6,YEAR(BM$4)&gt;=YEAR($F82),$K82="k"),ROUND(VLOOKUP(BR$4,Preisindex,2,FALSE)/VLOOKUP(Preisindex!$A$6,Preisindex,2,FALSE),2),0)))))</f>
        <v>0</v>
      </c>
      <c r="BT82" s="51">
        <f>IF(AND($E82&lt;&gt;0,$F82&gt;0,YEAR($F82)&lt;=BR$4,YEAR($F82)&gt;=Preisindex!$A$6),ROUND($E82*BR82,2),IF(AND($E82&lt;&gt;0,$F82&gt;0,YEAR($F82)&lt;=BR$4,YEAR($F82)&lt;Preisindex!$A$6),ROUND($E82*BS82,2),0))</f>
        <v>0</v>
      </c>
      <c r="BU82" s="53">
        <f t="shared" si="377"/>
        <v>0</v>
      </c>
      <c r="BV82" s="51">
        <f t="shared" si="361"/>
        <v>0</v>
      </c>
      <c r="BW82" s="51">
        <f t="shared" si="327"/>
        <v>0</v>
      </c>
      <c r="BX82" s="51">
        <f t="shared" si="378"/>
        <v>0</v>
      </c>
      <c r="BY82" s="51">
        <f t="shared" si="328"/>
        <v>0</v>
      </c>
      <c r="BZ82" s="51">
        <f t="shared" si="379"/>
        <v>0</v>
      </c>
      <c r="CA82" s="51">
        <f t="shared" si="329"/>
        <v>0</v>
      </c>
      <c r="CB82" s="51">
        <f t="shared" si="380"/>
        <v>0</v>
      </c>
      <c r="CC82" s="51">
        <f t="shared" si="330"/>
        <v>0</v>
      </c>
      <c r="CD82" s="51">
        <f t="shared" si="381"/>
        <v>0</v>
      </c>
      <c r="CE82" s="51">
        <f t="shared" si="331"/>
        <v>0</v>
      </c>
      <c r="CF82" s="51">
        <f t="shared" si="382"/>
        <v>0</v>
      </c>
      <c r="CG82" s="54">
        <f t="shared" si="383"/>
        <v>0</v>
      </c>
      <c r="CH82" s="55">
        <f t="shared" si="384"/>
        <v>0</v>
      </c>
      <c r="CI82" s="56">
        <f>IF(AND($E82&lt;&gt;0,$F82&gt;0,YEAR($F82)&gt;=Preisindex!$A$6,YEAR(CD$4)&gt;=YEAR($F82),AND($K82&lt;&gt;"a",$K82&lt;&gt;"b",$K82&lt;&gt;"g",$K82&lt;&gt;"k")),1,IF(AND($E82&lt;&gt;0,$F82&gt;0,YEAR($F82)&gt;=Preisindex!$A$6,YEAR(CD$4)&gt;=YEAR($F82),$K82="a"),ROUND(VLOOKUP(CI$4,Preisindex,5,FALSE)/VLOOKUP(YEAR($F82),Preisindex,5,FALSE),2),IF(AND($E82&lt;&gt;0,$F82&gt;0,YEAR($F82)&gt;=Preisindex!$A$6,YEAR(CD$4)&gt;=YEAR($F82),$K82="b"),ROUND(VLOOKUP(CI$4,Preisindex,3,FALSE)/VLOOKUP(YEAR($F82),Preisindex,3,FALSE),2),IF(AND($E82&lt;&gt;0,$F82&gt;0,YEAR($F82)&gt;=Preisindex!$A$6,YEAR(CD$4)&gt;=YEAR($F82),$K82="g"),ROUND(VLOOKUP(CI$4,Preisindex,4,FALSE)/VLOOKUP(YEAR($F82),Preisindex,4,FALSE),2),IF(AND($E82&lt;&gt;0,$F82&gt;0,YEAR($F82)&gt;=Preisindex!$A$6,YEAR(CD$4)&gt;=YEAR($F82),$K82="k"),ROUND(VLOOKUP(CI$4,Preisindex,2,FALSE)/VLOOKUP(YEAR($F82),Preisindex,2,FALSE),2),0)))))</f>
        <v>0</v>
      </c>
      <c r="CJ82" s="56">
        <f>IF(AND($E82&lt;&gt;0,$F82&gt;0,YEAR($F82)&lt;Preisindex!$A$6,YEAR(CD$4)&gt;=YEAR($F82),AND($K82&lt;&gt;"a",$K82&lt;&gt;"b",$K82&lt;&gt;"g",$K82&lt;&gt;"k")),1,IF(AND($E82&lt;&gt;0,$F82&gt;0,YEAR($F82)&lt;Preisindex!$A$6,YEAR(CD$4)&gt;=YEAR($F82),$K82="a"),ROUND(VLOOKUP(CI$4,Preisindex,5,FALSE)/VLOOKUP(Preisindex!$A$6,Preisindex,5,FALSE),2),IF(AND($E82&lt;&gt;0,$F82&gt;0,YEAR($F82)&lt;Preisindex!$A$6,YEAR(CD$4)&gt;=YEAR($F82),$K82="b"),ROUND(VLOOKUP(CI$4,Preisindex,3,FALSE)/VLOOKUP(Preisindex!$A$6,Preisindex,3,FALSE),2),IF(AND($E82&lt;&gt;0,$F82&gt;0,YEAR($F82)&lt;Preisindex!$A$6,YEAR(CD$4)&gt;=YEAR($F82),$K82="g"),ROUND(VLOOKUP(CI$4,Preisindex,4,FALSE)/VLOOKUP(Preisindex!$A$6,Preisindex,4,FALSE),2),IF(AND($E82&lt;&gt;0,$F82&gt;0,YEAR($F82)&lt;Preisindex!$A$6,YEAR(CD$4)&gt;=YEAR($F82),$K82="k"),ROUND(VLOOKUP(CI$4,Preisindex,2,FALSE)/VLOOKUP(Preisindex!$A$6,Preisindex,2,FALSE),2),0)))))</f>
        <v>0</v>
      </c>
      <c r="CK82" s="51">
        <f>IF(AND($E82&lt;&gt;0,$F82&gt;0,YEAR($F82)&lt;=CI$4,YEAR($F82)&gt;=Preisindex!$A$6),ROUND($E82*CI82,2),IF(AND($E82&lt;&gt;0,$F82&gt;0,YEAR($F82)&lt;=CI$4,YEAR($F82)&lt;Preisindex!$A$6),ROUND($E82*CJ82,2),0))</f>
        <v>0</v>
      </c>
      <c r="CL82" s="53">
        <f t="shared" si="385"/>
        <v>0</v>
      </c>
      <c r="CM82" s="51">
        <f t="shared" si="361"/>
        <v>0</v>
      </c>
      <c r="CN82" s="51">
        <f t="shared" si="332"/>
        <v>0</v>
      </c>
      <c r="CO82" s="51">
        <f t="shared" si="386"/>
        <v>0</v>
      </c>
      <c r="CP82" s="51">
        <f t="shared" si="333"/>
        <v>0</v>
      </c>
      <c r="CQ82" s="51">
        <f t="shared" si="387"/>
        <v>0</v>
      </c>
      <c r="CR82" s="51">
        <f t="shared" si="334"/>
        <v>0</v>
      </c>
      <c r="CS82" s="51">
        <f t="shared" si="388"/>
        <v>0</v>
      </c>
      <c r="CT82" s="51">
        <f t="shared" si="335"/>
        <v>0</v>
      </c>
      <c r="CU82" s="51">
        <f t="shared" si="389"/>
        <v>0</v>
      </c>
      <c r="CV82" s="51">
        <f t="shared" si="336"/>
        <v>0</v>
      </c>
      <c r="CW82" s="51">
        <f t="shared" si="390"/>
        <v>0</v>
      </c>
      <c r="CX82" s="54">
        <f t="shared" si="391"/>
        <v>0</v>
      </c>
      <c r="CY82" s="55">
        <f t="shared" si="392"/>
        <v>0</v>
      </c>
      <c r="CZ82" s="56">
        <f>IF(AND($E82&lt;&gt;0,$F82&gt;0,YEAR($F82)&gt;=Preisindex!$A$6,YEAR(CU$4)&gt;=YEAR($F82),AND($K82&lt;&gt;"a",$K82&lt;&gt;"b",$K82&lt;&gt;"g",$K82&lt;&gt;"k")),1,IF(AND($E82&lt;&gt;0,$F82&gt;0,YEAR($F82)&gt;=Preisindex!$A$6,YEAR(CU$4)&gt;=YEAR($F82),$K82="a"),ROUND(VLOOKUP(CZ$4,Preisindex,5,FALSE)/VLOOKUP(YEAR($F82),Preisindex,5,FALSE),2),IF(AND($E82&lt;&gt;0,$F82&gt;0,YEAR($F82)&gt;=Preisindex!$A$6,YEAR(CU$4)&gt;=YEAR($F82),$K82="b"),ROUND(VLOOKUP(CZ$4,Preisindex,3,FALSE)/VLOOKUP(YEAR($F82),Preisindex,3,FALSE),2),IF(AND($E82&lt;&gt;0,$F82&gt;0,YEAR($F82)&gt;=Preisindex!$A$6,YEAR(CU$4)&gt;=YEAR($F82),$K82="g"),ROUND(VLOOKUP(CZ$4,Preisindex,4,FALSE)/VLOOKUP(YEAR($F82),Preisindex,4,FALSE),2),IF(AND($E82&lt;&gt;0,$F82&gt;0,YEAR($F82)&gt;=Preisindex!$A$6,YEAR(CU$4)&gt;=YEAR($F82),$K82="k"),ROUND(VLOOKUP(CZ$4,Preisindex,2,FALSE)/VLOOKUP(YEAR($F82),Preisindex,2,FALSE),2),0)))))</f>
        <v>0</v>
      </c>
      <c r="DA82" s="56">
        <f>IF(AND($E82&lt;&gt;0,$F82&gt;0,YEAR($F82)&lt;Preisindex!$A$6,YEAR(CU$4)&gt;=YEAR($F82),AND($K82&lt;&gt;"a",$K82&lt;&gt;"b",$K82&lt;&gt;"g",$K82&lt;&gt;"k")),1,IF(AND($E82&lt;&gt;0,$F82&gt;0,YEAR($F82)&lt;Preisindex!$A$6,YEAR(CU$4)&gt;=YEAR($F82),$K82="a"),ROUND(VLOOKUP(CZ$4,Preisindex,5,FALSE)/VLOOKUP(Preisindex!$A$6,Preisindex,5,FALSE),2),IF(AND($E82&lt;&gt;0,$F82&gt;0,YEAR($F82)&lt;Preisindex!$A$6,YEAR(CU$4)&gt;=YEAR($F82),$K82="b"),ROUND(VLOOKUP(CZ$4,Preisindex,3,FALSE)/VLOOKUP(Preisindex!$A$6,Preisindex,3,FALSE),2),IF(AND($E82&lt;&gt;0,$F82&gt;0,YEAR($F82)&lt;Preisindex!$A$6,YEAR(CU$4)&gt;=YEAR($F82),$K82="g"),ROUND(VLOOKUP(CZ$4,Preisindex,4,FALSE)/VLOOKUP(Preisindex!$A$6,Preisindex,4,FALSE),2),IF(AND($E82&lt;&gt;0,$F82&gt;0,YEAR($F82)&lt;Preisindex!$A$6,YEAR(CU$4)&gt;=YEAR($F82),$K82="k"),ROUND(VLOOKUP(CZ$4,Preisindex,2,FALSE)/VLOOKUP(Preisindex!$A$6,Preisindex,2,FALSE),2),0)))))</f>
        <v>0</v>
      </c>
      <c r="DB82" s="51">
        <f>IF(AND($E82&lt;&gt;0,$F82&gt;0,YEAR($F82)&lt;=CZ$4,YEAR($F82)&gt;=Preisindex!$A$6),ROUND($E82*CZ82,2),IF(AND($E82&lt;&gt;0,$F82&gt;0,YEAR($F82)&lt;=CZ$4,YEAR($F82)&lt;Preisindex!$A$6),ROUND($E82*DA82,2),0))</f>
        <v>0</v>
      </c>
      <c r="DC82" s="53">
        <f t="shared" si="393"/>
        <v>0</v>
      </c>
      <c r="DD82" s="51">
        <f t="shared" si="394"/>
        <v>0</v>
      </c>
      <c r="DE82" s="51">
        <f t="shared" si="337"/>
        <v>0</v>
      </c>
      <c r="DF82" s="51">
        <f t="shared" si="395"/>
        <v>0</v>
      </c>
      <c r="DG82" s="51">
        <f t="shared" si="338"/>
        <v>0</v>
      </c>
      <c r="DH82" s="51">
        <f t="shared" si="396"/>
        <v>0</v>
      </c>
      <c r="DI82" s="51">
        <f t="shared" si="339"/>
        <v>0</v>
      </c>
      <c r="DJ82" s="51">
        <f t="shared" si="397"/>
        <v>0</v>
      </c>
      <c r="DK82" s="51">
        <f t="shared" si="340"/>
        <v>0</v>
      </c>
      <c r="DL82" s="51">
        <f t="shared" si="398"/>
        <v>0</v>
      </c>
      <c r="DM82" s="51">
        <f t="shared" si="341"/>
        <v>0</v>
      </c>
      <c r="DN82" s="51">
        <f t="shared" si="399"/>
        <v>0</v>
      </c>
      <c r="DO82" s="54">
        <f t="shared" si="400"/>
        <v>0</v>
      </c>
      <c r="DP82" s="55">
        <f t="shared" si="401"/>
        <v>0</v>
      </c>
      <c r="DQ82" s="56">
        <f>IF(AND($E82&lt;&gt;0,$F82&gt;0,YEAR($F82)&gt;=Preisindex!$A$6,YEAR(DL$4)&gt;=YEAR($F82),AND($K82&lt;&gt;"a",$K82&lt;&gt;"b",$K82&lt;&gt;"g",$K82&lt;&gt;"k")),1,IF(AND($E82&lt;&gt;0,$F82&gt;0,YEAR($F82)&gt;=Preisindex!$A$6,YEAR(DL$4)&gt;=YEAR($F82),$K82="a"),ROUND(VLOOKUP(DQ$4,Preisindex,5,FALSE)/VLOOKUP(YEAR($F82),Preisindex,5,FALSE),2),IF(AND($E82&lt;&gt;0,$F82&gt;0,YEAR($F82)&gt;=Preisindex!$A$6,YEAR(DL$4)&gt;=YEAR($F82),$K82="b"),ROUND(VLOOKUP(DQ$4,Preisindex,3,FALSE)/VLOOKUP(YEAR($F82),Preisindex,3,FALSE),2),IF(AND($E82&lt;&gt;0,$F82&gt;0,YEAR($F82)&gt;=Preisindex!$A$6,YEAR(DL$4)&gt;=YEAR($F82),$K82="g"),ROUND(VLOOKUP(DQ$4,Preisindex,4,FALSE)/VLOOKUP(YEAR($F82),Preisindex,4,FALSE),2),IF(AND($E82&lt;&gt;0,$F82&gt;0,YEAR($F82)&gt;=Preisindex!$A$6,YEAR(DL$4)&gt;=YEAR($F82),$K82="k"),ROUND(VLOOKUP(DQ$4,Preisindex,2,FALSE)/VLOOKUP(YEAR($F82),Preisindex,2,FALSE),2),0)))))</f>
        <v>0</v>
      </c>
      <c r="DR82" s="56">
        <f>IF(AND($E82&lt;&gt;0,$F82&gt;0,YEAR($F82)&lt;Preisindex!$A$6,YEAR(DL$4)&gt;=YEAR($F82),AND($K82&lt;&gt;"a",$K82&lt;&gt;"b",$K82&lt;&gt;"g",$K82&lt;&gt;"k")),1,IF(AND($E82&lt;&gt;0,$F82&gt;0,YEAR($F82)&lt;Preisindex!$A$6,YEAR(DL$4)&gt;=YEAR($F82),$K82="a"),ROUND(VLOOKUP(DQ$4,Preisindex,5,FALSE)/VLOOKUP(Preisindex!$A$6,Preisindex,5,FALSE),2),IF(AND($E82&lt;&gt;0,$F82&gt;0,YEAR($F82)&lt;Preisindex!$A$6,YEAR(DL$4)&gt;=YEAR($F82),$K82="b"),ROUND(VLOOKUP(DQ$4,Preisindex,3,FALSE)/VLOOKUP(Preisindex!$A$6,Preisindex,3,FALSE),2),IF(AND($E82&lt;&gt;0,$F82&gt;0,YEAR($F82)&lt;Preisindex!$A$6,YEAR(DL$4)&gt;=YEAR($F82),$K82="g"),ROUND(VLOOKUP(DQ$4,Preisindex,4,FALSE)/VLOOKUP(Preisindex!$A$6,Preisindex,4,FALSE),2),IF(AND($E82&lt;&gt;0,$F82&gt;0,YEAR($F82)&lt;Preisindex!$A$6,YEAR(DL$4)&gt;=YEAR($F82),$K82="k"),ROUND(VLOOKUP(DQ$4,Preisindex,2,FALSE)/VLOOKUP(Preisindex!$A$6,Preisindex,2,FALSE),2),0)))))</f>
        <v>0</v>
      </c>
      <c r="DS82" s="51">
        <f>IF(AND($E82&lt;&gt;0,$F82&gt;0,YEAR($F82)&lt;=DQ$4,YEAR($F82)&gt;=Preisindex!$A$6),ROUND($E82*DQ82,2),IF(AND($E82&lt;&gt;0,$F82&gt;0,YEAR($F82)&lt;=DQ$4,YEAR($F82)&lt;Preisindex!$A$6),ROUND($E82*DR82,2),0))</f>
        <v>0</v>
      </c>
      <c r="DT82" s="53">
        <f t="shared" si="402"/>
        <v>0</v>
      </c>
      <c r="DU82" s="51">
        <f t="shared" si="394"/>
        <v>0</v>
      </c>
      <c r="DV82" s="51">
        <f t="shared" si="342"/>
        <v>0</v>
      </c>
      <c r="DW82" s="51">
        <f t="shared" si="403"/>
        <v>0</v>
      </c>
      <c r="DX82" s="51">
        <f t="shared" si="343"/>
        <v>0</v>
      </c>
      <c r="DY82" s="51">
        <f t="shared" si="404"/>
        <v>0</v>
      </c>
      <c r="DZ82" s="51">
        <f t="shared" si="344"/>
        <v>0</v>
      </c>
      <c r="EA82" s="51">
        <f t="shared" si="405"/>
        <v>0</v>
      </c>
      <c r="EB82" s="51">
        <f t="shared" si="345"/>
        <v>0</v>
      </c>
      <c r="EC82" s="51">
        <f t="shared" si="406"/>
        <v>0</v>
      </c>
      <c r="ED82" s="51">
        <f t="shared" si="346"/>
        <v>0</v>
      </c>
      <c r="EE82" s="51">
        <f t="shared" si="407"/>
        <v>0</v>
      </c>
      <c r="EF82" s="54">
        <f t="shared" si="408"/>
        <v>0</v>
      </c>
      <c r="EG82" s="55">
        <f t="shared" si="409"/>
        <v>0</v>
      </c>
      <c r="EH82" s="56">
        <f>IF(AND($E82&lt;&gt;0,$F82&gt;0,YEAR($F82)&gt;=Preisindex!$A$6,YEAR(EC$4)&gt;=YEAR($F82),AND($K82&lt;&gt;"a",$K82&lt;&gt;"b",$K82&lt;&gt;"g",$K82&lt;&gt;"k")),1,IF(AND($E82&lt;&gt;0,$F82&gt;0,YEAR($F82)&gt;=Preisindex!$A$6,YEAR(EC$4)&gt;=YEAR($F82),$K82="a"),ROUND(VLOOKUP(EH$4,Preisindex,5,FALSE)/VLOOKUP(YEAR($F82),Preisindex,5,FALSE),2),IF(AND($E82&lt;&gt;0,$F82&gt;0,YEAR($F82)&gt;=Preisindex!$A$6,YEAR(EC$4)&gt;=YEAR($F82),$K82="b"),ROUND(VLOOKUP(EH$4,Preisindex,3,FALSE)/VLOOKUP(YEAR($F82),Preisindex,3,FALSE),2),IF(AND($E82&lt;&gt;0,$F82&gt;0,YEAR($F82)&gt;=Preisindex!$A$6,YEAR(EC$4)&gt;=YEAR($F82),$K82="g"),ROUND(VLOOKUP(EH$4,Preisindex,4,FALSE)/VLOOKUP(YEAR($F82),Preisindex,4,FALSE),2),IF(AND($E82&lt;&gt;0,$F82&gt;0,YEAR($F82)&gt;=Preisindex!$A$6,YEAR(EC$4)&gt;=YEAR($F82),$K82="k"),ROUND(VLOOKUP(EH$4,Preisindex,2,FALSE)/VLOOKUP(YEAR($F82),Preisindex,2,FALSE),2),0)))))</f>
        <v>0</v>
      </c>
      <c r="EI82" s="56">
        <f>IF(AND($E82&lt;&gt;0,$F82&gt;0,YEAR($F82)&lt;Preisindex!$A$6,YEAR(EC$4)&gt;=YEAR($F82),AND($K82&lt;&gt;"a",$K82&lt;&gt;"b",$K82&lt;&gt;"g",$K82&lt;&gt;"k")),1,IF(AND($E82&lt;&gt;0,$F82&gt;0,YEAR($F82)&lt;Preisindex!$A$6,YEAR(EC$4)&gt;=YEAR($F82),$K82="a"),ROUND(VLOOKUP(EH$4,Preisindex,5,FALSE)/VLOOKUP(Preisindex!$A$6,Preisindex,5,FALSE),2),IF(AND($E82&lt;&gt;0,$F82&gt;0,YEAR($F82)&lt;Preisindex!$A$6,YEAR(EC$4)&gt;=YEAR($F82),$K82="b"),ROUND(VLOOKUP(EH$4,Preisindex,3,FALSE)/VLOOKUP(Preisindex!$A$6,Preisindex,3,FALSE),2),IF(AND($E82&lt;&gt;0,$F82&gt;0,YEAR($F82)&lt;Preisindex!$A$6,YEAR(EC$4)&gt;=YEAR($F82),$K82="g"),ROUND(VLOOKUP(EH$4,Preisindex,4,FALSE)/VLOOKUP(Preisindex!$A$6,Preisindex,4,FALSE),2),IF(AND($E82&lt;&gt;0,$F82&gt;0,YEAR($F82)&lt;Preisindex!$A$6,YEAR(EC$4)&gt;=YEAR($F82),$K82="k"),ROUND(VLOOKUP(EH$4,Preisindex,2,FALSE)/VLOOKUP(Preisindex!$A$6,Preisindex,2,FALSE),2),0)))))</f>
        <v>0</v>
      </c>
      <c r="EJ82" s="51">
        <f>IF(AND($E82&lt;&gt;0,$F82&gt;0,YEAR($F82)&lt;=EH$4,YEAR($F82)&gt;=Preisindex!$A$6),ROUND($E82*EH82,2),IF(AND($E82&lt;&gt;0,$F82&gt;0,YEAR($F82)&lt;=EH$4,YEAR($F82)&lt;Preisindex!$A$6),ROUND($E82*EI82,2),0))</f>
        <v>0</v>
      </c>
      <c r="EK82" s="53">
        <f t="shared" si="410"/>
        <v>0</v>
      </c>
      <c r="EL82" s="51">
        <f t="shared" si="394"/>
        <v>0</v>
      </c>
      <c r="EM82" s="51">
        <f t="shared" si="347"/>
        <v>0</v>
      </c>
      <c r="EN82" s="51">
        <f t="shared" si="411"/>
        <v>0</v>
      </c>
      <c r="EO82" s="51">
        <f t="shared" si="348"/>
        <v>0</v>
      </c>
      <c r="EP82" s="51">
        <f t="shared" si="412"/>
        <v>0</v>
      </c>
      <c r="EQ82" s="51">
        <f t="shared" si="349"/>
        <v>0</v>
      </c>
      <c r="ER82" s="51">
        <f t="shared" si="413"/>
        <v>0</v>
      </c>
      <c r="ES82" s="51">
        <f t="shared" si="350"/>
        <v>0</v>
      </c>
      <c r="ET82" s="51">
        <f t="shared" si="414"/>
        <v>0</v>
      </c>
      <c r="EU82" s="51">
        <f t="shared" si="351"/>
        <v>0</v>
      </c>
      <c r="EV82" s="51">
        <f t="shared" si="415"/>
        <v>0</v>
      </c>
      <c r="EW82" s="54">
        <f t="shared" si="416"/>
        <v>0</v>
      </c>
      <c r="EX82" s="55">
        <f t="shared" si="417"/>
        <v>0</v>
      </c>
      <c r="EY82" s="56">
        <f>IF(AND($E82&lt;&gt;0,$F82&gt;0,YEAR($F82)&gt;=Preisindex!$A$6,YEAR(ET$4)&gt;=YEAR($F82),AND($K82&lt;&gt;"a",$K82&lt;&gt;"b",$K82&lt;&gt;"g",$K82&lt;&gt;"k")),1,IF(AND($E82&lt;&gt;0,$F82&gt;0,YEAR($F82)&gt;=Preisindex!$A$6,YEAR(ET$4)&gt;=YEAR($F82),$K82="a"),ROUND(VLOOKUP(EY$4,Preisindex,5,FALSE)/VLOOKUP(YEAR($F82),Preisindex,5,FALSE),2),IF(AND($E82&lt;&gt;0,$F82&gt;0,YEAR($F82)&gt;=Preisindex!$A$6,YEAR(ET$4)&gt;=YEAR($F82),$K82="b"),ROUND(VLOOKUP(EY$4,Preisindex,3,FALSE)/VLOOKUP(YEAR($F82),Preisindex,3,FALSE),2),IF(AND($E82&lt;&gt;0,$F82&gt;0,YEAR($F82)&gt;=Preisindex!$A$6,YEAR(ET$4)&gt;=YEAR($F82),$K82="g"),ROUND(VLOOKUP(EY$4,Preisindex,4,FALSE)/VLOOKUP(YEAR($F82),Preisindex,4,FALSE),2),IF(AND($E82&lt;&gt;0,$F82&gt;0,YEAR($F82)&gt;=Preisindex!$A$6,YEAR(ET$4)&gt;=YEAR($F82),$K82="k"),ROUND(VLOOKUP(EY$4,Preisindex,2,FALSE)/VLOOKUP(YEAR($F82),Preisindex,2,FALSE),2),0)))))</f>
        <v>0</v>
      </c>
      <c r="EZ82" s="56">
        <f>IF(AND($E82&lt;&gt;0,$F82&gt;0,YEAR($F82)&lt;Preisindex!$A$6,YEAR(ET$4)&gt;=YEAR($F82),AND($K82&lt;&gt;"a",$K82&lt;&gt;"b",$K82&lt;&gt;"g",$K82&lt;&gt;"k")),1,IF(AND($E82&lt;&gt;0,$F82&gt;0,YEAR($F82)&lt;Preisindex!$A$6,YEAR(ET$4)&gt;=YEAR($F82),$K82="a"),ROUND(VLOOKUP(EY$4,Preisindex,5,FALSE)/VLOOKUP(Preisindex!$A$6,Preisindex,5,FALSE),2),IF(AND($E82&lt;&gt;0,$F82&gt;0,YEAR($F82)&lt;Preisindex!$A$6,YEAR(ET$4)&gt;=YEAR($F82),$K82="b"),ROUND(VLOOKUP(EY$4,Preisindex,3,FALSE)/VLOOKUP(Preisindex!$A$6,Preisindex,3,FALSE),2),IF(AND($E82&lt;&gt;0,$F82&gt;0,YEAR($F82)&lt;Preisindex!$A$6,YEAR(ET$4)&gt;=YEAR($F82),$K82="g"),ROUND(VLOOKUP(EY$4,Preisindex,4,FALSE)/VLOOKUP(Preisindex!$A$6,Preisindex,4,FALSE),2),IF(AND($E82&lt;&gt;0,$F82&gt;0,YEAR($F82)&lt;Preisindex!$A$6,YEAR(ET$4)&gt;=YEAR($F82),$K82="k"),ROUND(VLOOKUP(EY$4,Preisindex,2,FALSE)/VLOOKUP(Preisindex!$A$6,Preisindex,2,FALSE),2),0)))))</f>
        <v>0</v>
      </c>
      <c r="FA82" s="51">
        <f>IF(AND($E82&lt;&gt;0,$F82&gt;0,YEAR($F82)&lt;=EY$4,YEAR($F82)&gt;=Preisindex!$A$6),ROUND($E82*EY82,2),IF(AND($E82&lt;&gt;0,$F82&gt;0,YEAR($F82)&lt;=EY$4,YEAR($F82)&lt;Preisindex!$A$6),ROUND($E82*EZ82,2),0))</f>
        <v>0</v>
      </c>
      <c r="FB82" s="53">
        <f t="shared" si="418"/>
        <v>0</v>
      </c>
      <c r="FC82" s="51">
        <f t="shared" si="394"/>
        <v>0</v>
      </c>
      <c r="FD82" s="51">
        <f t="shared" si="352"/>
        <v>0</v>
      </c>
      <c r="FE82" s="51">
        <f t="shared" si="419"/>
        <v>0</v>
      </c>
      <c r="FF82" s="51">
        <f t="shared" si="353"/>
        <v>0</v>
      </c>
      <c r="FG82" s="51">
        <f t="shared" si="420"/>
        <v>0</v>
      </c>
      <c r="FH82" s="51">
        <f t="shared" si="354"/>
        <v>0</v>
      </c>
      <c r="FI82" s="51">
        <f t="shared" si="421"/>
        <v>0</v>
      </c>
      <c r="FJ82" s="51">
        <f t="shared" si="355"/>
        <v>0</v>
      </c>
      <c r="FK82" s="51">
        <f t="shared" si="422"/>
        <v>0</v>
      </c>
      <c r="FL82" s="51">
        <f t="shared" si="356"/>
        <v>0</v>
      </c>
      <c r="FM82" s="51">
        <f t="shared" si="423"/>
        <v>0</v>
      </c>
      <c r="FN82" s="54">
        <f t="shared" si="424"/>
        <v>0</v>
      </c>
      <c r="FO82" s="55">
        <f t="shared" si="425"/>
        <v>0</v>
      </c>
      <c r="FP82" s="56">
        <f>IF(AND($E82&lt;&gt;0,$F82&gt;0,YEAR($F82)&gt;=Preisindex!$A$6,YEAR(FK$4)&gt;=YEAR($F82),AND($K82&lt;&gt;"a",$K82&lt;&gt;"b",$K82&lt;&gt;"g",$K82&lt;&gt;"k")),1,IF(AND($E82&lt;&gt;0,$F82&gt;0,YEAR($F82)&gt;=Preisindex!$A$6,YEAR(FK$4)&gt;=YEAR($F82),$K82="a"),ROUND(VLOOKUP(FP$4,Preisindex,5,FALSE)/VLOOKUP(YEAR($F82),Preisindex,5,FALSE),2),IF(AND($E82&lt;&gt;0,$F82&gt;0,YEAR($F82)&gt;=Preisindex!$A$6,YEAR(FK$4)&gt;=YEAR($F82),$K82="b"),ROUND(VLOOKUP(FP$4,Preisindex,3,FALSE)/VLOOKUP(YEAR($F82),Preisindex,3,FALSE),2),IF(AND($E82&lt;&gt;0,$F82&gt;0,YEAR($F82)&gt;=Preisindex!$A$6,YEAR(FK$4)&gt;=YEAR($F82),$K82="g"),ROUND(VLOOKUP(FP$4,Preisindex,4,FALSE)/VLOOKUP(YEAR($F82),Preisindex,4,FALSE),2),IF(AND($E82&lt;&gt;0,$F82&gt;0,YEAR($F82)&gt;=Preisindex!$A$6,YEAR(FK$4)&gt;=YEAR($F82),$K82="k"),ROUND(VLOOKUP(FP$4,Preisindex,2,FALSE)/VLOOKUP(YEAR($F82),Preisindex,2,FALSE),2),0)))))</f>
        <v>0</v>
      </c>
      <c r="FQ82" s="56">
        <f>IF(AND($E82&lt;&gt;0,$F82&gt;0,YEAR($F82)&lt;Preisindex!$A$6,YEAR(FK$4)&gt;=YEAR($F82),AND($K82&lt;&gt;"a",$K82&lt;&gt;"b",$K82&lt;&gt;"g",$K82&lt;&gt;"k")),1,IF(AND($E82&lt;&gt;0,$F82&gt;0,YEAR($F82)&lt;Preisindex!$A$6,YEAR(FK$4)&gt;=YEAR($F82),$K82="a"),ROUND(VLOOKUP(FP$4,Preisindex,5,FALSE)/VLOOKUP(Preisindex!$A$6,Preisindex,5,FALSE),2),IF(AND($E82&lt;&gt;0,$F82&gt;0,YEAR($F82)&lt;Preisindex!$A$6,YEAR(FK$4)&gt;=YEAR($F82),$K82="b"),ROUND(VLOOKUP(FP$4,Preisindex,3,FALSE)/VLOOKUP(Preisindex!$A$6,Preisindex,3,FALSE),2),IF(AND($E82&lt;&gt;0,$F82&gt;0,YEAR($F82)&lt;Preisindex!$A$6,YEAR(FK$4)&gt;=YEAR($F82),$K82="g"),ROUND(VLOOKUP(FP$4,Preisindex,4,FALSE)/VLOOKUP(Preisindex!$A$6,Preisindex,4,FALSE),2),IF(AND($E82&lt;&gt;0,$F82&gt;0,YEAR($F82)&lt;Preisindex!$A$6,YEAR(FK$4)&gt;=YEAR($F82),$K82="k"),ROUND(VLOOKUP(FP$4,Preisindex,2,FALSE)/VLOOKUP(Preisindex!$A$6,Preisindex,2,FALSE),2),0)))))</f>
        <v>0</v>
      </c>
      <c r="FR82" s="51">
        <f>IF(AND($E82&lt;&gt;0,$F82&gt;0,YEAR($F82)&lt;=FP$4,YEAR($F82)&gt;=Preisindex!$A$6),ROUND($E82*FP82,2),IF(AND($E82&lt;&gt;0,$F82&gt;0,YEAR($F82)&lt;=FP$4,YEAR($F82)&lt;Preisindex!$A$6),ROUND($E82*FQ82,2),0))</f>
        <v>0</v>
      </c>
      <c r="FS82" s="53">
        <f t="shared" si="426"/>
        <v>0</v>
      </c>
    </row>
    <row r="83" spans="1:175" x14ac:dyDescent="0.3">
      <c r="A83" s="93"/>
      <c r="B83" s="94"/>
      <c r="C83" s="94"/>
      <c r="D83" s="188"/>
      <c r="E83" s="624"/>
      <c r="F83" s="190"/>
      <c r="G83" s="625"/>
      <c r="H83" s="192"/>
      <c r="I83" s="621"/>
      <c r="J83" s="103"/>
      <c r="K83" s="630"/>
      <c r="L83" s="49">
        <f t="shared" si="427"/>
        <v>0</v>
      </c>
      <c r="M83" s="50">
        <f t="shared" si="428"/>
        <v>0</v>
      </c>
      <c r="N83" s="51">
        <f t="shared" si="429"/>
        <v>0</v>
      </c>
      <c r="O83" s="51"/>
      <c r="P83" s="51">
        <f t="shared" si="430"/>
        <v>0</v>
      </c>
      <c r="Q83" s="52"/>
      <c r="R83" s="52"/>
      <c r="S83" s="52"/>
      <c r="T83" s="52"/>
      <c r="U83" s="52"/>
      <c r="V83" s="53">
        <f t="shared" si="431"/>
        <v>0</v>
      </c>
      <c r="W83" s="51">
        <f t="shared" si="432"/>
        <v>0</v>
      </c>
      <c r="X83" s="51">
        <f t="shared" si="433"/>
        <v>0</v>
      </c>
      <c r="Y83" s="51">
        <f t="shared" si="434"/>
        <v>0</v>
      </c>
      <c r="Z83" s="51">
        <f t="shared" si="435"/>
        <v>0</v>
      </c>
      <c r="AA83" s="51">
        <f t="shared" si="436"/>
        <v>0</v>
      </c>
      <c r="AB83" s="51">
        <f t="shared" si="437"/>
        <v>0</v>
      </c>
      <c r="AC83" s="51">
        <f t="shared" si="438"/>
        <v>0</v>
      </c>
      <c r="AD83" s="51">
        <f t="shared" si="439"/>
        <v>0</v>
      </c>
      <c r="AE83" s="51">
        <f t="shared" si="440"/>
        <v>0</v>
      </c>
      <c r="AF83" s="51">
        <f t="shared" si="441"/>
        <v>0</v>
      </c>
      <c r="AG83" s="51">
        <f t="shared" si="442"/>
        <v>0</v>
      </c>
      <c r="AH83" s="54">
        <f t="shared" si="443"/>
        <v>0</v>
      </c>
      <c r="AI83" s="55">
        <f t="shared" si="444"/>
        <v>0</v>
      </c>
      <c r="AJ83" s="56">
        <f>IF(AND($E83&lt;&gt;0,$F83&gt;0,YEAR($F83)&gt;=Preisindex!$A$6,YEAR(AE$4)&gt;=YEAR($F83),AND($K83&lt;&gt;"a",$K83&lt;&gt;"b",$K83&lt;&gt;"g",$K83&lt;&gt;"k")),1,IF(AND($E83&lt;&gt;0,$F83&gt;0,YEAR($F83)&gt;=Preisindex!$A$6,YEAR(AE$4)&gt;=YEAR($F83),$K83="a"),ROUND(VLOOKUP(AJ$4,Preisindex,5,FALSE)/VLOOKUP(YEAR($F83),Preisindex,5,FALSE),2),IF(AND($E83&lt;&gt;0,$F83&gt;0,YEAR($F83)&gt;=Preisindex!$A$6,YEAR(AE$4)&gt;=YEAR($F83),$K83="b"),ROUND(VLOOKUP(AJ$4,Preisindex,3,FALSE)/VLOOKUP(YEAR($F83),Preisindex,3,FALSE),2),IF(AND($E83&lt;&gt;0,$F83&gt;0,YEAR($F83)&gt;=Preisindex!$A$6,YEAR(AE$4)&gt;=YEAR($F83),$K83="g"),ROUND(VLOOKUP(AJ$4,Preisindex,4,FALSE)/VLOOKUP(YEAR($F83),Preisindex,4,FALSE),2),IF(AND($E83&lt;&gt;0,$F83&gt;0,YEAR($F83)&gt;=Preisindex!$A$6,YEAR(AE$4)&gt;=YEAR($F83),$K83="k"),ROUND(VLOOKUP(AJ$4,Preisindex,2,FALSE)/VLOOKUP(YEAR($F83),Preisindex,2,FALSE),2),0)))))</f>
        <v>0</v>
      </c>
      <c r="AK83" s="56">
        <f>IF(AND($E83&lt;&gt;0,$F83&gt;0,YEAR($F83)&lt;Preisindex!$A$6,YEAR(AE$4)&gt;=YEAR($F83),AND($K83&lt;&gt;"a",$K83&lt;&gt;"b",$K83&lt;&gt;"g",$K83&lt;&gt;"k")),1,IF(AND($E83&lt;&gt;0,$F83&gt;0,YEAR($F83)&lt;Preisindex!$A$6,YEAR(AE$4)&gt;=YEAR($F83),$K83="a"),ROUND(VLOOKUP(AJ$4,Preisindex,5,FALSE)/VLOOKUP(Preisindex!$A$6,Preisindex,5,FALSE),2),IF(AND($E83&lt;&gt;0,$F83&gt;0,YEAR($F83)&lt;Preisindex!$A$6,YEAR(AE$4)&gt;=YEAR($F83),$K83="b"),ROUND(VLOOKUP(AJ$4,Preisindex,3,FALSE)/VLOOKUP(Preisindex!$A$6,Preisindex,3,FALSE),2),IF(AND($E83&lt;&gt;0,$F83&gt;0,YEAR($F83)&lt;Preisindex!$A$6,YEAR(AE$4)&gt;=YEAR($F83),$K83="g"),ROUND(VLOOKUP(AJ$4,Preisindex,4,FALSE)/VLOOKUP(Preisindex!$A$6,Preisindex,4,FALSE),2),IF(AND($E83&lt;&gt;0,$F83&gt;0,YEAR($F83)&lt;Preisindex!$A$6,YEAR(AE$4)&gt;=YEAR($F83),$K83="k"),ROUND(VLOOKUP(AJ$4,Preisindex,2,FALSE)/VLOOKUP(Preisindex!$A$6,Preisindex,2,FALSE),2),0)))))</f>
        <v>0</v>
      </c>
      <c r="AL83" s="51">
        <f>IF(AND($E83&lt;&gt;0,$F83&gt;0,YEAR($F83)&lt;=AJ$4,YEAR($F83)&gt;=Preisindex!$A$6),ROUND($E83*AJ83,2),IF(AND($E83&lt;&gt;0,$F83&gt;0,YEAR($F83)&lt;=AJ$4,YEAR($F83)&lt;Preisindex!$A$6),ROUND($E83*AK83,2),0))</f>
        <v>0</v>
      </c>
      <c r="AM83" s="53">
        <f t="shared" si="445"/>
        <v>0</v>
      </c>
      <c r="AN83" s="51">
        <f t="shared" si="361"/>
        <v>0</v>
      </c>
      <c r="AO83" s="51">
        <f t="shared" si="317"/>
        <v>0</v>
      </c>
      <c r="AP83" s="51">
        <f t="shared" si="362"/>
        <v>0</v>
      </c>
      <c r="AQ83" s="51">
        <f t="shared" si="318"/>
        <v>0</v>
      </c>
      <c r="AR83" s="51">
        <f t="shared" si="363"/>
        <v>0</v>
      </c>
      <c r="AS83" s="51">
        <f t="shared" si="319"/>
        <v>0</v>
      </c>
      <c r="AT83" s="51">
        <f t="shared" si="364"/>
        <v>0</v>
      </c>
      <c r="AU83" s="51">
        <f t="shared" si="320"/>
        <v>0</v>
      </c>
      <c r="AV83" s="51">
        <f t="shared" si="365"/>
        <v>0</v>
      </c>
      <c r="AW83" s="51">
        <f t="shared" si="321"/>
        <v>0</v>
      </c>
      <c r="AX83" s="51">
        <f t="shared" si="366"/>
        <v>0</v>
      </c>
      <c r="AY83" s="54">
        <f t="shared" si="367"/>
        <v>0</v>
      </c>
      <c r="AZ83" s="55">
        <f t="shared" si="368"/>
        <v>0</v>
      </c>
      <c r="BA83" s="56">
        <f>IF(AND($E83&lt;&gt;0,$F83&gt;0,YEAR($F83)&gt;=Preisindex!$A$6,YEAR(AV$4)&gt;=YEAR($F83),AND($K83&lt;&gt;"a",$K83&lt;&gt;"b",$K83&lt;&gt;"g",$K83&lt;&gt;"k")),1,IF(AND($E83&lt;&gt;0,$F83&gt;0,YEAR($F83)&gt;=Preisindex!$A$6,YEAR(AV$4)&gt;=YEAR($F83),$K83="a"),ROUND(VLOOKUP(BA$4,Preisindex,5,FALSE)/VLOOKUP(YEAR($F83),Preisindex,5,FALSE),2),IF(AND($E83&lt;&gt;0,$F83&gt;0,YEAR($F83)&gt;=Preisindex!$A$6,YEAR(AV$4)&gt;=YEAR($F83),$K83="b"),ROUND(VLOOKUP(BA$4,Preisindex,3,FALSE)/VLOOKUP(YEAR($F83),Preisindex,3,FALSE),2),IF(AND($E83&lt;&gt;0,$F83&gt;0,YEAR($F83)&gt;=Preisindex!$A$6,YEAR(AV$4)&gt;=YEAR($F83),$K83="g"),ROUND(VLOOKUP(BA$4,Preisindex,4,FALSE)/VLOOKUP(YEAR($F83),Preisindex,4,FALSE),2),IF(AND($E83&lt;&gt;0,$F83&gt;0,YEAR($F83)&gt;=Preisindex!$A$6,YEAR(AV$4)&gt;=YEAR($F83),$K83="k"),ROUND(VLOOKUP(BA$4,Preisindex,2,FALSE)/VLOOKUP(YEAR($F83),Preisindex,2,FALSE),2),0)))))</f>
        <v>0</v>
      </c>
      <c r="BB83" s="56">
        <f>IF(AND($E83&lt;&gt;0,$F83&gt;0,YEAR($F83)&lt;Preisindex!$A$6,YEAR(AV$4)&gt;=YEAR($F83),AND($K83&lt;&gt;"a",$K83&lt;&gt;"b",$K83&lt;&gt;"g",$K83&lt;&gt;"k")),1,IF(AND($E83&lt;&gt;0,$F83&gt;0,YEAR($F83)&lt;Preisindex!$A$6,YEAR(AV$4)&gt;=YEAR($F83),$K83="a"),ROUND(VLOOKUP(BA$4,Preisindex,5,FALSE)/VLOOKUP(Preisindex!$A$6,Preisindex,5,FALSE),2),IF(AND($E83&lt;&gt;0,$F83&gt;0,YEAR($F83)&lt;Preisindex!$A$6,YEAR(AV$4)&gt;=YEAR($F83),$K83="b"),ROUND(VLOOKUP(BA$4,Preisindex,3,FALSE)/VLOOKUP(Preisindex!$A$6,Preisindex,3,FALSE),2),IF(AND($E83&lt;&gt;0,$F83&gt;0,YEAR($F83)&lt;Preisindex!$A$6,YEAR(AV$4)&gt;=YEAR($F83),$K83="g"),ROUND(VLOOKUP(BA$4,Preisindex,4,FALSE)/VLOOKUP(Preisindex!$A$6,Preisindex,4,FALSE),2),IF(AND($E83&lt;&gt;0,$F83&gt;0,YEAR($F83)&lt;Preisindex!$A$6,YEAR(AV$4)&gt;=YEAR($F83),$K83="k"),ROUND(VLOOKUP(BA$4,Preisindex,2,FALSE)/VLOOKUP(Preisindex!$A$6,Preisindex,2,FALSE),2),0)))))</f>
        <v>0</v>
      </c>
      <c r="BC83" s="51">
        <f>IF(AND($E83&lt;&gt;0,$F83&gt;0,YEAR($F83)&lt;=BA$4,YEAR($F83)&gt;=Preisindex!$A$6),ROUND($E83*BA83,2),IF(AND($E83&lt;&gt;0,$F83&gt;0,YEAR($F83)&lt;=BA$4,YEAR($F83)&lt;Preisindex!$A$6),ROUND($E83*BB83,2),0))</f>
        <v>0</v>
      </c>
      <c r="BD83" s="53">
        <f t="shared" si="369"/>
        <v>0</v>
      </c>
      <c r="BE83" s="51">
        <f t="shared" si="361"/>
        <v>0</v>
      </c>
      <c r="BF83" s="51">
        <f t="shared" si="322"/>
        <v>0</v>
      </c>
      <c r="BG83" s="51">
        <f t="shared" si="370"/>
        <v>0</v>
      </c>
      <c r="BH83" s="51">
        <f t="shared" si="323"/>
        <v>0</v>
      </c>
      <c r="BI83" s="51">
        <f t="shared" si="371"/>
        <v>0</v>
      </c>
      <c r="BJ83" s="51">
        <f t="shared" si="324"/>
        <v>0</v>
      </c>
      <c r="BK83" s="51">
        <f t="shared" si="372"/>
        <v>0</v>
      </c>
      <c r="BL83" s="51">
        <f t="shared" si="325"/>
        <v>0</v>
      </c>
      <c r="BM83" s="51">
        <f t="shared" si="373"/>
        <v>0</v>
      </c>
      <c r="BN83" s="51">
        <f t="shared" si="326"/>
        <v>0</v>
      </c>
      <c r="BO83" s="51">
        <f t="shared" si="374"/>
        <v>0</v>
      </c>
      <c r="BP83" s="54">
        <f t="shared" si="375"/>
        <v>0</v>
      </c>
      <c r="BQ83" s="55">
        <f t="shared" si="376"/>
        <v>0</v>
      </c>
      <c r="BR83" s="56">
        <f>IF(AND($E83&lt;&gt;0,$F83&gt;0,YEAR($F83)&gt;=Preisindex!$A$6,YEAR(BM$4)&gt;=YEAR($F83),AND($K83&lt;&gt;"a",$K83&lt;&gt;"b",$K83&lt;&gt;"g",$K83&lt;&gt;"k")),1,IF(AND($E83&lt;&gt;0,$F83&gt;0,YEAR($F83)&gt;=Preisindex!$A$6,YEAR(BM$4)&gt;=YEAR($F83),$K83="a"),ROUND(VLOOKUP(BR$4,Preisindex,5,FALSE)/VLOOKUP(YEAR($F83),Preisindex,5,FALSE),2),IF(AND($E83&lt;&gt;0,$F83&gt;0,YEAR($F83)&gt;=Preisindex!$A$6,YEAR(BM$4)&gt;=YEAR($F83),$K83="b"),ROUND(VLOOKUP(BR$4,Preisindex,3,FALSE)/VLOOKUP(YEAR($F83),Preisindex,3,FALSE),2),IF(AND($E83&lt;&gt;0,$F83&gt;0,YEAR($F83)&gt;=Preisindex!$A$6,YEAR(BM$4)&gt;=YEAR($F83),$K83="g"),ROUND(VLOOKUP(BR$4,Preisindex,4,FALSE)/VLOOKUP(YEAR($F83),Preisindex,4,FALSE),2),IF(AND($E83&lt;&gt;0,$F83&gt;0,YEAR($F83)&gt;=Preisindex!$A$6,YEAR(BM$4)&gt;=YEAR($F83),$K83="k"),ROUND(VLOOKUP(BR$4,Preisindex,2,FALSE)/VLOOKUP(YEAR($F83),Preisindex,2,FALSE),2),0)))))</f>
        <v>0</v>
      </c>
      <c r="BS83" s="56">
        <f>IF(AND($E83&lt;&gt;0,$F83&gt;0,YEAR($F83)&lt;Preisindex!$A$6,YEAR(BM$4)&gt;=YEAR($F83),AND($K83&lt;&gt;"a",$K83&lt;&gt;"b",$K83&lt;&gt;"g",$K83&lt;&gt;"k")),1,IF(AND($E83&lt;&gt;0,$F83&gt;0,YEAR($F83)&lt;Preisindex!$A$6,YEAR(BM$4)&gt;=YEAR($F83),$K83="a"),ROUND(VLOOKUP(BR$4,Preisindex,5,FALSE)/VLOOKUP(Preisindex!$A$6,Preisindex,5,FALSE),2),IF(AND($E83&lt;&gt;0,$F83&gt;0,YEAR($F83)&lt;Preisindex!$A$6,YEAR(BM$4)&gt;=YEAR($F83),$K83="b"),ROUND(VLOOKUP(BR$4,Preisindex,3,FALSE)/VLOOKUP(Preisindex!$A$6,Preisindex,3,FALSE),2),IF(AND($E83&lt;&gt;0,$F83&gt;0,YEAR($F83)&lt;Preisindex!$A$6,YEAR(BM$4)&gt;=YEAR($F83),$K83="g"),ROUND(VLOOKUP(BR$4,Preisindex,4,FALSE)/VLOOKUP(Preisindex!$A$6,Preisindex,4,FALSE),2),IF(AND($E83&lt;&gt;0,$F83&gt;0,YEAR($F83)&lt;Preisindex!$A$6,YEAR(BM$4)&gt;=YEAR($F83),$K83="k"),ROUND(VLOOKUP(BR$4,Preisindex,2,FALSE)/VLOOKUP(Preisindex!$A$6,Preisindex,2,FALSE),2),0)))))</f>
        <v>0</v>
      </c>
      <c r="BT83" s="51">
        <f>IF(AND($E83&lt;&gt;0,$F83&gt;0,YEAR($F83)&lt;=BR$4,YEAR($F83)&gt;=Preisindex!$A$6),ROUND($E83*BR83,2),IF(AND($E83&lt;&gt;0,$F83&gt;0,YEAR($F83)&lt;=BR$4,YEAR($F83)&lt;Preisindex!$A$6),ROUND($E83*BS83,2),0))</f>
        <v>0</v>
      </c>
      <c r="BU83" s="53">
        <f t="shared" si="377"/>
        <v>0</v>
      </c>
      <c r="BV83" s="51">
        <f t="shared" si="361"/>
        <v>0</v>
      </c>
      <c r="BW83" s="51">
        <f t="shared" si="327"/>
        <v>0</v>
      </c>
      <c r="BX83" s="51">
        <f t="shared" si="378"/>
        <v>0</v>
      </c>
      <c r="BY83" s="51">
        <f t="shared" si="328"/>
        <v>0</v>
      </c>
      <c r="BZ83" s="51">
        <f t="shared" si="379"/>
        <v>0</v>
      </c>
      <c r="CA83" s="51">
        <f t="shared" si="329"/>
        <v>0</v>
      </c>
      <c r="CB83" s="51">
        <f t="shared" si="380"/>
        <v>0</v>
      </c>
      <c r="CC83" s="51">
        <f t="shared" si="330"/>
        <v>0</v>
      </c>
      <c r="CD83" s="51">
        <f t="shared" si="381"/>
        <v>0</v>
      </c>
      <c r="CE83" s="51">
        <f t="shared" si="331"/>
        <v>0</v>
      </c>
      <c r="CF83" s="51">
        <f t="shared" si="382"/>
        <v>0</v>
      </c>
      <c r="CG83" s="54">
        <f t="shared" si="383"/>
        <v>0</v>
      </c>
      <c r="CH83" s="55">
        <f t="shared" si="384"/>
        <v>0</v>
      </c>
      <c r="CI83" s="56">
        <f>IF(AND($E83&lt;&gt;0,$F83&gt;0,YEAR($F83)&gt;=Preisindex!$A$6,YEAR(CD$4)&gt;=YEAR($F83),AND($K83&lt;&gt;"a",$K83&lt;&gt;"b",$K83&lt;&gt;"g",$K83&lt;&gt;"k")),1,IF(AND($E83&lt;&gt;0,$F83&gt;0,YEAR($F83)&gt;=Preisindex!$A$6,YEAR(CD$4)&gt;=YEAR($F83),$K83="a"),ROUND(VLOOKUP(CI$4,Preisindex,5,FALSE)/VLOOKUP(YEAR($F83),Preisindex,5,FALSE),2),IF(AND($E83&lt;&gt;0,$F83&gt;0,YEAR($F83)&gt;=Preisindex!$A$6,YEAR(CD$4)&gt;=YEAR($F83),$K83="b"),ROUND(VLOOKUP(CI$4,Preisindex,3,FALSE)/VLOOKUP(YEAR($F83),Preisindex,3,FALSE),2),IF(AND($E83&lt;&gt;0,$F83&gt;0,YEAR($F83)&gt;=Preisindex!$A$6,YEAR(CD$4)&gt;=YEAR($F83),$K83="g"),ROUND(VLOOKUP(CI$4,Preisindex,4,FALSE)/VLOOKUP(YEAR($F83),Preisindex,4,FALSE),2),IF(AND($E83&lt;&gt;0,$F83&gt;0,YEAR($F83)&gt;=Preisindex!$A$6,YEAR(CD$4)&gt;=YEAR($F83),$K83="k"),ROUND(VLOOKUP(CI$4,Preisindex,2,FALSE)/VLOOKUP(YEAR($F83),Preisindex,2,FALSE),2),0)))))</f>
        <v>0</v>
      </c>
      <c r="CJ83" s="56">
        <f>IF(AND($E83&lt;&gt;0,$F83&gt;0,YEAR($F83)&lt;Preisindex!$A$6,YEAR(CD$4)&gt;=YEAR($F83),AND($K83&lt;&gt;"a",$K83&lt;&gt;"b",$K83&lt;&gt;"g",$K83&lt;&gt;"k")),1,IF(AND($E83&lt;&gt;0,$F83&gt;0,YEAR($F83)&lt;Preisindex!$A$6,YEAR(CD$4)&gt;=YEAR($F83),$K83="a"),ROUND(VLOOKUP(CI$4,Preisindex,5,FALSE)/VLOOKUP(Preisindex!$A$6,Preisindex,5,FALSE),2),IF(AND($E83&lt;&gt;0,$F83&gt;0,YEAR($F83)&lt;Preisindex!$A$6,YEAR(CD$4)&gt;=YEAR($F83),$K83="b"),ROUND(VLOOKUP(CI$4,Preisindex,3,FALSE)/VLOOKUP(Preisindex!$A$6,Preisindex,3,FALSE),2),IF(AND($E83&lt;&gt;0,$F83&gt;0,YEAR($F83)&lt;Preisindex!$A$6,YEAR(CD$4)&gt;=YEAR($F83),$K83="g"),ROUND(VLOOKUP(CI$4,Preisindex,4,FALSE)/VLOOKUP(Preisindex!$A$6,Preisindex,4,FALSE),2),IF(AND($E83&lt;&gt;0,$F83&gt;0,YEAR($F83)&lt;Preisindex!$A$6,YEAR(CD$4)&gt;=YEAR($F83),$K83="k"),ROUND(VLOOKUP(CI$4,Preisindex,2,FALSE)/VLOOKUP(Preisindex!$A$6,Preisindex,2,FALSE),2),0)))))</f>
        <v>0</v>
      </c>
      <c r="CK83" s="51">
        <f>IF(AND($E83&lt;&gt;0,$F83&gt;0,YEAR($F83)&lt;=CI$4,YEAR($F83)&gt;=Preisindex!$A$6),ROUND($E83*CI83,2),IF(AND($E83&lt;&gt;0,$F83&gt;0,YEAR($F83)&lt;=CI$4,YEAR($F83)&lt;Preisindex!$A$6),ROUND($E83*CJ83,2),0))</f>
        <v>0</v>
      </c>
      <c r="CL83" s="53">
        <f t="shared" si="385"/>
        <v>0</v>
      </c>
      <c r="CM83" s="51">
        <f t="shared" si="361"/>
        <v>0</v>
      </c>
      <c r="CN83" s="51">
        <f t="shared" si="332"/>
        <v>0</v>
      </c>
      <c r="CO83" s="51">
        <f t="shared" si="386"/>
        <v>0</v>
      </c>
      <c r="CP83" s="51">
        <f t="shared" si="333"/>
        <v>0</v>
      </c>
      <c r="CQ83" s="51">
        <f t="shared" si="387"/>
        <v>0</v>
      </c>
      <c r="CR83" s="51">
        <f t="shared" si="334"/>
        <v>0</v>
      </c>
      <c r="CS83" s="51">
        <f t="shared" si="388"/>
        <v>0</v>
      </c>
      <c r="CT83" s="51">
        <f t="shared" si="335"/>
        <v>0</v>
      </c>
      <c r="CU83" s="51">
        <f t="shared" si="389"/>
        <v>0</v>
      </c>
      <c r="CV83" s="51">
        <f t="shared" si="336"/>
        <v>0</v>
      </c>
      <c r="CW83" s="51">
        <f t="shared" si="390"/>
        <v>0</v>
      </c>
      <c r="CX83" s="54">
        <f t="shared" si="391"/>
        <v>0</v>
      </c>
      <c r="CY83" s="55">
        <f t="shared" si="392"/>
        <v>0</v>
      </c>
      <c r="CZ83" s="56">
        <f>IF(AND($E83&lt;&gt;0,$F83&gt;0,YEAR($F83)&gt;=Preisindex!$A$6,YEAR(CU$4)&gt;=YEAR($F83),AND($K83&lt;&gt;"a",$K83&lt;&gt;"b",$K83&lt;&gt;"g",$K83&lt;&gt;"k")),1,IF(AND($E83&lt;&gt;0,$F83&gt;0,YEAR($F83)&gt;=Preisindex!$A$6,YEAR(CU$4)&gt;=YEAR($F83),$K83="a"),ROUND(VLOOKUP(CZ$4,Preisindex,5,FALSE)/VLOOKUP(YEAR($F83),Preisindex,5,FALSE),2),IF(AND($E83&lt;&gt;0,$F83&gt;0,YEAR($F83)&gt;=Preisindex!$A$6,YEAR(CU$4)&gt;=YEAR($F83),$K83="b"),ROUND(VLOOKUP(CZ$4,Preisindex,3,FALSE)/VLOOKUP(YEAR($F83),Preisindex,3,FALSE),2),IF(AND($E83&lt;&gt;0,$F83&gt;0,YEAR($F83)&gt;=Preisindex!$A$6,YEAR(CU$4)&gt;=YEAR($F83),$K83="g"),ROUND(VLOOKUP(CZ$4,Preisindex,4,FALSE)/VLOOKUP(YEAR($F83),Preisindex,4,FALSE),2),IF(AND($E83&lt;&gt;0,$F83&gt;0,YEAR($F83)&gt;=Preisindex!$A$6,YEAR(CU$4)&gt;=YEAR($F83),$K83="k"),ROUND(VLOOKUP(CZ$4,Preisindex,2,FALSE)/VLOOKUP(YEAR($F83),Preisindex,2,FALSE),2),0)))))</f>
        <v>0</v>
      </c>
      <c r="DA83" s="56">
        <f>IF(AND($E83&lt;&gt;0,$F83&gt;0,YEAR($F83)&lt;Preisindex!$A$6,YEAR(CU$4)&gt;=YEAR($F83),AND($K83&lt;&gt;"a",$K83&lt;&gt;"b",$K83&lt;&gt;"g",$K83&lt;&gt;"k")),1,IF(AND($E83&lt;&gt;0,$F83&gt;0,YEAR($F83)&lt;Preisindex!$A$6,YEAR(CU$4)&gt;=YEAR($F83),$K83="a"),ROUND(VLOOKUP(CZ$4,Preisindex,5,FALSE)/VLOOKUP(Preisindex!$A$6,Preisindex,5,FALSE),2),IF(AND($E83&lt;&gt;0,$F83&gt;0,YEAR($F83)&lt;Preisindex!$A$6,YEAR(CU$4)&gt;=YEAR($F83),$K83="b"),ROUND(VLOOKUP(CZ$4,Preisindex,3,FALSE)/VLOOKUP(Preisindex!$A$6,Preisindex,3,FALSE),2),IF(AND($E83&lt;&gt;0,$F83&gt;0,YEAR($F83)&lt;Preisindex!$A$6,YEAR(CU$4)&gt;=YEAR($F83),$K83="g"),ROUND(VLOOKUP(CZ$4,Preisindex,4,FALSE)/VLOOKUP(Preisindex!$A$6,Preisindex,4,FALSE),2),IF(AND($E83&lt;&gt;0,$F83&gt;0,YEAR($F83)&lt;Preisindex!$A$6,YEAR(CU$4)&gt;=YEAR($F83),$K83="k"),ROUND(VLOOKUP(CZ$4,Preisindex,2,FALSE)/VLOOKUP(Preisindex!$A$6,Preisindex,2,FALSE),2),0)))))</f>
        <v>0</v>
      </c>
      <c r="DB83" s="51">
        <f>IF(AND($E83&lt;&gt;0,$F83&gt;0,YEAR($F83)&lt;=CZ$4,YEAR($F83)&gt;=Preisindex!$A$6),ROUND($E83*CZ83,2),IF(AND($E83&lt;&gt;0,$F83&gt;0,YEAR($F83)&lt;=CZ$4,YEAR($F83)&lt;Preisindex!$A$6),ROUND($E83*DA83,2),0))</f>
        <v>0</v>
      </c>
      <c r="DC83" s="53">
        <f t="shared" si="393"/>
        <v>0</v>
      </c>
      <c r="DD83" s="51">
        <f t="shared" si="394"/>
        <v>0</v>
      </c>
      <c r="DE83" s="51">
        <f t="shared" si="337"/>
        <v>0</v>
      </c>
      <c r="DF83" s="51">
        <f t="shared" si="395"/>
        <v>0</v>
      </c>
      <c r="DG83" s="51">
        <f t="shared" si="338"/>
        <v>0</v>
      </c>
      <c r="DH83" s="51">
        <f t="shared" si="396"/>
        <v>0</v>
      </c>
      <c r="DI83" s="51">
        <f t="shared" si="339"/>
        <v>0</v>
      </c>
      <c r="DJ83" s="51">
        <f t="shared" si="397"/>
        <v>0</v>
      </c>
      <c r="DK83" s="51">
        <f t="shared" si="340"/>
        <v>0</v>
      </c>
      <c r="DL83" s="51">
        <f t="shared" si="398"/>
        <v>0</v>
      </c>
      <c r="DM83" s="51">
        <f t="shared" si="341"/>
        <v>0</v>
      </c>
      <c r="DN83" s="51">
        <f t="shared" si="399"/>
        <v>0</v>
      </c>
      <c r="DO83" s="54">
        <f t="shared" si="400"/>
        <v>0</v>
      </c>
      <c r="DP83" s="55">
        <f t="shared" si="401"/>
        <v>0</v>
      </c>
      <c r="DQ83" s="56">
        <f>IF(AND($E83&lt;&gt;0,$F83&gt;0,YEAR($F83)&gt;=Preisindex!$A$6,YEAR(DL$4)&gt;=YEAR($F83),AND($K83&lt;&gt;"a",$K83&lt;&gt;"b",$K83&lt;&gt;"g",$K83&lt;&gt;"k")),1,IF(AND($E83&lt;&gt;0,$F83&gt;0,YEAR($F83)&gt;=Preisindex!$A$6,YEAR(DL$4)&gt;=YEAR($F83),$K83="a"),ROUND(VLOOKUP(DQ$4,Preisindex,5,FALSE)/VLOOKUP(YEAR($F83),Preisindex,5,FALSE),2),IF(AND($E83&lt;&gt;0,$F83&gt;0,YEAR($F83)&gt;=Preisindex!$A$6,YEAR(DL$4)&gt;=YEAR($F83),$K83="b"),ROUND(VLOOKUP(DQ$4,Preisindex,3,FALSE)/VLOOKUP(YEAR($F83),Preisindex,3,FALSE),2),IF(AND($E83&lt;&gt;0,$F83&gt;0,YEAR($F83)&gt;=Preisindex!$A$6,YEAR(DL$4)&gt;=YEAR($F83),$K83="g"),ROUND(VLOOKUP(DQ$4,Preisindex,4,FALSE)/VLOOKUP(YEAR($F83),Preisindex,4,FALSE),2),IF(AND($E83&lt;&gt;0,$F83&gt;0,YEAR($F83)&gt;=Preisindex!$A$6,YEAR(DL$4)&gt;=YEAR($F83),$K83="k"),ROUND(VLOOKUP(DQ$4,Preisindex,2,FALSE)/VLOOKUP(YEAR($F83),Preisindex,2,FALSE),2),0)))))</f>
        <v>0</v>
      </c>
      <c r="DR83" s="56">
        <f>IF(AND($E83&lt;&gt;0,$F83&gt;0,YEAR($F83)&lt;Preisindex!$A$6,YEAR(DL$4)&gt;=YEAR($F83),AND($K83&lt;&gt;"a",$K83&lt;&gt;"b",$K83&lt;&gt;"g",$K83&lt;&gt;"k")),1,IF(AND($E83&lt;&gt;0,$F83&gt;0,YEAR($F83)&lt;Preisindex!$A$6,YEAR(DL$4)&gt;=YEAR($F83),$K83="a"),ROUND(VLOOKUP(DQ$4,Preisindex,5,FALSE)/VLOOKUP(Preisindex!$A$6,Preisindex,5,FALSE),2),IF(AND($E83&lt;&gt;0,$F83&gt;0,YEAR($F83)&lt;Preisindex!$A$6,YEAR(DL$4)&gt;=YEAR($F83),$K83="b"),ROUND(VLOOKUP(DQ$4,Preisindex,3,FALSE)/VLOOKUP(Preisindex!$A$6,Preisindex,3,FALSE),2),IF(AND($E83&lt;&gt;0,$F83&gt;0,YEAR($F83)&lt;Preisindex!$A$6,YEAR(DL$4)&gt;=YEAR($F83),$K83="g"),ROUND(VLOOKUP(DQ$4,Preisindex,4,FALSE)/VLOOKUP(Preisindex!$A$6,Preisindex,4,FALSE),2),IF(AND($E83&lt;&gt;0,$F83&gt;0,YEAR($F83)&lt;Preisindex!$A$6,YEAR(DL$4)&gt;=YEAR($F83),$K83="k"),ROUND(VLOOKUP(DQ$4,Preisindex,2,FALSE)/VLOOKUP(Preisindex!$A$6,Preisindex,2,FALSE),2),0)))))</f>
        <v>0</v>
      </c>
      <c r="DS83" s="51">
        <f>IF(AND($E83&lt;&gt;0,$F83&gt;0,YEAR($F83)&lt;=DQ$4,YEAR($F83)&gt;=Preisindex!$A$6),ROUND($E83*DQ83,2),IF(AND($E83&lt;&gt;0,$F83&gt;0,YEAR($F83)&lt;=DQ$4,YEAR($F83)&lt;Preisindex!$A$6),ROUND($E83*DR83,2),0))</f>
        <v>0</v>
      </c>
      <c r="DT83" s="53">
        <f t="shared" si="402"/>
        <v>0</v>
      </c>
      <c r="DU83" s="51">
        <f t="shared" si="394"/>
        <v>0</v>
      </c>
      <c r="DV83" s="51">
        <f t="shared" si="342"/>
        <v>0</v>
      </c>
      <c r="DW83" s="51">
        <f t="shared" si="403"/>
        <v>0</v>
      </c>
      <c r="DX83" s="51">
        <f t="shared" si="343"/>
        <v>0</v>
      </c>
      <c r="DY83" s="51">
        <f t="shared" si="404"/>
        <v>0</v>
      </c>
      <c r="DZ83" s="51">
        <f t="shared" si="344"/>
        <v>0</v>
      </c>
      <c r="EA83" s="51">
        <f t="shared" si="405"/>
        <v>0</v>
      </c>
      <c r="EB83" s="51">
        <f t="shared" si="345"/>
        <v>0</v>
      </c>
      <c r="EC83" s="51">
        <f t="shared" si="406"/>
        <v>0</v>
      </c>
      <c r="ED83" s="51">
        <f t="shared" si="346"/>
        <v>0</v>
      </c>
      <c r="EE83" s="51">
        <f t="shared" si="407"/>
        <v>0</v>
      </c>
      <c r="EF83" s="54">
        <f t="shared" si="408"/>
        <v>0</v>
      </c>
      <c r="EG83" s="55">
        <f t="shared" si="409"/>
        <v>0</v>
      </c>
      <c r="EH83" s="56">
        <f>IF(AND($E83&lt;&gt;0,$F83&gt;0,YEAR($F83)&gt;=Preisindex!$A$6,YEAR(EC$4)&gt;=YEAR($F83),AND($K83&lt;&gt;"a",$K83&lt;&gt;"b",$K83&lt;&gt;"g",$K83&lt;&gt;"k")),1,IF(AND($E83&lt;&gt;0,$F83&gt;0,YEAR($F83)&gt;=Preisindex!$A$6,YEAR(EC$4)&gt;=YEAR($F83),$K83="a"),ROUND(VLOOKUP(EH$4,Preisindex,5,FALSE)/VLOOKUP(YEAR($F83),Preisindex,5,FALSE),2),IF(AND($E83&lt;&gt;0,$F83&gt;0,YEAR($F83)&gt;=Preisindex!$A$6,YEAR(EC$4)&gt;=YEAR($F83),$K83="b"),ROUND(VLOOKUP(EH$4,Preisindex,3,FALSE)/VLOOKUP(YEAR($F83),Preisindex,3,FALSE),2),IF(AND($E83&lt;&gt;0,$F83&gt;0,YEAR($F83)&gt;=Preisindex!$A$6,YEAR(EC$4)&gt;=YEAR($F83),$K83="g"),ROUND(VLOOKUP(EH$4,Preisindex,4,FALSE)/VLOOKUP(YEAR($F83),Preisindex,4,FALSE),2),IF(AND($E83&lt;&gt;0,$F83&gt;0,YEAR($F83)&gt;=Preisindex!$A$6,YEAR(EC$4)&gt;=YEAR($F83),$K83="k"),ROUND(VLOOKUP(EH$4,Preisindex,2,FALSE)/VLOOKUP(YEAR($F83),Preisindex,2,FALSE),2),0)))))</f>
        <v>0</v>
      </c>
      <c r="EI83" s="56">
        <f>IF(AND($E83&lt;&gt;0,$F83&gt;0,YEAR($F83)&lt;Preisindex!$A$6,YEAR(EC$4)&gt;=YEAR($F83),AND($K83&lt;&gt;"a",$K83&lt;&gt;"b",$K83&lt;&gt;"g",$K83&lt;&gt;"k")),1,IF(AND($E83&lt;&gt;0,$F83&gt;0,YEAR($F83)&lt;Preisindex!$A$6,YEAR(EC$4)&gt;=YEAR($F83),$K83="a"),ROUND(VLOOKUP(EH$4,Preisindex,5,FALSE)/VLOOKUP(Preisindex!$A$6,Preisindex,5,FALSE),2),IF(AND($E83&lt;&gt;0,$F83&gt;0,YEAR($F83)&lt;Preisindex!$A$6,YEAR(EC$4)&gt;=YEAR($F83),$K83="b"),ROUND(VLOOKUP(EH$4,Preisindex,3,FALSE)/VLOOKUP(Preisindex!$A$6,Preisindex,3,FALSE),2),IF(AND($E83&lt;&gt;0,$F83&gt;0,YEAR($F83)&lt;Preisindex!$A$6,YEAR(EC$4)&gt;=YEAR($F83),$K83="g"),ROUND(VLOOKUP(EH$4,Preisindex,4,FALSE)/VLOOKUP(Preisindex!$A$6,Preisindex,4,FALSE),2),IF(AND($E83&lt;&gt;0,$F83&gt;0,YEAR($F83)&lt;Preisindex!$A$6,YEAR(EC$4)&gt;=YEAR($F83),$K83="k"),ROUND(VLOOKUP(EH$4,Preisindex,2,FALSE)/VLOOKUP(Preisindex!$A$6,Preisindex,2,FALSE),2),0)))))</f>
        <v>0</v>
      </c>
      <c r="EJ83" s="51">
        <f>IF(AND($E83&lt;&gt;0,$F83&gt;0,YEAR($F83)&lt;=EH$4,YEAR($F83)&gt;=Preisindex!$A$6),ROUND($E83*EH83,2),IF(AND($E83&lt;&gt;0,$F83&gt;0,YEAR($F83)&lt;=EH$4,YEAR($F83)&lt;Preisindex!$A$6),ROUND($E83*EI83,2),0))</f>
        <v>0</v>
      </c>
      <c r="EK83" s="53">
        <f t="shared" si="410"/>
        <v>0</v>
      </c>
      <c r="EL83" s="51">
        <f t="shared" si="394"/>
        <v>0</v>
      </c>
      <c r="EM83" s="51">
        <f t="shared" si="347"/>
        <v>0</v>
      </c>
      <c r="EN83" s="51">
        <f t="shared" si="411"/>
        <v>0</v>
      </c>
      <c r="EO83" s="51">
        <f t="shared" si="348"/>
        <v>0</v>
      </c>
      <c r="EP83" s="51">
        <f t="shared" si="412"/>
        <v>0</v>
      </c>
      <c r="EQ83" s="51">
        <f t="shared" si="349"/>
        <v>0</v>
      </c>
      <c r="ER83" s="51">
        <f t="shared" si="413"/>
        <v>0</v>
      </c>
      <c r="ES83" s="51">
        <f t="shared" si="350"/>
        <v>0</v>
      </c>
      <c r="ET83" s="51">
        <f t="shared" si="414"/>
        <v>0</v>
      </c>
      <c r="EU83" s="51">
        <f t="shared" si="351"/>
        <v>0</v>
      </c>
      <c r="EV83" s="51">
        <f t="shared" si="415"/>
        <v>0</v>
      </c>
      <c r="EW83" s="54">
        <f t="shared" si="416"/>
        <v>0</v>
      </c>
      <c r="EX83" s="55">
        <f t="shared" si="417"/>
        <v>0</v>
      </c>
      <c r="EY83" s="56">
        <f>IF(AND($E83&lt;&gt;0,$F83&gt;0,YEAR($F83)&gt;=Preisindex!$A$6,YEAR(ET$4)&gt;=YEAR($F83),AND($K83&lt;&gt;"a",$K83&lt;&gt;"b",$K83&lt;&gt;"g",$K83&lt;&gt;"k")),1,IF(AND($E83&lt;&gt;0,$F83&gt;0,YEAR($F83)&gt;=Preisindex!$A$6,YEAR(ET$4)&gt;=YEAR($F83),$K83="a"),ROUND(VLOOKUP(EY$4,Preisindex,5,FALSE)/VLOOKUP(YEAR($F83),Preisindex,5,FALSE),2),IF(AND($E83&lt;&gt;0,$F83&gt;0,YEAR($F83)&gt;=Preisindex!$A$6,YEAR(ET$4)&gt;=YEAR($F83),$K83="b"),ROUND(VLOOKUP(EY$4,Preisindex,3,FALSE)/VLOOKUP(YEAR($F83),Preisindex,3,FALSE),2),IF(AND($E83&lt;&gt;0,$F83&gt;0,YEAR($F83)&gt;=Preisindex!$A$6,YEAR(ET$4)&gt;=YEAR($F83),$K83="g"),ROUND(VLOOKUP(EY$4,Preisindex,4,FALSE)/VLOOKUP(YEAR($F83),Preisindex,4,FALSE),2),IF(AND($E83&lt;&gt;0,$F83&gt;0,YEAR($F83)&gt;=Preisindex!$A$6,YEAR(ET$4)&gt;=YEAR($F83),$K83="k"),ROUND(VLOOKUP(EY$4,Preisindex,2,FALSE)/VLOOKUP(YEAR($F83),Preisindex,2,FALSE),2),0)))))</f>
        <v>0</v>
      </c>
      <c r="EZ83" s="56">
        <f>IF(AND($E83&lt;&gt;0,$F83&gt;0,YEAR($F83)&lt;Preisindex!$A$6,YEAR(ET$4)&gt;=YEAR($F83),AND($K83&lt;&gt;"a",$K83&lt;&gt;"b",$K83&lt;&gt;"g",$K83&lt;&gt;"k")),1,IF(AND($E83&lt;&gt;0,$F83&gt;0,YEAR($F83)&lt;Preisindex!$A$6,YEAR(ET$4)&gt;=YEAR($F83),$K83="a"),ROUND(VLOOKUP(EY$4,Preisindex,5,FALSE)/VLOOKUP(Preisindex!$A$6,Preisindex,5,FALSE),2),IF(AND($E83&lt;&gt;0,$F83&gt;0,YEAR($F83)&lt;Preisindex!$A$6,YEAR(ET$4)&gt;=YEAR($F83),$K83="b"),ROUND(VLOOKUP(EY$4,Preisindex,3,FALSE)/VLOOKUP(Preisindex!$A$6,Preisindex,3,FALSE),2),IF(AND($E83&lt;&gt;0,$F83&gt;0,YEAR($F83)&lt;Preisindex!$A$6,YEAR(ET$4)&gt;=YEAR($F83),$K83="g"),ROUND(VLOOKUP(EY$4,Preisindex,4,FALSE)/VLOOKUP(Preisindex!$A$6,Preisindex,4,FALSE),2),IF(AND($E83&lt;&gt;0,$F83&gt;0,YEAR($F83)&lt;Preisindex!$A$6,YEAR(ET$4)&gt;=YEAR($F83),$K83="k"),ROUND(VLOOKUP(EY$4,Preisindex,2,FALSE)/VLOOKUP(Preisindex!$A$6,Preisindex,2,FALSE),2),0)))))</f>
        <v>0</v>
      </c>
      <c r="FA83" s="51">
        <f>IF(AND($E83&lt;&gt;0,$F83&gt;0,YEAR($F83)&lt;=EY$4,YEAR($F83)&gt;=Preisindex!$A$6),ROUND($E83*EY83,2),IF(AND($E83&lt;&gt;0,$F83&gt;0,YEAR($F83)&lt;=EY$4,YEAR($F83)&lt;Preisindex!$A$6),ROUND($E83*EZ83,2),0))</f>
        <v>0</v>
      </c>
      <c r="FB83" s="53">
        <f t="shared" si="418"/>
        <v>0</v>
      </c>
      <c r="FC83" s="51">
        <f t="shared" si="394"/>
        <v>0</v>
      </c>
      <c r="FD83" s="51">
        <f t="shared" si="352"/>
        <v>0</v>
      </c>
      <c r="FE83" s="51">
        <f t="shared" si="419"/>
        <v>0</v>
      </c>
      <c r="FF83" s="51">
        <f t="shared" si="353"/>
        <v>0</v>
      </c>
      <c r="FG83" s="51">
        <f t="shared" si="420"/>
        <v>0</v>
      </c>
      <c r="FH83" s="51">
        <f t="shared" si="354"/>
        <v>0</v>
      </c>
      <c r="FI83" s="51">
        <f t="shared" si="421"/>
        <v>0</v>
      </c>
      <c r="FJ83" s="51">
        <f t="shared" si="355"/>
        <v>0</v>
      </c>
      <c r="FK83" s="51">
        <f t="shared" si="422"/>
        <v>0</v>
      </c>
      <c r="FL83" s="51">
        <f t="shared" si="356"/>
        <v>0</v>
      </c>
      <c r="FM83" s="51">
        <f t="shared" si="423"/>
        <v>0</v>
      </c>
      <c r="FN83" s="54">
        <f t="shared" si="424"/>
        <v>0</v>
      </c>
      <c r="FO83" s="55">
        <f t="shared" si="425"/>
        <v>0</v>
      </c>
      <c r="FP83" s="56">
        <f>IF(AND($E83&lt;&gt;0,$F83&gt;0,YEAR($F83)&gt;=Preisindex!$A$6,YEAR(FK$4)&gt;=YEAR($F83),AND($K83&lt;&gt;"a",$K83&lt;&gt;"b",$K83&lt;&gt;"g",$K83&lt;&gt;"k")),1,IF(AND($E83&lt;&gt;0,$F83&gt;0,YEAR($F83)&gt;=Preisindex!$A$6,YEAR(FK$4)&gt;=YEAR($F83),$K83="a"),ROUND(VLOOKUP(FP$4,Preisindex,5,FALSE)/VLOOKUP(YEAR($F83),Preisindex,5,FALSE),2),IF(AND($E83&lt;&gt;0,$F83&gt;0,YEAR($F83)&gt;=Preisindex!$A$6,YEAR(FK$4)&gt;=YEAR($F83),$K83="b"),ROUND(VLOOKUP(FP$4,Preisindex,3,FALSE)/VLOOKUP(YEAR($F83),Preisindex,3,FALSE),2),IF(AND($E83&lt;&gt;0,$F83&gt;0,YEAR($F83)&gt;=Preisindex!$A$6,YEAR(FK$4)&gt;=YEAR($F83),$K83="g"),ROUND(VLOOKUP(FP$4,Preisindex,4,FALSE)/VLOOKUP(YEAR($F83),Preisindex,4,FALSE),2),IF(AND($E83&lt;&gt;0,$F83&gt;0,YEAR($F83)&gt;=Preisindex!$A$6,YEAR(FK$4)&gt;=YEAR($F83),$K83="k"),ROUND(VLOOKUP(FP$4,Preisindex,2,FALSE)/VLOOKUP(YEAR($F83),Preisindex,2,FALSE),2),0)))))</f>
        <v>0</v>
      </c>
      <c r="FQ83" s="56">
        <f>IF(AND($E83&lt;&gt;0,$F83&gt;0,YEAR($F83)&lt;Preisindex!$A$6,YEAR(FK$4)&gt;=YEAR($F83),AND($K83&lt;&gt;"a",$K83&lt;&gt;"b",$K83&lt;&gt;"g",$K83&lt;&gt;"k")),1,IF(AND($E83&lt;&gt;0,$F83&gt;0,YEAR($F83)&lt;Preisindex!$A$6,YEAR(FK$4)&gt;=YEAR($F83),$K83="a"),ROUND(VLOOKUP(FP$4,Preisindex,5,FALSE)/VLOOKUP(Preisindex!$A$6,Preisindex,5,FALSE),2),IF(AND($E83&lt;&gt;0,$F83&gt;0,YEAR($F83)&lt;Preisindex!$A$6,YEAR(FK$4)&gt;=YEAR($F83),$K83="b"),ROUND(VLOOKUP(FP$4,Preisindex,3,FALSE)/VLOOKUP(Preisindex!$A$6,Preisindex,3,FALSE),2),IF(AND($E83&lt;&gt;0,$F83&gt;0,YEAR($F83)&lt;Preisindex!$A$6,YEAR(FK$4)&gt;=YEAR($F83),$K83="g"),ROUND(VLOOKUP(FP$4,Preisindex,4,FALSE)/VLOOKUP(Preisindex!$A$6,Preisindex,4,FALSE),2),IF(AND($E83&lt;&gt;0,$F83&gt;0,YEAR($F83)&lt;Preisindex!$A$6,YEAR(FK$4)&gt;=YEAR($F83),$K83="k"),ROUND(VLOOKUP(FP$4,Preisindex,2,FALSE)/VLOOKUP(Preisindex!$A$6,Preisindex,2,FALSE),2),0)))))</f>
        <v>0</v>
      </c>
      <c r="FR83" s="51">
        <f>IF(AND($E83&lt;&gt;0,$F83&gt;0,YEAR($F83)&lt;=FP$4,YEAR($F83)&gt;=Preisindex!$A$6),ROUND($E83*FP83,2),IF(AND($E83&lt;&gt;0,$F83&gt;0,YEAR($F83)&lt;=FP$4,YEAR($F83)&lt;Preisindex!$A$6),ROUND($E83*FQ83,2),0))</f>
        <v>0</v>
      </c>
      <c r="FS83" s="53">
        <f t="shared" si="426"/>
        <v>0</v>
      </c>
    </row>
    <row r="84" spans="1:175" x14ac:dyDescent="0.3">
      <c r="A84" s="93"/>
      <c r="B84" s="94"/>
      <c r="C84" s="94"/>
      <c r="D84" s="95"/>
      <c r="E84" s="99"/>
      <c r="F84" s="97"/>
      <c r="G84" s="98"/>
      <c r="H84" s="620"/>
      <c r="I84" s="621"/>
      <c r="J84" s="194"/>
      <c r="K84" s="630"/>
      <c r="L84" s="49">
        <f t="shared" si="427"/>
        <v>0</v>
      </c>
      <c r="M84" s="50">
        <f t="shared" si="428"/>
        <v>0</v>
      </c>
      <c r="N84" s="51">
        <f t="shared" si="429"/>
        <v>0</v>
      </c>
      <c r="O84" s="51"/>
      <c r="P84" s="51">
        <f t="shared" si="430"/>
        <v>0</v>
      </c>
      <c r="Q84" s="52"/>
      <c r="R84" s="52"/>
      <c r="S84" s="52"/>
      <c r="T84" s="52"/>
      <c r="U84" s="52"/>
      <c r="V84" s="53">
        <f t="shared" si="431"/>
        <v>0</v>
      </c>
      <c r="W84" s="51">
        <f t="shared" si="432"/>
        <v>0</v>
      </c>
      <c r="X84" s="51">
        <f t="shared" si="433"/>
        <v>0</v>
      </c>
      <c r="Y84" s="51">
        <f t="shared" si="434"/>
        <v>0</v>
      </c>
      <c r="Z84" s="51">
        <f t="shared" si="435"/>
        <v>0</v>
      </c>
      <c r="AA84" s="51">
        <f t="shared" si="436"/>
        <v>0</v>
      </c>
      <c r="AB84" s="51">
        <f t="shared" si="437"/>
        <v>0</v>
      </c>
      <c r="AC84" s="51">
        <f t="shared" si="438"/>
        <v>0</v>
      </c>
      <c r="AD84" s="51">
        <f t="shared" si="439"/>
        <v>0</v>
      </c>
      <c r="AE84" s="51">
        <f t="shared" si="440"/>
        <v>0</v>
      </c>
      <c r="AF84" s="51">
        <f t="shared" si="441"/>
        <v>0</v>
      </c>
      <c r="AG84" s="51">
        <f t="shared" si="442"/>
        <v>0</v>
      </c>
      <c r="AH84" s="54">
        <f t="shared" si="443"/>
        <v>0</v>
      </c>
      <c r="AI84" s="55">
        <f t="shared" si="444"/>
        <v>0</v>
      </c>
      <c r="AJ84" s="56">
        <f>IF(AND($E84&lt;&gt;0,$F84&gt;0,YEAR($F84)&gt;=Preisindex!$A$6,YEAR(AE$4)&gt;=YEAR($F84),AND($K84&lt;&gt;"a",$K84&lt;&gt;"b",$K84&lt;&gt;"g",$K84&lt;&gt;"k")),1,IF(AND($E84&lt;&gt;0,$F84&gt;0,YEAR($F84)&gt;=Preisindex!$A$6,YEAR(AE$4)&gt;=YEAR($F84),$K84="a"),ROUND(VLOOKUP(AJ$4,Preisindex,5,FALSE)/VLOOKUP(YEAR($F84),Preisindex,5,FALSE),2),IF(AND($E84&lt;&gt;0,$F84&gt;0,YEAR($F84)&gt;=Preisindex!$A$6,YEAR(AE$4)&gt;=YEAR($F84),$K84="b"),ROUND(VLOOKUP(AJ$4,Preisindex,3,FALSE)/VLOOKUP(YEAR($F84),Preisindex,3,FALSE),2),IF(AND($E84&lt;&gt;0,$F84&gt;0,YEAR($F84)&gt;=Preisindex!$A$6,YEAR(AE$4)&gt;=YEAR($F84),$K84="g"),ROUND(VLOOKUP(AJ$4,Preisindex,4,FALSE)/VLOOKUP(YEAR($F84),Preisindex,4,FALSE),2),IF(AND($E84&lt;&gt;0,$F84&gt;0,YEAR($F84)&gt;=Preisindex!$A$6,YEAR(AE$4)&gt;=YEAR($F84),$K84="k"),ROUND(VLOOKUP(AJ$4,Preisindex,2,FALSE)/VLOOKUP(YEAR($F84),Preisindex,2,FALSE),2),0)))))</f>
        <v>0</v>
      </c>
      <c r="AK84" s="56">
        <f>IF(AND($E84&lt;&gt;0,$F84&gt;0,YEAR($F84)&lt;Preisindex!$A$6,YEAR(AE$4)&gt;=YEAR($F84),AND($K84&lt;&gt;"a",$K84&lt;&gt;"b",$K84&lt;&gt;"g",$K84&lt;&gt;"k")),1,IF(AND($E84&lt;&gt;0,$F84&gt;0,YEAR($F84)&lt;Preisindex!$A$6,YEAR(AE$4)&gt;=YEAR($F84),$K84="a"),ROUND(VLOOKUP(AJ$4,Preisindex,5,FALSE)/VLOOKUP(Preisindex!$A$6,Preisindex,5,FALSE),2),IF(AND($E84&lt;&gt;0,$F84&gt;0,YEAR($F84)&lt;Preisindex!$A$6,YEAR(AE$4)&gt;=YEAR($F84),$K84="b"),ROUND(VLOOKUP(AJ$4,Preisindex,3,FALSE)/VLOOKUP(Preisindex!$A$6,Preisindex,3,FALSE),2),IF(AND($E84&lt;&gt;0,$F84&gt;0,YEAR($F84)&lt;Preisindex!$A$6,YEAR(AE$4)&gt;=YEAR($F84),$K84="g"),ROUND(VLOOKUP(AJ$4,Preisindex,4,FALSE)/VLOOKUP(Preisindex!$A$6,Preisindex,4,FALSE),2),IF(AND($E84&lt;&gt;0,$F84&gt;0,YEAR($F84)&lt;Preisindex!$A$6,YEAR(AE$4)&gt;=YEAR($F84),$K84="k"),ROUND(VLOOKUP(AJ$4,Preisindex,2,FALSE)/VLOOKUP(Preisindex!$A$6,Preisindex,2,FALSE),2),0)))))</f>
        <v>0</v>
      </c>
      <c r="AL84" s="51">
        <f>IF(AND($E84&lt;&gt;0,$F84&gt;0,YEAR($F84)&lt;=AJ$4,YEAR($F84)&gt;=Preisindex!$A$6),ROUND($E84*AJ84,2),IF(AND($E84&lt;&gt;0,$F84&gt;0,YEAR($F84)&lt;=AJ$4,YEAR($F84)&lt;Preisindex!$A$6),ROUND($E84*AK84,2),0))</f>
        <v>0</v>
      </c>
      <c r="AM84" s="53">
        <f t="shared" si="445"/>
        <v>0</v>
      </c>
      <c r="AN84" s="51">
        <f t="shared" si="361"/>
        <v>0</v>
      </c>
      <c r="AO84" s="51">
        <f t="shared" si="317"/>
        <v>0</v>
      </c>
      <c r="AP84" s="51">
        <f t="shared" si="362"/>
        <v>0</v>
      </c>
      <c r="AQ84" s="51">
        <f t="shared" si="318"/>
        <v>0</v>
      </c>
      <c r="AR84" s="51">
        <f t="shared" si="363"/>
        <v>0</v>
      </c>
      <c r="AS84" s="51">
        <f t="shared" si="319"/>
        <v>0</v>
      </c>
      <c r="AT84" s="51">
        <f t="shared" si="364"/>
        <v>0</v>
      </c>
      <c r="AU84" s="51">
        <f t="shared" si="320"/>
        <v>0</v>
      </c>
      <c r="AV84" s="51">
        <f t="shared" si="365"/>
        <v>0</v>
      </c>
      <c r="AW84" s="51">
        <f t="shared" si="321"/>
        <v>0</v>
      </c>
      <c r="AX84" s="51">
        <f t="shared" si="366"/>
        <v>0</v>
      </c>
      <c r="AY84" s="54">
        <f t="shared" si="367"/>
        <v>0</v>
      </c>
      <c r="AZ84" s="55">
        <f t="shared" si="368"/>
        <v>0</v>
      </c>
      <c r="BA84" s="56">
        <f>IF(AND($E84&lt;&gt;0,$F84&gt;0,YEAR($F84)&gt;=Preisindex!$A$6,YEAR(AV$4)&gt;=YEAR($F84),AND($K84&lt;&gt;"a",$K84&lt;&gt;"b",$K84&lt;&gt;"g",$K84&lt;&gt;"k")),1,IF(AND($E84&lt;&gt;0,$F84&gt;0,YEAR($F84)&gt;=Preisindex!$A$6,YEAR(AV$4)&gt;=YEAR($F84),$K84="a"),ROUND(VLOOKUP(BA$4,Preisindex,5,FALSE)/VLOOKUP(YEAR($F84),Preisindex,5,FALSE),2),IF(AND($E84&lt;&gt;0,$F84&gt;0,YEAR($F84)&gt;=Preisindex!$A$6,YEAR(AV$4)&gt;=YEAR($F84),$K84="b"),ROUND(VLOOKUP(BA$4,Preisindex,3,FALSE)/VLOOKUP(YEAR($F84),Preisindex,3,FALSE),2),IF(AND($E84&lt;&gt;0,$F84&gt;0,YEAR($F84)&gt;=Preisindex!$A$6,YEAR(AV$4)&gt;=YEAR($F84),$K84="g"),ROUND(VLOOKUP(BA$4,Preisindex,4,FALSE)/VLOOKUP(YEAR($F84),Preisindex,4,FALSE),2),IF(AND($E84&lt;&gt;0,$F84&gt;0,YEAR($F84)&gt;=Preisindex!$A$6,YEAR(AV$4)&gt;=YEAR($F84),$K84="k"),ROUND(VLOOKUP(BA$4,Preisindex,2,FALSE)/VLOOKUP(YEAR($F84),Preisindex,2,FALSE),2),0)))))</f>
        <v>0</v>
      </c>
      <c r="BB84" s="56">
        <f>IF(AND($E84&lt;&gt;0,$F84&gt;0,YEAR($F84)&lt;Preisindex!$A$6,YEAR(AV$4)&gt;=YEAR($F84),AND($K84&lt;&gt;"a",$K84&lt;&gt;"b",$K84&lt;&gt;"g",$K84&lt;&gt;"k")),1,IF(AND($E84&lt;&gt;0,$F84&gt;0,YEAR($F84)&lt;Preisindex!$A$6,YEAR(AV$4)&gt;=YEAR($F84),$K84="a"),ROUND(VLOOKUP(BA$4,Preisindex,5,FALSE)/VLOOKUP(Preisindex!$A$6,Preisindex,5,FALSE),2),IF(AND($E84&lt;&gt;0,$F84&gt;0,YEAR($F84)&lt;Preisindex!$A$6,YEAR(AV$4)&gt;=YEAR($F84),$K84="b"),ROUND(VLOOKUP(BA$4,Preisindex,3,FALSE)/VLOOKUP(Preisindex!$A$6,Preisindex,3,FALSE),2),IF(AND($E84&lt;&gt;0,$F84&gt;0,YEAR($F84)&lt;Preisindex!$A$6,YEAR(AV$4)&gt;=YEAR($F84),$K84="g"),ROUND(VLOOKUP(BA$4,Preisindex,4,FALSE)/VLOOKUP(Preisindex!$A$6,Preisindex,4,FALSE),2),IF(AND($E84&lt;&gt;0,$F84&gt;0,YEAR($F84)&lt;Preisindex!$A$6,YEAR(AV$4)&gt;=YEAR($F84),$K84="k"),ROUND(VLOOKUP(BA$4,Preisindex,2,FALSE)/VLOOKUP(Preisindex!$A$6,Preisindex,2,FALSE),2),0)))))</f>
        <v>0</v>
      </c>
      <c r="BC84" s="51">
        <f>IF(AND($E84&lt;&gt;0,$F84&gt;0,YEAR($F84)&lt;=BA$4,YEAR($F84)&gt;=Preisindex!$A$6),ROUND($E84*BA84,2),IF(AND($E84&lt;&gt;0,$F84&gt;0,YEAR($F84)&lt;=BA$4,YEAR($F84)&lt;Preisindex!$A$6),ROUND($E84*BB84,2),0))</f>
        <v>0</v>
      </c>
      <c r="BD84" s="53">
        <f t="shared" si="369"/>
        <v>0</v>
      </c>
      <c r="BE84" s="51">
        <f t="shared" si="361"/>
        <v>0</v>
      </c>
      <c r="BF84" s="51">
        <f t="shared" si="322"/>
        <v>0</v>
      </c>
      <c r="BG84" s="51">
        <f t="shared" si="370"/>
        <v>0</v>
      </c>
      <c r="BH84" s="51">
        <f t="shared" si="323"/>
        <v>0</v>
      </c>
      <c r="BI84" s="51">
        <f t="shared" si="371"/>
        <v>0</v>
      </c>
      <c r="BJ84" s="51">
        <f t="shared" si="324"/>
        <v>0</v>
      </c>
      <c r="BK84" s="51">
        <f t="shared" si="372"/>
        <v>0</v>
      </c>
      <c r="BL84" s="51">
        <f t="shared" si="325"/>
        <v>0</v>
      </c>
      <c r="BM84" s="51">
        <f t="shared" si="373"/>
        <v>0</v>
      </c>
      <c r="BN84" s="51">
        <f t="shared" si="326"/>
        <v>0</v>
      </c>
      <c r="BO84" s="51">
        <f t="shared" si="374"/>
        <v>0</v>
      </c>
      <c r="BP84" s="54">
        <f t="shared" si="375"/>
        <v>0</v>
      </c>
      <c r="BQ84" s="55">
        <f t="shared" si="376"/>
        <v>0</v>
      </c>
      <c r="BR84" s="56">
        <f>IF(AND($E84&lt;&gt;0,$F84&gt;0,YEAR($F84)&gt;=Preisindex!$A$6,YEAR(BM$4)&gt;=YEAR($F84),AND($K84&lt;&gt;"a",$K84&lt;&gt;"b",$K84&lt;&gt;"g",$K84&lt;&gt;"k")),1,IF(AND($E84&lt;&gt;0,$F84&gt;0,YEAR($F84)&gt;=Preisindex!$A$6,YEAR(BM$4)&gt;=YEAR($F84),$K84="a"),ROUND(VLOOKUP(BR$4,Preisindex,5,FALSE)/VLOOKUP(YEAR($F84),Preisindex,5,FALSE),2),IF(AND($E84&lt;&gt;0,$F84&gt;0,YEAR($F84)&gt;=Preisindex!$A$6,YEAR(BM$4)&gt;=YEAR($F84),$K84="b"),ROUND(VLOOKUP(BR$4,Preisindex,3,FALSE)/VLOOKUP(YEAR($F84),Preisindex,3,FALSE),2),IF(AND($E84&lt;&gt;0,$F84&gt;0,YEAR($F84)&gt;=Preisindex!$A$6,YEAR(BM$4)&gt;=YEAR($F84),$K84="g"),ROUND(VLOOKUP(BR$4,Preisindex,4,FALSE)/VLOOKUP(YEAR($F84),Preisindex,4,FALSE),2),IF(AND($E84&lt;&gt;0,$F84&gt;0,YEAR($F84)&gt;=Preisindex!$A$6,YEAR(BM$4)&gt;=YEAR($F84),$K84="k"),ROUND(VLOOKUP(BR$4,Preisindex,2,FALSE)/VLOOKUP(YEAR($F84),Preisindex,2,FALSE),2),0)))))</f>
        <v>0</v>
      </c>
      <c r="BS84" s="56">
        <f>IF(AND($E84&lt;&gt;0,$F84&gt;0,YEAR($F84)&lt;Preisindex!$A$6,YEAR(BM$4)&gt;=YEAR($F84),AND($K84&lt;&gt;"a",$K84&lt;&gt;"b",$K84&lt;&gt;"g",$K84&lt;&gt;"k")),1,IF(AND($E84&lt;&gt;0,$F84&gt;0,YEAR($F84)&lt;Preisindex!$A$6,YEAR(BM$4)&gt;=YEAR($F84),$K84="a"),ROUND(VLOOKUP(BR$4,Preisindex,5,FALSE)/VLOOKUP(Preisindex!$A$6,Preisindex,5,FALSE),2),IF(AND($E84&lt;&gt;0,$F84&gt;0,YEAR($F84)&lt;Preisindex!$A$6,YEAR(BM$4)&gt;=YEAR($F84),$K84="b"),ROUND(VLOOKUP(BR$4,Preisindex,3,FALSE)/VLOOKUP(Preisindex!$A$6,Preisindex,3,FALSE),2),IF(AND($E84&lt;&gt;0,$F84&gt;0,YEAR($F84)&lt;Preisindex!$A$6,YEAR(BM$4)&gt;=YEAR($F84),$K84="g"),ROUND(VLOOKUP(BR$4,Preisindex,4,FALSE)/VLOOKUP(Preisindex!$A$6,Preisindex,4,FALSE),2),IF(AND($E84&lt;&gt;0,$F84&gt;0,YEAR($F84)&lt;Preisindex!$A$6,YEAR(BM$4)&gt;=YEAR($F84),$K84="k"),ROUND(VLOOKUP(BR$4,Preisindex,2,FALSE)/VLOOKUP(Preisindex!$A$6,Preisindex,2,FALSE),2),0)))))</f>
        <v>0</v>
      </c>
      <c r="BT84" s="51">
        <f>IF(AND($E84&lt;&gt;0,$F84&gt;0,YEAR($F84)&lt;=BR$4,YEAR($F84)&gt;=Preisindex!$A$6),ROUND($E84*BR84,2),IF(AND($E84&lt;&gt;0,$F84&gt;0,YEAR($F84)&lt;=BR$4,YEAR($F84)&lt;Preisindex!$A$6),ROUND($E84*BS84,2),0))</f>
        <v>0</v>
      </c>
      <c r="BU84" s="53">
        <f t="shared" si="377"/>
        <v>0</v>
      </c>
      <c r="BV84" s="51">
        <f t="shared" si="361"/>
        <v>0</v>
      </c>
      <c r="BW84" s="51">
        <f t="shared" si="327"/>
        <v>0</v>
      </c>
      <c r="BX84" s="51">
        <f t="shared" si="378"/>
        <v>0</v>
      </c>
      <c r="BY84" s="51">
        <f t="shared" si="328"/>
        <v>0</v>
      </c>
      <c r="BZ84" s="51">
        <f t="shared" si="379"/>
        <v>0</v>
      </c>
      <c r="CA84" s="51">
        <f t="shared" si="329"/>
        <v>0</v>
      </c>
      <c r="CB84" s="51">
        <f t="shared" si="380"/>
        <v>0</v>
      </c>
      <c r="CC84" s="51">
        <f t="shared" si="330"/>
        <v>0</v>
      </c>
      <c r="CD84" s="51">
        <f t="shared" si="381"/>
        <v>0</v>
      </c>
      <c r="CE84" s="51">
        <f t="shared" si="331"/>
        <v>0</v>
      </c>
      <c r="CF84" s="51">
        <f t="shared" si="382"/>
        <v>0</v>
      </c>
      <c r="CG84" s="54">
        <f t="shared" si="383"/>
        <v>0</v>
      </c>
      <c r="CH84" s="55">
        <f t="shared" si="384"/>
        <v>0</v>
      </c>
      <c r="CI84" s="56">
        <f>IF(AND($E84&lt;&gt;0,$F84&gt;0,YEAR($F84)&gt;=Preisindex!$A$6,YEAR(CD$4)&gt;=YEAR($F84),AND($K84&lt;&gt;"a",$K84&lt;&gt;"b",$K84&lt;&gt;"g",$K84&lt;&gt;"k")),1,IF(AND($E84&lt;&gt;0,$F84&gt;0,YEAR($F84)&gt;=Preisindex!$A$6,YEAR(CD$4)&gt;=YEAR($F84),$K84="a"),ROUND(VLOOKUP(CI$4,Preisindex,5,FALSE)/VLOOKUP(YEAR($F84),Preisindex,5,FALSE),2),IF(AND($E84&lt;&gt;0,$F84&gt;0,YEAR($F84)&gt;=Preisindex!$A$6,YEAR(CD$4)&gt;=YEAR($F84),$K84="b"),ROUND(VLOOKUP(CI$4,Preisindex,3,FALSE)/VLOOKUP(YEAR($F84),Preisindex,3,FALSE),2),IF(AND($E84&lt;&gt;0,$F84&gt;0,YEAR($F84)&gt;=Preisindex!$A$6,YEAR(CD$4)&gt;=YEAR($F84),$K84="g"),ROUND(VLOOKUP(CI$4,Preisindex,4,FALSE)/VLOOKUP(YEAR($F84),Preisindex,4,FALSE),2),IF(AND($E84&lt;&gt;0,$F84&gt;0,YEAR($F84)&gt;=Preisindex!$A$6,YEAR(CD$4)&gt;=YEAR($F84),$K84="k"),ROUND(VLOOKUP(CI$4,Preisindex,2,FALSE)/VLOOKUP(YEAR($F84),Preisindex,2,FALSE),2),0)))))</f>
        <v>0</v>
      </c>
      <c r="CJ84" s="56">
        <f>IF(AND($E84&lt;&gt;0,$F84&gt;0,YEAR($F84)&lt;Preisindex!$A$6,YEAR(CD$4)&gt;=YEAR($F84),AND($K84&lt;&gt;"a",$K84&lt;&gt;"b",$K84&lt;&gt;"g",$K84&lt;&gt;"k")),1,IF(AND($E84&lt;&gt;0,$F84&gt;0,YEAR($F84)&lt;Preisindex!$A$6,YEAR(CD$4)&gt;=YEAR($F84),$K84="a"),ROUND(VLOOKUP(CI$4,Preisindex,5,FALSE)/VLOOKUP(Preisindex!$A$6,Preisindex,5,FALSE),2),IF(AND($E84&lt;&gt;0,$F84&gt;0,YEAR($F84)&lt;Preisindex!$A$6,YEAR(CD$4)&gt;=YEAR($F84),$K84="b"),ROUND(VLOOKUP(CI$4,Preisindex,3,FALSE)/VLOOKUP(Preisindex!$A$6,Preisindex,3,FALSE),2),IF(AND($E84&lt;&gt;0,$F84&gt;0,YEAR($F84)&lt;Preisindex!$A$6,YEAR(CD$4)&gt;=YEAR($F84),$K84="g"),ROUND(VLOOKUP(CI$4,Preisindex,4,FALSE)/VLOOKUP(Preisindex!$A$6,Preisindex,4,FALSE),2),IF(AND($E84&lt;&gt;0,$F84&gt;0,YEAR($F84)&lt;Preisindex!$A$6,YEAR(CD$4)&gt;=YEAR($F84),$K84="k"),ROUND(VLOOKUP(CI$4,Preisindex,2,FALSE)/VLOOKUP(Preisindex!$A$6,Preisindex,2,FALSE),2),0)))))</f>
        <v>0</v>
      </c>
      <c r="CK84" s="51">
        <f>IF(AND($E84&lt;&gt;0,$F84&gt;0,YEAR($F84)&lt;=CI$4,YEAR($F84)&gt;=Preisindex!$A$6),ROUND($E84*CI84,2),IF(AND($E84&lt;&gt;0,$F84&gt;0,YEAR($F84)&lt;=CI$4,YEAR($F84)&lt;Preisindex!$A$6),ROUND($E84*CJ84,2),0))</f>
        <v>0</v>
      </c>
      <c r="CL84" s="53">
        <f t="shared" si="385"/>
        <v>0</v>
      </c>
      <c r="CM84" s="51">
        <f t="shared" si="361"/>
        <v>0</v>
      </c>
      <c r="CN84" s="51">
        <f t="shared" si="332"/>
        <v>0</v>
      </c>
      <c r="CO84" s="51">
        <f t="shared" si="386"/>
        <v>0</v>
      </c>
      <c r="CP84" s="51">
        <f t="shared" si="333"/>
        <v>0</v>
      </c>
      <c r="CQ84" s="51">
        <f t="shared" si="387"/>
        <v>0</v>
      </c>
      <c r="CR84" s="51">
        <f t="shared" si="334"/>
        <v>0</v>
      </c>
      <c r="CS84" s="51">
        <f t="shared" si="388"/>
        <v>0</v>
      </c>
      <c r="CT84" s="51">
        <f t="shared" si="335"/>
        <v>0</v>
      </c>
      <c r="CU84" s="51">
        <f t="shared" si="389"/>
        <v>0</v>
      </c>
      <c r="CV84" s="51">
        <f t="shared" si="336"/>
        <v>0</v>
      </c>
      <c r="CW84" s="51">
        <f t="shared" si="390"/>
        <v>0</v>
      </c>
      <c r="CX84" s="54">
        <f t="shared" si="391"/>
        <v>0</v>
      </c>
      <c r="CY84" s="55">
        <f t="shared" si="392"/>
        <v>0</v>
      </c>
      <c r="CZ84" s="56">
        <f>IF(AND($E84&lt;&gt;0,$F84&gt;0,YEAR($F84)&gt;=Preisindex!$A$6,YEAR(CU$4)&gt;=YEAR($F84),AND($K84&lt;&gt;"a",$K84&lt;&gt;"b",$K84&lt;&gt;"g",$K84&lt;&gt;"k")),1,IF(AND($E84&lt;&gt;0,$F84&gt;0,YEAR($F84)&gt;=Preisindex!$A$6,YEAR(CU$4)&gt;=YEAR($F84),$K84="a"),ROUND(VLOOKUP(CZ$4,Preisindex,5,FALSE)/VLOOKUP(YEAR($F84),Preisindex,5,FALSE),2),IF(AND($E84&lt;&gt;0,$F84&gt;0,YEAR($F84)&gt;=Preisindex!$A$6,YEAR(CU$4)&gt;=YEAR($F84),$K84="b"),ROUND(VLOOKUP(CZ$4,Preisindex,3,FALSE)/VLOOKUP(YEAR($F84),Preisindex,3,FALSE),2),IF(AND($E84&lt;&gt;0,$F84&gt;0,YEAR($F84)&gt;=Preisindex!$A$6,YEAR(CU$4)&gt;=YEAR($F84),$K84="g"),ROUND(VLOOKUP(CZ$4,Preisindex,4,FALSE)/VLOOKUP(YEAR($F84),Preisindex,4,FALSE),2),IF(AND($E84&lt;&gt;0,$F84&gt;0,YEAR($F84)&gt;=Preisindex!$A$6,YEAR(CU$4)&gt;=YEAR($F84),$K84="k"),ROUND(VLOOKUP(CZ$4,Preisindex,2,FALSE)/VLOOKUP(YEAR($F84),Preisindex,2,FALSE),2),0)))))</f>
        <v>0</v>
      </c>
      <c r="DA84" s="56">
        <f>IF(AND($E84&lt;&gt;0,$F84&gt;0,YEAR($F84)&lt;Preisindex!$A$6,YEAR(CU$4)&gt;=YEAR($F84),AND($K84&lt;&gt;"a",$K84&lt;&gt;"b",$K84&lt;&gt;"g",$K84&lt;&gt;"k")),1,IF(AND($E84&lt;&gt;0,$F84&gt;0,YEAR($F84)&lt;Preisindex!$A$6,YEAR(CU$4)&gt;=YEAR($F84),$K84="a"),ROUND(VLOOKUP(CZ$4,Preisindex,5,FALSE)/VLOOKUP(Preisindex!$A$6,Preisindex,5,FALSE),2),IF(AND($E84&lt;&gt;0,$F84&gt;0,YEAR($F84)&lt;Preisindex!$A$6,YEAR(CU$4)&gt;=YEAR($F84),$K84="b"),ROUND(VLOOKUP(CZ$4,Preisindex,3,FALSE)/VLOOKUP(Preisindex!$A$6,Preisindex,3,FALSE),2),IF(AND($E84&lt;&gt;0,$F84&gt;0,YEAR($F84)&lt;Preisindex!$A$6,YEAR(CU$4)&gt;=YEAR($F84),$K84="g"),ROUND(VLOOKUP(CZ$4,Preisindex,4,FALSE)/VLOOKUP(Preisindex!$A$6,Preisindex,4,FALSE),2),IF(AND($E84&lt;&gt;0,$F84&gt;0,YEAR($F84)&lt;Preisindex!$A$6,YEAR(CU$4)&gt;=YEAR($F84),$K84="k"),ROUND(VLOOKUP(CZ$4,Preisindex,2,FALSE)/VLOOKUP(Preisindex!$A$6,Preisindex,2,FALSE),2),0)))))</f>
        <v>0</v>
      </c>
      <c r="DB84" s="51">
        <f>IF(AND($E84&lt;&gt;0,$F84&gt;0,YEAR($F84)&lt;=CZ$4,YEAR($F84)&gt;=Preisindex!$A$6),ROUND($E84*CZ84,2),IF(AND($E84&lt;&gt;0,$F84&gt;0,YEAR($F84)&lt;=CZ$4,YEAR($F84)&lt;Preisindex!$A$6),ROUND($E84*DA84,2),0))</f>
        <v>0</v>
      </c>
      <c r="DC84" s="53">
        <f t="shared" si="393"/>
        <v>0</v>
      </c>
      <c r="DD84" s="51">
        <f t="shared" si="394"/>
        <v>0</v>
      </c>
      <c r="DE84" s="51">
        <f t="shared" si="337"/>
        <v>0</v>
      </c>
      <c r="DF84" s="51">
        <f t="shared" si="395"/>
        <v>0</v>
      </c>
      <c r="DG84" s="51">
        <f t="shared" si="338"/>
        <v>0</v>
      </c>
      <c r="DH84" s="51">
        <f t="shared" si="396"/>
        <v>0</v>
      </c>
      <c r="DI84" s="51">
        <f t="shared" si="339"/>
        <v>0</v>
      </c>
      <c r="DJ84" s="51">
        <f t="shared" si="397"/>
        <v>0</v>
      </c>
      <c r="DK84" s="51">
        <f t="shared" si="340"/>
        <v>0</v>
      </c>
      <c r="DL84" s="51">
        <f t="shared" si="398"/>
        <v>0</v>
      </c>
      <c r="DM84" s="51">
        <f t="shared" si="341"/>
        <v>0</v>
      </c>
      <c r="DN84" s="51">
        <f t="shared" si="399"/>
        <v>0</v>
      </c>
      <c r="DO84" s="54">
        <f t="shared" si="400"/>
        <v>0</v>
      </c>
      <c r="DP84" s="55">
        <f t="shared" si="401"/>
        <v>0</v>
      </c>
      <c r="DQ84" s="56">
        <f>IF(AND($E84&lt;&gt;0,$F84&gt;0,YEAR($F84)&gt;=Preisindex!$A$6,YEAR(DL$4)&gt;=YEAR($F84),AND($K84&lt;&gt;"a",$K84&lt;&gt;"b",$K84&lt;&gt;"g",$K84&lt;&gt;"k")),1,IF(AND($E84&lt;&gt;0,$F84&gt;0,YEAR($F84)&gt;=Preisindex!$A$6,YEAR(DL$4)&gt;=YEAR($F84),$K84="a"),ROUND(VLOOKUP(DQ$4,Preisindex,5,FALSE)/VLOOKUP(YEAR($F84),Preisindex,5,FALSE),2),IF(AND($E84&lt;&gt;0,$F84&gt;0,YEAR($F84)&gt;=Preisindex!$A$6,YEAR(DL$4)&gt;=YEAR($F84),$K84="b"),ROUND(VLOOKUP(DQ$4,Preisindex,3,FALSE)/VLOOKUP(YEAR($F84),Preisindex,3,FALSE),2),IF(AND($E84&lt;&gt;0,$F84&gt;0,YEAR($F84)&gt;=Preisindex!$A$6,YEAR(DL$4)&gt;=YEAR($F84),$K84="g"),ROUND(VLOOKUP(DQ$4,Preisindex,4,FALSE)/VLOOKUP(YEAR($F84),Preisindex,4,FALSE),2),IF(AND($E84&lt;&gt;0,$F84&gt;0,YEAR($F84)&gt;=Preisindex!$A$6,YEAR(DL$4)&gt;=YEAR($F84),$K84="k"),ROUND(VLOOKUP(DQ$4,Preisindex,2,FALSE)/VLOOKUP(YEAR($F84),Preisindex,2,FALSE),2),0)))))</f>
        <v>0</v>
      </c>
      <c r="DR84" s="56">
        <f>IF(AND($E84&lt;&gt;0,$F84&gt;0,YEAR($F84)&lt;Preisindex!$A$6,YEAR(DL$4)&gt;=YEAR($F84),AND($K84&lt;&gt;"a",$K84&lt;&gt;"b",$K84&lt;&gt;"g",$K84&lt;&gt;"k")),1,IF(AND($E84&lt;&gt;0,$F84&gt;0,YEAR($F84)&lt;Preisindex!$A$6,YEAR(DL$4)&gt;=YEAR($F84),$K84="a"),ROUND(VLOOKUP(DQ$4,Preisindex,5,FALSE)/VLOOKUP(Preisindex!$A$6,Preisindex,5,FALSE),2),IF(AND($E84&lt;&gt;0,$F84&gt;0,YEAR($F84)&lt;Preisindex!$A$6,YEAR(DL$4)&gt;=YEAR($F84),$K84="b"),ROUND(VLOOKUP(DQ$4,Preisindex,3,FALSE)/VLOOKUP(Preisindex!$A$6,Preisindex,3,FALSE),2),IF(AND($E84&lt;&gt;0,$F84&gt;0,YEAR($F84)&lt;Preisindex!$A$6,YEAR(DL$4)&gt;=YEAR($F84),$K84="g"),ROUND(VLOOKUP(DQ$4,Preisindex,4,FALSE)/VLOOKUP(Preisindex!$A$6,Preisindex,4,FALSE),2),IF(AND($E84&lt;&gt;0,$F84&gt;0,YEAR($F84)&lt;Preisindex!$A$6,YEAR(DL$4)&gt;=YEAR($F84),$K84="k"),ROUND(VLOOKUP(DQ$4,Preisindex,2,FALSE)/VLOOKUP(Preisindex!$A$6,Preisindex,2,FALSE),2),0)))))</f>
        <v>0</v>
      </c>
      <c r="DS84" s="51">
        <f>IF(AND($E84&lt;&gt;0,$F84&gt;0,YEAR($F84)&lt;=DQ$4,YEAR($F84)&gt;=Preisindex!$A$6),ROUND($E84*DQ84,2),IF(AND($E84&lt;&gt;0,$F84&gt;0,YEAR($F84)&lt;=DQ$4,YEAR($F84)&lt;Preisindex!$A$6),ROUND($E84*DR84,2),0))</f>
        <v>0</v>
      </c>
      <c r="DT84" s="53">
        <f t="shared" si="402"/>
        <v>0</v>
      </c>
      <c r="DU84" s="51">
        <f t="shared" si="394"/>
        <v>0</v>
      </c>
      <c r="DV84" s="51">
        <f t="shared" si="342"/>
        <v>0</v>
      </c>
      <c r="DW84" s="51">
        <f t="shared" si="403"/>
        <v>0</v>
      </c>
      <c r="DX84" s="51">
        <f t="shared" si="343"/>
        <v>0</v>
      </c>
      <c r="DY84" s="51">
        <f t="shared" si="404"/>
        <v>0</v>
      </c>
      <c r="DZ84" s="51">
        <f t="shared" si="344"/>
        <v>0</v>
      </c>
      <c r="EA84" s="51">
        <f t="shared" si="405"/>
        <v>0</v>
      </c>
      <c r="EB84" s="51">
        <f t="shared" si="345"/>
        <v>0</v>
      </c>
      <c r="EC84" s="51">
        <f t="shared" si="406"/>
        <v>0</v>
      </c>
      <c r="ED84" s="51">
        <f t="shared" si="346"/>
        <v>0</v>
      </c>
      <c r="EE84" s="51">
        <f t="shared" si="407"/>
        <v>0</v>
      </c>
      <c r="EF84" s="54">
        <f t="shared" si="408"/>
        <v>0</v>
      </c>
      <c r="EG84" s="55">
        <f t="shared" si="409"/>
        <v>0</v>
      </c>
      <c r="EH84" s="56">
        <f>IF(AND($E84&lt;&gt;0,$F84&gt;0,YEAR($F84)&gt;=Preisindex!$A$6,YEAR(EC$4)&gt;=YEAR($F84),AND($K84&lt;&gt;"a",$K84&lt;&gt;"b",$K84&lt;&gt;"g",$K84&lt;&gt;"k")),1,IF(AND($E84&lt;&gt;0,$F84&gt;0,YEAR($F84)&gt;=Preisindex!$A$6,YEAR(EC$4)&gt;=YEAR($F84),$K84="a"),ROUND(VLOOKUP(EH$4,Preisindex,5,FALSE)/VLOOKUP(YEAR($F84),Preisindex,5,FALSE),2),IF(AND($E84&lt;&gt;0,$F84&gt;0,YEAR($F84)&gt;=Preisindex!$A$6,YEAR(EC$4)&gt;=YEAR($F84),$K84="b"),ROUND(VLOOKUP(EH$4,Preisindex,3,FALSE)/VLOOKUP(YEAR($F84),Preisindex,3,FALSE),2),IF(AND($E84&lt;&gt;0,$F84&gt;0,YEAR($F84)&gt;=Preisindex!$A$6,YEAR(EC$4)&gt;=YEAR($F84),$K84="g"),ROUND(VLOOKUP(EH$4,Preisindex,4,FALSE)/VLOOKUP(YEAR($F84),Preisindex,4,FALSE),2),IF(AND($E84&lt;&gt;0,$F84&gt;0,YEAR($F84)&gt;=Preisindex!$A$6,YEAR(EC$4)&gt;=YEAR($F84),$K84="k"),ROUND(VLOOKUP(EH$4,Preisindex,2,FALSE)/VLOOKUP(YEAR($F84),Preisindex,2,FALSE),2),0)))))</f>
        <v>0</v>
      </c>
      <c r="EI84" s="56">
        <f>IF(AND($E84&lt;&gt;0,$F84&gt;0,YEAR($F84)&lt;Preisindex!$A$6,YEAR(EC$4)&gt;=YEAR($F84),AND($K84&lt;&gt;"a",$K84&lt;&gt;"b",$K84&lt;&gt;"g",$K84&lt;&gt;"k")),1,IF(AND($E84&lt;&gt;0,$F84&gt;0,YEAR($F84)&lt;Preisindex!$A$6,YEAR(EC$4)&gt;=YEAR($F84),$K84="a"),ROUND(VLOOKUP(EH$4,Preisindex,5,FALSE)/VLOOKUP(Preisindex!$A$6,Preisindex,5,FALSE),2),IF(AND($E84&lt;&gt;0,$F84&gt;0,YEAR($F84)&lt;Preisindex!$A$6,YEAR(EC$4)&gt;=YEAR($F84),$K84="b"),ROUND(VLOOKUP(EH$4,Preisindex,3,FALSE)/VLOOKUP(Preisindex!$A$6,Preisindex,3,FALSE),2),IF(AND($E84&lt;&gt;0,$F84&gt;0,YEAR($F84)&lt;Preisindex!$A$6,YEAR(EC$4)&gt;=YEAR($F84),$K84="g"),ROUND(VLOOKUP(EH$4,Preisindex,4,FALSE)/VLOOKUP(Preisindex!$A$6,Preisindex,4,FALSE),2),IF(AND($E84&lt;&gt;0,$F84&gt;0,YEAR($F84)&lt;Preisindex!$A$6,YEAR(EC$4)&gt;=YEAR($F84),$K84="k"),ROUND(VLOOKUP(EH$4,Preisindex,2,FALSE)/VLOOKUP(Preisindex!$A$6,Preisindex,2,FALSE),2),0)))))</f>
        <v>0</v>
      </c>
      <c r="EJ84" s="51">
        <f>IF(AND($E84&lt;&gt;0,$F84&gt;0,YEAR($F84)&lt;=EH$4,YEAR($F84)&gt;=Preisindex!$A$6),ROUND($E84*EH84,2),IF(AND($E84&lt;&gt;0,$F84&gt;0,YEAR($F84)&lt;=EH$4,YEAR($F84)&lt;Preisindex!$A$6),ROUND($E84*EI84,2),0))</f>
        <v>0</v>
      </c>
      <c r="EK84" s="53">
        <f t="shared" si="410"/>
        <v>0</v>
      </c>
      <c r="EL84" s="51">
        <f t="shared" si="394"/>
        <v>0</v>
      </c>
      <c r="EM84" s="51">
        <f t="shared" si="347"/>
        <v>0</v>
      </c>
      <c r="EN84" s="51">
        <f t="shared" si="411"/>
        <v>0</v>
      </c>
      <c r="EO84" s="51">
        <f t="shared" si="348"/>
        <v>0</v>
      </c>
      <c r="EP84" s="51">
        <f t="shared" si="412"/>
        <v>0</v>
      </c>
      <c r="EQ84" s="51">
        <f t="shared" si="349"/>
        <v>0</v>
      </c>
      <c r="ER84" s="51">
        <f t="shared" si="413"/>
        <v>0</v>
      </c>
      <c r="ES84" s="51">
        <f t="shared" si="350"/>
        <v>0</v>
      </c>
      <c r="ET84" s="51">
        <f t="shared" si="414"/>
        <v>0</v>
      </c>
      <c r="EU84" s="51">
        <f t="shared" si="351"/>
        <v>0</v>
      </c>
      <c r="EV84" s="51">
        <f t="shared" si="415"/>
        <v>0</v>
      </c>
      <c r="EW84" s="54">
        <f t="shared" si="416"/>
        <v>0</v>
      </c>
      <c r="EX84" s="55">
        <f t="shared" si="417"/>
        <v>0</v>
      </c>
      <c r="EY84" s="56">
        <f>IF(AND($E84&lt;&gt;0,$F84&gt;0,YEAR($F84)&gt;=Preisindex!$A$6,YEAR(ET$4)&gt;=YEAR($F84),AND($K84&lt;&gt;"a",$K84&lt;&gt;"b",$K84&lt;&gt;"g",$K84&lt;&gt;"k")),1,IF(AND($E84&lt;&gt;0,$F84&gt;0,YEAR($F84)&gt;=Preisindex!$A$6,YEAR(ET$4)&gt;=YEAR($F84),$K84="a"),ROUND(VLOOKUP(EY$4,Preisindex,5,FALSE)/VLOOKUP(YEAR($F84),Preisindex,5,FALSE),2),IF(AND($E84&lt;&gt;0,$F84&gt;0,YEAR($F84)&gt;=Preisindex!$A$6,YEAR(ET$4)&gt;=YEAR($F84),$K84="b"),ROUND(VLOOKUP(EY$4,Preisindex,3,FALSE)/VLOOKUP(YEAR($F84),Preisindex,3,FALSE),2),IF(AND($E84&lt;&gt;0,$F84&gt;0,YEAR($F84)&gt;=Preisindex!$A$6,YEAR(ET$4)&gt;=YEAR($F84),$K84="g"),ROUND(VLOOKUP(EY$4,Preisindex,4,FALSE)/VLOOKUP(YEAR($F84),Preisindex,4,FALSE),2),IF(AND($E84&lt;&gt;0,$F84&gt;0,YEAR($F84)&gt;=Preisindex!$A$6,YEAR(ET$4)&gt;=YEAR($F84),$K84="k"),ROUND(VLOOKUP(EY$4,Preisindex,2,FALSE)/VLOOKUP(YEAR($F84),Preisindex,2,FALSE),2),0)))))</f>
        <v>0</v>
      </c>
      <c r="EZ84" s="56">
        <f>IF(AND($E84&lt;&gt;0,$F84&gt;0,YEAR($F84)&lt;Preisindex!$A$6,YEAR(ET$4)&gt;=YEAR($F84),AND($K84&lt;&gt;"a",$K84&lt;&gt;"b",$K84&lt;&gt;"g",$K84&lt;&gt;"k")),1,IF(AND($E84&lt;&gt;0,$F84&gt;0,YEAR($F84)&lt;Preisindex!$A$6,YEAR(ET$4)&gt;=YEAR($F84),$K84="a"),ROUND(VLOOKUP(EY$4,Preisindex,5,FALSE)/VLOOKUP(Preisindex!$A$6,Preisindex,5,FALSE),2),IF(AND($E84&lt;&gt;0,$F84&gt;0,YEAR($F84)&lt;Preisindex!$A$6,YEAR(ET$4)&gt;=YEAR($F84),$K84="b"),ROUND(VLOOKUP(EY$4,Preisindex,3,FALSE)/VLOOKUP(Preisindex!$A$6,Preisindex,3,FALSE),2),IF(AND($E84&lt;&gt;0,$F84&gt;0,YEAR($F84)&lt;Preisindex!$A$6,YEAR(ET$4)&gt;=YEAR($F84),$K84="g"),ROUND(VLOOKUP(EY$4,Preisindex,4,FALSE)/VLOOKUP(Preisindex!$A$6,Preisindex,4,FALSE),2),IF(AND($E84&lt;&gt;0,$F84&gt;0,YEAR($F84)&lt;Preisindex!$A$6,YEAR(ET$4)&gt;=YEAR($F84),$K84="k"),ROUND(VLOOKUP(EY$4,Preisindex,2,FALSE)/VLOOKUP(Preisindex!$A$6,Preisindex,2,FALSE),2),0)))))</f>
        <v>0</v>
      </c>
      <c r="FA84" s="51">
        <f>IF(AND($E84&lt;&gt;0,$F84&gt;0,YEAR($F84)&lt;=EY$4,YEAR($F84)&gt;=Preisindex!$A$6),ROUND($E84*EY84,2),IF(AND($E84&lt;&gt;0,$F84&gt;0,YEAR($F84)&lt;=EY$4,YEAR($F84)&lt;Preisindex!$A$6),ROUND($E84*EZ84,2),0))</f>
        <v>0</v>
      </c>
      <c r="FB84" s="53">
        <f t="shared" si="418"/>
        <v>0</v>
      </c>
      <c r="FC84" s="51">
        <f t="shared" si="394"/>
        <v>0</v>
      </c>
      <c r="FD84" s="51">
        <f t="shared" si="352"/>
        <v>0</v>
      </c>
      <c r="FE84" s="51">
        <f t="shared" si="419"/>
        <v>0</v>
      </c>
      <c r="FF84" s="51">
        <f t="shared" si="353"/>
        <v>0</v>
      </c>
      <c r="FG84" s="51">
        <f t="shared" si="420"/>
        <v>0</v>
      </c>
      <c r="FH84" s="51">
        <f t="shared" si="354"/>
        <v>0</v>
      </c>
      <c r="FI84" s="51">
        <f t="shared" si="421"/>
        <v>0</v>
      </c>
      <c r="FJ84" s="51">
        <f t="shared" si="355"/>
        <v>0</v>
      </c>
      <c r="FK84" s="51">
        <f t="shared" si="422"/>
        <v>0</v>
      </c>
      <c r="FL84" s="51">
        <f t="shared" si="356"/>
        <v>0</v>
      </c>
      <c r="FM84" s="51">
        <f t="shared" si="423"/>
        <v>0</v>
      </c>
      <c r="FN84" s="54">
        <f t="shared" si="424"/>
        <v>0</v>
      </c>
      <c r="FO84" s="55">
        <f t="shared" si="425"/>
        <v>0</v>
      </c>
      <c r="FP84" s="56">
        <f>IF(AND($E84&lt;&gt;0,$F84&gt;0,YEAR($F84)&gt;=Preisindex!$A$6,YEAR(FK$4)&gt;=YEAR($F84),AND($K84&lt;&gt;"a",$K84&lt;&gt;"b",$K84&lt;&gt;"g",$K84&lt;&gt;"k")),1,IF(AND($E84&lt;&gt;0,$F84&gt;0,YEAR($F84)&gt;=Preisindex!$A$6,YEAR(FK$4)&gt;=YEAR($F84),$K84="a"),ROUND(VLOOKUP(FP$4,Preisindex,5,FALSE)/VLOOKUP(YEAR($F84),Preisindex,5,FALSE),2),IF(AND($E84&lt;&gt;0,$F84&gt;0,YEAR($F84)&gt;=Preisindex!$A$6,YEAR(FK$4)&gt;=YEAR($F84),$K84="b"),ROUND(VLOOKUP(FP$4,Preisindex,3,FALSE)/VLOOKUP(YEAR($F84),Preisindex,3,FALSE),2),IF(AND($E84&lt;&gt;0,$F84&gt;0,YEAR($F84)&gt;=Preisindex!$A$6,YEAR(FK$4)&gt;=YEAR($F84),$K84="g"),ROUND(VLOOKUP(FP$4,Preisindex,4,FALSE)/VLOOKUP(YEAR($F84),Preisindex,4,FALSE),2),IF(AND($E84&lt;&gt;0,$F84&gt;0,YEAR($F84)&gt;=Preisindex!$A$6,YEAR(FK$4)&gt;=YEAR($F84),$K84="k"),ROUND(VLOOKUP(FP$4,Preisindex,2,FALSE)/VLOOKUP(YEAR($F84),Preisindex,2,FALSE),2),0)))))</f>
        <v>0</v>
      </c>
      <c r="FQ84" s="56">
        <f>IF(AND($E84&lt;&gt;0,$F84&gt;0,YEAR($F84)&lt;Preisindex!$A$6,YEAR(FK$4)&gt;=YEAR($F84),AND($K84&lt;&gt;"a",$K84&lt;&gt;"b",$K84&lt;&gt;"g",$K84&lt;&gt;"k")),1,IF(AND($E84&lt;&gt;0,$F84&gt;0,YEAR($F84)&lt;Preisindex!$A$6,YEAR(FK$4)&gt;=YEAR($F84),$K84="a"),ROUND(VLOOKUP(FP$4,Preisindex,5,FALSE)/VLOOKUP(Preisindex!$A$6,Preisindex,5,FALSE),2),IF(AND($E84&lt;&gt;0,$F84&gt;0,YEAR($F84)&lt;Preisindex!$A$6,YEAR(FK$4)&gt;=YEAR($F84),$K84="b"),ROUND(VLOOKUP(FP$4,Preisindex,3,FALSE)/VLOOKUP(Preisindex!$A$6,Preisindex,3,FALSE),2),IF(AND($E84&lt;&gt;0,$F84&gt;0,YEAR($F84)&lt;Preisindex!$A$6,YEAR(FK$4)&gt;=YEAR($F84),$K84="g"),ROUND(VLOOKUP(FP$4,Preisindex,4,FALSE)/VLOOKUP(Preisindex!$A$6,Preisindex,4,FALSE),2),IF(AND($E84&lt;&gt;0,$F84&gt;0,YEAR($F84)&lt;Preisindex!$A$6,YEAR(FK$4)&gt;=YEAR($F84),$K84="k"),ROUND(VLOOKUP(FP$4,Preisindex,2,FALSE)/VLOOKUP(Preisindex!$A$6,Preisindex,2,FALSE),2),0)))))</f>
        <v>0</v>
      </c>
      <c r="FR84" s="51">
        <f>IF(AND($E84&lt;&gt;0,$F84&gt;0,YEAR($F84)&lt;=FP$4,YEAR($F84)&gt;=Preisindex!$A$6),ROUND($E84*FP84,2),IF(AND($E84&lt;&gt;0,$F84&gt;0,YEAR($F84)&lt;=FP$4,YEAR($F84)&lt;Preisindex!$A$6),ROUND($E84*FQ84,2),0))</f>
        <v>0</v>
      </c>
      <c r="FS84" s="53">
        <f t="shared" si="426"/>
        <v>0</v>
      </c>
    </row>
    <row r="85" spans="1:175" x14ac:dyDescent="0.3">
      <c r="A85" s="93"/>
      <c r="B85" s="94"/>
      <c r="C85" s="94"/>
      <c r="D85" s="95"/>
      <c r="E85" s="99"/>
      <c r="F85" s="97"/>
      <c r="G85" s="98"/>
      <c r="H85" s="620"/>
      <c r="I85" s="621"/>
      <c r="J85" s="194"/>
      <c r="K85" s="630"/>
      <c r="L85" s="49">
        <f t="shared" si="427"/>
        <v>0</v>
      </c>
      <c r="M85" s="50">
        <f t="shared" si="428"/>
        <v>0</v>
      </c>
      <c r="N85" s="51">
        <f t="shared" si="429"/>
        <v>0</v>
      </c>
      <c r="O85" s="51"/>
      <c r="P85" s="51">
        <f t="shared" si="430"/>
        <v>0</v>
      </c>
      <c r="Q85" s="52"/>
      <c r="R85" s="52"/>
      <c r="S85" s="52"/>
      <c r="T85" s="52"/>
      <c r="U85" s="52"/>
      <c r="V85" s="53">
        <f t="shared" si="431"/>
        <v>0</v>
      </c>
      <c r="W85" s="51">
        <f t="shared" si="432"/>
        <v>0</v>
      </c>
      <c r="X85" s="51">
        <f t="shared" si="433"/>
        <v>0</v>
      </c>
      <c r="Y85" s="51">
        <f t="shared" si="434"/>
        <v>0</v>
      </c>
      <c r="Z85" s="51">
        <f t="shared" si="435"/>
        <v>0</v>
      </c>
      <c r="AA85" s="51">
        <f t="shared" si="436"/>
        <v>0</v>
      </c>
      <c r="AB85" s="51">
        <f t="shared" si="437"/>
        <v>0</v>
      </c>
      <c r="AC85" s="51">
        <f t="shared" si="438"/>
        <v>0</v>
      </c>
      <c r="AD85" s="51">
        <f t="shared" si="439"/>
        <v>0</v>
      </c>
      <c r="AE85" s="51">
        <f t="shared" si="440"/>
        <v>0</v>
      </c>
      <c r="AF85" s="51">
        <f t="shared" si="441"/>
        <v>0</v>
      </c>
      <c r="AG85" s="51">
        <f t="shared" si="442"/>
        <v>0</v>
      </c>
      <c r="AH85" s="54">
        <f t="shared" si="443"/>
        <v>0</v>
      </c>
      <c r="AI85" s="55">
        <f t="shared" si="444"/>
        <v>0</v>
      </c>
      <c r="AJ85" s="56">
        <f>IF(AND($E85&lt;&gt;0,$F85&gt;0,YEAR($F85)&gt;=Preisindex!$A$6,YEAR(AE$4)&gt;=YEAR($F85),AND($K85&lt;&gt;"a",$K85&lt;&gt;"b",$K85&lt;&gt;"g",$K85&lt;&gt;"k")),1,IF(AND($E85&lt;&gt;0,$F85&gt;0,YEAR($F85)&gt;=Preisindex!$A$6,YEAR(AE$4)&gt;=YEAR($F85),$K85="a"),ROUND(VLOOKUP(AJ$4,Preisindex,5,FALSE)/VLOOKUP(YEAR($F85),Preisindex,5,FALSE),2),IF(AND($E85&lt;&gt;0,$F85&gt;0,YEAR($F85)&gt;=Preisindex!$A$6,YEAR(AE$4)&gt;=YEAR($F85),$K85="b"),ROUND(VLOOKUP(AJ$4,Preisindex,3,FALSE)/VLOOKUP(YEAR($F85),Preisindex,3,FALSE),2),IF(AND($E85&lt;&gt;0,$F85&gt;0,YEAR($F85)&gt;=Preisindex!$A$6,YEAR(AE$4)&gt;=YEAR($F85),$K85="g"),ROUND(VLOOKUP(AJ$4,Preisindex,4,FALSE)/VLOOKUP(YEAR($F85),Preisindex,4,FALSE),2),IF(AND($E85&lt;&gt;0,$F85&gt;0,YEAR($F85)&gt;=Preisindex!$A$6,YEAR(AE$4)&gt;=YEAR($F85),$K85="k"),ROUND(VLOOKUP(AJ$4,Preisindex,2,FALSE)/VLOOKUP(YEAR($F85),Preisindex,2,FALSE),2),0)))))</f>
        <v>0</v>
      </c>
      <c r="AK85" s="56">
        <f>IF(AND($E85&lt;&gt;0,$F85&gt;0,YEAR($F85)&lt;Preisindex!$A$6,YEAR(AE$4)&gt;=YEAR($F85),AND($K85&lt;&gt;"a",$K85&lt;&gt;"b",$K85&lt;&gt;"g",$K85&lt;&gt;"k")),1,IF(AND($E85&lt;&gt;0,$F85&gt;0,YEAR($F85)&lt;Preisindex!$A$6,YEAR(AE$4)&gt;=YEAR($F85),$K85="a"),ROUND(VLOOKUP(AJ$4,Preisindex,5,FALSE)/VLOOKUP(Preisindex!$A$6,Preisindex,5,FALSE),2),IF(AND($E85&lt;&gt;0,$F85&gt;0,YEAR($F85)&lt;Preisindex!$A$6,YEAR(AE$4)&gt;=YEAR($F85),$K85="b"),ROUND(VLOOKUP(AJ$4,Preisindex,3,FALSE)/VLOOKUP(Preisindex!$A$6,Preisindex,3,FALSE),2),IF(AND($E85&lt;&gt;0,$F85&gt;0,YEAR($F85)&lt;Preisindex!$A$6,YEAR(AE$4)&gt;=YEAR($F85),$K85="g"),ROUND(VLOOKUP(AJ$4,Preisindex,4,FALSE)/VLOOKUP(Preisindex!$A$6,Preisindex,4,FALSE),2),IF(AND($E85&lt;&gt;0,$F85&gt;0,YEAR($F85)&lt;Preisindex!$A$6,YEAR(AE$4)&gt;=YEAR($F85),$K85="k"),ROUND(VLOOKUP(AJ$4,Preisindex,2,FALSE)/VLOOKUP(Preisindex!$A$6,Preisindex,2,FALSE),2),0)))))</f>
        <v>0</v>
      </c>
      <c r="AL85" s="51">
        <f>IF(AND($E85&lt;&gt;0,$F85&gt;0,YEAR($F85)&lt;=AJ$4,YEAR($F85)&gt;=Preisindex!$A$6),ROUND($E85*AJ85,2),IF(AND($E85&lt;&gt;0,$F85&gt;0,YEAR($F85)&lt;=AJ$4,YEAR($F85)&lt;Preisindex!$A$6),ROUND($E85*AK85,2),0))</f>
        <v>0</v>
      </c>
      <c r="AM85" s="53">
        <f t="shared" si="445"/>
        <v>0</v>
      </c>
      <c r="AN85" s="51">
        <f t="shared" ref="AN85:CM100" si="446">IF(YEAR($F85)=AN$4,$E85,0)</f>
        <v>0</v>
      </c>
      <c r="AO85" s="51">
        <f t="shared" si="317"/>
        <v>0</v>
      </c>
      <c r="AP85" s="51">
        <f t="shared" si="362"/>
        <v>0</v>
      </c>
      <c r="AQ85" s="51">
        <f t="shared" si="318"/>
        <v>0</v>
      </c>
      <c r="AR85" s="51">
        <f t="shared" si="363"/>
        <v>0</v>
      </c>
      <c r="AS85" s="51">
        <f t="shared" si="319"/>
        <v>0</v>
      </c>
      <c r="AT85" s="51">
        <f t="shared" si="364"/>
        <v>0</v>
      </c>
      <c r="AU85" s="51">
        <f t="shared" si="320"/>
        <v>0</v>
      </c>
      <c r="AV85" s="51">
        <f t="shared" si="365"/>
        <v>0</v>
      </c>
      <c r="AW85" s="51">
        <f t="shared" si="321"/>
        <v>0</v>
      </c>
      <c r="AX85" s="51">
        <f t="shared" si="366"/>
        <v>0</v>
      </c>
      <c r="AY85" s="54">
        <f t="shared" si="367"/>
        <v>0</v>
      </c>
      <c r="AZ85" s="55">
        <f t="shared" si="368"/>
        <v>0</v>
      </c>
      <c r="BA85" s="56">
        <f>IF(AND($E85&lt;&gt;0,$F85&gt;0,YEAR($F85)&gt;=Preisindex!$A$6,YEAR(AV$4)&gt;=YEAR($F85),AND($K85&lt;&gt;"a",$K85&lt;&gt;"b",$K85&lt;&gt;"g",$K85&lt;&gt;"k")),1,IF(AND($E85&lt;&gt;0,$F85&gt;0,YEAR($F85)&gt;=Preisindex!$A$6,YEAR(AV$4)&gt;=YEAR($F85),$K85="a"),ROUND(VLOOKUP(BA$4,Preisindex,5,FALSE)/VLOOKUP(YEAR($F85),Preisindex,5,FALSE),2),IF(AND($E85&lt;&gt;0,$F85&gt;0,YEAR($F85)&gt;=Preisindex!$A$6,YEAR(AV$4)&gt;=YEAR($F85),$K85="b"),ROUND(VLOOKUP(BA$4,Preisindex,3,FALSE)/VLOOKUP(YEAR($F85),Preisindex,3,FALSE),2),IF(AND($E85&lt;&gt;0,$F85&gt;0,YEAR($F85)&gt;=Preisindex!$A$6,YEAR(AV$4)&gt;=YEAR($F85),$K85="g"),ROUND(VLOOKUP(BA$4,Preisindex,4,FALSE)/VLOOKUP(YEAR($F85),Preisindex,4,FALSE),2),IF(AND($E85&lt;&gt;0,$F85&gt;0,YEAR($F85)&gt;=Preisindex!$A$6,YEAR(AV$4)&gt;=YEAR($F85),$K85="k"),ROUND(VLOOKUP(BA$4,Preisindex,2,FALSE)/VLOOKUP(YEAR($F85),Preisindex,2,FALSE),2),0)))))</f>
        <v>0</v>
      </c>
      <c r="BB85" s="56">
        <f>IF(AND($E85&lt;&gt;0,$F85&gt;0,YEAR($F85)&lt;Preisindex!$A$6,YEAR(AV$4)&gt;=YEAR($F85),AND($K85&lt;&gt;"a",$K85&lt;&gt;"b",$K85&lt;&gt;"g",$K85&lt;&gt;"k")),1,IF(AND($E85&lt;&gt;0,$F85&gt;0,YEAR($F85)&lt;Preisindex!$A$6,YEAR(AV$4)&gt;=YEAR($F85),$K85="a"),ROUND(VLOOKUP(BA$4,Preisindex,5,FALSE)/VLOOKUP(Preisindex!$A$6,Preisindex,5,FALSE),2),IF(AND($E85&lt;&gt;0,$F85&gt;0,YEAR($F85)&lt;Preisindex!$A$6,YEAR(AV$4)&gt;=YEAR($F85),$K85="b"),ROUND(VLOOKUP(BA$4,Preisindex,3,FALSE)/VLOOKUP(Preisindex!$A$6,Preisindex,3,FALSE),2),IF(AND($E85&lt;&gt;0,$F85&gt;0,YEAR($F85)&lt;Preisindex!$A$6,YEAR(AV$4)&gt;=YEAR($F85),$K85="g"),ROUND(VLOOKUP(BA$4,Preisindex,4,FALSE)/VLOOKUP(Preisindex!$A$6,Preisindex,4,FALSE),2),IF(AND($E85&lt;&gt;0,$F85&gt;0,YEAR($F85)&lt;Preisindex!$A$6,YEAR(AV$4)&gt;=YEAR($F85),$K85="k"),ROUND(VLOOKUP(BA$4,Preisindex,2,FALSE)/VLOOKUP(Preisindex!$A$6,Preisindex,2,FALSE),2),0)))))</f>
        <v>0</v>
      </c>
      <c r="BC85" s="51">
        <f>IF(AND($E85&lt;&gt;0,$F85&gt;0,YEAR($F85)&lt;=BA$4,YEAR($F85)&gt;=Preisindex!$A$6),ROUND($E85*BA85,2),IF(AND($E85&lt;&gt;0,$F85&gt;0,YEAR($F85)&lt;=BA$4,YEAR($F85)&lt;Preisindex!$A$6),ROUND($E85*BB85,2),0))</f>
        <v>0</v>
      </c>
      <c r="BD85" s="53">
        <f t="shared" si="369"/>
        <v>0</v>
      </c>
      <c r="BE85" s="51">
        <f t="shared" si="446"/>
        <v>0</v>
      </c>
      <c r="BF85" s="51">
        <f t="shared" si="322"/>
        <v>0</v>
      </c>
      <c r="BG85" s="51">
        <f t="shared" si="370"/>
        <v>0</v>
      </c>
      <c r="BH85" s="51">
        <f t="shared" si="323"/>
        <v>0</v>
      </c>
      <c r="BI85" s="51">
        <f t="shared" si="371"/>
        <v>0</v>
      </c>
      <c r="BJ85" s="51">
        <f t="shared" si="324"/>
        <v>0</v>
      </c>
      <c r="BK85" s="51">
        <f t="shared" si="372"/>
        <v>0</v>
      </c>
      <c r="BL85" s="51">
        <f t="shared" si="325"/>
        <v>0</v>
      </c>
      <c r="BM85" s="51">
        <f t="shared" si="373"/>
        <v>0</v>
      </c>
      <c r="BN85" s="51">
        <f t="shared" si="326"/>
        <v>0</v>
      </c>
      <c r="BO85" s="51">
        <f t="shared" si="374"/>
        <v>0</v>
      </c>
      <c r="BP85" s="54">
        <f t="shared" si="375"/>
        <v>0</v>
      </c>
      <c r="BQ85" s="55">
        <f t="shared" si="376"/>
        <v>0</v>
      </c>
      <c r="BR85" s="56">
        <f>IF(AND($E85&lt;&gt;0,$F85&gt;0,YEAR($F85)&gt;=Preisindex!$A$6,YEAR(BM$4)&gt;=YEAR($F85),AND($K85&lt;&gt;"a",$K85&lt;&gt;"b",$K85&lt;&gt;"g",$K85&lt;&gt;"k")),1,IF(AND($E85&lt;&gt;0,$F85&gt;0,YEAR($F85)&gt;=Preisindex!$A$6,YEAR(BM$4)&gt;=YEAR($F85),$K85="a"),ROUND(VLOOKUP(BR$4,Preisindex,5,FALSE)/VLOOKUP(YEAR($F85),Preisindex,5,FALSE),2),IF(AND($E85&lt;&gt;0,$F85&gt;0,YEAR($F85)&gt;=Preisindex!$A$6,YEAR(BM$4)&gt;=YEAR($F85),$K85="b"),ROUND(VLOOKUP(BR$4,Preisindex,3,FALSE)/VLOOKUP(YEAR($F85),Preisindex,3,FALSE),2),IF(AND($E85&lt;&gt;0,$F85&gt;0,YEAR($F85)&gt;=Preisindex!$A$6,YEAR(BM$4)&gt;=YEAR($F85),$K85="g"),ROUND(VLOOKUP(BR$4,Preisindex,4,FALSE)/VLOOKUP(YEAR($F85),Preisindex,4,FALSE),2),IF(AND($E85&lt;&gt;0,$F85&gt;0,YEAR($F85)&gt;=Preisindex!$A$6,YEAR(BM$4)&gt;=YEAR($F85),$K85="k"),ROUND(VLOOKUP(BR$4,Preisindex,2,FALSE)/VLOOKUP(YEAR($F85),Preisindex,2,FALSE),2),0)))))</f>
        <v>0</v>
      </c>
      <c r="BS85" s="56">
        <f>IF(AND($E85&lt;&gt;0,$F85&gt;0,YEAR($F85)&lt;Preisindex!$A$6,YEAR(BM$4)&gt;=YEAR($F85),AND($K85&lt;&gt;"a",$K85&lt;&gt;"b",$K85&lt;&gt;"g",$K85&lt;&gt;"k")),1,IF(AND($E85&lt;&gt;0,$F85&gt;0,YEAR($F85)&lt;Preisindex!$A$6,YEAR(BM$4)&gt;=YEAR($F85),$K85="a"),ROUND(VLOOKUP(BR$4,Preisindex,5,FALSE)/VLOOKUP(Preisindex!$A$6,Preisindex,5,FALSE),2),IF(AND($E85&lt;&gt;0,$F85&gt;0,YEAR($F85)&lt;Preisindex!$A$6,YEAR(BM$4)&gt;=YEAR($F85),$K85="b"),ROUND(VLOOKUP(BR$4,Preisindex,3,FALSE)/VLOOKUP(Preisindex!$A$6,Preisindex,3,FALSE),2),IF(AND($E85&lt;&gt;0,$F85&gt;0,YEAR($F85)&lt;Preisindex!$A$6,YEAR(BM$4)&gt;=YEAR($F85),$K85="g"),ROUND(VLOOKUP(BR$4,Preisindex,4,FALSE)/VLOOKUP(Preisindex!$A$6,Preisindex,4,FALSE),2),IF(AND($E85&lt;&gt;0,$F85&gt;0,YEAR($F85)&lt;Preisindex!$A$6,YEAR(BM$4)&gt;=YEAR($F85),$K85="k"),ROUND(VLOOKUP(BR$4,Preisindex,2,FALSE)/VLOOKUP(Preisindex!$A$6,Preisindex,2,FALSE),2),0)))))</f>
        <v>0</v>
      </c>
      <c r="BT85" s="51">
        <f>IF(AND($E85&lt;&gt;0,$F85&gt;0,YEAR($F85)&lt;=BR$4,YEAR($F85)&gt;=Preisindex!$A$6),ROUND($E85*BR85,2),IF(AND($E85&lt;&gt;0,$F85&gt;0,YEAR($F85)&lt;=BR$4,YEAR($F85)&lt;Preisindex!$A$6),ROUND($E85*BS85,2),0))</f>
        <v>0</v>
      </c>
      <c r="BU85" s="53">
        <f t="shared" si="377"/>
        <v>0</v>
      </c>
      <c r="BV85" s="51">
        <f t="shared" si="446"/>
        <v>0</v>
      </c>
      <c r="BW85" s="51">
        <f t="shared" si="327"/>
        <v>0</v>
      </c>
      <c r="BX85" s="51">
        <f t="shared" si="378"/>
        <v>0</v>
      </c>
      <c r="BY85" s="51">
        <f t="shared" si="328"/>
        <v>0</v>
      </c>
      <c r="BZ85" s="51">
        <f t="shared" si="379"/>
        <v>0</v>
      </c>
      <c r="CA85" s="51">
        <f t="shared" si="329"/>
        <v>0</v>
      </c>
      <c r="CB85" s="51">
        <f t="shared" si="380"/>
        <v>0</v>
      </c>
      <c r="CC85" s="51">
        <f t="shared" si="330"/>
        <v>0</v>
      </c>
      <c r="CD85" s="51">
        <f t="shared" si="381"/>
        <v>0</v>
      </c>
      <c r="CE85" s="51">
        <f t="shared" si="331"/>
        <v>0</v>
      </c>
      <c r="CF85" s="51">
        <f t="shared" si="382"/>
        <v>0</v>
      </c>
      <c r="CG85" s="54">
        <f t="shared" si="383"/>
        <v>0</v>
      </c>
      <c r="CH85" s="55">
        <f t="shared" si="384"/>
        <v>0</v>
      </c>
      <c r="CI85" s="56">
        <f>IF(AND($E85&lt;&gt;0,$F85&gt;0,YEAR($F85)&gt;=Preisindex!$A$6,YEAR(CD$4)&gt;=YEAR($F85),AND($K85&lt;&gt;"a",$K85&lt;&gt;"b",$K85&lt;&gt;"g",$K85&lt;&gt;"k")),1,IF(AND($E85&lt;&gt;0,$F85&gt;0,YEAR($F85)&gt;=Preisindex!$A$6,YEAR(CD$4)&gt;=YEAR($F85),$K85="a"),ROUND(VLOOKUP(CI$4,Preisindex,5,FALSE)/VLOOKUP(YEAR($F85),Preisindex,5,FALSE),2),IF(AND($E85&lt;&gt;0,$F85&gt;0,YEAR($F85)&gt;=Preisindex!$A$6,YEAR(CD$4)&gt;=YEAR($F85),$K85="b"),ROUND(VLOOKUP(CI$4,Preisindex,3,FALSE)/VLOOKUP(YEAR($F85),Preisindex,3,FALSE),2),IF(AND($E85&lt;&gt;0,$F85&gt;0,YEAR($F85)&gt;=Preisindex!$A$6,YEAR(CD$4)&gt;=YEAR($F85),$K85="g"),ROUND(VLOOKUP(CI$4,Preisindex,4,FALSE)/VLOOKUP(YEAR($F85),Preisindex,4,FALSE),2),IF(AND($E85&lt;&gt;0,$F85&gt;0,YEAR($F85)&gt;=Preisindex!$A$6,YEAR(CD$4)&gt;=YEAR($F85),$K85="k"),ROUND(VLOOKUP(CI$4,Preisindex,2,FALSE)/VLOOKUP(YEAR($F85),Preisindex,2,FALSE),2),0)))))</f>
        <v>0</v>
      </c>
      <c r="CJ85" s="56">
        <f>IF(AND($E85&lt;&gt;0,$F85&gt;0,YEAR($F85)&lt;Preisindex!$A$6,YEAR(CD$4)&gt;=YEAR($F85),AND($K85&lt;&gt;"a",$K85&lt;&gt;"b",$K85&lt;&gt;"g",$K85&lt;&gt;"k")),1,IF(AND($E85&lt;&gt;0,$F85&gt;0,YEAR($F85)&lt;Preisindex!$A$6,YEAR(CD$4)&gt;=YEAR($F85),$K85="a"),ROUND(VLOOKUP(CI$4,Preisindex,5,FALSE)/VLOOKUP(Preisindex!$A$6,Preisindex,5,FALSE),2),IF(AND($E85&lt;&gt;0,$F85&gt;0,YEAR($F85)&lt;Preisindex!$A$6,YEAR(CD$4)&gt;=YEAR($F85),$K85="b"),ROUND(VLOOKUP(CI$4,Preisindex,3,FALSE)/VLOOKUP(Preisindex!$A$6,Preisindex,3,FALSE),2),IF(AND($E85&lt;&gt;0,$F85&gt;0,YEAR($F85)&lt;Preisindex!$A$6,YEAR(CD$4)&gt;=YEAR($F85),$K85="g"),ROUND(VLOOKUP(CI$4,Preisindex,4,FALSE)/VLOOKUP(Preisindex!$A$6,Preisindex,4,FALSE),2),IF(AND($E85&lt;&gt;0,$F85&gt;0,YEAR($F85)&lt;Preisindex!$A$6,YEAR(CD$4)&gt;=YEAR($F85),$K85="k"),ROUND(VLOOKUP(CI$4,Preisindex,2,FALSE)/VLOOKUP(Preisindex!$A$6,Preisindex,2,FALSE),2),0)))))</f>
        <v>0</v>
      </c>
      <c r="CK85" s="51">
        <f>IF(AND($E85&lt;&gt;0,$F85&gt;0,YEAR($F85)&lt;=CI$4,YEAR($F85)&gt;=Preisindex!$A$6),ROUND($E85*CI85,2),IF(AND($E85&lt;&gt;0,$F85&gt;0,YEAR($F85)&lt;=CI$4,YEAR($F85)&lt;Preisindex!$A$6),ROUND($E85*CJ85,2),0))</f>
        <v>0</v>
      </c>
      <c r="CL85" s="53">
        <f t="shared" si="385"/>
        <v>0</v>
      </c>
      <c r="CM85" s="51">
        <f t="shared" si="446"/>
        <v>0</v>
      </c>
      <c r="CN85" s="51">
        <f t="shared" si="332"/>
        <v>0</v>
      </c>
      <c r="CO85" s="51">
        <f t="shared" si="386"/>
        <v>0</v>
      </c>
      <c r="CP85" s="51">
        <f t="shared" si="333"/>
        <v>0</v>
      </c>
      <c r="CQ85" s="51">
        <f t="shared" si="387"/>
        <v>0</v>
      </c>
      <c r="CR85" s="51">
        <f t="shared" si="334"/>
        <v>0</v>
      </c>
      <c r="CS85" s="51">
        <f t="shared" si="388"/>
        <v>0</v>
      </c>
      <c r="CT85" s="51">
        <f t="shared" si="335"/>
        <v>0</v>
      </c>
      <c r="CU85" s="51">
        <f t="shared" si="389"/>
        <v>0</v>
      </c>
      <c r="CV85" s="51">
        <f t="shared" si="336"/>
        <v>0</v>
      </c>
      <c r="CW85" s="51">
        <f t="shared" si="390"/>
        <v>0</v>
      </c>
      <c r="CX85" s="54">
        <f t="shared" si="391"/>
        <v>0</v>
      </c>
      <c r="CY85" s="55">
        <f t="shared" si="392"/>
        <v>0</v>
      </c>
      <c r="CZ85" s="56">
        <f>IF(AND($E85&lt;&gt;0,$F85&gt;0,YEAR($F85)&gt;=Preisindex!$A$6,YEAR(CU$4)&gt;=YEAR($F85),AND($K85&lt;&gt;"a",$K85&lt;&gt;"b",$K85&lt;&gt;"g",$K85&lt;&gt;"k")),1,IF(AND($E85&lt;&gt;0,$F85&gt;0,YEAR($F85)&gt;=Preisindex!$A$6,YEAR(CU$4)&gt;=YEAR($F85),$K85="a"),ROUND(VLOOKUP(CZ$4,Preisindex,5,FALSE)/VLOOKUP(YEAR($F85),Preisindex,5,FALSE),2),IF(AND($E85&lt;&gt;0,$F85&gt;0,YEAR($F85)&gt;=Preisindex!$A$6,YEAR(CU$4)&gt;=YEAR($F85),$K85="b"),ROUND(VLOOKUP(CZ$4,Preisindex,3,FALSE)/VLOOKUP(YEAR($F85),Preisindex,3,FALSE),2),IF(AND($E85&lt;&gt;0,$F85&gt;0,YEAR($F85)&gt;=Preisindex!$A$6,YEAR(CU$4)&gt;=YEAR($F85),$K85="g"),ROUND(VLOOKUP(CZ$4,Preisindex,4,FALSE)/VLOOKUP(YEAR($F85),Preisindex,4,FALSE),2),IF(AND($E85&lt;&gt;0,$F85&gt;0,YEAR($F85)&gt;=Preisindex!$A$6,YEAR(CU$4)&gt;=YEAR($F85),$K85="k"),ROUND(VLOOKUP(CZ$4,Preisindex,2,FALSE)/VLOOKUP(YEAR($F85),Preisindex,2,FALSE),2),0)))))</f>
        <v>0</v>
      </c>
      <c r="DA85" s="56">
        <f>IF(AND($E85&lt;&gt;0,$F85&gt;0,YEAR($F85)&lt;Preisindex!$A$6,YEAR(CU$4)&gt;=YEAR($F85),AND($K85&lt;&gt;"a",$K85&lt;&gt;"b",$K85&lt;&gt;"g",$K85&lt;&gt;"k")),1,IF(AND($E85&lt;&gt;0,$F85&gt;0,YEAR($F85)&lt;Preisindex!$A$6,YEAR(CU$4)&gt;=YEAR($F85),$K85="a"),ROUND(VLOOKUP(CZ$4,Preisindex,5,FALSE)/VLOOKUP(Preisindex!$A$6,Preisindex,5,FALSE),2),IF(AND($E85&lt;&gt;0,$F85&gt;0,YEAR($F85)&lt;Preisindex!$A$6,YEAR(CU$4)&gt;=YEAR($F85),$K85="b"),ROUND(VLOOKUP(CZ$4,Preisindex,3,FALSE)/VLOOKUP(Preisindex!$A$6,Preisindex,3,FALSE),2),IF(AND($E85&lt;&gt;0,$F85&gt;0,YEAR($F85)&lt;Preisindex!$A$6,YEAR(CU$4)&gt;=YEAR($F85),$K85="g"),ROUND(VLOOKUP(CZ$4,Preisindex,4,FALSE)/VLOOKUP(Preisindex!$A$6,Preisindex,4,FALSE),2),IF(AND($E85&lt;&gt;0,$F85&gt;0,YEAR($F85)&lt;Preisindex!$A$6,YEAR(CU$4)&gt;=YEAR($F85),$K85="k"),ROUND(VLOOKUP(CZ$4,Preisindex,2,FALSE)/VLOOKUP(Preisindex!$A$6,Preisindex,2,FALSE),2),0)))))</f>
        <v>0</v>
      </c>
      <c r="DB85" s="51">
        <f>IF(AND($E85&lt;&gt;0,$F85&gt;0,YEAR($F85)&lt;=CZ$4,YEAR($F85)&gt;=Preisindex!$A$6),ROUND($E85*CZ85,2),IF(AND($E85&lt;&gt;0,$F85&gt;0,YEAR($F85)&lt;=CZ$4,YEAR($F85)&lt;Preisindex!$A$6),ROUND($E85*DA85,2),0))</f>
        <v>0</v>
      </c>
      <c r="DC85" s="53">
        <f t="shared" si="393"/>
        <v>0</v>
      </c>
      <c r="DD85" s="51">
        <f t="shared" ref="DD85:FC100" si="447">IF(YEAR($F85)=DD$4,$E85,0)</f>
        <v>0</v>
      </c>
      <c r="DE85" s="51">
        <f t="shared" si="337"/>
        <v>0</v>
      </c>
      <c r="DF85" s="51">
        <f t="shared" si="395"/>
        <v>0</v>
      </c>
      <c r="DG85" s="51">
        <f t="shared" si="338"/>
        <v>0</v>
      </c>
      <c r="DH85" s="51">
        <f t="shared" si="396"/>
        <v>0</v>
      </c>
      <c r="DI85" s="51">
        <f t="shared" si="339"/>
        <v>0</v>
      </c>
      <c r="DJ85" s="51">
        <f t="shared" si="397"/>
        <v>0</v>
      </c>
      <c r="DK85" s="51">
        <f t="shared" si="340"/>
        <v>0</v>
      </c>
      <c r="DL85" s="51">
        <f t="shared" si="398"/>
        <v>0</v>
      </c>
      <c r="DM85" s="51">
        <f t="shared" si="341"/>
        <v>0</v>
      </c>
      <c r="DN85" s="51">
        <f t="shared" si="399"/>
        <v>0</v>
      </c>
      <c r="DO85" s="54">
        <f t="shared" si="400"/>
        <v>0</v>
      </c>
      <c r="DP85" s="55">
        <f t="shared" si="401"/>
        <v>0</v>
      </c>
      <c r="DQ85" s="56">
        <f>IF(AND($E85&lt;&gt;0,$F85&gt;0,YEAR($F85)&gt;=Preisindex!$A$6,YEAR(DL$4)&gt;=YEAR($F85),AND($K85&lt;&gt;"a",$K85&lt;&gt;"b",$K85&lt;&gt;"g",$K85&lt;&gt;"k")),1,IF(AND($E85&lt;&gt;0,$F85&gt;0,YEAR($F85)&gt;=Preisindex!$A$6,YEAR(DL$4)&gt;=YEAR($F85),$K85="a"),ROUND(VLOOKUP(DQ$4,Preisindex,5,FALSE)/VLOOKUP(YEAR($F85),Preisindex,5,FALSE),2),IF(AND($E85&lt;&gt;0,$F85&gt;0,YEAR($F85)&gt;=Preisindex!$A$6,YEAR(DL$4)&gt;=YEAR($F85),$K85="b"),ROUND(VLOOKUP(DQ$4,Preisindex,3,FALSE)/VLOOKUP(YEAR($F85),Preisindex,3,FALSE),2),IF(AND($E85&lt;&gt;0,$F85&gt;0,YEAR($F85)&gt;=Preisindex!$A$6,YEAR(DL$4)&gt;=YEAR($F85),$K85="g"),ROUND(VLOOKUP(DQ$4,Preisindex,4,FALSE)/VLOOKUP(YEAR($F85),Preisindex,4,FALSE),2),IF(AND($E85&lt;&gt;0,$F85&gt;0,YEAR($F85)&gt;=Preisindex!$A$6,YEAR(DL$4)&gt;=YEAR($F85),$K85="k"),ROUND(VLOOKUP(DQ$4,Preisindex,2,FALSE)/VLOOKUP(YEAR($F85),Preisindex,2,FALSE),2),0)))))</f>
        <v>0</v>
      </c>
      <c r="DR85" s="56">
        <f>IF(AND($E85&lt;&gt;0,$F85&gt;0,YEAR($F85)&lt;Preisindex!$A$6,YEAR(DL$4)&gt;=YEAR($F85),AND($K85&lt;&gt;"a",$K85&lt;&gt;"b",$K85&lt;&gt;"g",$K85&lt;&gt;"k")),1,IF(AND($E85&lt;&gt;0,$F85&gt;0,YEAR($F85)&lt;Preisindex!$A$6,YEAR(DL$4)&gt;=YEAR($F85),$K85="a"),ROUND(VLOOKUP(DQ$4,Preisindex,5,FALSE)/VLOOKUP(Preisindex!$A$6,Preisindex,5,FALSE),2),IF(AND($E85&lt;&gt;0,$F85&gt;0,YEAR($F85)&lt;Preisindex!$A$6,YEAR(DL$4)&gt;=YEAR($F85),$K85="b"),ROUND(VLOOKUP(DQ$4,Preisindex,3,FALSE)/VLOOKUP(Preisindex!$A$6,Preisindex,3,FALSE),2),IF(AND($E85&lt;&gt;0,$F85&gt;0,YEAR($F85)&lt;Preisindex!$A$6,YEAR(DL$4)&gt;=YEAR($F85),$K85="g"),ROUND(VLOOKUP(DQ$4,Preisindex,4,FALSE)/VLOOKUP(Preisindex!$A$6,Preisindex,4,FALSE),2),IF(AND($E85&lt;&gt;0,$F85&gt;0,YEAR($F85)&lt;Preisindex!$A$6,YEAR(DL$4)&gt;=YEAR($F85),$K85="k"),ROUND(VLOOKUP(DQ$4,Preisindex,2,FALSE)/VLOOKUP(Preisindex!$A$6,Preisindex,2,FALSE),2),0)))))</f>
        <v>0</v>
      </c>
      <c r="DS85" s="51">
        <f>IF(AND($E85&lt;&gt;0,$F85&gt;0,YEAR($F85)&lt;=DQ$4,YEAR($F85)&gt;=Preisindex!$A$6),ROUND($E85*DQ85,2),IF(AND($E85&lt;&gt;0,$F85&gt;0,YEAR($F85)&lt;=DQ$4,YEAR($F85)&lt;Preisindex!$A$6),ROUND($E85*DR85,2),0))</f>
        <v>0</v>
      </c>
      <c r="DT85" s="53">
        <f t="shared" si="402"/>
        <v>0</v>
      </c>
      <c r="DU85" s="51">
        <f t="shared" si="447"/>
        <v>0</v>
      </c>
      <c r="DV85" s="51">
        <f t="shared" si="342"/>
        <v>0</v>
      </c>
      <c r="DW85" s="51">
        <f t="shared" si="403"/>
        <v>0</v>
      </c>
      <c r="DX85" s="51">
        <f t="shared" si="343"/>
        <v>0</v>
      </c>
      <c r="DY85" s="51">
        <f t="shared" si="404"/>
        <v>0</v>
      </c>
      <c r="DZ85" s="51">
        <f t="shared" si="344"/>
        <v>0</v>
      </c>
      <c r="EA85" s="51">
        <f t="shared" si="405"/>
        <v>0</v>
      </c>
      <c r="EB85" s="51">
        <f t="shared" si="345"/>
        <v>0</v>
      </c>
      <c r="EC85" s="51">
        <f t="shared" si="406"/>
        <v>0</v>
      </c>
      <c r="ED85" s="51">
        <f t="shared" si="346"/>
        <v>0</v>
      </c>
      <c r="EE85" s="51">
        <f t="shared" si="407"/>
        <v>0</v>
      </c>
      <c r="EF85" s="54">
        <f t="shared" si="408"/>
        <v>0</v>
      </c>
      <c r="EG85" s="55">
        <f t="shared" si="409"/>
        <v>0</v>
      </c>
      <c r="EH85" s="56">
        <f>IF(AND($E85&lt;&gt;0,$F85&gt;0,YEAR($F85)&gt;=Preisindex!$A$6,YEAR(EC$4)&gt;=YEAR($F85),AND($K85&lt;&gt;"a",$K85&lt;&gt;"b",$K85&lt;&gt;"g",$K85&lt;&gt;"k")),1,IF(AND($E85&lt;&gt;0,$F85&gt;0,YEAR($F85)&gt;=Preisindex!$A$6,YEAR(EC$4)&gt;=YEAR($F85),$K85="a"),ROUND(VLOOKUP(EH$4,Preisindex,5,FALSE)/VLOOKUP(YEAR($F85),Preisindex,5,FALSE),2),IF(AND($E85&lt;&gt;0,$F85&gt;0,YEAR($F85)&gt;=Preisindex!$A$6,YEAR(EC$4)&gt;=YEAR($F85),$K85="b"),ROUND(VLOOKUP(EH$4,Preisindex,3,FALSE)/VLOOKUP(YEAR($F85),Preisindex,3,FALSE),2),IF(AND($E85&lt;&gt;0,$F85&gt;0,YEAR($F85)&gt;=Preisindex!$A$6,YEAR(EC$4)&gt;=YEAR($F85),$K85="g"),ROUND(VLOOKUP(EH$4,Preisindex,4,FALSE)/VLOOKUP(YEAR($F85),Preisindex,4,FALSE),2),IF(AND($E85&lt;&gt;0,$F85&gt;0,YEAR($F85)&gt;=Preisindex!$A$6,YEAR(EC$4)&gt;=YEAR($F85),$K85="k"),ROUND(VLOOKUP(EH$4,Preisindex,2,FALSE)/VLOOKUP(YEAR($F85),Preisindex,2,FALSE),2),0)))))</f>
        <v>0</v>
      </c>
      <c r="EI85" s="56">
        <f>IF(AND($E85&lt;&gt;0,$F85&gt;0,YEAR($F85)&lt;Preisindex!$A$6,YEAR(EC$4)&gt;=YEAR($F85),AND($K85&lt;&gt;"a",$K85&lt;&gt;"b",$K85&lt;&gt;"g",$K85&lt;&gt;"k")),1,IF(AND($E85&lt;&gt;0,$F85&gt;0,YEAR($F85)&lt;Preisindex!$A$6,YEAR(EC$4)&gt;=YEAR($F85),$K85="a"),ROUND(VLOOKUP(EH$4,Preisindex,5,FALSE)/VLOOKUP(Preisindex!$A$6,Preisindex,5,FALSE),2),IF(AND($E85&lt;&gt;0,$F85&gt;0,YEAR($F85)&lt;Preisindex!$A$6,YEAR(EC$4)&gt;=YEAR($F85),$K85="b"),ROUND(VLOOKUP(EH$4,Preisindex,3,FALSE)/VLOOKUP(Preisindex!$A$6,Preisindex,3,FALSE),2),IF(AND($E85&lt;&gt;0,$F85&gt;0,YEAR($F85)&lt;Preisindex!$A$6,YEAR(EC$4)&gt;=YEAR($F85),$K85="g"),ROUND(VLOOKUP(EH$4,Preisindex,4,FALSE)/VLOOKUP(Preisindex!$A$6,Preisindex,4,FALSE),2),IF(AND($E85&lt;&gt;0,$F85&gt;0,YEAR($F85)&lt;Preisindex!$A$6,YEAR(EC$4)&gt;=YEAR($F85),$K85="k"),ROUND(VLOOKUP(EH$4,Preisindex,2,FALSE)/VLOOKUP(Preisindex!$A$6,Preisindex,2,FALSE),2),0)))))</f>
        <v>0</v>
      </c>
      <c r="EJ85" s="51">
        <f>IF(AND($E85&lt;&gt;0,$F85&gt;0,YEAR($F85)&lt;=EH$4,YEAR($F85)&gt;=Preisindex!$A$6),ROUND($E85*EH85,2),IF(AND($E85&lt;&gt;0,$F85&gt;0,YEAR($F85)&lt;=EH$4,YEAR($F85)&lt;Preisindex!$A$6),ROUND($E85*EI85,2),0))</f>
        <v>0</v>
      </c>
      <c r="EK85" s="53">
        <f t="shared" si="410"/>
        <v>0</v>
      </c>
      <c r="EL85" s="51">
        <f t="shared" si="447"/>
        <v>0</v>
      </c>
      <c r="EM85" s="51">
        <f t="shared" si="347"/>
        <v>0</v>
      </c>
      <c r="EN85" s="51">
        <f t="shared" si="411"/>
        <v>0</v>
      </c>
      <c r="EO85" s="51">
        <f t="shared" si="348"/>
        <v>0</v>
      </c>
      <c r="EP85" s="51">
        <f t="shared" si="412"/>
        <v>0</v>
      </c>
      <c r="EQ85" s="51">
        <f t="shared" si="349"/>
        <v>0</v>
      </c>
      <c r="ER85" s="51">
        <f t="shared" si="413"/>
        <v>0</v>
      </c>
      <c r="ES85" s="51">
        <f t="shared" si="350"/>
        <v>0</v>
      </c>
      <c r="ET85" s="51">
        <f t="shared" si="414"/>
        <v>0</v>
      </c>
      <c r="EU85" s="51">
        <f t="shared" si="351"/>
        <v>0</v>
      </c>
      <c r="EV85" s="51">
        <f t="shared" si="415"/>
        <v>0</v>
      </c>
      <c r="EW85" s="54">
        <f t="shared" si="416"/>
        <v>0</v>
      </c>
      <c r="EX85" s="55">
        <f t="shared" si="417"/>
        <v>0</v>
      </c>
      <c r="EY85" s="56">
        <f>IF(AND($E85&lt;&gt;0,$F85&gt;0,YEAR($F85)&gt;=Preisindex!$A$6,YEAR(ET$4)&gt;=YEAR($F85),AND($K85&lt;&gt;"a",$K85&lt;&gt;"b",$K85&lt;&gt;"g",$K85&lt;&gt;"k")),1,IF(AND($E85&lt;&gt;0,$F85&gt;0,YEAR($F85)&gt;=Preisindex!$A$6,YEAR(ET$4)&gt;=YEAR($F85),$K85="a"),ROUND(VLOOKUP(EY$4,Preisindex,5,FALSE)/VLOOKUP(YEAR($F85),Preisindex,5,FALSE),2),IF(AND($E85&lt;&gt;0,$F85&gt;0,YEAR($F85)&gt;=Preisindex!$A$6,YEAR(ET$4)&gt;=YEAR($F85),$K85="b"),ROUND(VLOOKUP(EY$4,Preisindex,3,FALSE)/VLOOKUP(YEAR($F85),Preisindex,3,FALSE),2),IF(AND($E85&lt;&gt;0,$F85&gt;0,YEAR($F85)&gt;=Preisindex!$A$6,YEAR(ET$4)&gt;=YEAR($F85),$K85="g"),ROUND(VLOOKUP(EY$4,Preisindex,4,FALSE)/VLOOKUP(YEAR($F85),Preisindex,4,FALSE),2),IF(AND($E85&lt;&gt;0,$F85&gt;0,YEAR($F85)&gt;=Preisindex!$A$6,YEAR(ET$4)&gt;=YEAR($F85),$K85="k"),ROUND(VLOOKUP(EY$4,Preisindex,2,FALSE)/VLOOKUP(YEAR($F85),Preisindex,2,FALSE),2),0)))))</f>
        <v>0</v>
      </c>
      <c r="EZ85" s="56">
        <f>IF(AND($E85&lt;&gt;0,$F85&gt;0,YEAR($F85)&lt;Preisindex!$A$6,YEAR(ET$4)&gt;=YEAR($F85),AND($K85&lt;&gt;"a",$K85&lt;&gt;"b",$K85&lt;&gt;"g",$K85&lt;&gt;"k")),1,IF(AND($E85&lt;&gt;0,$F85&gt;0,YEAR($F85)&lt;Preisindex!$A$6,YEAR(ET$4)&gt;=YEAR($F85),$K85="a"),ROUND(VLOOKUP(EY$4,Preisindex,5,FALSE)/VLOOKUP(Preisindex!$A$6,Preisindex,5,FALSE),2),IF(AND($E85&lt;&gt;0,$F85&gt;0,YEAR($F85)&lt;Preisindex!$A$6,YEAR(ET$4)&gt;=YEAR($F85),$K85="b"),ROUND(VLOOKUP(EY$4,Preisindex,3,FALSE)/VLOOKUP(Preisindex!$A$6,Preisindex,3,FALSE),2),IF(AND($E85&lt;&gt;0,$F85&gt;0,YEAR($F85)&lt;Preisindex!$A$6,YEAR(ET$4)&gt;=YEAR($F85),$K85="g"),ROUND(VLOOKUP(EY$4,Preisindex,4,FALSE)/VLOOKUP(Preisindex!$A$6,Preisindex,4,FALSE),2),IF(AND($E85&lt;&gt;0,$F85&gt;0,YEAR($F85)&lt;Preisindex!$A$6,YEAR(ET$4)&gt;=YEAR($F85),$K85="k"),ROUND(VLOOKUP(EY$4,Preisindex,2,FALSE)/VLOOKUP(Preisindex!$A$6,Preisindex,2,FALSE),2),0)))))</f>
        <v>0</v>
      </c>
      <c r="FA85" s="51">
        <f>IF(AND($E85&lt;&gt;0,$F85&gt;0,YEAR($F85)&lt;=EY$4,YEAR($F85)&gt;=Preisindex!$A$6),ROUND($E85*EY85,2),IF(AND($E85&lt;&gt;0,$F85&gt;0,YEAR($F85)&lt;=EY$4,YEAR($F85)&lt;Preisindex!$A$6),ROUND($E85*EZ85,2),0))</f>
        <v>0</v>
      </c>
      <c r="FB85" s="53">
        <f t="shared" si="418"/>
        <v>0</v>
      </c>
      <c r="FC85" s="51">
        <f t="shared" si="447"/>
        <v>0</v>
      </c>
      <c r="FD85" s="51">
        <f t="shared" si="352"/>
        <v>0</v>
      </c>
      <c r="FE85" s="51">
        <f t="shared" si="419"/>
        <v>0</v>
      </c>
      <c r="FF85" s="51">
        <f t="shared" si="353"/>
        <v>0</v>
      </c>
      <c r="FG85" s="51">
        <f t="shared" si="420"/>
        <v>0</v>
      </c>
      <c r="FH85" s="51">
        <f t="shared" si="354"/>
        <v>0</v>
      </c>
      <c r="FI85" s="51">
        <f t="shared" si="421"/>
        <v>0</v>
      </c>
      <c r="FJ85" s="51">
        <f t="shared" si="355"/>
        <v>0</v>
      </c>
      <c r="FK85" s="51">
        <f t="shared" si="422"/>
        <v>0</v>
      </c>
      <c r="FL85" s="51">
        <f t="shared" si="356"/>
        <v>0</v>
      </c>
      <c r="FM85" s="51">
        <f t="shared" si="423"/>
        <v>0</v>
      </c>
      <c r="FN85" s="54">
        <f t="shared" si="424"/>
        <v>0</v>
      </c>
      <c r="FO85" s="55">
        <f t="shared" si="425"/>
        <v>0</v>
      </c>
      <c r="FP85" s="56">
        <f>IF(AND($E85&lt;&gt;0,$F85&gt;0,YEAR($F85)&gt;=Preisindex!$A$6,YEAR(FK$4)&gt;=YEAR($F85),AND($K85&lt;&gt;"a",$K85&lt;&gt;"b",$K85&lt;&gt;"g",$K85&lt;&gt;"k")),1,IF(AND($E85&lt;&gt;0,$F85&gt;0,YEAR($F85)&gt;=Preisindex!$A$6,YEAR(FK$4)&gt;=YEAR($F85),$K85="a"),ROUND(VLOOKUP(FP$4,Preisindex,5,FALSE)/VLOOKUP(YEAR($F85),Preisindex,5,FALSE),2),IF(AND($E85&lt;&gt;0,$F85&gt;0,YEAR($F85)&gt;=Preisindex!$A$6,YEAR(FK$4)&gt;=YEAR($F85),$K85="b"),ROUND(VLOOKUP(FP$4,Preisindex,3,FALSE)/VLOOKUP(YEAR($F85),Preisindex,3,FALSE),2),IF(AND($E85&lt;&gt;0,$F85&gt;0,YEAR($F85)&gt;=Preisindex!$A$6,YEAR(FK$4)&gt;=YEAR($F85),$K85="g"),ROUND(VLOOKUP(FP$4,Preisindex,4,FALSE)/VLOOKUP(YEAR($F85),Preisindex,4,FALSE),2),IF(AND($E85&lt;&gt;0,$F85&gt;0,YEAR($F85)&gt;=Preisindex!$A$6,YEAR(FK$4)&gt;=YEAR($F85),$K85="k"),ROUND(VLOOKUP(FP$4,Preisindex,2,FALSE)/VLOOKUP(YEAR($F85),Preisindex,2,FALSE),2),0)))))</f>
        <v>0</v>
      </c>
      <c r="FQ85" s="56">
        <f>IF(AND($E85&lt;&gt;0,$F85&gt;0,YEAR($F85)&lt;Preisindex!$A$6,YEAR(FK$4)&gt;=YEAR($F85),AND($K85&lt;&gt;"a",$K85&lt;&gt;"b",$K85&lt;&gt;"g",$K85&lt;&gt;"k")),1,IF(AND($E85&lt;&gt;0,$F85&gt;0,YEAR($F85)&lt;Preisindex!$A$6,YEAR(FK$4)&gt;=YEAR($F85),$K85="a"),ROUND(VLOOKUP(FP$4,Preisindex,5,FALSE)/VLOOKUP(Preisindex!$A$6,Preisindex,5,FALSE),2),IF(AND($E85&lt;&gt;0,$F85&gt;0,YEAR($F85)&lt;Preisindex!$A$6,YEAR(FK$4)&gt;=YEAR($F85),$K85="b"),ROUND(VLOOKUP(FP$4,Preisindex,3,FALSE)/VLOOKUP(Preisindex!$A$6,Preisindex,3,FALSE),2),IF(AND($E85&lt;&gt;0,$F85&gt;0,YEAR($F85)&lt;Preisindex!$A$6,YEAR(FK$4)&gt;=YEAR($F85),$K85="g"),ROUND(VLOOKUP(FP$4,Preisindex,4,FALSE)/VLOOKUP(Preisindex!$A$6,Preisindex,4,FALSE),2),IF(AND($E85&lt;&gt;0,$F85&gt;0,YEAR($F85)&lt;Preisindex!$A$6,YEAR(FK$4)&gt;=YEAR($F85),$K85="k"),ROUND(VLOOKUP(FP$4,Preisindex,2,FALSE)/VLOOKUP(Preisindex!$A$6,Preisindex,2,FALSE),2),0)))))</f>
        <v>0</v>
      </c>
      <c r="FR85" s="51">
        <f>IF(AND($E85&lt;&gt;0,$F85&gt;0,YEAR($F85)&lt;=FP$4,YEAR($F85)&gt;=Preisindex!$A$6),ROUND($E85*FP85,2),IF(AND($E85&lt;&gt;0,$F85&gt;0,YEAR($F85)&lt;=FP$4,YEAR($F85)&lt;Preisindex!$A$6),ROUND($E85*FQ85,2),0))</f>
        <v>0</v>
      </c>
      <c r="FS85" s="53">
        <f t="shared" si="426"/>
        <v>0</v>
      </c>
    </row>
    <row r="86" spans="1:175" x14ac:dyDescent="0.3">
      <c r="A86" s="93"/>
      <c r="B86" s="94"/>
      <c r="C86" s="94"/>
      <c r="D86" s="95"/>
      <c r="E86" s="99"/>
      <c r="F86" s="97"/>
      <c r="G86" s="98"/>
      <c r="H86" s="620"/>
      <c r="I86" s="621"/>
      <c r="J86" s="194"/>
      <c r="K86" s="630"/>
      <c r="L86" s="49">
        <f t="shared" si="427"/>
        <v>0</v>
      </c>
      <c r="M86" s="50">
        <f t="shared" si="428"/>
        <v>0</v>
      </c>
      <c r="N86" s="51">
        <f t="shared" si="429"/>
        <v>0</v>
      </c>
      <c r="O86" s="51"/>
      <c r="P86" s="51">
        <f t="shared" si="430"/>
        <v>0</v>
      </c>
      <c r="Q86" s="52"/>
      <c r="R86" s="52"/>
      <c r="S86" s="52"/>
      <c r="T86" s="52"/>
      <c r="U86" s="52"/>
      <c r="V86" s="53">
        <f t="shared" si="431"/>
        <v>0</v>
      </c>
      <c r="W86" s="51">
        <f t="shared" si="432"/>
        <v>0</v>
      </c>
      <c r="X86" s="51">
        <f t="shared" si="433"/>
        <v>0</v>
      </c>
      <c r="Y86" s="51">
        <f t="shared" si="434"/>
        <v>0</v>
      </c>
      <c r="Z86" s="51">
        <f t="shared" si="435"/>
        <v>0</v>
      </c>
      <c r="AA86" s="51">
        <f t="shared" si="436"/>
        <v>0</v>
      </c>
      <c r="AB86" s="51">
        <f t="shared" si="437"/>
        <v>0</v>
      </c>
      <c r="AC86" s="51">
        <f t="shared" si="438"/>
        <v>0</v>
      </c>
      <c r="AD86" s="51">
        <f t="shared" si="439"/>
        <v>0</v>
      </c>
      <c r="AE86" s="51">
        <f t="shared" si="440"/>
        <v>0</v>
      </c>
      <c r="AF86" s="51">
        <f t="shared" si="441"/>
        <v>0</v>
      </c>
      <c r="AG86" s="51">
        <f t="shared" si="442"/>
        <v>0</v>
      </c>
      <c r="AH86" s="54">
        <f t="shared" si="443"/>
        <v>0</v>
      </c>
      <c r="AI86" s="55">
        <f t="shared" si="444"/>
        <v>0</v>
      </c>
      <c r="AJ86" s="56">
        <f>IF(AND($E86&lt;&gt;0,$F86&gt;0,YEAR($F86)&gt;=Preisindex!$A$6,YEAR(AE$4)&gt;=YEAR($F86),AND($K86&lt;&gt;"a",$K86&lt;&gt;"b",$K86&lt;&gt;"g",$K86&lt;&gt;"k")),1,IF(AND($E86&lt;&gt;0,$F86&gt;0,YEAR($F86)&gt;=Preisindex!$A$6,YEAR(AE$4)&gt;=YEAR($F86),$K86="a"),ROUND(VLOOKUP(AJ$4,Preisindex,5,FALSE)/VLOOKUP(YEAR($F86),Preisindex,5,FALSE),2),IF(AND($E86&lt;&gt;0,$F86&gt;0,YEAR($F86)&gt;=Preisindex!$A$6,YEAR(AE$4)&gt;=YEAR($F86),$K86="b"),ROUND(VLOOKUP(AJ$4,Preisindex,3,FALSE)/VLOOKUP(YEAR($F86),Preisindex,3,FALSE),2),IF(AND($E86&lt;&gt;0,$F86&gt;0,YEAR($F86)&gt;=Preisindex!$A$6,YEAR(AE$4)&gt;=YEAR($F86),$K86="g"),ROUND(VLOOKUP(AJ$4,Preisindex,4,FALSE)/VLOOKUP(YEAR($F86),Preisindex,4,FALSE),2),IF(AND($E86&lt;&gt;0,$F86&gt;0,YEAR($F86)&gt;=Preisindex!$A$6,YEAR(AE$4)&gt;=YEAR($F86),$K86="k"),ROUND(VLOOKUP(AJ$4,Preisindex,2,FALSE)/VLOOKUP(YEAR($F86),Preisindex,2,FALSE),2),0)))))</f>
        <v>0</v>
      </c>
      <c r="AK86" s="56">
        <f>IF(AND($E86&lt;&gt;0,$F86&gt;0,YEAR($F86)&lt;Preisindex!$A$6,YEAR(AE$4)&gt;=YEAR($F86),AND($K86&lt;&gt;"a",$K86&lt;&gt;"b",$K86&lt;&gt;"g",$K86&lt;&gt;"k")),1,IF(AND($E86&lt;&gt;0,$F86&gt;0,YEAR($F86)&lt;Preisindex!$A$6,YEAR(AE$4)&gt;=YEAR($F86),$K86="a"),ROUND(VLOOKUP(AJ$4,Preisindex,5,FALSE)/VLOOKUP(Preisindex!$A$6,Preisindex,5,FALSE),2),IF(AND($E86&lt;&gt;0,$F86&gt;0,YEAR($F86)&lt;Preisindex!$A$6,YEAR(AE$4)&gt;=YEAR($F86),$K86="b"),ROUND(VLOOKUP(AJ$4,Preisindex,3,FALSE)/VLOOKUP(Preisindex!$A$6,Preisindex,3,FALSE),2),IF(AND($E86&lt;&gt;0,$F86&gt;0,YEAR($F86)&lt;Preisindex!$A$6,YEAR(AE$4)&gt;=YEAR($F86),$K86="g"),ROUND(VLOOKUP(AJ$4,Preisindex,4,FALSE)/VLOOKUP(Preisindex!$A$6,Preisindex,4,FALSE),2),IF(AND($E86&lt;&gt;0,$F86&gt;0,YEAR($F86)&lt;Preisindex!$A$6,YEAR(AE$4)&gt;=YEAR($F86),$K86="k"),ROUND(VLOOKUP(AJ$4,Preisindex,2,FALSE)/VLOOKUP(Preisindex!$A$6,Preisindex,2,FALSE),2),0)))))</f>
        <v>0</v>
      </c>
      <c r="AL86" s="51">
        <f>IF(AND($E86&lt;&gt;0,$F86&gt;0,YEAR($F86)&lt;=AJ$4,YEAR($F86)&gt;=Preisindex!$A$6),ROUND($E86*AJ86,2),IF(AND($E86&lt;&gt;0,$F86&gt;0,YEAR($F86)&lt;=AJ$4,YEAR($F86)&lt;Preisindex!$A$6),ROUND($E86*AK86,2),0))</f>
        <v>0</v>
      </c>
      <c r="AM86" s="53">
        <f t="shared" si="445"/>
        <v>0</v>
      </c>
      <c r="AN86" s="51">
        <f t="shared" si="446"/>
        <v>0</v>
      </c>
      <c r="AO86" s="51">
        <f t="shared" ref="AO86:AO149" si="448">IF($J86&lt;&gt;"H",AN86,0)</f>
        <v>0</v>
      </c>
      <c r="AP86" s="51">
        <f t="shared" si="362"/>
        <v>0</v>
      </c>
      <c r="AQ86" s="51">
        <f t="shared" ref="AQ86:AQ149" si="449">IF($J86&lt;&gt;"H",AP86,0)</f>
        <v>0</v>
      </c>
      <c r="AR86" s="51">
        <f t="shared" si="363"/>
        <v>0</v>
      </c>
      <c r="AS86" s="51">
        <f t="shared" ref="AS86:AS149" si="450">IF(AT86&lt;&gt;0,ROUND(AT86/$M86*AR86,2),0)</f>
        <v>0</v>
      </c>
      <c r="AT86" s="51">
        <f t="shared" si="364"/>
        <v>0</v>
      </c>
      <c r="AU86" s="51">
        <f t="shared" ref="AU86:AU149" si="451">IF($J86&lt;&gt;"H",AT86,0)</f>
        <v>0</v>
      </c>
      <c r="AV86" s="51">
        <f t="shared" si="365"/>
        <v>0</v>
      </c>
      <c r="AW86" s="51">
        <f t="shared" ref="AW86:AW149" si="452">IF($J86&lt;&gt;"H",AV86,0)</f>
        <v>0</v>
      </c>
      <c r="AX86" s="51">
        <f t="shared" si="366"/>
        <v>0</v>
      </c>
      <c r="AY86" s="54">
        <f t="shared" si="367"/>
        <v>0</v>
      </c>
      <c r="AZ86" s="55">
        <f t="shared" si="368"/>
        <v>0</v>
      </c>
      <c r="BA86" s="56">
        <f>IF(AND($E86&lt;&gt;0,$F86&gt;0,YEAR($F86)&gt;=Preisindex!$A$6,YEAR(AV$4)&gt;=YEAR($F86),AND($K86&lt;&gt;"a",$K86&lt;&gt;"b",$K86&lt;&gt;"g",$K86&lt;&gt;"k")),1,IF(AND($E86&lt;&gt;0,$F86&gt;0,YEAR($F86)&gt;=Preisindex!$A$6,YEAR(AV$4)&gt;=YEAR($F86),$K86="a"),ROUND(VLOOKUP(BA$4,Preisindex,5,FALSE)/VLOOKUP(YEAR($F86),Preisindex,5,FALSE),2),IF(AND($E86&lt;&gt;0,$F86&gt;0,YEAR($F86)&gt;=Preisindex!$A$6,YEAR(AV$4)&gt;=YEAR($F86),$K86="b"),ROUND(VLOOKUP(BA$4,Preisindex,3,FALSE)/VLOOKUP(YEAR($F86),Preisindex,3,FALSE),2),IF(AND($E86&lt;&gt;0,$F86&gt;0,YEAR($F86)&gt;=Preisindex!$A$6,YEAR(AV$4)&gt;=YEAR($F86),$K86="g"),ROUND(VLOOKUP(BA$4,Preisindex,4,FALSE)/VLOOKUP(YEAR($F86),Preisindex,4,FALSE),2),IF(AND($E86&lt;&gt;0,$F86&gt;0,YEAR($F86)&gt;=Preisindex!$A$6,YEAR(AV$4)&gt;=YEAR($F86),$K86="k"),ROUND(VLOOKUP(BA$4,Preisindex,2,FALSE)/VLOOKUP(YEAR($F86),Preisindex,2,FALSE),2),0)))))</f>
        <v>0</v>
      </c>
      <c r="BB86" s="56">
        <f>IF(AND($E86&lt;&gt;0,$F86&gt;0,YEAR($F86)&lt;Preisindex!$A$6,YEAR(AV$4)&gt;=YEAR($F86),AND($K86&lt;&gt;"a",$K86&lt;&gt;"b",$K86&lt;&gt;"g",$K86&lt;&gt;"k")),1,IF(AND($E86&lt;&gt;0,$F86&gt;0,YEAR($F86)&lt;Preisindex!$A$6,YEAR(AV$4)&gt;=YEAR($F86),$K86="a"),ROUND(VLOOKUP(BA$4,Preisindex,5,FALSE)/VLOOKUP(Preisindex!$A$6,Preisindex,5,FALSE),2),IF(AND($E86&lt;&gt;0,$F86&gt;0,YEAR($F86)&lt;Preisindex!$A$6,YEAR(AV$4)&gt;=YEAR($F86),$K86="b"),ROUND(VLOOKUP(BA$4,Preisindex,3,FALSE)/VLOOKUP(Preisindex!$A$6,Preisindex,3,FALSE),2),IF(AND($E86&lt;&gt;0,$F86&gt;0,YEAR($F86)&lt;Preisindex!$A$6,YEAR(AV$4)&gt;=YEAR($F86),$K86="g"),ROUND(VLOOKUP(BA$4,Preisindex,4,FALSE)/VLOOKUP(Preisindex!$A$6,Preisindex,4,FALSE),2),IF(AND($E86&lt;&gt;0,$F86&gt;0,YEAR($F86)&lt;Preisindex!$A$6,YEAR(AV$4)&gt;=YEAR($F86),$K86="k"),ROUND(VLOOKUP(BA$4,Preisindex,2,FALSE)/VLOOKUP(Preisindex!$A$6,Preisindex,2,FALSE),2),0)))))</f>
        <v>0</v>
      </c>
      <c r="BC86" s="51">
        <f>IF(AND($E86&lt;&gt;0,$F86&gt;0,YEAR($F86)&lt;=BA$4,YEAR($F86)&gt;=Preisindex!$A$6),ROUND($E86*BA86,2),IF(AND($E86&lt;&gt;0,$F86&gt;0,YEAR($F86)&lt;=BA$4,YEAR($F86)&lt;Preisindex!$A$6),ROUND($E86*BB86,2),0))</f>
        <v>0</v>
      </c>
      <c r="BD86" s="53">
        <f t="shared" si="369"/>
        <v>0</v>
      </c>
      <c r="BE86" s="51">
        <f t="shared" si="446"/>
        <v>0</v>
      </c>
      <c r="BF86" s="51">
        <f t="shared" ref="BF86:BF149" si="453">IF($J86&lt;&gt;"H",BE86,0)</f>
        <v>0</v>
      </c>
      <c r="BG86" s="51">
        <f t="shared" si="370"/>
        <v>0</v>
      </c>
      <c r="BH86" s="51">
        <f t="shared" ref="BH86:BH149" si="454">IF($J86&lt;&gt;"H",BG86,0)</f>
        <v>0</v>
      </c>
      <c r="BI86" s="51">
        <f t="shared" si="371"/>
        <v>0</v>
      </c>
      <c r="BJ86" s="51">
        <f t="shared" ref="BJ86:BJ149" si="455">IF(BK86&lt;&gt;0,ROUND(BK86/$M86*BI86,2),0)</f>
        <v>0</v>
      </c>
      <c r="BK86" s="51">
        <f t="shared" si="372"/>
        <v>0</v>
      </c>
      <c r="BL86" s="51">
        <f t="shared" ref="BL86:BL149" si="456">IF($J86&lt;&gt;"H",BK86,0)</f>
        <v>0</v>
      </c>
      <c r="BM86" s="51">
        <f t="shared" si="373"/>
        <v>0</v>
      </c>
      <c r="BN86" s="51">
        <f t="shared" ref="BN86:BN149" si="457">IF($J86&lt;&gt;"H",BM86,0)</f>
        <v>0</v>
      </c>
      <c r="BO86" s="51">
        <f t="shared" si="374"/>
        <v>0</v>
      </c>
      <c r="BP86" s="54">
        <f t="shared" si="375"/>
        <v>0</v>
      </c>
      <c r="BQ86" s="55">
        <f t="shared" si="376"/>
        <v>0</v>
      </c>
      <c r="BR86" s="56">
        <f>IF(AND($E86&lt;&gt;0,$F86&gt;0,YEAR($F86)&gt;=Preisindex!$A$6,YEAR(BM$4)&gt;=YEAR($F86),AND($K86&lt;&gt;"a",$K86&lt;&gt;"b",$K86&lt;&gt;"g",$K86&lt;&gt;"k")),1,IF(AND($E86&lt;&gt;0,$F86&gt;0,YEAR($F86)&gt;=Preisindex!$A$6,YEAR(BM$4)&gt;=YEAR($F86),$K86="a"),ROUND(VLOOKUP(BR$4,Preisindex,5,FALSE)/VLOOKUP(YEAR($F86),Preisindex,5,FALSE),2),IF(AND($E86&lt;&gt;0,$F86&gt;0,YEAR($F86)&gt;=Preisindex!$A$6,YEAR(BM$4)&gt;=YEAR($F86),$K86="b"),ROUND(VLOOKUP(BR$4,Preisindex,3,FALSE)/VLOOKUP(YEAR($F86),Preisindex,3,FALSE),2),IF(AND($E86&lt;&gt;0,$F86&gt;0,YEAR($F86)&gt;=Preisindex!$A$6,YEAR(BM$4)&gt;=YEAR($F86),$K86="g"),ROUND(VLOOKUP(BR$4,Preisindex,4,FALSE)/VLOOKUP(YEAR($F86),Preisindex,4,FALSE),2),IF(AND($E86&lt;&gt;0,$F86&gt;0,YEAR($F86)&gt;=Preisindex!$A$6,YEAR(BM$4)&gt;=YEAR($F86),$K86="k"),ROUND(VLOOKUP(BR$4,Preisindex,2,FALSE)/VLOOKUP(YEAR($F86),Preisindex,2,FALSE),2),0)))))</f>
        <v>0</v>
      </c>
      <c r="BS86" s="56">
        <f>IF(AND($E86&lt;&gt;0,$F86&gt;0,YEAR($F86)&lt;Preisindex!$A$6,YEAR(BM$4)&gt;=YEAR($F86),AND($K86&lt;&gt;"a",$K86&lt;&gt;"b",$K86&lt;&gt;"g",$K86&lt;&gt;"k")),1,IF(AND($E86&lt;&gt;0,$F86&gt;0,YEAR($F86)&lt;Preisindex!$A$6,YEAR(BM$4)&gt;=YEAR($F86),$K86="a"),ROUND(VLOOKUP(BR$4,Preisindex,5,FALSE)/VLOOKUP(Preisindex!$A$6,Preisindex,5,FALSE),2),IF(AND($E86&lt;&gt;0,$F86&gt;0,YEAR($F86)&lt;Preisindex!$A$6,YEAR(BM$4)&gt;=YEAR($F86),$K86="b"),ROUND(VLOOKUP(BR$4,Preisindex,3,FALSE)/VLOOKUP(Preisindex!$A$6,Preisindex,3,FALSE),2),IF(AND($E86&lt;&gt;0,$F86&gt;0,YEAR($F86)&lt;Preisindex!$A$6,YEAR(BM$4)&gt;=YEAR($F86),$K86="g"),ROUND(VLOOKUP(BR$4,Preisindex,4,FALSE)/VLOOKUP(Preisindex!$A$6,Preisindex,4,FALSE),2),IF(AND($E86&lt;&gt;0,$F86&gt;0,YEAR($F86)&lt;Preisindex!$A$6,YEAR(BM$4)&gt;=YEAR($F86),$K86="k"),ROUND(VLOOKUP(BR$4,Preisindex,2,FALSE)/VLOOKUP(Preisindex!$A$6,Preisindex,2,FALSE),2),0)))))</f>
        <v>0</v>
      </c>
      <c r="BT86" s="51">
        <f>IF(AND($E86&lt;&gt;0,$F86&gt;0,YEAR($F86)&lt;=BR$4,YEAR($F86)&gt;=Preisindex!$A$6),ROUND($E86*BR86,2),IF(AND($E86&lt;&gt;0,$F86&gt;0,YEAR($F86)&lt;=BR$4,YEAR($F86)&lt;Preisindex!$A$6),ROUND($E86*BS86,2),0))</f>
        <v>0</v>
      </c>
      <c r="BU86" s="53">
        <f t="shared" si="377"/>
        <v>0</v>
      </c>
      <c r="BV86" s="51">
        <f t="shared" si="446"/>
        <v>0</v>
      </c>
      <c r="BW86" s="51">
        <f t="shared" ref="BW86:BW149" si="458">IF($J86&lt;&gt;"H",BV86,0)</f>
        <v>0</v>
      </c>
      <c r="BX86" s="51">
        <f t="shared" si="378"/>
        <v>0</v>
      </c>
      <c r="BY86" s="51">
        <f t="shared" ref="BY86:BY149" si="459">IF($J86&lt;&gt;"H",BX86,0)</f>
        <v>0</v>
      </c>
      <c r="BZ86" s="51">
        <f t="shared" si="379"/>
        <v>0</v>
      </c>
      <c r="CA86" s="51">
        <f t="shared" ref="CA86:CA149" si="460">IF(CB86&lt;&gt;0,ROUND(CB86/$M86*BZ86,2),0)</f>
        <v>0</v>
      </c>
      <c r="CB86" s="51">
        <f t="shared" si="380"/>
        <v>0</v>
      </c>
      <c r="CC86" s="51">
        <f t="shared" ref="CC86:CC149" si="461">IF($J86&lt;&gt;"H",CB86,0)</f>
        <v>0</v>
      </c>
      <c r="CD86" s="51">
        <f t="shared" si="381"/>
        <v>0</v>
      </c>
      <c r="CE86" s="51">
        <f t="shared" ref="CE86:CE149" si="462">IF($J86&lt;&gt;"H",CD86,0)</f>
        <v>0</v>
      </c>
      <c r="CF86" s="51">
        <f t="shared" si="382"/>
        <v>0</v>
      </c>
      <c r="CG86" s="54">
        <f t="shared" si="383"/>
        <v>0</v>
      </c>
      <c r="CH86" s="55">
        <f t="shared" si="384"/>
        <v>0</v>
      </c>
      <c r="CI86" s="56">
        <f>IF(AND($E86&lt;&gt;0,$F86&gt;0,YEAR($F86)&gt;=Preisindex!$A$6,YEAR(CD$4)&gt;=YEAR($F86),AND($K86&lt;&gt;"a",$K86&lt;&gt;"b",$K86&lt;&gt;"g",$K86&lt;&gt;"k")),1,IF(AND($E86&lt;&gt;0,$F86&gt;0,YEAR($F86)&gt;=Preisindex!$A$6,YEAR(CD$4)&gt;=YEAR($F86),$K86="a"),ROUND(VLOOKUP(CI$4,Preisindex,5,FALSE)/VLOOKUP(YEAR($F86),Preisindex,5,FALSE),2),IF(AND($E86&lt;&gt;0,$F86&gt;0,YEAR($F86)&gt;=Preisindex!$A$6,YEAR(CD$4)&gt;=YEAR($F86),$K86="b"),ROUND(VLOOKUP(CI$4,Preisindex,3,FALSE)/VLOOKUP(YEAR($F86),Preisindex,3,FALSE),2),IF(AND($E86&lt;&gt;0,$F86&gt;0,YEAR($F86)&gt;=Preisindex!$A$6,YEAR(CD$4)&gt;=YEAR($F86),$K86="g"),ROUND(VLOOKUP(CI$4,Preisindex,4,FALSE)/VLOOKUP(YEAR($F86),Preisindex,4,FALSE),2),IF(AND($E86&lt;&gt;0,$F86&gt;0,YEAR($F86)&gt;=Preisindex!$A$6,YEAR(CD$4)&gt;=YEAR($F86),$K86="k"),ROUND(VLOOKUP(CI$4,Preisindex,2,FALSE)/VLOOKUP(YEAR($F86),Preisindex,2,FALSE),2),0)))))</f>
        <v>0</v>
      </c>
      <c r="CJ86" s="56">
        <f>IF(AND($E86&lt;&gt;0,$F86&gt;0,YEAR($F86)&lt;Preisindex!$A$6,YEAR(CD$4)&gt;=YEAR($F86),AND($K86&lt;&gt;"a",$K86&lt;&gt;"b",$K86&lt;&gt;"g",$K86&lt;&gt;"k")),1,IF(AND($E86&lt;&gt;0,$F86&gt;0,YEAR($F86)&lt;Preisindex!$A$6,YEAR(CD$4)&gt;=YEAR($F86),$K86="a"),ROUND(VLOOKUP(CI$4,Preisindex,5,FALSE)/VLOOKUP(Preisindex!$A$6,Preisindex,5,FALSE),2),IF(AND($E86&lt;&gt;0,$F86&gt;0,YEAR($F86)&lt;Preisindex!$A$6,YEAR(CD$4)&gt;=YEAR($F86),$K86="b"),ROUND(VLOOKUP(CI$4,Preisindex,3,FALSE)/VLOOKUP(Preisindex!$A$6,Preisindex,3,FALSE),2),IF(AND($E86&lt;&gt;0,$F86&gt;0,YEAR($F86)&lt;Preisindex!$A$6,YEAR(CD$4)&gt;=YEAR($F86),$K86="g"),ROUND(VLOOKUP(CI$4,Preisindex,4,FALSE)/VLOOKUP(Preisindex!$A$6,Preisindex,4,FALSE),2),IF(AND($E86&lt;&gt;0,$F86&gt;0,YEAR($F86)&lt;Preisindex!$A$6,YEAR(CD$4)&gt;=YEAR($F86),$K86="k"),ROUND(VLOOKUP(CI$4,Preisindex,2,FALSE)/VLOOKUP(Preisindex!$A$6,Preisindex,2,FALSE),2),0)))))</f>
        <v>0</v>
      </c>
      <c r="CK86" s="51">
        <f>IF(AND($E86&lt;&gt;0,$F86&gt;0,YEAR($F86)&lt;=CI$4,YEAR($F86)&gt;=Preisindex!$A$6),ROUND($E86*CI86,2),IF(AND($E86&lt;&gt;0,$F86&gt;0,YEAR($F86)&lt;=CI$4,YEAR($F86)&lt;Preisindex!$A$6),ROUND($E86*CJ86,2),0))</f>
        <v>0</v>
      </c>
      <c r="CL86" s="53">
        <f t="shared" si="385"/>
        <v>0</v>
      </c>
      <c r="CM86" s="51">
        <f t="shared" si="446"/>
        <v>0</v>
      </c>
      <c r="CN86" s="51">
        <f t="shared" ref="CN86:CN149" si="463">IF($J86&lt;&gt;"H",CM86,0)</f>
        <v>0</v>
      </c>
      <c r="CO86" s="51">
        <f t="shared" si="386"/>
        <v>0</v>
      </c>
      <c r="CP86" s="51">
        <f t="shared" ref="CP86:CP149" si="464">IF($J86&lt;&gt;"H",CO86,0)</f>
        <v>0</v>
      </c>
      <c r="CQ86" s="51">
        <f t="shared" si="387"/>
        <v>0</v>
      </c>
      <c r="CR86" s="51">
        <f t="shared" ref="CR86:CR149" si="465">IF(CS86&lt;&gt;0,ROUND(CS86/$M86*CQ86,2),0)</f>
        <v>0</v>
      </c>
      <c r="CS86" s="51">
        <f t="shared" si="388"/>
        <v>0</v>
      </c>
      <c r="CT86" s="51">
        <f t="shared" ref="CT86:CT149" si="466">IF($J86&lt;&gt;"H",CS86,0)</f>
        <v>0</v>
      </c>
      <c r="CU86" s="51">
        <f t="shared" si="389"/>
        <v>0</v>
      </c>
      <c r="CV86" s="51">
        <f t="shared" ref="CV86:CV149" si="467">IF($J86&lt;&gt;"H",CU86,0)</f>
        <v>0</v>
      </c>
      <c r="CW86" s="51">
        <f t="shared" si="390"/>
        <v>0</v>
      </c>
      <c r="CX86" s="54">
        <f t="shared" si="391"/>
        <v>0</v>
      </c>
      <c r="CY86" s="55">
        <f t="shared" si="392"/>
        <v>0</v>
      </c>
      <c r="CZ86" s="56">
        <f>IF(AND($E86&lt;&gt;0,$F86&gt;0,YEAR($F86)&gt;=Preisindex!$A$6,YEAR(CU$4)&gt;=YEAR($F86),AND($K86&lt;&gt;"a",$K86&lt;&gt;"b",$K86&lt;&gt;"g",$K86&lt;&gt;"k")),1,IF(AND($E86&lt;&gt;0,$F86&gt;0,YEAR($F86)&gt;=Preisindex!$A$6,YEAR(CU$4)&gt;=YEAR($F86),$K86="a"),ROUND(VLOOKUP(CZ$4,Preisindex,5,FALSE)/VLOOKUP(YEAR($F86),Preisindex,5,FALSE),2),IF(AND($E86&lt;&gt;0,$F86&gt;0,YEAR($F86)&gt;=Preisindex!$A$6,YEAR(CU$4)&gt;=YEAR($F86),$K86="b"),ROUND(VLOOKUP(CZ$4,Preisindex,3,FALSE)/VLOOKUP(YEAR($F86),Preisindex,3,FALSE),2),IF(AND($E86&lt;&gt;0,$F86&gt;0,YEAR($F86)&gt;=Preisindex!$A$6,YEAR(CU$4)&gt;=YEAR($F86),$K86="g"),ROUND(VLOOKUP(CZ$4,Preisindex,4,FALSE)/VLOOKUP(YEAR($F86),Preisindex,4,FALSE),2),IF(AND($E86&lt;&gt;0,$F86&gt;0,YEAR($F86)&gt;=Preisindex!$A$6,YEAR(CU$4)&gt;=YEAR($F86),$K86="k"),ROUND(VLOOKUP(CZ$4,Preisindex,2,FALSE)/VLOOKUP(YEAR($F86),Preisindex,2,FALSE),2),0)))))</f>
        <v>0</v>
      </c>
      <c r="DA86" s="56">
        <f>IF(AND($E86&lt;&gt;0,$F86&gt;0,YEAR($F86)&lt;Preisindex!$A$6,YEAR(CU$4)&gt;=YEAR($F86),AND($K86&lt;&gt;"a",$K86&lt;&gt;"b",$K86&lt;&gt;"g",$K86&lt;&gt;"k")),1,IF(AND($E86&lt;&gt;0,$F86&gt;0,YEAR($F86)&lt;Preisindex!$A$6,YEAR(CU$4)&gt;=YEAR($F86),$K86="a"),ROUND(VLOOKUP(CZ$4,Preisindex,5,FALSE)/VLOOKUP(Preisindex!$A$6,Preisindex,5,FALSE),2),IF(AND($E86&lt;&gt;0,$F86&gt;0,YEAR($F86)&lt;Preisindex!$A$6,YEAR(CU$4)&gt;=YEAR($F86),$K86="b"),ROUND(VLOOKUP(CZ$4,Preisindex,3,FALSE)/VLOOKUP(Preisindex!$A$6,Preisindex,3,FALSE),2),IF(AND($E86&lt;&gt;0,$F86&gt;0,YEAR($F86)&lt;Preisindex!$A$6,YEAR(CU$4)&gt;=YEAR($F86),$K86="g"),ROUND(VLOOKUP(CZ$4,Preisindex,4,FALSE)/VLOOKUP(Preisindex!$A$6,Preisindex,4,FALSE),2),IF(AND($E86&lt;&gt;0,$F86&gt;0,YEAR($F86)&lt;Preisindex!$A$6,YEAR(CU$4)&gt;=YEAR($F86),$K86="k"),ROUND(VLOOKUP(CZ$4,Preisindex,2,FALSE)/VLOOKUP(Preisindex!$A$6,Preisindex,2,FALSE),2),0)))))</f>
        <v>0</v>
      </c>
      <c r="DB86" s="51">
        <f>IF(AND($E86&lt;&gt;0,$F86&gt;0,YEAR($F86)&lt;=CZ$4,YEAR($F86)&gt;=Preisindex!$A$6),ROUND($E86*CZ86,2),IF(AND($E86&lt;&gt;0,$F86&gt;0,YEAR($F86)&lt;=CZ$4,YEAR($F86)&lt;Preisindex!$A$6),ROUND($E86*DA86,2),0))</f>
        <v>0</v>
      </c>
      <c r="DC86" s="53">
        <f t="shared" si="393"/>
        <v>0</v>
      </c>
      <c r="DD86" s="51">
        <f t="shared" si="447"/>
        <v>0</v>
      </c>
      <c r="DE86" s="51">
        <f t="shared" ref="DE86:DE149" si="468">IF($J86&lt;&gt;"H",DD86,0)</f>
        <v>0</v>
      </c>
      <c r="DF86" s="51">
        <f t="shared" si="395"/>
        <v>0</v>
      </c>
      <c r="DG86" s="51">
        <f t="shared" ref="DG86:DG149" si="469">IF($J86&lt;&gt;"H",DF86,0)</f>
        <v>0</v>
      </c>
      <c r="DH86" s="51">
        <f t="shared" si="396"/>
        <v>0</v>
      </c>
      <c r="DI86" s="51">
        <f t="shared" ref="DI86:DI149" si="470">IF(DJ86&lt;&gt;0,ROUND(DJ86/$M86*DH86,2),0)</f>
        <v>0</v>
      </c>
      <c r="DJ86" s="51">
        <f t="shared" si="397"/>
        <v>0</v>
      </c>
      <c r="DK86" s="51">
        <f t="shared" ref="DK86:DK149" si="471">IF($J86&lt;&gt;"H",DJ86,0)</f>
        <v>0</v>
      </c>
      <c r="DL86" s="51">
        <f t="shared" si="398"/>
        <v>0</v>
      </c>
      <c r="DM86" s="51">
        <f t="shared" ref="DM86:DM149" si="472">IF($J86&lt;&gt;"H",DL86,0)</f>
        <v>0</v>
      </c>
      <c r="DN86" s="51">
        <f t="shared" si="399"/>
        <v>0</v>
      </c>
      <c r="DO86" s="54">
        <f t="shared" si="400"/>
        <v>0</v>
      </c>
      <c r="DP86" s="55">
        <f t="shared" si="401"/>
        <v>0</v>
      </c>
      <c r="DQ86" s="56">
        <f>IF(AND($E86&lt;&gt;0,$F86&gt;0,YEAR($F86)&gt;=Preisindex!$A$6,YEAR(DL$4)&gt;=YEAR($F86),AND($K86&lt;&gt;"a",$K86&lt;&gt;"b",$K86&lt;&gt;"g",$K86&lt;&gt;"k")),1,IF(AND($E86&lt;&gt;0,$F86&gt;0,YEAR($F86)&gt;=Preisindex!$A$6,YEAR(DL$4)&gt;=YEAR($F86),$K86="a"),ROUND(VLOOKUP(DQ$4,Preisindex,5,FALSE)/VLOOKUP(YEAR($F86),Preisindex,5,FALSE),2),IF(AND($E86&lt;&gt;0,$F86&gt;0,YEAR($F86)&gt;=Preisindex!$A$6,YEAR(DL$4)&gt;=YEAR($F86),$K86="b"),ROUND(VLOOKUP(DQ$4,Preisindex,3,FALSE)/VLOOKUP(YEAR($F86),Preisindex,3,FALSE),2),IF(AND($E86&lt;&gt;0,$F86&gt;0,YEAR($F86)&gt;=Preisindex!$A$6,YEAR(DL$4)&gt;=YEAR($F86),$K86="g"),ROUND(VLOOKUP(DQ$4,Preisindex,4,FALSE)/VLOOKUP(YEAR($F86),Preisindex,4,FALSE),2),IF(AND($E86&lt;&gt;0,$F86&gt;0,YEAR($F86)&gt;=Preisindex!$A$6,YEAR(DL$4)&gt;=YEAR($F86),$K86="k"),ROUND(VLOOKUP(DQ$4,Preisindex,2,FALSE)/VLOOKUP(YEAR($F86),Preisindex,2,FALSE),2),0)))))</f>
        <v>0</v>
      </c>
      <c r="DR86" s="56">
        <f>IF(AND($E86&lt;&gt;0,$F86&gt;0,YEAR($F86)&lt;Preisindex!$A$6,YEAR(DL$4)&gt;=YEAR($F86),AND($K86&lt;&gt;"a",$K86&lt;&gt;"b",$K86&lt;&gt;"g",$K86&lt;&gt;"k")),1,IF(AND($E86&lt;&gt;0,$F86&gt;0,YEAR($F86)&lt;Preisindex!$A$6,YEAR(DL$4)&gt;=YEAR($F86),$K86="a"),ROUND(VLOOKUP(DQ$4,Preisindex,5,FALSE)/VLOOKUP(Preisindex!$A$6,Preisindex,5,FALSE),2),IF(AND($E86&lt;&gt;0,$F86&gt;0,YEAR($F86)&lt;Preisindex!$A$6,YEAR(DL$4)&gt;=YEAR($F86),$K86="b"),ROUND(VLOOKUP(DQ$4,Preisindex,3,FALSE)/VLOOKUP(Preisindex!$A$6,Preisindex,3,FALSE),2),IF(AND($E86&lt;&gt;0,$F86&gt;0,YEAR($F86)&lt;Preisindex!$A$6,YEAR(DL$4)&gt;=YEAR($F86),$K86="g"),ROUND(VLOOKUP(DQ$4,Preisindex,4,FALSE)/VLOOKUP(Preisindex!$A$6,Preisindex,4,FALSE),2),IF(AND($E86&lt;&gt;0,$F86&gt;0,YEAR($F86)&lt;Preisindex!$A$6,YEAR(DL$4)&gt;=YEAR($F86),$K86="k"),ROUND(VLOOKUP(DQ$4,Preisindex,2,FALSE)/VLOOKUP(Preisindex!$A$6,Preisindex,2,FALSE),2),0)))))</f>
        <v>0</v>
      </c>
      <c r="DS86" s="51">
        <f>IF(AND($E86&lt;&gt;0,$F86&gt;0,YEAR($F86)&lt;=DQ$4,YEAR($F86)&gt;=Preisindex!$A$6),ROUND($E86*DQ86,2),IF(AND($E86&lt;&gt;0,$F86&gt;0,YEAR($F86)&lt;=DQ$4,YEAR($F86)&lt;Preisindex!$A$6),ROUND($E86*DR86,2),0))</f>
        <v>0</v>
      </c>
      <c r="DT86" s="53">
        <f t="shared" si="402"/>
        <v>0</v>
      </c>
      <c r="DU86" s="51">
        <f t="shared" si="447"/>
        <v>0</v>
      </c>
      <c r="DV86" s="51">
        <f t="shared" ref="DV86:DV149" si="473">IF($J86&lt;&gt;"H",DU86,0)</f>
        <v>0</v>
      </c>
      <c r="DW86" s="51">
        <f t="shared" si="403"/>
        <v>0</v>
      </c>
      <c r="DX86" s="51">
        <f t="shared" ref="DX86:DX149" si="474">IF($J86&lt;&gt;"H",DW86,0)</f>
        <v>0</v>
      </c>
      <c r="DY86" s="51">
        <f t="shared" si="404"/>
        <v>0</v>
      </c>
      <c r="DZ86" s="51">
        <f t="shared" ref="DZ86:DZ149" si="475">IF(EA86&lt;&gt;0,ROUND(EA86/$M86*DY86,2),0)</f>
        <v>0</v>
      </c>
      <c r="EA86" s="51">
        <f t="shared" si="405"/>
        <v>0</v>
      </c>
      <c r="EB86" s="51">
        <f t="shared" ref="EB86:EB149" si="476">IF($J86&lt;&gt;"H",EA86,0)</f>
        <v>0</v>
      </c>
      <c r="EC86" s="51">
        <f t="shared" si="406"/>
        <v>0</v>
      </c>
      <c r="ED86" s="51">
        <f t="shared" ref="ED86:ED149" si="477">IF($J86&lt;&gt;"H",EC86,0)</f>
        <v>0</v>
      </c>
      <c r="EE86" s="51">
        <f t="shared" si="407"/>
        <v>0</v>
      </c>
      <c r="EF86" s="54">
        <f t="shared" si="408"/>
        <v>0</v>
      </c>
      <c r="EG86" s="55">
        <f t="shared" si="409"/>
        <v>0</v>
      </c>
      <c r="EH86" s="56">
        <f>IF(AND($E86&lt;&gt;0,$F86&gt;0,YEAR($F86)&gt;=Preisindex!$A$6,YEAR(EC$4)&gt;=YEAR($F86),AND($K86&lt;&gt;"a",$K86&lt;&gt;"b",$K86&lt;&gt;"g",$K86&lt;&gt;"k")),1,IF(AND($E86&lt;&gt;0,$F86&gt;0,YEAR($F86)&gt;=Preisindex!$A$6,YEAR(EC$4)&gt;=YEAR($F86),$K86="a"),ROUND(VLOOKUP(EH$4,Preisindex,5,FALSE)/VLOOKUP(YEAR($F86),Preisindex,5,FALSE),2),IF(AND($E86&lt;&gt;0,$F86&gt;0,YEAR($F86)&gt;=Preisindex!$A$6,YEAR(EC$4)&gt;=YEAR($F86),$K86="b"),ROUND(VLOOKUP(EH$4,Preisindex,3,FALSE)/VLOOKUP(YEAR($F86),Preisindex,3,FALSE),2),IF(AND($E86&lt;&gt;0,$F86&gt;0,YEAR($F86)&gt;=Preisindex!$A$6,YEAR(EC$4)&gt;=YEAR($F86),$K86="g"),ROUND(VLOOKUP(EH$4,Preisindex,4,FALSE)/VLOOKUP(YEAR($F86),Preisindex,4,FALSE),2),IF(AND($E86&lt;&gt;0,$F86&gt;0,YEAR($F86)&gt;=Preisindex!$A$6,YEAR(EC$4)&gt;=YEAR($F86),$K86="k"),ROUND(VLOOKUP(EH$4,Preisindex,2,FALSE)/VLOOKUP(YEAR($F86),Preisindex,2,FALSE),2),0)))))</f>
        <v>0</v>
      </c>
      <c r="EI86" s="56">
        <f>IF(AND($E86&lt;&gt;0,$F86&gt;0,YEAR($F86)&lt;Preisindex!$A$6,YEAR(EC$4)&gt;=YEAR($F86),AND($K86&lt;&gt;"a",$K86&lt;&gt;"b",$K86&lt;&gt;"g",$K86&lt;&gt;"k")),1,IF(AND($E86&lt;&gt;0,$F86&gt;0,YEAR($F86)&lt;Preisindex!$A$6,YEAR(EC$4)&gt;=YEAR($F86),$K86="a"),ROUND(VLOOKUP(EH$4,Preisindex,5,FALSE)/VLOOKUP(Preisindex!$A$6,Preisindex,5,FALSE),2),IF(AND($E86&lt;&gt;0,$F86&gt;0,YEAR($F86)&lt;Preisindex!$A$6,YEAR(EC$4)&gt;=YEAR($F86),$K86="b"),ROUND(VLOOKUP(EH$4,Preisindex,3,FALSE)/VLOOKUP(Preisindex!$A$6,Preisindex,3,FALSE),2),IF(AND($E86&lt;&gt;0,$F86&gt;0,YEAR($F86)&lt;Preisindex!$A$6,YEAR(EC$4)&gt;=YEAR($F86),$K86="g"),ROUND(VLOOKUP(EH$4,Preisindex,4,FALSE)/VLOOKUP(Preisindex!$A$6,Preisindex,4,FALSE),2),IF(AND($E86&lt;&gt;0,$F86&gt;0,YEAR($F86)&lt;Preisindex!$A$6,YEAR(EC$4)&gt;=YEAR($F86),$K86="k"),ROUND(VLOOKUP(EH$4,Preisindex,2,FALSE)/VLOOKUP(Preisindex!$A$6,Preisindex,2,FALSE),2),0)))))</f>
        <v>0</v>
      </c>
      <c r="EJ86" s="51">
        <f>IF(AND($E86&lt;&gt;0,$F86&gt;0,YEAR($F86)&lt;=EH$4,YEAR($F86)&gt;=Preisindex!$A$6),ROUND($E86*EH86,2),IF(AND($E86&lt;&gt;0,$F86&gt;0,YEAR($F86)&lt;=EH$4,YEAR($F86)&lt;Preisindex!$A$6),ROUND($E86*EI86,2),0))</f>
        <v>0</v>
      </c>
      <c r="EK86" s="53">
        <f t="shared" si="410"/>
        <v>0</v>
      </c>
      <c r="EL86" s="51">
        <f t="shared" si="447"/>
        <v>0</v>
      </c>
      <c r="EM86" s="51">
        <f t="shared" ref="EM86:EM149" si="478">IF($J86&lt;&gt;"H",EL86,0)</f>
        <v>0</v>
      </c>
      <c r="EN86" s="51">
        <f t="shared" si="411"/>
        <v>0</v>
      </c>
      <c r="EO86" s="51">
        <f t="shared" ref="EO86:EO149" si="479">IF($J86&lt;&gt;"H",EN86,0)</f>
        <v>0</v>
      </c>
      <c r="EP86" s="51">
        <f t="shared" si="412"/>
        <v>0</v>
      </c>
      <c r="EQ86" s="51">
        <f t="shared" ref="EQ86:EQ149" si="480">IF(ER86&lt;&gt;0,ROUND(ER86/$M86*EP86,2),0)</f>
        <v>0</v>
      </c>
      <c r="ER86" s="51">
        <f t="shared" si="413"/>
        <v>0</v>
      </c>
      <c r="ES86" s="51">
        <f t="shared" ref="ES86:ES149" si="481">IF($J86&lt;&gt;"H",ER86,0)</f>
        <v>0</v>
      </c>
      <c r="ET86" s="51">
        <f t="shared" si="414"/>
        <v>0</v>
      </c>
      <c r="EU86" s="51">
        <f t="shared" ref="EU86:EU149" si="482">IF($J86&lt;&gt;"H",ET86,0)</f>
        <v>0</v>
      </c>
      <c r="EV86" s="51">
        <f t="shared" si="415"/>
        <v>0</v>
      </c>
      <c r="EW86" s="54">
        <f t="shared" si="416"/>
        <v>0</v>
      </c>
      <c r="EX86" s="55">
        <f t="shared" si="417"/>
        <v>0</v>
      </c>
      <c r="EY86" s="56">
        <f>IF(AND($E86&lt;&gt;0,$F86&gt;0,YEAR($F86)&gt;=Preisindex!$A$6,YEAR(ET$4)&gt;=YEAR($F86),AND($K86&lt;&gt;"a",$K86&lt;&gt;"b",$K86&lt;&gt;"g",$K86&lt;&gt;"k")),1,IF(AND($E86&lt;&gt;0,$F86&gt;0,YEAR($F86)&gt;=Preisindex!$A$6,YEAR(ET$4)&gt;=YEAR($F86),$K86="a"),ROUND(VLOOKUP(EY$4,Preisindex,5,FALSE)/VLOOKUP(YEAR($F86),Preisindex,5,FALSE),2),IF(AND($E86&lt;&gt;0,$F86&gt;0,YEAR($F86)&gt;=Preisindex!$A$6,YEAR(ET$4)&gt;=YEAR($F86),$K86="b"),ROUND(VLOOKUP(EY$4,Preisindex,3,FALSE)/VLOOKUP(YEAR($F86),Preisindex,3,FALSE),2),IF(AND($E86&lt;&gt;0,$F86&gt;0,YEAR($F86)&gt;=Preisindex!$A$6,YEAR(ET$4)&gt;=YEAR($F86),$K86="g"),ROUND(VLOOKUP(EY$4,Preisindex,4,FALSE)/VLOOKUP(YEAR($F86),Preisindex,4,FALSE),2),IF(AND($E86&lt;&gt;0,$F86&gt;0,YEAR($F86)&gt;=Preisindex!$A$6,YEAR(ET$4)&gt;=YEAR($F86),$K86="k"),ROUND(VLOOKUP(EY$4,Preisindex,2,FALSE)/VLOOKUP(YEAR($F86),Preisindex,2,FALSE),2),0)))))</f>
        <v>0</v>
      </c>
      <c r="EZ86" s="56">
        <f>IF(AND($E86&lt;&gt;0,$F86&gt;0,YEAR($F86)&lt;Preisindex!$A$6,YEAR(ET$4)&gt;=YEAR($F86),AND($K86&lt;&gt;"a",$K86&lt;&gt;"b",$K86&lt;&gt;"g",$K86&lt;&gt;"k")),1,IF(AND($E86&lt;&gt;0,$F86&gt;0,YEAR($F86)&lt;Preisindex!$A$6,YEAR(ET$4)&gt;=YEAR($F86),$K86="a"),ROUND(VLOOKUP(EY$4,Preisindex,5,FALSE)/VLOOKUP(Preisindex!$A$6,Preisindex,5,FALSE),2),IF(AND($E86&lt;&gt;0,$F86&gt;0,YEAR($F86)&lt;Preisindex!$A$6,YEAR(ET$4)&gt;=YEAR($F86),$K86="b"),ROUND(VLOOKUP(EY$4,Preisindex,3,FALSE)/VLOOKUP(Preisindex!$A$6,Preisindex,3,FALSE),2),IF(AND($E86&lt;&gt;0,$F86&gt;0,YEAR($F86)&lt;Preisindex!$A$6,YEAR(ET$4)&gt;=YEAR($F86),$K86="g"),ROUND(VLOOKUP(EY$4,Preisindex,4,FALSE)/VLOOKUP(Preisindex!$A$6,Preisindex,4,FALSE),2),IF(AND($E86&lt;&gt;0,$F86&gt;0,YEAR($F86)&lt;Preisindex!$A$6,YEAR(ET$4)&gt;=YEAR($F86),$K86="k"),ROUND(VLOOKUP(EY$4,Preisindex,2,FALSE)/VLOOKUP(Preisindex!$A$6,Preisindex,2,FALSE),2),0)))))</f>
        <v>0</v>
      </c>
      <c r="FA86" s="51">
        <f>IF(AND($E86&lt;&gt;0,$F86&gt;0,YEAR($F86)&lt;=EY$4,YEAR($F86)&gt;=Preisindex!$A$6),ROUND($E86*EY86,2),IF(AND($E86&lt;&gt;0,$F86&gt;0,YEAR($F86)&lt;=EY$4,YEAR($F86)&lt;Preisindex!$A$6),ROUND($E86*EZ86,2),0))</f>
        <v>0</v>
      </c>
      <c r="FB86" s="53">
        <f t="shared" si="418"/>
        <v>0</v>
      </c>
      <c r="FC86" s="51">
        <f t="shared" si="447"/>
        <v>0</v>
      </c>
      <c r="FD86" s="51">
        <f t="shared" ref="FD86:FD149" si="483">IF($J86&lt;&gt;"H",FC86,0)</f>
        <v>0</v>
      </c>
      <c r="FE86" s="51">
        <f t="shared" si="419"/>
        <v>0</v>
      </c>
      <c r="FF86" s="51">
        <f t="shared" ref="FF86:FF149" si="484">IF($J86&lt;&gt;"H",FE86,0)</f>
        <v>0</v>
      </c>
      <c r="FG86" s="51">
        <f t="shared" si="420"/>
        <v>0</v>
      </c>
      <c r="FH86" s="51">
        <f t="shared" ref="FH86:FH149" si="485">IF(FI86&lt;&gt;0,ROUND(FI86/$M86*FG86,2),0)</f>
        <v>0</v>
      </c>
      <c r="FI86" s="51">
        <f t="shared" si="421"/>
        <v>0</v>
      </c>
      <c r="FJ86" s="51">
        <f t="shared" ref="FJ86:FJ149" si="486">IF($J86&lt;&gt;"H",FI86,0)</f>
        <v>0</v>
      </c>
      <c r="FK86" s="51">
        <f t="shared" si="422"/>
        <v>0</v>
      </c>
      <c r="FL86" s="51">
        <f t="shared" ref="FL86:FL149" si="487">IF($J86&lt;&gt;"H",FK86,0)</f>
        <v>0</v>
      </c>
      <c r="FM86" s="51">
        <f t="shared" si="423"/>
        <v>0</v>
      </c>
      <c r="FN86" s="54">
        <f t="shared" si="424"/>
        <v>0</v>
      </c>
      <c r="FO86" s="55">
        <f t="shared" si="425"/>
        <v>0</v>
      </c>
      <c r="FP86" s="56">
        <f>IF(AND($E86&lt;&gt;0,$F86&gt;0,YEAR($F86)&gt;=Preisindex!$A$6,YEAR(FK$4)&gt;=YEAR($F86),AND($K86&lt;&gt;"a",$K86&lt;&gt;"b",$K86&lt;&gt;"g",$K86&lt;&gt;"k")),1,IF(AND($E86&lt;&gt;0,$F86&gt;0,YEAR($F86)&gt;=Preisindex!$A$6,YEAR(FK$4)&gt;=YEAR($F86),$K86="a"),ROUND(VLOOKUP(FP$4,Preisindex,5,FALSE)/VLOOKUP(YEAR($F86),Preisindex,5,FALSE),2),IF(AND($E86&lt;&gt;0,$F86&gt;0,YEAR($F86)&gt;=Preisindex!$A$6,YEAR(FK$4)&gt;=YEAR($F86),$K86="b"),ROUND(VLOOKUP(FP$4,Preisindex,3,FALSE)/VLOOKUP(YEAR($F86),Preisindex,3,FALSE),2),IF(AND($E86&lt;&gt;0,$F86&gt;0,YEAR($F86)&gt;=Preisindex!$A$6,YEAR(FK$4)&gt;=YEAR($F86),$K86="g"),ROUND(VLOOKUP(FP$4,Preisindex,4,FALSE)/VLOOKUP(YEAR($F86),Preisindex,4,FALSE),2),IF(AND($E86&lt;&gt;0,$F86&gt;0,YEAR($F86)&gt;=Preisindex!$A$6,YEAR(FK$4)&gt;=YEAR($F86),$K86="k"),ROUND(VLOOKUP(FP$4,Preisindex,2,FALSE)/VLOOKUP(YEAR($F86),Preisindex,2,FALSE),2),0)))))</f>
        <v>0</v>
      </c>
      <c r="FQ86" s="56">
        <f>IF(AND($E86&lt;&gt;0,$F86&gt;0,YEAR($F86)&lt;Preisindex!$A$6,YEAR(FK$4)&gt;=YEAR($F86),AND($K86&lt;&gt;"a",$K86&lt;&gt;"b",$K86&lt;&gt;"g",$K86&lt;&gt;"k")),1,IF(AND($E86&lt;&gt;0,$F86&gt;0,YEAR($F86)&lt;Preisindex!$A$6,YEAR(FK$4)&gt;=YEAR($F86),$K86="a"),ROUND(VLOOKUP(FP$4,Preisindex,5,FALSE)/VLOOKUP(Preisindex!$A$6,Preisindex,5,FALSE),2),IF(AND($E86&lt;&gt;0,$F86&gt;0,YEAR($F86)&lt;Preisindex!$A$6,YEAR(FK$4)&gt;=YEAR($F86),$K86="b"),ROUND(VLOOKUP(FP$4,Preisindex,3,FALSE)/VLOOKUP(Preisindex!$A$6,Preisindex,3,FALSE),2),IF(AND($E86&lt;&gt;0,$F86&gt;0,YEAR($F86)&lt;Preisindex!$A$6,YEAR(FK$4)&gt;=YEAR($F86),$K86="g"),ROUND(VLOOKUP(FP$4,Preisindex,4,FALSE)/VLOOKUP(Preisindex!$A$6,Preisindex,4,FALSE),2),IF(AND($E86&lt;&gt;0,$F86&gt;0,YEAR($F86)&lt;Preisindex!$A$6,YEAR(FK$4)&gt;=YEAR($F86),$K86="k"),ROUND(VLOOKUP(FP$4,Preisindex,2,FALSE)/VLOOKUP(Preisindex!$A$6,Preisindex,2,FALSE),2),0)))))</f>
        <v>0</v>
      </c>
      <c r="FR86" s="51">
        <f>IF(AND($E86&lt;&gt;0,$F86&gt;0,YEAR($F86)&lt;=FP$4,YEAR($F86)&gt;=Preisindex!$A$6),ROUND($E86*FP86,2),IF(AND($E86&lt;&gt;0,$F86&gt;0,YEAR($F86)&lt;=FP$4,YEAR($F86)&lt;Preisindex!$A$6),ROUND($E86*FQ86,2),0))</f>
        <v>0</v>
      </c>
      <c r="FS86" s="53">
        <f t="shared" si="426"/>
        <v>0</v>
      </c>
    </row>
    <row r="87" spans="1:175" x14ac:dyDescent="0.3">
      <c r="A87" s="93"/>
      <c r="B87" s="94"/>
      <c r="C87" s="94"/>
      <c r="D87" s="95"/>
      <c r="E87" s="99"/>
      <c r="F87" s="97"/>
      <c r="G87" s="98"/>
      <c r="H87" s="620"/>
      <c r="I87" s="621"/>
      <c r="J87" s="194"/>
      <c r="K87" s="630"/>
      <c r="L87" s="49">
        <f t="shared" si="427"/>
        <v>0</v>
      </c>
      <c r="M87" s="50">
        <f t="shared" si="428"/>
        <v>0</v>
      </c>
      <c r="N87" s="51">
        <f t="shared" si="429"/>
        <v>0</v>
      </c>
      <c r="O87" s="51"/>
      <c r="P87" s="51">
        <f t="shared" si="430"/>
        <v>0</v>
      </c>
      <c r="Q87" s="52"/>
      <c r="R87" s="52"/>
      <c r="S87" s="52"/>
      <c r="T87" s="52"/>
      <c r="U87" s="52"/>
      <c r="V87" s="53">
        <f t="shared" si="431"/>
        <v>0</v>
      </c>
      <c r="W87" s="51">
        <f t="shared" si="432"/>
        <v>0</v>
      </c>
      <c r="X87" s="51">
        <f t="shared" si="433"/>
        <v>0</v>
      </c>
      <c r="Y87" s="51">
        <f t="shared" si="434"/>
        <v>0</v>
      </c>
      <c r="Z87" s="51">
        <f t="shared" si="435"/>
        <v>0</v>
      </c>
      <c r="AA87" s="51">
        <f t="shared" si="436"/>
        <v>0</v>
      </c>
      <c r="AB87" s="51">
        <f t="shared" si="437"/>
        <v>0</v>
      </c>
      <c r="AC87" s="51">
        <f t="shared" si="438"/>
        <v>0</v>
      </c>
      <c r="AD87" s="51">
        <f t="shared" si="439"/>
        <v>0</v>
      </c>
      <c r="AE87" s="51">
        <f t="shared" si="440"/>
        <v>0</v>
      </c>
      <c r="AF87" s="51">
        <f t="shared" si="441"/>
        <v>0</v>
      </c>
      <c r="AG87" s="51">
        <f t="shared" si="442"/>
        <v>0</v>
      </c>
      <c r="AH87" s="54">
        <f t="shared" si="443"/>
        <v>0</v>
      </c>
      <c r="AI87" s="55">
        <f t="shared" si="444"/>
        <v>0</v>
      </c>
      <c r="AJ87" s="56">
        <f>IF(AND($E87&lt;&gt;0,$F87&gt;0,YEAR($F87)&gt;=Preisindex!$A$6,YEAR(AE$4)&gt;=YEAR($F87),AND($K87&lt;&gt;"a",$K87&lt;&gt;"b",$K87&lt;&gt;"g",$K87&lt;&gt;"k")),1,IF(AND($E87&lt;&gt;0,$F87&gt;0,YEAR($F87)&gt;=Preisindex!$A$6,YEAR(AE$4)&gt;=YEAR($F87),$K87="a"),ROUND(VLOOKUP(AJ$4,Preisindex,5,FALSE)/VLOOKUP(YEAR($F87),Preisindex,5,FALSE),2),IF(AND($E87&lt;&gt;0,$F87&gt;0,YEAR($F87)&gt;=Preisindex!$A$6,YEAR(AE$4)&gt;=YEAR($F87),$K87="b"),ROUND(VLOOKUP(AJ$4,Preisindex,3,FALSE)/VLOOKUP(YEAR($F87),Preisindex,3,FALSE),2),IF(AND($E87&lt;&gt;0,$F87&gt;0,YEAR($F87)&gt;=Preisindex!$A$6,YEAR(AE$4)&gt;=YEAR($F87),$K87="g"),ROUND(VLOOKUP(AJ$4,Preisindex,4,FALSE)/VLOOKUP(YEAR($F87),Preisindex,4,FALSE),2),IF(AND($E87&lt;&gt;0,$F87&gt;0,YEAR($F87)&gt;=Preisindex!$A$6,YEAR(AE$4)&gt;=YEAR($F87),$K87="k"),ROUND(VLOOKUP(AJ$4,Preisindex,2,FALSE)/VLOOKUP(YEAR($F87),Preisindex,2,FALSE),2),0)))))</f>
        <v>0</v>
      </c>
      <c r="AK87" s="56">
        <f>IF(AND($E87&lt;&gt;0,$F87&gt;0,YEAR($F87)&lt;Preisindex!$A$6,YEAR(AE$4)&gt;=YEAR($F87),AND($K87&lt;&gt;"a",$K87&lt;&gt;"b",$K87&lt;&gt;"g",$K87&lt;&gt;"k")),1,IF(AND($E87&lt;&gt;0,$F87&gt;0,YEAR($F87)&lt;Preisindex!$A$6,YEAR(AE$4)&gt;=YEAR($F87),$K87="a"),ROUND(VLOOKUP(AJ$4,Preisindex,5,FALSE)/VLOOKUP(Preisindex!$A$6,Preisindex,5,FALSE),2),IF(AND($E87&lt;&gt;0,$F87&gt;0,YEAR($F87)&lt;Preisindex!$A$6,YEAR(AE$4)&gt;=YEAR($F87),$K87="b"),ROUND(VLOOKUP(AJ$4,Preisindex,3,FALSE)/VLOOKUP(Preisindex!$A$6,Preisindex,3,FALSE),2),IF(AND($E87&lt;&gt;0,$F87&gt;0,YEAR($F87)&lt;Preisindex!$A$6,YEAR(AE$4)&gt;=YEAR($F87),$K87="g"),ROUND(VLOOKUP(AJ$4,Preisindex,4,FALSE)/VLOOKUP(Preisindex!$A$6,Preisindex,4,FALSE),2),IF(AND($E87&lt;&gt;0,$F87&gt;0,YEAR($F87)&lt;Preisindex!$A$6,YEAR(AE$4)&gt;=YEAR($F87),$K87="k"),ROUND(VLOOKUP(AJ$4,Preisindex,2,FALSE)/VLOOKUP(Preisindex!$A$6,Preisindex,2,FALSE),2),0)))))</f>
        <v>0</v>
      </c>
      <c r="AL87" s="51">
        <f>IF(AND($E87&lt;&gt;0,$F87&gt;0,YEAR($F87)&lt;=AJ$4,YEAR($F87)&gt;=Preisindex!$A$6),ROUND($E87*AJ87,2),IF(AND($E87&lt;&gt;0,$F87&gt;0,YEAR($F87)&lt;=AJ$4,YEAR($F87)&lt;Preisindex!$A$6),ROUND($E87*AK87,2),0))</f>
        <v>0</v>
      </c>
      <c r="AM87" s="53">
        <f t="shared" si="445"/>
        <v>0</v>
      </c>
      <c r="AN87" s="51">
        <f t="shared" si="446"/>
        <v>0</v>
      </c>
      <c r="AO87" s="51">
        <f t="shared" si="448"/>
        <v>0</v>
      </c>
      <c r="AP87" s="51">
        <f t="shared" si="362"/>
        <v>0</v>
      </c>
      <c r="AQ87" s="51">
        <f t="shared" si="449"/>
        <v>0</v>
      </c>
      <c r="AR87" s="51">
        <f t="shared" si="363"/>
        <v>0</v>
      </c>
      <c r="AS87" s="51">
        <f t="shared" si="450"/>
        <v>0</v>
      </c>
      <c r="AT87" s="51">
        <f t="shared" si="364"/>
        <v>0</v>
      </c>
      <c r="AU87" s="51">
        <f t="shared" si="451"/>
        <v>0</v>
      </c>
      <c r="AV87" s="51">
        <f t="shared" si="365"/>
        <v>0</v>
      </c>
      <c r="AW87" s="51">
        <f t="shared" si="452"/>
        <v>0</v>
      </c>
      <c r="AX87" s="51">
        <f t="shared" si="366"/>
        <v>0</v>
      </c>
      <c r="AY87" s="54">
        <f t="shared" si="367"/>
        <v>0</v>
      </c>
      <c r="AZ87" s="55">
        <f t="shared" si="368"/>
        <v>0</v>
      </c>
      <c r="BA87" s="56">
        <f>IF(AND($E87&lt;&gt;0,$F87&gt;0,YEAR($F87)&gt;=Preisindex!$A$6,YEAR(AV$4)&gt;=YEAR($F87),AND($K87&lt;&gt;"a",$K87&lt;&gt;"b",$K87&lt;&gt;"g",$K87&lt;&gt;"k")),1,IF(AND($E87&lt;&gt;0,$F87&gt;0,YEAR($F87)&gt;=Preisindex!$A$6,YEAR(AV$4)&gt;=YEAR($F87),$K87="a"),ROUND(VLOOKUP(BA$4,Preisindex,5,FALSE)/VLOOKUP(YEAR($F87),Preisindex,5,FALSE),2),IF(AND($E87&lt;&gt;0,$F87&gt;0,YEAR($F87)&gt;=Preisindex!$A$6,YEAR(AV$4)&gt;=YEAR($F87),$K87="b"),ROUND(VLOOKUP(BA$4,Preisindex,3,FALSE)/VLOOKUP(YEAR($F87),Preisindex,3,FALSE),2),IF(AND($E87&lt;&gt;0,$F87&gt;0,YEAR($F87)&gt;=Preisindex!$A$6,YEAR(AV$4)&gt;=YEAR($F87),$K87="g"),ROUND(VLOOKUP(BA$4,Preisindex,4,FALSE)/VLOOKUP(YEAR($F87),Preisindex,4,FALSE),2),IF(AND($E87&lt;&gt;0,$F87&gt;0,YEAR($F87)&gt;=Preisindex!$A$6,YEAR(AV$4)&gt;=YEAR($F87),$K87="k"),ROUND(VLOOKUP(BA$4,Preisindex,2,FALSE)/VLOOKUP(YEAR($F87),Preisindex,2,FALSE),2),0)))))</f>
        <v>0</v>
      </c>
      <c r="BB87" s="56">
        <f>IF(AND($E87&lt;&gt;0,$F87&gt;0,YEAR($F87)&lt;Preisindex!$A$6,YEAR(AV$4)&gt;=YEAR($F87),AND($K87&lt;&gt;"a",$K87&lt;&gt;"b",$K87&lt;&gt;"g",$K87&lt;&gt;"k")),1,IF(AND($E87&lt;&gt;0,$F87&gt;0,YEAR($F87)&lt;Preisindex!$A$6,YEAR(AV$4)&gt;=YEAR($F87),$K87="a"),ROUND(VLOOKUP(BA$4,Preisindex,5,FALSE)/VLOOKUP(Preisindex!$A$6,Preisindex,5,FALSE),2),IF(AND($E87&lt;&gt;0,$F87&gt;0,YEAR($F87)&lt;Preisindex!$A$6,YEAR(AV$4)&gt;=YEAR($F87),$K87="b"),ROUND(VLOOKUP(BA$4,Preisindex,3,FALSE)/VLOOKUP(Preisindex!$A$6,Preisindex,3,FALSE),2),IF(AND($E87&lt;&gt;0,$F87&gt;0,YEAR($F87)&lt;Preisindex!$A$6,YEAR(AV$4)&gt;=YEAR($F87),$K87="g"),ROUND(VLOOKUP(BA$4,Preisindex,4,FALSE)/VLOOKUP(Preisindex!$A$6,Preisindex,4,FALSE),2),IF(AND($E87&lt;&gt;0,$F87&gt;0,YEAR($F87)&lt;Preisindex!$A$6,YEAR(AV$4)&gt;=YEAR($F87),$K87="k"),ROUND(VLOOKUP(BA$4,Preisindex,2,FALSE)/VLOOKUP(Preisindex!$A$6,Preisindex,2,FALSE),2),0)))))</f>
        <v>0</v>
      </c>
      <c r="BC87" s="51">
        <f>IF(AND($E87&lt;&gt;0,$F87&gt;0,YEAR($F87)&lt;=BA$4,YEAR($F87)&gt;=Preisindex!$A$6),ROUND($E87*BA87,2),IF(AND($E87&lt;&gt;0,$F87&gt;0,YEAR($F87)&lt;=BA$4,YEAR($F87)&lt;Preisindex!$A$6),ROUND($E87*BB87,2),0))</f>
        <v>0</v>
      </c>
      <c r="BD87" s="53">
        <f t="shared" si="369"/>
        <v>0</v>
      </c>
      <c r="BE87" s="51">
        <f t="shared" si="446"/>
        <v>0</v>
      </c>
      <c r="BF87" s="51">
        <f t="shared" si="453"/>
        <v>0</v>
      </c>
      <c r="BG87" s="51">
        <f t="shared" si="370"/>
        <v>0</v>
      </c>
      <c r="BH87" s="51">
        <f t="shared" si="454"/>
        <v>0</v>
      </c>
      <c r="BI87" s="51">
        <f t="shared" si="371"/>
        <v>0</v>
      </c>
      <c r="BJ87" s="51">
        <f t="shared" si="455"/>
        <v>0</v>
      </c>
      <c r="BK87" s="51">
        <f t="shared" si="372"/>
        <v>0</v>
      </c>
      <c r="BL87" s="51">
        <f t="shared" si="456"/>
        <v>0</v>
      </c>
      <c r="BM87" s="51">
        <f t="shared" si="373"/>
        <v>0</v>
      </c>
      <c r="BN87" s="51">
        <f t="shared" si="457"/>
        <v>0</v>
      </c>
      <c r="BO87" s="51">
        <f t="shared" si="374"/>
        <v>0</v>
      </c>
      <c r="BP87" s="54">
        <f t="shared" si="375"/>
        <v>0</v>
      </c>
      <c r="BQ87" s="55">
        <f t="shared" si="376"/>
        <v>0</v>
      </c>
      <c r="BR87" s="56">
        <f>IF(AND($E87&lt;&gt;0,$F87&gt;0,YEAR($F87)&gt;=Preisindex!$A$6,YEAR(BM$4)&gt;=YEAR($F87),AND($K87&lt;&gt;"a",$K87&lt;&gt;"b",$K87&lt;&gt;"g",$K87&lt;&gt;"k")),1,IF(AND($E87&lt;&gt;0,$F87&gt;0,YEAR($F87)&gt;=Preisindex!$A$6,YEAR(BM$4)&gt;=YEAR($F87),$K87="a"),ROUND(VLOOKUP(BR$4,Preisindex,5,FALSE)/VLOOKUP(YEAR($F87),Preisindex,5,FALSE),2),IF(AND($E87&lt;&gt;0,$F87&gt;0,YEAR($F87)&gt;=Preisindex!$A$6,YEAR(BM$4)&gt;=YEAR($F87),$K87="b"),ROUND(VLOOKUP(BR$4,Preisindex,3,FALSE)/VLOOKUP(YEAR($F87),Preisindex,3,FALSE),2),IF(AND($E87&lt;&gt;0,$F87&gt;0,YEAR($F87)&gt;=Preisindex!$A$6,YEAR(BM$4)&gt;=YEAR($F87),$K87="g"),ROUND(VLOOKUP(BR$4,Preisindex,4,FALSE)/VLOOKUP(YEAR($F87),Preisindex,4,FALSE),2),IF(AND($E87&lt;&gt;0,$F87&gt;0,YEAR($F87)&gt;=Preisindex!$A$6,YEAR(BM$4)&gt;=YEAR($F87),$K87="k"),ROUND(VLOOKUP(BR$4,Preisindex,2,FALSE)/VLOOKUP(YEAR($F87),Preisindex,2,FALSE),2),0)))))</f>
        <v>0</v>
      </c>
      <c r="BS87" s="56">
        <f>IF(AND($E87&lt;&gt;0,$F87&gt;0,YEAR($F87)&lt;Preisindex!$A$6,YEAR(BM$4)&gt;=YEAR($F87),AND($K87&lt;&gt;"a",$K87&lt;&gt;"b",$K87&lt;&gt;"g",$K87&lt;&gt;"k")),1,IF(AND($E87&lt;&gt;0,$F87&gt;0,YEAR($F87)&lt;Preisindex!$A$6,YEAR(BM$4)&gt;=YEAR($F87),$K87="a"),ROUND(VLOOKUP(BR$4,Preisindex,5,FALSE)/VLOOKUP(Preisindex!$A$6,Preisindex,5,FALSE),2),IF(AND($E87&lt;&gt;0,$F87&gt;0,YEAR($F87)&lt;Preisindex!$A$6,YEAR(BM$4)&gt;=YEAR($F87),$K87="b"),ROUND(VLOOKUP(BR$4,Preisindex,3,FALSE)/VLOOKUP(Preisindex!$A$6,Preisindex,3,FALSE),2),IF(AND($E87&lt;&gt;0,$F87&gt;0,YEAR($F87)&lt;Preisindex!$A$6,YEAR(BM$4)&gt;=YEAR($F87),$K87="g"),ROUND(VLOOKUP(BR$4,Preisindex,4,FALSE)/VLOOKUP(Preisindex!$A$6,Preisindex,4,FALSE),2),IF(AND($E87&lt;&gt;0,$F87&gt;0,YEAR($F87)&lt;Preisindex!$A$6,YEAR(BM$4)&gt;=YEAR($F87),$K87="k"),ROUND(VLOOKUP(BR$4,Preisindex,2,FALSE)/VLOOKUP(Preisindex!$A$6,Preisindex,2,FALSE),2),0)))))</f>
        <v>0</v>
      </c>
      <c r="BT87" s="51">
        <f>IF(AND($E87&lt;&gt;0,$F87&gt;0,YEAR($F87)&lt;=BR$4,YEAR($F87)&gt;=Preisindex!$A$6),ROUND($E87*BR87,2),IF(AND($E87&lt;&gt;0,$F87&gt;0,YEAR($F87)&lt;=BR$4,YEAR($F87)&lt;Preisindex!$A$6),ROUND($E87*BS87,2),0))</f>
        <v>0</v>
      </c>
      <c r="BU87" s="53">
        <f t="shared" si="377"/>
        <v>0</v>
      </c>
      <c r="BV87" s="51">
        <f t="shared" si="446"/>
        <v>0</v>
      </c>
      <c r="BW87" s="51">
        <f t="shared" si="458"/>
        <v>0</v>
      </c>
      <c r="BX87" s="51">
        <f t="shared" si="378"/>
        <v>0</v>
      </c>
      <c r="BY87" s="51">
        <f t="shared" si="459"/>
        <v>0</v>
      </c>
      <c r="BZ87" s="51">
        <f t="shared" si="379"/>
        <v>0</v>
      </c>
      <c r="CA87" s="51">
        <f t="shared" si="460"/>
        <v>0</v>
      </c>
      <c r="CB87" s="51">
        <f t="shared" si="380"/>
        <v>0</v>
      </c>
      <c r="CC87" s="51">
        <f t="shared" si="461"/>
        <v>0</v>
      </c>
      <c r="CD87" s="51">
        <f t="shared" si="381"/>
        <v>0</v>
      </c>
      <c r="CE87" s="51">
        <f t="shared" si="462"/>
        <v>0</v>
      </c>
      <c r="CF87" s="51">
        <f t="shared" si="382"/>
        <v>0</v>
      </c>
      <c r="CG87" s="54">
        <f t="shared" si="383"/>
        <v>0</v>
      </c>
      <c r="CH87" s="55">
        <f t="shared" si="384"/>
        <v>0</v>
      </c>
      <c r="CI87" s="56">
        <f>IF(AND($E87&lt;&gt;0,$F87&gt;0,YEAR($F87)&gt;=Preisindex!$A$6,YEAR(CD$4)&gt;=YEAR($F87),AND($K87&lt;&gt;"a",$K87&lt;&gt;"b",$K87&lt;&gt;"g",$K87&lt;&gt;"k")),1,IF(AND($E87&lt;&gt;0,$F87&gt;0,YEAR($F87)&gt;=Preisindex!$A$6,YEAR(CD$4)&gt;=YEAR($F87),$K87="a"),ROUND(VLOOKUP(CI$4,Preisindex,5,FALSE)/VLOOKUP(YEAR($F87),Preisindex,5,FALSE),2),IF(AND($E87&lt;&gt;0,$F87&gt;0,YEAR($F87)&gt;=Preisindex!$A$6,YEAR(CD$4)&gt;=YEAR($F87),$K87="b"),ROUND(VLOOKUP(CI$4,Preisindex,3,FALSE)/VLOOKUP(YEAR($F87),Preisindex,3,FALSE),2),IF(AND($E87&lt;&gt;0,$F87&gt;0,YEAR($F87)&gt;=Preisindex!$A$6,YEAR(CD$4)&gt;=YEAR($F87),$K87="g"),ROUND(VLOOKUP(CI$4,Preisindex,4,FALSE)/VLOOKUP(YEAR($F87),Preisindex,4,FALSE),2),IF(AND($E87&lt;&gt;0,$F87&gt;0,YEAR($F87)&gt;=Preisindex!$A$6,YEAR(CD$4)&gt;=YEAR($F87),$K87="k"),ROUND(VLOOKUP(CI$4,Preisindex,2,FALSE)/VLOOKUP(YEAR($F87),Preisindex,2,FALSE),2),0)))))</f>
        <v>0</v>
      </c>
      <c r="CJ87" s="56">
        <f>IF(AND($E87&lt;&gt;0,$F87&gt;0,YEAR($F87)&lt;Preisindex!$A$6,YEAR(CD$4)&gt;=YEAR($F87),AND($K87&lt;&gt;"a",$K87&lt;&gt;"b",$K87&lt;&gt;"g",$K87&lt;&gt;"k")),1,IF(AND($E87&lt;&gt;0,$F87&gt;0,YEAR($F87)&lt;Preisindex!$A$6,YEAR(CD$4)&gt;=YEAR($F87),$K87="a"),ROUND(VLOOKUP(CI$4,Preisindex,5,FALSE)/VLOOKUP(Preisindex!$A$6,Preisindex,5,FALSE),2),IF(AND($E87&lt;&gt;0,$F87&gt;0,YEAR($F87)&lt;Preisindex!$A$6,YEAR(CD$4)&gt;=YEAR($F87),$K87="b"),ROUND(VLOOKUP(CI$4,Preisindex,3,FALSE)/VLOOKUP(Preisindex!$A$6,Preisindex,3,FALSE),2),IF(AND($E87&lt;&gt;0,$F87&gt;0,YEAR($F87)&lt;Preisindex!$A$6,YEAR(CD$4)&gt;=YEAR($F87),$K87="g"),ROUND(VLOOKUP(CI$4,Preisindex,4,FALSE)/VLOOKUP(Preisindex!$A$6,Preisindex,4,FALSE),2),IF(AND($E87&lt;&gt;0,$F87&gt;0,YEAR($F87)&lt;Preisindex!$A$6,YEAR(CD$4)&gt;=YEAR($F87),$K87="k"),ROUND(VLOOKUP(CI$4,Preisindex,2,FALSE)/VLOOKUP(Preisindex!$A$6,Preisindex,2,FALSE),2),0)))))</f>
        <v>0</v>
      </c>
      <c r="CK87" s="51">
        <f>IF(AND($E87&lt;&gt;0,$F87&gt;0,YEAR($F87)&lt;=CI$4,YEAR($F87)&gt;=Preisindex!$A$6),ROUND($E87*CI87,2),IF(AND($E87&lt;&gt;0,$F87&gt;0,YEAR($F87)&lt;=CI$4,YEAR($F87)&lt;Preisindex!$A$6),ROUND($E87*CJ87,2),0))</f>
        <v>0</v>
      </c>
      <c r="CL87" s="53">
        <f t="shared" si="385"/>
        <v>0</v>
      </c>
      <c r="CM87" s="51">
        <f t="shared" si="446"/>
        <v>0</v>
      </c>
      <c r="CN87" s="51">
        <f t="shared" si="463"/>
        <v>0</v>
      </c>
      <c r="CO87" s="51">
        <f t="shared" si="386"/>
        <v>0</v>
      </c>
      <c r="CP87" s="51">
        <f t="shared" si="464"/>
        <v>0</v>
      </c>
      <c r="CQ87" s="51">
        <f t="shared" si="387"/>
        <v>0</v>
      </c>
      <c r="CR87" s="51">
        <f t="shared" si="465"/>
        <v>0</v>
      </c>
      <c r="CS87" s="51">
        <f t="shared" si="388"/>
        <v>0</v>
      </c>
      <c r="CT87" s="51">
        <f t="shared" si="466"/>
        <v>0</v>
      </c>
      <c r="CU87" s="51">
        <f t="shared" si="389"/>
        <v>0</v>
      </c>
      <c r="CV87" s="51">
        <f t="shared" si="467"/>
        <v>0</v>
      </c>
      <c r="CW87" s="51">
        <f t="shared" si="390"/>
        <v>0</v>
      </c>
      <c r="CX87" s="54">
        <f t="shared" si="391"/>
        <v>0</v>
      </c>
      <c r="CY87" s="55">
        <f t="shared" si="392"/>
        <v>0</v>
      </c>
      <c r="CZ87" s="56">
        <f>IF(AND($E87&lt;&gt;0,$F87&gt;0,YEAR($F87)&gt;=Preisindex!$A$6,YEAR(CU$4)&gt;=YEAR($F87),AND($K87&lt;&gt;"a",$K87&lt;&gt;"b",$K87&lt;&gt;"g",$K87&lt;&gt;"k")),1,IF(AND($E87&lt;&gt;0,$F87&gt;0,YEAR($F87)&gt;=Preisindex!$A$6,YEAR(CU$4)&gt;=YEAR($F87),$K87="a"),ROUND(VLOOKUP(CZ$4,Preisindex,5,FALSE)/VLOOKUP(YEAR($F87),Preisindex,5,FALSE),2),IF(AND($E87&lt;&gt;0,$F87&gt;0,YEAR($F87)&gt;=Preisindex!$A$6,YEAR(CU$4)&gt;=YEAR($F87),$K87="b"),ROUND(VLOOKUP(CZ$4,Preisindex,3,FALSE)/VLOOKUP(YEAR($F87),Preisindex,3,FALSE),2),IF(AND($E87&lt;&gt;0,$F87&gt;0,YEAR($F87)&gt;=Preisindex!$A$6,YEAR(CU$4)&gt;=YEAR($F87),$K87="g"),ROUND(VLOOKUP(CZ$4,Preisindex,4,FALSE)/VLOOKUP(YEAR($F87),Preisindex,4,FALSE),2),IF(AND($E87&lt;&gt;0,$F87&gt;0,YEAR($F87)&gt;=Preisindex!$A$6,YEAR(CU$4)&gt;=YEAR($F87),$K87="k"),ROUND(VLOOKUP(CZ$4,Preisindex,2,FALSE)/VLOOKUP(YEAR($F87),Preisindex,2,FALSE),2),0)))))</f>
        <v>0</v>
      </c>
      <c r="DA87" s="56">
        <f>IF(AND($E87&lt;&gt;0,$F87&gt;0,YEAR($F87)&lt;Preisindex!$A$6,YEAR(CU$4)&gt;=YEAR($F87),AND($K87&lt;&gt;"a",$K87&lt;&gt;"b",$K87&lt;&gt;"g",$K87&lt;&gt;"k")),1,IF(AND($E87&lt;&gt;0,$F87&gt;0,YEAR($F87)&lt;Preisindex!$A$6,YEAR(CU$4)&gt;=YEAR($F87),$K87="a"),ROUND(VLOOKUP(CZ$4,Preisindex,5,FALSE)/VLOOKUP(Preisindex!$A$6,Preisindex,5,FALSE),2),IF(AND($E87&lt;&gt;0,$F87&gt;0,YEAR($F87)&lt;Preisindex!$A$6,YEAR(CU$4)&gt;=YEAR($F87),$K87="b"),ROUND(VLOOKUP(CZ$4,Preisindex,3,FALSE)/VLOOKUP(Preisindex!$A$6,Preisindex,3,FALSE),2),IF(AND($E87&lt;&gt;0,$F87&gt;0,YEAR($F87)&lt;Preisindex!$A$6,YEAR(CU$4)&gt;=YEAR($F87),$K87="g"),ROUND(VLOOKUP(CZ$4,Preisindex,4,FALSE)/VLOOKUP(Preisindex!$A$6,Preisindex,4,FALSE),2),IF(AND($E87&lt;&gt;0,$F87&gt;0,YEAR($F87)&lt;Preisindex!$A$6,YEAR(CU$4)&gt;=YEAR($F87),$K87="k"),ROUND(VLOOKUP(CZ$4,Preisindex,2,FALSE)/VLOOKUP(Preisindex!$A$6,Preisindex,2,FALSE),2),0)))))</f>
        <v>0</v>
      </c>
      <c r="DB87" s="51">
        <f>IF(AND($E87&lt;&gt;0,$F87&gt;0,YEAR($F87)&lt;=CZ$4,YEAR($F87)&gt;=Preisindex!$A$6),ROUND($E87*CZ87,2),IF(AND($E87&lt;&gt;0,$F87&gt;0,YEAR($F87)&lt;=CZ$4,YEAR($F87)&lt;Preisindex!$A$6),ROUND($E87*DA87,2),0))</f>
        <v>0</v>
      </c>
      <c r="DC87" s="53">
        <f t="shared" si="393"/>
        <v>0</v>
      </c>
      <c r="DD87" s="51">
        <f t="shared" si="447"/>
        <v>0</v>
      </c>
      <c r="DE87" s="51">
        <f t="shared" si="468"/>
        <v>0</v>
      </c>
      <c r="DF87" s="51">
        <f t="shared" si="395"/>
        <v>0</v>
      </c>
      <c r="DG87" s="51">
        <f t="shared" si="469"/>
        <v>0</v>
      </c>
      <c r="DH87" s="51">
        <f t="shared" si="396"/>
        <v>0</v>
      </c>
      <c r="DI87" s="51">
        <f t="shared" si="470"/>
        <v>0</v>
      </c>
      <c r="DJ87" s="51">
        <f t="shared" si="397"/>
        <v>0</v>
      </c>
      <c r="DK87" s="51">
        <f t="shared" si="471"/>
        <v>0</v>
      </c>
      <c r="DL87" s="51">
        <f t="shared" si="398"/>
        <v>0</v>
      </c>
      <c r="DM87" s="51">
        <f t="shared" si="472"/>
        <v>0</v>
      </c>
      <c r="DN87" s="51">
        <f t="shared" si="399"/>
        <v>0</v>
      </c>
      <c r="DO87" s="54">
        <f t="shared" si="400"/>
        <v>0</v>
      </c>
      <c r="DP87" s="55">
        <f t="shared" si="401"/>
        <v>0</v>
      </c>
      <c r="DQ87" s="56">
        <f>IF(AND($E87&lt;&gt;0,$F87&gt;0,YEAR($F87)&gt;=Preisindex!$A$6,YEAR(DL$4)&gt;=YEAR($F87),AND($K87&lt;&gt;"a",$K87&lt;&gt;"b",$K87&lt;&gt;"g",$K87&lt;&gt;"k")),1,IF(AND($E87&lt;&gt;0,$F87&gt;0,YEAR($F87)&gt;=Preisindex!$A$6,YEAR(DL$4)&gt;=YEAR($F87),$K87="a"),ROUND(VLOOKUP(DQ$4,Preisindex,5,FALSE)/VLOOKUP(YEAR($F87),Preisindex,5,FALSE),2),IF(AND($E87&lt;&gt;0,$F87&gt;0,YEAR($F87)&gt;=Preisindex!$A$6,YEAR(DL$4)&gt;=YEAR($F87),$K87="b"),ROUND(VLOOKUP(DQ$4,Preisindex,3,FALSE)/VLOOKUP(YEAR($F87),Preisindex,3,FALSE),2),IF(AND($E87&lt;&gt;0,$F87&gt;0,YEAR($F87)&gt;=Preisindex!$A$6,YEAR(DL$4)&gt;=YEAR($F87),$K87="g"),ROUND(VLOOKUP(DQ$4,Preisindex,4,FALSE)/VLOOKUP(YEAR($F87),Preisindex,4,FALSE),2),IF(AND($E87&lt;&gt;0,$F87&gt;0,YEAR($F87)&gt;=Preisindex!$A$6,YEAR(DL$4)&gt;=YEAR($F87),$K87="k"),ROUND(VLOOKUP(DQ$4,Preisindex,2,FALSE)/VLOOKUP(YEAR($F87),Preisindex,2,FALSE),2),0)))))</f>
        <v>0</v>
      </c>
      <c r="DR87" s="56">
        <f>IF(AND($E87&lt;&gt;0,$F87&gt;0,YEAR($F87)&lt;Preisindex!$A$6,YEAR(DL$4)&gt;=YEAR($F87),AND($K87&lt;&gt;"a",$K87&lt;&gt;"b",$K87&lt;&gt;"g",$K87&lt;&gt;"k")),1,IF(AND($E87&lt;&gt;0,$F87&gt;0,YEAR($F87)&lt;Preisindex!$A$6,YEAR(DL$4)&gt;=YEAR($F87),$K87="a"),ROUND(VLOOKUP(DQ$4,Preisindex,5,FALSE)/VLOOKUP(Preisindex!$A$6,Preisindex,5,FALSE),2),IF(AND($E87&lt;&gt;0,$F87&gt;0,YEAR($F87)&lt;Preisindex!$A$6,YEAR(DL$4)&gt;=YEAR($F87),$K87="b"),ROUND(VLOOKUP(DQ$4,Preisindex,3,FALSE)/VLOOKUP(Preisindex!$A$6,Preisindex,3,FALSE),2),IF(AND($E87&lt;&gt;0,$F87&gt;0,YEAR($F87)&lt;Preisindex!$A$6,YEAR(DL$4)&gt;=YEAR($F87),$K87="g"),ROUND(VLOOKUP(DQ$4,Preisindex,4,FALSE)/VLOOKUP(Preisindex!$A$6,Preisindex,4,FALSE),2),IF(AND($E87&lt;&gt;0,$F87&gt;0,YEAR($F87)&lt;Preisindex!$A$6,YEAR(DL$4)&gt;=YEAR($F87),$K87="k"),ROUND(VLOOKUP(DQ$4,Preisindex,2,FALSE)/VLOOKUP(Preisindex!$A$6,Preisindex,2,FALSE),2),0)))))</f>
        <v>0</v>
      </c>
      <c r="DS87" s="51">
        <f>IF(AND($E87&lt;&gt;0,$F87&gt;0,YEAR($F87)&lt;=DQ$4,YEAR($F87)&gt;=Preisindex!$A$6),ROUND($E87*DQ87,2),IF(AND($E87&lt;&gt;0,$F87&gt;0,YEAR($F87)&lt;=DQ$4,YEAR($F87)&lt;Preisindex!$A$6),ROUND($E87*DR87,2),0))</f>
        <v>0</v>
      </c>
      <c r="DT87" s="53">
        <f t="shared" si="402"/>
        <v>0</v>
      </c>
      <c r="DU87" s="51">
        <f t="shared" si="447"/>
        <v>0</v>
      </c>
      <c r="DV87" s="51">
        <f t="shared" si="473"/>
        <v>0</v>
      </c>
      <c r="DW87" s="51">
        <f t="shared" si="403"/>
        <v>0</v>
      </c>
      <c r="DX87" s="51">
        <f t="shared" si="474"/>
        <v>0</v>
      </c>
      <c r="DY87" s="51">
        <f t="shared" si="404"/>
        <v>0</v>
      </c>
      <c r="DZ87" s="51">
        <f t="shared" si="475"/>
        <v>0</v>
      </c>
      <c r="EA87" s="51">
        <f t="shared" si="405"/>
        <v>0</v>
      </c>
      <c r="EB87" s="51">
        <f t="shared" si="476"/>
        <v>0</v>
      </c>
      <c r="EC87" s="51">
        <f t="shared" si="406"/>
        <v>0</v>
      </c>
      <c r="ED87" s="51">
        <f t="shared" si="477"/>
        <v>0</v>
      </c>
      <c r="EE87" s="51">
        <f t="shared" si="407"/>
        <v>0</v>
      </c>
      <c r="EF87" s="54">
        <f t="shared" si="408"/>
        <v>0</v>
      </c>
      <c r="EG87" s="55">
        <f t="shared" si="409"/>
        <v>0</v>
      </c>
      <c r="EH87" s="56">
        <f>IF(AND($E87&lt;&gt;0,$F87&gt;0,YEAR($F87)&gt;=Preisindex!$A$6,YEAR(EC$4)&gt;=YEAR($F87),AND($K87&lt;&gt;"a",$K87&lt;&gt;"b",$K87&lt;&gt;"g",$K87&lt;&gt;"k")),1,IF(AND($E87&lt;&gt;0,$F87&gt;0,YEAR($F87)&gt;=Preisindex!$A$6,YEAR(EC$4)&gt;=YEAR($F87),$K87="a"),ROUND(VLOOKUP(EH$4,Preisindex,5,FALSE)/VLOOKUP(YEAR($F87),Preisindex,5,FALSE),2),IF(AND($E87&lt;&gt;0,$F87&gt;0,YEAR($F87)&gt;=Preisindex!$A$6,YEAR(EC$4)&gt;=YEAR($F87),$K87="b"),ROUND(VLOOKUP(EH$4,Preisindex,3,FALSE)/VLOOKUP(YEAR($F87),Preisindex,3,FALSE),2),IF(AND($E87&lt;&gt;0,$F87&gt;0,YEAR($F87)&gt;=Preisindex!$A$6,YEAR(EC$4)&gt;=YEAR($F87),$K87="g"),ROUND(VLOOKUP(EH$4,Preisindex,4,FALSE)/VLOOKUP(YEAR($F87),Preisindex,4,FALSE),2),IF(AND($E87&lt;&gt;0,$F87&gt;0,YEAR($F87)&gt;=Preisindex!$A$6,YEAR(EC$4)&gt;=YEAR($F87),$K87="k"),ROUND(VLOOKUP(EH$4,Preisindex,2,FALSE)/VLOOKUP(YEAR($F87),Preisindex,2,FALSE),2),0)))))</f>
        <v>0</v>
      </c>
      <c r="EI87" s="56">
        <f>IF(AND($E87&lt;&gt;0,$F87&gt;0,YEAR($F87)&lt;Preisindex!$A$6,YEAR(EC$4)&gt;=YEAR($F87),AND($K87&lt;&gt;"a",$K87&lt;&gt;"b",$K87&lt;&gt;"g",$K87&lt;&gt;"k")),1,IF(AND($E87&lt;&gt;0,$F87&gt;0,YEAR($F87)&lt;Preisindex!$A$6,YEAR(EC$4)&gt;=YEAR($F87),$K87="a"),ROUND(VLOOKUP(EH$4,Preisindex,5,FALSE)/VLOOKUP(Preisindex!$A$6,Preisindex,5,FALSE),2),IF(AND($E87&lt;&gt;0,$F87&gt;0,YEAR($F87)&lt;Preisindex!$A$6,YEAR(EC$4)&gt;=YEAR($F87),$K87="b"),ROUND(VLOOKUP(EH$4,Preisindex,3,FALSE)/VLOOKUP(Preisindex!$A$6,Preisindex,3,FALSE),2),IF(AND($E87&lt;&gt;0,$F87&gt;0,YEAR($F87)&lt;Preisindex!$A$6,YEAR(EC$4)&gt;=YEAR($F87),$K87="g"),ROUND(VLOOKUP(EH$4,Preisindex,4,FALSE)/VLOOKUP(Preisindex!$A$6,Preisindex,4,FALSE),2),IF(AND($E87&lt;&gt;0,$F87&gt;0,YEAR($F87)&lt;Preisindex!$A$6,YEAR(EC$4)&gt;=YEAR($F87),$K87="k"),ROUND(VLOOKUP(EH$4,Preisindex,2,FALSE)/VLOOKUP(Preisindex!$A$6,Preisindex,2,FALSE),2),0)))))</f>
        <v>0</v>
      </c>
      <c r="EJ87" s="51">
        <f>IF(AND($E87&lt;&gt;0,$F87&gt;0,YEAR($F87)&lt;=EH$4,YEAR($F87)&gt;=Preisindex!$A$6),ROUND($E87*EH87,2),IF(AND($E87&lt;&gt;0,$F87&gt;0,YEAR($F87)&lt;=EH$4,YEAR($F87)&lt;Preisindex!$A$6),ROUND($E87*EI87,2),0))</f>
        <v>0</v>
      </c>
      <c r="EK87" s="53">
        <f t="shared" si="410"/>
        <v>0</v>
      </c>
      <c r="EL87" s="51">
        <f t="shared" si="447"/>
        <v>0</v>
      </c>
      <c r="EM87" s="51">
        <f t="shared" si="478"/>
        <v>0</v>
      </c>
      <c r="EN87" s="51">
        <f t="shared" si="411"/>
        <v>0</v>
      </c>
      <c r="EO87" s="51">
        <f t="shared" si="479"/>
        <v>0</v>
      </c>
      <c r="EP87" s="51">
        <f t="shared" si="412"/>
        <v>0</v>
      </c>
      <c r="EQ87" s="51">
        <f t="shared" si="480"/>
        <v>0</v>
      </c>
      <c r="ER87" s="51">
        <f t="shared" si="413"/>
        <v>0</v>
      </c>
      <c r="ES87" s="51">
        <f t="shared" si="481"/>
        <v>0</v>
      </c>
      <c r="ET87" s="51">
        <f t="shared" si="414"/>
        <v>0</v>
      </c>
      <c r="EU87" s="51">
        <f t="shared" si="482"/>
        <v>0</v>
      </c>
      <c r="EV87" s="51">
        <f t="shared" si="415"/>
        <v>0</v>
      </c>
      <c r="EW87" s="54">
        <f t="shared" si="416"/>
        <v>0</v>
      </c>
      <c r="EX87" s="55">
        <f t="shared" si="417"/>
        <v>0</v>
      </c>
      <c r="EY87" s="56">
        <f>IF(AND($E87&lt;&gt;0,$F87&gt;0,YEAR($F87)&gt;=Preisindex!$A$6,YEAR(ET$4)&gt;=YEAR($F87),AND($K87&lt;&gt;"a",$K87&lt;&gt;"b",$K87&lt;&gt;"g",$K87&lt;&gt;"k")),1,IF(AND($E87&lt;&gt;0,$F87&gt;0,YEAR($F87)&gt;=Preisindex!$A$6,YEAR(ET$4)&gt;=YEAR($F87),$K87="a"),ROUND(VLOOKUP(EY$4,Preisindex,5,FALSE)/VLOOKUP(YEAR($F87),Preisindex,5,FALSE),2),IF(AND($E87&lt;&gt;0,$F87&gt;0,YEAR($F87)&gt;=Preisindex!$A$6,YEAR(ET$4)&gt;=YEAR($F87),$K87="b"),ROUND(VLOOKUP(EY$4,Preisindex,3,FALSE)/VLOOKUP(YEAR($F87),Preisindex,3,FALSE),2),IF(AND($E87&lt;&gt;0,$F87&gt;0,YEAR($F87)&gt;=Preisindex!$A$6,YEAR(ET$4)&gt;=YEAR($F87),$K87="g"),ROUND(VLOOKUP(EY$4,Preisindex,4,FALSE)/VLOOKUP(YEAR($F87),Preisindex,4,FALSE),2),IF(AND($E87&lt;&gt;0,$F87&gt;0,YEAR($F87)&gt;=Preisindex!$A$6,YEAR(ET$4)&gt;=YEAR($F87),$K87="k"),ROUND(VLOOKUP(EY$4,Preisindex,2,FALSE)/VLOOKUP(YEAR($F87),Preisindex,2,FALSE),2),0)))))</f>
        <v>0</v>
      </c>
      <c r="EZ87" s="56">
        <f>IF(AND($E87&lt;&gt;0,$F87&gt;0,YEAR($F87)&lt;Preisindex!$A$6,YEAR(ET$4)&gt;=YEAR($F87),AND($K87&lt;&gt;"a",$K87&lt;&gt;"b",$K87&lt;&gt;"g",$K87&lt;&gt;"k")),1,IF(AND($E87&lt;&gt;0,$F87&gt;0,YEAR($F87)&lt;Preisindex!$A$6,YEAR(ET$4)&gt;=YEAR($F87),$K87="a"),ROUND(VLOOKUP(EY$4,Preisindex,5,FALSE)/VLOOKUP(Preisindex!$A$6,Preisindex,5,FALSE),2),IF(AND($E87&lt;&gt;0,$F87&gt;0,YEAR($F87)&lt;Preisindex!$A$6,YEAR(ET$4)&gt;=YEAR($F87),$K87="b"),ROUND(VLOOKUP(EY$4,Preisindex,3,FALSE)/VLOOKUP(Preisindex!$A$6,Preisindex,3,FALSE),2),IF(AND($E87&lt;&gt;0,$F87&gt;0,YEAR($F87)&lt;Preisindex!$A$6,YEAR(ET$4)&gt;=YEAR($F87),$K87="g"),ROUND(VLOOKUP(EY$4,Preisindex,4,FALSE)/VLOOKUP(Preisindex!$A$6,Preisindex,4,FALSE),2),IF(AND($E87&lt;&gt;0,$F87&gt;0,YEAR($F87)&lt;Preisindex!$A$6,YEAR(ET$4)&gt;=YEAR($F87),$K87="k"),ROUND(VLOOKUP(EY$4,Preisindex,2,FALSE)/VLOOKUP(Preisindex!$A$6,Preisindex,2,FALSE),2),0)))))</f>
        <v>0</v>
      </c>
      <c r="FA87" s="51">
        <f>IF(AND($E87&lt;&gt;0,$F87&gt;0,YEAR($F87)&lt;=EY$4,YEAR($F87)&gt;=Preisindex!$A$6),ROUND($E87*EY87,2),IF(AND($E87&lt;&gt;0,$F87&gt;0,YEAR($F87)&lt;=EY$4,YEAR($F87)&lt;Preisindex!$A$6),ROUND($E87*EZ87,2),0))</f>
        <v>0</v>
      </c>
      <c r="FB87" s="53">
        <f t="shared" si="418"/>
        <v>0</v>
      </c>
      <c r="FC87" s="51">
        <f t="shared" si="447"/>
        <v>0</v>
      </c>
      <c r="FD87" s="51">
        <f t="shared" si="483"/>
        <v>0</v>
      </c>
      <c r="FE87" s="51">
        <f t="shared" si="419"/>
        <v>0</v>
      </c>
      <c r="FF87" s="51">
        <f t="shared" si="484"/>
        <v>0</v>
      </c>
      <c r="FG87" s="51">
        <f t="shared" si="420"/>
        <v>0</v>
      </c>
      <c r="FH87" s="51">
        <f t="shared" si="485"/>
        <v>0</v>
      </c>
      <c r="FI87" s="51">
        <f t="shared" si="421"/>
        <v>0</v>
      </c>
      <c r="FJ87" s="51">
        <f t="shared" si="486"/>
        <v>0</v>
      </c>
      <c r="FK87" s="51">
        <f t="shared" si="422"/>
        <v>0</v>
      </c>
      <c r="FL87" s="51">
        <f t="shared" si="487"/>
        <v>0</v>
      </c>
      <c r="FM87" s="51">
        <f t="shared" si="423"/>
        <v>0</v>
      </c>
      <c r="FN87" s="54">
        <f t="shared" si="424"/>
        <v>0</v>
      </c>
      <c r="FO87" s="55">
        <f t="shared" si="425"/>
        <v>0</v>
      </c>
      <c r="FP87" s="56">
        <f>IF(AND($E87&lt;&gt;0,$F87&gt;0,YEAR($F87)&gt;=Preisindex!$A$6,YEAR(FK$4)&gt;=YEAR($F87),AND($K87&lt;&gt;"a",$K87&lt;&gt;"b",$K87&lt;&gt;"g",$K87&lt;&gt;"k")),1,IF(AND($E87&lt;&gt;0,$F87&gt;0,YEAR($F87)&gt;=Preisindex!$A$6,YEAR(FK$4)&gt;=YEAR($F87),$K87="a"),ROUND(VLOOKUP(FP$4,Preisindex,5,FALSE)/VLOOKUP(YEAR($F87),Preisindex,5,FALSE),2),IF(AND($E87&lt;&gt;0,$F87&gt;0,YEAR($F87)&gt;=Preisindex!$A$6,YEAR(FK$4)&gt;=YEAR($F87),$K87="b"),ROUND(VLOOKUP(FP$4,Preisindex,3,FALSE)/VLOOKUP(YEAR($F87),Preisindex,3,FALSE),2),IF(AND($E87&lt;&gt;0,$F87&gt;0,YEAR($F87)&gt;=Preisindex!$A$6,YEAR(FK$4)&gt;=YEAR($F87),$K87="g"),ROUND(VLOOKUP(FP$4,Preisindex,4,FALSE)/VLOOKUP(YEAR($F87),Preisindex,4,FALSE),2),IF(AND($E87&lt;&gt;0,$F87&gt;0,YEAR($F87)&gt;=Preisindex!$A$6,YEAR(FK$4)&gt;=YEAR($F87),$K87="k"),ROUND(VLOOKUP(FP$4,Preisindex,2,FALSE)/VLOOKUP(YEAR($F87),Preisindex,2,FALSE),2),0)))))</f>
        <v>0</v>
      </c>
      <c r="FQ87" s="56">
        <f>IF(AND($E87&lt;&gt;0,$F87&gt;0,YEAR($F87)&lt;Preisindex!$A$6,YEAR(FK$4)&gt;=YEAR($F87),AND($K87&lt;&gt;"a",$K87&lt;&gt;"b",$K87&lt;&gt;"g",$K87&lt;&gt;"k")),1,IF(AND($E87&lt;&gt;0,$F87&gt;0,YEAR($F87)&lt;Preisindex!$A$6,YEAR(FK$4)&gt;=YEAR($F87),$K87="a"),ROUND(VLOOKUP(FP$4,Preisindex,5,FALSE)/VLOOKUP(Preisindex!$A$6,Preisindex,5,FALSE),2),IF(AND($E87&lt;&gt;0,$F87&gt;0,YEAR($F87)&lt;Preisindex!$A$6,YEAR(FK$4)&gt;=YEAR($F87),$K87="b"),ROUND(VLOOKUP(FP$4,Preisindex,3,FALSE)/VLOOKUP(Preisindex!$A$6,Preisindex,3,FALSE),2),IF(AND($E87&lt;&gt;0,$F87&gt;0,YEAR($F87)&lt;Preisindex!$A$6,YEAR(FK$4)&gt;=YEAR($F87),$K87="g"),ROUND(VLOOKUP(FP$4,Preisindex,4,FALSE)/VLOOKUP(Preisindex!$A$6,Preisindex,4,FALSE),2),IF(AND($E87&lt;&gt;0,$F87&gt;0,YEAR($F87)&lt;Preisindex!$A$6,YEAR(FK$4)&gt;=YEAR($F87),$K87="k"),ROUND(VLOOKUP(FP$4,Preisindex,2,FALSE)/VLOOKUP(Preisindex!$A$6,Preisindex,2,FALSE),2),0)))))</f>
        <v>0</v>
      </c>
      <c r="FR87" s="51">
        <f>IF(AND($E87&lt;&gt;0,$F87&gt;0,YEAR($F87)&lt;=FP$4,YEAR($F87)&gt;=Preisindex!$A$6),ROUND($E87*FP87,2),IF(AND($E87&lt;&gt;0,$F87&gt;0,YEAR($F87)&lt;=FP$4,YEAR($F87)&lt;Preisindex!$A$6),ROUND($E87*FQ87,2),0))</f>
        <v>0</v>
      </c>
      <c r="FS87" s="53">
        <f t="shared" si="426"/>
        <v>0</v>
      </c>
    </row>
    <row r="88" spans="1:175" x14ac:dyDescent="0.3">
      <c r="A88" s="93"/>
      <c r="B88" s="94"/>
      <c r="C88" s="94"/>
      <c r="D88" s="95"/>
      <c r="E88" s="99"/>
      <c r="F88" s="97"/>
      <c r="G88" s="100"/>
      <c r="H88" s="620"/>
      <c r="I88" s="621"/>
      <c r="J88" s="194"/>
      <c r="K88" s="630"/>
      <c r="L88" s="49">
        <f t="shared" si="427"/>
        <v>0</v>
      </c>
      <c r="M88" s="50">
        <f t="shared" si="428"/>
        <v>0</v>
      </c>
      <c r="N88" s="51">
        <f t="shared" si="429"/>
        <v>0</v>
      </c>
      <c r="O88" s="51"/>
      <c r="P88" s="51">
        <f t="shared" si="430"/>
        <v>0</v>
      </c>
      <c r="Q88" s="52"/>
      <c r="R88" s="52"/>
      <c r="S88" s="52"/>
      <c r="T88" s="52"/>
      <c r="U88" s="52"/>
      <c r="V88" s="53">
        <f t="shared" si="431"/>
        <v>0</v>
      </c>
      <c r="W88" s="51">
        <f t="shared" si="432"/>
        <v>0</v>
      </c>
      <c r="X88" s="51">
        <f t="shared" si="433"/>
        <v>0</v>
      </c>
      <c r="Y88" s="51">
        <f t="shared" si="434"/>
        <v>0</v>
      </c>
      <c r="Z88" s="51">
        <f t="shared" si="435"/>
        <v>0</v>
      </c>
      <c r="AA88" s="51">
        <f t="shared" si="436"/>
        <v>0</v>
      </c>
      <c r="AB88" s="51">
        <f t="shared" si="437"/>
        <v>0</v>
      </c>
      <c r="AC88" s="51">
        <f t="shared" si="438"/>
        <v>0</v>
      </c>
      <c r="AD88" s="51">
        <f t="shared" si="439"/>
        <v>0</v>
      </c>
      <c r="AE88" s="51">
        <f t="shared" si="440"/>
        <v>0</v>
      </c>
      <c r="AF88" s="51">
        <f t="shared" si="441"/>
        <v>0</v>
      </c>
      <c r="AG88" s="51">
        <f t="shared" si="442"/>
        <v>0</v>
      </c>
      <c r="AH88" s="54">
        <f t="shared" si="443"/>
        <v>0</v>
      </c>
      <c r="AI88" s="55">
        <f t="shared" si="444"/>
        <v>0</v>
      </c>
      <c r="AJ88" s="56">
        <f>IF(AND($E88&lt;&gt;0,$F88&gt;0,YEAR($F88)&gt;=Preisindex!$A$6,YEAR(AE$4)&gt;=YEAR($F88),AND($K88&lt;&gt;"a",$K88&lt;&gt;"b",$K88&lt;&gt;"g",$K88&lt;&gt;"k")),1,IF(AND($E88&lt;&gt;0,$F88&gt;0,YEAR($F88)&gt;=Preisindex!$A$6,YEAR(AE$4)&gt;=YEAR($F88),$K88="a"),ROUND(VLOOKUP(AJ$4,Preisindex,5,FALSE)/VLOOKUP(YEAR($F88),Preisindex,5,FALSE),2),IF(AND($E88&lt;&gt;0,$F88&gt;0,YEAR($F88)&gt;=Preisindex!$A$6,YEAR(AE$4)&gt;=YEAR($F88),$K88="b"),ROUND(VLOOKUP(AJ$4,Preisindex,3,FALSE)/VLOOKUP(YEAR($F88),Preisindex,3,FALSE),2),IF(AND($E88&lt;&gt;0,$F88&gt;0,YEAR($F88)&gt;=Preisindex!$A$6,YEAR(AE$4)&gt;=YEAR($F88),$K88="g"),ROUND(VLOOKUP(AJ$4,Preisindex,4,FALSE)/VLOOKUP(YEAR($F88),Preisindex,4,FALSE),2),IF(AND($E88&lt;&gt;0,$F88&gt;0,YEAR($F88)&gt;=Preisindex!$A$6,YEAR(AE$4)&gt;=YEAR($F88),$K88="k"),ROUND(VLOOKUP(AJ$4,Preisindex,2,FALSE)/VLOOKUP(YEAR($F88),Preisindex,2,FALSE),2),0)))))</f>
        <v>0</v>
      </c>
      <c r="AK88" s="56">
        <f>IF(AND($E88&lt;&gt;0,$F88&gt;0,YEAR($F88)&lt;Preisindex!$A$6,YEAR(AE$4)&gt;=YEAR($F88),AND($K88&lt;&gt;"a",$K88&lt;&gt;"b",$K88&lt;&gt;"g",$K88&lt;&gt;"k")),1,IF(AND($E88&lt;&gt;0,$F88&gt;0,YEAR($F88)&lt;Preisindex!$A$6,YEAR(AE$4)&gt;=YEAR($F88),$K88="a"),ROUND(VLOOKUP(AJ$4,Preisindex,5,FALSE)/VLOOKUP(Preisindex!$A$6,Preisindex,5,FALSE),2),IF(AND($E88&lt;&gt;0,$F88&gt;0,YEAR($F88)&lt;Preisindex!$A$6,YEAR(AE$4)&gt;=YEAR($F88),$K88="b"),ROUND(VLOOKUP(AJ$4,Preisindex,3,FALSE)/VLOOKUP(Preisindex!$A$6,Preisindex,3,FALSE),2),IF(AND($E88&lt;&gt;0,$F88&gt;0,YEAR($F88)&lt;Preisindex!$A$6,YEAR(AE$4)&gt;=YEAR($F88),$K88="g"),ROUND(VLOOKUP(AJ$4,Preisindex,4,FALSE)/VLOOKUP(Preisindex!$A$6,Preisindex,4,FALSE),2),IF(AND($E88&lt;&gt;0,$F88&gt;0,YEAR($F88)&lt;Preisindex!$A$6,YEAR(AE$4)&gt;=YEAR($F88),$K88="k"),ROUND(VLOOKUP(AJ$4,Preisindex,2,FALSE)/VLOOKUP(Preisindex!$A$6,Preisindex,2,FALSE),2),0)))))</f>
        <v>0</v>
      </c>
      <c r="AL88" s="51">
        <f>IF(AND($E88&lt;&gt;0,$F88&gt;0,YEAR($F88)&lt;=AJ$4,YEAR($F88)&gt;=Preisindex!$A$6),ROUND($E88*AJ88,2),IF(AND($E88&lt;&gt;0,$F88&gt;0,YEAR($F88)&lt;=AJ$4,YEAR($F88)&lt;Preisindex!$A$6),ROUND($E88*AK88,2),0))</f>
        <v>0</v>
      </c>
      <c r="AM88" s="53">
        <f t="shared" si="445"/>
        <v>0</v>
      </c>
      <c r="AN88" s="51">
        <f t="shared" si="446"/>
        <v>0</v>
      </c>
      <c r="AO88" s="51">
        <f t="shared" si="448"/>
        <v>0</v>
      </c>
      <c r="AP88" s="51">
        <f t="shared" si="362"/>
        <v>0</v>
      </c>
      <c r="AQ88" s="51">
        <f t="shared" si="449"/>
        <v>0</v>
      </c>
      <c r="AR88" s="51">
        <f t="shared" si="363"/>
        <v>0</v>
      </c>
      <c r="AS88" s="51">
        <f t="shared" si="450"/>
        <v>0</v>
      </c>
      <c r="AT88" s="51">
        <f t="shared" si="364"/>
        <v>0</v>
      </c>
      <c r="AU88" s="51">
        <f t="shared" si="451"/>
        <v>0</v>
      </c>
      <c r="AV88" s="51">
        <f t="shared" si="365"/>
        <v>0</v>
      </c>
      <c r="AW88" s="51">
        <f t="shared" si="452"/>
        <v>0</v>
      </c>
      <c r="AX88" s="51">
        <f t="shared" si="366"/>
        <v>0</v>
      </c>
      <c r="AY88" s="54">
        <f t="shared" si="367"/>
        <v>0</v>
      </c>
      <c r="AZ88" s="55">
        <f t="shared" si="368"/>
        <v>0</v>
      </c>
      <c r="BA88" s="56">
        <f>IF(AND($E88&lt;&gt;0,$F88&gt;0,YEAR($F88)&gt;=Preisindex!$A$6,YEAR(AV$4)&gt;=YEAR($F88),AND($K88&lt;&gt;"a",$K88&lt;&gt;"b",$K88&lt;&gt;"g",$K88&lt;&gt;"k")),1,IF(AND($E88&lt;&gt;0,$F88&gt;0,YEAR($F88)&gt;=Preisindex!$A$6,YEAR(AV$4)&gt;=YEAR($F88),$K88="a"),ROUND(VLOOKUP(BA$4,Preisindex,5,FALSE)/VLOOKUP(YEAR($F88),Preisindex,5,FALSE),2),IF(AND($E88&lt;&gt;0,$F88&gt;0,YEAR($F88)&gt;=Preisindex!$A$6,YEAR(AV$4)&gt;=YEAR($F88),$K88="b"),ROUND(VLOOKUP(BA$4,Preisindex,3,FALSE)/VLOOKUP(YEAR($F88),Preisindex,3,FALSE),2),IF(AND($E88&lt;&gt;0,$F88&gt;0,YEAR($F88)&gt;=Preisindex!$A$6,YEAR(AV$4)&gt;=YEAR($F88),$K88="g"),ROUND(VLOOKUP(BA$4,Preisindex,4,FALSE)/VLOOKUP(YEAR($F88),Preisindex,4,FALSE),2),IF(AND($E88&lt;&gt;0,$F88&gt;0,YEAR($F88)&gt;=Preisindex!$A$6,YEAR(AV$4)&gt;=YEAR($F88),$K88="k"),ROUND(VLOOKUP(BA$4,Preisindex,2,FALSE)/VLOOKUP(YEAR($F88),Preisindex,2,FALSE),2),0)))))</f>
        <v>0</v>
      </c>
      <c r="BB88" s="56">
        <f>IF(AND($E88&lt;&gt;0,$F88&gt;0,YEAR($F88)&lt;Preisindex!$A$6,YEAR(AV$4)&gt;=YEAR($F88),AND($K88&lt;&gt;"a",$K88&lt;&gt;"b",$K88&lt;&gt;"g",$K88&lt;&gt;"k")),1,IF(AND($E88&lt;&gt;0,$F88&gt;0,YEAR($F88)&lt;Preisindex!$A$6,YEAR(AV$4)&gt;=YEAR($F88),$K88="a"),ROUND(VLOOKUP(BA$4,Preisindex,5,FALSE)/VLOOKUP(Preisindex!$A$6,Preisindex,5,FALSE),2),IF(AND($E88&lt;&gt;0,$F88&gt;0,YEAR($F88)&lt;Preisindex!$A$6,YEAR(AV$4)&gt;=YEAR($F88),$K88="b"),ROUND(VLOOKUP(BA$4,Preisindex,3,FALSE)/VLOOKUP(Preisindex!$A$6,Preisindex,3,FALSE),2),IF(AND($E88&lt;&gt;0,$F88&gt;0,YEAR($F88)&lt;Preisindex!$A$6,YEAR(AV$4)&gt;=YEAR($F88),$K88="g"),ROUND(VLOOKUP(BA$4,Preisindex,4,FALSE)/VLOOKUP(Preisindex!$A$6,Preisindex,4,FALSE),2),IF(AND($E88&lt;&gt;0,$F88&gt;0,YEAR($F88)&lt;Preisindex!$A$6,YEAR(AV$4)&gt;=YEAR($F88),$K88="k"),ROUND(VLOOKUP(BA$4,Preisindex,2,FALSE)/VLOOKUP(Preisindex!$A$6,Preisindex,2,FALSE),2),0)))))</f>
        <v>0</v>
      </c>
      <c r="BC88" s="51">
        <f>IF(AND($E88&lt;&gt;0,$F88&gt;0,YEAR($F88)&lt;=BA$4,YEAR($F88)&gt;=Preisindex!$A$6),ROUND($E88*BA88,2),IF(AND($E88&lt;&gt;0,$F88&gt;0,YEAR($F88)&lt;=BA$4,YEAR($F88)&lt;Preisindex!$A$6),ROUND($E88*BB88,2),0))</f>
        <v>0</v>
      </c>
      <c r="BD88" s="53">
        <f t="shared" si="369"/>
        <v>0</v>
      </c>
      <c r="BE88" s="51">
        <f t="shared" si="446"/>
        <v>0</v>
      </c>
      <c r="BF88" s="51">
        <f t="shared" si="453"/>
        <v>0</v>
      </c>
      <c r="BG88" s="51">
        <f t="shared" si="370"/>
        <v>0</v>
      </c>
      <c r="BH88" s="51">
        <f t="shared" si="454"/>
        <v>0</v>
      </c>
      <c r="BI88" s="51">
        <f t="shared" si="371"/>
        <v>0</v>
      </c>
      <c r="BJ88" s="51">
        <f t="shared" si="455"/>
        <v>0</v>
      </c>
      <c r="BK88" s="51">
        <f t="shared" si="372"/>
        <v>0</v>
      </c>
      <c r="BL88" s="51">
        <f t="shared" si="456"/>
        <v>0</v>
      </c>
      <c r="BM88" s="51">
        <f t="shared" si="373"/>
        <v>0</v>
      </c>
      <c r="BN88" s="51">
        <f t="shared" si="457"/>
        <v>0</v>
      </c>
      <c r="BO88" s="51">
        <f t="shared" si="374"/>
        <v>0</v>
      </c>
      <c r="BP88" s="54">
        <f t="shared" si="375"/>
        <v>0</v>
      </c>
      <c r="BQ88" s="55">
        <f t="shared" si="376"/>
        <v>0</v>
      </c>
      <c r="BR88" s="56">
        <f>IF(AND($E88&lt;&gt;0,$F88&gt;0,YEAR($F88)&gt;=Preisindex!$A$6,YEAR(BM$4)&gt;=YEAR($F88),AND($K88&lt;&gt;"a",$K88&lt;&gt;"b",$K88&lt;&gt;"g",$K88&lt;&gt;"k")),1,IF(AND($E88&lt;&gt;0,$F88&gt;0,YEAR($F88)&gt;=Preisindex!$A$6,YEAR(BM$4)&gt;=YEAR($F88),$K88="a"),ROUND(VLOOKUP(BR$4,Preisindex,5,FALSE)/VLOOKUP(YEAR($F88),Preisindex,5,FALSE),2),IF(AND($E88&lt;&gt;0,$F88&gt;0,YEAR($F88)&gt;=Preisindex!$A$6,YEAR(BM$4)&gt;=YEAR($F88),$K88="b"),ROUND(VLOOKUP(BR$4,Preisindex,3,FALSE)/VLOOKUP(YEAR($F88),Preisindex,3,FALSE),2),IF(AND($E88&lt;&gt;0,$F88&gt;0,YEAR($F88)&gt;=Preisindex!$A$6,YEAR(BM$4)&gt;=YEAR($F88),$K88="g"),ROUND(VLOOKUP(BR$4,Preisindex,4,FALSE)/VLOOKUP(YEAR($F88),Preisindex,4,FALSE),2),IF(AND($E88&lt;&gt;0,$F88&gt;0,YEAR($F88)&gt;=Preisindex!$A$6,YEAR(BM$4)&gt;=YEAR($F88),$K88="k"),ROUND(VLOOKUP(BR$4,Preisindex,2,FALSE)/VLOOKUP(YEAR($F88),Preisindex,2,FALSE),2),0)))))</f>
        <v>0</v>
      </c>
      <c r="BS88" s="56">
        <f>IF(AND($E88&lt;&gt;0,$F88&gt;0,YEAR($F88)&lt;Preisindex!$A$6,YEAR(BM$4)&gt;=YEAR($F88),AND($K88&lt;&gt;"a",$K88&lt;&gt;"b",$K88&lt;&gt;"g",$K88&lt;&gt;"k")),1,IF(AND($E88&lt;&gt;0,$F88&gt;0,YEAR($F88)&lt;Preisindex!$A$6,YEAR(BM$4)&gt;=YEAR($F88),$K88="a"),ROUND(VLOOKUP(BR$4,Preisindex,5,FALSE)/VLOOKUP(Preisindex!$A$6,Preisindex,5,FALSE),2),IF(AND($E88&lt;&gt;0,$F88&gt;0,YEAR($F88)&lt;Preisindex!$A$6,YEAR(BM$4)&gt;=YEAR($F88),$K88="b"),ROUND(VLOOKUP(BR$4,Preisindex,3,FALSE)/VLOOKUP(Preisindex!$A$6,Preisindex,3,FALSE),2),IF(AND($E88&lt;&gt;0,$F88&gt;0,YEAR($F88)&lt;Preisindex!$A$6,YEAR(BM$4)&gt;=YEAR($F88),$K88="g"),ROUND(VLOOKUP(BR$4,Preisindex,4,FALSE)/VLOOKUP(Preisindex!$A$6,Preisindex,4,FALSE),2),IF(AND($E88&lt;&gt;0,$F88&gt;0,YEAR($F88)&lt;Preisindex!$A$6,YEAR(BM$4)&gt;=YEAR($F88),$K88="k"),ROUND(VLOOKUP(BR$4,Preisindex,2,FALSE)/VLOOKUP(Preisindex!$A$6,Preisindex,2,FALSE),2),0)))))</f>
        <v>0</v>
      </c>
      <c r="BT88" s="51">
        <f>IF(AND($E88&lt;&gt;0,$F88&gt;0,YEAR($F88)&lt;=BR$4,YEAR($F88)&gt;=Preisindex!$A$6),ROUND($E88*BR88,2),IF(AND($E88&lt;&gt;0,$F88&gt;0,YEAR($F88)&lt;=BR$4,YEAR($F88)&lt;Preisindex!$A$6),ROUND($E88*BS88,2),0))</f>
        <v>0</v>
      </c>
      <c r="BU88" s="53">
        <f t="shared" si="377"/>
        <v>0</v>
      </c>
      <c r="BV88" s="51">
        <f t="shared" si="446"/>
        <v>0</v>
      </c>
      <c r="BW88" s="51">
        <f t="shared" si="458"/>
        <v>0</v>
      </c>
      <c r="BX88" s="51">
        <f t="shared" si="378"/>
        <v>0</v>
      </c>
      <c r="BY88" s="51">
        <f t="shared" si="459"/>
        <v>0</v>
      </c>
      <c r="BZ88" s="51">
        <f t="shared" si="379"/>
        <v>0</v>
      </c>
      <c r="CA88" s="51">
        <f t="shared" si="460"/>
        <v>0</v>
      </c>
      <c r="CB88" s="51">
        <f t="shared" si="380"/>
        <v>0</v>
      </c>
      <c r="CC88" s="51">
        <f t="shared" si="461"/>
        <v>0</v>
      </c>
      <c r="CD88" s="51">
        <f t="shared" si="381"/>
        <v>0</v>
      </c>
      <c r="CE88" s="51">
        <f t="shared" si="462"/>
        <v>0</v>
      </c>
      <c r="CF88" s="51">
        <f t="shared" si="382"/>
        <v>0</v>
      </c>
      <c r="CG88" s="54">
        <f t="shared" si="383"/>
        <v>0</v>
      </c>
      <c r="CH88" s="55">
        <f t="shared" si="384"/>
        <v>0</v>
      </c>
      <c r="CI88" s="56">
        <f>IF(AND($E88&lt;&gt;0,$F88&gt;0,YEAR($F88)&gt;=Preisindex!$A$6,YEAR(CD$4)&gt;=YEAR($F88),AND($K88&lt;&gt;"a",$K88&lt;&gt;"b",$K88&lt;&gt;"g",$K88&lt;&gt;"k")),1,IF(AND($E88&lt;&gt;0,$F88&gt;0,YEAR($F88)&gt;=Preisindex!$A$6,YEAR(CD$4)&gt;=YEAR($F88),$K88="a"),ROUND(VLOOKUP(CI$4,Preisindex,5,FALSE)/VLOOKUP(YEAR($F88),Preisindex,5,FALSE),2),IF(AND($E88&lt;&gt;0,$F88&gt;0,YEAR($F88)&gt;=Preisindex!$A$6,YEAR(CD$4)&gt;=YEAR($F88),$K88="b"),ROUND(VLOOKUP(CI$4,Preisindex,3,FALSE)/VLOOKUP(YEAR($F88),Preisindex,3,FALSE),2),IF(AND($E88&lt;&gt;0,$F88&gt;0,YEAR($F88)&gt;=Preisindex!$A$6,YEAR(CD$4)&gt;=YEAR($F88),$K88="g"),ROUND(VLOOKUP(CI$4,Preisindex,4,FALSE)/VLOOKUP(YEAR($F88),Preisindex,4,FALSE),2),IF(AND($E88&lt;&gt;0,$F88&gt;0,YEAR($F88)&gt;=Preisindex!$A$6,YEAR(CD$4)&gt;=YEAR($F88),$K88="k"),ROUND(VLOOKUP(CI$4,Preisindex,2,FALSE)/VLOOKUP(YEAR($F88),Preisindex,2,FALSE),2),0)))))</f>
        <v>0</v>
      </c>
      <c r="CJ88" s="56">
        <f>IF(AND($E88&lt;&gt;0,$F88&gt;0,YEAR($F88)&lt;Preisindex!$A$6,YEAR(CD$4)&gt;=YEAR($F88),AND($K88&lt;&gt;"a",$K88&lt;&gt;"b",$K88&lt;&gt;"g",$K88&lt;&gt;"k")),1,IF(AND($E88&lt;&gt;0,$F88&gt;0,YEAR($F88)&lt;Preisindex!$A$6,YEAR(CD$4)&gt;=YEAR($F88),$K88="a"),ROUND(VLOOKUP(CI$4,Preisindex,5,FALSE)/VLOOKUP(Preisindex!$A$6,Preisindex,5,FALSE),2),IF(AND($E88&lt;&gt;0,$F88&gt;0,YEAR($F88)&lt;Preisindex!$A$6,YEAR(CD$4)&gt;=YEAR($F88),$K88="b"),ROUND(VLOOKUP(CI$4,Preisindex,3,FALSE)/VLOOKUP(Preisindex!$A$6,Preisindex,3,FALSE),2),IF(AND($E88&lt;&gt;0,$F88&gt;0,YEAR($F88)&lt;Preisindex!$A$6,YEAR(CD$4)&gt;=YEAR($F88),$K88="g"),ROUND(VLOOKUP(CI$4,Preisindex,4,FALSE)/VLOOKUP(Preisindex!$A$6,Preisindex,4,FALSE),2),IF(AND($E88&lt;&gt;0,$F88&gt;0,YEAR($F88)&lt;Preisindex!$A$6,YEAR(CD$4)&gt;=YEAR($F88),$K88="k"),ROUND(VLOOKUP(CI$4,Preisindex,2,FALSE)/VLOOKUP(Preisindex!$A$6,Preisindex,2,FALSE),2),0)))))</f>
        <v>0</v>
      </c>
      <c r="CK88" s="51">
        <f>IF(AND($E88&lt;&gt;0,$F88&gt;0,YEAR($F88)&lt;=CI$4,YEAR($F88)&gt;=Preisindex!$A$6),ROUND($E88*CI88,2),IF(AND($E88&lt;&gt;0,$F88&gt;0,YEAR($F88)&lt;=CI$4,YEAR($F88)&lt;Preisindex!$A$6),ROUND($E88*CJ88,2),0))</f>
        <v>0</v>
      </c>
      <c r="CL88" s="53">
        <f t="shared" si="385"/>
        <v>0</v>
      </c>
      <c r="CM88" s="51">
        <f t="shared" si="446"/>
        <v>0</v>
      </c>
      <c r="CN88" s="51">
        <f t="shared" si="463"/>
        <v>0</v>
      </c>
      <c r="CO88" s="51">
        <f t="shared" si="386"/>
        <v>0</v>
      </c>
      <c r="CP88" s="51">
        <f t="shared" si="464"/>
        <v>0</v>
      </c>
      <c r="CQ88" s="51">
        <f t="shared" si="387"/>
        <v>0</v>
      </c>
      <c r="CR88" s="51">
        <f t="shared" si="465"/>
        <v>0</v>
      </c>
      <c r="CS88" s="51">
        <f t="shared" si="388"/>
        <v>0</v>
      </c>
      <c r="CT88" s="51">
        <f t="shared" si="466"/>
        <v>0</v>
      </c>
      <c r="CU88" s="51">
        <f t="shared" si="389"/>
        <v>0</v>
      </c>
      <c r="CV88" s="51">
        <f t="shared" si="467"/>
        <v>0</v>
      </c>
      <c r="CW88" s="51">
        <f t="shared" si="390"/>
        <v>0</v>
      </c>
      <c r="CX88" s="54">
        <f t="shared" si="391"/>
        <v>0</v>
      </c>
      <c r="CY88" s="55">
        <f t="shared" si="392"/>
        <v>0</v>
      </c>
      <c r="CZ88" s="56">
        <f>IF(AND($E88&lt;&gt;0,$F88&gt;0,YEAR($F88)&gt;=Preisindex!$A$6,YEAR(CU$4)&gt;=YEAR($F88),AND($K88&lt;&gt;"a",$K88&lt;&gt;"b",$K88&lt;&gt;"g",$K88&lt;&gt;"k")),1,IF(AND($E88&lt;&gt;0,$F88&gt;0,YEAR($F88)&gt;=Preisindex!$A$6,YEAR(CU$4)&gt;=YEAR($F88),$K88="a"),ROUND(VLOOKUP(CZ$4,Preisindex,5,FALSE)/VLOOKUP(YEAR($F88),Preisindex,5,FALSE),2),IF(AND($E88&lt;&gt;0,$F88&gt;0,YEAR($F88)&gt;=Preisindex!$A$6,YEAR(CU$4)&gt;=YEAR($F88),$K88="b"),ROUND(VLOOKUP(CZ$4,Preisindex,3,FALSE)/VLOOKUP(YEAR($F88),Preisindex,3,FALSE),2),IF(AND($E88&lt;&gt;0,$F88&gt;0,YEAR($F88)&gt;=Preisindex!$A$6,YEAR(CU$4)&gt;=YEAR($F88),$K88="g"),ROUND(VLOOKUP(CZ$4,Preisindex,4,FALSE)/VLOOKUP(YEAR($F88),Preisindex,4,FALSE),2),IF(AND($E88&lt;&gt;0,$F88&gt;0,YEAR($F88)&gt;=Preisindex!$A$6,YEAR(CU$4)&gt;=YEAR($F88),$K88="k"),ROUND(VLOOKUP(CZ$4,Preisindex,2,FALSE)/VLOOKUP(YEAR($F88),Preisindex,2,FALSE),2),0)))))</f>
        <v>0</v>
      </c>
      <c r="DA88" s="56">
        <f>IF(AND($E88&lt;&gt;0,$F88&gt;0,YEAR($F88)&lt;Preisindex!$A$6,YEAR(CU$4)&gt;=YEAR($F88),AND($K88&lt;&gt;"a",$K88&lt;&gt;"b",$K88&lt;&gt;"g",$K88&lt;&gt;"k")),1,IF(AND($E88&lt;&gt;0,$F88&gt;0,YEAR($F88)&lt;Preisindex!$A$6,YEAR(CU$4)&gt;=YEAR($F88),$K88="a"),ROUND(VLOOKUP(CZ$4,Preisindex,5,FALSE)/VLOOKUP(Preisindex!$A$6,Preisindex,5,FALSE),2),IF(AND($E88&lt;&gt;0,$F88&gt;0,YEAR($F88)&lt;Preisindex!$A$6,YEAR(CU$4)&gt;=YEAR($F88),$K88="b"),ROUND(VLOOKUP(CZ$4,Preisindex,3,FALSE)/VLOOKUP(Preisindex!$A$6,Preisindex,3,FALSE),2),IF(AND($E88&lt;&gt;0,$F88&gt;0,YEAR($F88)&lt;Preisindex!$A$6,YEAR(CU$4)&gt;=YEAR($F88),$K88="g"),ROUND(VLOOKUP(CZ$4,Preisindex,4,FALSE)/VLOOKUP(Preisindex!$A$6,Preisindex,4,FALSE),2),IF(AND($E88&lt;&gt;0,$F88&gt;0,YEAR($F88)&lt;Preisindex!$A$6,YEAR(CU$4)&gt;=YEAR($F88),$K88="k"),ROUND(VLOOKUP(CZ$4,Preisindex,2,FALSE)/VLOOKUP(Preisindex!$A$6,Preisindex,2,FALSE),2),0)))))</f>
        <v>0</v>
      </c>
      <c r="DB88" s="51">
        <f>IF(AND($E88&lt;&gt;0,$F88&gt;0,YEAR($F88)&lt;=CZ$4,YEAR($F88)&gt;=Preisindex!$A$6),ROUND($E88*CZ88,2),IF(AND($E88&lt;&gt;0,$F88&gt;0,YEAR($F88)&lt;=CZ$4,YEAR($F88)&lt;Preisindex!$A$6),ROUND($E88*DA88,2),0))</f>
        <v>0</v>
      </c>
      <c r="DC88" s="53">
        <f t="shared" si="393"/>
        <v>0</v>
      </c>
      <c r="DD88" s="51">
        <f t="shared" si="447"/>
        <v>0</v>
      </c>
      <c r="DE88" s="51">
        <f t="shared" si="468"/>
        <v>0</v>
      </c>
      <c r="DF88" s="51">
        <f t="shared" si="395"/>
        <v>0</v>
      </c>
      <c r="DG88" s="51">
        <f t="shared" si="469"/>
        <v>0</v>
      </c>
      <c r="DH88" s="51">
        <f t="shared" si="396"/>
        <v>0</v>
      </c>
      <c r="DI88" s="51">
        <f t="shared" si="470"/>
        <v>0</v>
      </c>
      <c r="DJ88" s="51">
        <f t="shared" si="397"/>
        <v>0</v>
      </c>
      <c r="DK88" s="51">
        <f t="shared" si="471"/>
        <v>0</v>
      </c>
      <c r="DL88" s="51">
        <f t="shared" si="398"/>
        <v>0</v>
      </c>
      <c r="DM88" s="51">
        <f t="shared" si="472"/>
        <v>0</v>
      </c>
      <c r="DN88" s="51">
        <f t="shared" si="399"/>
        <v>0</v>
      </c>
      <c r="DO88" s="54">
        <f t="shared" si="400"/>
        <v>0</v>
      </c>
      <c r="DP88" s="55">
        <f t="shared" si="401"/>
        <v>0</v>
      </c>
      <c r="DQ88" s="56">
        <f>IF(AND($E88&lt;&gt;0,$F88&gt;0,YEAR($F88)&gt;=Preisindex!$A$6,YEAR(DL$4)&gt;=YEAR($F88),AND($K88&lt;&gt;"a",$K88&lt;&gt;"b",$K88&lt;&gt;"g",$K88&lt;&gt;"k")),1,IF(AND($E88&lt;&gt;0,$F88&gt;0,YEAR($F88)&gt;=Preisindex!$A$6,YEAR(DL$4)&gt;=YEAR($F88),$K88="a"),ROUND(VLOOKUP(DQ$4,Preisindex,5,FALSE)/VLOOKUP(YEAR($F88),Preisindex,5,FALSE),2),IF(AND($E88&lt;&gt;0,$F88&gt;0,YEAR($F88)&gt;=Preisindex!$A$6,YEAR(DL$4)&gt;=YEAR($F88),$K88="b"),ROUND(VLOOKUP(DQ$4,Preisindex,3,FALSE)/VLOOKUP(YEAR($F88),Preisindex,3,FALSE),2),IF(AND($E88&lt;&gt;0,$F88&gt;0,YEAR($F88)&gt;=Preisindex!$A$6,YEAR(DL$4)&gt;=YEAR($F88),$K88="g"),ROUND(VLOOKUP(DQ$4,Preisindex,4,FALSE)/VLOOKUP(YEAR($F88),Preisindex,4,FALSE),2),IF(AND($E88&lt;&gt;0,$F88&gt;0,YEAR($F88)&gt;=Preisindex!$A$6,YEAR(DL$4)&gt;=YEAR($F88),$K88="k"),ROUND(VLOOKUP(DQ$4,Preisindex,2,FALSE)/VLOOKUP(YEAR($F88),Preisindex,2,FALSE),2),0)))))</f>
        <v>0</v>
      </c>
      <c r="DR88" s="56">
        <f>IF(AND($E88&lt;&gt;0,$F88&gt;0,YEAR($F88)&lt;Preisindex!$A$6,YEAR(DL$4)&gt;=YEAR($F88),AND($K88&lt;&gt;"a",$K88&lt;&gt;"b",$K88&lt;&gt;"g",$K88&lt;&gt;"k")),1,IF(AND($E88&lt;&gt;0,$F88&gt;0,YEAR($F88)&lt;Preisindex!$A$6,YEAR(DL$4)&gt;=YEAR($F88),$K88="a"),ROUND(VLOOKUP(DQ$4,Preisindex,5,FALSE)/VLOOKUP(Preisindex!$A$6,Preisindex,5,FALSE),2),IF(AND($E88&lt;&gt;0,$F88&gt;0,YEAR($F88)&lt;Preisindex!$A$6,YEAR(DL$4)&gt;=YEAR($F88),$K88="b"),ROUND(VLOOKUP(DQ$4,Preisindex,3,FALSE)/VLOOKUP(Preisindex!$A$6,Preisindex,3,FALSE),2),IF(AND($E88&lt;&gt;0,$F88&gt;0,YEAR($F88)&lt;Preisindex!$A$6,YEAR(DL$4)&gt;=YEAR($F88),$K88="g"),ROUND(VLOOKUP(DQ$4,Preisindex,4,FALSE)/VLOOKUP(Preisindex!$A$6,Preisindex,4,FALSE),2),IF(AND($E88&lt;&gt;0,$F88&gt;0,YEAR($F88)&lt;Preisindex!$A$6,YEAR(DL$4)&gt;=YEAR($F88),$K88="k"),ROUND(VLOOKUP(DQ$4,Preisindex,2,FALSE)/VLOOKUP(Preisindex!$A$6,Preisindex,2,FALSE),2),0)))))</f>
        <v>0</v>
      </c>
      <c r="DS88" s="51">
        <f>IF(AND($E88&lt;&gt;0,$F88&gt;0,YEAR($F88)&lt;=DQ$4,YEAR($F88)&gt;=Preisindex!$A$6),ROUND($E88*DQ88,2),IF(AND($E88&lt;&gt;0,$F88&gt;0,YEAR($F88)&lt;=DQ$4,YEAR($F88)&lt;Preisindex!$A$6),ROUND($E88*DR88,2),0))</f>
        <v>0</v>
      </c>
      <c r="DT88" s="53">
        <f t="shared" si="402"/>
        <v>0</v>
      </c>
      <c r="DU88" s="51">
        <f t="shared" si="447"/>
        <v>0</v>
      </c>
      <c r="DV88" s="51">
        <f t="shared" si="473"/>
        <v>0</v>
      </c>
      <c r="DW88" s="51">
        <f t="shared" si="403"/>
        <v>0</v>
      </c>
      <c r="DX88" s="51">
        <f t="shared" si="474"/>
        <v>0</v>
      </c>
      <c r="DY88" s="51">
        <f t="shared" si="404"/>
        <v>0</v>
      </c>
      <c r="DZ88" s="51">
        <f t="shared" si="475"/>
        <v>0</v>
      </c>
      <c r="EA88" s="51">
        <f t="shared" si="405"/>
        <v>0</v>
      </c>
      <c r="EB88" s="51">
        <f t="shared" si="476"/>
        <v>0</v>
      </c>
      <c r="EC88" s="51">
        <f t="shared" si="406"/>
        <v>0</v>
      </c>
      <c r="ED88" s="51">
        <f t="shared" si="477"/>
        <v>0</v>
      </c>
      <c r="EE88" s="51">
        <f t="shared" si="407"/>
        <v>0</v>
      </c>
      <c r="EF88" s="54">
        <f t="shared" si="408"/>
        <v>0</v>
      </c>
      <c r="EG88" s="55">
        <f t="shared" si="409"/>
        <v>0</v>
      </c>
      <c r="EH88" s="56">
        <f>IF(AND($E88&lt;&gt;0,$F88&gt;0,YEAR($F88)&gt;=Preisindex!$A$6,YEAR(EC$4)&gt;=YEAR($F88),AND($K88&lt;&gt;"a",$K88&lt;&gt;"b",$K88&lt;&gt;"g",$K88&lt;&gt;"k")),1,IF(AND($E88&lt;&gt;0,$F88&gt;0,YEAR($F88)&gt;=Preisindex!$A$6,YEAR(EC$4)&gt;=YEAR($F88),$K88="a"),ROUND(VLOOKUP(EH$4,Preisindex,5,FALSE)/VLOOKUP(YEAR($F88),Preisindex,5,FALSE),2),IF(AND($E88&lt;&gt;0,$F88&gt;0,YEAR($F88)&gt;=Preisindex!$A$6,YEAR(EC$4)&gt;=YEAR($F88),$K88="b"),ROUND(VLOOKUP(EH$4,Preisindex,3,FALSE)/VLOOKUP(YEAR($F88),Preisindex,3,FALSE),2),IF(AND($E88&lt;&gt;0,$F88&gt;0,YEAR($F88)&gt;=Preisindex!$A$6,YEAR(EC$4)&gt;=YEAR($F88),$K88="g"),ROUND(VLOOKUP(EH$4,Preisindex,4,FALSE)/VLOOKUP(YEAR($F88),Preisindex,4,FALSE),2),IF(AND($E88&lt;&gt;0,$F88&gt;0,YEAR($F88)&gt;=Preisindex!$A$6,YEAR(EC$4)&gt;=YEAR($F88),$K88="k"),ROUND(VLOOKUP(EH$4,Preisindex,2,FALSE)/VLOOKUP(YEAR($F88),Preisindex,2,FALSE),2),0)))))</f>
        <v>0</v>
      </c>
      <c r="EI88" s="56">
        <f>IF(AND($E88&lt;&gt;0,$F88&gt;0,YEAR($F88)&lt;Preisindex!$A$6,YEAR(EC$4)&gt;=YEAR($F88),AND($K88&lt;&gt;"a",$K88&lt;&gt;"b",$K88&lt;&gt;"g",$K88&lt;&gt;"k")),1,IF(AND($E88&lt;&gt;0,$F88&gt;0,YEAR($F88)&lt;Preisindex!$A$6,YEAR(EC$4)&gt;=YEAR($F88),$K88="a"),ROUND(VLOOKUP(EH$4,Preisindex,5,FALSE)/VLOOKUP(Preisindex!$A$6,Preisindex,5,FALSE),2),IF(AND($E88&lt;&gt;0,$F88&gt;0,YEAR($F88)&lt;Preisindex!$A$6,YEAR(EC$4)&gt;=YEAR($F88),$K88="b"),ROUND(VLOOKUP(EH$4,Preisindex,3,FALSE)/VLOOKUP(Preisindex!$A$6,Preisindex,3,FALSE),2),IF(AND($E88&lt;&gt;0,$F88&gt;0,YEAR($F88)&lt;Preisindex!$A$6,YEAR(EC$4)&gt;=YEAR($F88),$K88="g"),ROUND(VLOOKUP(EH$4,Preisindex,4,FALSE)/VLOOKUP(Preisindex!$A$6,Preisindex,4,FALSE),2),IF(AND($E88&lt;&gt;0,$F88&gt;0,YEAR($F88)&lt;Preisindex!$A$6,YEAR(EC$4)&gt;=YEAR($F88),$K88="k"),ROUND(VLOOKUP(EH$4,Preisindex,2,FALSE)/VLOOKUP(Preisindex!$A$6,Preisindex,2,FALSE),2),0)))))</f>
        <v>0</v>
      </c>
      <c r="EJ88" s="51">
        <f>IF(AND($E88&lt;&gt;0,$F88&gt;0,YEAR($F88)&lt;=EH$4,YEAR($F88)&gt;=Preisindex!$A$6),ROUND($E88*EH88,2),IF(AND($E88&lt;&gt;0,$F88&gt;0,YEAR($F88)&lt;=EH$4,YEAR($F88)&lt;Preisindex!$A$6),ROUND($E88*EI88,2),0))</f>
        <v>0</v>
      </c>
      <c r="EK88" s="53">
        <f t="shared" si="410"/>
        <v>0</v>
      </c>
      <c r="EL88" s="51">
        <f t="shared" si="447"/>
        <v>0</v>
      </c>
      <c r="EM88" s="51">
        <f t="shared" si="478"/>
        <v>0</v>
      </c>
      <c r="EN88" s="51">
        <f t="shared" si="411"/>
        <v>0</v>
      </c>
      <c r="EO88" s="51">
        <f t="shared" si="479"/>
        <v>0</v>
      </c>
      <c r="EP88" s="51">
        <f t="shared" si="412"/>
        <v>0</v>
      </c>
      <c r="EQ88" s="51">
        <f t="shared" si="480"/>
        <v>0</v>
      </c>
      <c r="ER88" s="51">
        <f t="shared" si="413"/>
        <v>0</v>
      </c>
      <c r="ES88" s="51">
        <f t="shared" si="481"/>
        <v>0</v>
      </c>
      <c r="ET88" s="51">
        <f t="shared" si="414"/>
        <v>0</v>
      </c>
      <c r="EU88" s="51">
        <f t="shared" si="482"/>
        <v>0</v>
      </c>
      <c r="EV88" s="51">
        <f t="shared" si="415"/>
        <v>0</v>
      </c>
      <c r="EW88" s="54">
        <f t="shared" si="416"/>
        <v>0</v>
      </c>
      <c r="EX88" s="55">
        <f t="shared" si="417"/>
        <v>0</v>
      </c>
      <c r="EY88" s="56">
        <f>IF(AND($E88&lt;&gt;0,$F88&gt;0,YEAR($F88)&gt;=Preisindex!$A$6,YEAR(ET$4)&gt;=YEAR($F88),AND($K88&lt;&gt;"a",$K88&lt;&gt;"b",$K88&lt;&gt;"g",$K88&lt;&gt;"k")),1,IF(AND($E88&lt;&gt;0,$F88&gt;0,YEAR($F88)&gt;=Preisindex!$A$6,YEAR(ET$4)&gt;=YEAR($F88),$K88="a"),ROUND(VLOOKUP(EY$4,Preisindex,5,FALSE)/VLOOKUP(YEAR($F88),Preisindex,5,FALSE),2),IF(AND($E88&lt;&gt;0,$F88&gt;0,YEAR($F88)&gt;=Preisindex!$A$6,YEAR(ET$4)&gt;=YEAR($F88),$K88="b"),ROUND(VLOOKUP(EY$4,Preisindex,3,FALSE)/VLOOKUP(YEAR($F88),Preisindex,3,FALSE),2),IF(AND($E88&lt;&gt;0,$F88&gt;0,YEAR($F88)&gt;=Preisindex!$A$6,YEAR(ET$4)&gt;=YEAR($F88),$K88="g"),ROUND(VLOOKUP(EY$4,Preisindex,4,FALSE)/VLOOKUP(YEAR($F88),Preisindex,4,FALSE),2),IF(AND($E88&lt;&gt;0,$F88&gt;0,YEAR($F88)&gt;=Preisindex!$A$6,YEAR(ET$4)&gt;=YEAR($F88),$K88="k"),ROUND(VLOOKUP(EY$4,Preisindex,2,FALSE)/VLOOKUP(YEAR($F88),Preisindex,2,FALSE),2),0)))))</f>
        <v>0</v>
      </c>
      <c r="EZ88" s="56">
        <f>IF(AND($E88&lt;&gt;0,$F88&gt;0,YEAR($F88)&lt;Preisindex!$A$6,YEAR(ET$4)&gt;=YEAR($F88),AND($K88&lt;&gt;"a",$K88&lt;&gt;"b",$K88&lt;&gt;"g",$K88&lt;&gt;"k")),1,IF(AND($E88&lt;&gt;0,$F88&gt;0,YEAR($F88)&lt;Preisindex!$A$6,YEAR(ET$4)&gt;=YEAR($F88),$K88="a"),ROUND(VLOOKUP(EY$4,Preisindex,5,FALSE)/VLOOKUP(Preisindex!$A$6,Preisindex,5,FALSE),2),IF(AND($E88&lt;&gt;0,$F88&gt;0,YEAR($F88)&lt;Preisindex!$A$6,YEAR(ET$4)&gt;=YEAR($F88),$K88="b"),ROUND(VLOOKUP(EY$4,Preisindex,3,FALSE)/VLOOKUP(Preisindex!$A$6,Preisindex,3,FALSE),2),IF(AND($E88&lt;&gt;0,$F88&gt;0,YEAR($F88)&lt;Preisindex!$A$6,YEAR(ET$4)&gt;=YEAR($F88),$K88="g"),ROUND(VLOOKUP(EY$4,Preisindex,4,FALSE)/VLOOKUP(Preisindex!$A$6,Preisindex,4,FALSE),2),IF(AND($E88&lt;&gt;0,$F88&gt;0,YEAR($F88)&lt;Preisindex!$A$6,YEAR(ET$4)&gt;=YEAR($F88),$K88="k"),ROUND(VLOOKUP(EY$4,Preisindex,2,FALSE)/VLOOKUP(Preisindex!$A$6,Preisindex,2,FALSE),2),0)))))</f>
        <v>0</v>
      </c>
      <c r="FA88" s="51">
        <f>IF(AND($E88&lt;&gt;0,$F88&gt;0,YEAR($F88)&lt;=EY$4,YEAR($F88)&gt;=Preisindex!$A$6),ROUND($E88*EY88,2),IF(AND($E88&lt;&gt;0,$F88&gt;0,YEAR($F88)&lt;=EY$4,YEAR($F88)&lt;Preisindex!$A$6),ROUND($E88*EZ88,2),0))</f>
        <v>0</v>
      </c>
      <c r="FB88" s="53">
        <f t="shared" si="418"/>
        <v>0</v>
      </c>
      <c r="FC88" s="51">
        <f t="shared" si="447"/>
        <v>0</v>
      </c>
      <c r="FD88" s="51">
        <f t="shared" si="483"/>
        <v>0</v>
      </c>
      <c r="FE88" s="51">
        <f t="shared" si="419"/>
        <v>0</v>
      </c>
      <c r="FF88" s="51">
        <f t="shared" si="484"/>
        <v>0</v>
      </c>
      <c r="FG88" s="51">
        <f t="shared" si="420"/>
        <v>0</v>
      </c>
      <c r="FH88" s="51">
        <f t="shared" si="485"/>
        <v>0</v>
      </c>
      <c r="FI88" s="51">
        <f t="shared" si="421"/>
        <v>0</v>
      </c>
      <c r="FJ88" s="51">
        <f t="shared" si="486"/>
        <v>0</v>
      </c>
      <c r="FK88" s="51">
        <f t="shared" si="422"/>
        <v>0</v>
      </c>
      <c r="FL88" s="51">
        <f t="shared" si="487"/>
        <v>0</v>
      </c>
      <c r="FM88" s="51">
        <f t="shared" si="423"/>
        <v>0</v>
      </c>
      <c r="FN88" s="54">
        <f t="shared" si="424"/>
        <v>0</v>
      </c>
      <c r="FO88" s="55">
        <f t="shared" si="425"/>
        <v>0</v>
      </c>
      <c r="FP88" s="56">
        <f>IF(AND($E88&lt;&gt;0,$F88&gt;0,YEAR($F88)&gt;=Preisindex!$A$6,YEAR(FK$4)&gt;=YEAR($F88),AND($K88&lt;&gt;"a",$K88&lt;&gt;"b",$K88&lt;&gt;"g",$K88&lt;&gt;"k")),1,IF(AND($E88&lt;&gt;0,$F88&gt;0,YEAR($F88)&gt;=Preisindex!$A$6,YEAR(FK$4)&gt;=YEAR($F88),$K88="a"),ROUND(VLOOKUP(FP$4,Preisindex,5,FALSE)/VLOOKUP(YEAR($F88),Preisindex,5,FALSE),2),IF(AND($E88&lt;&gt;0,$F88&gt;0,YEAR($F88)&gt;=Preisindex!$A$6,YEAR(FK$4)&gt;=YEAR($F88),$K88="b"),ROUND(VLOOKUP(FP$4,Preisindex,3,FALSE)/VLOOKUP(YEAR($F88),Preisindex,3,FALSE),2),IF(AND($E88&lt;&gt;0,$F88&gt;0,YEAR($F88)&gt;=Preisindex!$A$6,YEAR(FK$4)&gt;=YEAR($F88),$K88="g"),ROUND(VLOOKUP(FP$4,Preisindex,4,FALSE)/VLOOKUP(YEAR($F88),Preisindex,4,FALSE),2),IF(AND($E88&lt;&gt;0,$F88&gt;0,YEAR($F88)&gt;=Preisindex!$A$6,YEAR(FK$4)&gt;=YEAR($F88),$K88="k"),ROUND(VLOOKUP(FP$4,Preisindex,2,FALSE)/VLOOKUP(YEAR($F88),Preisindex,2,FALSE),2),0)))))</f>
        <v>0</v>
      </c>
      <c r="FQ88" s="56">
        <f>IF(AND($E88&lt;&gt;0,$F88&gt;0,YEAR($F88)&lt;Preisindex!$A$6,YEAR(FK$4)&gt;=YEAR($F88),AND($K88&lt;&gt;"a",$K88&lt;&gt;"b",$K88&lt;&gt;"g",$K88&lt;&gt;"k")),1,IF(AND($E88&lt;&gt;0,$F88&gt;0,YEAR($F88)&lt;Preisindex!$A$6,YEAR(FK$4)&gt;=YEAR($F88),$K88="a"),ROUND(VLOOKUP(FP$4,Preisindex,5,FALSE)/VLOOKUP(Preisindex!$A$6,Preisindex,5,FALSE),2),IF(AND($E88&lt;&gt;0,$F88&gt;0,YEAR($F88)&lt;Preisindex!$A$6,YEAR(FK$4)&gt;=YEAR($F88),$K88="b"),ROUND(VLOOKUP(FP$4,Preisindex,3,FALSE)/VLOOKUP(Preisindex!$A$6,Preisindex,3,FALSE),2),IF(AND($E88&lt;&gt;0,$F88&gt;0,YEAR($F88)&lt;Preisindex!$A$6,YEAR(FK$4)&gt;=YEAR($F88),$K88="g"),ROUND(VLOOKUP(FP$4,Preisindex,4,FALSE)/VLOOKUP(Preisindex!$A$6,Preisindex,4,FALSE),2),IF(AND($E88&lt;&gt;0,$F88&gt;0,YEAR($F88)&lt;Preisindex!$A$6,YEAR(FK$4)&gt;=YEAR($F88),$K88="k"),ROUND(VLOOKUP(FP$4,Preisindex,2,FALSE)/VLOOKUP(Preisindex!$A$6,Preisindex,2,FALSE),2),0)))))</f>
        <v>0</v>
      </c>
      <c r="FR88" s="51">
        <f>IF(AND($E88&lt;&gt;0,$F88&gt;0,YEAR($F88)&lt;=FP$4,YEAR($F88)&gt;=Preisindex!$A$6),ROUND($E88*FP88,2),IF(AND($E88&lt;&gt;0,$F88&gt;0,YEAR($F88)&lt;=FP$4,YEAR($F88)&lt;Preisindex!$A$6),ROUND($E88*FQ88,2),0))</f>
        <v>0</v>
      </c>
      <c r="FS88" s="53">
        <f t="shared" si="426"/>
        <v>0</v>
      </c>
    </row>
    <row r="89" spans="1:175" x14ac:dyDescent="0.3">
      <c r="A89" s="93"/>
      <c r="B89" s="94"/>
      <c r="C89" s="94"/>
      <c r="D89" s="95"/>
      <c r="E89" s="99"/>
      <c r="F89" s="97"/>
      <c r="G89" s="100"/>
      <c r="H89" s="620"/>
      <c r="I89" s="621"/>
      <c r="J89" s="194"/>
      <c r="K89" s="630"/>
      <c r="L89" s="49">
        <f t="shared" si="427"/>
        <v>0</v>
      </c>
      <c r="M89" s="50">
        <f t="shared" si="428"/>
        <v>0</v>
      </c>
      <c r="N89" s="51">
        <f t="shared" si="429"/>
        <v>0</v>
      </c>
      <c r="O89" s="51"/>
      <c r="P89" s="51">
        <f t="shared" si="430"/>
        <v>0</v>
      </c>
      <c r="Q89" s="52"/>
      <c r="R89" s="52"/>
      <c r="S89" s="52"/>
      <c r="T89" s="52"/>
      <c r="U89" s="52"/>
      <c r="V89" s="53">
        <f t="shared" si="431"/>
        <v>0</v>
      </c>
      <c r="W89" s="51">
        <f t="shared" si="432"/>
        <v>0</v>
      </c>
      <c r="X89" s="51">
        <f t="shared" si="433"/>
        <v>0</v>
      </c>
      <c r="Y89" s="51">
        <f t="shared" si="434"/>
        <v>0</v>
      </c>
      <c r="Z89" s="51">
        <f t="shared" si="435"/>
        <v>0</v>
      </c>
      <c r="AA89" s="51">
        <f t="shared" si="436"/>
        <v>0</v>
      </c>
      <c r="AB89" s="51">
        <f t="shared" si="437"/>
        <v>0</v>
      </c>
      <c r="AC89" s="51">
        <f t="shared" si="438"/>
        <v>0</v>
      </c>
      <c r="AD89" s="51">
        <f t="shared" si="439"/>
        <v>0</v>
      </c>
      <c r="AE89" s="51">
        <f t="shared" si="440"/>
        <v>0</v>
      </c>
      <c r="AF89" s="51">
        <f t="shared" si="441"/>
        <v>0</v>
      </c>
      <c r="AG89" s="51">
        <f t="shared" si="442"/>
        <v>0</v>
      </c>
      <c r="AH89" s="54">
        <f t="shared" si="443"/>
        <v>0</v>
      </c>
      <c r="AI89" s="55">
        <f t="shared" si="444"/>
        <v>0</v>
      </c>
      <c r="AJ89" s="56">
        <f>IF(AND($E89&lt;&gt;0,$F89&gt;0,YEAR($F89)&gt;=Preisindex!$A$6,YEAR(AE$4)&gt;=YEAR($F89),AND($K89&lt;&gt;"a",$K89&lt;&gt;"b",$K89&lt;&gt;"g",$K89&lt;&gt;"k")),1,IF(AND($E89&lt;&gt;0,$F89&gt;0,YEAR($F89)&gt;=Preisindex!$A$6,YEAR(AE$4)&gt;=YEAR($F89),$K89="a"),ROUND(VLOOKUP(AJ$4,Preisindex,5,FALSE)/VLOOKUP(YEAR($F89),Preisindex,5,FALSE),2),IF(AND($E89&lt;&gt;0,$F89&gt;0,YEAR($F89)&gt;=Preisindex!$A$6,YEAR(AE$4)&gt;=YEAR($F89),$K89="b"),ROUND(VLOOKUP(AJ$4,Preisindex,3,FALSE)/VLOOKUP(YEAR($F89),Preisindex,3,FALSE),2),IF(AND($E89&lt;&gt;0,$F89&gt;0,YEAR($F89)&gt;=Preisindex!$A$6,YEAR(AE$4)&gt;=YEAR($F89),$K89="g"),ROUND(VLOOKUP(AJ$4,Preisindex,4,FALSE)/VLOOKUP(YEAR($F89),Preisindex,4,FALSE),2),IF(AND($E89&lt;&gt;0,$F89&gt;0,YEAR($F89)&gt;=Preisindex!$A$6,YEAR(AE$4)&gt;=YEAR($F89),$K89="k"),ROUND(VLOOKUP(AJ$4,Preisindex,2,FALSE)/VLOOKUP(YEAR($F89),Preisindex,2,FALSE),2),0)))))</f>
        <v>0</v>
      </c>
      <c r="AK89" s="56">
        <f>IF(AND($E89&lt;&gt;0,$F89&gt;0,YEAR($F89)&lt;Preisindex!$A$6,YEAR(AE$4)&gt;=YEAR($F89),AND($K89&lt;&gt;"a",$K89&lt;&gt;"b",$K89&lt;&gt;"g",$K89&lt;&gt;"k")),1,IF(AND($E89&lt;&gt;0,$F89&gt;0,YEAR($F89)&lt;Preisindex!$A$6,YEAR(AE$4)&gt;=YEAR($F89),$K89="a"),ROUND(VLOOKUP(AJ$4,Preisindex,5,FALSE)/VLOOKUP(Preisindex!$A$6,Preisindex,5,FALSE),2),IF(AND($E89&lt;&gt;0,$F89&gt;0,YEAR($F89)&lt;Preisindex!$A$6,YEAR(AE$4)&gt;=YEAR($F89),$K89="b"),ROUND(VLOOKUP(AJ$4,Preisindex,3,FALSE)/VLOOKUP(Preisindex!$A$6,Preisindex,3,FALSE),2),IF(AND($E89&lt;&gt;0,$F89&gt;0,YEAR($F89)&lt;Preisindex!$A$6,YEAR(AE$4)&gt;=YEAR($F89),$K89="g"),ROUND(VLOOKUP(AJ$4,Preisindex,4,FALSE)/VLOOKUP(Preisindex!$A$6,Preisindex,4,FALSE),2),IF(AND($E89&lt;&gt;0,$F89&gt;0,YEAR($F89)&lt;Preisindex!$A$6,YEAR(AE$4)&gt;=YEAR($F89),$K89="k"),ROUND(VLOOKUP(AJ$4,Preisindex,2,FALSE)/VLOOKUP(Preisindex!$A$6,Preisindex,2,FALSE),2),0)))))</f>
        <v>0</v>
      </c>
      <c r="AL89" s="51">
        <f>IF(AND($E89&lt;&gt;0,$F89&gt;0,YEAR($F89)&lt;=AJ$4,YEAR($F89)&gt;=Preisindex!$A$6),ROUND($E89*AJ89,2),IF(AND($E89&lt;&gt;0,$F89&gt;0,YEAR($F89)&lt;=AJ$4,YEAR($F89)&lt;Preisindex!$A$6),ROUND($E89*AK89,2),0))</f>
        <v>0</v>
      </c>
      <c r="AM89" s="53">
        <f t="shared" si="445"/>
        <v>0</v>
      </c>
      <c r="AN89" s="51">
        <f t="shared" si="446"/>
        <v>0</v>
      </c>
      <c r="AO89" s="51">
        <f t="shared" si="448"/>
        <v>0</v>
      </c>
      <c r="AP89" s="51">
        <f t="shared" si="362"/>
        <v>0</v>
      </c>
      <c r="AQ89" s="51">
        <f t="shared" si="449"/>
        <v>0</v>
      </c>
      <c r="AR89" s="51">
        <f t="shared" si="363"/>
        <v>0</v>
      </c>
      <c r="AS89" s="51">
        <f t="shared" si="450"/>
        <v>0</v>
      </c>
      <c r="AT89" s="51">
        <f t="shared" si="364"/>
        <v>0</v>
      </c>
      <c r="AU89" s="51">
        <f t="shared" si="451"/>
        <v>0</v>
      </c>
      <c r="AV89" s="51">
        <f t="shared" si="365"/>
        <v>0</v>
      </c>
      <c r="AW89" s="51">
        <f t="shared" si="452"/>
        <v>0</v>
      </c>
      <c r="AX89" s="51">
        <f t="shared" si="366"/>
        <v>0</v>
      </c>
      <c r="AY89" s="54">
        <f t="shared" si="367"/>
        <v>0</v>
      </c>
      <c r="AZ89" s="55">
        <f t="shared" si="368"/>
        <v>0</v>
      </c>
      <c r="BA89" s="56">
        <f>IF(AND($E89&lt;&gt;0,$F89&gt;0,YEAR($F89)&gt;=Preisindex!$A$6,YEAR(AV$4)&gt;=YEAR($F89),AND($K89&lt;&gt;"a",$K89&lt;&gt;"b",$K89&lt;&gt;"g",$K89&lt;&gt;"k")),1,IF(AND($E89&lt;&gt;0,$F89&gt;0,YEAR($F89)&gt;=Preisindex!$A$6,YEAR(AV$4)&gt;=YEAR($F89),$K89="a"),ROUND(VLOOKUP(BA$4,Preisindex,5,FALSE)/VLOOKUP(YEAR($F89),Preisindex,5,FALSE),2),IF(AND($E89&lt;&gt;0,$F89&gt;0,YEAR($F89)&gt;=Preisindex!$A$6,YEAR(AV$4)&gt;=YEAR($F89),$K89="b"),ROUND(VLOOKUP(BA$4,Preisindex,3,FALSE)/VLOOKUP(YEAR($F89),Preisindex,3,FALSE),2),IF(AND($E89&lt;&gt;0,$F89&gt;0,YEAR($F89)&gt;=Preisindex!$A$6,YEAR(AV$4)&gt;=YEAR($F89),$K89="g"),ROUND(VLOOKUP(BA$4,Preisindex,4,FALSE)/VLOOKUP(YEAR($F89),Preisindex,4,FALSE),2),IF(AND($E89&lt;&gt;0,$F89&gt;0,YEAR($F89)&gt;=Preisindex!$A$6,YEAR(AV$4)&gt;=YEAR($F89),$K89="k"),ROUND(VLOOKUP(BA$4,Preisindex,2,FALSE)/VLOOKUP(YEAR($F89),Preisindex,2,FALSE),2),0)))))</f>
        <v>0</v>
      </c>
      <c r="BB89" s="56">
        <f>IF(AND($E89&lt;&gt;0,$F89&gt;0,YEAR($F89)&lt;Preisindex!$A$6,YEAR(AV$4)&gt;=YEAR($F89),AND($K89&lt;&gt;"a",$K89&lt;&gt;"b",$K89&lt;&gt;"g",$K89&lt;&gt;"k")),1,IF(AND($E89&lt;&gt;0,$F89&gt;0,YEAR($F89)&lt;Preisindex!$A$6,YEAR(AV$4)&gt;=YEAR($F89),$K89="a"),ROUND(VLOOKUP(BA$4,Preisindex,5,FALSE)/VLOOKUP(Preisindex!$A$6,Preisindex,5,FALSE),2),IF(AND($E89&lt;&gt;0,$F89&gt;0,YEAR($F89)&lt;Preisindex!$A$6,YEAR(AV$4)&gt;=YEAR($F89),$K89="b"),ROUND(VLOOKUP(BA$4,Preisindex,3,FALSE)/VLOOKUP(Preisindex!$A$6,Preisindex,3,FALSE),2),IF(AND($E89&lt;&gt;0,$F89&gt;0,YEAR($F89)&lt;Preisindex!$A$6,YEAR(AV$4)&gt;=YEAR($F89),$K89="g"),ROUND(VLOOKUP(BA$4,Preisindex,4,FALSE)/VLOOKUP(Preisindex!$A$6,Preisindex,4,FALSE),2),IF(AND($E89&lt;&gt;0,$F89&gt;0,YEAR($F89)&lt;Preisindex!$A$6,YEAR(AV$4)&gt;=YEAR($F89),$K89="k"),ROUND(VLOOKUP(BA$4,Preisindex,2,FALSE)/VLOOKUP(Preisindex!$A$6,Preisindex,2,FALSE),2),0)))))</f>
        <v>0</v>
      </c>
      <c r="BC89" s="51">
        <f>IF(AND($E89&lt;&gt;0,$F89&gt;0,YEAR($F89)&lt;=BA$4,YEAR($F89)&gt;=Preisindex!$A$6),ROUND($E89*BA89,2),IF(AND($E89&lt;&gt;0,$F89&gt;0,YEAR($F89)&lt;=BA$4,YEAR($F89)&lt;Preisindex!$A$6),ROUND($E89*BB89,2),0))</f>
        <v>0</v>
      </c>
      <c r="BD89" s="53">
        <f t="shared" si="369"/>
        <v>0</v>
      </c>
      <c r="BE89" s="51">
        <f t="shared" si="446"/>
        <v>0</v>
      </c>
      <c r="BF89" s="51">
        <f t="shared" si="453"/>
        <v>0</v>
      </c>
      <c r="BG89" s="51">
        <f t="shared" si="370"/>
        <v>0</v>
      </c>
      <c r="BH89" s="51">
        <f t="shared" si="454"/>
        <v>0</v>
      </c>
      <c r="BI89" s="51">
        <f t="shared" si="371"/>
        <v>0</v>
      </c>
      <c r="BJ89" s="51">
        <f t="shared" si="455"/>
        <v>0</v>
      </c>
      <c r="BK89" s="51">
        <f t="shared" si="372"/>
        <v>0</v>
      </c>
      <c r="BL89" s="51">
        <f t="shared" si="456"/>
        <v>0</v>
      </c>
      <c r="BM89" s="51">
        <f t="shared" si="373"/>
        <v>0</v>
      </c>
      <c r="BN89" s="51">
        <f t="shared" si="457"/>
        <v>0</v>
      </c>
      <c r="BO89" s="51">
        <f t="shared" si="374"/>
        <v>0</v>
      </c>
      <c r="BP89" s="54">
        <f t="shared" si="375"/>
        <v>0</v>
      </c>
      <c r="BQ89" s="55">
        <f t="shared" si="376"/>
        <v>0</v>
      </c>
      <c r="BR89" s="56">
        <f>IF(AND($E89&lt;&gt;0,$F89&gt;0,YEAR($F89)&gt;=Preisindex!$A$6,YEAR(BM$4)&gt;=YEAR($F89),AND($K89&lt;&gt;"a",$K89&lt;&gt;"b",$K89&lt;&gt;"g",$K89&lt;&gt;"k")),1,IF(AND($E89&lt;&gt;0,$F89&gt;0,YEAR($F89)&gt;=Preisindex!$A$6,YEAR(BM$4)&gt;=YEAR($F89),$K89="a"),ROUND(VLOOKUP(BR$4,Preisindex,5,FALSE)/VLOOKUP(YEAR($F89),Preisindex,5,FALSE),2),IF(AND($E89&lt;&gt;0,$F89&gt;0,YEAR($F89)&gt;=Preisindex!$A$6,YEAR(BM$4)&gt;=YEAR($F89),$K89="b"),ROUND(VLOOKUP(BR$4,Preisindex,3,FALSE)/VLOOKUP(YEAR($F89),Preisindex,3,FALSE),2),IF(AND($E89&lt;&gt;0,$F89&gt;0,YEAR($F89)&gt;=Preisindex!$A$6,YEAR(BM$4)&gt;=YEAR($F89),$K89="g"),ROUND(VLOOKUP(BR$4,Preisindex,4,FALSE)/VLOOKUP(YEAR($F89),Preisindex,4,FALSE),2),IF(AND($E89&lt;&gt;0,$F89&gt;0,YEAR($F89)&gt;=Preisindex!$A$6,YEAR(BM$4)&gt;=YEAR($F89),$K89="k"),ROUND(VLOOKUP(BR$4,Preisindex,2,FALSE)/VLOOKUP(YEAR($F89),Preisindex,2,FALSE),2),0)))))</f>
        <v>0</v>
      </c>
      <c r="BS89" s="56">
        <f>IF(AND($E89&lt;&gt;0,$F89&gt;0,YEAR($F89)&lt;Preisindex!$A$6,YEAR(BM$4)&gt;=YEAR($F89),AND($K89&lt;&gt;"a",$K89&lt;&gt;"b",$K89&lt;&gt;"g",$K89&lt;&gt;"k")),1,IF(AND($E89&lt;&gt;0,$F89&gt;0,YEAR($F89)&lt;Preisindex!$A$6,YEAR(BM$4)&gt;=YEAR($F89),$K89="a"),ROUND(VLOOKUP(BR$4,Preisindex,5,FALSE)/VLOOKUP(Preisindex!$A$6,Preisindex,5,FALSE),2),IF(AND($E89&lt;&gt;0,$F89&gt;0,YEAR($F89)&lt;Preisindex!$A$6,YEAR(BM$4)&gt;=YEAR($F89),$K89="b"),ROUND(VLOOKUP(BR$4,Preisindex,3,FALSE)/VLOOKUP(Preisindex!$A$6,Preisindex,3,FALSE),2),IF(AND($E89&lt;&gt;0,$F89&gt;0,YEAR($F89)&lt;Preisindex!$A$6,YEAR(BM$4)&gt;=YEAR($F89),$K89="g"),ROUND(VLOOKUP(BR$4,Preisindex,4,FALSE)/VLOOKUP(Preisindex!$A$6,Preisindex,4,FALSE),2),IF(AND($E89&lt;&gt;0,$F89&gt;0,YEAR($F89)&lt;Preisindex!$A$6,YEAR(BM$4)&gt;=YEAR($F89),$K89="k"),ROUND(VLOOKUP(BR$4,Preisindex,2,FALSE)/VLOOKUP(Preisindex!$A$6,Preisindex,2,FALSE),2),0)))))</f>
        <v>0</v>
      </c>
      <c r="BT89" s="51">
        <f>IF(AND($E89&lt;&gt;0,$F89&gt;0,YEAR($F89)&lt;=BR$4,YEAR($F89)&gt;=Preisindex!$A$6),ROUND($E89*BR89,2),IF(AND($E89&lt;&gt;0,$F89&gt;0,YEAR($F89)&lt;=BR$4,YEAR($F89)&lt;Preisindex!$A$6),ROUND($E89*BS89,2),0))</f>
        <v>0</v>
      </c>
      <c r="BU89" s="53">
        <f t="shared" si="377"/>
        <v>0</v>
      </c>
      <c r="BV89" s="51">
        <f t="shared" si="446"/>
        <v>0</v>
      </c>
      <c r="BW89" s="51">
        <f t="shared" si="458"/>
        <v>0</v>
      </c>
      <c r="BX89" s="51">
        <f t="shared" si="378"/>
        <v>0</v>
      </c>
      <c r="BY89" s="51">
        <f t="shared" si="459"/>
        <v>0</v>
      </c>
      <c r="BZ89" s="51">
        <f t="shared" si="379"/>
        <v>0</v>
      </c>
      <c r="CA89" s="51">
        <f t="shared" si="460"/>
        <v>0</v>
      </c>
      <c r="CB89" s="51">
        <f t="shared" si="380"/>
        <v>0</v>
      </c>
      <c r="CC89" s="51">
        <f t="shared" si="461"/>
        <v>0</v>
      </c>
      <c r="CD89" s="51">
        <f t="shared" si="381"/>
        <v>0</v>
      </c>
      <c r="CE89" s="51">
        <f t="shared" si="462"/>
        <v>0</v>
      </c>
      <c r="CF89" s="51">
        <f t="shared" si="382"/>
        <v>0</v>
      </c>
      <c r="CG89" s="54">
        <f t="shared" si="383"/>
        <v>0</v>
      </c>
      <c r="CH89" s="55">
        <f t="shared" si="384"/>
        <v>0</v>
      </c>
      <c r="CI89" s="56">
        <f>IF(AND($E89&lt;&gt;0,$F89&gt;0,YEAR($F89)&gt;=Preisindex!$A$6,YEAR(CD$4)&gt;=YEAR($F89),AND($K89&lt;&gt;"a",$K89&lt;&gt;"b",$K89&lt;&gt;"g",$K89&lt;&gt;"k")),1,IF(AND($E89&lt;&gt;0,$F89&gt;0,YEAR($F89)&gt;=Preisindex!$A$6,YEAR(CD$4)&gt;=YEAR($F89),$K89="a"),ROUND(VLOOKUP(CI$4,Preisindex,5,FALSE)/VLOOKUP(YEAR($F89),Preisindex,5,FALSE),2),IF(AND($E89&lt;&gt;0,$F89&gt;0,YEAR($F89)&gt;=Preisindex!$A$6,YEAR(CD$4)&gt;=YEAR($F89),$K89="b"),ROUND(VLOOKUP(CI$4,Preisindex,3,FALSE)/VLOOKUP(YEAR($F89),Preisindex,3,FALSE),2),IF(AND($E89&lt;&gt;0,$F89&gt;0,YEAR($F89)&gt;=Preisindex!$A$6,YEAR(CD$4)&gt;=YEAR($F89),$K89="g"),ROUND(VLOOKUP(CI$4,Preisindex,4,FALSE)/VLOOKUP(YEAR($F89),Preisindex,4,FALSE),2),IF(AND($E89&lt;&gt;0,$F89&gt;0,YEAR($F89)&gt;=Preisindex!$A$6,YEAR(CD$4)&gt;=YEAR($F89),$K89="k"),ROUND(VLOOKUP(CI$4,Preisindex,2,FALSE)/VLOOKUP(YEAR($F89),Preisindex,2,FALSE),2),0)))))</f>
        <v>0</v>
      </c>
      <c r="CJ89" s="56">
        <f>IF(AND($E89&lt;&gt;0,$F89&gt;0,YEAR($F89)&lt;Preisindex!$A$6,YEAR(CD$4)&gt;=YEAR($F89),AND($K89&lt;&gt;"a",$K89&lt;&gt;"b",$K89&lt;&gt;"g",$K89&lt;&gt;"k")),1,IF(AND($E89&lt;&gt;0,$F89&gt;0,YEAR($F89)&lt;Preisindex!$A$6,YEAR(CD$4)&gt;=YEAR($F89),$K89="a"),ROUND(VLOOKUP(CI$4,Preisindex,5,FALSE)/VLOOKUP(Preisindex!$A$6,Preisindex,5,FALSE),2),IF(AND($E89&lt;&gt;0,$F89&gt;0,YEAR($F89)&lt;Preisindex!$A$6,YEAR(CD$4)&gt;=YEAR($F89),$K89="b"),ROUND(VLOOKUP(CI$4,Preisindex,3,FALSE)/VLOOKUP(Preisindex!$A$6,Preisindex,3,FALSE),2),IF(AND($E89&lt;&gt;0,$F89&gt;0,YEAR($F89)&lt;Preisindex!$A$6,YEAR(CD$4)&gt;=YEAR($F89),$K89="g"),ROUND(VLOOKUP(CI$4,Preisindex,4,FALSE)/VLOOKUP(Preisindex!$A$6,Preisindex,4,FALSE),2),IF(AND($E89&lt;&gt;0,$F89&gt;0,YEAR($F89)&lt;Preisindex!$A$6,YEAR(CD$4)&gt;=YEAR($F89),$K89="k"),ROUND(VLOOKUP(CI$4,Preisindex,2,FALSE)/VLOOKUP(Preisindex!$A$6,Preisindex,2,FALSE),2),0)))))</f>
        <v>0</v>
      </c>
      <c r="CK89" s="51">
        <f>IF(AND($E89&lt;&gt;0,$F89&gt;0,YEAR($F89)&lt;=CI$4,YEAR($F89)&gt;=Preisindex!$A$6),ROUND($E89*CI89,2),IF(AND($E89&lt;&gt;0,$F89&gt;0,YEAR($F89)&lt;=CI$4,YEAR($F89)&lt;Preisindex!$A$6),ROUND($E89*CJ89,2),0))</f>
        <v>0</v>
      </c>
      <c r="CL89" s="53">
        <f t="shared" si="385"/>
        <v>0</v>
      </c>
      <c r="CM89" s="51">
        <f t="shared" si="446"/>
        <v>0</v>
      </c>
      <c r="CN89" s="51">
        <f t="shared" si="463"/>
        <v>0</v>
      </c>
      <c r="CO89" s="51">
        <f t="shared" si="386"/>
        <v>0</v>
      </c>
      <c r="CP89" s="51">
        <f t="shared" si="464"/>
        <v>0</v>
      </c>
      <c r="CQ89" s="51">
        <f t="shared" si="387"/>
        <v>0</v>
      </c>
      <c r="CR89" s="51">
        <f t="shared" si="465"/>
        <v>0</v>
      </c>
      <c r="CS89" s="51">
        <f t="shared" si="388"/>
        <v>0</v>
      </c>
      <c r="CT89" s="51">
        <f t="shared" si="466"/>
        <v>0</v>
      </c>
      <c r="CU89" s="51">
        <f t="shared" si="389"/>
        <v>0</v>
      </c>
      <c r="CV89" s="51">
        <f t="shared" si="467"/>
        <v>0</v>
      </c>
      <c r="CW89" s="51">
        <f t="shared" si="390"/>
        <v>0</v>
      </c>
      <c r="CX89" s="54">
        <f t="shared" si="391"/>
        <v>0</v>
      </c>
      <c r="CY89" s="55">
        <f t="shared" si="392"/>
        <v>0</v>
      </c>
      <c r="CZ89" s="56">
        <f>IF(AND($E89&lt;&gt;0,$F89&gt;0,YEAR($F89)&gt;=Preisindex!$A$6,YEAR(CU$4)&gt;=YEAR($F89),AND($K89&lt;&gt;"a",$K89&lt;&gt;"b",$K89&lt;&gt;"g",$K89&lt;&gt;"k")),1,IF(AND($E89&lt;&gt;0,$F89&gt;0,YEAR($F89)&gt;=Preisindex!$A$6,YEAR(CU$4)&gt;=YEAR($F89),$K89="a"),ROUND(VLOOKUP(CZ$4,Preisindex,5,FALSE)/VLOOKUP(YEAR($F89),Preisindex,5,FALSE),2),IF(AND($E89&lt;&gt;0,$F89&gt;0,YEAR($F89)&gt;=Preisindex!$A$6,YEAR(CU$4)&gt;=YEAR($F89),$K89="b"),ROUND(VLOOKUP(CZ$4,Preisindex,3,FALSE)/VLOOKUP(YEAR($F89),Preisindex,3,FALSE),2),IF(AND($E89&lt;&gt;0,$F89&gt;0,YEAR($F89)&gt;=Preisindex!$A$6,YEAR(CU$4)&gt;=YEAR($F89),$K89="g"),ROUND(VLOOKUP(CZ$4,Preisindex,4,FALSE)/VLOOKUP(YEAR($F89),Preisindex,4,FALSE),2),IF(AND($E89&lt;&gt;0,$F89&gt;0,YEAR($F89)&gt;=Preisindex!$A$6,YEAR(CU$4)&gt;=YEAR($F89),$K89="k"),ROUND(VLOOKUP(CZ$4,Preisindex,2,FALSE)/VLOOKUP(YEAR($F89),Preisindex,2,FALSE),2),0)))))</f>
        <v>0</v>
      </c>
      <c r="DA89" s="56">
        <f>IF(AND($E89&lt;&gt;0,$F89&gt;0,YEAR($F89)&lt;Preisindex!$A$6,YEAR(CU$4)&gt;=YEAR($F89),AND($K89&lt;&gt;"a",$K89&lt;&gt;"b",$K89&lt;&gt;"g",$K89&lt;&gt;"k")),1,IF(AND($E89&lt;&gt;0,$F89&gt;0,YEAR($F89)&lt;Preisindex!$A$6,YEAR(CU$4)&gt;=YEAR($F89),$K89="a"),ROUND(VLOOKUP(CZ$4,Preisindex,5,FALSE)/VLOOKUP(Preisindex!$A$6,Preisindex,5,FALSE),2),IF(AND($E89&lt;&gt;0,$F89&gt;0,YEAR($F89)&lt;Preisindex!$A$6,YEAR(CU$4)&gt;=YEAR($F89),$K89="b"),ROUND(VLOOKUP(CZ$4,Preisindex,3,FALSE)/VLOOKUP(Preisindex!$A$6,Preisindex,3,FALSE),2),IF(AND($E89&lt;&gt;0,$F89&gt;0,YEAR($F89)&lt;Preisindex!$A$6,YEAR(CU$4)&gt;=YEAR($F89),$K89="g"),ROUND(VLOOKUP(CZ$4,Preisindex,4,FALSE)/VLOOKUP(Preisindex!$A$6,Preisindex,4,FALSE),2),IF(AND($E89&lt;&gt;0,$F89&gt;0,YEAR($F89)&lt;Preisindex!$A$6,YEAR(CU$4)&gt;=YEAR($F89),$K89="k"),ROUND(VLOOKUP(CZ$4,Preisindex,2,FALSE)/VLOOKUP(Preisindex!$A$6,Preisindex,2,FALSE),2),0)))))</f>
        <v>0</v>
      </c>
      <c r="DB89" s="51">
        <f>IF(AND($E89&lt;&gt;0,$F89&gt;0,YEAR($F89)&lt;=CZ$4,YEAR($F89)&gt;=Preisindex!$A$6),ROUND($E89*CZ89,2),IF(AND($E89&lt;&gt;0,$F89&gt;0,YEAR($F89)&lt;=CZ$4,YEAR($F89)&lt;Preisindex!$A$6),ROUND($E89*DA89,2),0))</f>
        <v>0</v>
      </c>
      <c r="DC89" s="53">
        <f t="shared" si="393"/>
        <v>0</v>
      </c>
      <c r="DD89" s="51">
        <f t="shared" si="447"/>
        <v>0</v>
      </c>
      <c r="DE89" s="51">
        <f t="shared" si="468"/>
        <v>0</v>
      </c>
      <c r="DF89" s="51">
        <f t="shared" si="395"/>
        <v>0</v>
      </c>
      <c r="DG89" s="51">
        <f t="shared" si="469"/>
        <v>0</v>
      </c>
      <c r="DH89" s="51">
        <f t="shared" si="396"/>
        <v>0</v>
      </c>
      <c r="DI89" s="51">
        <f t="shared" si="470"/>
        <v>0</v>
      </c>
      <c r="DJ89" s="51">
        <f t="shared" si="397"/>
        <v>0</v>
      </c>
      <c r="DK89" s="51">
        <f t="shared" si="471"/>
        <v>0</v>
      </c>
      <c r="DL89" s="51">
        <f t="shared" si="398"/>
        <v>0</v>
      </c>
      <c r="DM89" s="51">
        <f t="shared" si="472"/>
        <v>0</v>
      </c>
      <c r="DN89" s="51">
        <f t="shared" si="399"/>
        <v>0</v>
      </c>
      <c r="DO89" s="54">
        <f t="shared" si="400"/>
        <v>0</v>
      </c>
      <c r="DP89" s="55">
        <f t="shared" si="401"/>
        <v>0</v>
      </c>
      <c r="DQ89" s="56">
        <f>IF(AND($E89&lt;&gt;0,$F89&gt;0,YEAR($F89)&gt;=Preisindex!$A$6,YEAR(DL$4)&gt;=YEAR($F89),AND($K89&lt;&gt;"a",$K89&lt;&gt;"b",$K89&lt;&gt;"g",$K89&lt;&gt;"k")),1,IF(AND($E89&lt;&gt;0,$F89&gt;0,YEAR($F89)&gt;=Preisindex!$A$6,YEAR(DL$4)&gt;=YEAR($F89),$K89="a"),ROUND(VLOOKUP(DQ$4,Preisindex,5,FALSE)/VLOOKUP(YEAR($F89),Preisindex,5,FALSE),2),IF(AND($E89&lt;&gt;0,$F89&gt;0,YEAR($F89)&gt;=Preisindex!$A$6,YEAR(DL$4)&gt;=YEAR($F89),$K89="b"),ROUND(VLOOKUP(DQ$4,Preisindex,3,FALSE)/VLOOKUP(YEAR($F89),Preisindex,3,FALSE),2),IF(AND($E89&lt;&gt;0,$F89&gt;0,YEAR($F89)&gt;=Preisindex!$A$6,YEAR(DL$4)&gt;=YEAR($F89),$K89="g"),ROUND(VLOOKUP(DQ$4,Preisindex,4,FALSE)/VLOOKUP(YEAR($F89),Preisindex,4,FALSE),2),IF(AND($E89&lt;&gt;0,$F89&gt;0,YEAR($F89)&gt;=Preisindex!$A$6,YEAR(DL$4)&gt;=YEAR($F89),$K89="k"),ROUND(VLOOKUP(DQ$4,Preisindex,2,FALSE)/VLOOKUP(YEAR($F89),Preisindex,2,FALSE),2),0)))))</f>
        <v>0</v>
      </c>
      <c r="DR89" s="56">
        <f>IF(AND($E89&lt;&gt;0,$F89&gt;0,YEAR($F89)&lt;Preisindex!$A$6,YEAR(DL$4)&gt;=YEAR($F89),AND($K89&lt;&gt;"a",$K89&lt;&gt;"b",$K89&lt;&gt;"g",$K89&lt;&gt;"k")),1,IF(AND($E89&lt;&gt;0,$F89&gt;0,YEAR($F89)&lt;Preisindex!$A$6,YEAR(DL$4)&gt;=YEAR($F89),$K89="a"),ROUND(VLOOKUP(DQ$4,Preisindex,5,FALSE)/VLOOKUP(Preisindex!$A$6,Preisindex,5,FALSE),2),IF(AND($E89&lt;&gt;0,$F89&gt;0,YEAR($F89)&lt;Preisindex!$A$6,YEAR(DL$4)&gt;=YEAR($F89),$K89="b"),ROUND(VLOOKUP(DQ$4,Preisindex,3,FALSE)/VLOOKUP(Preisindex!$A$6,Preisindex,3,FALSE),2),IF(AND($E89&lt;&gt;0,$F89&gt;0,YEAR($F89)&lt;Preisindex!$A$6,YEAR(DL$4)&gt;=YEAR($F89),$K89="g"),ROUND(VLOOKUP(DQ$4,Preisindex,4,FALSE)/VLOOKUP(Preisindex!$A$6,Preisindex,4,FALSE),2),IF(AND($E89&lt;&gt;0,$F89&gt;0,YEAR($F89)&lt;Preisindex!$A$6,YEAR(DL$4)&gt;=YEAR($F89),$K89="k"),ROUND(VLOOKUP(DQ$4,Preisindex,2,FALSE)/VLOOKUP(Preisindex!$A$6,Preisindex,2,FALSE),2),0)))))</f>
        <v>0</v>
      </c>
      <c r="DS89" s="51">
        <f>IF(AND($E89&lt;&gt;0,$F89&gt;0,YEAR($F89)&lt;=DQ$4,YEAR($F89)&gt;=Preisindex!$A$6),ROUND($E89*DQ89,2),IF(AND($E89&lt;&gt;0,$F89&gt;0,YEAR($F89)&lt;=DQ$4,YEAR($F89)&lt;Preisindex!$A$6),ROUND($E89*DR89,2),0))</f>
        <v>0</v>
      </c>
      <c r="DT89" s="53">
        <f t="shared" si="402"/>
        <v>0</v>
      </c>
      <c r="DU89" s="51">
        <f t="shared" si="447"/>
        <v>0</v>
      </c>
      <c r="DV89" s="51">
        <f t="shared" si="473"/>
        <v>0</v>
      </c>
      <c r="DW89" s="51">
        <f t="shared" si="403"/>
        <v>0</v>
      </c>
      <c r="DX89" s="51">
        <f t="shared" si="474"/>
        <v>0</v>
      </c>
      <c r="DY89" s="51">
        <f t="shared" si="404"/>
        <v>0</v>
      </c>
      <c r="DZ89" s="51">
        <f t="shared" si="475"/>
        <v>0</v>
      </c>
      <c r="EA89" s="51">
        <f t="shared" si="405"/>
        <v>0</v>
      </c>
      <c r="EB89" s="51">
        <f t="shared" si="476"/>
        <v>0</v>
      </c>
      <c r="EC89" s="51">
        <f t="shared" si="406"/>
        <v>0</v>
      </c>
      <c r="ED89" s="51">
        <f t="shared" si="477"/>
        <v>0</v>
      </c>
      <c r="EE89" s="51">
        <f t="shared" si="407"/>
        <v>0</v>
      </c>
      <c r="EF89" s="54">
        <f t="shared" si="408"/>
        <v>0</v>
      </c>
      <c r="EG89" s="55">
        <f t="shared" si="409"/>
        <v>0</v>
      </c>
      <c r="EH89" s="56">
        <f>IF(AND($E89&lt;&gt;0,$F89&gt;0,YEAR($F89)&gt;=Preisindex!$A$6,YEAR(EC$4)&gt;=YEAR($F89),AND($K89&lt;&gt;"a",$K89&lt;&gt;"b",$K89&lt;&gt;"g",$K89&lt;&gt;"k")),1,IF(AND($E89&lt;&gt;0,$F89&gt;0,YEAR($F89)&gt;=Preisindex!$A$6,YEAR(EC$4)&gt;=YEAR($F89),$K89="a"),ROUND(VLOOKUP(EH$4,Preisindex,5,FALSE)/VLOOKUP(YEAR($F89),Preisindex,5,FALSE),2),IF(AND($E89&lt;&gt;0,$F89&gt;0,YEAR($F89)&gt;=Preisindex!$A$6,YEAR(EC$4)&gt;=YEAR($F89),$K89="b"),ROUND(VLOOKUP(EH$4,Preisindex,3,FALSE)/VLOOKUP(YEAR($F89),Preisindex,3,FALSE),2),IF(AND($E89&lt;&gt;0,$F89&gt;0,YEAR($F89)&gt;=Preisindex!$A$6,YEAR(EC$4)&gt;=YEAR($F89),$K89="g"),ROUND(VLOOKUP(EH$4,Preisindex,4,FALSE)/VLOOKUP(YEAR($F89),Preisindex,4,FALSE),2),IF(AND($E89&lt;&gt;0,$F89&gt;0,YEAR($F89)&gt;=Preisindex!$A$6,YEAR(EC$4)&gt;=YEAR($F89),$K89="k"),ROUND(VLOOKUP(EH$4,Preisindex,2,FALSE)/VLOOKUP(YEAR($F89),Preisindex,2,FALSE),2),0)))))</f>
        <v>0</v>
      </c>
      <c r="EI89" s="56">
        <f>IF(AND($E89&lt;&gt;0,$F89&gt;0,YEAR($F89)&lt;Preisindex!$A$6,YEAR(EC$4)&gt;=YEAR($F89),AND($K89&lt;&gt;"a",$K89&lt;&gt;"b",$K89&lt;&gt;"g",$K89&lt;&gt;"k")),1,IF(AND($E89&lt;&gt;0,$F89&gt;0,YEAR($F89)&lt;Preisindex!$A$6,YEAR(EC$4)&gt;=YEAR($F89),$K89="a"),ROUND(VLOOKUP(EH$4,Preisindex,5,FALSE)/VLOOKUP(Preisindex!$A$6,Preisindex,5,FALSE),2),IF(AND($E89&lt;&gt;0,$F89&gt;0,YEAR($F89)&lt;Preisindex!$A$6,YEAR(EC$4)&gt;=YEAR($F89),$K89="b"),ROUND(VLOOKUP(EH$4,Preisindex,3,FALSE)/VLOOKUP(Preisindex!$A$6,Preisindex,3,FALSE),2),IF(AND($E89&lt;&gt;0,$F89&gt;0,YEAR($F89)&lt;Preisindex!$A$6,YEAR(EC$4)&gt;=YEAR($F89),$K89="g"),ROUND(VLOOKUP(EH$4,Preisindex,4,FALSE)/VLOOKUP(Preisindex!$A$6,Preisindex,4,FALSE),2),IF(AND($E89&lt;&gt;0,$F89&gt;0,YEAR($F89)&lt;Preisindex!$A$6,YEAR(EC$4)&gt;=YEAR($F89),$K89="k"),ROUND(VLOOKUP(EH$4,Preisindex,2,FALSE)/VLOOKUP(Preisindex!$A$6,Preisindex,2,FALSE),2),0)))))</f>
        <v>0</v>
      </c>
      <c r="EJ89" s="51">
        <f>IF(AND($E89&lt;&gt;0,$F89&gt;0,YEAR($F89)&lt;=EH$4,YEAR($F89)&gt;=Preisindex!$A$6),ROUND($E89*EH89,2),IF(AND($E89&lt;&gt;0,$F89&gt;0,YEAR($F89)&lt;=EH$4,YEAR($F89)&lt;Preisindex!$A$6),ROUND($E89*EI89,2),0))</f>
        <v>0</v>
      </c>
      <c r="EK89" s="53">
        <f t="shared" si="410"/>
        <v>0</v>
      </c>
      <c r="EL89" s="51">
        <f t="shared" si="447"/>
        <v>0</v>
      </c>
      <c r="EM89" s="51">
        <f t="shared" si="478"/>
        <v>0</v>
      </c>
      <c r="EN89" s="51">
        <f t="shared" si="411"/>
        <v>0</v>
      </c>
      <c r="EO89" s="51">
        <f t="shared" si="479"/>
        <v>0</v>
      </c>
      <c r="EP89" s="51">
        <f t="shared" si="412"/>
        <v>0</v>
      </c>
      <c r="EQ89" s="51">
        <f t="shared" si="480"/>
        <v>0</v>
      </c>
      <c r="ER89" s="51">
        <f t="shared" si="413"/>
        <v>0</v>
      </c>
      <c r="ES89" s="51">
        <f t="shared" si="481"/>
        <v>0</v>
      </c>
      <c r="ET89" s="51">
        <f t="shared" si="414"/>
        <v>0</v>
      </c>
      <c r="EU89" s="51">
        <f t="shared" si="482"/>
        <v>0</v>
      </c>
      <c r="EV89" s="51">
        <f t="shared" si="415"/>
        <v>0</v>
      </c>
      <c r="EW89" s="54">
        <f t="shared" si="416"/>
        <v>0</v>
      </c>
      <c r="EX89" s="55">
        <f t="shared" si="417"/>
        <v>0</v>
      </c>
      <c r="EY89" s="56">
        <f>IF(AND($E89&lt;&gt;0,$F89&gt;0,YEAR($F89)&gt;=Preisindex!$A$6,YEAR(ET$4)&gt;=YEAR($F89),AND($K89&lt;&gt;"a",$K89&lt;&gt;"b",$K89&lt;&gt;"g",$K89&lt;&gt;"k")),1,IF(AND($E89&lt;&gt;0,$F89&gt;0,YEAR($F89)&gt;=Preisindex!$A$6,YEAR(ET$4)&gt;=YEAR($F89),$K89="a"),ROUND(VLOOKUP(EY$4,Preisindex,5,FALSE)/VLOOKUP(YEAR($F89),Preisindex,5,FALSE),2),IF(AND($E89&lt;&gt;0,$F89&gt;0,YEAR($F89)&gt;=Preisindex!$A$6,YEAR(ET$4)&gt;=YEAR($F89),$K89="b"),ROUND(VLOOKUP(EY$4,Preisindex,3,FALSE)/VLOOKUP(YEAR($F89),Preisindex,3,FALSE),2),IF(AND($E89&lt;&gt;0,$F89&gt;0,YEAR($F89)&gt;=Preisindex!$A$6,YEAR(ET$4)&gt;=YEAR($F89),$K89="g"),ROUND(VLOOKUP(EY$4,Preisindex,4,FALSE)/VLOOKUP(YEAR($F89),Preisindex,4,FALSE),2),IF(AND($E89&lt;&gt;0,$F89&gt;0,YEAR($F89)&gt;=Preisindex!$A$6,YEAR(ET$4)&gt;=YEAR($F89),$K89="k"),ROUND(VLOOKUP(EY$4,Preisindex,2,FALSE)/VLOOKUP(YEAR($F89),Preisindex,2,FALSE),2),0)))))</f>
        <v>0</v>
      </c>
      <c r="EZ89" s="56">
        <f>IF(AND($E89&lt;&gt;0,$F89&gt;0,YEAR($F89)&lt;Preisindex!$A$6,YEAR(ET$4)&gt;=YEAR($F89),AND($K89&lt;&gt;"a",$K89&lt;&gt;"b",$K89&lt;&gt;"g",$K89&lt;&gt;"k")),1,IF(AND($E89&lt;&gt;0,$F89&gt;0,YEAR($F89)&lt;Preisindex!$A$6,YEAR(ET$4)&gt;=YEAR($F89),$K89="a"),ROUND(VLOOKUP(EY$4,Preisindex,5,FALSE)/VLOOKUP(Preisindex!$A$6,Preisindex,5,FALSE),2),IF(AND($E89&lt;&gt;0,$F89&gt;0,YEAR($F89)&lt;Preisindex!$A$6,YEAR(ET$4)&gt;=YEAR($F89),$K89="b"),ROUND(VLOOKUP(EY$4,Preisindex,3,FALSE)/VLOOKUP(Preisindex!$A$6,Preisindex,3,FALSE),2),IF(AND($E89&lt;&gt;0,$F89&gt;0,YEAR($F89)&lt;Preisindex!$A$6,YEAR(ET$4)&gt;=YEAR($F89),$K89="g"),ROUND(VLOOKUP(EY$4,Preisindex,4,FALSE)/VLOOKUP(Preisindex!$A$6,Preisindex,4,FALSE),2),IF(AND($E89&lt;&gt;0,$F89&gt;0,YEAR($F89)&lt;Preisindex!$A$6,YEAR(ET$4)&gt;=YEAR($F89),$K89="k"),ROUND(VLOOKUP(EY$4,Preisindex,2,FALSE)/VLOOKUP(Preisindex!$A$6,Preisindex,2,FALSE),2),0)))))</f>
        <v>0</v>
      </c>
      <c r="FA89" s="51">
        <f>IF(AND($E89&lt;&gt;0,$F89&gt;0,YEAR($F89)&lt;=EY$4,YEAR($F89)&gt;=Preisindex!$A$6),ROUND($E89*EY89,2),IF(AND($E89&lt;&gt;0,$F89&gt;0,YEAR($F89)&lt;=EY$4,YEAR($F89)&lt;Preisindex!$A$6),ROUND($E89*EZ89,2),0))</f>
        <v>0</v>
      </c>
      <c r="FB89" s="53">
        <f t="shared" si="418"/>
        <v>0</v>
      </c>
      <c r="FC89" s="51">
        <f t="shared" si="447"/>
        <v>0</v>
      </c>
      <c r="FD89" s="51">
        <f t="shared" si="483"/>
        <v>0</v>
      </c>
      <c r="FE89" s="51">
        <f t="shared" si="419"/>
        <v>0</v>
      </c>
      <c r="FF89" s="51">
        <f t="shared" si="484"/>
        <v>0</v>
      </c>
      <c r="FG89" s="51">
        <f t="shared" si="420"/>
        <v>0</v>
      </c>
      <c r="FH89" s="51">
        <f t="shared" si="485"/>
        <v>0</v>
      </c>
      <c r="FI89" s="51">
        <f t="shared" si="421"/>
        <v>0</v>
      </c>
      <c r="FJ89" s="51">
        <f t="shared" si="486"/>
        <v>0</v>
      </c>
      <c r="FK89" s="51">
        <f t="shared" si="422"/>
        <v>0</v>
      </c>
      <c r="FL89" s="51">
        <f t="shared" si="487"/>
        <v>0</v>
      </c>
      <c r="FM89" s="51">
        <f t="shared" si="423"/>
        <v>0</v>
      </c>
      <c r="FN89" s="54">
        <f t="shared" si="424"/>
        <v>0</v>
      </c>
      <c r="FO89" s="55">
        <f t="shared" si="425"/>
        <v>0</v>
      </c>
      <c r="FP89" s="56">
        <f>IF(AND($E89&lt;&gt;0,$F89&gt;0,YEAR($F89)&gt;=Preisindex!$A$6,YEAR(FK$4)&gt;=YEAR($F89),AND($K89&lt;&gt;"a",$K89&lt;&gt;"b",$K89&lt;&gt;"g",$K89&lt;&gt;"k")),1,IF(AND($E89&lt;&gt;0,$F89&gt;0,YEAR($F89)&gt;=Preisindex!$A$6,YEAR(FK$4)&gt;=YEAR($F89),$K89="a"),ROUND(VLOOKUP(FP$4,Preisindex,5,FALSE)/VLOOKUP(YEAR($F89),Preisindex,5,FALSE),2),IF(AND($E89&lt;&gt;0,$F89&gt;0,YEAR($F89)&gt;=Preisindex!$A$6,YEAR(FK$4)&gt;=YEAR($F89),$K89="b"),ROUND(VLOOKUP(FP$4,Preisindex,3,FALSE)/VLOOKUP(YEAR($F89),Preisindex,3,FALSE),2),IF(AND($E89&lt;&gt;0,$F89&gt;0,YEAR($F89)&gt;=Preisindex!$A$6,YEAR(FK$4)&gt;=YEAR($F89),$K89="g"),ROUND(VLOOKUP(FP$4,Preisindex,4,FALSE)/VLOOKUP(YEAR($F89),Preisindex,4,FALSE),2),IF(AND($E89&lt;&gt;0,$F89&gt;0,YEAR($F89)&gt;=Preisindex!$A$6,YEAR(FK$4)&gt;=YEAR($F89),$K89="k"),ROUND(VLOOKUP(FP$4,Preisindex,2,FALSE)/VLOOKUP(YEAR($F89),Preisindex,2,FALSE),2),0)))))</f>
        <v>0</v>
      </c>
      <c r="FQ89" s="56">
        <f>IF(AND($E89&lt;&gt;0,$F89&gt;0,YEAR($F89)&lt;Preisindex!$A$6,YEAR(FK$4)&gt;=YEAR($F89),AND($K89&lt;&gt;"a",$K89&lt;&gt;"b",$K89&lt;&gt;"g",$K89&lt;&gt;"k")),1,IF(AND($E89&lt;&gt;0,$F89&gt;0,YEAR($F89)&lt;Preisindex!$A$6,YEAR(FK$4)&gt;=YEAR($F89),$K89="a"),ROUND(VLOOKUP(FP$4,Preisindex,5,FALSE)/VLOOKUP(Preisindex!$A$6,Preisindex,5,FALSE),2),IF(AND($E89&lt;&gt;0,$F89&gt;0,YEAR($F89)&lt;Preisindex!$A$6,YEAR(FK$4)&gt;=YEAR($F89),$K89="b"),ROUND(VLOOKUP(FP$4,Preisindex,3,FALSE)/VLOOKUP(Preisindex!$A$6,Preisindex,3,FALSE),2),IF(AND($E89&lt;&gt;0,$F89&gt;0,YEAR($F89)&lt;Preisindex!$A$6,YEAR(FK$4)&gt;=YEAR($F89),$K89="g"),ROUND(VLOOKUP(FP$4,Preisindex,4,FALSE)/VLOOKUP(Preisindex!$A$6,Preisindex,4,FALSE),2),IF(AND($E89&lt;&gt;0,$F89&gt;0,YEAR($F89)&lt;Preisindex!$A$6,YEAR(FK$4)&gt;=YEAR($F89),$K89="k"),ROUND(VLOOKUP(FP$4,Preisindex,2,FALSE)/VLOOKUP(Preisindex!$A$6,Preisindex,2,FALSE),2),0)))))</f>
        <v>0</v>
      </c>
      <c r="FR89" s="51">
        <f>IF(AND($E89&lt;&gt;0,$F89&gt;0,YEAR($F89)&lt;=FP$4,YEAR($F89)&gt;=Preisindex!$A$6),ROUND($E89*FP89,2),IF(AND($E89&lt;&gt;0,$F89&gt;0,YEAR($F89)&lt;=FP$4,YEAR($F89)&lt;Preisindex!$A$6),ROUND($E89*FQ89,2),0))</f>
        <v>0</v>
      </c>
      <c r="FS89" s="53">
        <f t="shared" si="426"/>
        <v>0</v>
      </c>
    </row>
    <row r="90" spans="1:175" x14ac:dyDescent="0.3">
      <c r="A90" s="195"/>
      <c r="B90" s="196"/>
      <c r="C90" s="196"/>
      <c r="D90" s="188"/>
      <c r="E90" s="99"/>
      <c r="F90" s="97"/>
      <c r="G90" s="100"/>
      <c r="H90" s="620"/>
      <c r="I90" s="621"/>
      <c r="J90" s="194"/>
      <c r="K90" s="630"/>
      <c r="L90" s="49">
        <f t="shared" si="427"/>
        <v>0</v>
      </c>
      <c r="M90" s="50">
        <f t="shared" si="428"/>
        <v>0</v>
      </c>
      <c r="N90" s="51">
        <f t="shared" si="429"/>
        <v>0</v>
      </c>
      <c r="O90" s="51"/>
      <c r="P90" s="51">
        <f t="shared" si="430"/>
        <v>0</v>
      </c>
      <c r="Q90" s="52"/>
      <c r="R90" s="52"/>
      <c r="S90" s="52"/>
      <c r="T90" s="52"/>
      <c r="U90" s="52"/>
      <c r="V90" s="53">
        <f t="shared" si="431"/>
        <v>0</v>
      </c>
      <c r="W90" s="51">
        <f t="shared" si="432"/>
        <v>0</v>
      </c>
      <c r="X90" s="51">
        <f t="shared" si="433"/>
        <v>0</v>
      </c>
      <c r="Y90" s="51">
        <f t="shared" si="434"/>
        <v>0</v>
      </c>
      <c r="Z90" s="51">
        <f t="shared" si="435"/>
        <v>0</v>
      </c>
      <c r="AA90" s="51">
        <f t="shared" si="436"/>
        <v>0</v>
      </c>
      <c r="AB90" s="51">
        <f t="shared" si="437"/>
        <v>0</v>
      </c>
      <c r="AC90" s="51">
        <f t="shared" si="438"/>
        <v>0</v>
      </c>
      <c r="AD90" s="51">
        <f t="shared" si="439"/>
        <v>0</v>
      </c>
      <c r="AE90" s="51">
        <f t="shared" si="440"/>
        <v>0</v>
      </c>
      <c r="AF90" s="51">
        <f t="shared" si="441"/>
        <v>0</v>
      </c>
      <c r="AG90" s="51">
        <f t="shared" si="442"/>
        <v>0</v>
      </c>
      <c r="AH90" s="54">
        <f t="shared" si="443"/>
        <v>0</v>
      </c>
      <c r="AI90" s="55">
        <f t="shared" si="444"/>
        <v>0</v>
      </c>
      <c r="AJ90" s="56">
        <f>IF(AND($E90&lt;&gt;0,$F90&gt;0,YEAR($F90)&gt;=Preisindex!$A$6,YEAR(AE$4)&gt;=YEAR($F90),AND($K90&lt;&gt;"a",$K90&lt;&gt;"b",$K90&lt;&gt;"g",$K90&lt;&gt;"k")),1,IF(AND($E90&lt;&gt;0,$F90&gt;0,YEAR($F90)&gt;=Preisindex!$A$6,YEAR(AE$4)&gt;=YEAR($F90),$K90="a"),ROUND(VLOOKUP(AJ$4,Preisindex,5,FALSE)/VLOOKUP(YEAR($F90),Preisindex,5,FALSE),2),IF(AND($E90&lt;&gt;0,$F90&gt;0,YEAR($F90)&gt;=Preisindex!$A$6,YEAR(AE$4)&gt;=YEAR($F90),$K90="b"),ROUND(VLOOKUP(AJ$4,Preisindex,3,FALSE)/VLOOKUP(YEAR($F90),Preisindex,3,FALSE),2),IF(AND($E90&lt;&gt;0,$F90&gt;0,YEAR($F90)&gt;=Preisindex!$A$6,YEAR(AE$4)&gt;=YEAR($F90),$K90="g"),ROUND(VLOOKUP(AJ$4,Preisindex,4,FALSE)/VLOOKUP(YEAR($F90),Preisindex,4,FALSE),2),IF(AND($E90&lt;&gt;0,$F90&gt;0,YEAR($F90)&gt;=Preisindex!$A$6,YEAR(AE$4)&gt;=YEAR($F90),$K90="k"),ROUND(VLOOKUP(AJ$4,Preisindex,2,FALSE)/VLOOKUP(YEAR($F90),Preisindex,2,FALSE),2),0)))))</f>
        <v>0</v>
      </c>
      <c r="AK90" s="56">
        <f>IF(AND($E90&lt;&gt;0,$F90&gt;0,YEAR($F90)&lt;Preisindex!$A$6,YEAR(AE$4)&gt;=YEAR($F90),AND($K90&lt;&gt;"a",$K90&lt;&gt;"b",$K90&lt;&gt;"g",$K90&lt;&gt;"k")),1,IF(AND($E90&lt;&gt;0,$F90&gt;0,YEAR($F90)&lt;Preisindex!$A$6,YEAR(AE$4)&gt;=YEAR($F90),$K90="a"),ROUND(VLOOKUP(AJ$4,Preisindex,5,FALSE)/VLOOKUP(Preisindex!$A$6,Preisindex,5,FALSE),2),IF(AND($E90&lt;&gt;0,$F90&gt;0,YEAR($F90)&lt;Preisindex!$A$6,YEAR(AE$4)&gt;=YEAR($F90),$K90="b"),ROUND(VLOOKUP(AJ$4,Preisindex,3,FALSE)/VLOOKUP(Preisindex!$A$6,Preisindex,3,FALSE),2),IF(AND($E90&lt;&gt;0,$F90&gt;0,YEAR($F90)&lt;Preisindex!$A$6,YEAR(AE$4)&gt;=YEAR($F90),$K90="g"),ROUND(VLOOKUP(AJ$4,Preisindex,4,FALSE)/VLOOKUP(Preisindex!$A$6,Preisindex,4,FALSE),2),IF(AND($E90&lt;&gt;0,$F90&gt;0,YEAR($F90)&lt;Preisindex!$A$6,YEAR(AE$4)&gt;=YEAR($F90),$K90="k"),ROUND(VLOOKUP(AJ$4,Preisindex,2,FALSE)/VLOOKUP(Preisindex!$A$6,Preisindex,2,FALSE),2),0)))))</f>
        <v>0</v>
      </c>
      <c r="AL90" s="51">
        <f>IF(AND($E90&lt;&gt;0,$F90&gt;0,YEAR($F90)&lt;=AJ$4,YEAR($F90)&gt;=Preisindex!$A$6),ROUND($E90*AJ90,2),IF(AND($E90&lt;&gt;0,$F90&gt;0,YEAR($F90)&lt;=AJ$4,YEAR($F90)&lt;Preisindex!$A$6),ROUND($E90*AK90,2),0))</f>
        <v>0</v>
      </c>
      <c r="AM90" s="53">
        <f t="shared" si="445"/>
        <v>0</v>
      </c>
      <c r="AN90" s="51">
        <f t="shared" si="446"/>
        <v>0</v>
      </c>
      <c r="AO90" s="51">
        <f t="shared" si="448"/>
        <v>0</v>
      </c>
      <c r="AP90" s="51">
        <f t="shared" si="362"/>
        <v>0</v>
      </c>
      <c r="AQ90" s="51">
        <f t="shared" si="449"/>
        <v>0</v>
      </c>
      <c r="AR90" s="51">
        <f t="shared" si="363"/>
        <v>0</v>
      </c>
      <c r="AS90" s="51">
        <f t="shared" si="450"/>
        <v>0</v>
      </c>
      <c r="AT90" s="51">
        <f t="shared" si="364"/>
        <v>0</v>
      </c>
      <c r="AU90" s="51">
        <f t="shared" si="451"/>
        <v>0</v>
      </c>
      <c r="AV90" s="51">
        <f t="shared" si="365"/>
        <v>0</v>
      </c>
      <c r="AW90" s="51">
        <f t="shared" si="452"/>
        <v>0</v>
      </c>
      <c r="AX90" s="51">
        <f t="shared" si="366"/>
        <v>0</v>
      </c>
      <c r="AY90" s="54">
        <f t="shared" si="367"/>
        <v>0</v>
      </c>
      <c r="AZ90" s="55">
        <f t="shared" si="368"/>
        <v>0</v>
      </c>
      <c r="BA90" s="56">
        <f>IF(AND($E90&lt;&gt;0,$F90&gt;0,YEAR($F90)&gt;=Preisindex!$A$6,YEAR(AV$4)&gt;=YEAR($F90),AND($K90&lt;&gt;"a",$K90&lt;&gt;"b",$K90&lt;&gt;"g",$K90&lt;&gt;"k")),1,IF(AND($E90&lt;&gt;0,$F90&gt;0,YEAR($F90)&gt;=Preisindex!$A$6,YEAR(AV$4)&gt;=YEAR($F90),$K90="a"),ROUND(VLOOKUP(BA$4,Preisindex,5,FALSE)/VLOOKUP(YEAR($F90),Preisindex,5,FALSE),2),IF(AND($E90&lt;&gt;0,$F90&gt;0,YEAR($F90)&gt;=Preisindex!$A$6,YEAR(AV$4)&gt;=YEAR($F90),$K90="b"),ROUND(VLOOKUP(BA$4,Preisindex,3,FALSE)/VLOOKUP(YEAR($F90),Preisindex,3,FALSE),2),IF(AND($E90&lt;&gt;0,$F90&gt;0,YEAR($F90)&gt;=Preisindex!$A$6,YEAR(AV$4)&gt;=YEAR($F90),$K90="g"),ROUND(VLOOKUP(BA$4,Preisindex,4,FALSE)/VLOOKUP(YEAR($F90),Preisindex,4,FALSE),2),IF(AND($E90&lt;&gt;0,$F90&gt;0,YEAR($F90)&gt;=Preisindex!$A$6,YEAR(AV$4)&gt;=YEAR($F90),$K90="k"),ROUND(VLOOKUP(BA$4,Preisindex,2,FALSE)/VLOOKUP(YEAR($F90),Preisindex,2,FALSE),2),0)))))</f>
        <v>0</v>
      </c>
      <c r="BB90" s="56">
        <f>IF(AND($E90&lt;&gt;0,$F90&gt;0,YEAR($F90)&lt;Preisindex!$A$6,YEAR(AV$4)&gt;=YEAR($F90),AND($K90&lt;&gt;"a",$K90&lt;&gt;"b",$K90&lt;&gt;"g",$K90&lt;&gt;"k")),1,IF(AND($E90&lt;&gt;0,$F90&gt;0,YEAR($F90)&lt;Preisindex!$A$6,YEAR(AV$4)&gt;=YEAR($F90),$K90="a"),ROUND(VLOOKUP(BA$4,Preisindex,5,FALSE)/VLOOKUP(Preisindex!$A$6,Preisindex,5,FALSE),2),IF(AND($E90&lt;&gt;0,$F90&gt;0,YEAR($F90)&lt;Preisindex!$A$6,YEAR(AV$4)&gt;=YEAR($F90),$K90="b"),ROUND(VLOOKUP(BA$4,Preisindex,3,FALSE)/VLOOKUP(Preisindex!$A$6,Preisindex,3,FALSE),2),IF(AND($E90&lt;&gt;0,$F90&gt;0,YEAR($F90)&lt;Preisindex!$A$6,YEAR(AV$4)&gt;=YEAR($F90),$K90="g"),ROUND(VLOOKUP(BA$4,Preisindex,4,FALSE)/VLOOKUP(Preisindex!$A$6,Preisindex,4,FALSE),2),IF(AND($E90&lt;&gt;0,$F90&gt;0,YEAR($F90)&lt;Preisindex!$A$6,YEAR(AV$4)&gt;=YEAR($F90),$K90="k"),ROUND(VLOOKUP(BA$4,Preisindex,2,FALSE)/VLOOKUP(Preisindex!$A$6,Preisindex,2,FALSE),2),0)))))</f>
        <v>0</v>
      </c>
      <c r="BC90" s="51">
        <f>IF(AND($E90&lt;&gt;0,$F90&gt;0,YEAR($F90)&lt;=BA$4,YEAR($F90)&gt;=Preisindex!$A$6),ROUND($E90*BA90,2),IF(AND($E90&lt;&gt;0,$F90&gt;0,YEAR($F90)&lt;=BA$4,YEAR($F90)&lt;Preisindex!$A$6),ROUND($E90*BB90,2),0))</f>
        <v>0</v>
      </c>
      <c r="BD90" s="53">
        <f t="shared" si="369"/>
        <v>0</v>
      </c>
      <c r="BE90" s="51">
        <f t="shared" si="446"/>
        <v>0</v>
      </c>
      <c r="BF90" s="51">
        <f t="shared" si="453"/>
        <v>0</v>
      </c>
      <c r="BG90" s="51">
        <f t="shared" si="370"/>
        <v>0</v>
      </c>
      <c r="BH90" s="51">
        <f t="shared" si="454"/>
        <v>0</v>
      </c>
      <c r="BI90" s="51">
        <f t="shared" si="371"/>
        <v>0</v>
      </c>
      <c r="BJ90" s="51">
        <f t="shared" si="455"/>
        <v>0</v>
      </c>
      <c r="BK90" s="51">
        <f t="shared" si="372"/>
        <v>0</v>
      </c>
      <c r="BL90" s="51">
        <f t="shared" si="456"/>
        <v>0</v>
      </c>
      <c r="BM90" s="51">
        <f t="shared" si="373"/>
        <v>0</v>
      </c>
      <c r="BN90" s="51">
        <f t="shared" si="457"/>
        <v>0</v>
      </c>
      <c r="BO90" s="51">
        <f t="shared" si="374"/>
        <v>0</v>
      </c>
      <c r="BP90" s="54">
        <f t="shared" si="375"/>
        <v>0</v>
      </c>
      <c r="BQ90" s="55">
        <f t="shared" si="376"/>
        <v>0</v>
      </c>
      <c r="BR90" s="56">
        <f>IF(AND($E90&lt;&gt;0,$F90&gt;0,YEAR($F90)&gt;=Preisindex!$A$6,YEAR(BM$4)&gt;=YEAR($F90),AND($K90&lt;&gt;"a",$K90&lt;&gt;"b",$K90&lt;&gt;"g",$K90&lt;&gt;"k")),1,IF(AND($E90&lt;&gt;0,$F90&gt;0,YEAR($F90)&gt;=Preisindex!$A$6,YEAR(BM$4)&gt;=YEAR($F90),$K90="a"),ROUND(VLOOKUP(BR$4,Preisindex,5,FALSE)/VLOOKUP(YEAR($F90),Preisindex,5,FALSE),2),IF(AND($E90&lt;&gt;0,$F90&gt;0,YEAR($F90)&gt;=Preisindex!$A$6,YEAR(BM$4)&gt;=YEAR($F90),$K90="b"),ROUND(VLOOKUP(BR$4,Preisindex,3,FALSE)/VLOOKUP(YEAR($F90),Preisindex,3,FALSE),2),IF(AND($E90&lt;&gt;0,$F90&gt;0,YEAR($F90)&gt;=Preisindex!$A$6,YEAR(BM$4)&gt;=YEAR($F90),$K90="g"),ROUND(VLOOKUP(BR$4,Preisindex,4,FALSE)/VLOOKUP(YEAR($F90),Preisindex,4,FALSE),2),IF(AND($E90&lt;&gt;0,$F90&gt;0,YEAR($F90)&gt;=Preisindex!$A$6,YEAR(BM$4)&gt;=YEAR($F90),$K90="k"),ROUND(VLOOKUP(BR$4,Preisindex,2,FALSE)/VLOOKUP(YEAR($F90),Preisindex,2,FALSE),2),0)))))</f>
        <v>0</v>
      </c>
      <c r="BS90" s="56">
        <f>IF(AND($E90&lt;&gt;0,$F90&gt;0,YEAR($F90)&lt;Preisindex!$A$6,YEAR(BM$4)&gt;=YEAR($F90),AND($K90&lt;&gt;"a",$K90&lt;&gt;"b",$K90&lt;&gt;"g",$K90&lt;&gt;"k")),1,IF(AND($E90&lt;&gt;0,$F90&gt;0,YEAR($F90)&lt;Preisindex!$A$6,YEAR(BM$4)&gt;=YEAR($F90),$K90="a"),ROUND(VLOOKUP(BR$4,Preisindex,5,FALSE)/VLOOKUP(Preisindex!$A$6,Preisindex,5,FALSE),2),IF(AND($E90&lt;&gt;0,$F90&gt;0,YEAR($F90)&lt;Preisindex!$A$6,YEAR(BM$4)&gt;=YEAR($F90),$K90="b"),ROUND(VLOOKUP(BR$4,Preisindex,3,FALSE)/VLOOKUP(Preisindex!$A$6,Preisindex,3,FALSE),2),IF(AND($E90&lt;&gt;0,$F90&gt;0,YEAR($F90)&lt;Preisindex!$A$6,YEAR(BM$4)&gt;=YEAR($F90),$K90="g"),ROUND(VLOOKUP(BR$4,Preisindex,4,FALSE)/VLOOKUP(Preisindex!$A$6,Preisindex,4,FALSE),2),IF(AND($E90&lt;&gt;0,$F90&gt;0,YEAR($F90)&lt;Preisindex!$A$6,YEAR(BM$4)&gt;=YEAR($F90),$K90="k"),ROUND(VLOOKUP(BR$4,Preisindex,2,FALSE)/VLOOKUP(Preisindex!$A$6,Preisindex,2,FALSE),2),0)))))</f>
        <v>0</v>
      </c>
      <c r="BT90" s="51">
        <f>IF(AND($E90&lt;&gt;0,$F90&gt;0,YEAR($F90)&lt;=BR$4,YEAR($F90)&gt;=Preisindex!$A$6),ROUND($E90*BR90,2),IF(AND($E90&lt;&gt;0,$F90&gt;0,YEAR($F90)&lt;=BR$4,YEAR($F90)&lt;Preisindex!$A$6),ROUND($E90*BS90,2),0))</f>
        <v>0</v>
      </c>
      <c r="BU90" s="53">
        <f t="shared" si="377"/>
        <v>0</v>
      </c>
      <c r="BV90" s="51">
        <f t="shared" si="446"/>
        <v>0</v>
      </c>
      <c r="BW90" s="51">
        <f t="shared" si="458"/>
        <v>0</v>
      </c>
      <c r="BX90" s="51">
        <f t="shared" si="378"/>
        <v>0</v>
      </c>
      <c r="BY90" s="51">
        <f t="shared" si="459"/>
        <v>0</v>
      </c>
      <c r="BZ90" s="51">
        <f t="shared" si="379"/>
        <v>0</v>
      </c>
      <c r="CA90" s="51">
        <f t="shared" si="460"/>
        <v>0</v>
      </c>
      <c r="CB90" s="51">
        <f t="shared" si="380"/>
        <v>0</v>
      </c>
      <c r="CC90" s="51">
        <f t="shared" si="461"/>
        <v>0</v>
      </c>
      <c r="CD90" s="51">
        <f t="shared" si="381"/>
        <v>0</v>
      </c>
      <c r="CE90" s="51">
        <f t="shared" si="462"/>
        <v>0</v>
      </c>
      <c r="CF90" s="51">
        <f t="shared" si="382"/>
        <v>0</v>
      </c>
      <c r="CG90" s="54">
        <f t="shared" si="383"/>
        <v>0</v>
      </c>
      <c r="CH90" s="55">
        <f t="shared" si="384"/>
        <v>0</v>
      </c>
      <c r="CI90" s="56">
        <f>IF(AND($E90&lt;&gt;0,$F90&gt;0,YEAR($F90)&gt;=Preisindex!$A$6,YEAR(CD$4)&gt;=YEAR($F90),AND($K90&lt;&gt;"a",$K90&lt;&gt;"b",$K90&lt;&gt;"g",$K90&lt;&gt;"k")),1,IF(AND($E90&lt;&gt;0,$F90&gt;0,YEAR($F90)&gt;=Preisindex!$A$6,YEAR(CD$4)&gt;=YEAR($F90),$K90="a"),ROUND(VLOOKUP(CI$4,Preisindex,5,FALSE)/VLOOKUP(YEAR($F90),Preisindex,5,FALSE),2),IF(AND($E90&lt;&gt;0,$F90&gt;0,YEAR($F90)&gt;=Preisindex!$A$6,YEAR(CD$4)&gt;=YEAR($F90),$K90="b"),ROUND(VLOOKUP(CI$4,Preisindex,3,FALSE)/VLOOKUP(YEAR($F90),Preisindex,3,FALSE),2),IF(AND($E90&lt;&gt;0,$F90&gt;0,YEAR($F90)&gt;=Preisindex!$A$6,YEAR(CD$4)&gt;=YEAR($F90),$K90="g"),ROUND(VLOOKUP(CI$4,Preisindex,4,FALSE)/VLOOKUP(YEAR($F90),Preisindex,4,FALSE),2),IF(AND($E90&lt;&gt;0,$F90&gt;0,YEAR($F90)&gt;=Preisindex!$A$6,YEAR(CD$4)&gt;=YEAR($F90),$K90="k"),ROUND(VLOOKUP(CI$4,Preisindex,2,FALSE)/VLOOKUP(YEAR($F90),Preisindex,2,FALSE),2),0)))))</f>
        <v>0</v>
      </c>
      <c r="CJ90" s="56">
        <f>IF(AND($E90&lt;&gt;0,$F90&gt;0,YEAR($F90)&lt;Preisindex!$A$6,YEAR(CD$4)&gt;=YEAR($F90),AND($K90&lt;&gt;"a",$K90&lt;&gt;"b",$K90&lt;&gt;"g",$K90&lt;&gt;"k")),1,IF(AND($E90&lt;&gt;0,$F90&gt;0,YEAR($F90)&lt;Preisindex!$A$6,YEAR(CD$4)&gt;=YEAR($F90),$K90="a"),ROUND(VLOOKUP(CI$4,Preisindex,5,FALSE)/VLOOKUP(Preisindex!$A$6,Preisindex,5,FALSE),2),IF(AND($E90&lt;&gt;0,$F90&gt;0,YEAR($F90)&lt;Preisindex!$A$6,YEAR(CD$4)&gt;=YEAR($F90),$K90="b"),ROUND(VLOOKUP(CI$4,Preisindex,3,FALSE)/VLOOKUP(Preisindex!$A$6,Preisindex,3,FALSE),2),IF(AND($E90&lt;&gt;0,$F90&gt;0,YEAR($F90)&lt;Preisindex!$A$6,YEAR(CD$4)&gt;=YEAR($F90),$K90="g"),ROUND(VLOOKUP(CI$4,Preisindex,4,FALSE)/VLOOKUP(Preisindex!$A$6,Preisindex,4,FALSE),2),IF(AND($E90&lt;&gt;0,$F90&gt;0,YEAR($F90)&lt;Preisindex!$A$6,YEAR(CD$4)&gt;=YEAR($F90),$K90="k"),ROUND(VLOOKUP(CI$4,Preisindex,2,FALSE)/VLOOKUP(Preisindex!$A$6,Preisindex,2,FALSE),2),0)))))</f>
        <v>0</v>
      </c>
      <c r="CK90" s="51">
        <f>IF(AND($E90&lt;&gt;0,$F90&gt;0,YEAR($F90)&lt;=CI$4,YEAR($F90)&gt;=Preisindex!$A$6),ROUND($E90*CI90,2),IF(AND($E90&lt;&gt;0,$F90&gt;0,YEAR($F90)&lt;=CI$4,YEAR($F90)&lt;Preisindex!$A$6),ROUND($E90*CJ90,2),0))</f>
        <v>0</v>
      </c>
      <c r="CL90" s="53">
        <f t="shared" si="385"/>
        <v>0</v>
      </c>
      <c r="CM90" s="51">
        <f t="shared" si="446"/>
        <v>0</v>
      </c>
      <c r="CN90" s="51">
        <f t="shared" si="463"/>
        <v>0</v>
      </c>
      <c r="CO90" s="51">
        <f t="shared" si="386"/>
        <v>0</v>
      </c>
      <c r="CP90" s="51">
        <f t="shared" si="464"/>
        <v>0</v>
      </c>
      <c r="CQ90" s="51">
        <f t="shared" si="387"/>
        <v>0</v>
      </c>
      <c r="CR90" s="51">
        <f t="shared" si="465"/>
        <v>0</v>
      </c>
      <c r="CS90" s="51">
        <f t="shared" si="388"/>
        <v>0</v>
      </c>
      <c r="CT90" s="51">
        <f t="shared" si="466"/>
        <v>0</v>
      </c>
      <c r="CU90" s="51">
        <f t="shared" si="389"/>
        <v>0</v>
      </c>
      <c r="CV90" s="51">
        <f t="shared" si="467"/>
        <v>0</v>
      </c>
      <c r="CW90" s="51">
        <f t="shared" si="390"/>
        <v>0</v>
      </c>
      <c r="CX90" s="54">
        <f t="shared" si="391"/>
        <v>0</v>
      </c>
      <c r="CY90" s="55">
        <f t="shared" si="392"/>
        <v>0</v>
      </c>
      <c r="CZ90" s="56">
        <f>IF(AND($E90&lt;&gt;0,$F90&gt;0,YEAR($F90)&gt;=Preisindex!$A$6,YEAR(CU$4)&gt;=YEAR($F90),AND($K90&lt;&gt;"a",$K90&lt;&gt;"b",$K90&lt;&gt;"g",$K90&lt;&gt;"k")),1,IF(AND($E90&lt;&gt;0,$F90&gt;0,YEAR($F90)&gt;=Preisindex!$A$6,YEAR(CU$4)&gt;=YEAR($F90),$K90="a"),ROUND(VLOOKUP(CZ$4,Preisindex,5,FALSE)/VLOOKUP(YEAR($F90),Preisindex,5,FALSE),2),IF(AND($E90&lt;&gt;0,$F90&gt;0,YEAR($F90)&gt;=Preisindex!$A$6,YEAR(CU$4)&gt;=YEAR($F90),$K90="b"),ROUND(VLOOKUP(CZ$4,Preisindex,3,FALSE)/VLOOKUP(YEAR($F90),Preisindex,3,FALSE),2),IF(AND($E90&lt;&gt;0,$F90&gt;0,YEAR($F90)&gt;=Preisindex!$A$6,YEAR(CU$4)&gt;=YEAR($F90),$K90="g"),ROUND(VLOOKUP(CZ$4,Preisindex,4,FALSE)/VLOOKUP(YEAR($F90),Preisindex,4,FALSE),2),IF(AND($E90&lt;&gt;0,$F90&gt;0,YEAR($F90)&gt;=Preisindex!$A$6,YEAR(CU$4)&gt;=YEAR($F90),$K90="k"),ROUND(VLOOKUP(CZ$4,Preisindex,2,FALSE)/VLOOKUP(YEAR($F90),Preisindex,2,FALSE),2),0)))))</f>
        <v>0</v>
      </c>
      <c r="DA90" s="56">
        <f>IF(AND($E90&lt;&gt;0,$F90&gt;0,YEAR($F90)&lt;Preisindex!$A$6,YEAR(CU$4)&gt;=YEAR($F90),AND($K90&lt;&gt;"a",$K90&lt;&gt;"b",$K90&lt;&gt;"g",$K90&lt;&gt;"k")),1,IF(AND($E90&lt;&gt;0,$F90&gt;0,YEAR($F90)&lt;Preisindex!$A$6,YEAR(CU$4)&gt;=YEAR($F90),$K90="a"),ROUND(VLOOKUP(CZ$4,Preisindex,5,FALSE)/VLOOKUP(Preisindex!$A$6,Preisindex,5,FALSE),2),IF(AND($E90&lt;&gt;0,$F90&gt;0,YEAR($F90)&lt;Preisindex!$A$6,YEAR(CU$4)&gt;=YEAR($F90),$K90="b"),ROUND(VLOOKUP(CZ$4,Preisindex,3,FALSE)/VLOOKUP(Preisindex!$A$6,Preisindex,3,FALSE),2),IF(AND($E90&lt;&gt;0,$F90&gt;0,YEAR($F90)&lt;Preisindex!$A$6,YEAR(CU$4)&gt;=YEAR($F90),$K90="g"),ROUND(VLOOKUP(CZ$4,Preisindex,4,FALSE)/VLOOKUP(Preisindex!$A$6,Preisindex,4,FALSE),2),IF(AND($E90&lt;&gt;0,$F90&gt;0,YEAR($F90)&lt;Preisindex!$A$6,YEAR(CU$4)&gt;=YEAR($F90),$K90="k"),ROUND(VLOOKUP(CZ$4,Preisindex,2,FALSE)/VLOOKUP(Preisindex!$A$6,Preisindex,2,FALSE),2),0)))))</f>
        <v>0</v>
      </c>
      <c r="DB90" s="51">
        <f>IF(AND($E90&lt;&gt;0,$F90&gt;0,YEAR($F90)&lt;=CZ$4,YEAR($F90)&gt;=Preisindex!$A$6),ROUND($E90*CZ90,2),IF(AND($E90&lt;&gt;0,$F90&gt;0,YEAR($F90)&lt;=CZ$4,YEAR($F90)&lt;Preisindex!$A$6),ROUND($E90*DA90,2),0))</f>
        <v>0</v>
      </c>
      <c r="DC90" s="53">
        <f t="shared" si="393"/>
        <v>0</v>
      </c>
      <c r="DD90" s="51">
        <f t="shared" si="447"/>
        <v>0</v>
      </c>
      <c r="DE90" s="51">
        <f t="shared" si="468"/>
        <v>0</v>
      </c>
      <c r="DF90" s="51">
        <f t="shared" si="395"/>
        <v>0</v>
      </c>
      <c r="DG90" s="51">
        <f t="shared" si="469"/>
        <v>0</v>
      </c>
      <c r="DH90" s="51">
        <f t="shared" si="396"/>
        <v>0</v>
      </c>
      <c r="DI90" s="51">
        <f t="shared" si="470"/>
        <v>0</v>
      </c>
      <c r="DJ90" s="51">
        <f t="shared" si="397"/>
        <v>0</v>
      </c>
      <c r="DK90" s="51">
        <f t="shared" si="471"/>
        <v>0</v>
      </c>
      <c r="DL90" s="51">
        <f t="shared" si="398"/>
        <v>0</v>
      </c>
      <c r="DM90" s="51">
        <f t="shared" si="472"/>
        <v>0</v>
      </c>
      <c r="DN90" s="51">
        <f t="shared" si="399"/>
        <v>0</v>
      </c>
      <c r="DO90" s="54">
        <f t="shared" si="400"/>
        <v>0</v>
      </c>
      <c r="DP90" s="55">
        <f t="shared" si="401"/>
        <v>0</v>
      </c>
      <c r="DQ90" s="56">
        <f>IF(AND($E90&lt;&gt;0,$F90&gt;0,YEAR($F90)&gt;=Preisindex!$A$6,YEAR(DL$4)&gt;=YEAR($F90),AND($K90&lt;&gt;"a",$K90&lt;&gt;"b",$K90&lt;&gt;"g",$K90&lt;&gt;"k")),1,IF(AND($E90&lt;&gt;0,$F90&gt;0,YEAR($F90)&gt;=Preisindex!$A$6,YEAR(DL$4)&gt;=YEAR($F90),$K90="a"),ROUND(VLOOKUP(DQ$4,Preisindex,5,FALSE)/VLOOKUP(YEAR($F90),Preisindex,5,FALSE),2),IF(AND($E90&lt;&gt;0,$F90&gt;0,YEAR($F90)&gt;=Preisindex!$A$6,YEAR(DL$4)&gt;=YEAR($F90),$K90="b"),ROUND(VLOOKUP(DQ$4,Preisindex,3,FALSE)/VLOOKUP(YEAR($F90),Preisindex,3,FALSE),2),IF(AND($E90&lt;&gt;0,$F90&gt;0,YEAR($F90)&gt;=Preisindex!$A$6,YEAR(DL$4)&gt;=YEAR($F90),$K90="g"),ROUND(VLOOKUP(DQ$4,Preisindex,4,FALSE)/VLOOKUP(YEAR($F90),Preisindex,4,FALSE),2),IF(AND($E90&lt;&gt;0,$F90&gt;0,YEAR($F90)&gt;=Preisindex!$A$6,YEAR(DL$4)&gt;=YEAR($F90),$K90="k"),ROUND(VLOOKUP(DQ$4,Preisindex,2,FALSE)/VLOOKUP(YEAR($F90),Preisindex,2,FALSE),2),0)))))</f>
        <v>0</v>
      </c>
      <c r="DR90" s="56">
        <f>IF(AND($E90&lt;&gt;0,$F90&gt;0,YEAR($F90)&lt;Preisindex!$A$6,YEAR(DL$4)&gt;=YEAR($F90),AND($K90&lt;&gt;"a",$K90&lt;&gt;"b",$K90&lt;&gt;"g",$K90&lt;&gt;"k")),1,IF(AND($E90&lt;&gt;0,$F90&gt;0,YEAR($F90)&lt;Preisindex!$A$6,YEAR(DL$4)&gt;=YEAR($F90),$K90="a"),ROUND(VLOOKUP(DQ$4,Preisindex,5,FALSE)/VLOOKUP(Preisindex!$A$6,Preisindex,5,FALSE),2),IF(AND($E90&lt;&gt;0,$F90&gt;0,YEAR($F90)&lt;Preisindex!$A$6,YEAR(DL$4)&gt;=YEAR($F90),$K90="b"),ROUND(VLOOKUP(DQ$4,Preisindex,3,FALSE)/VLOOKUP(Preisindex!$A$6,Preisindex,3,FALSE),2),IF(AND($E90&lt;&gt;0,$F90&gt;0,YEAR($F90)&lt;Preisindex!$A$6,YEAR(DL$4)&gt;=YEAR($F90),$K90="g"),ROUND(VLOOKUP(DQ$4,Preisindex,4,FALSE)/VLOOKUP(Preisindex!$A$6,Preisindex,4,FALSE),2),IF(AND($E90&lt;&gt;0,$F90&gt;0,YEAR($F90)&lt;Preisindex!$A$6,YEAR(DL$4)&gt;=YEAR($F90),$K90="k"),ROUND(VLOOKUP(DQ$4,Preisindex,2,FALSE)/VLOOKUP(Preisindex!$A$6,Preisindex,2,FALSE),2),0)))))</f>
        <v>0</v>
      </c>
      <c r="DS90" s="51">
        <f>IF(AND($E90&lt;&gt;0,$F90&gt;0,YEAR($F90)&lt;=DQ$4,YEAR($F90)&gt;=Preisindex!$A$6),ROUND($E90*DQ90,2),IF(AND($E90&lt;&gt;0,$F90&gt;0,YEAR($F90)&lt;=DQ$4,YEAR($F90)&lt;Preisindex!$A$6),ROUND($E90*DR90,2),0))</f>
        <v>0</v>
      </c>
      <c r="DT90" s="53">
        <f t="shared" si="402"/>
        <v>0</v>
      </c>
      <c r="DU90" s="51">
        <f t="shared" si="447"/>
        <v>0</v>
      </c>
      <c r="DV90" s="51">
        <f t="shared" si="473"/>
        <v>0</v>
      </c>
      <c r="DW90" s="51">
        <f t="shared" si="403"/>
        <v>0</v>
      </c>
      <c r="DX90" s="51">
        <f t="shared" si="474"/>
        <v>0</v>
      </c>
      <c r="DY90" s="51">
        <f t="shared" si="404"/>
        <v>0</v>
      </c>
      <c r="DZ90" s="51">
        <f t="shared" si="475"/>
        <v>0</v>
      </c>
      <c r="EA90" s="51">
        <f t="shared" si="405"/>
        <v>0</v>
      </c>
      <c r="EB90" s="51">
        <f t="shared" si="476"/>
        <v>0</v>
      </c>
      <c r="EC90" s="51">
        <f t="shared" si="406"/>
        <v>0</v>
      </c>
      <c r="ED90" s="51">
        <f t="shared" si="477"/>
        <v>0</v>
      </c>
      <c r="EE90" s="51">
        <f t="shared" si="407"/>
        <v>0</v>
      </c>
      <c r="EF90" s="54">
        <f t="shared" si="408"/>
        <v>0</v>
      </c>
      <c r="EG90" s="55">
        <f t="shared" si="409"/>
        <v>0</v>
      </c>
      <c r="EH90" s="56">
        <f>IF(AND($E90&lt;&gt;0,$F90&gt;0,YEAR($F90)&gt;=Preisindex!$A$6,YEAR(EC$4)&gt;=YEAR($F90),AND($K90&lt;&gt;"a",$K90&lt;&gt;"b",$K90&lt;&gt;"g",$K90&lt;&gt;"k")),1,IF(AND($E90&lt;&gt;0,$F90&gt;0,YEAR($F90)&gt;=Preisindex!$A$6,YEAR(EC$4)&gt;=YEAR($F90),$K90="a"),ROUND(VLOOKUP(EH$4,Preisindex,5,FALSE)/VLOOKUP(YEAR($F90),Preisindex,5,FALSE),2),IF(AND($E90&lt;&gt;0,$F90&gt;0,YEAR($F90)&gt;=Preisindex!$A$6,YEAR(EC$4)&gt;=YEAR($F90),$K90="b"),ROUND(VLOOKUP(EH$4,Preisindex,3,FALSE)/VLOOKUP(YEAR($F90),Preisindex,3,FALSE),2),IF(AND($E90&lt;&gt;0,$F90&gt;0,YEAR($F90)&gt;=Preisindex!$A$6,YEAR(EC$4)&gt;=YEAR($F90),$K90="g"),ROUND(VLOOKUP(EH$4,Preisindex,4,FALSE)/VLOOKUP(YEAR($F90),Preisindex,4,FALSE),2),IF(AND($E90&lt;&gt;0,$F90&gt;0,YEAR($F90)&gt;=Preisindex!$A$6,YEAR(EC$4)&gt;=YEAR($F90),$K90="k"),ROUND(VLOOKUP(EH$4,Preisindex,2,FALSE)/VLOOKUP(YEAR($F90),Preisindex,2,FALSE),2),0)))))</f>
        <v>0</v>
      </c>
      <c r="EI90" s="56">
        <f>IF(AND($E90&lt;&gt;0,$F90&gt;0,YEAR($F90)&lt;Preisindex!$A$6,YEAR(EC$4)&gt;=YEAR($F90),AND($K90&lt;&gt;"a",$K90&lt;&gt;"b",$K90&lt;&gt;"g",$K90&lt;&gt;"k")),1,IF(AND($E90&lt;&gt;0,$F90&gt;0,YEAR($F90)&lt;Preisindex!$A$6,YEAR(EC$4)&gt;=YEAR($F90),$K90="a"),ROUND(VLOOKUP(EH$4,Preisindex,5,FALSE)/VLOOKUP(Preisindex!$A$6,Preisindex,5,FALSE),2),IF(AND($E90&lt;&gt;0,$F90&gt;0,YEAR($F90)&lt;Preisindex!$A$6,YEAR(EC$4)&gt;=YEAR($F90),$K90="b"),ROUND(VLOOKUP(EH$4,Preisindex,3,FALSE)/VLOOKUP(Preisindex!$A$6,Preisindex,3,FALSE),2),IF(AND($E90&lt;&gt;0,$F90&gt;0,YEAR($F90)&lt;Preisindex!$A$6,YEAR(EC$4)&gt;=YEAR($F90),$K90="g"),ROUND(VLOOKUP(EH$4,Preisindex,4,FALSE)/VLOOKUP(Preisindex!$A$6,Preisindex,4,FALSE),2),IF(AND($E90&lt;&gt;0,$F90&gt;0,YEAR($F90)&lt;Preisindex!$A$6,YEAR(EC$4)&gt;=YEAR($F90),$K90="k"),ROUND(VLOOKUP(EH$4,Preisindex,2,FALSE)/VLOOKUP(Preisindex!$A$6,Preisindex,2,FALSE),2),0)))))</f>
        <v>0</v>
      </c>
      <c r="EJ90" s="51">
        <f>IF(AND($E90&lt;&gt;0,$F90&gt;0,YEAR($F90)&lt;=EH$4,YEAR($F90)&gt;=Preisindex!$A$6),ROUND($E90*EH90,2),IF(AND($E90&lt;&gt;0,$F90&gt;0,YEAR($F90)&lt;=EH$4,YEAR($F90)&lt;Preisindex!$A$6),ROUND($E90*EI90,2),0))</f>
        <v>0</v>
      </c>
      <c r="EK90" s="53">
        <f t="shared" si="410"/>
        <v>0</v>
      </c>
      <c r="EL90" s="51">
        <f t="shared" si="447"/>
        <v>0</v>
      </c>
      <c r="EM90" s="51">
        <f t="shared" si="478"/>
        <v>0</v>
      </c>
      <c r="EN90" s="51">
        <f t="shared" si="411"/>
        <v>0</v>
      </c>
      <c r="EO90" s="51">
        <f t="shared" si="479"/>
        <v>0</v>
      </c>
      <c r="EP90" s="51">
        <f t="shared" si="412"/>
        <v>0</v>
      </c>
      <c r="EQ90" s="51">
        <f t="shared" si="480"/>
        <v>0</v>
      </c>
      <c r="ER90" s="51">
        <f t="shared" si="413"/>
        <v>0</v>
      </c>
      <c r="ES90" s="51">
        <f t="shared" si="481"/>
        <v>0</v>
      </c>
      <c r="ET90" s="51">
        <f t="shared" si="414"/>
        <v>0</v>
      </c>
      <c r="EU90" s="51">
        <f t="shared" si="482"/>
        <v>0</v>
      </c>
      <c r="EV90" s="51">
        <f t="shared" si="415"/>
        <v>0</v>
      </c>
      <c r="EW90" s="54">
        <f t="shared" si="416"/>
        <v>0</v>
      </c>
      <c r="EX90" s="55">
        <f t="shared" si="417"/>
        <v>0</v>
      </c>
      <c r="EY90" s="56">
        <f>IF(AND($E90&lt;&gt;0,$F90&gt;0,YEAR($F90)&gt;=Preisindex!$A$6,YEAR(ET$4)&gt;=YEAR($F90),AND($K90&lt;&gt;"a",$K90&lt;&gt;"b",$K90&lt;&gt;"g",$K90&lt;&gt;"k")),1,IF(AND($E90&lt;&gt;0,$F90&gt;0,YEAR($F90)&gt;=Preisindex!$A$6,YEAR(ET$4)&gt;=YEAR($F90),$K90="a"),ROUND(VLOOKUP(EY$4,Preisindex,5,FALSE)/VLOOKUP(YEAR($F90),Preisindex,5,FALSE),2),IF(AND($E90&lt;&gt;0,$F90&gt;0,YEAR($F90)&gt;=Preisindex!$A$6,YEAR(ET$4)&gt;=YEAR($F90),$K90="b"),ROUND(VLOOKUP(EY$4,Preisindex,3,FALSE)/VLOOKUP(YEAR($F90),Preisindex,3,FALSE),2),IF(AND($E90&lt;&gt;0,$F90&gt;0,YEAR($F90)&gt;=Preisindex!$A$6,YEAR(ET$4)&gt;=YEAR($F90),$K90="g"),ROUND(VLOOKUP(EY$4,Preisindex,4,FALSE)/VLOOKUP(YEAR($F90),Preisindex,4,FALSE),2),IF(AND($E90&lt;&gt;0,$F90&gt;0,YEAR($F90)&gt;=Preisindex!$A$6,YEAR(ET$4)&gt;=YEAR($F90),$K90="k"),ROUND(VLOOKUP(EY$4,Preisindex,2,FALSE)/VLOOKUP(YEAR($F90),Preisindex,2,FALSE),2),0)))))</f>
        <v>0</v>
      </c>
      <c r="EZ90" s="56">
        <f>IF(AND($E90&lt;&gt;0,$F90&gt;0,YEAR($F90)&lt;Preisindex!$A$6,YEAR(ET$4)&gt;=YEAR($F90),AND($K90&lt;&gt;"a",$K90&lt;&gt;"b",$K90&lt;&gt;"g",$K90&lt;&gt;"k")),1,IF(AND($E90&lt;&gt;0,$F90&gt;0,YEAR($F90)&lt;Preisindex!$A$6,YEAR(ET$4)&gt;=YEAR($F90),$K90="a"),ROUND(VLOOKUP(EY$4,Preisindex,5,FALSE)/VLOOKUP(Preisindex!$A$6,Preisindex,5,FALSE),2),IF(AND($E90&lt;&gt;0,$F90&gt;0,YEAR($F90)&lt;Preisindex!$A$6,YEAR(ET$4)&gt;=YEAR($F90),$K90="b"),ROUND(VLOOKUP(EY$4,Preisindex,3,FALSE)/VLOOKUP(Preisindex!$A$6,Preisindex,3,FALSE),2),IF(AND($E90&lt;&gt;0,$F90&gt;0,YEAR($F90)&lt;Preisindex!$A$6,YEAR(ET$4)&gt;=YEAR($F90),$K90="g"),ROUND(VLOOKUP(EY$4,Preisindex,4,FALSE)/VLOOKUP(Preisindex!$A$6,Preisindex,4,FALSE),2),IF(AND($E90&lt;&gt;0,$F90&gt;0,YEAR($F90)&lt;Preisindex!$A$6,YEAR(ET$4)&gt;=YEAR($F90),$K90="k"),ROUND(VLOOKUP(EY$4,Preisindex,2,FALSE)/VLOOKUP(Preisindex!$A$6,Preisindex,2,FALSE),2),0)))))</f>
        <v>0</v>
      </c>
      <c r="FA90" s="51">
        <f>IF(AND($E90&lt;&gt;0,$F90&gt;0,YEAR($F90)&lt;=EY$4,YEAR($F90)&gt;=Preisindex!$A$6),ROUND($E90*EY90,2),IF(AND($E90&lt;&gt;0,$F90&gt;0,YEAR($F90)&lt;=EY$4,YEAR($F90)&lt;Preisindex!$A$6),ROUND($E90*EZ90,2),0))</f>
        <v>0</v>
      </c>
      <c r="FB90" s="53">
        <f t="shared" si="418"/>
        <v>0</v>
      </c>
      <c r="FC90" s="51">
        <f t="shared" si="447"/>
        <v>0</v>
      </c>
      <c r="FD90" s="51">
        <f t="shared" si="483"/>
        <v>0</v>
      </c>
      <c r="FE90" s="51">
        <f t="shared" si="419"/>
        <v>0</v>
      </c>
      <c r="FF90" s="51">
        <f t="shared" si="484"/>
        <v>0</v>
      </c>
      <c r="FG90" s="51">
        <f t="shared" si="420"/>
        <v>0</v>
      </c>
      <c r="FH90" s="51">
        <f t="shared" si="485"/>
        <v>0</v>
      </c>
      <c r="FI90" s="51">
        <f t="shared" si="421"/>
        <v>0</v>
      </c>
      <c r="FJ90" s="51">
        <f t="shared" si="486"/>
        <v>0</v>
      </c>
      <c r="FK90" s="51">
        <f t="shared" si="422"/>
        <v>0</v>
      </c>
      <c r="FL90" s="51">
        <f t="shared" si="487"/>
        <v>0</v>
      </c>
      <c r="FM90" s="51">
        <f t="shared" si="423"/>
        <v>0</v>
      </c>
      <c r="FN90" s="54">
        <f t="shared" si="424"/>
        <v>0</v>
      </c>
      <c r="FO90" s="55">
        <f t="shared" si="425"/>
        <v>0</v>
      </c>
      <c r="FP90" s="56">
        <f>IF(AND($E90&lt;&gt;0,$F90&gt;0,YEAR($F90)&gt;=Preisindex!$A$6,YEAR(FK$4)&gt;=YEAR($F90),AND($K90&lt;&gt;"a",$K90&lt;&gt;"b",$K90&lt;&gt;"g",$K90&lt;&gt;"k")),1,IF(AND($E90&lt;&gt;0,$F90&gt;0,YEAR($F90)&gt;=Preisindex!$A$6,YEAR(FK$4)&gt;=YEAR($F90),$K90="a"),ROUND(VLOOKUP(FP$4,Preisindex,5,FALSE)/VLOOKUP(YEAR($F90),Preisindex,5,FALSE),2),IF(AND($E90&lt;&gt;0,$F90&gt;0,YEAR($F90)&gt;=Preisindex!$A$6,YEAR(FK$4)&gt;=YEAR($F90),$K90="b"),ROUND(VLOOKUP(FP$4,Preisindex,3,FALSE)/VLOOKUP(YEAR($F90),Preisindex,3,FALSE),2),IF(AND($E90&lt;&gt;0,$F90&gt;0,YEAR($F90)&gt;=Preisindex!$A$6,YEAR(FK$4)&gt;=YEAR($F90),$K90="g"),ROUND(VLOOKUP(FP$4,Preisindex,4,FALSE)/VLOOKUP(YEAR($F90),Preisindex,4,FALSE),2),IF(AND($E90&lt;&gt;0,$F90&gt;0,YEAR($F90)&gt;=Preisindex!$A$6,YEAR(FK$4)&gt;=YEAR($F90),$K90="k"),ROUND(VLOOKUP(FP$4,Preisindex,2,FALSE)/VLOOKUP(YEAR($F90),Preisindex,2,FALSE),2),0)))))</f>
        <v>0</v>
      </c>
      <c r="FQ90" s="56">
        <f>IF(AND($E90&lt;&gt;0,$F90&gt;0,YEAR($F90)&lt;Preisindex!$A$6,YEAR(FK$4)&gt;=YEAR($F90),AND($K90&lt;&gt;"a",$K90&lt;&gt;"b",$K90&lt;&gt;"g",$K90&lt;&gt;"k")),1,IF(AND($E90&lt;&gt;0,$F90&gt;0,YEAR($F90)&lt;Preisindex!$A$6,YEAR(FK$4)&gt;=YEAR($F90),$K90="a"),ROUND(VLOOKUP(FP$4,Preisindex,5,FALSE)/VLOOKUP(Preisindex!$A$6,Preisindex,5,FALSE),2),IF(AND($E90&lt;&gt;0,$F90&gt;0,YEAR($F90)&lt;Preisindex!$A$6,YEAR(FK$4)&gt;=YEAR($F90),$K90="b"),ROUND(VLOOKUP(FP$4,Preisindex,3,FALSE)/VLOOKUP(Preisindex!$A$6,Preisindex,3,FALSE),2),IF(AND($E90&lt;&gt;0,$F90&gt;0,YEAR($F90)&lt;Preisindex!$A$6,YEAR(FK$4)&gt;=YEAR($F90),$K90="g"),ROUND(VLOOKUP(FP$4,Preisindex,4,FALSE)/VLOOKUP(Preisindex!$A$6,Preisindex,4,FALSE),2),IF(AND($E90&lt;&gt;0,$F90&gt;0,YEAR($F90)&lt;Preisindex!$A$6,YEAR(FK$4)&gt;=YEAR($F90),$K90="k"),ROUND(VLOOKUP(FP$4,Preisindex,2,FALSE)/VLOOKUP(Preisindex!$A$6,Preisindex,2,FALSE),2),0)))))</f>
        <v>0</v>
      </c>
      <c r="FR90" s="51">
        <f>IF(AND($E90&lt;&gt;0,$F90&gt;0,YEAR($F90)&lt;=FP$4,YEAR($F90)&gt;=Preisindex!$A$6),ROUND($E90*FP90,2),IF(AND($E90&lt;&gt;0,$F90&gt;0,YEAR($F90)&lt;=FP$4,YEAR($F90)&lt;Preisindex!$A$6),ROUND($E90*FQ90,2),0))</f>
        <v>0</v>
      </c>
      <c r="FS90" s="53">
        <f t="shared" si="426"/>
        <v>0</v>
      </c>
    </row>
    <row r="91" spans="1:175" x14ac:dyDescent="0.3">
      <c r="A91" s="93"/>
      <c r="B91" s="94"/>
      <c r="C91" s="94"/>
      <c r="D91" s="95"/>
      <c r="E91" s="99"/>
      <c r="F91" s="97"/>
      <c r="G91" s="100"/>
      <c r="H91" s="620"/>
      <c r="I91" s="621"/>
      <c r="J91" s="194"/>
      <c r="K91" s="630"/>
      <c r="L91" s="49">
        <f t="shared" si="427"/>
        <v>0</v>
      </c>
      <c r="M91" s="50">
        <f t="shared" si="428"/>
        <v>0</v>
      </c>
      <c r="N91" s="51">
        <f t="shared" si="429"/>
        <v>0</v>
      </c>
      <c r="O91" s="51"/>
      <c r="P91" s="51">
        <f t="shared" si="430"/>
        <v>0</v>
      </c>
      <c r="Q91" s="52"/>
      <c r="R91" s="52"/>
      <c r="S91" s="52"/>
      <c r="T91" s="52"/>
      <c r="U91" s="52"/>
      <c r="V91" s="53">
        <f t="shared" si="431"/>
        <v>0</v>
      </c>
      <c r="W91" s="51">
        <f t="shared" si="432"/>
        <v>0</v>
      </c>
      <c r="X91" s="51">
        <f t="shared" si="433"/>
        <v>0</v>
      </c>
      <c r="Y91" s="51">
        <f t="shared" si="434"/>
        <v>0</v>
      </c>
      <c r="Z91" s="51">
        <f t="shared" si="435"/>
        <v>0</v>
      </c>
      <c r="AA91" s="51">
        <f t="shared" si="436"/>
        <v>0</v>
      </c>
      <c r="AB91" s="51">
        <f t="shared" si="437"/>
        <v>0</v>
      </c>
      <c r="AC91" s="51">
        <f t="shared" si="438"/>
        <v>0</v>
      </c>
      <c r="AD91" s="51">
        <f t="shared" si="439"/>
        <v>0</v>
      </c>
      <c r="AE91" s="51">
        <f t="shared" si="440"/>
        <v>0</v>
      </c>
      <c r="AF91" s="51">
        <f t="shared" si="441"/>
        <v>0</v>
      </c>
      <c r="AG91" s="51">
        <f t="shared" si="442"/>
        <v>0</v>
      </c>
      <c r="AH91" s="54">
        <f t="shared" si="443"/>
        <v>0</v>
      </c>
      <c r="AI91" s="55">
        <f t="shared" si="444"/>
        <v>0</v>
      </c>
      <c r="AJ91" s="56">
        <f>IF(AND($E91&lt;&gt;0,$F91&gt;0,YEAR($F91)&gt;=Preisindex!$A$6,YEAR(AE$4)&gt;=YEAR($F91),AND($K91&lt;&gt;"a",$K91&lt;&gt;"b",$K91&lt;&gt;"g",$K91&lt;&gt;"k")),1,IF(AND($E91&lt;&gt;0,$F91&gt;0,YEAR($F91)&gt;=Preisindex!$A$6,YEAR(AE$4)&gt;=YEAR($F91),$K91="a"),ROUND(VLOOKUP(AJ$4,Preisindex,5,FALSE)/VLOOKUP(YEAR($F91),Preisindex,5,FALSE),2),IF(AND($E91&lt;&gt;0,$F91&gt;0,YEAR($F91)&gt;=Preisindex!$A$6,YEAR(AE$4)&gt;=YEAR($F91),$K91="b"),ROUND(VLOOKUP(AJ$4,Preisindex,3,FALSE)/VLOOKUP(YEAR($F91),Preisindex,3,FALSE),2),IF(AND($E91&lt;&gt;0,$F91&gt;0,YEAR($F91)&gt;=Preisindex!$A$6,YEAR(AE$4)&gt;=YEAR($F91),$K91="g"),ROUND(VLOOKUP(AJ$4,Preisindex,4,FALSE)/VLOOKUP(YEAR($F91),Preisindex,4,FALSE),2),IF(AND($E91&lt;&gt;0,$F91&gt;0,YEAR($F91)&gt;=Preisindex!$A$6,YEAR(AE$4)&gt;=YEAR($F91),$K91="k"),ROUND(VLOOKUP(AJ$4,Preisindex,2,FALSE)/VLOOKUP(YEAR($F91),Preisindex,2,FALSE),2),0)))))</f>
        <v>0</v>
      </c>
      <c r="AK91" s="56">
        <f>IF(AND($E91&lt;&gt;0,$F91&gt;0,YEAR($F91)&lt;Preisindex!$A$6,YEAR(AE$4)&gt;=YEAR($F91),AND($K91&lt;&gt;"a",$K91&lt;&gt;"b",$K91&lt;&gt;"g",$K91&lt;&gt;"k")),1,IF(AND($E91&lt;&gt;0,$F91&gt;0,YEAR($F91)&lt;Preisindex!$A$6,YEAR(AE$4)&gt;=YEAR($F91),$K91="a"),ROUND(VLOOKUP(AJ$4,Preisindex,5,FALSE)/VLOOKUP(Preisindex!$A$6,Preisindex,5,FALSE),2),IF(AND($E91&lt;&gt;0,$F91&gt;0,YEAR($F91)&lt;Preisindex!$A$6,YEAR(AE$4)&gt;=YEAR($F91),$K91="b"),ROUND(VLOOKUP(AJ$4,Preisindex,3,FALSE)/VLOOKUP(Preisindex!$A$6,Preisindex,3,FALSE),2),IF(AND($E91&lt;&gt;0,$F91&gt;0,YEAR($F91)&lt;Preisindex!$A$6,YEAR(AE$4)&gt;=YEAR($F91),$K91="g"),ROUND(VLOOKUP(AJ$4,Preisindex,4,FALSE)/VLOOKUP(Preisindex!$A$6,Preisindex,4,FALSE),2),IF(AND($E91&lt;&gt;0,$F91&gt;0,YEAR($F91)&lt;Preisindex!$A$6,YEAR(AE$4)&gt;=YEAR($F91),$K91="k"),ROUND(VLOOKUP(AJ$4,Preisindex,2,FALSE)/VLOOKUP(Preisindex!$A$6,Preisindex,2,FALSE),2),0)))))</f>
        <v>0</v>
      </c>
      <c r="AL91" s="51">
        <f>IF(AND($E91&lt;&gt;0,$F91&gt;0,YEAR($F91)&lt;=AJ$4,YEAR($F91)&gt;=Preisindex!$A$6),ROUND($E91*AJ91,2),IF(AND($E91&lt;&gt;0,$F91&gt;0,YEAR($F91)&lt;=AJ$4,YEAR($F91)&lt;Preisindex!$A$6),ROUND($E91*AK91,2),0))</f>
        <v>0</v>
      </c>
      <c r="AM91" s="53">
        <f t="shared" si="445"/>
        <v>0</v>
      </c>
      <c r="AN91" s="51">
        <f t="shared" si="446"/>
        <v>0</v>
      </c>
      <c r="AO91" s="51">
        <f t="shared" si="448"/>
        <v>0</v>
      </c>
      <c r="AP91" s="51">
        <f t="shared" si="362"/>
        <v>0</v>
      </c>
      <c r="AQ91" s="51">
        <f t="shared" si="449"/>
        <v>0</v>
      </c>
      <c r="AR91" s="51">
        <f t="shared" si="363"/>
        <v>0</v>
      </c>
      <c r="AS91" s="51">
        <f t="shared" si="450"/>
        <v>0</v>
      </c>
      <c r="AT91" s="51">
        <f t="shared" si="364"/>
        <v>0</v>
      </c>
      <c r="AU91" s="51">
        <f t="shared" si="451"/>
        <v>0</v>
      </c>
      <c r="AV91" s="51">
        <f t="shared" si="365"/>
        <v>0</v>
      </c>
      <c r="AW91" s="51">
        <f t="shared" si="452"/>
        <v>0</v>
      </c>
      <c r="AX91" s="51">
        <f t="shared" si="366"/>
        <v>0</v>
      </c>
      <c r="AY91" s="54">
        <f t="shared" si="367"/>
        <v>0</v>
      </c>
      <c r="AZ91" s="55">
        <f t="shared" si="368"/>
        <v>0</v>
      </c>
      <c r="BA91" s="56">
        <f>IF(AND($E91&lt;&gt;0,$F91&gt;0,YEAR($F91)&gt;=Preisindex!$A$6,YEAR(AV$4)&gt;=YEAR($F91),AND($K91&lt;&gt;"a",$K91&lt;&gt;"b",$K91&lt;&gt;"g",$K91&lt;&gt;"k")),1,IF(AND($E91&lt;&gt;0,$F91&gt;0,YEAR($F91)&gt;=Preisindex!$A$6,YEAR(AV$4)&gt;=YEAR($F91),$K91="a"),ROUND(VLOOKUP(BA$4,Preisindex,5,FALSE)/VLOOKUP(YEAR($F91),Preisindex,5,FALSE),2),IF(AND($E91&lt;&gt;0,$F91&gt;0,YEAR($F91)&gt;=Preisindex!$A$6,YEAR(AV$4)&gt;=YEAR($F91),$K91="b"),ROUND(VLOOKUP(BA$4,Preisindex,3,FALSE)/VLOOKUP(YEAR($F91),Preisindex,3,FALSE),2),IF(AND($E91&lt;&gt;0,$F91&gt;0,YEAR($F91)&gt;=Preisindex!$A$6,YEAR(AV$4)&gt;=YEAR($F91),$K91="g"),ROUND(VLOOKUP(BA$4,Preisindex,4,FALSE)/VLOOKUP(YEAR($F91),Preisindex,4,FALSE),2),IF(AND($E91&lt;&gt;0,$F91&gt;0,YEAR($F91)&gt;=Preisindex!$A$6,YEAR(AV$4)&gt;=YEAR($F91),$K91="k"),ROUND(VLOOKUP(BA$4,Preisindex,2,FALSE)/VLOOKUP(YEAR($F91),Preisindex,2,FALSE),2),0)))))</f>
        <v>0</v>
      </c>
      <c r="BB91" s="56">
        <f>IF(AND($E91&lt;&gt;0,$F91&gt;0,YEAR($F91)&lt;Preisindex!$A$6,YEAR(AV$4)&gt;=YEAR($F91),AND($K91&lt;&gt;"a",$K91&lt;&gt;"b",$K91&lt;&gt;"g",$K91&lt;&gt;"k")),1,IF(AND($E91&lt;&gt;0,$F91&gt;0,YEAR($F91)&lt;Preisindex!$A$6,YEAR(AV$4)&gt;=YEAR($F91),$K91="a"),ROUND(VLOOKUP(BA$4,Preisindex,5,FALSE)/VLOOKUP(Preisindex!$A$6,Preisindex,5,FALSE),2),IF(AND($E91&lt;&gt;0,$F91&gt;0,YEAR($F91)&lt;Preisindex!$A$6,YEAR(AV$4)&gt;=YEAR($F91),$K91="b"),ROUND(VLOOKUP(BA$4,Preisindex,3,FALSE)/VLOOKUP(Preisindex!$A$6,Preisindex,3,FALSE),2),IF(AND($E91&lt;&gt;0,$F91&gt;0,YEAR($F91)&lt;Preisindex!$A$6,YEAR(AV$4)&gt;=YEAR($F91),$K91="g"),ROUND(VLOOKUP(BA$4,Preisindex,4,FALSE)/VLOOKUP(Preisindex!$A$6,Preisindex,4,FALSE),2),IF(AND($E91&lt;&gt;0,$F91&gt;0,YEAR($F91)&lt;Preisindex!$A$6,YEAR(AV$4)&gt;=YEAR($F91),$K91="k"),ROUND(VLOOKUP(BA$4,Preisindex,2,FALSE)/VLOOKUP(Preisindex!$A$6,Preisindex,2,FALSE),2),0)))))</f>
        <v>0</v>
      </c>
      <c r="BC91" s="51">
        <f>IF(AND($E91&lt;&gt;0,$F91&gt;0,YEAR($F91)&lt;=BA$4,YEAR($F91)&gt;=Preisindex!$A$6),ROUND($E91*BA91,2),IF(AND($E91&lt;&gt;0,$F91&gt;0,YEAR($F91)&lt;=BA$4,YEAR($F91)&lt;Preisindex!$A$6),ROUND($E91*BB91,2),0))</f>
        <v>0</v>
      </c>
      <c r="BD91" s="53">
        <f t="shared" si="369"/>
        <v>0</v>
      </c>
      <c r="BE91" s="51">
        <f t="shared" si="446"/>
        <v>0</v>
      </c>
      <c r="BF91" s="51">
        <f t="shared" si="453"/>
        <v>0</v>
      </c>
      <c r="BG91" s="51">
        <f t="shared" si="370"/>
        <v>0</v>
      </c>
      <c r="BH91" s="51">
        <f t="shared" si="454"/>
        <v>0</v>
      </c>
      <c r="BI91" s="51">
        <f t="shared" si="371"/>
        <v>0</v>
      </c>
      <c r="BJ91" s="51">
        <f t="shared" si="455"/>
        <v>0</v>
      </c>
      <c r="BK91" s="51">
        <f t="shared" si="372"/>
        <v>0</v>
      </c>
      <c r="BL91" s="51">
        <f t="shared" si="456"/>
        <v>0</v>
      </c>
      <c r="BM91" s="51">
        <f t="shared" si="373"/>
        <v>0</v>
      </c>
      <c r="BN91" s="51">
        <f t="shared" si="457"/>
        <v>0</v>
      </c>
      <c r="BO91" s="51">
        <f t="shared" si="374"/>
        <v>0</v>
      </c>
      <c r="BP91" s="54">
        <f t="shared" si="375"/>
        <v>0</v>
      </c>
      <c r="BQ91" s="55">
        <f t="shared" si="376"/>
        <v>0</v>
      </c>
      <c r="BR91" s="56">
        <f>IF(AND($E91&lt;&gt;0,$F91&gt;0,YEAR($F91)&gt;=Preisindex!$A$6,YEAR(BM$4)&gt;=YEAR($F91),AND($K91&lt;&gt;"a",$K91&lt;&gt;"b",$K91&lt;&gt;"g",$K91&lt;&gt;"k")),1,IF(AND($E91&lt;&gt;0,$F91&gt;0,YEAR($F91)&gt;=Preisindex!$A$6,YEAR(BM$4)&gt;=YEAR($F91),$K91="a"),ROUND(VLOOKUP(BR$4,Preisindex,5,FALSE)/VLOOKUP(YEAR($F91),Preisindex,5,FALSE),2),IF(AND($E91&lt;&gt;0,$F91&gt;0,YEAR($F91)&gt;=Preisindex!$A$6,YEAR(BM$4)&gt;=YEAR($F91),$K91="b"),ROUND(VLOOKUP(BR$4,Preisindex,3,FALSE)/VLOOKUP(YEAR($F91),Preisindex,3,FALSE),2),IF(AND($E91&lt;&gt;0,$F91&gt;0,YEAR($F91)&gt;=Preisindex!$A$6,YEAR(BM$4)&gt;=YEAR($F91),$K91="g"),ROUND(VLOOKUP(BR$4,Preisindex,4,FALSE)/VLOOKUP(YEAR($F91),Preisindex,4,FALSE),2),IF(AND($E91&lt;&gt;0,$F91&gt;0,YEAR($F91)&gt;=Preisindex!$A$6,YEAR(BM$4)&gt;=YEAR($F91),$K91="k"),ROUND(VLOOKUP(BR$4,Preisindex,2,FALSE)/VLOOKUP(YEAR($F91),Preisindex,2,FALSE),2),0)))))</f>
        <v>0</v>
      </c>
      <c r="BS91" s="56">
        <f>IF(AND($E91&lt;&gt;0,$F91&gt;0,YEAR($F91)&lt;Preisindex!$A$6,YEAR(BM$4)&gt;=YEAR($F91),AND($K91&lt;&gt;"a",$K91&lt;&gt;"b",$K91&lt;&gt;"g",$K91&lt;&gt;"k")),1,IF(AND($E91&lt;&gt;0,$F91&gt;0,YEAR($F91)&lt;Preisindex!$A$6,YEAR(BM$4)&gt;=YEAR($F91),$K91="a"),ROUND(VLOOKUP(BR$4,Preisindex,5,FALSE)/VLOOKUP(Preisindex!$A$6,Preisindex,5,FALSE),2),IF(AND($E91&lt;&gt;0,$F91&gt;0,YEAR($F91)&lt;Preisindex!$A$6,YEAR(BM$4)&gt;=YEAR($F91),$K91="b"),ROUND(VLOOKUP(BR$4,Preisindex,3,FALSE)/VLOOKUP(Preisindex!$A$6,Preisindex,3,FALSE),2),IF(AND($E91&lt;&gt;0,$F91&gt;0,YEAR($F91)&lt;Preisindex!$A$6,YEAR(BM$4)&gt;=YEAR($F91),$K91="g"),ROUND(VLOOKUP(BR$4,Preisindex,4,FALSE)/VLOOKUP(Preisindex!$A$6,Preisindex,4,FALSE),2),IF(AND($E91&lt;&gt;0,$F91&gt;0,YEAR($F91)&lt;Preisindex!$A$6,YEAR(BM$4)&gt;=YEAR($F91),$K91="k"),ROUND(VLOOKUP(BR$4,Preisindex,2,FALSE)/VLOOKUP(Preisindex!$A$6,Preisindex,2,FALSE),2),0)))))</f>
        <v>0</v>
      </c>
      <c r="BT91" s="51">
        <f>IF(AND($E91&lt;&gt;0,$F91&gt;0,YEAR($F91)&lt;=BR$4,YEAR($F91)&gt;=Preisindex!$A$6),ROUND($E91*BR91,2),IF(AND($E91&lt;&gt;0,$F91&gt;0,YEAR($F91)&lt;=BR$4,YEAR($F91)&lt;Preisindex!$A$6),ROUND($E91*BS91,2),0))</f>
        <v>0</v>
      </c>
      <c r="BU91" s="53">
        <f t="shared" si="377"/>
        <v>0</v>
      </c>
      <c r="BV91" s="51">
        <f t="shared" si="446"/>
        <v>0</v>
      </c>
      <c r="BW91" s="51">
        <f t="shared" si="458"/>
        <v>0</v>
      </c>
      <c r="BX91" s="51">
        <f t="shared" si="378"/>
        <v>0</v>
      </c>
      <c r="BY91" s="51">
        <f t="shared" si="459"/>
        <v>0</v>
      </c>
      <c r="BZ91" s="51">
        <f t="shared" si="379"/>
        <v>0</v>
      </c>
      <c r="CA91" s="51">
        <f t="shared" si="460"/>
        <v>0</v>
      </c>
      <c r="CB91" s="51">
        <f t="shared" si="380"/>
        <v>0</v>
      </c>
      <c r="CC91" s="51">
        <f t="shared" si="461"/>
        <v>0</v>
      </c>
      <c r="CD91" s="51">
        <f t="shared" si="381"/>
        <v>0</v>
      </c>
      <c r="CE91" s="51">
        <f t="shared" si="462"/>
        <v>0</v>
      </c>
      <c r="CF91" s="51">
        <f t="shared" si="382"/>
        <v>0</v>
      </c>
      <c r="CG91" s="54">
        <f t="shared" si="383"/>
        <v>0</v>
      </c>
      <c r="CH91" s="55">
        <f t="shared" si="384"/>
        <v>0</v>
      </c>
      <c r="CI91" s="56">
        <f>IF(AND($E91&lt;&gt;0,$F91&gt;0,YEAR($F91)&gt;=Preisindex!$A$6,YEAR(CD$4)&gt;=YEAR($F91),AND($K91&lt;&gt;"a",$K91&lt;&gt;"b",$K91&lt;&gt;"g",$K91&lt;&gt;"k")),1,IF(AND($E91&lt;&gt;0,$F91&gt;0,YEAR($F91)&gt;=Preisindex!$A$6,YEAR(CD$4)&gt;=YEAR($F91),$K91="a"),ROUND(VLOOKUP(CI$4,Preisindex,5,FALSE)/VLOOKUP(YEAR($F91),Preisindex,5,FALSE),2),IF(AND($E91&lt;&gt;0,$F91&gt;0,YEAR($F91)&gt;=Preisindex!$A$6,YEAR(CD$4)&gt;=YEAR($F91),$K91="b"),ROUND(VLOOKUP(CI$4,Preisindex,3,FALSE)/VLOOKUP(YEAR($F91),Preisindex,3,FALSE),2),IF(AND($E91&lt;&gt;0,$F91&gt;0,YEAR($F91)&gt;=Preisindex!$A$6,YEAR(CD$4)&gt;=YEAR($F91),$K91="g"),ROUND(VLOOKUP(CI$4,Preisindex,4,FALSE)/VLOOKUP(YEAR($F91),Preisindex,4,FALSE),2),IF(AND($E91&lt;&gt;0,$F91&gt;0,YEAR($F91)&gt;=Preisindex!$A$6,YEAR(CD$4)&gt;=YEAR($F91),$K91="k"),ROUND(VLOOKUP(CI$4,Preisindex,2,FALSE)/VLOOKUP(YEAR($F91),Preisindex,2,FALSE),2),0)))))</f>
        <v>0</v>
      </c>
      <c r="CJ91" s="56">
        <f>IF(AND($E91&lt;&gt;0,$F91&gt;0,YEAR($F91)&lt;Preisindex!$A$6,YEAR(CD$4)&gt;=YEAR($F91),AND($K91&lt;&gt;"a",$K91&lt;&gt;"b",$K91&lt;&gt;"g",$K91&lt;&gt;"k")),1,IF(AND($E91&lt;&gt;0,$F91&gt;0,YEAR($F91)&lt;Preisindex!$A$6,YEAR(CD$4)&gt;=YEAR($F91),$K91="a"),ROUND(VLOOKUP(CI$4,Preisindex,5,FALSE)/VLOOKUP(Preisindex!$A$6,Preisindex,5,FALSE),2),IF(AND($E91&lt;&gt;0,$F91&gt;0,YEAR($F91)&lt;Preisindex!$A$6,YEAR(CD$4)&gt;=YEAR($F91),$K91="b"),ROUND(VLOOKUP(CI$4,Preisindex,3,FALSE)/VLOOKUP(Preisindex!$A$6,Preisindex,3,FALSE),2),IF(AND($E91&lt;&gt;0,$F91&gt;0,YEAR($F91)&lt;Preisindex!$A$6,YEAR(CD$4)&gt;=YEAR($F91),$K91="g"),ROUND(VLOOKUP(CI$4,Preisindex,4,FALSE)/VLOOKUP(Preisindex!$A$6,Preisindex,4,FALSE),2),IF(AND($E91&lt;&gt;0,$F91&gt;0,YEAR($F91)&lt;Preisindex!$A$6,YEAR(CD$4)&gt;=YEAR($F91),$K91="k"),ROUND(VLOOKUP(CI$4,Preisindex,2,FALSE)/VLOOKUP(Preisindex!$A$6,Preisindex,2,FALSE),2),0)))))</f>
        <v>0</v>
      </c>
      <c r="CK91" s="51">
        <f>IF(AND($E91&lt;&gt;0,$F91&gt;0,YEAR($F91)&lt;=CI$4,YEAR($F91)&gt;=Preisindex!$A$6),ROUND($E91*CI91,2),IF(AND($E91&lt;&gt;0,$F91&gt;0,YEAR($F91)&lt;=CI$4,YEAR($F91)&lt;Preisindex!$A$6),ROUND($E91*CJ91,2),0))</f>
        <v>0</v>
      </c>
      <c r="CL91" s="53">
        <f t="shared" si="385"/>
        <v>0</v>
      </c>
      <c r="CM91" s="51">
        <f t="shared" si="446"/>
        <v>0</v>
      </c>
      <c r="CN91" s="51">
        <f t="shared" si="463"/>
        <v>0</v>
      </c>
      <c r="CO91" s="51">
        <f t="shared" si="386"/>
        <v>0</v>
      </c>
      <c r="CP91" s="51">
        <f t="shared" si="464"/>
        <v>0</v>
      </c>
      <c r="CQ91" s="51">
        <f t="shared" si="387"/>
        <v>0</v>
      </c>
      <c r="CR91" s="51">
        <f t="shared" si="465"/>
        <v>0</v>
      </c>
      <c r="CS91" s="51">
        <f t="shared" si="388"/>
        <v>0</v>
      </c>
      <c r="CT91" s="51">
        <f t="shared" si="466"/>
        <v>0</v>
      </c>
      <c r="CU91" s="51">
        <f t="shared" si="389"/>
        <v>0</v>
      </c>
      <c r="CV91" s="51">
        <f t="shared" si="467"/>
        <v>0</v>
      </c>
      <c r="CW91" s="51">
        <f t="shared" si="390"/>
        <v>0</v>
      </c>
      <c r="CX91" s="54">
        <f t="shared" si="391"/>
        <v>0</v>
      </c>
      <c r="CY91" s="55">
        <f t="shared" si="392"/>
        <v>0</v>
      </c>
      <c r="CZ91" s="56">
        <f>IF(AND($E91&lt;&gt;0,$F91&gt;0,YEAR($F91)&gt;=Preisindex!$A$6,YEAR(CU$4)&gt;=YEAR($F91),AND($K91&lt;&gt;"a",$K91&lt;&gt;"b",$K91&lt;&gt;"g",$K91&lt;&gt;"k")),1,IF(AND($E91&lt;&gt;0,$F91&gt;0,YEAR($F91)&gt;=Preisindex!$A$6,YEAR(CU$4)&gt;=YEAR($F91),$K91="a"),ROUND(VLOOKUP(CZ$4,Preisindex,5,FALSE)/VLOOKUP(YEAR($F91),Preisindex,5,FALSE),2),IF(AND($E91&lt;&gt;0,$F91&gt;0,YEAR($F91)&gt;=Preisindex!$A$6,YEAR(CU$4)&gt;=YEAR($F91),$K91="b"),ROUND(VLOOKUP(CZ$4,Preisindex,3,FALSE)/VLOOKUP(YEAR($F91),Preisindex,3,FALSE),2),IF(AND($E91&lt;&gt;0,$F91&gt;0,YEAR($F91)&gt;=Preisindex!$A$6,YEAR(CU$4)&gt;=YEAR($F91),$K91="g"),ROUND(VLOOKUP(CZ$4,Preisindex,4,FALSE)/VLOOKUP(YEAR($F91),Preisindex,4,FALSE),2),IF(AND($E91&lt;&gt;0,$F91&gt;0,YEAR($F91)&gt;=Preisindex!$A$6,YEAR(CU$4)&gt;=YEAR($F91),$K91="k"),ROUND(VLOOKUP(CZ$4,Preisindex,2,FALSE)/VLOOKUP(YEAR($F91),Preisindex,2,FALSE),2),0)))))</f>
        <v>0</v>
      </c>
      <c r="DA91" s="56">
        <f>IF(AND($E91&lt;&gt;0,$F91&gt;0,YEAR($F91)&lt;Preisindex!$A$6,YEAR(CU$4)&gt;=YEAR($F91),AND($K91&lt;&gt;"a",$K91&lt;&gt;"b",$K91&lt;&gt;"g",$K91&lt;&gt;"k")),1,IF(AND($E91&lt;&gt;0,$F91&gt;0,YEAR($F91)&lt;Preisindex!$A$6,YEAR(CU$4)&gt;=YEAR($F91),$K91="a"),ROUND(VLOOKUP(CZ$4,Preisindex,5,FALSE)/VLOOKUP(Preisindex!$A$6,Preisindex,5,FALSE),2),IF(AND($E91&lt;&gt;0,$F91&gt;0,YEAR($F91)&lt;Preisindex!$A$6,YEAR(CU$4)&gt;=YEAR($F91),$K91="b"),ROUND(VLOOKUP(CZ$4,Preisindex,3,FALSE)/VLOOKUP(Preisindex!$A$6,Preisindex,3,FALSE),2),IF(AND($E91&lt;&gt;0,$F91&gt;0,YEAR($F91)&lt;Preisindex!$A$6,YEAR(CU$4)&gt;=YEAR($F91),$K91="g"),ROUND(VLOOKUP(CZ$4,Preisindex,4,FALSE)/VLOOKUP(Preisindex!$A$6,Preisindex,4,FALSE),2),IF(AND($E91&lt;&gt;0,$F91&gt;0,YEAR($F91)&lt;Preisindex!$A$6,YEAR(CU$4)&gt;=YEAR($F91),$K91="k"),ROUND(VLOOKUP(CZ$4,Preisindex,2,FALSE)/VLOOKUP(Preisindex!$A$6,Preisindex,2,FALSE),2),0)))))</f>
        <v>0</v>
      </c>
      <c r="DB91" s="51">
        <f>IF(AND($E91&lt;&gt;0,$F91&gt;0,YEAR($F91)&lt;=CZ$4,YEAR($F91)&gt;=Preisindex!$A$6),ROUND($E91*CZ91,2),IF(AND($E91&lt;&gt;0,$F91&gt;0,YEAR($F91)&lt;=CZ$4,YEAR($F91)&lt;Preisindex!$A$6),ROUND($E91*DA91,2),0))</f>
        <v>0</v>
      </c>
      <c r="DC91" s="53">
        <f t="shared" si="393"/>
        <v>0</v>
      </c>
      <c r="DD91" s="51">
        <f t="shared" si="447"/>
        <v>0</v>
      </c>
      <c r="DE91" s="51">
        <f t="shared" si="468"/>
        <v>0</v>
      </c>
      <c r="DF91" s="51">
        <f t="shared" si="395"/>
        <v>0</v>
      </c>
      <c r="DG91" s="51">
        <f t="shared" si="469"/>
        <v>0</v>
      </c>
      <c r="DH91" s="51">
        <f t="shared" si="396"/>
        <v>0</v>
      </c>
      <c r="DI91" s="51">
        <f t="shared" si="470"/>
        <v>0</v>
      </c>
      <c r="DJ91" s="51">
        <f t="shared" si="397"/>
        <v>0</v>
      </c>
      <c r="DK91" s="51">
        <f t="shared" si="471"/>
        <v>0</v>
      </c>
      <c r="DL91" s="51">
        <f t="shared" si="398"/>
        <v>0</v>
      </c>
      <c r="DM91" s="51">
        <f t="shared" si="472"/>
        <v>0</v>
      </c>
      <c r="DN91" s="51">
        <f t="shared" si="399"/>
        <v>0</v>
      </c>
      <c r="DO91" s="54">
        <f t="shared" si="400"/>
        <v>0</v>
      </c>
      <c r="DP91" s="55">
        <f t="shared" si="401"/>
        <v>0</v>
      </c>
      <c r="DQ91" s="56">
        <f>IF(AND($E91&lt;&gt;0,$F91&gt;0,YEAR($F91)&gt;=Preisindex!$A$6,YEAR(DL$4)&gt;=YEAR($F91),AND($K91&lt;&gt;"a",$K91&lt;&gt;"b",$K91&lt;&gt;"g",$K91&lt;&gt;"k")),1,IF(AND($E91&lt;&gt;0,$F91&gt;0,YEAR($F91)&gt;=Preisindex!$A$6,YEAR(DL$4)&gt;=YEAR($F91),$K91="a"),ROUND(VLOOKUP(DQ$4,Preisindex,5,FALSE)/VLOOKUP(YEAR($F91),Preisindex,5,FALSE),2),IF(AND($E91&lt;&gt;0,$F91&gt;0,YEAR($F91)&gt;=Preisindex!$A$6,YEAR(DL$4)&gt;=YEAR($F91),$K91="b"),ROUND(VLOOKUP(DQ$4,Preisindex,3,FALSE)/VLOOKUP(YEAR($F91),Preisindex,3,FALSE),2),IF(AND($E91&lt;&gt;0,$F91&gt;0,YEAR($F91)&gt;=Preisindex!$A$6,YEAR(DL$4)&gt;=YEAR($F91),$K91="g"),ROUND(VLOOKUP(DQ$4,Preisindex,4,FALSE)/VLOOKUP(YEAR($F91),Preisindex,4,FALSE),2),IF(AND($E91&lt;&gt;0,$F91&gt;0,YEAR($F91)&gt;=Preisindex!$A$6,YEAR(DL$4)&gt;=YEAR($F91),$K91="k"),ROUND(VLOOKUP(DQ$4,Preisindex,2,FALSE)/VLOOKUP(YEAR($F91),Preisindex,2,FALSE),2),0)))))</f>
        <v>0</v>
      </c>
      <c r="DR91" s="56">
        <f>IF(AND($E91&lt;&gt;0,$F91&gt;0,YEAR($F91)&lt;Preisindex!$A$6,YEAR(DL$4)&gt;=YEAR($F91),AND($K91&lt;&gt;"a",$K91&lt;&gt;"b",$K91&lt;&gt;"g",$K91&lt;&gt;"k")),1,IF(AND($E91&lt;&gt;0,$F91&gt;0,YEAR($F91)&lt;Preisindex!$A$6,YEAR(DL$4)&gt;=YEAR($F91),$K91="a"),ROUND(VLOOKUP(DQ$4,Preisindex,5,FALSE)/VLOOKUP(Preisindex!$A$6,Preisindex,5,FALSE),2),IF(AND($E91&lt;&gt;0,$F91&gt;0,YEAR($F91)&lt;Preisindex!$A$6,YEAR(DL$4)&gt;=YEAR($F91),$K91="b"),ROUND(VLOOKUP(DQ$4,Preisindex,3,FALSE)/VLOOKUP(Preisindex!$A$6,Preisindex,3,FALSE),2),IF(AND($E91&lt;&gt;0,$F91&gt;0,YEAR($F91)&lt;Preisindex!$A$6,YEAR(DL$4)&gt;=YEAR($F91),$K91="g"),ROUND(VLOOKUP(DQ$4,Preisindex,4,FALSE)/VLOOKUP(Preisindex!$A$6,Preisindex,4,FALSE),2),IF(AND($E91&lt;&gt;0,$F91&gt;0,YEAR($F91)&lt;Preisindex!$A$6,YEAR(DL$4)&gt;=YEAR($F91),$K91="k"),ROUND(VLOOKUP(DQ$4,Preisindex,2,FALSE)/VLOOKUP(Preisindex!$A$6,Preisindex,2,FALSE),2),0)))))</f>
        <v>0</v>
      </c>
      <c r="DS91" s="51">
        <f>IF(AND($E91&lt;&gt;0,$F91&gt;0,YEAR($F91)&lt;=DQ$4,YEAR($F91)&gt;=Preisindex!$A$6),ROUND($E91*DQ91,2),IF(AND($E91&lt;&gt;0,$F91&gt;0,YEAR($F91)&lt;=DQ$4,YEAR($F91)&lt;Preisindex!$A$6),ROUND($E91*DR91,2),0))</f>
        <v>0</v>
      </c>
      <c r="DT91" s="53">
        <f t="shared" si="402"/>
        <v>0</v>
      </c>
      <c r="DU91" s="51">
        <f t="shared" si="447"/>
        <v>0</v>
      </c>
      <c r="DV91" s="51">
        <f t="shared" si="473"/>
        <v>0</v>
      </c>
      <c r="DW91" s="51">
        <f t="shared" si="403"/>
        <v>0</v>
      </c>
      <c r="DX91" s="51">
        <f t="shared" si="474"/>
        <v>0</v>
      </c>
      <c r="DY91" s="51">
        <f t="shared" si="404"/>
        <v>0</v>
      </c>
      <c r="DZ91" s="51">
        <f t="shared" si="475"/>
        <v>0</v>
      </c>
      <c r="EA91" s="51">
        <f t="shared" si="405"/>
        <v>0</v>
      </c>
      <c r="EB91" s="51">
        <f t="shared" si="476"/>
        <v>0</v>
      </c>
      <c r="EC91" s="51">
        <f t="shared" si="406"/>
        <v>0</v>
      </c>
      <c r="ED91" s="51">
        <f t="shared" si="477"/>
        <v>0</v>
      </c>
      <c r="EE91" s="51">
        <f t="shared" si="407"/>
        <v>0</v>
      </c>
      <c r="EF91" s="54">
        <f t="shared" si="408"/>
        <v>0</v>
      </c>
      <c r="EG91" s="55">
        <f t="shared" si="409"/>
        <v>0</v>
      </c>
      <c r="EH91" s="56">
        <f>IF(AND($E91&lt;&gt;0,$F91&gt;0,YEAR($F91)&gt;=Preisindex!$A$6,YEAR(EC$4)&gt;=YEAR($F91),AND($K91&lt;&gt;"a",$K91&lt;&gt;"b",$K91&lt;&gt;"g",$K91&lt;&gt;"k")),1,IF(AND($E91&lt;&gt;0,$F91&gt;0,YEAR($F91)&gt;=Preisindex!$A$6,YEAR(EC$4)&gt;=YEAR($F91),$K91="a"),ROUND(VLOOKUP(EH$4,Preisindex,5,FALSE)/VLOOKUP(YEAR($F91),Preisindex,5,FALSE),2),IF(AND($E91&lt;&gt;0,$F91&gt;0,YEAR($F91)&gt;=Preisindex!$A$6,YEAR(EC$4)&gt;=YEAR($F91),$K91="b"),ROUND(VLOOKUP(EH$4,Preisindex,3,FALSE)/VLOOKUP(YEAR($F91),Preisindex,3,FALSE),2),IF(AND($E91&lt;&gt;0,$F91&gt;0,YEAR($F91)&gt;=Preisindex!$A$6,YEAR(EC$4)&gt;=YEAR($F91),$K91="g"),ROUND(VLOOKUP(EH$4,Preisindex,4,FALSE)/VLOOKUP(YEAR($F91),Preisindex,4,FALSE),2),IF(AND($E91&lt;&gt;0,$F91&gt;0,YEAR($F91)&gt;=Preisindex!$A$6,YEAR(EC$4)&gt;=YEAR($F91),$K91="k"),ROUND(VLOOKUP(EH$4,Preisindex,2,FALSE)/VLOOKUP(YEAR($F91),Preisindex,2,FALSE),2),0)))))</f>
        <v>0</v>
      </c>
      <c r="EI91" s="56">
        <f>IF(AND($E91&lt;&gt;0,$F91&gt;0,YEAR($F91)&lt;Preisindex!$A$6,YEAR(EC$4)&gt;=YEAR($F91),AND($K91&lt;&gt;"a",$K91&lt;&gt;"b",$K91&lt;&gt;"g",$K91&lt;&gt;"k")),1,IF(AND($E91&lt;&gt;0,$F91&gt;0,YEAR($F91)&lt;Preisindex!$A$6,YEAR(EC$4)&gt;=YEAR($F91),$K91="a"),ROUND(VLOOKUP(EH$4,Preisindex,5,FALSE)/VLOOKUP(Preisindex!$A$6,Preisindex,5,FALSE),2),IF(AND($E91&lt;&gt;0,$F91&gt;0,YEAR($F91)&lt;Preisindex!$A$6,YEAR(EC$4)&gt;=YEAR($F91),$K91="b"),ROUND(VLOOKUP(EH$4,Preisindex,3,FALSE)/VLOOKUP(Preisindex!$A$6,Preisindex,3,FALSE),2),IF(AND($E91&lt;&gt;0,$F91&gt;0,YEAR($F91)&lt;Preisindex!$A$6,YEAR(EC$4)&gt;=YEAR($F91),$K91="g"),ROUND(VLOOKUP(EH$4,Preisindex,4,FALSE)/VLOOKUP(Preisindex!$A$6,Preisindex,4,FALSE),2),IF(AND($E91&lt;&gt;0,$F91&gt;0,YEAR($F91)&lt;Preisindex!$A$6,YEAR(EC$4)&gt;=YEAR($F91),$K91="k"),ROUND(VLOOKUP(EH$4,Preisindex,2,FALSE)/VLOOKUP(Preisindex!$A$6,Preisindex,2,FALSE),2),0)))))</f>
        <v>0</v>
      </c>
      <c r="EJ91" s="51">
        <f>IF(AND($E91&lt;&gt;0,$F91&gt;0,YEAR($F91)&lt;=EH$4,YEAR($F91)&gt;=Preisindex!$A$6),ROUND($E91*EH91,2),IF(AND($E91&lt;&gt;0,$F91&gt;0,YEAR($F91)&lt;=EH$4,YEAR($F91)&lt;Preisindex!$A$6),ROUND($E91*EI91,2),0))</f>
        <v>0</v>
      </c>
      <c r="EK91" s="53">
        <f t="shared" si="410"/>
        <v>0</v>
      </c>
      <c r="EL91" s="51">
        <f t="shared" si="447"/>
        <v>0</v>
      </c>
      <c r="EM91" s="51">
        <f t="shared" si="478"/>
        <v>0</v>
      </c>
      <c r="EN91" s="51">
        <f t="shared" si="411"/>
        <v>0</v>
      </c>
      <c r="EO91" s="51">
        <f t="shared" si="479"/>
        <v>0</v>
      </c>
      <c r="EP91" s="51">
        <f t="shared" si="412"/>
        <v>0</v>
      </c>
      <c r="EQ91" s="51">
        <f t="shared" si="480"/>
        <v>0</v>
      </c>
      <c r="ER91" s="51">
        <f t="shared" si="413"/>
        <v>0</v>
      </c>
      <c r="ES91" s="51">
        <f t="shared" si="481"/>
        <v>0</v>
      </c>
      <c r="ET91" s="51">
        <f t="shared" si="414"/>
        <v>0</v>
      </c>
      <c r="EU91" s="51">
        <f t="shared" si="482"/>
        <v>0</v>
      </c>
      <c r="EV91" s="51">
        <f t="shared" si="415"/>
        <v>0</v>
      </c>
      <c r="EW91" s="54">
        <f t="shared" si="416"/>
        <v>0</v>
      </c>
      <c r="EX91" s="55">
        <f t="shared" si="417"/>
        <v>0</v>
      </c>
      <c r="EY91" s="56">
        <f>IF(AND($E91&lt;&gt;0,$F91&gt;0,YEAR($F91)&gt;=Preisindex!$A$6,YEAR(ET$4)&gt;=YEAR($F91),AND($K91&lt;&gt;"a",$K91&lt;&gt;"b",$K91&lt;&gt;"g",$K91&lt;&gt;"k")),1,IF(AND($E91&lt;&gt;0,$F91&gt;0,YEAR($F91)&gt;=Preisindex!$A$6,YEAR(ET$4)&gt;=YEAR($F91),$K91="a"),ROUND(VLOOKUP(EY$4,Preisindex,5,FALSE)/VLOOKUP(YEAR($F91),Preisindex,5,FALSE),2),IF(AND($E91&lt;&gt;0,$F91&gt;0,YEAR($F91)&gt;=Preisindex!$A$6,YEAR(ET$4)&gt;=YEAR($F91),$K91="b"),ROUND(VLOOKUP(EY$4,Preisindex,3,FALSE)/VLOOKUP(YEAR($F91),Preisindex,3,FALSE),2),IF(AND($E91&lt;&gt;0,$F91&gt;0,YEAR($F91)&gt;=Preisindex!$A$6,YEAR(ET$4)&gt;=YEAR($F91),$K91="g"),ROUND(VLOOKUP(EY$4,Preisindex,4,FALSE)/VLOOKUP(YEAR($F91),Preisindex,4,FALSE),2),IF(AND($E91&lt;&gt;0,$F91&gt;0,YEAR($F91)&gt;=Preisindex!$A$6,YEAR(ET$4)&gt;=YEAR($F91),$K91="k"),ROUND(VLOOKUP(EY$4,Preisindex,2,FALSE)/VLOOKUP(YEAR($F91),Preisindex,2,FALSE),2),0)))))</f>
        <v>0</v>
      </c>
      <c r="EZ91" s="56">
        <f>IF(AND($E91&lt;&gt;0,$F91&gt;0,YEAR($F91)&lt;Preisindex!$A$6,YEAR(ET$4)&gt;=YEAR($F91),AND($K91&lt;&gt;"a",$K91&lt;&gt;"b",$K91&lt;&gt;"g",$K91&lt;&gt;"k")),1,IF(AND($E91&lt;&gt;0,$F91&gt;0,YEAR($F91)&lt;Preisindex!$A$6,YEAR(ET$4)&gt;=YEAR($F91),$K91="a"),ROUND(VLOOKUP(EY$4,Preisindex,5,FALSE)/VLOOKUP(Preisindex!$A$6,Preisindex,5,FALSE),2),IF(AND($E91&lt;&gt;0,$F91&gt;0,YEAR($F91)&lt;Preisindex!$A$6,YEAR(ET$4)&gt;=YEAR($F91),$K91="b"),ROUND(VLOOKUP(EY$4,Preisindex,3,FALSE)/VLOOKUP(Preisindex!$A$6,Preisindex,3,FALSE),2),IF(AND($E91&lt;&gt;0,$F91&gt;0,YEAR($F91)&lt;Preisindex!$A$6,YEAR(ET$4)&gt;=YEAR($F91),$K91="g"),ROUND(VLOOKUP(EY$4,Preisindex,4,FALSE)/VLOOKUP(Preisindex!$A$6,Preisindex,4,FALSE),2),IF(AND($E91&lt;&gt;0,$F91&gt;0,YEAR($F91)&lt;Preisindex!$A$6,YEAR(ET$4)&gt;=YEAR($F91),$K91="k"),ROUND(VLOOKUP(EY$4,Preisindex,2,FALSE)/VLOOKUP(Preisindex!$A$6,Preisindex,2,FALSE),2),0)))))</f>
        <v>0</v>
      </c>
      <c r="FA91" s="51">
        <f>IF(AND($E91&lt;&gt;0,$F91&gt;0,YEAR($F91)&lt;=EY$4,YEAR($F91)&gt;=Preisindex!$A$6),ROUND($E91*EY91,2),IF(AND($E91&lt;&gt;0,$F91&gt;0,YEAR($F91)&lt;=EY$4,YEAR($F91)&lt;Preisindex!$A$6),ROUND($E91*EZ91,2),0))</f>
        <v>0</v>
      </c>
      <c r="FB91" s="53">
        <f t="shared" si="418"/>
        <v>0</v>
      </c>
      <c r="FC91" s="51">
        <f t="shared" si="447"/>
        <v>0</v>
      </c>
      <c r="FD91" s="51">
        <f t="shared" si="483"/>
        <v>0</v>
      </c>
      <c r="FE91" s="51">
        <f t="shared" si="419"/>
        <v>0</v>
      </c>
      <c r="FF91" s="51">
        <f t="shared" si="484"/>
        <v>0</v>
      </c>
      <c r="FG91" s="51">
        <f t="shared" si="420"/>
        <v>0</v>
      </c>
      <c r="FH91" s="51">
        <f t="shared" si="485"/>
        <v>0</v>
      </c>
      <c r="FI91" s="51">
        <f t="shared" si="421"/>
        <v>0</v>
      </c>
      <c r="FJ91" s="51">
        <f t="shared" si="486"/>
        <v>0</v>
      </c>
      <c r="FK91" s="51">
        <f t="shared" si="422"/>
        <v>0</v>
      </c>
      <c r="FL91" s="51">
        <f t="shared" si="487"/>
        <v>0</v>
      </c>
      <c r="FM91" s="51">
        <f t="shared" si="423"/>
        <v>0</v>
      </c>
      <c r="FN91" s="54">
        <f t="shared" si="424"/>
        <v>0</v>
      </c>
      <c r="FO91" s="55">
        <f t="shared" si="425"/>
        <v>0</v>
      </c>
      <c r="FP91" s="56">
        <f>IF(AND($E91&lt;&gt;0,$F91&gt;0,YEAR($F91)&gt;=Preisindex!$A$6,YEAR(FK$4)&gt;=YEAR($F91),AND($K91&lt;&gt;"a",$K91&lt;&gt;"b",$K91&lt;&gt;"g",$K91&lt;&gt;"k")),1,IF(AND($E91&lt;&gt;0,$F91&gt;0,YEAR($F91)&gt;=Preisindex!$A$6,YEAR(FK$4)&gt;=YEAR($F91),$K91="a"),ROUND(VLOOKUP(FP$4,Preisindex,5,FALSE)/VLOOKUP(YEAR($F91),Preisindex,5,FALSE),2),IF(AND($E91&lt;&gt;0,$F91&gt;0,YEAR($F91)&gt;=Preisindex!$A$6,YEAR(FK$4)&gt;=YEAR($F91),$K91="b"),ROUND(VLOOKUP(FP$4,Preisindex,3,FALSE)/VLOOKUP(YEAR($F91),Preisindex,3,FALSE),2),IF(AND($E91&lt;&gt;0,$F91&gt;0,YEAR($F91)&gt;=Preisindex!$A$6,YEAR(FK$4)&gt;=YEAR($F91),$K91="g"),ROUND(VLOOKUP(FP$4,Preisindex,4,FALSE)/VLOOKUP(YEAR($F91),Preisindex,4,FALSE),2),IF(AND($E91&lt;&gt;0,$F91&gt;0,YEAR($F91)&gt;=Preisindex!$A$6,YEAR(FK$4)&gt;=YEAR($F91),$K91="k"),ROUND(VLOOKUP(FP$4,Preisindex,2,FALSE)/VLOOKUP(YEAR($F91),Preisindex,2,FALSE),2),0)))))</f>
        <v>0</v>
      </c>
      <c r="FQ91" s="56">
        <f>IF(AND($E91&lt;&gt;0,$F91&gt;0,YEAR($F91)&lt;Preisindex!$A$6,YEAR(FK$4)&gt;=YEAR($F91),AND($K91&lt;&gt;"a",$K91&lt;&gt;"b",$K91&lt;&gt;"g",$K91&lt;&gt;"k")),1,IF(AND($E91&lt;&gt;0,$F91&gt;0,YEAR($F91)&lt;Preisindex!$A$6,YEAR(FK$4)&gt;=YEAR($F91),$K91="a"),ROUND(VLOOKUP(FP$4,Preisindex,5,FALSE)/VLOOKUP(Preisindex!$A$6,Preisindex,5,FALSE),2),IF(AND($E91&lt;&gt;0,$F91&gt;0,YEAR($F91)&lt;Preisindex!$A$6,YEAR(FK$4)&gt;=YEAR($F91),$K91="b"),ROUND(VLOOKUP(FP$4,Preisindex,3,FALSE)/VLOOKUP(Preisindex!$A$6,Preisindex,3,FALSE),2),IF(AND($E91&lt;&gt;0,$F91&gt;0,YEAR($F91)&lt;Preisindex!$A$6,YEAR(FK$4)&gt;=YEAR($F91),$K91="g"),ROUND(VLOOKUP(FP$4,Preisindex,4,FALSE)/VLOOKUP(Preisindex!$A$6,Preisindex,4,FALSE),2),IF(AND($E91&lt;&gt;0,$F91&gt;0,YEAR($F91)&lt;Preisindex!$A$6,YEAR(FK$4)&gt;=YEAR($F91),$K91="k"),ROUND(VLOOKUP(FP$4,Preisindex,2,FALSE)/VLOOKUP(Preisindex!$A$6,Preisindex,2,FALSE),2),0)))))</f>
        <v>0</v>
      </c>
      <c r="FR91" s="51">
        <f>IF(AND($E91&lt;&gt;0,$F91&gt;0,YEAR($F91)&lt;=FP$4,YEAR($F91)&gt;=Preisindex!$A$6),ROUND($E91*FP91,2),IF(AND($E91&lt;&gt;0,$F91&gt;0,YEAR($F91)&lt;=FP$4,YEAR($F91)&lt;Preisindex!$A$6),ROUND($E91*FQ91,2),0))</f>
        <v>0</v>
      </c>
      <c r="FS91" s="53">
        <f t="shared" si="426"/>
        <v>0</v>
      </c>
    </row>
    <row r="92" spans="1:175" x14ac:dyDescent="0.3">
      <c r="A92" s="93"/>
      <c r="B92" s="94"/>
      <c r="C92" s="94"/>
      <c r="D92" s="95"/>
      <c r="E92" s="99"/>
      <c r="F92" s="97"/>
      <c r="G92" s="100"/>
      <c r="H92" s="620"/>
      <c r="I92" s="621"/>
      <c r="J92" s="194"/>
      <c r="K92" s="630"/>
      <c r="L92" s="49">
        <f t="shared" si="427"/>
        <v>0</v>
      </c>
      <c r="M92" s="50">
        <f t="shared" si="428"/>
        <v>0</v>
      </c>
      <c r="N92" s="51">
        <f t="shared" si="429"/>
        <v>0</v>
      </c>
      <c r="O92" s="51"/>
      <c r="P92" s="51">
        <f t="shared" si="430"/>
        <v>0</v>
      </c>
      <c r="Q92" s="52"/>
      <c r="R92" s="52"/>
      <c r="S92" s="52"/>
      <c r="T92" s="52"/>
      <c r="U92" s="52"/>
      <c r="V92" s="53">
        <f t="shared" si="431"/>
        <v>0</v>
      </c>
      <c r="W92" s="51">
        <f t="shared" si="432"/>
        <v>0</v>
      </c>
      <c r="X92" s="51">
        <f t="shared" si="433"/>
        <v>0</v>
      </c>
      <c r="Y92" s="51">
        <f t="shared" si="434"/>
        <v>0</v>
      </c>
      <c r="Z92" s="51">
        <f t="shared" si="435"/>
        <v>0</v>
      </c>
      <c r="AA92" s="51">
        <f t="shared" si="436"/>
        <v>0</v>
      </c>
      <c r="AB92" s="51">
        <f t="shared" si="437"/>
        <v>0</v>
      </c>
      <c r="AC92" s="51">
        <f t="shared" si="438"/>
        <v>0</v>
      </c>
      <c r="AD92" s="51">
        <f t="shared" si="439"/>
        <v>0</v>
      </c>
      <c r="AE92" s="51">
        <f t="shared" si="440"/>
        <v>0</v>
      </c>
      <c r="AF92" s="51">
        <f t="shared" si="441"/>
        <v>0</v>
      </c>
      <c r="AG92" s="51">
        <f t="shared" si="442"/>
        <v>0</v>
      </c>
      <c r="AH92" s="54">
        <f t="shared" si="443"/>
        <v>0</v>
      </c>
      <c r="AI92" s="55">
        <f t="shared" si="444"/>
        <v>0</v>
      </c>
      <c r="AJ92" s="56">
        <f>IF(AND($E92&lt;&gt;0,$F92&gt;0,YEAR($F92)&gt;=Preisindex!$A$6,YEAR(AE$4)&gt;=YEAR($F92),AND($K92&lt;&gt;"a",$K92&lt;&gt;"b",$K92&lt;&gt;"g",$K92&lt;&gt;"k")),1,IF(AND($E92&lt;&gt;0,$F92&gt;0,YEAR($F92)&gt;=Preisindex!$A$6,YEAR(AE$4)&gt;=YEAR($F92),$K92="a"),ROUND(VLOOKUP(AJ$4,Preisindex,5,FALSE)/VLOOKUP(YEAR($F92),Preisindex,5,FALSE),2),IF(AND($E92&lt;&gt;0,$F92&gt;0,YEAR($F92)&gt;=Preisindex!$A$6,YEAR(AE$4)&gt;=YEAR($F92),$K92="b"),ROUND(VLOOKUP(AJ$4,Preisindex,3,FALSE)/VLOOKUP(YEAR($F92),Preisindex,3,FALSE),2),IF(AND($E92&lt;&gt;0,$F92&gt;0,YEAR($F92)&gt;=Preisindex!$A$6,YEAR(AE$4)&gt;=YEAR($F92),$K92="g"),ROUND(VLOOKUP(AJ$4,Preisindex,4,FALSE)/VLOOKUP(YEAR($F92),Preisindex,4,FALSE),2),IF(AND($E92&lt;&gt;0,$F92&gt;0,YEAR($F92)&gt;=Preisindex!$A$6,YEAR(AE$4)&gt;=YEAR($F92),$K92="k"),ROUND(VLOOKUP(AJ$4,Preisindex,2,FALSE)/VLOOKUP(YEAR($F92),Preisindex,2,FALSE),2),0)))))</f>
        <v>0</v>
      </c>
      <c r="AK92" s="56">
        <f>IF(AND($E92&lt;&gt;0,$F92&gt;0,YEAR($F92)&lt;Preisindex!$A$6,YEAR(AE$4)&gt;=YEAR($F92),AND($K92&lt;&gt;"a",$K92&lt;&gt;"b",$K92&lt;&gt;"g",$K92&lt;&gt;"k")),1,IF(AND($E92&lt;&gt;0,$F92&gt;0,YEAR($F92)&lt;Preisindex!$A$6,YEAR(AE$4)&gt;=YEAR($F92),$K92="a"),ROUND(VLOOKUP(AJ$4,Preisindex,5,FALSE)/VLOOKUP(Preisindex!$A$6,Preisindex,5,FALSE),2),IF(AND($E92&lt;&gt;0,$F92&gt;0,YEAR($F92)&lt;Preisindex!$A$6,YEAR(AE$4)&gt;=YEAR($F92),$K92="b"),ROUND(VLOOKUP(AJ$4,Preisindex,3,FALSE)/VLOOKUP(Preisindex!$A$6,Preisindex,3,FALSE),2),IF(AND($E92&lt;&gt;0,$F92&gt;0,YEAR($F92)&lt;Preisindex!$A$6,YEAR(AE$4)&gt;=YEAR($F92),$K92="g"),ROUND(VLOOKUP(AJ$4,Preisindex,4,FALSE)/VLOOKUP(Preisindex!$A$6,Preisindex,4,FALSE),2),IF(AND($E92&lt;&gt;0,$F92&gt;0,YEAR($F92)&lt;Preisindex!$A$6,YEAR(AE$4)&gt;=YEAR($F92),$K92="k"),ROUND(VLOOKUP(AJ$4,Preisindex,2,FALSE)/VLOOKUP(Preisindex!$A$6,Preisindex,2,FALSE),2),0)))))</f>
        <v>0</v>
      </c>
      <c r="AL92" s="51">
        <f>IF(AND($E92&lt;&gt;0,$F92&gt;0,YEAR($F92)&lt;=AJ$4,YEAR($F92)&gt;=Preisindex!$A$6),ROUND($E92*AJ92,2),IF(AND($E92&lt;&gt;0,$F92&gt;0,YEAR($F92)&lt;=AJ$4,YEAR($F92)&lt;Preisindex!$A$6),ROUND($E92*AK92,2),0))</f>
        <v>0</v>
      </c>
      <c r="AM92" s="53">
        <f t="shared" si="445"/>
        <v>0</v>
      </c>
      <c r="AN92" s="51">
        <f t="shared" si="446"/>
        <v>0</v>
      </c>
      <c r="AO92" s="51">
        <f t="shared" si="448"/>
        <v>0</v>
      </c>
      <c r="AP92" s="51">
        <f t="shared" si="362"/>
        <v>0</v>
      </c>
      <c r="AQ92" s="51">
        <f t="shared" si="449"/>
        <v>0</v>
      </c>
      <c r="AR92" s="51">
        <f t="shared" si="363"/>
        <v>0</v>
      </c>
      <c r="AS92" s="51">
        <f t="shared" si="450"/>
        <v>0</v>
      </c>
      <c r="AT92" s="51">
        <f t="shared" si="364"/>
        <v>0</v>
      </c>
      <c r="AU92" s="51">
        <f t="shared" si="451"/>
        <v>0</v>
      </c>
      <c r="AV92" s="51">
        <f t="shared" si="365"/>
        <v>0</v>
      </c>
      <c r="AW92" s="51">
        <f t="shared" si="452"/>
        <v>0</v>
      </c>
      <c r="AX92" s="51">
        <f t="shared" si="366"/>
        <v>0</v>
      </c>
      <c r="AY92" s="54">
        <f t="shared" si="367"/>
        <v>0</v>
      </c>
      <c r="AZ92" s="55">
        <f t="shared" si="368"/>
        <v>0</v>
      </c>
      <c r="BA92" s="56">
        <f>IF(AND($E92&lt;&gt;0,$F92&gt;0,YEAR($F92)&gt;=Preisindex!$A$6,YEAR(AV$4)&gt;=YEAR($F92),AND($K92&lt;&gt;"a",$K92&lt;&gt;"b",$K92&lt;&gt;"g",$K92&lt;&gt;"k")),1,IF(AND($E92&lt;&gt;0,$F92&gt;0,YEAR($F92)&gt;=Preisindex!$A$6,YEAR(AV$4)&gt;=YEAR($F92),$K92="a"),ROUND(VLOOKUP(BA$4,Preisindex,5,FALSE)/VLOOKUP(YEAR($F92),Preisindex,5,FALSE),2),IF(AND($E92&lt;&gt;0,$F92&gt;0,YEAR($F92)&gt;=Preisindex!$A$6,YEAR(AV$4)&gt;=YEAR($F92),$K92="b"),ROUND(VLOOKUP(BA$4,Preisindex,3,FALSE)/VLOOKUP(YEAR($F92),Preisindex,3,FALSE),2),IF(AND($E92&lt;&gt;0,$F92&gt;0,YEAR($F92)&gt;=Preisindex!$A$6,YEAR(AV$4)&gt;=YEAR($F92),$K92="g"),ROUND(VLOOKUP(BA$4,Preisindex,4,FALSE)/VLOOKUP(YEAR($F92),Preisindex,4,FALSE),2),IF(AND($E92&lt;&gt;0,$F92&gt;0,YEAR($F92)&gt;=Preisindex!$A$6,YEAR(AV$4)&gt;=YEAR($F92),$K92="k"),ROUND(VLOOKUP(BA$4,Preisindex,2,FALSE)/VLOOKUP(YEAR($F92),Preisindex,2,FALSE),2),0)))))</f>
        <v>0</v>
      </c>
      <c r="BB92" s="56">
        <f>IF(AND($E92&lt;&gt;0,$F92&gt;0,YEAR($F92)&lt;Preisindex!$A$6,YEAR(AV$4)&gt;=YEAR($F92),AND($K92&lt;&gt;"a",$K92&lt;&gt;"b",$K92&lt;&gt;"g",$K92&lt;&gt;"k")),1,IF(AND($E92&lt;&gt;0,$F92&gt;0,YEAR($F92)&lt;Preisindex!$A$6,YEAR(AV$4)&gt;=YEAR($F92),$K92="a"),ROUND(VLOOKUP(BA$4,Preisindex,5,FALSE)/VLOOKUP(Preisindex!$A$6,Preisindex,5,FALSE),2),IF(AND($E92&lt;&gt;0,$F92&gt;0,YEAR($F92)&lt;Preisindex!$A$6,YEAR(AV$4)&gt;=YEAR($F92),$K92="b"),ROUND(VLOOKUP(BA$4,Preisindex,3,FALSE)/VLOOKUP(Preisindex!$A$6,Preisindex,3,FALSE),2),IF(AND($E92&lt;&gt;0,$F92&gt;0,YEAR($F92)&lt;Preisindex!$A$6,YEAR(AV$4)&gt;=YEAR($F92),$K92="g"),ROUND(VLOOKUP(BA$4,Preisindex,4,FALSE)/VLOOKUP(Preisindex!$A$6,Preisindex,4,FALSE),2),IF(AND($E92&lt;&gt;0,$F92&gt;0,YEAR($F92)&lt;Preisindex!$A$6,YEAR(AV$4)&gt;=YEAR($F92),$K92="k"),ROUND(VLOOKUP(BA$4,Preisindex,2,FALSE)/VLOOKUP(Preisindex!$A$6,Preisindex,2,FALSE),2),0)))))</f>
        <v>0</v>
      </c>
      <c r="BC92" s="51">
        <f>IF(AND($E92&lt;&gt;0,$F92&gt;0,YEAR($F92)&lt;=BA$4,YEAR($F92)&gt;=Preisindex!$A$6),ROUND($E92*BA92,2),IF(AND($E92&lt;&gt;0,$F92&gt;0,YEAR($F92)&lt;=BA$4,YEAR($F92)&lt;Preisindex!$A$6),ROUND($E92*BB92,2),0))</f>
        <v>0</v>
      </c>
      <c r="BD92" s="53">
        <f t="shared" si="369"/>
        <v>0</v>
      </c>
      <c r="BE92" s="51">
        <f t="shared" si="446"/>
        <v>0</v>
      </c>
      <c r="BF92" s="51">
        <f t="shared" si="453"/>
        <v>0</v>
      </c>
      <c r="BG92" s="51">
        <f t="shared" si="370"/>
        <v>0</v>
      </c>
      <c r="BH92" s="51">
        <f t="shared" si="454"/>
        <v>0</v>
      </c>
      <c r="BI92" s="51">
        <f t="shared" si="371"/>
        <v>0</v>
      </c>
      <c r="BJ92" s="51">
        <f t="shared" si="455"/>
        <v>0</v>
      </c>
      <c r="BK92" s="51">
        <f t="shared" si="372"/>
        <v>0</v>
      </c>
      <c r="BL92" s="51">
        <f t="shared" si="456"/>
        <v>0</v>
      </c>
      <c r="BM92" s="51">
        <f t="shared" si="373"/>
        <v>0</v>
      </c>
      <c r="BN92" s="51">
        <f t="shared" si="457"/>
        <v>0</v>
      </c>
      <c r="BO92" s="51">
        <f t="shared" si="374"/>
        <v>0</v>
      </c>
      <c r="BP92" s="54">
        <f t="shared" si="375"/>
        <v>0</v>
      </c>
      <c r="BQ92" s="55">
        <f t="shared" si="376"/>
        <v>0</v>
      </c>
      <c r="BR92" s="56">
        <f>IF(AND($E92&lt;&gt;0,$F92&gt;0,YEAR($F92)&gt;=Preisindex!$A$6,YEAR(BM$4)&gt;=YEAR($F92),AND($K92&lt;&gt;"a",$K92&lt;&gt;"b",$K92&lt;&gt;"g",$K92&lt;&gt;"k")),1,IF(AND($E92&lt;&gt;0,$F92&gt;0,YEAR($F92)&gt;=Preisindex!$A$6,YEAR(BM$4)&gt;=YEAR($F92),$K92="a"),ROUND(VLOOKUP(BR$4,Preisindex,5,FALSE)/VLOOKUP(YEAR($F92),Preisindex,5,FALSE),2),IF(AND($E92&lt;&gt;0,$F92&gt;0,YEAR($F92)&gt;=Preisindex!$A$6,YEAR(BM$4)&gt;=YEAR($F92),$K92="b"),ROUND(VLOOKUP(BR$4,Preisindex,3,FALSE)/VLOOKUP(YEAR($F92),Preisindex,3,FALSE),2),IF(AND($E92&lt;&gt;0,$F92&gt;0,YEAR($F92)&gt;=Preisindex!$A$6,YEAR(BM$4)&gt;=YEAR($F92),$K92="g"),ROUND(VLOOKUP(BR$4,Preisindex,4,FALSE)/VLOOKUP(YEAR($F92),Preisindex,4,FALSE),2),IF(AND($E92&lt;&gt;0,$F92&gt;0,YEAR($F92)&gt;=Preisindex!$A$6,YEAR(BM$4)&gt;=YEAR($F92),$K92="k"),ROUND(VLOOKUP(BR$4,Preisindex,2,FALSE)/VLOOKUP(YEAR($F92),Preisindex,2,FALSE),2),0)))))</f>
        <v>0</v>
      </c>
      <c r="BS92" s="56">
        <f>IF(AND($E92&lt;&gt;0,$F92&gt;0,YEAR($F92)&lt;Preisindex!$A$6,YEAR(BM$4)&gt;=YEAR($F92),AND($K92&lt;&gt;"a",$K92&lt;&gt;"b",$K92&lt;&gt;"g",$K92&lt;&gt;"k")),1,IF(AND($E92&lt;&gt;0,$F92&gt;0,YEAR($F92)&lt;Preisindex!$A$6,YEAR(BM$4)&gt;=YEAR($F92),$K92="a"),ROUND(VLOOKUP(BR$4,Preisindex,5,FALSE)/VLOOKUP(Preisindex!$A$6,Preisindex,5,FALSE),2),IF(AND($E92&lt;&gt;0,$F92&gt;0,YEAR($F92)&lt;Preisindex!$A$6,YEAR(BM$4)&gt;=YEAR($F92),$K92="b"),ROUND(VLOOKUP(BR$4,Preisindex,3,FALSE)/VLOOKUP(Preisindex!$A$6,Preisindex,3,FALSE),2),IF(AND($E92&lt;&gt;0,$F92&gt;0,YEAR($F92)&lt;Preisindex!$A$6,YEAR(BM$4)&gt;=YEAR($F92),$K92="g"),ROUND(VLOOKUP(BR$4,Preisindex,4,FALSE)/VLOOKUP(Preisindex!$A$6,Preisindex,4,FALSE),2),IF(AND($E92&lt;&gt;0,$F92&gt;0,YEAR($F92)&lt;Preisindex!$A$6,YEAR(BM$4)&gt;=YEAR($F92),$K92="k"),ROUND(VLOOKUP(BR$4,Preisindex,2,FALSE)/VLOOKUP(Preisindex!$A$6,Preisindex,2,FALSE),2),0)))))</f>
        <v>0</v>
      </c>
      <c r="BT92" s="51">
        <f>IF(AND($E92&lt;&gt;0,$F92&gt;0,YEAR($F92)&lt;=BR$4,YEAR($F92)&gt;=Preisindex!$A$6),ROUND($E92*BR92,2),IF(AND($E92&lt;&gt;0,$F92&gt;0,YEAR($F92)&lt;=BR$4,YEAR($F92)&lt;Preisindex!$A$6),ROUND($E92*BS92,2),0))</f>
        <v>0</v>
      </c>
      <c r="BU92" s="53">
        <f t="shared" si="377"/>
        <v>0</v>
      </c>
      <c r="BV92" s="51">
        <f t="shared" si="446"/>
        <v>0</v>
      </c>
      <c r="BW92" s="51">
        <f t="shared" si="458"/>
        <v>0</v>
      </c>
      <c r="BX92" s="51">
        <f t="shared" si="378"/>
        <v>0</v>
      </c>
      <c r="BY92" s="51">
        <f t="shared" si="459"/>
        <v>0</v>
      </c>
      <c r="BZ92" s="51">
        <f t="shared" si="379"/>
        <v>0</v>
      </c>
      <c r="CA92" s="51">
        <f t="shared" si="460"/>
        <v>0</v>
      </c>
      <c r="CB92" s="51">
        <f t="shared" si="380"/>
        <v>0</v>
      </c>
      <c r="CC92" s="51">
        <f t="shared" si="461"/>
        <v>0</v>
      </c>
      <c r="CD92" s="51">
        <f t="shared" si="381"/>
        <v>0</v>
      </c>
      <c r="CE92" s="51">
        <f t="shared" si="462"/>
        <v>0</v>
      </c>
      <c r="CF92" s="51">
        <f t="shared" si="382"/>
        <v>0</v>
      </c>
      <c r="CG92" s="54">
        <f t="shared" si="383"/>
        <v>0</v>
      </c>
      <c r="CH92" s="55">
        <f t="shared" si="384"/>
        <v>0</v>
      </c>
      <c r="CI92" s="56">
        <f>IF(AND($E92&lt;&gt;0,$F92&gt;0,YEAR($F92)&gt;=Preisindex!$A$6,YEAR(CD$4)&gt;=YEAR($F92),AND($K92&lt;&gt;"a",$K92&lt;&gt;"b",$K92&lt;&gt;"g",$K92&lt;&gt;"k")),1,IF(AND($E92&lt;&gt;0,$F92&gt;0,YEAR($F92)&gt;=Preisindex!$A$6,YEAR(CD$4)&gt;=YEAR($F92),$K92="a"),ROUND(VLOOKUP(CI$4,Preisindex,5,FALSE)/VLOOKUP(YEAR($F92),Preisindex,5,FALSE),2),IF(AND($E92&lt;&gt;0,$F92&gt;0,YEAR($F92)&gt;=Preisindex!$A$6,YEAR(CD$4)&gt;=YEAR($F92),$K92="b"),ROUND(VLOOKUP(CI$4,Preisindex,3,FALSE)/VLOOKUP(YEAR($F92),Preisindex,3,FALSE),2),IF(AND($E92&lt;&gt;0,$F92&gt;0,YEAR($F92)&gt;=Preisindex!$A$6,YEAR(CD$4)&gt;=YEAR($F92),$K92="g"),ROUND(VLOOKUP(CI$4,Preisindex,4,FALSE)/VLOOKUP(YEAR($F92),Preisindex,4,FALSE),2),IF(AND($E92&lt;&gt;0,$F92&gt;0,YEAR($F92)&gt;=Preisindex!$A$6,YEAR(CD$4)&gt;=YEAR($F92),$K92="k"),ROUND(VLOOKUP(CI$4,Preisindex,2,FALSE)/VLOOKUP(YEAR($F92),Preisindex,2,FALSE),2),0)))))</f>
        <v>0</v>
      </c>
      <c r="CJ92" s="56">
        <f>IF(AND($E92&lt;&gt;0,$F92&gt;0,YEAR($F92)&lt;Preisindex!$A$6,YEAR(CD$4)&gt;=YEAR($F92),AND($K92&lt;&gt;"a",$K92&lt;&gt;"b",$K92&lt;&gt;"g",$K92&lt;&gt;"k")),1,IF(AND($E92&lt;&gt;0,$F92&gt;0,YEAR($F92)&lt;Preisindex!$A$6,YEAR(CD$4)&gt;=YEAR($F92),$K92="a"),ROUND(VLOOKUP(CI$4,Preisindex,5,FALSE)/VLOOKUP(Preisindex!$A$6,Preisindex,5,FALSE),2),IF(AND($E92&lt;&gt;0,$F92&gt;0,YEAR($F92)&lt;Preisindex!$A$6,YEAR(CD$4)&gt;=YEAR($F92),$K92="b"),ROUND(VLOOKUP(CI$4,Preisindex,3,FALSE)/VLOOKUP(Preisindex!$A$6,Preisindex,3,FALSE),2),IF(AND($E92&lt;&gt;0,$F92&gt;0,YEAR($F92)&lt;Preisindex!$A$6,YEAR(CD$4)&gt;=YEAR($F92),$K92="g"),ROUND(VLOOKUP(CI$4,Preisindex,4,FALSE)/VLOOKUP(Preisindex!$A$6,Preisindex,4,FALSE),2),IF(AND($E92&lt;&gt;0,$F92&gt;0,YEAR($F92)&lt;Preisindex!$A$6,YEAR(CD$4)&gt;=YEAR($F92),$K92="k"),ROUND(VLOOKUP(CI$4,Preisindex,2,FALSE)/VLOOKUP(Preisindex!$A$6,Preisindex,2,FALSE),2),0)))))</f>
        <v>0</v>
      </c>
      <c r="CK92" s="51">
        <f>IF(AND($E92&lt;&gt;0,$F92&gt;0,YEAR($F92)&lt;=CI$4,YEAR($F92)&gt;=Preisindex!$A$6),ROUND($E92*CI92,2),IF(AND($E92&lt;&gt;0,$F92&gt;0,YEAR($F92)&lt;=CI$4,YEAR($F92)&lt;Preisindex!$A$6),ROUND($E92*CJ92,2),0))</f>
        <v>0</v>
      </c>
      <c r="CL92" s="53">
        <f t="shared" si="385"/>
        <v>0</v>
      </c>
      <c r="CM92" s="51">
        <f t="shared" si="446"/>
        <v>0</v>
      </c>
      <c r="CN92" s="51">
        <f t="shared" si="463"/>
        <v>0</v>
      </c>
      <c r="CO92" s="51">
        <f t="shared" si="386"/>
        <v>0</v>
      </c>
      <c r="CP92" s="51">
        <f t="shared" si="464"/>
        <v>0</v>
      </c>
      <c r="CQ92" s="51">
        <f t="shared" si="387"/>
        <v>0</v>
      </c>
      <c r="CR92" s="51">
        <f t="shared" si="465"/>
        <v>0</v>
      </c>
      <c r="CS92" s="51">
        <f t="shared" si="388"/>
        <v>0</v>
      </c>
      <c r="CT92" s="51">
        <f t="shared" si="466"/>
        <v>0</v>
      </c>
      <c r="CU92" s="51">
        <f t="shared" si="389"/>
        <v>0</v>
      </c>
      <c r="CV92" s="51">
        <f t="shared" si="467"/>
        <v>0</v>
      </c>
      <c r="CW92" s="51">
        <f t="shared" si="390"/>
        <v>0</v>
      </c>
      <c r="CX92" s="54">
        <f t="shared" si="391"/>
        <v>0</v>
      </c>
      <c r="CY92" s="55">
        <f t="shared" si="392"/>
        <v>0</v>
      </c>
      <c r="CZ92" s="56">
        <f>IF(AND($E92&lt;&gt;0,$F92&gt;0,YEAR($F92)&gt;=Preisindex!$A$6,YEAR(CU$4)&gt;=YEAR($F92),AND($K92&lt;&gt;"a",$K92&lt;&gt;"b",$K92&lt;&gt;"g",$K92&lt;&gt;"k")),1,IF(AND($E92&lt;&gt;0,$F92&gt;0,YEAR($F92)&gt;=Preisindex!$A$6,YEAR(CU$4)&gt;=YEAR($F92),$K92="a"),ROUND(VLOOKUP(CZ$4,Preisindex,5,FALSE)/VLOOKUP(YEAR($F92),Preisindex,5,FALSE),2),IF(AND($E92&lt;&gt;0,$F92&gt;0,YEAR($F92)&gt;=Preisindex!$A$6,YEAR(CU$4)&gt;=YEAR($F92),$K92="b"),ROUND(VLOOKUP(CZ$4,Preisindex,3,FALSE)/VLOOKUP(YEAR($F92),Preisindex,3,FALSE),2),IF(AND($E92&lt;&gt;0,$F92&gt;0,YEAR($F92)&gt;=Preisindex!$A$6,YEAR(CU$4)&gt;=YEAR($F92),$K92="g"),ROUND(VLOOKUP(CZ$4,Preisindex,4,FALSE)/VLOOKUP(YEAR($F92),Preisindex,4,FALSE),2),IF(AND($E92&lt;&gt;0,$F92&gt;0,YEAR($F92)&gt;=Preisindex!$A$6,YEAR(CU$4)&gt;=YEAR($F92),$K92="k"),ROUND(VLOOKUP(CZ$4,Preisindex,2,FALSE)/VLOOKUP(YEAR($F92),Preisindex,2,FALSE),2),0)))))</f>
        <v>0</v>
      </c>
      <c r="DA92" s="56">
        <f>IF(AND($E92&lt;&gt;0,$F92&gt;0,YEAR($F92)&lt;Preisindex!$A$6,YEAR(CU$4)&gt;=YEAR($F92),AND($K92&lt;&gt;"a",$K92&lt;&gt;"b",$K92&lt;&gt;"g",$K92&lt;&gt;"k")),1,IF(AND($E92&lt;&gt;0,$F92&gt;0,YEAR($F92)&lt;Preisindex!$A$6,YEAR(CU$4)&gt;=YEAR($F92),$K92="a"),ROUND(VLOOKUP(CZ$4,Preisindex,5,FALSE)/VLOOKUP(Preisindex!$A$6,Preisindex,5,FALSE),2),IF(AND($E92&lt;&gt;0,$F92&gt;0,YEAR($F92)&lt;Preisindex!$A$6,YEAR(CU$4)&gt;=YEAR($F92),$K92="b"),ROUND(VLOOKUP(CZ$4,Preisindex,3,FALSE)/VLOOKUP(Preisindex!$A$6,Preisindex,3,FALSE),2),IF(AND($E92&lt;&gt;0,$F92&gt;0,YEAR($F92)&lt;Preisindex!$A$6,YEAR(CU$4)&gt;=YEAR($F92),$K92="g"),ROUND(VLOOKUP(CZ$4,Preisindex,4,FALSE)/VLOOKUP(Preisindex!$A$6,Preisindex,4,FALSE),2),IF(AND($E92&lt;&gt;0,$F92&gt;0,YEAR($F92)&lt;Preisindex!$A$6,YEAR(CU$4)&gt;=YEAR($F92),$K92="k"),ROUND(VLOOKUP(CZ$4,Preisindex,2,FALSE)/VLOOKUP(Preisindex!$A$6,Preisindex,2,FALSE),2),0)))))</f>
        <v>0</v>
      </c>
      <c r="DB92" s="51">
        <f>IF(AND($E92&lt;&gt;0,$F92&gt;0,YEAR($F92)&lt;=CZ$4,YEAR($F92)&gt;=Preisindex!$A$6),ROUND($E92*CZ92,2),IF(AND($E92&lt;&gt;0,$F92&gt;0,YEAR($F92)&lt;=CZ$4,YEAR($F92)&lt;Preisindex!$A$6),ROUND($E92*DA92,2),0))</f>
        <v>0</v>
      </c>
      <c r="DC92" s="53">
        <f t="shared" si="393"/>
        <v>0</v>
      </c>
      <c r="DD92" s="51">
        <f t="shared" si="447"/>
        <v>0</v>
      </c>
      <c r="DE92" s="51">
        <f t="shared" si="468"/>
        <v>0</v>
      </c>
      <c r="DF92" s="51">
        <f t="shared" si="395"/>
        <v>0</v>
      </c>
      <c r="DG92" s="51">
        <f t="shared" si="469"/>
        <v>0</v>
      </c>
      <c r="DH92" s="51">
        <f t="shared" si="396"/>
        <v>0</v>
      </c>
      <c r="DI92" s="51">
        <f t="shared" si="470"/>
        <v>0</v>
      </c>
      <c r="DJ92" s="51">
        <f t="shared" si="397"/>
        <v>0</v>
      </c>
      <c r="DK92" s="51">
        <f t="shared" si="471"/>
        <v>0</v>
      </c>
      <c r="DL92" s="51">
        <f t="shared" si="398"/>
        <v>0</v>
      </c>
      <c r="DM92" s="51">
        <f t="shared" si="472"/>
        <v>0</v>
      </c>
      <c r="DN92" s="51">
        <f t="shared" si="399"/>
        <v>0</v>
      </c>
      <c r="DO92" s="54">
        <f t="shared" si="400"/>
        <v>0</v>
      </c>
      <c r="DP92" s="55">
        <f t="shared" si="401"/>
        <v>0</v>
      </c>
      <c r="DQ92" s="56">
        <f>IF(AND($E92&lt;&gt;0,$F92&gt;0,YEAR($F92)&gt;=Preisindex!$A$6,YEAR(DL$4)&gt;=YEAR($F92),AND($K92&lt;&gt;"a",$K92&lt;&gt;"b",$K92&lt;&gt;"g",$K92&lt;&gt;"k")),1,IF(AND($E92&lt;&gt;0,$F92&gt;0,YEAR($F92)&gt;=Preisindex!$A$6,YEAR(DL$4)&gt;=YEAR($F92),$K92="a"),ROUND(VLOOKUP(DQ$4,Preisindex,5,FALSE)/VLOOKUP(YEAR($F92),Preisindex,5,FALSE),2),IF(AND($E92&lt;&gt;0,$F92&gt;0,YEAR($F92)&gt;=Preisindex!$A$6,YEAR(DL$4)&gt;=YEAR($F92),$K92="b"),ROUND(VLOOKUP(DQ$4,Preisindex,3,FALSE)/VLOOKUP(YEAR($F92),Preisindex,3,FALSE),2),IF(AND($E92&lt;&gt;0,$F92&gt;0,YEAR($F92)&gt;=Preisindex!$A$6,YEAR(DL$4)&gt;=YEAR($F92),$K92="g"),ROUND(VLOOKUP(DQ$4,Preisindex,4,FALSE)/VLOOKUP(YEAR($F92),Preisindex,4,FALSE),2),IF(AND($E92&lt;&gt;0,$F92&gt;0,YEAR($F92)&gt;=Preisindex!$A$6,YEAR(DL$4)&gt;=YEAR($F92),$K92="k"),ROUND(VLOOKUP(DQ$4,Preisindex,2,FALSE)/VLOOKUP(YEAR($F92),Preisindex,2,FALSE),2),0)))))</f>
        <v>0</v>
      </c>
      <c r="DR92" s="56">
        <f>IF(AND($E92&lt;&gt;0,$F92&gt;0,YEAR($F92)&lt;Preisindex!$A$6,YEAR(DL$4)&gt;=YEAR($F92),AND($K92&lt;&gt;"a",$K92&lt;&gt;"b",$K92&lt;&gt;"g",$K92&lt;&gt;"k")),1,IF(AND($E92&lt;&gt;0,$F92&gt;0,YEAR($F92)&lt;Preisindex!$A$6,YEAR(DL$4)&gt;=YEAR($F92),$K92="a"),ROUND(VLOOKUP(DQ$4,Preisindex,5,FALSE)/VLOOKUP(Preisindex!$A$6,Preisindex,5,FALSE),2),IF(AND($E92&lt;&gt;0,$F92&gt;0,YEAR($F92)&lt;Preisindex!$A$6,YEAR(DL$4)&gt;=YEAR($F92),$K92="b"),ROUND(VLOOKUP(DQ$4,Preisindex,3,FALSE)/VLOOKUP(Preisindex!$A$6,Preisindex,3,FALSE),2),IF(AND($E92&lt;&gt;0,$F92&gt;0,YEAR($F92)&lt;Preisindex!$A$6,YEAR(DL$4)&gt;=YEAR($F92),$K92="g"),ROUND(VLOOKUP(DQ$4,Preisindex,4,FALSE)/VLOOKUP(Preisindex!$A$6,Preisindex,4,FALSE),2),IF(AND($E92&lt;&gt;0,$F92&gt;0,YEAR($F92)&lt;Preisindex!$A$6,YEAR(DL$4)&gt;=YEAR($F92),$K92="k"),ROUND(VLOOKUP(DQ$4,Preisindex,2,FALSE)/VLOOKUP(Preisindex!$A$6,Preisindex,2,FALSE),2),0)))))</f>
        <v>0</v>
      </c>
      <c r="DS92" s="51">
        <f>IF(AND($E92&lt;&gt;0,$F92&gt;0,YEAR($F92)&lt;=DQ$4,YEAR($F92)&gt;=Preisindex!$A$6),ROUND($E92*DQ92,2),IF(AND($E92&lt;&gt;0,$F92&gt;0,YEAR($F92)&lt;=DQ$4,YEAR($F92)&lt;Preisindex!$A$6),ROUND($E92*DR92,2),0))</f>
        <v>0</v>
      </c>
      <c r="DT92" s="53">
        <f t="shared" si="402"/>
        <v>0</v>
      </c>
      <c r="DU92" s="51">
        <f t="shared" si="447"/>
        <v>0</v>
      </c>
      <c r="DV92" s="51">
        <f t="shared" si="473"/>
        <v>0</v>
      </c>
      <c r="DW92" s="51">
        <f t="shared" si="403"/>
        <v>0</v>
      </c>
      <c r="DX92" s="51">
        <f t="shared" si="474"/>
        <v>0</v>
      </c>
      <c r="DY92" s="51">
        <f t="shared" si="404"/>
        <v>0</v>
      </c>
      <c r="DZ92" s="51">
        <f t="shared" si="475"/>
        <v>0</v>
      </c>
      <c r="EA92" s="51">
        <f t="shared" si="405"/>
        <v>0</v>
      </c>
      <c r="EB92" s="51">
        <f t="shared" si="476"/>
        <v>0</v>
      </c>
      <c r="EC92" s="51">
        <f t="shared" si="406"/>
        <v>0</v>
      </c>
      <c r="ED92" s="51">
        <f t="shared" si="477"/>
        <v>0</v>
      </c>
      <c r="EE92" s="51">
        <f t="shared" si="407"/>
        <v>0</v>
      </c>
      <c r="EF92" s="54">
        <f t="shared" si="408"/>
        <v>0</v>
      </c>
      <c r="EG92" s="55">
        <f t="shared" si="409"/>
        <v>0</v>
      </c>
      <c r="EH92" s="56">
        <f>IF(AND($E92&lt;&gt;0,$F92&gt;0,YEAR($F92)&gt;=Preisindex!$A$6,YEAR(EC$4)&gt;=YEAR($F92),AND($K92&lt;&gt;"a",$K92&lt;&gt;"b",$K92&lt;&gt;"g",$K92&lt;&gt;"k")),1,IF(AND($E92&lt;&gt;0,$F92&gt;0,YEAR($F92)&gt;=Preisindex!$A$6,YEAR(EC$4)&gt;=YEAR($F92),$K92="a"),ROUND(VLOOKUP(EH$4,Preisindex,5,FALSE)/VLOOKUP(YEAR($F92),Preisindex,5,FALSE),2),IF(AND($E92&lt;&gt;0,$F92&gt;0,YEAR($F92)&gt;=Preisindex!$A$6,YEAR(EC$4)&gt;=YEAR($F92),$K92="b"),ROUND(VLOOKUP(EH$4,Preisindex,3,FALSE)/VLOOKUP(YEAR($F92),Preisindex,3,FALSE),2),IF(AND($E92&lt;&gt;0,$F92&gt;0,YEAR($F92)&gt;=Preisindex!$A$6,YEAR(EC$4)&gt;=YEAR($F92),$K92="g"),ROUND(VLOOKUP(EH$4,Preisindex,4,FALSE)/VLOOKUP(YEAR($F92),Preisindex,4,FALSE),2),IF(AND($E92&lt;&gt;0,$F92&gt;0,YEAR($F92)&gt;=Preisindex!$A$6,YEAR(EC$4)&gt;=YEAR($F92),$K92="k"),ROUND(VLOOKUP(EH$4,Preisindex,2,FALSE)/VLOOKUP(YEAR($F92),Preisindex,2,FALSE),2),0)))))</f>
        <v>0</v>
      </c>
      <c r="EI92" s="56">
        <f>IF(AND($E92&lt;&gt;0,$F92&gt;0,YEAR($F92)&lt;Preisindex!$A$6,YEAR(EC$4)&gt;=YEAR($F92),AND($K92&lt;&gt;"a",$K92&lt;&gt;"b",$K92&lt;&gt;"g",$K92&lt;&gt;"k")),1,IF(AND($E92&lt;&gt;0,$F92&gt;0,YEAR($F92)&lt;Preisindex!$A$6,YEAR(EC$4)&gt;=YEAR($F92),$K92="a"),ROUND(VLOOKUP(EH$4,Preisindex,5,FALSE)/VLOOKUP(Preisindex!$A$6,Preisindex,5,FALSE),2),IF(AND($E92&lt;&gt;0,$F92&gt;0,YEAR($F92)&lt;Preisindex!$A$6,YEAR(EC$4)&gt;=YEAR($F92),$K92="b"),ROUND(VLOOKUP(EH$4,Preisindex,3,FALSE)/VLOOKUP(Preisindex!$A$6,Preisindex,3,FALSE),2),IF(AND($E92&lt;&gt;0,$F92&gt;0,YEAR($F92)&lt;Preisindex!$A$6,YEAR(EC$4)&gt;=YEAR($F92),$K92="g"),ROUND(VLOOKUP(EH$4,Preisindex,4,FALSE)/VLOOKUP(Preisindex!$A$6,Preisindex,4,FALSE),2),IF(AND($E92&lt;&gt;0,$F92&gt;0,YEAR($F92)&lt;Preisindex!$A$6,YEAR(EC$4)&gt;=YEAR($F92),$K92="k"),ROUND(VLOOKUP(EH$4,Preisindex,2,FALSE)/VLOOKUP(Preisindex!$A$6,Preisindex,2,FALSE),2),0)))))</f>
        <v>0</v>
      </c>
      <c r="EJ92" s="51">
        <f>IF(AND($E92&lt;&gt;0,$F92&gt;0,YEAR($F92)&lt;=EH$4,YEAR($F92)&gt;=Preisindex!$A$6),ROUND($E92*EH92,2),IF(AND($E92&lt;&gt;0,$F92&gt;0,YEAR($F92)&lt;=EH$4,YEAR($F92)&lt;Preisindex!$A$6),ROUND($E92*EI92,2),0))</f>
        <v>0</v>
      </c>
      <c r="EK92" s="53">
        <f t="shared" si="410"/>
        <v>0</v>
      </c>
      <c r="EL92" s="51">
        <f t="shared" si="447"/>
        <v>0</v>
      </c>
      <c r="EM92" s="51">
        <f t="shared" si="478"/>
        <v>0</v>
      </c>
      <c r="EN92" s="51">
        <f t="shared" si="411"/>
        <v>0</v>
      </c>
      <c r="EO92" s="51">
        <f t="shared" si="479"/>
        <v>0</v>
      </c>
      <c r="EP92" s="51">
        <f t="shared" si="412"/>
        <v>0</v>
      </c>
      <c r="EQ92" s="51">
        <f t="shared" si="480"/>
        <v>0</v>
      </c>
      <c r="ER92" s="51">
        <f t="shared" si="413"/>
        <v>0</v>
      </c>
      <c r="ES92" s="51">
        <f t="shared" si="481"/>
        <v>0</v>
      </c>
      <c r="ET92" s="51">
        <f t="shared" si="414"/>
        <v>0</v>
      </c>
      <c r="EU92" s="51">
        <f t="shared" si="482"/>
        <v>0</v>
      </c>
      <c r="EV92" s="51">
        <f t="shared" si="415"/>
        <v>0</v>
      </c>
      <c r="EW92" s="54">
        <f t="shared" si="416"/>
        <v>0</v>
      </c>
      <c r="EX92" s="55">
        <f t="shared" si="417"/>
        <v>0</v>
      </c>
      <c r="EY92" s="56">
        <f>IF(AND($E92&lt;&gt;0,$F92&gt;0,YEAR($F92)&gt;=Preisindex!$A$6,YEAR(ET$4)&gt;=YEAR($F92),AND($K92&lt;&gt;"a",$K92&lt;&gt;"b",$K92&lt;&gt;"g",$K92&lt;&gt;"k")),1,IF(AND($E92&lt;&gt;0,$F92&gt;0,YEAR($F92)&gt;=Preisindex!$A$6,YEAR(ET$4)&gt;=YEAR($F92),$K92="a"),ROUND(VLOOKUP(EY$4,Preisindex,5,FALSE)/VLOOKUP(YEAR($F92),Preisindex,5,FALSE),2),IF(AND($E92&lt;&gt;0,$F92&gt;0,YEAR($F92)&gt;=Preisindex!$A$6,YEAR(ET$4)&gt;=YEAR($F92),$K92="b"),ROUND(VLOOKUP(EY$4,Preisindex,3,FALSE)/VLOOKUP(YEAR($F92),Preisindex,3,FALSE),2),IF(AND($E92&lt;&gt;0,$F92&gt;0,YEAR($F92)&gt;=Preisindex!$A$6,YEAR(ET$4)&gt;=YEAR($F92),$K92="g"),ROUND(VLOOKUP(EY$4,Preisindex,4,FALSE)/VLOOKUP(YEAR($F92),Preisindex,4,FALSE),2),IF(AND($E92&lt;&gt;0,$F92&gt;0,YEAR($F92)&gt;=Preisindex!$A$6,YEAR(ET$4)&gt;=YEAR($F92),$K92="k"),ROUND(VLOOKUP(EY$4,Preisindex,2,FALSE)/VLOOKUP(YEAR($F92),Preisindex,2,FALSE),2),0)))))</f>
        <v>0</v>
      </c>
      <c r="EZ92" s="56">
        <f>IF(AND($E92&lt;&gt;0,$F92&gt;0,YEAR($F92)&lt;Preisindex!$A$6,YEAR(ET$4)&gt;=YEAR($F92),AND($K92&lt;&gt;"a",$K92&lt;&gt;"b",$K92&lt;&gt;"g",$K92&lt;&gt;"k")),1,IF(AND($E92&lt;&gt;0,$F92&gt;0,YEAR($F92)&lt;Preisindex!$A$6,YEAR(ET$4)&gt;=YEAR($F92),$K92="a"),ROUND(VLOOKUP(EY$4,Preisindex,5,FALSE)/VLOOKUP(Preisindex!$A$6,Preisindex,5,FALSE),2),IF(AND($E92&lt;&gt;0,$F92&gt;0,YEAR($F92)&lt;Preisindex!$A$6,YEAR(ET$4)&gt;=YEAR($F92),$K92="b"),ROUND(VLOOKUP(EY$4,Preisindex,3,FALSE)/VLOOKUP(Preisindex!$A$6,Preisindex,3,FALSE),2),IF(AND($E92&lt;&gt;0,$F92&gt;0,YEAR($F92)&lt;Preisindex!$A$6,YEAR(ET$4)&gt;=YEAR($F92),$K92="g"),ROUND(VLOOKUP(EY$4,Preisindex,4,FALSE)/VLOOKUP(Preisindex!$A$6,Preisindex,4,FALSE),2),IF(AND($E92&lt;&gt;0,$F92&gt;0,YEAR($F92)&lt;Preisindex!$A$6,YEAR(ET$4)&gt;=YEAR($F92),$K92="k"),ROUND(VLOOKUP(EY$4,Preisindex,2,FALSE)/VLOOKUP(Preisindex!$A$6,Preisindex,2,FALSE),2),0)))))</f>
        <v>0</v>
      </c>
      <c r="FA92" s="51">
        <f>IF(AND($E92&lt;&gt;0,$F92&gt;0,YEAR($F92)&lt;=EY$4,YEAR($F92)&gt;=Preisindex!$A$6),ROUND($E92*EY92,2),IF(AND($E92&lt;&gt;0,$F92&gt;0,YEAR($F92)&lt;=EY$4,YEAR($F92)&lt;Preisindex!$A$6),ROUND($E92*EZ92,2),0))</f>
        <v>0</v>
      </c>
      <c r="FB92" s="53">
        <f t="shared" si="418"/>
        <v>0</v>
      </c>
      <c r="FC92" s="51">
        <f t="shared" si="447"/>
        <v>0</v>
      </c>
      <c r="FD92" s="51">
        <f t="shared" si="483"/>
        <v>0</v>
      </c>
      <c r="FE92" s="51">
        <f t="shared" si="419"/>
        <v>0</v>
      </c>
      <c r="FF92" s="51">
        <f t="shared" si="484"/>
        <v>0</v>
      </c>
      <c r="FG92" s="51">
        <f t="shared" si="420"/>
        <v>0</v>
      </c>
      <c r="FH92" s="51">
        <f t="shared" si="485"/>
        <v>0</v>
      </c>
      <c r="FI92" s="51">
        <f t="shared" si="421"/>
        <v>0</v>
      </c>
      <c r="FJ92" s="51">
        <f t="shared" si="486"/>
        <v>0</v>
      </c>
      <c r="FK92" s="51">
        <f t="shared" si="422"/>
        <v>0</v>
      </c>
      <c r="FL92" s="51">
        <f t="shared" si="487"/>
        <v>0</v>
      </c>
      <c r="FM92" s="51">
        <f t="shared" si="423"/>
        <v>0</v>
      </c>
      <c r="FN92" s="54">
        <f t="shared" si="424"/>
        <v>0</v>
      </c>
      <c r="FO92" s="55">
        <f t="shared" si="425"/>
        <v>0</v>
      </c>
      <c r="FP92" s="56">
        <f>IF(AND($E92&lt;&gt;0,$F92&gt;0,YEAR($F92)&gt;=Preisindex!$A$6,YEAR(FK$4)&gt;=YEAR($F92),AND($K92&lt;&gt;"a",$K92&lt;&gt;"b",$K92&lt;&gt;"g",$K92&lt;&gt;"k")),1,IF(AND($E92&lt;&gt;0,$F92&gt;0,YEAR($F92)&gt;=Preisindex!$A$6,YEAR(FK$4)&gt;=YEAR($F92),$K92="a"),ROUND(VLOOKUP(FP$4,Preisindex,5,FALSE)/VLOOKUP(YEAR($F92),Preisindex,5,FALSE),2),IF(AND($E92&lt;&gt;0,$F92&gt;0,YEAR($F92)&gt;=Preisindex!$A$6,YEAR(FK$4)&gt;=YEAR($F92),$K92="b"),ROUND(VLOOKUP(FP$4,Preisindex,3,FALSE)/VLOOKUP(YEAR($F92),Preisindex,3,FALSE),2),IF(AND($E92&lt;&gt;0,$F92&gt;0,YEAR($F92)&gt;=Preisindex!$A$6,YEAR(FK$4)&gt;=YEAR($F92),$K92="g"),ROUND(VLOOKUP(FP$4,Preisindex,4,FALSE)/VLOOKUP(YEAR($F92),Preisindex,4,FALSE),2),IF(AND($E92&lt;&gt;0,$F92&gt;0,YEAR($F92)&gt;=Preisindex!$A$6,YEAR(FK$4)&gt;=YEAR($F92),$K92="k"),ROUND(VLOOKUP(FP$4,Preisindex,2,FALSE)/VLOOKUP(YEAR($F92),Preisindex,2,FALSE),2),0)))))</f>
        <v>0</v>
      </c>
      <c r="FQ92" s="56">
        <f>IF(AND($E92&lt;&gt;0,$F92&gt;0,YEAR($F92)&lt;Preisindex!$A$6,YEAR(FK$4)&gt;=YEAR($F92),AND($K92&lt;&gt;"a",$K92&lt;&gt;"b",$K92&lt;&gt;"g",$K92&lt;&gt;"k")),1,IF(AND($E92&lt;&gt;0,$F92&gt;0,YEAR($F92)&lt;Preisindex!$A$6,YEAR(FK$4)&gt;=YEAR($F92),$K92="a"),ROUND(VLOOKUP(FP$4,Preisindex,5,FALSE)/VLOOKUP(Preisindex!$A$6,Preisindex,5,FALSE),2),IF(AND($E92&lt;&gt;0,$F92&gt;0,YEAR($F92)&lt;Preisindex!$A$6,YEAR(FK$4)&gt;=YEAR($F92),$K92="b"),ROUND(VLOOKUP(FP$4,Preisindex,3,FALSE)/VLOOKUP(Preisindex!$A$6,Preisindex,3,FALSE),2),IF(AND($E92&lt;&gt;0,$F92&gt;0,YEAR($F92)&lt;Preisindex!$A$6,YEAR(FK$4)&gt;=YEAR($F92),$K92="g"),ROUND(VLOOKUP(FP$4,Preisindex,4,FALSE)/VLOOKUP(Preisindex!$A$6,Preisindex,4,FALSE),2),IF(AND($E92&lt;&gt;0,$F92&gt;0,YEAR($F92)&lt;Preisindex!$A$6,YEAR(FK$4)&gt;=YEAR($F92),$K92="k"),ROUND(VLOOKUP(FP$4,Preisindex,2,FALSE)/VLOOKUP(Preisindex!$A$6,Preisindex,2,FALSE),2),0)))))</f>
        <v>0</v>
      </c>
      <c r="FR92" s="51">
        <f>IF(AND($E92&lt;&gt;0,$F92&gt;0,YEAR($F92)&lt;=FP$4,YEAR($F92)&gt;=Preisindex!$A$6),ROUND($E92*FP92,2),IF(AND($E92&lt;&gt;0,$F92&gt;0,YEAR($F92)&lt;=FP$4,YEAR($F92)&lt;Preisindex!$A$6),ROUND($E92*FQ92,2),0))</f>
        <v>0</v>
      </c>
      <c r="FS92" s="53">
        <f t="shared" si="426"/>
        <v>0</v>
      </c>
    </row>
    <row r="93" spans="1:175" x14ac:dyDescent="0.3">
      <c r="A93" s="195"/>
      <c r="B93" s="196"/>
      <c r="C93" s="196"/>
      <c r="D93" s="188"/>
      <c r="E93" s="99"/>
      <c r="F93" s="97"/>
      <c r="G93" s="100"/>
      <c r="H93" s="620"/>
      <c r="I93" s="621"/>
      <c r="J93" s="194"/>
      <c r="K93" s="630"/>
      <c r="L93" s="49">
        <f t="shared" si="427"/>
        <v>0</v>
      </c>
      <c r="M93" s="50">
        <f t="shared" si="428"/>
        <v>0</v>
      </c>
      <c r="N93" s="51">
        <f t="shared" si="429"/>
        <v>0</v>
      </c>
      <c r="O93" s="51"/>
      <c r="P93" s="51">
        <f t="shared" si="430"/>
        <v>0</v>
      </c>
      <c r="Q93" s="52"/>
      <c r="R93" s="52"/>
      <c r="S93" s="52"/>
      <c r="T93" s="52"/>
      <c r="U93" s="52"/>
      <c r="V93" s="53">
        <f t="shared" si="431"/>
        <v>0</v>
      </c>
      <c r="W93" s="51">
        <f t="shared" si="432"/>
        <v>0</v>
      </c>
      <c r="X93" s="51">
        <f t="shared" si="433"/>
        <v>0</v>
      </c>
      <c r="Y93" s="51">
        <f t="shared" si="434"/>
        <v>0</v>
      </c>
      <c r="Z93" s="51">
        <f t="shared" si="435"/>
        <v>0</v>
      </c>
      <c r="AA93" s="51">
        <f t="shared" si="436"/>
        <v>0</v>
      </c>
      <c r="AB93" s="51">
        <f t="shared" si="437"/>
        <v>0</v>
      </c>
      <c r="AC93" s="51">
        <f t="shared" si="438"/>
        <v>0</v>
      </c>
      <c r="AD93" s="51">
        <f t="shared" si="439"/>
        <v>0</v>
      </c>
      <c r="AE93" s="51">
        <f t="shared" si="440"/>
        <v>0</v>
      </c>
      <c r="AF93" s="51">
        <f t="shared" si="441"/>
        <v>0</v>
      </c>
      <c r="AG93" s="51">
        <f t="shared" si="442"/>
        <v>0</v>
      </c>
      <c r="AH93" s="54">
        <f t="shared" si="443"/>
        <v>0</v>
      </c>
      <c r="AI93" s="55">
        <f t="shared" si="444"/>
        <v>0</v>
      </c>
      <c r="AJ93" s="56">
        <f>IF(AND($E93&lt;&gt;0,$F93&gt;0,YEAR($F93)&gt;=Preisindex!$A$6,YEAR(AE$4)&gt;=YEAR($F93),AND($K93&lt;&gt;"a",$K93&lt;&gt;"b",$K93&lt;&gt;"g",$K93&lt;&gt;"k")),1,IF(AND($E93&lt;&gt;0,$F93&gt;0,YEAR($F93)&gt;=Preisindex!$A$6,YEAR(AE$4)&gt;=YEAR($F93),$K93="a"),ROUND(VLOOKUP(AJ$4,Preisindex,5,FALSE)/VLOOKUP(YEAR($F93),Preisindex,5,FALSE),2),IF(AND($E93&lt;&gt;0,$F93&gt;0,YEAR($F93)&gt;=Preisindex!$A$6,YEAR(AE$4)&gt;=YEAR($F93),$K93="b"),ROUND(VLOOKUP(AJ$4,Preisindex,3,FALSE)/VLOOKUP(YEAR($F93),Preisindex,3,FALSE),2),IF(AND($E93&lt;&gt;0,$F93&gt;0,YEAR($F93)&gt;=Preisindex!$A$6,YEAR(AE$4)&gt;=YEAR($F93),$K93="g"),ROUND(VLOOKUP(AJ$4,Preisindex,4,FALSE)/VLOOKUP(YEAR($F93),Preisindex,4,FALSE),2),IF(AND($E93&lt;&gt;0,$F93&gt;0,YEAR($F93)&gt;=Preisindex!$A$6,YEAR(AE$4)&gt;=YEAR($F93),$K93="k"),ROUND(VLOOKUP(AJ$4,Preisindex,2,FALSE)/VLOOKUP(YEAR($F93),Preisindex,2,FALSE),2),0)))))</f>
        <v>0</v>
      </c>
      <c r="AK93" s="56">
        <f>IF(AND($E93&lt;&gt;0,$F93&gt;0,YEAR($F93)&lt;Preisindex!$A$6,YEAR(AE$4)&gt;=YEAR($F93),AND($K93&lt;&gt;"a",$K93&lt;&gt;"b",$K93&lt;&gt;"g",$K93&lt;&gt;"k")),1,IF(AND($E93&lt;&gt;0,$F93&gt;0,YEAR($F93)&lt;Preisindex!$A$6,YEAR(AE$4)&gt;=YEAR($F93),$K93="a"),ROUND(VLOOKUP(AJ$4,Preisindex,5,FALSE)/VLOOKUP(Preisindex!$A$6,Preisindex,5,FALSE),2),IF(AND($E93&lt;&gt;0,$F93&gt;0,YEAR($F93)&lt;Preisindex!$A$6,YEAR(AE$4)&gt;=YEAR($F93),$K93="b"),ROUND(VLOOKUP(AJ$4,Preisindex,3,FALSE)/VLOOKUP(Preisindex!$A$6,Preisindex,3,FALSE),2),IF(AND($E93&lt;&gt;0,$F93&gt;0,YEAR($F93)&lt;Preisindex!$A$6,YEAR(AE$4)&gt;=YEAR($F93),$K93="g"),ROUND(VLOOKUP(AJ$4,Preisindex,4,FALSE)/VLOOKUP(Preisindex!$A$6,Preisindex,4,FALSE),2),IF(AND($E93&lt;&gt;0,$F93&gt;0,YEAR($F93)&lt;Preisindex!$A$6,YEAR(AE$4)&gt;=YEAR($F93),$K93="k"),ROUND(VLOOKUP(AJ$4,Preisindex,2,FALSE)/VLOOKUP(Preisindex!$A$6,Preisindex,2,FALSE),2),0)))))</f>
        <v>0</v>
      </c>
      <c r="AL93" s="51">
        <f>IF(AND($E93&lt;&gt;0,$F93&gt;0,YEAR($F93)&lt;=AJ$4,YEAR($F93)&gt;=Preisindex!$A$6),ROUND($E93*AJ93,2),IF(AND($E93&lt;&gt;0,$F93&gt;0,YEAR($F93)&lt;=AJ$4,YEAR($F93)&lt;Preisindex!$A$6),ROUND($E93*AK93,2),0))</f>
        <v>0</v>
      </c>
      <c r="AM93" s="53">
        <f t="shared" si="445"/>
        <v>0</v>
      </c>
      <c r="AN93" s="51">
        <f t="shared" si="446"/>
        <v>0</v>
      </c>
      <c r="AO93" s="51">
        <f t="shared" si="448"/>
        <v>0</v>
      </c>
      <c r="AP93" s="51">
        <f t="shared" si="362"/>
        <v>0</v>
      </c>
      <c r="AQ93" s="51">
        <f t="shared" si="449"/>
        <v>0</v>
      </c>
      <c r="AR93" s="51">
        <f t="shared" si="363"/>
        <v>0</v>
      </c>
      <c r="AS93" s="51">
        <f t="shared" si="450"/>
        <v>0</v>
      </c>
      <c r="AT93" s="51">
        <f t="shared" si="364"/>
        <v>0</v>
      </c>
      <c r="AU93" s="51">
        <f t="shared" si="451"/>
        <v>0</v>
      </c>
      <c r="AV93" s="51">
        <f t="shared" si="365"/>
        <v>0</v>
      </c>
      <c r="AW93" s="51">
        <f t="shared" si="452"/>
        <v>0</v>
      </c>
      <c r="AX93" s="51">
        <f t="shared" si="366"/>
        <v>0</v>
      </c>
      <c r="AY93" s="54">
        <f t="shared" si="367"/>
        <v>0</v>
      </c>
      <c r="AZ93" s="55">
        <f t="shared" si="368"/>
        <v>0</v>
      </c>
      <c r="BA93" s="56">
        <f>IF(AND($E93&lt;&gt;0,$F93&gt;0,YEAR($F93)&gt;=Preisindex!$A$6,YEAR(AV$4)&gt;=YEAR($F93),AND($K93&lt;&gt;"a",$K93&lt;&gt;"b",$K93&lt;&gt;"g",$K93&lt;&gt;"k")),1,IF(AND($E93&lt;&gt;0,$F93&gt;0,YEAR($F93)&gt;=Preisindex!$A$6,YEAR(AV$4)&gt;=YEAR($F93),$K93="a"),ROUND(VLOOKUP(BA$4,Preisindex,5,FALSE)/VLOOKUP(YEAR($F93),Preisindex,5,FALSE),2),IF(AND($E93&lt;&gt;0,$F93&gt;0,YEAR($F93)&gt;=Preisindex!$A$6,YEAR(AV$4)&gt;=YEAR($F93),$K93="b"),ROUND(VLOOKUP(BA$4,Preisindex,3,FALSE)/VLOOKUP(YEAR($F93),Preisindex,3,FALSE),2),IF(AND($E93&lt;&gt;0,$F93&gt;0,YEAR($F93)&gt;=Preisindex!$A$6,YEAR(AV$4)&gt;=YEAR($F93),$K93="g"),ROUND(VLOOKUP(BA$4,Preisindex,4,FALSE)/VLOOKUP(YEAR($F93),Preisindex,4,FALSE),2),IF(AND($E93&lt;&gt;0,$F93&gt;0,YEAR($F93)&gt;=Preisindex!$A$6,YEAR(AV$4)&gt;=YEAR($F93),$K93="k"),ROUND(VLOOKUP(BA$4,Preisindex,2,FALSE)/VLOOKUP(YEAR($F93),Preisindex,2,FALSE),2),0)))))</f>
        <v>0</v>
      </c>
      <c r="BB93" s="56">
        <f>IF(AND($E93&lt;&gt;0,$F93&gt;0,YEAR($F93)&lt;Preisindex!$A$6,YEAR(AV$4)&gt;=YEAR($F93),AND($K93&lt;&gt;"a",$K93&lt;&gt;"b",$K93&lt;&gt;"g",$K93&lt;&gt;"k")),1,IF(AND($E93&lt;&gt;0,$F93&gt;0,YEAR($F93)&lt;Preisindex!$A$6,YEAR(AV$4)&gt;=YEAR($F93),$K93="a"),ROUND(VLOOKUP(BA$4,Preisindex,5,FALSE)/VLOOKUP(Preisindex!$A$6,Preisindex,5,FALSE),2),IF(AND($E93&lt;&gt;0,$F93&gt;0,YEAR($F93)&lt;Preisindex!$A$6,YEAR(AV$4)&gt;=YEAR($F93),$K93="b"),ROUND(VLOOKUP(BA$4,Preisindex,3,FALSE)/VLOOKUP(Preisindex!$A$6,Preisindex,3,FALSE),2),IF(AND($E93&lt;&gt;0,$F93&gt;0,YEAR($F93)&lt;Preisindex!$A$6,YEAR(AV$4)&gt;=YEAR($F93),$K93="g"),ROUND(VLOOKUP(BA$4,Preisindex,4,FALSE)/VLOOKUP(Preisindex!$A$6,Preisindex,4,FALSE),2),IF(AND($E93&lt;&gt;0,$F93&gt;0,YEAR($F93)&lt;Preisindex!$A$6,YEAR(AV$4)&gt;=YEAR($F93),$K93="k"),ROUND(VLOOKUP(BA$4,Preisindex,2,FALSE)/VLOOKUP(Preisindex!$A$6,Preisindex,2,FALSE),2),0)))))</f>
        <v>0</v>
      </c>
      <c r="BC93" s="51">
        <f>IF(AND($E93&lt;&gt;0,$F93&gt;0,YEAR($F93)&lt;=BA$4,YEAR($F93)&gt;=Preisindex!$A$6),ROUND($E93*BA93,2),IF(AND($E93&lt;&gt;0,$F93&gt;0,YEAR($F93)&lt;=BA$4,YEAR($F93)&lt;Preisindex!$A$6),ROUND($E93*BB93,2),0))</f>
        <v>0</v>
      </c>
      <c r="BD93" s="53">
        <f t="shared" si="369"/>
        <v>0</v>
      </c>
      <c r="BE93" s="51">
        <f t="shared" si="446"/>
        <v>0</v>
      </c>
      <c r="BF93" s="51">
        <f t="shared" si="453"/>
        <v>0</v>
      </c>
      <c r="BG93" s="51">
        <f t="shared" si="370"/>
        <v>0</v>
      </c>
      <c r="BH93" s="51">
        <f t="shared" si="454"/>
        <v>0</v>
      </c>
      <c r="BI93" s="51">
        <f t="shared" si="371"/>
        <v>0</v>
      </c>
      <c r="BJ93" s="51">
        <f t="shared" si="455"/>
        <v>0</v>
      </c>
      <c r="BK93" s="51">
        <f t="shared" si="372"/>
        <v>0</v>
      </c>
      <c r="BL93" s="51">
        <f t="shared" si="456"/>
        <v>0</v>
      </c>
      <c r="BM93" s="51">
        <f t="shared" si="373"/>
        <v>0</v>
      </c>
      <c r="BN93" s="51">
        <f t="shared" si="457"/>
        <v>0</v>
      </c>
      <c r="BO93" s="51">
        <f t="shared" si="374"/>
        <v>0</v>
      </c>
      <c r="BP93" s="54">
        <f t="shared" si="375"/>
        <v>0</v>
      </c>
      <c r="BQ93" s="55">
        <f t="shared" si="376"/>
        <v>0</v>
      </c>
      <c r="BR93" s="56">
        <f>IF(AND($E93&lt;&gt;0,$F93&gt;0,YEAR($F93)&gt;=Preisindex!$A$6,YEAR(BM$4)&gt;=YEAR($F93),AND($K93&lt;&gt;"a",$K93&lt;&gt;"b",$K93&lt;&gt;"g",$K93&lt;&gt;"k")),1,IF(AND($E93&lt;&gt;0,$F93&gt;0,YEAR($F93)&gt;=Preisindex!$A$6,YEAR(BM$4)&gt;=YEAR($F93),$K93="a"),ROUND(VLOOKUP(BR$4,Preisindex,5,FALSE)/VLOOKUP(YEAR($F93),Preisindex,5,FALSE),2),IF(AND($E93&lt;&gt;0,$F93&gt;0,YEAR($F93)&gt;=Preisindex!$A$6,YEAR(BM$4)&gt;=YEAR($F93),$K93="b"),ROUND(VLOOKUP(BR$4,Preisindex,3,FALSE)/VLOOKUP(YEAR($F93),Preisindex,3,FALSE),2),IF(AND($E93&lt;&gt;0,$F93&gt;0,YEAR($F93)&gt;=Preisindex!$A$6,YEAR(BM$4)&gt;=YEAR($F93),$K93="g"),ROUND(VLOOKUP(BR$4,Preisindex,4,FALSE)/VLOOKUP(YEAR($F93),Preisindex,4,FALSE),2),IF(AND($E93&lt;&gt;0,$F93&gt;0,YEAR($F93)&gt;=Preisindex!$A$6,YEAR(BM$4)&gt;=YEAR($F93),$K93="k"),ROUND(VLOOKUP(BR$4,Preisindex,2,FALSE)/VLOOKUP(YEAR($F93),Preisindex,2,FALSE),2),0)))))</f>
        <v>0</v>
      </c>
      <c r="BS93" s="56">
        <f>IF(AND($E93&lt;&gt;0,$F93&gt;0,YEAR($F93)&lt;Preisindex!$A$6,YEAR(BM$4)&gt;=YEAR($F93),AND($K93&lt;&gt;"a",$K93&lt;&gt;"b",$K93&lt;&gt;"g",$K93&lt;&gt;"k")),1,IF(AND($E93&lt;&gt;0,$F93&gt;0,YEAR($F93)&lt;Preisindex!$A$6,YEAR(BM$4)&gt;=YEAR($F93),$K93="a"),ROUND(VLOOKUP(BR$4,Preisindex,5,FALSE)/VLOOKUP(Preisindex!$A$6,Preisindex,5,FALSE),2),IF(AND($E93&lt;&gt;0,$F93&gt;0,YEAR($F93)&lt;Preisindex!$A$6,YEAR(BM$4)&gt;=YEAR($F93),$K93="b"),ROUND(VLOOKUP(BR$4,Preisindex,3,FALSE)/VLOOKUP(Preisindex!$A$6,Preisindex,3,FALSE),2),IF(AND($E93&lt;&gt;0,$F93&gt;0,YEAR($F93)&lt;Preisindex!$A$6,YEAR(BM$4)&gt;=YEAR($F93),$K93="g"),ROUND(VLOOKUP(BR$4,Preisindex,4,FALSE)/VLOOKUP(Preisindex!$A$6,Preisindex,4,FALSE),2),IF(AND($E93&lt;&gt;0,$F93&gt;0,YEAR($F93)&lt;Preisindex!$A$6,YEAR(BM$4)&gt;=YEAR($F93),$K93="k"),ROUND(VLOOKUP(BR$4,Preisindex,2,FALSE)/VLOOKUP(Preisindex!$A$6,Preisindex,2,FALSE),2),0)))))</f>
        <v>0</v>
      </c>
      <c r="BT93" s="51">
        <f>IF(AND($E93&lt;&gt;0,$F93&gt;0,YEAR($F93)&lt;=BR$4,YEAR($F93)&gt;=Preisindex!$A$6),ROUND($E93*BR93,2),IF(AND($E93&lt;&gt;0,$F93&gt;0,YEAR($F93)&lt;=BR$4,YEAR($F93)&lt;Preisindex!$A$6),ROUND($E93*BS93,2),0))</f>
        <v>0</v>
      </c>
      <c r="BU93" s="53">
        <f t="shared" si="377"/>
        <v>0</v>
      </c>
      <c r="BV93" s="51">
        <f t="shared" si="446"/>
        <v>0</v>
      </c>
      <c r="BW93" s="51">
        <f t="shared" si="458"/>
        <v>0</v>
      </c>
      <c r="BX93" s="51">
        <f t="shared" si="378"/>
        <v>0</v>
      </c>
      <c r="BY93" s="51">
        <f t="shared" si="459"/>
        <v>0</v>
      </c>
      <c r="BZ93" s="51">
        <f t="shared" si="379"/>
        <v>0</v>
      </c>
      <c r="CA93" s="51">
        <f t="shared" si="460"/>
        <v>0</v>
      </c>
      <c r="CB93" s="51">
        <f t="shared" si="380"/>
        <v>0</v>
      </c>
      <c r="CC93" s="51">
        <f t="shared" si="461"/>
        <v>0</v>
      </c>
      <c r="CD93" s="51">
        <f t="shared" si="381"/>
        <v>0</v>
      </c>
      <c r="CE93" s="51">
        <f t="shared" si="462"/>
        <v>0</v>
      </c>
      <c r="CF93" s="51">
        <f t="shared" si="382"/>
        <v>0</v>
      </c>
      <c r="CG93" s="54">
        <f t="shared" si="383"/>
        <v>0</v>
      </c>
      <c r="CH93" s="55">
        <f t="shared" si="384"/>
        <v>0</v>
      </c>
      <c r="CI93" s="56">
        <f>IF(AND($E93&lt;&gt;0,$F93&gt;0,YEAR($F93)&gt;=Preisindex!$A$6,YEAR(CD$4)&gt;=YEAR($F93),AND($K93&lt;&gt;"a",$K93&lt;&gt;"b",$K93&lt;&gt;"g",$K93&lt;&gt;"k")),1,IF(AND($E93&lt;&gt;0,$F93&gt;0,YEAR($F93)&gt;=Preisindex!$A$6,YEAR(CD$4)&gt;=YEAR($F93),$K93="a"),ROUND(VLOOKUP(CI$4,Preisindex,5,FALSE)/VLOOKUP(YEAR($F93),Preisindex,5,FALSE),2),IF(AND($E93&lt;&gt;0,$F93&gt;0,YEAR($F93)&gt;=Preisindex!$A$6,YEAR(CD$4)&gt;=YEAR($F93),$K93="b"),ROUND(VLOOKUP(CI$4,Preisindex,3,FALSE)/VLOOKUP(YEAR($F93),Preisindex,3,FALSE),2),IF(AND($E93&lt;&gt;0,$F93&gt;0,YEAR($F93)&gt;=Preisindex!$A$6,YEAR(CD$4)&gt;=YEAR($F93),$K93="g"),ROUND(VLOOKUP(CI$4,Preisindex,4,FALSE)/VLOOKUP(YEAR($F93),Preisindex,4,FALSE),2),IF(AND($E93&lt;&gt;0,$F93&gt;0,YEAR($F93)&gt;=Preisindex!$A$6,YEAR(CD$4)&gt;=YEAR($F93),$K93="k"),ROUND(VLOOKUP(CI$4,Preisindex,2,FALSE)/VLOOKUP(YEAR($F93),Preisindex,2,FALSE),2),0)))))</f>
        <v>0</v>
      </c>
      <c r="CJ93" s="56">
        <f>IF(AND($E93&lt;&gt;0,$F93&gt;0,YEAR($F93)&lt;Preisindex!$A$6,YEAR(CD$4)&gt;=YEAR($F93),AND($K93&lt;&gt;"a",$K93&lt;&gt;"b",$K93&lt;&gt;"g",$K93&lt;&gt;"k")),1,IF(AND($E93&lt;&gt;0,$F93&gt;0,YEAR($F93)&lt;Preisindex!$A$6,YEAR(CD$4)&gt;=YEAR($F93),$K93="a"),ROUND(VLOOKUP(CI$4,Preisindex,5,FALSE)/VLOOKUP(Preisindex!$A$6,Preisindex,5,FALSE),2),IF(AND($E93&lt;&gt;0,$F93&gt;0,YEAR($F93)&lt;Preisindex!$A$6,YEAR(CD$4)&gt;=YEAR($F93),$K93="b"),ROUND(VLOOKUP(CI$4,Preisindex,3,FALSE)/VLOOKUP(Preisindex!$A$6,Preisindex,3,FALSE),2),IF(AND($E93&lt;&gt;0,$F93&gt;0,YEAR($F93)&lt;Preisindex!$A$6,YEAR(CD$4)&gt;=YEAR($F93),$K93="g"),ROUND(VLOOKUP(CI$4,Preisindex,4,FALSE)/VLOOKUP(Preisindex!$A$6,Preisindex,4,FALSE),2),IF(AND($E93&lt;&gt;0,$F93&gt;0,YEAR($F93)&lt;Preisindex!$A$6,YEAR(CD$4)&gt;=YEAR($F93),$K93="k"),ROUND(VLOOKUP(CI$4,Preisindex,2,FALSE)/VLOOKUP(Preisindex!$A$6,Preisindex,2,FALSE),2),0)))))</f>
        <v>0</v>
      </c>
      <c r="CK93" s="51">
        <f>IF(AND($E93&lt;&gt;0,$F93&gt;0,YEAR($F93)&lt;=CI$4,YEAR($F93)&gt;=Preisindex!$A$6),ROUND($E93*CI93,2),IF(AND($E93&lt;&gt;0,$F93&gt;0,YEAR($F93)&lt;=CI$4,YEAR($F93)&lt;Preisindex!$A$6),ROUND($E93*CJ93,2),0))</f>
        <v>0</v>
      </c>
      <c r="CL93" s="53">
        <f t="shared" si="385"/>
        <v>0</v>
      </c>
      <c r="CM93" s="51">
        <f t="shared" si="446"/>
        <v>0</v>
      </c>
      <c r="CN93" s="51">
        <f t="shared" si="463"/>
        <v>0</v>
      </c>
      <c r="CO93" s="51">
        <f t="shared" si="386"/>
        <v>0</v>
      </c>
      <c r="CP93" s="51">
        <f t="shared" si="464"/>
        <v>0</v>
      </c>
      <c r="CQ93" s="51">
        <f t="shared" si="387"/>
        <v>0</v>
      </c>
      <c r="CR93" s="51">
        <f t="shared" si="465"/>
        <v>0</v>
      </c>
      <c r="CS93" s="51">
        <f t="shared" si="388"/>
        <v>0</v>
      </c>
      <c r="CT93" s="51">
        <f t="shared" si="466"/>
        <v>0</v>
      </c>
      <c r="CU93" s="51">
        <f t="shared" si="389"/>
        <v>0</v>
      </c>
      <c r="CV93" s="51">
        <f t="shared" si="467"/>
        <v>0</v>
      </c>
      <c r="CW93" s="51">
        <f t="shared" si="390"/>
        <v>0</v>
      </c>
      <c r="CX93" s="54">
        <f t="shared" si="391"/>
        <v>0</v>
      </c>
      <c r="CY93" s="55">
        <f t="shared" si="392"/>
        <v>0</v>
      </c>
      <c r="CZ93" s="56">
        <f>IF(AND($E93&lt;&gt;0,$F93&gt;0,YEAR($F93)&gt;=Preisindex!$A$6,YEAR(CU$4)&gt;=YEAR($F93),AND($K93&lt;&gt;"a",$K93&lt;&gt;"b",$K93&lt;&gt;"g",$K93&lt;&gt;"k")),1,IF(AND($E93&lt;&gt;0,$F93&gt;0,YEAR($F93)&gt;=Preisindex!$A$6,YEAR(CU$4)&gt;=YEAR($F93),$K93="a"),ROUND(VLOOKUP(CZ$4,Preisindex,5,FALSE)/VLOOKUP(YEAR($F93),Preisindex,5,FALSE),2),IF(AND($E93&lt;&gt;0,$F93&gt;0,YEAR($F93)&gt;=Preisindex!$A$6,YEAR(CU$4)&gt;=YEAR($F93),$K93="b"),ROUND(VLOOKUP(CZ$4,Preisindex,3,FALSE)/VLOOKUP(YEAR($F93),Preisindex,3,FALSE),2),IF(AND($E93&lt;&gt;0,$F93&gt;0,YEAR($F93)&gt;=Preisindex!$A$6,YEAR(CU$4)&gt;=YEAR($F93),$K93="g"),ROUND(VLOOKUP(CZ$4,Preisindex,4,FALSE)/VLOOKUP(YEAR($F93),Preisindex,4,FALSE),2),IF(AND($E93&lt;&gt;0,$F93&gt;0,YEAR($F93)&gt;=Preisindex!$A$6,YEAR(CU$4)&gt;=YEAR($F93),$K93="k"),ROUND(VLOOKUP(CZ$4,Preisindex,2,FALSE)/VLOOKUP(YEAR($F93),Preisindex,2,FALSE),2),0)))))</f>
        <v>0</v>
      </c>
      <c r="DA93" s="56">
        <f>IF(AND($E93&lt;&gt;0,$F93&gt;0,YEAR($F93)&lt;Preisindex!$A$6,YEAR(CU$4)&gt;=YEAR($F93),AND($K93&lt;&gt;"a",$K93&lt;&gt;"b",$K93&lt;&gt;"g",$K93&lt;&gt;"k")),1,IF(AND($E93&lt;&gt;0,$F93&gt;0,YEAR($F93)&lt;Preisindex!$A$6,YEAR(CU$4)&gt;=YEAR($F93),$K93="a"),ROUND(VLOOKUP(CZ$4,Preisindex,5,FALSE)/VLOOKUP(Preisindex!$A$6,Preisindex,5,FALSE),2),IF(AND($E93&lt;&gt;0,$F93&gt;0,YEAR($F93)&lt;Preisindex!$A$6,YEAR(CU$4)&gt;=YEAR($F93),$K93="b"),ROUND(VLOOKUP(CZ$4,Preisindex,3,FALSE)/VLOOKUP(Preisindex!$A$6,Preisindex,3,FALSE),2),IF(AND($E93&lt;&gt;0,$F93&gt;0,YEAR($F93)&lt;Preisindex!$A$6,YEAR(CU$4)&gt;=YEAR($F93),$K93="g"),ROUND(VLOOKUP(CZ$4,Preisindex,4,FALSE)/VLOOKUP(Preisindex!$A$6,Preisindex,4,FALSE),2),IF(AND($E93&lt;&gt;0,$F93&gt;0,YEAR($F93)&lt;Preisindex!$A$6,YEAR(CU$4)&gt;=YEAR($F93),$K93="k"),ROUND(VLOOKUP(CZ$4,Preisindex,2,FALSE)/VLOOKUP(Preisindex!$A$6,Preisindex,2,FALSE),2),0)))))</f>
        <v>0</v>
      </c>
      <c r="DB93" s="51">
        <f>IF(AND($E93&lt;&gt;0,$F93&gt;0,YEAR($F93)&lt;=CZ$4,YEAR($F93)&gt;=Preisindex!$A$6),ROUND($E93*CZ93,2),IF(AND($E93&lt;&gt;0,$F93&gt;0,YEAR($F93)&lt;=CZ$4,YEAR($F93)&lt;Preisindex!$A$6),ROUND($E93*DA93,2),0))</f>
        <v>0</v>
      </c>
      <c r="DC93" s="53">
        <f t="shared" si="393"/>
        <v>0</v>
      </c>
      <c r="DD93" s="51">
        <f t="shared" si="447"/>
        <v>0</v>
      </c>
      <c r="DE93" s="51">
        <f t="shared" si="468"/>
        <v>0</v>
      </c>
      <c r="DF93" s="51">
        <f t="shared" si="395"/>
        <v>0</v>
      </c>
      <c r="DG93" s="51">
        <f t="shared" si="469"/>
        <v>0</v>
      </c>
      <c r="DH93" s="51">
        <f t="shared" si="396"/>
        <v>0</v>
      </c>
      <c r="DI93" s="51">
        <f t="shared" si="470"/>
        <v>0</v>
      </c>
      <c r="DJ93" s="51">
        <f t="shared" si="397"/>
        <v>0</v>
      </c>
      <c r="DK93" s="51">
        <f t="shared" si="471"/>
        <v>0</v>
      </c>
      <c r="DL93" s="51">
        <f t="shared" si="398"/>
        <v>0</v>
      </c>
      <c r="DM93" s="51">
        <f t="shared" si="472"/>
        <v>0</v>
      </c>
      <c r="DN93" s="51">
        <f t="shared" si="399"/>
        <v>0</v>
      </c>
      <c r="DO93" s="54">
        <f t="shared" si="400"/>
        <v>0</v>
      </c>
      <c r="DP93" s="55">
        <f t="shared" si="401"/>
        <v>0</v>
      </c>
      <c r="DQ93" s="56">
        <f>IF(AND($E93&lt;&gt;0,$F93&gt;0,YEAR($F93)&gt;=Preisindex!$A$6,YEAR(DL$4)&gt;=YEAR($F93),AND($K93&lt;&gt;"a",$K93&lt;&gt;"b",$K93&lt;&gt;"g",$K93&lt;&gt;"k")),1,IF(AND($E93&lt;&gt;0,$F93&gt;0,YEAR($F93)&gt;=Preisindex!$A$6,YEAR(DL$4)&gt;=YEAR($F93),$K93="a"),ROUND(VLOOKUP(DQ$4,Preisindex,5,FALSE)/VLOOKUP(YEAR($F93),Preisindex,5,FALSE),2),IF(AND($E93&lt;&gt;0,$F93&gt;0,YEAR($F93)&gt;=Preisindex!$A$6,YEAR(DL$4)&gt;=YEAR($F93),$K93="b"),ROUND(VLOOKUP(DQ$4,Preisindex,3,FALSE)/VLOOKUP(YEAR($F93),Preisindex,3,FALSE),2),IF(AND($E93&lt;&gt;0,$F93&gt;0,YEAR($F93)&gt;=Preisindex!$A$6,YEAR(DL$4)&gt;=YEAR($F93),$K93="g"),ROUND(VLOOKUP(DQ$4,Preisindex,4,FALSE)/VLOOKUP(YEAR($F93),Preisindex,4,FALSE),2),IF(AND($E93&lt;&gt;0,$F93&gt;0,YEAR($F93)&gt;=Preisindex!$A$6,YEAR(DL$4)&gt;=YEAR($F93),$K93="k"),ROUND(VLOOKUP(DQ$4,Preisindex,2,FALSE)/VLOOKUP(YEAR($F93),Preisindex,2,FALSE),2),0)))))</f>
        <v>0</v>
      </c>
      <c r="DR93" s="56">
        <f>IF(AND($E93&lt;&gt;0,$F93&gt;0,YEAR($F93)&lt;Preisindex!$A$6,YEAR(DL$4)&gt;=YEAR($F93),AND($K93&lt;&gt;"a",$K93&lt;&gt;"b",$K93&lt;&gt;"g",$K93&lt;&gt;"k")),1,IF(AND($E93&lt;&gt;0,$F93&gt;0,YEAR($F93)&lt;Preisindex!$A$6,YEAR(DL$4)&gt;=YEAR($F93),$K93="a"),ROUND(VLOOKUP(DQ$4,Preisindex,5,FALSE)/VLOOKUP(Preisindex!$A$6,Preisindex,5,FALSE),2),IF(AND($E93&lt;&gt;0,$F93&gt;0,YEAR($F93)&lt;Preisindex!$A$6,YEAR(DL$4)&gt;=YEAR($F93),$K93="b"),ROUND(VLOOKUP(DQ$4,Preisindex,3,FALSE)/VLOOKUP(Preisindex!$A$6,Preisindex,3,FALSE),2),IF(AND($E93&lt;&gt;0,$F93&gt;0,YEAR($F93)&lt;Preisindex!$A$6,YEAR(DL$4)&gt;=YEAR($F93),$K93="g"),ROUND(VLOOKUP(DQ$4,Preisindex,4,FALSE)/VLOOKUP(Preisindex!$A$6,Preisindex,4,FALSE),2),IF(AND($E93&lt;&gt;0,$F93&gt;0,YEAR($F93)&lt;Preisindex!$A$6,YEAR(DL$4)&gt;=YEAR($F93),$K93="k"),ROUND(VLOOKUP(DQ$4,Preisindex,2,FALSE)/VLOOKUP(Preisindex!$A$6,Preisindex,2,FALSE),2),0)))))</f>
        <v>0</v>
      </c>
      <c r="DS93" s="51">
        <f>IF(AND($E93&lt;&gt;0,$F93&gt;0,YEAR($F93)&lt;=DQ$4,YEAR($F93)&gt;=Preisindex!$A$6),ROUND($E93*DQ93,2),IF(AND($E93&lt;&gt;0,$F93&gt;0,YEAR($F93)&lt;=DQ$4,YEAR($F93)&lt;Preisindex!$A$6),ROUND($E93*DR93,2),0))</f>
        <v>0</v>
      </c>
      <c r="DT93" s="53">
        <f t="shared" si="402"/>
        <v>0</v>
      </c>
      <c r="DU93" s="51">
        <f t="shared" si="447"/>
        <v>0</v>
      </c>
      <c r="DV93" s="51">
        <f t="shared" si="473"/>
        <v>0</v>
      </c>
      <c r="DW93" s="51">
        <f t="shared" si="403"/>
        <v>0</v>
      </c>
      <c r="DX93" s="51">
        <f t="shared" si="474"/>
        <v>0</v>
      </c>
      <c r="DY93" s="51">
        <f t="shared" si="404"/>
        <v>0</v>
      </c>
      <c r="DZ93" s="51">
        <f t="shared" si="475"/>
        <v>0</v>
      </c>
      <c r="EA93" s="51">
        <f t="shared" si="405"/>
        <v>0</v>
      </c>
      <c r="EB93" s="51">
        <f t="shared" si="476"/>
        <v>0</v>
      </c>
      <c r="EC93" s="51">
        <f t="shared" si="406"/>
        <v>0</v>
      </c>
      <c r="ED93" s="51">
        <f t="shared" si="477"/>
        <v>0</v>
      </c>
      <c r="EE93" s="51">
        <f t="shared" si="407"/>
        <v>0</v>
      </c>
      <c r="EF93" s="54">
        <f t="shared" si="408"/>
        <v>0</v>
      </c>
      <c r="EG93" s="55">
        <f t="shared" si="409"/>
        <v>0</v>
      </c>
      <c r="EH93" s="56">
        <f>IF(AND($E93&lt;&gt;0,$F93&gt;0,YEAR($F93)&gt;=Preisindex!$A$6,YEAR(EC$4)&gt;=YEAR($F93),AND($K93&lt;&gt;"a",$K93&lt;&gt;"b",$K93&lt;&gt;"g",$K93&lt;&gt;"k")),1,IF(AND($E93&lt;&gt;0,$F93&gt;0,YEAR($F93)&gt;=Preisindex!$A$6,YEAR(EC$4)&gt;=YEAR($F93),$K93="a"),ROUND(VLOOKUP(EH$4,Preisindex,5,FALSE)/VLOOKUP(YEAR($F93),Preisindex,5,FALSE),2),IF(AND($E93&lt;&gt;0,$F93&gt;0,YEAR($F93)&gt;=Preisindex!$A$6,YEAR(EC$4)&gt;=YEAR($F93),$K93="b"),ROUND(VLOOKUP(EH$4,Preisindex,3,FALSE)/VLOOKUP(YEAR($F93),Preisindex,3,FALSE),2),IF(AND($E93&lt;&gt;0,$F93&gt;0,YEAR($F93)&gt;=Preisindex!$A$6,YEAR(EC$4)&gt;=YEAR($F93),$K93="g"),ROUND(VLOOKUP(EH$4,Preisindex,4,FALSE)/VLOOKUP(YEAR($F93),Preisindex,4,FALSE),2),IF(AND($E93&lt;&gt;0,$F93&gt;0,YEAR($F93)&gt;=Preisindex!$A$6,YEAR(EC$4)&gt;=YEAR($F93),$K93="k"),ROUND(VLOOKUP(EH$4,Preisindex,2,FALSE)/VLOOKUP(YEAR($F93),Preisindex,2,FALSE),2),0)))))</f>
        <v>0</v>
      </c>
      <c r="EI93" s="56">
        <f>IF(AND($E93&lt;&gt;0,$F93&gt;0,YEAR($F93)&lt;Preisindex!$A$6,YEAR(EC$4)&gt;=YEAR($F93),AND($K93&lt;&gt;"a",$K93&lt;&gt;"b",$K93&lt;&gt;"g",$K93&lt;&gt;"k")),1,IF(AND($E93&lt;&gt;0,$F93&gt;0,YEAR($F93)&lt;Preisindex!$A$6,YEAR(EC$4)&gt;=YEAR($F93),$K93="a"),ROUND(VLOOKUP(EH$4,Preisindex,5,FALSE)/VLOOKUP(Preisindex!$A$6,Preisindex,5,FALSE),2),IF(AND($E93&lt;&gt;0,$F93&gt;0,YEAR($F93)&lt;Preisindex!$A$6,YEAR(EC$4)&gt;=YEAR($F93),$K93="b"),ROUND(VLOOKUP(EH$4,Preisindex,3,FALSE)/VLOOKUP(Preisindex!$A$6,Preisindex,3,FALSE),2),IF(AND($E93&lt;&gt;0,$F93&gt;0,YEAR($F93)&lt;Preisindex!$A$6,YEAR(EC$4)&gt;=YEAR($F93),$K93="g"),ROUND(VLOOKUP(EH$4,Preisindex,4,FALSE)/VLOOKUP(Preisindex!$A$6,Preisindex,4,FALSE),2),IF(AND($E93&lt;&gt;0,$F93&gt;0,YEAR($F93)&lt;Preisindex!$A$6,YEAR(EC$4)&gt;=YEAR($F93),$K93="k"),ROUND(VLOOKUP(EH$4,Preisindex,2,FALSE)/VLOOKUP(Preisindex!$A$6,Preisindex,2,FALSE),2),0)))))</f>
        <v>0</v>
      </c>
      <c r="EJ93" s="51">
        <f>IF(AND($E93&lt;&gt;0,$F93&gt;0,YEAR($F93)&lt;=EH$4,YEAR($F93)&gt;=Preisindex!$A$6),ROUND($E93*EH93,2),IF(AND($E93&lt;&gt;0,$F93&gt;0,YEAR($F93)&lt;=EH$4,YEAR($F93)&lt;Preisindex!$A$6),ROUND($E93*EI93,2),0))</f>
        <v>0</v>
      </c>
      <c r="EK93" s="53">
        <f t="shared" si="410"/>
        <v>0</v>
      </c>
      <c r="EL93" s="51">
        <f t="shared" si="447"/>
        <v>0</v>
      </c>
      <c r="EM93" s="51">
        <f t="shared" si="478"/>
        <v>0</v>
      </c>
      <c r="EN93" s="51">
        <f t="shared" si="411"/>
        <v>0</v>
      </c>
      <c r="EO93" s="51">
        <f t="shared" si="479"/>
        <v>0</v>
      </c>
      <c r="EP93" s="51">
        <f t="shared" si="412"/>
        <v>0</v>
      </c>
      <c r="EQ93" s="51">
        <f t="shared" si="480"/>
        <v>0</v>
      </c>
      <c r="ER93" s="51">
        <f t="shared" si="413"/>
        <v>0</v>
      </c>
      <c r="ES93" s="51">
        <f t="shared" si="481"/>
        <v>0</v>
      </c>
      <c r="ET93" s="51">
        <f t="shared" si="414"/>
        <v>0</v>
      </c>
      <c r="EU93" s="51">
        <f t="shared" si="482"/>
        <v>0</v>
      </c>
      <c r="EV93" s="51">
        <f t="shared" si="415"/>
        <v>0</v>
      </c>
      <c r="EW93" s="54">
        <f t="shared" si="416"/>
        <v>0</v>
      </c>
      <c r="EX93" s="55">
        <f t="shared" si="417"/>
        <v>0</v>
      </c>
      <c r="EY93" s="56">
        <f>IF(AND($E93&lt;&gt;0,$F93&gt;0,YEAR($F93)&gt;=Preisindex!$A$6,YEAR(ET$4)&gt;=YEAR($F93),AND($K93&lt;&gt;"a",$K93&lt;&gt;"b",$K93&lt;&gt;"g",$K93&lt;&gt;"k")),1,IF(AND($E93&lt;&gt;0,$F93&gt;0,YEAR($F93)&gt;=Preisindex!$A$6,YEAR(ET$4)&gt;=YEAR($F93),$K93="a"),ROUND(VLOOKUP(EY$4,Preisindex,5,FALSE)/VLOOKUP(YEAR($F93),Preisindex,5,FALSE),2),IF(AND($E93&lt;&gt;0,$F93&gt;0,YEAR($F93)&gt;=Preisindex!$A$6,YEAR(ET$4)&gt;=YEAR($F93),$K93="b"),ROUND(VLOOKUP(EY$4,Preisindex,3,FALSE)/VLOOKUP(YEAR($F93),Preisindex,3,FALSE),2),IF(AND($E93&lt;&gt;0,$F93&gt;0,YEAR($F93)&gt;=Preisindex!$A$6,YEAR(ET$4)&gt;=YEAR($F93),$K93="g"),ROUND(VLOOKUP(EY$4,Preisindex,4,FALSE)/VLOOKUP(YEAR($F93),Preisindex,4,FALSE),2),IF(AND($E93&lt;&gt;0,$F93&gt;0,YEAR($F93)&gt;=Preisindex!$A$6,YEAR(ET$4)&gt;=YEAR($F93),$K93="k"),ROUND(VLOOKUP(EY$4,Preisindex,2,FALSE)/VLOOKUP(YEAR($F93),Preisindex,2,FALSE),2),0)))))</f>
        <v>0</v>
      </c>
      <c r="EZ93" s="56">
        <f>IF(AND($E93&lt;&gt;0,$F93&gt;0,YEAR($F93)&lt;Preisindex!$A$6,YEAR(ET$4)&gt;=YEAR($F93),AND($K93&lt;&gt;"a",$K93&lt;&gt;"b",$K93&lt;&gt;"g",$K93&lt;&gt;"k")),1,IF(AND($E93&lt;&gt;0,$F93&gt;0,YEAR($F93)&lt;Preisindex!$A$6,YEAR(ET$4)&gt;=YEAR($F93),$K93="a"),ROUND(VLOOKUP(EY$4,Preisindex,5,FALSE)/VLOOKUP(Preisindex!$A$6,Preisindex,5,FALSE),2),IF(AND($E93&lt;&gt;0,$F93&gt;0,YEAR($F93)&lt;Preisindex!$A$6,YEAR(ET$4)&gt;=YEAR($F93),$K93="b"),ROUND(VLOOKUP(EY$4,Preisindex,3,FALSE)/VLOOKUP(Preisindex!$A$6,Preisindex,3,FALSE),2),IF(AND($E93&lt;&gt;0,$F93&gt;0,YEAR($F93)&lt;Preisindex!$A$6,YEAR(ET$4)&gt;=YEAR($F93),$K93="g"),ROUND(VLOOKUP(EY$4,Preisindex,4,FALSE)/VLOOKUP(Preisindex!$A$6,Preisindex,4,FALSE),2),IF(AND($E93&lt;&gt;0,$F93&gt;0,YEAR($F93)&lt;Preisindex!$A$6,YEAR(ET$4)&gt;=YEAR($F93),$K93="k"),ROUND(VLOOKUP(EY$4,Preisindex,2,FALSE)/VLOOKUP(Preisindex!$A$6,Preisindex,2,FALSE),2),0)))))</f>
        <v>0</v>
      </c>
      <c r="FA93" s="51">
        <f>IF(AND($E93&lt;&gt;0,$F93&gt;0,YEAR($F93)&lt;=EY$4,YEAR($F93)&gt;=Preisindex!$A$6),ROUND($E93*EY93,2),IF(AND($E93&lt;&gt;0,$F93&gt;0,YEAR($F93)&lt;=EY$4,YEAR($F93)&lt;Preisindex!$A$6),ROUND($E93*EZ93,2),0))</f>
        <v>0</v>
      </c>
      <c r="FB93" s="53">
        <f t="shared" si="418"/>
        <v>0</v>
      </c>
      <c r="FC93" s="51">
        <f t="shared" si="447"/>
        <v>0</v>
      </c>
      <c r="FD93" s="51">
        <f t="shared" si="483"/>
        <v>0</v>
      </c>
      <c r="FE93" s="51">
        <f t="shared" si="419"/>
        <v>0</v>
      </c>
      <c r="FF93" s="51">
        <f t="shared" si="484"/>
        <v>0</v>
      </c>
      <c r="FG93" s="51">
        <f t="shared" si="420"/>
        <v>0</v>
      </c>
      <c r="FH93" s="51">
        <f t="shared" si="485"/>
        <v>0</v>
      </c>
      <c r="FI93" s="51">
        <f t="shared" si="421"/>
        <v>0</v>
      </c>
      <c r="FJ93" s="51">
        <f t="shared" si="486"/>
        <v>0</v>
      </c>
      <c r="FK93" s="51">
        <f t="shared" si="422"/>
        <v>0</v>
      </c>
      <c r="FL93" s="51">
        <f t="shared" si="487"/>
        <v>0</v>
      </c>
      <c r="FM93" s="51">
        <f t="shared" si="423"/>
        <v>0</v>
      </c>
      <c r="FN93" s="54">
        <f t="shared" si="424"/>
        <v>0</v>
      </c>
      <c r="FO93" s="55">
        <f t="shared" si="425"/>
        <v>0</v>
      </c>
      <c r="FP93" s="56">
        <f>IF(AND($E93&lt;&gt;0,$F93&gt;0,YEAR($F93)&gt;=Preisindex!$A$6,YEAR(FK$4)&gt;=YEAR($F93),AND($K93&lt;&gt;"a",$K93&lt;&gt;"b",$K93&lt;&gt;"g",$K93&lt;&gt;"k")),1,IF(AND($E93&lt;&gt;0,$F93&gt;0,YEAR($F93)&gt;=Preisindex!$A$6,YEAR(FK$4)&gt;=YEAR($F93),$K93="a"),ROUND(VLOOKUP(FP$4,Preisindex,5,FALSE)/VLOOKUP(YEAR($F93),Preisindex,5,FALSE),2),IF(AND($E93&lt;&gt;0,$F93&gt;0,YEAR($F93)&gt;=Preisindex!$A$6,YEAR(FK$4)&gt;=YEAR($F93),$K93="b"),ROUND(VLOOKUP(FP$4,Preisindex,3,FALSE)/VLOOKUP(YEAR($F93),Preisindex,3,FALSE),2),IF(AND($E93&lt;&gt;0,$F93&gt;0,YEAR($F93)&gt;=Preisindex!$A$6,YEAR(FK$4)&gt;=YEAR($F93),$K93="g"),ROUND(VLOOKUP(FP$4,Preisindex,4,FALSE)/VLOOKUP(YEAR($F93),Preisindex,4,FALSE),2),IF(AND($E93&lt;&gt;0,$F93&gt;0,YEAR($F93)&gt;=Preisindex!$A$6,YEAR(FK$4)&gt;=YEAR($F93),$K93="k"),ROUND(VLOOKUP(FP$4,Preisindex,2,FALSE)/VLOOKUP(YEAR($F93),Preisindex,2,FALSE),2),0)))))</f>
        <v>0</v>
      </c>
      <c r="FQ93" s="56">
        <f>IF(AND($E93&lt;&gt;0,$F93&gt;0,YEAR($F93)&lt;Preisindex!$A$6,YEAR(FK$4)&gt;=YEAR($F93),AND($K93&lt;&gt;"a",$K93&lt;&gt;"b",$K93&lt;&gt;"g",$K93&lt;&gt;"k")),1,IF(AND($E93&lt;&gt;0,$F93&gt;0,YEAR($F93)&lt;Preisindex!$A$6,YEAR(FK$4)&gt;=YEAR($F93),$K93="a"),ROUND(VLOOKUP(FP$4,Preisindex,5,FALSE)/VLOOKUP(Preisindex!$A$6,Preisindex,5,FALSE),2),IF(AND($E93&lt;&gt;0,$F93&gt;0,YEAR($F93)&lt;Preisindex!$A$6,YEAR(FK$4)&gt;=YEAR($F93),$K93="b"),ROUND(VLOOKUP(FP$4,Preisindex,3,FALSE)/VLOOKUP(Preisindex!$A$6,Preisindex,3,FALSE),2),IF(AND($E93&lt;&gt;0,$F93&gt;0,YEAR($F93)&lt;Preisindex!$A$6,YEAR(FK$4)&gt;=YEAR($F93),$K93="g"),ROUND(VLOOKUP(FP$4,Preisindex,4,FALSE)/VLOOKUP(Preisindex!$A$6,Preisindex,4,FALSE),2),IF(AND($E93&lt;&gt;0,$F93&gt;0,YEAR($F93)&lt;Preisindex!$A$6,YEAR(FK$4)&gt;=YEAR($F93),$K93="k"),ROUND(VLOOKUP(FP$4,Preisindex,2,FALSE)/VLOOKUP(Preisindex!$A$6,Preisindex,2,FALSE),2),0)))))</f>
        <v>0</v>
      </c>
      <c r="FR93" s="51">
        <f>IF(AND($E93&lt;&gt;0,$F93&gt;0,YEAR($F93)&lt;=FP$4,YEAR($F93)&gt;=Preisindex!$A$6),ROUND($E93*FP93,2),IF(AND($E93&lt;&gt;0,$F93&gt;0,YEAR($F93)&lt;=FP$4,YEAR($F93)&lt;Preisindex!$A$6),ROUND($E93*FQ93,2),0))</f>
        <v>0</v>
      </c>
      <c r="FS93" s="53">
        <f t="shared" si="426"/>
        <v>0</v>
      </c>
    </row>
    <row r="94" spans="1:175" x14ac:dyDescent="0.3">
      <c r="A94" s="195"/>
      <c r="B94" s="196"/>
      <c r="C94" s="196"/>
      <c r="D94" s="188"/>
      <c r="E94" s="99"/>
      <c r="F94" s="97"/>
      <c r="G94" s="100"/>
      <c r="H94" s="620"/>
      <c r="I94" s="621"/>
      <c r="J94" s="194"/>
      <c r="K94" s="630"/>
      <c r="L94" s="49">
        <f t="shared" si="427"/>
        <v>0</v>
      </c>
      <c r="M94" s="50">
        <f t="shared" si="428"/>
        <v>0</v>
      </c>
      <c r="N94" s="51">
        <f t="shared" si="429"/>
        <v>0</v>
      </c>
      <c r="O94" s="51"/>
      <c r="P94" s="51">
        <f t="shared" si="430"/>
        <v>0</v>
      </c>
      <c r="Q94" s="52"/>
      <c r="R94" s="52"/>
      <c r="S94" s="52"/>
      <c r="T94" s="52"/>
      <c r="U94" s="52"/>
      <c r="V94" s="53">
        <f t="shared" si="431"/>
        <v>0</v>
      </c>
      <c r="W94" s="51">
        <f t="shared" si="432"/>
        <v>0</v>
      </c>
      <c r="X94" s="51">
        <f t="shared" si="433"/>
        <v>0</v>
      </c>
      <c r="Y94" s="51">
        <f t="shared" si="434"/>
        <v>0</v>
      </c>
      <c r="Z94" s="51">
        <f t="shared" si="435"/>
        <v>0</v>
      </c>
      <c r="AA94" s="51">
        <f t="shared" si="436"/>
        <v>0</v>
      </c>
      <c r="AB94" s="51">
        <f t="shared" si="437"/>
        <v>0</v>
      </c>
      <c r="AC94" s="51">
        <f t="shared" si="438"/>
        <v>0</v>
      </c>
      <c r="AD94" s="51">
        <f t="shared" si="439"/>
        <v>0</v>
      </c>
      <c r="AE94" s="51">
        <f t="shared" si="440"/>
        <v>0</v>
      </c>
      <c r="AF94" s="51">
        <f t="shared" si="441"/>
        <v>0</v>
      </c>
      <c r="AG94" s="51">
        <f t="shared" si="442"/>
        <v>0</v>
      </c>
      <c r="AH94" s="54">
        <f t="shared" si="443"/>
        <v>0</v>
      </c>
      <c r="AI94" s="55">
        <f t="shared" si="444"/>
        <v>0</v>
      </c>
      <c r="AJ94" s="56">
        <f>IF(AND($E94&lt;&gt;0,$F94&gt;0,YEAR($F94)&gt;=Preisindex!$A$6,YEAR(AE$4)&gt;=YEAR($F94),AND($K94&lt;&gt;"a",$K94&lt;&gt;"b",$K94&lt;&gt;"g",$K94&lt;&gt;"k")),1,IF(AND($E94&lt;&gt;0,$F94&gt;0,YEAR($F94)&gt;=Preisindex!$A$6,YEAR(AE$4)&gt;=YEAR($F94),$K94="a"),ROUND(VLOOKUP(AJ$4,Preisindex,5,FALSE)/VLOOKUP(YEAR($F94),Preisindex,5,FALSE),2),IF(AND($E94&lt;&gt;0,$F94&gt;0,YEAR($F94)&gt;=Preisindex!$A$6,YEAR(AE$4)&gt;=YEAR($F94),$K94="b"),ROUND(VLOOKUP(AJ$4,Preisindex,3,FALSE)/VLOOKUP(YEAR($F94),Preisindex,3,FALSE),2),IF(AND($E94&lt;&gt;0,$F94&gt;0,YEAR($F94)&gt;=Preisindex!$A$6,YEAR(AE$4)&gt;=YEAR($F94),$K94="g"),ROUND(VLOOKUP(AJ$4,Preisindex,4,FALSE)/VLOOKUP(YEAR($F94),Preisindex,4,FALSE),2),IF(AND($E94&lt;&gt;0,$F94&gt;0,YEAR($F94)&gt;=Preisindex!$A$6,YEAR(AE$4)&gt;=YEAR($F94),$K94="k"),ROUND(VLOOKUP(AJ$4,Preisindex,2,FALSE)/VLOOKUP(YEAR($F94),Preisindex,2,FALSE),2),0)))))</f>
        <v>0</v>
      </c>
      <c r="AK94" s="56">
        <f>IF(AND($E94&lt;&gt;0,$F94&gt;0,YEAR($F94)&lt;Preisindex!$A$6,YEAR(AE$4)&gt;=YEAR($F94),AND($K94&lt;&gt;"a",$K94&lt;&gt;"b",$K94&lt;&gt;"g",$K94&lt;&gt;"k")),1,IF(AND($E94&lt;&gt;0,$F94&gt;0,YEAR($F94)&lt;Preisindex!$A$6,YEAR(AE$4)&gt;=YEAR($F94),$K94="a"),ROUND(VLOOKUP(AJ$4,Preisindex,5,FALSE)/VLOOKUP(Preisindex!$A$6,Preisindex,5,FALSE),2),IF(AND($E94&lt;&gt;0,$F94&gt;0,YEAR($F94)&lt;Preisindex!$A$6,YEAR(AE$4)&gt;=YEAR($F94),$K94="b"),ROUND(VLOOKUP(AJ$4,Preisindex,3,FALSE)/VLOOKUP(Preisindex!$A$6,Preisindex,3,FALSE),2),IF(AND($E94&lt;&gt;0,$F94&gt;0,YEAR($F94)&lt;Preisindex!$A$6,YEAR(AE$4)&gt;=YEAR($F94),$K94="g"),ROUND(VLOOKUP(AJ$4,Preisindex,4,FALSE)/VLOOKUP(Preisindex!$A$6,Preisindex,4,FALSE),2),IF(AND($E94&lt;&gt;0,$F94&gt;0,YEAR($F94)&lt;Preisindex!$A$6,YEAR(AE$4)&gt;=YEAR($F94),$K94="k"),ROUND(VLOOKUP(AJ$4,Preisindex,2,FALSE)/VLOOKUP(Preisindex!$A$6,Preisindex,2,FALSE),2),0)))))</f>
        <v>0</v>
      </c>
      <c r="AL94" s="51">
        <f>IF(AND($E94&lt;&gt;0,$F94&gt;0,YEAR($F94)&lt;=AJ$4,YEAR($F94)&gt;=Preisindex!$A$6),ROUND($E94*AJ94,2),IF(AND($E94&lt;&gt;0,$F94&gt;0,YEAR($F94)&lt;=AJ$4,YEAR($F94)&lt;Preisindex!$A$6),ROUND($E94*AK94,2),0))</f>
        <v>0</v>
      </c>
      <c r="AM94" s="53">
        <f t="shared" si="445"/>
        <v>0</v>
      </c>
      <c r="AN94" s="51">
        <f t="shared" si="446"/>
        <v>0</v>
      </c>
      <c r="AO94" s="51">
        <f t="shared" si="448"/>
        <v>0</v>
      </c>
      <c r="AP94" s="51">
        <f t="shared" si="362"/>
        <v>0</v>
      </c>
      <c r="AQ94" s="51">
        <f t="shared" si="449"/>
        <v>0</v>
      </c>
      <c r="AR94" s="51">
        <f t="shared" si="363"/>
        <v>0</v>
      </c>
      <c r="AS94" s="51">
        <f t="shared" si="450"/>
        <v>0</v>
      </c>
      <c r="AT94" s="51">
        <f t="shared" si="364"/>
        <v>0</v>
      </c>
      <c r="AU94" s="51">
        <f t="shared" si="451"/>
        <v>0</v>
      </c>
      <c r="AV94" s="51">
        <f t="shared" si="365"/>
        <v>0</v>
      </c>
      <c r="AW94" s="51">
        <f t="shared" si="452"/>
        <v>0</v>
      </c>
      <c r="AX94" s="51">
        <f t="shared" si="366"/>
        <v>0</v>
      </c>
      <c r="AY94" s="54">
        <f t="shared" si="367"/>
        <v>0</v>
      </c>
      <c r="AZ94" s="55">
        <f t="shared" si="368"/>
        <v>0</v>
      </c>
      <c r="BA94" s="56">
        <f>IF(AND($E94&lt;&gt;0,$F94&gt;0,YEAR($F94)&gt;=Preisindex!$A$6,YEAR(AV$4)&gt;=YEAR($F94),AND($K94&lt;&gt;"a",$K94&lt;&gt;"b",$K94&lt;&gt;"g",$K94&lt;&gt;"k")),1,IF(AND($E94&lt;&gt;0,$F94&gt;0,YEAR($F94)&gt;=Preisindex!$A$6,YEAR(AV$4)&gt;=YEAR($F94),$K94="a"),ROUND(VLOOKUP(BA$4,Preisindex,5,FALSE)/VLOOKUP(YEAR($F94),Preisindex,5,FALSE),2),IF(AND($E94&lt;&gt;0,$F94&gt;0,YEAR($F94)&gt;=Preisindex!$A$6,YEAR(AV$4)&gt;=YEAR($F94),$K94="b"),ROUND(VLOOKUP(BA$4,Preisindex,3,FALSE)/VLOOKUP(YEAR($F94),Preisindex,3,FALSE),2),IF(AND($E94&lt;&gt;0,$F94&gt;0,YEAR($F94)&gt;=Preisindex!$A$6,YEAR(AV$4)&gt;=YEAR($F94),$K94="g"),ROUND(VLOOKUP(BA$4,Preisindex,4,FALSE)/VLOOKUP(YEAR($F94),Preisindex,4,FALSE),2),IF(AND($E94&lt;&gt;0,$F94&gt;0,YEAR($F94)&gt;=Preisindex!$A$6,YEAR(AV$4)&gt;=YEAR($F94),$K94="k"),ROUND(VLOOKUP(BA$4,Preisindex,2,FALSE)/VLOOKUP(YEAR($F94),Preisindex,2,FALSE),2),0)))))</f>
        <v>0</v>
      </c>
      <c r="BB94" s="56">
        <f>IF(AND($E94&lt;&gt;0,$F94&gt;0,YEAR($F94)&lt;Preisindex!$A$6,YEAR(AV$4)&gt;=YEAR($F94),AND($K94&lt;&gt;"a",$K94&lt;&gt;"b",$K94&lt;&gt;"g",$K94&lt;&gt;"k")),1,IF(AND($E94&lt;&gt;0,$F94&gt;0,YEAR($F94)&lt;Preisindex!$A$6,YEAR(AV$4)&gt;=YEAR($F94),$K94="a"),ROUND(VLOOKUP(BA$4,Preisindex,5,FALSE)/VLOOKUP(Preisindex!$A$6,Preisindex,5,FALSE),2),IF(AND($E94&lt;&gt;0,$F94&gt;0,YEAR($F94)&lt;Preisindex!$A$6,YEAR(AV$4)&gt;=YEAR($F94),$K94="b"),ROUND(VLOOKUP(BA$4,Preisindex,3,FALSE)/VLOOKUP(Preisindex!$A$6,Preisindex,3,FALSE),2),IF(AND($E94&lt;&gt;0,$F94&gt;0,YEAR($F94)&lt;Preisindex!$A$6,YEAR(AV$4)&gt;=YEAR($F94),$K94="g"),ROUND(VLOOKUP(BA$4,Preisindex,4,FALSE)/VLOOKUP(Preisindex!$A$6,Preisindex,4,FALSE),2),IF(AND($E94&lt;&gt;0,$F94&gt;0,YEAR($F94)&lt;Preisindex!$A$6,YEAR(AV$4)&gt;=YEAR($F94),$K94="k"),ROUND(VLOOKUP(BA$4,Preisindex,2,FALSE)/VLOOKUP(Preisindex!$A$6,Preisindex,2,FALSE),2),0)))))</f>
        <v>0</v>
      </c>
      <c r="BC94" s="51">
        <f>IF(AND($E94&lt;&gt;0,$F94&gt;0,YEAR($F94)&lt;=BA$4,YEAR($F94)&gt;=Preisindex!$A$6),ROUND($E94*BA94,2),IF(AND($E94&lt;&gt;0,$F94&gt;0,YEAR($F94)&lt;=BA$4,YEAR($F94)&lt;Preisindex!$A$6),ROUND($E94*BB94,2),0))</f>
        <v>0</v>
      </c>
      <c r="BD94" s="53">
        <f t="shared" si="369"/>
        <v>0</v>
      </c>
      <c r="BE94" s="51">
        <f t="shared" si="446"/>
        <v>0</v>
      </c>
      <c r="BF94" s="51">
        <f t="shared" si="453"/>
        <v>0</v>
      </c>
      <c r="BG94" s="51">
        <f t="shared" si="370"/>
        <v>0</v>
      </c>
      <c r="BH94" s="51">
        <f t="shared" si="454"/>
        <v>0</v>
      </c>
      <c r="BI94" s="51">
        <f t="shared" si="371"/>
        <v>0</v>
      </c>
      <c r="BJ94" s="51">
        <f t="shared" si="455"/>
        <v>0</v>
      </c>
      <c r="BK94" s="51">
        <f t="shared" si="372"/>
        <v>0</v>
      </c>
      <c r="BL94" s="51">
        <f t="shared" si="456"/>
        <v>0</v>
      </c>
      <c r="BM94" s="51">
        <f t="shared" si="373"/>
        <v>0</v>
      </c>
      <c r="BN94" s="51">
        <f t="shared" si="457"/>
        <v>0</v>
      </c>
      <c r="BO94" s="51">
        <f t="shared" si="374"/>
        <v>0</v>
      </c>
      <c r="BP94" s="54">
        <f t="shared" si="375"/>
        <v>0</v>
      </c>
      <c r="BQ94" s="55">
        <f t="shared" si="376"/>
        <v>0</v>
      </c>
      <c r="BR94" s="56">
        <f>IF(AND($E94&lt;&gt;0,$F94&gt;0,YEAR($F94)&gt;=Preisindex!$A$6,YEAR(BM$4)&gt;=YEAR($F94),AND($K94&lt;&gt;"a",$K94&lt;&gt;"b",$K94&lt;&gt;"g",$K94&lt;&gt;"k")),1,IF(AND($E94&lt;&gt;0,$F94&gt;0,YEAR($F94)&gt;=Preisindex!$A$6,YEAR(BM$4)&gt;=YEAR($F94),$K94="a"),ROUND(VLOOKUP(BR$4,Preisindex,5,FALSE)/VLOOKUP(YEAR($F94),Preisindex,5,FALSE),2),IF(AND($E94&lt;&gt;0,$F94&gt;0,YEAR($F94)&gt;=Preisindex!$A$6,YEAR(BM$4)&gt;=YEAR($F94),$K94="b"),ROUND(VLOOKUP(BR$4,Preisindex,3,FALSE)/VLOOKUP(YEAR($F94),Preisindex,3,FALSE),2),IF(AND($E94&lt;&gt;0,$F94&gt;0,YEAR($F94)&gt;=Preisindex!$A$6,YEAR(BM$4)&gt;=YEAR($F94),$K94="g"),ROUND(VLOOKUP(BR$4,Preisindex,4,FALSE)/VLOOKUP(YEAR($F94),Preisindex,4,FALSE),2),IF(AND($E94&lt;&gt;0,$F94&gt;0,YEAR($F94)&gt;=Preisindex!$A$6,YEAR(BM$4)&gt;=YEAR($F94),$K94="k"),ROUND(VLOOKUP(BR$4,Preisindex,2,FALSE)/VLOOKUP(YEAR($F94),Preisindex,2,FALSE),2),0)))))</f>
        <v>0</v>
      </c>
      <c r="BS94" s="56">
        <f>IF(AND($E94&lt;&gt;0,$F94&gt;0,YEAR($F94)&lt;Preisindex!$A$6,YEAR(BM$4)&gt;=YEAR($F94),AND($K94&lt;&gt;"a",$K94&lt;&gt;"b",$K94&lt;&gt;"g",$K94&lt;&gt;"k")),1,IF(AND($E94&lt;&gt;0,$F94&gt;0,YEAR($F94)&lt;Preisindex!$A$6,YEAR(BM$4)&gt;=YEAR($F94),$K94="a"),ROUND(VLOOKUP(BR$4,Preisindex,5,FALSE)/VLOOKUP(Preisindex!$A$6,Preisindex,5,FALSE),2),IF(AND($E94&lt;&gt;0,$F94&gt;0,YEAR($F94)&lt;Preisindex!$A$6,YEAR(BM$4)&gt;=YEAR($F94),$K94="b"),ROUND(VLOOKUP(BR$4,Preisindex,3,FALSE)/VLOOKUP(Preisindex!$A$6,Preisindex,3,FALSE),2),IF(AND($E94&lt;&gt;0,$F94&gt;0,YEAR($F94)&lt;Preisindex!$A$6,YEAR(BM$4)&gt;=YEAR($F94),$K94="g"),ROUND(VLOOKUP(BR$4,Preisindex,4,FALSE)/VLOOKUP(Preisindex!$A$6,Preisindex,4,FALSE),2),IF(AND($E94&lt;&gt;0,$F94&gt;0,YEAR($F94)&lt;Preisindex!$A$6,YEAR(BM$4)&gt;=YEAR($F94),$K94="k"),ROUND(VLOOKUP(BR$4,Preisindex,2,FALSE)/VLOOKUP(Preisindex!$A$6,Preisindex,2,FALSE),2),0)))))</f>
        <v>0</v>
      </c>
      <c r="BT94" s="51">
        <f>IF(AND($E94&lt;&gt;0,$F94&gt;0,YEAR($F94)&lt;=BR$4,YEAR($F94)&gt;=Preisindex!$A$6),ROUND($E94*BR94,2),IF(AND($E94&lt;&gt;0,$F94&gt;0,YEAR($F94)&lt;=BR$4,YEAR($F94)&lt;Preisindex!$A$6),ROUND($E94*BS94,2),0))</f>
        <v>0</v>
      </c>
      <c r="BU94" s="53">
        <f t="shared" si="377"/>
        <v>0</v>
      </c>
      <c r="BV94" s="51">
        <f t="shared" si="446"/>
        <v>0</v>
      </c>
      <c r="BW94" s="51">
        <f t="shared" si="458"/>
        <v>0</v>
      </c>
      <c r="BX94" s="51">
        <f t="shared" si="378"/>
        <v>0</v>
      </c>
      <c r="BY94" s="51">
        <f t="shared" si="459"/>
        <v>0</v>
      </c>
      <c r="BZ94" s="51">
        <f t="shared" si="379"/>
        <v>0</v>
      </c>
      <c r="CA94" s="51">
        <f t="shared" si="460"/>
        <v>0</v>
      </c>
      <c r="CB94" s="51">
        <f t="shared" si="380"/>
        <v>0</v>
      </c>
      <c r="CC94" s="51">
        <f t="shared" si="461"/>
        <v>0</v>
      </c>
      <c r="CD94" s="51">
        <f t="shared" si="381"/>
        <v>0</v>
      </c>
      <c r="CE94" s="51">
        <f t="shared" si="462"/>
        <v>0</v>
      </c>
      <c r="CF94" s="51">
        <f t="shared" si="382"/>
        <v>0</v>
      </c>
      <c r="CG94" s="54">
        <f t="shared" si="383"/>
        <v>0</v>
      </c>
      <c r="CH94" s="55">
        <f t="shared" si="384"/>
        <v>0</v>
      </c>
      <c r="CI94" s="56">
        <f>IF(AND($E94&lt;&gt;0,$F94&gt;0,YEAR($F94)&gt;=Preisindex!$A$6,YEAR(CD$4)&gt;=YEAR($F94),AND($K94&lt;&gt;"a",$K94&lt;&gt;"b",$K94&lt;&gt;"g",$K94&lt;&gt;"k")),1,IF(AND($E94&lt;&gt;0,$F94&gt;0,YEAR($F94)&gt;=Preisindex!$A$6,YEAR(CD$4)&gt;=YEAR($F94),$K94="a"),ROUND(VLOOKUP(CI$4,Preisindex,5,FALSE)/VLOOKUP(YEAR($F94),Preisindex,5,FALSE),2),IF(AND($E94&lt;&gt;0,$F94&gt;0,YEAR($F94)&gt;=Preisindex!$A$6,YEAR(CD$4)&gt;=YEAR($F94),$K94="b"),ROUND(VLOOKUP(CI$4,Preisindex,3,FALSE)/VLOOKUP(YEAR($F94),Preisindex,3,FALSE),2),IF(AND($E94&lt;&gt;0,$F94&gt;0,YEAR($F94)&gt;=Preisindex!$A$6,YEAR(CD$4)&gt;=YEAR($F94),$K94="g"),ROUND(VLOOKUP(CI$4,Preisindex,4,FALSE)/VLOOKUP(YEAR($F94),Preisindex,4,FALSE),2),IF(AND($E94&lt;&gt;0,$F94&gt;0,YEAR($F94)&gt;=Preisindex!$A$6,YEAR(CD$4)&gt;=YEAR($F94),$K94="k"),ROUND(VLOOKUP(CI$4,Preisindex,2,FALSE)/VLOOKUP(YEAR($F94),Preisindex,2,FALSE),2),0)))))</f>
        <v>0</v>
      </c>
      <c r="CJ94" s="56">
        <f>IF(AND($E94&lt;&gt;0,$F94&gt;0,YEAR($F94)&lt;Preisindex!$A$6,YEAR(CD$4)&gt;=YEAR($F94),AND($K94&lt;&gt;"a",$K94&lt;&gt;"b",$K94&lt;&gt;"g",$K94&lt;&gt;"k")),1,IF(AND($E94&lt;&gt;0,$F94&gt;0,YEAR($F94)&lt;Preisindex!$A$6,YEAR(CD$4)&gt;=YEAR($F94),$K94="a"),ROUND(VLOOKUP(CI$4,Preisindex,5,FALSE)/VLOOKUP(Preisindex!$A$6,Preisindex,5,FALSE),2),IF(AND($E94&lt;&gt;0,$F94&gt;0,YEAR($F94)&lt;Preisindex!$A$6,YEAR(CD$4)&gt;=YEAR($F94),$K94="b"),ROUND(VLOOKUP(CI$4,Preisindex,3,FALSE)/VLOOKUP(Preisindex!$A$6,Preisindex,3,FALSE),2),IF(AND($E94&lt;&gt;0,$F94&gt;0,YEAR($F94)&lt;Preisindex!$A$6,YEAR(CD$4)&gt;=YEAR($F94),$K94="g"),ROUND(VLOOKUP(CI$4,Preisindex,4,FALSE)/VLOOKUP(Preisindex!$A$6,Preisindex,4,FALSE),2),IF(AND($E94&lt;&gt;0,$F94&gt;0,YEAR($F94)&lt;Preisindex!$A$6,YEAR(CD$4)&gt;=YEAR($F94),$K94="k"),ROUND(VLOOKUP(CI$4,Preisindex,2,FALSE)/VLOOKUP(Preisindex!$A$6,Preisindex,2,FALSE),2),0)))))</f>
        <v>0</v>
      </c>
      <c r="CK94" s="51">
        <f>IF(AND($E94&lt;&gt;0,$F94&gt;0,YEAR($F94)&lt;=CI$4,YEAR($F94)&gt;=Preisindex!$A$6),ROUND($E94*CI94,2),IF(AND($E94&lt;&gt;0,$F94&gt;0,YEAR($F94)&lt;=CI$4,YEAR($F94)&lt;Preisindex!$A$6),ROUND($E94*CJ94,2),0))</f>
        <v>0</v>
      </c>
      <c r="CL94" s="53">
        <f t="shared" si="385"/>
        <v>0</v>
      </c>
      <c r="CM94" s="51">
        <f t="shared" si="446"/>
        <v>0</v>
      </c>
      <c r="CN94" s="51">
        <f t="shared" si="463"/>
        <v>0</v>
      </c>
      <c r="CO94" s="51">
        <f t="shared" si="386"/>
        <v>0</v>
      </c>
      <c r="CP94" s="51">
        <f t="shared" si="464"/>
        <v>0</v>
      </c>
      <c r="CQ94" s="51">
        <f t="shared" si="387"/>
        <v>0</v>
      </c>
      <c r="CR94" s="51">
        <f t="shared" si="465"/>
        <v>0</v>
      </c>
      <c r="CS94" s="51">
        <f t="shared" si="388"/>
        <v>0</v>
      </c>
      <c r="CT94" s="51">
        <f t="shared" si="466"/>
        <v>0</v>
      </c>
      <c r="CU94" s="51">
        <f t="shared" si="389"/>
        <v>0</v>
      </c>
      <c r="CV94" s="51">
        <f t="shared" si="467"/>
        <v>0</v>
      </c>
      <c r="CW94" s="51">
        <f t="shared" si="390"/>
        <v>0</v>
      </c>
      <c r="CX94" s="54">
        <f t="shared" si="391"/>
        <v>0</v>
      </c>
      <c r="CY94" s="55">
        <f t="shared" si="392"/>
        <v>0</v>
      </c>
      <c r="CZ94" s="56">
        <f>IF(AND($E94&lt;&gt;0,$F94&gt;0,YEAR($F94)&gt;=Preisindex!$A$6,YEAR(CU$4)&gt;=YEAR($F94),AND($K94&lt;&gt;"a",$K94&lt;&gt;"b",$K94&lt;&gt;"g",$K94&lt;&gt;"k")),1,IF(AND($E94&lt;&gt;0,$F94&gt;0,YEAR($F94)&gt;=Preisindex!$A$6,YEAR(CU$4)&gt;=YEAR($F94),$K94="a"),ROUND(VLOOKUP(CZ$4,Preisindex,5,FALSE)/VLOOKUP(YEAR($F94),Preisindex,5,FALSE),2),IF(AND($E94&lt;&gt;0,$F94&gt;0,YEAR($F94)&gt;=Preisindex!$A$6,YEAR(CU$4)&gt;=YEAR($F94),$K94="b"),ROUND(VLOOKUP(CZ$4,Preisindex,3,FALSE)/VLOOKUP(YEAR($F94),Preisindex,3,FALSE),2),IF(AND($E94&lt;&gt;0,$F94&gt;0,YEAR($F94)&gt;=Preisindex!$A$6,YEAR(CU$4)&gt;=YEAR($F94),$K94="g"),ROUND(VLOOKUP(CZ$4,Preisindex,4,FALSE)/VLOOKUP(YEAR($F94),Preisindex,4,FALSE),2),IF(AND($E94&lt;&gt;0,$F94&gt;0,YEAR($F94)&gt;=Preisindex!$A$6,YEAR(CU$4)&gt;=YEAR($F94),$K94="k"),ROUND(VLOOKUP(CZ$4,Preisindex,2,FALSE)/VLOOKUP(YEAR($F94),Preisindex,2,FALSE),2),0)))))</f>
        <v>0</v>
      </c>
      <c r="DA94" s="56">
        <f>IF(AND($E94&lt;&gt;0,$F94&gt;0,YEAR($F94)&lt;Preisindex!$A$6,YEAR(CU$4)&gt;=YEAR($F94),AND($K94&lt;&gt;"a",$K94&lt;&gt;"b",$K94&lt;&gt;"g",$K94&lt;&gt;"k")),1,IF(AND($E94&lt;&gt;0,$F94&gt;0,YEAR($F94)&lt;Preisindex!$A$6,YEAR(CU$4)&gt;=YEAR($F94),$K94="a"),ROUND(VLOOKUP(CZ$4,Preisindex,5,FALSE)/VLOOKUP(Preisindex!$A$6,Preisindex,5,FALSE),2),IF(AND($E94&lt;&gt;0,$F94&gt;0,YEAR($F94)&lt;Preisindex!$A$6,YEAR(CU$4)&gt;=YEAR($F94),$K94="b"),ROUND(VLOOKUP(CZ$4,Preisindex,3,FALSE)/VLOOKUP(Preisindex!$A$6,Preisindex,3,FALSE),2),IF(AND($E94&lt;&gt;0,$F94&gt;0,YEAR($F94)&lt;Preisindex!$A$6,YEAR(CU$4)&gt;=YEAR($F94),$K94="g"),ROUND(VLOOKUP(CZ$4,Preisindex,4,FALSE)/VLOOKUP(Preisindex!$A$6,Preisindex,4,FALSE),2),IF(AND($E94&lt;&gt;0,$F94&gt;0,YEAR($F94)&lt;Preisindex!$A$6,YEAR(CU$4)&gt;=YEAR($F94),$K94="k"),ROUND(VLOOKUP(CZ$4,Preisindex,2,FALSE)/VLOOKUP(Preisindex!$A$6,Preisindex,2,FALSE),2),0)))))</f>
        <v>0</v>
      </c>
      <c r="DB94" s="51">
        <f>IF(AND($E94&lt;&gt;0,$F94&gt;0,YEAR($F94)&lt;=CZ$4,YEAR($F94)&gt;=Preisindex!$A$6),ROUND($E94*CZ94,2),IF(AND($E94&lt;&gt;0,$F94&gt;0,YEAR($F94)&lt;=CZ$4,YEAR($F94)&lt;Preisindex!$A$6),ROUND($E94*DA94,2),0))</f>
        <v>0</v>
      </c>
      <c r="DC94" s="53">
        <f t="shared" si="393"/>
        <v>0</v>
      </c>
      <c r="DD94" s="51">
        <f t="shared" si="447"/>
        <v>0</v>
      </c>
      <c r="DE94" s="51">
        <f t="shared" si="468"/>
        <v>0</v>
      </c>
      <c r="DF94" s="51">
        <f t="shared" si="395"/>
        <v>0</v>
      </c>
      <c r="DG94" s="51">
        <f t="shared" si="469"/>
        <v>0</v>
      </c>
      <c r="DH94" s="51">
        <f t="shared" si="396"/>
        <v>0</v>
      </c>
      <c r="DI94" s="51">
        <f t="shared" si="470"/>
        <v>0</v>
      </c>
      <c r="DJ94" s="51">
        <f t="shared" si="397"/>
        <v>0</v>
      </c>
      <c r="DK94" s="51">
        <f t="shared" si="471"/>
        <v>0</v>
      </c>
      <c r="DL94" s="51">
        <f t="shared" si="398"/>
        <v>0</v>
      </c>
      <c r="DM94" s="51">
        <f t="shared" si="472"/>
        <v>0</v>
      </c>
      <c r="DN94" s="51">
        <f t="shared" si="399"/>
        <v>0</v>
      </c>
      <c r="DO94" s="54">
        <f t="shared" si="400"/>
        <v>0</v>
      </c>
      <c r="DP94" s="55">
        <f t="shared" si="401"/>
        <v>0</v>
      </c>
      <c r="DQ94" s="56">
        <f>IF(AND($E94&lt;&gt;0,$F94&gt;0,YEAR($F94)&gt;=Preisindex!$A$6,YEAR(DL$4)&gt;=YEAR($F94),AND($K94&lt;&gt;"a",$K94&lt;&gt;"b",$K94&lt;&gt;"g",$K94&lt;&gt;"k")),1,IF(AND($E94&lt;&gt;0,$F94&gt;0,YEAR($F94)&gt;=Preisindex!$A$6,YEAR(DL$4)&gt;=YEAR($F94),$K94="a"),ROUND(VLOOKUP(DQ$4,Preisindex,5,FALSE)/VLOOKUP(YEAR($F94),Preisindex,5,FALSE),2),IF(AND($E94&lt;&gt;0,$F94&gt;0,YEAR($F94)&gt;=Preisindex!$A$6,YEAR(DL$4)&gt;=YEAR($F94),$K94="b"),ROUND(VLOOKUP(DQ$4,Preisindex,3,FALSE)/VLOOKUP(YEAR($F94),Preisindex,3,FALSE),2),IF(AND($E94&lt;&gt;0,$F94&gt;0,YEAR($F94)&gt;=Preisindex!$A$6,YEAR(DL$4)&gt;=YEAR($F94),$K94="g"),ROUND(VLOOKUP(DQ$4,Preisindex,4,FALSE)/VLOOKUP(YEAR($F94),Preisindex,4,FALSE),2),IF(AND($E94&lt;&gt;0,$F94&gt;0,YEAR($F94)&gt;=Preisindex!$A$6,YEAR(DL$4)&gt;=YEAR($F94),$K94="k"),ROUND(VLOOKUP(DQ$4,Preisindex,2,FALSE)/VLOOKUP(YEAR($F94),Preisindex,2,FALSE),2),0)))))</f>
        <v>0</v>
      </c>
      <c r="DR94" s="56">
        <f>IF(AND($E94&lt;&gt;0,$F94&gt;0,YEAR($F94)&lt;Preisindex!$A$6,YEAR(DL$4)&gt;=YEAR($F94),AND($K94&lt;&gt;"a",$K94&lt;&gt;"b",$K94&lt;&gt;"g",$K94&lt;&gt;"k")),1,IF(AND($E94&lt;&gt;0,$F94&gt;0,YEAR($F94)&lt;Preisindex!$A$6,YEAR(DL$4)&gt;=YEAR($F94),$K94="a"),ROUND(VLOOKUP(DQ$4,Preisindex,5,FALSE)/VLOOKUP(Preisindex!$A$6,Preisindex,5,FALSE),2),IF(AND($E94&lt;&gt;0,$F94&gt;0,YEAR($F94)&lt;Preisindex!$A$6,YEAR(DL$4)&gt;=YEAR($F94),$K94="b"),ROUND(VLOOKUP(DQ$4,Preisindex,3,FALSE)/VLOOKUP(Preisindex!$A$6,Preisindex,3,FALSE),2),IF(AND($E94&lt;&gt;0,$F94&gt;0,YEAR($F94)&lt;Preisindex!$A$6,YEAR(DL$4)&gt;=YEAR($F94),$K94="g"),ROUND(VLOOKUP(DQ$4,Preisindex,4,FALSE)/VLOOKUP(Preisindex!$A$6,Preisindex,4,FALSE),2),IF(AND($E94&lt;&gt;0,$F94&gt;0,YEAR($F94)&lt;Preisindex!$A$6,YEAR(DL$4)&gt;=YEAR($F94),$K94="k"),ROUND(VLOOKUP(DQ$4,Preisindex,2,FALSE)/VLOOKUP(Preisindex!$A$6,Preisindex,2,FALSE),2),0)))))</f>
        <v>0</v>
      </c>
      <c r="DS94" s="51">
        <f>IF(AND($E94&lt;&gt;0,$F94&gt;0,YEAR($F94)&lt;=DQ$4,YEAR($F94)&gt;=Preisindex!$A$6),ROUND($E94*DQ94,2),IF(AND($E94&lt;&gt;0,$F94&gt;0,YEAR($F94)&lt;=DQ$4,YEAR($F94)&lt;Preisindex!$A$6),ROUND($E94*DR94,2),0))</f>
        <v>0</v>
      </c>
      <c r="DT94" s="53">
        <f t="shared" si="402"/>
        <v>0</v>
      </c>
      <c r="DU94" s="51">
        <f t="shared" si="447"/>
        <v>0</v>
      </c>
      <c r="DV94" s="51">
        <f t="shared" si="473"/>
        <v>0</v>
      </c>
      <c r="DW94" s="51">
        <f t="shared" si="403"/>
        <v>0</v>
      </c>
      <c r="DX94" s="51">
        <f t="shared" si="474"/>
        <v>0</v>
      </c>
      <c r="DY94" s="51">
        <f t="shared" si="404"/>
        <v>0</v>
      </c>
      <c r="DZ94" s="51">
        <f t="shared" si="475"/>
        <v>0</v>
      </c>
      <c r="EA94" s="51">
        <f t="shared" si="405"/>
        <v>0</v>
      </c>
      <c r="EB94" s="51">
        <f t="shared" si="476"/>
        <v>0</v>
      </c>
      <c r="EC94" s="51">
        <f t="shared" si="406"/>
        <v>0</v>
      </c>
      <c r="ED94" s="51">
        <f t="shared" si="477"/>
        <v>0</v>
      </c>
      <c r="EE94" s="51">
        <f t="shared" si="407"/>
        <v>0</v>
      </c>
      <c r="EF94" s="54">
        <f t="shared" si="408"/>
        <v>0</v>
      </c>
      <c r="EG94" s="55">
        <f t="shared" si="409"/>
        <v>0</v>
      </c>
      <c r="EH94" s="56">
        <f>IF(AND($E94&lt;&gt;0,$F94&gt;0,YEAR($F94)&gt;=Preisindex!$A$6,YEAR(EC$4)&gt;=YEAR($F94),AND($K94&lt;&gt;"a",$K94&lt;&gt;"b",$K94&lt;&gt;"g",$K94&lt;&gt;"k")),1,IF(AND($E94&lt;&gt;0,$F94&gt;0,YEAR($F94)&gt;=Preisindex!$A$6,YEAR(EC$4)&gt;=YEAR($F94),$K94="a"),ROUND(VLOOKUP(EH$4,Preisindex,5,FALSE)/VLOOKUP(YEAR($F94),Preisindex,5,FALSE),2),IF(AND($E94&lt;&gt;0,$F94&gt;0,YEAR($F94)&gt;=Preisindex!$A$6,YEAR(EC$4)&gt;=YEAR($F94),$K94="b"),ROUND(VLOOKUP(EH$4,Preisindex,3,FALSE)/VLOOKUP(YEAR($F94),Preisindex,3,FALSE),2),IF(AND($E94&lt;&gt;0,$F94&gt;0,YEAR($F94)&gt;=Preisindex!$A$6,YEAR(EC$4)&gt;=YEAR($F94),$K94="g"),ROUND(VLOOKUP(EH$4,Preisindex,4,FALSE)/VLOOKUP(YEAR($F94),Preisindex,4,FALSE),2),IF(AND($E94&lt;&gt;0,$F94&gt;0,YEAR($F94)&gt;=Preisindex!$A$6,YEAR(EC$4)&gt;=YEAR($F94),$K94="k"),ROUND(VLOOKUP(EH$4,Preisindex,2,FALSE)/VLOOKUP(YEAR($F94),Preisindex,2,FALSE),2),0)))))</f>
        <v>0</v>
      </c>
      <c r="EI94" s="56">
        <f>IF(AND($E94&lt;&gt;0,$F94&gt;0,YEAR($F94)&lt;Preisindex!$A$6,YEAR(EC$4)&gt;=YEAR($F94),AND($K94&lt;&gt;"a",$K94&lt;&gt;"b",$K94&lt;&gt;"g",$K94&lt;&gt;"k")),1,IF(AND($E94&lt;&gt;0,$F94&gt;0,YEAR($F94)&lt;Preisindex!$A$6,YEAR(EC$4)&gt;=YEAR($F94),$K94="a"),ROUND(VLOOKUP(EH$4,Preisindex,5,FALSE)/VLOOKUP(Preisindex!$A$6,Preisindex,5,FALSE),2),IF(AND($E94&lt;&gt;0,$F94&gt;0,YEAR($F94)&lt;Preisindex!$A$6,YEAR(EC$4)&gt;=YEAR($F94),$K94="b"),ROUND(VLOOKUP(EH$4,Preisindex,3,FALSE)/VLOOKUP(Preisindex!$A$6,Preisindex,3,FALSE),2),IF(AND($E94&lt;&gt;0,$F94&gt;0,YEAR($F94)&lt;Preisindex!$A$6,YEAR(EC$4)&gt;=YEAR($F94),$K94="g"),ROUND(VLOOKUP(EH$4,Preisindex,4,FALSE)/VLOOKUP(Preisindex!$A$6,Preisindex,4,FALSE),2),IF(AND($E94&lt;&gt;0,$F94&gt;0,YEAR($F94)&lt;Preisindex!$A$6,YEAR(EC$4)&gt;=YEAR($F94),$K94="k"),ROUND(VLOOKUP(EH$4,Preisindex,2,FALSE)/VLOOKUP(Preisindex!$A$6,Preisindex,2,FALSE),2),0)))))</f>
        <v>0</v>
      </c>
      <c r="EJ94" s="51">
        <f>IF(AND($E94&lt;&gt;0,$F94&gt;0,YEAR($F94)&lt;=EH$4,YEAR($F94)&gt;=Preisindex!$A$6),ROUND($E94*EH94,2),IF(AND($E94&lt;&gt;0,$F94&gt;0,YEAR($F94)&lt;=EH$4,YEAR($F94)&lt;Preisindex!$A$6),ROUND($E94*EI94,2),0))</f>
        <v>0</v>
      </c>
      <c r="EK94" s="53">
        <f t="shared" si="410"/>
        <v>0</v>
      </c>
      <c r="EL94" s="51">
        <f t="shared" si="447"/>
        <v>0</v>
      </c>
      <c r="EM94" s="51">
        <f t="shared" si="478"/>
        <v>0</v>
      </c>
      <c r="EN94" s="51">
        <f t="shared" si="411"/>
        <v>0</v>
      </c>
      <c r="EO94" s="51">
        <f t="shared" si="479"/>
        <v>0</v>
      </c>
      <c r="EP94" s="51">
        <f t="shared" si="412"/>
        <v>0</v>
      </c>
      <c r="EQ94" s="51">
        <f t="shared" si="480"/>
        <v>0</v>
      </c>
      <c r="ER94" s="51">
        <f t="shared" si="413"/>
        <v>0</v>
      </c>
      <c r="ES94" s="51">
        <f t="shared" si="481"/>
        <v>0</v>
      </c>
      <c r="ET94" s="51">
        <f t="shared" si="414"/>
        <v>0</v>
      </c>
      <c r="EU94" s="51">
        <f t="shared" si="482"/>
        <v>0</v>
      </c>
      <c r="EV94" s="51">
        <f t="shared" si="415"/>
        <v>0</v>
      </c>
      <c r="EW94" s="54">
        <f t="shared" si="416"/>
        <v>0</v>
      </c>
      <c r="EX94" s="55">
        <f t="shared" si="417"/>
        <v>0</v>
      </c>
      <c r="EY94" s="56">
        <f>IF(AND($E94&lt;&gt;0,$F94&gt;0,YEAR($F94)&gt;=Preisindex!$A$6,YEAR(ET$4)&gt;=YEAR($F94),AND($K94&lt;&gt;"a",$K94&lt;&gt;"b",$K94&lt;&gt;"g",$K94&lt;&gt;"k")),1,IF(AND($E94&lt;&gt;0,$F94&gt;0,YEAR($F94)&gt;=Preisindex!$A$6,YEAR(ET$4)&gt;=YEAR($F94),$K94="a"),ROUND(VLOOKUP(EY$4,Preisindex,5,FALSE)/VLOOKUP(YEAR($F94),Preisindex,5,FALSE),2),IF(AND($E94&lt;&gt;0,$F94&gt;0,YEAR($F94)&gt;=Preisindex!$A$6,YEAR(ET$4)&gt;=YEAR($F94),$K94="b"),ROUND(VLOOKUP(EY$4,Preisindex,3,FALSE)/VLOOKUP(YEAR($F94),Preisindex,3,FALSE),2),IF(AND($E94&lt;&gt;0,$F94&gt;0,YEAR($F94)&gt;=Preisindex!$A$6,YEAR(ET$4)&gt;=YEAR($F94),$K94="g"),ROUND(VLOOKUP(EY$4,Preisindex,4,FALSE)/VLOOKUP(YEAR($F94),Preisindex,4,FALSE),2),IF(AND($E94&lt;&gt;0,$F94&gt;0,YEAR($F94)&gt;=Preisindex!$A$6,YEAR(ET$4)&gt;=YEAR($F94),$K94="k"),ROUND(VLOOKUP(EY$4,Preisindex,2,FALSE)/VLOOKUP(YEAR($F94),Preisindex,2,FALSE),2),0)))))</f>
        <v>0</v>
      </c>
      <c r="EZ94" s="56">
        <f>IF(AND($E94&lt;&gt;0,$F94&gt;0,YEAR($F94)&lt;Preisindex!$A$6,YEAR(ET$4)&gt;=YEAR($F94),AND($K94&lt;&gt;"a",$K94&lt;&gt;"b",$K94&lt;&gt;"g",$K94&lt;&gt;"k")),1,IF(AND($E94&lt;&gt;0,$F94&gt;0,YEAR($F94)&lt;Preisindex!$A$6,YEAR(ET$4)&gt;=YEAR($F94),$K94="a"),ROUND(VLOOKUP(EY$4,Preisindex,5,FALSE)/VLOOKUP(Preisindex!$A$6,Preisindex,5,FALSE),2),IF(AND($E94&lt;&gt;0,$F94&gt;0,YEAR($F94)&lt;Preisindex!$A$6,YEAR(ET$4)&gt;=YEAR($F94),$K94="b"),ROUND(VLOOKUP(EY$4,Preisindex,3,FALSE)/VLOOKUP(Preisindex!$A$6,Preisindex,3,FALSE),2),IF(AND($E94&lt;&gt;0,$F94&gt;0,YEAR($F94)&lt;Preisindex!$A$6,YEAR(ET$4)&gt;=YEAR($F94),$K94="g"),ROUND(VLOOKUP(EY$4,Preisindex,4,FALSE)/VLOOKUP(Preisindex!$A$6,Preisindex,4,FALSE),2),IF(AND($E94&lt;&gt;0,$F94&gt;0,YEAR($F94)&lt;Preisindex!$A$6,YEAR(ET$4)&gt;=YEAR($F94),$K94="k"),ROUND(VLOOKUP(EY$4,Preisindex,2,FALSE)/VLOOKUP(Preisindex!$A$6,Preisindex,2,FALSE),2),0)))))</f>
        <v>0</v>
      </c>
      <c r="FA94" s="51">
        <f>IF(AND($E94&lt;&gt;0,$F94&gt;0,YEAR($F94)&lt;=EY$4,YEAR($F94)&gt;=Preisindex!$A$6),ROUND($E94*EY94,2),IF(AND($E94&lt;&gt;0,$F94&gt;0,YEAR($F94)&lt;=EY$4,YEAR($F94)&lt;Preisindex!$A$6),ROUND($E94*EZ94,2),0))</f>
        <v>0</v>
      </c>
      <c r="FB94" s="53">
        <f t="shared" si="418"/>
        <v>0</v>
      </c>
      <c r="FC94" s="51">
        <f t="shared" si="447"/>
        <v>0</v>
      </c>
      <c r="FD94" s="51">
        <f t="shared" si="483"/>
        <v>0</v>
      </c>
      <c r="FE94" s="51">
        <f t="shared" si="419"/>
        <v>0</v>
      </c>
      <c r="FF94" s="51">
        <f t="shared" si="484"/>
        <v>0</v>
      </c>
      <c r="FG94" s="51">
        <f t="shared" si="420"/>
        <v>0</v>
      </c>
      <c r="FH94" s="51">
        <f t="shared" si="485"/>
        <v>0</v>
      </c>
      <c r="FI94" s="51">
        <f t="shared" si="421"/>
        <v>0</v>
      </c>
      <c r="FJ94" s="51">
        <f t="shared" si="486"/>
        <v>0</v>
      </c>
      <c r="FK94" s="51">
        <f t="shared" si="422"/>
        <v>0</v>
      </c>
      <c r="FL94" s="51">
        <f t="shared" si="487"/>
        <v>0</v>
      </c>
      <c r="FM94" s="51">
        <f t="shared" si="423"/>
        <v>0</v>
      </c>
      <c r="FN94" s="54">
        <f t="shared" si="424"/>
        <v>0</v>
      </c>
      <c r="FO94" s="55">
        <f t="shared" si="425"/>
        <v>0</v>
      </c>
      <c r="FP94" s="56">
        <f>IF(AND($E94&lt;&gt;0,$F94&gt;0,YEAR($F94)&gt;=Preisindex!$A$6,YEAR(FK$4)&gt;=YEAR($F94),AND($K94&lt;&gt;"a",$K94&lt;&gt;"b",$K94&lt;&gt;"g",$K94&lt;&gt;"k")),1,IF(AND($E94&lt;&gt;0,$F94&gt;0,YEAR($F94)&gt;=Preisindex!$A$6,YEAR(FK$4)&gt;=YEAR($F94),$K94="a"),ROUND(VLOOKUP(FP$4,Preisindex,5,FALSE)/VLOOKUP(YEAR($F94),Preisindex,5,FALSE),2),IF(AND($E94&lt;&gt;0,$F94&gt;0,YEAR($F94)&gt;=Preisindex!$A$6,YEAR(FK$4)&gt;=YEAR($F94),$K94="b"),ROUND(VLOOKUP(FP$4,Preisindex,3,FALSE)/VLOOKUP(YEAR($F94),Preisindex,3,FALSE),2),IF(AND($E94&lt;&gt;0,$F94&gt;0,YEAR($F94)&gt;=Preisindex!$A$6,YEAR(FK$4)&gt;=YEAR($F94),$K94="g"),ROUND(VLOOKUP(FP$4,Preisindex,4,FALSE)/VLOOKUP(YEAR($F94),Preisindex,4,FALSE),2),IF(AND($E94&lt;&gt;0,$F94&gt;0,YEAR($F94)&gt;=Preisindex!$A$6,YEAR(FK$4)&gt;=YEAR($F94),$K94="k"),ROUND(VLOOKUP(FP$4,Preisindex,2,FALSE)/VLOOKUP(YEAR($F94),Preisindex,2,FALSE),2),0)))))</f>
        <v>0</v>
      </c>
      <c r="FQ94" s="56">
        <f>IF(AND($E94&lt;&gt;0,$F94&gt;0,YEAR($F94)&lt;Preisindex!$A$6,YEAR(FK$4)&gt;=YEAR($F94),AND($K94&lt;&gt;"a",$K94&lt;&gt;"b",$K94&lt;&gt;"g",$K94&lt;&gt;"k")),1,IF(AND($E94&lt;&gt;0,$F94&gt;0,YEAR($F94)&lt;Preisindex!$A$6,YEAR(FK$4)&gt;=YEAR($F94),$K94="a"),ROUND(VLOOKUP(FP$4,Preisindex,5,FALSE)/VLOOKUP(Preisindex!$A$6,Preisindex,5,FALSE),2),IF(AND($E94&lt;&gt;0,$F94&gt;0,YEAR($F94)&lt;Preisindex!$A$6,YEAR(FK$4)&gt;=YEAR($F94),$K94="b"),ROUND(VLOOKUP(FP$4,Preisindex,3,FALSE)/VLOOKUP(Preisindex!$A$6,Preisindex,3,FALSE),2),IF(AND($E94&lt;&gt;0,$F94&gt;0,YEAR($F94)&lt;Preisindex!$A$6,YEAR(FK$4)&gt;=YEAR($F94),$K94="g"),ROUND(VLOOKUP(FP$4,Preisindex,4,FALSE)/VLOOKUP(Preisindex!$A$6,Preisindex,4,FALSE),2),IF(AND($E94&lt;&gt;0,$F94&gt;0,YEAR($F94)&lt;Preisindex!$A$6,YEAR(FK$4)&gt;=YEAR($F94),$K94="k"),ROUND(VLOOKUP(FP$4,Preisindex,2,FALSE)/VLOOKUP(Preisindex!$A$6,Preisindex,2,FALSE),2),0)))))</f>
        <v>0</v>
      </c>
      <c r="FR94" s="51">
        <f>IF(AND($E94&lt;&gt;0,$F94&gt;0,YEAR($F94)&lt;=FP$4,YEAR($F94)&gt;=Preisindex!$A$6),ROUND($E94*FP94,2),IF(AND($E94&lt;&gt;0,$F94&gt;0,YEAR($F94)&lt;=FP$4,YEAR($F94)&lt;Preisindex!$A$6),ROUND($E94*FQ94,2),0))</f>
        <v>0</v>
      </c>
      <c r="FS94" s="53">
        <f t="shared" si="426"/>
        <v>0</v>
      </c>
    </row>
    <row r="95" spans="1:175" x14ac:dyDescent="0.3">
      <c r="A95" s="93"/>
      <c r="B95" s="196"/>
      <c r="C95" s="196"/>
      <c r="D95" s="188"/>
      <c r="E95" s="99"/>
      <c r="F95" s="97"/>
      <c r="G95" s="100"/>
      <c r="H95" s="620"/>
      <c r="I95" s="621"/>
      <c r="J95" s="194"/>
      <c r="K95" s="630"/>
      <c r="L95" s="49">
        <f t="shared" si="427"/>
        <v>0</v>
      </c>
      <c r="M95" s="50">
        <f t="shared" si="428"/>
        <v>0</v>
      </c>
      <c r="N95" s="51">
        <f t="shared" si="429"/>
        <v>0</v>
      </c>
      <c r="O95" s="51"/>
      <c r="P95" s="51">
        <f t="shared" si="430"/>
        <v>0</v>
      </c>
      <c r="Q95" s="52"/>
      <c r="R95" s="52"/>
      <c r="S95" s="52"/>
      <c r="T95" s="52"/>
      <c r="U95" s="52"/>
      <c r="V95" s="53">
        <f t="shared" si="431"/>
        <v>0</v>
      </c>
      <c r="W95" s="51">
        <f t="shared" si="432"/>
        <v>0</v>
      </c>
      <c r="X95" s="51">
        <f t="shared" si="433"/>
        <v>0</v>
      </c>
      <c r="Y95" s="51">
        <f t="shared" si="434"/>
        <v>0</v>
      </c>
      <c r="Z95" s="51">
        <f t="shared" si="435"/>
        <v>0</v>
      </c>
      <c r="AA95" s="51">
        <f t="shared" si="436"/>
        <v>0</v>
      </c>
      <c r="AB95" s="51">
        <f t="shared" si="437"/>
        <v>0</v>
      </c>
      <c r="AC95" s="51">
        <f t="shared" si="438"/>
        <v>0</v>
      </c>
      <c r="AD95" s="51">
        <f t="shared" si="439"/>
        <v>0</v>
      </c>
      <c r="AE95" s="51">
        <f t="shared" si="440"/>
        <v>0</v>
      </c>
      <c r="AF95" s="51">
        <f t="shared" si="441"/>
        <v>0</v>
      </c>
      <c r="AG95" s="51">
        <f t="shared" si="442"/>
        <v>0</v>
      </c>
      <c r="AH95" s="54">
        <f t="shared" si="443"/>
        <v>0</v>
      </c>
      <c r="AI95" s="55">
        <f t="shared" si="444"/>
        <v>0</v>
      </c>
      <c r="AJ95" s="56">
        <f>IF(AND($E95&lt;&gt;0,$F95&gt;0,YEAR($F95)&gt;=Preisindex!$A$6,YEAR(AE$4)&gt;=YEAR($F95),AND($K95&lt;&gt;"a",$K95&lt;&gt;"b",$K95&lt;&gt;"g",$K95&lt;&gt;"k")),1,IF(AND($E95&lt;&gt;0,$F95&gt;0,YEAR($F95)&gt;=Preisindex!$A$6,YEAR(AE$4)&gt;=YEAR($F95),$K95="a"),ROUND(VLOOKUP(AJ$4,Preisindex,5,FALSE)/VLOOKUP(YEAR($F95),Preisindex,5,FALSE),2),IF(AND($E95&lt;&gt;0,$F95&gt;0,YEAR($F95)&gt;=Preisindex!$A$6,YEAR(AE$4)&gt;=YEAR($F95),$K95="b"),ROUND(VLOOKUP(AJ$4,Preisindex,3,FALSE)/VLOOKUP(YEAR($F95),Preisindex,3,FALSE),2),IF(AND($E95&lt;&gt;0,$F95&gt;0,YEAR($F95)&gt;=Preisindex!$A$6,YEAR(AE$4)&gt;=YEAR($F95),$K95="g"),ROUND(VLOOKUP(AJ$4,Preisindex,4,FALSE)/VLOOKUP(YEAR($F95),Preisindex,4,FALSE),2),IF(AND($E95&lt;&gt;0,$F95&gt;0,YEAR($F95)&gt;=Preisindex!$A$6,YEAR(AE$4)&gt;=YEAR($F95),$K95="k"),ROUND(VLOOKUP(AJ$4,Preisindex,2,FALSE)/VLOOKUP(YEAR($F95),Preisindex,2,FALSE),2),0)))))</f>
        <v>0</v>
      </c>
      <c r="AK95" s="56">
        <f>IF(AND($E95&lt;&gt;0,$F95&gt;0,YEAR($F95)&lt;Preisindex!$A$6,YEAR(AE$4)&gt;=YEAR($F95),AND($K95&lt;&gt;"a",$K95&lt;&gt;"b",$K95&lt;&gt;"g",$K95&lt;&gt;"k")),1,IF(AND($E95&lt;&gt;0,$F95&gt;0,YEAR($F95)&lt;Preisindex!$A$6,YEAR(AE$4)&gt;=YEAR($F95),$K95="a"),ROUND(VLOOKUP(AJ$4,Preisindex,5,FALSE)/VLOOKUP(Preisindex!$A$6,Preisindex,5,FALSE),2),IF(AND($E95&lt;&gt;0,$F95&gt;0,YEAR($F95)&lt;Preisindex!$A$6,YEAR(AE$4)&gt;=YEAR($F95),$K95="b"),ROUND(VLOOKUP(AJ$4,Preisindex,3,FALSE)/VLOOKUP(Preisindex!$A$6,Preisindex,3,FALSE),2),IF(AND($E95&lt;&gt;0,$F95&gt;0,YEAR($F95)&lt;Preisindex!$A$6,YEAR(AE$4)&gt;=YEAR($F95),$K95="g"),ROUND(VLOOKUP(AJ$4,Preisindex,4,FALSE)/VLOOKUP(Preisindex!$A$6,Preisindex,4,FALSE),2),IF(AND($E95&lt;&gt;0,$F95&gt;0,YEAR($F95)&lt;Preisindex!$A$6,YEAR(AE$4)&gt;=YEAR($F95),$K95="k"),ROUND(VLOOKUP(AJ$4,Preisindex,2,FALSE)/VLOOKUP(Preisindex!$A$6,Preisindex,2,FALSE),2),0)))))</f>
        <v>0</v>
      </c>
      <c r="AL95" s="51">
        <f>IF(AND($E95&lt;&gt;0,$F95&gt;0,YEAR($F95)&lt;=AJ$4,YEAR($F95)&gt;=Preisindex!$A$6),ROUND($E95*AJ95,2),IF(AND($E95&lt;&gt;0,$F95&gt;0,YEAR($F95)&lt;=AJ$4,YEAR($F95)&lt;Preisindex!$A$6),ROUND($E95*AK95,2),0))</f>
        <v>0</v>
      </c>
      <c r="AM95" s="53">
        <f t="shared" si="445"/>
        <v>0</v>
      </c>
      <c r="AN95" s="51">
        <f t="shared" si="446"/>
        <v>0</v>
      </c>
      <c r="AO95" s="51">
        <f t="shared" si="448"/>
        <v>0</v>
      </c>
      <c r="AP95" s="51">
        <f t="shared" si="362"/>
        <v>0</v>
      </c>
      <c r="AQ95" s="51">
        <f t="shared" si="449"/>
        <v>0</v>
      </c>
      <c r="AR95" s="51">
        <f t="shared" si="363"/>
        <v>0</v>
      </c>
      <c r="AS95" s="51">
        <f t="shared" si="450"/>
        <v>0</v>
      </c>
      <c r="AT95" s="51">
        <f t="shared" si="364"/>
        <v>0</v>
      </c>
      <c r="AU95" s="51">
        <f t="shared" si="451"/>
        <v>0</v>
      </c>
      <c r="AV95" s="51">
        <f t="shared" si="365"/>
        <v>0</v>
      </c>
      <c r="AW95" s="51">
        <f t="shared" si="452"/>
        <v>0</v>
      </c>
      <c r="AX95" s="51">
        <f t="shared" si="366"/>
        <v>0</v>
      </c>
      <c r="AY95" s="54">
        <f t="shared" si="367"/>
        <v>0</v>
      </c>
      <c r="AZ95" s="55">
        <f t="shared" si="368"/>
        <v>0</v>
      </c>
      <c r="BA95" s="56">
        <f>IF(AND($E95&lt;&gt;0,$F95&gt;0,YEAR($F95)&gt;=Preisindex!$A$6,YEAR(AV$4)&gt;=YEAR($F95),AND($K95&lt;&gt;"a",$K95&lt;&gt;"b",$K95&lt;&gt;"g",$K95&lt;&gt;"k")),1,IF(AND($E95&lt;&gt;0,$F95&gt;0,YEAR($F95)&gt;=Preisindex!$A$6,YEAR(AV$4)&gt;=YEAR($F95),$K95="a"),ROUND(VLOOKUP(BA$4,Preisindex,5,FALSE)/VLOOKUP(YEAR($F95),Preisindex,5,FALSE),2),IF(AND($E95&lt;&gt;0,$F95&gt;0,YEAR($F95)&gt;=Preisindex!$A$6,YEAR(AV$4)&gt;=YEAR($F95),$K95="b"),ROUND(VLOOKUP(BA$4,Preisindex,3,FALSE)/VLOOKUP(YEAR($F95),Preisindex,3,FALSE),2),IF(AND($E95&lt;&gt;0,$F95&gt;0,YEAR($F95)&gt;=Preisindex!$A$6,YEAR(AV$4)&gt;=YEAR($F95),$K95="g"),ROUND(VLOOKUP(BA$4,Preisindex,4,FALSE)/VLOOKUP(YEAR($F95),Preisindex,4,FALSE),2),IF(AND($E95&lt;&gt;0,$F95&gt;0,YEAR($F95)&gt;=Preisindex!$A$6,YEAR(AV$4)&gt;=YEAR($F95),$K95="k"),ROUND(VLOOKUP(BA$4,Preisindex,2,FALSE)/VLOOKUP(YEAR($F95),Preisindex,2,FALSE),2),0)))))</f>
        <v>0</v>
      </c>
      <c r="BB95" s="56">
        <f>IF(AND($E95&lt;&gt;0,$F95&gt;0,YEAR($F95)&lt;Preisindex!$A$6,YEAR(AV$4)&gt;=YEAR($F95),AND($K95&lt;&gt;"a",$K95&lt;&gt;"b",$K95&lt;&gt;"g",$K95&lt;&gt;"k")),1,IF(AND($E95&lt;&gt;0,$F95&gt;0,YEAR($F95)&lt;Preisindex!$A$6,YEAR(AV$4)&gt;=YEAR($F95),$K95="a"),ROUND(VLOOKUP(BA$4,Preisindex,5,FALSE)/VLOOKUP(Preisindex!$A$6,Preisindex,5,FALSE),2),IF(AND($E95&lt;&gt;0,$F95&gt;0,YEAR($F95)&lt;Preisindex!$A$6,YEAR(AV$4)&gt;=YEAR($F95),$K95="b"),ROUND(VLOOKUP(BA$4,Preisindex,3,FALSE)/VLOOKUP(Preisindex!$A$6,Preisindex,3,FALSE),2),IF(AND($E95&lt;&gt;0,$F95&gt;0,YEAR($F95)&lt;Preisindex!$A$6,YEAR(AV$4)&gt;=YEAR($F95),$K95="g"),ROUND(VLOOKUP(BA$4,Preisindex,4,FALSE)/VLOOKUP(Preisindex!$A$6,Preisindex,4,FALSE),2),IF(AND($E95&lt;&gt;0,$F95&gt;0,YEAR($F95)&lt;Preisindex!$A$6,YEAR(AV$4)&gt;=YEAR($F95),$K95="k"),ROUND(VLOOKUP(BA$4,Preisindex,2,FALSE)/VLOOKUP(Preisindex!$A$6,Preisindex,2,FALSE),2),0)))))</f>
        <v>0</v>
      </c>
      <c r="BC95" s="51">
        <f>IF(AND($E95&lt;&gt;0,$F95&gt;0,YEAR($F95)&lt;=BA$4,YEAR($F95)&gt;=Preisindex!$A$6),ROUND($E95*BA95,2),IF(AND($E95&lt;&gt;0,$F95&gt;0,YEAR($F95)&lt;=BA$4,YEAR($F95)&lt;Preisindex!$A$6),ROUND($E95*BB95,2),0))</f>
        <v>0</v>
      </c>
      <c r="BD95" s="53">
        <f t="shared" si="369"/>
        <v>0</v>
      </c>
      <c r="BE95" s="51">
        <f t="shared" si="446"/>
        <v>0</v>
      </c>
      <c r="BF95" s="51">
        <f t="shared" si="453"/>
        <v>0</v>
      </c>
      <c r="BG95" s="51">
        <f t="shared" si="370"/>
        <v>0</v>
      </c>
      <c r="BH95" s="51">
        <f t="shared" si="454"/>
        <v>0</v>
      </c>
      <c r="BI95" s="51">
        <f t="shared" si="371"/>
        <v>0</v>
      </c>
      <c r="BJ95" s="51">
        <f t="shared" si="455"/>
        <v>0</v>
      </c>
      <c r="BK95" s="51">
        <f t="shared" si="372"/>
        <v>0</v>
      </c>
      <c r="BL95" s="51">
        <f t="shared" si="456"/>
        <v>0</v>
      </c>
      <c r="BM95" s="51">
        <f t="shared" si="373"/>
        <v>0</v>
      </c>
      <c r="BN95" s="51">
        <f t="shared" si="457"/>
        <v>0</v>
      </c>
      <c r="BO95" s="51">
        <f t="shared" si="374"/>
        <v>0</v>
      </c>
      <c r="BP95" s="54">
        <f t="shared" si="375"/>
        <v>0</v>
      </c>
      <c r="BQ95" s="55">
        <f t="shared" si="376"/>
        <v>0</v>
      </c>
      <c r="BR95" s="56">
        <f>IF(AND($E95&lt;&gt;0,$F95&gt;0,YEAR($F95)&gt;=Preisindex!$A$6,YEAR(BM$4)&gt;=YEAR($F95),AND($K95&lt;&gt;"a",$K95&lt;&gt;"b",$K95&lt;&gt;"g",$K95&lt;&gt;"k")),1,IF(AND($E95&lt;&gt;0,$F95&gt;0,YEAR($F95)&gt;=Preisindex!$A$6,YEAR(BM$4)&gt;=YEAR($F95),$K95="a"),ROUND(VLOOKUP(BR$4,Preisindex,5,FALSE)/VLOOKUP(YEAR($F95),Preisindex,5,FALSE),2),IF(AND($E95&lt;&gt;0,$F95&gt;0,YEAR($F95)&gt;=Preisindex!$A$6,YEAR(BM$4)&gt;=YEAR($F95),$K95="b"),ROUND(VLOOKUP(BR$4,Preisindex,3,FALSE)/VLOOKUP(YEAR($F95),Preisindex,3,FALSE),2),IF(AND($E95&lt;&gt;0,$F95&gt;0,YEAR($F95)&gt;=Preisindex!$A$6,YEAR(BM$4)&gt;=YEAR($F95),$K95="g"),ROUND(VLOOKUP(BR$4,Preisindex,4,FALSE)/VLOOKUP(YEAR($F95),Preisindex,4,FALSE),2),IF(AND($E95&lt;&gt;0,$F95&gt;0,YEAR($F95)&gt;=Preisindex!$A$6,YEAR(BM$4)&gt;=YEAR($F95),$K95="k"),ROUND(VLOOKUP(BR$4,Preisindex,2,FALSE)/VLOOKUP(YEAR($F95),Preisindex,2,FALSE),2),0)))))</f>
        <v>0</v>
      </c>
      <c r="BS95" s="56">
        <f>IF(AND($E95&lt;&gt;0,$F95&gt;0,YEAR($F95)&lt;Preisindex!$A$6,YEAR(BM$4)&gt;=YEAR($F95),AND($K95&lt;&gt;"a",$K95&lt;&gt;"b",$K95&lt;&gt;"g",$K95&lt;&gt;"k")),1,IF(AND($E95&lt;&gt;0,$F95&gt;0,YEAR($F95)&lt;Preisindex!$A$6,YEAR(BM$4)&gt;=YEAR($F95),$K95="a"),ROUND(VLOOKUP(BR$4,Preisindex,5,FALSE)/VLOOKUP(Preisindex!$A$6,Preisindex,5,FALSE),2),IF(AND($E95&lt;&gt;0,$F95&gt;0,YEAR($F95)&lt;Preisindex!$A$6,YEAR(BM$4)&gt;=YEAR($F95),$K95="b"),ROUND(VLOOKUP(BR$4,Preisindex,3,FALSE)/VLOOKUP(Preisindex!$A$6,Preisindex,3,FALSE),2),IF(AND($E95&lt;&gt;0,$F95&gt;0,YEAR($F95)&lt;Preisindex!$A$6,YEAR(BM$4)&gt;=YEAR($F95),$K95="g"),ROUND(VLOOKUP(BR$4,Preisindex,4,FALSE)/VLOOKUP(Preisindex!$A$6,Preisindex,4,FALSE),2),IF(AND($E95&lt;&gt;0,$F95&gt;0,YEAR($F95)&lt;Preisindex!$A$6,YEAR(BM$4)&gt;=YEAR($F95),$K95="k"),ROUND(VLOOKUP(BR$4,Preisindex,2,FALSE)/VLOOKUP(Preisindex!$A$6,Preisindex,2,FALSE),2),0)))))</f>
        <v>0</v>
      </c>
      <c r="BT95" s="51">
        <f>IF(AND($E95&lt;&gt;0,$F95&gt;0,YEAR($F95)&lt;=BR$4,YEAR($F95)&gt;=Preisindex!$A$6),ROUND($E95*BR95,2),IF(AND($E95&lt;&gt;0,$F95&gt;0,YEAR($F95)&lt;=BR$4,YEAR($F95)&lt;Preisindex!$A$6),ROUND($E95*BS95,2),0))</f>
        <v>0</v>
      </c>
      <c r="BU95" s="53">
        <f t="shared" si="377"/>
        <v>0</v>
      </c>
      <c r="BV95" s="51">
        <f t="shared" si="446"/>
        <v>0</v>
      </c>
      <c r="BW95" s="51">
        <f t="shared" si="458"/>
        <v>0</v>
      </c>
      <c r="BX95" s="51">
        <f t="shared" si="378"/>
        <v>0</v>
      </c>
      <c r="BY95" s="51">
        <f t="shared" si="459"/>
        <v>0</v>
      </c>
      <c r="BZ95" s="51">
        <f t="shared" si="379"/>
        <v>0</v>
      </c>
      <c r="CA95" s="51">
        <f t="shared" si="460"/>
        <v>0</v>
      </c>
      <c r="CB95" s="51">
        <f t="shared" si="380"/>
        <v>0</v>
      </c>
      <c r="CC95" s="51">
        <f t="shared" si="461"/>
        <v>0</v>
      </c>
      <c r="CD95" s="51">
        <f t="shared" si="381"/>
        <v>0</v>
      </c>
      <c r="CE95" s="51">
        <f t="shared" si="462"/>
        <v>0</v>
      </c>
      <c r="CF95" s="51">
        <f t="shared" si="382"/>
        <v>0</v>
      </c>
      <c r="CG95" s="54">
        <f t="shared" si="383"/>
        <v>0</v>
      </c>
      <c r="CH95" s="55">
        <f t="shared" si="384"/>
        <v>0</v>
      </c>
      <c r="CI95" s="56">
        <f>IF(AND($E95&lt;&gt;0,$F95&gt;0,YEAR($F95)&gt;=Preisindex!$A$6,YEAR(CD$4)&gt;=YEAR($F95),AND($K95&lt;&gt;"a",$K95&lt;&gt;"b",$K95&lt;&gt;"g",$K95&lt;&gt;"k")),1,IF(AND($E95&lt;&gt;0,$F95&gt;0,YEAR($F95)&gt;=Preisindex!$A$6,YEAR(CD$4)&gt;=YEAR($F95),$K95="a"),ROUND(VLOOKUP(CI$4,Preisindex,5,FALSE)/VLOOKUP(YEAR($F95),Preisindex,5,FALSE),2),IF(AND($E95&lt;&gt;0,$F95&gt;0,YEAR($F95)&gt;=Preisindex!$A$6,YEAR(CD$4)&gt;=YEAR($F95),$K95="b"),ROUND(VLOOKUP(CI$4,Preisindex,3,FALSE)/VLOOKUP(YEAR($F95),Preisindex,3,FALSE),2),IF(AND($E95&lt;&gt;0,$F95&gt;0,YEAR($F95)&gt;=Preisindex!$A$6,YEAR(CD$4)&gt;=YEAR($F95),$K95="g"),ROUND(VLOOKUP(CI$4,Preisindex,4,FALSE)/VLOOKUP(YEAR($F95),Preisindex,4,FALSE),2),IF(AND($E95&lt;&gt;0,$F95&gt;0,YEAR($F95)&gt;=Preisindex!$A$6,YEAR(CD$4)&gt;=YEAR($F95),$K95="k"),ROUND(VLOOKUP(CI$4,Preisindex,2,FALSE)/VLOOKUP(YEAR($F95),Preisindex,2,FALSE),2),0)))))</f>
        <v>0</v>
      </c>
      <c r="CJ95" s="56">
        <f>IF(AND($E95&lt;&gt;0,$F95&gt;0,YEAR($F95)&lt;Preisindex!$A$6,YEAR(CD$4)&gt;=YEAR($F95),AND($K95&lt;&gt;"a",$K95&lt;&gt;"b",$K95&lt;&gt;"g",$K95&lt;&gt;"k")),1,IF(AND($E95&lt;&gt;0,$F95&gt;0,YEAR($F95)&lt;Preisindex!$A$6,YEAR(CD$4)&gt;=YEAR($F95),$K95="a"),ROUND(VLOOKUP(CI$4,Preisindex,5,FALSE)/VLOOKUP(Preisindex!$A$6,Preisindex,5,FALSE),2),IF(AND($E95&lt;&gt;0,$F95&gt;0,YEAR($F95)&lt;Preisindex!$A$6,YEAR(CD$4)&gt;=YEAR($F95),$K95="b"),ROUND(VLOOKUP(CI$4,Preisindex,3,FALSE)/VLOOKUP(Preisindex!$A$6,Preisindex,3,FALSE),2),IF(AND($E95&lt;&gt;0,$F95&gt;0,YEAR($F95)&lt;Preisindex!$A$6,YEAR(CD$4)&gt;=YEAR($F95),$K95="g"),ROUND(VLOOKUP(CI$4,Preisindex,4,FALSE)/VLOOKUP(Preisindex!$A$6,Preisindex,4,FALSE),2),IF(AND($E95&lt;&gt;0,$F95&gt;0,YEAR($F95)&lt;Preisindex!$A$6,YEAR(CD$4)&gt;=YEAR($F95),$K95="k"),ROUND(VLOOKUP(CI$4,Preisindex,2,FALSE)/VLOOKUP(Preisindex!$A$6,Preisindex,2,FALSE),2),0)))))</f>
        <v>0</v>
      </c>
      <c r="CK95" s="51">
        <f>IF(AND($E95&lt;&gt;0,$F95&gt;0,YEAR($F95)&lt;=CI$4,YEAR($F95)&gt;=Preisindex!$A$6),ROUND($E95*CI95,2),IF(AND($E95&lt;&gt;0,$F95&gt;0,YEAR($F95)&lt;=CI$4,YEAR($F95)&lt;Preisindex!$A$6),ROUND($E95*CJ95,2),0))</f>
        <v>0</v>
      </c>
      <c r="CL95" s="53">
        <f t="shared" si="385"/>
        <v>0</v>
      </c>
      <c r="CM95" s="51">
        <f t="shared" si="446"/>
        <v>0</v>
      </c>
      <c r="CN95" s="51">
        <f t="shared" si="463"/>
        <v>0</v>
      </c>
      <c r="CO95" s="51">
        <f t="shared" si="386"/>
        <v>0</v>
      </c>
      <c r="CP95" s="51">
        <f t="shared" si="464"/>
        <v>0</v>
      </c>
      <c r="CQ95" s="51">
        <f t="shared" si="387"/>
        <v>0</v>
      </c>
      <c r="CR95" s="51">
        <f t="shared" si="465"/>
        <v>0</v>
      </c>
      <c r="CS95" s="51">
        <f t="shared" si="388"/>
        <v>0</v>
      </c>
      <c r="CT95" s="51">
        <f t="shared" si="466"/>
        <v>0</v>
      </c>
      <c r="CU95" s="51">
        <f t="shared" si="389"/>
        <v>0</v>
      </c>
      <c r="CV95" s="51">
        <f t="shared" si="467"/>
        <v>0</v>
      </c>
      <c r="CW95" s="51">
        <f t="shared" si="390"/>
        <v>0</v>
      </c>
      <c r="CX95" s="54">
        <f t="shared" si="391"/>
        <v>0</v>
      </c>
      <c r="CY95" s="55">
        <f t="shared" si="392"/>
        <v>0</v>
      </c>
      <c r="CZ95" s="56">
        <f>IF(AND($E95&lt;&gt;0,$F95&gt;0,YEAR($F95)&gt;=Preisindex!$A$6,YEAR(CU$4)&gt;=YEAR($F95),AND($K95&lt;&gt;"a",$K95&lt;&gt;"b",$K95&lt;&gt;"g",$K95&lt;&gt;"k")),1,IF(AND($E95&lt;&gt;0,$F95&gt;0,YEAR($F95)&gt;=Preisindex!$A$6,YEAR(CU$4)&gt;=YEAR($F95),$K95="a"),ROUND(VLOOKUP(CZ$4,Preisindex,5,FALSE)/VLOOKUP(YEAR($F95),Preisindex,5,FALSE),2),IF(AND($E95&lt;&gt;0,$F95&gt;0,YEAR($F95)&gt;=Preisindex!$A$6,YEAR(CU$4)&gt;=YEAR($F95),$K95="b"),ROUND(VLOOKUP(CZ$4,Preisindex,3,FALSE)/VLOOKUP(YEAR($F95),Preisindex,3,FALSE),2),IF(AND($E95&lt;&gt;0,$F95&gt;0,YEAR($F95)&gt;=Preisindex!$A$6,YEAR(CU$4)&gt;=YEAR($F95),$K95="g"),ROUND(VLOOKUP(CZ$4,Preisindex,4,FALSE)/VLOOKUP(YEAR($F95),Preisindex,4,FALSE),2),IF(AND($E95&lt;&gt;0,$F95&gt;0,YEAR($F95)&gt;=Preisindex!$A$6,YEAR(CU$4)&gt;=YEAR($F95),$K95="k"),ROUND(VLOOKUP(CZ$4,Preisindex,2,FALSE)/VLOOKUP(YEAR($F95),Preisindex,2,FALSE),2),0)))))</f>
        <v>0</v>
      </c>
      <c r="DA95" s="56">
        <f>IF(AND($E95&lt;&gt;0,$F95&gt;0,YEAR($F95)&lt;Preisindex!$A$6,YEAR(CU$4)&gt;=YEAR($F95),AND($K95&lt;&gt;"a",$K95&lt;&gt;"b",$K95&lt;&gt;"g",$K95&lt;&gt;"k")),1,IF(AND($E95&lt;&gt;0,$F95&gt;0,YEAR($F95)&lt;Preisindex!$A$6,YEAR(CU$4)&gt;=YEAR($F95),$K95="a"),ROUND(VLOOKUP(CZ$4,Preisindex,5,FALSE)/VLOOKUP(Preisindex!$A$6,Preisindex,5,FALSE),2),IF(AND($E95&lt;&gt;0,$F95&gt;0,YEAR($F95)&lt;Preisindex!$A$6,YEAR(CU$4)&gt;=YEAR($F95),$K95="b"),ROUND(VLOOKUP(CZ$4,Preisindex,3,FALSE)/VLOOKUP(Preisindex!$A$6,Preisindex,3,FALSE),2),IF(AND($E95&lt;&gt;0,$F95&gt;0,YEAR($F95)&lt;Preisindex!$A$6,YEAR(CU$4)&gt;=YEAR($F95),$K95="g"),ROUND(VLOOKUP(CZ$4,Preisindex,4,FALSE)/VLOOKUP(Preisindex!$A$6,Preisindex,4,FALSE),2),IF(AND($E95&lt;&gt;0,$F95&gt;0,YEAR($F95)&lt;Preisindex!$A$6,YEAR(CU$4)&gt;=YEAR($F95),$K95="k"),ROUND(VLOOKUP(CZ$4,Preisindex,2,FALSE)/VLOOKUP(Preisindex!$A$6,Preisindex,2,FALSE),2),0)))))</f>
        <v>0</v>
      </c>
      <c r="DB95" s="51">
        <f>IF(AND($E95&lt;&gt;0,$F95&gt;0,YEAR($F95)&lt;=CZ$4,YEAR($F95)&gt;=Preisindex!$A$6),ROUND($E95*CZ95,2),IF(AND($E95&lt;&gt;0,$F95&gt;0,YEAR($F95)&lt;=CZ$4,YEAR($F95)&lt;Preisindex!$A$6),ROUND($E95*DA95,2),0))</f>
        <v>0</v>
      </c>
      <c r="DC95" s="53">
        <f t="shared" si="393"/>
        <v>0</v>
      </c>
      <c r="DD95" s="51">
        <f t="shared" si="447"/>
        <v>0</v>
      </c>
      <c r="DE95" s="51">
        <f t="shared" si="468"/>
        <v>0</v>
      </c>
      <c r="DF95" s="51">
        <f t="shared" si="395"/>
        <v>0</v>
      </c>
      <c r="DG95" s="51">
        <f t="shared" si="469"/>
        <v>0</v>
      </c>
      <c r="DH95" s="51">
        <f t="shared" si="396"/>
        <v>0</v>
      </c>
      <c r="DI95" s="51">
        <f t="shared" si="470"/>
        <v>0</v>
      </c>
      <c r="DJ95" s="51">
        <f t="shared" si="397"/>
        <v>0</v>
      </c>
      <c r="DK95" s="51">
        <f t="shared" si="471"/>
        <v>0</v>
      </c>
      <c r="DL95" s="51">
        <f t="shared" si="398"/>
        <v>0</v>
      </c>
      <c r="DM95" s="51">
        <f t="shared" si="472"/>
        <v>0</v>
      </c>
      <c r="DN95" s="51">
        <f t="shared" si="399"/>
        <v>0</v>
      </c>
      <c r="DO95" s="54">
        <f t="shared" si="400"/>
        <v>0</v>
      </c>
      <c r="DP95" s="55">
        <f t="shared" si="401"/>
        <v>0</v>
      </c>
      <c r="DQ95" s="56">
        <f>IF(AND($E95&lt;&gt;0,$F95&gt;0,YEAR($F95)&gt;=Preisindex!$A$6,YEAR(DL$4)&gt;=YEAR($F95),AND($K95&lt;&gt;"a",$K95&lt;&gt;"b",$K95&lt;&gt;"g",$K95&lt;&gt;"k")),1,IF(AND($E95&lt;&gt;0,$F95&gt;0,YEAR($F95)&gt;=Preisindex!$A$6,YEAR(DL$4)&gt;=YEAR($F95),$K95="a"),ROUND(VLOOKUP(DQ$4,Preisindex,5,FALSE)/VLOOKUP(YEAR($F95),Preisindex,5,FALSE),2),IF(AND($E95&lt;&gt;0,$F95&gt;0,YEAR($F95)&gt;=Preisindex!$A$6,YEAR(DL$4)&gt;=YEAR($F95),$K95="b"),ROUND(VLOOKUP(DQ$4,Preisindex,3,FALSE)/VLOOKUP(YEAR($F95),Preisindex,3,FALSE),2),IF(AND($E95&lt;&gt;0,$F95&gt;0,YEAR($F95)&gt;=Preisindex!$A$6,YEAR(DL$4)&gt;=YEAR($F95),$K95="g"),ROUND(VLOOKUP(DQ$4,Preisindex,4,FALSE)/VLOOKUP(YEAR($F95),Preisindex,4,FALSE),2),IF(AND($E95&lt;&gt;0,$F95&gt;0,YEAR($F95)&gt;=Preisindex!$A$6,YEAR(DL$4)&gt;=YEAR($F95),$K95="k"),ROUND(VLOOKUP(DQ$4,Preisindex,2,FALSE)/VLOOKUP(YEAR($F95),Preisindex,2,FALSE),2),0)))))</f>
        <v>0</v>
      </c>
      <c r="DR95" s="56">
        <f>IF(AND($E95&lt;&gt;0,$F95&gt;0,YEAR($F95)&lt;Preisindex!$A$6,YEAR(DL$4)&gt;=YEAR($F95),AND($K95&lt;&gt;"a",$K95&lt;&gt;"b",$K95&lt;&gt;"g",$K95&lt;&gt;"k")),1,IF(AND($E95&lt;&gt;0,$F95&gt;0,YEAR($F95)&lt;Preisindex!$A$6,YEAR(DL$4)&gt;=YEAR($F95),$K95="a"),ROUND(VLOOKUP(DQ$4,Preisindex,5,FALSE)/VLOOKUP(Preisindex!$A$6,Preisindex,5,FALSE),2),IF(AND($E95&lt;&gt;0,$F95&gt;0,YEAR($F95)&lt;Preisindex!$A$6,YEAR(DL$4)&gt;=YEAR($F95),$K95="b"),ROUND(VLOOKUP(DQ$4,Preisindex,3,FALSE)/VLOOKUP(Preisindex!$A$6,Preisindex,3,FALSE),2),IF(AND($E95&lt;&gt;0,$F95&gt;0,YEAR($F95)&lt;Preisindex!$A$6,YEAR(DL$4)&gt;=YEAR($F95),$K95="g"),ROUND(VLOOKUP(DQ$4,Preisindex,4,FALSE)/VLOOKUP(Preisindex!$A$6,Preisindex,4,FALSE),2),IF(AND($E95&lt;&gt;0,$F95&gt;0,YEAR($F95)&lt;Preisindex!$A$6,YEAR(DL$4)&gt;=YEAR($F95),$K95="k"),ROUND(VLOOKUP(DQ$4,Preisindex,2,FALSE)/VLOOKUP(Preisindex!$A$6,Preisindex,2,FALSE),2),0)))))</f>
        <v>0</v>
      </c>
      <c r="DS95" s="51">
        <f>IF(AND($E95&lt;&gt;0,$F95&gt;0,YEAR($F95)&lt;=DQ$4,YEAR($F95)&gt;=Preisindex!$A$6),ROUND($E95*DQ95,2),IF(AND($E95&lt;&gt;0,$F95&gt;0,YEAR($F95)&lt;=DQ$4,YEAR($F95)&lt;Preisindex!$A$6),ROUND($E95*DR95,2),0))</f>
        <v>0</v>
      </c>
      <c r="DT95" s="53">
        <f t="shared" si="402"/>
        <v>0</v>
      </c>
      <c r="DU95" s="51">
        <f t="shared" si="447"/>
        <v>0</v>
      </c>
      <c r="DV95" s="51">
        <f t="shared" si="473"/>
        <v>0</v>
      </c>
      <c r="DW95" s="51">
        <f t="shared" si="403"/>
        <v>0</v>
      </c>
      <c r="DX95" s="51">
        <f t="shared" si="474"/>
        <v>0</v>
      </c>
      <c r="DY95" s="51">
        <f t="shared" si="404"/>
        <v>0</v>
      </c>
      <c r="DZ95" s="51">
        <f t="shared" si="475"/>
        <v>0</v>
      </c>
      <c r="EA95" s="51">
        <f t="shared" si="405"/>
        <v>0</v>
      </c>
      <c r="EB95" s="51">
        <f t="shared" si="476"/>
        <v>0</v>
      </c>
      <c r="EC95" s="51">
        <f t="shared" si="406"/>
        <v>0</v>
      </c>
      <c r="ED95" s="51">
        <f t="shared" si="477"/>
        <v>0</v>
      </c>
      <c r="EE95" s="51">
        <f t="shared" si="407"/>
        <v>0</v>
      </c>
      <c r="EF95" s="54">
        <f t="shared" si="408"/>
        <v>0</v>
      </c>
      <c r="EG95" s="55">
        <f t="shared" si="409"/>
        <v>0</v>
      </c>
      <c r="EH95" s="56">
        <f>IF(AND($E95&lt;&gt;0,$F95&gt;0,YEAR($F95)&gt;=Preisindex!$A$6,YEAR(EC$4)&gt;=YEAR($F95),AND($K95&lt;&gt;"a",$K95&lt;&gt;"b",$K95&lt;&gt;"g",$K95&lt;&gt;"k")),1,IF(AND($E95&lt;&gt;0,$F95&gt;0,YEAR($F95)&gt;=Preisindex!$A$6,YEAR(EC$4)&gt;=YEAR($F95),$K95="a"),ROUND(VLOOKUP(EH$4,Preisindex,5,FALSE)/VLOOKUP(YEAR($F95),Preisindex,5,FALSE),2),IF(AND($E95&lt;&gt;0,$F95&gt;0,YEAR($F95)&gt;=Preisindex!$A$6,YEAR(EC$4)&gt;=YEAR($F95),$K95="b"),ROUND(VLOOKUP(EH$4,Preisindex,3,FALSE)/VLOOKUP(YEAR($F95),Preisindex,3,FALSE),2),IF(AND($E95&lt;&gt;0,$F95&gt;0,YEAR($F95)&gt;=Preisindex!$A$6,YEAR(EC$4)&gt;=YEAR($F95),$K95="g"),ROUND(VLOOKUP(EH$4,Preisindex,4,FALSE)/VLOOKUP(YEAR($F95),Preisindex,4,FALSE),2),IF(AND($E95&lt;&gt;0,$F95&gt;0,YEAR($F95)&gt;=Preisindex!$A$6,YEAR(EC$4)&gt;=YEAR($F95),$K95="k"),ROUND(VLOOKUP(EH$4,Preisindex,2,FALSE)/VLOOKUP(YEAR($F95),Preisindex,2,FALSE),2),0)))))</f>
        <v>0</v>
      </c>
      <c r="EI95" s="56">
        <f>IF(AND($E95&lt;&gt;0,$F95&gt;0,YEAR($F95)&lt;Preisindex!$A$6,YEAR(EC$4)&gt;=YEAR($F95),AND($K95&lt;&gt;"a",$K95&lt;&gt;"b",$K95&lt;&gt;"g",$K95&lt;&gt;"k")),1,IF(AND($E95&lt;&gt;0,$F95&gt;0,YEAR($F95)&lt;Preisindex!$A$6,YEAR(EC$4)&gt;=YEAR($F95),$K95="a"),ROUND(VLOOKUP(EH$4,Preisindex,5,FALSE)/VLOOKUP(Preisindex!$A$6,Preisindex,5,FALSE),2),IF(AND($E95&lt;&gt;0,$F95&gt;0,YEAR($F95)&lt;Preisindex!$A$6,YEAR(EC$4)&gt;=YEAR($F95),$K95="b"),ROUND(VLOOKUP(EH$4,Preisindex,3,FALSE)/VLOOKUP(Preisindex!$A$6,Preisindex,3,FALSE),2),IF(AND($E95&lt;&gt;0,$F95&gt;0,YEAR($F95)&lt;Preisindex!$A$6,YEAR(EC$4)&gt;=YEAR($F95),$K95="g"),ROUND(VLOOKUP(EH$4,Preisindex,4,FALSE)/VLOOKUP(Preisindex!$A$6,Preisindex,4,FALSE),2),IF(AND($E95&lt;&gt;0,$F95&gt;0,YEAR($F95)&lt;Preisindex!$A$6,YEAR(EC$4)&gt;=YEAR($F95),$K95="k"),ROUND(VLOOKUP(EH$4,Preisindex,2,FALSE)/VLOOKUP(Preisindex!$A$6,Preisindex,2,FALSE),2),0)))))</f>
        <v>0</v>
      </c>
      <c r="EJ95" s="51">
        <f>IF(AND($E95&lt;&gt;0,$F95&gt;0,YEAR($F95)&lt;=EH$4,YEAR($F95)&gt;=Preisindex!$A$6),ROUND($E95*EH95,2),IF(AND($E95&lt;&gt;0,$F95&gt;0,YEAR($F95)&lt;=EH$4,YEAR($F95)&lt;Preisindex!$A$6),ROUND($E95*EI95,2),0))</f>
        <v>0</v>
      </c>
      <c r="EK95" s="53">
        <f t="shared" si="410"/>
        <v>0</v>
      </c>
      <c r="EL95" s="51">
        <f t="shared" si="447"/>
        <v>0</v>
      </c>
      <c r="EM95" s="51">
        <f t="shared" si="478"/>
        <v>0</v>
      </c>
      <c r="EN95" s="51">
        <f t="shared" si="411"/>
        <v>0</v>
      </c>
      <c r="EO95" s="51">
        <f t="shared" si="479"/>
        <v>0</v>
      </c>
      <c r="EP95" s="51">
        <f t="shared" si="412"/>
        <v>0</v>
      </c>
      <c r="EQ95" s="51">
        <f t="shared" si="480"/>
        <v>0</v>
      </c>
      <c r="ER95" s="51">
        <f t="shared" si="413"/>
        <v>0</v>
      </c>
      <c r="ES95" s="51">
        <f t="shared" si="481"/>
        <v>0</v>
      </c>
      <c r="ET95" s="51">
        <f t="shared" si="414"/>
        <v>0</v>
      </c>
      <c r="EU95" s="51">
        <f t="shared" si="482"/>
        <v>0</v>
      </c>
      <c r="EV95" s="51">
        <f t="shared" si="415"/>
        <v>0</v>
      </c>
      <c r="EW95" s="54">
        <f t="shared" si="416"/>
        <v>0</v>
      </c>
      <c r="EX95" s="55">
        <f t="shared" si="417"/>
        <v>0</v>
      </c>
      <c r="EY95" s="56">
        <f>IF(AND($E95&lt;&gt;0,$F95&gt;0,YEAR($F95)&gt;=Preisindex!$A$6,YEAR(ET$4)&gt;=YEAR($F95),AND($K95&lt;&gt;"a",$K95&lt;&gt;"b",$K95&lt;&gt;"g",$K95&lt;&gt;"k")),1,IF(AND($E95&lt;&gt;0,$F95&gt;0,YEAR($F95)&gt;=Preisindex!$A$6,YEAR(ET$4)&gt;=YEAR($F95),$K95="a"),ROUND(VLOOKUP(EY$4,Preisindex,5,FALSE)/VLOOKUP(YEAR($F95),Preisindex,5,FALSE),2),IF(AND($E95&lt;&gt;0,$F95&gt;0,YEAR($F95)&gt;=Preisindex!$A$6,YEAR(ET$4)&gt;=YEAR($F95),$K95="b"),ROUND(VLOOKUP(EY$4,Preisindex,3,FALSE)/VLOOKUP(YEAR($F95),Preisindex,3,FALSE),2),IF(AND($E95&lt;&gt;0,$F95&gt;0,YEAR($F95)&gt;=Preisindex!$A$6,YEAR(ET$4)&gt;=YEAR($F95),$K95="g"),ROUND(VLOOKUP(EY$4,Preisindex,4,FALSE)/VLOOKUP(YEAR($F95),Preisindex,4,FALSE),2),IF(AND($E95&lt;&gt;0,$F95&gt;0,YEAR($F95)&gt;=Preisindex!$A$6,YEAR(ET$4)&gt;=YEAR($F95),$K95="k"),ROUND(VLOOKUP(EY$4,Preisindex,2,FALSE)/VLOOKUP(YEAR($F95),Preisindex,2,FALSE),2),0)))))</f>
        <v>0</v>
      </c>
      <c r="EZ95" s="56">
        <f>IF(AND($E95&lt;&gt;0,$F95&gt;0,YEAR($F95)&lt;Preisindex!$A$6,YEAR(ET$4)&gt;=YEAR($F95),AND($K95&lt;&gt;"a",$K95&lt;&gt;"b",$K95&lt;&gt;"g",$K95&lt;&gt;"k")),1,IF(AND($E95&lt;&gt;0,$F95&gt;0,YEAR($F95)&lt;Preisindex!$A$6,YEAR(ET$4)&gt;=YEAR($F95),$K95="a"),ROUND(VLOOKUP(EY$4,Preisindex,5,FALSE)/VLOOKUP(Preisindex!$A$6,Preisindex,5,FALSE),2),IF(AND($E95&lt;&gt;0,$F95&gt;0,YEAR($F95)&lt;Preisindex!$A$6,YEAR(ET$4)&gt;=YEAR($F95),$K95="b"),ROUND(VLOOKUP(EY$4,Preisindex,3,FALSE)/VLOOKUP(Preisindex!$A$6,Preisindex,3,FALSE),2),IF(AND($E95&lt;&gt;0,$F95&gt;0,YEAR($F95)&lt;Preisindex!$A$6,YEAR(ET$4)&gt;=YEAR($F95),$K95="g"),ROUND(VLOOKUP(EY$4,Preisindex,4,FALSE)/VLOOKUP(Preisindex!$A$6,Preisindex,4,FALSE),2),IF(AND($E95&lt;&gt;0,$F95&gt;0,YEAR($F95)&lt;Preisindex!$A$6,YEAR(ET$4)&gt;=YEAR($F95),$K95="k"),ROUND(VLOOKUP(EY$4,Preisindex,2,FALSE)/VLOOKUP(Preisindex!$A$6,Preisindex,2,FALSE),2),0)))))</f>
        <v>0</v>
      </c>
      <c r="FA95" s="51">
        <f>IF(AND($E95&lt;&gt;0,$F95&gt;0,YEAR($F95)&lt;=EY$4,YEAR($F95)&gt;=Preisindex!$A$6),ROUND($E95*EY95,2),IF(AND($E95&lt;&gt;0,$F95&gt;0,YEAR($F95)&lt;=EY$4,YEAR($F95)&lt;Preisindex!$A$6),ROUND($E95*EZ95,2),0))</f>
        <v>0</v>
      </c>
      <c r="FB95" s="53">
        <f t="shared" si="418"/>
        <v>0</v>
      </c>
      <c r="FC95" s="51">
        <f t="shared" si="447"/>
        <v>0</v>
      </c>
      <c r="FD95" s="51">
        <f t="shared" si="483"/>
        <v>0</v>
      </c>
      <c r="FE95" s="51">
        <f t="shared" si="419"/>
        <v>0</v>
      </c>
      <c r="FF95" s="51">
        <f t="shared" si="484"/>
        <v>0</v>
      </c>
      <c r="FG95" s="51">
        <f t="shared" si="420"/>
        <v>0</v>
      </c>
      <c r="FH95" s="51">
        <f t="shared" si="485"/>
        <v>0</v>
      </c>
      <c r="FI95" s="51">
        <f t="shared" si="421"/>
        <v>0</v>
      </c>
      <c r="FJ95" s="51">
        <f t="shared" si="486"/>
        <v>0</v>
      </c>
      <c r="FK95" s="51">
        <f t="shared" si="422"/>
        <v>0</v>
      </c>
      <c r="FL95" s="51">
        <f t="shared" si="487"/>
        <v>0</v>
      </c>
      <c r="FM95" s="51">
        <f t="shared" si="423"/>
        <v>0</v>
      </c>
      <c r="FN95" s="54">
        <f t="shared" si="424"/>
        <v>0</v>
      </c>
      <c r="FO95" s="55">
        <f t="shared" si="425"/>
        <v>0</v>
      </c>
      <c r="FP95" s="56">
        <f>IF(AND($E95&lt;&gt;0,$F95&gt;0,YEAR($F95)&gt;=Preisindex!$A$6,YEAR(FK$4)&gt;=YEAR($F95),AND($K95&lt;&gt;"a",$K95&lt;&gt;"b",$K95&lt;&gt;"g",$K95&lt;&gt;"k")),1,IF(AND($E95&lt;&gt;0,$F95&gt;0,YEAR($F95)&gt;=Preisindex!$A$6,YEAR(FK$4)&gt;=YEAR($F95),$K95="a"),ROUND(VLOOKUP(FP$4,Preisindex,5,FALSE)/VLOOKUP(YEAR($F95),Preisindex,5,FALSE),2),IF(AND($E95&lt;&gt;0,$F95&gt;0,YEAR($F95)&gt;=Preisindex!$A$6,YEAR(FK$4)&gt;=YEAR($F95),$K95="b"),ROUND(VLOOKUP(FP$4,Preisindex,3,FALSE)/VLOOKUP(YEAR($F95),Preisindex,3,FALSE),2),IF(AND($E95&lt;&gt;0,$F95&gt;0,YEAR($F95)&gt;=Preisindex!$A$6,YEAR(FK$4)&gt;=YEAR($F95),$K95="g"),ROUND(VLOOKUP(FP$4,Preisindex,4,FALSE)/VLOOKUP(YEAR($F95),Preisindex,4,FALSE),2),IF(AND($E95&lt;&gt;0,$F95&gt;0,YEAR($F95)&gt;=Preisindex!$A$6,YEAR(FK$4)&gt;=YEAR($F95),$K95="k"),ROUND(VLOOKUP(FP$4,Preisindex,2,FALSE)/VLOOKUP(YEAR($F95),Preisindex,2,FALSE),2),0)))))</f>
        <v>0</v>
      </c>
      <c r="FQ95" s="56">
        <f>IF(AND($E95&lt;&gt;0,$F95&gt;0,YEAR($F95)&lt;Preisindex!$A$6,YEAR(FK$4)&gt;=YEAR($F95),AND($K95&lt;&gt;"a",$K95&lt;&gt;"b",$K95&lt;&gt;"g",$K95&lt;&gt;"k")),1,IF(AND($E95&lt;&gt;0,$F95&gt;0,YEAR($F95)&lt;Preisindex!$A$6,YEAR(FK$4)&gt;=YEAR($F95),$K95="a"),ROUND(VLOOKUP(FP$4,Preisindex,5,FALSE)/VLOOKUP(Preisindex!$A$6,Preisindex,5,FALSE),2),IF(AND($E95&lt;&gt;0,$F95&gt;0,YEAR($F95)&lt;Preisindex!$A$6,YEAR(FK$4)&gt;=YEAR($F95),$K95="b"),ROUND(VLOOKUP(FP$4,Preisindex,3,FALSE)/VLOOKUP(Preisindex!$A$6,Preisindex,3,FALSE),2),IF(AND($E95&lt;&gt;0,$F95&gt;0,YEAR($F95)&lt;Preisindex!$A$6,YEAR(FK$4)&gt;=YEAR($F95),$K95="g"),ROUND(VLOOKUP(FP$4,Preisindex,4,FALSE)/VLOOKUP(Preisindex!$A$6,Preisindex,4,FALSE),2),IF(AND($E95&lt;&gt;0,$F95&gt;0,YEAR($F95)&lt;Preisindex!$A$6,YEAR(FK$4)&gt;=YEAR($F95),$K95="k"),ROUND(VLOOKUP(FP$4,Preisindex,2,FALSE)/VLOOKUP(Preisindex!$A$6,Preisindex,2,FALSE),2),0)))))</f>
        <v>0</v>
      </c>
      <c r="FR95" s="51">
        <f>IF(AND($E95&lt;&gt;0,$F95&gt;0,YEAR($F95)&lt;=FP$4,YEAR($F95)&gt;=Preisindex!$A$6),ROUND($E95*FP95,2),IF(AND($E95&lt;&gt;0,$F95&gt;0,YEAR($F95)&lt;=FP$4,YEAR($F95)&lt;Preisindex!$A$6),ROUND($E95*FQ95,2),0))</f>
        <v>0</v>
      </c>
      <c r="FS95" s="53">
        <f t="shared" si="426"/>
        <v>0</v>
      </c>
    </row>
    <row r="96" spans="1:175" x14ac:dyDescent="0.3">
      <c r="A96" s="93"/>
      <c r="B96" s="196"/>
      <c r="C96" s="196"/>
      <c r="D96" s="188"/>
      <c r="E96" s="99"/>
      <c r="F96" s="97"/>
      <c r="G96" s="100"/>
      <c r="H96" s="620"/>
      <c r="I96" s="621"/>
      <c r="J96" s="194"/>
      <c r="K96" s="630"/>
      <c r="L96" s="49">
        <f t="shared" si="427"/>
        <v>0</v>
      </c>
      <c r="M96" s="50">
        <f t="shared" si="428"/>
        <v>0</v>
      </c>
      <c r="N96" s="51">
        <f t="shared" si="429"/>
        <v>0</v>
      </c>
      <c r="O96" s="51"/>
      <c r="P96" s="51">
        <f t="shared" si="430"/>
        <v>0</v>
      </c>
      <c r="Q96" s="52"/>
      <c r="R96" s="52"/>
      <c r="S96" s="52"/>
      <c r="T96" s="52"/>
      <c r="U96" s="52"/>
      <c r="V96" s="53">
        <f t="shared" si="431"/>
        <v>0</v>
      </c>
      <c r="W96" s="51">
        <f t="shared" si="432"/>
        <v>0</v>
      </c>
      <c r="X96" s="51">
        <f t="shared" si="433"/>
        <v>0</v>
      </c>
      <c r="Y96" s="51">
        <f t="shared" si="434"/>
        <v>0</v>
      </c>
      <c r="Z96" s="51">
        <f t="shared" si="435"/>
        <v>0</v>
      </c>
      <c r="AA96" s="51">
        <f t="shared" si="436"/>
        <v>0</v>
      </c>
      <c r="AB96" s="51">
        <f t="shared" si="437"/>
        <v>0</v>
      </c>
      <c r="AC96" s="51">
        <f t="shared" si="438"/>
        <v>0</v>
      </c>
      <c r="AD96" s="51">
        <f t="shared" si="439"/>
        <v>0</v>
      </c>
      <c r="AE96" s="51">
        <f t="shared" si="440"/>
        <v>0</v>
      </c>
      <c r="AF96" s="51">
        <f t="shared" si="441"/>
        <v>0</v>
      </c>
      <c r="AG96" s="51">
        <f t="shared" si="442"/>
        <v>0</v>
      </c>
      <c r="AH96" s="54">
        <f t="shared" si="443"/>
        <v>0</v>
      </c>
      <c r="AI96" s="55">
        <f t="shared" si="444"/>
        <v>0</v>
      </c>
      <c r="AJ96" s="56">
        <f>IF(AND($E96&lt;&gt;0,$F96&gt;0,YEAR($F96)&gt;=Preisindex!$A$6,YEAR(AE$4)&gt;=YEAR($F96),AND($K96&lt;&gt;"a",$K96&lt;&gt;"b",$K96&lt;&gt;"g",$K96&lt;&gt;"k")),1,IF(AND($E96&lt;&gt;0,$F96&gt;0,YEAR($F96)&gt;=Preisindex!$A$6,YEAR(AE$4)&gt;=YEAR($F96),$K96="a"),ROUND(VLOOKUP(AJ$4,Preisindex,5,FALSE)/VLOOKUP(YEAR($F96),Preisindex,5,FALSE),2),IF(AND($E96&lt;&gt;0,$F96&gt;0,YEAR($F96)&gt;=Preisindex!$A$6,YEAR(AE$4)&gt;=YEAR($F96),$K96="b"),ROUND(VLOOKUP(AJ$4,Preisindex,3,FALSE)/VLOOKUP(YEAR($F96),Preisindex,3,FALSE),2),IF(AND($E96&lt;&gt;0,$F96&gt;0,YEAR($F96)&gt;=Preisindex!$A$6,YEAR(AE$4)&gt;=YEAR($F96),$K96="g"),ROUND(VLOOKUP(AJ$4,Preisindex,4,FALSE)/VLOOKUP(YEAR($F96),Preisindex,4,FALSE),2),IF(AND($E96&lt;&gt;0,$F96&gt;0,YEAR($F96)&gt;=Preisindex!$A$6,YEAR(AE$4)&gt;=YEAR($F96),$K96="k"),ROUND(VLOOKUP(AJ$4,Preisindex,2,FALSE)/VLOOKUP(YEAR($F96),Preisindex,2,FALSE),2),0)))))</f>
        <v>0</v>
      </c>
      <c r="AK96" s="56">
        <f>IF(AND($E96&lt;&gt;0,$F96&gt;0,YEAR($F96)&lt;Preisindex!$A$6,YEAR(AE$4)&gt;=YEAR($F96),AND($K96&lt;&gt;"a",$K96&lt;&gt;"b",$K96&lt;&gt;"g",$K96&lt;&gt;"k")),1,IF(AND($E96&lt;&gt;0,$F96&gt;0,YEAR($F96)&lt;Preisindex!$A$6,YEAR(AE$4)&gt;=YEAR($F96),$K96="a"),ROUND(VLOOKUP(AJ$4,Preisindex,5,FALSE)/VLOOKUP(Preisindex!$A$6,Preisindex,5,FALSE),2),IF(AND($E96&lt;&gt;0,$F96&gt;0,YEAR($F96)&lt;Preisindex!$A$6,YEAR(AE$4)&gt;=YEAR($F96),$K96="b"),ROUND(VLOOKUP(AJ$4,Preisindex,3,FALSE)/VLOOKUP(Preisindex!$A$6,Preisindex,3,FALSE),2),IF(AND($E96&lt;&gt;0,$F96&gt;0,YEAR($F96)&lt;Preisindex!$A$6,YEAR(AE$4)&gt;=YEAR($F96),$K96="g"),ROUND(VLOOKUP(AJ$4,Preisindex,4,FALSE)/VLOOKUP(Preisindex!$A$6,Preisindex,4,FALSE),2),IF(AND($E96&lt;&gt;0,$F96&gt;0,YEAR($F96)&lt;Preisindex!$A$6,YEAR(AE$4)&gt;=YEAR($F96),$K96="k"),ROUND(VLOOKUP(AJ$4,Preisindex,2,FALSE)/VLOOKUP(Preisindex!$A$6,Preisindex,2,FALSE),2),0)))))</f>
        <v>0</v>
      </c>
      <c r="AL96" s="51">
        <f>IF(AND($E96&lt;&gt;0,$F96&gt;0,YEAR($F96)&lt;=AJ$4,YEAR($F96)&gt;=Preisindex!$A$6),ROUND($E96*AJ96,2),IF(AND($E96&lt;&gt;0,$F96&gt;0,YEAR($F96)&lt;=AJ$4,YEAR($F96)&lt;Preisindex!$A$6),ROUND($E96*AK96,2),0))</f>
        <v>0</v>
      </c>
      <c r="AM96" s="53">
        <f t="shared" si="445"/>
        <v>0</v>
      </c>
      <c r="AN96" s="51">
        <f t="shared" si="446"/>
        <v>0</v>
      </c>
      <c r="AO96" s="51">
        <f t="shared" si="448"/>
        <v>0</v>
      </c>
      <c r="AP96" s="51">
        <f t="shared" si="362"/>
        <v>0</v>
      </c>
      <c r="AQ96" s="51">
        <f t="shared" si="449"/>
        <v>0</v>
      </c>
      <c r="AR96" s="51">
        <f t="shared" si="363"/>
        <v>0</v>
      </c>
      <c r="AS96" s="51">
        <f t="shared" si="450"/>
        <v>0</v>
      </c>
      <c r="AT96" s="51">
        <f t="shared" si="364"/>
        <v>0</v>
      </c>
      <c r="AU96" s="51">
        <f t="shared" si="451"/>
        <v>0</v>
      </c>
      <c r="AV96" s="51">
        <f t="shared" si="365"/>
        <v>0</v>
      </c>
      <c r="AW96" s="51">
        <f t="shared" si="452"/>
        <v>0</v>
      </c>
      <c r="AX96" s="51">
        <f t="shared" si="366"/>
        <v>0</v>
      </c>
      <c r="AY96" s="54">
        <f t="shared" si="367"/>
        <v>0</v>
      </c>
      <c r="AZ96" s="55">
        <f t="shared" si="368"/>
        <v>0</v>
      </c>
      <c r="BA96" s="56">
        <f>IF(AND($E96&lt;&gt;0,$F96&gt;0,YEAR($F96)&gt;=Preisindex!$A$6,YEAR(AV$4)&gt;=YEAR($F96),AND($K96&lt;&gt;"a",$K96&lt;&gt;"b",$K96&lt;&gt;"g",$K96&lt;&gt;"k")),1,IF(AND($E96&lt;&gt;0,$F96&gt;0,YEAR($F96)&gt;=Preisindex!$A$6,YEAR(AV$4)&gt;=YEAR($F96),$K96="a"),ROUND(VLOOKUP(BA$4,Preisindex,5,FALSE)/VLOOKUP(YEAR($F96),Preisindex,5,FALSE),2),IF(AND($E96&lt;&gt;0,$F96&gt;0,YEAR($F96)&gt;=Preisindex!$A$6,YEAR(AV$4)&gt;=YEAR($F96),$K96="b"),ROUND(VLOOKUP(BA$4,Preisindex,3,FALSE)/VLOOKUP(YEAR($F96),Preisindex,3,FALSE),2),IF(AND($E96&lt;&gt;0,$F96&gt;0,YEAR($F96)&gt;=Preisindex!$A$6,YEAR(AV$4)&gt;=YEAR($F96),$K96="g"),ROUND(VLOOKUP(BA$4,Preisindex,4,FALSE)/VLOOKUP(YEAR($F96),Preisindex,4,FALSE),2),IF(AND($E96&lt;&gt;0,$F96&gt;0,YEAR($F96)&gt;=Preisindex!$A$6,YEAR(AV$4)&gt;=YEAR($F96),$K96="k"),ROUND(VLOOKUP(BA$4,Preisindex,2,FALSE)/VLOOKUP(YEAR($F96),Preisindex,2,FALSE),2),0)))))</f>
        <v>0</v>
      </c>
      <c r="BB96" s="56">
        <f>IF(AND($E96&lt;&gt;0,$F96&gt;0,YEAR($F96)&lt;Preisindex!$A$6,YEAR(AV$4)&gt;=YEAR($F96),AND($K96&lt;&gt;"a",$K96&lt;&gt;"b",$K96&lt;&gt;"g",$K96&lt;&gt;"k")),1,IF(AND($E96&lt;&gt;0,$F96&gt;0,YEAR($F96)&lt;Preisindex!$A$6,YEAR(AV$4)&gt;=YEAR($F96),$K96="a"),ROUND(VLOOKUP(BA$4,Preisindex,5,FALSE)/VLOOKUP(Preisindex!$A$6,Preisindex,5,FALSE),2),IF(AND($E96&lt;&gt;0,$F96&gt;0,YEAR($F96)&lt;Preisindex!$A$6,YEAR(AV$4)&gt;=YEAR($F96),$K96="b"),ROUND(VLOOKUP(BA$4,Preisindex,3,FALSE)/VLOOKUP(Preisindex!$A$6,Preisindex,3,FALSE),2),IF(AND($E96&lt;&gt;0,$F96&gt;0,YEAR($F96)&lt;Preisindex!$A$6,YEAR(AV$4)&gt;=YEAR($F96),$K96="g"),ROUND(VLOOKUP(BA$4,Preisindex,4,FALSE)/VLOOKUP(Preisindex!$A$6,Preisindex,4,FALSE),2),IF(AND($E96&lt;&gt;0,$F96&gt;0,YEAR($F96)&lt;Preisindex!$A$6,YEAR(AV$4)&gt;=YEAR($F96),$K96="k"),ROUND(VLOOKUP(BA$4,Preisindex,2,FALSE)/VLOOKUP(Preisindex!$A$6,Preisindex,2,FALSE),2),0)))))</f>
        <v>0</v>
      </c>
      <c r="BC96" s="51">
        <f>IF(AND($E96&lt;&gt;0,$F96&gt;0,YEAR($F96)&lt;=BA$4,YEAR($F96)&gt;=Preisindex!$A$6),ROUND($E96*BA96,2),IF(AND($E96&lt;&gt;0,$F96&gt;0,YEAR($F96)&lt;=BA$4,YEAR($F96)&lt;Preisindex!$A$6),ROUND($E96*BB96,2),0))</f>
        <v>0</v>
      </c>
      <c r="BD96" s="53">
        <f t="shared" si="369"/>
        <v>0</v>
      </c>
      <c r="BE96" s="51">
        <f t="shared" si="446"/>
        <v>0</v>
      </c>
      <c r="BF96" s="51">
        <f t="shared" si="453"/>
        <v>0</v>
      </c>
      <c r="BG96" s="51">
        <f t="shared" si="370"/>
        <v>0</v>
      </c>
      <c r="BH96" s="51">
        <f t="shared" si="454"/>
        <v>0</v>
      </c>
      <c r="BI96" s="51">
        <f t="shared" si="371"/>
        <v>0</v>
      </c>
      <c r="BJ96" s="51">
        <f t="shared" si="455"/>
        <v>0</v>
      </c>
      <c r="BK96" s="51">
        <f t="shared" si="372"/>
        <v>0</v>
      </c>
      <c r="BL96" s="51">
        <f t="shared" si="456"/>
        <v>0</v>
      </c>
      <c r="BM96" s="51">
        <f t="shared" si="373"/>
        <v>0</v>
      </c>
      <c r="BN96" s="51">
        <f t="shared" si="457"/>
        <v>0</v>
      </c>
      <c r="BO96" s="51">
        <f t="shared" si="374"/>
        <v>0</v>
      </c>
      <c r="BP96" s="54">
        <f t="shared" si="375"/>
        <v>0</v>
      </c>
      <c r="BQ96" s="55">
        <f t="shared" si="376"/>
        <v>0</v>
      </c>
      <c r="BR96" s="56">
        <f>IF(AND($E96&lt;&gt;0,$F96&gt;0,YEAR($F96)&gt;=Preisindex!$A$6,YEAR(BM$4)&gt;=YEAR($F96),AND($K96&lt;&gt;"a",$K96&lt;&gt;"b",$K96&lt;&gt;"g",$K96&lt;&gt;"k")),1,IF(AND($E96&lt;&gt;0,$F96&gt;0,YEAR($F96)&gt;=Preisindex!$A$6,YEAR(BM$4)&gt;=YEAR($F96),$K96="a"),ROUND(VLOOKUP(BR$4,Preisindex,5,FALSE)/VLOOKUP(YEAR($F96),Preisindex,5,FALSE),2),IF(AND($E96&lt;&gt;0,$F96&gt;0,YEAR($F96)&gt;=Preisindex!$A$6,YEAR(BM$4)&gt;=YEAR($F96),$K96="b"),ROUND(VLOOKUP(BR$4,Preisindex,3,FALSE)/VLOOKUP(YEAR($F96),Preisindex,3,FALSE),2),IF(AND($E96&lt;&gt;0,$F96&gt;0,YEAR($F96)&gt;=Preisindex!$A$6,YEAR(BM$4)&gt;=YEAR($F96),$K96="g"),ROUND(VLOOKUP(BR$4,Preisindex,4,FALSE)/VLOOKUP(YEAR($F96),Preisindex,4,FALSE),2),IF(AND($E96&lt;&gt;0,$F96&gt;0,YEAR($F96)&gt;=Preisindex!$A$6,YEAR(BM$4)&gt;=YEAR($F96),$K96="k"),ROUND(VLOOKUP(BR$4,Preisindex,2,FALSE)/VLOOKUP(YEAR($F96),Preisindex,2,FALSE),2),0)))))</f>
        <v>0</v>
      </c>
      <c r="BS96" s="56">
        <f>IF(AND($E96&lt;&gt;0,$F96&gt;0,YEAR($F96)&lt;Preisindex!$A$6,YEAR(BM$4)&gt;=YEAR($F96),AND($K96&lt;&gt;"a",$K96&lt;&gt;"b",$K96&lt;&gt;"g",$K96&lt;&gt;"k")),1,IF(AND($E96&lt;&gt;0,$F96&gt;0,YEAR($F96)&lt;Preisindex!$A$6,YEAR(BM$4)&gt;=YEAR($F96),$K96="a"),ROUND(VLOOKUP(BR$4,Preisindex,5,FALSE)/VLOOKUP(Preisindex!$A$6,Preisindex,5,FALSE),2),IF(AND($E96&lt;&gt;0,$F96&gt;0,YEAR($F96)&lt;Preisindex!$A$6,YEAR(BM$4)&gt;=YEAR($F96),$K96="b"),ROUND(VLOOKUP(BR$4,Preisindex,3,FALSE)/VLOOKUP(Preisindex!$A$6,Preisindex,3,FALSE),2),IF(AND($E96&lt;&gt;0,$F96&gt;0,YEAR($F96)&lt;Preisindex!$A$6,YEAR(BM$4)&gt;=YEAR($F96),$K96="g"),ROUND(VLOOKUP(BR$4,Preisindex,4,FALSE)/VLOOKUP(Preisindex!$A$6,Preisindex,4,FALSE),2),IF(AND($E96&lt;&gt;0,$F96&gt;0,YEAR($F96)&lt;Preisindex!$A$6,YEAR(BM$4)&gt;=YEAR($F96),$K96="k"),ROUND(VLOOKUP(BR$4,Preisindex,2,FALSE)/VLOOKUP(Preisindex!$A$6,Preisindex,2,FALSE),2),0)))))</f>
        <v>0</v>
      </c>
      <c r="BT96" s="51">
        <f>IF(AND($E96&lt;&gt;0,$F96&gt;0,YEAR($F96)&lt;=BR$4,YEAR($F96)&gt;=Preisindex!$A$6),ROUND($E96*BR96,2),IF(AND($E96&lt;&gt;0,$F96&gt;0,YEAR($F96)&lt;=BR$4,YEAR($F96)&lt;Preisindex!$A$6),ROUND($E96*BS96,2),0))</f>
        <v>0</v>
      </c>
      <c r="BU96" s="53">
        <f t="shared" si="377"/>
        <v>0</v>
      </c>
      <c r="BV96" s="51">
        <f t="shared" si="446"/>
        <v>0</v>
      </c>
      <c r="BW96" s="51">
        <f t="shared" si="458"/>
        <v>0</v>
      </c>
      <c r="BX96" s="51">
        <f t="shared" si="378"/>
        <v>0</v>
      </c>
      <c r="BY96" s="51">
        <f t="shared" si="459"/>
        <v>0</v>
      </c>
      <c r="BZ96" s="51">
        <f t="shared" si="379"/>
        <v>0</v>
      </c>
      <c r="CA96" s="51">
        <f t="shared" si="460"/>
        <v>0</v>
      </c>
      <c r="CB96" s="51">
        <f t="shared" si="380"/>
        <v>0</v>
      </c>
      <c r="CC96" s="51">
        <f t="shared" si="461"/>
        <v>0</v>
      </c>
      <c r="CD96" s="51">
        <f t="shared" si="381"/>
        <v>0</v>
      </c>
      <c r="CE96" s="51">
        <f t="shared" si="462"/>
        <v>0</v>
      </c>
      <c r="CF96" s="51">
        <f t="shared" si="382"/>
        <v>0</v>
      </c>
      <c r="CG96" s="54">
        <f t="shared" si="383"/>
        <v>0</v>
      </c>
      <c r="CH96" s="55">
        <f t="shared" si="384"/>
        <v>0</v>
      </c>
      <c r="CI96" s="56">
        <f>IF(AND($E96&lt;&gt;0,$F96&gt;0,YEAR($F96)&gt;=Preisindex!$A$6,YEAR(CD$4)&gt;=YEAR($F96),AND($K96&lt;&gt;"a",$K96&lt;&gt;"b",$K96&lt;&gt;"g",$K96&lt;&gt;"k")),1,IF(AND($E96&lt;&gt;0,$F96&gt;0,YEAR($F96)&gt;=Preisindex!$A$6,YEAR(CD$4)&gt;=YEAR($F96),$K96="a"),ROUND(VLOOKUP(CI$4,Preisindex,5,FALSE)/VLOOKUP(YEAR($F96),Preisindex,5,FALSE),2),IF(AND($E96&lt;&gt;0,$F96&gt;0,YEAR($F96)&gt;=Preisindex!$A$6,YEAR(CD$4)&gt;=YEAR($F96),$K96="b"),ROUND(VLOOKUP(CI$4,Preisindex,3,FALSE)/VLOOKUP(YEAR($F96),Preisindex,3,FALSE),2),IF(AND($E96&lt;&gt;0,$F96&gt;0,YEAR($F96)&gt;=Preisindex!$A$6,YEAR(CD$4)&gt;=YEAR($F96),$K96="g"),ROUND(VLOOKUP(CI$4,Preisindex,4,FALSE)/VLOOKUP(YEAR($F96),Preisindex,4,FALSE),2),IF(AND($E96&lt;&gt;0,$F96&gt;0,YEAR($F96)&gt;=Preisindex!$A$6,YEAR(CD$4)&gt;=YEAR($F96),$K96="k"),ROUND(VLOOKUP(CI$4,Preisindex,2,FALSE)/VLOOKUP(YEAR($F96),Preisindex,2,FALSE),2),0)))))</f>
        <v>0</v>
      </c>
      <c r="CJ96" s="56">
        <f>IF(AND($E96&lt;&gt;0,$F96&gt;0,YEAR($F96)&lt;Preisindex!$A$6,YEAR(CD$4)&gt;=YEAR($F96),AND($K96&lt;&gt;"a",$K96&lt;&gt;"b",$K96&lt;&gt;"g",$K96&lt;&gt;"k")),1,IF(AND($E96&lt;&gt;0,$F96&gt;0,YEAR($F96)&lt;Preisindex!$A$6,YEAR(CD$4)&gt;=YEAR($F96),$K96="a"),ROUND(VLOOKUP(CI$4,Preisindex,5,FALSE)/VLOOKUP(Preisindex!$A$6,Preisindex,5,FALSE),2),IF(AND($E96&lt;&gt;0,$F96&gt;0,YEAR($F96)&lt;Preisindex!$A$6,YEAR(CD$4)&gt;=YEAR($F96),$K96="b"),ROUND(VLOOKUP(CI$4,Preisindex,3,FALSE)/VLOOKUP(Preisindex!$A$6,Preisindex,3,FALSE),2),IF(AND($E96&lt;&gt;0,$F96&gt;0,YEAR($F96)&lt;Preisindex!$A$6,YEAR(CD$4)&gt;=YEAR($F96),$K96="g"),ROUND(VLOOKUP(CI$4,Preisindex,4,FALSE)/VLOOKUP(Preisindex!$A$6,Preisindex,4,FALSE),2),IF(AND($E96&lt;&gt;0,$F96&gt;0,YEAR($F96)&lt;Preisindex!$A$6,YEAR(CD$4)&gt;=YEAR($F96),$K96="k"),ROUND(VLOOKUP(CI$4,Preisindex,2,FALSE)/VLOOKUP(Preisindex!$A$6,Preisindex,2,FALSE),2),0)))))</f>
        <v>0</v>
      </c>
      <c r="CK96" s="51">
        <f>IF(AND($E96&lt;&gt;0,$F96&gt;0,YEAR($F96)&lt;=CI$4,YEAR($F96)&gt;=Preisindex!$A$6),ROUND($E96*CI96,2),IF(AND($E96&lt;&gt;0,$F96&gt;0,YEAR($F96)&lt;=CI$4,YEAR($F96)&lt;Preisindex!$A$6),ROUND($E96*CJ96,2),0))</f>
        <v>0</v>
      </c>
      <c r="CL96" s="53">
        <f t="shared" si="385"/>
        <v>0</v>
      </c>
      <c r="CM96" s="51">
        <f t="shared" si="446"/>
        <v>0</v>
      </c>
      <c r="CN96" s="51">
        <f t="shared" si="463"/>
        <v>0</v>
      </c>
      <c r="CO96" s="51">
        <f t="shared" si="386"/>
        <v>0</v>
      </c>
      <c r="CP96" s="51">
        <f t="shared" si="464"/>
        <v>0</v>
      </c>
      <c r="CQ96" s="51">
        <f t="shared" si="387"/>
        <v>0</v>
      </c>
      <c r="CR96" s="51">
        <f t="shared" si="465"/>
        <v>0</v>
      </c>
      <c r="CS96" s="51">
        <f t="shared" si="388"/>
        <v>0</v>
      </c>
      <c r="CT96" s="51">
        <f t="shared" si="466"/>
        <v>0</v>
      </c>
      <c r="CU96" s="51">
        <f t="shared" si="389"/>
        <v>0</v>
      </c>
      <c r="CV96" s="51">
        <f t="shared" si="467"/>
        <v>0</v>
      </c>
      <c r="CW96" s="51">
        <f t="shared" si="390"/>
        <v>0</v>
      </c>
      <c r="CX96" s="54">
        <f t="shared" si="391"/>
        <v>0</v>
      </c>
      <c r="CY96" s="55">
        <f t="shared" si="392"/>
        <v>0</v>
      </c>
      <c r="CZ96" s="56">
        <f>IF(AND($E96&lt;&gt;0,$F96&gt;0,YEAR($F96)&gt;=Preisindex!$A$6,YEAR(CU$4)&gt;=YEAR($F96),AND($K96&lt;&gt;"a",$K96&lt;&gt;"b",$K96&lt;&gt;"g",$K96&lt;&gt;"k")),1,IF(AND($E96&lt;&gt;0,$F96&gt;0,YEAR($F96)&gt;=Preisindex!$A$6,YEAR(CU$4)&gt;=YEAR($F96),$K96="a"),ROUND(VLOOKUP(CZ$4,Preisindex,5,FALSE)/VLOOKUP(YEAR($F96),Preisindex,5,FALSE),2),IF(AND($E96&lt;&gt;0,$F96&gt;0,YEAR($F96)&gt;=Preisindex!$A$6,YEAR(CU$4)&gt;=YEAR($F96),$K96="b"),ROUND(VLOOKUP(CZ$4,Preisindex,3,FALSE)/VLOOKUP(YEAR($F96),Preisindex,3,FALSE),2),IF(AND($E96&lt;&gt;0,$F96&gt;0,YEAR($F96)&gt;=Preisindex!$A$6,YEAR(CU$4)&gt;=YEAR($F96),$K96="g"),ROUND(VLOOKUP(CZ$4,Preisindex,4,FALSE)/VLOOKUP(YEAR($F96),Preisindex,4,FALSE),2),IF(AND($E96&lt;&gt;0,$F96&gt;0,YEAR($F96)&gt;=Preisindex!$A$6,YEAR(CU$4)&gt;=YEAR($F96),$K96="k"),ROUND(VLOOKUP(CZ$4,Preisindex,2,FALSE)/VLOOKUP(YEAR($F96),Preisindex,2,FALSE),2),0)))))</f>
        <v>0</v>
      </c>
      <c r="DA96" s="56">
        <f>IF(AND($E96&lt;&gt;0,$F96&gt;0,YEAR($F96)&lt;Preisindex!$A$6,YEAR(CU$4)&gt;=YEAR($F96),AND($K96&lt;&gt;"a",$K96&lt;&gt;"b",$K96&lt;&gt;"g",$K96&lt;&gt;"k")),1,IF(AND($E96&lt;&gt;0,$F96&gt;0,YEAR($F96)&lt;Preisindex!$A$6,YEAR(CU$4)&gt;=YEAR($F96),$K96="a"),ROUND(VLOOKUP(CZ$4,Preisindex,5,FALSE)/VLOOKUP(Preisindex!$A$6,Preisindex,5,FALSE),2),IF(AND($E96&lt;&gt;0,$F96&gt;0,YEAR($F96)&lt;Preisindex!$A$6,YEAR(CU$4)&gt;=YEAR($F96),$K96="b"),ROUND(VLOOKUP(CZ$4,Preisindex,3,FALSE)/VLOOKUP(Preisindex!$A$6,Preisindex,3,FALSE),2),IF(AND($E96&lt;&gt;0,$F96&gt;0,YEAR($F96)&lt;Preisindex!$A$6,YEAR(CU$4)&gt;=YEAR($F96),$K96="g"),ROUND(VLOOKUP(CZ$4,Preisindex,4,FALSE)/VLOOKUP(Preisindex!$A$6,Preisindex,4,FALSE),2),IF(AND($E96&lt;&gt;0,$F96&gt;0,YEAR($F96)&lt;Preisindex!$A$6,YEAR(CU$4)&gt;=YEAR($F96),$K96="k"),ROUND(VLOOKUP(CZ$4,Preisindex,2,FALSE)/VLOOKUP(Preisindex!$A$6,Preisindex,2,FALSE),2),0)))))</f>
        <v>0</v>
      </c>
      <c r="DB96" s="51">
        <f>IF(AND($E96&lt;&gt;0,$F96&gt;0,YEAR($F96)&lt;=CZ$4,YEAR($F96)&gt;=Preisindex!$A$6),ROUND($E96*CZ96,2),IF(AND($E96&lt;&gt;0,$F96&gt;0,YEAR($F96)&lt;=CZ$4,YEAR($F96)&lt;Preisindex!$A$6),ROUND($E96*DA96,2),0))</f>
        <v>0</v>
      </c>
      <c r="DC96" s="53">
        <f t="shared" si="393"/>
        <v>0</v>
      </c>
      <c r="DD96" s="51">
        <f t="shared" si="447"/>
        <v>0</v>
      </c>
      <c r="DE96" s="51">
        <f t="shared" si="468"/>
        <v>0</v>
      </c>
      <c r="DF96" s="51">
        <f t="shared" si="395"/>
        <v>0</v>
      </c>
      <c r="DG96" s="51">
        <f t="shared" si="469"/>
        <v>0</v>
      </c>
      <c r="DH96" s="51">
        <f t="shared" si="396"/>
        <v>0</v>
      </c>
      <c r="DI96" s="51">
        <f t="shared" si="470"/>
        <v>0</v>
      </c>
      <c r="DJ96" s="51">
        <f t="shared" si="397"/>
        <v>0</v>
      </c>
      <c r="DK96" s="51">
        <f t="shared" si="471"/>
        <v>0</v>
      </c>
      <c r="DL96" s="51">
        <f t="shared" si="398"/>
        <v>0</v>
      </c>
      <c r="DM96" s="51">
        <f t="shared" si="472"/>
        <v>0</v>
      </c>
      <c r="DN96" s="51">
        <f t="shared" si="399"/>
        <v>0</v>
      </c>
      <c r="DO96" s="54">
        <f t="shared" si="400"/>
        <v>0</v>
      </c>
      <c r="DP96" s="55">
        <f t="shared" si="401"/>
        <v>0</v>
      </c>
      <c r="DQ96" s="56">
        <f>IF(AND($E96&lt;&gt;0,$F96&gt;0,YEAR($F96)&gt;=Preisindex!$A$6,YEAR(DL$4)&gt;=YEAR($F96),AND($K96&lt;&gt;"a",$K96&lt;&gt;"b",$K96&lt;&gt;"g",$K96&lt;&gt;"k")),1,IF(AND($E96&lt;&gt;0,$F96&gt;0,YEAR($F96)&gt;=Preisindex!$A$6,YEAR(DL$4)&gt;=YEAR($F96),$K96="a"),ROUND(VLOOKUP(DQ$4,Preisindex,5,FALSE)/VLOOKUP(YEAR($F96),Preisindex,5,FALSE),2),IF(AND($E96&lt;&gt;0,$F96&gt;0,YEAR($F96)&gt;=Preisindex!$A$6,YEAR(DL$4)&gt;=YEAR($F96),$K96="b"),ROUND(VLOOKUP(DQ$4,Preisindex,3,FALSE)/VLOOKUP(YEAR($F96),Preisindex,3,FALSE),2),IF(AND($E96&lt;&gt;0,$F96&gt;0,YEAR($F96)&gt;=Preisindex!$A$6,YEAR(DL$4)&gt;=YEAR($F96),$K96="g"),ROUND(VLOOKUP(DQ$4,Preisindex,4,FALSE)/VLOOKUP(YEAR($F96),Preisindex,4,FALSE),2),IF(AND($E96&lt;&gt;0,$F96&gt;0,YEAR($F96)&gt;=Preisindex!$A$6,YEAR(DL$4)&gt;=YEAR($F96),$K96="k"),ROUND(VLOOKUP(DQ$4,Preisindex,2,FALSE)/VLOOKUP(YEAR($F96),Preisindex,2,FALSE),2),0)))))</f>
        <v>0</v>
      </c>
      <c r="DR96" s="56">
        <f>IF(AND($E96&lt;&gt;0,$F96&gt;0,YEAR($F96)&lt;Preisindex!$A$6,YEAR(DL$4)&gt;=YEAR($F96),AND($K96&lt;&gt;"a",$K96&lt;&gt;"b",$K96&lt;&gt;"g",$K96&lt;&gt;"k")),1,IF(AND($E96&lt;&gt;0,$F96&gt;0,YEAR($F96)&lt;Preisindex!$A$6,YEAR(DL$4)&gt;=YEAR($F96),$K96="a"),ROUND(VLOOKUP(DQ$4,Preisindex,5,FALSE)/VLOOKUP(Preisindex!$A$6,Preisindex,5,FALSE),2),IF(AND($E96&lt;&gt;0,$F96&gt;0,YEAR($F96)&lt;Preisindex!$A$6,YEAR(DL$4)&gt;=YEAR($F96),$K96="b"),ROUND(VLOOKUP(DQ$4,Preisindex,3,FALSE)/VLOOKUP(Preisindex!$A$6,Preisindex,3,FALSE),2),IF(AND($E96&lt;&gt;0,$F96&gt;0,YEAR($F96)&lt;Preisindex!$A$6,YEAR(DL$4)&gt;=YEAR($F96),$K96="g"),ROUND(VLOOKUP(DQ$4,Preisindex,4,FALSE)/VLOOKUP(Preisindex!$A$6,Preisindex,4,FALSE),2),IF(AND($E96&lt;&gt;0,$F96&gt;0,YEAR($F96)&lt;Preisindex!$A$6,YEAR(DL$4)&gt;=YEAR($F96),$K96="k"),ROUND(VLOOKUP(DQ$4,Preisindex,2,FALSE)/VLOOKUP(Preisindex!$A$6,Preisindex,2,FALSE),2),0)))))</f>
        <v>0</v>
      </c>
      <c r="DS96" s="51">
        <f>IF(AND($E96&lt;&gt;0,$F96&gt;0,YEAR($F96)&lt;=DQ$4,YEAR($F96)&gt;=Preisindex!$A$6),ROUND($E96*DQ96,2),IF(AND($E96&lt;&gt;0,$F96&gt;0,YEAR($F96)&lt;=DQ$4,YEAR($F96)&lt;Preisindex!$A$6),ROUND($E96*DR96,2),0))</f>
        <v>0</v>
      </c>
      <c r="DT96" s="53">
        <f t="shared" si="402"/>
        <v>0</v>
      </c>
      <c r="DU96" s="51">
        <f t="shared" si="447"/>
        <v>0</v>
      </c>
      <c r="DV96" s="51">
        <f t="shared" si="473"/>
        <v>0</v>
      </c>
      <c r="DW96" s="51">
        <f t="shared" si="403"/>
        <v>0</v>
      </c>
      <c r="DX96" s="51">
        <f t="shared" si="474"/>
        <v>0</v>
      </c>
      <c r="DY96" s="51">
        <f t="shared" si="404"/>
        <v>0</v>
      </c>
      <c r="DZ96" s="51">
        <f t="shared" si="475"/>
        <v>0</v>
      </c>
      <c r="EA96" s="51">
        <f t="shared" si="405"/>
        <v>0</v>
      </c>
      <c r="EB96" s="51">
        <f t="shared" si="476"/>
        <v>0</v>
      </c>
      <c r="EC96" s="51">
        <f t="shared" si="406"/>
        <v>0</v>
      </c>
      <c r="ED96" s="51">
        <f t="shared" si="477"/>
        <v>0</v>
      </c>
      <c r="EE96" s="51">
        <f t="shared" si="407"/>
        <v>0</v>
      </c>
      <c r="EF96" s="54">
        <f t="shared" si="408"/>
        <v>0</v>
      </c>
      <c r="EG96" s="55">
        <f t="shared" si="409"/>
        <v>0</v>
      </c>
      <c r="EH96" s="56">
        <f>IF(AND($E96&lt;&gt;0,$F96&gt;0,YEAR($F96)&gt;=Preisindex!$A$6,YEAR(EC$4)&gt;=YEAR($F96),AND($K96&lt;&gt;"a",$K96&lt;&gt;"b",$K96&lt;&gt;"g",$K96&lt;&gt;"k")),1,IF(AND($E96&lt;&gt;0,$F96&gt;0,YEAR($F96)&gt;=Preisindex!$A$6,YEAR(EC$4)&gt;=YEAR($F96),$K96="a"),ROUND(VLOOKUP(EH$4,Preisindex,5,FALSE)/VLOOKUP(YEAR($F96),Preisindex,5,FALSE),2),IF(AND($E96&lt;&gt;0,$F96&gt;0,YEAR($F96)&gt;=Preisindex!$A$6,YEAR(EC$4)&gt;=YEAR($F96),$K96="b"),ROUND(VLOOKUP(EH$4,Preisindex,3,FALSE)/VLOOKUP(YEAR($F96),Preisindex,3,FALSE),2),IF(AND($E96&lt;&gt;0,$F96&gt;0,YEAR($F96)&gt;=Preisindex!$A$6,YEAR(EC$4)&gt;=YEAR($F96),$K96="g"),ROUND(VLOOKUP(EH$4,Preisindex,4,FALSE)/VLOOKUP(YEAR($F96),Preisindex,4,FALSE),2),IF(AND($E96&lt;&gt;0,$F96&gt;0,YEAR($F96)&gt;=Preisindex!$A$6,YEAR(EC$4)&gt;=YEAR($F96),$K96="k"),ROUND(VLOOKUP(EH$4,Preisindex,2,FALSE)/VLOOKUP(YEAR($F96),Preisindex,2,FALSE),2),0)))))</f>
        <v>0</v>
      </c>
      <c r="EI96" s="56">
        <f>IF(AND($E96&lt;&gt;0,$F96&gt;0,YEAR($F96)&lt;Preisindex!$A$6,YEAR(EC$4)&gt;=YEAR($F96),AND($K96&lt;&gt;"a",$K96&lt;&gt;"b",$K96&lt;&gt;"g",$K96&lt;&gt;"k")),1,IF(AND($E96&lt;&gt;0,$F96&gt;0,YEAR($F96)&lt;Preisindex!$A$6,YEAR(EC$4)&gt;=YEAR($F96),$K96="a"),ROUND(VLOOKUP(EH$4,Preisindex,5,FALSE)/VLOOKUP(Preisindex!$A$6,Preisindex,5,FALSE),2),IF(AND($E96&lt;&gt;0,$F96&gt;0,YEAR($F96)&lt;Preisindex!$A$6,YEAR(EC$4)&gt;=YEAR($F96),$K96="b"),ROUND(VLOOKUP(EH$4,Preisindex,3,FALSE)/VLOOKUP(Preisindex!$A$6,Preisindex,3,FALSE),2),IF(AND($E96&lt;&gt;0,$F96&gt;0,YEAR($F96)&lt;Preisindex!$A$6,YEAR(EC$4)&gt;=YEAR($F96),$K96="g"),ROUND(VLOOKUP(EH$4,Preisindex,4,FALSE)/VLOOKUP(Preisindex!$A$6,Preisindex,4,FALSE),2),IF(AND($E96&lt;&gt;0,$F96&gt;0,YEAR($F96)&lt;Preisindex!$A$6,YEAR(EC$4)&gt;=YEAR($F96),$K96="k"),ROUND(VLOOKUP(EH$4,Preisindex,2,FALSE)/VLOOKUP(Preisindex!$A$6,Preisindex,2,FALSE),2),0)))))</f>
        <v>0</v>
      </c>
      <c r="EJ96" s="51">
        <f>IF(AND($E96&lt;&gt;0,$F96&gt;0,YEAR($F96)&lt;=EH$4,YEAR($F96)&gt;=Preisindex!$A$6),ROUND($E96*EH96,2),IF(AND($E96&lt;&gt;0,$F96&gt;0,YEAR($F96)&lt;=EH$4,YEAR($F96)&lt;Preisindex!$A$6),ROUND($E96*EI96,2),0))</f>
        <v>0</v>
      </c>
      <c r="EK96" s="53">
        <f t="shared" si="410"/>
        <v>0</v>
      </c>
      <c r="EL96" s="51">
        <f t="shared" si="447"/>
        <v>0</v>
      </c>
      <c r="EM96" s="51">
        <f t="shared" si="478"/>
        <v>0</v>
      </c>
      <c r="EN96" s="51">
        <f t="shared" si="411"/>
        <v>0</v>
      </c>
      <c r="EO96" s="51">
        <f t="shared" si="479"/>
        <v>0</v>
      </c>
      <c r="EP96" s="51">
        <f t="shared" si="412"/>
        <v>0</v>
      </c>
      <c r="EQ96" s="51">
        <f t="shared" si="480"/>
        <v>0</v>
      </c>
      <c r="ER96" s="51">
        <f t="shared" si="413"/>
        <v>0</v>
      </c>
      <c r="ES96" s="51">
        <f t="shared" si="481"/>
        <v>0</v>
      </c>
      <c r="ET96" s="51">
        <f t="shared" si="414"/>
        <v>0</v>
      </c>
      <c r="EU96" s="51">
        <f t="shared" si="482"/>
        <v>0</v>
      </c>
      <c r="EV96" s="51">
        <f t="shared" si="415"/>
        <v>0</v>
      </c>
      <c r="EW96" s="54">
        <f t="shared" si="416"/>
        <v>0</v>
      </c>
      <c r="EX96" s="55">
        <f t="shared" si="417"/>
        <v>0</v>
      </c>
      <c r="EY96" s="56">
        <f>IF(AND($E96&lt;&gt;0,$F96&gt;0,YEAR($F96)&gt;=Preisindex!$A$6,YEAR(ET$4)&gt;=YEAR($F96),AND($K96&lt;&gt;"a",$K96&lt;&gt;"b",$K96&lt;&gt;"g",$K96&lt;&gt;"k")),1,IF(AND($E96&lt;&gt;0,$F96&gt;0,YEAR($F96)&gt;=Preisindex!$A$6,YEAR(ET$4)&gt;=YEAR($F96),$K96="a"),ROUND(VLOOKUP(EY$4,Preisindex,5,FALSE)/VLOOKUP(YEAR($F96),Preisindex,5,FALSE),2),IF(AND($E96&lt;&gt;0,$F96&gt;0,YEAR($F96)&gt;=Preisindex!$A$6,YEAR(ET$4)&gt;=YEAR($F96),$K96="b"),ROUND(VLOOKUP(EY$4,Preisindex,3,FALSE)/VLOOKUP(YEAR($F96),Preisindex,3,FALSE),2),IF(AND($E96&lt;&gt;0,$F96&gt;0,YEAR($F96)&gt;=Preisindex!$A$6,YEAR(ET$4)&gt;=YEAR($F96),$K96="g"),ROUND(VLOOKUP(EY$4,Preisindex,4,FALSE)/VLOOKUP(YEAR($F96),Preisindex,4,FALSE),2),IF(AND($E96&lt;&gt;0,$F96&gt;0,YEAR($F96)&gt;=Preisindex!$A$6,YEAR(ET$4)&gt;=YEAR($F96),$K96="k"),ROUND(VLOOKUP(EY$4,Preisindex,2,FALSE)/VLOOKUP(YEAR($F96),Preisindex,2,FALSE),2),0)))))</f>
        <v>0</v>
      </c>
      <c r="EZ96" s="56">
        <f>IF(AND($E96&lt;&gt;0,$F96&gt;0,YEAR($F96)&lt;Preisindex!$A$6,YEAR(ET$4)&gt;=YEAR($F96),AND($K96&lt;&gt;"a",$K96&lt;&gt;"b",$K96&lt;&gt;"g",$K96&lt;&gt;"k")),1,IF(AND($E96&lt;&gt;0,$F96&gt;0,YEAR($F96)&lt;Preisindex!$A$6,YEAR(ET$4)&gt;=YEAR($F96),$K96="a"),ROUND(VLOOKUP(EY$4,Preisindex,5,FALSE)/VLOOKUP(Preisindex!$A$6,Preisindex,5,FALSE),2),IF(AND($E96&lt;&gt;0,$F96&gt;0,YEAR($F96)&lt;Preisindex!$A$6,YEAR(ET$4)&gt;=YEAR($F96),$K96="b"),ROUND(VLOOKUP(EY$4,Preisindex,3,FALSE)/VLOOKUP(Preisindex!$A$6,Preisindex,3,FALSE),2),IF(AND($E96&lt;&gt;0,$F96&gt;0,YEAR($F96)&lt;Preisindex!$A$6,YEAR(ET$4)&gt;=YEAR($F96),$K96="g"),ROUND(VLOOKUP(EY$4,Preisindex,4,FALSE)/VLOOKUP(Preisindex!$A$6,Preisindex,4,FALSE),2),IF(AND($E96&lt;&gt;0,$F96&gt;0,YEAR($F96)&lt;Preisindex!$A$6,YEAR(ET$4)&gt;=YEAR($F96),$K96="k"),ROUND(VLOOKUP(EY$4,Preisindex,2,FALSE)/VLOOKUP(Preisindex!$A$6,Preisindex,2,FALSE),2),0)))))</f>
        <v>0</v>
      </c>
      <c r="FA96" s="51">
        <f>IF(AND($E96&lt;&gt;0,$F96&gt;0,YEAR($F96)&lt;=EY$4,YEAR($F96)&gt;=Preisindex!$A$6),ROUND($E96*EY96,2),IF(AND($E96&lt;&gt;0,$F96&gt;0,YEAR($F96)&lt;=EY$4,YEAR($F96)&lt;Preisindex!$A$6),ROUND($E96*EZ96,2),0))</f>
        <v>0</v>
      </c>
      <c r="FB96" s="53">
        <f t="shared" si="418"/>
        <v>0</v>
      </c>
      <c r="FC96" s="51">
        <f t="shared" si="447"/>
        <v>0</v>
      </c>
      <c r="FD96" s="51">
        <f t="shared" si="483"/>
        <v>0</v>
      </c>
      <c r="FE96" s="51">
        <f t="shared" si="419"/>
        <v>0</v>
      </c>
      <c r="FF96" s="51">
        <f t="shared" si="484"/>
        <v>0</v>
      </c>
      <c r="FG96" s="51">
        <f t="shared" si="420"/>
        <v>0</v>
      </c>
      <c r="FH96" s="51">
        <f t="shared" si="485"/>
        <v>0</v>
      </c>
      <c r="FI96" s="51">
        <f t="shared" si="421"/>
        <v>0</v>
      </c>
      <c r="FJ96" s="51">
        <f t="shared" si="486"/>
        <v>0</v>
      </c>
      <c r="FK96" s="51">
        <f t="shared" si="422"/>
        <v>0</v>
      </c>
      <c r="FL96" s="51">
        <f t="shared" si="487"/>
        <v>0</v>
      </c>
      <c r="FM96" s="51">
        <f t="shared" si="423"/>
        <v>0</v>
      </c>
      <c r="FN96" s="54">
        <f t="shared" si="424"/>
        <v>0</v>
      </c>
      <c r="FO96" s="55">
        <f t="shared" si="425"/>
        <v>0</v>
      </c>
      <c r="FP96" s="56">
        <f>IF(AND($E96&lt;&gt;0,$F96&gt;0,YEAR($F96)&gt;=Preisindex!$A$6,YEAR(FK$4)&gt;=YEAR($F96),AND($K96&lt;&gt;"a",$K96&lt;&gt;"b",$K96&lt;&gt;"g",$K96&lt;&gt;"k")),1,IF(AND($E96&lt;&gt;0,$F96&gt;0,YEAR($F96)&gt;=Preisindex!$A$6,YEAR(FK$4)&gt;=YEAR($F96),$K96="a"),ROUND(VLOOKUP(FP$4,Preisindex,5,FALSE)/VLOOKUP(YEAR($F96),Preisindex,5,FALSE),2),IF(AND($E96&lt;&gt;0,$F96&gt;0,YEAR($F96)&gt;=Preisindex!$A$6,YEAR(FK$4)&gt;=YEAR($F96),$K96="b"),ROUND(VLOOKUP(FP$4,Preisindex,3,FALSE)/VLOOKUP(YEAR($F96),Preisindex,3,FALSE),2),IF(AND($E96&lt;&gt;0,$F96&gt;0,YEAR($F96)&gt;=Preisindex!$A$6,YEAR(FK$4)&gt;=YEAR($F96),$K96="g"),ROUND(VLOOKUP(FP$4,Preisindex,4,FALSE)/VLOOKUP(YEAR($F96),Preisindex,4,FALSE),2),IF(AND($E96&lt;&gt;0,$F96&gt;0,YEAR($F96)&gt;=Preisindex!$A$6,YEAR(FK$4)&gt;=YEAR($F96),$K96="k"),ROUND(VLOOKUP(FP$4,Preisindex,2,FALSE)/VLOOKUP(YEAR($F96),Preisindex,2,FALSE),2),0)))))</f>
        <v>0</v>
      </c>
      <c r="FQ96" s="56">
        <f>IF(AND($E96&lt;&gt;0,$F96&gt;0,YEAR($F96)&lt;Preisindex!$A$6,YEAR(FK$4)&gt;=YEAR($F96),AND($K96&lt;&gt;"a",$K96&lt;&gt;"b",$K96&lt;&gt;"g",$K96&lt;&gt;"k")),1,IF(AND($E96&lt;&gt;0,$F96&gt;0,YEAR($F96)&lt;Preisindex!$A$6,YEAR(FK$4)&gt;=YEAR($F96),$K96="a"),ROUND(VLOOKUP(FP$4,Preisindex,5,FALSE)/VLOOKUP(Preisindex!$A$6,Preisindex,5,FALSE),2),IF(AND($E96&lt;&gt;0,$F96&gt;0,YEAR($F96)&lt;Preisindex!$A$6,YEAR(FK$4)&gt;=YEAR($F96),$K96="b"),ROUND(VLOOKUP(FP$4,Preisindex,3,FALSE)/VLOOKUP(Preisindex!$A$6,Preisindex,3,FALSE),2),IF(AND($E96&lt;&gt;0,$F96&gt;0,YEAR($F96)&lt;Preisindex!$A$6,YEAR(FK$4)&gt;=YEAR($F96),$K96="g"),ROUND(VLOOKUP(FP$4,Preisindex,4,FALSE)/VLOOKUP(Preisindex!$A$6,Preisindex,4,FALSE),2),IF(AND($E96&lt;&gt;0,$F96&gt;0,YEAR($F96)&lt;Preisindex!$A$6,YEAR(FK$4)&gt;=YEAR($F96),$K96="k"),ROUND(VLOOKUP(FP$4,Preisindex,2,FALSE)/VLOOKUP(Preisindex!$A$6,Preisindex,2,FALSE),2),0)))))</f>
        <v>0</v>
      </c>
      <c r="FR96" s="51">
        <f>IF(AND($E96&lt;&gt;0,$F96&gt;0,YEAR($F96)&lt;=FP$4,YEAR($F96)&gt;=Preisindex!$A$6),ROUND($E96*FP96,2),IF(AND($E96&lt;&gt;0,$F96&gt;0,YEAR($F96)&lt;=FP$4,YEAR($F96)&lt;Preisindex!$A$6),ROUND($E96*FQ96,2),0))</f>
        <v>0</v>
      </c>
      <c r="FS96" s="53">
        <f t="shared" si="426"/>
        <v>0</v>
      </c>
    </row>
    <row r="97" spans="1:175" x14ac:dyDescent="0.3">
      <c r="A97" s="93"/>
      <c r="B97" s="94"/>
      <c r="C97" s="94"/>
      <c r="D97" s="95"/>
      <c r="E97" s="99"/>
      <c r="F97" s="97"/>
      <c r="G97" s="98"/>
      <c r="H97" s="620"/>
      <c r="I97" s="621"/>
      <c r="J97" s="194"/>
      <c r="K97" s="630"/>
      <c r="L97" s="49">
        <f t="shared" si="427"/>
        <v>0</v>
      </c>
      <c r="M97" s="50">
        <f t="shared" si="428"/>
        <v>0</v>
      </c>
      <c r="N97" s="51">
        <f t="shared" si="429"/>
        <v>0</v>
      </c>
      <c r="O97" s="51"/>
      <c r="P97" s="51">
        <f t="shared" si="430"/>
        <v>0</v>
      </c>
      <c r="Q97" s="52"/>
      <c r="R97" s="52"/>
      <c r="S97" s="52"/>
      <c r="T97" s="52"/>
      <c r="U97" s="52"/>
      <c r="V97" s="53">
        <f t="shared" si="431"/>
        <v>0</v>
      </c>
      <c r="W97" s="51">
        <f t="shared" si="432"/>
        <v>0</v>
      </c>
      <c r="X97" s="51">
        <f t="shared" si="433"/>
        <v>0</v>
      </c>
      <c r="Y97" s="51">
        <f t="shared" si="434"/>
        <v>0</v>
      </c>
      <c r="Z97" s="51">
        <f t="shared" si="435"/>
        <v>0</v>
      </c>
      <c r="AA97" s="51">
        <f t="shared" si="436"/>
        <v>0</v>
      </c>
      <c r="AB97" s="51">
        <f t="shared" si="437"/>
        <v>0</v>
      </c>
      <c r="AC97" s="51">
        <f t="shared" si="438"/>
        <v>0</v>
      </c>
      <c r="AD97" s="51">
        <f t="shared" si="439"/>
        <v>0</v>
      </c>
      <c r="AE97" s="51">
        <f t="shared" si="440"/>
        <v>0</v>
      </c>
      <c r="AF97" s="51">
        <f t="shared" si="441"/>
        <v>0</v>
      </c>
      <c r="AG97" s="51">
        <f t="shared" si="442"/>
        <v>0</v>
      </c>
      <c r="AH97" s="54">
        <f t="shared" si="443"/>
        <v>0</v>
      </c>
      <c r="AI97" s="55">
        <f t="shared" si="444"/>
        <v>0</v>
      </c>
      <c r="AJ97" s="56">
        <f>IF(AND($E97&lt;&gt;0,$F97&gt;0,YEAR($F97)&gt;=Preisindex!$A$6,YEAR(AE$4)&gt;=YEAR($F97),AND($K97&lt;&gt;"a",$K97&lt;&gt;"b",$K97&lt;&gt;"g",$K97&lt;&gt;"k")),1,IF(AND($E97&lt;&gt;0,$F97&gt;0,YEAR($F97)&gt;=Preisindex!$A$6,YEAR(AE$4)&gt;=YEAR($F97),$K97="a"),ROUND(VLOOKUP(AJ$4,Preisindex,5,FALSE)/VLOOKUP(YEAR($F97),Preisindex,5,FALSE),2),IF(AND($E97&lt;&gt;0,$F97&gt;0,YEAR($F97)&gt;=Preisindex!$A$6,YEAR(AE$4)&gt;=YEAR($F97),$K97="b"),ROUND(VLOOKUP(AJ$4,Preisindex,3,FALSE)/VLOOKUP(YEAR($F97),Preisindex,3,FALSE),2),IF(AND($E97&lt;&gt;0,$F97&gt;0,YEAR($F97)&gt;=Preisindex!$A$6,YEAR(AE$4)&gt;=YEAR($F97),$K97="g"),ROUND(VLOOKUP(AJ$4,Preisindex,4,FALSE)/VLOOKUP(YEAR($F97),Preisindex,4,FALSE),2),IF(AND($E97&lt;&gt;0,$F97&gt;0,YEAR($F97)&gt;=Preisindex!$A$6,YEAR(AE$4)&gt;=YEAR($F97),$K97="k"),ROUND(VLOOKUP(AJ$4,Preisindex,2,FALSE)/VLOOKUP(YEAR($F97),Preisindex,2,FALSE),2),0)))))</f>
        <v>0</v>
      </c>
      <c r="AK97" s="56">
        <f>IF(AND($E97&lt;&gt;0,$F97&gt;0,YEAR($F97)&lt;Preisindex!$A$6,YEAR(AE$4)&gt;=YEAR($F97),AND($K97&lt;&gt;"a",$K97&lt;&gt;"b",$K97&lt;&gt;"g",$K97&lt;&gt;"k")),1,IF(AND($E97&lt;&gt;0,$F97&gt;0,YEAR($F97)&lt;Preisindex!$A$6,YEAR(AE$4)&gt;=YEAR($F97),$K97="a"),ROUND(VLOOKUP(AJ$4,Preisindex,5,FALSE)/VLOOKUP(Preisindex!$A$6,Preisindex,5,FALSE),2),IF(AND($E97&lt;&gt;0,$F97&gt;0,YEAR($F97)&lt;Preisindex!$A$6,YEAR(AE$4)&gt;=YEAR($F97),$K97="b"),ROUND(VLOOKUP(AJ$4,Preisindex,3,FALSE)/VLOOKUP(Preisindex!$A$6,Preisindex,3,FALSE),2),IF(AND($E97&lt;&gt;0,$F97&gt;0,YEAR($F97)&lt;Preisindex!$A$6,YEAR(AE$4)&gt;=YEAR($F97),$K97="g"),ROUND(VLOOKUP(AJ$4,Preisindex,4,FALSE)/VLOOKUP(Preisindex!$A$6,Preisindex,4,FALSE),2),IF(AND($E97&lt;&gt;0,$F97&gt;0,YEAR($F97)&lt;Preisindex!$A$6,YEAR(AE$4)&gt;=YEAR($F97),$K97="k"),ROUND(VLOOKUP(AJ$4,Preisindex,2,FALSE)/VLOOKUP(Preisindex!$A$6,Preisindex,2,FALSE),2),0)))))</f>
        <v>0</v>
      </c>
      <c r="AL97" s="51">
        <f>IF(AND($E97&lt;&gt;0,$F97&gt;0,YEAR($F97)&lt;=AJ$4,YEAR($F97)&gt;=Preisindex!$A$6),ROUND($E97*AJ97,2),IF(AND($E97&lt;&gt;0,$F97&gt;0,YEAR($F97)&lt;=AJ$4,YEAR($F97)&lt;Preisindex!$A$6),ROUND($E97*AK97,2),0))</f>
        <v>0</v>
      </c>
      <c r="AM97" s="53">
        <f t="shared" si="445"/>
        <v>0</v>
      </c>
      <c r="AN97" s="51">
        <f t="shared" si="446"/>
        <v>0</v>
      </c>
      <c r="AO97" s="51">
        <f t="shared" si="448"/>
        <v>0</v>
      </c>
      <c r="AP97" s="51">
        <f t="shared" si="362"/>
        <v>0</v>
      </c>
      <c r="AQ97" s="51">
        <f t="shared" si="449"/>
        <v>0</v>
      </c>
      <c r="AR97" s="51">
        <f t="shared" si="363"/>
        <v>0</v>
      </c>
      <c r="AS97" s="51">
        <f t="shared" si="450"/>
        <v>0</v>
      </c>
      <c r="AT97" s="51">
        <f t="shared" si="364"/>
        <v>0</v>
      </c>
      <c r="AU97" s="51">
        <f t="shared" si="451"/>
        <v>0</v>
      </c>
      <c r="AV97" s="51">
        <f t="shared" si="365"/>
        <v>0</v>
      </c>
      <c r="AW97" s="51">
        <f t="shared" si="452"/>
        <v>0</v>
      </c>
      <c r="AX97" s="51">
        <f t="shared" si="366"/>
        <v>0</v>
      </c>
      <c r="AY97" s="54">
        <f t="shared" si="367"/>
        <v>0</v>
      </c>
      <c r="AZ97" s="55">
        <f t="shared" si="368"/>
        <v>0</v>
      </c>
      <c r="BA97" s="56">
        <f>IF(AND($E97&lt;&gt;0,$F97&gt;0,YEAR($F97)&gt;=Preisindex!$A$6,YEAR(AV$4)&gt;=YEAR($F97),AND($K97&lt;&gt;"a",$K97&lt;&gt;"b",$K97&lt;&gt;"g",$K97&lt;&gt;"k")),1,IF(AND($E97&lt;&gt;0,$F97&gt;0,YEAR($F97)&gt;=Preisindex!$A$6,YEAR(AV$4)&gt;=YEAR($F97),$K97="a"),ROUND(VLOOKUP(BA$4,Preisindex,5,FALSE)/VLOOKUP(YEAR($F97),Preisindex,5,FALSE),2),IF(AND($E97&lt;&gt;0,$F97&gt;0,YEAR($F97)&gt;=Preisindex!$A$6,YEAR(AV$4)&gt;=YEAR($F97),$K97="b"),ROUND(VLOOKUP(BA$4,Preisindex,3,FALSE)/VLOOKUP(YEAR($F97),Preisindex,3,FALSE),2),IF(AND($E97&lt;&gt;0,$F97&gt;0,YEAR($F97)&gt;=Preisindex!$A$6,YEAR(AV$4)&gt;=YEAR($F97),$K97="g"),ROUND(VLOOKUP(BA$4,Preisindex,4,FALSE)/VLOOKUP(YEAR($F97),Preisindex,4,FALSE),2),IF(AND($E97&lt;&gt;0,$F97&gt;0,YEAR($F97)&gt;=Preisindex!$A$6,YEAR(AV$4)&gt;=YEAR($F97),$K97="k"),ROUND(VLOOKUP(BA$4,Preisindex,2,FALSE)/VLOOKUP(YEAR($F97),Preisindex,2,FALSE),2),0)))))</f>
        <v>0</v>
      </c>
      <c r="BB97" s="56">
        <f>IF(AND($E97&lt;&gt;0,$F97&gt;0,YEAR($F97)&lt;Preisindex!$A$6,YEAR(AV$4)&gt;=YEAR($F97),AND($K97&lt;&gt;"a",$K97&lt;&gt;"b",$K97&lt;&gt;"g",$K97&lt;&gt;"k")),1,IF(AND($E97&lt;&gt;0,$F97&gt;0,YEAR($F97)&lt;Preisindex!$A$6,YEAR(AV$4)&gt;=YEAR($F97),$K97="a"),ROUND(VLOOKUP(BA$4,Preisindex,5,FALSE)/VLOOKUP(Preisindex!$A$6,Preisindex,5,FALSE),2),IF(AND($E97&lt;&gt;0,$F97&gt;0,YEAR($F97)&lt;Preisindex!$A$6,YEAR(AV$4)&gt;=YEAR($F97),$K97="b"),ROUND(VLOOKUP(BA$4,Preisindex,3,FALSE)/VLOOKUP(Preisindex!$A$6,Preisindex,3,FALSE),2),IF(AND($E97&lt;&gt;0,$F97&gt;0,YEAR($F97)&lt;Preisindex!$A$6,YEAR(AV$4)&gt;=YEAR($F97),$K97="g"),ROUND(VLOOKUP(BA$4,Preisindex,4,FALSE)/VLOOKUP(Preisindex!$A$6,Preisindex,4,FALSE),2),IF(AND($E97&lt;&gt;0,$F97&gt;0,YEAR($F97)&lt;Preisindex!$A$6,YEAR(AV$4)&gt;=YEAR($F97),$K97="k"),ROUND(VLOOKUP(BA$4,Preisindex,2,FALSE)/VLOOKUP(Preisindex!$A$6,Preisindex,2,FALSE),2),0)))))</f>
        <v>0</v>
      </c>
      <c r="BC97" s="51">
        <f>IF(AND($E97&lt;&gt;0,$F97&gt;0,YEAR($F97)&lt;=BA$4,YEAR($F97)&gt;=Preisindex!$A$6),ROUND($E97*BA97,2),IF(AND($E97&lt;&gt;0,$F97&gt;0,YEAR($F97)&lt;=BA$4,YEAR($F97)&lt;Preisindex!$A$6),ROUND($E97*BB97,2),0))</f>
        <v>0</v>
      </c>
      <c r="BD97" s="53">
        <f t="shared" si="369"/>
        <v>0</v>
      </c>
      <c r="BE97" s="51">
        <f t="shared" si="446"/>
        <v>0</v>
      </c>
      <c r="BF97" s="51">
        <f t="shared" si="453"/>
        <v>0</v>
      </c>
      <c r="BG97" s="51">
        <f t="shared" si="370"/>
        <v>0</v>
      </c>
      <c r="BH97" s="51">
        <f t="shared" si="454"/>
        <v>0</v>
      </c>
      <c r="BI97" s="51">
        <f t="shared" si="371"/>
        <v>0</v>
      </c>
      <c r="BJ97" s="51">
        <f t="shared" si="455"/>
        <v>0</v>
      </c>
      <c r="BK97" s="51">
        <f t="shared" si="372"/>
        <v>0</v>
      </c>
      <c r="BL97" s="51">
        <f t="shared" si="456"/>
        <v>0</v>
      </c>
      <c r="BM97" s="51">
        <f t="shared" si="373"/>
        <v>0</v>
      </c>
      <c r="BN97" s="51">
        <f t="shared" si="457"/>
        <v>0</v>
      </c>
      <c r="BO97" s="51">
        <f t="shared" si="374"/>
        <v>0</v>
      </c>
      <c r="BP97" s="54">
        <f t="shared" si="375"/>
        <v>0</v>
      </c>
      <c r="BQ97" s="55">
        <f t="shared" si="376"/>
        <v>0</v>
      </c>
      <c r="BR97" s="56">
        <f>IF(AND($E97&lt;&gt;0,$F97&gt;0,YEAR($F97)&gt;=Preisindex!$A$6,YEAR(BM$4)&gt;=YEAR($F97),AND($K97&lt;&gt;"a",$K97&lt;&gt;"b",$K97&lt;&gt;"g",$K97&lt;&gt;"k")),1,IF(AND($E97&lt;&gt;0,$F97&gt;0,YEAR($F97)&gt;=Preisindex!$A$6,YEAR(BM$4)&gt;=YEAR($F97),$K97="a"),ROUND(VLOOKUP(BR$4,Preisindex,5,FALSE)/VLOOKUP(YEAR($F97),Preisindex,5,FALSE),2),IF(AND($E97&lt;&gt;0,$F97&gt;0,YEAR($F97)&gt;=Preisindex!$A$6,YEAR(BM$4)&gt;=YEAR($F97),$K97="b"),ROUND(VLOOKUP(BR$4,Preisindex,3,FALSE)/VLOOKUP(YEAR($F97),Preisindex,3,FALSE),2),IF(AND($E97&lt;&gt;0,$F97&gt;0,YEAR($F97)&gt;=Preisindex!$A$6,YEAR(BM$4)&gt;=YEAR($F97),$K97="g"),ROUND(VLOOKUP(BR$4,Preisindex,4,FALSE)/VLOOKUP(YEAR($F97),Preisindex,4,FALSE),2),IF(AND($E97&lt;&gt;0,$F97&gt;0,YEAR($F97)&gt;=Preisindex!$A$6,YEAR(BM$4)&gt;=YEAR($F97),$K97="k"),ROUND(VLOOKUP(BR$4,Preisindex,2,FALSE)/VLOOKUP(YEAR($F97),Preisindex,2,FALSE),2),0)))))</f>
        <v>0</v>
      </c>
      <c r="BS97" s="56">
        <f>IF(AND($E97&lt;&gt;0,$F97&gt;0,YEAR($F97)&lt;Preisindex!$A$6,YEAR(BM$4)&gt;=YEAR($F97),AND($K97&lt;&gt;"a",$K97&lt;&gt;"b",$K97&lt;&gt;"g",$K97&lt;&gt;"k")),1,IF(AND($E97&lt;&gt;0,$F97&gt;0,YEAR($F97)&lt;Preisindex!$A$6,YEAR(BM$4)&gt;=YEAR($F97),$K97="a"),ROUND(VLOOKUP(BR$4,Preisindex,5,FALSE)/VLOOKUP(Preisindex!$A$6,Preisindex,5,FALSE),2),IF(AND($E97&lt;&gt;0,$F97&gt;0,YEAR($F97)&lt;Preisindex!$A$6,YEAR(BM$4)&gt;=YEAR($F97),$K97="b"),ROUND(VLOOKUP(BR$4,Preisindex,3,FALSE)/VLOOKUP(Preisindex!$A$6,Preisindex,3,FALSE),2),IF(AND($E97&lt;&gt;0,$F97&gt;0,YEAR($F97)&lt;Preisindex!$A$6,YEAR(BM$4)&gt;=YEAR($F97),$K97="g"),ROUND(VLOOKUP(BR$4,Preisindex,4,FALSE)/VLOOKUP(Preisindex!$A$6,Preisindex,4,FALSE),2),IF(AND($E97&lt;&gt;0,$F97&gt;0,YEAR($F97)&lt;Preisindex!$A$6,YEAR(BM$4)&gt;=YEAR($F97),$K97="k"),ROUND(VLOOKUP(BR$4,Preisindex,2,FALSE)/VLOOKUP(Preisindex!$A$6,Preisindex,2,FALSE),2),0)))))</f>
        <v>0</v>
      </c>
      <c r="BT97" s="51">
        <f>IF(AND($E97&lt;&gt;0,$F97&gt;0,YEAR($F97)&lt;=BR$4,YEAR($F97)&gt;=Preisindex!$A$6),ROUND($E97*BR97,2),IF(AND($E97&lt;&gt;0,$F97&gt;0,YEAR($F97)&lt;=BR$4,YEAR($F97)&lt;Preisindex!$A$6),ROUND($E97*BS97,2),0))</f>
        <v>0</v>
      </c>
      <c r="BU97" s="53">
        <f t="shared" si="377"/>
        <v>0</v>
      </c>
      <c r="BV97" s="51">
        <f t="shared" si="446"/>
        <v>0</v>
      </c>
      <c r="BW97" s="51">
        <f t="shared" si="458"/>
        <v>0</v>
      </c>
      <c r="BX97" s="51">
        <f t="shared" si="378"/>
        <v>0</v>
      </c>
      <c r="BY97" s="51">
        <f t="shared" si="459"/>
        <v>0</v>
      </c>
      <c r="BZ97" s="51">
        <f t="shared" si="379"/>
        <v>0</v>
      </c>
      <c r="CA97" s="51">
        <f t="shared" si="460"/>
        <v>0</v>
      </c>
      <c r="CB97" s="51">
        <f t="shared" si="380"/>
        <v>0</v>
      </c>
      <c r="CC97" s="51">
        <f t="shared" si="461"/>
        <v>0</v>
      </c>
      <c r="CD97" s="51">
        <f t="shared" si="381"/>
        <v>0</v>
      </c>
      <c r="CE97" s="51">
        <f t="shared" si="462"/>
        <v>0</v>
      </c>
      <c r="CF97" s="51">
        <f t="shared" si="382"/>
        <v>0</v>
      </c>
      <c r="CG97" s="54">
        <f t="shared" si="383"/>
        <v>0</v>
      </c>
      <c r="CH97" s="55">
        <f t="shared" si="384"/>
        <v>0</v>
      </c>
      <c r="CI97" s="56">
        <f>IF(AND($E97&lt;&gt;0,$F97&gt;0,YEAR($F97)&gt;=Preisindex!$A$6,YEAR(CD$4)&gt;=YEAR($F97),AND($K97&lt;&gt;"a",$K97&lt;&gt;"b",$K97&lt;&gt;"g",$K97&lt;&gt;"k")),1,IF(AND($E97&lt;&gt;0,$F97&gt;0,YEAR($F97)&gt;=Preisindex!$A$6,YEAR(CD$4)&gt;=YEAR($F97),$K97="a"),ROUND(VLOOKUP(CI$4,Preisindex,5,FALSE)/VLOOKUP(YEAR($F97),Preisindex,5,FALSE),2),IF(AND($E97&lt;&gt;0,$F97&gt;0,YEAR($F97)&gt;=Preisindex!$A$6,YEAR(CD$4)&gt;=YEAR($F97),$K97="b"),ROUND(VLOOKUP(CI$4,Preisindex,3,FALSE)/VLOOKUP(YEAR($F97),Preisindex,3,FALSE),2),IF(AND($E97&lt;&gt;0,$F97&gt;0,YEAR($F97)&gt;=Preisindex!$A$6,YEAR(CD$4)&gt;=YEAR($F97),$K97="g"),ROUND(VLOOKUP(CI$4,Preisindex,4,FALSE)/VLOOKUP(YEAR($F97),Preisindex,4,FALSE),2),IF(AND($E97&lt;&gt;0,$F97&gt;0,YEAR($F97)&gt;=Preisindex!$A$6,YEAR(CD$4)&gt;=YEAR($F97),$K97="k"),ROUND(VLOOKUP(CI$4,Preisindex,2,FALSE)/VLOOKUP(YEAR($F97),Preisindex,2,FALSE),2),0)))))</f>
        <v>0</v>
      </c>
      <c r="CJ97" s="56">
        <f>IF(AND($E97&lt;&gt;0,$F97&gt;0,YEAR($F97)&lt;Preisindex!$A$6,YEAR(CD$4)&gt;=YEAR($F97),AND($K97&lt;&gt;"a",$K97&lt;&gt;"b",$K97&lt;&gt;"g",$K97&lt;&gt;"k")),1,IF(AND($E97&lt;&gt;0,$F97&gt;0,YEAR($F97)&lt;Preisindex!$A$6,YEAR(CD$4)&gt;=YEAR($F97),$K97="a"),ROUND(VLOOKUP(CI$4,Preisindex,5,FALSE)/VLOOKUP(Preisindex!$A$6,Preisindex,5,FALSE),2),IF(AND($E97&lt;&gt;0,$F97&gt;0,YEAR($F97)&lt;Preisindex!$A$6,YEAR(CD$4)&gt;=YEAR($F97),$K97="b"),ROUND(VLOOKUP(CI$4,Preisindex,3,FALSE)/VLOOKUP(Preisindex!$A$6,Preisindex,3,FALSE),2),IF(AND($E97&lt;&gt;0,$F97&gt;0,YEAR($F97)&lt;Preisindex!$A$6,YEAR(CD$4)&gt;=YEAR($F97),$K97="g"),ROUND(VLOOKUP(CI$4,Preisindex,4,FALSE)/VLOOKUP(Preisindex!$A$6,Preisindex,4,FALSE),2),IF(AND($E97&lt;&gt;0,$F97&gt;0,YEAR($F97)&lt;Preisindex!$A$6,YEAR(CD$4)&gt;=YEAR($F97),$K97="k"),ROUND(VLOOKUP(CI$4,Preisindex,2,FALSE)/VLOOKUP(Preisindex!$A$6,Preisindex,2,FALSE),2),0)))))</f>
        <v>0</v>
      </c>
      <c r="CK97" s="51">
        <f>IF(AND($E97&lt;&gt;0,$F97&gt;0,YEAR($F97)&lt;=CI$4,YEAR($F97)&gt;=Preisindex!$A$6),ROUND($E97*CI97,2),IF(AND($E97&lt;&gt;0,$F97&gt;0,YEAR($F97)&lt;=CI$4,YEAR($F97)&lt;Preisindex!$A$6),ROUND($E97*CJ97,2),0))</f>
        <v>0</v>
      </c>
      <c r="CL97" s="53">
        <f t="shared" si="385"/>
        <v>0</v>
      </c>
      <c r="CM97" s="51">
        <f t="shared" si="446"/>
        <v>0</v>
      </c>
      <c r="CN97" s="51">
        <f t="shared" si="463"/>
        <v>0</v>
      </c>
      <c r="CO97" s="51">
        <f t="shared" si="386"/>
        <v>0</v>
      </c>
      <c r="CP97" s="51">
        <f t="shared" si="464"/>
        <v>0</v>
      </c>
      <c r="CQ97" s="51">
        <f t="shared" si="387"/>
        <v>0</v>
      </c>
      <c r="CR97" s="51">
        <f t="shared" si="465"/>
        <v>0</v>
      </c>
      <c r="CS97" s="51">
        <f t="shared" si="388"/>
        <v>0</v>
      </c>
      <c r="CT97" s="51">
        <f t="shared" si="466"/>
        <v>0</v>
      </c>
      <c r="CU97" s="51">
        <f t="shared" si="389"/>
        <v>0</v>
      </c>
      <c r="CV97" s="51">
        <f t="shared" si="467"/>
        <v>0</v>
      </c>
      <c r="CW97" s="51">
        <f t="shared" si="390"/>
        <v>0</v>
      </c>
      <c r="CX97" s="54">
        <f t="shared" si="391"/>
        <v>0</v>
      </c>
      <c r="CY97" s="55">
        <f t="shared" si="392"/>
        <v>0</v>
      </c>
      <c r="CZ97" s="56">
        <f>IF(AND($E97&lt;&gt;0,$F97&gt;0,YEAR($F97)&gt;=Preisindex!$A$6,YEAR(CU$4)&gt;=YEAR($F97),AND($K97&lt;&gt;"a",$K97&lt;&gt;"b",$K97&lt;&gt;"g",$K97&lt;&gt;"k")),1,IF(AND($E97&lt;&gt;0,$F97&gt;0,YEAR($F97)&gt;=Preisindex!$A$6,YEAR(CU$4)&gt;=YEAR($F97),$K97="a"),ROUND(VLOOKUP(CZ$4,Preisindex,5,FALSE)/VLOOKUP(YEAR($F97),Preisindex,5,FALSE),2),IF(AND($E97&lt;&gt;0,$F97&gt;0,YEAR($F97)&gt;=Preisindex!$A$6,YEAR(CU$4)&gt;=YEAR($F97),$K97="b"),ROUND(VLOOKUP(CZ$4,Preisindex,3,FALSE)/VLOOKUP(YEAR($F97),Preisindex,3,FALSE),2),IF(AND($E97&lt;&gt;0,$F97&gt;0,YEAR($F97)&gt;=Preisindex!$A$6,YEAR(CU$4)&gt;=YEAR($F97),$K97="g"),ROUND(VLOOKUP(CZ$4,Preisindex,4,FALSE)/VLOOKUP(YEAR($F97),Preisindex,4,FALSE),2),IF(AND($E97&lt;&gt;0,$F97&gt;0,YEAR($F97)&gt;=Preisindex!$A$6,YEAR(CU$4)&gt;=YEAR($F97),$K97="k"),ROUND(VLOOKUP(CZ$4,Preisindex,2,FALSE)/VLOOKUP(YEAR($F97),Preisindex,2,FALSE),2),0)))))</f>
        <v>0</v>
      </c>
      <c r="DA97" s="56">
        <f>IF(AND($E97&lt;&gt;0,$F97&gt;0,YEAR($F97)&lt;Preisindex!$A$6,YEAR(CU$4)&gt;=YEAR($F97),AND($K97&lt;&gt;"a",$K97&lt;&gt;"b",$K97&lt;&gt;"g",$K97&lt;&gt;"k")),1,IF(AND($E97&lt;&gt;0,$F97&gt;0,YEAR($F97)&lt;Preisindex!$A$6,YEAR(CU$4)&gt;=YEAR($F97),$K97="a"),ROUND(VLOOKUP(CZ$4,Preisindex,5,FALSE)/VLOOKUP(Preisindex!$A$6,Preisindex,5,FALSE),2),IF(AND($E97&lt;&gt;0,$F97&gt;0,YEAR($F97)&lt;Preisindex!$A$6,YEAR(CU$4)&gt;=YEAR($F97),$K97="b"),ROUND(VLOOKUP(CZ$4,Preisindex,3,FALSE)/VLOOKUP(Preisindex!$A$6,Preisindex,3,FALSE),2),IF(AND($E97&lt;&gt;0,$F97&gt;0,YEAR($F97)&lt;Preisindex!$A$6,YEAR(CU$4)&gt;=YEAR($F97),$K97="g"),ROUND(VLOOKUP(CZ$4,Preisindex,4,FALSE)/VLOOKUP(Preisindex!$A$6,Preisindex,4,FALSE),2),IF(AND($E97&lt;&gt;0,$F97&gt;0,YEAR($F97)&lt;Preisindex!$A$6,YEAR(CU$4)&gt;=YEAR($F97),$K97="k"),ROUND(VLOOKUP(CZ$4,Preisindex,2,FALSE)/VLOOKUP(Preisindex!$A$6,Preisindex,2,FALSE),2),0)))))</f>
        <v>0</v>
      </c>
      <c r="DB97" s="51">
        <f>IF(AND($E97&lt;&gt;0,$F97&gt;0,YEAR($F97)&lt;=CZ$4,YEAR($F97)&gt;=Preisindex!$A$6),ROUND($E97*CZ97,2),IF(AND($E97&lt;&gt;0,$F97&gt;0,YEAR($F97)&lt;=CZ$4,YEAR($F97)&lt;Preisindex!$A$6),ROUND($E97*DA97,2),0))</f>
        <v>0</v>
      </c>
      <c r="DC97" s="53">
        <f t="shared" si="393"/>
        <v>0</v>
      </c>
      <c r="DD97" s="51">
        <f t="shared" si="447"/>
        <v>0</v>
      </c>
      <c r="DE97" s="51">
        <f t="shared" si="468"/>
        <v>0</v>
      </c>
      <c r="DF97" s="51">
        <f t="shared" si="395"/>
        <v>0</v>
      </c>
      <c r="DG97" s="51">
        <f t="shared" si="469"/>
        <v>0</v>
      </c>
      <c r="DH97" s="51">
        <f t="shared" si="396"/>
        <v>0</v>
      </c>
      <c r="DI97" s="51">
        <f t="shared" si="470"/>
        <v>0</v>
      </c>
      <c r="DJ97" s="51">
        <f t="shared" si="397"/>
        <v>0</v>
      </c>
      <c r="DK97" s="51">
        <f t="shared" si="471"/>
        <v>0</v>
      </c>
      <c r="DL97" s="51">
        <f t="shared" si="398"/>
        <v>0</v>
      </c>
      <c r="DM97" s="51">
        <f t="shared" si="472"/>
        <v>0</v>
      </c>
      <c r="DN97" s="51">
        <f t="shared" si="399"/>
        <v>0</v>
      </c>
      <c r="DO97" s="54">
        <f t="shared" si="400"/>
        <v>0</v>
      </c>
      <c r="DP97" s="55">
        <f t="shared" si="401"/>
        <v>0</v>
      </c>
      <c r="DQ97" s="56">
        <f>IF(AND($E97&lt;&gt;0,$F97&gt;0,YEAR($F97)&gt;=Preisindex!$A$6,YEAR(DL$4)&gt;=YEAR($F97),AND($K97&lt;&gt;"a",$K97&lt;&gt;"b",$K97&lt;&gt;"g",$K97&lt;&gt;"k")),1,IF(AND($E97&lt;&gt;0,$F97&gt;0,YEAR($F97)&gt;=Preisindex!$A$6,YEAR(DL$4)&gt;=YEAR($F97),$K97="a"),ROUND(VLOOKUP(DQ$4,Preisindex,5,FALSE)/VLOOKUP(YEAR($F97),Preisindex,5,FALSE),2),IF(AND($E97&lt;&gt;0,$F97&gt;0,YEAR($F97)&gt;=Preisindex!$A$6,YEAR(DL$4)&gt;=YEAR($F97),$K97="b"),ROUND(VLOOKUP(DQ$4,Preisindex,3,FALSE)/VLOOKUP(YEAR($F97),Preisindex,3,FALSE),2),IF(AND($E97&lt;&gt;0,$F97&gt;0,YEAR($F97)&gt;=Preisindex!$A$6,YEAR(DL$4)&gt;=YEAR($F97),$K97="g"),ROUND(VLOOKUP(DQ$4,Preisindex,4,FALSE)/VLOOKUP(YEAR($F97),Preisindex,4,FALSE),2),IF(AND($E97&lt;&gt;0,$F97&gt;0,YEAR($F97)&gt;=Preisindex!$A$6,YEAR(DL$4)&gt;=YEAR($F97),$K97="k"),ROUND(VLOOKUP(DQ$4,Preisindex,2,FALSE)/VLOOKUP(YEAR($F97),Preisindex,2,FALSE),2),0)))))</f>
        <v>0</v>
      </c>
      <c r="DR97" s="56">
        <f>IF(AND($E97&lt;&gt;0,$F97&gt;0,YEAR($F97)&lt;Preisindex!$A$6,YEAR(DL$4)&gt;=YEAR($F97),AND($K97&lt;&gt;"a",$K97&lt;&gt;"b",$K97&lt;&gt;"g",$K97&lt;&gt;"k")),1,IF(AND($E97&lt;&gt;0,$F97&gt;0,YEAR($F97)&lt;Preisindex!$A$6,YEAR(DL$4)&gt;=YEAR($F97),$K97="a"),ROUND(VLOOKUP(DQ$4,Preisindex,5,FALSE)/VLOOKUP(Preisindex!$A$6,Preisindex,5,FALSE),2),IF(AND($E97&lt;&gt;0,$F97&gt;0,YEAR($F97)&lt;Preisindex!$A$6,YEAR(DL$4)&gt;=YEAR($F97),$K97="b"),ROUND(VLOOKUP(DQ$4,Preisindex,3,FALSE)/VLOOKUP(Preisindex!$A$6,Preisindex,3,FALSE),2),IF(AND($E97&lt;&gt;0,$F97&gt;0,YEAR($F97)&lt;Preisindex!$A$6,YEAR(DL$4)&gt;=YEAR($F97),$K97="g"),ROUND(VLOOKUP(DQ$4,Preisindex,4,FALSE)/VLOOKUP(Preisindex!$A$6,Preisindex,4,FALSE),2),IF(AND($E97&lt;&gt;0,$F97&gt;0,YEAR($F97)&lt;Preisindex!$A$6,YEAR(DL$4)&gt;=YEAR($F97),$K97="k"),ROUND(VLOOKUP(DQ$4,Preisindex,2,FALSE)/VLOOKUP(Preisindex!$A$6,Preisindex,2,FALSE),2),0)))))</f>
        <v>0</v>
      </c>
      <c r="DS97" s="51">
        <f>IF(AND($E97&lt;&gt;0,$F97&gt;0,YEAR($F97)&lt;=DQ$4,YEAR($F97)&gt;=Preisindex!$A$6),ROUND($E97*DQ97,2),IF(AND($E97&lt;&gt;0,$F97&gt;0,YEAR($F97)&lt;=DQ$4,YEAR($F97)&lt;Preisindex!$A$6),ROUND($E97*DR97,2),0))</f>
        <v>0</v>
      </c>
      <c r="DT97" s="53">
        <f t="shared" si="402"/>
        <v>0</v>
      </c>
      <c r="DU97" s="51">
        <f t="shared" si="447"/>
        <v>0</v>
      </c>
      <c r="DV97" s="51">
        <f t="shared" si="473"/>
        <v>0</v>
      </c>
      <c r="DW97" s="51">
        <f t="shared" si="403"/>
        <v>0</v>
      </c>
      <c r="DX97" s="51">
        <f t="shared" si="474"/>
        <v>0</v>
      </c>
      <c r="DY97" s="51">
        <f t="shared" si="404"/>
        <v>0</v>
      </c>
      <c r="DZ97" s="51">
        <f t="shared" si="475"/>
        <v>0</v>
      </c>
      <c r="EA97" s="51">
        <f t="shared" si="405"/>
        <v>0</v>
      </c>
      <c r="EB97" s="51">
        <f t="shared" si="476"/>
        <v>0</v>
      </c>
      <c r="EC97" s="51">
        <f t="shared" si="406"/>
        <v>0</v>
      </c>
      <c r="ED97" s="51">
        <f t="shared" si="477"/>
        <v>0</v>
      </c>
      <c r="EE97" s="51">
        <f t="shared" si="407"/>
        <v>0</v>
      </c>
      <c r="EF97" s="54">
        <f t="shared" si="408"/>
        <v>0</v>
      </c>
      <c r="EG97" s="55">
        <f t="shared" si="409"/>
        <v>0</v>
      </c>
      <c r="EH97" s="56">
        <f>IF(AND($E97&lt;&gt;0,$F97&gt;0,YEAR($F97)&gt;=Preisindex!$A$6,YEAR(EC$4)&gt;=YEAR($F97),AND($K97&lt;&gt;"a",$K97&lt;&gt;"b",$K97&lt;&gt;"g",$K97&lt;&gt;"k")),1,IF(AND($E97&lt;&gt;0,$F97&gt;0,YEAR($F97)&gt;=Preisindex!$A$6,YEAR(EC$4)&gt;=YEAR($F97),$K97="a"),ROUND(VLOOKUP(EH$4,Preisindex,5,FALSE)/VLOOKUP(YEAR($F97),Preisindex,5,FALSE),2),IF(AND($E97&lt;&gt;0,$F97&gt;0,YEAR($F97)&gt;=Preisindex!$A$6,YEAR(EC$4)&gt;=YEAR($F97),$K97="b"),ROUND(VLOOKUP(EH$4,Preisindex,3,FALSE)/VLOOKUP(YEAR($F97),Preisindex,3,FALSE),2),IF(AND($E97&lt;&gt;0,$F97&gt;0,YEAR($F97)&gt;=Preisindex!$A$6,YEAR(EC$4)&gt;=YEAR($F97),$K97="g"),ROUND(VLOOKUP(EH$4,Preisindex,4,FALSE)/VLOOKUP(YEAR($F97),Preisindex,4,FALSE),2),IF(AND($E97&lt;&gt;0,$F97&gt;0,YEAR($F97)&gt;=Preisindex!$A$6,YEAR(EC$4)&gt;=YEAR($F97),$K97="k"),ROUND(VLOOKUP(EH$4,Preisindex,2,FALSE)/VLOOKUP(YEAR($F97),Preisindex,2,FALSE),2),0)))))</f>
        <v>0</v>
      </c>
      <c r="EI97" s="56">
        <f>IF(AND($E97&lt;&gt;0,$F97&gt;0,YEAR($F97)&lt;Preisindex!$A$6,YEAR(EC$4)&gt;=YEAR($F97),AND($K97&lt;&gt;"a",$K97&lt;&gt;"b",$K97&lt;&gt;"g",$K97&lt;&gt;"k")),1,IF(AND($E97&lt;&gt;0,$F97&gt;0,YEAR($F97)&lt;Preisindex!$A$6,YEAR(EC$4)&gt;=YEAR($F97),$K97="a"),ROUND(VLOOKUP(EH$4,Preisindex,5,FALSE)/VLOOKUP(Preisindex!$A$6,Preisindex,5,FALSE),2),IF(AND($E97&lt;&gt;0,$F97&gt;0,YEAR($F97)&lt;Preisindex!$A$6,YEAR(EC$4)&gt;=YEAR($F97),$K97="b"),ROUND(VLOOKUP(EH$4,Preisindex,3,FALSE)/VLOOKUP(Preisindex!$A$6,Preisindex,3,FALSE),2),IF(AND($E97&lt;&gt;0,$F97&gt;0,YEAR($F97)&lt;Preisindex!$A$6,YEAR(EC$4)&gt;=YEAR($F97),$K97="g"),ROUND(VLOOKUP(EH$4,Preisindex,4,FALSE)/VLOOKUP(Preisindex!$A$6,Preisindex,4,FALSE),2),IF(AND($E97&lt;&gt;0,$F97&gt;0,YEAR($F97)&lt;Preisindex!$A$6,YEAR(EC$4)&gt;=YEAR($F97),$K97="k"),ROUND(VLOOKUP(EH$4,Preisindex,2,FALSE)/VLOOKUP(Preisindex!$A$6,Preisindex,2,FALSE),2),0)))))</f>
        <v>0</v>
      </c>
      <c r="EJ97" s="51">
        <f>IF(AND($E97&lt;&gt;0,$F97&gt;0,YEAR($F97)&lt;=EH$4,YEAR($F97)&gt;=Preisindex!$A$6),ROUND($E97*EH97,2),IF(AND($E97&lt;&gt;0,$F97&gt;0,YEAR($F97)&lt;=EH$4,YEAR($F97)&lt;Preisindex!$A$6),ROUND($E97*EI97,2),0))</f>
        <v>0</v>
      </c>
      <c r="EK97" s="53">
        <f t="shared" si="410"/>
        <v>0</v>
      </c>
      <c r="EL97" s="51">
        <f t="shared" si="447"/>
        <v>0</v>
      </c>
      <c r="EM97" s="51">
        <f t="shared" si="478"/>
        <v>0</v>
      </c>
      <c r="EN97" s="51">
        <f t="shared" si="411"/>
        <v>0</v>
      </c>
      <c r="EO97" s="51">
        <f t="shared" si="479"/>
        <v>0</v>
      </c>
      <c r="EP97" s="51">
        <f t="shared" si="412"/>
        <v>0</v>
      </c>
      <c r="EQ97" s="51">
        <f t="shared" si="480"/>
        <v>0</v>
      </c>
      <c r="ER97" s="51">
        <f t="shared" si="413"/>
        <v>0</v>
      </c>
      <c r="ES97" s="51">
        <f t="shared" si="481"/>
        <v>0</v>
      </c>
      <c r="ET97" s="51">
        <f t="shared" si="414"/>
        <v>0</v>
      </c>
      <c r="EU97" s="51">
        <f t="shared" si="482"/>
        <v>0</v>
      </c>
      <c r="EV97" s="51">
        <f t="shared" si="415"/>
        <v>0</v>
      </c>
      <c r="EW97" s="54">
        <f t="shared" si="416"/>
        <v>0</v>
      </c>
      <c r="EX97" s="55">
        <f t="shared" si="417"/>
        <v>0</v>
      </c>
      <c r="EY97" s="56">
        <f>IF(AND($E97&lt;&gt;0,$F97&gt;0,YEAR($F97)&gt;=Preisindex!$A$6,YEAR(ET$4)&gt;=YEAR($F97),AND($K97&lt;&gt;"a",$K97&lt;&gt;"b",$K97&lt;&gt;"g",$K97&lt;&gt;"k")),1,IF(AND($E97&lt;&gt;0,$F97&gt;0,YEAR($F97)&gt;=Preisindex!$A$6,YEAR(ET$4)&gt;=YEAR($F97),$K97="a"),ROUND(VLOOKUP(EY$4,Preisindex,5,FALSE)/VLOOKUP(YEAR($F97),Preisindex,5,FALSE),2),IF(AND($E97&lt;&gt;0,$F97&gt;0,YEAR($F97)&gt;=Preisindex!$A$6,YEAR(ET$4)&gt;=YEAR($F97),$K97="b"),ROUND(VLOOKUP(EY$4,Preisindex,3,FALSE)/VLOOKUP(YEAR($F97),Preisindex,3,FALSE),2),IF(AND($E97&lt;&gt;0,$F97&gt;0,YEAR($F97)&gt;=Preisindex!$A$6,YEAR(ET$4)&gt;=YEAR($F97),$K97="g"),ROUND(VLOOKUP(EY$4,Preisindex,4,FALSE)/VLOOKUP(YEAR($F97),Preisindex,4,FALSE),2),IF(AND($E97&lt;&gt;0,$F97&gt;0,YEAR($F97)&gt;=Preisindex!$A$6,YEAR(ET$4)&gt;=YEAR($F97),$K97="k"),ROUND(VLOOKUP(EY$4,Preisindex,2,FALSE)/VLOOKUP(YEAR($F97),Preisindex,2,FALSE),2),0)))))</f>
        <v>0</v>
      </c>
      <c r="EZ97" s="56">
        <f>IF(AND($E97&lt;&gt;0,$F97&gt;0,YEAR($F97)&lt;Preisindex!$A$6,YEAR(ET$4)&gt;=YEAR($F97),AND($K97&lt;&gt;"a",$K97&lt;&gt;"b",$K97&lt;&gt;"g",$K97&lt;&gt;"k")),1,IF(AND($E97&lt;&gt;0,$F97&gt;0,YEAR($F97)&lt;Preisindex!$A$6,YEAR(ET$4)&gt;=YEAR($F97),$K97="a"),ROUND(VLOOKUP(EY$4,Preisindex,5,FALSE)/VLOOKUP(Preisindex!$A$6,Preisindex,5,FALSE),2),IF(AND($E97&lt;&gt;0,$F97&gt;0,YEAR($F97)&lt;Preisindex!$A$6,YEAR(ET$4)&gt;=YEAR($F97),$K97="b"),ROUND(VLOOKUP(EY$4,Preisindex,3,FALSE)/VLOOKUP(Preisindex!$A$6,Preisindex,3,FALSE),2),IF(AND($E97&lt;&gt;0,$F97&gt;0,YEAR($F97)&lt;Preisindex!$A$6,YEAR(ET$4)&gt;=YEAR($F97),$K97="g"),ROUND(VLOOKUP(EY$4,Preisindex,4,FALSE)/VLOOKUP(Preisindex!$A$6,Preisindex,4,FALSE),2),IF(AND($E97&lt;&gt;0,$F97&gt;0,YEAR($F97)&lt;Preisindex!$A$6,YEAR(ET$4)&gt;=YEAR($F97),$K97="k"),ROUND(VLOOKUP(EY$4,Preisindex,2,FALSE)/VLOOKUP(Preisindex!$A$6,Preisindex,2,FALSE),2),0)))))</f>
        <v>0</v>
      </c>
      <c r="FA97" s="51">
        <f>IF(AND($E97&lt;&gt;0,$F97&gt;0,YEAR($F97)&lt;=EY$4,YEAR($F97)&gt;=Preisindex!$A$6),ROUND($E97*EY97,2),IF(AND($E97&lt;&gt;0,$F97&gt;0,YEAR($F97)&lt;=EY$4,YEAR($F97)&lt;Preisindex!$A$6),ROUND($E97*EZ97,2),0))</f>
        <v>0</v>
      </c>
      <c r="FB97" s="53">
        <f t="shared" si="418"/>
        <v>0</v>
      </c>
      <c r="FC97" s="51">
        <f t="shared" si="447"/>
        <v>0</v>
      </c>
      <c r="FD97" s="51">
        <f t="shared" si="483"/>
        <v>0</v>
      </c>
      <c r="FE97" s="51">
        <f t="shared" si="419"/>
        <v>0</v>
      </c>
      <c r="FF97" s="51">
        <f t="shared" si="484"/>
        <v>0</v>
      </c>
      <c r="FG97" s="51">
        <f t="shared" si="420"/>
        <v>0</v>
      </c>
      <c r="FH97" s="51">
        <f t="shared" si="485"/>
        <v>0</v>
      </c>
      <c r="FI97" s="51">
        <f t="shared" si="421"/>
        <v>0</v>
      </c>
      <c r="FJ97" s="51">
        <f t="shared" si="486"/>
        <v>0</v>
      </c>
      <c r="FK97" s="51">
        <f t="shared" si="422"/>
        <v>0</v>
      </c>
      <c r="FL97" s="51">
        <f t="shared" si="487"/>
        <v>0</v>
      </c>
      <c r="FM97" s="51">
        <f t="shared" si="423"/>
        <v>0</v>
      </c>
      <c r="FN97" s="54">
        <f t="shared" si="424"/>
        <v>0</v>
      </c>
      <c r="FO97" s="55">
        <f t="shared" si="425"/>
        <v>0</v>
      </c>
      <c r="FP97" s="56">
        <f>IF(AND($E97&lt;&gt;0,$F97&gt;0,YEAR($F97)&gt;=Preisindex!$A$6,YEAR(FK$4)&gt;=YEAR($F97),AND($K97&lt;&gt;"a",$K97&lt;&gt;"b",$K97&lt;&gt;"g",$K97&lt;&gt;"k")),1,IF(AND($E97&lt;&gt;0,$F97&gt;0,YEAR($F97)&gt;=Preisindex!$A$6,YEAR(FK$4)&gt;=YEAR($F97),$K97="a"),ROUND(VLOOKUP(FP$4,Preisindex,5,FALSE)/VLOOKUP(YEAR($F97),Preisindex,5,FALSE),2),IF(AND($E97&lt;&gt;0,$F97&gt;0,YEAR($F97)&gt;=Preisindex!$A$6,YEAR(FK$4)&gt;=YEAR($F97),$K97="b"),ROUND(VLOOKUP(FP$4,Preisindex,3,FALSE)/VLOOKUP(YEAR($F97),Preisindex,3,FALSE),2),IF(AND($E97&lt;&gt;0,$F97&gt;0,YEAR($F97)&gt;=Preisindex!$A$6,YEAR(FK$4)&gt;=YEAR($F97),$K97="g"),ROUND(VLOOKUP(FP$4,Preisindex,4,FALSE)/VLOOKUP(YEAR($F97),Preisindex,4,FALSE),2),IF(AND($E97&lt;&gt;0,$F97&gt;0,YEAR($F97)&gt;=Preisindex!$A$6,YEAR(FK$4)&gt;=YEAR($F97),$K97="k"),ROUND(VLOOKUP(FP$4,Preisindex,2,FALSE)/VLOOKUP(YEAR($F97),Preisindex,2,FALSE),2),0)))))</f>
        <v>0</v>
      </c>
      <c r="FQ97" s="56">
        <f>IF(AND($E97&lt;&gt;0,$F97&gt;0,YEAR($F97)&lt;Preisindex!$A$6,YEAR(FK$4)&gt;=YEAR($F97),AND($K97&lt;&gt;"a",$K97&lt;&gt;"b",$K97&lt;&gt;"g",$K97&lt;&gt;"k")),1,IF(AND($E97&lt;&gt;0,$F97&gt;0,YEAR($F97)&lt;Preisindex!$A$6,YEAR(FK$4)&gt;=YEAR($F97),$K97="a"),ROUND(VLOOKUP(FP$4,Preisindex,5,FALSE)/VLOOKUP(Preisindex!$A$6,Preisindex,5,FALSE),2),IF(AND($E97&lt;&gt;0,$F97&gt;0,YEAR($F97)&lt;Preisindex!$A$6,YEAR(FK$4)&gt;=YEAR($F97),$K97="b"),ROUND(VLOOKUP(FP$4,Preisindex,3,FALSE)/VLOOKUP(Preisindex!$A$6,Preisindex,3,FALSE),2),IF(AND($E97&lt;&gt;0,$F97&gt;0,YEAR($F97)&lt;Preisindex!$A$6,YEAR(FK$4)&gt;=YEAR($F97),$K97="g"),ROUND(VLOOKUP(FP$4,Preisindex,4,FALSE)/VLOOKUP(Preisindex!$A$6,Preisindex,4,FALSE),2),IF(AND($E97&lt;&gt;0,$F97&gt;0,YEAR($F97)&lt;Preisindex!$A$6,YEAR(FK$4)&gt;=YEAR($F97),$K97="k"),ROUND(VLOOKUP(FP$4,Preisindex,2,FALSE)/VLOOKUP(Preisindex!$A$6,Preisindex,2,FALSE),2),0)))))</f>
        <v>0</v>
      </c>
      <c r="FR97" s="51">
        <f>IF(AND($E97&lt;&gt;0,$F97&gt;0,YEAR($F97)&lt;=FP$4,YEAR($F97)&gt;=Preisindex!$A$6),ROUND($E97*FP97,2),IF(AND($E97&lt;&gt;0,$F97&gt;0,YEAR($F97)&lt;=FP$4,YEAR($F97)&lt;Preisindex!$A$6),ROUND($E97*FQ97,2),0))</f>
        <v>0</v>
      </c>
      <c r="FS97" s="53">
        <f t="shared" si="426"/>
        <v>0</v>
      </c>
    </row>
    <row r="98" spans="1:175" x14ac:dyDescent="0.3">
      <c r="A98" s="93"/>
      <c r="B98" s="94"/>
      <c r="C98" s="94"/>
      <c r="D98" s="95"/>
      <c r="E98" s="99"/>
      <c r="F98" s="97"/>
      <c r="G98" s="98"/>
      <c r="H98" s="620"/>
      <c r="I98" s="621"/>
      <c r="J98" s="194"/>
      <c r="K98" s="630"/>
      <c r="L98" s="49">
        <f t="shared" si="427"/>
        <v>0</v>
      </c>
      <c r="M98" s="50">
        <f t="shared" si="428"/>
        <v>0</v>
      </c>
      <c r="N98" s="51">
        <f t="shared" si="429"/>
        <v>0</v>
      </c>
      <c r="O98" s="51"/>
      <c r="P98" s="51">
        <f t="shared" si="430"/>
        <v>0</v>
      </c>
      <c r="Q98" s="52"/>
      <c r="R98" s="52"/>
      <c r="S98" s="52"/>
      <c r="T98" s="52"/>
      <c r="U98" s="52"/>
      <c r="V98" s="53">
        <f t="shared" si="431"/>
        <v>0</v>
      </c>
      <c r="W98" s="51">
        <f t="shared" si="432"/>
        <v>0</v>
      </c>
      <c r="X98" s="51">
        <f t="shared" si="433"/>
        <v>0</v>
      </c>
      <c r="Y98" s="51">
        <f t="shared" si="434"/>
        <v>0</v>
      </c>
      <c r="Z98" s="51">
        <f t="shared" si="435"/>
        <v>0</v>
      </c>
      <c r="AA98" s="51">
        <f t="shared" si="436"/>
        <v>0</v>
      </c>
      <c r="AB98" s="51">
        <f t="shared" si="437"/>
        <v>0</v>
      </c>
      <c r="AC98" s="51">
        <f t="shared" si="438"/>
        <v>0</v>
      </c>
      <c r="AD98" s="51">
        <f t="shared" si="439"/>
        <v>0</v>
      </c>
      <c r="AE98" s="51">
        <f t="shared" si="440"/>
        <v>0</v>
      </c>
      <c r="AF98" s="51">
        <f t="shared" si="441"/>
        <v>0</v>
      </c>
      <c r="AG98" s="51">
        <f t="shared" si="442"/>
        <v>0</v>
      </c>
      <c r="AH98" s="54">
        <f t="shared" si="443"/>
        <v>0</v>
      </c>
      <c r="AI98" s="55">
        <f t="shared" si="444"/>
        <v>0</v>
      </c>
      <c r="AJ98" s="56">
        <f>IF(AND($E98&lt;&gt;0,$F98&gt;0,YEAR($F98)&gt;=Preisindex!$A$6,YEAR(AE$4)&gt;=YEAR($F98),AND($K98&lt;&gt;"a",$K98&lt;&gt;"b",$K98&lt;&gt;"g",$K98&lt;&gt;"k")),1,IF(AND($E98&lt;&gt;0,$F98&gt;0,YEAR($F98)&gt;=Preisindex!$A$6,YEAR(AE$4)&gt;=YEAR($F98),$K98="a"),ROUND(VLOOKUP(AJ$4,Preisindex,5,FALSE)/VLOOKUP(YEAR($F98),Preisindex,5,FALSE),2),IF(AND($E98&lt;&gt;0,$F98&gt;0,YEAR($F98)&gt;=Preisindex!$A$6,YEAR(AE$4)&gt;=YEAR($F98),$K98="b"),ROUND(VLOOKUP(AJ$4,Preisindex,3,FALSE)/VLOOKUP(YEAR($F98),Preisindex,3,FALSE),2),IF(AND($E98&lt;&gt;0,$F98&gt;0,YEAR($F98)&gt;=Preisindex!$A$6,YEAR(AE$4)&gt;=YEAR($F98),$K98="g"),ROUND(VLOOKUP(AJ$4,Preisindex,4,FALSE)/VLOOKUP(YEAR($F98),Preisindex,4,FALSE),2),IF(AND($E98&lt;&gt;0,$F98&gt;0,YEAR($F98)&gt;=Preisindex!$A$6,YEAR(AE$4)&gt;=YEAR($F98),$K98="k"),ROUND(VLOOKUP(AJ$4,Preisindex,2,FALSE)/VLOOKUP(YEAR($F98),Preisindex,2,FALSE),2),0)))))</f>
        <v>0</v>
      </c>
      <c r="AK98" s="56">
        <f>IF(AND($E98&lt;&gt;0,$F98&gt;0,YEAR($F98)&lt;Preisindex!$A$6,YEAR(AE$4)&gt;=YEAR($F98),AND($K98&lt;&gt;"a",$K98&lt;&gt;"b",$K98&lt;&gt;"g",$K98&lt;&gt;"k")),1,IF(AND($E98&lt;&gt;0,$F98&gt;0,YEAR($F98)&lt;Preisindex!$A$6,YEAR(AE$4)&gt;=YEAR($F98),$K98="a"),ROUND(VLOOKUP(AJ$4,Preisindex,5,FALSE)/VLOOKUP(Preisindex!$A$6,Preisindex,5,FALSE),2),IF(AND($E98&lt;&gt;0,$F98&gt;0,YEAR($F98)&lt;Preisindex!$A$6,YEAR(AE$4)&gt;=YEAR($F98),$K98="b"),ROUND(VLOOKUP(AJ$4,Preisindex,3,FALSE)/VLOOKUP(Preisindex!$A$6,Preisindex,3,FALSE),2),IF(AND($E98&lt;&gt;0,$F98&gt;0,YEAR($F98)&lt;Preisindex!$A$6,YEAR(AE$4)&gt;=YEAR($F98),$K98="g"),ROUND(VLOOKUP(AJ$4,Preisindex,4,FALSE)/VLOOKUP(Preisindex!$A$6,Preisindex,4,FALSE),2),IF(AND($E98&lt;&gt;0,$F98&gt;0,YEAR($F98)&lt;Preisindex!$A$6,YEAR(AE$4)&gt;=YEAR($F98),$K98="k"),ROUND(VLOOKUP(AJ$4,Preisindex,2,FALSE)/VLOOKUP(Preisindex!$A$6,Preisindex,2,FALSE),2),0)))))</f>
        <v>0</v>
      </c>
      <c r="AL98" s="51">
        <f>IF(AND($E98&lt;&gt;0,$F98&gt;0,YEAR($F98)&lt;=AJ$4,YEAR($F98)&gt;=Preisindex!$A$6),ROUND($E98*AJ98,2),IF(AND($E98&lt;&gt;0,$F98&gt;0,YEAR($F98)&lt;=AJ$4,YEAR($F98)&lt;Preisindex!$A$6),ROUND($E98*AK98,2),0))</f>
        <v>0</v>
      </c>
      <c r="AM98" s="53">
        <f t="shared" si="445"/>
        <v>0</v>
      </c>
      <c r="AN98" s="51">
        <f t="shared" si="446"/>
        <v>0</v>
      </c>
      <c r="AO98" s="51">
        <f t="shared" si="448"/>
        <v>0</v>
      </c>
      <c r="AP98" s="51">
        <f t="shared" si="362"/>
        <v>0</v>
      </c>
      <c r="AQ98" s="51">
        <f t="shared" si="449"/>
        <v>0</v>
      </c>
      <c r="AR98" s="51">
        <f t="shared" si="363"/>
        <v>0</v>
      </c>
      <c r="AS98" s="51">
        <f t="shared" si="450"/>
        <v>0</v>
      </c>
      <c r="AT98" s="51">
        <f t="shared" si="364"/>
        <v>0</v>
      </c>
      <c r="AU98" s="51">
        <f t="shared" si="451"/>
        <v>0</v>
      </c>
      <c r="AV98" s="51">
        <f t="shared" si="365"/>
        <v>0</v>
      </c>
      <c r="AW98" s="51">
        <f t="shared" si="452"/>
        <v>0</v>
      </c>
      <c r="AX98" s="51">
        <f t="shared" si="366"/>
        <v>0</v>
      </c>
      <c r="AY98" s="54">
        <f t="shared" si="367"/>
        <v>0</v>
      </c>
      <c r="AZ98" s="55">
        <f t="shared" si="368"/>
        <v>0</v>
      </c>
      <c r="BA98" s="56">
        <f>IF(AND($E98&lt;&gt;0,$F98&gt;0,YEAR($F98)&gt;=Preisindex!$A$6,YEAR(AV$4)&gt;=YEAR($F98),AND($K98&lt;&gt;"a",$K98&lt;&gt;"b",$K98&lt;&gt;"g",$K98&lt;&gt;"k")),1,IF(AND($E98&lt;&gt;0,$F98&gt;0,YEAR($F98)&gt;=Preisindex!$A$6,YEAR(AV$4)&gt;=YEAR($F98),$K98="a"),ROUND(VLOOKUP(BA$4,Preisindex,5,FALSE)/VLOOKUP(YEAR($F98),Preisindex,5,FALSE),2),IF(AND($E98&lt;&gt;0,$F98&gt;0,YEAR($F98)&gt;=Preisindex!$A$6,YEAR(AV$4)&gt;=YEAR($F98),$K98="b"),ROUND(VLOOKUP(BA$4,Preisindex,3,FALSE)/VLOOKUP(YEAR($F98),Preisindex,3,FALSE),2),IF(AND($E98&lt;&gt;0,$F98&gt;0,YEAR($F98)&gt;=Preisindex!$A$6,YEAR(AV$4)&gt;=YEAR($F98),$K98="g"),ROUND(VLOOKUP(BA$4,Preisindex,4,FALSE)/VLOOKUP(YEAR($F98),Preisindex,4,FALSE),2),IF(AND($E98&lt;&gt;0,$F98&gt;0,YEAR($F98)&gt;=Preisindex!$A$6,YEAR(AV$4)&gt;=YEAR($F98),$K98="k"),ROUND(VLOOKUP(BA$4,Preisindex,2,FALSE)/VLOOKUP(YEAR($F98),Preisindex,2,FALSE),2),0)))))</f>
        <v>0</v>
      </c>
      <c r="BB98" s="56">
        <f>IF(AND($E98&lt;&gt;0,$F98&gt;0,YEAR($F98)&lt;Preisindex!$A$6,YEAR(AV$4)&gt;=YEAR($F98),AND($K98&lt;&gt;"a",$K98&lt;&gt;"b",$K98&lt;&gt;"g",$K98&lt;&gt;"k")),1,IF(AND($E98&lt;&gt;0,$F98&gt;0,YEAR($F98)&lt;Preisindex!$A$6,YEAR(AV$4)&gt;=YEAR($F98),$K98="a"),ROUND(VLOOKUP(BA$4,Preisindex,5,FALSE)/VLOOKUP(Preisindex!$A$6,Preisindex,5,FALSE),2),IF(AND($E98&lt;&gt;0,$F98&gt;0,YEAR($F98)&lt;Preisindex!$A$6,YEAR(AV$4)&gt;=YEAR($F98),$K98="b"),ROUND(VLOOKUP(BA$4,Preisindex,3,FALSE)/VLOOKUP(Preisindex!$A$6,Preisindex,3,FALSE),2),IF(AND($E98&lt;&gt;0,$F98&gt;0,YEAR($F98)&lt;Preisindex!$A$6,YEAR(AV$4)&gt;=YEAR($F98),$K98="g"),ROUND(VLOOKUP(BA$4,Preisindex,4,FALSE)/VLOOKUP(Preisindex!$A$6,Preisindex,4,FALSE),2),IF(AND($E98&lt;&gt;0,$F98&gt;0,YEAR($F98)&lt;Preisindex!$A$6,YEAR(AV$4)&gt;=YEAR($F98),$K98="k"),ROUND(VLOOKUP(BA$4,Preisindex,2,FALSE)/VLOOKUP(Preisindex!$A$6,Preisindex,2,FALSE),2),0)))))</f>
        <v>0</v>
      </c>
      <c r="BC98" s="51">
        <f>IF(AND($E98&lt;&gt;0,$F98&gt;0,YEAR($F98)&lt;=BA$4,YEAR($F98)&gt;=Preisindex!$A$6),ROUND($E98*BA98,2),IF(AND($E98&lt;&gt;0,$F98&gt;0,YEAR($F98)&lt;=BA$4,YEAR($F98)&lt;Preisindex!$A$6),ROUND($E98*BB98,2),0))</f>
        <v>0</v>
      </c>
      <c r="BD98" s="53">
        <f t="shared" si="369"/>
        <v>0</v>
      </c>
      <c r="BE98" s="51">
        <f t="shared" si="446"/>
        <v>0</v>
      </c>
      <c r="BF98" s="51">
        <f t="shared" si="453"/>
        <v>0</v>
      </c>
      <c r="BG98" s="51">
        <f t="shared" si="370"/>
        <v>0</v>
      </c>
      <c r="BH98" s="51">
        <f t="shared" si="454"/>
        <v>0</v>
      </c>
      <c r="BI98" s="51">
        <f t="shared" si="371"/>
        <v>0</v>
      </c>
      <c r="BJ98" s="51">
        <f t="shared" si="455"/>
        <v>0</v>
      </c>
      <c r="BK98" s="51">
        <f t="shared" si="372"/>
        <v>0</v>
      </c>
      <c r="BL98" s="51">
        <f t="shared" si="456"/>
        <v>0</v>
      </c>
      <c r="BM98" s="51">
        <f t="shared" si="373"/>
        <v>0</v>
      </c>
      <c r="BN98" s="51">
        <f t="shared" si="457"/>
        <v>0</v>
      </c>
      <c r="BO98" s="51">
        <f t="shared" si="374"/>
        <v>0</v>
      </c>
      <c r="BP98" s="54">
        <f t="shared" si="375"/>
        <v>0</v>
      </c>
      <c r="BQ98" s="55">
        <f t="shared" si="376"/>
        <v>0</v>
      </c>
      <c r="BR98" s="56">
        <f>IF(AND($E98&lt;&gt;0,$F98&gt;0,YEAR($F98)&gt;=Preisindex!$A$6,YEAR(BM$4)&gt;=YEAR($F98),AND($K98&lt;&gt;"a",$K98&lt;&gt;"b",$K98&lt;&gt;"g",$K98&lt;&gt;"k")),1,IF(AND($E98&lt;&gt;0,$F98&gt;0,YEAR($F98)&gt;=Preisindex!$A$6,YEAR(BM$4)&gt;=YEAR($F98),$K98="a"),ROUND(VLOOKUP(BR$4,Preisindex,5,FALSE)/VLOOKUP(YEAR($F98),Preisindex,5,FALSE),2),IF(AND($E98&lt;&gt;0,$F98&gt;0,YEAR($F98)&gt;=Preisindex!$A$6,YEAR(BM$4)&gt;=YEAR($F98),$K98="b"),ROUND(VLOOKUP(BR$4,Preisindex,3,FALSE)/VLOOKUP(YEAR($F98),Preisindex,3,FALSE),2),IF(AND($E98&lt;&gt;0,$F98&gt;0,YEAR($F98)&gt;=Preisindex!$A$6,YEAR(BM$4)&gt;=YEAR($F98),$K98="g"),ROUND(VLOOKUP(BR$4,Preisindex,4,FALSE)/VLOOKUP(YEAR($F98),Preisindex,4,FALSE),2),IF(AND($E98&lt;&gt;0,$F98&gt;0,YEAR($F98)&gt;=Preisindex!$A$6,YEAR(BM$4)&gt;=YEAR($F98),$K98="k"),ROUND(VLOOKUP(BR$4,Preisindex,2,FALSE)/VLOOKUP(YEAR($F98),Preisindex,2,FALSE),2),0)))))</f>
        <v>0</v>
      </c>
      <c r="BS98" s="56">
        <f>IF(AND($E98&lt;&gt;0,$F98&gt;0,YEAR($F98)&lt;Preisindex!$A$6,YEAR(BM$4)&gt;=YEAR($F98),AND($K98&lt;&gt;"a",$K98&lt;&gt;"b",$K98&lt;&gt;"g",$K98&lt;&gt;"k")),1,IF(AND($E98&lt;&gt;0,$F98&gt;0,YEAR($F98)&lt;Preisindex!$A$6,YEAR(BM$4)&gt;=YEAR($F98),$K98="a"),ROUND(VLOOKUP(BR$4,Preisindex,5,FALSE)/VLOOKUP(Preisindex!$A$6,Preisindex,5,FALSE),2),IF(AND($E98&lt;&gt;0,$F98&gt;0,YEAR($F98)&lt;Preisindex!$A$6,YEAR(BM$4)&gt;=YEAR($F98),$K98="b"),ROUND(VLOOKUP(BR$4,Preisindex,3,FALSE)/VLOOKUP(Preisindex!$A$6,Preisindex,3,FALSE),2),IF(AND($E98&lt;&gt;0,$F98&gt;0,YEAR($F98)&lt;Preisindex!$A$6,YEAR(BM$4)&gt;=YEAR($F98),$K98="g"),ROUND(VLOOKUP(BR$4,Preisindex,4,FALSE)/VLOOKUP(Preisindex!$A$6,Preisindex,4,FALSE),2),IF(AND($E98&lt;&gt;0,$F98&gt;0,YEAR($F98)&lt;Preisindex!$A$6,YEAR(BM$4)&gt;=YEAR($F98),$K98="k"),ROUND(VLOOKUP(BR$4,Preisindex,2,FALSE)/VLOOKUP(Preisindex!$A$6,Preisindex,2,FALSE),2),0)))))</f>
        <v>0</v>
      </c>
      <c r="BT98" s="51">
        <f>IF(AND($E98&lt;&gt;0,$F98&gt;0,YEAR($F98)&lt;=BR$4,YEAR($F98)&gt;=Preisindex!$A$6),ROUND($E98*BR98,2),IF(AND($E98&lt;&gt;0,$F98&gt;0,YEAR($F98)&lt;=BR$4,YEAR($F98)&lt;Preisindex!$A$6),ROUND($E98*BS98,2),0))</f>
        <v>0</v>
      </c>
      <c r="BU98" s="53">
        <f t="shared" si="377"/>
        <v>0</v>
      </c>
      <c r="BV98" s="51">
        <f t="shared" si="446"/>
        <v>0</v>
      </c>
      <c r="BW98" s="51">
        <f t="shared" si="458"/>
        <v>0</v>
      </c>
      <c r="BX98" s="51">
        <f t="shared" si="378"/>
        <v>0</v>
      </c>
      <c r="BY98" s="51">
        <f t="shared" si="459"/>
        <v>0</v>
      </c>
      <c r="BZ98" s="51">
        <f t="shared" si="379"/>
        <v>0</v>
      </c>
      <c r="CA98" s="51">
        <f t="shared" si="460"/>
        <v>0</v>
      </c>
      <c r="CB98" s="51">
        <f t="shared" si="380"/>
        <v>0</v>
      </c>
      <c r="CC98" s="51">
        <f t="shared" si="461"/>
        <v>0</v>
      </c>
      <c r="CD98" s="51">
        <f t="shared" si="381"/>
        <v>0</v>
      </c>
      <c r="CE98" s="51">
        <f t="shared" si="462"/>
        <v>0</v>
      </c>
      <c r="CF98" s="51">
        <f t="shared" si="382"/>
        <v>0</v>
      </c>
      <c r="CG98" s="54">
        <f t="shared" si="383"/>
        <v>0</v>
      </c>
      <c r="CH98" s="55">
        <f t="shared" si="384"/>
        <v>0</v>
      </c>
      <c r="CI98" s="56">
        <f>IF(AND($E98&lt;&gt;0,$F98&gt;0,YEAR($F98)&gt;=Preisindex!$A$6,YEAR(CD$4)&gt;=YEAR($F98),AND($K98&lt;&gt;"a",$K98&lt;&gt;"b",$K98&lt;&gt;"g",$K98&lt;&gt;"k")),1,IF(AND($E98&lt;&gt;0,$F98&gt;0,YEAR($F98)&gt;=Preisindex!$A$6,YEAR(CD$4)&gt;=YEAR($F98),$K98="a"),ROUND(VLOOKUP(CI$4,Preisindex,5,FALSE)/VLOOKUP(YEAR($F98),Preisindex,5,FALSE),2),IF(AND($E98&lt;&gt;0,$F98&gt;0,YEAR($F98)&gt;=Preisindex!$A$6,YEAR(CD$4)&gt;=YEAR($F98),$K98="b"),ROUND(VLOOKUP(CI$4,Preisindex,3,FALSE)/VLOOKUP(YEAR($F98),Preisindex,3,FALSE),2),IF(AND($E98&lt;&gt;0,$F98&gt;0,YEAR($F98)&gt;=Preisindex!$A$6,YEAR(CD$4)&gt;=YEAR($F98),$K98="g"),ROUND(VLOOKUP(CI$4,Preisindex,4,FALSE)/VLOOKUP(YEAR($F98),Preisindex,4,FALSE),2),IF(AND($E98&lt;&gt;0,$F98&gt;0,YEAR($F98)&gt;=Preisindex!$A$6,YEAR(CD$4)&gt;=YEAR($F98),$K98="k"),ROUND(VLOOKUP(CI$4,Preisindex,2,FALSE)/VLOOKUP(YEAR($F98),Preisindex,2,FALSE),2),0)))))</f>
        <v>0</v>
      </c>
      <c r="CJ98" s="56">
        <f>IF(AND($E98&lt;&gt;0,$F98&gt;0,YEAR($F98)&lt;Preisindex!$A$6,YEAR(CD$4)&gt;=YEAR($F98),AND($K98&lt;&gt;"a",$K98&lt;&gt;"b",$K98&lt;&gt;"g",$K98&lt;&gt;"k")),1,IF(AND($E98&lt;&gt;0,$F98&gt;0,YEAR($F98)&lt;Preisindex!$A$6,YEAR(CD$4)&gt;=YEAR($F98),$K98="a"),ROUND(VLOOKUP(CI$4,Preisindex,5,FALSE)/VLOOKUP(Preisindex!$A$6,Preisindex,5,FALSE),2),IF(AND($E98&lt;&gt;0,$F98&gt;0,YEAR($F98)&lt;Preisindex!$A$6,YEAR(CD$4)&gt;=YEAR($F98),$K98="b"),ROUND(VLOOKUP(CI$4,Preisindex,3,FALSE)/VLOOKUP(Preisindex!$A$6,Preisindex,3,FALSE),2),IF(AND($E98&lt;&gt;0,$F98&gt;0,YEAR($F98)&lt;Preisindex!$A$6,YEAR(CD$4)&gt;=YEAR($F98),$K98="g"),ROUND(VLOOKUP(CI$4,Preisindex,4,FALSE)/VLOOKUP(Preisindex!$A$6,Preisindex,4,FALSE),2),IF(AND($E98&lt;&gt;0,$F98&gt;0,YEAR($F98)&lt;Preisindex!$A$6,YEAR(CD$4)&gt;=YEAR($F98),$K98="k"),ROUND(VLOOKUP(CI$4,Preisindex,2,FALSE)/VLOOKUP(Preisindex!$A$6,Preisindex,2,FALSE),2),0)))))</f>
        <v>0</v>
      </c>
      <c r="CK98" s="51">
        <f>IF(AND($E98&lt;&gt;0,$F98&gt;0,YEAR($F98)&lt;=CI$4,YEAR($F98)&gt;=Preisindex!$A$6),ROUND($E98*CI98,2),IF(AND($E98&lt;&gt;0,$F98&gt;0,YEAR($F98)&lt;=CI$4,YEAR($F98)&lt;Preisindex!$A$6),ROUND($E98*CJ98,2),0))</f>
        <v>0</v>
      </c>
      <c r="CL98" s="53">
        <f t="shared" si="385"/>
        <v>0</v>
      </c>
      <c r="CM98" s="51">
        <f t="shared" si="446"/>
        <v>0</v>
      </c>
      <c r="CN98" s="51">
        <f t="shared" si="463"/>
        <v>0</v>
      </c>
      <c r="CO98" s="51">
        <f t="shared" si="386"/>
        <v>0</v>
      </c>
      <c r="CP98" s="51">
        <f t="shared" si="464"/>
        <v>0</v>
      </c>
      <c r="CQ98" s="51">
        <f t="shared" si="387"/>
        <v>0</v>
      </c>
      <c r="CR98" s="51">
        <f t="shared" si="465"/>
        <v>0</v>
      </c>
      <c r="CS98" s="51">
        <f t="shared" si="388"/>
        <v>0</v>
      </c>
      <c r="CT98" s="51">
        <f t="shared" si="466"/>
        <v>0</v>
      </c>
      <c r="CU98" s="51">
        <f t="shared" si="389"/>
        <v>0</v>
      </c>
      <c r="CV98" s="51">
        <f t="shared" si="467"/>
        <v>0</v>
      </c>
      <c r="CW98" s="51">
        <f t="shared" si="390"/>
        <v>0</v>
      </c>
      <c r="CX98" s="54">
        <f t="shared" si="391"/>
        <v>0</v>
      </c>
      <c r="CY98" s="55">
        <f t="shared" si="392"/>
        <v>0</v>
      </c>
      <c r="CZ98" s="56">
        <f>IF(AND($E98&lt;&gt;0,$F98&gt;0,YEAR($F98)&gt;=Preisindex!$A$6,YEAR(CU$4)&gt;=YEAR($F98),AND($K98&lt;&gt;"a",$K98&lt;&gt;"b",$K98&lt;&gt;"g",$K98&lt;&gt;"k")),1,IF(AND($E98&lt;&gt;0,$F98&gt;0,YEAR($F98)&gt;=Preisindex!$A$6,YEAR(CU$4)&gt;=YEAR($F98),$K98="a"),ROUND(VLOOKUP(CZ$4,Preisindex,5,FALSE)/VLOOKUP(YEAR($F98),Preisindex,5,FALSE),2),IF(AND($E98&lt;&gt;0,$F98&gt;0,YEAR($F98)&gt;=Preisindex!$A$6,YEAR(CU$4)&gt;=YEAR($F98),$K98="b"),ROUND(VLOOKUP(CZ$4,Preisindex,3,FALSE)/VLOOKUP(YEAR($F98),Preisindex,3,FALSE),2),IF(AND($E98&lt;&gt;0,$F98&gt;0,YEAR($F98)&gt;=Preisindex!$A$6,YEAR(CU$4)&gt;=YEAR($F98),$K98="g"),ROUND(VLOOKUP(CZ$4,Preisindex,4,FALSE)/VLOOKUP(YEAR($F98),Preisindex,4,FALSE),2),IF(AND($E98&lt;&gt;0,$F98&gt;0,YEAR($F98)&gt;=Preisindex!$A$6,YEAR(CU$4)&gt;=YEAR($F98),$K98="k"),ROUND(VLOOKUP(CZ$4,Preisindex,2,FALSE)/VLOOKUP(YEAR($F98),Preisindex,2,FALSE),2),0)))))</f>
        <v>0</v>
      </c>
      <c r="DA98" s="56">
        <f>IF(AND($E98&lt;&gt;0,$F98&gt;0,YEAR($F98)&lt;Preisindex!$A$6,YEAR(CU$4)&gt;=YEAR($F98),AND($K98&lt;&gt;"a",$K98&lt;&gt;"b",$K98&lt;&gt;"g",$K98&lt;&gt;"k")),1,IF(AND($E98&lt;&gt;0,$F98&gt;0,YEAR($F98)&lt;Preisindex!$A$6,YEAR(CU$4)&gt;=YEAR($F98),$K98="a"),ROUND(VLOOKUP(CZ$4,Preisindex,5,FALSE)/VLOOKUP(Preisindex!$A$6,Preisindex,5,FALSE),2),IF(AND($E98&lt;&gt;0,$F98&gt;0,YEAR($F98)&lt;Preisindex!$A$6,YEAR(CU$4)&gt;=YEAR($F98),$K98="b"),ROUND(VLOOKUP(CZ$4,Preisindex,3,FALSE)/VLOOKUP(Preisindex!$A$6,Preisindex,3,FALSE),2),IF(AND($E98&lt;&gt;0,$F98&gt;0,YEAR($F98)&lt;Preisindex!$A$6,YEAR(CU$4)&gt;=YEAR($F98),$K98="g"),ROUND(VLOOKUP(CZ$4,Preisindex,4,FALSE)/VLOOKUP(Preisindex!$A$6,Preisindex,4,FALSE),2),IF(AND($E98&lt;&gt;0,$F98&gt;0,YEAR($F98)&lt;Preisindex!$A$6,YEAR(CU$4)&gt;=YEAR($F98),$K98="k"),ROUND(VLOOKUP(CZ$4,Preisindex,2,FALSE)/VLOOKUP(Preisindex!$A$6,Preisindex,2,FALSE),2),0)))))</f>
        <v>0</v>
      </c>
      <c r="DB98" s="51">
        <f>IF(AND($E98&lt;&gt;0,$F98&gt;0,YEAR($F98)&lt;=CZ$4,YEAR($F98)&gt;=Preisindex!$A$6),ROUND($E98*CZ98,2),IF(AND($E98&lt;&gt;0,$F98&gt;0,YEAR($F98)&lt;=CZ$4,YEAR($F98)&lt;Preisindex!$A$6),ROUND($E98*DA98,2),0))</f>
        <v>0</v>
      </c>
      <c r="DC98" s="53">
        <f t="shared" si="393"/>
        <v>0</v>
      </c>
      <c r="DD98" s="51">
        <f t="shared" si="447"/>
        <v>0</v>
      </c>
      <c r="DE98" s="51">
        <f t="shared" si="468"/>
        <v>0</v>
      </c>
      <c r="DF98" s="51">
        <f t="shared" si="395"/>
        <v>0</v>
      </c>
      <c r="DG98" s="51">
        <f t="shared" si="469"/>
        <v>0</v>
      </c>
      <c r="DH98" s="51">
        <f t="shared" si="396"/>
        <v>0</v>
      </c>
      <c r="DI98" s="51">
        <f t="shared" si="470"/>
        <v>0</v>
      </c>
      <c r="DJ98" s="51">
        <f t="shared" si="397"/>
        <v>0</v>
      </c>
      <c r="DK98" s="51">
        <f t="shared" si="471"/>
        <v>0</v>
      </c>
      <c r="DL98" s="51">
        <f t="shared" si="398"/>
        <v>0</v>
      </c>
      <c r="DM98" s="51">
        <f t="shared" si="472"/>
        <v>0</v>
      </c>
      <c r="DN98" s="51">
        <f t="shared" si="399"/>
        <v>0</v>
      </c>
      <c r="DO98" s="54">
        <f t="shared" si="400"/>
        <v>0</v>
      </c>
      <c r="DP98" s="55">
        <f t="shared" si="401"/>
        <v>0</v>
      </c>
      <c r="DQ98" s="56">
        <f>IF(AND($E98&lt;&gt;0,$F98&gt;0,YEAR($F98)&gt;=Preisindex!$A$6,YEAR(DL$4)&gt;=YEAR($F98),AND($K98&lt;&gt;"a",$K98&lt;&gt;"b",$K98&lt;&gt;"g",$K98&lt;&gt;"k")),1,IF(AND($E98&lt;&gt;0,$F98&gt;0,YEAR($F98)&gt;=Preisindex!$A$6,YEAR(DL$4)&gt;=YEAR($F98),$K98="a"),ROUND(VLOOKUP(DQ$4,Preisindex,5,FALSE)/VLOOKUP(YEAR($F98),Preisindex,5,FALSE),2),IF(AND($E98&lt;&gt;0,$F98&gt;0,YEAR($F98)&gt;=Preisindex!$A$6,YEAR(DL$4)&gt;=YEAR($F98),$K98="b"),ROUND(VLOOKUP(DQ$4,Preisindex,3,FALSE)/VLOOKUP(YEAR($F98),Preisindex,3,FALSE),2),IF(AND($E98&lt;&gt;0,$F98&gt;0,YEAR($F98)&gt;=Preisindex!$A$6,YEAR(DL$4)&gt;=YEAR($F98),$K98="g"),ROUND(VLOOKUP(DQ$4,Preisindex,4,FALSE)/VLOOKUP(YEAR($F98),Preisindex,4,FALSE),2),IF(AND($E98&lt;&gt;0,$F98&gt;0,YEAR($F98)&gt;=Preisindex!$A$6,YEAR(DL$4)&gt;=YEAR($F98),$K98="k"),ROUND(VLOOKUP(DQ$4,Preisindex,2,FALSE)/VLOOKUP(YEAR($F98),Preisindex,2,FALSE),2),0)))))</f>
        <v>0</v>
      </c>
      <c r="DR98" s="56">
        <f>IF(AND($E98&lt;&gt;0,$F98&gt;0,YEAR($F98)&lt;Preisindex!$A$6,YEAR(DL$4)&gt;=YEAR($F98),AND($K98&lt;&gt;"a",$K98&lt;&gt;"b",$K98&lt;&gt;"g",$K98&lt;&gt;"k")),1,IF(AND($E98&lt;&gt;0,$F98&gt;0,YEAR($F98)&lt;Preisindex!$A$6,YEAR(DL$4)&gt;=YEAR($F98),$K98="a"),ROUND(VLOOKUP(DQ$4,Preisindex,5,FALSE)/VLOOKUP(Preisindex!$A$6,Preisindex,5,FALSE),2),IF(AND($E98&lt;&gt;0,$F98&gt;0,YEAR($F98)&lt;Preisindex!$A$6,YEAR(DL$4)&gt;=YEAR($F98),$K98="b"),ROUND(VLOOKUP(DQ$4,Preisindex,3,FALSE)/VLOOKUP(Preisindex!$A$6,Preisindex,3,FALSE),2),IF(AND($E98&lt;&gt;0,$F98&gt;0,YEAR($F98)&lt;Preisindex!$A$6,YEAR(DL$4)&gt;=YEAR($F98),$K98="g"),ROUND(VLOOKUP(DQ$4,Preisindex,4,FALSE)/VLOOKUP(Preisindex!$A$6,Preisindex,4,FALSE),2),IF(AND($E98&lt;&gt;0,$F98&gt;0,YEAR($F98)&lt;Preisindex!$A$6,YEAR(DL$4)&gt;=YEAR($F98),$K98="k"),ROUND(VLOOKUP(DQ$4,Preisindex,2,FALSE)/VLOOKUP(Preisindex!$A$6,Preisindex,2,FALSE),2),0)))))</f>
        <v>0</v>
      </c>
      <c r="DS98" s="51">
        <f>IF(AND($E98&lt;&gt;0,$F98&gt;0,YEAR($F98)&lt;=DQ$4,YEAR($F98)&gt;=Preisindex!$A$6),ROUND($E98*DQ98,2),IF(AND($E98&lt;&gt;0,$F98&gt;0,YEAR($F98)&lt;=DQ$4,YEAR($F98)&lt;Preisindex!$A$6),ROUND($E98*DR98,2),0))</f>
        <v>0</v>
      </c>
      <c r="DT98" s="53">
        <f t="shared" si="402"/>
        <v>0</v>
      </c>
      <c r="DU98" s="51">
        <f t="shared" si="447"/>
        <v>0</v>
      </c>
      <c r="DV98" s="51">
        <f t="shared" si="473"/>
        <v>0</v>
      </c>
      <c r="DW98" s="51">
        <f t="shared" si="403"/>
        <v>0</v>
      </c>
      <c r="DX98" s="51">
        <f t="shared" si="474"/>
        <v>0</v>
      </c>
      <c r="DY98" s="51">
        <f t="shared" si="404"/>
        <v>0</v>
      </c>
      <c r="DZ98" s="51">
        <f t="shared" si="475"/>
        <v>0</v>
      </c>
      <c r="EA98" s="51">
        <f t="shared" si="405"/>
        <v>0</v>
      </c>
      <c r="EB98" s="51">
        <f t="shared" si="476"/>
        <v>0</v>
      </c>
      <c r="EC98" s="51">
        <f t="shared" si="406"/>
        <v>0</v>
      </c>
      <c r="ED98" s="51">
        <f t="shared" si="477"/>
        <v>0</v>
      </c>
      <c r="EE98" s="51">
        <f t="shared" si="407"/>
        <v>0</v>
      </c>
      <c r="EF98" s="54">
        <f t="shared" si="408"/>
        <v>0</v>
      </c>
      <c r="EG98" s="55">
        <f t="shared" si="409"/>
        <v>0</v>
      </c>
      <c r="EH98" s="56">
        <f>IF(AND($E98&lt;&gt;0,$F98&gt;0,YEAR($F98)&gt;=Preisindex!$A$6,YEAR(EC$4)&gt;=YEAR($F98),AND($K98&lt;&gt;"a",$K98&lt;&gt;"b",$K98&lt;&gt;"g",$K98&lt;&gt;"k")),1,IF(AND($E98&lt;&gt;0,$F98&gt;0,YEAR($F98)&gt;=Preisindex!$A$6,YEAR(EC$4)&gt;=YEAR($F98),$K98="a"),ROUND(VLOOKUP(EH$4,Preisindex,5,FALSE)/VLOOKUP(YEAR($F98),Preisindex,5,FALSE),2),IF(AND($E98&lt;&gt;0,$F98&gt;0,YEAR($F98)&gt;=Preisindex!$A$6,YEAR(EC$4)&gt;=YEAR($F98),$K98="b"),ROUND(VLOOKUP(EH$4,Preisindex,3,FALSE)/VLOOKUP(YEAR($F98),Preisindex,3,FALSE),2),IF(AND($E98&lt;&gt;0,$F98&gt;0,YEAR($F98)&gt;=Preisindex!$A$6,YEAR(EC$4)&gt;=YEAR($F98),$K98="g"),ROUND(VLOOKUP(EH$4,Preisindex,4,FALSE)/VLOOKUP(YEAR($F98),Preisindex,4,FALSE),2),IF(AND($E98&lt;&gt;0,$F98&gt;0,YEAR($F98)&gt;=Preisindex!$A$6,YEAR(EC$4)&gt;=YEAR($F98),$K98="k"),ROUND(VLOOKUP(EH$4,Preisindex,2,FALSE)/VLOOKUP(YEAR($F98),Preisindex,2,FALSE),2),0)))))</f>
        <v>0</v>
      </c>
      <c r="EI98" s="56">
        <f>IF(AND($E98&lt;&gt;0,$F98&gt;0,YEAR($F98)&lt;Preisindex!$A$6,YEAR(EC$4)&gt;=YEAR($F98),AND($K98&lt;&gt;"a",$K98&lt;&gt;"b",$K98&lt;&gt;"g",$K98&lt;&gt;"k")),1,IF(AND($E98&lt;&gt;0,$F98&gt;0,YEAR($F98)&lt;Preisindex!$A$6,YEAR(EC$4)&gt;=YEAR($F98),$K98="a"),ROUND(VLOOKUP(EH$4,Preisindex,5,FALSE)/VLOOKUP(Preisindex!$A$6,Preisindex,5,FALSE),2),IF(AND($E98&lt;&gt;0,$F98&gt;0,YEAR($F98)&lt;Preisindex!$A$6,YEAR(EC$4)&gt;=YEAR($F98),$K98="b"),ROUND(VLOOKUP(EH$4,Preisindex,3,FALSE)/VLOOKUP(Preisindex!$A$6,Preisindex,3,FALSE),2),IF(AND($E98&lt;&gt;0,$F98&gt;0,YEAR($F98)&lt;Preisindex!$A$6,YEAR(EC$4)&gt;=YEAR($F98),$K98="g"),ROUND(VLOOKUP(EH$4,Preisindex,4,FALSE)/VLOOKUP(Preisindex!$A$6,Preisindex,4,FALSE),2),IF(AND($E98&lt;&gt;0,$F98&gt;0,YEAR($F98)&lt;Preisindex!$A$6,YEAR(EC$4)&gt;=YEAR($F98),$K98="k"),ROUND(VLOOKUP(EH$4,Preisindex,2,FALSE)/VLOOKUP(Preisindex!$A$6,Preisindex,2,FALSE),2),0)))))</f>
        <v>0</v>
      </c>
      <c r="EJ98" s="51">
        <f>IF(AND($E98&lt;&gt;0,$F98&gt;0,YEAR($F98)&lt;=EH$4,YEAR($F98)&gt;=Preisindex!$A$6),ROUND($E98*EH98,2),IF(AND($E98&lt;&gt;0,$F98&gt;0,YEAR($F98)&lt;=EH$4,YEAR($F98)&lt;Preisindex!$A$6),ROUND($E98*EI98,2),0))</f>
        <v>0</v>
      </c>
      <c r="EK98" s="53">
        <f t="shared" si="410"/>
        <v>0</v>
      </c>
      <c r="EL98" s="51">
        <f t="shared" si="447"/>
        <v>0</v>
      </c>
      <c r="EM98" s="51">
        <f t="shared" si="478"/>
        <v>0</v>
      </c>
      <c r="EN98" s="51">
        <f t="shared" si="411"/>
        <v>0</v>
      </c>
      <c r="EO98" s="51">
        <f t="shared" si="479"/>
        <v>0</v>
      </c>
      <c r="EP98" s="51">
        <f t="shared" si="412"/>
        <v>0</v>
      </c>
      <c r="EQ98" s="51">
        <f t="shared" si="480"/>
        <v>0</v>
      </c>
      <c r="ER98" s="51">
        <f t="shared" si="413"/>
        <v>0</v>
      </c>
      <c r="ES98" s="51">
        <f t="shared" si="481"/>
        <v>0</v>
      </c>
      <c r="ET98" s="51">
        <f t="shared" si="414"/>
        <v>0</v>
      </c>
      <c r="EU98" s="51">
        <f t="shared" si="482"/>
        <v>0</v>
      </c>
      <c r="EV98" s="51">
        <f t="shared" si="415"/>
        <v>0</v>
      </c>
      <c r="EW98" s="54">
        <f t="shared" si="416"/>
        <v>0</v>
      </c>
      <c r="EX98" s="55">
        <f t="shared" si="417"/>
        <v>0</v>
      </c>
      <c r="EY98" s="56">
        <f>IF(AND($E98&lt;&gt;0,$F98&gt;0,YEAR($F98)&gt;=Preisindex!$A$6,YEAR(ET$4)&gt;=YEAR($F98),AND($K98&lt;&gt;"a",$K98&lt;&gt;"b",$K98&lt;&gt;"g",$K98&lt;&gt;"k")),1,IF(AND($E98&lt;&gt;0,$F98&gt;0,YEAR($F98)&gt;=Preisindex!$A$6,YEAR(ET$4)&gt;=YEAR($F98),$K98="a"),ROUND(VLOOKUP(EY$4,Preisindex,5,FALSE)/VLOOKUP(YEAR($F98),Preisindex,5,FALSE),2),IF(AND($E98&lt;&gt;0,$F98&gt;0,YEAR($F98)&gt;=Preisindex!$A$6,YEAR(ET$4)&gt;=YEAR($F98),$K98="b"),ROUND(VLOOKUP(EY$4,Preisindex,3,FALSE)/VLOOKUP(YEAR($F98),Preisindex,3,FALSE),2),IF(AND($E98&lt;&gt;0,$F98&gt;0,YEAR($F98)&gt;=Preisindex!$A$6,YEAR(ET$4)&gt;=YEAR($F98),$K98="g"),ROUND(VLOOKUP(EY$4,Preisindex,4,FALSE)/VLOOKUP(YEAR($F98),Preisindex,4,FALSE),2),IF(AND($E98&lt;&gt;0,$F98&gt;0,YEAR($F98)&gt;=Preisindex!$A$6,YEAR(ET$4)&gt;=YEAR($F98),$K98="k"),ROUND(VLOOKUP(EY$4,Preisindex,2,FALSE)/VLOOKUP(YEAR($F98),Preisindex,2,FALSE),2),0)))))</f>
        <v>0</v>
      </c>
      <c r="EZ98" s="56">
        <f>IF(AND($E98&lt;&gt;0,$F98&gt;0,YEAR($F98)&lt;Preisindex!$A$6,YEAR(ET$4)&gt;=YEAR($F98),AND($K98&lt;&gt;"a",$K98&lt;&gt;"b",$K98&lt;&gt;"g",$K98&lt;&gt;"k")),1,IF(AND($E98&lt;&gt;0,$F98&gt;0,YEAR($F98)&lt;Preisindex!$A$6,YEAR(ET$4)&gt;=YEAR($F98),$K98="a"),ROUND(VLOOKUP(EY$4,Preisindex,5,FALSE)/VLOOKUP(Preisindex!$A$6,Preisindex,5,FALSE),2),IF(AND($E98&lt;&gt;0,$F98&gt;0,YEAR($F98)&lt;Preisindex!$A$6,YEAR(ET$4)&gt;=YEAR($F98),$K98="b"),ROUND(VLOOKUP(EY$4,Preisindex,3,FALSE)/VLOOKUP(Preisindex!$A$6,Preisindex,3,FALSE),2),IF(AND($E98&lt;&gt;0,$F98&gt;0,YEAR($F98)&lt;Preisindex!$A$6,YEAR(ET$4)&gt;=YEAR($F98),$K98="g"),ROUND(VLOOKUP(EY$4,Preisindex,4,FALSE)/VLOOKUP(Preisindex!$A$6,Preisindex,4,FALSE),2),IF(AND($E98&lt;&gt;0,$F98&gt;0,YEAR($F98)&lt;Preisindex!$A$6,YEAR(ET$4)&gt;=YEAR($F98),$K98="k"),ROUND(VLOOKUP(EY$4,Preisindex,2,FALSE)/VLOOKUP(Preisindex!$A$6,Preisindex,2,FALSE),2),0)))))</f>
        <v>0</v>
      </c>
      <c r="FA98" s="51">
        <f>IF(AND($E98&lt;&gt;0,$F98&gt;0,YEAR($F98)&lt;=EY$4,YEAR($F98)&gt;=Preisindex!$A$6),ROUND($E98*EY98,2),IF(AND($E98&lt;&gt;0,$F98&gt;0,YEAR($F98)&lt;=EY$4,YEAR($F98)&lt;Preisindex!$A$6),ROUND($E98*EZ98,2),0))</f>
        <v>0</v>
      </c>
      <c r="FB98" s="53">
        <f t="shared" si="418"/>
        <v>0</v>
      </c>
      <c r="FC98" s="51">
        <f t="shared" si="447"/>
        <v>0</v>
      </c>
      <c r="FD98" s="51">
        <f t="shared" si="483"/>
        <v>0</v>
      </c>
      <c r="FE98" s="51">
        <f t="shared" si="419"/>
        <v>0</v>
      </c>
      <c r="FF98" s="51">
        <f t="shared" si="484"/>
        <v>0</v>
      </c>
      <c r="FG98" s="51">
        <f t="shared" si="420"/>
        <v>0</v>
      </c>
      <c r="FH98" s="51">
        <f t="shared" si="485"/>
        <v>0</v>
      </c>
      <c r="FI98" s="51">
        <f t="shared" si="421"/>
        <v>0</v>
      </c>
      <c r="FJ98" s="51">
        <f t="shared" si="486"/>
        <v>0</v>
      </c>
      <c r="FK98" s="51">
        <f t="shared" si="422"/>
        <v>0</v>
      </c>
      <c r="FL98" s="51">
        <f t="shared" si="487"/>
        <v>0</v>
      </c>
      <c r="FM98" s="51">
        <f t="shared" si="423"/>
        <v>0</v>
      </c>
      <c r="FN98" s="54">
        <f t="shared" si="424"/>
        <v>0</v>
      </c>
      <c r="FO98" s="55">
        <f t="shared" si="425"/>
        <v>0</v>
      </c>
      <c r="FP98" s="56">
        <f>IF(AND($E98&lt;&gt;0,$F98&gt;0,YEAR($F98)&gt;=Preisindex!$A$6,YEAR(FK$4)&gt;=YEAR($F98),AND($K98&lt;&gt;"a",$K98&lt;&gt;"b",$K98&lt;&gt;"g",$K98&lt;&gt;"k")),1,IF(AND($E98&lt;&gt;0,$F98&gt;0,YEAR($F98)&gt;=Preisindex!$A$6,YEAR(FK$4)&gt;=YEAR($F98),$K98="a"),ROUND(VLOOKUP(FP$4,Preisindex,5,FALSE)/VLOOKUP(YEAR($F98),Preisindex,5,FALSE),2),IF(AND($E98&lt;&gt;0,$F98&gt;0,YEAR($F98)&gt;=Preisindex!$A$6,YEAR(FK$4)&gt;=YEAR($F98),$K98="b"),ROUND(VLOOKUP(FP$4,Preisindex,3,FALSE)/VLOOKUP(YEAR($F98),Preisindex,3,FALSE),2),IF(AND($E98&lt;&gt;0,$F98&gt;0,YEAR($F98)&gt;=Preisindex!$A$6,YEAR(FK$4)&gt;=YEAR($F98),$K98="g"),ROUND(VLOOKUP(FP$4,Preisindex,4,FALSE)/VLOOKUP(YEAR($F98),Preisindex,4,FALSE),2),IF(AND($E98&lt;&gt;0,$F98&gt;0,YEAR($F98)&gt;=Preisindex!$A$6,YEAR(FK$4)&gt;=YEAR($F98),$K98="k"),ROUND(VLOOKUP(FP$4,Preisindex,2,FALSE)/VLOOKUP(YEAR($F98),Preisindex,2,FALSE),2),0)))))</f>
        <v>0</v>
      </c>
      <c r="FQ98" s="56">
        <f>IF(AND($E98&lt;&gt;0,$F98&gt;0,YEAR($F98)&lt;Preisindex!$A$6,YEAR(FK$4)&gt;=YEAR($F98),AND($K98&lt;&gt;"a",$K98&lt;&gt;"b",$K98&lt;&gt;"g",$K98&lt;&gt;"k")),1,IF(AND($E98&lt;&gt;0,$F98&gt;0,YEAR($F98)&lt;Preisindex!$A$6,YEAR(FK$4)&gt;=YEAR($F98),$K98="a"),ROUND(VLOOKUP(FP$4,Preisindex,5,FALSE)/VLOOKUP(Preisindex!$A$6,Preisindex,5,FALSE),2),IF(AND($E98&lt;&gt;0,$F98&gt;0,YEAR($F98)&lt;Preisindex!$A$6,YEAR(FK$4)&gt;=YEAR($F98),$K98="b"),ROUND(VLOOKUP(FP$4,Preisindex,3,FALSE)/VLOOKUP(Preisindex!$A$6,Preisindex,3,FALSE),2),IF(AND($E98&lt;&gt;0,$F98&gt;0,YEAR($F98)&lt;Preisindex!$A$6,YEAR(FK$4)&gt;=YEAR($F98),$K98="g"),ROUND(VLOOKUP(FP$4,Preisindex,4,FALSE)/VLOOKUP(Preisindex!$A$6,Preisindex,4,FALSE),2),IF(AND($E98&lt;&gt;0,$F98&gt;0,YEAR($F98)&lt;Preisindex!$A$6,YEAR(FK$4)&gt;=YEAR($F98),$K98="k"),ROUND(VLOOKUP(FP$4,Preisindex,2,FALSE)/VLOOKUP(Preisindex!$A$6,Preisindex,2,FALSE),2),0)))))</f>
        <v>0</v>
      </c>
      <c r="FR98" s="51">
        <f>IF(AND($E98&lt;&gt;0,$F98&gt;0,YEAR($F98)&lt;=FP$4,YEAR($F98)&gt;=Preisindex!$A$6),ROUND($E98*FP98,2),IF(AND($E98&lt;&gt;0,$F98&gt;0,YEAR($F98)&lt;=FP$4,YEAR($F98)&lt;Preisindex!$A$6),ROUND($E98*FQ98,2),0))</f>
        <v>0</v>
      </c>
      <c r="FS98" s="53">
        <f t="shared" si="426"/>
        <v>0</v>
      </c>
    </row>
    <row r="99" spans="1:175" x14ac:dyDescent="0.3">
      <c r="A99" s="93"/>
      <c r="B99" s="94"/>
      <c r="C99" s="94"/>
      <c r="D99" s="95"/>
      <c r="E99" s="99"/>
      <c r="F99" s="97"/>
      <c r="G99" s="98"/>
      <c r="H99" s="620"/>
      <c r="I99" s="621"/>
      <c r="J99" s="194"/>
      <c r="K99" s="630"/>
      <c r="L99" s="49">
        <f t="shared" si="427"/>
        <v>0</v>
      </c>
      <c r="M99" s="50">
        <f t="shared" si="428"/>
        <v>0</v>
      </c>
      <c r="N99" s="51">
        <f t="shared" si="429"/>
        <v>0</v>
      </c>
      <c r="O99" s="51"/>
      <c r="P99" s="51">
        <f t="shared" si="430"/>
        <v>0</v>
      </c>
      <c r="Q99" s="52"/>
      <c r="R99" s="52"/>
      <c r="S99" s="52"/>
      <c r="T99" s="52"/>
      <c r="U99" s="52"/>
      <c r="V99" s="53">
        <f t="shared" si="431"/>
        <v>0</v>
      </c>
      <c r="W99" s="51">
        <f t="shared" si="432"/>
        <v>0</v>
      </c>
      <c r="X99" s="51">
        <f t="shared" si="433"/>
        <v>0</v>
      </c>
      <c r="Y99" s="51">
        <f t="shared" si="434"/>
        <v>0</v>
      </c>
      <c r="Z99" s="51">
        <f t="shared" si="435"/>
        <v>0</v>
      </c>
      <c r="AA99" s="51">
        <f t="shared" si="436"/>
        <v>0</v>
      </c>
      <c r="AB99" s="51">
        <f t="shared" si="437"/>
        <v>0</v>
      </c>
      <c r="AC99" s="51">
        <f t="shared" si="438"/>
        <v>0</v>
      </c>
      <c r="AD99" s="51">
        <f t="shared" si="439"/>
        <v>0</v>
      </c>
      <c r="AE99" s="51">
        <f t="shared" si="440"/>
        <v>0</v>
      </c>
      <c r="AF99" s="51">
        <f t="shared" si="441"/>
        <v>0</v>
      </c>
      <c r="AG99" s="51">
        <f t="shared" si="442"/>
        <v>0</v>
      </c>
      <c r="AH99" s="54">
        <f t="shared" si="443"/>
        <v>0</v>
      </c>
      <c r="AI99" s="55">
        <f t="shared" si="444"/>
        <v>0</v>
      </c>
      <c r="AJ99" s="56">
        <f>IF(AND($E99&lt;&gt;0,$F99&gt;0,YEAR($F99)&gt;=Preisindex!$A$6,YEAR(AE$4)&gt;=YEAR($F99),AND($K99&lt;&gt;"a",$K99&lt;&gt;"b",$K99&lt;&gt;"g",$K99&lt;&gt;"k")),1,IF(AND($E99&lt;&gt;0,$F99&gt;0,YEAR($F99)&gt;=Preisindex!$A$6,YEAR(AE$4)&gt;=YEAR($F99),$K99="a"),ROUND(VLOOKUP(AJ$4,Preisindex,5,FALSE)/VLOOKUP(YEAR($F99),Preisindex,5,FALSE),2),IF(AND($E99&lt;&gt;0,$F99&gt;0,YEAR($F99)&gt;=Preisindex!$A$6,YEAR(AE$4)&gt;=YEAR($F99),$K99="b"),ROUND(VLOOKUP(AJ$4,Preisindex,3,FALSE)/VLOOKUP(YEAR($F99),Preisindex,3,FALSE),2),IF(AND($E99&lt;&gt;0,$F99&gt;0,YEAR($F99)&gt;=Preisindex!$A$6,YEAR(AE$4)&gt;=YEAR($F99),$K99="g"),ROUND(VLOOKUP(AJ$4,Preisindex,4,FALSE)/VLOOKUP(YEAR($F99),Preisindex,4,FALSE),2),IF(AND($E99&lt;&gt;0,$F99&gt;0,YEAR($F99)&gt;=Preisindex!$A$6,YEAR(AE$4)&gt;=YEAR($F99),$K99="k"),ROUND(VLOOKUP(AJ$4,Preisindex,2,FALSE)/VLOOKUP(YEAR($F99),Preisindex,2,FALSE),2),0)))))</f>
        <v>0</v>
      </c>
      <c r="AK99" s="56">
        <f>IF(AND($E99&lt;&gt;0,$F99&gt;0,YEAR($F99)&lt;Preisindex!$A$6,YEAR(AE$4)&gt;=YEAR($F99),AND($K99&lt;&gt;"a",$K99&lt;&gt;"b",$K99&lt;&gt;"g",$K99&lt;&gt;"k")),1,IF(AND($E99&lt;&gt;0,$F99&gt;0,YEAR($F99)&lt;Preisindex!$A$6,YEAR(AE$4)&gt;=YEAR($F99),$K99="a"),ROUND(VLOOKUP(AJ$4,Preisindex,5,FALSE)/VLOOKUP(Preisindex!$A$6,Preisindex,5,FALSE),2),IF(AND($E99&lt;&gt;0,$F99&gt;0,YEAR($F99)&lt;Preisindex!$A$6,YEAR(AE$4)&gt;=YEAR($F99),$K99="b"),ROUND(VLOOKUP(AJ$4,Preisindex,3,FALSE)/VLOOKUP(Preisindex!$A$6,Preisindex,3,FALSE),2),IF(AND($E99&lt;&gt;0,$F99&gt;0,YEAR($F99)&lt;Preisindex!$A$6,YEAR(AE$4)&gt;=YEAR($F99),$K99="g"),ROUND(VLOOKUP(AJ$4,Preisindex,4,FALSE)/VLOOKUP(Preisindex!$A$6,Preisindex,4,FALSE),2),IF(AND($E99&lt;&gt;0,$F99&gt;0,YEAR($F99)&lt;Preisindex!$A$6,YEAR(AE$4)&gt;=YEAR($F99),$K99="k"),ROUND(VLOOKUP(AJ$4,Preisindex,2,FALSE)/VLOOKUP(Preisindex!$A$6,Preisindex,2,FALSE),2),0)))))</f>
        <v>0</v>
      </c>
      <c r="AL99" s="51">
        <f>IF(AND($E99&lt;&gt;0,$F99&gt;0,YEAR($F99)&lt;=AJ$4,YEAR($F99)&gt;=Preisindex!$A$6),ROUND($E99*AJ99,2),IF(AND($E99&lt;&gt;0,$F99&gt;0,YEAR($F99)&lt;=AJ$4,YEAR($F99)&lt;Preisindex!$A$6),ROUND($E99*AK99,2),0))</f>
        <v>0</v>
      </c>
      <c r="AM99" s="53">
        <f t="shared" si="445"/>
        <v>0</v>
      </c>
      <c r="AN99" s="51">
        <f t="shared" si="446"/>
        <v>0</v>
      </c>
      <c r="AO99" s="51">
        <f t="shared" si="448"/>
        <v>0</v>
      </c>
      <c r="AP99" s="51">
        <f t="shared" si="362"/>
        <v>0</v>
      </c>
      <c r="AQ99" s="51">
        <f t="shared" si="449"/>
        <v>0</v>
      </c>
      <c r="AR99" s="51">
        <f t="shared" si="363"/>
        <v>0</v>
      </c>
      <c r="AS99" s="51">
        <f t="shared" si="450"/>
        <v>0</v>
      </c>
      <c r="AT99" s="51">
        <f t="shared" si="364"/>
        <v>0</v>
      </c>
      <c r="AU99" s="51">
        <f t="shared" si="451"/>
        <v>0</v>
      </c>
      <c r="AV99" s="51">
        <f t="shared" si="365"/>
        <v>0</v>
      </c>
      <c r="AW99" s="51">
        <f t="shared" si="452"/>
        <v>0</v>
      </c>
      <c r="AX99" s="51">
        <f t="shared" si="366"/>
        <v>0</v>
      </c>
      <c r="AY99" s="54">
        <f t="shared" si="367"/>
        <v>0</v>
      </c>
      <c r="AZ99" s="55">
        <f t="shared" si="368"/>
        <v>0</v>
      </c>
      <c r="BA99" s="56">
        <f>IF(AND($E99&lt;&gt;0,$F99&gt;0,YEAR($F99)&gt;=Preisindex!$A$6,YEAR(AV$4)&gt;=YEAR($F99),AND($K99&lt;&gt;"a",$K99&lt;&gt;"b",$K99&lt;&gt;"g",$K99&lt;&gt;"k")),1,IF(AND($E99&lt;&gt;0,$F99&gt;0,YEAR($F99)&gt;=Preisindex!$A$6,YEAR(AV$4)&gt;=YEAR($F99),$K99="a"),ROUND(VLOOKUP(BA$4,Preisindex,5,FALSE)/VLOOKUP(YEAR($F99),Preisindex,5,FALSE),2),IF(AND($E99&lt;&gt;0,$F99&gt;0,YEAR($F99)&gt;=Preisindex!$A$6,YEAR(AV$4)&gt;=YEAR($F99),$K99="b"),ROUND(VLOOKUP(BA$4,Preisindex,3,FALSE)/VLOOKUP(YEAR($F99),Preisindex,3,FALSE),2),IF(AND($E99&lt;&gt;0,$F99&gt;0,YEAR($F99)&gt;=Preisindex!$A$6,YEAR(AV$4)&gt;=YEAR($F99),$K99="g"),ROUND(VLOOKUP(BA$4,Preisindex,4,FALSE)/VLOOKUP(YEAR($F99),Preisindex,4,FALSE),2),IF(AND($E99&lt;&gt;0,$F99&gt;0,YEAR($F99)&gt;=Preisindex!$A$6,YEAR(AV$4)&gt;=YEAR($F99),$K99="k"),ROUND(VLOOKUP(BA$4,Preisindex,2,FALSE)/VLOOKUP(YEAR($F99),Preisindex,2,FALSE),2),0)))))</f>
        <v>0</v>
      </c>
      <c r="BB99" s="56">
        <f>IF(AND($E99&lt;&gt;0,$F99&gt;0,YEAR($F99)&lt;Preisindex!$A$6,YEAR(AV$4)&gt;=YEAR($F99),AND($K99&lt;&gt;"a",$K99&lt;&gt;"b",$K99&lt;&gt;"g",$K99&lt;&gt;"k")),1,IF(AND($E99&lt;&gt;0,$F99&gt;0,YEAR($F99)&lt;Preisindex!$A$6,YEAR(AV$4)&gt;=YEAR($F99),$K99="a"),ROUND(VLOOKUP(BA$4,Preisindex,5,FALSE)/VLOOKUP(Preisindex!$A$6,Preisindex,5,FALSE),2),IF(AND($E99&lt;&gt;0,$F99&gt;0,YEAR($F99)&lt;Preisindex!$A$6,YEAR(AV$4)&gt;=YEAR($F99),$K99="b"),ROUND(VLOOKUP(BA$4,Preisindex,3,FALSE)/VLOOKUP(Preisindex!$A$6,Preisindex,3,FALSE),2),IF(AND($E99&lt;&gt;0,$F99&gt;0,YEAR($F99)&lt;Preisindex!$A$6,YEAR(AV$4)&gt;=YEAR($F99),$K99="g"),ROUND(VLOOKUP(BA$4,Preisindex,4,FALSE)/VLOOKUP(Preisindex!$A$6,Preisindex,4,FALSE),2),IF(AND($E99&lt;&gt;0,$F99&gt;0,YEAR($F99)&lt;Preisindex!$A$6,YEAR(AV$4)&gt;=YEAR($F99),$K99="k"),ROUND(VLOOKUP(BA$4,Preisindex,2,FALSE)/VLOOKUP(Preisindex!$A$6,Preisindex,2,FALSE),2),0)))))</f>
        <v>0</v>
      </c>
      <c r="BC99" s="51">
        <f>IF(AND($E99&lt;&gt;0,$F99&gt;0,YEAR($F99)&lt;=BA$4,YEAR($F99)&gt;=Preisindex!$A$6),ROUND($E99*BA99,2),IF(AND($E99&lt;&gt;0,$F99&gt;0,YEAR($F99)&lt;=BA$4,YEAR($F99)&lt;Preisindex!$A$6),ROUND($E99*BB99,2),0))</f>
        <v>0</v>
      </c>
      <c r="BD99" s="53">
        <f t="shared" si="369"/>
        <v>0</v>
      </c>
      <c r="BE99" s="51">
        <f t="shared" si="446"/>
        <v>0</v>
      </c>
      <c r="BF99" s="51">
        <f t="shared" si="453"/>
        <v>0</v>
      </c>
      <c r="BG99" s="51">
        <f t="shared" si="370"/>
        <v>0</v>
      </c>
      <c r="BH99" s="51">
        <f t="shared" si="454"/>
        <v>0</v>
      </c>
      <c r="BI99" s="51">
        <f t="shared" si="371"/>
        <v>0</v>
      </c>
      <c r="BJ99" s="51">
        <f t="shared" si="455"/>
        <v>0</v>
      </c>
      <c r="BK99" s="51">
        <f t="shared" si="372"/>
        <v>0</v>
      </c>
      <c r="BL99" s="51">
        <f t="shared" si="456"/>
        <v>0</v>
      </c>
      <c r="BM99" s="51">
        <f t="shared" si="373"/>
        <v>0</v>
      </c>
      <c r="BN99" s="51">
        <f t="shared" si="457"/>
        <v>0</v>
      </c>
      <c r="BO99" s="51">
        <f t="shared" si="374"/>
        <v>0</v>
      </c>
      <c r="BP99" s="54">
        <f t="shared" si="375"/>
        <v>0</v>
      </c>
      <c r="BQ99" s="55">
        <f t="shared" si="376"/>
        <v>0</v>
      </c>
      <c r="BR99" s="56">
        <f>IF(AND($E99&lt;&gt;0,$F99&gt;0,YEAR($F99)&gt;=Preisindex!$A$6,YEAR(BM$4)&gt;=YEAR($F99),AND($K99&lt;&gt;"a",$K99&lt;&gt;"b",$K99&lt;&gt;"g",$K99&lt;&gt;"k")),1,IF(AND($E99&lt;&gt;0,$F99&gt;0,YEAR($F99)&gt;=Preisindex!$A$6,YEAR(BM$4)&gt;=YEAR($F99),$K99="a"),ROUND(VLOOKUP(BR$4,Preisindex,5,FALSE)/VLOOKUP(YEAR($F99),Preisindex,5,FALSE),2),IF(AND($E99&lt;&gt;0,$F99&gt;0,YEAR($F99)&gt;=Preisindex!$A$6,YEAR(BM$4)&gt;=YEAR($F99),$K99="b"),ROUND(VLOOKUP(BR$4,Preisindex,3,FALSE)/VLOOKUP(YEAR($F99),Preisindex,3,FALSE),2),IF(AND($E99&lt;&gt;0,$F99&gt;0,YEAR($F99)&gt;=Preisindex!$A$6,YEAR(BM$4)&gt;=YEAR($F99),$K99="g"),ROUND(VLOOKUP(BR$4,Preisindex,4,FALSE)/VLOOKUP(YEAR($F99),Preisindex,4,FALSE),2),IF(AND($E99&lt;&gt;0,$F99&gt;0,YEAR($F99)&gt;=Preisindex!$A$6,YEAR(BM$4)&gt;=YEAR($F99),$K99="k"),ROUND(VLOOKUP(BR$4,Preisindex,2,FALSE)/VLOOKUP(YEAR($F99),Preisindex,2,FALSE),2),0)))))</f>
        <v>0</v>
      </c>
      <c r="BS99" s="56">
        <f>IF(AND($E99&lt;&gt;0,$F99&gt;0,YEAR($F99)&lt;Preisindex!$A$6,YEAR(BM$4)&gt;=YEAR($F99),AND($K99&lt;&gt;"a",$K99&lt;&gt;"b",$K99&lt;&gt;"g",$K99&lt;&gt;"k")),1,IF(AND($E99&lt;&gt;0,$F99&gt;0,YEAR($F99)&lt;Preisindex!$A$6,YEAR(BM$4)&gt;=YEAR($F99),$K99="a"),ROUND(VLOOKUP(BR$4,Preisindex,5,FALSE)/VLOOKUP(Preisindex!$A$6,Preisindex,5,FALSE),2),IF(AND($E99&lt;&gt;0,$F99&gt;0,YEAR($F99)&lt;Preisindex!$A$6,YEAR(BM$4)&gt;=YEAR($F99),$K99="b"),ROUND(VLOOKUP(BR$4,Preisindex,3,FALSE)/VLOOKUP(Preisindex!$A$6,Preisindex,3,FALSE),2),IF(AND($E99&lt;&gt;0,$F99&gt;0,YEAR($F99)&lt;Preisindex!$A$6,YEAR(BM$4)&gt;=YEAR($F99),$K99="g"),ROUND(VLOOKUP(BR$4,Preisindex,4,FALSE)/VLOOKUP(Preisindex!$A$6,Preisindex,4,FALSE),2),IF(AND($E99&lt;&gt;0,$F99&gt;0,YEAR($F99)&lt;Preisindex!$A$6,YEAR(BM$4)&gt;=YEAR($F99),$K99="k"),ROUND(VLOOKUP(BR$4,Preisindex,2,FALSE)/VLOOKUP(Preisindex!$A$6,Preisindex,2,FALSE),2),0)))))</f>
        <v>0</v>
      </c>
      <c r="BT99" s="51">
        <f>IF(AND($E99&lt;&gt;0,$F99&gt;0,YEAR($F99)&lt;=BR$4,YEAR($F99)&gt;=Preisindex!$A$6),ROUND($E99*BR99,2),IF(AND($E99&lt;&gt;0,$F99&gt;0,YEAR($F99)&lt;=BR$4,YEAR($F99)&lt;Preisindex!$A$6),ROUND($E99*BS99,2),0))</f>
        <v>0</v>
      </c>
      <c r="BU99" s="53">
        <f t="shared" si="377"/>
        <v>0</v>
      </c>
      <c r="BV99" s="51">
        <f t="shared" si="446"/>
        <v>0</v>
      </c>
      <c r="BW99" s="51">
        <f t="shared" si="458"/>
        <v>0</v>
      </c>
      <c r="BX99" s="51">
        <f t="shared" si="378"/>
        <v>0</v>
      </c>
      <c r="BY99" s="51">
        <f t="shared" si="459"/>
        <v>0</v>
      </c>
      <c r="BZ99" s="51">
        <f t="shared" si="379"/>
        <v>0</v>
      </c>
      <c r="CA99" s="51">
        <f t="shared" si="460"/>
        <v>0</v>
      </c>
      <c r="CB99" s="51">
        <f t="shared" si="380"/>
        <v>0</v>
      </c>
      <c r="CC99" s="51">
        <f t="shared" si="461"/>
        <v>0</v>
      </c>
      <c r="CD99" s="51">
        <f t="shared" si="381"/>
        <v>0</v>
      </c>
      <c r="CE99" s="51">
        <f t="shared" si="462"/>
        <v>0</v>
      </c>
      <c r="CF99" s="51">
        <f t="shared" si="382"/>
        <v>0</v>
      </c>
      <c r="CG99" s="54">
        <f t="shared" si="383"/>
        <v>0</v>
      </c>
      <c r="CH99" s="55">
        <f t="shared" si="384"/>
        <v>0</v>
      </c>
      <c r="CI99" s="56">
        <f>IF(AND($E99&lt;&gt;0,$F99&gt;0,YEAR($F99)&gt;=Preisindex!$A$6,YEAR(CD$4)&gt;=YEAR($F99),AND($K99&lt;&gt;"a",$K99&lt;&gt;"b",$K99&lt;&gt;"g",$K99&lt;&gt;"k")),1,IF(AND($E99&lt;&gt;0,$F99&gt;0,YEAR($F99)&gt;=Preisindex!$A$6,YEAR(CD$4)&gt;=YEAR($F99),$K99="a"),ROUND(VLOOKUP(CI$4,Preisindex,5,FALSE)/VLOOKUP(YEAR($F99),Preisindex,5,FALSE),2),IF(AND($E99&lt;&gt;0,$F99&gt;0,YEAR($F99)&gt;=Preisindex!$A$6,YEAR(CD$4)&gt;=YEAR($F99),$K99="b"),ROUND(VLOOKUP(CI$4,Preisindex,3,FALSE)/VLOOKUP(YEAR($F99),Preisindex,3,FALSE),2),IF(AND($E99&lt;&gt;0,$F99&gt;0,YEAR($F99)&gt;=Preisindex!$A$6,YEAR(CD$4)&gt;=YEAR($F99),$K99="g"),ROUND(VLOOKUP(CI$4,Preisindex,4,FALSE)/VLOOKUP(YEAR($F99),Preisindex,4,FALSE),2),IF(AND($E99&lt;&gt;0,$F99&gt;0,YEAR($F99)&gt;=Preisindex!$A$6,YEAR(CD$4)&gt;=YEAR($F99),$K99="k"),ROUND(VLOOKUP(CI$4,Preisindex,2,FALSE)/VLOOKUP(YEAR($F99),Preisindex,2,FALSE),2),0)))))</f>
        <v>0</v>
      </c>
      <c r="CJ99" s="56">
        <f>IF(AND($E99&lt;&gt;0,$F99&gt;0,YEAR($F99)&lt;Preisindex!$A$6,YEAR(CD$4)&gt;=YEAR($F99),AND($K99&lt;&gt;"a",$K99&lt;&gt;"b",$K99&lt;&gt;"g",$K99&lt;&gt;"k")),1,IF(AND($E99&lt;&gt;0,$F99&gt;0,YEAR($F99)&lt;Preisindex!$A$6,YEAR(CD$4)&gt;=YEAR($F99),$K99="a"),ROUND(VLOOKUP(CI$4,Preisindex,5,FALSE)/VLOOKUP(Preisindex!$A$6,Preisindex,5,FALSE),2),IF(AND($E99&lt;&gt;0,$F99&gt;0,YEAR($F99)&lt;Preisindex!$A$6,YEAR(CD$4)&gt;=YEAR($F99),$K99="b"),ROUND(VLOOKUP(CI$4,Preisindex,3,FALSE)/VLOOKUP(Preisindex!$A$6,Preisindex,3,FALSE),2),IF(AND($E99&lt;&gt;0,$F99&gt;0,YEAR($F99)&lt;Preisindex!$A$6,YEAR(CD$4)&gt;=YEAR($F99),$K99="g"),ROUND(VLOOKUP(CI$4,Preisindex,4,FALSE)/VLOOKUP(Preisindex!$A$6,Preisindex,4,FALSE),2),IF(AND($E99&lt;&gt;0,$F99&gt;0,YEAR($F99)&lt;Preisindex!$A$6,YEAR(CD$4)&gt;=YEAR($F99),$K99="k"),ROUND(VLOOKUP(CI$4,Preisindex,2,FALSE)/VLOOKUP(Preisindex!$A$6,Preisindex,2,FALSE),2),0)))))</f>
        <v>0</v>
      </c>
      <c r="CK99" s="51">
        <f>IF(AND($E99&lt;&gt;0,$F99&gt;0,YEAR($F99)&lt;=CI$4,YEAR($F99)&gt;=Preisindex!$A$6),ROUND($E99*CI99,2),IF(AND($E99&lt;&gt;0,$F99&gt;0,YEAR($F99)&lt;=CI$4,YEAR($F99)&lt;Preisindex!$A$6),ROUND($E99*CJ99,2),0))</f>
        <v>0</v>
      </c>
      <c r="CL99" s="53">
        <f t="shared" si="385"/>
        <v>0</v>
      </c>
      <c r="CM99" s="51">
        <f t="shared" si="446"/>
        <v>0</v>
      </c>
      <c r="CN99" s="51">
        <f t="shared" si="463"/>
        <v>0</v>
      </c>
      <c r="CO99" s="51">
        <f t="shared" si="386"/>
        <v>0</v>
      </c>
      <c r="CP99" s="51">
        <f t="shared" si="464"/>
        <v>0</v>
      </c>
      <c r="CQ99" s="51">
        <f t="shared" si="387"/>
        <v>0</v>
      </c>
      <c r="CR99" s="51">
        <f t="shared" si="465"/>
        <v>0</v>
      </c>
      <c r="CS99" s="51">
        <f t="shared" si="388"/>
        <v>0</v>
      </c>
      <c r="CT99" s="51">
        <f t="shared" si="466"/>
        <v>0</v>
      </c>
      <c r="CU99" s="51">
        <f t="shared" si="389"/>
        <v>0</v>
      </c>
      <c r="CV99" s="51">
        <f t="shared" si="467"/>
        <v>0</v>
      </c>
      <c r="CW99" s="51">
        <f t="shared" si="390"/>
        <v>0</v>
      </c>
      <c r="CX99" s="54">
        <f t="shared" si="391"/>
        <v>0</v>
      </c>
      <c r="CY99" s="55">
        <f t="shared" si="392"/>
        <v>0</v>
      </c>
      <c r="CZ99" s="56">
        <f>IF(AND($E99&lt;&gt;0,$F99&gt;0,YEAR($F99)&gt;=Preisindex!$A$6,YEAR(CU$4)&gt;=YEAR($F99),AND($K99&lt;&gt;"a",$K99&lt;&gt;"b",$K99&lt;&gt;"g",$K99&lt;&gt;"k")),1,IF(AND($E99&lt;&gt;0,$F99&gt;0,YEAR($F99)&gt;=Preisindex!$A$6,YEAR(CU$4)&gt;=YEAR($F99),$K99="a"),ROUND(VLOOKUP(CZ$4,Preisindex,5,FALSE)/VLOOKUP(YEAR($F99),Preisindex,5,FALSE),2),IF(AND($E99&lt;&gt;0,$F99&gt;0,YEAR($F99)&gt;=Preisindex!$A$6,YEAR(CU$4)&gt;=YEAR($F99),$K99="b"),ROUND(VLOOKUP(CZ$4,Preisindex,3,FALSE)/VLOOKUP(YEAR($F99),Preisindex,3,FALSE),2),IF(AND($E99&lt;&gt;0,$F99&gt;0,YEAR($F99)&gt;=Preisindex!$A$6,YEAR(CU$4)&gt;=YEAR($F99),$K99="g"),ROUND(VLOOKUP(CZ$4,Preisindex,4,FALSE)/VLOOKUP(YEAR($F99),Preisindex,4,FALSE),2),IF(AND($E99&lt;&gt;0,$F99&gt;0,YEAR($F99)&gt;=Preisindex!$A$6,YEAR(CU$4)&gt;=YEAR($F99),$K99="k"),ROUND(VLOOKUP(CZ$4,Preisindex,2,FALSE)/VLOOKUP(YEAR($F99),Preisindex,2,FALSE),2),0)))))</f>
        <v>0</v>
      </c>
      <c r="DA99" s="56">
        <f>IF(AND($E99&lt;&gt;0,$F99&gt;0,YEAR($F99)&lt;Preisindex!$A$6,YEAR(CU$4)&gt;=YEAR($F99),AND($K99&lt;&gt;"a",$K99&lt;&gt;"b",$K99&lt;&gt;"g",$K99&lt;&gt;"k")),1,IF(AND($E99&lt;&gt;0,$F99&gt;0,YEAR($F99)&lt;Preisindex!$A$6,YEAR(CU$4)&gt;=YEAR($F99),$K99="a"),ROUND(VLOOKUP(CZ$4,Preisindex,5,FALSE)/VLOOKUP(Preisindex!$A$6,Preisindex,5,FALSE),2),IF(AND($E99&lt;&gt;0,$F99&gt;0,YEAR($F99)&lt;Preisindex!$A$6,YEAR(CU$4)&gt;=YEAR($F99),$K99="b"),ROUND(VLOOKUP(CZ$4,Preisindex,3,FALSE)/VLOOKUP(Preisindex!$A$6,Preisindex,3,FALSE),2),IF(AND($E99&lt;&gt;0,$F99&gt;0,YEAR($F99)&lt;Preisindex!$A$6,YEAR(CU$4)&gt;=YEAR($F99),$K99="g"),ROUND(VLOOKUP(CZ$4,Preisindex,4,FALSE)/VLOOKUP(Preisindex!$A$6,Preisindex,4,FALSE),2),IF(AND($E99&lt;&gt;0,$F99&gt;0,YEAR($F99)&lt;Preisindex!$A$6,YEAR(CU$4)&gt;=YEAR($F99),$K99="k"),ROUND(VLOOKUP(CZ$4,Preisindex,2,FALSE)/VLOOKUP(Preisindex!$A$6,Preisindex,2,FALSE),2),0)))))</f>
        <v>0</v>
      </c>
      <c r="DB99" s="51">
        <f>IF(AND($E99&lt;&gt;0,$F99&gt;0,YEAR($F99)&lt;=CZ$4,YEAR($F99)&gt;=Preisindex!$A$6),ROUND($E99*CZ99,2),IF(AND($E99&lt;&gt;0,$F99&gt;0,YEAR($F99)&lt;=CZ$4,YEAR($F99)&lt;Preisindex!$A$6),ROUND($E99*DA99,2),0))</f>
        <v>0</v>
      </c>
      <c r="DC99" s="53">
        <f t="shared" si="393"/>
        <v>0</v>
      </c>
      <c r="DD99" s="51">
        <f t="shared" si="447"/>
        <v>0</v>
      </c>
      <c r="DE99" s="51">
        <f t="shared" si="468"/>
        <v>0</v>
      </c>
      <c r="DF99" s="51">
        <f t="shared" si="395"/>
        <v>0</v>
      </c>
      <c r="DG99" s="51">
        <f t="shared" si="469"/>
        <v>0</v>
      </c>
      <c r="DH99" s="51">
        <f t="shared" si="396"/>
        <v>0</v>
      </c>
      <c r="DI99" s="51">
        <f t="shared" si="470"/>
        <v>0</v>
      </c>
      <c r="DJ99" s="51">
        <f t="shared" si="397"/>
        <v>0</v>
      </c>
      <c r="DK99" s="51">
        <f t="shared" si="471"/>
        <v>0</v>
      </c>
      <c r="DL99" s="51">
        <f t="shared" si="398"/>
        <v>0</v>
      </c>
      <c r="DM99" s="51">
        <f t="shared" si="472"/>
        <v>0</v>
      </c>
      <c r="DN99" s="51">
        <f t="shared" si="399"/>
        <v>0</v>
      </c>
      <c r="DO99" s="54">
        <f t="shared" si="400"/>
        <v>0</v>
      </c>
      <c r="DP99" s="55">
        <f t="shared" si="401"/>
        <v>0</v>
      </c>
      <c r="DQ99" s="56">
        <f>IF(AND($E99&lt;&gt;0,$F99&gt;0,YEAR($F99)&gt;=Preisindex!$A$6,YEAR(DL$4)&gt;=YEAR($F99),AND($K99&lt;&gt;"a",$K99&lt;&gt;"b",$K99&lt;&gt;"g",$K99&lt;&gt;"k")),1,IF(AND($E99&lt;&gt;0,$F99&gt;0,YEAR($F99)&gt;=Preisindex!$A$6,YEAR(DL$4)&gt;=YEAR($F99),$K99="a"),ROUND(VLOOKUP(DQ$4,Preisindex,5,FALSE)/VLOOKUP(YEAR($F99),Preisindex,5,FALSE),2),IF(AND($E99&lt;&gt;0,$F99&gt;0,YEAR($F99)&gt;=Preisindex!$A$6,YEAR(DL$4)&gt;=YEAR($F99),$K99="b"),ROUND(VLOOKUP(DQ$4,Preisindex,3,FALSE)/VLOOKUP(YEAR($F99),Preisindex,3,FALSE),2),IF(AND($E99&lt;&gt;0,$F99&gt;0,YEAR($F99)&gt;=Preisindex!$A$6,YEAR(DL$4)&gt;=YEAR($F99),$K99="g"),ROUND(VLOOKUP(DQ$4,Preisindex,4,FALSE)/VLOOKUP(YEAR($F99),Preisindex,4,FALSE),2),IF(AND($E99&lt;&gt;0,$F99&gt;0,YEAR($F99)&gt;=Preisindex!$A$6,YEAR(DL$4)&gt;=YEAR($F99),$K99="k"),ROUND(VLOOKUP(DQ$4,Preisindex,2,FALSE)/VLOOKUP(YEAR($F99),Preisindex,2,FALSE),2),0)))))</f>
        <v>0</v>
      </c>
      <c r="DR99" s="56">
        <f>IF(AND($E99&lt;&gt;0,$F99&gt;0,YEAR($F99)&lt;Preisindex!$A$6,YEAR(DL$4)&gt;=YEAR($F99),AND($K99&lt;&gt;"a",$K99&lt;&gt;"b",$K99&lt;&gt;"g",$K99&lt;&gt;"k")),1,IF(AND($E99&lt;&gt;0,$F99&gt;0,YEAR($F99)&lt;Preisindex!$A$6,YEAR(DL$4)&gt;=YEAR($F99),$K99="a"),ROUND(VLOOKUP(DQ$4,Preisindex,5,FALSE)/VLOOKUP(Preisindex!$A$6,Preisindex,5,FALSE),2),IF(AND($E99&lt;&gt;0,$F99&gt;0,YEAR($F99)&lt;Preisindex!$A$6,YEAR(DL$4)&gt;=YEAR($F99),$K99="b"),ROUND(VLOOKUP(DQ$4,Preisindex,3,FALSE)/VLOOKUP(Preisindex!$A$6,Preisindex,3,FALSE),2),IF(AND($E99&lt;&gt;0,$F99&gt;0,YEAR($F99)&lt;Preisindex!$A$6,YEAR(DL$4)&gt;=YEAR($F99),$K99="g"),ROUND(VLOOKUP(DQ$4,Preisindex,4,FALSE)/VLOOKUP(Preisindex!$A$6,Preisindex,4,FALSE),2),IF(AND($E99&lt;&gt;0,$F99&gt;0,YEAR($F99)&lt;Preisindex!$A$6,YEAR(DL$4)&gt;=YEAR($F99),$K99="k"),ROUND(VLOOKUP(DQ$4,Preisindex,2,FALSE)/VLOOKUP(Preisindex!$A$6,Preisindex,2,FALSE),2),0)))))</f>
        <v>0</v>
      </c>
      <c r="DS99" s="51">
        <f>IF(AND($E99&lt;&gt;0,$F99&gt;0,YEAR($F99)&lt;=DQ$4,YEAR($F99)&gt;=Preisindex!$A$6),ROUND($E99*DQ99,2),IF(AND($E99&lt;&gt;0,$F99&gt;0,YEAR($F99)&lt;=DQ$4,YEAR($F99)&lt;Preisindex!$A$6),ROUND($E99*DR99,2),0))</f>
        <v>0</v>
      </c>
      <c r="DT99" s="53">
        <f t="shared" si="402"/>
        <v>0</v>
      </c>
      <c r="DU99" s="51">
        <f t="shared" si="447"/>
        <v>0</v>
      </c>
      <c r="DV99" s="51">
        <f t="shared" si="473"/>
        <v>0</v>
      </c>
      <c r="DW99" s="51">
        <f t="shared" si="403"/>
        <v>0</v>
      </c>
      <c r="DX99" s="51">
        <f t="shared" si="474"/>
        <v>0</v>
      </c>
      <c r="DY99" s="51">
        <f t="shared" si="404"/>
        <v>0</v>
      </c>
      <c r="DZ99" s="51">
        <f t="shared" si="475"/>
        <v>0</v>
      </c>
      <c r="EA99" s="51">
        <f t="shared" si="405"/>
        <v>0</v>
      </c>
      <c r="EB99" s="51">
        <f t="shared" si="476"/>
        <v>0</v>
      </c>
      <c r="EC99" s="51">
        <f t="shared" si="406"/>
        <v>0</v>
      </c>
      <c r="ED99" s="51">
        <f t="shared" si="477"/>
        <v>0</v>
      </c>
      <c r="EE99" s="51">
        <f t="shared" si="407"/>
        <v>0</v>
      </c>
      <c r="EF99" s="54">
        <f t="shared" si="408"/>
        <v>0</v>
      </c>
      <c r="EG99" s="55">
        <f t="shared" si="409"/>
        <v>0</v>
      </c>
      <c r="EH99" s="56">
        <f>IF(AND($E99&lt;&gt;0,$F99&gt;0,YEAR($F99)&gt;=Preisindex!$A$6,YEAR(EC$4)&gt;=YEAR($F99),AND($K99&lt;&gt;"a",$K99&lt;&gt;"b",$K99&lt;&gt;"g",$K99&lt;&gt;"k")),1,IF(AND($E99&lt;&gt;0,$F99&gt;0,YEAR($F99)&gt;=Preisindex!$A$6,YEAR(EC$4)&gt;=YEAR($F99),$K99="a"),ROUND(VLOOKUP(EH$4,Preisindex,5,FALSE)/VLOOKUP(YEAR($F99),Preisindex,5,FALSE),2),IF(AND($E99&lt;&gt;0,$F99&gt;0,YEAR($F99)&gt;=Preisindex!$A$6,YEAR(EC$4)&gt;=YEAR($F99),$K99="b"),ROUND(VLOOKUP(EH$4,Preisindex,3,FALSE)/VLOOKUP(YEAR($F99),Preisindex,3,FALSE),2),IF(AND($E99&lt;&gt;0,$F99&gt;0,YEAR($F99)&gt;=Preisindex!$A$6,YEAR(EC$4)&gt;=YEAR($F99),$K99="g"),ROUND(VLOOKUP(EH$4,Preisindex,4,FALSE)/VLOOKUP(YEAR($F99),Preisindex,4,FALSE),2),IF(AND($E99&lt;&gt;0,$F99&gt;0,YEAR($F99)&gt;=Preisindex!$A$6,YEAR(EC$4)&gt;=YEAR($F99),$K99="k"),ROUND(VLOOKUP(EH$4,Preisindex,2,FALSE)/VLOOKUP(YEAR($F99),Preisindex,2,FALSE),2),0)))))</f>
        <v>0</v>
      </c>
      <c r="EI99" s="56">
        <f>IF(AND($E99&lt;&gt;0,$F99&gt;0,YEAR($F99)&lt;Preisindex!$A$6,YEAR(EC$4)&gt;=YEAR($F99),AND($K99&lt;&gt;"a",$K99&lt;&gt;"b",$K99&lt;&gt;"g",$K99&lt;&gt;"k")),1,IF(AND($E99&lt;&gt;0,$F99&gt;0,YEAR($F99)&lt;Preisindex!$A$6,YEAR(EC$4)&gt;=YEAR($F99),$K99="a"),ROUND(VLOOKUP(EH$4,Preisindex,5,FALSE)/VLOOKUP(Preisindex!$A$6,Preisindex,5,FALSE),2),IF(AND($E99&lt;&gt;0,$F99&gt;0,YEAR($F99)&lt;Preisindex!$A$6,YEAR(EC$4)&gt;=YEAR($F99),$K99="b"),ROUND(VLOOKUP(EH$4,Preisindex,3,FALSE)/VLOOKUP(Preisindex!$A$6,Preisindex,3,FALSE),2),IF(AND($E99&lt;&gt;0,$F99&gt;0,YEAR($F99)&lt;Preisindex!$A$6,YEAR(EC$4)&gt;=YEAR($F99),$K99="g"),ROUND(VLOOKUP(EH$4,Preisindex,4,FALSE)/VLOOKUP(Preisindex!$A$6,Preisindex,4,FALSE),2),IF(AND($E99&lt;&gt;0,$F99&gt;0,YEAR($F99)&lt;Preisindex!$A$6,YEAR(EC$4)&gt;=YEAR($F99),$K99="k"),ROUND(VLOOKUP(EH$4,Preisindex,2,FALSE)/VLOOKUP(Preisindex!$A$6,Preisindex,2,FALSE),2),0)))))</f>
        <v>0</v>
      </c>
      <c r="EJ99" s="51">
        <f>IF(AND($E99&lt;&gt;0,$F99&gt;0,YEAR($F99)&lt;=EH$4,YEAR($F99)&gt;=Preisindex!$A$6),ROUND($E99*EH99,2),IF(AND($E99&lt;&gt;0,$F99&gt;0,YEAR($F99)&lt;=EH$4,YEAR($F99)&lt;Preisindex!$A$6),ROUND($E99*EI99,2),0))</f>
        <v>0</v>
      </c>
      <c r="EK99" s="53">
        <f t="shared" si="410"/>
        <v>0</v>
      </c>
      <c r="EL99" s="51">
        <f t="shared" si="447"/>
        <v>0</v>
      </c>
      <c r="EM99" s="51">
        <f t="shared" si="478"/>
        <v>0</v>
      </c>
      <c r="EN99" s="51">
        <f t="shared" si="411"/>
        <v>0</v>
      </c>
      <c r="EO99" s="51">
        <f t="shared" si="479"/>
        <v>0</v>
      </c>
      <c r="EP99" s="51">
        <f t="shared" si="412"/>
        <v>0</v>
      </c>
      <c r="EQ99" s="51">
        <f t="shared" si="480"/>
        <v>0</v>
      </c>
      <c r="ER99" s="51">
        <f t="shared" si="413"/>
        <v>0</v>
      </c>
      <c r="ES99" s="51">
        <f t="shared" si="481"/>
        <v>0</v>
      </c>
      <c r="ET99" s="51">
        <f t="shared" si="414"/>
        <v>0</v>
      </c>
      <c r="EU99" s="51">
        <f t="shared" si="482"/>
        <v>0</v>
      </c>
      <c r="EV99" s="51">
        <f t="shared" si="415"/>
        <v>0</v>
      </c>
      <c r="EW99" s="54">
        <f t="shared" si="416"/>
        <v>0</v>
      </c>
      <c r="EX99" s="55">
        <f t="shared" si="417"/>
        <v>0</v>
      </c>
      <c r="EY99" s="56">
        <f>IF(AND($E99&lt;&gt;0,$F99&gt;0,YEAR($F99)&gt;=Preisindex!$A$6,YEAR(ET$4)&gt;=YEAR($F99),AND($K99&lt;&gt;"a",$K99&lt;&gt;"b",$K99&lt;&gt;"g",$K99&lt;&gt;"k")),1,IF(AND($E99&lt;&gt;0,$F99&gt;0,YEAR($F99)&gt;=Preisindex!$A$6,YEAR(ET$4)&gt;=YEAR($F99),$K99="a"),ROUND(VLOOKUP(EY$4,Preisindex,5,FALSE)/VLOOKUP(YEAR($F99),Preisindex,5,FALSE),2),IF(AND($E99&lt;&gt;0,$F99&gt;0,YEAR($F99)&gt;=Preisindex!$A$6,YEAR(ET$4)&gt;=YEAR($F99),$K99="b"),ROUND(VLOOKUP(EY$4,Preisindex,3,FALSE)/VLOOKUP(YEAR($F99),Preisindex,3,FALSE),2),IF(AND($E99&lt;&gt;0,$F99&gt;0,YEAR($F99)&gt;=Preisindex!$A$6,YEAR(ET$4)&gt;=YEAR($F99),$K99="g"),ROUND(VLOOKUP(EY$4,Preisindex,4,FALSE)/VLOOKUP(YEAR($F99),Preisindex,4,FALSE),2),IF(AND($E99&lt;&gt;0,$F99&gt;0,YEAR($F99)&gt;=Preisindex!$A$6,YEAR(ET$4)&gt;=YEAR($F99),$K99="k"),ROUND(VLOOKUP(EY$4,Preisindex,2,FALSE)/VLOOKUP(YEAR($F99),Preisindex,2,FALSE),2),0)))))</f>
        <v>0</v>
      </c>
      <c r="EZ99" s="56">
        <f>IF(AND($E99&lt;&gt;0,$F99&gt;0,YEAR($F99)&lt;Preisindex!$A$6,YEAR(ET$4)&gt;=YEAR($F99),AND($K99&lt;&gt;"a",$K99&lt;&gt;"b",$K99&lt;&gt;"g",$K99&lt;&gt;"k")),1,IF(AND($E99&lt;&gt;0,$F99&gt;0,YEAR($F99)&lt;Preisindex!$A$6,YEAR(ET$4)&gt;=YEAR($F99),$K99="a"),ROUND(VLOOKUP(EY$4,Preisindex,5,FALSE)/VLOOKUP(Preisindex!$A$6,Preisindex,5,FALSE),2),IF(AND($E99&lt;&gt;0,$F99&gt;0,YEAR($F99)&lt;Preisindex!$A$6,YEAR(ET$4)&gt;=YEAR($F99),$K99="b"),ROUND(VLOOKUP(EY$4,Preisindex,3,FALSE)/VLOOKUP(Preisindex!$A$6,Preisindex,3,FALSE),2),IF(AND($E99&lt;&gt;0,$F99&gt;0,YEAR($F99)&lt;Preisindex!$A$6,YEAR(ET$4)&gt;=YEAR($F99),$K99="g"),ROUND(VLOOKUP(EY$4,Preisindex,4,FALSE)/VLOOKUP(Preisindex!$A$6,Preisindex,4,FALSE),2),IF(AND($E99&lt;&gt;0,$F99&gt;0,YEAR($F99)&lt;Preisindex!$A$6,YEAR(ET$4)&gt;=YEAR($F99),$K99="k"),ROUND(VLOOKUP(EY$4,Preisindex,2,FALSE)/VLOOKUP(Preisindex!$A$6,Preisindex,2,FALSE),2),0)))))</f>
        <v>0</v>
      </c>
      <c r="FA99" s="51">
        <f>IF(AND($E99&lt;&gt;0,$F99&gt;0,YEAR($F99)&lt;=EY$4,YEAR($F99)&gt;=Preisindex!$A$6),ROUND($E99*EY99,2),IF(AND($E99&lt;&gt;0,$F99&gt;0,YEAR($F99)&lt;=EY$4,YEAR($F99)&lt;Preisindex!$A$6),ROUND($E99*EZ99,2),0))</f>
        <v>0</v>
      </c>
      <c r="FB99" s="53">
        <f t="shared" si="418"/>
        <v>0</v>
      </c>
      <c r="FC99" s="51">
        <f t="shared" si="447"/>
        <v>0</v>
      </c>
      <c r="FD99" s="51">
        <f t="shared" si="483"/>
        <v>0</v>
      </c>
      <c r="FE99" s="51">
        <f t="shared" si="419"/>
        <v>0</v>
      </c>
      <c r="FF99" s="51">
        <f t="shared" si="484"/>
        <v>0</v>
      </c>
      <c r="FG99" s="51">
        <f t="shared" si="420"/>
        <v>0</v>
      </c>
      <c r="FH99" s="51">
        <f t="shared" si="485"/>
        <v>0</v>
      </c>
      <c r="FI99" s="51">
        <f t="shared" si="421"/>
        <v>0</v>
      </c>
      <c r="FJ99" s="51">
        <f t="shared" si="486"/>
        <v>0</v>
      </c>
      <c r="FK99" s="51">
        <f t="shared" si="422"/>
        <v>0</v>
      </c>
      <c r="FL99" s="51">
        <f t="shared" si="487"/>
        <v>0</v>
      </c>
      <c r="FM99" s="51">
        <f t="shared" si="423"/>
        <v>0</v>
      </c>
      <c r="FN99" s="54">
        <f t="shared" si="424"/>
        <v>0</v>
      </c>
      <c r="FO99" s="55">
        <f t="shared" si="425"/>
        <v>0</v>
      </c>
      <c r="FP99" s="56">
        <f>IF(AND($E99&lt;&gt;0,$F99&gt;0,YEAR($F99)&gt;=Preisindex!$A$6,YEAR(FK$4)&gt;=YEAR($F99),AND($K99&lt;&gt;"a",$K99&lt;&gt;"b",$K99&lt;&gt;"g",$K99&lt;&gt;"k")),1,IF(AND($E99&lt;&gt;0,$F99&gt;0,YEAR($F99)&gt;=Preisindex!$A$6,YEAR(FK$4)&gt;=YEAR($F99),$K99="a"),ROUND(VLOOKUP(FP$4,Preisindex,5,FALSE)/VLOOKUP(YEAR($F99),Preisindex,5,FALSE),2),IF(AND($E99&lt;&gt;0,$F99&gt;0,YEAR($F99)&gt;=Preisindex!$A$6,YEAR(FK$4)&gt;=YEAR($F99),$K99="b"),ROUND(VLOOKUP(FP$4,Preisindex,3,FALSE)/VLOOKUP(YEAR($F99),Preisindex,3,FALSE),2),IF(AND($E99&lt;&gt;0,$F99&gt;0,YEAR($F99)&gt;=Preisindex!$A$6,YEAR(FK$4)&gt;=YEAR($F99),$K99="g"),ROUND(VLOOKUP(FP$4,Preisindex,4,FALSE)/VLOOKUP(YEAR($F99),Preisindex,4,FALSE),2),IF(AND($E99&lt;&gt;0,$F99&gt;0,YEAR($F99)&gt;=Preisindex!$A$6,YEAR(FK$4)&gt;=YEAR($F99),$K99="k"),ROUND(VLOOKUP(FP$4,Preisindex,2,FALSE)/VLOOKUP(YEAR($F99),Preisindex,2,FALSE),2),0)))))</f>
        <v>0</v>
      </c>
      <c r="FQ99" s="56">
        <f>IF(AND($E99&lt;&gt;0,$F99&gt;0,YEAR($F99)&lt;Preisindex!$A$6,YEAR(FK$4)&gt;=YEAR($F99),AND($K99&lt;&gt;"a",$K99&lt;&gt;"b",$K99&lt;&gt;"g",$K99&lt;&gt;"k")),1,IF(AND($E99&lt;&gt;0,$F99&gt;0,YEAR($F99)&lt;Preisindex!$A$6,YEAR(FK$4)&gt;=YEAR($F99),$K99="a"),ROUND(VLOOKUP(FP$4,Preisindex,5,FALSE)/VLOOKUP(Preisindex!$A$6,Preisindex,5,FALSE),2),IF(AND($E99&lt;&gt;0,$F99&gt;0,YEAR($F99)&lt;Preisindex!$A$6,YEAR(FK$4)&gt;=YEAR($F99),$K99="b"),ROUND(VLOOKUP(FP$4,Preisindex,3,FALSE)/VLOOKUP(Preisindex!$A$6,Preisindex,3,FALSE),2),IF(AND($E99&lt;&gt;0,$F99&gt;0,YEAR($F99)&lt;Preisindex!$A$6,YEAR(FK$4)&gt;=YEAR($F99),$K99="g"),ROUND(VLOOKUP(FP$4,Preisindex,4,FALSE)/VLOOKUP(Preisindex!$A$6,Preisindex,4,FALSE),2),IF(AND($E99&lt;&gt;0,$F99&gt;0,YEAR($F99)&lt;Preisindex!$A$6,YEAR(FK$4)&gt;=YEAR($F99),$K99="k"),ROUND(VLOOKUP(FP$4,Preisindex,2,FALSE)/VLOOKUP(Preisindex!$A$6,Preisindex,2,FALSE),2),0)))))</f>
        <v>0</v>
      </c>
      <c r="FR99" s="51">
        <f>IF(AND($E99&lt;&gt;0,$F99&gt;0,YEAR($F99)&lt;=FP$4,YEAR($F99)&gt;=Preisindex!$A$6),ROUND($E99*FP99,2),IF(AND($E99&lt;&gt;0,$F99&gt;0,YEAR($F99)&lt;=FP$4,YEAR($F99)&lt;Preisindex!$A$6),ROUND($E99*FQ99,2),0))</f>
        <v>0</v>
      </c>
      <c r="FS99" s="53">
        <f t="shared" si="426"/>
        <v>0</v>
      </c>
    </row>
    <row r="100" spans="1:175" x14ac:dyDescent="0.3">
      <c r="A100" s="93"/>
      <c r="B100" s="94"/>
      <c r="C100" s="94"/>
      <c r="D100" s="95"/>
      <c r="E100" s="99"/>
      <c r="F100" s="97"/>
      <c r="G100" s="98"/>
      <c r="H100" s="620"/>
      <c r="I100" s="621"/>
      <c r="J100" s="194"/>
      <c r="K100" s="630"/>
      <c r="L100" s="49">
        <f t="shared" si="427"/>
        <v>0</v>
      </c>
      <c r="M100" s="50">
        <f t="shared" si="428"/>
        <v>0</v>
      </c>
      <c r="N100" s="51">
        <f t="shared" si="429"/>
        <v>0</v>
      </c>
      <c r="O100" s="51"/>
      <c r="P100" s="51">
        <f t="shared" si="430"/>
        <v>0</v>
      </c>
      <c r="Q100" s="52"/>
      <c r="R100" s="52"/>
      <c r="S100" s="52"/>
      <c r="T100" s="52"/>
      <c r="U100" s="52"/>
      <c r="V100" s="53">
        <f t="shared" si="431"/>
        <v>0</v>
      </c>
      <c r="W100" s="51">
        <f t="shared" si="432"/>
        <v>0</v>
      </c>
      <c r="X100" s="51">
        <f t="shared" si="433"/>
        <v>0</v>
      </c>
      <c r="Y100" s="51">
        <f t="shared" si="434"/>
        <v>0</v>
      </c>
      <c r="Z100" s="51">
        <f t="shared" si="435"/>
        <v>0</v>
      </c>
      <c r="AA100" s="51">
        <f t="shared" si="436"/>
        <v>0</v>
      </c>
      <c r="AB100" s="51">
        <f t="shared" si="437"/>
        <v>0</v>
      </c>
      <c r="AC100" s="51">
        <f t="shared" si="438"/>
        <v>0</v>
      </c>
      <c r="AD100" s="51">
        <f t="shared" si="439"/>
        <v>0</v>
      </c>
      <c r="AE100" s="51">
        <f t="shared" si="440"/>
        <v>0</v>
      </c>
      <c r="AF100" s="51">
        <f t="shared" si="441"/>
        <v>0</v>
      </c>
      <c r="AG100" s="51">
        <f t="shared" si="442"/>
        <v>0</v>
      </c>
      <c r="AH100" s="54">
        <f t="shared" si="443"/>
        <v>0</v>
      </c>
      <c r="AI100" s="55">
        <f t="shared" si="444"/>
        <v>0</v>
      </c>
      <c r="AJ100" s="56">
        <f>IF(AND($E100&lt;&gt;0,$F100&gt;0,YEAR($F100)&gt;=Preisindex!$A$6,YEAR(AE$4)&gt;=YEAR($F100),AND($K100&lt;&gt;"a",$K100&lt;&gt;"b",$K100&lt;&gt;"g",$K100&lt;&gt;"k")),1,IF(AND($E100&lt;&gt;0,$F100&gt;0,YEAR($F100)&gt;=Preisindex!$A$6,YEAR(AE$4)&gt;=YEAR($F100),$K100="a"),ROUND(VLOOKUP(AJ$4,Preisindex,5,FALSE)/VLOOKUP(YEAR($F100),Preisindex,5,FALSE),2),IF(AND($E100&lt;&gt;0,$F100&gt;0,YEAR($F100)&gt;=Preisindex!$A$6,YEAR(AE$4)&gt;=YEAR($F100),$K100="b"),ROUND(VLOOKUP(AJ$4,Preisindex,3,FALSE)/VLOOKUP(YEAR($F100),Preisindex,3,FALSE),2),IF(AND($E100&lt;&gt;0,$F100&gt;0,YEAR($F100)&gt;=Preisindex!$A$6,YEAR(AE$4)&gt;=YEAR($F100),$K100="g"),ROUND(VLOOKUP(AJ$4,Preisindex,4,FALSE)/VLOOKUP(YEAR($F100),Preisindex,4,FALSE),2),IF(AND($E100&lt;&gt;0,$F100&gt;0,YEAR($F100)&gt;=Preisindex!$A$6,YEAR(AE$4)&gt;=YEAR($F100),$K100="k"),ROUND(VLOOKUP(AJ$4,Preisindex,2,FALSE)/VLOOKUP(YEAR($F100),Preisindex,2,FALSE),2),0)))))</f>
        <v>0</v>
      </c>
      <c r="AK100" s="56">
        <f>IF(AND($E100&lt;&gt;0,$F100&gt;0,YEAR($F100)&lt;Preisindex!$A$6,YEAR(AE$4)&gt;=YEAR($F100),AND($K100&lt;&gt;"a",$K100&lt;&gt;"b",$K100&lt;&gt;"g",$K100&lt;&gt;"k")),1,IF(AND($E100&lt;&gt;0,$F100&gt;0,YEAR($F100)&lt;Preisindex!$A$6,YEAR(AE$4)&gt;=YEAR($F100),$K100="a"),ROUND(VLOOKUP(AJ$4,Preisindex,5,FALSE)/VLOOKUP(Preisindex!$A$6,Preisindex,5,FALSE),2),IF(AND($E100&lt;&gt;0,$F100&gt;0,YEAR($F100)&lt;Preisindex!$A$6,YEAR(AE$4)&gt;=YEAR($F100),$K100="b"),ROUND(VLOOKUP(AJ$4,Preisindex,3,FALSE)/VLOOKUP(Preisindex!$A$6,Preisindex,3,FALSE),2),IF(AND($E100&lt;&gt;0,$F100&gt;0,YEAR($F100)&lt;Preisindex!$A$6,YEAR(AE$4)&gt;=YEAR($F100),$K100="g"),ROUND(VLOOKUP(AJ$4,Preisindex,4,FALSE)/VLOOKUP(Preisindex!$A$6,Preisindex,4,FALSE),2),IF(AND($E100&lt;&gt;0,$F100&gt;0,YEAR($F100)&lt;Preisindex!$A$6,YEAR(AE$4)&gt;=YEAR($F100),$K100="k"),ROUND(VLOOKUP(AJ$4,Preisindex,2,FALSE)/VLOOKUP(Preisindex!$A$6,Preisindex,2,FALSE),2),0)))))</f>
        <v>0</v>
      </c>
      <c r="AL100" s="51">
        <f>IF(AND($E100&lt;&gt;0,$F100&gt;0,YEAR($F100)&lt;=AJ$4,YEAR($F100)&gt;=Preisindex!$A$6),ROUND($E100*AJ100,2),IF(AND($E100&lt;&gt;0,$F100&gt;0,YEAR($F100)&lt;=AJ$4,YEAR($F100)&lt;Preisindex!$A$6),ROUND($E100*AK100,2),0))</f>
        <v>0</v>
      </c>
      <c r="AM100" s="53">
        <f t="shared" si="445"/>
        <v>0</v>
      </c>
      <c r="AN100" s="51">
        <f t="shared" si="446"/>
        <v>0</v>
      </c>
      <c r="AO100" s="51">
        <f t="shared" si="448"/>
        <v>0</v>
      </c>
      <c r="AP100" s="51">
        <f t="shared" si="362"/>
        <v>0</v>
      </c>
      <c r="AQ100" s="51">
        <f t="shared" si="449"/>
        <v>0</v>
      </c>
      <c r="AR100" s="51">
        <f t="shared" si="363"/>
        <v>0</v>
      </c>
      <c r="AS100" s="51">
        <f t="shared" si="450"/>
        <v>0</v>
      </c>
      <c r="AT100" s="51">
        <f t="shared" si="364"/>
        <v>0</v>
      </c>
      <c r="AU100" s="51">
        <f t="shared" si="451"/>
        <v>0</v>
      </c>
      <c r="AV100" s="51">
        <f t="shared" si="365"/>
        <v>0</v>
      </c>
      <c r="AW100" s="51">
        <f t="shared" si="452"/>
        <v>0</v>
      </c>
      <c r="AX100" s="51">
        <f t="shared" si="366"/>
        <v>0</v>
      </c>
      <c r="AY100" s="54">
        <f t="shared" si="367"/>
        <v>0</v>
      </c>
      <c r="AZ100" s="55">
        <f t="shared" si="368"/>
        <v>0</v>
      </c>
      <c r="BA100" s="56">
        <f>IF(AND($E100&lt;&gt;0,$F100&gt;0,YEAR($F100)&gt;=Preisindex!$A$6,YEAR(AV$4)&gt;=YEAR($F100),AND($K100&lt;&gt;"a",$K100&lt;&gt;"b",$K100&lt;&gt;"g",$K100&lt;&gt;"k")),1,IF(AND($E100&lt;&gt;0,$F100&gt;0,YEAR($F100)&gt;=Preisindex!$A$6,YEAR(AV$4)&gt;=YEAR($F100),$K100="a"),ROUND(VLOOKUP(BA$4,Preisindex,5,FALSE)/VLOOKUP(YEAR($F100),Preisindex,5,FALSE),2),IF(AND($E100&lt;&gt;0,$F100&gt;0,YEAR($F100)&gt;=Preisindex!$A$6,YEAR(AV$4)&gt;=YEAR($F100),$K100="b"),ROUND(VLOOKUP(BA$4,Preisindex,3,FALSE)/VLOOKUP(YEAR($F100),Preisindex,3,FALSE),2),IF(AND($E100&lt;&gt;0,$F100&gt;0,YEAR($F100)&gt;=Preisindex!$A$6,YEAR(AV$4)&gt;=YEAR($F100),$K100="g"),ROUND(VLOOKUP(BA$4,Preisindex,4,FALSE)/VLOOKUP(YEAR($F100),Preisindex,4,FALSE),2),IF(AND($E100&lt;&gt;0,$F100&gt;0,YEAR($F100)&gt;=Preisindex!$A$6,YEAR(AV$4)&gt;=YEAR($F100),$K100="k"),ROUND(VLOOKUP(BA$4,Preisindex,2,FALSE)/VLOOKUP(YEAR($F100),Preisindex,2,FALSE),2),0)))))</f>
        <v>0</v>
      </c>
      <c r="BB100" s="56">
        <f>IF(AND($E100&lt;&gt;0,$F100&gt;0,YEAR($F100)&lt;Preisindex!$A$6,YEAR(AV$4)&gt;=YEAR($F100),AND($K100&lt;&gt;"a",$K100&lt;&gt;"b",$K100&lt;&gt;"g",$K100&lt;&gt;"k")),1,IF(AND($E100&lt;&gt;0,$F100&gt;0,YEAR($F100)&lt;Preisindex!$A$6,YEAR(AV$4)&gt;=YEAR($F100),$K100="a"),ROUND(VLOOKUP(BA$4,Preisindex,5,FALSE)/VLOOKUP(Preisindex!$A$6,Preisindex,5,FALSE),2),IF(AND($E100&lt;&gt;0,$F100&gt;0,YEAR($F100)&lt;Preisindex!$A$6,YEAR(AV$4)&gt;=YEAR($F100),$K100="b"),ROUND(VLOOKUP(BA$4,Preisindex,3,FALSE)/VLOOKUP(Preisindex!$A$6,Preisindex,3,FALSE),2),IF(AND($E100&lt;&gt;0,$F100&gt;0,YEAR($F100)&lt;Preisindex!$A$6,YEAR(AV$4)&gt;=YEAR($F100),$K100="g"),ROUND(VLOOKUP(BA$4,Preisindex,4,FALSE)/VLOOKUP(Preisindex!$A$6,Preisindex,4,FALSE),2),IF(AND($E100&lt;&gt;0,$F100&gt;0,YEAR($F100)&lt;Preisindex!$A$6,YEAR(AV$4)&gt;=YEAR($F100),$K100="k"),ROUND(VLOOKUP(BA$4,Preisindex,2,FALSE)/VLOOKUP(Preisindex!$A$6,Preisindex,2,FALSE),2),0)))))</f>
        <v>0</v>
      </c>
      <c r="BC100" s="51">
        <f>IF(AND($E100&lt;&gt;0,$F100&gt;0,YEAR($F100)&lt;=BA$4,YEAR($F100)&gt;=Preisindex!$A$6),ROUND($E100*BA100,2),IF(AND($E100&lt;&gt;0,$F100&gt;0,YEAR($F100)&lt;=BA$4,YEAR($F100)&lt;Preisindex!$A$6),ROUND($E100*BB100,2),0))</f>
        <v>0</v>
      </c>
      <c r="BD100" s="53">
        <f t="shared" si="369"/>
        <v>0</v>
      </c>
      <c r="BE100" s="51">
        <f t="shared" si="446"/>
        <v>0</v>
      </c>
      <c r="BF100" s="51">
        <f t="shared" si="453"/>
        <v>0</v>
      </c>
      <c r="BG100" s="51">
        <f t="shared" si="370"/>
        <v>0</v>
      </c>
      <c r="BH100" s="51">
        <f t="shared" si="454"/>
        <v>0</v>
      </c>
      <c r="BI100" s="51">
        <f t="shared" si="371"/>
        <v>0</v>
      </c>
      <c r="BJ100" s="51">
        <f t="shared" si="455"/>
        <v>0</v>
      </c>
      <c r="BK100" s="51">
        <f t="shared" si="372"/>
        <v>0</v>
      </c>
      <c r="BL100" s="51">
        <f t="shared" si="456"/>
        <v>0</v>
      </c>
      <c r="BM100" s="51">
        <f t="shared" si="373"/>
        <v>0</v>
      </c>
      <c r="BN100" s="51">
        <f t="shared" si="457"/>
        <v>0</v>
      </c>
      <c r="BO100" s="51">
        <f t="shared" si="374"/>
        <v>0</v>
      </c>
      <c r="BP100" s="54">
        <f t="shared" si="375"/>
        <v>0</v>
      </c>
      <c r="BQ100" s="55">
        <f t="shared" si="376"/>
        <v>0</v>
      </c>
      <c r="BR100" s="56">
        <f>IF(AND($E100&lt;&gt;0,$F100&gt;0,YEAR($F100)&gt;=Preisindex!$A$6,YEAR(BM$4)&gt;=YEAR($F100),AND($K100&lt;&gt;"a",$K100&lt;&gt;"b",$K100&lt;&gt;"g",$K100&lt;&gt;"k")),1,IF(AND($E100&lt;&gt;0,$F100&gt;0,YEAR($F100)&gt;=Preisindex!$A$6,YEAR(BM$4)&gt;=YEAR($F100),$K100="a"),ROUND(VLOOKUP(BR$4,Preisindex,5,FALSE)/VLOOKUP(YEAR($F100),Preisindex,5,FALSE),2),IF(AND($E100&lt;&gt;0,$F100&gt;0,YEAR($F100)&gt;=Preisindex!$A$6,YEAR(BM$4)&gt;=YEAR($F100),$K100="b"),ROUND(VLOOKUP(BR$4,Preisindex,3,FALSE)/VLOOKUP(YEAR($F100),Preisindex,3,FALSE),2),IF(AND($E100&lt;&gt;0,$F100&gt;0,YEAR($F100)&gt;=Preisindex!$A$6,YEAR(BM$4)&gt;=YEAR($F100),$K100="g"),ROUND(VLOOKUP(BR$4,Preisindex,4,FALSE)/VLOOKUP(YEAR($F100),Preisindex,4,FALSE),2),IF(AND($E100&lt;&gt;0,$F100&gt;0,YEAR($F100)&gt;=Preisindex!$A$6,YEAR(BM$4)&gt;=YEAR($F100),$K100="k"),ROUND(VLOOKUP(BR$4,Preisindex,2,FALSE)/VLOOKUP(YEAR($F100),Preisindex,2,FALSE),2),0)))))</f>
        <v>0</v>
      </c>
      <c r="BS100" s="56">
        <f>IF(AND($E100&lt;&gt;0,$F100&gt;0,YEAR($F100)&lt;Preisindex!$A$6,YEAR(BM$4)&gt;=YEAR($F100),AND($K100&lt;&gt;"a",$K100&lt;&gt;"b",$K100&lt;&gt;"g",$K100&lt;&gt;"k")),1,IF(AND($E100&lt;&gt;0,$F100&gt;0,YEAR($F100)&lt;Preisindex!$A$6,YEAR(BM$4)&gt;=YEAR($F100),$K100="a"),ROUND(VLOOKUP(BR$4,Preisindex,5,FALSE)/VLOOKUP(Preisindex!$A$6,Preisindex,5,FALSE),2),IF(AND($E100&lt;&gt;0,$F100&gt;0,YEAR($F100)&lt;Preisindex!$A$6,YEAR(BM$4)&gt;=YEAR($F100),$K100="b"),ROUND(VLOOKUP(BR$4,Preisindex,3,FALSE)/VLOOKUP(Preisindex!$A$6,Preisindex,3,FALSE),2),IF(AND($E100&lt;&gt;0,$F100&gt;0,YEAR($F100)&lt;Preisindex!$A$6,YEAR(BM$4)&gt;=YEAR($F100),$K100="g"),ROUND(VLOOKUP(BR$4,Preisindex,4,FALSE)/VLOOKUP(Preisindex!$A$6,Preisindex,4,FALSE),2),IF(AND($E100&lt;&gt;0,$F100&gt;0,YEAR($F100)&lt;Preisindex!$A$6,YEAR(BM$4)&gt;=YEAR($F100),$K100="k"),ROUND(VLOOKUP(BR$4,Preisindex,2,FALSE)/VLOOKUP(Preisindex!$A$6,Preisindex,2,FALSE),2),0)))))</f>
        <v>0</v>
      </c>
      <c r="BT100" s="51">
        <f>IF(AND($E100&lt;&gt;0,$F100&gt;0,YEAR($F100)&lt;=BR$4,YEAR($F100)&gt;=Preisindex!$A$6),ROUND($E100*BR100,2),IF(AND($E100&lt;&gt;0,$F100&gt;0,YEAR($F100)&lt;=BR$4,YEAR($F100)&lt;Preisindex!$A$6),ROUND($E100*BS100,2),0))</f>
        <v>0</v>
      </c>
      <c r="BU100" s="53">
        <f t="shared" si="377"/>
        <v>0</v>
      </c>
      <c r="BV100" s="51">
        <f t="shared" si="446"/>
        <v>0</v>
      </c>
      <c r="BW100" s="51">
        <f t="shared" si="458"/>
        <v>0</v>
      </c>
      <c r="BX100" s="51">
        <f t="shared" si="378"/>
        <v>0</v>
      </c>
      <c r="BY100" s="51">
        <f t="shared" si="459"/>
        <v>0</v>
      </c>
      <c r="BZ100" s="51">
        <f t="shared" si="379"/>
        <v>0</v>
      </c>
      <c r="CA100" s="51">
        <f t="shared" si="460"/>
        <v>0</v>
      </c>
      <c r="CB100" s="51">
        <f t="shared" si="380"/>
        <v>0</v>
      </c>
      <c r="CC100" s="51">
        <f t="shared" si="461"/>
        <v>0</v>
      </c>
      <c r="CD100" s="51">
        <f t="shared" si="381"/>
        <v>0</v>
      </c>
      <c r="CE100" s="51">
        <f t="shared" si="462"/>
        <v>0</v>
      </c>
      <c r="CF100" s="51">
        <f t="shared" si="382"/>
        <v>0</v>
      </c>
      <c r="CG100" s="54">
        <f t="shared" si="383"/>
        <v>0</v>
      </c>
      <c r="CH100" s="55">
        <f t="shared" si="384"/>
        <v>0</v>
      </c>
      <c r="CI100" s="56">
        <f>IF(AND($E100&lt;&gt;0,$F100&gt;0,YEAR($F100)&gt;=Preisindex!$A$6,YEAR(CD$4)&gt;=YEAR($F100),AND($K100&lt;&gt;"a",$K100&lt;&gt;"b",$K100&lt;&gt;"g",$K100&lt;&gt;"k")),1,IF(AND($E100&lt;&gt;0,$F100&gt;0,YEAR($F100)&gt;=Preisindex!$A$6,YEAR(CD$4)&gt;=YEAR($F100),$K100="a"),ROUND(VLOOKUP(CI$4,Preisindex,5,FALSE)/VLOOKUP(YEAR($F100),Preisindex,5,FALSE),2),IF(AND($E100&lt;&gt;0,$F100&gt;0,YEAR($F100)&gt;=Preisindex!$A$6,YEAR(CD$4)&gt;=YEAR($F100),$K100="b"),ROUND(VLOOKUP(CI$4,Preisindex,3,FALSE)/VLOOKUP(YEAR($F100),Preisindex,3,FALSE),2),IF(AND($E100&lt;&gt;0,$F100&gt;0,YEAR($F100)&gt;=Preisindex!$A$6,YEAR(CD$4)&gt;=YEAR($F100),$K100="g"),ROUND(VLOOKUP(CI$4,Preisindex,4,FALSE)/VLOOKUP(YEAR($F100),Preisindex,4,FALSE),2),IF(AND($E100&lt;&gt;0,$F100&gt;0,YEAR($F100)&gt;=Preisindex!$A$6,YEAR(CD$4)&gt;=YEAR($F100),$K100="k"),ROUND(VLOOKUP(CI$4,Preisindex,2,FALSE)/VLOOKUP(YEAR($F100),Preisindex,2,FALSE),2),0)))))</f>
        <v>0</v>
      </c>
      <c r="CJ100" s="56">
        <f>IF(AND($E100&lt;&gt;0,$F100&gt;0,YEAR($F100)&lt;Preisindex!$A$6,YEAR(CD$4)&gt;=YEAR($F100),AND($K100&lt;&gt;"a",$K100&lt;&gt;"b",$K100&lt;&gt;"g",$K100&lt;&gt;"k")),1,IF(AND($E100&lt;&gt;0,$F100&gt;0,YEAR($F100)&lt;Preisindex!$A$6,YEAR(CD$4)&gt;=YEAR($F100),$K100="a"),ROUND(VLOOKUP(CI$4,Preisindex,5,FALSE)/VLOOKUP(Preisindex!$A$6,Preisindex,5,FALSE),2),IF(AND($E100&lt;&gt;0,$F100&gt;0,YEAR($F100)&lt;Preisindex!$A$6,YEAR(CD$4)&gt;=YEAR($F100),$K100="b"),ROUND(VLOOKUP(CI$4,Preisindex,3,FALSE)/VLOOKUP(Preisindex!$A$6,Preisindex,3,FALSE),2),IF(AND($E100&lt;&gt;0,$F100&gt;0,YEAR($F100)&lt;Preisindex!$A$6,YEAR(CD$4)&gt;=YEAR($F100),$K100="g"),ROUND(VLOOKUP(CI$4,Preisindex,4,FALSE)/VLOOKUP(Preisindex!$A$6,Preisindex,4,FALSE),2),IF(AND($E100&lt;&gt;0,$F100&gt;0,YEAR($F100)&lt;Preisindex!$A$6,YEAR(CD$4)&gt;=YEAR($F100),$K100="k"),ROUND(VLOOKUP(CI$4,Preisindex,2,FALSE)/VLOOKUP(Preisindex!$A$6,Preisindex,2,FALSE),2),0)))))</f>
        <v>0</v>
      </c>
      <c r="CK100" s="51">
        <f>IF(AND($E100&lt;&gt;0,$F100&gt;0,YEAR($F100)&lt;=CI$4,YEAR($F100)&gt;=Preisindex!$A$6),ROUND($E100*CI100,2),IF(AND($E100&lt;&gt;0,$F100&gt;0,YEAR($F100)&lt;=CI$4,YEAR($F100)&lt;Preisindex!$A$6),ROUND($E100*CJ100,2),0))</f>
        <v>0</v>
      </c>
      <c r="CL100" s="53">
        <f t="shared" si="385"/>
        <v>0</v>
      </c>
      <c r="CM100" s="51">
        <f t="shared" si="446"/>
        <v>0</v>
      </c>
      <c r="CN100" s="51">
        <f t="shared" si="463"/>
        <v>0</v>
      </c>
      <c r="CO100" s="51">
        <f t="shared" si="386"/>
        <v>0</v>
      </c>
      <c r="CP100" s="51">
        <f t="shared" si="464"/>
        <v>0</v>
      </c>
      <c r="CQ100" s="51">
        <f t="shared" si="387"/>
        <v>0</v>
      </c>
      <c r="CR100" s="51">
        <f t="shared" si="465"/>
        <v>0</v>
      </c>
      <c r="CS100" s="51">
        <f t="shared" si="388"/>
        <v>0</v>
      </c>
      <c r="CT100" s="51">
        <f t="shared" si="466"/>
        <v>0</v>
      </c>
      <c r="CU100" s="51">
        <f t="shared" si="389"/>
        <v>0</v>
      </c>
      <c r="CV100" s="51">
        <f t="shared" si="467"/>
        <v>0</v>
      </c>
      <c r="CW100" s="51">
        <f t="shared" si="390"/>
        <v>0</v>
      </c>
      <c r="CX100" s="54">
        <f t="shared" si="391"/>
        <v>0</v>
      </c>
      <c r="CY100" s="55">
        <f t="shared" si="392"/>
        <v>0</v>
      </c>
      <c r="CZ100" s="56">
        <f>IF(AND($E100&lt;&gt;0,$F100&gt;0,YEAR($F100)&gt;=Preisindex!$A$6,YEAR(CU$4)&gt;=YEAR($F100),AND($K100&lt;&gt;"a",$K100&lt;&gt;"b",$K100&lt;&gt;"g",$K100&lt;&gt;"k")),1,IF(AND($E100&lt;&gt;0,$F100&gt;0,YEAR($F100)&gt;=Preisindex!$A$6,YEAR(CU$4)&gt;=YEAR($F100),$K100="a"),ROUND(VLOOKUP(CZ$4,Preisindex,5,FALSE)/VLOOKUP(YEAR($F100),Preisindex,5,FALSE),2),IF(AND($E100&lt;&gt;0,$F100&gt;0,YEAR($F100)&gt;=Preisindex!$A$6,YEAR(CU$4)&gt;=YEAR($F100),$K100="b"),ROUND(VLOOKUP(CZ$4,Preisindex,3,FALSE)/VLOOKUP(YEAR($F100),Preisindex,3,FALSE),2),IF(AND($E100&lt;&gt;0,$F100&gt;0,YEAR($F100)&gt;=Preisindex!$A$6,YEAR(CU$4)&gt;=YEAR($F100),$K100="g"),ROUND(VLOOKUP(CZ$4,Preisindex,4,FALSE)/VLOOKUP(YEAR($F100),Preisindex,4,FALSE),2),IF(AND($E100&lt;&gt;0,$F100&gt;0,YEAR($F100)&gt;=Preisindex!$A$6,YEAR(CU$4)&gt;=YEAR($F100),$K100="k"),ROUND(VLOOKUP(CZ$4,Preisindex,2,FALSE)/VLOOKUP(YEAR($F100),Preisindex,2,FALSE),2),0)))))</f>
        <v>0</v>
      </c>
      <c r="DA100" s="56">
        <f>IF(AND($E100&lt;&gt;0,$F100&gt;0,YEAR($F100)&lt;Preisindex!$A$6,YEAR(CU$4)&gt;=YEAR($F100),AND($K100&lt;&gt;"a",$K100&lt;&gt;"b",$K100&lt;&gt;"g",$K100&lt;&gt;"k")),1,IF(AND($E100&lt;&gt;0,$F100&gt;0,YEAR($F100)&lt;Preisindex!$A$6,YEAR(CU$4)&gt;=YEAR($F100),$K100="a"),ROUND(VLOOKUP(CZ$4,Preisindex,5,FALSE)/VLOOKUP(Preisindex!$A$6,Preisindex,5,FALSE),2),IF(AND($E100&lt;&gt;0,$F100&gt;0,YEAR($F100)&lt;Preisindex!$A$6,YEAR(CU$4)&gt;=YEAR($F100),$K100="b"),ROUND(VLOOKUP(CZ$4,Preisindex,3,FALSE)/VLOOKUP(Preisindex!$A$6,Preisindex,3,FALSE),2),IF(AND($E100&lt;&gt;0,$F100&gt;0,YEAR($F100)&lt;Preisindex!$A$6,YEAR(CU$4)&gt;=YEAR($F100),$K100="g"),ROUND(VLOOKUP(CZ$4,Preisindex,4,FALSE)/VLOOKUP(Preisindex!$A$6,Preisindex,4,FALSE),2),IF(AND($E100&lt;&gt;0,$F100&gt;0,YEAR($F100)&lt;Preisindex!$A$6,YEAR(CU$4)&gt;=YEAR($F100),$K100="k"),ROUND(VLOOKUP(CZ$4,Preisindex,2,FALSE)/VLOOKUP(Preisindex!$A$6,Preisindex,2,FALSE),2),0)))))</f>
        <v>0</v>
      </c>
      <c r="DB100" s="51">
        <f>IF(AND($E100&lt;&gt;0,$F100&gt;0,YEAR($F100)&lt;=CZ$4,YEAR($F100)&gt;=Preisindex!$A$6),ROUND($E100*CZ100,2),IF(AND($E100&lt;&gt;0,$F100&gt;0,YEAR($F100)&lt;=CZ$4,YEAR($F100)&lt;Preisindex!$A$6),ROUND($E100*DA100,2),0))</f>
        <v>0</v>
      </c>
      <c r="DC100" s="53">
        <f t="shared" si="393"/>
        <v>0</v>
      </c>
      <c r="DD100" s="51">
        <f t="shared" si="447"/>
        <v>0</v>
      </c>
      <c r="DE100" s="51">
        <f t="shared" si="468"/>
        <v>0</v>
      </c>
      <c r="DF100" s="51">
        <f t="shared" si="395"/>
        <v>0</v>
      </c>
      <c r="DG100" s="51">
        <f t="shared" si="469"/>
        <v>0</v>
      </c>
      <c r="DH100" s="51">
        <f t="shared" si="396"/>
        <v>0</v>
      </c>
      <c r="DI100" s="51">
        <f t="shared" si="470"/>
        <v>0</v>
      </c>
      <c r="DJ100" s="51">
        <f t="shared" si="397"/>
        <v>0</v>
      </c>
      <c r="DK100" s="51">
        <f t="shared" si="471"/>
        <v>0</v>
      </c>
      <c r="DL100" s="51">
        <f t="shared" si="398"/>
        <v>0</v>
      </c>
      <c r="DM100" s="51">
        <f t="shared" si="472"/>
        <v>0</v>
      </c>
      <c r="DN100" s="51">
        <f t="shared" si="399"/>
        <v>0</v>
      </c>
      <c r="DO100" s="54">
        <f t="shared" si="400"/>
        <v>0</v>
      </c>
      <c r="DP100" s="55">
        <f t="shared" si="401"/>
        <v>0</v>
      </c>
      <c r="DQ100" s="56">
        <f>IF(AND($E100&lt;&gt;0,$F100&gt;0,YEAR($F100)&gt;=Preisindex!$A$6,YEAR(DL$4)&gt;=YEAR($F100),AND($K100&lt;&gt;"a",$K100&lt;&gt;"b",$K100&lt;&gt;"g",$K100&lt;&gt;"k")),1,IF(AND($E100&lt;&gt;0,$F100&gt;0,YEAR($F100)&gt;=Preisindex!$A$6,YEAR(DL$4)&gt;=YEAR($F100),$K100="a"),ROUND(VLOOKUP(DQ$4,Preisindex,5,FALSE)/VLOOKUP(YEAR($F100),Preisindex,5,FALSE),2),IF(AND($E100&lt;&gt;0,$F100&gt;0,YEAR($F100)&gt;=Preisindex!$A$6,YEAR(DL$4)&gt;=YEAR($F100),$K100="b"),ROUND(VLOOKUP(DQ$4,Preisindex,3,FALSE)/VLOOKUP(YEAR($F100),Preisindex,3,FALSE),2),IF(AND($E100&lt;&gt;0,$F100&gt;0,YEAR($F100)&gt;=Preisindex!$A$6,YEAR(DL$4)&gt;=YEAR($F100),$K100="g"),ROUND(VLOOKUP(DQ$4,Preisindex,4,FALSE)/VLOOKUP(YEAR($F100),Preisindex,4,FALSE),2),IF(AND($E100&lt;&gt;0,$F100&gt;0,YEAR($F100)&gt;=Preisindex!$A$6,YEAR(DL$4)&gt;=YEAR($F100),$K100="k"),ROUND(VLOOKUP(DQ$4,Preisindex,2,FALSE)/VLOOKUP(YEAR($F100),Preisindex,2,FALSE),2),0)))))</f>
        <v>0</v>
      </c>
      <c r="DR100" s="56">
        <f>IF(AND($E100&lt;&gt;0,$F100&gt;0,YEAR($F100)&lt;Preisindex!$A$6,YEAR(DL$4)&gt;=YEAR($F100),AND($K100&lt;&gt;"a",$K100&lt;&gt;"b",$K100&lt;&gt;"g",$K100&lt;&gt;"k")),1,IF(AND($E100&lt;&gt;0,$F100&gt;0,YEAR($F100)&lt;Preisindex!$A$6,YEAR(DL$4)&gt;=YEAR($F100),$K100="a"),ROUND(VLOOKUP(DQ$4,Preisindex,5,FALSE)/VLOOKUP(Preisindex!$A$6,Preisindex,5,FALSE),2),IF(AND($E100&lt;&gt;0,$F100&gt;0,YEAR($F100)&lt;Preisindex!$A$6,YEAR(DL$4)&gt;=YEAR($F100),$K100="b"),ROUND(VLOOKUP(DQ$4,Preisindex,3,FALSE)/VLOOKUP(Preisindex!$A$6,Preisindex,3,FALSE),2),IF(AND($E100&lt;&gt;0,$F100&gt;0,YEAR($F100)&lt;Preisindex!$A$6,YEAR(DL$4)&gt;=YEAR($F100),$K100="g"),ROUND(VLOOKUP(DQ$4,Preisindex,4,FALSE)/VLOOKUP(Preisindex!$A$6,Preisindex,4,FALSE),2),IF(AND($E100&lt;&gt;0,$F100&gt;0,YEAR($F100)&lt;Preisindex!$A$6,YEAR(DL$4)&gt;=YEAR($F100),$K100="k"),ROUND(VLOOKUP(DQ$4,Preisindex,2,FALSE)/VLOOKUP(Preisindex!$A$6,Preisindex,2,FALSE),2),0)))))</f>
        <v>0</v>
      </c>
      <c r="DS100" s="51">
        <f>IF(AND($E100&lt;&gt;0,$F100&gt;0,YEAR($F100)&lt;=DQ$4,YEAR($F100)&gt;=Preisindex!$A$6),ROUND($E100*DQ100,2),IF(AND($E100&lt;&gt;0,$F100&gt;0,YEAR($F100)&lt;=DQ$4,YEAR($F100)&lt;Preisindex!$A$6),ROUND($E100*DR100,2),0))</f>
        <v>0</v>
      </c>
      <c r="DT100" s="53">
        <f t="shared" si="402"/>
        <v>0</v>
      </c>
      <c r="DU100" s="51">
        <f t="shared" si="447"/>
        <v>0</v>
      </c>
      <c r="DV100" s="51">
        <f t="shared" si="473"/>
        <v>0</v>
      </c>
      <c r="DW100" s="51">
        <f t="shared" si="403"/>
        <v>0</v>
      </c>
      <c r="DX100" s="51">
        <f t="shared" si="474"/>
        <v>0</v>
      </c>
      <c r="DY100" s="51">
        <f t="shared" si="404"/>
        <v>0</v>
      </c>
      <c r="DZ100" s="51">
        <f t="shared" si="475"/>
        <v>0</v>
      </c>
      <c r="EA100" s="51">
        <f t="shared" si="405"/>
        <v>0</v>
      </c>
      <c r="EB100" s="51">
        <f t="shared" si="476"/>
        <v>0</v>
      </c>
      <c r="EC100" s="51">
        <f t="shared" si="406"/>
        <v>0</v>
      </c>
      <c r="ED100" s="51">
        <f t="shared" si="477"/>
        <v>0</v>
      </c>
      <c r="EE100" s="51">
        <f t="shared" si="407"/>
        <v>0</v>
      </c>
      <c r="EF100" s="54">
        <f t="shared" si="408"/>
        <v>0</v>
      </c>
      <c r="EG100" s="55">
        <f t="shared" si="409"/>
        <v>0</v>
      </c>
      <c r="EH100" s="56">
        <f>IF(AND($E100&lt;&gt;0,$F100&gt;0,YEAR($F100)&gt;=Preisindex!$A$6,YEAR(EC$4)&gt;=YEAR($F100),AND($K100&lt;&gt;"a",$K100&lt;&gt;"b",$K100&lt;&gt;"g",$K100&lt;&gt;"k")),1,IF(AND($E100&lt;&gt;0,$F100&gt;0,YEAR($F100)&gt;=Preisindex!$A$6,YEAR(EC$4)&gt;=YEAR($F100),$K100="a"),ROUND(VLOOKUP(EH$4,Preisindex,5,FALSE)/VLOOKUP(YEAR($F100),Preisindex,5,FALSE),2),IF(AND($E100&lt;&gt;0,$F100&gt;0,YEAR($F100)&gt;=Preisindex!$A$6,YEAR(EC$4)&gt;=YEAR($F100),$K100="b"),ROUND(VLOOKUP(EH$4,Preisindex,3,FALSE)/VLOOKUP(YEAR($F100),Preisindex,3,FALSE),2),IF(AND($E100&lt;&gt;0,$F100&gt;0,YEAR($F100)&gt;=Preisindex!$A$6,YEAR(EC$4)&gt;=YEAR($F100),$K100="g"),ROUND(VLOOKUP(EH$4,Preisindex,4,FALSE)/VLOOKUP(YEAR($F100),Preisindex,4,FALSE),2),IF(AND($E100&lt;&gt;0,$F100&gt;0,YEAR($F100)&gt;=Preisindex!$A$6,YEAR(EC$4)&gt;=YEAR($F100),$K100="k"),ROUND(VLOOKUP(EH$4,Preisindex,2,FALSE)/VLOOKUP(YEAR($F100),Preisindex,2,FALSE),2),0)))))</f>
        <v>0</v>
      </c>
      <c r="EI100" s="56">
        <f>IF(AND($E100&lt;&gt;0,$F100&gt;0,YEAR($F100)&lt;Preisindex!$A$6,YEAR(EC$4)&gt;=YEAR($F100),AND($K100&lt;&gt;"a",$K100&lt;&gt;"b",$K100&lt;&gt;"g",$K100&lt;&gt;"k")),1,IF(AND($E100&lt;&gt;0,$F100&gt;0,YEAR($F100)&lt;Preisindex!$A$6,YEAR(EC$4)&gt;=YEAR($F100),$K100="a"),ROUND(VLOOKUP(EH$4,Preisindex,5,FALSE)/VLOOKUP(Preisindex!$A$6,Preisindex,5,FALSE),2),IF(AND($E100&lt;&gt;0,$F100&gt;0,YEAR($F100)&lt;Preisindex!$A$6,YEAR(EC$4)&gt;=YEAR($F100),$K100="b"),ROUND(VLOOKUP(EH$4,Preisindex,3,FALSE)/VLOOKUP(Preisindex!$A$6,Preisindex,3,FALSE),2),IF(AND($E100&lt;&gt;0,$F100&gt;0,YEAR($F100)&lt;Preisindex!$A$6,YEAR(EC$4)&gt;=YEAR($F100),$K100="g"),ROUND(VLOOKUP(EH$4,Preisindex,4,FALSE)/VLOOKUP(Preisindex!$A$6,Preisindex,4,FALSE),2),IF(AND($E100&lt;&gt;0,$F100&gt;0,YEAR($F100)&lt;Preisindex!$A$6,YEAR(EC$4)&gt;=YEAR($F100),$K100="k"),ROUND(VLOOKUP(EH$4,Preisindex,2,FALSE)/VLOOKUP(Preisindex!$A$6,Preisindex,2,FALSE),2),0)))))</f>
        <v>0</v>
      </c>
      <c r="EJ100" s="51">
        <f>IF(AND($E100&lt;&gt;0,$F100&gt;0,YEAR($F100)&lt;=EH$4,YEAR($F100)&gt;=Preisindex!$A$6),ROUND($E100*EH100,2),IF(AND($E100&lt;&gt;0,$F100&gt;0,YEAR($F100)&lt;=EH$4,YEAR($F100)&lt;Preisindex!$A$6),ROUND($E100*EI100,2),0))</f>
        <v>0</v>
      </c>
      <c r="EK100" s="53">
        <f t="shared" si="410"/>
        <v>0</v>
      </c>
      <c r="EL100" s="51">
        <f t="shared" si="447"/>
        <v>0</v>
      </c>
      <c r="EM100" s="51">
        <f t="shared" si="478"/>
        <v>0</v>
      </c>
      <c r="EN100" s="51">
        <f t="shared" si="411"/>
        <v>0</v>
      </c>
      <c r="EO100" s="51">
        <f t="shared" si="479"/>
        <v>0</v>
      </c>
      <c r="EP100" s="51">
        <f t="shared" si="412"/>
        <v>0</v>
      </c>
      <c r="EQ100" s="51">
        <f t="shared" si="480"/>
        <v>0</v>
      </c>
      <c r="ER100" s="51">
        <f t="shared" si="413"/>
        <v>0</v>
      </c>
      <c r="ES100" s="51">
        <f t="shared" si="481"/>
        <v>0</v>
      </c>
      <c r="ET100" s="51">
        <f t="shared" si="414"/>
        <v>0</v>
      </c>
      <c r="EU100" s="51">
        <f t="shared" si="482"/>
        <v>0</v>
      </c>
      <c r="EV100" s="51">
        <f t="shared" si="415"/>
        <v>0</v>
      </c>
      <c r="EW100" s="54">
        <f t="shared" si="416"/>
        <v>0</v>
      </c>
      <c r="EX100" s="55">
        <f t="shared" si="417"/>
        <v>0</v>
      </c>
      <c r="EY100" s="56">
        <f>IF(AND($E100&lt;&gt;0,$F100&gt;0,YEAR($F100)&gt;=Preisindex!$A$6,YEAR(ET$4)&gt;=YEAR($F100),AND($K100&lt;&gt;"a",$K100&lt;&gt;"b",$K100&lt;&gt;"g",$K100&lt;&gt;"k")),1,IF(AND($E100&lt;&gt;0,$F100&gt;0,YEAR($F100)&gt;=Preisindex!$A$6,YEAR(ET$4)&gt;=YEAR($F100),$K100="a"),ROUND(VLOOKUP(EY$4,Preisindex,5,FALSE)/VLOOKUP(YEAR($F100),Preisindex,5,FALSE),2),IF(AND($E100&lt;&gt;0,$F100&gt;0,YEAR($F100)&gt;=Preisindex!$A$6,YEAR(ET$4)&gt;=YEAR($F100),$K100="b"),ROUND(VLOOKUP(EY$4,Preisindex,3,FALSE)/VLOOKUP(YEAR($F100),Preisindex,3,FALSE),2),IF(AND($E100&lt;&gt;0,$F100&gt;0,YEAR($F100)&gt;=Preisindex!$A$6,YEAR(ET$4)&gt;=YEAR($F100),$K100="g"),ROUND(VLOOKUP(EY$4,Preisindex,4,FALSE)/VLOOKUP(YEAR($F100),Preisindex,4,FALSE),2),IF(AND($E100&lt;&gt;0,$F100&gt;0,YEAR($F100)&gt;=Preisindex!$A$6,YEAR(ET$4)&gt;=YEAR($F100),$K100="k"),ROUND(VLOOKUP(EY$4,Preisindex,2,FALSE)/VLOOKUP(YEAR($F100),Preisindex,2,FALSE),2),0)))))</f>
        <v>0</v>
      </c>
      <c r="EZ100" s="56">
        <f>IF(AND($E100&lt;&gt;0,$F100&gt;0,YEAR($F100)&lt;Preisindex!$A$6,YEAR(ET$4)&gt;=YEAR($F100),AND($K100&lt;&gt;"a",$K100&lt;&gt;"b",$K100&lt;&gt;"g",$K100&lt;&gt;"k")),1,IF(AND($E100&lt;&gt;0,$F100&gt;0,YEAR($F100)&lt;Preisindex!$A$6,YEAR(ET$4)&gt;=YEAR($F100),$K100="a"),ROUND(VLOOKUP(EY$4,Preisindex,5,FALSE)/VLOOKUP(Preisindex!$A$6,Preisindex,5,FALSE),2),IF(AND($E100&lt;&gt;0,$F100&gt;0,YEAR($F100)&lt;Preisindex!$A$6,YEAR(ET$4)&gt;=YEAR($F100),$K100="b"),ROUND(VLOOKUP(EY$4,Preisindex,3,FALSE)/VLOOKUP(Preisindex!$A$6,Preisindex,3,FALSE),2),IF(AND($E100&lt;&gt;0,$F100&gt;0,YEAR($F100)&lt;Preisindex!$A$6,YEAR(ET$4)&gt;=YEAR($F100),$K100="g"),ROUND(VLOOKUP(EY$4,Preisindex,4,FALSE)/VLOOKUP(Preisindex!$A$6,Preisindex,4,FALSE),2),IF(AND($E100&lt;&gt;0,$F100&gt;0,YEAR($F100)&lt;Preisindex!$A$6,YEAR(ET$4)&gt;=YEAR($F100),$K100="k"),ROUND(VLOOKUP(EY$4,Preisindex,2,FALSE)/VLOOKUP(Preisindex!$A$6,Preisindex,2,FALSE),2),0)))))</f>
        <v>0</v>
      </c>
      <c r="FA100" s="51">
        <f>IF(AND($E100&lt;&gt;0,$F100&gt;0,YEAR($F100)&lt;=EY$4,YEAR($F100)&gt;=Preisindex!$A$6),ROUND($E100*EY100,2),IF(AND($E100&lt;&gt;0,$F100&gt;0,YEAR($F100)&lt;=EY$4,YEAR($F100)&lt;Preisindex!$A$6),ROUND($E100*EZ100,2),0))</f>
        <v>0</v>
      </c>
      <c r="FB100" s="53">
        <f t="shared" si="418"/>
        <v>0</v>
      </c>
      <c r="FC100" s="51">
        <f t="shared" si="447"/>
        <v>0</v>
      </c>
      <c r="FD100" s="51">
        <f t="shared" si="483"/>
        <v>0</v>
      </c>
      <c r="FE100" s="51">
        <f t="shared" si="419"/>
        <v>0</v>
      </c>
      <c r="FF100" s="51">
        <f t="shared" si="484"/>
        <v>0</v>
      </c>
      <c r="FG100" s="51">
        <f t="shared" si="420"/>
        <v>0</v>
      </c>
      <c r="FH100" s="51">
        <f t="shared" si="485"/>
        <v>0</v>
      </c>
      <c r="FI100" s="51">
        <f t="shared" si="421"/>
        <v>0</v>
      </c>
      <c r="FJ100" s="51">
        <f t="shared" si="486"/>
        <v>0</v>
      </c>
      <c r="FK100" s="51">
        <f t="shared" si="422"/>
        <v>0</v>
      </c>
      <c r="FL100" s="51">
        <f t="shared" si="487"/>
        <v>0</v>
      </c>
      <c r="FM100" s="51">
        <f t="shared" si="423"/>
        <v>0</v>
      </c>
      <c r="FN100" s="54">
        <f t="shared" si="424"/>
        <v>0</v>
      </c>
      <c r="FO100" s="55">
        <f t="shared" si="425"/>
        <v>0</v>
      </c>
      <c r="FP100" s="56">
        <f>IF(AND($E100&lt;&gt;0,$F100&gt;0,YEAR($F100)&gt;=Preisindex!$A$6,YEAR(FK$4)&gt;=YEAR($F100),AND($K100&lt;&gt;"a",$K100&lt;&gt;"b",$K100&lt;&gt;"g",$K100&lt;&gt;"k")),1,IF(AND($E100&lt;&gt;0,$F100&gt;0,YEAR($F100)&gt;=Preisindex!$A$6,YEAR(FK$4)&gt;=YEAR($F100),$K100="a"),ROUND(VLOOKUP(FP$4,Preisindex,5,FALSE)/VLOOKUP(YEAR($F100),Preisindex,5,FALSE),2),IF(AND($E100&lt;&gt;0,$F100&gt;0,YEAR($F100)&gt;=Preisindex!$A$6,YEAR(FK$4)&gt;=YEAR($F100),$K100="b"),ROUND(VLOOKUP(FP$4,Preisindex,3,FALSE)/VLOOKUP(YEAR($F100),Preisindex,3,FALSE),2),IF(AND($E100&lt;&gt;0,$F100&gt;0,YEAR($F100)&gt;=Preisindex!$A$6,YEAR(FK$4)&gt;=YEAR($F100),$K100="g"),ROUND(VLOOKUP(FP$4,Preisindex,4,FALSE)/VLOOKUP(YEAR($F100),Preisindex,4,FALSE),2),IF(AND($E100&lt;&gt;0,$F100&gt;0,YEAR($F100)&gt;=Preisindex!$A$6,YEAR(FK$4)&gt;=YEAR($F100),$K100="k"),ROUND(VLOOKUP(FP$4,Preisindex,2,FALSE)/VLOOKUP(YEAR($F100),Preisindex,2,FALSE),2),0)))))</f>
        <v>0</v>
      </c>
      <c r="FQ100" s="56">
        <f>IF(AND($E100&lt;&gt;0,$F100&gt;0,YEAR($F100)&lt;Preisindex!$A$6,YEAR(FK$4)&gt;=YEAR($F100),AND($K100&lt;&gt;"a",$K100&lt;&gt;"b",$K100&lt;&gt;"g",$K100&lt;&gt;"k")),1,IF(AND($E100&lt;&gt;0,$F100&gt;0,YEAR($F100)&lt;Preisindex!$A$6,YEAR(FK$4)&gt;=YEAR($F100),$K100="a"),ROUND(VLOOKUP(FP$4,Preisindex,5,FALSE)/VLOOKUP(Preisindex!$A$6,Preisindex,5,FALSE),2),IF(AND($E100&lt;&gt;0,$F100&gt;0,YEAR($F100)&lt;Preisindex!$A$6,YEAR(FK$4)&gt;=YEAR($F100),$K100="b"),ROUND(VLOOKUP(FP$4,Preisindex,3,FALSE)/VLOOKUP(Preisindex!$A$6,Preisindex,3,FALSE),2),IF(AND($E100&lt;&gt;0,$F100&gt;0,YEAR($F100)&lt;Preisindex!$A$6,YEAR(FK$4)&gt;=YEAR($F100),$K100="g"),ROUND(VLOOKUP(FP$4,Preisindex,4,FALSE)/VLOOKUP(Preisindex!$A$6,Preisindex,4,FALSE),2),IF(AND($E100&lt;&gt;0,$F100&gt;0,YEAR($F100)&lt;Preisindex!$A$6,YEAR(FK$4)&gt;=YEAR($F100),$K100="k"),ROUND(VLOOKUP(FP$4,Preisindex,2,FALSE)/VLOOKUP(Preisindex!$A$6,Preisindex,2,FALSE),2),0)))))</f>
        <v>0</v>
      </c>
      <c r="FR100" s="51">
        <f>IF(AND($E100&lt;&gt;0,$F100&gt;0,YEAR($F100)&lt;=FP$4,YEAR($F100)&gt;=Preisindex!$A$6),ROUND($E100*FP100,2),IF(AND($E100&lt;&gt;0,$F100&gt;0,YEAR($F100)&lt;=FP$4,YEAR($F100)&lt;Preisindex!$A$6),ROUND($E100*FQ100,2),0))</f>
        <v>0</v>
      </c>
      <c r="FS100" s="53">
        <f t="shared" si="426"/>
        <v>0</v>
      </c>
    </row>
    <row r="101" spans="1:175" x14ac:dyDescent="0.3">
      <c r="A101" s="93"/>
      <c r="B101" s="94"/>
      <c r="C101" s="94"/>
      <c r="D101" s="95"/>
      <c r="E101" s="99"/>
      <c r="F101" s="97"/>
      <c r="G101" s="98"/>
      <c r="H101" s="620"/>
      <c r="I101" s="621"/>
      <c r="J101" s="194"/>
      <c r="K101" s="630"/>
      <c r="L101" s="49">
        <f t="shared" si="427"/>
        <v>0</v>
      </c>
      <c r="M101" s="50">
        <f t="shared" si="428"/>
        <v>0</v>
      </c>
      <c r="N101" s="51">
        <f t="shared" si="429"/>
        <v>0</v>
      </c>
      <c r="O101" s="51"/>
      <c r="P101" s="51">
        <f t="shared" si="430"/>
        <v>0</v>
      </c>
      <c r="Q101" s="52"/>
      <c r="R101" s="52"/>
      <c r="S101" s="52"/>
      <c r="T101" s="52"/>
      <c r="U101" s="52"/>
      <c r="V101" s="53">
        <f t="shared" si="431"/>
        <v>0</v>
      </c>
      <c r="W101" s="51">
        <f t="shared" si="432"/>
        <v>0</v>
      </c>
      <c r="X101" s="51">
        <f t="shared" si="433"/>
        <v>0</v>
      </c>
      <c r="Y101" s="51">
        <f t="shared" si="434"/>
        <v>0</v>
      </c>
      <c r="Z101" s="51">
        <f t="shared" si="435"/>
        <v>0</v>
      </c>
      <c r="AA101" s="51">
        <f t="shared" si="436"/>
        <v>0</v>
      </c>
      <c r="AB101" s="51">
        <f t="shared" si="437"/>
        <v>0</v>
      </c>
      <c r="AC101" s="51">
        <f t="shared" si="438"/>
        <v>0</v>
      </c>
      <c r="AD101" s="51">
        <f t="shared" si="439"/>
        <v>0</v>
      </c>
      <c r="AE101" s="51">
        <f t="shared" si="440"/>
        <v>0</v>
      </c>
      <c r="AF101" s="51">
        <f t="shared" si="441"/>
        <v>0</v>
      </c>
      <c r="AG101" s="51">
        <f t="shared" si="442"/>
        <v>0</v>
      </c>
      <c r="AH101" s="54">
        <f t="shared" si="443"/>
        <v>0</v>
      </c>
      <c r="AI101" s="55">
        <f t="shared" si="444"/>
        <v>0</v>
      </c>
      <c r="AJ101" s="56">
        <f>IF(AND($E101&lt;&gt;0,$F101&gt;0,YEAR($F101)&gt;=Preisindex!$A$6,YEAR(AE$4)&gt;=YEAR($F101),AND($K101&lt;&gt;"a",$K101&lt;&gt;"b",$K101&lt;&gt;"g",$K101&lt;&gt;"k")),1,IF(AND($E101&lt;&gt;0,$F101&gt;0,YEAR($F101)&gt;=Preisindex!$A$6,YEAR(AE$4)&gt;=YEAR($F101),$K101="a"),ROUND(VLOOKUP(AJ$4,Preisindex,5,FALSE)/VLOOKUP(YEAR($F101),Preisindex,5,FALSE),2),IF(AND($E101&lt;&gt;0,$F101&gt;0,YEAR($F101)&gt;=Preisindex!$A$6,YEAR(AE$4)&gt;=YEAR($F101),$K101="b"),ROUND(VLOOKUP(AJ$4,Preisindex,3,FALSE)/VLOOKUP(YEAR($F101),Preisindex,3,FALSE),2),IF(AND($E101&lt;&gt;0,$F101&gt;0,YEAR($F101)&gt;=Preisindex!$A$6,YEAR(AE$4)&gt;=YEAR($F101),$K101="g"),ROUND(VLOOKUP(AJ$4,Preisindex,4,FALSE)/VLOOKUP(YEAR($F101),Preisindex,4,FALSE),2),IF(AND($E101&lt;&gt;0,$F101&gt;0,YEAR($F101)&gt;=Preisindex!$A$6,YEAR(AE$4)&gt;=YEAR($F101),$K101="k"),ROUND(VLOOKUP(AJ$4,Preisindex,2,FALSE)/VLOOKUP(YEAR($F101),Preisindex,2,FALSE),2),0)))))</f>
        <v>0</v>
      </c>
      <c r="AK101" s="56">
        <f>IF(AND($E101&lt;&gt;0,$F101&gt;0,YEAR($F101)&lt;Preisindex!$A$6,YEAR(AE$4)&gt;=YEAR($F101),AND($K101&lt;&gt;"a",$K101&lt;&gt;"b",$K101&lt;&gt;"g",$K101&lt;&gt;"k")),1,IF(AND($E101&lt;&gt;0,$F101&gt;0,YEAR($F101)&lt;Preisindex!$A$6,YEAR(AE$4)&gt;=YEAR($F101),$K101="a"),ROUND(VLOOKUP(AJ$4,Preisindex,5,FALSE)/VLOOKUP(Preisindex!$A$6,Preisindex,5,FALSE),2),IF(AND($E101&lt;&gt;0,$F101&gt;0,YEAR($F101)&lt;Preisindex!$A$6,YEAR(AE$4)&gt;=YEAR($F101),$K101="b"),ROUND(VLOOKUP(AJ$4,Preisindex,3,FALSE)/VLOOKUP(Preisindex!$A$6,Preisindex,3,FALSE),2),IF(AND($E101&lt;&gt;0,$F101&gt;0,YEAR($F101)&lt;Preisindex!$A$6,YEAR(AE$4)&gt;=YEAR($F101),$K101="g"),ROUND(VLOOKUP(AJ$4,Preisindex,4,FALSE)/VLOOKUP(Preisindex!$A$6,Preisindex,4,FALSE),2),IF(AND($E101&lt;&gt;0,$F101&gt;0,YEAR($F101)&lt;Preisindex!$A$6,YEAR(AE$4)&gt;=YEAR($F101),$K101="k"),ROUND(VLOOKUP(AJ$4,Preisindex,2,FALSE)/VLOOKUP(Preisindex!$A$6,Preisindex,2,FALSE),2),0)))))</f>
        <v>0</v>
      </c>
      <c r="AL101" s="51">
        <f>IF(AND($E101&lt;&gt;0,$F101&gt;0,YEAR($F101)&lt;=AJ$4,YEAR($F101)&gt;=Preisindex!$A$6),ROUND($E101*AJ101,2),IF(AND($E101&lt;&gt;0,$F101&gt;0,YEAR($F101)&lt;=AJ$4,YEAR($F101)&lt;Preisindex!$A$6),ROUND($E101*AK101,2),0))</f>
        <v>0</v>
      </c>
      <c r="AM101" s="53">
        <f t="shared" si="445"/>
        <v>0</v>
      </c>
      <c r="AN101" s="51">
        <f t="shared" ref="AN101:CM116" si="488">IF(YEAR($F101)=AN$4,$E101,0)</f>
        <v>0</v>
      </c>
      <c r="AO101" s="51">
        <f t="shared" si="448"/>
        <v>0</v>
      </c>
      <c r="AP101" s="51">
        <f t="shared" si="362"/>
        <v>0</v>
      </c>
      <c r="AQ101" s="51">
        <f t="shared" si="449"/>
        <v>0</v>
      </c>
      <c r="AR101" s="51">
        <f t="shared" si="363"/>
        <v>0</v>
      </c>
      <c r="AS101" s="51">
        <f t="shared" si="450"/>
        <v>0</v>
      </c>
      <c r="AT101" s="51">
        <f t="shared" si="364"/>
        <v>0</v>
      </c>
      <c r="AU101" s="51">
        <f t="shared" si="451"/>
        <v>0</v>
      </c>
      <c r="AV101" s="51">
        <f t="shared" si="365"/>
        <v>0</v>
      </c>
      <c r="AW101" s="51">
        <f t="shared" si="452"/>
        <v>0</v>
      </c>
      <c r="AX101" s="51">
        <f t="shared" si="366"/>
        <v>0</v>
      </c>
      <c r="AY101" s="54">
        <f t="shared" si="367"/>
        <v>0</v>
      </c>
      <c r="AZ101" s="55">
        <f t="shared" si="368"/>
        <v>0</v>
      </c>
      <c r="BA101" s="56">
        <f>IF(AND($E101&lt;&gt;0,$F101&gt;0,YEAR($F101)&gt;=Preisindex!$A$6,YEAR(AV$4)&gt;=YEAR($F101),AND($K101&lt;&gt;"a",$K101&lt;&gt;"b",$K101&lt;&gt;"g",$K101&lt;&gt;"k")),1,IF(AND($E101&lt;&gt;0,$F101&gt;0,YEAR($F101)&gt;=Preisindex!$A$6,YEAR(AV$4)&gt;=YEAR($F101),$K101="a"),ROUND(VLOOKUP(BA$4,Preisindex,5,FALSE)/VLOOKUP(YEAR($F101),Preisindex,5,FALSE),2),IF(AND($E101&lt;&gt;0,$F101&gt;0,YEAR($F101)&gt;=Preisindex!$A$6,YEAR(AV$4)&gt;=YEAR($F101),$K101="b"),ROUND(VLOOKUP(BA$4,Preisindex,3,FALSE)/VLOOKUP(YEAR($F101),Preisindex,3,FALSE),2),IF(AND($E101&lt;&gt;0,$F101&gt;0,YEAR($F101)&gt;=Preisindex!$A$6,YEAR(AV$4)&gt;=YEAR($F101),$K101="g"),ROUND(VLOOKUP(BA$4,Preisindex,4,FALSE)/VLOOKUP(YEAR($F101),Preisindex,4,FALSE),2),IF(AND($E101&lt;&gt;0,$F101&gt;0,YEAR($F101)&gt;=Preisindex!$A$6,YEAR(AV$4)&gt;=YEAR($F101),$K101="k"),ROUND(VLOOKUP(BA$4,Preisindex,2,FALSE)/VLOOKUP(YEAR($F101),Preisindex,2,FALSE),2),0)))))</f>
        <v>0</v>
      </c>
      <c r="BB101" s="56">
        <f>IF(AND($E101&lt;&gt;0,$F101&gt;0,YEAR($F101)&lt;Preisindex!$A$6,YEAR(AV$4)&gt;=YEAR($F101),AND($K101&lt;&gt;"a",$K101&lt;&gt;"b",$K101&lt;&gt;"g",$K101&lt;&gt;"k")),1,IF(AND($E101&lt;&gt;0,$F101&gt;0,YEAR($F101)&lt;Preisindex!$A$6,YEAR(AV$4)&gt;=YEAR($F101),$K101="a"),ROUND(VLOOKUP(BA$4,Preisindex,5,FALSE)/VLOOKUP(Preisindex!$A$6,Preisindex,5,FALSE),2),IF(AND($E101&lt;&gt;0,$F101&gt;0,YEAR($F101)&lt;Preisindex!$A$6,YEAR(AV$4)&gt;=YEAR($F101),$K101="b"),ROUND(VLOOKUP(BA$4,Preisindex,3,FALSE)/VLOOKUP(Preisindex!$A$6,Preisindex,3,FALSE),2),IF(AND($E101&lt;&gt;0,$F101&gt;0,YEAR($F101)&lt;Preisindex!$A$6,YEAR(AV$4)&gt;=YEAR($F101),$K101="g"),ROUND(VLOOKUP(BA$4,Preisindex,4,FALSE)/VLOOKUP(Preisindex!$A$6,Preisindex,4,FALSE),2),IF(AND($E101&lt;&gt;0,$F101&gt;0,YEAR($F101)&lt;Preisindex!$A$6,YEAR(AV$4)&gt;=YEAR($F101),$K101="k"),ROUND(VLOOKUP(BA$4,Preisindex,2,FALSE)/VLOOKUP(Preisindex!$A$6,Preisindex,2,FALSE),2),0)))))</f>
        <v>0</v>
      </c>
      <c r="BC101" s="51">
        <f>IF(AND($E101&lt;&gt;0,$F101&gt;0,YEAR($F101)&lt;=BA$4,YEAR($F101)&gt;=Preisindex!$A$6),ROUND($E101*BA101,2),IF(AND($E101&lt;&gt;0,$F101&gt;0,YEAR($F101)&lt;=BA$4,YEAR($F101)&lt;Preisindex!$A$6),ROUND($E101*BB101,2),0))</f>
        <v>0</v>
      </c>
      <c r="BD101" s="53">
        <f t="shared" si="369"/>
        <v>0</v>
      </c>
      <c r="BE101" s="51">
        <f t="shared" si="488"/>
        <v>0</v>
      </c>
      <c r="BF101" s="51">
        <f t="shared" si="453"/>
        <v>0</v>
      </c>
      <c r="BG101" s="51">
        <f t="shared" si="370"/>
        <v>0</v>
      </c>
      <c r="BH101" s="51">
        <f t="shared" si="454"/>
        <v>0</v>
      </c>
      <c r="BI101" s="51">
        <f t="shared" si="371"/>
        <v>0</v>
      </c>
      <c r="BJ101" s="51">
        <f t="shared" si="455"/>
        <v>0</v>
      </c>
      <c r="BK101" s="51">
        <f t="shared" si="372"/>
        <v>0</v>
      </c>
      <c r="BL101" s="51">
        <f t="shared" si="456"/>
        <v>0</v>
      </c>
      <c r="BM101" s="51">
        <f t="shared" si="373"/>
        <v>0</v>
      </c>
      <c r="BN101" s="51">
        <f t="shared" si="457"/>
        <v>0</v>
      </c>
      <c r="BO101" s="51">
        <f t="shared" si="374"/>
        <v>0</v>
      </c>
      <c r="BP101" s="54">
        <f t="shared" si="375"/>
        <v>0</v>
      </c>
      <c r="BQ101" s="55">
        <f t="shared" si="376"/>
        <v>0</v>
      </c>
      <c r="BR101" s="56">
        <f>IF(AND($E101&lt;&gt;0,$F101&gt;0,YEAR($F101)&gt;=Preisindex!$A$6,YEAR(BM$4)&gt;=YEAR($F101),AND($K101&lt;&gt;"a",$K101&lt;&gt;"b",$K101&lt;&gt;"g",$K101&lt;&gt;"k")),1,IF(AND($E101&lt;&gt;0,$F101&gt;0,YEAR($F101)&gt;=Preisindex!$A$6,YEAR(BM$4)&gt;=YEAR($F101),$K101="a"),ROUND(VLOOKUP(BR$4,Preisindex,5,FALSE)/VLOOKUP(YEAR($F101),Preisindex,5,FALSE),2),IF(AND($E101&lt;&gt;0,$F101&gt;0,YEAR($F101)&gt;=Preisindex!$A$6,YEAR(BM$4)&gt;=YEAR($F101),$K101="b"),ROUND(VLOOKUP(BR$4,Preisindex,3,FALSE)/VLOOKUP(YEAR($F101),Preisindex,3,FALSE),2),IF(AND($E101&lt;&gt;0,$F101&gt;0,YEAR($F101)&gt;=Preisindex!$A$6,YEAR(BM$4)&gt;=YEAR($F101),$K101="g"),ROUND(VLOOKUP(BR$4,Preisindex,4,FALSE)/VLOOKUP(YEAR($F101),Preisindex,4,FALSE),2),IF(AND($E101&lt;&gt;0,$F101&gt;0,YEAR($F101)&gt;=Preisindex!$A$6,YEAR(BM$4)&gt;=YEAR($F101),$K101="k"),ROUND(VLOOKUP(BR$4,Preisindex,2,FALSE)/VLOOKUP(YEAR($F101),Preisindex,2,FALSE),2),0)))))</f>
        <v>0</v>
      </c>
      <c r="BS101" s="56">
        <f>IF(AND($E101&lt;&gt;0,$F101&gt;0,YEAR($F101)&lt;Preisindex!$A$6,YEAR(BM$4)&gt;=YEAR($F101),AND($K101&lt;&gt;"a",$K101&lt;&gt;"b",$K101&lt;&gt;"g",$K101&lt;&gt;"k")),1,IF(AND($E101&lt;&gt;0,$F101&gt;0,YEAR($F101)&lt;Preisindex!$A$6,YEAR(BM$4)&gt;=YEAR($F101),$K101="a"),ROUND(VLOOKUP(BR$4,Preisindex,5,FALSE)/VLOOKUP(Preisindex!$A$6,Preisindex,5,FALSE),2),IF(AND($E101&lt;&gt;0,$F101&gt;0,YEAR($F101)&lt;Preisindex!$A$6,YEAR(BM$4)&gt;=YEAR($F101),$K101="b"),ROUND(VLOOKUP(BR$4,Preisindex,3,FALSE)/VLOOKUP(Preisindex!$A$6,Preisindex,3,FALSE),2),IF(AND($E101&lt;&gt;0,$F101&gt;0,YEAR($F101)&lt;Preisindex!$A$6,YEAR(BM$4)&gt;=YEAR($F101),$K101="g"),ROUND(VLOOKUP(BR$4,Preisindex,4,FALSE)/VLOOKUP(Preisindex!$A$6,Preisindex,4,FALSE),2),IF(AND($E101&lt;&gt;0,$F101&gt;0,YEAR($F101)&lt;Preisindex!$A$6,YEAR(BM$4)&gt;=YEAR($F101),$K101="k"),ROUND(VLOOKUP(BR$4,Preisindex,2,FALSE)/VLOOKUP(Preisindex!$A$6,Preisindex,2,FALSE),2),0)))))</f>
        <v>0</v>
      </c>
      <c r="BT101" s="51">
        <f>IF(AND($E101&lt;&gt;0,$F101&gt;0,YEAR($F101)&lt;=BR$4,YEAR($F101)&gt;=Preisindex!$A$6),ROUND($E101*BR101,2),IF(AND($E101&lt;&gt;0,$F101&gt;0,YEAR($F101)&lt;=BR$4,YEAR($F101)&lt;Preisindex!$A$6),ROUND($E101*BS101,2),0))</f>
        <v>0</v>
      </c>
      <c r="BU101" s="53">
        <f t="shared" si="377"/>
        <v>0</v>
      </c>
      <c r="BV101" s="51">
        <f t="shared" si="488"/>
        <v>0</v>
      </c>
      <c r="BW101" s="51">
        <f t="shared" si="458"/>
        <v>0</v>
      </c>
      <c r="BX101" s="51">
        <f t="shared" si="378"/>
        <v>0</v>
      </c>
      <c r="BY101" s="51">
        <f t="shared" si="459"/>
        <v>0</v>
      </c>
      <c r="BZ101" s="51">
        <f t="shared" si="379"/>
        <v>0</v>
      </c>
      <c r="CA101" s="51">
        <f t="shared" si="460"/>
        <v>0</v>
      </c>
      <c r="CB101" s="51">
        <f t="shared" si="380"/>
        <v>0</v>
      </c>
      <c r="CC101" s="51">
        <f t="shared" si="461"/>
        <v>0</v>
      </c>
      <c r="CD101" s="51">
        <f t="shared" si="381"/>
        <v>0</v>
      </c>
      <c r="CE101" s="51">
        <f t="shared" si="462"/>
        <v>0</v>
      </c>
      <c r="CF101" s="51">
        <f t="shared" si="382"/>
        <v>0</v>
      </c>
      <c r="CG101" s="54">
        <f t="shared" si="383"/>
        <v>0</v>
      </c>
      <c r="CH101" s="55">
        <f t="shared" si="384"/>
        <v>0</v>
      </c>
      <c r="CI101" s="56">
        <f>IF(AND($E101&lt;&gt;0,$F101&gt;0,YEAR($F101)&gt;=Preisindex!$A$6,YEAR(CD$4)&gt;=YEAR($F101),AND($K101&lt;&gt;"a",$K101&lt;&gt;"b",$K101&lt;&gt;"g",$K101&lt;&gt;"k")),1,IF(AND($E101&lt;&gt;0,$F101&gt;0,YEAR($F101)&gt;=Preisindex!$A$6,YEAR(CD$4)&gt;=YEAR($F101),$K101="a"),ROUND(VLOOKUP(CI$4,Preisindex,5,FALSE)/VLOOKUP(YEAR($F101),Preisindex,5,FALSE),2),IF(AND($E101&lt;&gt;0,$F101&gt;0,YEAR($F101)&gt;=Preisindex!$A$6,YEAR(CD$4)&gt;=YEAR($F101),$K101="b"),ROUND(VLOOKUP(CI$4,Preisindex,3,FALSE)/VLOOKUP(YEAR($F101),Preisindex,3,FALSE),2),IF(AND($E101&lt;&gt;0,$F101&gt;0,YEAR($F101)&gt;=Preisindex!$A$6,YEAR(CD$4)&gt;=YEAR($F101),$K101="g"),ROUND(VLOOKUP(CI$4,Preisindex,4,FALSE)/VLOOKUP(YEAR($F101),Preisindex,4,FALSE),2),IF(AND($E101&lt;&gt;0,$F101&gt;0,YEAR($F101)&gt;=Preisindex!$A$6,YEAR(CD$4)&gt;=YEAR($F101),$K101="k"),ROUND(VLOOKUP(CI$4,Preisindex,2,FALSE)/VLOOKUP(YEAR($F101),Preisindex,2,FALSE),2),0)))))</f>
        <v>0</v>
      </c>
      <c r="CJ101" s="56">
        <f>IF(AND($E101&lt;&gt;0,$F101&gt;0,YEAR($F101)&lt;Preisindex!$A$6,YEAR(CD$4)&gt;=YEAR($F101),AND($K101&lt;&gt;"a",$K101&lt;&gt;"b",$K101&lt;&gt;"g",$K101&lt;&gt;"k")),1,IF(AND($E101&lt;&gt;0,$F101&gt;0,YEAR($F101)&lt;Preisindex!$A$6,YEAR(CD$4)&gt;=YEAR($F101),$K101="a"),ROUND(VLOOKUP(CI$4,Preisindex,5,FALSE)/VLOOKUP(Preisindex!$A$6,Preisindex,5,FALSE),2),IF(AND($E101&lt;&gt;0,$F101&gt;0,YEAR($F101)&lt;Preisindex!$A$6,YEAR(CD$4)&gt;=YEAR($F101),$K101="b"),ROUND(VLOOKUP(CI$4,Preisindex,3,FALSE)/VLOOKUP(Preisindex!$A$6,Preisindex,3,FALSE),2),IF(AND($E101&lt;&gt;0,$F101&gt;0,YEAR($F101)&lt;Preisindex!$A$6,YEAR(CD$4)&gt;=YEAR($F101),$K101="g"),ROUND(VLOOKUP(CI$4,Preisindex,4,FALSE)/VLOOKUP(Preisindex!$A$6,Preisindex,4,FALSE),2),IF(AND($E101&lt;&gt;0,$F101&gt;0,YEAR($F101)&lt;Preisindex!$A$6,YEAR(CD$4)&gt;=YEAR($F101),$K101="k"),ROUND(VLOOKUP(CI$4,Preisindex,2,FALSE)/VLOOKUP(Preisindex!$A$6,Preisindex,2,FALSE),2),0)))))</f>
        <v>0</v>
      </c>
      <c r="CK101" s="51">
        <f>IF(AND($E101&lt;&gt;0,$F101&gt;0,YEAR($F101)&lt;=CI$4,YEAR($F101)&gt;=Preisindex!$A$6),ROUND($E101*CI101,2),IF(AND($E101&lt;&gt;0,$F101&gt;0,YEAR($F101)&lt;=CI$4,YEAR($F101)&lt;Preisindex!$A$6),ROUND($E101*CJ101,2),0))</f>
        <v>0</v>
      </c>
      <c r="CL101" s="53">
        <f t="shared" si="385"/>
        <v>0</v>
      </c>
      <c r="CM101" s="51">
        <f t="shared" si="488"/>
        <v>0</v>
      </c>
      <c r="CN101" s="51">
        <f t="shared" si="463"/>
        <v>0</v>
      </c>
      <c r="CO101" s="51">
        <f t="shared" si="386"/>
        <v>0</v>
      </c>
      <c r="CP101" s="51">
        <f t="shared" si="464"/>
        <v>0</v>
      </c>
      <c r="CQ101" s="51">
        <f t="shared" si="387"/>
        <v>0</v>
      </c>
      <c r="CR101" s="51">
        <f t="shared" si="465"/>
        <v>0</v>
      </c>
      <c r="CS101" s="51">
        <f t="shared" si="388"/>
        <v>0</v>
      </c>
      <c r="CT101" s="51">
        <f t="shared" si="466"/>
        <v>0</v>
      </c>
      <c r="CU101" s="51">
        <f t="shared" si="389"/>
        <v>0</v>
      </c>
      <c r="CV101" s="51">
        <f t="shared" si="467"/>
        <v>0</v>
      </c>
      <c r="CW101" s="51">
        <f t="shared" si="390"/>
        <v>0</v>
      </c>
      <c r="CX101" s="54">
        <f t="shared" si="391"/>
        <v>0</v>
      </c>
      <c r="CY101" s="55">
        <f t="shared" si="392"/>
        <v>0</v>
      </c>
      <c r="CZ101" s="56">
        <f>IF(AND($E101&lt;&gt;0,$F101&gt;0,YEAR($F101)&gt;=Preisindex!$A$6,YEAR(CU$4)&gt;=YEAR($F101),AND($K101&lt;&gt;"a",$K101&lt;&gt;"b",$K101&lt;&gt;"g",$K101&lt;&gt;"k")),1,IF(AND($E101&lt;&gt;0,$F101&gt;0,YEAR($F101)&gt;=Preisindex!$A$6,YEAR(CU$4)&gt;=YEAR($F101),$K101="a"),ROUND(VLOOKUP(CZ$4,Preisindex,5,FALSE)/VLOOKUP(YEAR($F101),Preisindex,5,FALSE),2),IF(AND($E101&lt;&gt;0,$F101&gt;0,YEAR($F101)&gt;=Preisindex!$A$6,YEAR(CU$4)&gt;=YEAR($F101),$K101="b"),ROUND(VLOOKUP(CZ$4,Preisindex,3,FALSE)/VLOOKUP(YEAR($F101),Preisindex,3,FALSE),2),IF(AND($E101&lt;&gt;0,$F101&gt;0,YEAR($F101)&gt;=Preisindex!$A$6,YEAR(CU$4)&gt;=YEAR($F101),$K101="g"),ROUND(VLOOKUP(CZ$4,Preisindex,4,FALSE)/VLOOKUP(YEAR($F101),Preisindex,4,FALSE),2),IF(AND($E101&lt;&gt;0,$F101&gt;0,YEAR($F101)&gt;=Preisindex!$A$6,YEAR(CU$4)&gt;=YEAR($F101),$K101="k"),ROUND(VLOOKUP(CZ$4,Preisindex,2,FALSE)/VLOOKUP(YEAR($F101),Preisindex,2,FALSE),2),0)))))</f>
        <v>0</v>
      </c>
      <c r="DA101" s="56">
        <f>IF(AND($E101&lt;&gt;0,$F101&gt;0,YEAR($F101)&lt;Preisindex!$A$6,YEAR(CU$4)&gt;=YEAR($F101),AND($K101&lt;&gt;"a",$K101&lt;&gt;"b",$K101&lt;&gt;"g",$K101&lt;&gt;"k")),1,IF(AND($E101&lt;&gt;0,$F101&gt;0,YEAR($F101)&lt;Preisindex!$A$6,YEAR(CU$4)&gt;=YEAR($F101),$K101="a"),ROUND(VLOOKUP(CZ$4,Preisindex,5,FALSE)/VLOOKUP(Preisindex!$A$6,Preisindex,5,FALSE),2),IF(AND($E101&lt;&gt;0,$F101&gt;0,YEAR($F101)&lt;Preisindex!$A$6,YEAR(CU$4)&gt;=YEAR($F101),$K101="b"),ROUND(VLOOKUP(CZ$4,Preisindex,3,FALSE)/VLOOKUP(Preisindex!$A$6,Preisindex,3,FALSE),2),IF(AND($E101&lt;&gt;0,$F101&gt;0,YEAR($F101)&lt;Preisindex!$A$6,YEAR(CU$4)&gt;=YEAR($F101),$K101="g"),ROUND(VLOOKUP(CZ$4,Preisindex,4,FALSE)/VLOOKUP(Preisindex!$A$6,Preisindex,4,FALSE),2),IF(AND($E101&lt;&gt;0,$F101&gt;0,YEAR($F101)&lt;Preisindex!$A$6,YEAR(CU$4)&gt;=YEAR($F101),$K101="k"),ROUND(VLOOKUP(CZ$4,Preisindex,2,FALSE)/VLOOKUP(Preisindex!$A$6,Preisindex,2,FALSE),2),0)))))</f>
        <v>0</v>
      </c>
      <c r="DB101" s="51">
        <f>IF(AND($E101&lt;&gt;0,$F101&gt;0,YEAR($F101)&lt;=CZ$4,YEAR($F101)&gt;=Preisindex!$A$6),ROUND($E101*CZ101,2),IF(AND($E101&lt;&gt;0,$F101&gt;0,YEAR($F101)&lt;=CZ$4,YEAR($F101)&lt;Preisindex!$A$6),ROUND($E101*DA101,2),0))</f>
        <v>0</v>
      </c>
      <c r="DC101" s="53">
        <f t="shared" si="393"/>
        <v>0</v>
      </c>
      <c r="DD101" s="51">
        <f t="shared" ref="DD101:FC116" si="489">IF(YEAR($F101)=DD$4,$E101,0)</f>
        <v>0</v>
      </c>
      <c r="DE101" s="51">
        <f t="shared" si="468"/>
        <v>0</v>
      </c>
      <c r="DF101" s="51">
        <f t="shared" si="395"/>
        <v>0</v>
      </c>
      <c r="DG101" s="51">
        <f t="shared" si="469"/>
        <v>0</v>
      </c>
      <c r="DH101" s="51">
        <f t="shared" si="396"/>
        <v>0</v>
      </c>
      <c r="DI101" s="51">
        <f t="shared" si="470"/>
        <v>0</v>
      </c>
      <c r="DJ101" s="51">
        <f t="shared" si="397"/>
        <v>0</v>
      </c>
      <c r="DK101" s="51">
        <f t="shared" si="471"/>
        <v>0</v>
      </c>
      <c r="DL101" s="51">
        <f t="shared" si="398"/>
        <v>0</v>
      </c>
      <c r="DM101" s="51">
        <f t="shared" si="472"/>
        <v>0</v>
      </c>
      <c r="DN101" s="51">
        <f t="shared" si="399"/>
        <v>0</v>
      </c>
      <c r="DO101" s="54">
        <f t="shared" si="400"/>
        <v>0</v>
      </c>
      <c r="DP101" s="55">
        <f t="shared" si="401"/>
        <v>0</v>
      </c>
      <c r="DQ101" s="56">
        <f>IF(AND($E101&lt;&gt;0,$F101&gt;0,YEAR($F101)&gt;=Preisindex!$A$6,YEAR(DL$4)&gt;=YEAR($F101),AND($K101&lt;&gt;"a",$K101&lt;&gt;"b",$K101&lt;&gt;"g",$K101&lt;&gt;"k")),1,IF(AND($E101&lt;&gt;0,$F101&gt;0,YEAR($F101)&gt;=Preisindex!$A$6,YEAR(DL$4)&gt;=YEAR($F101),$K101="a"),ROUND(VLOOKUP(DQ$4,Preisindex,5,FALSE)/VLOOKUP(YEAR($F101),Preisindex,5,FALSE),2),IF(AND($E101&lt;&gt;0,$F101&gt;0,YEAR($F101)&gt;=Preisindex!$A$6,YEAR(DL$4)&gt;=YEAR($F101),$K101="b"),ROUND(VLOOKUP(DQ$4,Preisindex,3,FALSE)/VLOOKUP(YEAR($F101),Preisindex,3,FALSE),2),IF(AND($E101&lt;&gt;0,$F101&gt;0,YEAR($F101)&gt;=Preisindex!$A$6,YEAR(DL$4)&gt;=YEAR($F101),$K101="g"),ROUND(VLOOKUP(DQ$4,Preisindex,4,FALSE)/VLOOKUP(YEAR($F101),Preisindex,4,FALSE),2),IF(AND($E101&lt;&gt;0,$F101&gt;0,YEAR($F101)&gt;=Preisindex!$A$6,YEAR(DL$4)&gt;=YEAR($F101),$K101="k"),ROUND(VLOOKUP(DQ$4,Preisindex,2,FALSE)/VLOOKUP(YEAR($F101),Preisindex,2,FALSE),2),0)))))</f>
        <v>0</v>
      </c>
      <c r="DR101" s="56">
        <f>IF(AND($E101&lt;&gt;0,$F101&gt;0,YEAR($F101)&lt;Preisindex!$A$6,YEAR(DL$4)&gt;=YEAR($F101),AND($K101&lt;&gt;"a",$K101&lt;&gt;"b",$K101&lt;&gt;"g",$K101&lt;&gt;"k")),1,IF(AND($E101&lt;&gt;0,$F101&gt;0,YEAR($F101)&lt;Preisindex!$A$6,YEAR(DL$4)&gt;=YEAR($F101),$K101="a"),ROUND(VLOOKUP(DQ$4,Preisindex,5,FALSE)/VLOOKUP(Preisindex!$A$6,Preisindex,5,FALSE),2),IF(AND($E101&lt;&gt;0,$F101&gt;0,YEAR($F101)&lt;Preisindex!$A$6,YEAR(DL$4)&gt;=YEAR($F101),$K101="b"),ROUND(VLOOKUP(DQ$4,Preisindex,3,FALSE)/VLOOKUP(Preisindex!$A$6,Preisindex,3,FALSE),2),IF(AND($E101&lt;&gt;0,$F101&gt;0,YEAR($F101)&lt;Preisindex!$A$6,YEAR(DL$4)&gt;=YEAR($F101),$K101="g"),ROUND(VLOOKUP(DQ$4,Preisindex,4,FALSE)/VLOOKUP(Preisindex!$A$6,Preisindex,4,FALSE),2),IF(AND($E101&lt;&gt;0,$F101&gt;0,YEAR($F101)&lt;Preisindex!$A$6,YEAR(DL$4)&gt;=YEAR($F101),$K101="k"),ROUND(VLOOKUP(DQ$4,Preisindex,2,FALSE)/VLOOKUP(Preisindex!$A$6,Preisindex,2,FALSE),2),0)))))</f>
        <v>0</v>
      </c>
      <c r="DS101" s="51">
        <f>IF(AND($E101&lt;&gt;0,$F101&gt;0,YEAR($F101)&lt;=DQ$4,YEAR($F101)&gt;=Preisindex!$A$6),ROUND($E101*DQ101,2),IF(AND($E101&lt;&gt;0,$F101&gt;0,YEAR($F101)&lt;=DQ$4,YEAR($F101)&lt;Preisindex!$A$6),ROUND($E101*DR101,2),0))</f>
        <v>0</v>
      </c>
      <c r="DT101" s="53">
        <f t="shared" si="402"/>
        <v>0</v>
      </c>
      <c r="DU101" s="51">
        <f t="shared" si="489"/>
        <v>0</v>
      </c>
      <c r="DV101" s="51">
        <f t="shared" si="473"/>
        <v>0</v>
      </c>
      <c r="DW101" s="51">
        <f t="shared" si="403"/>
        <v>0</v>
      </c>
      <c r="DX101" s="51">
        <f t="shared" si="474"/>
        <v>0</v>
      </c>
      <c r="DY101" s="51">
        <f t="shared" si="404"/>
        <v>0</v>
      </c>
      <c r="DZ101" s="51">
        <f t="shared" si="475"/>
        <v>0</v>
      </c>
      <c r="EA101" s="51">
        <f t="shared" si="405"/>
        <v>0</v>
      </c>
      <c r="EB101" s="51">
        <f t="shared" si="476"/>
        <v>0</v>
      </c>
      <c r="EC101" s="51">
        <f t="shared" si="406"/>
        <v>0</v>
      </c>
      <c r="ED101" s="51">
        <f t="shared" si="477"/>
        <v>0</v>
      </c>
      <c r="EE101" s="51">
        <f t="shared" si="407"/>
        <v>0</v>
      </c>
      <c r="EF101" s="54">
        <f t="shared" si="408"/>
        <v>0</v>
      </c>
      <c r="EG101" s="55">
        <f t="shared" si="409"/>
        <v>0</v>
      </c>
      <c r="EH101" s="56">
        <f>IF(AND($E101&lt;&gt;0,$F101&gt;0,YEAR($F101)&gt;=Preisindex!$A$6,YEAR(EC$4)&gt;=YEAR($F101),AND($K101&lt;&gt;"a",$K101&lt;&gt;"b",$K101&lt;&gt;"g",$K101&lt;&gt;"k")),1,IF(AND($E101&lt;&gt;0,$F101&gt;0,YEAR($F101)&gt;=Preisindex!$A$6,YEAR(EC$4)&gt;=YEAR($F101),$K101="a"),ROUND(VLOOKUP(EH$4,Preisindex,5,FALSE)/VLOOKUP(YEAR($F101),Preisindex,5,FALSE),2),IF(AND($E101&lt;&gt;0,$F101&gt;0,YEAR($F101)&gt;=Preisindex!$A$6,YEAR(EC$4)&gt;=YEAR($F101),$K101="b"),ROUND(VLOOKUP(EH$4,Preisindex,3,FALSE)/VLOOKUP(YEAR($F101),Preisindex,3,FALSE),2),IF(AND($E101&lt;&gt;0,$F101&gt;0,YEAR($F101)&gt;=Preisindex!$A$6,YEAR(EC$4)&gt;=YEAR($F101),$K101="g"),ROUND(VLOOKUP(EH$4,Preisindex,4,FALSE)/VLOOKUP(YEAR($F101),Preisindex,4,FALSE),2),IF(AND($E101&lt;&gt;0,$F101&gt;0,YEAR($F101)&gt;=Preisindex!$A$6,YEAR(EC$4)&gt;=YEAR($F101),$K101="k"),ROUND(VLOOKUP(EH$4,Preisindex,2,FALSE)/VLOOKUP(YEAR($F101),Preisindex,2,FALSE),2),0)))))</f>
        <v>0</v>
      </c>
      <c r="EI101" s="56">
        <f>IF(AND($E101&lt;&gt;0,$F101&gt;0,YEAR($F101)&lt;Preisindex!$A$6,YEAR(EC$4)&gt;=YEAR($F101),AND($K101&lt;&gt;"a",$K101&lt;&gt;"b",$K101&lt;&gt;"g",$K101&lt;&gt;"k")),1,IF(AND($E101&lt;&gt;0,$F101&gt;0,YEAR($F101)&lt;Preisindex!$A$6,YEAR(EC$4)&gt;=YEAR($F101),$K101="a"),ROUND(VLOOKUP(EH$4,Preisindex,5,FALSE)/VLOOKUP(Preisindex!$A$6,Preisindex,5,FALSE),2),IF(AND($E101&lt;&gt;0,$F101&gt;0,YEAR($F101)&lt;Preisindex!$A$6,YEAR(EC$4)&gt;=YEAR($F101),$K101="b"),ROUND(VLOOKUP(EH$4,Preisindex,3,FALSE)/VLOOKUP(Preisindex!$A$6,Preisindex,3,FALSE),2),IF(AND($E101&lt;&gt;0,$F101&gt;0,YEAR($F101)&lt;Preisindex!$A$6,YEAR(EC$4)&gt;=YEAR($F101),$K101="g"),ROUND(VLOOKUP(EH$4,Preisindex,4,FALSE)/VLOOKUP(Preisindex!$A$6,Preisindex,4,FALSE),2),IF(AND($E101&lt;&gt;0,$F101&gt;0,YEAR($F101)&lt;Preisindex!$A$6,YEAR(EC$4)&gt;=YEAR($F101),$K101="k"),ROUND(VLOOKUP(EH$4,Preisindex,2,FALSE)/VLOOKUP(Preisindex!$A$6,Preisindex,2,FALSE),2),0)))))</f>
        <v>0</v>
      </c>
      <c r="EJ101" s="51">
        <f>IF(AND($E101&lt;&gt;0,$F101&gt;0,YEAR($F101)&lt;=EH$4,YEAR($F101)&gt;=Preisindex!$A$6),ROUND($E101*EH101,2),IF(AND($E101&lt;&gt;0,$F101&gt;0,YEAR($F101)&lt;=EH$4,YEAR($F101)&lt;Preisindex!$A$6),ROUND($E101*EI101,2),0))</f>
        <v>0</v>
      </c>
      <c r="EK101" s="53">
        <f t="shared" si="410"/>
        <v>0</v>
      </c>
      <c r="EL101" s="51">
        <f t="shared" si="489"/>
        <v>0</v>
      </c>
      <c r="EM101" s="51">
        <f t="shared" si="478"/>
        <v>0</v>
      </c>
      <c r="EN101" s="51">
        <f t="shared" si="411"/>
        <v>0</v>
      </c>
      <c r="EO101" s="51">
        <f t="shared" si="479"/>
        <v>0</v>
      </c>
      <c r="EP101" s="51">
        <f t="shared" si="412"/>
        <v>0</v>
      </c>
      <c r="EQ101" s="51">
        <f t="shared" si="480"/>
        <v>0</v>
      </c>
      <c r="ER101" s="51">
        <f t="shared" si="413"/>
        <v>0</v>
      </c>
      <c r="ES101" s="51">
        <f t="shared" si="481"/>
        <v>0</v>
      </c>
      <c r="ET101" s="51">
        <f t="shared" si="414"/>
        <v>0</v>
      </c>
      <c r="EU101" s="51">
        <f t="shared" si="482"/>
        <v>0</v>
      </c>
      <c r="EV101" s="51">
        <f t="shared" si="415"/>
        <v>0</v>
      </c>
      <c r="EW101" s="54">
        <f t="shared" si="416"/>
        <v>0</v>
      </c>
      <c r="EX101" s="55">
        <f t="shared" si="417"/>
        <v>0</v>
      </c>
      <c r="EY101" s="56">
        <f>IF(AND($E101&lt;&gt;0,$F101&gt;0,YEAR($F101)&gt;=Preisindex!$A$6,YEAR(ET$4)&gt;=YEAR($F101),AND($K101&lt;&gt;"a",$K101&lt;&gt;"b",$K101&lt;&gt;"g",$K101&lt;&gt;"k")),1,IF(AND($E101&lt;&gt;0,$F101&gt;0,YEAR($F101)&gt;=Preisindex!$A$6,YEAR(ET$4)&gt;=YEAR($F101),$K101="a"),ROUND(VLOOKUP(EY$4,Preisindex,5,FALSE)/VLOOKUP(YEAR($F101),Preisindex,5,FALSE),2),IF(AND($E101&lt;&gt;0,$F101&gt;0,YEAR($F101)&gt;=Preisindex!$A$6,YEAR(ET$4)&gt;=YEAR($F101),$K101="b"),ROUND(VLOOKUP(EY$4,Preisindex,3,FALSE)/VLOOKUP(YEAR($F101),Preisindex,3,FALSE),2),IF(AND($E101&lt;&gt;0,$F101&gt;0,YEAR($F101)&gt;=Preisindex!$A$6,YEAR(ET$4)&gt;=YEAR($F101),$K101="g"),ROUND(VLOOKUP(EY$4,Preisindex,4,FALSE)/VLOOKUP(YEAR($F101),Preisindex,4,FALSE),2),IF(AND($E101&lt;&gt;0,$F101&gt;0,YEAR($F101)&gt;=Preisindex!$A$6,YEAR(ET$4)&gt;=YEAR($F101),$K101="k"),ROUND(VLOOKUP(EY$4,Preisindex,2,FALSE)/VLOOKUP(YEAR($F101),Preisindex,2,FALSE),2),0)))))</f>
        <v>0</v>
      </c>
      <c r="EZ101" s="56">
        <f>IF(AND($E101&lt;&gt;0,$F101&gt;0,YEAR($F101)&lt;Preisindex!$A$6,YEAR(ET$4)&gt;=YEAR($F101),AND($K101&lt;&gt;"a",$K101&lt;&gt;"b",$K101&lt;&gt;"g",$K101&lt;&gt;"k")),1,IF(AND($E101&lt;&gt;0,$F101&gt;0,YEAR($F101)&lt;Preisindex!$A$6,YEAR(ET$4)&gt;=YEAR($F101),$K101="a"),ROUND(VLOOKUP(EY$4,Preisindex,5,FALSE)/VLOOKUP(Preisindex!$A$6,Preisindex,5,FALSE),2),IF(AND($E101&lt;&gt;0,$F101&gt;0,YEAR($F101)&lt;Preisindex!$A$6,YEAR(ET$4)&gt;=YEAR($F101),$K101="b"),ROUND(VLOOKUP(EY$4,Preisindex,3,FALSE)/VLOOKUP(Preisindex!$A$6,Preisindex,3,FALSE),2),IF(AND($E101&lt;&gt;0,$F101&gt;0,YEAR($F101)&lt;Preisindex!$A$6,YEAR(ET$4)&gt;=YEAR($F101),$K101="g"),ROUND(VLOOKUP(EY$4,Preisindex,4,FALSE)/VLOOKUP(Preisindex!$A$6,Preisindex,4,FALSE),2),IF(AND($E101&lt;&gt;0,$F101&gt;0,YEAR($F101)&lt;Preisindex!$A$6,YEAR(ET$4)&gt;=YEAR($F101),$K101="k"),ROUND(VLOOKUP(EY$4,Preisindex,2,FALSE)/VLOOKUP(Preisindex!$A$6,Preisindex,2,FALSE),2),0)))))</f>
        <v>0</v>
      </c>
      <c r="FA101" s="51">
        <f>IF(AND($E101&lt;&gt;0,$F101&gt;0,YEAR($F101)&lt;=EY$4,YEAR($F101)&gt;=Preisindex!$A$6),ROUND($E101*EY101,2),IF(AND($E101&lt;&gt;0,$F101&gt;0,YEAR($F101)&lt;=EY$4,YEAR($F101)&lt;Preisindex!$A$6),ROUND($E101*EZ101,2),0))</f>
        <v>0</v>
      </c>
      <c r="FB101" s="53">
        <f t="shared" si="418"/>
        <v>0</v>
      </c>
      <c r="FC101" s="51">
        <f t="shared" si="489"/>
        <v>0</v>
      </c>
      <c r="FD101" s="51">
        <f t="shared" si="483"/>
        <v>0</v>
      </c>
      <c r="FE101" s="51">
        <f t="shared" si="419"/>
        <v>0</v>
      </c>
      <c r="FF101" s="51">
        <f t="shared" si="484"/>
        <v>0</v>
      </c>
      <c r="FG101" s="51">
        <f t="shared" si="420"/>
        <v>0</v>
      </c>
      <c r="FH101" s="51">
        <f t="shared" si="485"/>
        <v>0</v>
      </c>
      <c r="FI101" s="51">
        <f t="shared" si="421"/>
        <v>0</v>
      </c>
      <c r="FJ101" s="51">
        <f t="shared" si="486"/>
        <v>0</v>
      </c>
      <c r="FK101" s="51">
        <f t="shared" si="422"/>
        <v>0</v>
      </c>
      <c r="FL101" s="51">
        <f t="shared" si="487"/>
        <v>0</v>
      </c>
      <c r="FM101" s="51">
        <f t="shared" si="423"/>
        <v>0</v>
      </c>
      <c r="FN101" s="54">
        <f t="shared" si="424"/>
        <v>0</v>
      </c>
      <c r="FO101" s="55">
        <f t="shared" si="425"/>
        <v>0</v>
      </c>
      <c r="FP101" s="56">
        <f>IF(AND($E101&lt;&gt;0,$F101&gt;0,YEAR($F101)&gt;=Preisindex!$A$6,YEAR(FK$4)&gt;=YEAR($F101),AND($K101&lt;&gt;"a",$K101&lt;&gt;"b",$K101&lt;&gt;"g",$K101&lt;&gt;"k")),1,IF(AND($E101&lt;&gt;0,$F101&gt;0,YEAR($F101)&gt;=Preisindex!$A$6,YEAR(FK$4)&gt;=YEAR($F101),$K101="a"),ROUND(VLOOKUP(FP$4,Preisindex,5,FALSE)/VLOOKUP(YEAR($F101),Preisindex,5,FALSE),2),IF(AND($E101&lt;&gt;0,$F101&gt;0,YEAR($F101)&gt;=Preisindex!$A$6,YEAR(FK$4)&gt;=YEAR($F101),$K101="b"),ROUND(VLOOKUP(FP$4,Preisindex,3,FALSE)/VLOOKUP(YEAR($F101),Preisindex,3,FALSE),2),IF(AND($E101&lt;&gt;0,$F101&gt;0,YEAR($F101)&gt;=Preisindex!$A$6,YEAR(FK$4)&gt;=YEAR($F101),$K101="g"),ROUND(VLOOKUP(FP$4,Preisindex,4,FALSE)/VLOOKUP(YEAR($F101),Preisindex,4,FALSE),2),IF(AND($E101&lt;&gt;0,$F101&gt;0,YEAR($F101)&gt;=Preisindex!$A$6,YEAR(FK$4)&gt;=YEAR($F101),$K101="k"),ROUND(VLOOKUP(FP$4,Preisindex,2,FALSE)/VLOOKUP(YEAR($F101),Preisindex,2,FALSE),2),0)))))</f>
        <v>0</v>
      </c>
      <c r="FQ101" s="56">
        <f>IF(AND($E101&lt;&gt;0,$F101&gt;0,YEAR($F101)&lt;Preisindex!$A$6,YEAR(FK$4)&gt;=YEAR($F101),AND($K101&lt;&gt;"a",$K101&lt;&gt;"b",$K101&lt;&gt;"g",$K101&lt;&gt;"k")),1,IF(AND($E101&lt;&gt;0,$F101&gt;0,YEAR($F101)&lt;Preisindex!$A$6,YEAR(FK$4)&gt;=YEAR($F101),$K101="a"),ROUND(VLOOKUP(FP$4,Preisindex,5,FALSE)/VLOOKUP(Preisindex!$A$6,Preisindex,5,FALSE),2),IF(AND($E101&lt;&gt;0,$F101&gt;0,YEAR($F101)&lt;Preisindex!$A$6,YEAR(FK$4)&gt;=YEAR($F101),$K101="b"),ROUND(VLOOKUP(FP$4,Preisindex,3,FALSE)/VLOOKUP(Preisindex!$A$6,Preisindex,3,FALSE),2),IF(AND($E101&lt;&gt;0,$F101&gt;0,YEAR($F101)&lt;Preisindex!$A$6,YEAR(FK$4)&gt;=YEAR($F101),$K101="g"),ROUND(VLOOKUP(FP$4,Preisindex,4,FALSE)/VLOOKUP(Preisindex!$A$6,Preisindex,4,FALSE),2),IF(AND($E101&lt;&gt;0,$F101&gt;0,YEAR($F101)&lt;Preisindex!$A$6,YEAR(FK$4)&gt;=YEAR($F101),$K101="k"),ROUND(VLOOKUP(FP$4,Preisindex,2,FALSE)/VLOOKUP(Preisindex!$A$6,Preisindex,2,FALSE),2),0)))))</f>
        <v>0</v>
      </c>
      <c r="FR101" s="51">
        <f>IF(AND($E101&lt;&gt;0,$F101&gt;0,YEAR($F101)&lt;=FP$4,YEAR($F101)&gt;=Preisindex!$A$6),ROUND($E101*FP101,2),IF(AND($E101&lt;&gt;0,$F101&gt;0,YEAR($F101)&lt;=FP$4,YEAR($F101)&lt;Preisindex!$A$6),ROUND($E101*FQ101,2),0))</f>
        <v>0</v>
      </c>
      <c r="FS101" s="53">
        <f t="shared" si="426"/>
        <v>0</v>
      </c>
    </row>
    <row r="102" spans="1:175" x14ac:dyDescent="0.3">
      <c r="A102" s="93"/>
      <c r="B102" s="94"/>
      <c r="C102" s="94"/>
      <c r="D102" s="95"/>
      <c r="E102" s="99"/>
      <c r="F102" s="97"/>
      <c r="G102" s="98"/>
      <c r="H102" s="620"/>
      <c r="I102" s="621"/>
      <c r="J102" s="194"/>
      <c r="K102" s="630"/>
      <c r="L102" s="49">
        <f t="shared" si="427"/>
        <v>0</v>
      </c>
      <c r="M102" s="50">
        <f t="shared" si="428"/>
        <v>0</v>
      </c>
      <c r="N102" s="51">
        <f t="shared" si="429"/>
        <v>0</v>
      </c>
      <c r="O102" s="51"/>
      <c r="P102" s="51">
        <f t="shared" si="430"/>
        <v>0</v>
      </c>
      <c r="Q102" s="52"/>
      <c r="R102" s="52"/>
      <c r="S102" s="52"/>
      <c r="T102" s="52"/>
      <c r="U102" s="52"/>
      <c r="V102" s="53">
        <f t="shared" si="431"/>
        <v>0</v>
      </c>
      <c r="W102" s="51">
        <f t="shared" si="432"/>
        <v>0</v>
      </c>
      <c r="X102" s="51">
        <f t="shared" si="433"/>
        <v>0</v>
      </c>
      <c r="Y102" s="51">
        <f t="shared" si="434"/>
        <v>0</v>
      </c>
      <c r="Z102" s="51">
        <f t="shared" si="435"/>
        <v>0</v>
      </c>
      <c r="AA102" s="51">
        <f t="shared" si="436"/>
        <v>0</v>
      </c>
      <c r="AB102" s="51">
        <f t="shared" si="437"/>
        <v>0</v>
      </c>
      <c r="AC102" s="51">
        <f t="shared" si="438"/>
        <v>0</v>
      </c>
      <c r="AD102" s="51">
        <f t="shared" si="439"/>
        <v>0</v>
      </c>
      <c r="AE102" s="51">
        <f t="shared" si="440"/>
        <v>0</v>
      </c>
      <c r="AF102" s="51">
        <f t="shared" si="441"/>
        <v>0</v>
      </c>
      <c r="AG102" s="51">
        <f t="shared" si="442"/>
        <v>0</v>
      </c>
      <c r="AH102" s="54">
        <f t="shared" si="443"/>
        <v>0</v>
      </c>
      <c r="AI102" s="55">
        <f t="shared" si="444"/>
        <v>0</v>
      </c>
      <c r="AJ102" s="56">
        <f>IF(AND($E102&lt;&gt;0,$F102&gt;0,YEAR($F102)&gt;=Preisindex!$A$6,YEAR(AE$4)&gt;=YEAR($F102),AND($K102&lt;&gt;"a",$K102&lt;&gt;"b",$K102&lt;&gt;"g",$K102&lt;&gt;"k")),1,IF(AND($E102&lt;&gt;0,$F102&gt;0,YEAR($F102)&gt;=Preisindex!$A$6,YEAR(AE$4)&gt;=YEAR($F102),$K102="a"),ROUND(VLOOKUP(AJ$4,Preisindex,5,FALSE)/VLOOKUP(YEAR($F102),Preisindex,5,FALSE),2),IF(AND($E102&lt;&gt;0,$F102&gt;0,YEAR($F102)&gt;=Preisindex!$A$6,YEAR(AE$4)&gt;=YEAR($F102),$K102="b"),ROUND(VLOOKUP(AJ$4,Preisindex,3,FALSE)/VLOOKUP(YEAR($F102),Preisindex,3,FALSE),2),IF(AND($E102&lt;&gt;0,$F102&gt;0,YEAR($F102)&gt;=Preisindex!$A$6,YEAR(AE$4)&gt;=YEAR($F102),$K102="g"),ROUND(VLOOKUP(AJ$4,Preisindex,4,FALSE)/VLOOKUP(YEAR($F102),Preisindex,4,FALSE),2),IF(AND($E102&lt;&gt;0,$F102&gt;0,YEAR($F102)&gt;=Preisindex!$A$6,YEAR(AE$4)&gt;=YEAR($F102),$K102="k"),ROUND(VLOOKUP(AJ$4,Preisindex,2,FALSE)/VLOOKUP(YEAR($F102),Preisindex,2,FALSE),2),0)))))</f>
        <v>0</v>
      </c>
      <c r="AK102" s="56">
        <f>IF(AND($E102&lt;&gt;0,$F102&gt;0,YEAR($F102)&lt;Preisindex!$A$6,YEAR(AE$4)&gt;=YEAR($F102),AND($K102&lt;&gt;"a",$K102&lt;&gt;"b",$K102&lt;&gt;"g",$K102&lt;&gt;"k")),1,IF(AND($E102&lt;&gt;0,$F102&gt;0,YEAR($F102)&lt;Preisindex!$A$6,YEAR(AE$4)&gt;=YEAR($F102),$K102="a"),ROUND(VLOOKUP(AJ$4,Preisindex,5,FALSE)/VLOOKUP(Preisindex!$A$6,Preisindex,5,FALSE),2),IF(AND($E102&lt;&gt;0,$F102&gt;0,YEAR($F102)&lt;Preisindex!$A$6,YEAR(AE$4)&gt;=YEAR($F102),$K102="b"),ROUND(VLOOKUP(AJ$4,Preisindex,3,FALSE)/VLOOKUP(Preisindex!$A$6,Preisindex,3,FALSE),2),IF(AND($E102&lt;&gt;0,$F102&gt;0,YEAR($F102)&lt;Preisindex!$A$6,YEAR(AE$4)&gt;=YEAR($F102),$K102="g"),ROUND(VLOOKUP(AJ$4,Preisindex,4,FALSE)/VLOOKUP(Preisindex!$A$6,Preisindex,4,FALSE),2),IF(AND($E102&lt;&gt;0,$F102&gt;0,YEAR($F102)&lt;Preisindex!$A$6,YEAR(AE$4)&gt;=YEAR($F102),$K102="k"),ROUND(VLOOKUP(AJ$4,Preisindex,2,FALSE)/VLOOKUP(Preisindex!$A$6,Preisindex,2,FALSE),2),0)))))</f>
        <v>0</v>
      </c>
      <c r="AL102" s="51">
        <f>IF(AND($E102&lt;&gt;0,$F102&gt;0,YEAR($F102)&lt;=AJ$4,YEAR($F102)&gt;=Preisindex!$A$6),ROUND($E102*AJ102,2),IF(AND($E102&lt;&gt;0,$F102&gt;0,YEAR($F102)&lt;=AJ$4,YEAR($F102)&lt;Preisindex!$A$6),ROUND($E102*AK102,2),0))</f>
        <v>0</v>
      </c>
      <c r="AM102" s="53">
        <f t="shared" si="445"/>
        <v>0</v>
      </c>
      <c r="AN102" s="51">
        <f t="shared" si="488"/>
        <v>0</v>
      </c>
      <c r="AO102" s="51">
        <f t="shared" si="448"/>
        <v>0</v>
      </c>
      <c r="AP102" s="51">
        <f t="shared" si="362"/>
        <v>0</v>
      </c>
      <c r="AQ102" s="51">
        <f t="shared" si="449"/>
        <v>0</v>
      </c>
      <c r="AR102" s="51">
        <f t="shared" si="363"/>
        <v>0</v>
      </c>
      <c r="AS102" s="51">
        <f t="shared" si="450"/>
        <v>0</v>
      </c>
      <c r="AT102" s="51">
        <f t="shared" si="364"/>
        <v>0</v>
      </c>
      <c r="AU102" s="51">
        <f t="shared" si="451"/>
        <v>0</v>
      </c>
      <c r="AV102" s="51">
        <f t="shared" si="365"/>
        <v>0</v>
      </c>
      <c r="AW102" s="51">
        <f t="shared" si="452"/>
        <v>0</v>
      </c>
      <c r="AX102" s="51">
        <f t="shared" si="366"/>
        <v>0</v>
      </c>
      <c r="AY102" s="54">
        <f t="shared" si="367"/>
        <v>0</v>
      </c>
      <c r="AZ102" s="55">
        <f t="shared" si="368"/>
        <v>0</v>
      </c>
      <c r="BA102" s="56">
        <f>IF(AND($E102&lt;&gt;0,$F102&gt;0,YEAR($F102)&gt;=Preisindex!$A$6,YEAR(AV$4)&gt;=YEAR($F102),AND($K102&lt;&gt;"a",$K102&lt;&gt;"b",$K102&lt;&gt;"g",$K102&lt;&gt;"k")),1,IF(AND($E102&lt;&gt;0,$F102&gt;0,YEAR($F102)&gt;=Preisindex!$A$6,YEAR(AV$4)&gt;=YEAR($F102),$K102="a"),ROUND(VLOOKUP(BA$4,Preisindex,5,FALSE)/VLOOKUP(YEAR($F102),Preisindex,5,FALSE),2),IF(AND($E102&lt;&gt;0,$F102&gt;0,YEAR($F102)&gt;=Preisindex!$A$6,YEAR(AV$4)&gt;=YEAR($F102),$K102="b"),ROUND(VLOOKUP(BA$4,Preisindex,3,FALSE)/VLOOKUP(YEAR($F102),Preisindex,3,FALSE),2),IF(AND($E102&lt;&gt;0,$F102&gt;0,YEAR($F102)&gt;=Preisindex!$A$6,YEAR(AV$4)&gt;=YEAR($F102),$K102="g"),ROUND(VLOOKUP(BA$4,Preisindex,4,FALSE)/VLOOKUP(YEAR($F102),Preisindex,4,FALSE),2),IF(AND($E102&lt;&gt;0,$F102&gt;0,YEAR($F102)&gt;=Preisindex!$A$6,YEAR(AV$4)&gt;=YEAR($F102),$K102="k"),ROUND(VLOOKUP(BA$4,Preisindex,2,FALSE)/VLOOKUP(YEAR($F102),Preisindex,2,FALSE),2),0)))))</f>
        <v>0</v>
      </c>
      <c r="BB102" s="56">
        <f>IF(AND($E102&lt;&gt;0,$F102&gt;0,YEAR($F102)&lt;Preisindex!$A$6,YEAR(AV$4)&gt;=YEAR($F102),AND($K102&lt;&gt;"a",$K102&lt;&gt;"b",$K102&lt;&gt;"g",$K102&lt;&gt;"k")),1,IF(AND($E102&lt;&gt;0,$F102&gt;0,YEAR($F102)&lt;Preisindex!$A$6,YEAR(AV$4)&gt;=YEAR($F102),$K102="a"),ROUND(VLOOKUP(BA$4,Preisindex,5,FALSE)/VLOOKUP(Preisindex!$A$6,Preisindex,5,FALSE),2),IF(AND($E102&lt;&gt;0,$F102&gt;0,YEAR($F102)&lt;Preisindex!$A$6,YEAR(AV$4)&gt;=YEAR($F102),$K102="b"),ROUND(VLOOKUP(BA$4,Preisindex,3,FALSE)/VLOOKUP(Preisindex!$A$6,Preisindex,3,FALSE),2),IF(AND($E102&lt;&gt;0,$F102&gt;0,YEAR($F102)&lt;Preisindex!$A$6,YEAR(AV$4)&gt;=YEAR($F102),$K102="g"),ROUND(VLOOKUP(BA$4,Preisindex,4,FALSE)/VLOOKUP(Preisindex!$A$6,Preisindex,4,FALSE),2),IF(AND($E102&lt;&gt;0,$F102&gt;0,YEAR($F102)&lt;Preisindex!$A$6,YEAR(AV$4)&gt;=YEAR($F102),$K102="k"),ROUND(VLOOKUP(BA$4,Preisindex,2,FALSE)/VLOOKUP(Preisindex!$A$6,Preisindex,2,FALSE),2),0)))))</f>
        <v>0</v>
      </c>
      <c r="BC102" s="51">
        <f>IF(AND($E102&lt;&gt;0,$F102&gt;0,YEAR($F102)&lt;=BA$4,YEAR($F102)&gt;=Preisindex!$A$6),ROUND($E102*BA102,2),IF(AND($E102&lt;&gt;0,$F102&gt;0,YEAR($F102)&lt;=BA$4,YEAR($F102)&lt;Preisindex!$A$6),ROUND($E102*BB102,2),0))</f>
        <v>0</v>
      </c>
      <c r="BD102" s="53">
        <f t="shared" si="369"/>
        <v>0</v>
      </c>
      <c r="BE102" s="51">
        <f t="shared" si="488"/>
        <v>0</v>
      </c>
      <c r="BF102" s="51">
        <f t="shared" si="453"/>
        <v>0</v>
      </c>
      <c r="BG102" s="51">
        <f t="shared" si="370"/>
        <v>0</v>
      </c>
      <c r="BH102" s="51">
        <f t="shared" si="454"/>
        <v>0</v>
      </c>
      <c r="BI102" s="51">
        <f t="shared" si="371"/>
        <v>0</v>
      </c>
      <c r="BJ102" s="51">
        <f t="shared" si="455"/>
        <v>0</v>
      </c>
      <c r="BK102" s="51">
        <f t="shared" si="372"/>
        <v>0</v>
      </c>
      <c r="BL102" s="51">
        <f t="shared" si="456"/>
        <v>0</v>
      </c>
      <c r="BM102" s="51">
        <f t="shared" si="373"/>
        <v>0</v>
      </c>
      <c r="BN102" s="51">
        <f t="shared" si="457"/>
        <v>0</v>
      </c>
      <c r="BO102" s="51">
        <f t="shared" si="374"/>
        <v>0</v>
      </c>
      <c r="BP102" s="54">
        <f t="shared" si="375"/>
        <v>0</v>
      </c>
      <c r="BQ102" s="55">
        <f t="shared" si="376"/>
        <v>0</v>
      </c>
      <c r="BR102" s="56">
        <f>IF(AND($E102&lt;&gt;0,$F102&gt;0,YEAR($F102)&gt;=Preisindex!$A$6,YEAR(BM$4)&gt;=YEAR($F102),AND($K102&lt;&gt;"a",$K102&lt;&gt;"b",$K102&lt;&gt;"g",$K102&lt;&gt;"k")),1,IF(AND($E102&lt;&gt;0,$F102&gt;0,YEAR($F102)&gt;=Preisindex!$A$6,YEAR(BM$4)&gt;=YEAR($F102),$K102="a"),ROUND(VLOOKUP(BR$4,Preisindex,5,FALSE)/VLOOKUP(YEAR($F102),Preisindex,5,FALSE),2),IF(AND($E102&lt;&gt;0,$F102&gt;0,YEAR($F102)&gt;=Preisindex!$A$6,YEAR(BM$4)&gt;=YEAR($F102),$K102="b"),ROUND(VLOOKUP(BR$4,Preisindex,3,FALSE)/VLOOKUP(YEAR($F102),Preisindex,3,FALSE),2),IF(AND($E102&lt;&gt;0,$F102&gt;0,YEAR($F102)&gt;=Preisindex!$A$6,YEAR(BM$4)&gt;=YEAR($F102),$K102="g"),ROUND(VLOOKUP(BR$4,Preisindex,4,FALSE)/VLOOKUP(YEAR($F102),Preisindex,4,FALSE),2),IF(AND($E102&lt;&gt;0,$F102&gt;0,YEAR($F102)&gt;=Preisindex!$A$6,YEAR(BM$4)&gt;=YEAR($F102),$K102="k"),ROUND(VLOOKUP(BR$4,Preisindex,2,FALSE)/VLOOKUP(YEAR($F102),Preisindex,2,FALSE),2),0)))))</f>
        <v>0</v>
      </c>
      <c r="BS102" s="56">
        <f>IF(AND($E102&lt;&gt;0,$F102&gt;0,YEAR($F102)&lt;Preisindex!$A$6,YEAR(BM$4)&gt;=YEAR($F102),AND($K102&lt;&gt;"a",$K102&lt;&gt;"b",$K102&lt;&gt;"g",$K102&lt;&gt;"k")),1,IF(AND($E102&lt;&gt;0,$F102&gt;0,YEAR($F102)&lt;Preisindex!$A$6,YEAR(BM$4)&gt;=YEAR($F102),$K102="a"),ROUND(VLOOKUP(BR$4,Preisindex,5,FALSE)/VLOOKUP(Preisindex!$A$6,Preisindex,5,FALSE),2),IF(AND($E102&lt;&gt;0,$F102&gt;0,YEAR($F102)&lt;Preisindex!$A$6,YEAR(BM$4)&gt;=YEAR($F102),$K102="b"),ROUND(VLOOKUP(BR$4,Preisindex,3,FALSE)/VLOOKUP(Preisindex!$A$6,Preisindex,3,FALSE),2),IF(AND($E102&lt;&gt;0,$F102&gt;0,YEAR($F102)&lt;Preisindex!$A$6,YEAR(BM$4)&gt;=YEAR($F102),$K102="g"),ROUND(VLOOKUP(BR$4,Preisindex,4,FALSE)/VLOOKUP(Preisindex!$A$6,Preisindex,4,FALSE),2),IF(AND($E102&lt;&gt;0,$F102&gt;0,YEAR($F102)&lt;Preisindex!$A$6,YEAR(BM$4)&gt;=YEAR($F102),$K102="k"),ROUND(VLOOKUP(BR$4,Preisindex,2,FALSE)/VLOOKUP(Preisindex!$A$6,Preisindex,2,FALSE),2),0)))))</f>
        <v>0</v>
      </c>
      <c r="BT102" s="51">
        <f>IF(AND($E102&lt;&gt;0,$F102&gt;0,YEAR($F102)&lt;=BR$4,YEAR($F102)&gt;=Preisindex!$A$6),ROUND($E102*BR102,2),IF(AND($E102&lt;&gt;0,$F102&gt;0,YEAR($F102)&lt;=BR$4,YEAR($F102)&lt;Preisindex!$A$6),ROUND($E102*BS102,2),0))</f>
        <v>0</v>
      </c>
      <c r="BU102" s="53">
        <f t="shared" si="377"/>
        <v>0</v>
      </c>
      <c r="BV102" s="51">
        <f t="shared" si="488"/>
        <v>0</v>
      </c>
      <c r="BW102" s="51">
        <f t="shared" si="458"/>
        <v>0</v>
      </c>
      <c r="BX102" s="51">
        <f t="shared" si="378"/>
        <v>0</v>
      </c>
      <c r="BY102" s="51">
        <f t="shared" si="459"/>
        <v>0</v>
      </c>
      <c r="BZ102" s="51">
        <f t="shared" si="379"/>
        <v>0</v>
      </c>
      <c r="CA102" s="51">
        <f t="shared" si="460"/>
        <v>0</v>
      </c>
      <c r="CB102" s="51">
        <f t="shared" si="380"/>
        <v>0</v>
      </c>
      <c r="CC102" s="51">
        <f t="shared" si="461"/>
        <v>0</v>
      </c>
      <c r="CD102" s="51">
        <f t="shared" si="381"/>
        <v>0</v>
      </c>
      <c r="CE102" s="51">
        <f t="shared" si="462"/>
        <v>0</v>
      </c>
      <c r="CF102" s="51">
        <f t="shared" si="382"/>
        <v>0</v>
      </c>
      <c r="CG102" s="54">
        <f t="shared" si="383"/>
        <v>0</v>
      </c>
      <c r="CH102" s="55">
        <f t="shared" si="384"/>
        <v>0</v>
      </c>
      <c r="CI102" s="56">
        <f>IF(AND($E102&lt;&gt;0,$F102&gt;0,YEAR($F102)&gt;=Preisindex!$A$6,YEAR(CD$4)&gt;=YEAR($F102),AND($K102&lt;&gt;"a",$K102&lt;&gt;"b",$K102&lt;&gt;"g",$K102&lt;&gt;"k")),1,IF(AND($E102&lt;&gt;0,$F102&gt;0,YEAR($F102)&gt;=Preisindex!$A$6,YEAR(CD$4)&gt;=YEAR($F102),$K102="a"),ROUND(VLOOKUP(CI$4,Preisindex,5,FALSE)/VLOOKUP(YEAR($F102),Preisindex,5,FALSE),2),IF(AND($E102&lt;&gt;0,$F102&gt;0,YEAR($F102)&gt;=Preisindex!$A$6,YEAR(CD$4)&gt;=YEAR($F102),$K102="b"),ROUND(VLOOKUP(CI$4,Preisindex,3,FALSE)/VLOOKUP(YEAR($F102),Preisindex,3,FALSE),2),IF(AND($E102&lt;&gt;0,$F102&gt;0,YEAR($F102)&gt;=Preisindex!$A$6,YEAR(CD$4)&gt;=YEAR($F102),$K102="g"),ROUND(VLOOKUP(CI$4,Preisindex,4,FALSE)/VLOOKUP(YEAR($F102),Preisindex,4,FALSE),2),IF(AND($E102&lt;&gt;0,$F102&gt;0,YEAR($F102)&gt;=Preisindex!$A$6,YEAR(CD$4)&gt;=YEAR($F102),$K102="k"),ROUND(VLOOKUP(CI$4,Preisindex,2,FALSE)/VLOOKUP(YEAR($F102),Preisindex,2,FALSE),2),0)))))</f>
        <v>0</v>
      </c>
      <c r="CJ102" s="56">
        <f>IF(AND($E102&lt;&gt;0,$F102&gt;0,YEAR($F102)&lt;Preisindex!$A$6,YEAR(CD$4)&gt;=YEAR($F102),AND($K102&lt;&gt;"a",$K102&lt;&gt;"b",$K102&lt;&gt;"g",$K102&lt;&gt;"k")),1,IF(AND($E102&lt;&gt;0,$F102&gt;0,YEAR($F102)&lt;Preisindex!$A$6,YEAR(CD$4)&gt;=YEAR($F102),$K102="a"),ROUND(VLOOKUP(CI$4,Preisindex,5,FALSE)/VLOOKUP(Preisindex!$A$6,Preisindex,5,FALSE),2),IF(AND($E102&lt;&gt;0,$F102&gt;0,YEAR($F102)&lt;Preisindex!$A$6,YEAR(CD$4)&gt;=YEAR($F102),$K102="b"),ROUND(VLOOKUP(CI$4,Preisindex,3,FALSE)/VLOOKUP(Preisindex!$A$6,Preisindex,3,FALSE),2),IF(AND($E102&lt;&gt;0,$F102&gt;0,YEAR($F102)&lt;Preisindex!$A$6,YEAR(CD$4)&gt;=YEAR($F102),$K102="g"),ROUND(VLOOKUP(CI$4,Preisindex,4,FALSE)/VLOOKUP(Preisindex!$A$6,Preisindex,4,FALSE),2),IF(AND($E102&lt;&gt;0,$F102&gt;0,YEAR($F102)&lt;Preisindex!$A$6,YEAR(CD$4)&gt;=YEAR($F102),$K102="k"),ROUND(VLOOKUP(CI$4,Preisindex,2,FALSE)/VLOOKUP(Preisindex!$A$6,Preisindex,2,FALSE),2),0)))))</f>
        <v>0</v>
      </c>
      <c r="CK102" s="51">
        <f>IF(AND($E102&lt;&gt;0,$F102&gt;0,YEAR($F102)&lt;=CI$4,YEAR($F102)&gt;=Preisindex!$A$6),ROUND($E102*CI102,2),IF(AND($E102&lt;&gt;0,$F102&gt;0,YEAR($F102)&lt;=CI$4,YEAR($F102)&lt;Preisindex!$A$6),ROUND($E102*CJ102,2),0))</f>
        <v>0</v>
      </c>
      <c r="CL102" s="53">
        <f t="shared" si="385"/>
        <v>0</v>
      </c>
      <c r="CM102" s="51">
        <f t="shared" si="488"/>
        <v>0</v>
      </c>
      <c r="CN102" s="51">
        <f t="shared" si="463"/>
        <v>0</v>
      </c>
      <c r="CO102" s="51">
        <f t="shared" si="386"/>
        <v>0</v>
      </c>
      <c r="CP102" s="51">
        <f t="shared" si="464"/>
        <v>0</v>
      </c>
      <c r="CQ102" s="51">
        <f t="shared" si="387"/>
        <v>0</v>
      </c>
      <c r="CR102" s="51">
        <f t="shared" si="465"/>
        <v>0</v>
      </c>
      <c r="CS102" s="51">
        <f t="shared" si="388"/>
        <v>0</v>
      </c>
      <c r="CT102" s="51">
        <f t="shared" si="466"/>
        <v>0</v>
      </c>
      <c r="CU102" s="51">
        <f t="shared" si="389"/>
        <v>0</v>
      </c>
      <c r="CV102" s="51">
        <f t="shared" si="467"/>
        <v>0</v>
      </c>
      <c r="CW102" s="51">
        <f t="shared" si="390"/>
        <v>0</v>
      </c>
      <c r="CX102" s="54">
        <f t="shared" si="391"/>
        <v>0</v>
      </c>
      <c r="CY102" s="55">
        <f t="shared" si="392"/>
        <v>0</v>
      </c>
      <c r="CZ102" s="56">
        <f>IF(AND($E102&lt;&gt;0,$F102&gt;0,YEAR($F102)&gt;=Preisindex!$A$6,YEAR(CU$4)&gt;=YEAR($F102),AND($K102&lt;&gt;"a",$K102&lt;&gt;"b",$K102&lt;&gt;"g",$K102&lt;&gt;"k")),1,IF(AND($E102&lt;&gt;0,$F102&gt;0,YEAR($F102)&gt;=Preisindex!$A$6,YEAR(CU$4)&gt;=YEAR($F102),$K102="a"),ROUND(VLOOKUP(CZ$4,Preisindex,5,FALSE)/VLOOKUP(YEAR($F102),Preisindex,5,FALSE),2),IF(AND($E102&lt;&gt;0,$F102&gt;0,YEAR($F102)&gt;=Preisindex!$A$6,YEAR(CU$4)&gt;=YEAR($F102),$K102="b"),ROUND(VLOOKUP(CZ$4,Preisindex,3,FALSE)/VLOOKUP(YEAR($F102),Preisindex,3,FALSE),2),IF(AND($E102&lt;&gt;0,$F102&gt;0,YEAR($F102)&gt;=Preisindex!$A$6,YEAR(CU$4)&gt;=YEAR($F102),$K102="g"),ROUND(VLOOKUP(CZ$4,Preisindex,4,FALSE)/VLOOKUP(YEAR($F102),Preisindex,4,FALSE),2),IF(AND($E102&lt;&gt;0,$F102&gt;0,YEAR($F102)&gt;=Preisindex!$A$6,YEAR(CU$4)&gt;=YEAR($F102),$K102="k"),ROUND(VLOOKUP(CZ$4,Preisindex,2,FALSE)/VLOOKUP(YEAR($F102),Preisindex,2,FALSE),2),0)))))</f>
        <v>0</v>
      </c>
      <c r="DA102" s="56">
        <f>IF(AND($E102&lt;&gt;0,$F102&gt;0,YEAR($F102)&lt;Preisindex!$A$6,YEAR(CU$4)&gt;=YEAR($F102),AND($K102&lt;&gt;"a",$K102&lt;&gt;"b",$K102&lt;&gt;"g",$K102&lt;&gt;"k")),1,IF(AND($E102&lt;&gt;0,$F102&gt;0,YEAR($F102)&lt;Preisindex!$A$6,YEAR(CU$4)&gt;=YEAR($F102),$K102="a"),ROUND(VLOOKUP(CZ$4,Preisindex,5,FALSE)/VLOOKUP(Preisindex!$A$6,Preisindex,5,FALSE),2),IF(AND($E102&lt;&gt;0,$F102&gt;0,YEAR($F102)&lt;Preisindex!$A$6,YEAR(CU$4)&gt;=YEAR($F102),$K102="b"),ROUND(VLOOKUP(CZ$4,Preisindex,3,FALSE)/VLOOKUP(Preisindex!$A$6,Preisindex,3,FALSE),2),IF(AND($E102&lt;&gt;0,$F102&gt;0,YEAR($F102)&lt;Preisindex!$A$6,YEAR(CU$4)&gt;=YEAR($F102),$K102="g"),ROUND(VLOOKUP(CZ$4,Preisindex,4,FALSE)/VLOOKUP(Preisindex!$A$6,Preisindex,4,FALSE),2),IF(AND($E102&lt;&gt;0,$F102&gt;0,YEAR($F102)&lt;Preisindex!$A$6,YEAR(CU$4)&gt;=YEAR($F102),$K102="k"),ROUND(VLOOKUP(CZ$4,Preisindex,2,FALSE)/VLOOKUP(Preisindex!$A$6,Preisindex,2,FALSE),2),0)))))</f>
        <v>0</v>
      </c>
      <c r="DB102" s="51">
        <f>IF(AND($E102&lt;&gt;0,$F102&gt;0,YEAR($F102)&lt;=CZ$4,YEAR($F102)&gt;=Preisindex!$A$6),ROUND($E102*CZ102,2),IF(AND($E102&lt;&gt;0,$F102&gt;0,YEAR($F102)&lt;=CZ$4,YEAR($F102)&lt;Preisindex!$A$6),ROUND($E102*DA102,2),0))</f>
        <v>0</v>
      </c>
      <c r="DC102" s="53">
        <f t="shared" si="393"/>
        <v>0</v>
      </c>
      <c r="DD102" s="51">
        <f t="shared" si="489"/>
        <v>0</v>
      </c>
      <c r="DE102" s="51">
        <f t="shared" si="468"/>
        <v>0</v>
      </c>
      <c r="DF102" s="51">
        <f t="shared" si="395"/>
        <v>0</v>
      </c>
      <c r="DG102" s="51">
        <f t="shared" si="469"/>
        <v>0</v>
      </c>
      <c r="DH102" s="51">
        <f t="shared" si="396"/>
        <v>0</v>
      </c>
      <c r="DI102" s="51">
        <f t="shared" si="470"/>
        <v>0</v>
      </c>
      <c r="DJ102" s="51">
        <f t="shared" si="397"/>
        <v>0</v>
      </c>
      <c r="DK102" s="51">
        <f t="shared" si="471"/>
        <v>0</v>
      </c>
      <c r="DL102" s="51">
        <f t="shared" si="398"/>
        <v>0</v>
      </c>
      <c r="DM102" s="51">
        <f t="shared" si="472"/>
        <v>0</v>
      </c>
      <c r="DN102" s="51">
        <f t="shared" si="399"/>
        <v>0</v>
      </c>
      <c r="DO102" s="54">
        <f t="shared" si="400"/>
        <v>0</v>
      </c>
      <c r="DP102" s="55">
        <f t="shared" si="401"/>
        <v>0</v>
      </c>
      <c r="DQ102" s="56">
        <f>IF(AND($E102&lt;&gt;0,$F102&gt;0,YEAR($F102)&gt;=Preisindex!$A$6,YEAR(DL$4)&gt;=YEAR($F102),AND($K102&lt;&gt;"a",$K102&lt;&gt;"b",$K102&lt;&gt;"g",$K102&lt;&gt;"k")),1,IF(AND($E102&lt;&gt;0,$F102&gt;0,YEAR($F102)&gt;=Preisindex!$A$6,YEAR(DL$4)&gt;=YEAR($F102),$K102="a"),ROUND(VLOOKUP(DQ$4,Preisindex,5,FALSE)/VLOOKUP(YEAR($F102),Preisindex,5,FALSE),2),IF(AND($E102&lt;&gt;0,$F102&gt;0,YEAR($F102)&gt;=Preisindex!$A$6,YEAR(DL$4)&gt;=YEAR($F102),$K102="b"),ROUND(VLOOKUP(DQ$4,Preisindex,3,FALSE)/VLOOKUP(YEAR($F102),Preisindex,3,FALSE),2),IF(AND($E102&lt;&gt;0,$F102&gt;0,YEAR($F102)&gt;=Preisindex!$A$6,YEAR(DL$4)&gt;=YEAR($F102),$K102="g"),ROUND(VLOOKUP(DQ$4,Preisindex,4,FALSE)/VLOOKUP(YEAR($F102),Preisindex,4,FALSE),2),IF(AND($E102&lt;&gt;0,$F102&gt;0,YEAR($F102)&gt;=Preisindex!$A$6,YEAR(DL$4)&gt;=YEAR($F102),$K102="k"),ROUND(VLOOKUP(DQ$4,Preisindex,2,FALSE)/VLOOKUP(YEAR($F102),Preisindex,2,FALSE),2),0)))))</f>
        <v>0</v>
      </c>
      <c r="DR102" s="56">
        <f>IF(AND($E102&lt;&gt;0,$F102&gt;0,YEAR($F102)&lt;Preisindex!$A$6,YEAR(DL$4)&gt;=YEAR($F102),AND($K102&lt;&gt;"a",$K102&lt;&gt;"b",$K102&lt;&gt;"g",$K102&lt;&gt;"k")),1,IF(AND($E102&lt;&gt;0,$F102&gt;0,YEAR($F102)&lt;Preisindex!$A$6,YEAR(DL$4)&gt;=YEAR($F102),$K102="a"),ROUND(VLOOKUP(DQ$4,Preisindex,5,FALSE)/VLOOKUP(Preisindex!$A$6,Preisindex,5,FALSE),2),IF(AND($E102&lt;&gt;0,$F102&gt;0,YEAR($F102)&lt;Preisindex!$A$6,YEAR(DL$4)&gt;=YEAR($F102),$K102="b"),ROUND(VLOOKUP(DQ$4,Preisindex,3,FALSE)/VLOOKUP(Preisindex!$A$6,Preisindex,3,FALSE),2),IF(AND($E102&lt;&gt;0,$F102&gt;0,YEAR($F102)&lt;Preisindex!$A$6,YEAR(DL$4)&gt;=YEAR($F102),$K102="g"),ROUND(VLOOKUP(DQ$4,Preisindex,4,FALSE)/VLOOKUP(Preisindex!$A$6,Preisindex,4,FALSE),2),IF(AND($E102&lt;&gt;0,$F102&gt;0,YEAR($F102)&lt;Preisindex!$A$6,YEAR(DL$4)&gt;=YEAR($F102),$K102="k"),ROUND(VLOOKUP(DQ$4,Preisindex,2,FALSE)/VLOOKUP(Preisindex!$A$6,Preisindex,2,FALSE),2),0)))))</f>
        <v>0</v>
      </c>
      <c r="DS102" s="51">
        <f>IF(AND($E102&lt;&gt;0,$F102&gt;0,YEAR($F102)&lt;=DQ$4,YEAR($F102)&gt;=Preisindex!$A$6),ROUND($E102*DQ102,2),IF(AND($E102&lt;&gt;0,$F102&gt;0,YEAR($F102)&lt;=DQ$4,YEAR($F102)&lt;Preisindex!$A$6),ROUND($E102*DR102,2),0))</f>
        <v>0</v>
      </c>
      <c r="DT102" s="53">
        <f t="shared" si="402"/>
        <v>0</v>
      </c>
      <c r="DU102" s="51">
        <f t="shared" si="489"/>
        <v>0</v>
      </c>
      <c r="DV102" s="51">
        <f t="shared" si="473"/>
        <v>0</v>
      </c>
      <c r="DW102" s="51">
        <f t="shared" si="403"/>
        <v>0</v>
      </c>
      <c r="DX102" s="51">
        <f t="shared" si="474"/>
        <v>0</v>
      </c>
      <c r="DY102" s="51">
        <f t="shared" si="404"/>
        <v>0</v>
      </c>
      <c r="DZ102" s="51">
        <f t="shared" si="475"/>
        <v>0</v>
      </c>
      <c r="EA102" s="51">
        <f t="shared" si="405"/>
        <v>0</v>
      </c>
      <c r="EB102" s="51">
        <f t="shared" si="476"/>
        <v>0</v>
      </c>
      <c r="EC102" s="51">
        <f t="shared" si="406"/>
        <v>0</v>
      </c>
      <c r="ED102" s="51">
        <f t="shared" si="477"/>
        <v>0</v>
      </c>
      <c r="EE102" s="51">
        <f t="shared" si="407"/>
        <v>0</v>
      </c>
      <c r="EF102" s="54">
        <f t="shared" si="408"/>
        <v>0</v>
      </c>
      <c r="EG102" s="55">
        <f t="shared" si="409"/>
        <v>0</v>
      </c>
      <c r="EH102" s="56">
        <f>IF(AND($E102&lt;&gt;0,$F102&gt;0,YEAR($F102)&gt;=Preisindex!$A$6,YEAR(EC$4)&gt;=YEAR($F102),AND($K102&lt;&gt;"a",$K102&lt;&gt;"b",$K102&lt;&gt;"g",$K102&lt;&gt;"k")),1,IF(AND($E102&lt;&gt;0,$F102&gt;0,YEAR($F102)&gt;=Preisindex!$A$6,YEAR(EC$4)&gt;=YEAR($F102),$K102="a"),ROUND(VLOOKUP(EH$4,Preisindex,5,FALSE)/VLOOKUP(YEAR($F102),Preisindex,5,FALSE),2),IF(AND($E102&lt;&gt;0,$F102&gt;0,YEAR($F102)&gt;=Preisindex!$A$6,YEAR(EC$4)&gt;=YEAR($F102),$K102="b"),ROUND(VLOOKUP(EH$4,Preisindex,3,FALSE)/VLOOKUP(YEAR($F102),Preisindex,3,FALSE),2),IF(AND($E102&lt;&gt;0,$F102&gt;0,YEAR($F102)&gt;=Preisindex!$A$6,YEAR(EC$4)&gt;=YEAR($F102),$K102="g"),ROUND(VLOOKUP(EH$4,Preisindex,4,FALSE)/VLOOKUP(YEAR($F102),Preisindex,4,FALSE),2),IF(AND($E102&lt;&gt;0,$F102&gt;0,YEAR($F102)&gt;=Preisindex!$A$6,YEAR(EC$4)&gt;=YEAR($F102),$K102="k"),ROUND(VLOOKUP(EH$4,Preisindex,2,FALSE)/VLOOKUP(YEAR($F102),Preisindex,2,FALSE),2),0)))))</f>
        <v>0</v>
      </c>
      <c r="EI102" s="56">
        <f>IF(AND($E102&lt;&gt;0,$F102&gt;0,YEAR($F102)&lt;Preisindex!$A$6,YEAR(EC$4)&gt;=YEAR($F102),AND($K102&lt;&gt;"a",$K102&lt;&gt;"b",$K102&lt;&gt;"g",$K102&lt;&gt;"k")),1,IF(AND($E102&lt;&gt;0,$F102&gt;0,YEAR($F102)&lt;Preisindex!$A$6,YEAR(EC$4)&gt;=YEAR($F102),$K102="a"),ROUND(VLOOKUP(EH$4,Preisindex,5,FALSE)/VLOOKUP(Preisindex!$A$6,Preisindex,5,FALSE),2),IF(AND($E102&lt;&gt;0,$F102&gt;0,YEAR($F102)&lt;Preisindex!$A$6,YEAR(EC$4)&gt;=YEAR($F102),$K102="b"),ROUND(VLOOKUP(EH$4,Preisindex,3,FALSE)/VLOOKUP(Preisindex!$A$6,Preisindex,3,FALSE),2),IF(AND($E102&lt;&gt;0,$F102&gt;0,YEAR($F102)&lt;Preisindex!$A$6,YEAR(EC$4)&gt;=YEAR($F102),$K102="g"),ROUND(VLOOKUP(EH$4,Preisindex,4,FALSE)/VLOOKUP(Preisindex!$A$6,Preisindex,4,FALSE),2),IF(AND($E102&lt;&gt;0,$F102&gt;0,YEAR($F102)&lt;Preisindex!$A$6,YEAR(EC$4)&gt;=YEAR($F102),$K102="k"),ROUND(VLOOKUP(EH$4,Preisindex,2,FALSE)/VLOOKUP(Preisindex!$A$6,Preisindex,2,FALSE),2),0)))))</f>
        <v>0</v>
      </c>
      <c r="EJ102" s="51">
        <f>IF(AND($E102&lt;&gt;0,$F102&gt;0,YEAR($F102)&lt;=EH$4,YEAR($F102)&gt;=Preisindex!$A$6),ROUND($E102*EH102,2),IF(AND($E102&lt;&gt;0,$F102&gt;0,YEAR($F102)&lt;=EH$4,YEAR($F102)&lt;Preisindex!$A$6),ROUND($E102*EI102,2),0))</f>
        <v>0</v>
      </c>
      <c r="EK102" s="53">
        <f t="shared" si="410"/>
        <v>0</v>
      </c>
      <c r="EL102" s="51">
        <f t="shared" si="489"/>
        <v>0</v>
      </c>
      <c r="EM102" s="51">
        <f t="shared" si="478"/>
        <v>0</v>
      </c>
      <c r="EN102" s="51">
        <f t="shared" si="411"/>
        <v>0</v>
      </c>
      <c r="EO102" s="51">
        <f t="shared" si="479"/>
        <v>0</v>
      </c>
      <c r="EP102" s="51">
        <f t="shared" si="412"/>
        <v>0</v>
      </c>
      <c r="EQ102" s="51">
        <f t="shared" si="480"/>
        <v>0</v>
      </c>
      <c r="ER102" s="51">
        <f t="shared" si="413"/>
        <v>0</v>
      </c>
      <c r="ES102" s="51">
        <f t="shared" si="481"/>
        <v>0</v>
      </c>
      <c r="ET102" s="51">
        <f t="shared" si="414"/>
        <v>0</v>
      </c>
      <c r="EU102" s="51">
        <f t="shared" si="482"/>
        <v>0</v>
      </c>
      <c r="EV102" s="51">
        <f t="shared" si="415"/>
        <v>0</v>
      </c>
      <c r="EW102" s="54">
        <f t="shared" si="416"/>
        <v>0</v>
      </c>
      <c r="EX102" s="55">
        <f t="shared" si="417"/>
        <v>0</v>
      </c>
      <c r="EY102" s="56">
        <f>IF(AND($E102&lt;&gt;0,$F102&gt;0,YEAR($F102)&gt;=Preisindex!$A$6,YEAR(ET$4)&gt;=YEAR($F102),AND($K102&lt;&gt;"a",$K102&lt;&gt;"b",$K102&lt;&gt;"g",$K102&lt;&gt;"k")),1,IF(AND($E102&lt;&gt;0,$F102&gt;0,YEAR($F102)&gt;=Preisindex!$A$6,YEAR(ET$4)&gt;=YEAR($F102),$K102="a"),ROUND(VLOOKUP(EY$4,Preisindex,5,FALSE)/VLOOKUP(YEAR($F102),Preisindex,5,FALSE),2),IF(AND($E102&lt;&gt;0,$F102&gt;0,YEAR($F102)&gt;=Preisindex!$A$6,YEAR(ET$4)&gt;=YEAR($F102),$K102="b"),ROUND(VLOOKUP(EY$4,Preisindex,3,FALSE)/VLOOKUP(YEAR($F102),Preisindex,3,FALSE),2),IF(AND($E102&lt;&gt;0,$F102&gt;0,YEAR($F102)&gt;=Preisindex!$A$6,YEAR(ET$4)&gt;=YEAR($F102),$K102="g"),ROUND(VLOOKUP(EY$4,Preisindex,4,FALSE)/VLOOKUP(YEAR($F102),Preisindex,4,FALSE),2),IF(AND($E102&lt;&gt;0,$F102&gt;0,YEAR($F102)&gt;=Preisindex!$A$6,YEAR(ET$4)&gt;=YEAR($F102),$K102="k"),ROUND(VLOOKUP(EY$4,Preisindex,2,FALSE)/VLOOKUP(YEAR($F102),Preisindex,2,FALSE),2),0)))))</f>
        <v>0</v>
      </c>
      <c r="EZ102" s="56">
        <f>IF(AND($E102&lt;&gt;0,$F102&gt;0,YEAR($F102)&lt;Preisindex!$A$6,YEAR(ET$4)&gt;=YEAR($F102),AND($K102&lt;&gt;"a",$K102&lt;&gt;"b",$K102&lt;&gt;"g",$K102&lt;&gt;"k")),1,IF(AND($E102&lt;&gt;0,$F102&gt;0,YEAR($F102)&lt;Preisindex!$A$6,YEAR(ET$4)&gt;=YEAR($F102),$K102="a"),ROUND(VLOOKUP(EY$4,Preisindex,5,FALSE)/VLOOKUP(Preisindex!$A$6,Preisindex,5,FALSE),2),IF(AND($E102&lt;&gt;0,$F102&gt;0,YEAR($F102)&lt;Preisindex!$A$6,YEAR(ET$4)&gt;=YEAR($F102),$K102="b"),ROUND(VLOOKUP(EY$4,Preisindex,3,FALSE)/VLOOKUP(Preisindex!$A$6,Preisindex,3,FALSE),2),IF(AND($E102&lt;&gt;0,$F102&gt;0,YEAR($F102)&lt;Preisindex!$A$6,YEAR(ET$4)&gt;=YEAR($F102),$K102="g"),ROUND(VLOOKUP(EY$4,Preisindex,4,FALSE)/VLOOKUP(Preisindex!$A$6,Preisindex,4,FALSE),2),IF(AND($E102&lt;&gt;0,$F102&gt;0,YEAR($F102)&lt;Preisindex!$A$6,YEAR(ET$4)&gt;=YEAR($F102),$K102="k"),ROUND(VLOOKUP(EY$4,Preisindex,2,FALSE)/VLOOKUP(Preisindex!$A$6,Preisindex,2,FALSE),2),0)))))</f>
        <v>0</v>
      </c>
      <c r="FA102" s="51">
        <f>IF(AND($E102&lt;&gt;0,$F102&gt;0,YEAR($F102)&lt;=EY$4,YEAR($F102)&gt;=Preisindex!$A$6),ROUND($E102*EY102,2),IF(AND($E102&lt;&gt;0,$F102&gt;0,YEAR($F102)&lt;=EY$4,YEAR($F102)&lt;Preisindex!$A$6),ROUND($E102*EZ102,2),0))</f>
        <v>0</v>
      </c>
      <c r="FB102" s="53">
        <f t="shared" si="418"/>
        <v>0</v>
      </c>
      <c r="FC102" s="51">
        <f t="shared" si="489"/>
        <v>0</v>
      </c>
      <c r="FD102" s="51">
        <f t="shared" si="483"/>
        <v>0</v>
      </c>
      <c r="FE102" s="51">
        <f t="shared" si="419"/>
        <v>0</v>
      </c>
      <c r="FF102" s="51">
        <f t="shared" si="484"/>
        <v>0</v>
      </c>
      <c r="FG102" s="51">
        <f t="shared" si="420"/>
        <v>0</v>
      </c>
      <c r="FH102" s="51">
        <f t="shared" si="485"/>
        <v>0</v>
      </c>
      <c r="FI102" s="51">
        <f t="shared" si="421"/>
        <v>0</v>
      </c>
      <c r="FJ102" s="51">
        <f t="shared" si="486"/>
        <v>0</v>
      </c>
      <c r="FK102" s="51">
        <f t="shared" si="422"/>
        <v>0</v>
      </c>
      <c r="FL102" s="51">
        <f t="shared" si="487"/>
        <v>0</v>
      </c>
      <c r="FM102" s="51">
        <f t="shared" si="423"/>
        <v>0</v>
      </c>
      <c r="FN102" s="54">
        <f t="shared" si="424"/>
        <v>0</v>
      </c>
      <c r="FO102" s="55">
        <f t="shared" si="425"/>
        <v>0</v>
      </c>
      <c r="FP102" s="56">
        <f>IF(AND($E102&lt;&gt;0,$F102&gt;0,YEAR($F102)&gt;=Preisindex!$A$6,YEAR(FK$4)&gt;=YEAR($F102),AND($K102&lt;&gt;"a",$K102&lt;&gt;"b",$K102&lt;&gt;"g",$K102&lt;&gt;"k")),1,IF(AND($E102&lt;&gt;0,$F102&gt;0,YEAR($F102)&gt;=Preisindex!$A$6,YEAR(FK$4)&gt;=YEAR($F102),$K102="a"),ROUND(VLOOKUP(FP$4,Preisindex,5,FALSE)/VLOOKUP(YEAR($F102),Preisindex,5,FALSE),2),IF(AND($E102&lt;&gt;0,$F102&gt;0,YEAR($F102)&gt;=Preisindex!$A$6,YEAR(FK$4)&gt;=YEAR($F102),$K102="b"),ROUND(VLOOKUP(FP$4,Preisindex,3,FALSE)/VLOOKUP(YEAR($F102),Preisindex,3,FALSE),2),IF(AND($E102&lt;&gt;0,$F102&gt;0,YEAR($F102)&gt;=Preisindex!$A$6,YEAR(FK$4)&gt;=YEAR($F102),$K102="g"),ROUND(VLOOKUP(FP$4,Preisindex,4,FALSE)/VLOOKUP(YEAR($F102),Preisindex,4,FALSE),2),IF(AND($E102&lt;&gt;0,$F102&gt;0,YEAR($F102)&gt;=Preisindex!$A$6,YEAR(FK$4)&gt;=YEAR($F102),$K102="k"),ROUND(VLOOKUP(FP$4,Preisindex,2,FALSE)/VLOOKUP(YEAR($F102),Preisindex,2,FALSE),2),0)))))</f>
        <v>0</v>
      </c>
      <c r="FQ102" s="56">
        <f>IF(AND($E102&lt;&gt;0,$F102&gt;0,YEAR($F102)&lt;Preisindex!$A$6,YEAR(FK$4)&gt;=YEAR($F102),AND($K102&lt;&gt;"a",$K102&lt;&gt;"b",$K102&lt;&gt;"g",$K102&lt;&gt;"k")),1,IF(AND($E102&lt;&gt;0,$F102&gt;0,YEAR($F102)&lt;Preisindex!$A$6,YEAR(FK$4)&gt;=YEAR($F102),$K102="a"),ROUND(VLOOKUP(FP$4,Preisindex,5,FALSE)/VLOOKUP(Preisindex!$A$6,Preisindex,5,FALSE),2),IF(AND($E102&lt;&gt;0,$F102&gt;0,YEAR($F102)&lt;Preisindex!$A$6,YEAR(FK$4)&gt;=YEAR($F102),$K102="b"),ROUND(VLOOKUP(FP$4,Preisindex,3,FALSE)/VLOOKUP(Preisindex!$A$6,Preisindex,3,FALSE),2),IF(AND($E102&lt;&gt;0,$F102&gt;0,YEAR($F102)&lt;Preisindex!$A$6,YEAR(FK$4)&gt;=YEAR($F102),$K102="g"),ROUND(VLOOKUP(FP$4,Preisindex,4,FALSE)/VLOOKUP(Preisindex!$A$6,Preisindex,4,FALSE),2),IF(AND($E102&lt;&gt;0,$F102&gt;0,YEAR($F102)&lt;Preisindex!$A$6,YEAR(FK$4)&gt;=YEAR($F102),$K102="k"),ROUND(VLOOKUP(FP$4,Preisindex,2,FALSE)/VLOOKUP(Preisindex!$A$6,Preisindex,2,FALSE),2),0)))))</f>
        <v>0</v>
      </c>
      <c r="FR102" s="51">
        <f>IF(AND($E102&lt;&gt;0,$F102&gt;0,YEAR($F102)&lt;=FP$4,YEAR($F102)&gt;=Preisindex!$A$6),ROUND($E102*FP102,2),IF(AND($E102&lt;&gt;0,$F102&gt;0,YEAR($F102)&lt;=FP$4,YEAR($F102)&lt;Preisindex!$A$6),ROUND($E102*FQ102,2),0))</f>
        <v>0</v>
      </c>
      <c r="FS102" s="53">
        <f t="shared" si="426"/>
        <v>0</v>
      </c>
    </row>
    <row r="103" spans="1:175" x14ac:dyDescent="0.3">
      <c r="A103" s="93"/>
      <c r="B103" s="94"/>
      <c r="C103" s="94"/>
      <c r="D103" s="95"/>
      <c r="E103" s="99"/>
      <c r="F103" s="97"/>
      <c r="G103" s="98"/>
      <c r="H103" s="620"/>
      <c r="I103" s="621"/>
      <c r="J103" s="194"/>
      <c r="K103" s="630"/>
      <c r="L103" s="49">
        <f t="shared" si="427"/>
        <v>0</v>
      </c>
      <c r="M103" s="50">
        <f t="shared" si="428"/>
        <v>0</v>
      </c>
      <c r="N103" s="51">
        <f t="shared" si="429"/>
        <v>0</v>
      </c>
      <c r="O103" s="51"/>
      <c r="P103" s="51">
        <f t="shared" si="430"/>
        <v>0</v>
      </c>
      <c r="Q103" s="52"/>
      <c r="R103" s="52"/>
      <c r="S103" s="52"/>
      <c r="T103" s="52"/>
      <c r="U103" s="52"/>
      <c r="V103" s="53">
        <f t="shared" si="431"/>
        <v>0</v>
      </c>
      <c r="W103" s="51">
        <f t="shared" si="432"/>
        <v>0</v>
      </c>
      <c r="X103" s="51">
        <f t="shared" si="433"/>
        <v>0</v>
      </c>
      <c r="Y103" s="51">
        <f t="shared" si="434"/>
        <v>0</v>
      </c>
      <c r="Z103" s="51">
        <f t="shared" si="435"/>
        <v>0</v>
      </c>
      <c r="AA103" s="51">
        <f t="shared" si="436"/>
        <v>0</v>
      </c>
      <c r="AB103" s="51">
        <f t="shared" si="437"/>
        <v>0</v>
      </c>
      <c r="AC103" s="51">
        <f t="shared" si="438"/>
        <v>0</v>
      </c>
      <c r="AD103" s="51">
        <f t="shared" si="439"/>
        <v>0</v>
      </c>
      <c r="AE103" s="51">
        <f t="shared" si="440"/>
        <v>0</v>
      </c>
      <c r="AF103" s="51">
        <f t="shared" si="441"/>
        <v>0</v>
      </c>
      <c r="AG103" s="51">
        <f t="shared" si="442"/>
        <v>0</v>
      </c>
      <c r="AH103" s="54">
        <f t="shared" si="443"/>
        <v>0</v>
      </c>
      <c r="AI103" s="55">
        <f t="shared" si="444"/>
        <v>0</v>
      </c>
      <c r="AJ103" s="56">
        <f>IF(AND($E103&lt;&gt;0,$F103&gt;0,YEAR($F103)&gt;=Preisindex!$A$6,YEAR(AE$4)&gt;=YEAR($F103),AND($K103&lt;&gt;"a",$K103&lt;&gt;"b",$K103&lt;&gt;"g",$K103&lt;&gt;"k")),1,IF(AND($E103&lt;&gt;0,$F103&gt;0,YEAR($F103)&gt;=Preisindex!$A$6,YEAR(AE$4)&gt;=YEAR($F103),$K103="a"),ROUND(VLOOKUP(AJ$4,Preisindex,5,FALSE)/VLOOKUP(YEAR($F103),Preisindex,5,FALSE),2),IF(AND($E103&lt;&gt;0,$F103&gt;0,YEAR($F103)&gt;=Preisindex!$A$6,YEAR(AE$4)&gt;=YEAR($F103),$K103="b"),ROUND(VLOOKUP(AJ$4,Preisindex,3,FALSE)/VLOOKUP(YEAR($F103),Preisindex,3,FALSE),2),IF(AND($E103&lt;&gt;0,$F103&gt;0,YEAR($F103)&gt;=Preisindex!$A$6,YEAR(AE$4)&gt;=YEAR($F103),$K103="g"),ROUND(VLOOKUP(AJ$4,Preisindex,4,FALSE)/VLOOKUP(YEAR($F103),Preisindex,4,FALSE),2),IF(AND($E103&lt;&gt;0,$F103&gt;0,YEAR($F103)&gt;=Preisindex!$A$6,YEAR(AE$4)&gt;=YEAR($F103),$K103="k"),ROUND(VLOOKUP(AJ$4,Preisindex,2,FALSE)/VLOOKUP(YEAR($F103),Preisindex,2,FALSE),2),0)))))</f>
        <v>0</v>
      </c>
      <c r="AK103" s="56">
        <f>IF(AND($E103&lt;&gt;0,$F103&gt;0,YEAR($F103)&lt;Preisindex!$A$6,YEAR(AE$4)&gt;=YEAR($F103),AND($K103&lt;&gt;"a",$K103&lt;&gt;"b",$K103&lt;&gt;"g",$K103&lt;&gt;"k")),1,IF(AND($E103&lt;&gt;0,$F103&gt;0,YEAR($F103)&lt;Preisindex!$A$6,YEAR(AE$4)&gt;=YEAR($F103),$K103="a"),ROUND(VLOOKUP(AJ$4,Preisindex,5,FALSE)/VLOOKUP(Preisindex!$A$6,Preisindex,5,FALSE),2),IF(AND($E103&lt;&gt;0,$F103&gt;0,YEAR($F103)&lt;Preisindex!$A$6,YEAR(AE$4)&gt;=YEAR($F103),$K103="b"),ROUND(VLOOKUP(AJ$4,Preisindex,3,FALSE)/VLOOKUP(Preisindex!$A$6,Preisindex,3,FALSE),2),IF(AND($E103&lt;&gt;0,$F103&gt;0,YEAR($F103)&lt;Preisindex!$A$6,YEAR(AE$4)&gt;=YEAR($F103),$K103="g"),ROUND(VLOOKUP(AJ$4,Preisindex,4,FALSE)/VLOOKUP(Preisindex!$A$6,Preisindex,4,FALSE),2),IF(AND($E103&lt;&gt;0,$F103&gt;0,YEAR($F103)&lt;Preisindex!$A$6,YEAR(AE$4)&gt;=YEAR($F103),$K103="k"),ROUND(VLOOKUP(AJ$4,Preisindex,2,FALSE)/VLOOKUP(Preisindex!$A$6,Preisindex,2,FALSE),2),0)))))</f>
        <v>0</v>
      </c>
      <c r="AL103" s="51">
        <f>IF(AND($E103&lt;&gt;0,$F103&gt;0,YEAR($F103)&lt;=AJ$4,YEAR($F103)&gt;=Preisindex!$A$6),ROUND($E103*AJ103,2),IF(AND($E103&lt;&gt;0,$F103&gt;0,YEAR($F103)&lt;=AJ$4,YEAR($F103)&lt;Preisindex!$A$6),ROUND($E103*AK103,2),0))</f>
        <v>0</v>
      </c>
      <c r="AM103" s="53">
        <f t="shared" si="445"/>
        <v>0</v>
      </c>
      <c r="AN103" s="51">
        <f t="shared" si="488"/>
        <v>0</v>
      </c>
      <c r="AO103" s="51">
        <f t="shared" si="448"/>
        <v>0</v>
      </c>
      <c r="AP103" s="51">
        <f t="shared" si="362"/>
        <v>0</v>
      </c>
      <c r="AQ103" s="51">
        <f t="shared" si="449"/>
        <v>0</v>
      </c>
      <c r="AR103" s="51">
        <f t="shared" si="363"/>
        <v>0</v>
      </c>
      <c r="AS103" s="51">
        <f t="shared" si="450"/>
        <v>0</v>
      </c>
      <c r="AT103" s="51">
        <f t="shared" si="364"/>
        <v>0</v>
      </c>
      <c r="AU103" s="51">
        <f t="shared" si="451"/>
        <v>0</v>
      </c>
      <c r="AV103" s="51">
        <f t="shared" si="365"/>
        <v>0</v>
      </c>
      <c r="AW103" s="51">
        <f t="shared" si="452"/>
        <v>0</v>
      </c>
      <c r="AX103" s="51">
        <f t="shared" si="366"/>
        <v>0</v>
      </c>
      <c r="AY103" s="54">
        <f t="shared" si="367"/>
        <v>0</v>
      </c>
      <c r="AZ103" s="55">
        <f t="shared" si="368"/>
        <v>0</v>
      </c>
      <c r="BA103" s="56">
        <f>IF(AND($E103&lt;&gt;0,$F103&gt;0,YEAR($F103)&gt;=Preisindex!$A$6,YEAR(AV$4)&gt;=YEAR($F103),AND($K103&lt;&gt;"a",$K103&lt;&gt;"b",$K103&lt;&gt;"g",$K103&lt;&gt;"k")),1,IF(AND($E103&lt;&gt;0,$F103&gt;0,YEAR($F103)&gt;=Preisindex!$A$6,YEAR(AV$4)&gt;=YEAR($F103),$K103="a"),ROUND(VLOOKUP(BA$4,Preisindex,5,FALSE)/VLOOKUP(YEAR($F103),Preisindex,5,FALSE),2),IF(AND($E103&lt;&gt;0,$F103&gt;0,YEAR($F103)&gt;=Preisindex!$A$6,YEAR(AV$4)&gt;=YEAR($F103),$K103="b"),ROUND(VLOOKUP(BA$4,Preisindex,3,FALSE)/VLOOKUP(YEAR($F103),Preisindex,3,FALSE),2),IF(AND($E103&lt;&gt;0,$F103&gt;0,YEAR($F103)&gt;=Preisindex!$A$6,YEAR(AV$4)&gt;=YEAR($F103),$K103="g"),ROUND(VLOOKUP(BA$4,Preisindex,4,FALSE)/VLOOKUP(YEAR($F103),Preisindex,4,FALSE),2),IF(AND($E103&lt;&gt;0,$F103&gt;0,YEAR($F103)&gt;=Preisindex!$A$6,YEAR(AV$4)&gt;=YEAR($F103),$K103="k"),ROUND(VLOOKUP(BA$4,Preisindex,2,FALSE)/VLOOKUP(YEAR($F103),Preisindex,2,FALSE),2),0)))))</f>
        <v>0</v>
      </c>
      <c r="BB103" s="56">
        <f>IF(AND($E103&lt;&gt;0,$F103&gt;0,YEAR($F103)&lt;Preisindex!$A$6,YEAR(AV$4)&gt;=YEAR($F103),AND($K103&lt;&gt;"a",$K103&lt;&gt;"b",$K103&lt;&gt;"g",$K103&lt;&gt;"k")),1,IF(AND($E103&lt;&gt;0,$F103&gt;0,YEAR($F103)&lt;Preisindex!$A$6,YEAR(AV$4)&gt;=YEAR($F103),$K103="a"),ROUND(VLOOKUP(BA$4,Preisindex,5,FALSE)/VLOOKUP(Preisindex!$A$6,Preisindex,5,FALSE),2),IF(AND($E103&lt;&gt;0,$F103&gt;0,YEAR($F103)&lt;Preisindex!$A$6,YEAR(AV$4)&gt;=YEAR($F103),$K103="b"),ROUND(VLOOKUP(BA$4,Preisindex,3,FALSE)/VLOOKUP(Preisindex!$A$6,Preisindex,3,FALSE),2),IF(AND($E103&lt;&gt;0,$F103&gt;0,YEAR($F103)&lt;Preisindex!$A$6,YEAR(AV$4)&gt;=YEAR($F103),$K103="g"),ROUND(VLOOKUP(BA$4,Preisindex,4,FALSE)/VLOOKUP(Preisindex!$A$6,Preisindex,4,FALSE),2),IF(AND($E103&lt;&gt;0,$F103&gt;0,YEAR($F103)&lt;Preisindex!$A$6,YEAR(AV$4)&gt;=YEAR($F103),$K103="k"),ROUND(VLOOKUP(BA$4,Preisindex,2,FALSE)/VLOOKUP(Preisindex!$A$6,Preisindex,2,FALSE),2),0)))))</f>
        <v>0</v>
      </c>
      <c r="BC103" s="51">
        <f>IF(AND($E103&lt;&gt;0,$F103&gt;0,YEAR($F103)&lt;=BA$4,YEAR($F103)&gt;=Preisindex!$A$6),ROUND($E103*BA103,2),IF(AND($E103&lt;&gt;0,$F103&gt;0,YEAR($F103)&lt;=BA$4,YEAR($F103)&lt;Preisindex!$A$6),ROUND($E103*BB103,2),0))</f>
        <v>0</v>
      </c>
      <c r="BD103" s="53">
        <f t="shared" si="369"/>
        <v>0</v>
      </c>
      <c r="BE103" s="51">
        <f t="shared" si="488"/>
        <v>0</v>
      </c>
      <c r="BF103" s="51">
        <f t="shared" si="453"/>
        <v>0</v>
      </c>
      <c r="BG103" s="51">
        <f t="shared" si="370"/>
        <v>0</v>
      </c>
      <c r="BH103" s="51">
        <f t="shared" si="454"/>
        <v>0</v>
      </c>
      <c r="BI103" s="51">
        <f t="shared" si="371"/>
        <v>0</v>
      </c>
      <c r="BJ103" s="51">
        <f t="shared" si="455"/>
        <v>0</v>
      </c>
      <c r="BK103" s="51">
        <f t="shared" si="372"/>
        <v>0</v>
      </c>
      <c r="BL103" s="51">
        <f t="shared" si="456"/>
        <v>0</v>
      </c>
      <c r="BM103" s="51">
        <f t="shared" si="373"/>
        <v>0</v>
      </c>
      <c r="BN103" s="51">
        <f t="shared" si="457"/>
        <v>0</v>
      </c>
      <c r="BO103" s="51">
        <f t="shared" si="374"/>
        <v>0</v>
      </c>
      <c r="BP103" s="54">
        <f t="shared" si="375"/>
        <v>0</v>
      </c>
      <c r="BQ103" s="55">
        <f t="shared" si="376"/>
        <v>0</v>
      </c>
      <c r="BR103" s="56">
        <f>IF(AND($E103&lt;&gt;0,$F103&gt;0,YEAR($F103)&gt;=Preisindex!$A$6,YEAR(BM$4)&gt;=YEAR($F103),AND($K103&lt;&gt;"a",$K103&lt;&gt;"b",$K103&lt;&gt;"g",$K103&lt;&gt;"k")),1,IF(AND($E103&lt;&gt;0,$F103&gt;0,YEAR($F103)&gt;=Preisindex!$A$6,YEAR(BM$4)&gt;=YEAR($F103),$K103="a"),ROUND(VLOOKUP(BR$4,Preisindex,5,FALSE)/VLOOKUP(YEAR($F103),Preisindex,5,FALSE),2),IF(AND($E103&lt;&gt;0,$F103&gt;0,YEAR($F103)&gt;=Preisindex!$A$6,YEAR(BM$4)&gt;=YEAR($F103),$K103="b"),ROUND(VLOOKUP(BR$4,Preisindex,3,FALSE)/VLOOKUP(YEAR($F103),Preisindex,3,FALSE),2),IF(AND($E103&lt;&gt;0,$F103&gt;0,YEAR($F103)&gt;=Preisindex!$A$6,YEAR(BM$4)&gt;=YEAR($F103),$K103="g"),ROUND(VLOOKUP(BR$4,Preisindex,4,FALSE)/VLOOKUP(YEAR($F103),Preisindex,4,FALSE),2),IF(AND($E103&lt;&gt;0,$F103&gt;0,YEAR($F103)&gt;=Preisindex!$A$6,YEAR(BM$4)&gt;=YEAR($F103),$K103="k"),ROUND(VLOOKUP(BR$4,Preisindex,2,FALSE)/VLOOKUP(YEAR($F103),Preisindex,2,FALSE),2),0)))))</f>
        <v>0</v>
      </c>
      <c r="BS103" s="56">
        <f>IF(AND($E103&lt;&gt;0,$F103&gt;0,YEAR($F103)&lt;Preisindex!$A$6,YEAR(BM$4)&gt;=YEAR($F103),AND($K103&lt;&gt;"a",$K103&lt;&gt;"b",$K103&lt;&gt;"g",$K103&lt;&gt;"k")),1,IF(AND($E103&lt;&gt;0,$F103&gt;0,YEAR($F103)&lt;Preisindex!$A$6,YEAR(BM$4)&gt;=YEAR($F103),$K103="a"),ROUND(VLOOKUP(BR$4,Preisindex,5,FALSE)/VLOOKUP(Preisindex!$A$6,Preisindex,5,FALSE),2),IF(AND($E103&lt;&gt;0,$F103&gt;0,YEAR($F103)&lt;Preisindex!$A$6,YEAR(BM$4)&gt;=YEAR($F103),$K103="b"),ROUND(VLOOKUP(BR$4,Preisindex,3,FALSE)/VLOOKUP(Preisindex!$A$6,Preisindex,3,FALSE),2),IF(AND($E103&lt;&gt;0,$F103&gt;0,YEAR($F103)&lt;Preisindex!$A$6,YEAR(BM$4)&gt;=YEAR($F103),$K103="g"),ROUND(VLOOKUP(BR$4,Preisindex,4,FALSE)/VLOOKUP(Preisindex!$A$6,Preisindex,4,FALSE),2),IF(AND($E103&lt;&gt;0,$F103&gt;0,YEAR($F103)&lt;Preisindex!$A$6,YEAR(BM$4)&gt;=YEAR($F103),$K103="k"),ROUND(VLOOKUP(BR$4,Preisindex,2,FALSE)/VLOOKUP(Preisindex!$A$6,Preisindex,2,FALSE),2),0)))))</f>
        <v>0</v>
      </c>
      <c r="BT103" s="51">
        <f>IF(AND($E103&lt;&gt;0,$F103&gt;0,YEAR($F103)&lt;=BR$4,YEAR($F103)&gt;=Preisindex!$A$6),ROUND($E103*BR103,2),IF(AND($E103&lt;&gt;0,$F103&gt;0,YEAR($F103)&lt;=BR$4,YEAR($F103)&lt;Preisindex!$A$6),ROUND($E103*BS103,2),0))</f>
        <v>0</v>
      </c>
      <c r="BU103" s="53">
        <f t="shared" si="377"/>
        <v>0</v>
      </c>
      <c r="BV103" s="51">
        <f t="shared" si="488"/>
        <v>0</v>
      </c>
      <c r="BW103" s="51">
        <f t="shared" si="458"/>
        <v>0</v>
      </c>
      <c r="BX103" s="51">
        <f t="shared" si="378"/>
        <v>0</v>
      </c>
      <c r="BY103" s="51">
        <f t="shared" si="459"/>
        <v>0</v>
      </c>
      <c r="BZ103" s="51">
        <f t="shared" si="379"/>
        <v>0</v>
      </c>
      <c r="CA103" s="51">
        <f t="shared" si="460"/>
        <v>0</v>
      </c>
      <c r="CB103" s="51">
        <f t="shared" si="380"/>
        <v>0</v>
      </c>
      <c r="CC103" s="51">
        <f t="shared" si="461"/>
        <v>0</v>
      </c>
      <c r="CD103" s="51">
        <f t="shared" si="381"/>
        <v>0</v>
      </c>
      <c r="CE103" s="51">
        <f t="shared" si="462"/>
        <v>0</v>
      </c>
      <c r="CF103" s="51">
        <f t="shared" si="382"/>
        <v>0</v>
      </c>
      <c r="CG103" s="54">
        <f t="shared" si="383"/>
        <v>0</v>
      </c>
      <c r="CH103" s="55">
        <f t="shared" si="384"/>
        <v>0</v>
      </c>
      <c r="CI103" s="56">
        <f>IF(AND($E103&lt;&gt;0,$F103&gt;0,YEAR($F103)&gt;=Preisindex!$A$6,YEAR(CD$4)&gt;=YEAR($F103),AND($K103&lt;&gt;"a",$K103&lt;&gt;"b",$K103&lt;&gt;"g",$K103&lt;&gt;"k")),1,IF(AND($E103&lt;&gt;0,$F103&gt;0,YEAR($F103)&gt;=Preisindex!$A$6,YEAR(CD$4)&gt;=YEAR($F103),$K103="a"),ROUND(VLOOKUP(CI$4,Preisindex,5,FALSE)/VLOOKUP(YEAR($F103),Preisindex,5,FALSE),2),IF(AND($E103&lt;&gt;0,$F103&gt;0,YEAR($F103)&gt;=Preisindex!$A$6,YEAR(CD$4)&gt;=YEAR($F103),$K103="b"),ROUND(VLOOKUP(CI$4,Preisindex,3,FALSE)/VLOOKUP(YEAR($F103),Preisindex,3,FALSE),2),IF(AND($E103&lt;&gt;0,$F103&gt;0,YEAR($F103)&gt;=Preisindex!$A$6,YEAR(CD$4)&gt;=YEAR($F103),$K103="g"),ROUND(VLOOKUP(CI$4,Preisindex,4,FALSE)/VLOOKUP(YEAR($F103),Preisindex,4,FALSE),2),IF(AND($E103&lt;&gt;0,$F103&gt;0,YEAR($F103)&gt;=Preisindex!$A$6,YEAR(CD$4)&gt;=YEAR($F103),$K103="k"),ROUND(VLOOKUP(CI$4,Preisindex,2,FALSE)/VLOOKUP(YEAR($F103),Preisindex,2,FALSE),2),0)))))</f>
        <v>0</v>
      </c>
      <c r="CJ103" s="56">
        <f>IF(AND($E103&lt;&gt;0,$F103&gt;0,YEAR($F103)&lt;Preisindex!$A$6,YEAR(CD$4)&gt;=YEAR($F103),AND($K103&lt;&gt;"a",$K103&lt;&gt;"b",$K103&lt;&gt;"g",$K103&lt;&gt;"k")),1,IF(AND($E103&lt;&gt;0,$F103&gt;0,YEAR($F103)&lt;Preisindex!$A$6,YEAR(CD$4)&gt;=YEAR($F103),$K103="a"),ROUND(VLOOKUP(CI$4,Preisindex,5,FALSE)/VLOOKUP(Preisindex!$A$6,Preisindex,5,FALSE),2),IF(AND($E103&lt;&gt;0,$F103&gt;0,YEAR($F103)&lt;Preisindex!$A$6,YEAR(CD$4)&gt;=YEAR($F103),$K103="b"),ROUND(VLOOKUP(CI$4,Preisindex,3,FALSE)/VLOOKUP(Preisindex!$A$6,Preisindex,3,FALSE),2),IF(AND($E103&lt;&gt;0,$F103&gt;0,YEAR($F103)&lt;Preisindex!$A$6,YEAR(CD$4)&gt;=YEAR($F103),$K103="g"),ROUND(VLOOKUP(CI$4,Preisindex,4,FALSE)/VLOOKUP(Preisindex!$A$6,Preisindex,4,FALSE),2),IF(AND($E103&lt;&gt;0,$F103&gt;0,YEAR($F103)&lt;Preisindex!$A$6,YEAR(CD$4)&gt;=YEAR($F103),$K103="k"),ROUND(VLOOKUP(CI$4,Preisindex,2,FALSE)/VLOOKUP(Preisindex!$A$6,Preisindex,2,FALSE),2),0)))))</f>
        <v>0</v>
      </c>
      <c r="CK103" s="51">
        <f>IF(AND($E103&lt;&gt;0,$F103&gt;0,YEAR($F103)&lt;=CI$4,YEAR($F103)&gt;=Preisindex!$A$6),ROUND($E103*CI103,2),IF(AND($E103&lt;&gt;0,$F103&gt;0,YEAR($F103)&lt;=CI$4,YEAR($F103)&lt;Preisindex!$A$6),ROUND($E103*CJ103,2),0))</f>
        <v>0</v>
      </c>
      <c r="CL103" s="53">
        <f t="shared" si="385"/>
        <v>0</v>
      </c>
      <c r="CM103" s="51">
        <f t="shared" si="488"/>
        <v>0</v>
      </c>
      <c r="CN103" s="51">
        <f t="shared" si="463"/>
        <v>0</v>
      </c>
      <c r="CO103" s="51">
        <f t="shared" si="386"/>
        <v>0</v>
      </c>
      <c r="CP103" s="51">
        <f t="shared" si="464"/>
        <v>0</v>
      </c>
      <c r="CQ103" s="51">
        <f t="shared" si="387"/>
        <v>0</v>
      </c>
      <c r="CR103" s="51">
        <f t="shared" si="465"/>
        <v>0</v>
      </c>
      <c r="CS103" s="51">
        <f t="shared" si="388"/>
        <v>0</v>
      </c>
      <c r="CT103" s="51">
        <f t="shared" si="466"/>
        <v>0</v>
      </c>
      <c r="CU103" s="51">
        <f t="shared" si="389"/>
        <v>0</v>
      </c>
      <c r="CV103" s="51">
        <f t="shared" si="467"/>
        <v>0</v>
      </c>
      <c r="CW103" s="51">
        <f t="shared" si="390"/>
        <v>0</v>
      </c>
      <c r="CX103" s="54">
        <f t="shared" si="391"/>
        <v>0</v>
      </c>
      <c r="CY103" s="55">
        <f t="shared" si="392"/>
        <v>0</v>
      </c>
      <c r="CZ103" s="56">
        <f>IF(AND($E103&lt;&gt;0,$F103&gt;0,YEAR($F103)&gt;=Preisindex!$A$6,YEAR(CU$4)&gt;=YEAR($F103),AND($K103&lt;&gt;"a",$K103&lt;&gt;"b",$K103&lt;&gt;"g",$K103&lt;&gt;"k")),1,IF(AND($E103&lt;&gt;0,$F103&gt;0,YEAR($F103)&gt;=Preisindex!$A$6,YEAR(CU$4)&gt;=YEAR($F103),$K103="a"),ROUND(VLOOKUP(CZ$4,Preisindex,5,FALSE)/VLOOKUP(YEAR($F103),Preisindex,5,FALSE),2),IF(AND($E103&lt;&gt;0,$F103&gt;0,YEAR($F103)&gt;=Preisindex!$A$6,YEAR(CU$4)&gt;=YEAR($F103),$K103="b"),ROUND(VLOOKUP(CZ$4,Preisindex,3,FALSE)/VLOOKUP(YEAR($F103),Preisindex,3,FALSE),2),IF(AND($E103&lt;&gt;0,$F103&gt;0,YEAR($F103)&gt;=Preisindex!$A$6,YEAR(CU$4)&gt;=YEAR($F103),$K103="g"),ROUND(VLOOKUP(CZ$4,Preisindex,4,FALSE)/VLOOKUP(YEAR($F103),Preisindex,4,FALSE),2),IF(AND($E103&lt;&gt;0,$F103&gt;0,YEAR($F103)&gt;=Preisindex!$A$6,YEAR(CU$4)&gt;=YEAR($F103),$K103="k"),ROUND(VLOOKUP(CZ$4,Preisindex,2,FALSE)/VLOOKUP(YEAR($F103),Preisindex,2,FALSE),2),0)))))</f>
        <v>0</v>
      </c>
      <c r="DA103" s="56">
        <f>IF(AND($E103&lt;&gt;0,$F103&gt;0,YEAR($F103)&lt;Preisindex!$A$6,YEAR(CU$4)&gt;=YEAR($F103),AND($K103&lt;&gt;"a",$K103&lt;&gt;"b",$K103&lt;&gt;"g",$K103&lt;&gt;"k")),1,IF(AND($E103&lt;&gt;0,$F103&gt;0,YEAR($F103)&lt;Preisindex!$A$6,YEAR(CU$4)&gt;=YEAR($F103),$K103="a"),ROUND(VLOOKUP(CZ$4,Preisindex,5,FALSE)/VLOOKUP(Preisindex!$A$6,Preisindex,5,FALSE),2),IF(AND($E103&lt;&gt;0,$F103&gt;0,YEAR($F103)&lt;Preisindex!$A$6,YEAR(CU$4)&gt;=YEAR($F103),$K103="b"),ROUND(VLOOKUP(CZ$4,Preisindex,3,FALSE)/VLOOKUP(Preisindex!$A$6,Preisindex,3,FALSE),2),IF(AND($E103&lt;&gt;0,$F103&gt;0,YEAR($F103)&lt;Preisindex!$A$6,YEAR(CU$4)&gt;=YEAR($F103),$K103="g"),ROUND(VLOOKUP(CZ$4,Preisindex,4,FALSE)/VLOOKUP(Preisindex!$A$6,Preisindex,4,FALSE),2),IF(AND($E103&lt;&gt;0,$F103&gt;0,YEAR($F103)&lt;Preisindex!$A$6,YEAR(CU$4)&gt;=YEAR($F103),$K103="k"),ROUND(VLOOKUP(CZ$4,Preisindex,2,FALSE)/VLOOKUP(Preisindex!$A$6,Preisindex,2,FALSE),2),0)))))</f>
        <v>0</v>
      </c>
      <c r="DB103" s="51">
        <f>IF(AND($E103&lt;&gt;0,$F103&gt;0,YEAR($F103)&lt;=CZ$4,YEAR($F103)&gt;=Preisindex!$A$6),ROUND($E103*CZ103,2),IF(AND($E103&lt;&gt;0,$F103&gt;0,YEAR($F103)&lt;=CZ$4,YEAR($F103)&lt;Preisindex!$A$6),ROUND($E103*DA103,2),0))</f>
        <v>0</v>
      </c>
      <c r="DC103" s="53">
        <f t="shared" si="393"/>
        <v>0</v>
      </c>
      <c r="DD103" s="51">
        <f t="shared" si="489"/>
        <v>0</v>
      </c>
      <c r="DE103" s="51">
        <f t="shared" si="468"/>
        <v>0</v>
      </c>
      <c r="DF103" s="51">
        <f t="shared" si="395"/>
        <v>0</v>
      </c>
      <c r="DG103" s="51">
        <f t="shared" si="469"/>
        <v>0</v>
      </c>
      <c r="DH103" s="51">
        <f t="shared" si="396"/>
        <v>0</v>
      </c>
      <c r="DI103" s="51">
        <f t="shared" si="470"/>
        <v>0</v>
      </c>
      <c r="DJ103" s="51">
        <f t="shared" si="397"/>
        <v>0</v>
      </c>
      <c r="DK103" s="51">
        <f t="shared" si="471"/>
        <v>0</v>
      </c>
      <c r="DL103" s="51">
        <f t="shared" si="398"/>
        <v>0</v>
      </c>
      <c r="DM103" s="51">
        <f t="shared" si="472"/>
        <v>0</v>
      </c>
      <c r="DN103" s="51">
        <f t="shared" si="399"/>
        <v>0</v>
      </c>
      <c r="DO103" s="54">
        <f t="shared" si="400"/>
        <v>0</v>
      </c>
      <c r="DP103" s="55">
        <f t="shared" si="401"/>
        <v>0</v>
      </c>
      <c r="DQ103" s="56">
        <f>IF(AND($E103&lt;&gt;0,$F103&gt;0,YEAR($F103)&gt;=Preisindex!$A$6,YEAR(DL$4)&gt;=YEAR($F103),AND($K103&lt;&gt;"a",$K103&lt;&gt;"b",$K103&lt;&gt;"g",$K103&lt;&gt;"k")),1,IF(AND($E103&lt;&gt;0,$F103&gt;0,YEAR($F103)&gt;=Preisindex!$A$6,YEAR(DL$4)&gt;=YEAR($F103),$K103="a"),ROUND(VLOOKUP(DQ$4,Preisindex,5,FALSE)/VLOOKUP(YEAR($F103),Preisindex,5,FALSE),2),IF(AND($E103&lt;&gt;0,$F103&gt;0,YEAR($F103)&gt;=Preisindex!$A$6,YEAR(DL$4)&gt;=YEAR($F103),$K103="b"),ROUND(VLOOKUP(DQ$4,Preisindex,3,FALSE)/VLOOKUP(YEAR($F103),Preisindex,3,FALSE),2),IF(AND($E103&lt;&gt;0,$F103&gt;0,YEAR($F103)&gt;=Preisindex!$A$6,YEAR(DL$4)&gt;=YEAR($F103),$K103="g"),ROUND(VLOOKUP(DQ$4,Preisindex,4,FALSE)/VLOOKUP(YEAR($F103),Preisindex,4,FALSE),2),IF(AND($E103&lt;&gt;0,$F103&gt;0,YEAR($F103)&gt;=Preisindex!$A$6,YEAR(DL$4)&gt;=YEAR($F103),$K103="k"),ROUND(VLOOKUP(DQ$4,Preisindex,2,FALSE)/VLOOKUP(YEAR($F103),Preisindex,2,FALSE),2),0)))))</f>
        <v>0</v>
      </c>
      <c r="DR103" s="56">
        <f>IF(AND($E103&lt;&gt;0,$F103&gt;0,YEAR($F103)&lt;Preisindex!$A$6,YEAR(DL$4)&gt;=YEAR($F103),AND($K103&lt;&gt;"a",$K103&lt;&gt;"b",$K103&lt;&gt;"g",$K103&lt;&gt;"k")),1,IF(AND($E103&lt;&gt;0,$F103&gt;0,YEAR($F103)&lt;Preisindex!$A$6,YEAR(DL$4)&gt;=YEAR($F103),$K103="a"),ROUND(VLOOKUP(DQ$4,Preisindex,5,FALSE)/VLOOKUP(Preisindex!$A$6,Preisindex,5,FALSE),2),IF(AND($E103&lt;&gt;0,$F103&gt;0,YEAR($F103)&lt;Preisindex!$A$6,YEAR(DL$4)&gt;=YEAR($F103),$K103="b"),ROUND(VLOOKUP(DQ$4,Preisindex,3,FALSE)/VLOOKUP(Preisindex!$A$6,Preisindex,3,FALSE),2),IF(AND($E103&lt;&gt;0,$F103&gt;0,YEAR($F103)&lt;Preisindex!$A$6,YEAR(DL$4)&gt;=YEAR($F103),$K103="g"),ROUND(VLOOKUP(DQ$4,Preisindex,4,FALSE)/VLOOKUP(Preisindex!$A$6,Preisindex,4,FALSE),2),IF(AND($E103&lt;&gt;0,$F103&gt;0,YEAR($F103)&lt;Preisindex!$A$6,YEAR(DL$4)&gt;=YEAR($F103),$K103="k"),ROUND(VLOOKUP(DQ$4,Preisindex,2,FALSE)/VLOOKUP(Preisindex!$A$6,Preisindex,2,FALSE),2),0)))))</f>
        <v>0</v>
      </c>
      <c r="DS103" s="51">
        <f>IF(AND($E103&lt;&gt;0,$F103&gt;0,YEAR($F103)&lt;=DQ$4,YEAR($F103)&gt;=Preisindex!$A$6),ROUND($E103*DQ103,2),IF(AND($E103&lt;&gt;0,$F103&gt;0,YEAR($F103)&lt;=DQ$4,YEAR($F103)&lt;Preisindex!$A$6),ROUND($E103*DR103,2),0))</f>
        <v>0</v>
      </c>
      <c r="DT103" s="53">
        <f t="shared" si="402"/>
        <v>0</v>
      </c>
      <c r="DU103" s="51">
        <f t="shared" si="489"/>
        <v>0</v>
      </c>
      <c r="DV103" s="51">
        <f t="shared" si="473"/>
        <v>0</v>
      </c>
      <c r="DW103" s="51">
        <f t="shared" si="403"/>
        <v>0</v>
      </c>
      <c r="DX103" s="51">
        <f t="shared" si="474"/>
        <v>0</v>
      </c>
      <c r="DY103" s="51">
        <f t="shared" si="404"/>
        <v>0</v>
      </c>
      <c r="DZ103" s="51">
        <f t="shared" si="475"/>
        <v>0</v>
      </c>
      <c r="EA103" s="51">
        <f t="shared" si="405"/>
        <v>0</v>
      </c>
      <c r="EB103" s="51">
        <f t="shared" si="476"/>
        <v>0</v>
      </c>
      <c r="EC103" s="51">
        <f t="shared" si="406"/>
        <v>0</v>
      </c>
      <c r="ED103" s="51">
        <f t="shared" si="477"/>
        <v>0</v>
      </c>
      <c r="EE103" s="51">
        <f t="shared" si="407"/>
        <v>0</v>
      </c>
      <c r="EF103" s="54">
        <f t="shared" si="408"/>
        <v>0</v>
      </c>
      <c r="EG103" s="55">
        <f t="shared" si="409"/>
        <v>0</v>
      </c>
      <c r="EH103" s="56">
        <f>IF(AND($E103&lt;&gt;0,$F103&gt;0,YEAR($F103)&gt;=Preisindex!$A$6,YEAR(EC$4)&gt;=YEAR($F103),AND($K103&lt;&gt;"a",$K103&lt;&gt;"b",$K103&lt;&gt;"g",$K103&lt;&gt;"k")),1,IF(AND($E103&lt;&gt;0,$F103&gt;0,YEAR($F103)&gt;=Preisindex!$A$6,YEAR(EC$4)&gt;=YEAR($F103),$K103="a"),ROUND(VLOOKUP(EH$4,Preisindex,5,FALSE)/VLOOKUP(YEAR($F103),Preisindex,5,FALSE),2),IF(AND($E103&lt;&gt;0,$F103&gt;0,YEAR($F103)&gt;=Preisindex!$A$6,YEAR(EC$4)&gt;=YEAR($F103),$K103="b"),ROUND(VLOOKUP(EH$4,Preisindex,3,FALSE)/VLOOKUP(YEAR($F103),Preisindex,3,FALSE),2),IF(AND($E103&lt;&gt;0,$F103&gt;0,YEAR($F103)&gt;=Preisindex!$A$6,YEAR(EC$4)&gt;=YEAR($F103),$K103="g"),ROUND(VLOOKUP(EH$4,Preisindex,4,FALSE)/VLOOKUP(YEAR($F103),Preisindex,4,FALSE),2),IF(AND($E103&lt;&gt;0,$F103&gt;0,YEAR($F103)&gt;=Preisindex!$A$6,YEAR(EC$4)&gt;=YEAR($F103),$K103="k"),ROUND(VLOOKUP(EH$4,Preisindex,2,FALSE)/VLOOKUP(YEAR($F103),Preisindex,2,FALSE),2),0)))))</f>
        <v>0</v>
      </c>
      <c r="EI103" s="56">
        <f>IF(AND($E103&lt;&gt;0,$F103&gt;0,YEAR($F103)&lt;Preisindex!$A$6,YEAR(EC$4)&gt;=YEAR($F103),AND($K103&lt;&gt;"a",$K103&lt;&gt;"b",$K103&lt;&gt;"g",$K103&lt;&gt;"k")),1,IF(AND($E103&lt;&gt;0,$F103&gt;0,YEAR($F103)&lt;Preisindex!$A$6,YEAR(EC$4)&gt;=YEAR($F103),$K103="a"),ROUND(VLOOKUP(EH$4,Preisindex,5,FALSE)/VLOOKUP(Preisindex!$A$6,Preisindex,5,FALSE),2),IF(AND($E103&lt;&gt;0,$F103&gt;0,YEAR($F103)&lt;Preisindex!$A$6,YEAR(EC$4)&gt;=YEAR($F103),$K103="b"),ROUND(VLOOKUP(EH$4,Preisindex,3,FALSE)/VLOOKUP(Preisindex!$A$6,Preisindex,3,FALSE),2),IF(AND($E103&lt;&gt;0,$F103&gt;0,YEAR($F103)&lt;Preisindex!$A$6,YEAR(EC$4)&gt;=YEAR($F103),$K103="g"),ROUND(VLOOKUP(EH$4,Preisindex,4,FALSE)/VLOOKUP(Preisindex!$A$6,Preisindex,4,FALSE),2),IF(AND($E103&lt;&gt;0,$F103&gt;0,YEAR($F103)&lt;Preisindex!$A$6,YEAR(EC$4)&gt;=YEAR($F103),$K103="k"),ROUND(VLOOKUP(EH$4,Preisindex,2,FALSE)/VLOOKUP(Preisindex!$A$6,Preisindex,2,FALSE),2),0)))))</f>
        <v>0</v>
      </c>
      <c r="EJ103" s="51">
        <f>IF(AND($E103&lt;&gt;0,$F103&gt;0,YEAR($F103)&lt;=EH$4,YEAR($F103)&gt;=Preisindex!$A$6),ROUND($E103*EH103,2),IF(AND($E103&lt;&gt;0,$F103&gt;0,YEAR($F103)&lt;=EH$4,YEAR($F103)&lt;Preisindex!$A$6),ROUND($E103*EI103,2),0))</f>
        <v>0</v>
      </c>
      <c r="EK103" s="53">
        <f t="shared" si="410"/>
        <v>0</v>
      </c>
      <c r="EL103" s="51">
        <f t="shared" si="489"/>
        <v>0</v>
      </c>
      <c r="EM103" s="51">
        <f t="shared" si="478"/>
        <v>0</v>
      </c>
      <c r="EN103" s="51">
        <f t="shared" si="411"/>
        <v>0</v>
      </c>
      <c r="EO103" s="51">
        <f t="shared" si="479"/>
        <v>0</v>
      </c>
      <c r="EP103" s="51">
        <f t="shared" si="412"/>
        <v>0</v>
      </c>
      <c r="EQ103" s="51">
        <f t="shared" si="480"/>
        <v>0</v>
      </c>
      <c r="ER103" s="51">
        <f t="shared" si="413"/>
        <v>0</v>
      </c>
      <c r="ES103" s="51">
        <f t="shared" si="481"/>
        <v>0</v>
      </c>
      <c r="ET103" s="51">
        <f t="shared" si="414"/>
        <v>0</v>
      </c>
      <c r="EU103" s="51">
        <f t="shared" si="482"/>
        <v>0</v>
      </c>
      <c r="EV103" s="51">
        <f t="shared" si="415"/>
        <v>0</v>
      </c>
      <c r="EW103" s="54">
        <f t="shared" si="416"/>
        <v>0</v>
      </c>
      <c r="EX103" s="55">
        <f t="shared" si="417"/>
        <v>0</v>
      </c>
      <c r="EY103" s="56">
        <f>IF(AND($E103&lt;&gt;0,$F103&gt;0,YEAR($F103)&gt;=Preisindex!$A$6,YEAR(ET$4)&gt;=YEAR($F103),AND($K103&lt;&gt;"a",$K103&lt;&gt;"b",$K103&lt;&gt;"g",$K103&lt;&gt;"k")),1,IF(AND($E103&lt;&gt;0,$F103&gt;0,YEAR($F103)&gt;=Preisindex!$A$6,YEAR(ET$4)&gt;=YEAR($F103),$K103="a"),ROUND(VLOOKUP(EY$4,Preisindex,5,FALSE)/VLOOKUP(YEAR($F103),Preisindex,5,FALSE),2),IF(AND($E103&lt;&gt;0,$F103&gt;0,YEAR($F103)&gt;=Preisindex!$A$6,YEAR(ET$4)&gt;=YEAR($F103),$K103="b"),ROUND(VLOOKUP(EY$4,Preisindex,3,FALSE)/VLOOKUP(YEAR($F103),Preisindex,3,FALSE),2),IF(AND($E103&lt;&gt;0,$F103&gt;0,YEAR($F103)&gt;=Preisindex!$A$6,YEAR(ET$4)&gt;=YEAR($F103),$K103="g"),ROUND(VLOOKUP(EY$4,Preisindex,4,FALSE)/VLOOKUP(YEAR($F103),Preisindex,4,FALSE),2),IF(AND($E103&lt;&gt;0,$F103&gt;0,YEAR($F103)&gt;=Preisindex!$A$6,YEAR(ET$4)&gt;=YEAR($F103),$K103="k"),ROUND(VLOOKUP(EY$4,Preisindex,2,FALSE)/VLOOKUP(YEAR($F103),Preisindex,2,FALSE),2),0)))))</f>
        <v>0</v>
      </c>
      <c r="EZ103" s="56">
        <f>IF(AND($E103&lt;&gt;0,$F103&gt;0,YEAR($F103)&lt;Preisindex!$A$6,YEAR(ET$4)&gt;=YEAR($F103),AND($K103&lt;&gt;"a",$K103&lt;&gt;"b",$K103&lt;&gt;"g",$K103&lt;&gt;"k")),1,IF(AND($E103&lt;&gt;0,$F103&gt;0,YEAR($F103)&lt;Preisindex!$A$6,YEAR(ET$4)&gt;=YEAR($F103),$K103="a"),ROUND(VLOOKUP(EY$4,Preisindex,5,FALSE)/VLOOKUP(Preisindex!$A$6,Preisindex,5,FALSE),2),IF(AND($E103&lt;&gt;0,$F103&gt;0,YEAR($F103)&lt;Preisindex!$A$6,YEAR(ET$4)&gt;=YEAR($F103),$K103="b"),ROUND(VLOOKUP(EY$4,Preisindex,3,FALSE)/VLOOKUP(Preisindex!$A$6,Preisindex,3,FALSE),2),IF(AND($E103&lt;&gt;0,$F103&gt;0,YEAR($F103)&lt;Preisindex!$A$6,YEAR(ET$4)&gt;=YEAR($F103),$K103="g"),ROUND(VLOOKUP(EY$4,Preisindex,4,FALSE)/VLOOKUP(Preisindex!$A$6,Preisindex,4,FALSE),2),IF(AND($E103&lt;&gt;0,$F103&gt;0,YEAR($F103)&lt;Preisindex!$A$6,YEAR(ET$4)&gt;=YEAR($F103),$K103="k"),ROUND(VLOOKUP(EY$4,Preisindex,2,FALSE)/VLOOKUP(Preisindex!$A$6,Preisindex,2,FALSE),2),0)))))</f>
        <v>0</v>
      </c>
      <c r="FA103" s="51">
        <f>IF(AND($E103&lt;&gt;0,$F103&gt;0,YEAR($F103)&lt;=EY$4,YEAR($F103)&gt;=Preisindex!$A$6),ROUND($E103*EY103,2),IF(AND($E103&lt;&gt;0,$F103&gt;0,YEAR($F103)&lt;=EY$4,YEAR($F103)&lt;Preisindex!$A$6),ROUND($E103*EZ103,2),0))</f>
        <v>0</v>
      </c>
      <c r="FB103" s="53">
        <f t="shared" si="418"/>
        <v>0</v>
      </c>
      <c r="FC103" s="51">
        <f t="shared" si="489"/>
        <v>0</v>
      </c>
      <c r="FD103" s="51">
        <f t="shared" si="483"/>
        <v>0</v>
      </c>
      <c r="FE103" s="51">
        <f t="shared" si="419"/>
        <v>0</v>
      </c>
      <c r="FF103" s="51">
        <f t="shared" si="484"/>
        <v>0</v>
      </c>
      <c r="FG103" s="51">
        <f t="shared" si="420"/>
        <v>0</v>
      </c>
      <c r="FH103" s="51">
        <f t="shared" si="485"/>
        <v>0</v>
      </c>
      <c r="FI103" s="51">
        <f t="shared" si="421"/>
        <v>0</v>
      </c>
      <c r="FJ103" s="51">
        <f t="shared" si="486"/>
        <v>0</v>
      </c>
      <c r="FK103" s="51">
        <f t="shared" si="422"/>
        <v>0</v>
      </c>
      <c r="FL103" s="51">
        <f t="shared" si="487"/>
        <v>0</v>
      </c>
      <c r="FM103" s="51">
        <f t="shared" si="423"/>
        <v>0</v>
      </c>
      <c r="FN103" s="54">
        <f t="shared" si="424"/>
        <v>0</v>
      </c>
      <c r="FO103" s="55">
        <f t="shared" si="425"/>
        <v>0</v>
      </c>
      <c r="FP103" s="56">
        <f>IF(AND($E103&lt;&gt;0,$F103&gt;0,YEAR($F103)&gt;=Preisindex!$A$6,YEAR(FK$4)&gt;=YEAR($F103),AND($K103&lt;&gt;"a",$K103&lt;&gt;"b",$K103&lt;&gt;"g",$K103&lt;&gt;"k")),1,IF(AND($E103&lt;&gt;0,$F103&gt;0,YEAR($F103)&gt;=Preisindex!$A$6,YEAR(FK$4)&gt;=YEAR($F103),$K103="a"),ROUND(VLOOKUP(FP$4,Preisindex,5,FALSE)/VLOOKUP(YEAR($F103),Preisindex,5,FALSE),2),IF(AND($E103&lt;&gt;0,$F103&gt;0,YEAR($F103)&gt;=Preisindex!$A$6,YEAR(FK$4)&gt;=YEAR($F103),$K103="b"),ROUND(VLOOKUP(FP$4,Preisindex,3,FALSE)/VLOOKUP(YEAR($F103),Preisindex,3,FALSE),2),IF(AND($E103&lt;&gt;0,$F103&gt;0,YEAR($F103)&gt;=Preisindex!$A$6,YEAR(FK$4)&gt;=YEAR($F103),$K103="g"),ROUND(VLOOKUP(FP$4,Preisindex,4,FALSE)/VLOOKUP(YEAR($F103),Preisindex,4,FALSE),2),IF(AND($E103&lt;&gt;0,$F103&gt;0,YEAR($F103)&gt;=Preisindex!$A$6,YEAR(FK$4)&gt;=YEAR($F103),$K103="k"),ROUND(VLOOKUP(FP$4,Preisindex,2,FALSE)/VLOOKUP(YEAR($F103),Preisindex,2,FALSE),2),0)))))</f>
        <v>0</v>
      </c>
      <c r="FQ103" s="56">
        <f>IF(AND($E103&lt;&gt;0,$F103&gt;0,YEAR($F103)&lt;Preisindex!$A$6,YEAR(FK$4)&gt;=YEAR($F103),AND($K103&lt;&gt;"a",$K103&lt;&gt;"b",$K103&lt;&gt;"g",$K103&lt;&gt;"k")),1,IF(AND($E103&lt;&gt;0,$F103&gt;0,YEAR($F103)&lt;Preisindex!$A$6,YEAR(FK$4)&gt;=YEAR($F103),$K103="a"),ROUND(VLOOKUP(FP$4,Preisindex,5,FALSE)/VLOOKUP(Preisindex!$A$6,Preisindex,5,FALSE),2),IF(AND($E103&lt;&gt;0,$F103&gt;0,YEAR($F103)&lt;Preisindex!$A$6,YEAR(FK$4)&gt;=YEAR($F103),$K103="b"),ROUND(VLOOKUP(FP$4,Preisindex,3,FALSE)/VLOOKUP(Preisindex!$A$6,Preisindex,3,FALSE),2),IF(AND($E103&lt;&gt;0,$F103&gt;0,YEAR($F103)&lt;Preisindex!$A$6,YEAR(FK$4)&gt;=YEAR($F103),$K103="g"),ROUND(VLOOKUP(FP$4,Preisindex,4,FALSE)/VLOOKUP(Preisindex!$A$6,Preisindex,4,FALSE),2),IF(AND($E103&lt;&gt;0,$F103&gt;0,YEAR($F103)&lt;Preisindex!$A$6,YEAR(FK$4)&gt;=YEAR($F103),$K103="k"),ROUND(VLOOKUP(FP$4,Preisindex,2,FALSE)/VLOOKUP(Preisindex!$A$6,Preisindex,2,FALSE),2),0)))))</f>
        <v>0</v>
      </c>
      <c r="FR103" s="51">
        <f>IF(AND($E103&lt;&gt;0,$F103&gt;0,YEAR($F103)&lt;=FP$4,YEAR($F103)&gt;=Preisindex!$A$6),ROUND($E103*FP103,2),IF(AND($E103&lt;&gt;0,$F103&gt;0,YEAR($F103)&lt;=FP$4,YEAR($F103)&lt;Preisindex!$A$6),ROUND($E103*FQ103,2),0))</f>
        <v>0</v>
      </c>
      <c r="FS103" s="53">
        <f t="shared" si="426"/>
        <v>0</v>
      </c>
    </row>
    <row r="104" spans="1:175" x14ac:dyDescent="0.3">
      <c r="A104" s="93"/>
      <c r="B104" s="94"/>
      <c r="C104" s="94"/>
      <c r="D104" s="95"/>
      <c r="E104" s="99"/>
      <c r="F104" s="97"/>
      <c r="G104" s="98"/>
      <c r="H104" s="620"/>
      <c r="I104" s="621"/>
      <c r="J104" s="194"/>
      <c r="K104" s="630"/>
      <c r="L104" s="49">
        <f t="shared" si="427"/>
        <v>0</v>
      </c>
      <c r="M104" s="50">
        <f t="shared" si="428"/>
        <v>0</v>
      </c>
      <c r="N104" s="51">
        <f t="shared" si="429"/>
        <v>0</v>
      </c>
      <c r="O104" s="51"/>
      <c r="P104" s="51">
        <f t="shared" si="430"/>
        <v>0</v>
      </c>
      <c r="Q104" s="52"/>
      <c r="R104" s="52"/>
      <c r="S104" s="52"/>
      <c r="T104" s="52"/>
      <c r="U104" s="52"/>
      <c r="V104" s="53">
        <f t="shared" si="431"/>
        <v>0</v>
      </c>
      <c r="W104" s="51">
        <f t="shared" si="432"/>
        <v>0</v>
      </c>
      <c r="X104" s="51">
        <f t="shared" si="433"/>
        <v>0</v>
      </c>
      <c r="Y104" s="51">
        <f t="shared" si="434"/>
        <v>0</v>
      </c>
      <c r="Z104" s="51">
        <f t="shared" si="435"/>
        <v>0</v>
      </c>
      <c r="AA104" s="51">
        <f t="shared" si="436"/>
        <v>0</v>
      </c>
      <c r="AB104" s="51">
        <f t="shared" si="437"/>
        <v>0</v>
      </c>
      <c r="AC104" s="51">
        <f t="shared" si="438"/>
        <v>0</v>
      </c>
      <c r="AD104" s="51">
        <f t="shared" si="439"/>
        <v>0</v>
      </c>
      <c r="AE104" s="51">
        <f t="shared" si="440"/>
        <v>0</v>
      </c>
      <c r="AF104" s="51">
        <f t="shared" si="441"/>
        <v>0</v>
      </c>
      <c r="AG104" s="51">
        <f t="shared" si="442"/>
        <v>0</v>
      </c>
      <c r="AH104" s="54">
        <f t="shared" si="443"/>
        <v>0</v>
      </c>
      <c r="AI104" s="55">
        <f t="shared" si="444"/>
        <v>0</v>
      </c>
      <c r="AJ104" s="56">
        <f>IF(AND($E104&lt;&gt;0,$F104&gt;0,YEAR($F104)&gt;=Preisindex!$A$6,YEAR(AE$4)&gt;=YEAR($F104),AND($K104&lt;&gt;"a",$K104&lt;&gt;"b",$K104&lt;&gt;"g",$K104&lt;&gt;"k")),1,IF(AND($E104&lt;&gt;0,$F104&gt;0,YEAR($F104)&gt;=Preisindex!$A$6,YEAR(AE$4)&gt;=YEAR($F104),$K104="a"),ROUND(VLOOKUP(AJ$4,Preisindex,5,FALSE)/VLOOKUP(YEAR($F104),Preisindex,5,FALSE),2),IF(AND($E104&lt;&gt;0,$F104&gt;0,YEAR($F104)&gt;=Preisindex!$A$6,YEAR(AE$4)&gt;=YEAR($F104),$K104="b"),ROUND(VLOOKUP(AJ$4,Preisindex,3,FALSE)/VLOOKUP(YEAR($F104),Preisindex,3,FALSE),2),IF(AND($E104&lt;&gt;0,$F104&gt;0,YEAR($F104)&gt;=Preisindex!$A$6,YEAR(AE$4)&gt;=YEAR($F104),$K104="g"),ROUND(VLOOKUP(AJ$4,Preisindex,4,FALSE)/VLOOKUP(YEAR($F104),Preisindex,4,FALSE),2),IF(AND($E104&lt;&gt;0,$F104&gt;0,YEAR($F104)&gt;=Preisindex!$A$6,YEAR(AE$4)&gt;=YEAR($F104),$K104="k"),ROUND(VLOOKUP(AJ$4,Preisindex,2,FALSE)/VLOOKUP(YEAR($F104),Preisindex,2,FALSE),2),0)))))</f>
        <v>0</v>
      </c>
      <c r="AK104" s="56">
        <f>IF(AND($E104&lt;&gt;0,$F104&gt;0,YEAR($F104)&lt;Preisindex!$A$6,YEAR(AE$4)&gt;=YEAR($F104),AND($K104&lt;&gt;"a",$K104&lt;&gt;"b",$K104&lt;&gt;"g",$K104&lt;&gt;"k")),1,IF(AND($E104&lt;&gt;0,$F104&gt;0,YEAR($F104)&lt;Preisindex!$A$6,YEAR(AE$4)&gt;=YEAR($F104),$K104="a"),ROUND(VLOOKUP(AJ$4,Preisindex,5,FALSE)/VLOOKUP(Preisindex!$A$6,Preisindex,5,FALSE),2),IF(AND($E104&lt;&gt;0,$F104&gt;0,YEAR($F104)&lt;Preisindex!$A$6,YEAR(AE$4)&gt;=YEAR($F104),$K104="b"),ROUND(VLOOKUP(AJ$4,Preisindex,3,FALSE)/VLOOKUP(Preisindex!$A$6,Preisindex,3,FALSE),2),IF(AND($E104&lt;&gt;0,$F104&gt;0,YEAR($F104)&lt;Preisindex!$A$6,YEAR(AE$4)&gt;=YEAR($F104),$K104="g"),ROUND(VLOOKUP(AJ$4,Preisindex,4,FALSE)/VLOOKUP(Preisindex!$A$6,Preisindex,4,FALSE),2),IF(AND($E104&lt;&gt;0,$F104&gt;0,YEAR($F104)&lt;Preisindex!$A$6,YEAR(AE$4)&gt;=YEAR($F104),$K104="k"),ROUND(VLOOKUP(AJ$4,Preisindex,2,FALSE)/VLOOKUP(Preisindex!$A$6,Preisindex,2,FALSE),2),0)))))</f>
        <v>0</v>
      </c>
      <c r="AL104" s="51">
        <f>IF(AND($E104&lt;&gt;0,$F104&gt;0,YEAR($F104)&lt;=AJ$4,YEAR($F104)&gt;=Preisindex!$A$6),ROUND($E104*AJ104,2),IF(AND($E104&lt;&gt;0,$F104&gt;0,YEAR($F104)&lt;=AJ$4,YEAR($F104)&lt;Preisindex!$A$6),ROUND($E104*AK104,2),0))</f>
        <v>0</v>
      </c>
      <c r="AM104" s="53">
        <f t="shared" si="445"/>
        <v>0</v>
      </c>
      <c r="AN104" s="51">
        <f t="shared" si="488"/>
        <v>0</v>
      </c>
      <c r="AO104" s="51">
        <f t="shared" si="448"/>
        <v>0</v>
      </c>
      <c r="AP104" s="51">
        <f t="shared" si="362"/>
        <v>0</v>
      </c>
      <c r="AQ104" s="51">
        <f t="shared" si="449"/>
        <v>0</v>
      </c>
      <c r="AR104" s="51">
        <f t="shared" si="363"/>
        <v>0</v>
      </c>
      <c r="AS104" s="51">
        <f t="shared" si="450"/>
        <v>0</v>
      </c>
      <c r="AT104" s="51">
        <f t="shared" si="364"/>
        <v>0</v>
      </c>
      <c r="AU104" s="51">
        <f t="shared" si="451"/>
        <v>0</v>
      </c>
      <c r="AV104" s="51">
        <f t="shared" si="365"/>
        <v>0</v>
      </c>
      <c r="AW104" s="51">
        <f t="shared" si="452"/>
        <v>0</v>
      </c>
      <c r="AX104" s="51">
        <f t="shared" si="366"/>
        <v>0</v>
      </c>
      <c r="AY104" s="54">
        <f t="shared" si="367"/>
        <v>0</v>
      </c>
      <c r="AZ104" s="55">
        <f t="shared" si="368"/>
        <v>0</v>
      </c>
      <c r="BA104" s="56">
        <f>IF(AND($E104&lt;&gt;0,$F104&gt;0,YEAR($F104)&gt;=Preisindex!$A$6,YEAR(AV$4)&gt;=YEAR($F104),AND($K104&lt;&gt;"a",$K104&lt;&gt;"b",$K104&lt;&gt;"g",$K104&lt;&gt;"k")),1,IF(AND($E104&lt;&gt;0,$F104&gt;0,YEAR($F104)&gt;=Preisindex!$A$6,YEAR(AV$4)&gt;=YEAR($F104),$K104="a"),ROUND(VLOOKUP(BA$4,Preisindex,5,FALSE)/VLOOKUP(YEAR($F104),Preisindex,5,FALSE),2),IF(AND($E104&lt;&gt;0,$F104&gt;0,YEAR($F104)&gt;=Preisindex!$A$6,YEAR(AV$4)&gt;=YEAR($F104),$K104="b"),ROUND(VLOOKUP(BA$4,Preisindex,3,FALSE)/VLOOKUP(YEAR($F104),Preisindex,3,FALSE),2),IF(AND($E104&lt;&gt;0,$F104&gt;0,YEAR($F104)&gt;=Preisindex!$A$6,YEAR(AV$4)&gt;=YEAR($F104),$K104="g"),ROUND(VLOOKUP(BA$4,Preisindex,4,FALSE)/VLOOKUP(YEAR($F104),Preisindex,4,FALSE),2),IF(AND($E104&lt;&gt;0,$F104&gt;0,YEAR($F104)&gt;=Preisindex!$A$6,YEAR(AV$4)&gt;=YEAR($F104),$K104="k"),ROUND(VLOOKUP(BA$4,Preisindex,2,FALSE)/VLOOKUP(YEAR($F104),Preisindex,2,FALSE),2),0)))))</f>
        <v>0</v>
      </c>
      <c r="BB104" s="56">
        <f>IF(AND($E104&lt;&gt;0,$F104&gt;0,YEAR($F104)&lt;Preisindex!$A$6,YEAR(AV$4)&gt;=YEAR($F104),AND($K104&lt;&gt;"a",$K104&lt;&gt;"b",$K104&lt;&gt;"g",$K104&lt;&gt;"k")),1,IF(AND($E104&lt;&gt;0,$F104&gt;0,YEAR($F104)&lt;Preisindex!$A$6,YEAR(AV$4)&gt;=YEAR($F104),$K104="a"),ROUND(VLOOKUP(BA$4,Preisindex,5,FALSE)/VLOOKUP(Preisindex!$A$6,Preisindex,5,FALSE),2),IF(AND($E104&lt;&gt;0,$F104&gt;0,YEAR($F104)&lt;Preisindex!$A$6,YEAR(AV$4)&gt;=YEAR($F104),$K104="b"),ROUND(VLOOKUP(BA$4,Preisindex,3,FALSE)/VLOOKUP(Preisindex!$A$6,Preisindex,3,FALSE),2),IF(AND($E104&lt;&gt;0,$F104&gt;0,YEAR($F104)&lt;Preisindex!$A$6,YEAR(AV$4)&gt;=YEAR($F104),$K104="g"),ROUND(VLOOKUP(BA$4,Preisindex,4,FALSE)/VLOOKUP(Preisindex!$A$6,Preisindex,4,FALSE),2),IF(AND($E104&lt;&gt;0,$F104&gt;0,YEAR($F104)&lt;Preisindex!$A$6,YEAR(AV$4)&gt;=YEAR($F104),$K104="k"),ROUND(VLOOKUP(BA$4,Preisindex,2,FALSE)/VLOOKUP(Preisindex!$A$6,Preisindex,2,FALSE),2),0)))))</f>
        <v>0</v>
      </c>
      <c r="BC104" s="51">
        <f>IF(AND($E104&lt;&gt;0,$F104&gt;0,YEAR($F104)&lt;=BA$4,YEAR($F104)&gt;=Preisindex!$A$6),ROUND($E104*BA104,2),IF(AND($E104&lt;&gt;0,$F104&gt;0,YEAR($F104)&lt;=BA$4,YEAR($F104)&lt;Preisindex!$A$6),ROUND($E104*BB104,2),0))</f>
        <v>0</v>
      </c>
      <c r="BD104" s="53">
        <f t="shared" si="369"/>
        <v>0</v>
      </c>
      <c r="BE104" s="51">
        <f t="shared" si="488"/>
        <v>0</v>
      </c>
      <c r="BF104" s="51">
        <f t="shared" si="453"/>
        <v>0</v>
      </c>
      <c r="BG104" s="51">
        <f t="shared" si="370"/>
        <v>0</v>
      </c>
      <c r="BH104" s="51">
        <f t="shared" si="454"/>
        <v>0</v>
      </c>
      <c r="BI104" s="51">
        <f t="shared" si="371"/>
        <v>0</v>
      </c>
      <c r="BJ104" s="51">
        <f t="shared" si="455"/>
        <v>0</v>
      </c>
      <c r="BK104" s="51">
        <f t="shared" si="372"/>
        <v>0</v>
      </c>
      <c r="BL104" s="51">
        <f t="shared" si="456"/>
        <v>0</v>
      </c>
      <c r="BM104" s="51">
        <f t="shared" si="373"/>
        <v>0</v>
      </c>
      <c r="BN104" s="51">
        <f t="shared" si="457"/>
        <v>0</v>
      </c>
      <c r="BO104" s="51">
        <f t="shared" si="374"/>
        <v>0</v>
      </c>
      <c r="BP104" s="54">
        <f t="shared" si="375"/>
        <v>0</v>
      </c>
      <c r="BQ104" s="55">
        <f t="shared" si="376"/>
        <v>0</v>
      </c>
      <c r="BR104" s="56">
        <f>IF(AND($E104&lt;&gt;0,$F104&gt;0,YEAR($F104)&gt;=Preisindex!$A$6,YEAR(BM$4)&gt;=YEAR($F104),AND($K104&lt;&gt;"a",$K104&lt;&gt;"b",$K104&lt;&gt;"g",$K104&lt;&gt;"k")),1,IF(AND($E104&lt;&gt;0,$F104&gt;0,YEAR($F104)&gt;=Preisindex!$A$6,YEAR(BM$4)&gt;=YEAR($F104),$K104="a"),ROUND(VLOOKUP(BR$4,Preisindex,5,FALSE)/VLOOKUP(YEAR($F104),Preisindex,5,FALSE),2),IF(AND($E104&lt;&gt;0,$F104&gt;0,YEAR($F104)&gt;=Preisindex!$A$6,YEAR(BM$4)&gt;=YEAR($F104),$K104="b"),ROUND(VLOOKUP(BR$4,Preisindex,3,FALSE)/VLOOKUP(YEAR($F104),Preisindex,3,FALSE),2),IF(AND($E104&lt;&gt;0,$F104&gt;0,YEAR($F104)&gt;=Preisindex!$A$6,YEAR(BM$4)&gt;=YEAR($F104),$K104="g"),ROUND(VLOOKUP(BR$4,Preisindex,4,FALSE)/VLOOKUP(YEAR($F104),Preisindex,4,FALSE),2),IF(AND($E104&lt;&gt;0,$F104&gt;0,YEAR($F104)&gt;=Preisindex!$A$6,YEAR(BM$4)&gt;=YEAR($F104),$K104="k"),ROUND(VLOOKUP(BR$4,Preisindex,2,FALSE)/VLOOKUP(YEAR($F104),Preisindex,2,FALSE),2),0)))))</f>
        <v>0</v>
      </c>
      <c r="BS104" s="56">
        <f>IF(AND($E104&lt;&gt;0,$F104&gt;0,YEAR($F104)&lt;Preisindex!$A$6,YEAR(BM$4)&gt;=YEAR($F104),AND($K104&lt;&gt;"a",$K104&lt;&gt;"b",$K104&lt;&gt;"g",$K104&lt;&gt;"k")),1,IF(AND($E104&lt;&gt;0,$F104&gt;0,YEAR($F104)&lt;Preisindex!$A$6,YEAR(BM$4)&gt;=YEAR($F104),$K104="a"),ROUND(VLOOKUP(BR$4,Preisindex,5,FALSE)/VLOOKUP(Preisindex!$A$6,Preisindex,5,FALSE),2),IF(AND($E104&lt;&gt;0,$F104&gt;0,YEAR($F104)&lt;Preisindex!$A$6,YEAR(BM$4)&gt;=YEAR($F104),$K104="b"),ROUND(VLOOKUP(BR$4,Preisindex,3,FALSE)/VLOOKUP(Preisindex!$A$6,Preisindex,3,FALSE),2),IF(AND($E104&lt;&gt;0,$F104&gt;0,YEAR($F104)&lt;Preisindex!$A$6,YEAR(BM$4)&gt;=YEAR($F104),$K104="g"),ROUND(VLOOKUP(BR$4,Preisindex,4,FALSE)/VLOOKUP(Preisindex!$A$6,Preisindex,4,FALSE),2),IF(AND($E104&lt;&gt;0,$F104&gt;0,YEAR($F104)&lt;Preisindex!$A$6,YEAR(BM$4)&gt;=YEAR($F104),$K104="k"),ROUND(VLOOKUP(BR$4,Preisindex,2,FALSE)/VLOOKUP(Preisindex!$A$6,Preisindex,2,FALSE),2),0)))))</f>
        <v>0</v>
      </c>
      <c r="BT104" s="51">
        <f>IF(AND($E104&lt;&gt;0,$F104&gt;0,YEAR($F104)&lt;=BR$4,YEAR($F104)&gt;=Preisindex!$A$6),ROUND($E104*BR104,2),IF(AND($E104&lt;&gt;0,$F104&gt;0,YEAR($F104)&lt;=BR$4,YEAR($F104)&lt;Preisindex!$A$6),ROUND($E104*BS104,2),0))</f>
        <v>0</v>
      </c>
      <c r="BU104" s="53">
        <f t="shared" si="377"/>
        <v>0</v>
      </c>
      <c r="BV104" s="51">
        <f t="shared" si="488"/>
        <v>0</v>
      </c>
      <c r="BW104" s="51">
        <f t="shared" si="458"/>
        <v>0</v>
      </c>
      <c r="BX104" s="51">
        <f t="shared" si="378"/>
        <v>0</v>
      </c>
      <c r="BY104" s="51">
        <f t="shared" si="459"/>
        <v>0</v>
      </c>
      <c r="BZ104" s="51">
        <f t="shared" si="379"/>
        <v>0</v>
      </c>
      <c r="CA104" s="51">
        <f t="shared" si="460"/>
        <v>0</v>
      </c>
      <c r="CB104" s="51">
        <f t="shared" si="380"/>
        <v>0</v>
      </c>
      <c r="CC104" s="51">
        <f t="shared" si="461"/>
        <v>0</v>
      </c>
      <c r="CD104" s="51">
        <f t="shared" si="381"/>
        <v>0</v>
      </c>
      <c r="CE104" s="51">
        <f t="shared" si="462"/>
        <v>0</v>
      </c>
      <c r="CF104" s="51">
        <f t="shared" si="382"/>
        <v>0</v>
      </c>
      <c r="CG104" s="54">
        <f t="shared" si="383"/>
        <v>0</v>
      </c>
      <c r="CH104" s="55">
        <f t="shared" si="384"/>
        <v>0</v>
      </c>
      <c r="CI104" s="56">
        <f>IF(AND($E104&lt;&gt;0,$F104&gt;0,YEAR($F104)&gt;=Preisindex!$A$6,YEAR(CD$4)&gt;=YEAR($F104),AND($K104&lt;&gt;"a",$K104&lt;&gt;"b",$K104&lt;&gt;"g",$K104&lt;&gt;"k")),1,IF(AND($E104&lt;&gt;0,$F104&gt;0,YEAR($F104)&gt;=Preisindex!$A$6,YEAR(CD$4)&gt;=YEAR($F104),$K104="a"),ROUND(VLOOKUP(CI$4,Preisindex,5,FALSE)/VLOOKUP(YEAR($F104),Preisindex,5,FALSE),2),IF(AND($E104&lt;&gt;0,$F104&gt;0,YEAR($F104)&gt;=Preisindex!$A$6,YEAR(CD$4)&gt;=YEAR($F104),$K104="b"),ROUND(VLOOKUP(CI$4,Preisindex,3,FALSE)/VLOOKUP(YEAR($F104),Preisindex,3,FALSE),2),IF(AND($E104&lt;&gt;0,$F104&gt;0,YEAR($F104)&gt;=Preisindex!$A$6,YEAR(CD$4)&gt;=YEAR($F104),$K104="g"),ROUND(VLOOKUP(CI$4,Preisindex,4,FALSE)/VLOOKUP(YEAR($F104),Preisindex,4,FALSE),2),IF(AND($E104&lt;&gt;0,$F104&gt;0,YEAR($F104)&gt;=Preisindex!$A$6,YEAR(CD$4)&gt;=YEAR($F104),$K104="k"),ROUND(VLOOKUP(CI$4,Preisindex,2,FALSE)/VLOOKUP(YEAR($F104),Preisindex,2,FALSE),2),0)))))</f>
        <v>0</v>
      </c>
      <c r="CJ104" s="56">
        <f>IF(AND($E104&lt;&gt;0,$F104&gt;0,YEAR($F104)&lt;Preisindex!$A$6,YEAR(CD$4)&gt;=YEAR($F104),AND($K104&lt;&gt;"a",$K104&lt;&gt;"b",$K104&lt;&gt;"g",$K104&lt;&gt;"k")),1,IF(AND($E104&lt;&gt;0,$F104&gt;0,YEAR($F104)&lt;Preisindex!$A$6,YEAR(CD$4)&gt;=YEAR($F104),$K104="a"),ROUND(VLOOKUP(CI$4,Preisindex,5,FALSE)/VLOOKUP(Preisindex!$A$6,Preisindex,5,FALSE),2),IF(AND($E104&lt;&gt;0,$F104&gt;0,YEAR($F104)&lt;Preisindex!$A$6,YEAR(CD$4)&gt;=YEAR($F104),$K104="b"),ROUND(VLOOKUP(CI$4,Preisindex,3,FALSE)/VLOOKUP(Preisindex!$A$6,Preisindex,3,FALSE),2),IF(AND($E104&lt;&gt;0,$F104&gt;0,YEAR($F104)&lt;Preisindex!$A$6,YEAR(CD$4)&gt;=YEAR($F104),$K104="g"),ROUND(VLOOKUP(CI$4,Preisindex,4,FALSE)/VLOOKUP(Preisindex!$A$6,Preisindex,4,FALSE),2),IF(AND($E104&lt;&gt;0,$F104&gt;0,YEAR($F104)&lt;Preisindex!$A$6,YEAR(CD$4)&gt;=YEAR($F104),$K104="k"),ROUND(VLOOKUP(CI$4,Preisindex,2,FALSE)/VLOOKUP(Preisindex!$A$6,Preisindex,2,FALSE),2),0)))))</f>
        <v>0</v>
      </c>
      <c r="CK104" s="51">
        <f>IF(AND($E104&lt;&gt;0,$F104&gt;0,YEAR($F104)&lt;=CI$4,YEAR($F104)&gt;=Preisindex!$A$6),ROUND($E104*CI104,2),IF(AND($E104&lt;&gt;0,$F104&gt;0,YEAR($F104)&lt;=CI$4,YEAR($F104)&lt;Preisindex!$A$6),ROUND($E104*CJ104,2),0))</f>
        <v>0</v>
      </c>
      <c r="CL104" s="53">
        <f t="shared" si="385"/>
        <v>0</v>
      </c>
      <c r="CM104" s="51">
        <f t="shared" si="488"/>
        <v>0</v>
      </c>
      <c r="CN104" s="51">
        <f t="shared" si="463"/>
        <v>0</v>
      </c>
      <c r="CO104" s="51">
        <f t="shared" si="386"/>
        <v>0</v>
      </c>
      <c r="CP104" s="51">
        <f t="shared" si="464"/>
        <v>0</v>
      </c>
      <c r="CQ104" s="51">
        <f t="shared" si="387"/>
        <v>0</v>
      </c>
      <c r="CR104" s="51">
        <f t="shared" si="465"/>
        <v>0</v>
      </c>
      <c r="CS104" s="51">
        <f t="shared" si="388"/>
        <v>0</v>
      </c>
      <c r="CT104" s="51">
        <f t="shared" si="466"/>
        <v>0</v>
      </c>
      <c r="CU104" s="51">
        <f t="shared" si="389"/>
        <v>0</v>
      </c>
      <c r="CV104" s="51">
        <f t="shared" si="467"/>
        <v>0</v>
      </c>
      <c r="CW104" s="51">
        <f t="shared" si="390"/>
        <v>0</v>
      </c>
      <c r="CX104" s="54">
        <f t="shared" si="391"/>
        <v>0</v>
      </c>
      <c r="CY104" s="55">
        <f t="shared" si="392"/>
        <v>0</v>
      </c>
      <c r="CZ104" s="56">
        <f>IF(AND($E104&lt;&gt;0,$F104&gt;0,YEAR($F104)&gt;=Preisindex!$A$6,YEAR(CU$4)&gt;=YEAR($F104),AND($K104&lt;&gt;"a",$K104&lt;&gt;"b",$K104&lt;&gt;"g",$K104&lt;&gt;"k")),1,IF(AND($E104&lt;&gt;0,$F104&gt;0,YEAR($F104)&gt;=Preisindex!$A$6,YEAR(CU$4)&gt;=YEAR($F104),$K104="a"),ROUND(VLOOKUP(CZ$4,Preisindex,5,FALSE)/VLOOKUP(YEAR($F104),Preisindex,5,FALSE),2),IF(AND($E104&lt;&gt;0,$F104&gt;0,YEAR($F104)&gt;=Preisindex!$A$6,YEAR(CU$4)&gt;=YEAR($F104),$K104="b"),ROUND(VLOOKUP(CZ$4,Preisindex,3,FALSE)/VLOOKUP(YEAR($F104),Preisindex,3,FALSE),2),IF(AND($E104&lt;&gt;0,$F104&gt;0,YEAR($F104)&gt;=Preisindex!$A$6,YEAR(CU$4)&gt;=YEAR($F104),$K104="g"),ROUND(VLOOKUP(CZ$4,Preisindex,4,FALSE)/VLOOKUP(YEAR($F104),Preisindex,4,FALSE),2),IF(AND($E104&lt;&gt;0,$F104&gt;0,YEAR($F104)&gt;=Preisindex!$A$6,YEAR(CU$4)&gt;=YEAR($F104),$K104="k"),ROUND(VLOOKUP(CZ$4,Preisindex,2,FALSE)/VLOOKUP(YEAR($F104),Preisindex,2,FALSE),2),0)))))</f>
        <v>0</v>
      </c>
      <c r="DA104" s="56">
        <f>IF(AND($E104&lt;&gt;0,$F104&gt;0,YEAR($F104)&lt;Preisindex!$A$6,YEAR(CU$4)&gt;=YEAR($F104),AND($K104&lt;&gt;"a",$K104&lt;&gt;"b",$K104&lt;&gt;"g",$K104&lt;&gt;"k")),1,IF(AND($E104&lt;&gt;0,$F104&gt;0,YEAR($F104)&lt;Preisindex!$A$6,YEAR(CU$4)&gt;=YEAR($F104),$K104="a"),ROUND(VLOOKUP(CZ$4,Preisindex,5,FALSE)/VLOOKUP(Preisindex!$A$6,Preisindex,5,FALSE),2),IF(AND($E104&lt;&gt;0,$F104&gt;0,YEAR($F104)&lt;Preisindex!$A$6,YEAR(CU$4)&gt;=YEAR($F104),$K104="b"),ROUND(VLOOKUP(CZ$4,Preisindex,3,FALSE)/VLOOKUP(Preisindex!$A$6,Preisindex,3,FALSE),2),IF(AND($E104&lt;&gt;0,$F104&gt;0,YEAR($F104)&lt;Preisindex!$A$6,YEAR(CU$4)&gt;=YEAR($F104),$K104="g"),ROUND(VLOOKUP(CZ$4,Preisindex,4,FALSE)/VLOOKUP(Preisindex!$A$6,Preisindex,4,FALSE),2),IF(AND($E104&lt;&gt;0,$F104&gt;0,YEAR($F104)&lt;Preisindex!$A$6,YEAR(CU$4)&gt;=YEAR($F104),$K104="k"),ROUND(VLOOKUP(CZ$4,Preisindex,2,FALSE)/VLOOKUP(Preisindex!$A$6,Preisindex,2,FALSE),2),0)))))</f>
        <v>0</v>
      </c>
      <c r="DB104" s="51">
        <f>IF(AND($E104&lt;&gt;0,$F104&gt;0,YEAR($F104)&lt;=CZ$4,YEAR($F104)&gt;=Preisindex!$A$6),ROUND($E104*CZ104,2),IF(AND($E104&lt;&gt;0,$F104&gt;0,YEAR($F104)&lt;=CZ$4,YEAR($F104)&lt;Preisindex!$A$6),ROUND($E104*DA104,2),0))</f>
        <v>0</v>
      </c>
      <c r="DC104" s="53">
        <f t="shared" si="393"/>
        <v>0</v>
      </c>
      <c r="DD104" s="51">
        <f t="shared" si="489"/>
        <v>0</v>
      </c>
      <c r="DE104" s="51">
        <f t="shared" si="468"/>
        <v>0</v>
      </c>
      <c r="DF104" s="51">
        <f t="shared" si="395"/>
        <v>0</v>
      </c>
      <c r="DG104" s="51">
        <f t="shared" si="469"/>
        <v>0</v>
      </c>
      <c r="DH104" s="51">
        <f t="shared" si="396"/>
        <v>0</v>
      </c>
      <c r="DI104" s="51">
        <f t="shared" si="470"/>
        <v>0</v>
      </c>
      <c r="DJ104" s="51">
        <f t="shared" si="397"/>
        <v>0</v>
      </c>
      <c r="DK104" s="51">
        <f t="shared" si="471"/>
        <v>0</v>
      </c>
      <c r="DL104" s="51">
        <f t="shared" si="398"/>
        <v>0</v>
      </c>
      <c r="DM104" s="51">
        <f t="shared" si="472"/>
        <v>0</v>
      </c>
      <c r="DN104" s="51">
        <f t="shared" si="399"/>
        <v>0</v>
      </c>
      <c r="DO104" s="54">
        <f t="shared" si="400"/>
        <v>0</v>
      </c>
      <c r="DP104" s="55">
        <f t="shared" si="401"/>
        <v>0</v>
      </c>
      <c r="DQ104" s="56">
        <f>IF(AND($E104&lt;&gt;0,$F104&gt;0,YEAR($F104)&gt;=Preisindex!$A$6,YEAR(DL$4)&gt;=YEAR($F104),AND($K104&lt;&gt;"a",$K104&lt;&gt;"b",$K104&lt;&gt;"g",$K104&lt;&gt;"k")),1,IF(AND($E104&lt;&gt;0,$F104&gt;0,YEAR($F104)&gt;=Preisindex!$A$6,YEAR(DL$4)&gt;=YEAR($F104),$K104="a"),ROUND(VLOOKUP(DQ$4,Preisindex,5,FALSE)/VLOOKUP(YEAR($F104),Preisindex,5,FALSE),2),IF(AND($E104&lt;&gt;0,$F104&gt;0,YEAR($F104)&gt;=Preisindex!$A$6,YEAR(DL$4)&gt;=YEAR($F104),$K104="b"),ROUND(VLOOKUP(DQ$4,Preisindex,3,FALSE)/VLOOKUP(YEAR($F104),Preisindex,3,FALSE),2),IF(AND($E104&lt;&gt;0,$F104&gt;0,YEAR($F104)&gt;=Preisindex!$A$6,YEAR(DL$4)&gt;=YEAR($F104),$K104="g"),ROUND(VLOOKUP(DQ$4,Preisindex,4,FALSE)/VLOOKUP(YEAR($F104),Preisindex,4,FALSE),2),IF(AND($E104&lt;&gt;0,$F104&gt;0,YEAR($F104)&gt;=Preisindex!$A$6,YEAR(DL$4)&gt;=YEAR($F104),$K104="k"),ROUND(VLOOKUP(DQ$4,Preisindex,2,FALSE)/VLOOKUP(YEAR($F104),Preisindex,2,FALSE),2),0)))))</f>
        <v>0</v>
      </c>
      <c r="DR104" s="56">
        <f>IF(AND($E104&lt;&gt;0,$F104&gt;0,YEAR($F104)&lt;Preisindex!$A$6,YEAR(DL$4)&gt;=YEAR($F104),AND($K104&lt;&gt;"a",$K104&lt;&gt;"b",$K104&lt;&gt;"g",$K104&lt;&gt;"k")),1,IF(AND($E104&lt;&gt;0,$F104&gt;0,YEAR($F104)&lt;Preisindex!$A$6,YEAR(DL$4)&gt;=YEAR($F104),$K104="a"),ROUND(VLOOKUP(DQ$4,Preisindex,5,FALSE)/VLOOKUP(Preisindex!$A$6,Preisindex,5,FALSE),2),IF(AND($E104&lt;&gt;0,$F104&gt;0,YEAR($F104)&lt;Preisindex!$A$6,YEAR(DL$4)&gt;=YEAR($F104),$K104="b"),ROUND(VLOOKUP(DQ$4,Preisindex,3,FALSE)/VLOOKUP(Preisindex!$A$6,Preisindex,3,FALSE),2),IF(AND($E104&lt;&gt;0,$F104&gt;0,YEAR($F104)&lt;Preisindex!$A$6,YEAR(DL$4)&gt;=YEAR($F104),$K104="g"),ROUND(VLOOKUP(DQ$4,Preisindex,4,FALSE)/VLOOKUP(Preisindex!$A$6,Preisindex,4,FALSE),2),IF(AND($E104&lt;&gt;0,$F104&gt;0,YEAR($F104)&lt;Preisindex!$A$6,YEAR(DL$4)&gt;=YEAR($F104),$K104="k"),ROUND(VLOOKUP(DQ$4,Preisindex,2,FALSE)/VLOOKUP(Preisindex!$A$6,Preisindex,2,FALSE),2),0)))))</f>
        <v>0</v>
      </c>
      <c r="DS104" s="51">
        <f>IF(AND($E104&lt;&gt;0,$F104&gt;0,YEAR($F104)&lt;=DQ$4,YEAR($F104)&gt;=Preisindex!$A$6),ROUND($E104*DQ104,2),IF(AND($E104&lt;&gt;0,$F104&gt;0,YEAR($F104)&lt;=DQ$4,YEAR($F104)&lt;Preisindex!$A$6),ROUND($E104*DR104,2),0))</f>
        <v>0</v>
      </c>
      <c r="DT104" s="53">
        <f t="shared" si="402"/>
        <v>0</v>
      </c>
      <c r="DU104" s="51">
        <f t="shared" si="489"/>
        <v>0</v>
      </c>
      <c r="DV104" s="51">
        <f t="shared" si="473"/>
        <v>0</v>
      </c>
      <c r="DW104" s="51">
        <f t="shared" si="403"/>
        <v>0</v>
      </c>
      <c r="DX104" s="51">
        <f t="shared" si="474"/>
        <v>0</v>
      </c>
      <c r="DY104" s="51">
        <f t="shared" si="404"/>
        <v>0</v>
      </c>
      <c r="DZ104" s="51">
        <f t="shared" si="475"/>
        <v>0</v>
      </c>
      <c r="EA104" s="51">
        <f t="shared" si="405"/>
        <v>0</v>
      </c>
      <c r="EB104" s="51">
        <f t="shared" si="476"/>
        <v>0</v>
      </c>
      <c r="EC104" s="51">
        <f t="shared" si="406"/>
        <v>0</v>
      </c>
      <c r="ED104" s="51">
        <f t="shared" si="477"/>
        <v>0</v>
      </c>
      <c r="EE104" s="51">
        <f t="shared" si="407"/>
        <v>0</v>
      </c>
      <c r="EF104" s="54">
        <f t="shared" si="408"/>
        <v>0</v>
      </c>
      <c r="EG104" s="55">
        <f t="shared" si="409"/>
        <v>0</v>
      </c>
      <c r="EH104" s="56">
        <f>IF(AND($E104&lt;&gt;0,$F104&gt;0,YEAR($F104)&gt;=Preisindex!$A$6,YEAR(EC$4)&gt;=YEAR($F104),AND($K104&lt;&gt;"a",$K104&lt;&gt;"b",$K104&lt;&gt;"g",$K104&lt;&gt;"k")),1,IF(AND($E104&lt;&gt;0,$F104&gt;0,YEAR($F104)&gt;=Preisindex!$A$6,YEAR(EC$4)&gt;=YEAR($F104),$K104="a"),ROUND(VLOOKUP(EH$4,Preisindex,5,FALSE)/VLOOKUP(YEAR($F104),Preisindex,5,FALSE),2),IF(AND($E104&lt;&gt;0,$F104&gt;0,YEAR($F104)&gt;=Preisindex!$A$6,YEAR(EC$4)&gt;=YEAR($F104),$K104="b"),ROUND(VLOOKUP(EH$4,Preisindex,3,FALSE)/VLOOKUP(YEAR($F104),Preisindex,3,FALSE),2),IF(AND($E104&lt;&gt;0,$F104&gt;0,YEAR($F104)&gt;=Preisindex!$A$6,YEAR(EC$4)&gt;=YEAR($F104),$K104="g"),ROUND(VLOOKUP(EH$4,Preisindex,4,FALSE)/VLOOKUP(YEAR($F104),Preisindex,4,FALSE),2),IF(AND($E104&lt;&gt;0,$F104&gt;0,YEAR($F104)&gt;=Preisindex!$A$6,YEAR(EC$4)&gt;=YEAR($F104),$K104="k"),ROUND(VLOOKUP(EH$4,Preisindex,2,FALSE)/VLOOKUP(YEAR($F104),Preisindex,2,FALSE),2),0)))))</f>
        <v>0</v>
      </c>
      <c r="EI104" s="56">
        <f>IF(AND($E104&lt;&gt;0,$F104&gt;0,YEAR($F104)&lt;Preisindex!$A$6,YEAR(EC$4)&gt;=YEAR($F104),AND($K104&lt;&gt;"a",$K104&lt;&gt;"b",$K104&lt;&gt;"g",$K104&lt;&gt;"k")),1,IF(AND($E104&lt;&gt;0,$F104&gt;0,YEAR($F104)&lt;Preisindex!$A$6,YEAR(EC$4)&gt;=YEAR($F104),$K104="a"),ROUND(VLOOKUP(EH$4,Preisindex,5,FALSE)/VLOOKUP(Preisindex!$A$6,Preisindex,5,FALSE),2),IF(AND($E104&lt;&gt;0,$F104&gt;0,YEAR($F104)&lt;Preisindex!$A$6,YEAR(EC$4)&gt;=YEAR($F104),$K104="b"),ROUND(VLOOKUP(EH$4,Preisindex,3,FALSE)/VLOOKUP(Preisindex!$A$6,Preisindex,3,FALSE),2),IF(AND($E104&lt;&gt;0,$F104&gt;0,YEAR($F104)&lt;Preisindex!$A$6,YEAR(EC$4)&gt;=YEAR($F104),$K104="g"),ROUND(VLOOKUP(EH$4,Preisindex,4,FALSE)/VLOOKUP(Preisindex!$A$6,Preisindex,4,FALSE),2),IF(AND($E104&lt;&gt;0,$F104&gt;0,YEAR($F104)&lt;Preisindex!$A$6,YEAR(EC$4)&gt;=YEAR($F104),$K104="k"),ROUND(VLOOKUP(EH$4,Preisindex,2,FALSE)/VLOOKUP(Preisindex!$A$6,Preisindex,2,FALSE),2),0)))))</f>
        <v>0</v>
      </c>
      <c r="EJ104" s="51">
        <f>IF(AND($E104&lt;&gt;0,$F104&gt;0,YEAR($F104)&lt;=EH$4,YEAR($F104)&gt;=Preisindex!$A$6),ROUND($E104*EH104,2),IF(AND($E104&lt;&gt;0,$F104&gt;0,YEAR($F104)&lt;=EH$4,YEAR($F104)&lt;Preisindex!$A$6),ROUND($E104*EI104,2),0))</f>
        <v>0</v>
      </c>
      <c r="EK104" s="53">
        <f t="shared" si="410"/>
        <v>0</v>
      </c>
      <c r="EL104" s="51">
        <f t="shared" si="489"/>
        <v>0</v>
      </c>
      <c r="EM104" s="51">
        <f t="shared" si="478"/>
        <v>0</v>
      </c>
      <c r="EN104" s="51">
        <f t="shared" si="411"/>
        <v>0</v>
      </c>
      <c r="EO104" s="51">
        <f t="shared" si="479"/>
        <v>0</v>
      </c>
      <c r="EP104" s="51">
        <f t="shared" si="412"/>
        <v>0</v>
      </c>
      <c r="EQ104" s="51">
        <f t="shared" si="480"/>
        <v>0</v>
      </c>
      <c r="ER104" s="51">
        <f t="shared" si="413"/>
        <v>0</v>
      </c>
      <c r="ES104" s="51">
        <f t="shared" si="481"/>
        <v>0</v>
      </c>
      <c r="ET104" s="51">
        <f t="shared" si="414"/>
        <v>0</v>
      </c>
      <c r="EU104" s="51">
        <f t="shared" si="482"/>
        <v>0</v>
      </c>
      <c r="EV104" s="51">
        <f t="shared" si="415"/>
        <v>0</v>
      </c>
      <c r="EW104" s="54">
        <f t="shared" si="416"/>
        <v>0</v>
      </c>
      <c r="EX104" s="55">
        <f t="shared" si="417"/>
        <v>0</v>
      </c>
      <c r="EY104" s="56">
        <f>IF(AND($E104&lt;&gt;0,$F104&gt;0,YEAR($F104)&gt;=Preisindex!$A$6,YEAR(ET$4)&gt;=YEAR($F104),AND($K104&lt;&gt;"a",$K104&lt;&gt;"b",$K104&lt;&gt;"g",$K104&lt;&gt;"k")),1,IF(AND($E104&lt;&gt;0,$F104&gt;0,YEAR($F104)&gt;=Preisindex!$A$6,YEAR(ET$4)&gt;=YEAR($F104),$K104="a"),ROUND(VLOOKUP(EY$4,Preisindex,5,FALSE)/VLOOKUP(YEAR($F104),Preisindex,5,FALSE),2),IF(AND($E104&lt;&gt;0,$F104&gt;0,YEAR($F104)&gt;=Preisindex!$A$6,YEAR(ET$4)&gt;=YEAR($F104),$K104="b"),ROUND(VLOOKUP(EY$4,Preisindex,3,FALSE)/VLOOKUP(YEAR($F104),Preisindex,3,FALSE),2),IF(AND($E104&lt;&gt;0,$F104&gt;0,YEAR($F104)&gt;=Preisindex!$A$6,YEAR(ET$4)&gt;=YEAR($F104),$K104="g"),ROUND(VLOOKUP(EY$4,Preisindex,4,FALSE)/VLOOKUP(YEAR($F104),Preisindex,4,FALSE),2),IF(AND($E104&lt;&gt;0,$F104&gt;0,YEAR($F104)&gt;=Preisindex!$A$6,YEAR(ET$4)&gt;=YEAR($F104),$K104="k"),ROUND(VLOOKUP(EY$4,Preisindex,2,FALSE)/VLOOKUP(YEAR($F104),Preisindex,2,FALSE),2),0)))))</f>
        <v>0</v>
      </c>
      <c r="EZ104" s="56">
        <f>IF(AND($E104&lt;&gt;0,$F104&gt;0,YEAR($F104)&lt;Preisindex!$A$6,YEAR(ET$4)&gt;=YEAR($F104),AND($K104&lt;&gt;"a",$K104&lt;&gt;"b",$K104&lt;&gt;"g",$K104&lt;&gt;"k")),1,IF(AND($E104&lt;&gt;0,$F104&gt;0,YEAR($F104)&lt;Preisindex!$A$6,YEAR(ET$4)&gt;=YEAR($F104),$K104="a"),ROUND(VLOOKUP(EY$4,Preisindex,5,FALSE)/VLOOKUP(Preisindex!$A$6,Preisindex,5,FALSE),2),IF(AND($E104&lt;&gt;0,$F104&gt;0,YEAR($F104)&lt;Preisindex!$A$6,YEAR(ET$4)&gt;=YEAR($F104),$K104="b"),ROUND(VLOOKUP(EY$4,Preisindex,3,FALSE)/VLOOKUP(Preisindex!$A$6,Preisindex,3,FALSE),2),IF(AND($E104&lt;&gt;0,$F104&gt;0,YEAR($F104)&lt;Preisindex!$A$6,YEAR(ET$4)&gt;=YEAR($F104),$K104="g"),ROUND(VLOOKUP(EY$4,Preisindex,4,FALSE)/VLOOKUP(Preisindex!$A$6,Preisindex,4,FALSE),2),IF(AND($E104&lt;&gt;0,$F104&gt;0,YEAR($F104)&lt;Preisindex!$A$6,YEAR(ET$4)&gt;=YEAR($F104),$K104="k"),ROUND(VLOOKUP(EY$4,Preisindex,2,FALSE)/VLOOKUP(Preisindex!$A$6,Preisindex,2,FALSE),2),0)))))</f>
        <v>0</v>
      </c>
      <c r="FA104" s="51">
        <f>IF(AND($E104&lt;&gt;0,$F104&gt;0,YEAR($F104)&lt;=EY$4,YEAR($F104)&gt;=Preisindex!$A$6),ROUND($E104*EY104,2),IF(AND($E104&lt;&gt;0,$F104&gt;0,YEAR($F104)&lt;=EY$4,YEAR($F104)&lt;Preisindex!$A$6),ROUND($E104*EZ104,2),0))</f>
        <v>0</v>
      </c>
      <c r="FB104" s="53">
        <f t="shared" si="418"/>
        <v>0</v>
      </c>
      <c r="FC104" s="51">
        <f t="shared" si="489"/>
        <v>0</v>
      </c>
      <c r="FD104" s="51">
        <f t="shared" si="483"/>
        <v>0</v>
      </c>
      <c r="FE104" s="51">
        <f t="shared" si="419"/>
        <v>0</v>
      </c>
      <c r="FF104" s="51">
        <f t="shared" si="484"/>
        <v>0</v>
      </c>
      <c r="FG104" s="51">
        <f t="shared" si="420"/>
        <v>0</v>
      </c>
      <c r="FH104" s="51">
        <f t="shared" si="485"/>
        <v>0</v>
      </c>
      <c r="FI104" s="51">
        <f t="shared" si="421"/>
        <v>0</v>
      </c>
      <c r="FJ104" s="51">
        <f t="shared" si="486"/>
        <v>0</v>
      </c>
      <c r="FK104" s="51">
        <f t="shared" si="422"/>
        <v>0</v>
      </c>
      <c r="FL104" s="51">
        <f t="shared" si="487"/>
        <v>0</v>
      </c>
      <c r="FM104" s="51">
        <f t="shared" si="423"/>
        <v>0</v>
      </c>
      <c r="FN104" s="54">
        <f t="shared" si="424"/>
        <v>0</v>
      </c>
      <c r="FO104" s="55">
        <f t="shared" si="425"/>
        <v>0</v>
      </c>
      <c r="FP104" s="56">
        <f>IF(AND($E104&lt;&gt;0,$F104&gt;0,YEAR($F104)&gt;=Preisindex!$A$6,YEAR(FK$4)&gt;=YEAR($F104),AND($K104&lt;&gt;"a",$K104&lt;&gt;"b",$K104&lt;&gt;"g",$K104&lt;&gt;"k")),1,IF(AND($E104&lt;&gt;0,$F104&gt;0,YEAR($F104)&gt;=Preisindex!$A$6,YEAR(FK$4)&gt;=YEAR($F104),$K104="a"),ROUND(VLOOKUP(FP$4,Preisindex,5,FALSE)/VLOOKUP(YEAR($F104),Preisindex,5,FALSE),2),IF(AND($E104&lt;&gt;0,$F104&gt;0,YEAR($F104)&gt;=Preisindex!$A$6,YEAR(FK$4)&gt;=YEAR($F104),$K104="b"),ROUND(VLOOKUP(FP$4,Preisindex,3,FALSE)/VLOOKUP(YEAR($F104),Preisindex,3,FALSE),2),IF(AND($E104&lt;&gt;0,$F104&gt;0,YEAR($F104)&gt;=Preisindex!$A$6,YEAR(FK$4)&gt;=YEAR($F104),$K104="g"),ROUND(VLOOKUP(FP$4,Preisindex,4,FALSE)/VLOOKUP(YEAR($F104),Preisindex,4,FALSE),2),IF(AND($E104&lt;&gt;0,$F104&gt;0,YEAR($F104)&gt;=Preisindex!$A$6,YEAR(FK$4)&gt;=YEAR($F104),$K104="k"),ROUND(VLOOKUP(FP$4,Preisindex,2,FALSE)/VLOOKUP(YEAR($F104),Preisindex,2,FALSE),2),0)))))</f>
        <v>0</v>
      </c>
      <c r="FQ104" s="56">
        <f>IF(AND($E104&lt;&gt;0,$F104&gt;0,YEAR($F104)&lt;Preisindex!$A$6,YEAR(FK$4)&gt;=YEAR($F104),AND($K104&lt;&gt;"a",$K104&lt;&gt;"b",$K104&lt;&gt;"g",$K104&lt;&gt;"k")),1,IF(AND($E104&lt;&gt;0,$F104&gt;0,YEAR($F104)&lt;Preisindex!$A$6,YEAR(FK$4)&gt;=YEAR($F104),$K104="a"),ROUND(VLOOKUP(FP$4,Preisindex,5,FALSE)/VLOOKUP(Preisindex!$A$6,Preisindex,5,FALSE),2),IF(AND($E104&lt;&gt;0,$F104&gt;0,YEAR($F104)&lt;Preisindex!$A$6,YEAR(FK$4)&gt;=YEAR($F104),$K104="b"),ROUND(VLOOKUP(FP$4,Preisindex,3,FALSE)/VLOOKUP(Preisindex!$A$6,Preisindex,3,FALSE),2),IF(AND($E104&lt;&gt;0,$F104&gt;0,YEAR($F104)&lt;Preisindex!$A$6,YEAR(FK$4)&gt;=YEAR($F104),$K104="g"),ROUND(VLOOKUP(FP$4,Preisindex,4,FALSE)/VLOOKUP(Preisindex!$A$6,Preisindex,4,FALSE),2),IF(AND($E104&lt;&gt;0,$F104&gt;0,YEAR($F104)&lt;Preisindex!$A$6,YEAR(FK$4)&gt;=YEAR($F104),$K104="k"),ROUND(VLOOKUP(FP$4,Preisindex,2,FALSE)/VLOOKUP(Preisindex!$A$6,Preisindex,2,FALSE),2),0)))))</f>
        <v>0</v>
      </c>
      <c r="FR104" s="51">
        <f>IF(AND($E104&lt;&gt;0,$F104&gt;0,YEAR($F104)&lt;=FP$4,YEAR($F104)&gt;=Preisindex!$A$6),ROUND($E104*FP104,2),IF(AND($E104&lt;&gt;0,$F104&gt;0,YEAR($F104)&lt;=FP$4,YEAR($F104)&lt;Preisindex!$A$6),ROUND($E104*FQ104,2),0))</f>
        <v>0</v>
      </c>
      <c r="FS104" s="53">
        <f t="shared" si="426"/>
        <v>0</v>
      </c>
    </row>
    <row r="105" spans="1:175" x14ac:dyDescent="0.3">
      <c r="A105" s="93"/>
      <c r="B105" s="94"/>
      <c r="C105" s="94"/>
      <c r="D105" s="95"/>
      <c r="E105" s="99"/>
      <c r="F105" s="97"/>
      <c r="G105" s="98"/>
      <c r="H105" s="620"/>
      <c r="I105" s="621"/>
      <c r="J105" s="194"/>
      <c r="K105" s="630"/>
      <c r="L105" s="49">
        <f t="shared" si="427"/>
        <v>0</v>
      </c>
      <c r="M105" s="50">
        <f t="shared" si="428"/>
        <v>0</v>
      </c>
      <c r="N105" s="51">
        <f t="shared" si="429"/>
        <v>0</v>
      </c>
      <c r="O105" s="51"/>
      <c r="P105" s="51">
        <f t="shared" si="430"/>
        <v>0</v>
      </c>
      <c r="Q105" s="52"/>
      <c r="R105" s="52"/>
      <c r="S105" s="52"/>
      <c r="T105" s="52"/>
      <c r="U105" s="52"/>
      <c r="V105" s="53">
        <f t="shared" si="431"/>
        <v>0</v>
      </c>
      <c r="W105" s="51">
        <f t="shared" si="432"/>
        <v>0</v>
      </c>
      <c r="X105" s="51">
        <f t="shared" si="433"/>
        <v>0</v>
      </c>
      <c r="Y105" s="51">
        <f t="shared" si="434"/>
        <v>0</v>
      </c>
      <c r="Z105" s="51">
        <f t="shared" si="435"/>
        <v>0</v>
      </c>
      <c r="AA105" s="51">
        <f t="shared" si="436"/>
        <v>0</v>
      </c>
      <c r="AB105" s="51">
        <f t="shared" si="437"/>
        <v>0</v>
      </c>
      <c r="AC105" s="51">
        <f t="shared" si="438"/>
        <v>0</v>
      </c>
      <c r="AD105" s="51">
        <f t="shared" si="439"/>
        <v>0</v>
      </c>
      <c r="AE105" s="51">
        <f t="shared" si="440"/>
        <v>0</v>
      </c>
      <c r="AF105" s="51">
        <f t="shared" si="441"/>
        <v>0</v>
      </c>
      <c r="AG105" s="51">
        <f t="shared" si="442"/>
        <v>0</v>
      </c>
      <c r="AH105" s="54">
        <f t="shared" si="443"/>
        <v>0</v>
      </c>
      <c r="AI105" s="55">
        <f t="shared" si="444"/>
        <v>0</v>
      </c>
      <c r="AJ105" s="56">
        <f>IF(AND($E105&lt;&gt;0,$F105&gt;0,YEAR($F105)&gt;=Preisindex!$A$6,YEAR(AE$4)&gt;=YEAR($F105),AND($K105&lt;&gt;"a",$K105&lt;&gt;"b",$K105&lt;&gt;"g",$K105&lt;&gt;"k")),1,IF(AND($E105&lt;&gt;0,$F105&gt;0,YEAR($F105)&gt;=Preisindex!$A$6,YEAR(AE$4)&gt;=YEAR($F105),$K105="a"),ROUND(VLOOKUP(AJ$4,Preisindex,5,FALSE)/VLOOKUP(YEAR($F105),Preisindex,5,FALSE),2),IF(AND($E105&lt;&gt;0,$F105&gt;0,YEAR($F105)&gt;=Preisindex!$A$6,YEAR(AE$4)&gt;=YEAR($F105),$K105="b"),ROUND(VLOOKUP(AJ$4,Preisindex,3,FALSE)/VLOOKUP(YEAR($F105),Preisindex,3,FALSE),2),IF(AND($E105&lt;&gt;0,$F105&gt;0,YEAR($F105)&gt;=Preisindex!$A$6,YEAR(AE$4)&gt;=YEAR($F105),$K105="g"),ROUND(VLOOKUP(AJ$4,Preisindex,4,FALSE)/VLOOKUP(YEAR($F105),Preisindex,4,FALSE),2),IF(AND($E105&lt;&gt;0,$F105&gt;0,YEAR($F105)&gt;=Preisindex!$A$6,YEAR(AE$4)&gt;=YEAR($F105),$K105="k"),ROUND(VLOOKUP(AJ$4,Preisindex,2,FALSE)/VLOOKUP(YEAR($F105),Preisindex,2,FALSE),2),0)))))</f>
        <v>0</v>
      </c>
      <c r="AK105" s="56">
        <f>IF(AND($E105&lt;&gt;0,$F105&gt;0,YEAR($F105)&lt;Preisindex!$A$6,YEAR(AE$4)&gt;=YEAR($F105),AND($K105&lt;&gt;"a",$K105&lt;&gt;"b",$K105&lt;&gt;"g",$K105&lt;&gt;"k")),1,IF(AND($E105&lt;&gt;0,$F105&gt;0,YEAR($F105)&lt;Preisindex!$A$6,YEAR(AE$4)&gt;=YEAR($F105),$K105="a"),ROUND(VLOOKUP(AJ$4,Preisindex,5,FALSE)/VLOOKUP(Preisindex!$A$6,Preisindex,5,FALSE),2),IF(AND($E105&lt;&gt;0,$F105&gt;0,YEAR($F105)&lt;Preisindex!$A$6,YEAR(AE$4)&gt;=YEAR($F105),$K105="b"),ROUND(VLOOKUP(AJ$4,Preisindex,3,FALSE)/VLOOKUP(Preisindex!$A$6,Preisindex,3,FALSE),2),IF(AND($E105&lt;&gt;0,$F105&gt;0,YEAR($F105)&lt;Preisindex!$A$6,YEAR(AE$4)&gt;=YEAR($F105),$K105="g"),ROUND(VLOOKUP(AJ$4,Preisindex,4,FALSE)/VLOOKUP(Preisindex!$A$6,Preisindex,4,FALSE),2),IF(AND($E105&lt;&gt;0,$F105&gt;0,YEAR($F105)&lt;Preisindex!$A$6,YEAR(AE$4)&gt;=YEAR($F105),$K105="k"),ROUND(VLOOKUP(AJ$4,Preisindex,2,FALSE)/VLOOKUP(Preisindex!$A$6,Preisindex,2,FALSE),2),0)))))</f>
        <v>0</v>
      </c>
      <c r="AL105" s="51">
        <f>IF(AND($E105&lt;&gt;0,$F105&gt;0,YEAR($F105)&lt;=AJ$4,YEAR($F105)&gt;=Preisindex!$A$6),ROUND($E105*AJ105,2),IF(AND($E105&lt;&gt;0,$F105&gt;0,YEAR($F105)&lt;=AJ$4,YEAR($F105)&lt;Preisindex!$A$6),ROUND($E105*AK105,2),0))</f>
        <v>0</v>
      </c>
      <c r="AM105" s="53">
        <f t="shared" si="445"/>
        <v>0</v>
      </c>
      <c r="AN105" s="51">
        <f t="shared" si="488"/>
        <v>0</v>
      </c>
      <c r="AO105" s="51">
        <f t="shared" si="448"/>
        <v>0</v>
      </c>
      <c r="AP105" s="51">
        <f t="shared" si="362"/>
        <v>0</v>
      </c>
      <c r="AQ105" s="51">
        <f t="shared" si="449"/>
        <v>0</v>
      </c>
      <c r="AR105" s="51">
        <f t="shared" si="363"/>
        <v>0</v>
      </c>
      <c r="AS105" s="51">
        <f t="shared" si="450"/>
        <v>0</v>
      </c>
      <c r="AT105" s="51">
        <f t="shared" si="364"/>
        <v>0</v>
      </c>
      <c r="AU105" s="51">
        <f t="shared" si="451"/>
        <v>0</v>
      </c>
      <c r="AV105" s="51">
        <f t="shared" si="365"/>
        <v>0</v>
      </c>
      <c r="AW105" s="51">
        <f t="shared" si="452"/>
        <v>0</v>
      </c>
      <c r="AX105" s="51">
        <f t="shared" si="366"/>
        <v>0</v>
      </c>
      <c r="AY105" s="54">
        <f t="shared" si="367"/>
        <v>0</v>
      </c>
      <c r="AZ105" s="55">
        <f t="shared" si="368"/>
        <v>0</v>
      </c>
      <c r="BA105" s="56">
        <f>IF(AND($E105&lt;&gt;0,$F105&gt;0,YEAR($F105)&gt;=Preisindex!$A$6,YEAR(AV$4)&gt;=YEAR($F105),AND($K105&lt;&gt;"a",$K105&lt;&gt;"b",$K105&lt;&gt;"g",$K105&lt;&gt;"k")),1,IF(AND($E105&lt;&gt;0,$F105&gt;0,YEAR($F105)&gt;=Preisindex!$A$6,YEAR(AV$4)&gt;=YEAR($F105),$K105="a"),ROUND(VLOOKUP(BA$4,Preisindex,5,FALSE)/VLOOKUP(YEAR($F105),Preisindex,5,FALSE),2),IF(AND($E105&lt;&gt;0,$F105&gt;0,YEAR($F105)&gt;=Preisindex!$A$6,YEAR(AV$4)&gt;=YEAR($F105),$K105="b"),ROUND(VLOOKUP(BA$4,Preisindex,3,FALSE)/VLOOKUP(YEAR($F105),Preisindex,3,FALSE),2),IF(AND($E105&lt;&gt;0,$F105&gt;0,YEAR($F105)&gt;=Preisindex!$A$6,YEAR(AV$4)&gt;=YEAR($F105),$K105="g"),ROUND(VLOOKUP(BA$4,Preisindex,4,FALSE)/VLOOKUP(YEAR($F105),Preisindex,4,FALSE),2),IF(AND($E105&lt;&gt;0,$F105&gt;0,YEAR($F105)&gt;=Preisindex!$A$6,YEAR(AV$4)&gt;=YEAR($F105),$K105="k"),ROUND(VLOOKUP(BA$4,Preisindex,2,FALSE)/VLOOKUP(YEAR($F105),Preisindex,2,FALSE),2),0)))))</f>
        <v>0</v>
      </c>
      <c r="BB105" s="56">
        <f>IF(AND($E105&lt;&gt;0,$F105&gt;0,YEAR($F105)&lt;Preisindex!$A$6,YEAR(AV$4)&gt;=YEAR($F105),AND($K105&lt;&gt;"a",$K105&lt;&gt;"b",$K105&lt;&gt;"g",$K105&lt;&gt;"k")),1,IF(AND($E105&lt;&gt;0,$F105&gt;0,YEAR($F105)&lt;Preisindex!$A$6,YEAR(AV$4)&gt;=YEAR($F105),$K105="a"),ROUND(VLOOKUP(BA$4,Preisindex,5,FALSE)/VLOOKUP(Preisindex!$A$6,Preisindex,5,FALSE),2),IF(AND($E105&lt;&gt;0,$F105&gt;0,YEAR($F105)&lt;Preisindex!$A$6,YEAR(AV$4)&gt;=YEAR($F105),$K105="b"),ROUND(VLOOKUP(BA$4,Preisindex,3,FALSE)/VLOOKUP(Preisindex!$A$6,Preisindex,3,FALSE),2),IF(AND($E105&lt;&gt;0,$F105&gt;0,YEAR($F105)&lt;Preisindex!$A$6,YEAR(AV$4)&gt;=YEAR($F105),$K105="g"),ROUND(VLOOKUP(BA$4,Preisindex,4,FALSE)/VLOOKUP(Preisindex!$A$6,Preisindex,4,FALSE),2),IF(AND($E105&lt;&gt;0,$F105&gt;0,YEAR($F105)&lt;Preisindex!$A$6,YEAR(AV$4)&gt;=YEAR($F105),$K105="k"),ROUND(VLOOKUP(BA$4,Preisindex,2,FALSE)/VLOOKUP(Preisindex!$A$6,Preisindex,2,FALSE),2),0)))))</f>
        <v>0</v>
      </c>
      <c r="BC105" s="51">
        <f>IF(AND($E105&lt;&gt;0,$F105&gt;0,YEAR($F105)&lt;=BA$4,YEAR($F105)&gt;=Preisindex!$A$6),ROUND($E105*BA105,2),IF(AND($E105&lt;&gt;0,$F105&gt;0,YEAR($F105)&lt;=BA$4,YEAR($F105)&lt;Preisindex!$A$6),ROUND($E105*BB105,2),0))</f>
        <v>0</v>
      </c>
      <c r="BD105" s="53">
        <f t="shared" si="369"/>
        <v>0</v>
      </c>
      <c r="BE105" s="51">
        <f t="shared" si="488"/>
        <v>0</v>
      </c>
      <c r="BF105" s="51">
        <f t="shared" si="453"/>
        <v>0</v>
      </c>
      <c r="BG105" s="51">
        <f t="shared" si="370"/>
        <v>0</v>
      </c>
      <c r="BH105" s="51">
        <f t="shared" si="454"/>
        <v>0</v>
      </c>
      <c r="BI105" s="51">
        <f t="shared" si="371"/>
        <v>0</v>
      </c>
      <c r="BJ105" s="51">
        <f t="shared" si="455"/>
        <v>0</v>
      </c>
      <c r="BK105" s="51">
        <f t="shared" si="372"/>
        <v>0</v>
      </c>
      <c r="BL105" s="51">
        <f t="shared" si="456"/>
        <v>0</v>
      </c>
      <c r="BM105" s="51">
        <f t="shared" si="373"/>
        <v>0</v>
      </c>
      <c r="BN105" s="51">
        <f t="shared" si="457"/>
        <v>0</v>
      </c>
      <c r="BO105" s="51">
        <f t="shared" si="374"/>
        <v>0</v>
      </c>
      <c r="BP105" s="54">
        <f t="shared" si="375"/>
        <v>0</v>
      </c>
      <c r="BQ105" s="55">
        <f t="shared" si="376"/>
        <v>0</v>
      </c>
      <c r="BR105" s="56">
        <f>IF(AND($E105&lt;&gt;0,$F105&gt;0,YEAR($F105)&gt;=Preisindex!$A$6,YEAR(BM$4)&gt;=YEAR($F105),AND($K105&lt;&gt;"a",$K105&lt;&gt;"b",$K105&lt;&gt;"g",$K105&lt;&gt;"k")),1,IF(AND($E105&lt;&gt;0,$F105&gt;0,YEAR($F105)&gt;=Preisindex!$A$6,YEAR(BM$4)&gt;=YEAR($F105),$K105="a"),ROUND(VLOOKUP(BR$4,Preisindex,5,FALSE)/VLOOKUP(YEAR($F105),Preisindex,5,FALSE),2),IF(AND($E105&lt;&gt;0,$F105&gt;0,YEAR($F105)&gt;=Preisindex!$A$6,YEAR(BM$4)&gt;=YEAR($F105),$K105="b"),ROUND(VLOOKUP(BR$4,Preisindex,3,FALSE)/VLOOKUP(YEAR($F105),Preisindex,3,FALSE),2),IF(AND($E105&lt;&gt;0,$F105&gt;0,YEAR($F105)&gt;=Preisindex!$A$6,YEAR(BM$4)&gt;=YEAR($F105),$K105="g"),ROUND(VLOOKUP(BR$4,Preisindex,4,FALSE)/VLOOKUP(YEAR($F105),Preisindex,4,FALSE),2),IF(AND($E105&lt;&gt;0,$F105&gt;0,YEAR($F105)&gt;=Preisindex!$A$6,YEAR(BM$4)&gt;=YEAR($F105),$K105="k"),ROUND(VLOOKUP(BR$4,Preisindex,2,FALSE)/VLOOKUP(YEAR($F105),Preisindex,2,FALSE),2),0)))))</f>
        <v>0</v>
      </c>
      <c r="BS105" s="56">
        <f>IF(AND($E105&lt;&gt;0,$F105&gt;0,YEAR($F105)&lt;Preisindex!$A$6,YEAR(BM$4)&gt;=YEAR($F105),AND($K105&lt;&gt;"a",$K105&lt;&gt;"b",$K105&lt;&gt;"g",$K105&lt;&gt;"k")),1,IF(AND($E105&lt;&gt;0,$F105&gt;0,YEAR($F105)&lt;Preisindex!$A$6,YEAR(BM$4)&gt;=YEAR($F105),$K105="a"),ROUND(VLOOKUP(BR$4,Preisindex,5,FALSE)/VLOOKUP(Preisindex!$A$6,Preisindex,5,FALSE),2),IF(AND($E105&lt;&gt;0,$F105&gt;0,YEAR($F105)&lt;Preisindex!$A$6,YEAR(BM$4)&gt;=YEAR($F105),$K105="b"),ROUND(VLOOKUP(BR$4,Preisindex,3,FALSE)/VLOOKUP(Preisindex!$A$6,Preisindex,3,FALSE),2),IF(AND($E105&lt;&gt;0,$F105&gt;0,YEAR($F105)&lt;Preisindex!$A$6,YEAR(BM$4)&gt;=YEAR($F105),$K105="g"),ROUND(VLOOKUP(BR$4,Preisindex,4,FALSE)/VLOOKUP(Preisindex!$A$6,Preisindex,4,FALSE),2),IF(AND($E105&lt;&gt;0,$F105&gt;0,YEAR($F105)&lt;Preisindex!$A$6,YEAR(BM$4)&gt;=YEAR($F105),$K105="k"),ROUND(VLOOKUP(BR$4,Preisindex,2,FALSE)/VLOOKUP(Preisindex!$A$6,Preisindex,2,FALSE),2),0)))))</f>
        <v>0</v>
      </c>
      <c r="BT105" s="51">
        <f>IF(AND($E105&lt;&gt;0,$F105&gt;0,YEAR($F105)&lt;=BR$4,YEAR($F105)&gt;=Preisindex!$A$6),ROUND($E105*BR105,2),IF(AND($E105&lt;&gt;0,$F105&gt;0,YEAR($F105)&lt;=BR$4,YEAR($F105)&lt;Preisindex!$A$6),ROUND($E105*BS105,2),0))</f>
        <v>0</v>
      </c>
      <c r="BU105" s="53">
        <f t="shared" si="377"/>
        <v>0</v>
      </c>
      <c r="BV105" s="51">
        <f t="shared" si="488"/>
        <v>0</v>
      </c>
      <c r="BW105" s="51">
        <f t="shared" si="458"/>
        <v>0</v>
      </c>
      <c r="BX105" s="51">
        <f t="shared" si="378"/>
        <v>0</v>
      </c>
      <c r="BY105" s="51">
        <f t="shared" si="459"/>
        <v>0</v>
      </c>
      <c r="BZ105" s="51">
        <f t="shared" si="379"/>
        <v>0</v>
      </c>
      <c r="CA105" s="51">
        <f t="shared" si="460"/>
        <v>0</v>
      </c>
      <c r="CB105" s="51">
        <f t="shared" si="380"/>
        <v>0</v>
      </c>
      <c r="CC105" s="51">
        <f t="shared" si="461"/>
        <v>0</v>
      </c>
      <c r="CD105" s="51">
        <f t="shared" si="381"/>
        <v>0</v>
      </c>
      <c r="CE105" s="51">
        <f t="shared" si="462"/>
        <v>0</v>
      </c>
      <c r="CF105" s="51">
        <f t="shared" si="382"/>
        <v>0</v>
      </c>
      <c r="CG105" s="54">
        <f t="shared" si="383"/>
        <v>0</v>
      </c>
      <c r="CH105" s="55">
        <f t="shared" si="384"/>
        <v>0</v>
      </c>
      <c r="CI105" s="56">
        <f>IF(AND($E105&lt;&gt;0,$F105&gt;0,YEAR($F105)&gt;=Preisindex!$A$6,YEAR(CD$4)&gt;=YEAR($F105),AND($K105&lt;&gt;"a",$K105&lt;&gt;"b",$K105&lt;&gt;"g",$K105&lt;&gt;"k")),1,IF(AND($E105&lt;&gt;0,$F105&gt;0,YEAR($F105)&gt;=Preisindex!$A$6,YEAR(CD$4)&gt;=YEAR($F105),$K105="a"),ROUND(VLOOKUP(CI$4,Preisindex,5,FALSE)/VLOOKUP(YEAR($F105),Preisindex,5,FALSE),2),IF(AND($E105&lt;&gt;0,$F105&gt;0,YEAR($F105)&gt;=Preisindex!$A$6,YEAR(CD$4)&gt;=YEAR($F105),$K105="b"),ROUND(VLOOKUP(CI$4,Preisindex,3,FALSE)/VLOOKUP(YEAR($F105),Preisindex,3,FALSE),2),IF(AND($E105&lt;&gt;0,$F105&gt;0,YEAR($F105)&gt;=Preisindex!$A$6,YEAR(CD$4)&gt;=YEAR($F105),$K105="g"),ROUND(VLOOKUP(CI$4,Preisindex,4,FALSE)/VLOOKUP(YEAR($F105),Preisindex,4,FALSE),2),IF(AND($E105&lt;&gt;0,$F105&gt;0,YEAR($F105)&gt;=Preisindex!$A$6,YEAR(CD$4)&gt;=YEAR($F105),$K105="k"),ROUND(VLOOKUP(CI$4,Preisindex,2,FALSE)/VLOOKUP(YEAR($F105),Preisindex,2,FALSE),2),0)))))</f>
        <v>0</v>
      </c>
      <c r="CJ105" s="56">
        <f>IF(AND($E105&lt;&gt;0,$F105&gt;0,YEAR($F105)&lt;Preisindex!$A$6,YEAR(CD$4)&gt;=YEAR($F105),AND($K105&lt;&gt;"a",$K105&lt;&gt;"b",$K105&lt;&gt;"g",$K105&lt;&gt;"k")),1,IF(AND($E105&lt;&gt;0,$F105&gt;0,YEAR($F105)&lt;Preisindex!$A$6,YEAR(CD$4)&gt;=YEAR($F105),$K105="a"),ROUND(VLOOKUP(CI$4,Preisindex,5,FALSE)/VLOOKUP(Preisindex!$A$6,Preisindex,5,FALSE),2),IF(AND($E105&lt;&gt;0,$F105&gt;0,YEAR($F105)&lt;Preisindex!$A$6,YEAR(CD$4)&gt;=YEAR($F105),$K105="b"),ROUND(VLOOKUP(CI$4,Preisindex,3,FALSE)/VLOOKUP(Preisindex!$A$6,Preisindex,3,FALSE),2),IF(AND($E105&lt;&gt;0,$F105&gt;0,YEAR($F105)&lt;Preisindex!$A$6,YEAR(CD$4)&gt;=YEAR($F105),$K105="g"),ROUND(VLOOKUP(CI$4,Preisindex,4,FALSE)/VLOOKUP(Preisindex!$A$6,Preisindex,4,FALSE),2),IF(AND($E105&lt;&gt;0,$F105&gt;0,YEAR($F105)&lt;Preisindex!$A$6,YEAR(CD$4)&gt;=YEAR($F105),$K105="k"),ROUND(VLOOKUP(CI$4,Preisindex,2,FALSE)/VLOOKUP(Preisindex!$A$6,Preisindex,2,FALSE),2),0)))))</f>
        <v>0</v>
      </c>
      <c r="CK105" s="51">
        <f>IF(AND($E105&lt;&gt;0,$F105&gt;0,YEAR($F105)&lt;=CI$4,YEAR($F105)&gt;=Preisindex!$A$6),ROUND($E105*CI105,2),IF(AND($E105&lt;&gt;0,$F105&gt;0,YEAR($F105)&lt;=CI$4,YEAR($F105)&lt;Preisindex!$A$6),ROUND($E105*CJ105,2),0))</f>
        <v>0</v>
      </c>
      <c r="CL105" s="53">
        <f t="shared" si="385"/>
        <v>0</v>
      </c>
      <c r="CM105" s="51">
        <f t="shared" si="488"/>
        <v>0</v>
      </c>
      <c r="CN105" s="51">
        <f t="shared" si="463"/>
        <v>0</v>
      </c>
      <c r="CO105" s="51">
        <f t="shared" si="386"/>
        <v>0</v>
      </c>
      <c r="CP105" s="51">
        <f t="shared" si="464"/>
        <v>0</v>
      </c>
      <c r="CQ105" s="51">
        <f t="shared" si="387"/>
        <v>0</v>
      </c>
      <c r="CR105" s="51">
        <f t="shared" si="465"/>
        <v>0</v>
      </c>
      <c r="CS105" s="51">
        <f t="shared" si="388"/>
        <v>0</v>
      </c>
      <c r="CT105" s="51">
        <f t="shared" si="466"/>
        <v>0</v>
      </c>
      <c r="CU105" s="51">
        <f t="shared" si="389"/>
        <v>0</v>
      </c>
      <c r="CV105" s="51">
        <f t="shared" si="467"/>
        <v>0</v>
      </c>
      <c r="CW105" s="51">
        <f t="shared" si="390"/>
        <v>0</v>
      </c>
      <c r="CX105" s="54">
        <f t="shared" si="391"/>
        <v>0</v>
      </c>
      <c r="CY105" s="55">
        <f t="shared" si="392"/>
        <v>0</v>
      </c>
      <c r="CZ105" s="56">
        <f>IF(AND($E105&lt;&gt;0,$F105&gt;0,YEAR($F105)&gt;=Preisindex!$A$6,YEAR(CU$4)&gt;=YEAR($F105),AND($K105&lt;&gt;"a",$K105&lt;&gt;"b",$K105&lt;&gt;"g",$K105&lt;&gt;"k")),1,IF(AND($E105&lt;&gt;0,$F105&gt;0,YEAR($F105)&gt;=Preisindex!$A$6,YEAR(CU$4)&gt;=YEAR($F105),$K105="a"),ROUND(VLOOKUP(CZ$4,Preisindex,5,FALSE)/VLOOKUP(YEAR($F105),Preisindex,5,FALSE),2),IF(AND($E105&lt;&gt;0,$F105&gt;0,YEAR($F105)&gt;=Preisindex!$A$6,YEAR(CU$4)&gt;=YEAR($F105),$K105="b"),ROUND(VLOOKUP(CZ$4,Preisindex,3,FALSE)/VLOOKUP(YEAR($F105),Preisindex,3,FALSE),2),IF(AND($E105&lt;&gt;0,$F105&gt;0,YEAR($F105)&gt;=Preisindex!$A$6,YEAR(CU$4)&gt;=YEAR($F105),$K105="g"),ROUND(VLOOKUP(CZ$4,Preisindex,4,FALSE)/VLOOKUP(YEAR($F105),Preisindex,4,FALSE),2),IF(AND($E105&lt;&gt;0,$F105&gt;0,YEAR($F105)&gt;=Preisindex!$A$6,YEAR(CU$4)&gt;=YEAR($F105),$K105="k"),ROUND(VLOOKUP(CZ$4,Preisindex,2,FALSE)/VLOOKUP(YEAR($F105),Preisindex,2,FALSE),2),0)))))</f>
        <v>0</v>
      </c>
      <c r="DA105" s="56">
        <f>IF(AND($E105&lt;&gt;0,$F105&gt;0,YEAR($F105)&lt;Preisindex!$A$6,YEAR(CU$4)&gt;=YEAR($F105),AND($K105&lt;&gt;"a",$K105&lt;&gt;"b",$K105&lt;&gt;"g",$K105&lt;&gt;"k")),1,IF(AND($E105&lt;&gt;0,$F105&gt;0,YEAR($F105)&lt;Preisindex!$A$6,YEAR(CU$4)&gt;=YEAR($F105),$K105="a"),ROUND(VLOOKUP(CZ$4,Preisindex,5,FALSE)/VLOOKUP(Preisindex!$A$6,Preisindex,5,FALSE),2),IF(AND($E105&lt;&gt;0,$F105&gt;0,YEAR($F105)&lt;Preisindex!$A$6,YEAR(CU$4)&gt;=YEAR($F105),$K105="b"),ROUND(VLOOKUP(CZ$4,Preisindex,3,FALSE)/VLOOKUP(Preisindex!$A$6,Preisindex,3,FALSE),2),IF(AND($E105&lt;&gt;0,$F105&gt;0,YEAR($F105)&lt;Preisindex!$A$6,YEAR(CU$4)&gt;=YEAR($F105),$K105="g"),ROUND(VLOOKUP(CZ$4,Preisindex,4,FALSE)/VLOOKUP(Preisindex!$A$6,Preisindex,4,FALSE),2),IF(AND($E105&lt;&gt;0,$F105&gt;0,YEAR($F105)&lt;Preisindex!$A$6,YEAR(CU$4)&gt;=YEAR($F105),$K105="k"),ROUND(VLOOKUP(CZ$4,Preisindex,2,FALSE)/VLOOKUP(Preisindex!$A$6,Preisindex,2,FALSE),2),0)))))</f>
        <v>0</v>
      </c>
      <c r="DB105" s="51">
        <f>IF(AND($E105&lt;&gt;0,$F105&gt;0,YEAR($F105)&lt;=CZ$4,YEAR($F105)&gt;=Preisindex!$A$6),ROUND($E105*CZ105,2),IF(AND($E105&lt;&gt;0,$F105&gt;0,YEAR($F105)&lt;=CZ$4,YEAR($F105)&lt;Preisindex!$A$6),ROUND($E105*DA105,2),0))</f>
        <v>0</v>
      </c>
      <c r="DC105" s="53">
        <f t="shared" si="393"/>
        <v>0</v>
      </c>
      <c r="DD105" s="51">
        <f t="shared" si="489"/>
        <v>0</v>
      </c>
      <c r="DE105" s="51">
        <f t="shared" si="468"/>
        <v>0</v>
      </c>
      <c r="DF105" s="51">
        <f t="shared" si="395"/>
        <v>0</v>
      </c>
      <c r="DG105" s="51">
        <f t="shared" si="469"/>
        <v>0</v>
      </c>
      <c r="DH105" s="51">
        <f t="shared" si="396"/>
        <v>0</v>
      </c>
      <c r="DI105" s="51">
        <f t="shared" si="470"/>
        <v>0</v>
      </c>
      <c r="DJ105" s="51">
        <f t="shared" si="397"/>
        <v>0</v>
      </c>
      <c r="DK105" s="51">
        <f t="shared" si="471"/>
        <v>0</v>
      </c>
      <c r="DL105" s="51">
        <f t="shared" si="398"/>
        <v>0</v>
      </c>
      <c r="DM105" s="51">
        <f t="shared" si="472"/>
        <v>0</v>
      </c>
      <c r="DN105" s="51">
        <f t="shared" si="399"/>
        <v>0</v>
      </c>
      <c r="DO105" s="54">
        <f t="shared" si="400"/>
        <v>0</v>
      </c>
      <c r="DP105" s="55">
        <f t="shared" si="401"/>
        <v>0</v>
      </c>
      <c r="DQ105" s="56">
        <f>IF(AND($E105&lt;&gt;0,$F105&gt;0,YEAR($F105)&gt;=Preisindex!$A$6,YEAR(DL$4)&gt;=YEAR($F105),AND($K105&lt;&gt;"a",$K105&lt;&gt;"b",$K105&lt;&gt;"g",$K105&lt;&gt;"k")),1,IF(AND($E105&lt;&gt;0,$F105&gt;0,YEAR($F105)&gt;=Preisindex!$A$6,YEAR(DL$4)&gt;=YEAR($F105),$K105="a"),ROUND(VLOOKUP(DQ$4,Preisindex,5,FALSE)/VLOOKUP(YEAR($F105),Preisindex,5,FALSE),2),IF(AND($E105&lt;&gt;0,$F105&gt;0,YEAR($F105)&gt;=Preisindex!$A$6,YEAR(DL$4)&gt;=YEAR($F105),$K105="b"),ROUND(VLOOKUP(DQ$4,Preisindex,3,FALSE)/VLOOKUP(YEAR($F105),Preisindex,3,FALSE),2),IF(AND($E105&lt;&gt;0,$F105&gt;0,YEAR($F105)&gt;=Preisindex!$A$6,YEAR(DL$4)&gt;=YEAR($F105),$K105="g"),ROUND(VLOOKUP(DQ$4,Preisindex,4,FALSE)/VLOOKUP(YEAR($F105),Preisindex,4,FALSE),2),IF(AND($E105&lt;&gt;0,$F105&gt;0,YEAR($F105)&gt;=Preisindex!$A$6,YEAR(DL$4)&gt;=YEAR($F105),$K105="k"),ROUND(VLOOKUP(DQ$4,Preisindex,2,FALSE)/VLOOKUP(YEAR($F105),Preisindex,2,FALSE),2),0)))))</f>
        <v>0</v>
      </c>
      <c r="DR105" s="56">
        <f>IF(AND($E105&lt;&gt;0,$F105&gt;0,YEAR($F105)&lt;Preisindex!$A$6,YEAR(DL$4)&gt;=YEAR($F105),AND($K105&lt;&gt;"a",$K105&lt;&gt;"b",$K105&lt;&gt;"g",$K105&lt;&gt;"k")),1,IF(AND($E105&lt;&gt;0,$F105&gt;0,YEAR($F105)&lt;Preisindex!$A$6,YEAR(DL$4)&gt;=YEAR($F105),$K105="a"),ROUND(VLOOKUP(DQ$4,Preisindex,5,FALSE)/VLOOKUP(Preisindex!$A$6,Preisindex,5,FALSE),2),IF(AND($E105&lt;&gt;0,$F105&gt;0,YEAR($F105)&lt;Preisindex!$A$6,YEAR(DL$4)&gt;=YEAR($F105),$K105="b"),ROUND(VLOOKUP(DQ$4,Preisindex,3,FALSE)/VLOOKUP(Preisindex!$A$6,Preisindex,3,FALSE),2),IF(AND($E105&lt;&gt;0,$F105&gt;0,YEAR($F105)&lt;Preisindex!$A$6,YEAR(DL$4)&gt;=YEAR($F105),$K105="g"),ROUND(VLOOKUP(DQ$4,Preisindex,4,FALSE)/VLOOKUP(Preisindex!$A$6,Preisindex,4,FALSE),2),IF(AND($E105&lt;&gt;0,$F105&gt;0,YEAR($F105)&lt;Preisindex!$A$6,YEAR(DL$4)&gt;=YEAR($F105),$K105="k"),ROUND(VLOOKUP(DQ$4,Preisindex,2,FALSE)/VLOOKUP(Preisindex!$A$6,Preisindex,2,FALSE),2),0)))))</f>
        <v>0</v>
      </c>
      <c r="DS105" s="51">
        <f>IF(AND($E105&lt;&gt;0,$F105&gt;0,YEAR($F105)&lt;=DQ$4,YEAR($F105)&gt;=Preisindex!$A$6),ROUND($E105*DQ105,2),IF(AND($E105&lt;&gt;0,$F105&gt;0,YEAR($F105)&lt;=DQ$4,YEAR($F105)&lt;Preisindex!$A$6),ROUND($E105*DR105,2),0))</f>
        <v>0</v>
      </c>
      <c r="DT105" s="53">
        <f t="shared" si="402"/>
        <v>0</v>
      </c>
      <c r="DU105" s="51">
        <f t="shared" si="489"/>
        <v>0</v>
      </c>
      <c r="DV105" s="51">
        <f t="shared" si="473"/>
        <v>0</v>
      </c>
      <c r="DW105" s="51">
        <f t="shared" si="403"/>
        <v>0</v>
      </c>
      <c r="DX105" s="51">
        <f t="shared" si="474"/>
        <v>0</v>
      </c>
      <c r="DY105" s="51">
        <f t="shared" si="404"/>
        <v>0</v>
      </c>
      <c r="DZ105" s="51">
        <f t="shared" si="475"/>
        <v>0</v>
      </c>
      <c r="EA105" s="51">
        <f t="shared" si="405"/>
        <v>0</v>
      </c>
      <c r="EB105" s="51">
        <f t="shared" si="476"/>
        <v>0</v>
      </c>
      <c r="EC105" s="51">
        <f t="shared" si="406"/>
        <v>0</v>
      </c>
      <c r="ED105" s="51">
        <f t="shared" si="477"/>
        <v>0</v>
      </c>
      <c r="EE105" s="51">
        <f t="shared" si="407"/>
        <v>0</v>
      </c>
      <c r="EF105" s="54">
        <f t="shared" si="408"/>
        <v>0</v>
      </c>
      <c r="EG105" s="55">
        <f t="shared" si="409"/>
        <v>0</v>
      </c>
      <c r="EH105" s="56">
        <f>IF(AND($E105&lt;&gt;0,$F105&gt;0,YEAR($F105)&gt;=Preisindex!$A$6,YEAR(EC$4)&gt;=YEAR($F105),AND($K105&lt;&gt;"a",$K105&lt;&gt;"b",$K105&lt;&gt;"g",$K105&lt;&gt;"k")),1,IF(AND($E105&lt;&gt;0,$F105&gt;0,YEAR($F105)&gt;=Preisindex!$A$6,YEAR(EC$4)&gt;=YEAR($F105),$K105="a"),ROUND(VLOOKUP(EH$4,Preisindex,5,FALSE)/VLOOKUP(YEAR($F105),Preisindex,5,FALSE),2),IF(AND($E105&lt;&gt;0,$F105&gt;0,YEAR($F105)&gt;=Preisindex!$A$6,YEAR(EC$4)&gt;=YEAR($F105),$K105="b"),ROUND(VLOOKUP(EH$4,Preisindex,3,FALSE)/VLOOKUP(YEAR($F105),Preisindex,3,FALSE),2),IF(AND($E105&lt;&gt;0,$F105&gt;0,YEAR($F105)&gt;=Preisindex!$A$6,YEAR(EC$4)&gt;=YEAR($F105),$K105="g"),ROUND(VLOOKUP(EH$4,Preisindex,4,FALSE)/VLOOKUP(YEAR($F105),Preisindex,4,FALSE),2),IF(AND($E105&lt;&gt;0,$F105&gt;0,YEAR($F105)&gt;=Preisindex!$A$6,YEAR(EC$4)&gt;=YEAR($F105),$K105="k"),ROUND(VLOOKUP(EH$4,Preisindex,2,FALSE)/VLOOKUP(YEAR($F105),Preisindex,2,FALSE),2),0)))))</f>
        <v>0</v>
      </c>
      <c r="EI105" s="56">
        <f>IF(AND($E105&lt;&gt;0,$F105&gt;0,YEAR($F105)&lt;Preisindex!$A$6,YEAR(EC$4)&gt;=YEAR($F105),AND($K105&lt;&gt;"a",$K105&lt;&gt;"b",$K105&lt;&gt;"g",$K105&lt;&gt;"k")),1,IF(AND($E105&lt;&gt;0,$F105&gt;0,YEAR($F105)&lt;Preisindex!$A$6,YEAR(EC$4)&gt;=YEAR($F105),$K105="a"),ROUND(VLOOKUP(EH$4,Preisindex,5,FALSE)/VLOOKUP(Preisindex!$A$6,Preisindex,5,FALSE),2),IF(AND($E105&lt;&gt;0,$F105&gt;0,YEAR($F105)&lt;Preisindex!$A$6,YEAR(EC$4)&gt;=YEAR($F105),$K105="b"),ROUND(VLOOKUP(EH$4,Preisindex,3,FALSE)/VLOOKUP(Preisindex!$A$6,Preisindex,3,FALSE),2),IF(AND($E105&lt;&gt;0,$F105&gt;0,YEAR($F105)&lt;Preisindex!$A$6,YEAR(EC$4)&gt;=YEAR($F105),$K105="g"),ROUND(VLOOKUP(EH$4,Preisindex,4,FALSE)/VLOOKUP(Preisindex!$A$6,Preisindex,4,FALSE),2),IF(AND($E105&lt;&gt;0,$F105&gt;0,YEAR($F105)&lt;Preisindex!$A$6,YEAR(EC$4)&gt;=YEAR($F105),$K105="k"),ROUND(VLOOKUP(EH$4,Preisindex,2,FALSE)/VLOOKUP(Preisindex!$A$6,Preisindex,2,FALSE),2),0)))))</f>
        <v>0</v>
      </c>
      <c r="EJ105" s="51">
        <f>IF(AND($E105&lt;&gt;0,$F105&gt;0,YEAR($F105)&lt;=EH$4,YEAR($F105)&gt;=Preisindex!$A$6),ROUND($E105*EH105,2),IF(AND($E105&lt;&gt;0,$F105&gt;0,YEAR($F105)&lt;=EH$4,YEAR($F105)&lt;Preisindex!$A$6),ROUND($E105*EI105,2),0))</f>
        <v>0</v>
      </c>
      <c r="EK105" s="53">
        <f t="shared" si="410"/>
        <v>0</v>
      </c>
      <c r="EL105" s="51">
        <f t="shared" si="489"/>
        <v>0</v>
      </c>
      <c r="EM105" s="51">
        <f t="shared" si="478"/>
        <v>0</v>
      </c>
      <c r="EN105" s="51">
        <f t="shared" si="411"/>
        <v>0</v>
      </c>
      <c r="EO105" s="51">
        <f t="shared" si="479"/>
        <v>0</v>
      </c>
      <c r="EP105" s="51">
        <f t="shared" si="412"/>
        <v>0</v>
      </c>
      <c r="EQ105" s="51">
        <f t="shared" si="480"/>
        <v>0</v>
      </c>
      <c r="ER105" s="51">
        <f t="shared" si="413"/>
        <v>0</v>
      </c>
      <c r="ES105" s="51">
        <f t="shared" si="481"/>
        <v>0</v>
      </c>
      <c r="ET105" s="51">
        <f t="shared" si="414"/>
        <v>0</v>
      </c>
      <c r="EU105" s="51">
        <f t="shared" si="482"/>
        <v>0</v>
      </c>
      <c r="EV105" s="51">
        <f t="shared" si="415"/>
        <v>0</v>
      </c>
      <c r="EW105" s="54">
        <f t="shared" si="416"/>
        <v>0</v>
      </c>
      <c r="EX105" s="55">
        <f t="shared" si="417"/>
        <v>0</v>
      </c>
      <c r="EY105" s="56">
        <f>IF(AND($E105&lt;&gt;0,$F105&gt;0,YEAR($F105)&gt;=Preisindex!$A$6,YEAR(ET$4)&gt;=YEAR($F105),AND($K105&lt;&gt;"a",$K105&lt;&gt;"b",$K105&lt;&gt;"g",$K105&lt;&gt;"k")),1,IF(AND($E105&lt;&gt;0,$F105&gt;0,YEAR($F105)&gt;=Preisindex!$A$6,YEAR(ET$4)&gt;=YEAR($F105),$K105="a"),ROUND(VLOOKUP(EY$4,Preisindex,5,FALSE)/VLOOKUP(YEAR($F105),Preisindex,5,FALSE),2),IF(AND($E105&lt;&gt;0,$F105&gt;0,YEAR($F105)&gt;=Preisindex!$A$6,YEAR(ET$4)&gt;=YEAR($F105),$K105="b"),ROUND(VLOOKUP(EY$4,Preisindex,3,FALSE)/VLOOKUP(YEAR($F105),Preisindex,3,FALSE),2),IF(AND($E105&lt;&gt;0,$F105&gt;0,YEAR($F105)&gt;=Preisindex!$A$6,YEAR(ET$4)&gt;=YEAR($F105),$K105="g"),ROUND(VLOOKUP(EY$4,Preisindex,4,FALSE)/VLOOKUP(YEAR($F105),Preisindex,4,FALSE),2),IF(AND($E105&lt;&gt;0,$F105&gt;0,YEAR($F105)&gt;=Preisindex!$A$6,YEAR(ET$4)&gt;=YEAR($F105),$K105="k"),ROUND(VLOOKUP(EY$4,Preisindex,2,FALSE)/VLOOKUP(YEAR($F105),Preisindex,2,FALSE),2),0)))))</f>
        <v>0</v>
      </c>
      <c r="EZ105" s="56">
        <f>IF(AND($E105&lt;&gt;0,$F105&gt;0,YEAR($F105)&lt;Preisindex!$A$6,YEAR(ET$4)&gt;=YEAR($F105),AND($K105&lt;&gt;"a",$K105&lt;&gt;"b",$K105&lt;&gt;"g",$K105&lt;&gt;"k")),1,IF(AND($E105&lt;&gt;0,$F105&gt;0,YEAR($F105)&lt;Preisindex!$A$6,YEAR(ET$4)&gt;=YEAR($F105),$K105="a"),ROUND(VLOOKUP(EY$4,Preisindex,5,FALSE)/VLOOKUP(Preisindex!$A$6,Preisindex,5,FALSE),2),IF(AND($E105&lt;&gt;0,$F105&gt;0,YEAR($F105)&lt;Preisindex!$A$6,YEAR(ET$4)&gt;=YEAR($F105),$K105="b"),ROUND(VLOOKUP(EY$4,Preisindex,3,FALSE)/VLOOKUP(Preisindex!$A$6,Preisindex,3,FALSE),2),IF(AND($E105&lt;&gt;0,$F105&gt;0,YEAR($F105)&lt;Preisindex!$A$6,YEAR(ET$4)&gt;=YEAR($F105),$K105="g"),ROUND(VLOOKUP(EY$4,Preisindex,4,FALSE)/VLOOKUP(Preisindex!$A$6,Preisindex,4,FALSE),2),IF(AND($E105&lt;&gt;0,$F105&gt;0,YEAR($F105)&lt;Preisindex!$A$6,YEAR(ET$4)&gt;=YEAR($F105),$K105="k"),ROUND(VLOOKUP(EY$4,Preisindex,2,FALSE)/VLOOKUP(Preisindex!$A$6,Preisindex,2,FALSE),2),0)))))</f>
        <v>0</v>
      </c>
      <c r="FA105" s="51">
        <f>IF(AND($E105&lt;&gt;0,$F105&gt;0,YEAR($F105)&lt;=EY$4,YEAR($F105)&gt;=Preisindex!$A$6),ROUND($E105*EY105,2),IF(AND($E105&lt;&gt;0,$F105&gt;0,YEAR($F105)&lt;=EY$4,YEAR($F105)&lt;Preisindex!$A$6),ROUND($E105*EZ105,2),0))</f>
        <v>0</v>
      </c>
      <c r="FB105" s="53">
        <f t="shared" si="418"/>
        <v>0</v>
      </c>
      <c r="FC105" s="51">
        <f t="shared" si="489"/>
        <v>0</v>
      </c>
      <c r="FD105" s="51">
        <f t="shared" si="483"/>
        <v>0</v>
      </c>
      <c r="FE105" s="51">
        <f t="shared" si="419"/>
        <v>0</v>
      </c>
      <c r="FF105" s="51">
        <f t="shared" si="484"/>
        <v>0</v>
      </c>
      <c r="FG105" s="51">
        <f t="shared" si="420"/>
        <v>0</v>
      </c>
      <c r="FH105" s="51">
        <f t="shared" si="485"/>
        <v>0</v>
      </c>
      <c r="FI105" s="51">
        <f t="shared" si="421"/>
        <v>0</v>
      </c>
      <c r="FJ105" s="51">
        <f t="shared" si="486"/>
        <v>0</v>
      </c>
      <c r="FK105" s="51">
        <f t="shared" si="422"/>
        <v>0</v>
      </c>
      <c r="FL105" s="51">
        <f t="shared" si="487"/>
        <v>0</v>
      </c>
      <c r="FM105" s="51">
        <f t="shared" si="423"/>
        <v>0</v>
      </c>
      <c r="FN105" s="54">
        <f t="shared" si="424"/>
        <v>0</v>
      </c>
      <c r="FO105" s="55">
        <f t="shared" si="425"/>
        <v>0</v>
      </c>
      <c r="FP105" s="56">
        <f>IF(AND($E105&lt;&gt;0,$F105&gt;0,YEAR($F105)&gt;=Preisindex!$A$6,YEAR(FK$4)&gt;=YEAR($F105),AND($K105&lt;&gt;"a",$K105&lt;&gt;"b",$K105&lt;&gt;"g",$K105&lt;&gt;"k")),1,IF(AND($E105&lt;&gt;0,$F105&gt;0,YEAR($F105)&gt;=Preisindex!$A$6,YEAR(FK$4)&gt;=YEAR($F105),$K105="a"),ROUND(VLOOKUP(FP$4,Preisindex,5,FALSE)/VLOOKUP(YEAR($F105),Preisindex,5,FALSE),2),IF(AND($E105&lt;&gt;0,$F105&gt;0,YEAR($F105)&gt;=Preisindex!$A$6,YEAR(FK$4)&gt;=YEAR($F105),$K105="b"),ROUND(VLOOKUP(FP$4,Preisindex,3,FALSE)/VLOOKUP(YEAR($F105),Preisindex,3,FALSE),2),IF(AND($E105&lt;&gt;0,$F105&gt;0,YEAR($F105)&gt;=Preisindex!$A$6,YEAR(FK$4)&gt;=YEAR($F105),$K105="g"),ROUND(VLOOKUP(FP$4,Preisindex,4,FALSE)/VLOOKUP(YEAR($F105),Preisindex,4,FALSE),2),IF(AND($E105&lt;&gt;0,$F105&gt;0,YEAR($F105)&gt;=Preisindex!$A$6,YEAR(FK$4)&gt;=YEAR($F105),$K105="k"),ROUND(VLOOKUP(FP$4,Preisindex,2,FALSE)/VLOOKUP(YEAR($F105),Preisindex,2,FALSE),2),0)))))</f>
        <v>0</v>
      </c>
      <c r="FQ105" s="56">
        <f>IF(AND($E105&lt;&gt;0,$F105&gt;0,YEAR($F105)&lt;Preisindex!$A$6,YEAR(FK$4)&gt;=YEAR($F105),AND($K105&lt;&gt;"a",$K105&lt;&gt;"b",$K105&lt;&gt;"g",$K105&lt;&gt;"k")),1,IF(AND($E105&lt;&gt;0,$F105&gt;0,YEAR($F105)&lt;Preisindex!$A$6,YEAR(FK$4)&gt;=YEAR($F105),$K105="a"),ROUND(VLOOKUP(FP$4,Preisindex,5,FALSE)/VLOOKUP(Preisindex!$A$6,Preisindex,5,FALSE),2),IF(AND($E105&lt;&gt;0,$F105&gt;0,YEAR($F105)&lt;Preisindex!$A$6,YEAR(FK$4)&gt;=YEAR($F105),$K105="b"),ROUND(VLOOKUP(FP$4,Preisindex,3,FALSE)/VLOOKUP(Preisindex!$A$6,Preisindex,3,FALSE),2),IF(AND($E105&lt;&gt;0,$F105&gt;0,YEAR($F105)&lt;Preisindex!$A$6,YEAR(FK$4)&gt;=YEAR($F105),$K105="g"),ROUND(VLOOKUP(FP$4,Preisindex,4,FALSE)/VLOOKUP(Preisindex!$A$6,Preisindex,4,FALSE),2),IF(AND($E105&lt;&gt;0,$F105&gt;0,YEAR($F105)&lt;Preisindex!$A$6,YEAR(FK$4)&gt;=YEAR($F105),$K105="k"),ROUND(VLOOKUP(FP$4,Preisindex,2,FALSE)/VLOOKUP(Preisindex!$A$6,Preisindex,2,FALSE),2),0)))))</f>
        <v>0</v>
      </c>
      <c r="FR105" s="51">
        <f>IF(AND($E105&lt;&gt;0,$F105&gt;0,YEAR($F105)&lt;=FP$4,YEAR($F105)&gt;=Preisindex!$A$6),ROUND($E105*FP105,2),IF(AND($E105&lt;&gt;0,$F105&gt;0,YEAR($F105)&lt;=FP$4,YEAR($F105)&lt;Preisindex!$A$6),ROUND($E105*FQ105,2),0))</f>
        <v>0</v>
      </c>
      <c r="FS105" s="53">
        <f t="shared" si="426"/>
        <v>0</v>
      </c>
    </row>
    <row r="106" spans="1:175" x14ac:dyDescent="0.3">
      <c r="A106" s="93"/>
      <c r="B106" s="94"/>
      <c r="C106" s="94"/>
      <c r="D106" s="95"/>
      <c r="E106" s="99"/>
      <c r="F106" s="97"/>
      <c r="G106" s="98"/>
      <c r="H106" s="620"/>
      <c r="I106" s="621"/>
      <c r="J106" s="194"/>
      <c r="K106" s="630"/>
      <c r="L106" s="49">
        <f t="shared" si="427"/>
        <v>0</v>
      </c>
      <c r="M106" s="50">
        <f t="shared" si="428"/>
        <v>0</v>
      </c>
      <c r="N106" s="51">
        <f t="shared" si="429"/>
        <v>0</v>
      </c>
      <c r="O106" s="51"/>
      <c r="P106" s="51">
        <f t="shared" si="430"/>
        <v>0</v>
      </c>
      <c r="Q106" s="52"/>
      <c r="R106" s="52"/>
      <c r="S106" s="52"/>
      <c r="T106" s="52"/>
      <c r="U106" s="52"/>
      <c r="V106" s="53">
        <f t="shared" si="431"/>
        <v>0</v>
      </c>
      <c r="W106" s="51">
        <f t="shared" si="432"/>
        <v>0</v>
      </c>
      <c r="X106" s="51">
        <f t="shared" si="433"/>
        <v>0</v>
      </c>
      <c r="Y106" s="51">
        <f t="shared" si="434"/>
        <v>0</v>
      </c>
      <c r="Z106" s="51">
        <f t="shared" si="435"/>
        <v>0</v>
      </c>
      <c r="AA106" s="51">
        <f t="shared" si="436"/>
        <v>0</v>
      </c>
      <c r="AB106" s="51">
        <f t="shared" si="437"/>
        <v>0</v>
      </c>
      <c r="AC106" s="51">
        <f t="shared" si="438"/>
        <v>0</v>
      </c>
      <c r="AD106" s="51">
        <f t="shared" si="439"/>
        <v>0</v>
      </c>
      <c r="AE106" s="51">
        <f t="shared" si="440"/>
        <v>0</v>
      </c>
      <c r="AF106" s="51">
        <f t="shared" si="441"/>
        <v>0</v>
      </c>
      <c r="AG106" s="51">
        <f t="shared" si="442"/>
        <v>0</v>
      </c>
      <c r="AH106" s="54">
        <f t="shared" si="443"/>
        <v>0</v>
      </c>
      <c r="AI106" s="55">
        <f t="shared" si="444"/>
        <v>0</v>
      </c>
      <c r="AJ106" s="56">
        <f>IF(AND($E106&lt;&gt;0,$F106&gt;0,YEAR($F106)&gt;=Preisindex!$A$6,YEAR(AE$4)&gt;=YEAR($F106),AND($K106&lt;&gt;"a",$K106&lt;&gt;"b",$K106&lt;&gt;"g",$K106&lt;&gt;"k")),1,IF(AND($E106&lt;&gt;0,$F106&gt;0,YEAR($F106)&gt;=Preisindex!$A$6,YEAR(AE$4)&gt;=YEAR($F106),$K106="a"),ROUND(VLOOKUP(AJ$4,Preisindex,5,FALSE)/VLOOKUP(YEAR($F106),Preisindex,5,FALSE),2),IF(AND($E106&lt;&gt;0,$F106&gt;0,YEAR($F106)&gt;=Preisindex!$A$6,YEAR(AE$4)&gt;=YEAR($F106),$K106="b"),ROUND(VLOOKUP(AJ$4,Preisindex,3,FALSE)/VLOOKUP(YEAR($F106),Preisindex,3,FALSE),2),IF(AND($E106&lt;&gt;0,$F106&gt;0,YEAR($F106)&gt;=Preisindex!$A$6,YEAR(AE$4)&gt;=YEAR($F106),$K106="g"),ROUND(VLOOKUP(AJ$4,Preisindex,4,FALSE)/VLOOKUP(YEAR($F106),Preisindex,4,FALSE),2),IF(AND($E106&lt;&gt;0,$F106&gt;0,YEAR($F106)&gt;=Preisindex!$A$6,YEAR(AE$4)&gt;=YEAR($F106),$K106="k"),ROUND(VLOOKUP(AJ$4,Preisindex,2,FALSE)/VLOOKUP(YEAR($F106),Preisindex,2,FALSE),2),0)))))</f>
        <v>0</v>
      </c>
      <c r="AK106" s="56">
        <f>IF(AND($E106&lt;&gt;0,$F106&gt;0,YEAR($F106)&lt;Preisindex!$A$6,YEAR(AE$4)&gt;=YEAR($F106),AND($K106&lt;&gt;"a",$K106&lt;&gt;"b",$K106&lt;&gt;"g",$K106&lt;&gt;"k")),1,IF(AND($E106&lt;&gt;0,$F106&gt;0,YEAR($F106)&lt;Preisindex!$A$6,YEAR(AE$4)&gt;=YEAR($F106),$K106="a"),ROUND(VLOOKUP(AJ$4,Preisindex,5,FALSE)/VLOOKUP(Preisindex!$A$6,Preisindex,5,FALSE),2),IF(AND($E106&lt;&gt;0,$F106&gt;0,YEAR($F106)&lt;Preisindex!$A$6,YEAR(AE$4)&gt;=YEAR($F106),$K106="b"),ROUND(VLOOKUP(AJ$4,Preisindex,3,FALSE)/VLOOKUP(Preisindex!$A$6,Preisindex,3,FALSE),2),IF(AND($E106&lt;&gt;0,$F106&gt;0,YEAR($F106)&lt;Preisindex!$A$6,YEAR(AE$4)&gt;=YEAR($F106),$K106="g"),ROUND(VLOOKUP(AJ$4,Preisindex,4,FALSE)/VLOOKUP(Preisindex!$A$6,Preisindex,4,FALSE),2),IF(AND($E106&lt;&gt;0,$F106&gt;0,YEAR($F106)&lt;Preisindex!$A$6,YEAR(AE$4)&gt;=YEAR($F106),$K106="k"),ROUND(VLOOKUP(AJ$4,Preisindex,2,FALSE)/VLOOKUP(Preisindex!$A$6,Preisindex,2,FALSE),2),0)))))</f>
        <v>0</v>
      </c>
      <c r="AL106" s="51">
        <f>IF(AND($E106&lt;&gt;0,$F106&gt;0,YEAR($F106)&lt;=AJ$4,YEAR($F106)&gt;=Preisindex!$A$6),ROUND($E106*AJ106,2),IF(AND($E106&lt;&gt;0,$F106&gt;0,YEAR($F106)&lt;=AJ$4,YEAR($F106)&lt;Preisindex!$A$6),ROUND($E106*AK106,2),0))</f>
        <v>0</v>
      </c>
      <c r="AM106" s="53">
        <f t="shared" si="445"/>
        <v>0</v>
      </c>
      <c r="AN106" s="51">
        <f t="shared" si="488"/>
        <v>0</v>
      </c>
      <c r="AO106" s="51">
        <f t="shared" si="448"/>
        <v>0</v>
      </c>
      <c r="AP106" s="51">
        <f t="shared" si="362"/>
        <v>0</v>
      </c>
      <c r="AQ106" s="51">
        <f t="shared" si="449"/>
        <v>0</v>
      </c>
      <c r="AR106" s="51">
        <f t="shared" si="363"/>
        <v>0</v>
      </c>
      <c r="AS106" s="51">
        <f t="shared" si="450"/>
        <v>0</v>
      </c>
      <c r="AT106" s="51">
        <f t="shared" si="364"/>
        <v>0</v>
      </c>
      <c r="AU106" s="51">
        <f t="shared" si="451"/>
        <v>0</v>
      </c>
      <c r="AV106" s="51">
        <f t="shared" si="365"/>
        <v>0</v>
      </c>
      <c r="AW106" s="51">
        <f t="shared" si="452"/>
        <v>0</v>
      </c>
      <c r="AX106" s="51">
        <f t="shared" si="366"/>
        <v>0</v>
      </c>
      <c r="AY106" s="54">
        <f t="shared" si="367"/>
        <v>0</v>
      </c>
      <c r="AZ106" s="55">
        <f t="shared" si="368"/>
        <v>0</v>
      </c>
      <c r="BA106" s="56">
        <f>IF(AND($E106&lt;&gt;0,$F106&gt;0,YEAR($F106)&gt;=Preisindex!$A$6,YEAR(AV$4)&gt;=YEAR($F106),AND($K106&lt;&gt;"a",$K106&lt;&gt;"b",$K106&lt;&gt;"g",$K106&lt;&gt;"k")),1,IF(AND($E106&lt;&gt;0,$F106&gt;0,YEAR($F106)&gt;=Preisindex!$A$6,YEAR(AV$4)&gt;=YEAR($F106),$K106="a"),ROUND(VLOOKUP(BA$4,Preisindex,5,FALSE)/VLOOKUP(YEAR($F106),Preisindex,5,FALSE),2),IF(AND($E106&lt;&gt;0,$F106&gt;0,YEAR($F106)&gt;=Preisindex!$A$6,YEAR(AV$4)&gt;=YEAR($F106),$K106="b"),ROUND(VLOOKUP(BA$4,Preisindex,3,FALSE)/VLOOKUP(YEAR($F106),Preisindex,3,FALSE),2),IF(AND($E106&lt;&gt;0,$F106&gt;0,YEAR($F106)&gt;=Preisindex!$A$6,YEAR(AV$4)&gt;=YEAR($F106),$K106="g"),ROUND(VLOOKUP(BA$4,Preisindex,4,FALSE)/VLOOKUP(YEAR($F106),Preisindex,4,FALSE),2),IF(AND($E106&lt;&gt;0,$F106&gt;0,YEAR($F106)&gt;=Preisindex!$A$6,YEAR(AV$4)&gt;=YEAR($F106),$K106="k"),ROUND(VLOOKUP(BA$4,Preisindex,2,FALSE)/VLOOKUP(YEAR($F106),Preisindex,2,FALSE),2),0)))))</f>
        <v>0</v>
      </c>
      <c r="BB106" s="56">
        <f>IF(AND($E106&lt;&gt;0,$F106&gt;0,YEAR($F106)&lt;Preisindex!$A$6,YEAR(AV$4)&gt;=YEAR($F106),AND($K106&lt;&gt;"a",$K106&lt;&gt;"b",$K106&lt;&gt;"g",$K106&lt;&gt;"k")),1,IF(AND($E106&lt;&gt;0,$F106&gt;0,YEAR($F106)&lt;Preisindex!$A$6,YEAR(AV$4)&gt;=YEAR($F106),$K106="a"),ROUND(VLOOKUP(BA$4,Preisindex,5,FALSE)/VLOOKUP(Preisindex!$A$6,Preisindex,5,FALSE),2),IF(AND($E106&lt;&gt;0,$F106&gt;0,YEAR($F106)&lt;Preisindex!$A$6,YEAR(AV$4)&gt;=YEAR($F106),$K106="b"),ROUND(VLOOKUP(BA$4,Preisindex,3,FALSE)/VLOOKUP(Preisindex!$A$6,Preisindex,3,FALSE),2),IF(AND($E106&lt;&gt;0,$F106&gt;0,YEAR($F106)&lt;Preisindex!$A$6,YEAR(AV$4)&gt;=YEAR($F106),$K106="g"),ROUND(VLOOKUP(BA$4,Preisindex,4,FALSE)/VLOOKUP(Preisindex!$A$6,Preisindex,4,FALSE),2),IF(AND($E106&lt;&gt;0,$F106&gt;0,YEAR($F106)&lt;Preisindex!$A$6,YEAR(AV$4)&gt;=YEAR($F106),$K106="k"),ROUND(VLOOKUP(BA$4,Preisindex,2,FALSE)/VLOOKUP(Preisindex!$A$6,Preisindex,2,FALSE),2),0)))))</f>
        <v>0</v>
      </c>
      <c r="BC106" s="51">
        <f>IF(AND($E106&lt;&gt;0,$F106&gt;0,YEAR($F106)&lt;=BA$4,YEAR($F106)&gt;=Preisindex!$A$6),ROUND($E106*BA106,2),IF(AND($E106&lt;&gt;0,$F106&gt;0,YEAR($F106)&lt;=BA$4,YEAR($F106)&lt;Preisindex!$A$6),ROUND($E106*BB106,2),0))</f>
        <v>0</v>
      </c>
      <c r="BD106" s="53">
        <f t="shared" si="369"/>
        <v>0</v>
      </c>
      <c r="BE106" s="51">
        <f t="shared" si="488"/>
        <v>0</v>
      </c>
      <c r="BF106" s="51">
        <f t="shared" si="453"/>
        <v>0</v>
      </c>
      <c r="BG106" s="51">
        <f t="shared" si="370"/>
        <v>0</v>
      </c>
      <c r="BH106" s="51">
        <f t="shared" si="454"/>
        <v>0</v>
      </c>
      <c r="BI106" s="51">
        <f t="shared" si="371"/>
        <v>0</v>
      </c>
      <c r="BJ106" s="51">
        <f t="shared" si="455"/>
        <v>0</v>
      </c>
      <c r="BK106" s="51">
        <f t="shared" si="372"/>
        <v>0</v>
      </c>
      <c r="BL106" s="51">
        <f t="shared" si="456"/>
        <v>0</v>
      </c>
      <c r="BM106" s="51">
        <f t="shared" si="373"/>
        <v>0</v>
      </c>
      <c r="BN106" s="51">
        <f t="shared" si="457"/>
        <v>0</v>
      </c>
      <c r="BO106" s="51">
        <f t="shared" si="374"/>
        <v>0</v>
      </c>
      <c r="BP106" s="54">
        <f t="shared" si="375"/>
        <v>0</v>
      </c>
      <c r="BQ106" s="55">
        <f t="shared" si="376"/>
        <v>0</v>
      </c>
      <c r="BR106" s="56">
        <f>IF(AND($E106&lt;&gt;0,$F106&gt;0,YEAR($F106)&gt;=Preisindex!$A$6,YEAR(BM$4)&gt;=YEAR($F106),AND($K106&lt;&gt;"a",$K106&lt;&gt;"b",$K106&lt;&gt;"g",$K106&lt;&gt;"k")),1,IF(AND($E106&lt;&gt;0,$F106&gt;0,YEAR($F106)&gt;=Preisindex!$A$6,YEAR(BM$4)&gt;=YEAR($F106),$K106="a"),ROUND(VLOOKUP(BR$4,Preisindex,5,FALSE)/VLOOKUP(YEAR($F106),Preisindex,5,FALSE),2),IF(AND($E106&lt;&gt;0,$F106&gt;0,YEAR($F106)&gt;=Preisindex!$A$6,YEAR(BM$4)&gt;=YEAR($F106),$K106="b"),ROUND(VLOOKUP(BR$4,Preisindex,3,FALSE)/VLOOKUP(YEAR($F106),Preisindex,3,FALSE),2),IF(AND($E106&lt;&gt;0,$F106&gt;0,YEAR($F106)&gt;=Preisindex!$A$6,YEAR(BM$4)&gt;=YEAR($F106),$K106="g"),ROUND(VLOOKUP(BR$4,Preisindex,4,FALSE)/VLOOKUP(YEAR($F106),Preisindex,4,FALSE),2),IF(AND($E106&lt;&gt;0,$F106&gt;0,YEAR($F106)&gt;=Preisindex!$A$6,YEAR(BM$4)&gt;=YEAR($F106),$K106="k"),ROUND(VLOOKUP(BR$4,Preisindex,2,FALSE)/VLOOKUP(YEAR($F106),Preisindex,2,FALSE),2),0)))))</f>
        <v>0</v>
      </c>
      <c r="BS106" s="56">
        <f>IF(AND($E106&lt;&gt;0,$F106&gt;0,YEAR($F106)&lt;Preisindex!$A$6,YEAR(BM$4)&gt;=YEAR($F106),AND($K106&lt;&gt;"a",$K106&lt;&gt;"b",$K106&lt;&gt;"g",$K106&lt;&gt;"k")),1,IF(AND($E106&lt;&gt;0,$F106&gt;0,YEAR($F106)&lt;Preisindex!$A$6,YEAR(BM$4)&gt;=YEAR($F106),$K106="a"),ROUND(VLOOKUP(BR$4,Preisindex,5,FALSE)/VLOOKUP(Preisindex!$A$6,Preisindex,5,FALSE),2),IF(AND($E106&lt;&gt;0,$F106&gt;0,YEAR($F106)&lt;Preisindex!$A$6,YEAR(BM$4)&gt;=YEAR($F106),$K106="b"),ROUND(VLOOKUP(BR$4,Preisindex,3,FALSE)/VLOOKUP(Preisindex!$A$6,Preisindex,3,FALSE),2),IF(AND($E106&lt;&gt;0,$F106&gt;0,YEAR($F106)&lt;Preisindex!$A$6,YEAR(BM$4)&gt;=YEAR($F106),$K106="g"),ROUND(VLOOKUP(BR$4,Preisindex,4,FALSE)/VLOOKUP(Preisindex!$A$6,Preisindex,4,FALSE),2),IF(AND($E106&lt;&gt;0,$F106&gt;0,YEAR($F106)&lt;Preisindex!$A$6,YEAR(BM$4)&gt;=YEAR($F106),$K106="k"),ROUND(VLOOKUP(BR$4,Preisindex,2,FALSE)/VLOOKUP(Preisindex!$A$6,Preisindex,2,FALSE),2),0)))))</f>
        <v>0</v>
      </c>
      <c r="BT106" s="51">
        <f>IF(AND($E106&lt;&gt;0,$F106&gt;0,YEAR($F106)&lt;=BR$4,YEAR($F106)&gt;=Preisindex!$A$6),ROUND($E106*BR106,2),IF(AND($E106&lt;&gt;0,$F106&gt;0,YEAR($F106)&lt;=BR$4,YEAR($F106)&lt;Preisindex!$A$6),ROUND($E106*BS106,2),0))</f>
        <v>0</v>
      </c>
      <c r="BU106" s="53">
        <f t="shared" si="377"/>
        <v>0</v>
      </c>
      <c r="BV106" s="51">
        <f t="shared" si="488"/>
        <v>0</v>
      </c>
      <c r="BW106" s="51">
        <f t="shared" si="458"/>
        <v>0</v>
      </c>
      <c r="BX106" s="51">
        <f t="shared" si="378"/>
        <v>0</v>
      </c>
      <c r="BY106" s="51">
        <f t="shared" si="459"/>
        <v>0</v>
      </c>
      <c r="BZ106" s="51">
        <f t="shared" si="379"/>
        <v>0</v>
      </c>
      <c r="CA106" s="51">
        <f t="shared" si="460"/>
        <v>0</v>
      </c>
      <c r="CB106" s="51">
        <f t="shared" si="380"/>
        <v>0</v>
      </c>
      <c r="CC106" s="51">
        <f t="shared" si="461"/>
        <v>0</v>
      </c>
      <c r="CD106" s="51">
        <f t="shared" si="381"/>
        <v>0</v>
      </c>
      <c r="CE106" s="51">
        <f t="shared" si="462"/>
        <v>0</v>
      </c>
      <c r="CF106" s="51">
        <f t="shared" si="382"/>
        <v>0</v>
      </c>
      <c r="CG106" s="54">
        <f t="shared" si="383"/>
        <v>0</v>
      </c>
      <c r="CH106" s="55">
        <f t="shared" si="384"/>
        <v>0</v>
      </c>
      <c r="CI106" s="56">
        <f>IF(AND($E106&lt;&gt;0,$F106&gt;0,YEAR($F106)&gt;=Preisindex!$A$6,YEAR(CD$4)&gt;=YEAR($F106),AND($K106&lt;&gt;"a",$K106&lt;&gt;"b",$K106&lt;&gt;"g",$K106&lt;&gt;"k")),1,IF(AND($E106&lt;&gt;0,$F106&gt;0,YEAR($F106)&gt;=Preisindex!$A$6,YEAR(CD$4)&gt;=YEAR($F106),$K106="a"),ROUND(VLOOKUP(CI$4,Preisindex,5,FALSE)/VLOOKUP(YEAR($F106),Preisindex,5,FALSE),2),IF(AND($E106&lt;&gt;0,$F106&gt;0,YEAR($F106)&gt;=Preisindex!$A$6,YEAR(CD$4)&gt;=YEAR($F106),$K106="b"),ROUND(VLOOKUP(CI$4,Preisindex,3,FALSE)/VLOOKUP(YEAR($F106),Preisindex,3,FALSE),2),IF(AND($E106&lt;&gt;0,$F106&gt;0,YEAR($F106)&gt;=Preisindex!$A$6,YEAR(CD$4)&gt;=YEAR($F106),$K106="g"),ROUND(VLOOKUP(CI$4,Preisindex,4,FALSE)/VLOOKUP(YEAR($F106),Preisindex,4,FALSE),2),IF(AND($E106&lt;&gt;0,$F106&gt;0,YEAR($F106)&gt;=Preisindex!$A$6,YEAR(CD$4)&gt;=YEAR($F106),$K106="k"),ROUND(VLOOKUP(CI$4,Preisindex,2,FALSE)/VLOOKUP(YEAR($F106),Preisindex,2,FALSE),2),0)))))</f>
        <v>0</v>
      </c>
      <c r="CJ106" s="56">
        <f>IF(AND($E106&lt;&gt;0,$F106&gt;0,YEAR($F106)&lt;Preisindex!$A$6,YEAR(CD$4)&gt;=YEAR($F106),AND($K106&lt;&gt;"a",$K106&lt;&gt;"b",$K106&lt;&gt;"g",$K106&lt;&gt;"k")),1,IF(AND($E106&lt;&gt;0,$F106&gt;0,YEAR($F106)&lt;Preisindex!$A$6,YEAR(CD$4)&gt;=YEAR($F106),$K106="a"),ROUND(VLOOKUP(CI$4,Preisindex,5,FALSE)/VLOOKUP(Preisindex!$A$6,Preisindex,5,FALSE),2),IF(AND($E106&lt;&gt;0,$F106&gt;0,YEAR($F106)&lt;Preisindex!$A$6,YEAR(CD$4)&gt;=YEAR($F106),$K106="b"),ROUND(VLOOKUP(CI$4,Preisindex,3,FALSE)/VLOOKUP(Preisindex!$A$6,Preisindex,3,FALSE),2),IF(AND($E106&lt;&gt;0,$F106&gt;0,YEAR($F106)&lt;Preisindex!$A$6,YEAR(CD$4)&gt;=YEAR($F106),$K106="g"),ROUND(VLOOKUP(CI$4,Preisindex,4,FALSE)/VLOOKUP(Preisindex!$A$6,Preisindex,4,FALSE),2),IF(AND($E106&lt;&gt;0,$F106&gt;0,YEAR($F106)&lt;Preisindex!$A$6,YEAR(CD$4)&gt;=YEAR($F106),$K106="k"),ROUND(VLOOKUP(CI$4,Preisindex,2,FALSE)/VLOOKUP(Preisindex!$A$6,Preisindex,2,FALSE),2),0)))))</f>
        <v>0</v>
      </c>
      <c r="CK106" s="51">
        <f>IF(AND($E106&lt;&gt;0,$F106&gt;0,YEAR($F106)&lt;=CI$4,YEAR($F106)&gt;=Preisindex!$A$6),ROUND($E106*CI106,2),IF(AND($E106&lt;&gt;0,$F106&gt;0,YEAR($F106)&lt;=CI$4,YEAR($F106)&lt;Preisindex!$A$6),ROUND($E106*CJ106,2),0))</f>
        <v>0</v>
      </c>
      <c r="CL106" s="53">
        <f t="shared" si="385"/>
        <v>0</v>
      </c>
      <c r="CM106" s="51">
        <f t="shared" si="488"/>
        <v>0</v>
      </c>
      <c r="CN106" s="51">
        <f t="shared" si="463"/>
        <v>0</v>
      </c>
      <c r="CO106" s="51">
        <f t="shared" si="386"/>
        <v>0</v>
      </c>
      <c r="CP106" s="51">
        <f t="shared" si="464"/>
        <v>0</v>
      </c>
      <c r="CQ106" s="51">
        <f t="shared" si="387"/>
        <v>0</v>
      </c>
      <c r="CR106" s="51">
        <f t="shared" si="465"/>
        <v>0</v>
      </c>
      <c r="CS106" s="51">
        <f t="shared" si="388"/>
        <v>0</v>
      </c>
      <c r="CT106" s="51">
        <f t="shared" si="466"/>
        <v>0</v>
      </c>
      <c r="CU106" s="51">
        <f t="shared" si="389"/>
        <v>0</v>
      </c>
      <c r="CV106" s="51">
        <f t="shared" si="467"/>
        <v>0</v>
      </c>
      <c r="CW106" s="51">
        <f t="shared" si="390"/>
        <v>0</v>
      </c>
      <c r="CX106" s="54">
        <f t="shared" si="391"/>
        <v>0</v>
      </c>
      <c r="CY106" s="55">
        <f t="shared" si="392"/>
        <v>0</v>
      </c>
      <c r="CZ106" s="56">
        <f>IF(AND($E106&lt;&gt;0,$F106&gt;0,YEAR($F106)&gt;=Preisindex!$A$6,YEAR(CU$4)&gt;=YEAR($F106),AND($K106&lt;&gt;"a",$K106&lt;&gt;"b",$K106&lt;&gt;"g",$K106&lt;&gt;"k")),1,IF(AND($E106&lt;&gt;0,$F106&gt;0,YEAR($F106)&gt;=Preisindex!$A$6,YEAR(CU$4)&gt;=YEAR($F106),$K106="a"),ROUND(VLOOKUP(CZ$4,Preisindex,5,FALSE)/VLOOKUP(YEAR($F106),Preisindex,5,FALSE),2),IF(AND($E106&lt;&gt;0,$F106&gt;0,YEAR($F106)&gt;=Preisindex!$A$6,YEAR(CU$4)&gt;=YEAR($F106),$K106="b"),ROUND(VLOOKUP(CZ$4,Preisindex,3,FALSE)/VLOOKUP(YEAR($F106),Preisindex,3,FALSE),2),IF(AND($E106&lt;&gt;0,$F106&gt;0,YEAR($F106)&gt;=Preisindex!$A$6,YEAR(CU$4)&gt;=YEAR($F106),$K106="g"),ROUND(VLOOKUP(CZ$4,Preisindex,4,FALSE)/VLOOKUP(YEAR($F106),Preisindex,4,FALSE),2),IF(AND($E106&lt;&gt;0,$F106&gt;0,YEAR($F106)&gt;=Preisindex!$A$6,YEAR(CU$4)&gt;=YEAR($F106),$K106="k"),ROUND(VLOOKUP(CZ$4,Preisindex,2,FALSE)/VLOOKUP(YEAR($F106),Preisindex,2,FALSE),2),0)))))</f>
        <v>0</v>
      </c>
      <c r="DA106" s="56">
        <f>IF(AND($E106&lt;&gt;0,$F106&gt;0,YEAR($F106)&lt;Preisindex!$A$6,YEAR(CU$4)&gt;=YEAR($F106),AND($K106&lt;&gt;"a",$K106&lt;&gt;"b",$K106&lt;&gt;"g",$K106&lt;&gt;"k")),1,IF(AND($E106&lt;&gt;0,$F106&gt;0,YEAR($F106)&lt;Preisindex!$A$6,YEAR(CU$4)&gt;=YEAR($F106),$K106="a"),ROUND(VLOOKUP(CZ$4,Preisindex,5,FALSE)/VLOOKUP(Preisindex!$A$6,Preisindex,5,FALSE),2),IF(AND($E106&lt;&gt;0,$F106&gt;0,YEAR($F106)&lt;Preisindex!$A$6,YEAR(CU$4)&gt;=YEAR($F106),$K106="b"),ROUND(VLOOKUP(CZ$4,Preisindex,3,FALSE)/VLOOKUP(Preisindex!$A$6,Preisindex,3,FALSE),2),IF(AND($E106&lt;&gt;0,$F106&gt;0,YEAR($F106)&lt;Preisindex!$A$6,YEAR(CU$4)&gt;=YEAR($F106),$K106="g"),ROUND(VLOOKUP(CZ$4,Preisindex,4,FALSE)/VLOOKUP(Preisindex!$A$6,Preisindex,4,FALSE),2),IF(AND($E106&lt;&gt;0,$F106&gt;0,YEAR($F106)&lt;Preisindex!$A$6,YEAR(CU$4)&gt;=YEAR($F106),$K106="k"),ROUND(VLOOKUP(CZ$4,Preisindex,2,FALSE)/VLOOKUP(Preisindex!$A$6,Preisindex,2,FALSE),2),0)))))</f>
        <v>0</v>
      </c>
      <c r="DB106" s="51">
        <f>IF(AND($E106&lt;&gt;0,$F106&gt;0,YEAR($F106)&lt;=CZ$4,YEAR($F106)&gt;=Preisindex!$A$6),ROUND($E106*CZ106,2),IF(AND($E106&lt;&gt;0,$F106&gt;0,YEAR($F106)&lt;=CZ$4,YEAR($F106)&lt;Preisindex!$A$6),ROUND($E106*DA106,2),0))</f>
        <v>0</v>
      </c>
      <c r="DC106" s="53">
        <f t="shared" si="393"/>
        <v>0</v>
      </c>
      <c r="DD106" s="51">
        <f t="shared" si="489"/>
        <v>0</v>
      </c>
      <c r="DE106" s="51">
        <f t="shared" si="468"/>
        <v>0</v>
      </c>
      <c r="DF106" s="51">
        <f t="shared" si="395"/>
        <v>0</v>
      </c>
      <c r="DG106" s="51">
        <f t="shared" si="469"/>
        <v>0</v>
      </c>
      <c r="DH106" s="51">
        <f t="shared" si="396"/>
        <v>0</v>
      </c>
      <c r="DI106" s="51">
        <f t="shared" si="470"/>
        <v>0</v>
      </c>
      <c r="DJ106" s="51">
        <f t="shared" si="397"/>
        <v>0</v>
      </c>
      <c r="DK106" s="51">
        <f t="shared" si="471"/>
        <v>0</v>
      </c>
      <c r="DL106" s="51">
        <f t="shared" si="398"/>
        <v>0</v>
      </c>
      <c r="DM106" s="51">
        <f t="shared" si="472"/>
        <v>0</v>
      </c>
      <c r="DN106" s="51">
        <f t="shared" si="399"/>
        <v>0</v>
      </c>
      <c r="DO106" s="54">
        <f t="shared" si="400"/>
        <v>0</v>
      </c>
      <c r="DP106" s="55">
        <f t="shared" si="401"/>
        <v>0</v>
      </c>
      <c r="DQ106" s="56">
        <f>IF(AND($E106&lt;&gt;0,$F106&gt;0,YEAR($F106)&gt;=Preisindex!$A$6,YEAR(DL$4)&gt;=YEAR($F106),AND($K106&lt;&gt;"a",$K106&lt;&gt;"b",$K106&lt;&gt;"g",$K106&lt;&gt;"k")),1,IF(AND($E106&lt;&gt;0,$F106&gt;0,YEAR($F106)&gt;=Preisindex!$A$6,YEAR(DL$4)&gt;=YEAR($F106),$K106="a"),ROUND(VLOOKUP(DQ$4,Preisindex,5,FALSE)/VLOOKUP(YEAR($F106),Preisindex,5,FALSE),2),IF(AND($E106&lt;&gt;0,$F106&gt;0,YEAR($F106)&gt;=Preisindex!$A$6,YEAR(DL$4)&gt;=YEAR($F106),$K106="b"),ROUND(VLOOKUP(DQ$4,Preisindex,3,FALSE)/VLOOKUP(YEAR($F106),Preisindex,3,FALSE),2),IF(AND($E106&lt;&gt;0,$F106&gt;0,YEAR($F106)&gt;=Preisindex!$A$6,YEAR(DL$4)&gt;=YEAR($F106),$K106="g"),ROUND(VLOOKUP(DQ$4,Preisindex,4,FALSE)/VLOOKUP(YEAR($F106),Preisindex,4,FALSE),2),IF(AND($E106&lt;&gt;0,$F106&gt;0,YEAR($F106)&gt;=Preisindex!$A$6,YEAR(DL$4)&gt;=YEAR($F106),$K106="k"),ROUND(VLOOKUP(DQ$4,Preisindex,2,FALSE)/VLOOKUP(YEAR($F106),Preisindex,2,FALSE),2),0)))))</f>
        <v>0</v>
      </c>
      <c r="DR106" s="56">
        <f>IF(AND($E106&lt;&gt;0,$F106&gt;0,YEAR($F106)&lt;Preisindex!$A$6,YEAR(DL$4)&gt;=YEAR($F106),AND($K106&lt;&gt;"a",$K106&lt;&gt;"b",$K106&lt;&gt;"g",$K106&lt;&gt;"k")),1,IF(AND($E106&lt;&gt;0,$F106&gt;0,YEAR($F106)&lt;Preisindex!$A$6,YEAR(DL$4)&gt;=YEAR($F106),$K106="a"),ROUND(VLOOKUP(DQ$4,Preisindex,5,FALSE)/VLOOKUP(Preisindex!$A$6,Preisindex,5,FALSE),2),IF(AND($E106&lt;&gt;0,$F106&gt;0,YEAR($F106)&lt;Preisindex!$A$6,YEAR(DL$4)&gt;=YEAR($F106),$K106="b"),ROUND(VLOOKUP(DQ$4,Preisindex,3,FALSE)/VLOOKUP(Preisindex!$A$6,Preisindex,3,FALSE),2),IF(AND($E106&lt;&gt;0,$F106&gt;0,YEAR($F106)&lt;Preisindex!$A$6,YEAR(DL$4)&gt;=YEAR($F106),$K106="g"),ROUND(VLOOKUP(DQ$4,Preisindex,4,FALSE)/VLOOKUP(Preisindex!$A$6,Preisindex,4,FALSE),2),IF(AND($E106&lt;&gt;0,$F106&gt;0,YEAR($F106)&lt;Preisindex!$A$6,YEAR(DL$4)&gt;=YEAR($F106),$K106="k"),ROUND(VLOOKUP(DQ$4,Preisindex,2,FALSE)/VLOOKUP(Preisindex!$A$6,Preisindex,2,FALSE),2),0)))))</f>
        <v>0</v>
      </c>
      <c r="DS106" s="51">
        <f>IF(AND($E106&lt;&gt;0,$F106&gt;0,YEAR($F106)&lt;=DQ$4,YEAR($F106)&gt;=Preisindex!$A$6),ROUND($E106*DQ106,2),IF(AND($E106&lt;&gt;0,$F106&gt;0,YEAR($F106)&lt;=DQ$4,YEAR($F106)&lt;Preisindex!$A$6),ROUND($E106*DR106,2),0))</f>
        <v>0</v>
      </c>
      <c r="DT106" s="53">
        <f t="shared" si="402"/>
        <v>0</v>
      </c>
      <c r="DU106" s="51">
        <f t="shared" si="489"/>
        <v>0</v>
      </c>
      <c r="DV106" s="51">
        <f t="shared" si="473"/>
        <v>0</v>
      </c>
      <c r="DW106" s="51">
        <f t="shared" si="403"/>
        <v>0</v>
      </c>
      <c r="DX106" s="51">
        <f t="shared" si="474"/>
        <v>0</v>
      </c>
      <c r="DY106" s="51">
        <f t="shared" si="404"/>
        <v>0</v>
      </c>
      <c r="DZ106" s="51">
        <f t="shared" si="475"/>
        <v>0</v>
      </c>
      <c r="EA106" s="51">
        <f t="shared" si="405"/>
        <v>0</v>
      </c>
      <c r="EB106" s="51">
        <f t="shared" si="476"/>
        <v>0</v>
      </c>
      <c r="EC106" s="51">
        <f t="shared" si="406"/>
        <v>0</v>
      </c>
      <c r="ED106" s="51">
        <f t="shared" si="477"/>
        <v>0</v>
      </c>
      <c r="EE106" s="51">
        <f t="shared" si="407"/>
        <v>0</v>
      </c>
      <c r="EF106" s="54">
        <f t="shared" si="408"/>
        <v>0</v>
      </c>
      <c r="EG106" s="55">
        <f t="shared" si="409"/>
        <v>0</v>
      </c>
      <c r="EH106" s="56">
        <f>IF(AND($E106&lt;&gt;0,$F106&gt;0,YEAR($F106)&gt;=Preisindex!$A$6,YEAR(EC$4)&gt;=YEAR($F106),AND($K106&lt;&gt;"a",$K106&lt;&gt;"b",$K106&lt;&gt;"g",$K106&lt;&gt;"k")),1,IF(AND($E106&lt;&gt;0,$F106&gt;0,YEAR($F106)&gt;=Preisindex!$A$6,YEAR(EC$4)&gt;=YEAR($F106),$K106="a"),ROUND(VLOOKUP(EH$4,Preisindex,5,FALSE)/VLOOKUP(YEAR($F106),Preisindex,5,FALSE),2),IF(AND($E106&lt;&gt;0,$F106&gt;0,YEAR($F106)&gt;=Preisindex!$A$6,YEAR(EC$4)&gt;=YEAR($F106),$K106="b"),ROUND(VLOOKUP(EH$4,Preisindex,3,FALSE)/VLOOKUP(YEAR($F106),Preisindex,3,FALSE),2),IF(AND($E106&lt;&gt;0,$F106&gt;0,YEAR($F106)&gt;=Preisindex!$A$6,YEAR(EC$4)&gt;=YEAR($F106),$K106="g"),ROUND(VLOOKUP(EH$4,Preisindex,4,FALSE)/VLOOKUP(YEAR($F106),Preisindex,4,FALSE),2),IF(AND($E106&lt;&gt;0,$F106&gt;0,YEAR($F106)&gt;=Preisindex!$A$6,YEAR(EC$4)&gt;=YEAR($F106),$K106="k"),ROUND(VLOOKUP(EH$4,Preisindex,2,FALSE)/VLOOKUP(YEAR($F106),Preisindex,2,FALSE),2),0)))))</f>
        <v>0</v>
      </c>
      <c r="EI106" s="56">
        <f>IF(AND($E106&lt;&gt;0,$F106&gt;0,YEAR($F106)&lt;Preisindex!$A$6,YEAR(EC$4)&gt;=YEAR($F106),AND($K106&lt;&gt;"a",$K106&lt;&gt;"b",$K106&lt;&gt;"g",$K106&lt;&gt;"k")),1,IF(AND($E106&lt;&gt;0,$F106&gt;0,YEAR($F106)&lt;Preisindex!$A$6,YEAR(EC$4)&gt;=YEAR($F106),$K106="a"),ROUND(VLOOKUP(EH$4,Preisindex,5,FALSE)/VLOOKUP(Preisindex!$A$6,Preisindex,5,FALSE),2),IF(AND($E106&lt;&gt;0,$F106&gt;0,YEAR($F106)&lt;Preisindex!$A$6,YEAR(EC$4)&gt;=YEAR($F106),$K106="b"),ROUND(VLOOKUP(EH$4,Preisindex,3,FALSE)/VLOOKUP(Preisindex!$A$6,Preisindex,3,FALSE),2),IF(AND($E106&lt;&gt;0,$F106&gt;0,YEAR($F106)&lt;Preisindex!$A$6,YEAR(EC$4)&gt;=YEAR($F106),$K106="g"),ROUND(VLOOKUP(EH$4,Preisindex,4,FALSE)/VLOOKUP(Preisindex!$A$6,Preisindex,4,FALSE),2),IF(AND($E106&lt;&gt;0,$F106&gt;0,YEAR($F106)&lt;Preisindex!$A$6,YEAR(EC$4)&gt;=YEAR($F106),$K106="k"),ROUND(VLOOKUP(EH$4,Preisindex,2,FALSE)/VLOOKUP(Preisindex!$A$6,Preisindex,2,FALSE),2),0)))))</f>
        <v>0</v>
      </c>
      <c r="EJ106" s="51">
        <f>IF(AND($E106&lt;&gt;0,$F106&gt;0,YEAR($F106)&lt;=EH$4,YEAR($F106)&gt;=Preisindex!$A$6),ROUND($E106*EH106,2),IF(AND($E106&lt;&gt;0,$F106&gt;0,YEAR($F106)&lt;=EH$4,YEAR($F106)&lt;Preisindex!$A$6),ROUND($E106*EI106,2),0))</f>
        <v>0</v>
      </c>
      <c r="EK106" s="53">
        <f t="shared" si="410"/>
        <v>0</v>
      </c>
      <c r="EL106" s="51">
        <f t="shared" si="489"/>
        <v>0</v>
      </c>
      <c r="EM106" s="51">
        <f t="shared" si="478"/>
        <v>0</v>
      </c>
      <c r="EN106" s="51">
        <f t="shared" si="411"/>
        <v>0</v>
      </c>
      <c r="EO106" s="51">
        <f t="shared" si="479"/>
        <v>0</v>
      </c>
      <c r="EP106" s="51">
        <f t="shared" si="412"/>
        <v>0</v>
      </c>
      <c r="EQ106" s="51">
        <f t="shared" si="480"/>
        <v>0</v>
      </c>
      <c r="ER106" s="51">
        <f t="shared" si="413"/>
        <v>0</v>
      </c>
      <c r="ES106" s="51">
        <f t="shared" si="481"/>
        <v>0</v>
      </c>
      <c r="ET106" s="51">
        <f t="shared" si="414"/>
        <v>0</v>
      </c>
      <c r="EU106" s="51">
        <f t="shared" si="482"/>
        <v>0</v>
      </c>
      <c r="EV106" s="51">
        <f t="shared" si="415"/>
        <v>0</v>
      </c>
      <c r="EW106" s="54">
        <f t="shared" si="416"/>
        <v>0</v>
      </c>
      <c r="EX106" s="55">
        <f t="shared" si="417"/>
        <v>0</v>
      </c>
      <c r="EY106" s="56">
        <f>IF(AND($E106&lt;&gt;0,$F106&gt;0,YEAR($F106)&gt;=Preisindex!$A$6,YEAR(ET$4)&gt;=YEAR($F106),AND($K106&lt;&gt;"a",$K106&lt;&gt;"b",$K106&lt;&gt;"g",$K106&lt;&gt;"k")),1,IF(AND($E106&lt;&gt;0,$F106&gt;0,YEAR($F106)&gt;=Preisindex!$A$6,YEAR(ET$4)&gt;=YEAR($F106),$K106="a"),ROUND(VLOOKUP(EY$4,Preisindex,5,FALSE)/VLOOKUP(YEAR($F106),Preisindex,5,FALSE),2),IF(AND($E106&lt;&gt;0,$F106&gt;0,YEAR($F106)&gt;=Preisindex!$A$6,YEAR(ET$4)&gt;=YEAR($F106),$K106="b"),ROUND(VLOOKUP(EY$4,Preisindex,3,FALSE)/VLOOKUP(YEAR($F106),Preisindex,3,FALSE),2),IF(AND($E106&lt;&gt;0,$F106&gt;0,YEAR($F106)&gt;=Preisindex!$A$6,YEAR(ET$4)&gt;=YEAR($F106),$K106="g"),ROUND(VLOOKUP(EY$4,Preisindex,4,FALSE)/VLOOKUP(YEAR($F106),Preisindex,4,FALSE),2),IF(AND($E106&lt;&gt;0,$F106&gt;0,YEAR($F106)&gt;=Preisindex!$A$6,YEAR(ET$4)&gt;=YEAR($F106),$K106="k"),ROUND(VLOOKUP(EY$4,Preisindex,2,FALSE)/VLOOKUP(YEAR($F106),Preisindex,2,FALSE),2),0)))))</f>
        <v>0</v>
      </c>
      <c r="EZ106" s="56">
        <f>IF(AND($E106&lt;&gt;0,$F106&gt;0,YEAR($F106)&lt;Preisindex!$A$6,YEAR(ET$4)&gt;=YEAR($F106),AND($K106&lt;&gt;"a",$K106&lt;&gt;"b",$K106&lt;&gt;"g",$K106&lt;&gt;"k")),1,IF(AND($E106&lt;&gt;0,$F106&gt;0,YEAR($F106)&lt;Preisindex!$A$6,YEAR(ET$4)&gt;=YEAR($F106),$K106="a"),ROUND(VLOOKUP(EY$4,Preisindex,5,FALSE)/VLOOKUP(Preisindex!$A$6,Preisindex,5,FALSE),2),IF(AND($E106&lt;&gt;0,$F106&gt;0,YEAR($F106)&lt;Preisindex!$A$6,YEAR(ET$4)&gt;=YEAR($F106),$K106="b"),ROUND(VLOOKUP(EY$4,Preisindex,3,FALSE)/VLOOKUP(Preisindex!$A$6,Preisindex,3,FALSE),2),IF(AND($E106&lt;&gt;0,$F106&gt;0,YEAR($F106)&lt;Preisindex!$A$6,YEAR(ET$4)&gt;=YEAR($F106),$K106="g"),ROUND(VLOOKUP(EY$4,Preisindex,4,FALSE)/VLOOKUP(Preisindex!$A$6,Preisindex,4,FALSE),2),IF(AND($E106&lt;&gt;0,$F106&gt;0,YEAR($F106)&lt;Preisindex!$A$6,YEAR(ET$4)&gt;=YEAR($F106),$K106="k"),ROUND(VLOOKUP(EY$4,Preisindex,2,FALSE)/VLOOKUP(Preisindex!$A$6,Preisindex,2,FALSE),2),0)))))</f>
        <v>0</v>
      </c>
      <c r="FA106" s="51">
        <f>IF(AND($E106&lt;&gt;0,$F106&gt;0,YEAR($F106)&lt;=EY$4,YEAR($F106)&gt;=Preisindex!$A$6),ROUND($E106*EY106,2),IF(AND($E106&lt;&gt;0,$F106&gt;0,YEAR($F106)&lt;=EY$4,YEAR($F106)&lt;Preisindex!$A$6),ROUND($E106*EZ106,2),0))</f>
        <v>0</v>
      </c>
      <c r="FB106" s="53">
        <f t="shared" si="418"/>
        <v>0</v>
      </c>
      <c r="FC106" s="51">
        <f t="shared" si="489"/>
        <v>0</v>
      </c>
      <c r="FD106" s="51">
        <f t="shared" si="483"/>
        <v>0</v>
      </c>
      <c r="FE106" s="51">
        <f t="shared" si="419"/>
        <v>0</v>
      </c>
      <c r="FF106" s="51">
        <f t="shared" si="484"/>
        <v>0</v>
      </c>
      <c r="FG106" s="51">
        <f t="shared" si="420"/>
        <v>0</v>
      </c>
      <c r="FH106" s="51">
        <f t="shared" si="485"/>
        <v>0</v>
      </c>
      <c r="FI106" s="51">
        <f t="shared" si="421"/>
        <v>0</v>
      </c>
      <c r="FJ106" s="51">
        <f t="shared" si="486"/>
        <v>0</v>
      </c>
      <c r="FK106" s="51">
        <f t="shared" si="422"/>
        <v>0</v>
      </c>
      <c r="FL106" s="51">
        <f t="shared" si="487"/>
        <v>0</v>
      </c>
      <c r="FM106" s="51">
        <f t="shared" si="423"/>
        <v>0</v>
      </c>
      <c r="FN106" s="54">
        <f t="shared" si="424"/>
        <v>0</v>
      </c>
      <c r="FO106" s="55">
        <f t="shared" si="425"/>
        <v>0</v>
      </c>
      <c r="FP106" s="56">
        <f>IF(AND($E106&lt;&gt;0,$F106&gt;0,YEAR($F106)&gt;=Preisindex!$A$6,YEAR(FK$4)&gt;=YEAR($F106),AND($K106&lt;&gt;"a",$K106&lt;&gt;"b",$K106&lt;&gt;"g",$K106&lt;&gt;"k")),1,IF(AND($E106&lt;&gt;0,$F106&gt;0,YEAR($F106)&gt;=Preisindex!$A$6,YEAR(FK$4)&gt;=YEAR($F106),$K106="a"),ROUND(VLOOKUP(FP$4,Preisindex,5,FALSE)/VLOOKUP(YEAR($F106),Preisindex,5,FALSE),2),IF(AND($E106&lt;&gt;0,$F106&gt;0,YEAR($F106)&gt;=Preisindex!$A$6,YEAR(FK$4)&gt;=YEAR($F106),$K106="b"),ROUND(VLOOKUP(FP$4,Preisindex,3,FALSE)/VLOOKUP(YEAR($F106),Preisindex,3,FALSE),2),IF(AND($E106&lt;&gt;0,$F106&gt;0,YEAR($F106)&gt;=Preisindex!$A$6,YEAR(FK$4)&gt;=YEAR($F106),$K106="g"),ROUND(VLOOKUP(FP$4,Preisindex,4,FALSE)/VLOOKUP(YEAR($F106),Preisindex,4,FALSE),2),IF(AND($E106&lt;&gt;0,$F106&gt;0,YEAR($F106)&gt;=Preisindex!$A$6,YEAR(FK$4)&gt;=YEAR($F106),$K106="k"),ROUND(VLOOKUP(FP$4,Preisindex,2,FALSE)/VLOOKUP(YEAR($F106),Preisindex,2,FALSE),2),0)))))</f>
        <v>0</v>
      </c>
      <c r="FQ106" s="56">
        <f>IF(AND($E106&lt;&gt;0,$F106&gt;0,YEAR($F106)&lt;Preisindex!$A$6,YEAR(FK$4)&gt;=YEAR($F106),AND($K106&lt;&gt;"a",$K106&lt;&gt;"b",$K106&lt;&gt;"g",$K106&lt;&gt;"k")),1,IF(AND($E106&lt;&gt;0,$F106&gt;0,YEAR($F106)&lt;Preisindex!$A$6,YEAR(FK$4)&gt;=YEAR($F106),$K106="a"),ROUND(VLOOKUP(FP$4,Preisindex,5,FALSE)/VLOOKUP(Preisindex!$A$6,Preisindex,5,FALSE),2),IF(AND($E106&lt;&gt;0,$F106&gt;0,YEAR($F106)&lt;Preisindex!$A$6,YEAR(FK$4)&gt;=YEAR($F106),$K106="b"),ROUND(VLOOKUP(FP$4,Preisindex,3,FALSE)/VLOOKUP(Preisindex!$A$6,Preisindex,3,FALSE),2),IF(AND($E106&lt;&gt;0,$F106&gt;0,YEAR($F106)&lt;Preisindex!$A$6,YEAR(FK$4)&gt;=YEAR($F106),$K106="g"),ROUND(VLOOKUP(FP$4,Preisindex,4,FALSE)/VLOOKUP(Preisindex!$A$6,Preisindex,4,FALSE),2),IF(AND($E106&lt;&gt;0,$F106&gt;0,YEAR($F106)&lt;Preisindex!$A$6,YEAR(FK$4)&gt;=YEAR($F106),$K106="k"),ROUND(VLOOKUP(FP$4,Preisindex,2,FALSE)/VLOOKUP(Preisindex!$A$6,Preisindex,2,FALSE),2),0)))))</f>
        <v>0</v>
      </c>
      <c r="FR106" s="51">
        <f>IF(AND($E106&lt;&gt;0,$F106&gt;0,YEAR($F106)&lt;=FP$4,YEAR($F106)&gt;=Preisindex!$A$6),ROUND($E106*FP106,2),IF(AND($E106&lt;&gt;0,$F106&gt;0,YEAR($F106)&lt;=FP$4,YEAR($F106)&lt;Preisindex!$A$6),ROUND($E106*FQ106,2),0))</f>
        <v>0</v>
      </c>
      <c r="FS106" s="53">
        <f t="shared" si="426"/>
        <v>0</v>
      </c>
    </row>
    <row r="107" spans="1:175" x14ac:dyDescent="0.3">
      <c r="A107" s="93"/>
      <c r="B107" s="94"/>
      <c r="C107" s="94"/>
      <c r="D107" s="95"/>
      <c r="E107" s="99"/>
      <c r="F107" s="97"/>
      <c r="G107" s="98"/>
      <c r="H107" s="620"/>
      <c r="I107" s="621"/>
      <c r="J107" s="194"/>
      <c r="K107" s="630"/>
      <c r="L107" s="49">
        <f t="shared" si="427"/>
        <v>0</v>
      </c>
      <c r="M107" s="50">
        <f t="shared" si="428"/>
        <v>0</v>
      </c>
      <c r="N107" s="51">
        <f t="shared" si="429"/>
        <v>0</v>
      </c>
      <c r="O107" s="51"/>
      <c r="P107" s="51">
        <f t="shared" si="430"/>
        <v>0</v>
      </c>
      <c r="Q107" s="52"/>
      <c r="R107" s="52"/>
      <c r="S107" s="52"/>
      <c r="T107" s="52"/>
      <c r="U107" s="52"/>
      <c r="V107" s="53">
        <f t="shared" si="431"/>
        <v>0</v>
      </c>
      <c r="W107" s="51">
        <f t="shared" si="432"/>
        <v>0</v>
      </c>
      <c r="X107" s="51">
        <f t="shared" si="433"/>
        <v>0</v>
      </c>
      <c r="Y107" s="51">
        <f t="shared" si="434"/>
        <v>0</v>
      </c>
      <c r="Z107" s="51">
        <f t="shared" si="435"/>
        <v>0</v>
      </c>
      <c r="AA107" s="51">
        <f t="shared" si="436"/>
        <v>0</v>
      </c>
      <c r="AB107" s="51">
        <f t="shared" si="437"/>
        <v>0</v>
      </c>
      <c r="AC107" s="51">
        <f t="shared" si="438"/>
        <v>0</v>
      </c>
      <c r="AD107" s="51">
        <f t="shared" si="439"/>
        <v>0</v>
      </c>
      <c r="AE107" s="51">
        <f t="shared" si="440"/>
        <v>0</v>
      </c>
      <c r="AF107" s="51">
        <f t="shared" si="441"/>
        <v>0</v>
      </c>
      <c r="AG107" s="51">
        <f t="shared" si="442"/>
        <v>0</v>
      </c>
      <c r="AH107" s="54">
        <f t="shared" si="443"/>
        <v>0</v>
      </c>
      <c r="AI107" s="55">
        <f t="shared" si="444"/>
        <v>0</v>
      </c>
      <c r="AJ107" s="56">
        <f>IF(AND($E107&lt;&gt;0,$F107&gt;0,YEAR($F107)&gt;=Preisindex!$A$6,YEAR(AE$4)&gt;=YEAR($F107),AND($K107&lt;&gt;"a",$K107&lt;&gt;"b",$K107&lt;&gt;"g",$K107&lt;&gt;"k")),1,IF(AND($E107&lt;&gt;0,$F107&gt;0,YEAR($F107)&gt;=Preisindex!$A$6,YEAR(AE$4)&gt;=YEAR($F107),$K107="a"),ROUND(VLOOKUP(AJ$4,Preisindex,5,FALSE)/VLOOKUP(YEAR($F107),Preisindex,5,FALSE),2),IF(AND($E107&lt;&gt;0,$F107&gt;0,YEAR($F107)&gt;=Preisindex!$A$6,YEAR(AE$4)&gt;=YEAR($F107),$K107="b"),ROUND(VLOOKUP(AJ$4,Preisindex,3,FALSE)/VLOOKUP(YEAR($F107),Preisindex,3,FALSE),2),IF(AND($E107&lt;&gt;0,$F107&gt;0,YEAR($F107)&gt;=Preisindex!$A$6,YEAR(AE$4)&gt;=YEAR($F107),$K107="g"),ROUND(VLOOKUP(AJ$4,Preisindex,4,FALSE)/VLOOKUP(YEAR($F107),Preisindex,4,FALSE),2),IF(AND($E107&lt;&gt;0,$F107&gt;0,YEAR($F107)&gt;=Preisindex!$A$6,YEAR(AE$4)&gt;=YEAR($F107),$K107="k"),ROUND(VLOOKUP(AJ$4,Preisindex,2,FALSE)/VLOOKUP(YEAR($F107),Preisindex,2,FALSE),2),0)))))</f>
        <v>0</v>
      </c>
      <c r="AK107" s="56">
        <f>IF(AND($E107&lt;&gt;0,$F107&gt;0,YEAR($F107)&lt;Preisindex!$A$6,YEAR(AE$4)&gt;=YEAR($F107),AND($K107&lt;&gt;"a",$K107&lt;&gt;"b",$K107&lt;&gt;"g",$K107&lt;&gt;"k")),1,IF(AND($E107&lt;&gt;0,$F107&gt;0,YEAR($F107)&lt;Preisindex!$A$6,YEAR(AE$4)&gt;=YEAR($F107),$K107="a"),ROUND(VLOOKUP(AJ$4,Preisindex,5,FALSE)/VLOOKUP(Preisindex!$A$6,Preisindex,5,FALSE),2),IF(AND($E107&lt;&gt;0,$F107&gt;0,YEAR($F107)&lt;Preisindex!$A$6,YEAR(AE$4)&gt;=YEAR($F107),$K107="b"),ROUND(VLOOKUP(AJ$4,Preisindex,3,FALSE)/VLOOKUP(Preisindex!$A$6,Preisindex,3,FALSE),2),IF(AND($E107&lt;&gt;0,$F107&gt;0,YEAR($F107)&lt;Preisindex!$A$6,YEAR(AE$4)&gt;=YEAR($F107),$K107="g"),ROUND(VLOOKUP(AJ$4,Preisindex,4,FALSE)/VLOOKUP(Preisindex!$A$6,Preisindex,4,FALSE),2),IF(AND($E107&lt;&gt;0,$F107&gt;0,YEAR($F107)&lt;Preisindex!$A$6,YEAR(AE$4)&gt;=YEAR($F107),$K107="k"),ROUND(VLOOKUP(AJ$4,Preisindex,2,FALSE)/VLOOKUP(Preisindex!$A$6,Preisindex,2,FALSE),2),0)))))</f>
        <v>0</v>
      </c>
      <c r="AL107" s="51">
        <f>IF(AND($E107&lt;&gt;0,$F107&gt;0,YEAR($F107)&lt;=AJ$4,YEAR($F107)&gt;=Preisindex!$A$6),ROUND($E107*AJ107,2),IF(AND($E107&lt;&gt;0,$F107&gt;0,YEAR($F107)&lt;=AJ$4,YEAR($F107)&lt;Preisindex!$A$6),ROUND($E107*AK107,2),0))</f>
        <v>0</v>
      </c>
      <c r="AM107" s="53">
        <f t="shared" si="445"/>
        <v>0</v>
      </c>
      <c r="AN107" s="51">
        <f t="shared" si="488"/>
        <v>0</v>
      </c>
      <c r="AO107" s="51">
        <f t="shared" si="448"/>
        <v>0</v>
      </c>
      <c r="AP107" s="51">
        <f t="shared" si="362"/>
        <v>0</v>
      </c>
      <c r="AQ107" s="51">
        <f t="shared" si="449"/>
        <v>0</v>
      </c>
      <c r="AR107" s="51">
        <f t="shared" si="363"/>
        <v>0</v>
      </c>
      <c r="AS107" s="51">
        <f t="shared" si="450"/>
        <v>0</v>
      </c>
      <c r="AT107" s="51">
        <f t="shared" si="364"/>
        <v>0</v>
      </c>
      <c r="AU107" s="51">
        <f t="shared" si="451"/>
        <v>0</v>
      </c>
      <c r="AV107" s="51">
        <f t="shared" si="365"/>
        <v>0</v>
      </c>
      <c r="AW107" s="51">
        <f t="shared" si="452"/>
        <v>0</v>
      </c>
      <c r="AX107" s="51">
        <f t="shared" si="366"/>
        <v>0</v>
      </c>
      <c r="AY107" s="54">
        <f t="shared" si="367"/>
        <v>0</v>
      </c>
      <c r="AZ107" s="55">
        <f t="shared" si="368"/>
        <v>0</v>
      </c>
      <c r="BA107" s="56">
        <f>IF(AND($E107&lt;&gt;0,$F107&gt;0,YEAR($F107)&gt;=Preisindex!$A$6,YEAR(AV$4)&gt;=YEAR($F107),AND($K107&lt;&gt;"a",$K107&lt;&gt;"b",$K107&lt;&gt;"g",$K107&lt;&gt;"k")),1,IF(AND($E107&lt;&gt;0,$F107&gt;0,YEAR($F107)&gt;=Preisindex!$A$6,YEAR(AV$4)&gt;=YEAR($F107),$K107="a"),ROUND(VLOOKUP(BA$4,Preisindex,5,FALSE)/VLOOKUP(YEAR($F107),Preisindex,5,FALSE),2),IF(AND($E107&lt;&gt;0,$F107&gt;0,YEAR($F107)&gt;=Preisindex!$A$6,YEAR(AV$4)&gt;=YEAR($F107),$K107="b"),ROUND(VLOOKUP(BA$4,Preisindex,3,FALSE)/VLOOKUP(YEAR($F107),Preisindex,3,FALSE),2),IF(AND($E107&lt;&gt;0,$F107&gt;0,YEAR($F107)&gt;=Preisindex!$A$6,YEAR(AV$4)&gt;=YEAR($F107),$K107="g"),ROUND(VLOOKUP(BA$4,Preisindex,4,FALSE)/VLOOKUP(YEAR($F107),Preisindex,4,FALSE),2),IF(AND($E107&lt;&gt;0,$F107&gt;0,YEAR($F107)&gt;=Preisindex!$A$6,YEAR(AV$4)&gt;=YEAR($F107),$K107="k"),ROUND(VLOOKUP(BA$4,Preisindex,2,FALSE)/VLOOKUP(YEAR($F107),Preisindex,2,FALSE),2),0)))))</f>
        <v>0</v>
      </c>
      <c r="BB107" s="56">
        <f>IF(AND($E107&lt;&gt;0,$F107&gt;0,YEAR($F107)&lt;Preisindex!$A$6,YEAR(AV$4)&gt;=YEAR($F107),AND($K107&lt;&gt;"a",$K107&lt;&gt;"b",$K107&lt;&gt;"g",$K107&lt;&gt;"k")),1,IF(AND($E107&lt;&gt;0,$F107&gt;0,YEAR($F107)&lt;Preisindex!$A$6,YEAR(AV$4)&gt;=YEAR($F107),$K107="a"),ROUND(VLOOKUP(BA$4,Preisindex,5,FALSE)/VLOOKUP(Preisindex!$A$6,Preisindex,5,FALSE),2),IF(AND($E107&lt;&gt;0,$F107&gt;0,YEAR($F107)&lt;Preisindex!$A$6,YEAR(AV$4)&gt;=YEAR($F107),$K107="b"),ROUND(VLOOKUP(BA$4,Preisindex,3,FALSE)/VLOOKUP(Preisindex!$A$6,Preisindex,3,FALSE),2),IF(AND($E107&lt;&gt;0,$F107&gt;0,YEAR($F107)&lt;Preisindex!$A$6,YEAR(AV$4)&gt;=YEAR($F107),$K107="g"),ROUND(VLOOKUP(BA$4,Preisindex,4,FALSE)/VLOOKUP(Preisindex!$A$6,Preisindex,4,FALSE),2),IF(AND($E107&lt;&gt;0,$F107&gt;0,YEAR($F107)&lt;Preisindex!$A$6,YEAR(AV$4)&gt;=YEAR($F107),$K107="k"),ROUND(VLOOKUP(BA$4,Preisindex,2,FALSE)/VLOOKUP(Preisindex!$A$6,Preisindex,2,FALSE),2),0)))))</f>
        <v>0</v>
      </c>
      <c r="BC107" s="51">
        <f>IF(AND($E107&lt;&gt;0,$F107&gt;0,YEAR($F107)&lt;=BA$4,YEAR($F107)&gt;=Preisindex!$A$6),ROUND($E107*BA107,2),IF(AND($E107&lt;&gt;0,$F107&gt;0,YEAR($F107)&lt;=BA$4,YEAR($F107)&lt;Preisindex!$A$6),ROUND($E107*BB107,2),0))</f>
        <v>0</v>
      </c>
      <c r="BD107" s="53">
        <f t="shared" si="369"/>
        <v>0</v>
      </c>
      <c r="BE107" s="51">
        <f t="shared" si="488"/>
        <v>0</v>
      </c>
      <c r="BF107" s="51">
        <f t="shared" si="453"/>
        <v>0</v>
      </c>
      <c r="BG107" s="51">
        <f t="shared" si="370"/>
        <v>0</v>
      </c>
      <c r="BH107" s="51">
        <f t="shared" si="454"/>
        <v>0</v>
      </c>
      <c r="BI107" s="51">
        <f t="shared" si="371"/>
        <v>0</v>
      </c>
      <c r="BJ107" s="51">
        <f t="shared" si="455"/>
        <v>0</v>
      </c>
      <c r="BK107" s="51">
        <f t="shared" si="372"/>
        <v>0</v>
      </c>
      <c r="BL107" s="51">
        <f t="shared" si="456"/>
        <v>0</v>
      </c>
      <c r="BM107" s="51">
        <f t="shared" si="373"/>
        <v>0</v>
      </c>
      <c r="BN107" s="51">
        <f t="shared" si="457"/>
        <v>0</v>
      </c>
      <c r="BO107" s="51">
        <f t="shared" si="374"/>
        <v>0</v>
      </c>
      <c r="BP107" s="54">
        <f t="shared" si="375"/>
        <v>0</v>
      </c>
      <c r="BQ107" s="55">
        <f t="shared" si="376"/>
        <v>0</v>
      </c>
      <c r="BR107" s="56">
        <f>IF(AND($E107&lt;&gt;0,$F107&gt;0,YEAR($F107)&gt;=Preisindex!$A$6,YEAR(BM$4)&gt;=YEAR($F107),AND($K107&lt;&gt;"a",$K107&lt;&gt;"b",$K107&lt;&gt;"g",$K107&lt;&gt;"k")),1,IF(AND($E107&lt;&gt;0,$F107&gt;0,YEAR($F107)&gt;=Preisindex!$A$6,YEAR(BM$4)&gt;=YEAR($F107),$K107="a"),ROUND(VLOOKUP(BR$4,Preisindex,5,FALSE)/VLOOKUP(YEAR($F107),Preisindex,5,FALSE),2),IF(AND($E107&lt;&gt;0,$F107&gt;0,YEAR($F107)&gt;=Preisindex!$A$6,YEAR(BM$4)&gt;=YEAR($F107),$K107="b"),ROUND(VLOOKUP(BR$4,Preisindex,3,FALSE)/VLOOKUP(YEAR($F107),Preisindex,3,FALSE),2),IF(AND($E107&lt;&gt;0,$F107&gt;0,YEAR($F107)&gt;=Preisindex!$A$6,YEAR(BM$4)&gt;=YEAR($F107),$K107="g"),ROUND(VLOOKUP(BR$4,Preisindex,4,FALSE)/VLOOKUP(YEAR($F107),Preisindex,4,FALSE),2),IF(AND($E107&lt;&gt;0,$F107&gt;0,YEAR($F107)&gt;=Preisindex!$A$6,YEAR(BM$4)&gt;=YEAR($F107),$K107="k"),ROUND(VLOOKUP(BR$4,Preisindex,2,FALSE)/VLOOKUP(YEAR($F107),Preisindex,2,FALSE),2),0)))))</f>
        <v>0</v>
      </c>
      <c r="BS107" s="56">
        <f>IF(AND($E107&lt;&gt;0,$F107&gt;0,YEAR($F107)&lt;Preisindex!$A$6,YEAR(BM$4)&gt;=YEAR($F107),AND($K107&lt;&gt;"a",$K107&lt;&gt;"b",$K107&lt;&gt;"g",$K107&lt;&gt;"k")),1,IF(AND($E107&lt;&gt;0,$F107&gt;0,YEAR($F107)&lt;Preisindex!$A$6,YEAR(BM$4)&gt;=YEAR($F107),$K107="a"),ROUND(VLOOKUP(BR$4,Preisindex,5,FALSE)/VLOOKUP(Preisindex!$A$6,Preisindex,5,FALSE),2),IF(AND($E107&lt;&gt;0,$F107&gt;0,YEAR($F107)&lt;Preisindex!$A$6,YEAR(BM$4)&gt;=YEAR($F107),$K107="b"),ROUND(VLOOKUP(BR$4,Preisindex,3,FALSE)/VLOOKUP(Preisindex!$A$6,Preisindex,3,FALSE),2),IF(AND($E107&lt;&gt;0,$F107&gt;0,YEAR($F107)&lt;Preisindex!$A$6,YEAR(BM$4)&gt;=YEAR($F107),$K107="g"),ROUND(VLOOKUP(BR$4,Preisindex,4,FALSE)/VLOOKUP(Preisindex!$A$6,Preisindex,4,FALSE),2),IF(AND($E107&lt;&gt;0,$F107&gt;0,YEAR($F107)&lt;Preisindex!$A$6,YEAR(BM$4)&gt;=YEAR($F107),$K107="k"),ROUND(VLOOKUP(BR$4,Preisindex,2,FALSE)/VLOOKUP(Preisindex!$A$6,Preisindex,2,FALSE),2),0)))))</f>
        <v>0</v>
      </c>
      <c r="BT107" s="51">
        <f>IF(AND($E107&lt;&gt;0,$F107&gt;0,YEAR($F107)&lt;=BR$4,YEAR($F107)&gt;=Preisindex!$A$6),ROUND($E107*BR107,2),IF(AND($E107&lt;&gt;0,$F107&gt;0,YEAR($F107)&lt;=BR$4,YEAR($F107)&lt;Preisindex!$A$6),ROUND($E107*BS107,2),0))</f>
        <v>0</v>
      </c>
      <c r="BU107" s="53">
        <f t="shared" si="377"/>
        <v>0</v>
      </c>
      <c r="BV107" s="51">
        <f t="shared" si="488"/>
        <v>0</v>
      </c>
      <c r="BW107" s="51">
        <f t="shared" si="458"/>
        <v>0</v>
      </c>
      <c r="BX107" s="51">
        <f t="shared" si="378"/>
        <v>0</v>
      </c>
      <c r="BY107" s="51">
        <f t="shared" si="459"/>
        <v>0</v>
      </c>
      <c r="BZ107" s="51">
        <f t="shared" si="379"/>
        <v>0</v>
      </c>
      <c r="CA107" s="51">
        <f t="shared" si="460"/>
        <v>0</v>
      </c>
      <c r="CB107" s="51">
        <f t="shared" si="380"/>
        <v>0</v>
      </c>
      <c r="CC107" s="51">
        <f t="shared" si="461"/>
        <v>0</v>
      </c>
      <c r="CD107" s="51">
        <f t="shared" si="381"/>
        <v>0</v>
      </c>
      <c r="CE107" s="51">
        <f t="shared" si="462"/>
        <v>0</v>
      </c>
      <c r="CF107" s="51">
        <f t="shared" si="382"/>
        <v>0</v>
      </c>
      <c r="CG107" s="54">
        <f t="shared" si="383"/>
        <v>0</v>
      </c>
      <c r="CH107" s="55">
        <f t="shared" si="384"/>
        <v>0</v>
      </c>
      <c r="CI107" s="56">
        <f>IF(AND($E107&lt;&gt;0,$F107&gt;0,YEAR($F107)&gt;=Preisindex!$A$6,YEAR(CD$4)&gt;=YEAR($F107),AND($K107&lt;&gt;"a",$K107&lt;&gt;"b",$K107&lt;&gt;"g",$K107&lt;&gt;"k")),1,IF(AND($E107&lt;&gt;0,$F107&gt;0,YEAR($F107)&gt;=Preisindex!$A$6,YEAR(CD$4)&gt;=YEAR($F107),$K107="a"),ROUND(VLOOKUP(CI$4,Preisindex,5,FALSE)/VLOOKUP(YEAR($F107),Preisindex,5,FALSE),2),IF(AND($E107&lt;&gt;0,$F107&gt;0,YEAR($F107)&gt;=Preisindex!$A$6,YEAR(CD$4)&gt;=YEAR($F107),$K107="b"),ROUND(VLOOKUP(CI$4,Preisindex,3,FALSE)/VLOOKUP(YEAR($F107),Preisindex,3,FALSE),2),IF(AND($E107&lt;&gt;0,$F107&gt;0,YEAR($F107)&gt;=Preisindex!$A$6,YEAR(CD$4)&gt;=YEAR($F107),$K107="g"),ROUND(VLOOKUP(CI$4,Preisindex,4,FALSE)/VLOOKUP(YEAR($F107),Preisindex,4,FALSE),2),IF(AND($E107&lt;&gt;0,$F107&gt;0,YEAR($F107)&gt;=Preisindex!$A$6,YEAR(CD$4)&gt;=YEAR($F107),$K107="k"),ROUND(VLOOKUP(CI$4,Preisindex,2,FALSE)/VLOOKUP(YEAR($F107),Preisindex,2,FALSE),2),0)))))</f>
        <v>0</v>
      </c>
      <c r="CJ107" s="56">
        <f>IF(AND($E107&lt;&gt;0,$F107&gt;0,YEAR($F107)&lt;Preisindex!$A$6,YEAR(CD$4)&gt;=YEAR($F107),AND($K107&lt;&gt;"a",$K107&lt;&gt;"b",$K107&lt;&gt;"g",$K107&lt;&gt;"k")),1,IF(AND($E107&lt;&gt;0,$F107&gt;0,YEAR($F107)&lt;Preisindex!$A$6,YEAR(CD$4)&gt;=YEAR($F107),$K107="a"),ROUND(VLOOKUP(CI$4,Preisindex,5,FALSE)/VLOOKUP(Preisindex!$A$6,Preisindex,5,FALSE),2),IF(AND($E107&lt;&gt;0,$F107&gt;0,YEAR($F107)&lt;Preisindex!$A$6,YEAR(CD$4)&gt;=YEAR($F107),$K107="b"),ROUND(VLOOKUP(CI$4,Preisindex,3,FALSE)/VLOOKUP(Preisindex!$A$6,Preisindex,3,FALSE),2),IF(AND($E107&lt;&gt;0,$F107&gt;0,YEAR($F107)&lt;Preisindex!$A$6,YEAR(CD$4)&gt;=YEAR($F107),$K107="g"),ROUND(VLOOKUP(CI$4,Preisindex,4,FALSE)/VLOOKUP(Preisindex!$A$6,Preisindex,4,FALSE),2),IF(AND($E107&lt;&gt;0,$F107&gt;0,YEAR($F107)&lt;Preisindex!$A$6,YEAR(CD$4)&gt;=YEAR($F107),$K107="k"),ROUND(VLOOKUP(CI$4,Preisindex,2,FALSE)/VLOOKUP(Preisindex!$A$6,Preisindex,2,FALSE),2),0)))))</f>
        <v>0</v>
      </c>
      <c r="CK107" s="51">
        <f>IF(AND($E107&lt;&gt;0,$F107&gt;0,YEAR($F107)&lt;=CI$4,YEAR($F107)&gt;=Preisindex!$A$6),ROUND($E107*CI107,2),IF(AND($E107&lt;&gt;0,$F107&gt;0,YEAR($F107)&lt;=CI$4,YEAR($F107)&lt;Preisindex!$A$6),ROUND($E107*CJ107,2),0))</f>
        <v>0</v>
      </c>
      <c r="CL107" s="53">
        <f t="shared" si="385"/>
        <v>0</v>
      </c>
      <c r="CM107" s="51">
        <f t="shared" si="488"/>
        <v>0</v>
      </c>
      <c r="CN107" s="51">
        <f t="shared" si="463"/>
        <v>0</v>
      </c>
      <c r="CO107" s="51">
        <f t="shared" si="386"/>
        <v>0</v>
      </c>
      <c r="CP107" s="51">
        <f t="shared" si="464"/>
        <v>0</v>
      </c>
      <c r="CQ107" s="51">
        <f t="shared" si="387"/>
        <v>0</v>
      </c>
      <c r="CR107" s="51">
        <f t="shared" si="465"/>
        <v>0</v>
      </c>
      <c r="CS107" s="51">
        <f t="shared" si="388"/>
        <v>0</v>
      </c>
      <c r="CT107" s="51">
        <f t="shared" si="466"/>
        <v>0</v>
      </c>
      <c r="CU107" s="51">
        <f t="shared" si="389"/>
        <v>0</v>
      </c>
      <c r="CV107" s="51">
        <f t="shared" si="467"/>
        <v>0</v>
      </c>
      <c r="CW107" s="51">
        <f t="shared" si="390"/>
        <v>0</v>
      </c>
      <c r="CX107" s="54">
        <f t="shared" si="391"/>
        <v>0</v>
      </c>
      <c r="CY107" s="55">
        <f t="shared" si="392"/>
        <v>0</v>
      </c>
      <c r="CZ107" s="56">
        <f>IF(AND($E107&lt;&gt;0,$F107&gt;0,YEAR($F107)&gt;=Preisindex!$A$6,YEAR(CU$4)&gt;=YEAR($F107),AND($K107&lt;&gt;"a",$K107&lt;&gt;"b",$K107&lt;&gt;"g",$K107&lt;&gt;"k")),1,IF(AND($E107&lt;&gt;0,$F107&gt;0,YEAR($F107)&gt;=Preisindex!$A$6,YEAR(CU$4)&gt;=YEAR($F107),$K107="a"),ROUND(VLOOKUP(CZ$4,Preisindex,5,FALSE)/VLOOKUP(YEAR($F107),Preisindex,5,FALSE),2),IF(AND($E107&lt;&gt;0,$F107&gt;0,YEAR($F107)&gt;=Preisindex!$A$6,YEAR(CU$4)&gt;=YEAR($F107),$K107="b"),ROUND(VLOOKUP(CZ$4,Preisindex,3,FALSE)/VLOOKUP(YEAR($F107),Preisindex,3,FALSE),2),IF(AND($E107&lt;&gt;0,$F107&gt;0,YEAR($F107)&gt;=Preisindex!$A$6,YEAR(CU$4)&gt;=YEAR($F107),$K107="g"),ROUND(VLOOKUP(CZ$4,Preisindex,4,FALSE)/VLOOKUP(YEAR($F107),Preisindex,4,FALSE),2),IF(AND($E107&lt;&gt;0,$F107&gt;0,YEAR($F107)&gt;=Preisindex!$A$6,YEAR(CU$4)&gt;=YEAR($F107),$K107="k"),ROUND(VLOOKUP(CZ$4,Preisindex,2,FALSE)/VLOOKUP(YEAR($F107),Preisindex,2,FALSE),2),0)))))</f>
        <v>0</v>
      </c>
      <c r="DA107" s="56">
        <f>IF(AND($E107&lt;&gt;0,$F107&gt;0,YEAR($F107)&lt;Preisindex!$A$6,YEAR(CU$4)&gt;=YEAR($F107),AND($K107&lt;&gt;"a",$K107&lt;&gt;"b",$K107&lt;&gt;"g",$K107&lt;&gt;"k")),1,IF(AND($E107&lt;&gt;0,$F107&gt;0,YEAR($F107)&lt;Preisindex!$A$6,YEAR(CU$4)&gt;=YEAR($F107),$K107="a"),ROUND(VLOOKUP(CZ$4,Preisindex,5,FALSE)/VLOOKUP(Preisindex!$A$6,Preisindex,5,FALSE),2),IF(AND($E107&lt;&gt;0,$F107&gt;0,YEAR($F107)&lt;Preisindex!$A$6,YEAR(CU$4)&gt;=YEAR($F107),$K107="b"),ROUND(VLOOKUP(CZ$4,Preisindex,3,FALSE)/VLOOKUP(Preisindex!$A$6,Preisindex,3,FALSE),2),IF(AND($E107&lt;&gt;0,$F107&gt;0,YEAR($F107)&lt;Preisindex!$A$6,YEAR(CU$4)&gt;=YEAR($F107),$K107="g"),ROUND(VLOOKUP(CZ$4,Preisindex,4,FALSE)/VLOOKUP(Preisindex!$A$6,Preisindex,4,FALSE),2),IF(AND($E107&lt;&gt;0,$F107&gt;0,YEAR($F107)&lt;Preisindex!$A$6,YEAR(CU$4)&gt;=YEAR($F107),$K107="k"),ROUND(VLOOKUP(CZ$4,Preisindex,2,FALSE)/VLOOKUP(Preisindex!$A$6,Preisindex,2,FALSE),2),0)))))</f>
        <v>0</v>
      </c>
      <c r="DB107" s="51">
        <f>IF(AND($E107&lt;&gt;0,$F107&gt;0,YEAR($F107)&lt;=CZ$4,YEAR($F107)&gt;=Preisindex!$A$6),ROUND($E107*CZ107,2),IF(AND($E107&lt;&gt;0,$F107&gt;0,YEAR($F107)&lt;=CZ$4,YEAR($F107)&lt;Preisindex!$A$6),ROUND($E107*DA107,2),0))</f>
        <v>0</v>
      </c>
      <c r="DC107" s="53">
        <f t="shared" si="393"/>
        <v>0</v>
      </c>
      <c r="DD107" s="51">
        <f t="shared" si="489"/>
        <v>0</v>
      </c>
      <c r="DE107" s="51">
        <f t="shared" si="468"/>
        <v>0</v>
      </c>
      <c r="DF107" s="51">
        <f t="shared" si="395"/>
        <v>0</v>
      </c>
      <c r="DG107" s="51">
        <f t="shared" si="469"/>
        <v>0</v>
      </c>
      <c r="DH107" s="51">
        <f t="shared" si="396"/>
        <v>0</v>
      </c>
      <c r="DI107" s="51">
        <f t="shared" si="470"/>
        <v>0</v>
      </c>
      <c r="DJ107" s="51">
        <f t="shared" si="397"/>
        <v>0</v>
      </c>
      <c r="DK107" s="51">
        <f t="shared" si="471"/>
        <v>0</v>
      </c>
      <c r="DL107" s="51">
        <f t="shared" si="398"/>
        <v>0</v>
      </c>
      <c r="DM107" s="51">
        <f t="shared" si="472"/>
        <v>0</v>
      </c>
      <c r="DN107" s="51">
        <f t="shared" si="399"/>
        <v>0</v>
      </c>
      <c r="DO107" s="54">
        <f t="shared" si="400"/>
        <v>0</v>
      </c>
      <c r="DP107" s="55">
        <f t="shared" si="401"/>
        <v>0</v>
      </c>
      <c r="DQ107" s="56">
        <f>IF(AND($E107&lt;&gt;0,$F107&gt;0,YEAR($F107)&gt;=Preisindex!$A$6,YEAR(DL$4)&gt;=YEAR($F107),AND($K107&lt;&gt;"a",$K107&lt;&gt;"b",$K107&lt;&gt;"g",$K107&lt;&gt;"k")),1,IF(AND($E107&lt;&gt;0,$F107&gt;0,YEAR($F107)&gt;=Preisindex!$A$6,YEAR(DL$4)&gt;=YEAR($F107),$K107="a"),ROUND(VLOOKUP(DQ$4,Preisindex,5,FALSE)/VLOOKUP(YEAR($F107),Preisindex,5,FALSE),2),IF(AND($E107&lt;&gt;0,$F107&gt;0,YEAR($F107)&gt;=Preisindex!$A$6,YEAR(DL$4)&gt;=YEAR($F107),$K107="b"),ROUND(VLOOKUP(DQ$4,Preisindex,3,FALSE)/VLOOKUP(YEAR($F107),Preisindex,3,FALSE),2),IF(AND($E107&lt;&gt;0,$F107&gt;0,YEAR($F107)&gt;=Preisindex!$A$6,YEAR(DL$4)&gt;=YEAR($F107),$K107="g"),ROUND(VLOOKUP(DQ$4,Preisindex,4,FALSE)/VLOOKUP(YEAR($F107),Preisindex,4,FALSE),2),IF(AND($E107&lt;&gt;0,$F107&gt;0,YEAR($F107)&gt;=Preisindex!$A$6,YEAR(DL$4)&gt;=YEAR($F107),$K107="k"),ROUND(VLOOKUP(DQ$4,Preisindex,2,FALSE)/VLOOKUP(YEAR($F107),Preisindex,2,FALSE),2),0)))))</f>
        <v>0</v>
      </c>
      <c r="DR107" s="56">
        <f>IF(AND($E107&lt;&gt;0,$F107&gt;0,YEAR($F107)&lt;Preisindex!$A$6,YEAR(DL$4)&gt;=YEAR($F107),AND($K107&lt;&gt;"a",$K107&lt;&gt;"b",$K107&lt;&gt;"g",$K107&lt;&gt;"k")),1,IF(AND($E107&lt;&gt;0,$F107&gt;0,YEAR($F107)&lt;Preisindex!$A$6,YEAR(DL$4)&gt;=YEAR($F107),$K107="a"),ROUND(VLOOKUP(DQ$4,Preisindex,5,FALSE)/VLOOKUP(Preisindex!$A$6,Preisindex,5,FALSE),2),IF(AND($E107&lt;&gt;0,$F107&gt;0,YEAR($F107)&lt;Preisindex!$A$6,YEAR(DL$4)&gt;=YEAR($F107),$K107="b"),ROUND(VLOOKUP(DQ$4,Preisindex,3,FALSE)/VLOOKUP(Preisindex!$A$6,Preisindex,3,FALSE),2),IF(AND($E107&lt;&gt;0,$F107&gt;0,YEAR($F107)&lt;Preisindex!$A$6,YEAR(DL$4)&gt;=YEAR($F107),$K107="g"),ROUND(VLOOKUP(DQ$4,Preisindex,4,FALSE)/VLOOKUP(Preisindex!$A$6,Preisindex,4,FALSE),2),IF(AND($E107&lt;&gt;0,$F107&gt;0,YEAR($F107)&lt;Preisindex!$A$6,YEAR(DL$4)&gt;=YEAR($F107),$K107="k"),ROUND(VLOOKUP(DQ$4,Preisindex,2,FALSE)/VLOOKUP(Preisindex!$A$6,Preisindex,2,FALSE),2),0)))))</f>
        <v>0</v>
      </c>
      <c r="DS107" s="51">
        <f>IF(AND($E107&lt;&gt;0,$F107&gt;0,YEAR($F107)&lt;=DQ$4,YEAR($F107)&gt;=Preisindex!$A$6),ROUND($E107*DQ107,2),IF(AND($E107&lt;&gt;0,$F107&gt;0,YEAR($F107)&lt;=DQ$4,YEAR($F107)&lt;Preisindex!$A$6),ROUND($E107*DR107,2),0))</f>
        <v>0</v>
      </c>
      <c r="DT107" s="53">
        <f t="shared" si="402"/>
        <v>0</v>
      </c>
      <c r="DU107" s="51">
        <f t="shared" si="489"/>
        <v>0</v>
      </c>
      <c r="DV107" s="51">
        <f t="shared" si="473"/>
        <v>0</v>
      </c>
      <c r="DW107" s="51">
        <f t="shared" si="403"/>
        <v>0</v>
      </c>
      <c r="DX107" s="51">
        <f t="shared" si="474"/>
        <v>0</v>
      </c>
      <c r="DY107" s="51">
        <f t="shared" si="404"/>
        <v>0</v>
      </c>
      <c r="DZ107" s="51">
        <f t="shared" si="475"/>
        <v>0</v>
      </c>
      <c r="EA107" s="51">
        <f t="shared" si="405"/>
        <v>0</v>
      </c>
      <c r="EB107" s="51">
        <f t="shared" si="476"/>
        <v>0</v>
      </c>
      <c r="EC107" s="51">
        <f t="shared" si="406"/>
        <v>0</v>
      </c>
      <c r="ED107" s="51">
        <f t="shared" si="477"/>
        <v>0</v>
      </c>
      <c r="EE107" s="51">
        <f t="shared" si="407"/>
        <v>0</v>
      </c>
      <c r="EF107" s="54">
        <f t="shared" si="408"/>
        <v>0</v>
      </c>
      <c r="EG107" s="55">
        <f t="shared" si="409"/>
        <v>0</v>
      </c>
      <c r="EH107" s="56">
        <f>IF(AND($E107&lt;&gt;0,$F107&gt;0,YEAR($F107)&gt;=Preisindex!$A$6,YEAR(EC$4)&gt;=YEAR($F107),AND($K107&lt;&gt;"a",$K107&lt;&gt;"b",$K107&lt;&gt;"g",$K107&lt;&gt;"k")),1,IF(AND($E107&lt;&gt;0,$F107&gt;0,YEAR($F107)&gt;=Preisindex!$A$6,YEAR(EC$4)&gt;=YEAR($F107),$K107="a"),ROUND(VLOOKUP(EH$4,Preisindex,5,FALSE)/VLOOKUP(YEAR($F107),Preisindex,5,FALSE),2),IF(AND($E107&lt;&gt;0,$F107&gt;0,YEAR($F107)&gt;=Preisindex!$A$6,YEAR(EC$4)&gt;=YEAR($F107),$K107="b"),ROUND(VLOOKUP(EH$4,Preisindex,3,FALSE)/VLOOKUP(YEAR($F107),Preisindex,3,FALSE),2),IF(AND($E107&lt;&gt;0,$F107&gt;0,YEAR($F107)&gt;=Preisindex!$A$6,YEAR(EC$4)&gt;=YEAR($F107),$K107="g"),ROUND(VLOOKUP(EH$4,Preisindex,4,FALSE)/VLOOKUP(YEAR($F107),Preisindex,4,FALSE),2),IF(AND($E107&lt;&gt;0,$F107&gt;0,YEAR($F107)&gt;=Preisindex!$A$6,YEAR(EC$4)&gt;=YEAR($F107),$K107="k"),ROUND(VLOOKUP(EH$4,Preisindex,2,FALSE)/VLOOKUP(YEAR($F107),Preisindex,2,FALSE),2),0)))))</f>
        <v>0</v>
      </c>
      <c r="EI107" s="56">
        <f>IF(AND($E107&lt;&gt;0,$F107&gt;0,YEAR($F107)&lt;Preisindex!$A$6,YEAR(EC$4)&gt;=YEAR($F107),AND($K107&lt;&gt;"a",$K107&lt;&gt;"b",$K107&lt;&gt;"g",$K107&lt;&gt;"k")),1,IF(AND($E107&lt;&gt;0,$F107&gt;0,YEAR($F107)&lt;Preisindex!$A$6,YEAR(EC$4)&gt;=YEAR($F107),$K107="a"),ROUND(VLOOKUP(EH$4,Preisindex,5,FALSE)/VLOOKUP(Preisindex!$A$6,Preisindex,5,FALSE),2),IF(AND($E107&lt;&gt;0,$F107&gt;0,YEAR($F107)&lt;Preisindex!$A$6,YEAR(EC$4)&gt;=YEAR($F107),$K107="b"),ROUND(VLOOKUP(EH$4,Preisindex,3,FALSE)/VLOOKUP(Preisindex!$A$6,Preisindex,3,FALSE),2),IF(AND($E107&lt;&gt;0,$F107&gt;0,YEAR($F107)&lt;Preisindex!$A$6,YEAR(EC$4)&gt;=YEAR($F107),$K107="g"),ROUND(VLOOKUP(EH$4,Preisindex,4,FALSE)/VLOOKUP(Preisindex!$A$6,Preisindex,4,FALSE),2),IF(AND($E107&lt;&gt;0,$F107&gt;0,YEAR($F107)&lt;Preisindex!$A$6,YEAR(EC$4)&gt;=YEAR($F107),$K107="k"),ROUND(VLOOKUP(EH$4,Preisindex,2,FALSE)/VLOOKUP(Preisindex!$A$6,Preisindex,2,FALSE),2),0)))))</f>
        <v>0</v>
      </c>
      <c r="EJ107" s="51">
        <f>IF(AND($E107&lt;&gt;0,$F107&gt;0,YEAR($F107)&lt;=EH$4,YEAR($F107)&gt;=Preisindex!$A$6),ROUND($E107*EH107,2),IF(AND($E107&lt;&gt;0,$F107&gt;0,YEAR($F107)&lt;=EH$4,YEAR($F107)&lt;Preisindex!$A$6),ROUND($E107*EI107,2),0))</f>
        <v>0</v>
      </c>
      <c r="EK107" s="53">
        <f t="shared" si="410"/>
        <v>0</v>
      </c>
      <c r="EL107" s="51">
        <f t="shared" si="489"/>
        <v>0</v>
      </c>
      <c r="EM107" s="51">
        <f t="shared" si="478"/>
        <v>0</v>
      </c>
      <c r="EN107" s="51">
        <f t="shared" si="411"/>
        <v>0</v>
      </c>
      <c r="EO107" s="51">
        <f t="shared" si="479"/>
        <v>0</v>
      </c>
      <c r="EP107" s="51">
        <f t="shared" si="412"/>
        <v>0</v>
      </c>
      <c r="EQ107" s="51">
        <f t="shared" si="480"/>
        <v>0</v>
      </c>
      <c r="ER107" s="51">
        <f t="shared" si="413"/>
        <v>0</v>
      </c>
      <c r="ES107" s="51">
        <f t="shared" si="481"/>
        <v>0</v>
      </c>
      <c r="ET107" s="51">
        <f t="shared" si="414"/>
        <v>0</v>
      </c>
      <c r="EU107" s="51">
        <f t="shared" si="482"/>
        <v>0</v>
      </c>
      <c r="EV107" s="51">
        <f t="shared" si="415"/>
        <v>0</v>
      </c>
      <c r="EW107" s="54">
        <f t="shared" si="416"/>
        <v>0</v>
      </c>
      <c r="EX107" s="55">
        <f t="shared" si="417"/>
        <v>0</v>
      </c>
      <c r="EY107" s="56">
        <f>IF(AND($E107&lt;&gt;0,$F107&gt;0,YEAR($F107)&gt;=Preisindex!$A$6,YEAR(ET$4)&gt;=YEAR($F107),AND($K107&lt;&gt;"a",$K107&lt;&gt;"b",$K107&lt;&gt;"g",$K107&lt;&gt;"k")),1,IF(AND($E107&lt;&gt;0,$F107&gt;0,YEAR($F107)&gt;=Preisindex!$A$6,YEAR(ET$4)&gt;=YEAR($F107),$K107="a"),ROUND(VLOOKUP(EY$4,Preisindex,5,FALSE)/VLOOKUP(YEAR($F107),Preisindex,5,FALSE),2),IF(AND($E107&lt;&gt;0,$F107&gt;0,YEAR($F107)&gt;=Preisindex!$A$6,YEAR(ET$4)&gt;=YEAR($F107),$K107="b"),ROUND(VLOOKUP(EY$4,Preisindex,3,FALSE)/VLOOKUP(YEAR($F107),Preisindex,3,FALSE),2),IF(AND($E107&lt;&gt;0,$F107&gt;0,YEAR($F107)&gt;=Preisindex!$A$6,YEAR(ET$4)&gt;=YEAR($F107),$K107="g"),ROUND(VLOOKUP(EY$4,Preisindex,4,FALSE)/VLOOKUP(YEAR($F107),Preisindex,4,FALSE),2),IF(AND($E107&lt;&gt;0,$F107&gt;0,YEAR($F107)&gt;=Preisindex!$A$6,YEAR(ET$4)&gt;=YEAR($F107),$K107="k"),ROUND(VLOOKUP(EY$4,Preisindex,2,FALSE)/VLOOKUP(YEAR($F107),Preisindex,2,FALSE),2),0)))))</f>
        <v>0</v>
      </c>
      <c r="EZ107" s="56">
        <f>IF(AND($E107&lt;&gt;0,$F107&gt;0,YEAR($F107)&lt;Preisindex!$A$6,YEAR(ET$4)&gt;=YEAR($F107),AND($K107&lt;&gt;"a",$K107&lt;&gt;"b",$K107&lt;&gt;"g",$K107&lt;&gt;"k")),1,IF(AND($E107&lt;&gt;0,$F107&gt;0,YEAR($F107)&lt;Preisindex!$A$6,YEAR(ET$4)&gt;=YEAR($F107),$K107="a"),ROUND(VLOOKUP(EY$4,Preisindex,5,FALSE)/VLOOKUP(Preisindex!$A$6,Preisindex,5,FALSE),2),IF(AND($E107&lt;&gt;0,$F107&gt;0,YEAR($F107)&lt;Preisindex!$A$6,YEAR(ET$4)&gt;=YEAR($F107),$K107="b"),ROUND(VLOOKUP(EY$4,Preisindex,3,FALSE)/VLOOKUP(Preisindex!$A$6,Preisindex,3,FALSE),2),IF(AND($E107&lt;&gt;0,$F107&gt;0,YEAR($F107)&lt;Preisindex!$A$6,YEAR(ET$4)&gt;=YEAR($F107),$K107="g"),ROUND(VLOOKUP(EY$4,Preisindex,4,FALSE)/VLOOKUP(Preisindex!$A$6,Preisindex,4,FALSE),2),IF(AND($E107&lt;&gt;0,$F107&gt;0,YEAR($F107)&lt;Preisindex!$A$6,YEAR(ET$4)&gt;=YEAR($F107),$K107="k"),ROUND(VLOOKUP(EY$4,Preisindex,2,FALSE)/VLOOKUP(Preisindex!$A$6,Preisindex,2,FALSE),2),0)))))</f>
        <v>0</v>
      </c>
      <c r="FA107" s="51">
        <f>IF(AND($E107&lt;&gt;0,$F107&gt;0,YEAR($F107)&lt;=EY$4,YEAR($F107)&gt;=Preisindex!$A$6),ROUND($E107*EY107,2),IF(AND($E107&lt;&gt;0,$F107&gt;0,YEAR($F107)&lt;=EY$4,YEAR($F107)&lt;Preisindex!$A$6),ROUND($E107*EZ107,2),0))</f>
        <v>0</v>
      </c>
      <c r="FB107" s="53">
        <f t="shared" si="418"/>
        <v>0</v>
      </c>
      <c r="FC107" s="51">
        <f t="shared" si="489"/>
        <v>0</v>
      </c>
      <c r="FD107" s="51">
        <f t="shared" si="483"/>
        <v>0</v>
      </c>
      <c r="FE107" s="51">
        <f t="shared" si="419"/>
        <v>0</v>
      </c>
      <c r="FF107" s="51">
        <f t="shared" si="484"/>
        <v>0</v>
      </c>
      <c r="FG107" s="51">
        <f t="shared" si="420"/>
        <v>0</v>
      </c>
      <c r="FH107" s="51">
        <f t="shared" si="485"/>
        <v>0</v>
      </c>
      <c r="FI107" s="51">
        <f t="shared" si="421"/>
        <v>0</v>
      </c>
      <c r="FJ107" s="51">
        <f t="shared" si="486"/>
        <v>0</v>
      </c>
      <c r="FK107" s="51">
        <f t="shared" si="422"/>
        <v>0</v>
      </c>
      <c r="FL107" s="51">
        <f t="shared" si="487"/>
        <v>0</v>
      </c>
      <c r="FM107" s="51">
        <f t="shared" si="423"/>
        <v>0</v>
      </c>
      <c r="FN107" s="54">
        <f t="shared" si="424"/>
        <v>0</v>
      </c>
      <c r="FO107" s="55">
        <f t="shared" si="425"/>
        <v>0</v>
      </c>
      <c r="FP107" s="56">
        <f>IF(AND($E107&lt;&gt;0,$F107&gt;0,YEAR($F107)&gt;=Preisindex!$A$6,YEAR(FK$4)&gt;=YEAR($F107),AND($K107&lt;&gt;"a",$K107&lt;&gt;"b",$K107&lt;&gt;"g",$K107&lt;&gt;"k")),1,IF(AND($E107&lt;&gt;0,$F107&gt;0,YEAR($F107)&gt;=Preisindex!$A$6,YEAR(FK$4)&gt;=YEAR($F107),$K107="a"),ROUND(VLOOKUP(FP$4,Preisindex,5,FALSE)/VLOOKUP(YEAR($F107),Preisindex,5,FALSE),2),IF(AND($E107&lt;&gt;0,$F107&gt;0,YEAR($F107)&gt;=Preisindex!$A$6,YEAR(FK$4)&gt;=YEAR($F107),$K107="b"),ROUND(VLOOKUP(FP$4,Preisindex,3,FALSE)/VLOOKUP(YEAR($F107),Preisindex,3,FALSE),2),IF(AND($E107&lt;&gt;0,$F107&gt;0,YEAR($F107)&gt;=Preisindex!$A$6,YEAR(FK$4)&gt;=YEAR($F107),$K107="g"),ROUND(VLOOKUP(FP$4,Preisindex,4,FALSE)/VLOOKUP(YEAR($F107),Preisindex,4,FALSE),2),IF(AND($E107&lt;&gt;0,$F107&gt;0,YEAR($F107)&gt;=Preisindex!$A$6,YEAR(FK$4)&gt;=YEAR($F107),$K107="k"),ROUND(VLOOKUP(FP$4,Preisindex,2,FALSE)/VLOOKUP(YEAR($F107),Preisindex,2,FALSE),2),0)))))</f>
        <v>0</v>
      </c>
      <c r="FQ107" s="56">
        <f>IF(AND($E107&lt;&gt;0,$F107&gt;0,YEAR($F107)&lt;Preisindex!$A$6,YEAR(FK$4)&gt;=YEAR($F107),AND($K107&lt;&gt;"a",$K107&lt;&gt;"b",$K107&lt;&gt;"g",$K107&lt;&gt;"k")),1,IF(AND($E107&lt;&gt;0,$F107&gt;0,YEAR($F107)&lt;Preisindex!$A$6,YEAR(FK$4)&gt;=YEAR($F107),$K107="a"),ROUND(VLOOKUP(FP$4,Preisindex,5,FALSE)/VLOOKUP(Preisindex!$A$6,Preisindex,5,FALSE),2),IF(AND($E107&lt;&gt;0,$F107&gt;0,YEAR($F107)&lt;Preisindex!$A$6,YEAR(FK$4)&gt;=YEAR($F107),$K107="b"),ROUND(VLOOKUP(FP$4,Preisindex,3,FALSE)/VLOOKUP(Preisindex!$A$6,Preisindex,3,FALSE),2),IF(AND($E107&lt;&gt;0,$F107&gt;0,YEAR($F107)&lt;Preisindex!$A$6,YEAR(FK$4)&gt;=YEAR($F107),$K107="g"),ROUND(VLOOKUP(FP$4,Preisindex,4,FALSE)/VLOOKUP(Preisindex!$A$6,Preisindex,4,FALSE),2),IF(AND($E107&lt;&gt;0,$F107&gt;0,YEAR($F107)&lt;Preisindex!$A$6,YEAR(FK$4)&gt;=YEAR($F107),$K107="k"),ROUND(VLOOKUP(FP$4,Preisindex,2,FALSE)/VLOOKUP(Preisindex!$A$6,Preisindex,2,FALSE),2),0)))))</f>
        <v>0</v>
      </c>
      <c r="FR107" s="51">
        <f>IF(AND($E107&lt;&gt;0,$F107&gt;0,YEAR($F107)&lt;=FP$4,YEAR($F107)&gt;=Preisindex!$A$6),ROUND($E107*FP107,2),IF(AND($E107&lt;&gt;0,$F107&gt;0,YEAR($F107)&lt;=FP$4,YEAR($F107)&lt;Preisindex!$A$6),ROUND($E107*FQ107,2),0))</f>
        <v>0</v>
      </c>
      <c r="FS107" s="53">
        <f t="shared" si="426"/>
        <v>0</v>
      </c>
    </row>
    <row r="108" spans="1:175" x14ac:dyDescent="0.3">
      <c r="A108" s="93"/>
      <c r="B108" s="94"/>
      <c r="C108" s="94"/>
      <c r="D108" s="95"/>
      <c r="E108" s="99"/>
      <c r="F108" s="97"/>
      <c r="G108" s="98"/>
      <c r="H108" s="620"/>
      <c r="I108" s="621"/>
      <c r="J108" s="194"/>
      <c r="K108" s="630"/>
      <c r="L108" s="49">
        <f t="shared" si="427"/>
        <v>0</v>
      </c>
      <c r="M108" s="50">
        <f t="shared" si="428"/>
        <v>0</v>
      </c>
      <c r="N108" s="51">
        <f t="shared" si="429"/>
        <v>0</v>
      </c>
      <c r="O108" s="51"/>
      <c r="P108" s="51">
        <f t="shared" si="430"/>
        <v>0</v>
      </c>
      <c r="Q108" s="52"/>
      <c r="R108" s="52"/>
      <c r="S108" s="52"/>
      <c r="T108" s="52"/>
      <c r="U108" s="52"/>
      <c r="V108" s="53">
        <f t="shared" si="431"/>
        <v>0</v>
      </c>
      <c r="W108" s="51">
        <f t="shared" si="432"/>
        <v>0</v>
      </c>
      <c r="X108" s="51">
        <f t="shared" si="433"/>
        <v>0</v>
      </c>
      <c r="Y108" s="51">
        <f t="shared" si="434"/>
        <v>0</v>
      </c>
      <c r="Z108" s="51">
        <f t="shared" si="435"/>
        <v>0</v>
      </c>
      <c r="AA108" s="51">
        <f t="shared" si="436"/>
        <v>0</v>
      </c>
      <c r="AB108" s="51">
        <f t="shared" si="437"/>
        <v>0</v>
      </c>
      <c r="AC108" s="51">
        <f t="shared" si="438"/>
        <v>0</v>
      </c>
      <c r="AD108" s="51">
        <f t="shared" si="439"/>
        <v>0</v>
      </c>
      <c r="AE108" s="51">
        <f t="shared" si="440"/>
        <v>0</v>
      </c>
      <c r="AF108" s="51">
        <f t="shared" si="441"/>
        <v>0</v>
      </c>
      <c r="AG108" s="51">
        <f t="shared" si="442"/>
        <v>0</v>
      </c>
      <c r="AH108" s="54">
        <f t="shared" si="443"/>
        <v>0</v>
      </c>
      <c r="AI108" s="55">
        <f t="shared" si="444"/>
        <v>0</v>
      </c>
      <c r="AJ108" s="56">
        <f>IF(AND($E108&lt;&gt;0,$F108&gt;0,YEAR($F108)&gt;=Preisindex!$A$6,YEAR(AE$4)&gt;=YEAR($F108),AND($K108&lt;&gt;"a",$K108&lt;&gt;"b",$K108&lt;&gt;"g",$K108&lt;&gt;"k")),1,IF(AND($E108&lt;&gt;0,$F108&gt;0,YEAR($F108)&gt;=Preisindex!$A$6,YEAR(AE$4)&gt;=YEAR($F108),$K108="a"),ROUND(VLOOKUP(AJ$4,Preisindex,5,FALSE)/VLOOKUP(YEAR($F108),Preisindex,5,FALSE),2),IF(AND($E108&lt;&gt;0,$F108&gt;0,YEAR($F108)&gt;=Preisindex!$A$6,YEAR(AE$4)&gt;=YEAR($F108),$K108="b"),ROUND(VLOOKUP(AJ$4,Preisindex,3,FALSE)/VLOOKUP(YEAR($F108),Preisindex,3,FALSE),2),IF(AND($E108&lt;&gt;0,$F108&gt;0,YEAR($F108)&gt;=Preisindex!$A$6,YEAR(AE$4)&gt;=YEAR($F108),$K108="g"),ROUND(VLOOKUP(AJ$4,Preisindex,4,FALSE)/VLOOKUP(YEAR($F108),Preisindex,4,FALSE),2),IF(AND($E108&lt;&gt;0,$F108&gt;0,YEAR($F108)&gt;=Preisindex!$A$6,YEAR(AE$4)&gt;=YEAR($F108),$K108="k"),ROUND(VLOOKUP(AJ$4,Preisindex,2,FALSE)/VLOOKUP(YEAR($F108),Preisindex,2,FALSE),2),0)))))</f>
        <v>0</v>
      </c>
      <c r="AK108" s="56">
        <f>IF(AND($E108&lt;&gt;0,$F108&gt;0,YEAR($F108)&lt;Preisindex!$A$6,YEAR(AE$4)&gt;=YEAR($F108),AND($K108&lt;&gt;"a",$K108&lt;&gt;"b",$K108&lt;&gt;"g",$K108&lt;&gt;"k")),1,IF(AND($E108&lt;&gt;0,$F108&gt;0,YEAR($F108)&lt;Preisindex!$A$6,YEAR(AE$4)&gt;=YEAR($F108),$K108="a"),ROUND(VLOOKUP(AJ$4,Preisindex,5,FALSE)/VLOOKUP(Preisindex!$A$6,Preisindex,5,FALSE),2),IF(AND($E108&lt;&gt;0,$F108&gt;0,YEAR($F108)&lt;Preisindex!$A$6,YEAR(AE$4)&gt;=YEAR($F108),$K108="b"),ROUND(VLOOKUP(AJ$4,Preisindex,3,FALSE)/VLOOKUP(Preisindex!$A$6,Preisindex,3,FALSE),2),IF(AND($E108&lt;&gt;0,$F108&gt;0,YEAR($F108)&lt;Preisindex!$A$6,YEAR(AE$4)&gt;=YEAR($F108),$K108="g"),ROUND(VLOOKUP(AJ$4,Preisindex,4,FALSE)/VLOOKUP(Preisindex!$A$6,Preisindex,4,FALSE),2),IF(AND($E108&lt;&gt;0,$F108&gt;0,YEAR($F108)&lt;Preisindex!$A$6,YEAR(AE$4)&gt;=YEAR($F108),$K108="k"),ROUND(VLOOKUP(AJ$4,Preisindex,2,FALSE)/VLOOKUP(Preisindex!$A$6,Preisindex,2,FALSE),2),0)))))</f>
        <v>0</v>
      </c>
      <c r="AL108" s="51">
        <f>IF(AND($E108&lt;&gt;0,$F108&gt;0,YEAR($F108)&lt;=AJ$4,YEAR($F108)&gt;=Preisindex!$A$6),ROUND($E108*AJ108,2),IF(AND($E108&lt;&gt;0,$F108&gt;0,YEAR($F108)&lt;=AJ$4,YEAR($F108)&lt;Preisindex!$A$6),ROUND($E108*AK108,2),0))</f>
        <v>0</v>
      </c>
      <c r="AM108" s="53">
        <f t="shared" si="445"/>
        <v>0</v>
      </c>
      <c r="AN108" s="51">
        <f t="shared" si="488"/>
        <v>0</v>
      </c>
      <c r="AO108" s="51">
        <f t="shared" si="448"/>
        <v>0</v>
      </c>
      <c r="AP108" s="51">
        <f t="shared" si="362"/>
        <v>0</v>
      </c>
      <c r="AQ108" s="51">
        <f t="shared" si="449"/>
        <v>0</v>
      </c>
      <c r="AR108" s="51">
        <f t="shared" si="363"/>
        <v>0</v>
      </c>
      <c r="AS108" s="51">
        <f t="shared" si="450"/>
        <v>0</v>
      </c>
      <c r="AT108" s="51">
        <f t="shared" si="364"/>
        <v>0</v>
      </c>
      <c r="AU108" s="51">
        <f t="shared" si="451"/>
        <v>0</v>
      </c>
      <c r="AV108" s="51">
        <f t="shared" si="365"/>
        <v>0</v>
      </c>
      <c r="AW108" s="51">
        <f t="shared" si="452"/>
        <v>0</v>
      </c>
      <c r="AX108" s="51">
        <f t="shared" si="366"/>
        <v>0</v>
      </c>
      <c r="AY108" s="54">
        <f t="shared" si="367"/>
        <v>0</v>
      </c>
      <c r="AZ108" s="55">
        <f t="shared" si="368"/>
        <v>0</v>
      </c>
      <c r="BA108" s="56">
        <f>IF(AND($E108&lt;&gt;0,$F108&gt;0,YEAR($F108)&gt;=Preisindex!$A$6,YEAR(AV$4)&gt;=YEAR($F108),AND($K108&lt;&gt;"a",$K108&lt;&gt;"b",$K108&lt;&gt;"g",$K108&lt;&gt;"k")),1,IF(AND($E108&lt;&gt;0,$F108&gt;0,YEAR($F108)&gt;=Preisindex!$A$6,YEAR(AV$4)&gt;=YEAR($F108),$K108="a"),ROUND(VLOOKUP(BA$4,Preisindex,5,FALSE)/VLOOKUP(YEAR($F108),Preisindex,5,FALSE),2),IF(AND($E108&lt;&gt;0,$F108&gt;0,YEAR($F108)&gt;=Preisindex!$A$6,YEAR(AV$4)&gt;=YEAR($F108),$K108="b"),ROUND(VLOOKUP(BA$4,Preisindex,3,FALSE)/VLOOKUP(YEAR($F108),Preisindex,3,FALSE),2),IF(AND($E108&lt;&gt;0,$F108&gt;0,YEAR($F108)&gt;=Preisindex!$A$6,YEAR(AV$4)&gt;=YEAR($F108),$K108="g"),ROUND(VLOOKUP(BA$4,Preisindex,4,FALSE)/VLOOKUP(YEAR($F108),Preisindex,4,FALSE),2),IF(AND($E108&lt;&gt;0,$F108&gt;0,YEAR($F108)&gt;=Preisindex!$A$6,YEAR(AV$4)&gt;=YEAR($F108),$K108="k"),ROUND(VLOOKUP(BA$4,Preisindex,2,FALSE)/VLOOKUP(YEAR($F108),Preisindex,2,FALSE),2),0)))))</f>
        <v>0</v>
      </c>
      <c r="BB108" s="56">
        <f>IF(AND($E108&lt;&gt;0,$F108&gt;0,YEAR($F108)&lt;Preisindex!$A$6,YEAR(AV$4)&gt;=YEAR($F108),AND($K108&lt;&gt;"a",$K108&lt;&gt;"b",$K108&lt;&gt;"g",$K108&lt;&gt;"k")),1,IF(AND($E108&lt;&gt;0,$F108&gt;0,YEAR($F108)&lt;Preisindex!$A$6,YEAR(AV$4)&gt;=YEAR($F108),$K108="a"),ROUND(VLOOKUP(BA$4,Preisindex,5,FALSE)/VLOOKUP(Preisindex!$A$6,Preisindex,5,FALSE),2),IF(AND($E108&lt;&gt;0,$F108&gt;0,YEAR($F108)&lt;Preisindex!$A$6,YEAR(AV$4)&gt;=YEAR($F108),$K108="b"),ROUND(VLOOKUP(BA$4,Preisindex,3,FALSE)/VLOOKUP(Preisindex!$A$6,Preisindex,3,FALSE),2),IF(AND($E108&lt;&gt;0,$F108&gt;0,YEAR($F108)&lt;Preisindex!$A$6,YEAR(AV$4)&gt;=YEAR($F108),$K108="g"),ROUND(VLOOKUP(BA$4,Preisindex,4,FALSE)/VLOOKUP(Preisindex!$A$6,Preisindex,4,FALSE),2),IF(AND($E108&lt;&gt;0,$F108&gt;0,YEAR($F108)&lt;Preisindex!$A$6,YEAR(AV$4)&gt;=YEAR($F108),$K108="k"),ROUND(VLOOKUP(BA$4,Preisindex,2,FALSE)/VLOOKUP(Preisindex!$A$6,Preisindex,2,FALSE),2),0)))))</f>
        <v>0</v>
      </c>
      <c r="BC108" s="51">
        <f>IF(AND($E108&lt;&gt;0,$F108&gt;0,YEAR($F108)&lt;=BA$4,YEAR($F108)&gt;=Preisindex!$A$6),ROUND($E108*BA108,2),IF(AND($E108&lt;&gt;0,$F108&gt;0,YEAR($F108)&lt;=BA$4,YEAR($F108)&lt;Preisindex!$A$6),ROUND($E108*BB108,2),0))</f>
        <v>0</v>
      </c>
      <c r="BD108" s="53">
        <f t="shared" si="369"/>
        <v>0</v>
      </c>
      <c r="BE108" s="51">
        <f t="shared" si="488"/>
        <v>0</v>
      </c>
      <c r="BF108" s="51">
        <f t="shared" si="453"/>
        <v>0</v>
      </c>
      <c r="BG108" s="51">
        <f t="shared" si="370"/>
        <v>0</v>
      </c>
      <c r="BH108" s="51">
        <f t="shared" si="454"/>
        <v>0</v>
      </c>
      <c r="BI108" s="51">
        <f t="shared" si="371"/>
        <v>0</v>
      </c>
      <c r="BJ108" s="51">
        <f t="shared" si="455"/>
        <v>0</v>
      </c>
      <c r="BK108" s="51">
        <f t="shared" si="372"/>
        <v>0</v>
      </c>
      <c r="BL108" s="51">
        <f t="shared" si="456"/>
        <v>0</v>
      </c>
      <c r="BM108" s="51">
        <f t="shared" si="373"/>
        <v>0</v>
      </c>
      <c r="BN108" s="51">
        <f t="shared" si="457"/>
        <v>0</v>
      </c>
      <c r="BO108" s="51">
        <f t="shared" si="374"/>
        <v>0</v>
      </c>
      <c r="BP108" s="54">
        <f t="shared" si="375"/>
        <v>0</v>
      </c>
      <c r="BQ108" s="55">
        <f t="shared" si="376"/>
        <v>0</v>
      </c>
      <c r="BR108" s="56">
        <f>IF(AND($E108&lt;&gt;0,$F108&gt;0,YEAR($F108)&gt;=Preisindex!$A$6,YEAR(BM$4)&gt;=YEAR($F108),AND($K108&lt;&gt;"a",$K108&lt;&gt;"b",$K108&lt;&gt;"g",$K108&lt;&gt;"k")),1,IF(AND($E108&lt;&gt;0,$F108&gt;0,YEAR($F108)&gt;=Preisindex!$A$6,YEAR(BM$4)&gt;=YEAR($F108),$K108="a"),ROUND(VLOOKUP(BR$4,Preisindex,5,FALSE)/VLOOKUP(YEAR($F108),Preisindex,5,FALSE),2),IF(AND($E108&lt;&gt;0,$F108&gt;0,YEAR($F108)&gt;=Preisindex!$A$6,YEAR(BM$4)&gt;=YEAR($F108),$K108="b"),ROUND(VLOOKUP(BR$4,Preisindex,3,FALSE)/VLOOKUP(YEAR($F108),Preisindex,3,FALSE),2),IF(AND($E108&lt;&gt;0,$F108&gt;0,YEAR($F108)&gt;=Preisindex!$A$6,YEAR(BM$4)&gt;=YEAR($F108),$K108="g"),ROUND(VLOOKUP(BR$4,Preisindex,4,FALSE)/VLOOKUP(YEAR($F108),Preisindex,4,FALSE),2),IF(AND($E108&lt;&gt;0,$F108&gt;0,YEAR($F108)&gt;=Preisindex!$A$6,YEAR(BM$4)&gt;=YEAR($F108),$K108="k"),ROUND(VLOOKUP(BR$4,Preisindex,2,FALSE)/VLOOKUP(YEAR($F108),Preisindex,2,FALSE),2),0)))))</f>
        <v>0</v>
      </c>
      <c r="BS108" s="56">
        <f>IF(AND($E108&lt;&gt;0,$F108&gt;0,YEAR($F108)&lt;Preisindex!$A$6,YEAR(BM$4)&gt;=YEAR($F108),AND($K108&lt;&gt;"a",$K108&lt;&gt;"b",$K108&lt;&gt;"g",$K108&lt;&gt;"k")),1,IF(AND($E108&lt;&gt;0,$F108&gt;0,YEAR($F108)&lt;Preisindex!$A$6,YEAR(BM$4)&gt;=YEAR($F108),$K108="a"),ROUND(VLOOKUP(BR$4,Preisindex,5,FALSE)/VLOOKUP(Preisindex!$A$6,Preisindex,5,FALSE),2),IF(AND($E108&lt;&gt;0,$F108&gt;0,YEAR($F108)&lt;Preisindex!$A$6,YEAR(BM$4)&gt;=YEAR($F108),$K108="b"),ROUND(VLOOKUP(BR$4,Preisindex,3,FALSE)/VLOOKUP(Preisindex!$A$6,Preisindex,3,FALSE),2),IF(AND($E108&lt;&gt;0,$F108&gt;0,YEAR($F108)&lt;Preisindex!$A$6,YEAR(BM$4)&gt;=YEAR($F108),$K108="g"),ROUND(VLOOKUP(BR$4,Preisindex,4,FALSE)/VLOOKUP(Preisindex!$A$6,Preisindex,4,FALSE),2),IF(AND($E108&lt;&gt;0,$F108&gt;0,YEAR($F108)&lt;Preisindex!$A$6,YEAR(BM$4)&gt;=YEAR($F108),$K108="k"),ROUND(VLOOKUP(BR$4,Preisindex,2,FALSE)/VLOOKUP(Preisindex!$A$6,Preisindex,2,FALSE),2),0)))))</f>
        <v>0</v>
      </c>
      <c r="BT108" s="51">
        <f>IF(AND($E108&lt;&gt;0,$F108&gt;0,YEAR($F108)&lt;=BR$4,YEAR($F108)&gt;=Preisindex!$A$6),ROUND($E108*BR108,2),IF(AND($E108&lt;&gt;0,$F108&gt;0,YEAR($F108)&lt;=BR$4,YEAR($F108)&lt;Preisindex!$A$6),ROUND($E108*BS108,2),0))</f>
        <v>0</v>
      </c>
      <c r="BU108" s="53">
        <f t="shared" si="377"/>
        <v>0</v>
      </c>
      <c r="BV108" s="51">
        <f t="shared" si="488"/>
        <v>0</v>
      </c>
      <c r="BW108" s="51">
        <f t="shared" si="458"/>
        <v>0</v>
      </c>
      <c r="BX108" s="51">
        <f t="shared" si="378"/>
        <v>0</v>
      </c>
      <c r="BY108" s="51">
        <f t="shared" si="459"/>
        <v>0</v>
      </c>
      <c r="BZ108" s="51">
        <f t="shared" si="379"/>
        <v>0</v>
      </c>
      <c r="CA108" s="51">
        <f t="shared" si="460"/>
        <v>0</v>
      </c>
      <c r="CB108" s="51">
        <f t="shared" si="380"/>
        <v>0</v>
      </c>
      <c r="CC108" s="51">
        <f t="shared" si="461"/>
        <v>0</v>
      </c>
      <c r="CD108" s="51">
        <f t="shared" si="381"/>
        <v>0</v>
      </c>
      <c r="CE108" s="51">
        <f t="shared" si="462"/>
        <v>0</v>
      </c>
      <c r="CF108" s="51">
        <f t="shared" si="382"/>
        <v>0</v>
      </c>
      <c r="CG108" s="54">
        <f t="shared" si="383"/>
        <v>0</v>
      </c>
      <c r="CH108" s="55">
        <f t="shared" si="384"/>
        <v>0</v>
      </c>
      <c r="CI108" s="56">
        <f>IF(AND($E108&lt;&gt;0,$F108&gt;0,YEAR($F108)&gt;=Preisindex!$A$6,YEAR(CD$4)&gt;=YEAR($F108),AND($K108&lt;&gt;"a",$K108&lt;&gt;"b",$K108&lt;&gt;"g",$K108&lt;&gt;"k")),1,IF(AND($E108&lt;&gt;0,$F108&gt;0,YEAR($F108)&gt;=Preisindex!$A$6,YEAR(CD$4)&gt;=YEAR($F108),$K108="a"),ROUND(VLOOKUP(CI$4,Preisindex,5,FALSE)/VLOOKUP(YEAR($F108),Preisindex,5,FALSE),2),IF(AND($E108&lt;&gt;0,$F108&gt;0,YEAR($F108)&gt;=Preisindex!$A$6,YEAR(CD$4)&gt;=YEAR($F108),$K108="b"),ROUND(VLOOKUP(CI$4,Preisindex,3,FALSE)/VLOOKUP(YEAR($F108),Preisindex,3,FALSE),2),IF(AND($E108&lt;&gt;0,$F108&gt;0,YEAR($F108)&gt;=Preisindex!$A$6,YEAR(CD$4)&gt;=YEAR($F108),$K108="g"),ROUND(VLOOKUP(CI$4,Preisindex,4,FALSE)/VLOOKUP(YEAR($F108),Preisindex,4,FALSE),2),IF(AND($E108&lt;&gt;0,$F108&gt;0,YEAR($F108)&gt;=Preisindex!$A$6,YEAR(CD$4)&gt;=YEAR($F108),$K108="k"),ROUND(VLOOKUP(CI$4,Preisindex,2,FALSE)/VLOOKUP(YEAR($F108),Preisindex,2,FALSE),2),0)))))</f>
        <v>0</v>
      </c>
      <c r="CJ108" s="56">
        <f>IF(AND($E108&lt;&gt;0,$F108&gt;0,YEAR($F108)&lt;Preisindex!$A$6,YEAR(CD$4)&gt;=YEAR($F108),AND($K108&lt;&gt;"a",$K108&lt;&gt;"b",$K108&lt;&gt;"g",$K108&lt;&gt;"k")),1,IF(AND($E108&lt;&gt;0,$F108&gt;0,YEAR($F108)&lt;Preisindex!$A$6,YEAR(CD$4)&gt;=YEAR($F108),$K108="a"),ROUND(VLOOKUP(CI$4,Preisindex,5,FALSE)/VLOOKUP(Preisindex!$A$6,Preisindex,5,FALSE),2),IF(AND($E108&lt;&gt;0,$F108&gt;0,YEAR($F108)&lt;Preisindex!$A$6,YEAR(CD$4)&gt;=YEAR($F108),$K108="b"),ROUND(VLOOKUP(CI$4,Preisindex,3,FALSE)/VLOOKUP(Preisindex!$A$6,Preisindex,3,FALSE),2),IF(AND($E108&lt;&gt;0,$F108&gt;0,YEAR($F108)&lt;Preisindex!$A$6,YEAR(CD$4)&gt;=YEAR($F108),$K108="g"),ROUND(VLOOKUP(CI$4,Preisindex,4,FALSE)/VLOOKUP(Preisindex!$A$6,Preisindex,4,FALSE),2),IF(AND($E108&lt;&gt;0,$F108&gt;0,YEAR($F108)&lt;Preisindex!$A$6,YEAR(CD$4)&gt;=YEAR($F108),$K108="k"),ROUND(VLOOKUP(CI$4,Preisindex,2,FALSE)/VLOOKUP(Preisindex!$A$6,Preisindex,2,FALSE),2),0)))))</f>
        <v>0</v>
      </c>
      <c r="CK108" s="51">
        <f>IF(AND($E108&lt;&gt;0,$F108&gt;0,YEAR($F108)&lt;=CI$4,YEAR($F108)&gt;=Preisindex!$A$6),ROUND($E108*CI108,2),IF(AND($E108&lt;&gt;0,$F108&gt;0,YEAR($F108)&lt;=CI$4,YEAR($F108)&lt;Preisindex!$A$6),ROUND($E108*CJ108,2),0))</f>
        <v>0</v>
      </c>
      <c r="CL108" s="53">
        <f t="shared" si="385"/>
        <v>0</v>
      </c>
      <c r="CM108" s="51">
        <f t="shared" si="488"/>
        <v>0</v>
      </c>
      <c r="CN108" s="51">
        <f t="shared" si="463"/>
        <v>0</v>
      </c>
      <c r="CO108" s="51">
        <f t="shared" si="386"/>
        <v>0</v>
      </c>
      <c r="CP108" s="51">
        <f t="shared" si="464"/>
        <v>0</v>
      </c>
      <c r="CQ108" s="51">
        <f t="shared" si="387"/>
        <v>0</v>
      </c>
      <c r="CR108" s="51">
        <f t="shared" si="465"/>
        <v>0</v>
      </c>
      <c r="CS108" s="51">
        <f t="shared" si="388"/>
        <v>0</v>
      </c>
      <c r="CT108" s="51">
        <f t="shared" si="466"/>
        <v>0</v>
      </c>
      <c r="CU108" s="51">
        <f t="shared" si="389"/>
        <v>0</v>
      </c>
      <c r="CV108" s="51">
        <f t="shared" si="467"/>
        <v>0</v>
      </c>
      <c r="CW108" s="51">
        <f t="shared" si="390"/>
        <v>0</v>
      </c>
      <c r="CX108" s="54">
        <f t="shared" si="391"/>
        <v>0</v>
      </c>
      <c r="CY108" s="55">
        <f t="shared" si="392"/>
        <v>0</v>
      </c>
      <c r="CZ108" s="56">
        <f>IF(AND($E108&lt;&gt;0,$F108&gt;0,YEAR($F108)&gt;=Preisindex!$A$6,YEAR(CU$4)&gt;=YEAR($F108),AND($K108&lt;&gt;"a",$K108&lt;&gt;"b",$K108&lt;&gt;"g",$K108&lt;&gt;"k")),1,IF(AND($E108&lt;&gt;0,$F108&gt;0,YEAR($F108)&gt;=Preisindex!$A$6,YEAR(CU$4)&gt;=YEAR($F108),$K108="a"),ROUND(VLOOKUP(CZ$4,Preisindex,5,FALSE)/VLOOKUP(YEAR($F108),Preisindex,5,FALSE),2),IF(AND($E108&lt;&gt;0,$F108&gt;0,YEAR($F108)&gt;=Preisindex!$A$6,YEAR(CU$4)&gt;=YEAR($F108),$K108="b"),ROUND(VLOOKUP(CZ$4,Preisindex,3,FALSE)/VLOOKUP(YEAR($F108),Preisindex,3,FALSE),2),IF(AND($E108&lt;&gt;0,$F108&gt;0,YEAR($F108)&gt;=Preisindex!$A$6,YEAR(CU$4)&gt;=YEAR($F108),$K108="g"),ROUND(VLOOKUP(CZ$4,Preisindex,4,FALSE)/VLOOKUP(YEAR($F108),Preisindex,4,FALSE),2),IF(AND($E108&lt;&gt;0,$F108&gt;0,YEAR($F108)&gt;=Preisindex!$A$6,YEAR(CU$4)&gt;=YEAR($F108),$K108="k"),ROUND(VLOOKUP(CZ$4,Preisindex,2,FALSE)/VLOOKUP(YEAR($F108),Preisindex,2,FALSE),2),0)))))</f>
        <v>0</v>
      </c>
      <c r="DA108" s="56">
        <f>IF(AND($E108&lt;&gt;0,$F108&gt;0,YEAR($F108)&lt;Preisindex!$A$6,YEAR(CU$4)&gt;=YEAR($F108),AND($K108&lt;&gt;"a",$K108&lt;&gt;"b",$K108&lt;&gt;"g",$K108&lt;&gt;"k")),1,IF(AND($E108&lt;&gt;0,$F108&gt;0,YEAR($F108)&lt;Preisindex!$A$6,YEAR(CU$4)&gt;=YEAR($F108),$K108="a"),ROUND(VLOOKUP(CZ$4,Preisindex,5,FALSE)/VLOOKUP(Preisindex!$A$6,Preisindex,5,FALSE),2),IF(AND($E108&lt;&gt;0,$F108&gt;0,YEAR($F108)&lt;Preisindex!$A$6,YEAR(CU$4)&gt;=YEAR($F108),$K108="b"),ROUND(VLOOKUP(CZ$4,Preisindex,3,FALSE)/VLOOKUP(Preisindex!$A$6,Preisindex,3,FALSE),2),IF(AND($E108&lt;&gt;0,$F108&gt;0,YEAR($F108)&lt;Preisindex!$A$6,YEAR(CU$4)&gt;=YEAR($F108),$K108="g"),ROUND(VLOOKUP(CZ$4,Preisindex,4,FALSE)/VLOOKUP(Preisindex!$A$6,Preisindex,4,FALSE),2),IF(AND($E108&lt;&gt;0,$F108&gt;0,YEAR($F108)&lt;Preisindex!$A$6,YEAR(CU$4)&gt;=YEAR($F108),$K108="k"),ROUND(VLOOKUP(CZ$4,Preisindex,2,FALSE)/VLOOKUP(Preisindex!$A$6,Preisindex,2,FALSE),2),0)))))</f>
        <v>0</v>
      </c>
      <c r="DB108" s="51">
        <f>IF(AND($E108&lt;&gt;0,$F108&gt;0,YEAR($F108)&lt;=CZ$4,YEAR($F108)&gt;=Preisindex!$A$6),ROUND($E108*CZ108,2),IF(AND($E108&lt;&gt;0,$F108&gt;0,YEAR($F108)&lt;=CZ$4,YEAR($F108)&lt;Preisindex!$A$6),ROUND($E108*DA108,2),0))</f>
        <v>0</v>
      </c>
      <c r="DC108" s="53">
        <f t="shared" si="393"/>
        <v>0</v>
      </c>
      <c r="DD108" s="51">
        <f t="shared" si="489"/>
        <v>0</v>
      </c>
      <c r="DE108" s="51">
        <f t="shared" si="468"/>
        <v>0</v>
      </c>
      <c r="DF108" s="51">
        <f t="shared" si="395"/>
        <v>0</v>
      </c>
      <c r="DG108" s="51">
        <f t="shared" si="469"/>
        <v>0</v>
      </c>
      <c r="DH108" s="51">
        <f t="shared" si="396"/>
        <v>0</v>
      </c>
      <c r="DI108" s="51">
        <f t="shared" si="470"/>
        <v>0</v>
      </c>
      <c r="DJ108" s="51">
        <f t="shared" si="397"/>
        <v>0</v>
      </c>
      <c r="DK108" s="51">
        <f t="shared" si="471"/>
        <v>0</v>
      </c>
      <c r="DL108" s="51">
        <f t="shared" si="398"/>
        <v>0</v>
      </c>
      <c r="DM108" s="51">
        <f t="shared" si="472"/>
        <v>0</v>
      </c>
      <c r="DN108" s="51">
        <f t="shared" si="399"/>
        <v>0</v>
      </c>
      <c r="DO108" s="54">
        <f t="shared" si="400"/>
        <v>0</v>
      </c>
      <c r="DP108" s="55">
        <f t="shared" si="401"/>
        <v>0</v>
      </c>
      <c r="DQ108" s="56">
        <f>IF(AND($E108&lt;&gt;0,$F108&gt;0,YEAR($F108)&gt;=Preisindex!$A$6,YEAR(DL$4)&gt;=YEAR($F108),AND($K108&lt;&gt;"a",$K108&lt;&gt;"b",$K108&lt;&gt;"g",$K108&lt;&gt;"k")),1,IF(AND($E108&lt;&gt;0,$F108&gt;0,YEAR($F108)&gt;=Preisindex!$A$6,YEAR(DL$4)&gt;=YEAR($F108),$K108="a"),ROUND(VLOOKUP(DQ$4,Preisindex,5,FALSE)/VLOOKUP(YEAR($F108),Preisindex,5,FALSE),2),IF(AND($E108&lt;&gt;0,$F108&gt;0,YEAR($F108)&gt;=Preisindex!$A$6,YEAR(DL$4)&gt;=YEAR($F108),$K108="b"),ROUND(VLOOKUP(DQ$4,Preisindex,3,FALSE)/VLOOKUP(YEAR($F108),Preisindex,3,FALSE),2),IF(AND($E108&lt;&gt;0,$F108&gt;0,YEAR($F108)&gt;=Preisindex!$A$6,YEAR(DL$4)&gt;=YEAR($F108),$K108="g"),ROUND(VLOOKUP(DQ$4,Preisindex,4,FALSE)/VLOOKUP(YEAR($F108),Preisindex,4,FALSE),2),IF(AND($E108&lt;&gt;0,$F108&gt;0,YEAR($F108)&gt;=Preisindex!$A$6,YEAR(DL$4)&gt;=YEAR($F108),$K108="k"),ROUND(VLOOKUP(DQ$4,Preisindex,2,FALSE)/VLOOKUP(YEAR($F108),Preisindex,2,FALSE),2),0)))))</f>
        <v>0</v>
      </c>
      <c r="DR108" s="56">
        <f>IF(AND($E108&lt;&gt;0,$F108&gt;0,YEAR($F108)&lt;Preisindex!$A$6,YEAR(DL$4)&gt;=YEAR($F108),AND($K108&lt;&gt;"a",$K108&lt;&gt;"b",$K108&lt;&gt;"g",$K108&lt;&gt;"k")),1,IF(AND($E108&lt;&gt;0,$F108&gt;0,YEAR($F108)&lt;Preisindex!$A$6,YEAR(DL$4)&gt;=YEAR($F108),$K108="a"),ROUND(VLOOKUP(DQ$4,Preisindex,5,FALSE)/VLOOKUP(Preisindex!$A$6,Preisindex,5,FALSE),2),IF(AND($E108&lt;&gt;0,$F108&gt;0,YEAR($F108)&lt;Preisindex!$A$6,YEAR(DL$4)&gt;=YEAR($F108),$K108="b"),ROUND(VLOOKUP(DQ$4,Preisindex,3,FALSE)/VLOOKUP(Preisindex!$A$6,Preisindex,3,FALSE),2),IF(AND($E108&lt;&gt;0,$F108&gt;0,YEAR($F108)&lt;Preisindex!$A$6,YEAR(DL$4)&gt;=YEAR($F108),$K108="g"),ROUND(VLOOKUP(DQ$4,Preisindex,4,FALSE)/VLOOKUP(Preisindex!$A$6,Preisindex,4,FALSE),2),IF(AND($E108&lt;&gt;0,$F108&gt;0,YEAR($F108)&lt;Preisindex!$A$6,YEAR(DL$4)&gt;=YEAR($F108),$K108="k"),ROUND(VLOOKUP(DQ$4,Preisindex,2,FALSE)/VLOOKUP(Preisindex!$A$6,Preisindex,2,FALSE),2),0)))))</f>
        <v>0</v>
      </c>
      <c r="DS108" s="51">
        <f>IF(AND($E108&lt;&gt;0,$F108&gt;0,YEAR($F108)&lt;=DQ$4,YEAR($F108)&gt;=Preisindex!$A$6),ROUND($E108*DQ108,2),IF(AND($E108&lt;&gt;0,$F108&gt;0,YEAR($F108)&lt;=DQ$4,YEAR($F108)&lt;Preisindex!$A$6),ROUND($E108*DR108,2),0))</f>
        <v>0</v>
      </c>
      <c r="DT108" s="53">
        <f t="shared" si="402"/>
        <v>0</v>
      </c>
      <c r="DU108" s="51">
        <f t="shared" si="489"/>
        <v>0</v>
      </c>
      <c r="DV108" s="51">
        <f t="shared" si="473"/>
        <v>0</v>
      </c>
      <c r="DW108" s="51">
        <f t="shared" si="403"/>
        <v>0</v>
      </c>
      <c r="DX108" s="51">
        <f t="shared" si="474"/>
        <v>0</v>
      </c>
      <c r="DY108" s="51">
        <f t="shared" si="404"/>
        <v>0</v>
      </c>
      <c r="DZ108" s="51">
        <f t="shared" si="475"/>
        <v>0</v>
      </c>
      <c r="EA108" s="51">
        <f t="shared" si="405"/>
        <v>0</v>
      </c>
      <c r="EB108" s="51">
        <f t="shared" si="476"/>
        <v>0</v>
      </c>
      <c r="EC108" s="51">
        <f t="shared" si="406"/>
        <v>0</v>
      </c>
      <c r="ED108" s="51">
        <f t="shared" si="477"/>
        <v>0</v>
      </c>
      <c r="EE108" s="51">
        <f t="shared" si="407"/>
        <v>0</v>
      </c>
      <c r="EF108" s="54">
        <f t="shared" si="408"/>
        <v>0</v>
      </c>
      <c r="EG108" s="55">
        <f t="shared" si="409"/>
        <v>0</v>
      </c>
      <c r="EH108" s="56">
        <f>IF(AND($E108&lt;&gt;0,$F108&gt;0,YEAR($F108)&gt;=Preisindex!$A$6,YEAR(EC$4)&gt;=YEAR($F108),AND($K108&lt;&gt;"a",$K108&lt;&gt;"b",$K108&lt;&gt;"g",$K108&lt;&gt;"k")),1,IF(AND($E108&lt;&gt;0,$F108&gt;0,YEAR($F108)&gt;=Preisindex!$A$6,YEAR(EC$4)&gt;=YEAR($F108),$K108="a"),ROUND(VLOOKUP(EH$4,Preisindex,5,FALSE)/VLOOKUP(YEAR($F108),Preisindex,5,FALSE),2),IF(AND($E108&lt;&gt;0,$F108&gt;0,YEAR($F108)&gt;=Preisindex!$A$6,YEAR(EC$4)&gt;=YEAR($F108),$K108="b"),ROUND(VLOOKUP(EH$4,Preisindex,3,FALSE)/VLOOKUP(YEAR($F108),Preisindex,3,FALSE),2),IF(AND($E108&lt;&gt;0,$F108&gt;0,YEAR($F108)&gt;=Preisindex!$A$6,YEAR(EC$4)&gt;=YEAR($F108),$K108="g"),ROUND(VLOOKUP(EH$4,Preisindex,4,FALSE)/VLOOKUP(YEAR($F108),Preisindex,4,FALSE),2),IF(AND($E108&lt;&gt;0,$F108&gt;0,YEAR($F108)&gt;=Preisindex!$A$6,YEAR(EC$4)&gt;=YEAR($F108),$K108="k"),ROUND(VLOOKUP(EH$4,Preisindex,2,FALSE)/VLOOKUP(YEAR($F108),Preisindex,2,FALSE),2),0)))))</f>
        <v>0</v>
      </c>
      <c r="EI108" s="56">
        <f>IF(AND($E108&lt;&gt;0,$F108&gt;0,YEAR($F108)&lt;Preisindex!$A$6,YEAR(EC$4)&gt;=YEAR($F108),AND($K108&lt;&gt;"a",$K108&lt;&gt;"b",$K108&lt;&gt;"g",$K108&lt;&gt;"k")),1,IF(AND($E108&lt;&gt;0,$F108&gt;0,YEAR($F108)&lt;Preisindex!$A$6,YEAR(EC$4)&gt;=YEAR($F108),$K108="a"),ROUND(VLOOKUP(EH$4,Preisindex,5,FALSE)/VLOOKUP(Preisindex!$A$6,Preisindex,5,FALSE),2),IF(AND($E108&lt;&gt;0,$F108&gt;0,YEAR($F108)&lt;Preisindex!$A$6,YEAR(EC$4)&gt;=YEAR($F108),$K108="b"),ROUND(VLOOKUP(EH$4,Preisindex,3,FALSE)/VLOOKUP(Preisindex!$A$6,Preisindex,3,FALSE),2),IF(AND($E108&lt;&gt;0,$F108&gt;0,YEAR($F108)&lt;Preisindex!$A$6,YEAR(EC$4)&gt;=YEAR($F108),$K108="g"),ROUND(VLOOKUP(EH$4,Preisindex,4,FALSE)/VLOOKUP(Preisindex!$A$6,Preisindex,4,FALSE),2),IF(AND($E108&lt;&gt;0,$F108&gt;0,YEAR($F108)&lt;Preisindex!$A$6,YEAR(EC$4)&gt;=YEAR($F108),$K108="k"),ROUND(VLOOKUP(EH$4,Preisindex,2,FALSE)/VLOOKUP(Preisindex!$A$6,Preisindex,2,FALSE),2),0)))))</f>
        <v>0</v>
      </c>
      <c r="EJ108" s="51">
        <f>IF(AND($E108&lt;&gt;0,$F108&gt;0,YEAR($F108)&lt;=EH$4,YEAR($F108)&gt;=Preisindex!$A$6),ROUND($E108*EH108,2),IF(AND($E108&lt;&gt;0,$F108&gt;0,YEAR($F108)&lt;=EH$4,YEAR($F108)&lt;Preisindex!$A$6),ROUND($E108*EI108,2),0))</f>
        <v>0</v>
      </c>
      <c r="EK108" s="53">
        <f t="shared" si="410"/>
        <v>0</v>
      </c>
      <c r="EL108" s="51">
        <f t="shared" si="489"/>
        <v>0</v>
      </c>
      <c r="EM108" s="51">
        <f t="shared" si="478"/>
        <v>0</v>
      </c>
      <c r="EN108" s="51">
        <f t="shared" si="411"/>
        <v>0</v>
      </c>
      <c r="EO108" s="51">
        <f t="shared" si="479"/>
        <v>0</v>
      </c>
      <c r="EP108" s="51">
        <f t="shared" si="412"/>
        <v>0</v>
      </c>
      <c r="EQ108" s="51">
        <f t="shared" si="480"/>
        <v>0</v>
      </c>
      <c r="ER108" s="51">
        <f t="shared" si="413"/>
        <v>0</v>
      </c>
      <c r="ES108" s="51">
        <f t="shared" si="481"/>
        <v>0</v>
      </c>
      <c r="ET108" s="51">
        <f t="shared" si="414"/>
        <v>0</v>
      </c>
      <c r="EU108" s="51">
        <f t="shared" si="482"/>
        <v>0</v>
      </c>
      <c r="EV108" s="51">
        <f t="shared" si="415"/>
        <v>0</v>
      </c>
      <c r="EW108" s="54">
        <f t="shared" si="416"/>
        <v>0</v>
      </c>
      <c r="EX108" s="55">
        <f t="shared" si="417"/>
        <v>0</v>
      </c>
      <c r="EY108" s="56">
        <f>IF(AND($E108&lt;&gt;0,$F108&gt;0,YEAR($F108)&gt;=Preisindex!$A$6,YEAR(ET$4)&gt;=YEAR($F108),AND($K108&lt;&gt;"a",$K108&lt;&gt;"b",$K108&lt;&gt;"g",$K108&lt;&gt;"k")),1,IF(AND($E108&lt;&gt;0,$F108&gt;0,YEAR($F108)&gt;=Preisindex!$A$6,YEAR(ET$4)&gt;=YEAR($F108),$K108="a"),ROUND(VLOOKUP(EY$4,Preisindex,5,FALSE)/VLOOKUP(YEAR($F108),Preisindex,5,FALSE),2),IF(AND($E108&lt;&gt;0,$F108&gt;0,YEAR($F108)&gt;=Preisindex!$A$6,YEAR(ET$4)&gt;=YEAR($F108),$K108="b"),ROUND(VLOOKUP(EY$4,Preisindex,3,FALSE)/VLOOKUP(YEAR($F108),Preisindex,3,FALSE),2),IF(AND($E108&lt;&gt;0,$F108&gt;0,YEAR($F108)&gt;=Preisindex!$A$6,YEAR(ET$4)&gt;=YEAR($F108),$K108="g"),ROUND(VLOOKUP(EY$4,Preisindex,4,FALSE)/VLOOKUP(YEAR($F108),Preisindex,4,FALSE),2),IF(AND($E108&lt;&gt;0,$F108&gt;0,YEAR($F108)&gt;=Preisindex!$A$6,YEAR(ET$4)&gt;=YEAR($F108),$K108="k"),ROUND(VLOOKUP(EY$4,Preisindex,2,FALSE)/VLOOKUP(YEAR($F108),Preisindex,2,FALSE),2),0)))))</f>
        <v>0</v>
      </c>
      <c r="EZ108" s="56">
        <f>IF(AND($E108&lt;&gt;0,$F108&gt;0,YEAR($F108)&lt;Preisindex!$A$6,YEAR(ET$4)&gt;=YEAR($F108),AND($K108&lt;&gt;"a",$K108&lt;&gt;"b",$K108&lt;&gt;"g",$K108&lt;&gt;"k")),1,IF(AND($E108&lt;&gt;0,$F108&gt;0,YEAR($F108)&lt;Preisindex!$A$6,YEAR(ET$4)&gt;=YEAR($F108),$K108="a"),ROUND(VLOOKUP(EY$4,Preisindex,5,FALSE)/VLOOKUP(Preisindex!$A$6,Preisindex,5,FALSE),2),IF(AND($E108&lt;&gt;0,$F108&gt;0,YEAR($F108)&lt;Preisindex!$A$6,YEAR(ET$4)&gt;=YEAR($F108),$K108="b"),ROUND(VLOOKUP(EY$4,Preisindex,3,FALSE)/VLOOKUP(Preisindex!$A$6,Preisindex,3,FALSE),2),IF(AND($E108&lt;&gt;0,$F108&gt;0,YEAR($F108)&lt;Preisindex!$A$6,YEAR(ET$4)&gt;=YEAR($F108),$K108="g"),ROUND(VLOOKUP(EY$4,Preisindex,4,FALSE)/VLOOKUP(Preisindex!$A$6,Preisindex,4,FALSE),2),IF(AND($E108&lt;&gt;0,$F108&gt;0,YEAR($F108)&lt;Preisindex!$A$6,YEAR(ET$4)&gt;=YEAR($F108),$K108="k"),ROUND(VLOOKUP(EY$4,Preisindex,2,FALSE)/VLOOKUP(Preisindex!$A$6,Preisindex,2,FALSE),2),0)))))</f>
        <v>0</v>
      </c>
      <c r="FA108" s="51">
        <f>IF(AND($E108&lt;&gt;0,$F108&gt;0,YEAR($F108)&lt;=EY$4,YEAR($F108)&gt;=Preisindex!$A$6),ROUND($E108*EY108,2),IF(AND($E108&lt;&gt;0,$F108&gt;0,YEAR($F108)&lt;=EY$4,YEAR($F108)&lt;Preisindex!$A$6),ROUND($E108*EZ108,2),0))</f>
        <v>0</v>
      </c>
      <c r="FB108" s="53">
        <f t="shared" si="418"/>
        <v>0</v>
      </c>
      <c r="FC108" s="51">
        <f t="shared" si="489"/>
        <v>0</v>
      </c>
      <c r="FD108" s="51">
        <f t="shared" si="483"/>
        <v>0</v>
      </c>
      <c r="FE108" s="51">
        <f t="shared" si="419"/>
        <v>0</v>
      </c>
      <c r="FF108" s="51">
        <f t="shared" si="484"/>
        <v>0</v>
      </c>
      <c r="FG108" s="51">
        <f t="shared" si="420"/>
        <v>0</v>
      </c>
      <c r="FH108" s="51">
        <f t="shared" si="485"/>
        <v>0</v>
      </c>
      <c r="FI108" s="51">
        <f t="shared" si="421"/>
        <v>0</v>
      </c>
      <c r="FJ108" s="51">
        <f t="shared" si="486"/>
        <v>0</v>
      </c>
      <c r="FK108" s="51">
        <f t="shared" si="422"/>
        <v>0</v>
      </c>
      <c r="FL108" s="51">
        <f t="shared" si="487"/>
        <v>0</v>
      </c>
      <c r="FM108" s="51">
        <f t="shared" si="423"/>
        <v>0</v>
      </c>
      <c r="FN108" s="54">
        <f t="shared" si="424"/>
        <v>0</v>
      </c>
      <c r="FO108" s="55">
        <f t="shared" si="425"/>
        <v>0</v>
      </c>
      <c r="FP108" s="56">
        <f>IF(AND($E108&lt;&gt;0,$F108&gt;0,YEAR($F108)&gt;=Preisindex!$A$6,YEAR(FK$4)&gt;=YEAR($F108),AND($K108&lt;&gt;"a",$K108&lt;&gt;"b",$K108&lt;&gt;"g",$K108&lt;&gt;"k")),1,IF(AND($E108&lt;&gt;0,$F108&gt;0,YEAR($F108)&gt;=Preisindex!$A$6,YEAR(FK$4)&gt;=YEAR($F108),$K108="a"),ROUND(VLOOKUP(FP$4,Preisindex,5,FALSE)/VLOOKUP(YEAR($F108),Preisindex,5,FALSE),2),IF(AND($E108&lt;&gt;0,$F108&gt;0,YEAR($F108)&gt;=Preisindex!$A$6,YEAR(FK$4)&gt;=YEAR($F108),$K108="b"),ROUND(VLOOKUP(FP$4,Preisindex,3,FALSE)/VLOOKUP(YEAR($F108),Preisindex,3,FALSE),2),IF(AND($E108&lt;&gt;0,$F108&gt;0,YEAR($F108)&gt;=Preisindex!$A$6,YEAR(FK$4)&gt;=YEAR($F108),$K108="g"),ROUND(VLOOKUP(FP$4,Preisindex,4,FALSE)/VLOOKUP(YEAR($F108),Preisindex,4,FALSE),2),IF(AND($E108&lt;&gt;0,$F108&gt;0,YEAR($F108)&gt;=Preisindex!$A$6,YEAR(FK$4)&gt;=YEAR($F108),$K108="k"),ROUND(VLOOKUP(FP$4,Preisindex,2,FALSE)/VLOOKUP(YEAR($F108),Preisindex,2,FALSE),2),0)))))</f>
        <v>0</v>
      </c>
      <c r="FQ108" s="56">
        <f>IF(AND($E108&lt;&gt;0,$F108&gt;0,YEAR($F108)&lt;Preisindex!$A$6,YEAR(FK$4)&gt;=YEAR($F108),AND($K108&lt;&gt;"a",$K108&lt;&gt;"b",$K108&lt;&gt;"g",$K108&lt;&gt;"k")),1,IF(AND($E108&lt;&gt;0,$F108&gt;0,YEAR($F108)&lt;Preisindex!$A$6,YEAR(FK$4)&gt;=YEAR($F108),$K108="a"),ROUND(VLOOKUP(FP$4,Preisindex,5,FALSE)/VLOOKUP(Preisindex!$A$6,Preisindex,5,FALSE),2),IF(AND($E108&lt;&gt;0,$F108&gt;0,YEAR($F108)&lt;Preisindex!$A$6,YEAR(FK$4)&gt;=YEAR($F108),$K108="b"),ROUND(VLOOKUP(FP$4,Preisindex,3,FALSE)/VLOOKUP(Preisindex!$A$6,Preisindex,3,FALSE),2),IF(AND($E108&lt;&gt;0,$F108&gt;0,YEAR($F108)&lt;Preisindex!$A$6,YEAR(FK$4)&gt;=YEAR($F108),$K108="g"),ROUND(VLOOKUP(FP$4,Preisindex,4,FALSE)/VLOOKUP(Preisindex!$A$6,Preisindex,4,FALSE),2),IF(AND($E108&lt;&gt;0,$F108&gt;0,YEAR($F108)&lt;Preisindex!$A$6,YEAR(FK$4)&gt;=YEAR($F108),$K108="k"),ROUND(VLOOKUP(FP$4,Preisindex,2,FALSE)/VLOOKUP(Preisindex!$A$6,Preisindex,2,FALSE),2),0)))))</f>
        <v>0</v>
      </c>
      <c r="FR108" s="51">
        <f>IF(AND($E108&lt;&gt;0,$F108&gt;0,YEAR($F108)&lt;=FP$4,YEAR($F108)&gt;=Preisindex!$A$6),ROUND($E108*FP108,2),IF(AND($E108&lt;&gt;0,$F108&gt;0,YEAR($F108)&lt;=FP$4,YEAR($F108)&lt;Preisindex!$A$6),ROUND($E108*FQ108,2),0))</f>
        <v>0</v>
      </c>
      <c r="FS108" s="53">
        <f t="shared" si="426"/>
        <v>0</v>
      </c>
    </row>
    <row r="109" spans="1:175" x14ac:dyDescent="0.3">
      <c r="A109" s="93"/>
      <c r="B109" s="94"/>
      <c r="C109" s="94"/>
      <c r="D109" s="95"/>
      <c r="E109" s="99"/>
      <c r="F109" s="97"/>
      <c r="G109" s="98"/>
      <c r="H109" s="620"/>
      <c r="I109" s="621"/>
      <c r="J109" s="194"/>
      <c r="K109" s="630"/>
      <c r="L109" s="49">
        <f t="shared" si="427"/>
        <v>0</v>
      </c>
      <c r="M109" s="50">
        <f t="shared" si="428"/>
        <v>0</v>
      </c>
      <c r="N109" s="51">
        <f t="shared" si="429"/>
        <v>0</v>
      </c>
      <c r="O109" s="51"/>
      <c r="P109" s="51">
        <f t="shared" si="430"/>
        <v>0</v>
      </c>
      <c r="Q109" s="52"/>
      <c r="R109" s="52"/>
      <c r="S109" s="52"/>
      <c r="T109" s="52"/>
      <c r="U109" s="52"/>
      <c r="V109" s="53">
        <f t="shared" si="431"/>
        <v>0</v>
      </c>
      <c r="W109" s="51">
        <f t="shared" si="432"/>
        <v>0</v>
      </c>
      <c r="X109" s="51">
        <f t="shared" si="433"/>
        <v>0</v>
      </c>
      <c r="Y109" s="51">
        <f t="shared" si="434"/>
        <v>0</v>
      </c>
      <c r="Z109" s="51">
        <f t="shared" si="435"/>
        <v>0</v>
      </c>
      <c r="AA109" s="51">
        <f t="shared" si="436"/>
        <v>0</v>
      </c>
      <c r="AB109" s="51">
        <f t="shared" si="437"/>
        <v>0</v>
      </c>
      <c r="AC109" s="51">
        <f t="shared" si="438"/>
        <v>0</v>
      </c>
      <c r="AD109" s="51">
        <f t="shared" si="439"/>
        <v>0</v>
      </c>
      <c r="AE109" s="51">
        <f t="shared" si="440"/>
        <v>0</v>
      </c>
      <c r="AF109" s="51">
        <f t="shared" si="441"/>
        <v>0</v>
      </c>
      <c r="AG109" s="51">
        <f t="shared" si="442"/>
        <v>0</v>
      </c>
      <c r="AH109" s="54">
        <f t="shared" si="443"/>
        <v>0</v>
      </c>
      <c r="AI109" s="55">
        <f t="shared" si="444"/>
        <v>0</v>
      </c>
      <c r="AJ109" s="56">
        <f>IF(AND($E109&lt;&gt;0,$F109&gt;0,YEAR($F109)&gt;=Preisindex!$A$6,YEAR(AE$4)&gt;=YEAR($F109),AND($K109&lt;&gt;"a",$K109&lt;&gt;"b",$K109&lt;&gt;"g",$K109&lt;&gt;"k")),1,IF(AND($E109&lt;&gt;0,$F109&gt;0,YEAR($F109)&gt;=Preisindex!$A$6,YEAR(AE$4)&gt;=YEAR($F109),$K109="a"),ROUND(VLOOKUP(AJ$4,Preisindex,5,FALSE)/VLOOKUP(YEAR($F109),Preisindex,5,FALSE),2),IF(AND($E109&lt;&gt;0,$F109&gt;0,YEAR($F109)&gt;=Preisindex!$A$6,YEAR(AE$4)&gt;=YEAR($F109),$K109="b"),ROUND(VLOOKUP(AJ$4,Preisindex,3,FALSE)/VLOOKUP(YEAR($F109),Preisindex,3,FALSE),2),IF(AND($E109&lt;&gt;0,$F109&gt;0,YEAR($F109)&gt;=Preisindex!$A$6,YEAR(AE$4)&gt;=YEAR($F109),$K109="g"),ROUND(VLOOKUP(AJ$4,Preisindex,4,FALSE)/VLOOKUP(YEAR($F109),Preisindex,4,FALSE),2),IF(AND($E109&lt;&gt;0,$F109&gt;0,YEAR($F109)&gt;=Preisindex!$A$6,YEAR(AE$4)&gt;=YEAR($F109),$K109="k"),ROUND(VLOOKUP(AJ$4,Preisindex,2,FALSE)/VLOOKUP(YEAR($F109),Preisindex,2,FALSE),2),0)))))</f>
        <v>0</v>
      </c>
      <c r="AK109" s="56">
        <f>IF(AND($E109&lt;&gt;0,$F109&gt;0,YEAR($F109)&lt;Preisindex!$A$6,YEAR(AE$4)&gt;=YEAR($F109),AND($K109&lt;&gt;"a",$K109&lt;&gt;"b",$K109&lt;&gt;"g",$K109&lt;&gt;"k")),1,IF(AND($E109&lt;&gt;0,$F109&gt;0,YEAR($F109)&lt;Preisindex!$A$6,YEAR(AE$4)&gt;=YEAR($F109),$K109="a"),ROUND(VLOOKUP(AJ$4,Preisindex,5,FALSE)/VLOOKUP(Preisindex!$A$6,Preisindex,5,FALSE),2),IF(AND($E109&lt;&gt;0,$F109&gt;0,YEAR($F109)&lt;Preisindex!$A$6,YEAR(AE$4)&gt;=YEAR($F109),$K109="b"),ROUND(VLOOKUP(AJ$4,Preisindex,3,FALSE)/VLOOKUP(Preisindex!$A$6,Preisindex,3,FALSE),2),IF(AND($E109&lt;&gt;0,$F109&gt;0,YEAR($F109)&lt;Preisindex!$A$6,YEAR(AE$4)&gt;=YEAR($F109),$K109="g"),ROUND(VLOOKUP(AJ$4,Preisindex,4,FALSE)/VLOOKUP(Preisindex!$A$6,Preisindex,4,FALSE),2),IF(AND($E109&lt;&gt;0,$F109&gt;0,YEAR($F109)&lt;Preisindex!$A$6,YEAR(AE$4)&gt;=YEAR($F109),$K109="k"),ROUND(VLOOKUP(AJ$4,Preisindex,2,FALSE)/VLOOKUP(Preisindex!$A$6,Preisindex,2,FALSE),2),0)))))</f>
        <v>0</v>
      </c>
      <c r="AL109" s="51">
        <f>IF(AND($E109&lt;&gt;0,$F109&gt;0,YEAR($F109)&lt;=AJ$4,YEAR($F109)&gt;=Preisindex!$A$6),ROUND($E109*AJ109,2),IF(AND($E109&lt;&gt;0,$F109&gt;0,YEAR($F109)&lt;=AJ$4,YEAR($F109)&lt;Preisindex!$A$6),ROUND($E109*AK109,2),0))</f>
        <v>0</v>
      </c>
      <c r="AM109" s="53">
        <f t="shared" si="445"/>
        <v>0</v>
      </c>
      <c r="AN109" s="51">
        <f t="shared" si="488"/>
        <v>0</v>
      </c>
      <c r="AO109" s="51">
        <f t="shared" si="448"/>
        <v>0</v>
      </c>
      <c r="AP109" s="51">
        <f t="shared" si="362"/>
        <v>0</v>
      </c>
      <c r="AQ109" s="51">
        <f t="shared" si="449"/>
        <v>0</v>
      </c>
      <c r="AR109" s="51">
        <f t="shared" si="363"/>
        <v>0</v>
      </c>
      <c r="AS109" s="51">
        <f t="shared" si="450"/>
        <v>0</v>
      </c>
      <c r="AT109" s="51">
        <f t="shared" si="364"/>
        <v>0</v>
      </c>
      <c r="AU109" s="51">
        <f t="shared" si="451"/>
        <v>0</v>
      </c>
      <c r="AV109" s="51">
        <f t="shared" si="365"/>
        <v>0</v>
      </c>
      <c r="AW109" s="51">
        <f t="shared" si="452"/>
        <v>0</v>
      </c>
      <c r="AX109" s="51">
        <f t="shared" si="366"/>
        <v>0</v>
      </c>
      <c r="AY109" s="54">
        <f t="shared" si="367"/>
        <v>0</v>
      </c>
      <c r="AZ109" s="55">
        <f t="shared" si="368"/>
        <v>0</v>
      </c>
      <c r="BA109" s="56">
        <f>IF(AND($E109&lt;&gt;0,$F109&gt;0,YEAR($F109)&gt;=Preisindex!$A$6,YEAR(AV$4)&gt;=YEAR($F109),AND($K109&lt;&gt;"a",$K109&lt;&gt;"b",$K109&lt;&gt;"g",$K109&lt;&gt;"k")),1,IF(AND($E109&lt;&gt;0,$F109&gt;0,YEAR($F109)&gt;=Preisindex!$A$6,YEAR(AV$4)&gt;=YEAR($F109),$K109="a"),ROUND(VLOOKUP(BA$4,Preisindex,5,FALSE)/VLOOKUP(YEAR($F109),Preisindex,5,FALSE),2),IF(AND($E109&lt;&gt;0,$F109&gt;0,YEAR($F109)&gt;=Preisindex!$A$6,YEAR(AV$4)&gt;=YEAR($F109),$K109="b"),ROUND(VLOOKUP(BA$4,Preisindex,3,FALSE)/VLOOKUP(YEAR($F109),Preisindex,3,FALSE),2),IF(AND($E109&lt;&gt;0,$F109&gt;0,YEAR($F109)&gt;=Preisindex!$A$6,YEAR(AV$4)&gt;=YEAR($F109),$K109="g"),ROUND(VLOOKUP(BA$4,Preisindex,4,FALSE)/VLOOKUP(YEAR($F109),Preisindex,4,FALSE),2),IF(AND($E109&lt;&gt;0,$F109&gt;0,YEAR($F109)&gt;=Preisindex!$A$6,YEAR(AV$4)&gt;=YEAR($F109),$K109="k"),ROUND(VLOOKUP(BA$4,Preisindex,2,FALSE)/VLOOKUP(YEAR($F109),Preisindex,2,FALSE),2),0)))))</f>
        <v>0</v>
      </c>
      <c r="BB109" s="56">
        <f>IF(AND($E109&lt;&gt;0,$F109&gt;0,YEAR($F109)&lt;Preisindex!$A$6,YEAR(AV$4)&gt;=YEAR($F109),AND($K109&lt;&gt;"a",$K109&lt;&gt;"b",$K109&lt;&gt;"g",$K109&lt;&gt;"k")),1,IF(AND($E109&lt;&gt;0,$F109&gt;0,YEAR($F109)&lt;Preisindex!$A$6,YEAR(AV$4)&gt;=YEAR($F109),$K109="a"),ROUND(VLOOKUP(BA$4,Preisindex,5,FALSE)/VLOOKUP(Preisindex!$A$6,Preisindex,5,FALSE),2),IF(AND($E109&lt;&gt;0,$F109&gt;0,YEAR($F109)&lt;Preisindex!$A$6,YEAR(AV$4)&gt;=YEAR($F109),$K109="b"),ROUND(VLOOKUP(BA$4,Preisindex,3,FALSE)/VLOOKUP(Preisindex!$A$6,Preisindex,3,FALSE),2),IF(AND($E109&lt;&gt;0,$F109&gt;0,YEAR($F109)&lt;Preisindex!$A$6,YEAR(AV$4)&gt;=YEAR($F109),$K109="g"),ROUND(VLOOKUP(BA$4,Preisindex,4,FALSE)/VLOOKUP(Preisindex!$A$6,Preisindex,4,FALSE),2),IF(AND($E109&lt;&gt;0,$F109&gt;0,YEAR($F109)&lt;Preisindex!$A$6,YEAR(AV$4)&gt;=YEAR($F109),$K109="k"),ROUND(VLOOKUP(BA$4,Preisindex,2,FALSE)/VLOOKUP(Preisindex!$A$6,Preisindex,2,FALSE),2),0)))))</f>
        <v>0</v>
      </c>
      <c r="BC109" s="51">
        <f>IF(AND($E109&lt;&gt;0,$F109&gt;0,YEAR($F109)&lt;=BA$4,YEAR($F109)&gt;=Preisindex!$A$6),ROUND($E109*BA109,2),IF(AND($E109&lt;&gt;0,$F109&gt;0,YEAR($F109)&lt;=BA$4,YEAR($F109)&lt;Preisindex!$A$6),ROUND($E109*BB109,2),0))</f>
        <v>0</v>
      </c>
      <c r="BD109" s="53">
        <f t="shared" si="369"/>
        <v>0</v>
      </c>
      <c r="BE109" s="51">
        <f t="shared" si="488"/>
        <v>0</v>
      </c>
      <c r="BF109" s="51">
        <f t="shared" si="453"/>
        <v>0</v>
      </c>
      <c r="BG109" s="51">
        <f t="shared" si="370"/>
        <v>0</v>
      </c>
      <c r="BH109" s="51">
        <f t="shared" si="454"/>
        <v>0</v>
      </c>
      <c r="BI109" s="51">
        <f t="shared" si="371"/>
        <v>0</v>
      </c>
      <c r="BJ109" s="51">
        <f t="shared" si="455"/>
        <v>0</v>
      </c>
      <c r="BK109" s="51">
        <f t="shared" si="372"/>
        <v>0</v>
      </c>
      <c r="BL109" s="51">
        <f t="shared" si="456"/>
        <v>0</v>
      </c>
      <c r="BM109" s="51">
        <f t="shared" si="373"/>
        <v>0</v>
      </c>
      <c r="BN109" s="51">
        <f t="shared" si="457"/>
        <v>0</v>
      </c>
      <c r="BO109" s="51">
        <f t="shared" si="374"/>
        <v>0</v>
      </c>
      <c r="BP109" s="54">
        <f t="shared" si="375"/>
        <v>0</v>
      </c>
      <c r="BQ109" s="55">
        <f t="shared" si="376"/>
        <v>0</v>
      </c>
      <c r="BR109" s="56">
        <f>IF(AND($E109&lt;&gt;0,$F109&gt;0,YEAR($F109)&gt;=Preisindex!$A$6,YEAR(BM$4)&gt;=YEAR($F109),AND($K109&lt;&gt;"a",$K109&lt;&gt;"b",$K109&lt;&gt;"g",$K109&lt;&gt;"k")),1,IF(AND($E109&lt;&gt;0,$F109&gt;0,YEAR($F109)&gt;=Preisindex!$A$6,YEAR(BM$4)&gt;=YEAR($F109),$K109="a"),ROUND(VLOOKUP(BR$4,Preisindex,5,FALSE)/VLOOKUP(YEAR($F109),Preisindex,5,FALSE),2),IF(AND($E109&lt;&gt;0,$F109&gt;0,YEAR($F109)&gt;=Preisindex!$A$6,YEAR(BM$4)&gt;=YEAR($F109),$K109="b"),ROUND(VLOOKUP(BR$4,Preisindex,3,FALSE)/VLOOKUP(YEAR($F109),Preisindex,3,FALSE),2),IF(AND($E109&lt;&gt;0,$F109&gt;0,YEAR($F109)&gt;=Preisindex!$A$6,YEAR(BM$4)&gt;=YEAR($F109),$K109="g"),ROUND(VLOOKUP(BR$4,Preisindex,4,FALSE)/VLOOKUP(YEAR($F109),Preisindex,4,FALSE),2),IF(AND($E109&lt;&gt;0,$F109&gt;0,YEAR($F109)&gt;=Preisindex!$A$6,YEAR(BM$4)&gt;=YEAR($F109),$K109="k"),ROUND(VLOOKUP(BR$4,Preisindex,2,FALSE)/VLOOKUP(YEAR($F109),Preisindex,2,FALSE),2),0)))))</f>
        <v>0</v>
      </c>
      <c r="BS109" s="56">
        <f>IF(AND($E109&lt;&gt;0,$F109&gt;0,YEAR($F109)&lt;Preisindex!$A$6,YEAR(BM$4)&gt;=YEAR($F109),AND($K109&lt;&gt;"a",$K109&lt;&gt;"b",$K109&lt;&gt;"g",$K109&lt;&gt;"k")),1,IF(AND($E109&lt;&gt;0,$F109&gt;0,YEAR($F109)&lt;Preisindex!$A$6,YEAR(BM$4)&gt;=YEAR($F109),$K109="a"),ROUND(VLOOKUP(BR$4,Preisindex,5,FALSE)/VLOOKUP(Preisindex!$A$6,Preisindex,5,FALSE),2),IF(AND($E109&lt;&gt;0,$F109&gt;0,YEAR($F109)&lt;Preisindex!$A$6,YEAR(BM$4)&gt;=YEAR($F109),$K109="b"),ROUND(VLOOKUP(BR$4,Preisindex,3,FALSE)/VLOOKUP(Preisindex!$A$6,Preisindex,3,FALSE),2),IF(AND($E109&lt;&gt;0,$F109&gt;0,YEAR($F109)&lt;Preisindex!$A$6,YEAR(BM$4)&gt;=YEAR($F109),$K109="g"),ROUND(VLOOKUP(BR$4,Preisindex,4,FALSE)/VLOOKUP(Preisindex!$A$6,Preisindex,4,FALSE),2),IF(AND($E109&lt;&gt;0,$F109&gt;0,YEAR($F109)&lt;Preisindex!$A$6,YEAR(BM$4)&gt;=YEAR($F109),$K109="k"),ROUND(VLOOKUP(BR$4,Preisindex,2,FALSE)/VLOOKUP(Preisindex!$A$6,Preisindex,2,FALSE),2),0)))))</f>
        <v>0</v>
      </c>
      <c r="BT109" s="51">
        <f>IF(AND($E109&lt;&gt;0,$F109&gt;0,YEAR($F109)&lt;=BR$4,YEAR($F109)&gt;=Preisindex!$A$6),ROUND($E109*BR109,2),IF(AND($E109&lt;&gt;0,$F109&gt;0,YEAR($F109)&lt;=BR$4,YEAR($F109)&lt;Preisindex!$A$6),ROUND($E109*BS109,2),0))</f>
        <v>0</v>
      </c>
      <c r="BU109" s="53">
        <f t="shared" si="377"/>
        <v>0</v>
      </c>
      <c r="BV109" s="51">
        <f t="shared" si="488"/>
        <v>0</v>
      </c>
      <c r="BW109" s="51">
        <f t="shared" si="458"/>
        <v>0</v>
      </c>
      <c r="BX109" s="51">
        <f t="shared" si="378"/>
        <v>0</v>
      </c>
      <c r="BY109" s="51">
        <f t="shared" si="459"/>
        <v>0</v>
      </c>
      <c r="BZ109" s="51">
        <f t="shared" si="379"/>
        <v>0</v>
      </c>
      <c r="CA109" s="51">
        <f t="shared" si="460"/>
        <v>0</v>
      </c>
      <c r="CB109" s="51">
        <f t="shared" si="380"/>
        <v>0</v>
      </c>
      <c r="CC109" s="51">
        <f t="shared" si="461"/>
        <v>0</v>
      </c>
      <c r="CD109" s="51">
        <f t="shared" si="381"/>
        <v>0</v>
      </c>
      <c r="CE109" s="51">
        <f t="shared" si="462"/>
        <v>0</v>
      </c>
      <c r="CF109" s="51">
        <f t="shared" si="382"/>
        <v>0</v>
      </c>
      <c r="CG109" s="54">
        <f t="shared" si="383"/>
        <v>0</v>
      </c>
      <c r="CH109" s="55">
        <f t="shared" si="384"/>
        <v>0</v>
      </c>
      <c r="CI109" s="56">
        <f>IF(AND($E109&lt;&gt;0,$F109&gt;0,YEAR($F109)&gt;=Preisindex!$A$6,YEAR(CD$4)&gt;=YEAR($F109),AND($K109&lt;&gt;"a",$K109&lt;&gt;"b",$K109&lt;&gt;"g",$K109&lt;&gt;"k")),1,IF(AND($E109&lt;&gt;0,$F109&gt;0,YEAR($F109)&gt;=Preisindex!$A$6,YEAR(CD$4)&gt;=YEAR($F109),$K109="a"),ROUND(VLOOKUP(CI$4,Preisindex,5,FALSE)/VLOOKUP(YEAR($F109),Preisindex,5,FALSE),2),IF(AND($E109&lt;&gt;0,$F109&gt;0,YEAR($F109)&gt;=Preisindex!$A$6,YEAR(CD$4)&gt;=YEAR($F109),$K109="b"),ROUND(VLOOKUP(CI$4,Preisindex,3,FALSE)/VLOOKUP(YEAR($F109),Preisindex,3,FALSE),2),IF(AND($E109&lt;&gt;0,$F109&gt;0,YEAR($F109)&gt;=Preisindex!$A$6,YEAR(CD$4)&gt;=YEAR($F109),$K109="g"),ROUND(VLOOKUP(CI$4,Preisindex,4,FALSE)/VLOOKUP(YEAR($F109),Preisindex,4,FALSE),2),IF(AND($E109&lt;&gt;0,$F109&gt;0,YEAR($F109)&gt;=Preisindex!$A$6,YEAR(CD$4)&gt;=YEAR($F109),$K109="k"),ROUND(VLOOKUP(CI$4,Preisindex,2,FALSE)/VLOOKUP(YEAR($F109),Preisindex,2,FALSE),2),0)))))</f>
        <v>0</v>
      </c>
      <c r="CJ109" s="56">
        <f>IF(AND($E109&lt;&gt;0,$F109&gt;0,YEAR($F109)&lt;Preisindex!$A$6,YEAR(CD$4)&gt;=YEAR($F109),AND($K109&lt;&gt;"a",$K109&lt;&gt;"b",$K109&lt;&gt;"g",$K109&lt;&gt;"k")),1,IF(AND($E109&lt;&gt;0,$F109&gt;0,YEAR($F109)&lt;Preisindex!$A$6,YEAR(CD$4)&gt;=YEAR($F109),$K109="a"),ROUND(VLOOKUP(CI$4,Preisindex,5,FALSE)/VLOOKUP(Preisindex!$A$6,Preisindex,5,FALSE),2),IF(AND($E109&lt;&gt;0,$F109&gt;0,YEAR($F109)&lt;Preisindex!$A$6,YEAR(CD$4)&gt;=YEAR($F109),$K109="b"),ROUND(VLOOKUP(CI$4,Preisindex,3,FALSE)/VLOOKUP(Preisindex!$A$6,Preisindex,3,FALSE),2),IF(AND($E109&lt;&gt;0,$F109&gt;0,YEAR($F109)&lt;Preisindex!$A$6,YEAR(CD$4)&gt;=YEAR($F109),$K109="g"),ROUND(VLOOKUP(CI$4,Preisindex,4,FALSE)/VLOOKUP(Preisindex!$A$6,Preisindex,4,FALSE),2),IF(AND($E109&lt;&gt;0,$F109&gt;0,YEAR($F109)&lt;Preisindex!$A$6,YEAR(CD$4)&gt;=YEAR($F109),$K109="k"),ROUND(VLOOKUP(CI$4,Preisindex,2,FALSE)/VLOOKUP(Preisindex!$A$6,Preisindex,2,FALSE),2),0)))))</f>
        <v>0</v>
      </c>
      <c r="CK109" s="51">
        <f>IF(AND($E109&lt;&gt;0,$F109&gt;0,YEAR($F109)&lt;=CI$4,YEAR($F109)&gt;=Preisindex!$A$6),ROUND($E109*CI109,2),IF(AND($E109&lt;&gt;0,$F109&gt;0,YEAR($F109)&lt;=CI$4,YEAR($F109)&lt;Preisindex!$A$6),ROUND($E109*CJ109,2),0))</f>
        <v>0</v>
      </c>
      <c r="CL109" s="53">
        <f t="shared" si="385"/>
        <v>0</v>
      </c>
      <c r="CM109" s="51">
        <f t="shared" si="488"/>
        <v>0</v>
      </c>
      <c r="CN109" s="51">
        <f t="shared" si="463"/>
        <v>0</v>
      </c>
      <c r="CO109" s="51">
        <f t="shared" si="386"/>
        <v>0</v>
      </c>
      <c r="CP109" s="51">
        <f t="shared" si="464"/>
        <v>0</v>
      </c>
      <c r="CQ109" s="51">
        <f t="shared" si="387"/>
        <v>0</v>
      </c>
      <c r="CR109" s="51">
        <f t="shared" si="465"/>
        <v>0</v>
      </c>
      <c r="CS109" s="51">
        <f t="shared" si="388"/>
        <v>0</v>
      </c>
      <c r="CT109" s="51">
        <f t="shared" si="466"/>
        <v>0</v>
      </c>
      <c r="CU109" s="51">
        <f t="shared" si="389"/>
        <v>0</v>
      </c>
      <c r="CV109" s="51">
        <f t="shared" si="467"/>
        <v>0</v>
      </c>
      <c r="CW109" s="51">
        <f t="shared" si="390"/>
        <v>0</v>
      </c>
      <c r="CX109" s="54">
        <f t="shared" si="391"/>
        <v>0</v>
      </c>
      <c r="CY109" s="55">
        <f t="shared" si="392"/>
        <v>0</v>
      </c>
      <c r="CZ109" s="56">
        <f>IF(AND($E109&lt;&gt;0,$F109&gt;0,YEAR($F109)&gt;=Preisindex!$A$6,YEAR(CU$4)&gt;=YEAR($F109),AND($K109&lt;&gt;"a",$K109&lt;&gt;"b",$K109&lt;&gt;"g",$K109&lt;&gt;"k")),1,IF(AND($E109&lt;&gt;0,$F109&gt;0,YEAR($F109)&gt;=Preisindex!$A$6,YEAR(CU$4)&gt;=YEAR($F109),$K109="a"),ROUND(VLOOKUP(CZ$4,Preisindex,5,FALSE)/VLOOKUP(YEAR($F109),Preisindex,5,FALSE),2),IF(AND($E109&lt;&gt;0,$F109&gt;0,YEAR($F109)&gt;=Preisindex!$A$6,YEAR(CU$4)&gt;=YEAR($F109),$K109="b"),ROUND(VLOOKUP(CZ$4,Preisindex,3,FALSE)/VLOOKUP(YEAR($F109),Preisindex,3,FALSE),2),IF(AND($E109&lt;&gt;0,$F109&gt;0,YEAR($F109)&gt;=Preisindex!$A$6,YEAR(CU$4)&gt;=YEAR($F109),$K109="g"),ROUND(VLOOKUP(CZ$4,Preisindex,4,FALSE)/VLOOKUP(YEAR($F109),Preisindex,4,FALSE),2),IF(AND($E109&lt;&gt;0,$F109&gt;0,YEAR($F109)&gt;=Preisindex!$A$6,YEAR(CU$4)&gt;=YEAR($F109),$K109="k"),ROUND(VLOOKUP(CZ$4,Preisindex,2,FALSE)/VLOOKUP(YEAR($F109),Preisindex,2,FALSE),2),0)))))</f>
        <v>0</v>
      </c>
      <c r="DA109" s="56">
        <f>IF(AND($E109&lt;&gt;0,$F109&gt;0,YEAR($F109)&lt;Preisindex!$A$6,YEAR(CU$4)&gt;=YEAR($F109),AND($K109&lt;&gt;"a",$K109&lt;&gt;"b",$K109&lt;&gt;"g",$K109&lt;&gt;"k")),1,IF(AND($E109&lt;&gt;0,$F109&gt;0,YEAR($F109)&lt;Preisindex!$A$6,YEAR(CU$4)&gt;=YEAR($F109),$K109="a"),ROUND(VLOOKUP(CZ$4,Preisindex,5,FALSE)/VLOOKUP(Preisindex!$A$6,Preisindex,5,FALSE),2),IF(AND($E109&lt;&gt;0,$F109&gt;0,YEAR($F109)&lt;Preisindex!$A$6,YEAR(CU$4)&gt;=YEAR($F109),$K109="b"),ROUND(VLOOKUP(CZ$4,Preisindex,3,FALSE)/VLOOKUP(Preisindex!$A$6,Preisindex,3,FALSE),2),IF(AND($E109&lt;&gt;0,$F109&gt;0,YEAR($F109)&lt;Preisindex!$A$6,YEAR(CU$4)&gt;=YEAR($F109),$K109="g"),ROUND(VLOOKUP(CZ$4,Preisindex,4,FALSE)/VLOOKUP(Preisindex!$A$6,Preisindex,4,FALSE),2),IF(AND($E109&lt;&gt;0,$F109&gt;0,YEAR($F109)&lt;Preisindex!$A$6,YEAR(CU$4)&gt;=YEAR($F109),$K109="k"),ROUND(VLOOKUP(CZ$4,Preisindex,2,FALSE)/VLOOKUP(Preisindex!$A$6,Preisindex,2,FALSE),2),0)))))</f>
        <v>0</v>
      </c>
      <c r="DB109" s="51">
        <f>IF(AND($E109&lt;&gt;0,$F109&gt;0,YEAR($F109)&lt;=CZ$4,YEAR($F109)&gt;=Preisindex!$A$6),ROUND($E109*CZ109,2),IF(AND($E109&lt;&gt;0,$F109&gt;0,YEAR($F109)&lt;=CZ$4,YEAR($F109)&lt;Preisindex!$A$6),ROUND($E109*DA109,2),0))</f>
        <v>0</v>
      </c>
      <c r="DC109" s="53">
        <f t="shared" si="393"/>
        <v>0</v>
      </c>
      <c r="DD109" s="51">
        <f t="shared" si="489"/>
        <v>0</v>
      </c>
      <c r="DE109" s="51">
        <f t="shared" si="468"/>
        <v>0</v>
      </c>
      <c r="DF109" s="51">
        <f t="shared" si="395"/>
        <v>0</v>
      </c>
      <c r="DG109" s="51">
        <f t="shared" si="469"/>
        <v>0</v>
      </c>
      <c r="DH109" s="51">
        <f t="shared" si="396"/>
        <v>0</v>
      </c>
      <c r="DI109" s="51">
        <f t="shared" si="470"/>
        <v>0</v>
      </c>
      <c r="DJ109" s="51">
        <f t="shared" si="397"/>
        <v>0</v>
      </c>
      <c r="DK109" s="51">
        <f t="shared" si="471"/>
        <v>0</v>
      </c>
      <c r="DL109" s="51">
        <f t="shared" si="398"/>
        <v>0</v>
      </c>
      <c r="DM109" s="51">
        <f t="shared" si="472"/>
        <v>0</v>
      </c>
      <c r="DN109" s="51">
        <f t="shared" si="399"/>
        <v>0</v>
      </c>
      <c r="DO109" s="54">
        <f t="shared" si="400"/>
        <v>0</v>
      </c>
      <c r="DP109" s="55">
        <f t="shared" si="401"/>
        <v>0</v>
      </c>
      <c r="DQ109" s="56">
        <f>IF(AND($E109&lt;&gt;0,$F109&gt;0,YEAR($F109)&gt;=Preisindex!$A$6,YEAR(DL$4)&gt;=YEAR($F109),AND($K109&lt;&gt;"a",$K109&lt;&gt;"b",$K109&lt;&gt;"g",$K109&lt;&gt;"k")),1,IF(AND($E109&lt;&gt;0,$F109&gt;0,YEAR($F109)&gt;=Preisindex!$A$6,YEAR(DL$4)&gt;=YEAR($F109),$K109="a"),ROUND(VLOOKUP(DQ$4,Preisindex,5,FALSE)/VLOOKUP(YEAR($F109),Preisindex,5,FALSE),2),IF(AND($E109&lt;&gt;0,$F109&gt;0,YEAR($F109)&gt;=Preisindex!$A$6,YEAR(DL$4)&gt;=YEAR($F109),$K109="b"),ROUND(VLOOKUP(DQ$4,Preisindex,3,FALSE)/VLOOKUP(YEAR($F109),Preisindex,3,FALSE),2),IF(AND($E109&lt;&gt;0,$F109&gt;0,YEAR($F109)&gt;=Preisindex!$A$6,YEAR(DL$4)&gt;=YEAR($F109),$K109="g"),ROUND(VLOOKUP(DQ$4,Preisindex,4,FALSE)/VLOOKUP(YEAR($F109),Preisindex,4,FALSE),2),IF(AND($E109&lt;&gt;0,$F109&gt;0,YEAR($F109)&gt;=Preisindex!$A$6,YEAR(DL$4)&gt;=YEAR($F109),$K109="k"),ROUND(VLOOKUP(DQ$4,Preisindex,2,FALSE)/VLOOKUP(YEAR($F109),Preisindex,2,FALSE),2),0)))))</f>
        <v>0</v>
      </c>
      <c r="DR109" s="56">
        <f>IF(AND($E109&lt;&gt;0,$F109&gt;0,YEAR($F109)&lt;Preisindex!$A$6,YEAR(DL$4)&gt;=YEAR($F109),AND($K109&lt;&gt;"a",$K109&lt;&gt;"b",$K109&lt;&gt;"g",$K109&lt;&gt;"k")),1,IF(AND($E109&lt;&gt;0,$F109&gt;0,YEAR($F109)&lt;Preisindex!$A$6,YEAR(DL$4)&gt;=YEAR($F109),$K109="a"),ROUND(VLOOKUP(DQ$4,Preisindex,5,FALSE)/VLOOKUP(Preisindex!$A$6,Preisindex,5,FALSE),2),IF(AND($E109&lt;&gt;0,$F109&gt;0,YEAR($F109)&lt;Preisindex!$A$6,YEAR(DL$4)&gt;=YEAR($F109),$K109="b"),ROUND(VLOOKUP(DQ$4,Preisindex,3,FALSE)/VLOOKUP(Preisindex!$A$6,Preisindex,3,FALSE),2),IF(AND($E109&lt;&gt;0,$F109&gt;0,YEAR($F109)&lt;Preisindex!$A$6,YEAR(DL$4)&gt;=YEAR($F109),$K109="g"),ROUND(VLOOKUP(DQ$4,Preisindex,4,FALSE)/VLOOKUP(Preisindex!$A$6,Preisindex,4,FALSE),2),IF(AND($E109&lt;&gt;0,$F109&gt;0,YEAR($F109)&lt;Preisindex!$A$6,YEAR(DL$4)&gt;=YEAR($F109),$K109="k"),ROUND(VLOOKUP(DQ$4,Preisindex,2,FALSE)/VLOOKUP(Preisindex!$A$6,Preisindex,2,FALSE),2),0)))))</f>
        <v>0</v>
      </c>
      <c r="DS109" s="51">
        <f>IF(AND($E109&lt;&gt;0,$F109&gt;0,YEAR($F109)&lt;=DQ$4,YEAR($F109)&gt;=Preisindex!$A$6),ROUND($E109*DQ109,2),IF(AND($E109&lt;&gt;0,$F109&gt;0,YEAR($F109)&lt;=DQ$4,YEAR($F109)&lt;Preisindex!$A$6),ROUND($E109*DR109,2),0))</f>
        <v>0</v>
      </c>
      <c r="DT109" s="53">
        <f t="shared" si="402"/>
        <v>0</v>
      </c>
      <c r="DU109" s="51">
        <f t="shared" si="489"/>
        <v>0</v>
      </c>
      <c r="DV109" s="51">
        <f t="shared" si="473"/>
        <v>0</v>
      </c>
      <c r="DW109" s="51">
        <f t="shared" si="403"/>
        <v>0</v>
      </c>
      <c r="DX109" s="51">
        <f t="shared" si="474"/>
        <v>0</v>
      </c>
      <c r="DY109" s="51">
        <f t="shared" si="404"/>
        <v>0</v>
      </c>
      <c r="DZ109" s="51">
        <f t="shared" si="475"/>
        <v>0</v>
      </c>
      <c r="EA109" s="51">
        <f t="shared" si="405"/>
        <v>0</v>
      </c>
      <c r="EB109" s="51">
        <f t="shared" si="476"/>
        <v>0</v>
      </c>
      <c r="EC109" s="51">
        <f t="shared" si="406"/>
        <v>0</v>
      </c>
      <c r="ED109" s="51">
        <f t="shared" si="477"/>
        <v>0</v>
      </c>
      <c r="EE109" s="51">
        <f t="shared" si="407"/>
        <v>0</v>
      </c>
      <c r="EF109" s="54">
        <f t="shared" si="408"/>
        <v>0</v>
      </c>
      <c r="EG109" s="55">
        <f t="shared" si="409"/>
        <v>0</v>
      </c>
      <c r="EH109" s="56">
        <f>IF(AND($E109&lt;&gt;0,$F109&gt;0,YEAR($F109)&gt;=Preisindex!$A$6,YEAR(EC$4)&gt;=YEAR($F109),AND($K109&lt;&gt;"a",$K109&lt;&gt;"b",$K109&lt;&gt;"g",$K109&lt;&gt;"k")),1,IF(AND($E109&lt;&gt;0,$F109&gt;0,YEAR($F109)&gt;=Preisindex!$A$6,YEAR(EC$4)&gt;=YEAR($F109),$K109="a"),ROUND(VLOOKUP(EH$4,Preisindex,5,FALSE)/VLOOKUP(YEAR($F109),Preisindex,5,FALSE),2),IF(AND($E109&lt;&gt;0,$F109&gt;0,YEAR($F109)&gt;=Preisindex!$A$6,YEAR(EC$4)&gt;=YEAR($F109),$K109="b"),ROUND(VLOOKUP(EH$4,Preisindex,3,FALSE)/VLOOKUP(YEAR($F109),Preisindex,3,FALSE),2),IF(AND($E109&lt;&gt;0,$F109&gt;0,YEAR($F109)&gt;=Preisindex!$A$6,YEAR(EC$4)&gt;=YEAR($F109),$K109="g"),ROUND(VLOOKUP(EH$4,Preisindex,4,FALSE)/VLOOKUP(YEAR($F109),Preisindex,4,FALSE),2),IF(AND($E109&lt;&gt;0,$F109&gt;0,YEAR($F109)&gt;=Preisindex!$A$6,YEAR(EC$4)&gt;=YEAR($F109),$K109="k"),ROUND(VLOOKUP(EH$4,Preisindex,2,FALSE)/VLOOKUP(YEAR($F109),Preisindex,2,FALSE),2),0)))))</f>
        <v>0</v>
      </c>
      <c r="EI109" s="56">
        <f>IF(AND($E109&lt;&gt;0,$F109&gt;0,YEAR($F109)&lt;Preisindex!$A$6,YEAR(EC$4)&gt;=YEAR($F109),AND($K109&lt;&gt;"a",$K109&lt;&gt;"b",$K109&lt;&gt;"g",$K109&lt;&gt;"k")),1,IF(AND($E109&lt;&gt;0,$F109&gt;0,YEAR($F109)&lt;Preisindex!$A$6,YEAR(EC$4)&gt;=YEAR($F109),$K109="a"),ROUND(VLOOKUP(EH$4,Preisindex,5,FALSE)/VLOOKUP(Preisindex!$A$6,Preisindex,5,FALSE),2),IF(AND($E109&lt;&gt;0,$F109&gt;0,YEAR($F109)&lt;Preisindex!$A$6,YEAR(EC$4)&gt;=YEAR($F109),$K109="b"),ROUND(VLOOKUP(EH$4,Preisindex,3,FALSE)/VLOOKUP(Preisindex!$A$6,Preisindex,3,FALSE),2),IF(AND($E109&lt;&gt;0,$F109&gt;0,YEAR($F109)&lt;Preisindex!$A$6,YEAR(EC$4)&gt;=YEAR($F109),$K109="g"),ROUND(VLOOKUP(EH$4,Preisindex,4,FALSE)/VLOOKUP(Preisindex!$A$6,Preisindex,4,FALSE),2),IF(AND($E109&lt;&gt;0,$F109&gt;0,YEAR($F109)&lt;Preisindex!$A$6,YEAR(EC$4)&gt;=YEAR($F109),$K109="k"),ROUND(VLOOKUP(EH$4,Preisindex,2,FALSE)/VLOOKUP(Preisindex!$A$6,Preisindex,2,FALSE),2),0)))))</f>
        <v>0</v>
      </c>
      <c r="EJ109" s="51">
        <f>IF(AND($E109&lt;&gt;0,$F109&gt;0,YEAR($F109)&lt;=EH$4,YEAR($F109)&gt;=Preisindex!$A$6),ROUND($E109*EH109,2),IF(AND($E109&lt;&gt;0,$F109&gt;0,YEAR($F109)&lt;=EH$4,YEAR($F109)&lt;Preisindex!$A$6),ROUND($E109*EI109,2),0))</f>
        <v>0</v>
      </c>
      <c r="EK109" s="53">
        <f t="shared" si="410"/>
        <v>0</v>
      </c>
      <c r="EL109" s="51">
        <f t="shared" si="489"/>
        <v>0</v>
      </c>
      <c r="EM109" s="51">
        <f t="shared" si="478"/>
        <v>0</v>
      </c>
      <c r="EN109" s="51">
        <f t="shared" si="411"/>
        <v>0</v>
      </c>
      <c r="EO109" s="51">
        <f t="shared" si="479"/>
        <v>0</v>
      </c>
      <c r="EP109" s="51">
        <f t="shared" si="412"/>
        <v>0</v>
      </c>
      <c r="EQ109" s="51">
        <f t="shared" si="480"/>
        <v>0</v>
      </c>
      <c r="ER109" s="51">
        <f t="shared" si="413"/>
        <v>0</v>
      </c>
      <c r="ES109" s="51">
        <f t="shared" si="481"/>
        <v>0</v>
      </c>
      <c r="ET109" s="51">
        <f t="shared" si="414"/>
        <v>0</v>
      </c>
      <c r="EU109" s="51">
        <f t="shared" si="482"/>
        <v>0</v>
      </c>
      <c r="EV109" s="51">
        <f t="shared" si="415"/>
        <v>0</v>
      </c>
      <c r="EW109" s="54">
        <f t="shared" si="416"/>
        <v>0</v>
      </c>
      <c r="EX109" s="55">
        <f t="shared" si="417"/>
        <v>0</v>
      </c>
      <c r="EY109" s="56">
        <f>IF(AND($E109&lt;&gt;0,$F109&gt;0,YEAR($F109)&gt;=Preisindex!$A$6,YEAR(ET$4)&gt;=YEAR($F109),AND($K109&lt;&gt;"a",$K109&lt;&gt;"b",$K109&lt;&gt;"g",$K109&lt;&gt;"k")),1,IF(AND($E109&lt;&gt;0,$F109&gt;0,YEAR($F109)&gt;=Preisindex!$A$6,YEAR(ET$4)&gt;=YEAR($F109),$K109="a"),ROUND(VLOOKUP(EY$4,Preisindex,5,FALSE)/VLOOKUP(YEAR($F109),Preisindex,5,FALSE),2),IF(AND($E109&lt;&gt;0,$F109&gt;0,YEAR($F109)&gt;=Preisindex!$A$6,YEAR(ET$4)&gt;=YEAR($F109),$K109="b"),ROUND(VLOOKUP(EY$4,Preisindex,3,FALSE)/VLOOKUP(YEAR($F109),Preisindex,3,FALSE),2),IF(AND($E109&lt;&gt;0,$F109&gt;0,YEAR($F109)&gt;=Preisindex!$A$6,YEAR(ET$4)&gt;=YEAR($F109),$K109="g"),ROUND(VLOOKUP(EY$4,Preisindex,4,FALSE)/VLOOKUP(YEAR($F109),Preisindex,4,FALSE),2),IF(AND($E109&lt;&gt;0,$F109&gt;0,YEAR($F109)&gt;=Preisindex!$A$6,YEAR(ET$4)&gt;=YEAR($F109),$K109="k"),ROUND(VLOOKUP(EY$4,Preisindex,2,FALSE)/VLOOKUP(YEAR($F109),Preisindex,2,FALSE),2),0)))))</f>
        <v>0</v>
      </c>
      <c r="EZ109" s="56">
        <f>IF(AND($E109&lt;&gt;0,$F109&gt;0,YEAR($F109)&lt;Preisindex!$A$6,YEAR(ET$4)&gt;=YEAR($F109),AND($K109&lt;&gt;"a",$K109&lt;&gt;"b",$K109&lt;&gt;"g",$K109&lt;&gt;"k")),1,IF(AND($E109&lt;&gt;0,$F109&gt;0,YEAR($F109)&lt;Preisindex!$A$6,YEAR(ET$4)&gt;=YEAR($F109),$K109="a"),ROUND(VLOOKUP(EY$4,Preisindex,5,FALSE)/VLOOKUP(Preisindex!$A$6,Preisindex,5,FALSE),2),IF(AND($E109&lt;&gt;0,$F109&gt;0,YEAR($F109)&lt;Preisindex!$A$6,YEAR(ET$4)&gt;=YEAR($F109),$K109="b"),ROUND(VLOOKUP(EY$4,Preisindex,3,FALSE)/VLOOKUP(Preisindex!$A$6,Preisindex,3,FALSE),2),IF(AND($E109&lt;&gt;0,$F109&gt;0,YEAR($F109)&lt;Preisindex!$A$6,YEAR(ET$4)&gt;=YEAR($F109),$K109="g"),ROUND(VLOOKUP(EY$4,Preisindex,4,FALSE)/VLOOKUP(Preisindex!$A$6,Preisindex,4,FALSE),2),IF(AND($E109&lt;&gt;0,$F109&gt;0,YEAR($F109)&lt;Preisindex!$A$6,YEAR(ET$4)&gt;=YEAR($F109),$K109="k"),ROUND(VLOOKUP(EY$4,Preisindex,2,FALSE)/VLOOKUP(Preisindex!$A$6,Preisindex,2,FALSE),2),0)))))</f>
        <v>0</v>
      </c>
      <c r="FA109" s="51">
        <f>IF(AND($E109&lt;&gt;0,$F109&gt;0,YEAR($F109)&lt;=EY$4,YEAR($F109)&gt;=Preisindex!$A$6),ROUND($E109*EY109,2),IF(AND($E109&lt;&gt;0,$F109&gt;0,YEAR($F109)&lt;=EY$4,YEAR($F109)&lt;Preisindex!$A$6),ROUND($E109*EZ109,2),0))</f>
        <v>0</v>
      </c>
      <c r="FB109" s="53">
        <f t="shared" si="418"/>
        <v>0</v>
      </c>
      <c r="FC109" s="51">
        <f t="shared" si="489"/>
        <v>0</v>
      </c>
      <c r="FD109" s="51">
        <f t="shared" si="483"/>
        <v>0</v>
      </c>
      <c r="FE109" s="51">
        <f t="shared" si="419"/>
        <v>0</v>
      </c>
      <c r="FF109" s="51">
        <f t="shared" si="484"/>
        <v>0</v>
      </c>
      <c r="FG109" s="51">
        <f t="shared" si="420"/>
        <v>0</v>
      </c>
      <c r="FH109" s="51">
        <f t="shared" si="485"/>
        <v>0</v>
      </c>
      <c r="FI109" s="51">
        <f t="shared" si="421"/>
        <v>0</v>
      </c>
      <c r="FJ109" s="51">
        <f t="shared" si="486"/>
        <v>0</v>
      </c>
      <c r="FK109" s="51">
        <f t="shared" si="422"/>
        <v>0</v>
      </c>
      <c r="FL109" s="51">
        <f t="shared" si="487"/>
        <v>0</v>
      </c>
      <c r="FM109" s="51">
        <f t="shared" si="423"/>
        <v>0</v>
      </c>
      <c r="FN109" s="54">
        <f t="shared" si="424"/>
        <v>0</v>
      </c>
      <c r="FO109" s="55">
        <f t="shared" si="425"/>
        <v>0</v>
      </c>
      <c r="FP109" s="56">
        <f>IF(AND($E109&lt;&gt;0,$F109&gt;0,YEAR($F109)&gt;=Preisindex!$A$6,YEAR(FK$4)&gt;=YEAR($F109),AND($K109&lt;&gt;"a",$K109&lt;&gt;"b",$K109&lt;&gt;"g",$K109&lt;&gt;"k")),1,IF(AND($E109&lt;&gt;0,$F109&gt;0,YEAR($F109)&gt;=Preisindex!$A$6,YEAR(FK$4)&gt;=YEAR($F109),$K109="a"),ROUND(VLOOKUP(FP$4,Preisindex,5,FALSE)/VLOOKUP(YEAR($F109),Preisindex,5,FALSE),2),IF(AND($E109&lt;&gt;0,$F109&gt;0,YEAR($F109)&gt;=Preisindex!$A$6,YEAR(FK$4)&gt;=YEAR($F109),$K109="b"),ROUND(VLOOKUP(FP$4,Preisindex,3,FALSE)/VLOOKUP(YEAR($F109),Preisindex,3,FALSE),2),IF(AND($E109&lt;&gt;0,$F109&gt;0,YEAR($F109)&gt;=Preisindex!$A$6,YEAR(FK$4)&gt;=YEAR($F109),$K109="g"),ROUND(VLOOKUP(FP$4,Preisindex,4,FALSE)/VLOOKUP(YEAR($F109),Preisindex,4,FALSE),2),IF(AND($E109&lt;&gt;0,$F109&gt;0,YEAR($F109)&gt;=Preisindex!$A$6,YEAR(FK$4)&gt;=YEAR($F109),$K109="k"),ROUND(VLOOKUP(FP$4,Preisindex,2,FALSE)/VLOOKUP(YEAR($F109),Preisindex,2,FALSE),2),0)))))</f>
        <v>0</v>
      </c>
      <c r="FQ109" s="56">
        <f>IF(AND($E109&lt;&gt;0,$F109&gt;0,YEAR($F109)&lt;Preisindex!$A$6,YEAR(FK$4)&gt;=YEAR($F109),AND($K109&lt;&gt;"a",$K109&lt;&gt;"b",$K109&lt;&gt;"g",$K109&lt;&gt;"k")),1,IF(AND($E109&lt;&gt;0,$F109&gt;0,YEAR($F109)&lt;Preisindex!$A$6,YEAR(FK$4)&gt;=YEAR($F109),$K109="a"),ROUND(VLOOKUP(FP$4,Preisindex,5,FALSE)/VLOOKUP(Preisindex!$A$6,Preisindex,5,FALSE),2),IF(AND($E109&lt;&gt;0,$F109&gt;0,YEAR($F109)&lt;Preisindex!$A$6,YEAR(FK$4)&gt;=YEAR($F109),$K109="b"),ROUND(VLOOKUP(FP$4,Preisindex,3,FALSE)/VLOOKUP(Preisindex!$A$6,Preisindex,3,FALSE),2),IF(AND($E109&lt;&gt;0,$F109&gt;0,YEAR($F109)&lt;Preisindex!$A$6,YEAR(FK$4)&gt;=YEAR($F109),$K109="g"),ROUND(VLOOKUP(FP$4,Preisindex,4,FALSE)/VLOOKUP(Preisindex!$A$6,Preisindex,4,FALSE),2),IF(AND($E109&lt;&gt;0,$F109&gt;0,YEAR($F109)&lt;Preisindex!$A$6,YEAR(FK$4)&gt;=YEAR($F109),$K109="k"),ROUND(VLOOKUP(FP$4,Preisindex,2,FALSE)/VLOOKUP(Preisindex!$A$6,Preisindex,2,FALSE),2),0)))))</f>
        <v>0</v>
      </c>
      <c r="FR109" s="51">
        <f>IF(AND($E109&lt;&gt;0,$F109&gt;0,YEAR($F109)&lt;=FP$4,YEAR($F109)&gt;=Preisindex!$A$6),ROUND($E109*FP109,2),IF(AND($E109&lt;&gt;0,$F109&gt;0,YEAR($F109)&lt;=FP$4,YEAR($F109)&lt;Preisindex!$A$6),ROUND($E109*FQ109,2),0))</f>
        <v>0</v>
      </c>
      <c r="FS109" s="53">
        <f t="shared" si="426"/>
        <v>0</v>
      </c>
    </row>
    <row r="110" spans="1:175" x14ac:dyDescent="0.3">
      <c r="A110" s="93"/>
      <c r="B110" s="196"/>
      <c r="C110" s="196"/>
      <c r="D110" s="188"/>
      <c r="E110" s="99"/>
      <c r="F110" s="97"/>
      <c r="G110" s="100"/>
      <c r="H110" s="620"/>
      <c r="I110" s="621"/>
      <c r="J110" s="194"/>
      <c r="K110" s="630"/>
      <c r="L110" s="49">
        <f t="shared" si="427"/>
        <v>0</v>
      </c>
      <c r="M110" s="50">
        <f t="shared" si="428"/>
        <v>0</v>
      </c>
      <c r="N110" s="51">
        <f t="shared" si="429"/>
        <v>0</v>
      </c>
      <c r="O110" s="51"/>
      <c r="P110" s="51">
        <f t="shared" si="430"/>
        <v>0</v>
      </c>
      <c r="Q110" s="52"/>
      <c r="R110" s="52"/>
      <c r="S110" s="52"/>
      <c r="T110" s="52"/>
      <c r="U110" s="52"/>
      <c r="V110" s="53">
        <f t="shared" si="431"/>
        <v>0</v>
      </c>
      <c r="W110" s="51">
        <f t="shared" si="432"/>
        <v>0</v>
      </c>
      <c r="X110" s="51">
        <f t="shared" si="433"/>
        <v>0</v>
      </c>
      <c r="Y110" s="51">
        <f t="shared" si="434"/>
        <v>0</v>
      </c>
      <c r="Z110" s="51">
        <f t="shared" si="435"/>
        <v>0</v>
      </c>
      <c r="AA110" s="51">
        <f t="shared" si="436"/>
        <v>0</v>
      </c>
      <c r="AB110" s="51">
        <f t="shared" si="437"/>
        <v>0</v>
      </c>
      <c r="AC110" s="51">
        <f t="shared" si="438"/>
        <v>0</v>
      </c>
      <c r="AD110" s="51">
        <f t="shared" si="439"/>
        <v>0</v>
      </c>
      <c r="AE110" s="51">
        <f t="shared" si="440"/>
        <v>0</v>
      </c>
      <c r="AF110" s="51">
        <f t="shared" si="441"/>
        <v>0</v>
      </c>
      <c r="AG110" s="51">
        <f t="shared" si="442"/>
        <v>0</v>
      </c>
      <c r="AH110" s="54">
        <f t="shared" si="443"/>
        <v>0</v>
      </c>
      <c r="AI110" s="55">
        <f t="shared" si="444"/>
        <v>0</v>
      </c>
      <c r="AJ110" s="56">
        <f>IF(AND($E110&lt;&gt;0,$F110&gt;0,YEAR($F110)&gt;=Preisindex!$A$6,YEAR(AE$4)&gt;=YEAR($F110),AND($K110&lt;&gt;"a",$K110&lt;&gt;"b",$K110&lt;&gt;"g",$K110&lt;&gt;"k")),1,IF(AND($E110&lt;&gt;0,$F110&gt;0,YEAR($F110)&gt;=Preisindex!$A$6,YEAR(AE$4)&gt;=YEAR($F110),$K110="a"),ROUND(VLOOKUP(AJ$4,Preisindex,5,FALSE)/VLOOKUP(YEAR($F110),Preisindex,5,FALSE),2),IF(AND($E110&lt;&gt;0,$F110&gt;0,YEAR($F110)&gt;=Preisindex!$A$6,YEAR(AE$4)&gt;=YEAR($F110),$K110="b"),ROUND(VLOOKUP(AJ$4,Preisindex,3,FALSE)/VLOOKUP(YEAR($F110),Preisindex,3,FALSE),2),IF(AND($E110&lt;&gt;0,$F110&gt;0,YEAR($F110)&gt;=Preisindex!$A$6,YEAR(AE$4)&gt;=YEAR($F110),$K110="g"),ROUND(VLOOKUP(AJ$4,Preisindex,4,FALSE)/VLOOKUP(YEAR($F110),Preisindex,4,FALSE),2),IF(AND($E110&lt;&gt;0,$F110&gt;0,YEAR($F110)&gt;=Preisindex!$A$6,YEAR(AE$4)&gt;=YEAR($F110),$K110="k"),ROUND(VLOOKUP(AJ$4,Preisindex,2,FALSE)/VLOOKUP(YEAR($F110),Preisindex,2,FALSE),2),0)))))</f>
        <v>0</v>
      </c>
      <c r="AK110" s="56">
        <f>IF(AND($E110&lt;&gt;0,$F110&gt;0,YEAR($F110)&lt;Preisindex!$A$6,YEAR(AE$4)&gt;=YEAR($F110),AND($K110&lt;&gt;"a",$K110&lt;&gt;"b",$K110&lt;&gt;"g",$K110&lt;&gt;"k")),1,IF(AND($E110&lt;&gt;0,$F110&gt;0,YEAR($F110)&lt;Preisindex!$A$6,YEAR(AE$4)&gt;=YEAR($F110),$K110="a"),ROUND(VLOOKUP(AJ$4,Preisindex,5,FALSE)/VLOOKUP(Preisindex!$A$6,Preisindex,5,FALSE),2),IF(AND($E110&lt;&gt;0,$F110&gt;0,YEAR($F110)&lt;Preisindex!$A$6,YEAR(AE$4)&gt;=YEAR($F110),$K110="b"),ROUND(VLOOKUP(AJ$4,Preisindex,3,FALSE)/VLOOKUP(Preisindex!$A$6,Preisindex,3,FALSE),2),IF(AND($E110&lt;&gt;0,$F110&gt;0,YEAR($F110)&lt;Preisindex!$A$6,YEAR(AE$4)&gt;=YEAR($F110),$K110="g"),ROUND(VLOOKUP(AJ$4,Preisindex,4,FALSE)/VLOOKUP(Preisindex!$A$6,Preisindex,4,FALSE),2),IF(AND($E110&lt;&gt;0,$F110&gt;0,YEAR($F110)&lt;Preisindex!$A$6,YEAR(AE$4)&gt;=YEAR($F110),$K110="k"),ROUND(VLOOKUP(AJ$4,Preisindex,2,FALSE)/VLOOKUP(Preisindex!$A$6,Preisindex,2,FALSE),2),0)))))</f>
        <v>0</v>
      </c>
      <c r="AL110" s="51">
        <f>IF(AND($E110&lt;&gt;0,$F110&gt;0,YEAR($F110)&lt;=AJ$4,YEAR($F110)&gt;=Preisindex!$A$6),ROUND($E110*AJ110,2),IF(AND($E110&lt;&gt;0,$F110&gt;0,YEAR($F110)&lt;=AJ$4,YEAR($F110)&lt;Preisindex!$A$6),ROUND($E110*AK110,2),0))</f>
        <v>0</v>
      </c>
      <c r="AM110" s="53">
        <f t="shared" si="445"/>
        <v>0</v>
      </c>
      <c r="AN110" s="51">
        <f t="shared" si="488"/>
        <v>0</v>
      </c>
      <c r="AO110" s="51">
        <f t="shared" si="448"/>
        <v>0</v>
      </c>
      <c r="AP110" s="51">
        <f t="shared" si="362"/>
        <v>0</v>
      </c>
      <c r="AQ110" s="51">
        <f t="shared" si="449"/>
        <v>0</v>
      </c>
      <c r="AR110" s="51">
        <f t="shared" si="363"/>
        <v>0</v>
      </c>
      <c r="AS110" s="51">
        <f t="shared" si="450"/>
        <v>0</v>
      </c>
      <c r="AT110" s="51">
        <f t="shared" si="364"/>
        <v>0</v>
      </c>
      <c r="AU110" s="51">
        <f t="shared" si="451"/>
        <v>0</v>
      </c>
      <c r="AV110" s="51">
        <f t="shared" si="365"/>
        <v>0</v>
      </c>
      <c r="AW110" s="51">
        <f t="shared" si="452"/>
        <v>0</v>
      </c>
      <c r="AX110" s="51">
        <f t="shared" si="366"/>
        <v>0</v>
      </c>
      <c r="AY110" s="54">
        <f t="shared" si="367"/>
        <v>0</v>
      </c>
      <c r="AZ110" s="55">
        <f t="shared" si="368"/>
        <v>0</v>
      </c>
      <c r="BA110" s="56">
        <f>IF(AND($E110&lt;&gt;0,$F110&gt;0,YEAR($F110)&gt;=Preisindex!$A$6,YEAR(AV$4)&gt;=YEAR($F110),AND($K110&lt;&gt;"a",$K110&lt;&gt;"b",$K110&lt;&gt;"g",$K110&lt;&gt;"k")),1,IF(AND($E110&lt;&gt;0,$F110&gt;0,YEAR($F110)&gt;=Preisindex!$A$6,YEAR(AV$4)&gt;=YEAR($F110),$K110="a"),ROUND(VLOOKUP(BA$4,Preisindex,5,FALSE)/VLOOKUP(YEAR($F110),Preisindex,5,FALSE),2),IF(AND($E110&lt;&gt;0,$F110&gt;0,YEAR($F110)&gt;=Preisindex!$A$6,YEAR(AV$4)&gt;=YEAR($F110),$K110="b"),ROUND(VLOOKUP(BA$4,Preisindex,3,FALSE)/VLOOKUP(YEAR($F110),Preisindex,3,FALSE),2),IF(AND($E110&lt;&gt;0,$F110&gt;0,YEAR($F110)&gt;=Preisindex!$A$6,YEAR(AV$4)&gt;=YEAR($F110),$K110="g"),ROUND(VLOOKUP(BA$4,Preisindex,4,FALSE)/VLOOKUP(YEAR($F110),Preisindex,4,FALSE),2),IF(AND($E110&lt;&gt;0,$F110&gt;0,YEAR($F110)&gt;=Preisindex!$A$6,YEAR(AV$4)&gt;=YEAR($F110),$K110="k"),ROUND(VLOOKUP(BA$4,Preisindex,2,FALSE)/VLOOKUP(YEAR($F110),Preisindex,2,FALSE),2),0)))))</f>
        <v>0</v>
      </c>
      <c r="BB110" s="56">
        <f>IF(AND($E110&lt;&gt;0,$F110&gt;0,YEAR($F110)&lt;Preisindex!$A$6,YEAR(AV$4)&gt;=YEAR($F110),AND($K110&lt;&gt;"a",$K110&lt;&gt;"b",$K110&lt;&gt;"g",$K110&lt;&gt;"k")),1,IF(AND($E110&lt;&gt;0,$F110&gt;0,YEAR($F110)&lt;Preisindex!$A$6,YEAR(AV$4)&gt;=YEAR($F110),$K110="a"),ROUND(VLOOKUP(BA$4,Preisindex,5,FALSE)/VLOOKUP(Preisindex!$A$6,Preisindex,5,FALSE),2),IF(AND($E110&lt;&gt;0,$F110&gt;0,YEAR($F110)&lt;Preisindex!$A$6,YEAR(AV$4)&gt;=YEAR($F110),$K110="b"),ROUND(VLOOKUP(BA$4,Preisindex,3,FALSE)/VLOOKUP(Preisindex!$A$6,Preisindex,3,FALSE),2),IF(AND($E110&lt;&gt;0,$F110&gt;0,YEAR($F110)&lt;Preisindex!$A$6,YEAR(AV$4)&gt;=YEAR($F110),$K110="g"),ROUND(VLOOKUP(BA$4,Preisindex,4,FALSE)/VLOOKUP(Preisindex!$A$6,Preisindex,4,FALSE),2),IF(AND($E110&lt;&gt;0,$F110&gt;0,YEAR($F110)&lt;Preisindex!$A$6,YEAR(AV$4)&gt;=YEAR($F110),$K110="k"),ROUND(VLOOKUP(BA$4,Preisindex,2,FALSE)/VLOOKUP(Preisindex!$A$6,Preisindex,2,FALSE),2),0)))))</f>
        <v>0</v>
      </c>
      <c r="BC110" s="51">
        <f>IF(AND($E110&lt;&gt;0,$F110&gt;0,YEAR($F110)&lt;=BA$4,YEAR($F110)&gt;=Preisindex!$A$6),ROUND($E110*BA110,2),IF(AND($E110&lt;&gt;0,$F110&gt;0,YEAR($F110)&lt;=BA$4,YEAR($F110)&lt;Preisindex!$A$6),ROUND($E110*BB110,2),0))</f>
        <v>0</v>
      </c>
      <c r="BD110" s="53">
        <f t="shared" si="369"/>
        <v>0</v>
      </c>
      <c r="BE110" s="51">
        <f t="shared" si="488"/>
        <v>0</v>
      </c>
      <c r="BF110" s="51">
        <f t="shared" si="453"/>
        <v>0</v>
      </c>
      <c r="BG110" s="51">
        <f t="shared" si="370"/>
        <v>0</v>
      </c>
      <c r="BH110" s="51">
        <f t="shared" si="454"/>
        <v>0</v>
      </c>
      <c r="BI110" s="51">
        <f t="shared" si="371"/>
        <v>0</v>
      </c>
      <c r="BJ110" s="51">
        <f t="shared" si="455"/>
        <v>0</v>
      </c>
      <c r="BK110" s="51">
        <f t="shared" si="372"/>
        <v>0</v>
      </c>
      <c r="BL110" s="51">
        <f t="shared" si="456"/>
        <v>0</v>
      </c>
      <c r="BM110" s="51">
        <f t="shared" si="373"/>
        <v>0</v>
      </c>
      <c r="BN110" s="51">
        <f t="shared" si="457"/>
        <v>0</v>
      </c>
      <c r="BO110" s="51">
        <f t="shared" si="374"/>
        <v>0</v>
      </c>
      <c r="BP110" s="54">
        <f t="shared" si="375"/>
        <v>0</v>
      </c>
      <c r="BQ110" s="55">
        <f t="shared" si="376"/>
        <v>0</v>
      </c>
      <c r="BR110" s="56">
        <f>IF(AND($E110&lt;&gt;0,$F110&gt;0,YEAR($F110)&gt;=Preisindex!$A$6,YEAR(BM$4)&gt;=YEAR($F110),AND($K110&lt;&gt;"a",$K110&lt;&gt;"b",$K110&lt;&gt;"g",$K110&lt;&gt;"k")),1,IF(AND($E110&lt;&gt;0,$F110&gt;0,YEAR($F110)&gt;=Preisindex!$A$6,YEAR(BM$4)&gt;=YEAR($F110),$K110="a"),ROUND(VLOOKUP(BR$4,Preisindex,5,FALSE)/VLOOKUP(YEAR($F110),Preisindex,5,FALSE),2),IF(AND($E110&lt;&gt;0,$F110&gt;0,YEAR($F110)&gt;=Preisindex!$A$6,YEAR(BM$4)&gt;=YEAR($F110),$K110="b"),ROUND(VLOOKUP(BR$4,Preisindex,3,FALSE)/VLOOKUP(YEAR($F110),Preisindex,3,FALSE),2),IF(AND($E110&lt;&gt;0,$F110&gt;0,YEAR($F110)&gt;=Preisindex!$A$6,YEAR(BM$4)&gt;=YEAR($F110),$K110="g"),ROUND(VLOOKUP(BR$4,Preisindex,4,FALSE)/VLOOKUP(YEAR($F110),Preisindex,4,FALSE),2),IF(AND($E110&lt;&gt;0,$F110&gt;0,YEAR($F110)&gt;=Preisindex!$A$6,YEAR(BM$4)&gt;=YEAR($F110),$K110="k"),ROUND(VLOOKUP(BR$4,Preisindex,2,FALSE)/VLOOKUP(YEAR($F110),Preisindex,2,FALSE),2),0)))))</f>
        <v>0</v>
      </c>
      <c r="BS110" s="56">
        <f>IF(AND($E110&lt;&gt;0,$F110&gt;0,YEAR($F110)&lt;Preisindex!$A$6,YEAR(BM$4)&gt;=YEAR($F110),AND($K110&lt;&gt;"a",$K110&lt;&gt;"b",$K110&lt;&gt;"g",$K110&lt;&gt;"k")),1,IF(AND($E110&lt;&gt;0,$F110&gt;0,YEAR($F110)&lt;Preisindex!$A$6,YEAR(BM$4)&gt;=YEAR($F110),$K110="a"),ROUND(VLOOKUP(BR$4,Preisindex,5,FALSE)/VLOOKUP(Preisindex!$A$6,Preisindex,5,FALSE),2),IF(AND($E110&lt;&gt;0,$F110&gt;0,YEAR($F110)&lt;Preisindex!$A$6,YEAR(BM$4)&gt;=YEAR($F110),$K110="b"),ROUND(VLOOKUP(BR$4,Preisindex,3,FALSE)/VLOOKUP(Preisindex!$A$6,Preisindex,3,FALSE),2),IF(AND($E110&lt;&gt;0,$F110&gt;0,YEAR($F110)&lt;Preisindex!$A$6,YEAR(BM$4)&gt;=YEAR($F110),$K110="g"),ROUND(VLOOKUP(BR$4,Preisindex,4,FALSE)/VLOOKUP(Preisindex!$A$6,Preisindex,4,FALSE),2),IF(AND($E110&lt;&gt;0,$F110&gt;0,YEAR($F110)&lt;Preisindex!$A$6,YEAR(BM$4)&gt;=YEAR($F110),$K110="k"),ROUND(VLOOKUP(BR$4,Preisindex,2,FALSE)/VLOOKUP(Preisindex!$A$6,Preisindex,2,FALSE),2),0)))))</f>
        <v>0</v>
      </c>
      <c r="BT110" s="51">
        <f>IF(AND($E110&lt;&gt;0,$F110&gt;0,YEAR($F110)&lt;=BR$4,YEAR($F110)&gt;=Preisindex!$A$6),ROUND($E110*BR110,2),IF(AND($E110&lt;&gt;0,$F110&gt;0,YEAR($F110)&lt;=BR$4,YEAR($F110)&lt;Preisindex!$A$6),ROUND($E110*BS110,2),0))</f>
        <v>0</v>
      </c>
      <c r="BU110" s="53">
        <f t="shared" si="377"/>
        <v>0</v>
      </c>
      <c r="BV110" s="51">
        <f t="shared" si="488"/>
        <v>0</v>
      </c>
      <c r="BW110" s="51">
        <f t="shared" si="458"/>
        <v>0</v>
      </c>
      <c r="BX110" s="51">
        <f t="shared" si="378"/>
        <v>0</v>
      </c>
      <c r="BY110" s="51">
        <f t="shared" si="459"/>
        <v>0</v>
      </c>
      <c r="BZ110" s="51">
        <f t="shared" si="379"/>
        <v>0</v>
      </c>
      <c r="CA110" s="51">
        <f t="shared" si="460"/>
        <v>0</v>
      </c>
      <c r="CB110" s="51">
        <f t="shared" si="380"/>
        <v>0</v>
      </c>
      <c r="CC110" s="51">
        <f t="shared" si="461"/>
        <v>0</v>
      </c>
      <c r="CD110" s="51">
        <f t="shared" si="381"/>
        <v>0</v>
      </c>
      <c r="CE110" s="51">
        <f t="shared" si="462"/>
        <v>0</v>
      </c>
      <c r="CF110" s="51">
        <f t="shared" si="382"/>
        <v>0</v>
      </c>
      <c r="CG110" s="54">
        <f t="shared" si="383"/>
        <v>0</v>
      </c>
      <c r="CH110" s="55">
        <f t="shared" si="384"/>
        <v>0</v>
      </c>
      <c r="CI110" s="56">
        <f>IF(AND($E110&lt;&gt;0,$F110&gt;0,YEAR($F110)&gt;=Preisindex!$A$6,YEAR(CD$4)&gt;=YEAR($F110),AND($K110&lt;&gt;"a",$K110&lt;&gt;"b",$K110&lt;&gt;"g",$K110&lt;&gt;"k")),1,IF(AND($E110&lt;&gt;0,$F110&gt;0,YEAR($F110)&gt;=Preisindex!$A$6,YEAR(CD$4)&gt;=YEAR($F110),$K110="a"),ROUND(VLOOKUP(CI$4,Preisindex,5,FALSE)/VLOOKUP(YEAR($F110),Preisindex,5,FALSE),2),IF(AND($E110&lt;&gt;0,$F110&gt;0,YEAR($F110)&gt;=Preisindex!$A$6,YEAR(CD$4)&gt;=YEAR($F110),$K110="b"),ROUND(VLOOKUP(CI$4,Preisindex,3,FALSE)/VLOOKUP(YEAR($F110),Preisindex,3,FALSE),2),IF(AND($E110&lt;&gt;0,$F110&gt;0,YEAR($F110)&gt;=Preisindex!$A$6,YEAR(CD$4)&gt;=YEAR($F110),$K110="g"),ROUND(VLOOKUP(CI$4,Preisindex,4,FALSE)/VLOOKUP(YEAR($F110),Preisindex,4,FALSE),2),IF(AND($E110&lt;&gt;0,$F110&gt;0,YEAR($F110)&gt;=Preisindex!$A$6,YEAR(CD$4)&gt;=YEAR($F110),$K110="k"),ROUND(VLOOKUP(CI$4,Preisindex,2,FALSE)/VLOOKUP(YEAR($F110),Preisindex,2,FALSE),2),0)))))</f>
        <v>0</v>
      </c>
      <c r="CJ110" s="56">
        <f>IF(AND($E110&lt;&gt;0,$F110&gt;0,YEAR($F110)&lt;Preisindex!$A$6,YEAR(CD$4)&gt;=YEAR($F110),AND($K110&lt;&gt;"a",$K110&lt;&gt;"b",$K110&lt;&gt;"g",$K110&lt;&gt;"k")),1,IF(AND($E110&lt;&gt;0,$F110&gt;0,YEAR($F110)&lt;Preisindex!$A$6,YEAR(CD$4)&gt;=YEAR($F110),$K110="a"),ROUND(VLOOKUP(CI$4,Preisindex,5,FALSE)/VLOOKUP(Preisindex!$A$6,Preisindex,5,FALSE),2),IF(AND($E110&lt;&gt;0,$F110&gt;0,YEAR($F110)&lt;Preisindex!$A$6,YEAR(CD$4)&gt;=YEAR($F110),$K110="b"),ROUND(VLOOKUP(CI$4,Preisindex,3,FALSE)/VLOOKUP(Preisindex!$A$6,Preisindex,3,FALSE),2),IF(AND($E110&lt;&gt;0,$F110&gt;0,YEAR($F110)&lt;Preisindex!$A$6,YEAR(CD$4)&gt;=YEAR($F110),$K110="g"),ROUND(VLOOKUP(CI$4,Preisindex,4,FALSE)/VLOOKUP(Preisindex!$A$6,Preisindex,4,FALSE),2),IF(AND($E110&lt;&gt;0,$F110&gt;0,YEAR($F110)&lt;Preisindex!$A$6,YEAR(CD$4)&gt;=YEAR($F110),$K110="k"),ROUND(VLOOKUP(CI$4,Preisindex,2,FALSE)/VLOOKUP(Preisindex!$A$6,Preisindex,2,FALSE),2),0)))))</f>
        <v>0</v>
      </c>
      <c r="CK110" s="51">
        <f>IF(AND($E110&lt;&gt;0,$F110&gt;0,YEAR($F110)&lt;=CI$4,YEAR($F110)&gt;=Preisindex!$A$6),ROUND($E110*CI110,2),IF(AND($E110&lt;&gt;0,$F110&gt;0,YEAR($F110)&lt;=CI$4,YEAR($F110)&lt;Preisindex!$A$6),ROUND($E110*CJ110,2),0))</f>
        <v>0</v>
      </c>
      <c r="CL110" s="53">
        <f t="shared" si="385"/>
        <v>0</v>
      </c>
      <c r="CM110" s="51">
        <f t="shared" si="488"/>
        <v>0</v>
      </c>
      <c r="CN110" s="51">
        <f t="shared" si="463"/>
        <v>0</v>
      </c>
      <c r="CO110" s="51">
        <f t="shared" si="386"/>
        <v>0</v>
      </c>
      <c r="CP110" s="51">
        <f t="shared" si="464"/>
        <v>0</v>
      </c>
      <c r="CQ110" s="51">
        <f t="shared" si="387"/>
        <v>0</v>
      </c>
      <c r="CR110" s="51">
        <f t="shared" si="465"/>
        <v>0</v>
      </c>
      <c r="CS110" s="51">
        <f t="shared" si="388"/>
        <v>0</v>
      </c>
      <c r="CT110" s="51">
        <f t="shared" si="466"/>
        <v>0</v>
      </c>
      <c r="CU110" s="51">
        <f t="shared" si="389"/>
        <v>0</v>
      </c>
      <c r="CV110" s="51">
        <f t="shared" si="467"/>
        <v>0</v>
      </c>
      <c r="CW110" s="51">
        <f t="shared" si="390"/>
        <v>0</v>
      </c>
      <c r="CX110" s="54">
        <f t="shared" si="391"/>
        <v>0</v>
      </c>
      <c r="CY110" s="55">
        <f t="shared" si="392"/>
        <v>0</v>
      </c>
      <c r="CZ110" s="56">
        <f>IF(AND($E110&lt;&gt;0,$F110&gt;0,YEAR($F110)&gt;=Preisindex!$A$6,YEAR(CU$4)&gt;=YEAR($F110),AND($K110&lt;&gt;"a",$K110&lt;&gt;"b",$K110&lt;&gt;"g",$K110&lt;&gt;"k")),1,IF(AND($E110&lt;&gt;0,$F110&gt;0,YEAR($F110)&gt;=Preisindex!$A$6,YEAR(CU$4)&gt;=YEAR($F110),$K110="a"),ROUND(VLOOKUP(CZ$4,Preisindex,5,FALSE)/VLOOKUP(YEAR($F110),Preisindex,5,FALSE),2),IF(AND($E110&lt;&gt;0,$F110&gt;0,YEAR($F110)&gt;=Preisindex!$A$6,YEAR(CU$4)&gt;=YEAR($F110),$K110="b"),ROUND(VLOOKUP(CZ$4,Preisindex,3,FALSE)/VLOOKUP(YEAR($F110),Preisindex,3,FALSE),2),IF(AND($E110&lt;&gt;0,$F110&gt;0,YEAR($F110)&gt;=Preisindex!$A$6,YEAR(CU$4)&gt;=YEAR($F110),$K110="g"),ROUND(VLOOKUP(CZ$4,Preisindex,4,FALSE)/VLOOKUP(YEAR($F110),Preisindex,4,FALSE),2),IF(AND($E110&lt;&gt;0,$F110&gt;0,YEAR($F110)&gt;=Preisindex!$A$6,YEAR(CU$4)&gt;=YEAR($F110),$K110="k"),ROUND(VLOOKUP(CZ$4,Preisindex,2,FALSE)/VLOOKUP(YEAR($F110),Preisindex,2,FALSE),2),0)))))</f>
        <v>0</v>
      </c>
      <c r="DA110" s="56">
        <f>IF(AND($E110&lt;&gt;0,$F110&gt;0,YEAR($F110)&lt;Preisindex!$A$6,YEAR(CU$4)&gt;=YEAR($F110),AND($K110&lt;&gt;"a",$K110&lt;&gt;"b",$K110&lt;&gt;"g",$K110&lt;&gt;"k")),1,IF(AND($E110&lt;&gt;0,$F110&gt;0,YEAR($F110)&lt;Preisindex!$A$6,YEAR(CU$4)&gt;=YEAR($F110),$K110="a"),ROUND(VLOOKUP(CZ$4,Preisindex,5,FALSE)/VLOOKUP(Preisindex!$A$6,Preisindex,5,FALSE),2),IF(AND($E110&lt;&gt;0,$F110&gt;0,YEAR($F110)&lt;Preisindex!$A$6,YEAR(CU$4)&gt;=YEAR($F110),$K110="b"),ROUND(VLOOKUP(CZ$4,Preisindex,3,FALSE)/VLOOKUP(Preisindex!$A$6,Preisindex,3,FALSE),2),IF(AND($E110&lt;&gt;0,$F110&gt;0,YEAR($F110)&lt;Preisindex!$A$6,YEAR(CU$4)&gt;=YEAR($F110),$K110="g"),ROUND(VLOOKUP(CZ$4,Preisindex,4,FALSE)/VLOOKUP(Preisindex!$A$6,Preisindex,4,FALSE),2),IF(AND($E110&lt;&gt;0,$F110&gt;0,YEAR($F110)&lt;Preisindex!$A$6,YEAR(CU$4)&gt;=YEAR($F110),$K110="k"),ROUND(VLOOKUP(CZ$4,Preisindex,2,FALSE)/VLOOKUP(Preisindex!$A$6,Preisindex,2,FALSE),2),0)))))</f>
        <v>0</v>
      </c>
      <c r="DB110" s="51">
        <f>IF(AND($E110&lt;&gt;0,$F110&gt;0,YEAR($F110)&lt;=CZ$4,YEAR($F110)&gt;=Preisindex!$A$6),ROUND($E110*CZ110,2),IF(AND($E110&lt;&gt;0,$F110&gt;0,YEAR($F110)&lt;=CZ$4,YEAR($F110)&lt;Preisindex!$A$6),ROUND($E110*DA110,2),0))</f>
        <v>0</v>
      </c>
      <c r="DC110" s="53">
        <f t="shared" si="393"/>
        <v>0</v>
      </c>
      <c r="DD110" s="51">
        <f t="shared" si="489"/>
        <v>0</v>
      </c>
      <c r="DE110" s="51">
        <f t="shared" si="468"/>
        <v>0</v>
      </c>
      <c r="DF110" s="51">
        <f t="shared" si="395"/>
        <v>0</v>
      </c>
      <c r="DG110" s="51">
        <f t="shared" si="469"/>
        <v>0</v>
      </c>
      <c r="DH110" s="51">
        <f t="shared" si="396"/>
        <v>0</v>
      </c>
      <c r="DI110" s="51">
        <f t="shared" si="470"/>
        <v>0</v>
      </c>
      <c r="DJ110" s="51">
        <f t="shared" si="397"/>
        <v>0</v>
      </c>
      <c r="DK110" s="51">
        <f t="shared" si="471"/>
        <v>0</v>
      </c>
      <c r="DL110" s="51">
        <f t="shared" si="398"/>
        <v>0</v>
      </c>
      <c r="DM110" s="51">
        <f t="shared" si="472"/>
        <v>0</v>
      </c>
      <c r="DN110" s="51">
        <f t="shared" si="399"/>
        <v>0</v>
      </c>
      <c r="DO110" s="54">
        <f t="shared" si="400"/>
        <v>0</v>
      </c>
      <c r="DP110" s="55">
        <f t="shared" si="401"/>
        <v>0</v>
      </c>
      <c r="DQ110" s="56">
        <f>IF(AND($E110&lt;&gt;0,$F110&gt;0,YEAR($F110)&gt;=Preisindex!$A$6,YEAR(DL$4)&gt;=YEAR($F110),AND($K110&lt;&gt;"a",$K110&lt;&gt;"b",$K110&lt;&gt;"g",$K110&lt;&gt;"k")),1,IF(AND($E110&lt;&gt;0,$F110&gt;0,YEAR($F110)&gt;=Preisindex!$A$6,YEAR(DL$4)&gt;=YEAR($F110),$K110="a"),ROUND(VLOOKUP(DQ$4,Preisindex,5,FALSE)/VLOOKUP(YEAR($F110),Preisindex,5,FALSE),2),IF(AND($E110&lt;&gt;0,$F110&gt;0,YEAR($F110)&gt;=Preisindex!$A$6,YEAR(DL$4)&gt;=YEAR($F110),$K110="b"),ROUND(VLOOKUP(DQ$4,Preisindex,3,FALSE)/VLOOKUP(YEAR($F110),Preisindex,3,FALSE),2),IF(AND($E110&lt;&gt;0,$F110&gt;0,YEAR($F110)&gt;=Preisindex!$A$6,YEAR(DL$4)&gt;=YEAR($F110),$K110="g"),ROUND(VLOOKUP(DQ$4,Preisindex,4,FALSE)/VLOOKUP(YEAR($F110),Preisindex,4,FALSE),2),IF(AND($E110&lt;&gt;0,$F110&gt;0,YEAR($F110)&gt;=Preisindex!$A$6,YEAR(DL$4)&gt;=YEAR($F110),$K110="k"),ROUND(VLOOKUP(DQ$4,Preisindex,2,FALSE)/VLOOKUP(YEAR($F110),Preisindex,2,FALSE),2),0)))))</f>
        <v>0</v>
      </c>
      <c r="DR110" s="56">
        <f>IF(AND($E110&lt;&gt;0,$F110&gt;0,YEAR($F110)&lt;Preisindex!$A$6,YEAR(DL$4)&gt;=YEAR($F110),AND($K110&lt;&gt;"a",$K110&lt;&gt;"b",$K110&lt;&gt;"g",$K110&lt;&gt;"k")),1,IF(AND($E110&lt;&gt;0,$F110&gt;0,YEAR($F110)&lt;Preisindex!$A$6,YEAR(DL$4)&gt;=YEAR($F110),$K110="a"),ROUND(VLOOKUP(DQ$4,Preisindex,5,FALSE)/VLOOKUP(Preisindex!$A$6,Preisindex,5,FALSE),2),IF(AND($E110&lt;&gt;0,$F110&gt;0,YEAR($F110)&lt;Preisindex!$A$6,YEAR(DL$4)&gt;=YEAR($F110),$K110="b"),ROUND(VLOOKUP(DQ$4,Preisindex,3,FALSE)/VLOOKUP(Preisindex!$A$6,Preisindex,3,FALSE),2),IF(AND($E110&lt;&gt;0,$F110&gt;0,YEAR($F110)&lt;Preisindex!$A$6,YEAR(DL$4)&gt;=YEAR($F110),$K110="g"),ROUND(VLOOKUP(DQ$4,Preisindex,4,FALSE)/VLOOKUP(Preisindex!$A$6,Preisindex,4,FALSE),2),IF(AND($E110&lt;&gt;0,$F110&gt;0,YEAR($F110)&lt;Preisindex!$A$6,YEAR(DL$4)&gt;=YEAR($F110),$K110="k"),ROUND(VLOOKUP(DQ$4,Preisindex,2,FALSE)/VLOOKUP(Preisindex!$A$6,Preisindex,2,FALSE),2),0)))))</f>
        <v>0</v>
      </c>
      <c r="DS110" s="51">
        <f>IF(AND($E110&lt;&gt;0,$F110&gt;0,YEAR($F110)&lt;=DQ$4,YEAR($F110)&gt;=Preisindex!$A$6),ROUND($E110*DQ110,2),IF(AND($E110&lt;&gt;0,$F110&gt;0,YEAR($F110)&lt;=DQ$4,YEAR($F110)&lt;Preisindex!$A$6),ROUND($E110*DR110,2),0))</f>
        <v>0</v>
      </c>
      <c r="DT110" s="53">
        <f t="shared" si="402"/>
        <v>0</v>
      </c>
      <c r="DU110" s="51">
        <f t="shared" si="489"/>
        <v>0</v>
      </c>
      <c r="DV110" s="51">
        <f t="shared" si="473"/>
        <v>0</v>
      </c>
      <c r="DW110" s="51">
        <f t="shared" si="403"/>
        <v>0</v>
      </c>
      <c r="DX110" s="51">
        <f t="shared" si="474"/>
        <v>0</v>
      </c>
      <c r="DY110" s="51">
        <f t="shared" si="404"/>
        <v>0</v>
      </c>
      <c r="DZ110" s="51">
        <f t="shared" si="475"/>
        <v>0</v>
      </c>
      <c r="EA110" s="51">
        <f t="shared" si="405"/>
        <v>0</v>
      </c>
      <c r="EB110" s="51">
        <f t="shared" si="476"/>
        <v>0</v>
      </c>
      <c r="EC110" s="51">
        <f t="shared" si="406"/>
        <v>0</v>
      </c>
      <c r="ED110" s="51">
        <f t="shared" si="477"/>
        <v>0</v>
      </c>
      <c r="EE110" s="51">
        <f t="shared" si="407"/>
        <v>0</v>
      </c>
      <c r="EF110" s="54">
        <f t="shared" si="408"/>
        <v>0</v>
      </c>
      <c r="EG110" s="55">
        <f t="shared" si="409"/>
        <v>0</v>
      </c>
      <c r="EH110" s="56">
        <f>IF(AND($E110&lt;&gt;0,$F110&gt;0,YEAR($F110)&gt;=Preisindex!$A$6,YEAR(EC$4)&gt;=YEAR($F110),AND($K110&lt;&gt;"a",$K110&lt;&gt;"b",$K110&lt;&gt;"g",$K110&lt;&gt;"k")),1,IF(AND($E110&lt;&gt;0,$F110&gt;0,YEAR($F110)&gt;=Preisindex!$A$6,YEAR(EC$4)&gt;=YEAR($F110),$K110="a"),ROUND(VLOOKUP(EH$4,Preisindex,5,FALSE)/VLOOKUP(YEAR($F110),Preisindex,5,FALSE),2),IF(AND($E110&lt;&gt;0,$F110&gt;0,YEAR($F110)&gt;=Preisindex!$A$6,YEAR(EC$4)&gt;=YEAR($F110),$K110="b"),ROUND(VLOOKUP(EH$4,Preisindex,3,FALSE)/VLOOKUP(YEAR($F110),Preisindex,3,FALSE),2),IF(AND($E110&lt;&gt;0,$F110&gt;0,YEAR($F110)&gt;=Preisindex!$A$6,YEAR(EC$4)&gt;=YEAR($F110),$K110="g"),ROUND(VLOOKUP(EH$4,Preisindex,4,FALSE)/VLOOKUP(YEAR($F110),Preisindex,4,FALSE),2),IF(AND($E110&lt;&gt;0,$F110&gt;0,YEAR($F110)&gt;=Preisindex!$A$6,YEAR(EC$4)&gt;=YEAR($F110),$K110="k"),ROUND(VLOOKUP(EH$4,Preisindex,2,FALSE)/VLOOKUP(YEAR($F110),Preisindex,2,FALSE),2),0)))))</f>
        <v>0</v>
      </c>
      <c r="EI110" s="56">
        <f>IF(AND($E110&lt;&gt;0,$F110&gt;0,YEAR($F110)&lt;Preisindex!$A$6,YEAR(EC$4)&gt;=YEAR($F110),AND($K110&lt;&gt;"a",$K110&lt;&gt;"b",$K110&lt;&gt;"g",$K110&lt;&gt;"k")),1,IF(AND($E110&lt;&gt;0,$F110&gt;0,YEAR($F110)&lt;Preisindex!$A$6,YEAR(EC$4)&gt;=YEAR($F110),$K110="a"),ROUND(VLOOKUP(EH$4,Preisindex,5,FALSE)/VLOOKUP(Preisindex!$A$6,Preisindex,5,FALSE),2),IF(AND($E110&lt;&gt;0,$F110&gt;0,YEAR($F110)&lt;Preisindex!$A$6,YEAR(EC$4)&gt;=YEAR($F110),$K110="b"),ROUND(VLOOKUP(EH$4,Preisindex,3,FALSE)/VLOOKUP(Preisindex!$A$6,Preisindex,3,FALSE),2),IF(AND($E110&lt;&gt;0,$F110&gt;0,YEAR($F110)&lt;Preisindex!$A$6,YEAR(EC$4)&gt;=YEAR($F110),$K110="g"),ROUND(VLOOKUP(EH$4,Preisindex,4,FALSE)/VLOOKUP(Preisindex!$A$6,Preisindex,4,FALSE),2),IF(AND($E110&lt;&gt;0,$F110&gt;0,YEAR($F110)&lt;Preisindex!$A$6,YEAR(EC$4)&gt;=YEAR($F110),$K110="k"),ROUND(VLOOKUP(EH$4,Preisindex,2,FALSE)/VLOOKUP(Preisindex!$A$6,Preisindex,2,FALSE),2),0)))))</f>
        <v>0</v>
      </c>
      <c r="EJ110" s="51">
        <f>IF(AND($E110&lt;&gt;0,$F110&gt;0,YEAR($F110)&lt;=EH$4,YEAR($F110)&gt;=Preisindex!$A$6),ROUND($E110*EH110,2),IF(AND($E110&lt;&gt;0,$F110&gt;0,YEAR($F110)&lt;=EH$4,YEAR($F110)&lt;Preisindex!$A$6),ROUND($E110*EI110,2),0))</f>
        <v>0</v>
      </c>
      <c r="EK110" s="53">
        <f t="shared" si="410"/>
        <v>0</v>
      </c>
      <c r="EL110" s="51">
        <f t="shared" si="489"/>
        <v>0</v>
      </c>
      <c r="EM110" s="51">
        <f t="shared" si="478"/>
        <v>0</v>
      </c>
      <c r="EN110" s="51">
        <f t="shared" si="411"/>
        <v>0</v>
      </c>
      <c r="EO110" s="51">
        <f t="shared" si="479"/>
        <v>0</v>
      </c>
      <c r="EP110" s="51">
        <f t="shared" si="412"/>
        <v>0</v>
      </c>
      <c r="EQ110" s="51">
        <f t="shared" si="480"/>
        <v>0</v>
      </c>
      <c r="ER110" s="51">
        <f t="shared" si="413"/>
        <v>0</v>
      </c>
      <c r="ES110" s="51">
        <f t="shared" si="481"/>
        <v>0</v>
      </c>
      <c r="ET110" s="51">
        <f t="shared" si="414"/>
        <v>0</v>
      </c>
      <c r="EU110" s="51">
        <f t="shared" si="482"/>
        <v>0</v>
      </c>
      <c r="EV110" s="51">
        <f t="shared" si="415"/>
        <v>0</v>
      </c>
      <c r="EW110" s="54">
        <f t="shared" si="416"/>
        <v>0</v>
      </c>
      <c r="EX110" s="55">
        <f t="shared" si="417"/>
        <v>0</v>
      </c>
      <c r="EY110" s="56">
        <f>IF(AND($E110&lt;&gt;0,$F110&gt;0,YEAR($F110)&gt;=Preisindex!$A$6,YEAR(ET$4)&gt;=YEAR($F110),AND($K110&lt;&gt;"a",$K110&lt;&gt;"b",$K110&lt;&gt;"g",$K110&lt;&gt;"k")),1,IF(AND($E110&lt;&gt;0,$F110&gt;0,YEAR($F110)&gt;=Preisindex!$A$6,YEAR(ET$4)&gt;=YEAR($F110),$K110="a"),ROUND(VLOOKUP(EY$4,Preisindex,5,FALSE)/VLOOKUP(YEAR($F110),Preisindex,5,FALSE),2),IF(AND($E110&lt;&gt;0,$F110&gt;0,YEAR($F110)&gt;=Preisindex!$A$6,YEAR(ET$4)&gt;=YEAR($F110),$K110="b"),ROUND(VLOOKUP(EY$4,Preisindex,3,FALSE)/VLOOKUP(YEAR($F110),Preisindex,3,FALSE),2),IF(AND($E110&lt;&gt;0,$F110&gt;0,YEAR($F110)&gt;=Preisindex!$A$6,YEAR(ET$4)&gt;=YEAR($F110),$K110="g"),ROUND(VLOOKUP(EY$4,Preisindex,4,FALSE)/VLOOKUP(YEAR($F110),Preisindex,4,FALSE),2),IF(AND($E110&lt;&gt;0,$F110&gt;0,YEAR($F110)&gt;=Preisindex!$A$6,YEAR(ET$4)&gt;=YEAR($F110),$K110="k"),ROUND(VLOOKUP(EY$4,Preisindex,2,FALSE)/VLOOKUP(YEAR($F110),Preisindex,2,FALSE),2),0)))))</f>
        <v>0</v>
      </c>
      <c r="EZ110" s="56">
        <f>IF(AND($E110&lt;&gt;0,$F110&gt;0,YEAR($F110)&lt;Preisindex!$A$6,YEAR(ET$4)&gt;=YEAR($F110),AND($K110&lt;&gt;"a",$K110&lt;&gt;"b",$K110&lt;&gt;"g",$K110&lt;&gt;"k")),1,IF(AND($E110&lt;&gt;0,$F110&gt;0,YEAR($F110)&lt;Preisindex!$A$6,YEAR(ET$4)&gt;=YEAR($F110),$K110="a"),ROUND(VLOOKUP(EY$4,Preisindex,5,FALSE)/VLOOKUP(Preisindex!$A$6,Preisindex,5,FALSE),2),IF(AND($E110&lt;&gt;0,$F110&gt;0,YEAR($F110)&lt;Preisindex!$A$6,YEAR(ET$4)&gt;=YEAR($F110),$K110="b"),ROUND(VLOOKUP(EY$4,Preisindex,3,FALSE)/VLOOKUP(Preisindex!$A$6,Preisindex,3,FALSE),2),IF(AND($E110&lt;&gt;0,$F110&gt;0,YEAR($F110)&lt;Preisindex!$A$6,YEAR(ET$4)&gt;=YEAR($F110),$K110="g"),ROUND(VLOOKUP(EY$4,Preisindex,4,FALSE)/VLOOKUP(Preisindex!$A$6,Preisindex,4,FALSE),2),IF(AND($E110&lt;&gt;0,$F110&gt;0,YEAR($F110)&lt;Preisindex!$A$6,YEAR(ET$4)&gt;=YEAR($F110),$K110="k"),ROUND(VLOOKUP(EY$4,Preisindex,2,FALSE)/VLOOKUP(Preisindex!$A$6,Preisindex,2,FALSE),2),0)))))</f>
        <v>0</v>
      </c>
      <c r="FA110" s="51">
        <f>IF(AND($E110&lt;&gt;0,$F110&gt;0,YEAR($F110)&lt;=EY$4,YEAR($F110)&gt;=Preisindex!$A$6),ROUND($E110*EY110,2),IF(AND($E110&lt;&gt;0,$F110&gt;0,YEAR($F110)&lt;=EY$4,YEAR($F110)&lt;Preisindex!$A$6),ROUND($E110*EZ110,2),0))</f>
        <v>0</v>
      </c>
      <c r="FB110" s="53">
        <f t="shared" si="418"/>
        <v>0</v>
      </c>
      <c r="FC110" s="51">
        <f t="shared" si="489"/>
        <v>0</v>
      </c>
      <c r="FD110" s="51">
        <f t="shared" si="483"/>
        <v>0</v>
      </c>
      <c r="FE110" s="51">
        <f t="shared" si="419"/>
        <v>0</v>
      </c>
      <c r="FF110" s="51">
        <f t="shared" si="484"/>
        <v>0</v>
      </c>
      <c r="FG110" s="51">
        <f t="shared" si="420"/>
        <v>0</v>
      </c>
      <c r="FH110" s="51">
        <f t="shared" si="485"/>
        <v>0</v>
      </c>
      <c r="FI110" s="51">
        <f t="shared" si="421"/>
        <v>0</v>
      </c>
      <c r="FJ110" s="51">
        <f t="shared" si="486"/>
        <v>0</v>
      </c>
      <c r="FK110" s="51">
        <f t="shared" si="422"/>
        <v>0</v>
      </c>
      <c r="FL110" s="51">
        <f t="shared" si="487"/>
        <v>0</v>
      </c>
      <c r="FM110" s="51">
        <f t="shared" si="423"/>
        <v>0</v>
      </c>
      <c r="FN110" s="54">
        <f t="shared" si="424"/>
        <v>0</v>
      </c>
      <c r="FO110" s="55">
        <f t="shared" si="425"/>
        <v>0</v>
      </c>
      <c r="FP110" s="56">
        <f>IF(AND($E110&lt;&gt;0,$F110&gt;0,YEAR($F110)&gt;=Preisindex!$A$6,YEAR(FK$4)&gt;=YEAR($F110),AND($K110&lt;&gt;"a",$K110&lt;&gt;"b",$K110&lt;&gt;"g",$K110&lt;&gt;"k")),1,IF(AND($E110&lt;&gt;0,$F110&gt;0,YEAR($F110)&gt;=Preisindex!$A$6,YEAR(FK$4)&gt;=YEAR($F110),$K110="a"),ROUND(VLOOKUP(FP$4,Preisindex,5,FALSE)/VLOOKUP(YEAR($F110),Preisindex,5,FALSE),2),IF(AND($E110&lt;&gt;0,$F110&gt;0,YEAR($F110)&gt;=Preisindex!$A$6,YEAR(FK$4)&gt;=YEAR($F110),$K110="b"),ROUND(VLOOKUP(FP$4,Preisindex,3,FALSE)/VLOOKUP(YEAR($F110),Preisindex,3,FALSE),2),IF(AND($E110&lt;&gt;0,$F110&gt;0,YEAR($F110)&gt;=Preisindex!$A$6,YEAR(FK$4)&gt;=YEAR($F110),$K110="g"),ROUND(VLOOKUP(FP$4,Preisindex,4,FALSE)/VLOOKUP(YEAR($F110),Preisindex,4,FALSE),2),IF(AND($E110&lt;&gt;0,$F110&gt;0,YEAR($F110)&gt;=Preisindex!$A$6,YEAR(FK$4)&gt;=YEAR($F110),$K110="k"),ROUND(VLOOKUP(FP$4,Preisindex,2,FALSE)/VLOOKUP(YEAR($F110),Preisindex,2,FALSE),2),0)))))</f>
        <v>0</v>
      </c>
      <c r="FQ110" s="56">
        <f>IF(AND($E110&lt;&gt;0,$F110&gt;0,YEAR($F110)&lt;Preisindex!$A$6,YEAR(FK$4)&gt;=YEAR($F110),AND($K110&lt;&gt;"a",$K110&lt;&gt;"b",$K110&lt;&gt;"g",$K110&lt;&gt;"k")),1,IF(AND($E110&lt;&gt;0,$F110&gt;0,YEAR($F110)&lt;Preisindex!$A$6,YEAR(FK$4)&gt;=YEAR($F110),$K110="a"),ROUND(VLOOKUP(FP$4,Preisindex,5,FALSE)/VLOOKUP(Preisindex!$A$6,Preisindex,5,FALSE),2),IF(AND($E110&lt;&gt;0,$F110&gt;0,YEAR($F110)&lt;Preisindex!$A$6,YEAR(FK$4)&gt;=YEAR($F110),$K110="b"),ROUND(VLOOKUP(FP$4,Preisindex,3,FALSE)/VLOOKUP(Preisindex!$A$6,Preisindex,3,FALSE),2),IF(AND($E110&lt;&gt;0,$F110&gt;0,YEAR($F110)&lt;Preisindex!$A$6,YEAR(FK$4)&gt;=YEAR($F110),$K110="g"),ROUND(VLOOKUP(FP$4,Preisindex,4,FALSE)/VLOOKUP(Preisindex!$A$6,Preisindex,4,FALSE),2),IF(AND($E110&lt;&gt;0,$F110&gt;0,YEAR($F110)&lt;Preisindex!$A$6,YEAR(FK$4)&gt;=YEAR($F110),$K110="k"),ROUND(VLOOKUP(FP$4,Preisindex,2,FALSE)/VLOOKUP(Preisindex!$A$6,Preisindex,2,FALSE),2),0)))))</f>
        <v>0</v>
      </c>
      <c r="FR110" s="51">
        <f>IF(AND($E110&lt;&gt;0,$F110&gt;0,YEAR($F110)&lt;=FP$4,YEAR($F110)&gt;=Preisindex!$A$6),ROUND($E110*FP110,2),IF(AND($E110&lt;&gt;0,$F110&gt;0,YEAR($F110)&lt;=FP$4,YEAR($F110)&lt;Preisindex!$A$6),ROUND($E110*FQ110,2),0))</f>
        <v>0</v>
      </c>
      <c r="FS110" s="53">
        <f t="shared" si="426"/>
        <v>0</v>
      </c>
    </row>
    <row r="111" spans="1:175" x14ac:dyDescent="0.3">
      <c r="A111" s="93"/>
      <c r="B111" s="94"/>
      <c r="C111" s="94"/>
      <c r="D111" s="95"/>
      <c r="E111" s="99"/>
      <c r="F111" s="97"/>
      <c r="G111" s="98"/>
      <c r="H111" s="620"/>
      <c r="I111" s="621"/>
      <c r="J111" s="194"/>
      <c r="K111" s="630"/>
      <c r="L111" s="49">
        <f t="shared" si="427"/>
        <v>0</v>
      </c>
      <c r="M111" s="50">
        <f t="shared" si="428"/>
        <v>0</v>
      </c>
      <c r="N111" s="51">
        <f t="shared" si="429"/>
        <v>0</v>
      </c>
      <c r="O111" s="51"/>
      <c r="P111" s="51">
        <f t="shared" si="430"/>
        <v>0</v>
      </c>
      <c r="Q111" s="52"/>
      <c r="R111" s="52"/>
      <c r="S111" s="52"/>
      <c r="T111" s="52"/>
      <c r="U111" s="52"/>
      <c r="V111" s="53">
        <f t="shared" si="431"/>
        <v>0</v>
      </c>
      <c r="W111" s="51">
        <f t="shared" si="432"/>
        <v>0</v>
      </c>
      <c r="X111" s="51">
        <f t="shared" si="433"/>
        <v>0</v>
      </c>
      <c r="Y111" s="51">
        <f t="shared" si="434"/>
        <v>0</v>
      </c>
      <c r="Z111" s="51">
        <f t="shared" si="435"/>
        <v>0</v>
      </c>
      <c r="AA111" s="51">
        <f t="shared" si="436"/>
        <v>0</v>
      </c>
      <c r="AB111" s="51">
        <f t="shared" si="437"/>
        <v>0</v>
      </c>
      <c r="AC111" s="51">
        <f t="shared" si="438"/>
        <v>0</v>
      </c>
      <c r="AD111" s="51">
        <f t="shared" si="439"/>
        <v>0</v>
      </c>
      <c r="AE111" s="51">
        <f t="shared" si="440"/>
        <v>0</v>
      </c>
      <c r="AF111" s="51">
        <f t="shared" si="441"/>
        <v>0</v>
      </c>
      <c r="AG111" s="51">
        <f t="shared" si="442"/>
        <v>0</v>
      </c>
      <c r="AH111" s="54">
        <f t="shared" si="443"/>
        <v>0</v>
      </c>
      <c r="AI111" s="55">
        <f t="shared" si="444"/>
        <v>0</v>
      </c>
      <c r="AJ111" s="56">
        <f>IF(AND($E111&lt;&gt;0,$F111&gt;0,YEAR($F111)&gt;=Preisindex!$A$6,YEAR(AE$4)&gt;=YEAR($F111),AND($K111&lt;&gt;"a",$K111&lt;&gt;"b",$K111&lt;&gt;"g",$K111&lt;&gt;"k")),1,IF(AND($E111&lt;&gt;0,$F111&gt;0,YEAR($F111)&gt;=Preisindex!$A$6,YEAR(AE$4)&gt;=YEAR($F111),$K111="a"),ROUND(VLOOKUP(AJ$4,Preisindex,5,FALSE)/VLOOKUP(YEAR($F111),Preisindex,5,FALSE),2),IF(AND($E111&lt;&gt;0,$F111&gt;0,YEAR($F111)&gt;=Preisindex!$A$6,YEAR(AE$4)&gt;=YEAR($F111),$K111="b"),ROUND(VLOOKUP(AJ$4,Preisindex,3,FALSE)/VLOOKUP(YEAR($F111),Preisindex,3,FALSE),2),IF(AND($E111&lt;&gt;0,$F111&gt;0,YEAR($F111)&gt;=Preisindex!$A$6,YEAR(AE$4)&gt;=YEAR($F111),$K111="g"),ROUND(VLOOKUP(AJ$4,Preisindex,4,FALSE)/VLOOKUP(YEAR($F111),Preisindex,4,FALSE),2),IF(AND($E111&lt;&gt;0,$F111&gt;0,YEAR($F111)&gt;=Preisindex!$A$6,YEAR(AE$4)&gt;=YEAR($F111),$K111="k"),ROUND(VLOOKUP(AJ$4,Preisindex,2,FALSE)/VLOOKUP(YEAR($F111),Preisindex,2,FALSE),2),0)))))</f>
        <v>0</v>
      </c>
      <c r="AK111" s="56">
        <f>IF(AND($E111&lt;&gt;0,$F111&gt;0,YEAR($F111)&lt;Preisindex!$A$6,YEAR(AE$4)&gt;=YEAR($F111),AND($K111&lt;&gt;"a",$K111&lt;&gt;"b",$K111&lt;&gt;"g",$K111&lt;&gt;"k")),1,IF(AND($E111&lt;&gt;0,$F111&gt;0,YEAR($F111)&lt;Preisindex!$A$6,YEAR(AE$4)&gt;=YEAR($F111),$K111="a"),ROUND(VLOOKUP(AJ$4,Preisindex,5,FALSE)/VLOOKUP(Preisindex!$A$6,Preisindex,5,FALSE),2),IF(AND($E111&lt;&gt;0,$F111&gt;0,YEAR($F111)&lt;Preisindex!$A$6,YEAR(AE$4)&gt;=YEAR($F111),$K111="b"),ROUND(VLOOKUP(AJ$4,Preisindex,3,FALSE)/VLOOKUP(Preisindex!$A$6,Preisindex,3,FALSE),2),IF(AND($E111&lt;&gt;0,$F111&gt;0,YEAR($F111)&lt;Preisindex!$A$6,YEAR(AE$4)&gt;=YEAR($F111),$K111="g"),ROUND(VLOOKUP(AJ$4,Preisindex,4,FALSE)/VLOOKUP(Preisindex!$A$6,Preisindex,4,FALSE),2),IF(AND($E111&lt;&gt;0,$F111&gt;0,YEAR($F111)&lt;Preisindex!$A$6,YEAR(AE$4)&gt;=YEAR($F111),$K111="k"),ROUND(VLOOKUP(AJ$4,Preisindex,2,FALSE)/VLOOKUP(Preisindex!$A$6,Preisindex,2,FALSE),2),0)))))</f>
        <v>0</v>
      </c>
      <c r="AL111" s="51">
        <f>IF(AND($E111&lt;&gt;0,$F111&gt;0,YEAR($F111)&lt;=AJ$4,YEAR($F111)&gt;=Preisindex!$A$6),ROUND($E111*AJ111,2),IF(AND($E111&lt;&gt;0,$F111&gt;0,YEAR($F111)&lt;=AJ$4,YEAR($F111)&lt;Preisindex!$A$6),ROUND($E111*AK111,2),0))</f>
        <v>0</v>
      </c>
      <c r="AM111" s="53">
        <f t="shared" si="445"/>
        <v>0</v>
      </c>
      <c r="AN111" s="51">
        <f t="shared" si="488"/>
        <v>0</v>
      </c>
      <c r="AO111" s="51">
        <f t="shared" si="448"/>
        <v>0</v>
      </c>
      <c r="AP111" s="51">
        <f t="shared" si="362"/>
        <v>0</v>
      </c>
      <c r="AQ111" s="51">
        <f t="shared" si="449"/>
        <v>0</v>
      </c>
      <c r="AR111" s="51">
        <f t="shared" si="363"/>
        <v>0</v>
      </c>
      <c r="AS111" s="51">
        <f t="shared" si="450"/>
        <v>0</v>
      </c>
      <c r="AT111" s="51">
        <f t="shared" si="364"/>
        <v>0</v>
      </c>
      <c r="AU111" s="51">
        <f t="shared" si="451"/>
        <v>0</v>
      </c>
      <c r="AV111" s="51">
        <f t="shared" si="365"/>
        <v>0</v>
      </c>
      <c r="AW111" s="51">
        <f t="shared" si="452"/>
        <v>0</v>
      </c>
      <c r="AX111" s="51">
        <f t="shared" si="366"/>
        <v>0</v>
      </c>
      <c r="AY111" s="54">
        <f t="shared" si="367"/>
        <v>0</v>
      </c>
      <c r="AZ111" s="55">
        <f t="shared" si="368"/>
        <v>0</v>
      </c>
      <c r="BA111" s="56">
        <f>IF(AND($E111&lt;&gt;0,$F111&gt;0,YEAR($F111)&gt;=Preisindex!$A$6,YEAR(AV$4)&gt;=YEAR($F111),AND($K111&lt;&gt;"a",$K111&lt;&gt;"b",$K111&lt;&gt;"g",$K111&lt;&gt;"k")),1,IF(AND($E111&lt;&gt;0,$F111&gt;0,YEAR($F111)&gt;=Preisindex!$A$6,YEAR(AV$4)&gt;=YEAR($F111),$K111="a"),ROUND(VLOOKUP(BA$4,Preisindex,5,FALSE)/VLOOKUP(YEAR($F111),Preisindex,5,FALSE),2),IF(AND($E111&lt;&gt;0,$F111&gt;0,YEAR($F111)&gt;=Preisindex!$A$6,YEAR(AV$4)&gt;=YEAR($F111),$K111="b"),ROUND(VLOOKUP(BA$4,Preisindex,3,FALSE)/VLOOKUP(YEAR($F111),Preisindex,3,FALSE),2),IF(AND($E111&lt;&gt;0,$F111&gt;0,YEAR($F111)&gt;=Preisindex!$A$6,YEAR(AV$4)&gt;=YEAR($F111),$K111="g"),ROUND(VLOOKUP(BA$4,Preisindex,4,FALSE)/VLOOKUP(YEAR($F111),Preisindex,4,FALSE),2),IF(AND($E111&lt;&gt;0,$F111&gt;0,YEAR($F111)&gt;=Preisindex!$A$6,YEAR(AV$4)&gt;=YEAR($F111),$K111="k"),ROUND(VLOOKUP(BA$4,Preisindex,2,FALSE)/VLOOKUP(YEAR($F111),Preisindex,2,FALSE),2),0)))))</f>
        <v>0</v>
      </c>
      <c r="BB111" s="56">
        <f>IF(AND($E111&lt;&gt;0,$F111&gt;0,YEAR($F111)&lt;Preisindex!$A$6,YEAR(AV$4)&gt;=YEAR($F111),AND($K111&lt;&gt;"a",$K111&lt;&gt;"b",$K111&lt;&gt;"g",$K111&lt;&gt;"k")),1,IF(AND($E111&lt;&gt;0,$F111&gt;0,YEAR($F111)&lt;Preisindex!$A$6,YEAR(AV$4)&gt;=YEAR($F111),$K111="a"),ROUND(VLOOKUP(BA$4,Preisindex,5,FALSE)/VLOOKUP(Preisindex!$A$6,Preisindex,5,FALSE),2),IF(AND($E111&lt;&gt;0,$F111&gt;0,YEAR($F111)&lt;Preisindex!$A$6,YEAR(AV$4)&gt;=YEAR($F111),$K111="b"),ROUND(VLOOKUP(BA$4,Preisindex,3,FALSE)/VLOOKUP(Preisindex!$A$6,Preisindex,3,FALSE),2),IF(AND($E111&lt;&gt;0,$F111&gt;0,YEAR($F111)&lt;Preisindex!$A$6,YEAR(AV$4)&gt;=YEAR($F111),$K111="g"),ROUND(VLOOKUP(BA$4,Preisindex,4,FALSE)/VLOOKUP(Preisindex!$A$6,Preisindex,4,FALSE),2),IF(AND($E111&lt;&gt;0,$F111&gt;0,YEAR($F111)&lt;Preisindex!$A$6,YEAR(AV$4)&gt;=YEAR($F111),$K111="k"),ROUND(VLOOKUP(BA$4,Preisindex,2,FALSE)/VLOOKUP(Preisindex!$A$6,Preisindex,2,FALSE),2),0)))))</f>
        <v>0</v>
      </c>
      <c r="BC111" s="51">
        <f>IF(AND($E111&lt;&gt;0,$F111&gt;0,YEAR($F111)&lt;=BA$4,YEAR($F111)&gt;=Preisindex!$A$6),ROUND($E111*BA111,2),IF(AND($E111&lt;&gt;0,$F111&gt;0,YEAR($F111)&lt;=BA$4,YEAR($F111)&lt;Preisindex!$A$6),ROUND($E111*BB111,2),0))</f>
        <v>0</v>
      </c>
      <c r="BD111" s="53">
        <f t="shared" si="369"/>
        <v>0</v>
      </c>
      <c r="BE111" s="51">
        <f t="shared" si="488"/>
        <v>0</v>
      </c>
      <c r="BF111" s="51">
        <f t="shared" si="453"/>
        <v>0</v>
      </c>
      <c r="BG111" s="51">
        <f t="shared" si="370"/>
        <v>0</v>
      </c>
      <c r="BH111" s="51">
        <f t="shared" si="454"/>
        <v>0</v>
      </c>
      <c r="BI111" s="51">
        <f t="shared" si="371"/>
        <v>0</v>
      </c>
      <c r="BJ111" s="51">
        <f t="shared" si="455"/>
        <v>0</v>
      </c>
      <c r="BK111" s="51">
        <f t="shared" si="372"/>
        <v>0</v>
      </c>
      <c r="BL111" s="51">
        <f t="shared" si="456"/>
        <v>0</v>
      </c>
      <c r="BM111" s="51">
        <f t="shared" si="373"/>
        <v>0</v>
      </c>
      <c r="BN111" s="51">
        <f t="shared" si="457"/>
        <v>0</v>
      </c>
      <c r="BO111" s="51">
        <f t="shared" si="374"/>
        <v>0</v>
      </c>
      <c r="BP111" s="54">
        <f t="shared" si="375"/>
        <v>0</v>
      </c>
      <c r="BQ111" s="55">
        <f t="shared" si="376"/>
        <v>0</v>
      </c>
      <c r="BR111" s="56">
        <f>IF(AND($E111&lt;&gt;0,$F111&gt;0,YEAR($F111)&gt;=Preisindex!$A$6,YEAR(BM$4)&gt;=YEAR($F111),AND($K111&lt;&gt;"a",$K111&lt;&gt;"b",$K111&lt;&gt;"g",$K111&lt;&gt;"k")),1,IF(AND($E111&lt;&gt;0,$F111&gt;0,YEAR($F111)&gt;=Preisindex!$A$6,YEAR(BM$4)&gt;=YEAR($F111),$K111="a"),ROUND(VLOOKUP(BR$4,Preisindex,5,FALSE)/VLOOKUP(YEAR($F111),Preisindex,5,FALSE),2),IF(AND($E111&lt;&gt;0,$F111&gt;0,YEAR($F111)&gt;=Preisindex!$A$6,YEAR(BM$4)&gt;=YEAR($F111),$K111="b"),ROUND(VLOOKUP(BR$4,Preisindex,3,FALSE)/VLOOKUP(YEAR($F111),Preisindex,3,FALSE),2),IF(AND($E111&lt;&gt;0,$F111&gt;0,YEAR($F111)&gt;=Preisindex!$A$6,YEAR(BM$4)&gt;=YEAR($F111),$K111="g"),ROUND(VLOOKUP(BR$4,Preisindex,4,FALSE)/VLOOKUP(YEAR($F111),Preisindex,4,FALSE),2),IF(AND($E111&lt;&gt;0,$F111&gt;0,YEAR($F111)&gt;=Preisindex!$A$6,YEAR(BM$4)&gt;=YEAR($F111),$K111="k"),ROUND(VLOOKUP(BR$4,Preisindex,2,FALSE)/VLOOKUP(YEAR($F111),Preisindex,2,FALSE),2),0)))))</f>
        <v>0</v>
      </c>
      <c r="BS111" s="56">
        <f>IF(AND($E111&lt;&gt;0,$F111&gt;0,YEAR($F111)&lt;Preisindex!$A$6,YEAR(BM$4)&gt;=YEAR($F111),AND($K111&lt;&gt;"a",$K111&lt;&gt;"b",$K111&lt;&gt;"g",$K111&lt;&gt;"k")),1,IF(AND($E111&lt;&gt;0,$F111&gt;0,YEAR($F111)&lt;Preisindex!$A$6,YEAR(BM$4)&gt;=YEAR($F111),$K111="a"),ROUND(VLOOKUP(BR$4,Preisindex,5,FALSE)/VLOOKUP(Preisindex!$A$6,Preisindex,5,FALSE),2),IF(AND($E111&lt;&gt;0,$F111&gt;0,YEAR($F111)&lt;Preisindex!$A$6,YEAR(BM$4)&gt;=YEAR($F111),$K111="b"),ROUND(VLOOKUP(BR$4,Preisindex,3,FALSE)/VLOOKUP(Preisindex!$A$6,Preisindex,3,FALSE),2),IF(AND($E111&lt;&gt;0,$F111&gt;0,YEAR($F111)&lt;Preisindex!$A$6,YEAR(BM$4)&gt;=YEAR($F111),$K111="g"),ROUND(VLOOKUP(BR$4,Preisindex,4,FALSE)/VLOOKUP(Preisindex!$A$6,Preisindex,4,FALSE),2),IF(AND($E111&lt;&gt;0,$F111&gt;0,YEAR($F111)&lt;Preisindex!$A$6,YEAR(BM$4)&gt;=YEAR($F111),$K111="k"),ROUND(VLOOKUP(BR$4,Preisindex,2,FALSE)/VLOOKUP(Preisindex!$A$6,Preisindex,2,FALSE),2),0)))))</f>
        <v>0</v>
      </c>
      <c r="BT111" s="51">
        <f>IF(AND($E111&lt;&gt;0,$F111&gt;0,YEAR($F111)&lt;=BR$4,YEAR($F111)&gt;=Preisindex!$A$6),ROUND($E111*BR111,2),IF(AND($E111&lt;&gt;0,$F111&gt;0,YEAR($F111)&lt;=BR$4,YEAR($F111)&lt;Preisindex!$A$6),ROUND($E111*BS111,2),0))</f>
        <v>0</v>
      </c>
      <c r="BU111" s="53">
        <f t="shared" si="377"/>
        <v>0</v>
      </c>
      <c r="BV111" s="51">
        <f t="shared" si="488"/>
        <v>0</v>
      </c>
      <c r="BW111" s="51">
        <f t="shared" si="458"/>
        <v>0</v>
      </c>
      <c r="BX111" s="51">
        <f t="shared" si="378"/>
        <v>0</v>
      </c>
      <c r="BY111" s="51">
        <f t="shared" si="459"/>
        <v>0</v>
      </c>
      <c r="BZ111" s="51">
        <f t="shared" si="379"/>
        <v>0</v>
      </c>
      <c r="CA111" s="51">
        <f t="shared" si="460"/>
        <v>0</v>
      </c>
      <c r="CB111" s="51">
        <f t="shared" si="380"/>
        <v>0</v>
      </c>
      <c r="CC111" s="51">
        <f t="shared" si="461"/>
        <v>0</v>
      </c>
      <c r="CD111" s="51">
        <f t="shared" si="381"/>
        <v>0</v>
      </c>
      <c r="CE111" s="51">
        <f t="shared" si="462"/>
        <v>0</v>
      </c>
      <c r="CF111" s="51">
        <f t="shared" si="382"/>
        <v>0</v>
      </c>
      <c r="CG111" s="54">
        <f t="shared" si="383"/>
        <v>0</v>
      </c>
      <c r="CH111" s="55">
        <f t="shared" si="384"/>
        <v>0</v>
      </c>
      <c r="CI111" s="56">
        <f>IF(AND($E111&lt;&gt;0,$F111&gt;0,YEAR($F111)&gt;=Preisindex!$A$6,YEAR(CD$4)&gt;=YEAR($F111),AND($K111&lt;&gt;"a",$K111&lt;&gt;"b",$K111&lt;&gt;"g",$K111&lt;&gt;"k")),1,IF(AND($E111&lt;&gt;0,$F111&gt;0,YEAR($F111)&gt;=Preisindex!$A$6,YEAR(CD$4)&gt;=YEAR($F111),$K111="a"),ROUND(VLOOKUP(CI$4,Preisindex,5,FALSE)/VLOOKUP(YEAR($F111),Preisindex,5,FALSE),2),IF(AND($E111&lt;&gt;0,$F111&gt;0,YEAR($F111)&gt;=Preisindex!$A$6,YEAR(CD$4)&gt;=YEAR($F111),$K111="b"),ROUND(VLOOKUP(CI$4,Preisindex,3,FALSE)/VLOOKUP(YEAR($F111),Preisindex,3,FALSE),2),IF(AND($E111&lt;&gt;0,$F111&gt;0,YEAR($F111)&gt;=Preisindex!$A$6,YEAR(CD$4)&gt;=YEAR($F111),$K111="g"),ROUND(VLOOKUP(CI$4,Preisindex,4,FALSE)/VLOOKUP(YEAR($F111),Preisindex,4,FALSE),2),IF(AND($E111&lt;&gt;0,$F111&gt;0,YEAR($F111)&gt;=Preisindex!$A$6,YEAR(CD$4)&gt;=YEAR($F111),$K111="k"),ROUND(VLOOKUP(CI$4,Preisindex,2,FALSE)/VLOOKUP(YEAR($F111),Preisindex,2,FALSE),2),0)))))</f>
        <v>0</v>
      </c>
      <c r="CJ111" s="56">
        <f>IF(AND($E111&lt;&gt;0,$F111&gt;0,YEAR($F111)&lt;Preisindex!$A$6,YEAR(CD$4)&gt;=YEAR($F111),AND($K111&lt;&gt;"a",$K111&lt;&gt;"b",$K111&lt;&gt;"g",$K111&lt;&gt;"k")),1,IF(AND($E111&lt;&gt;0,$F111&gt;0,YEAR($F111)&lt;Preisindex!$A$6,YEAR(CD$4)&gt;=YEAR($F111),$K111="a"),ROUND(VLOOKUP(CI$4,Preisindex,5,FALSE)/VLOOKUP(Preisindex!$A$6,Preisindex,5,FALSE),2),IF(AND($E111&lt;&gt;0,$F111&gt;0,YEAR($F111)&lt;Preisindex!$A$6,YEAR(CD$4)&gt;=YEAR($F111),$K111="b"),ROUND(VLOOKUP(CI$4,Preisindex,3,FALSE)/VLOOKUP(Preisindex!$A$6,Preisindex,3,FALSE),2),IF(AND($E111&lt;&gt;0,$F111&gt;0,YEAR($F111)&lt;Preisindex!$A$6,YEAR(CD$4)&gt;=YEAR($F111),$K111="g"),ROUND(VLOOKUP(CI$4,Preisindex,4,FALSE)/VLOOKUP(Preisindex!$A$6,Preisindex,4,FALSE),2),IF(AND($E111&lt;&gt;0,$F111&gt;0,YEAR($F111)&lt;Preisindex!$A$6,YEAR(CD$4)&gt;=YEAR($F111),$K111="k"),ROUND(VLOOKUP(CI$4,Preisindex,2,FALSE)/VLOOKUP(Preisindex!$A$6,Preisindex,2,FALSE),2),0)))))</f>
        <v>0</v>
      </c>
      <c r="CK111" s="51">
        <f>IF(AND($E111&lt;&gt;0,$F111&gt;0,YEAR($F111)&lt;=CI$4,YEAR($F111)&gt;=Preisindex!$A$6),ROUND($E111*CI111,2),IF(AND($E111&lt;&gt;0,$F111&gt;0,YEAR($F111)&lt;=CI$4,YEAR($F111)&lt;Preisindex!$A$6),ROUND($E111*CJ111,2),0))</f>
        <v>0</v>
      </c>
      <c r="CL111" s="53">
        <f t="shared" si="385"/>
        <v>0</v>
      </c>
      <c r="CM111" s="51">
        <f t="shared" si="488"/>
        <v>0</v>
      </c>
      <c r="CN111" s="51">
        <f t="shared" si="463"/>
        <v>0</v>
      </c>
      <c r="CO111" s="51">
        <f t="shared" si="386"/>
        <v>0</v>
      </c>
      <c r="CP111" s="51">
        <f t="shared" si="464"/>
        <v>0</v>
      </c>
      <c r="CQ111" s="51">
        <f t="shared" si="387"/>
        <v>0</v>
      </c>
      <c r="CR111" s="51">
        <f t="shared" si="465"/>
        <v>0</v>
      </c>
      <c r="CS111" s="51">
        <f t="shared" si="388"/>
        <v>0</v>
      </c>
      <c r="CT111" s="51">
        <f t="shared" si="466"/>
        <v>0</v>
      </c>
      <c r="CU111" s="51">
        <f t="shared" si="389"/>
        <v>0</v>
      </c>
      <c r="CV111" s="51">
        <f t="shared" si="467"/>
        <v>0</v>
      </c>
      <c r="CW111" s="51">
        <f t="shared" si="390"/>
        <v>0</v>
      </c>
      <c r="CX111" s="54">
        <f t="shared" si="391"/>
        <v>0</v>
      </c>
      <c r="CY111" s="55">
        <f t="shared" si="392"/>
        <v>0</v>
      </c>
      <c r="CZ111" s="56">
        <f>IF(AND($E111&lt;&gt;0,$F111&gt;0,YEAR($F111)&gt;=Preisindex!$A$6,YEAR(CU$4)&gt;=YEAR($F111),AND($K111&lt;&gt;"a",$K111&lt;&gt;"b",$K111&lt;&gt;"g",$K111&lt;&gt;"k")),1,IF(AND($E111&lt;&gt;0,$F111&gt;0,YEAR($F111)&gt;=Preisindex!$A$6,YEAR(CU$4)&gt;=YEAR($F111),$K111="a"),ROUND(VLOOKUP(CZ$4,Preisindex,5,FALSE)/VLOOKUP(YEAR($F111),Preisindex,5,FALSE),2),IF(AND($E111&lt;&gt;0,$F111&gt;0,YEAR($F111)&gt;=Preisindex!$A$6,YEAR(CU$4)&gt;=YEAR($F111),$K111="b"),ROUND(VLOOKUP(CZ$4,Preisindex,3,FALSE)/VLOOKUP(YEAR($F111),Preisindex,3,FALSE),2),IF(AND($E111&lt;&gt;0,$F111&gt;0,YEAR($F111)&gt;=Preisindex!$A$6,YEAR(CU$4)&gt;=YEAR($F111),$K111="g"),ROUND(VLOOKUP(CZ$4,Preisindex,4,FALSE)/VLOOKUP(YEAR($F111),Preisindex,4,FALSE),2),IF(AND($E111&lt;&gt;0,$F111&gt;0,YEAR($F111)&gt;=Preisindex!$A$6,YEAR(CU$4)&gt;=YEAR($F111),$K111="k"),ROUND(VLOOKUP(CZ$4,Preisindex,2,FALSE)/VLOOKUP(YEAR($F111),Preisindex,2,FALSE),2),0)))))</f>
        <v>0</v>
      </c>
      <c r="DA111" s="56">
        <f>IF(AND($E111&lt;&gt;0,$F111&gt;0,YEAR($F111)&lt;Preisindex!$A$6,YEAR(CU$4)&gt;=YEAR($F111),AND($K111&lt;&gt;"a",$K111&lt;&gt;"b",$K111&lt;&gt;"g",$K111&lt;&gt;"k")),1,IF(AND($E111&lt;&gt;0,$F111&gt;0,YEAR($F111)&lt;Preisindex!$A$6,YEAR(CU$4)&gt;=YEAR($F111),$K111="a"),ROUND(VLOOKUP(CZ$4,Preisindex,5,FALSE)/VLOOKUP(Preisindex!$A$6,Preisindex,5,FALSE),2),IF(AND($E111&lt;&gt;0,$F111&gt;0,YEAR($F111)&lt;Preisindex!$A$6,YEAR(CU$4)&gt;=YEAR($F111),$K111="b"),ROUND(VLOOKUP(CZ$4,Preisindex,3,FALSE)/VLOOKUP(Preisindex!$A$6,Preisindex,3,FALSE),2),IF(AND($E111&lt;&gt;0,$F111&gt;0,YEAR($F111)&lt;Preisindex!$A$6,YEAR(CU$4)&gt;=YEAR($F111),$K111="g"),ROUND(VLOOKUP(CZ$4,Preisindex,4,FALSE)/VLOOKUP(Preisindex!$A$6,Preisindex,4,FALSE),2),IF(AND($E111&lt;&gt;0,$F111&gt;0,YEAR($F111)&lt;Preisindex!$A$6,YEAR(CU$4)&gt;=YEAR($F111),$K111="k"),ROUND(VLOOKUP(CZ$4,Preisindex,2,FALSE)/VLOOKUP(Preisindex!$A$6,Preisindex,2,FALSE),2),0)))))</f>
        <v>0</v>
      </c>
      <c r="DB111" s="51">
        <f>IF(AND($E111&lt;&gt;0,$F111&gt;0,YEAR($F111)&lt;=CZ$4,YEAR($F111)&gt;=Preisindex!$A$6),ROUND($E111*CZ111,2),IF(AND($E111&lt;&gt;0,$F111&gt;0,YEAR($F111)&lt;=CZ$4,YEAR($F111)&lt;Preisindex!$A$6),ROUND($E111*DA111,2),0))</f>
        <v>0</v>
      </c>
      <c r="DC111" s="53">
        <f t="shared" si="393"/>
        <v>0</v>
      </c>
      <c r="DD111" s="51">
        <f t="shared" si="489"/>
        <v>0</v>
      </c>
      <c r="DE111" s="51">
        <f t="shared" si="468"/>
        <v>0</v>
      </c>
      <c r="DF111" s="51">
        <f t="shared" si="395"/>
        <v>0</v>
      </c>
      <c r="DG111" s="51">
        <f t="shared" si="469"/>
        <v>0</v>
      </c>
      <c r="DH111" s="51">
        <f t="shared" si="396"/>
        <v>0</v>
      </c>
      <c r="DI111" s="51">
        <f t="shared" si="470"/>
        <v>0</v>
      </c>
      <c r="DJ111" s="51">
        <f t="shared" si="397"/>
        <v>0</v>
      </c>
      <c r="DK111" s="51">
        <f t="shared" si="471"/>
        <v>0</v>
      </c>
      <c r="DL111" s="51">
        <f t="shared" si="398"/>
        <v>0</v>
      </c>
      <c r="DM111" s="51">
        <f t="shared" si="472"/>
        <v>0</v>
      </c>
      <c r="DN111" s="51">
        <f t="shared" si="399"/>
        <v>0</v>
      </c>
      <c r="DO111" s="54">
        <f t="shared" si="400"/>
        <v>0</v>
      </c>
      <c r="DP111" s="55">
        <f t="shared" si="401"/>
        <v>0</v>
      </c>
      <c r="DQ111" s="56">
        <f>IF(AND($E111&lt;&gt;0,$F111&gt;0,YEAR($F111)&gt;=Preisindex!$A$6,YEAR(DL$4)&gt;=YEAR($F111),AND($K111&lt;&gt;"a",$K111&lt;&gt;"b",$K111&lt;&gt;"g",$K111&lt;&gt;"k")),1,IF(AND($E111&lt;&gt;0,$F111&gt;0,YEAR($F111)&gt;=Preisindex!$A$6,YEAR(DL$4)&gt;=YEAR($F111),$K111="a"),ROUND(VLOOKUP(DQ$4,Preisindex,5,FALSE)/VLOOKUP(YEAR($F111),Preisindex,5,FALSE),2),IF(AND($E111&lt;&gt;0,$F111&gt;0,YEAR($F111)&gt;=Preisindex!$A$6,YEAR(DL$4)&gt;=YEAR($F111),$K111="b"),ROUND(VLOOKUP(DQ$4,Preisindex,3,FALSE)/VLOOKUP(YEAR($F111),Preisindex,3,FALSE),2),IF(AND($E111&lt;&gt;0,$F111&gt;0,YEAR($F111)&gt;=Preisindex!$A$6,YEAR(DL$4)&gt;=YEAR($F111),$K111="g"),ROUND(VLOOKUP(DQ$4,Preisindex,4,FALSE)/VLOOKUP(YEAR($F111),Preisindex,4,FALSE),2),IF(AND($E111&lt;&gt;0,$F111&gt;0,YEAR($F111)&gt;=Preisindex!$A$6,YEAR(DL$4)&gt;=YEAR($F111),$K111="k"),ROUND(VLOOKUP(DQ$4,Preisindex,2,FALSE)/VLOOKUP(YEAR($F111),Preisindex,2,FALSE),2),0)))))</f>
        <v>0</v>
      </c>
      <c r="DR111" s="56">
        <f>IF(AND($E111&lt;&gt;0,$F111&gt;0,YEAR($F111)&lt;Preisindex!$A$6,YEAR(DL$4)&gt;=YEAR($F111),AND($K111&lt;&gt;"a",$K111&lt;&gt;"b",$K111&lt;&gt;"g",$K111&lt;&gt;"k")),1,IF(AND($E111&lt;&gt;0,$F111&gt;0,YEAR($F111)&lt;Preisindex!$A$6,YEAR(DL$4)&gt;=YEAR($F111),$K111="a"),ROUND(VLOOKUP(DQ$4,Preisindex,5,FALSE)/VLOOKUP(Preisindex!$A$6,Preisindex,5,FALSE),2),IF(AND($E111&lt;&gt;0,$F111&gt;0,YEAR($F111)&lt;Preisindex!$A$6,YEAR(DL$4)&gt;=YEAR($F111),$K111="b"),ROUND(VLOOKUP(DQ$4,Preisindex,3,FALSE)/VLOOKUP(Preisindex!$A$6,Preisindex,3,FALSE),2),IF(AND($E111&lt;&gt;0,$F111&gt;0,YEAR($F111)&lt;Preisindex!$A$6,YEAR(DL$4)&gt;=YEAR($F111),$K111="g"),ROUND(VLOOKUP(DQ$4,Preisindex,4,FALSE)/VLOOKUP(Preisindex!$A$6,Preisindex,4,FALSE),2),IF(AND($E111&lt;&gt;0,$F111&gt;0,YEAR($F111)&lt;Preisindex!$A$6,YEAR(DL$4)&gt;=YEAR($F111),$K111="k"),ROUND(VLOOKUP(DQ$4,Preisindex,2,FALSE)/VLOOKUP(Preisindex!$A$6,Preisindex,2,FALSE),2),0)))))</f>
        <v>0</v>
      </c>
      <c r="DS111" s="51">
        <f>IF(AND($E111&lt;&gt;0,$F111&gt;0,YEAR($F111)&lt;=DQ$4,YEAR($F111)&gt;=Preisindex!$A$6),ROUND($E111*DQ111,2),IF(AND($E111&lt;&gt;0,$F111&gt;0,YEAR($F111)&lt;=DQ$4,YEAR($F111)&lt;Preisindex!$A$6),ROUND($E111*DR111,2),0))</f>
        <v>0</v>
      </c>
      <c r="DT111" s="53">
        <f t="shared" si="402"/>
        <v>0</v>
      </c>
      <c r="DU111" s="51">
        <f t="shared" si="489"/>
        <v>0</v>
      </c>
      <c r="DV111" s="51">
        <f t="shared" si="473"/>
        <v>0</v>
      </c>
      <c r="DW111" s="51">
        <f t="shared" si="403"/>
        <v>0</v>
      </c>
      <c r="DX111" s="51">
        <f t="shared" si="474"/>
        <v>0</v>
      </c>
      <c r="DY111" s="51">
        <f t="shared" si="404"/>
        <v>0</v>
      </c>
      <c r="DZ111" s="51">
        <f t="shared" si="475"/>
        <v>0</v>
      </c>
      <c r="EA111" s="51">
        <f t="shared" si="405"/>
        <v>0</v>
      </c>
      <c r="EB111" s="51">
        <f t="shared" si="476"/>
        <v>0</v>
      </c>
      <c r="EC111" s="51">
        <f t="shared" si="406"/>
        <v>0</v>
      </c>
      <c r="ED111" s="51">
        <f t="shared" si="477"/>
        <v>0</v>
      </c>
      <c r="EE111" s="51">
        <f t="shared" si="407"/>
        <v>0</v>
      </c>
      <c r="EF111" s="54">
        <f t="shared" si="408"/>
        <v>0</v>
      </c>
      <c r="EG111" s="55">
        <f t="shared" si="409"/>
        <v>0</v>
      </c>
      <c r="EH111" s="56">
        <f>IF(AND($E111&lt;&gt;0,$F111&gt;0,YEAR($F111)&gt;=Preisindex!$A$6,YEAR(EC$4)&gt;=YEAR($F111),AND($K111&lt;&gt;"a",$K111&lt;&gt;"b",$K111&lt;&gt;"g",$K111&lt;&gt;"k")),1,IF(AND($E111&lt;&gt;0,$F111&gt;0,YEAR($F111)&gt;=Preisindex!$A$6,YEAR(EC$4)&gt;=YEAR($F111),$K111="a"),ROUND(VLOOKUP(EH$4,Preisindex,5,FALSE)/VLOOKUP(YEAR($F111),Preisindex,5,FALSE),2),IF(AND($E111&lt;&gt;0,$F111&gt;0,YEAR($F111)&gt;=Preisindex!$A$6,YEAR(EC$4)&gt;=YEAR($F111),$K111="b"),ROUND(VLOOKUP(EH$4,Preisindex,3,FALSE)/VLOOKUP(YEAR($F111),Preisindex,3,FALSE),2),IF(AND($E111&lt;&gt;0,$F111&gt;0,YEAR($F111)&gt;=Preisindex!$A$6,YEAR(EC$4)&gt;=YEAR($F111),$K111="g"),ROUND(VLOOKUP(EH$4,Preisindex,4,FALSE)/VLOOKUP(YEAR($F111),Preisindex,4,FALSE),2),IF(AND($E111&lt;&gt;0,$F111&gt;0,YEAR($F111)&gt;=Preisindex!$A$6,YEAR(EC$4)&gt;=YEAR($F111),$K111="k"),ROUND(VLOOKUP(EH$4,Preisindex,2,FALSE)/VLOOKUP(YEAR($F111),Preisindex,2,FALSE),2),0)))))</f>
        <v>0</v>
      </c>
      <c r="EI111" s="56">
        <f>IF(AND($E111&lt;&gt;0,$F111&gt;0,YEAR($F111)&lt;Preisindex!$A$6,YEAR(EC$4)&gt;=YEAR($F111),AND($K111&lt;&gt;"a",$K111&lt;&gt;"b",$K111&lt;&gt;"g",$K111&lt;&gt;"k")),1,IF(AND($E111&lt;&gt;0,$F111&gt;0,YEAR($F111)&lt;Preisindex!$A$6,YEAR(EC$4)&gt;=YEAR($F111),$K111="a"),ROUND(VLOOKUP(EH$4,Preisindex,5,FALSE)/VLOOKUP(Preisindex!$A$6,Preisindex,5,FALSE),2),IF(AND($E111&lt;&gt;0,$F111&gt;0,YEAR($F111)&lt;Preisindex!$A$6,YEAR(EC$4)&gt;=YEAR($F111),$K111="b"),ROUND(VLOOKUP(EH$4,Preisindex,3,FALSE)/VLOOKUP(Preisindex!$A$6,Preisindex,3,FALSE),2),IF(AND($E111&lt;&gt;0,$F111&gt;0,YEAR($F111)&lt;Preisindex!$A$6,YEAR(EC$4)&gt;=YEAR($F111),$K111="g"),ROUND(VLOOKUP(EH$4,Preisindex,4,FALSE)/VLOOKUP(Preisindex!$A$6,Preisindex,4,FALSE),2),IF(AND($E111&lt;&gt;0,$F111&gt;0,YEAR($F111)&lt;Preisindex!$A$6,YEAR(EC$4)&gt;=YEAR($F111),$K111="k"),ROUND(VLOOKUP(EH$4,Preisindex,2,FALSE)/VLOOKUP(Preisindex!$A$6,Preisindex,2,FALSE),2),0)))))</f>
        <v>0</v>
      </c>
      <c r="EJ111" s="51">
        <f>IF(AND($E111&lt;&gt;0,$F111&gt;0,YEAR($F111)&lt;=EH$4,YEAR($F111)&gt;=Preisindex!$A$6),ROUND($E111*EH111,2),IF(AND($E111&lt;&gt;0,$F111&gt;0,YEAR($F111)&lt;=EH$4,YEAR($F111)&lt;Preisindex!$A$6),ROUND($E111*EI111,2),0))</f>
        <v>0</v>
      </c>
      <c r="EK111" s="53">
        <f t="shared" si="410"/>
        <v>0</v>
      </c>
      <c r="EL111" s="51">
        <f t="shared" si="489"/>
        <v>0</v>
      </c>
      <c r="EM111" s="51">
        <f t="shared" si="478"/>
        <v>0</v>
      </c>
      <c r="EN111" s="51">
        <f t="shared" si="411"/>
        <v>0</v>
      </c>
      <c r="EO111" s="51">
        <f t="shared" si="479"/>
        <v>0</v>
      </c>
      <c r="EP111" s="51">
        <f t="shared" si="412"/>
        <v>0</v>
      </c>
      <c r="EQ111" s="51">
        <f t="shared" si="480"/>
        <v>0</v>
      </c>
      <c r="ER111" s="51">
        <f t="shared" si="413"/>
        <v>0</v>
      </c>
      <c r="ES111" s="51">
        <f t="shared" si="481"/>
        <v>0</v>
      </c>
      <c r="ET111" s="51">
        <f t="shared" si="414"/>
        <v>0</v>
      </c>
      <c r="EU111" s="51">
        <f t="shared" si="482"/>
        <v>0</v>
      </c>
      <c r="EV111" s="51">
        <f t="shared" si="415"/>
        <v>0</v>
      </c>
      <c r="EW111" s="54">
        <f t="shared" si="416"/>
        <v>0</v>
      </c>
      <c r="EX111" s="55">
        <f t="shared" si="417"/>
        <v>0</v>
      </c>
      <c r="EY111" s="56">
        <f>IF(AND($E111&lt;&gt;0,$F111&gt;0,YEAR($F111)&gt;=Preisindex!$A$6,YEAR(ET$4)&gt;=YEAR($F111),AND($K111&lt;&gt;"a",$K111&lt;&gt;"b",$K111&lt;&gt;"g",$K111&lt;&gt;"k")),1,IF(AND($E111&lt;&gt;0,$F111&gt;0,YEAR($F111)&gt;=Preisindex!$A$6,YEAR(ET$4)&gt;=YEAR($F111),$K111="a"),ROUND(VLOOKUP(EY$4,Preisindex,5,FALSE)/VLOOKUP(YEAR($F111),Preisindex,5,FALSE),2),IF(AND($E111&lt;&gt;0,$F111&gt;0,YEAR($F111)&gt;=Preisindex!$A$6,YEAR(ET$4)&gt;=YEAR($F111),$K111="b"),ROUND(VLOOKUP(EY$4,Preisindex,3,FALSE)/VLOOKUP(YEAR($F111),Preisindex,3,FALSE),2),IF(AND($E111&lt;&gt;0,$F111&gt;0,YEAR($F111)&gt;=Preisindex!$A$6,YEAR(ET$4)&gt;=YEAR($F111),$K111="g"),ROUND(VLOOKUP(EY$4,Preisindex,4,FALSE)/VLOOKUP(YEAR($F111),Preisindex,4,FALSE),2),IF(AND($E111&lt;&gt;0,$F111&gt;0,YEAR($F111)&gt;=Preisindex!$A$6,YEAR(ET$4)&gt;=YEAR($F111),$K111="k"),ROUND(VLOOKUP(EY$4,Preisindex,2,FALSE)/VLOOKUP(YEAR($F111),Preisindex,2,FALSE),2),0)))))</f>
        <v>0</v>
      </c>
      <c r="EZ111" s="56">
        <f>IF(AND($E111&lt;&gt;0,$F111&gt;0,YEAR($F111)&lt;Preisindex!$A$6,YEAR(ET$4)&gt;=YEAR($F111),AND($K111&lt;&gt;"a",$K111&lt;&gt;"b",$K111&lt;&gt;"g",$K111&lt;&gt;"k")),1,IF(AND($E111&lt;&gt;0,$F111&gt;0,YEAR($F111)&lt;Preisindex!$A$6,YEAR(ET$4)&gt;=YEAR($F111),$K111="a"),ROUND(VLOOKUP(EY$4,Preisindex,5,FALSE)/VLOOKUP(Preisindex!$A$6,Preisindex,5,FALSE),2),IF(AND($E111&lt;&gt;0,$F111&gt;0,YEAR($F111)&lt;Preisindex!$A$6,YEAR(ET$4)&gt;=YEAR($F111),$K111="b"),ROUND(VLOOKUP(EY$4,Preisindex,3,FALSE)/VLOOKUP(Preisindex!$A$6,Preisindex,3,FALSE),2),IF(AND($E111&lt;&gt;0,$F111&gt;0,YEAR($F111)&lt;Preisindex!$A$6,YEAR(ET$4)&gt;=YEAR($F111),$K111="g"),ROUND(VLOOKUP(EY$4,Preisindex,4,FALSE)/VLOOKUP(Preisindex!$A$6,Preisindex,4,FALSE),2),IF(AND($E111&lt;&gt;0,$F111&gt;0,YEAR($F111)&lt;Preisindex!$A$6,YEAR(ET$4)&gt;=YEAR($F111),$K111="k"),ROUND(VLOOKUP(EY$4,Preisindex,2,FALSE)/VLOOKUP(Preisindex!$A$6,Preisindex,2,FALSE),2),0)))))</f>
        <v>0</v>
      </c>
      <c r="FA111" s="51">
        <f>IF(AND($E111&lt;&gt;0,$F111&gt;0,YEAR($F111)&lt;=EY$4,YEAR($F111)&gt;=Preisindex!$A$6),ROUND($E111*EY111,2),IF(AND($E111&lt;&gt;0,$F111&gt;0,YEAR($F111)&lt;=EY$4,YEAR($F111)&lt;Preisindex!$A$6),ROUND($E111*EZ111,2),0))</f>
        <v>0</v>
      </c>
      <c r="FB111" s="53">
        <f t="shared" si="418"/>
        <v>0</v>
      </c>
      <c r="FC111" s="51">
        <f t="shared" si="489"/>
        <v>0</v>
      </c>
      <c r="FD111" s="51">
        <f t="shared" si="483"/>
        <v>0</v>
      </c>
      <c r="FE111" s="51">
        <f t="shared" si="419"/>
        <v>0</v>
      </c>
      <c r="FF111" s="51">
        <f t="shared" si="484"/>
        <v>0</v>
      </c>
      <c r="FG111" s="51">
        <f t="shared" si="420"/>
        <v>0</v>
      </c>
      <c r="FH111" s="51">
        <f t="shared" si="485"/>
        <v>0</v>
      </c>
      <c r="FI111" s="51">
        <f t="shared" si="421"/>
        <v>0</v>
      </c>
      <c r="FJ111" s="51">
        <f t="shared" si="486"/>
        <v>0</v>
      </c>
      <c r="FK111" s="51">
        <f t="shared" si="422"/>
        <v>0</v>
      </c>
      <c r="FL111" s="51">
        <f t="shared" si="487"/>
        <v>0</v>
      </c>
      <c r="FM111" s="51">
        <f t="shared" si="423"/>
        <v>0</v>
      </c>
      <c r="FN111" s="54">
        <f t="shared" si="424"/>
        <v>0</v>
      </c>
      <c r="FO111" s="55">
        <f t="shared" si="425"/>
        <v>0</v>
      </c>
      <c r="FP111" s="56">
        <f>IF(AND($E111&lt;&gt;0,$F111&gt;0,YEAR($F111)&gt;=Preisindex!$A$6,YEAR(FK$4)&gt;=YEAR($F111),AND($K111&lt;&gt;"a",$K111&lt;&gt;"b",$K111&lt;&gt;"g",$K111&lt;&gt;"k")),1,IF(AND($E111&lt;&gt;0,$F111&gt;0,YEAR($F111)&gt;=Preisindex!$A$6,YEAR(FK$4)&gt;=YEAR($F111),$K111="a"),ROUND(VLOOKUP(FP$4,Preisindex,5,FALSE)/VLOOKUP(YEAR($F111),Preisindex,5,FALSE),2),IF(AND($E111&lt;&gt;0,$F111&gt;0,YEAR($F111)&gt;=Preisindex!$A$6,YEAR(FK$4)&gt;=YEAR($F111),$K111="b"),ROUND(VLOOKUP(FP$4,Preisindex,3,FALSE)/VLOOKUP(YEAR($F111),Preisindex,3,FALSE),2),IF(AND($E111&lt;&gt;0,$F111&gt;0,YEAR($F111)&gt;=Preisindex!$A$6,YEAR(FK$4)&gt;=YEAR($F111),$K111="g"),ROUND(VLOOKUP(FP$4,Preisindex,4,FALSE)/VLOOKUP(YEAR($F111),Preisindex,4,FALSE),2),IF(AND($E111&lt;&gt;0,$F111&gt;0,YEAR($F111)&gt;=Preisindex!$A$6,YEAR(FK$4)&gt;=YEAR($F111),$K111="k"),ROUND(VLOOKUP(FP$4,Preisindex,2,FALSE)/VLOOKUP(YEAR($F111),Preisindex,2,FALSE),2),0)))))</f>
        <v>0</v>
      </c>
      <c r="FQ111" s="56">
        <f>IF(AND($E111&lt;&gt;0,$F111&gt;0,YEAR($F111)&lt;Preisindex!$A$6,YEAR(FK$4)&gt;=YEAR($F111),AND($K111&lt;&gt;"a",$K111&lt;&gt;"b",$K111&lt;&gt;"g",$K111&lt;&gt;"k")),1,IF(AND($E111&lt;&gt;0,$F111&gt;0,YEAR($F111)&lt;Preisindex!$A$6,YEAR(FK$4)&gt;=YEAR($F111),$K111="a"),ROUND(VLOOKUP(FP$4,Preisindex,5,FALSE)/VLOOKUP(Preisindex!$A$6,Preisindex,5,FALSE),2),IF(AND($E111&lt;&gt;0,$F111&gt;0,YEAR($F111)&lt;Preisindex!$A$6,YEAR(FK$4)&gt;=YEAR($F111),$K111="b"),ROUND(VLOOKUP(FP$4,Preisindex,3,FALSE)/VLOOKUP(Preisindex!$A$6,Preisindex,3,FALSE),2),IF(AND($E111&lt;&gt;0,$F111&gt;0,YEAR($F111)&lt;Preisindex!$A$6,YEAR(FK$4)&gt;=YEAR($F111),$K111="g"),ROUND(VLOOKUP(FP$4,Preisindex,4,FALSE)/VLOOKUP(Preisindex!$A$6,Preisindex,4,FALSE),2),IF(AND($E111&lt;&gt;0,$F111&gt;0,YEAR($F111)&lt;Preisindex!$A$6,YEAR(FK$4)&gt;=YEAR($F111),$K111="k"),ROUND(VLOOKUP(FP$4,Preisindex,2,FALSE)/VLOOKUP(Preisindex!$A$6,Preisindex,2,FALSE),2),0)))))</f>
        <v>0</v>
      </c>
      <c r="FR111" s="51">
        <f>IF(AND($E111&lt;&gt;0,$F111&gt;0,YEAR($F111)&lt;=FP$4,YEAR($F111)&gt;=Preisindex!$A$6),ROUND($E111*FP111,2),IF(AND($E111&lt;&gt;0,$F111&gt;0,YEAR($F111)&lt;=FP$4,YEAR($F111)&lt;Preisindex!$A$6),ROUND($E111*FQ111,2),0))</f>
        <v>0</v>
      </c>
      <c r="FS111" s="53">
        <f t="shared" si="426"/>
        <v>0</v>
      </c>
    </row>
    <row r="112" spans="1:175" x14ac:dyDescent="0.3">
      <c r="A112" s="93"/>
      <c r="B112" s="94"/>
      <c r="C112" s="94"/>
      <c r="D112" s="95"/>
      <c r="E112" s="99"/>
      <c r="F112" s="97"/>
      <c r="G112" s="100"/>
      <c r="H112" s="620"/>
      <c r="I112" s="621"/>
      <c r="J112" s="194"/>
      <c r="K112" s="630"/>
      <c r="L112" s="49">
        <f t="shared" si="427"/>
        <v>0</v>
      </c>
      <c r="M112" s="50">
        <f t="shared" si="428"/>
        <v>0</v>
      </c>
      <c r="N112" s="51">
        <f t="shared" si="429"/>
        <v>0</v>
      </c>
      <c r="O112" s="51"/>
      <c r="P112" s="51">
        <f t="shared" si="430"/>
        <v>0</v>
      </c>
      <c r="Q112" s="52"/>
      <c r="R112" s="52"/>
      <c r="S112" s="52"/>
      <c r="T112" s="52"/>
      <c r="U112" s="52"/>
      <c r="V112" s="53">
        <f t="shared" si="431"/>
        <v>0</v>
      </c>
      <c r="W112" s="51">
        <f t="shared" si="432"/>
        <v>0</v>
      </c>
      <c r="X112" s="51">
        <f t="shared" si="433"/>
        <v>0</v>
      </c>
      <c r="Y112" s="51">
        <f t="shared" si="434"/>
        <v>0</v>
      </c>
      <c r="Z112" s="51">
        <f t="shared" si="435"/>
        <v>0</v>
      </c>
      <c r="AA112" s="51">
        <f t="shared" si="436"/>
        <v>0</v>
      </c>
      <c r="AB112" s="51">
        <f t="shared" si="437"/>
        <v>0</v>
      </c>
      <c r="AC112" s="51">
        <f t="shared" si="438"/>
        <v>0</v>
      </c>
      <c r="AD112" s="51">
        <f t="shared" si="439"/>
        <v>0</v>
      </c>
      <c r="AE112" s="51">
        <f t="shared" si="440"/>
        <v>0</v>
      </c>
      <c r="AF112" s="51">
        <f t="shared" si="441"/>
        <v>0</v>
      </c>
      <c r="AG112" s="51">
        <f t="shared" si="442"/>
        <v>0</v>
      </c>
      <c r="AH112" s="54">
        <f t="shared" si="443"/>
        <v>0</v>
      </c>
      <c r="AI112" s="55">
        <f t="shared" si="444"/>
        <v>0</v>
      </c>
      <c r="AJ112" s="56">
        <f>IF(AND($E112&lt;&gt;0,$F112&gt;0,YEAR($F112)&gt;=Preisindex!$A$6,YEAR(AE$4)&gt;=YEAR($F112),AND($K112&lt;&gt;"a",$K112&lt;&gt;"b",$K112&lt;&gt;"g",$K112&lt;&gt;"k")),1,IF(AND($E112&lt;&gt;0,$F112&gt;0,YEAR($F112)&gt;=Preisindex!$A$6,YEAR(AE$4)&gt;=YEAR($F112),$K112="a"),ROUND(VLOOKUP(AJ$4,Preisindex,5,FALSE)/VLOOKUP(YEAR($F112),Preisindex,5,FALSE),2),IF(AND($E112&lt;&gt;0,$F112&gt;0,YEAR($F112)&gt;=Preisindex!$A$6,YEAR(AE$4)&gt;=YEAR($F112),$K112="b"),ROUND(VLOOKUP(AJ$4,Preisindex,3,FALSE)/VLOOKUP(YEAR($F112),Preisindex,3,FALSE),2),IF(AND($E112&lt;&gt;0,$F112&gt;0,YEAR($F112)&gt;=Preisindex!$A$6,YEAR(AE$4)&gt;=YEAR($F112),$K112="g"),ROUND(VLOOKUP(AJ$4,Preisindex,4,FALSE)/VLOOKUP(YEAR($F112),Preisindex,4,FALSE),2),IF(AND($E112&lt;&gt;0,$F112&gt;0,YEAR($F112)&gt;=Preisindex!$A$6,YEAR(AE$4)&gt;=YEAR($F112),$K112="k"),ROUND(VLOOKUP(AJ$4,Preisindex,2,FALSE)/VLOOKUP(YEAR($F112),Preisindex,2,FALSE),2),0)))))</f>
        <v>0</v>
      </c>
      <c r="AK112" s="56">
        <f>IF(AND($E112&lt;&gt;0,$F112&gt;0,YEAR($F112)&lt;Preisindex!$A$6,YEAR(AE$4)&gt;=YEAR($F112),AND($K112&lt;&gt;"a",$K112&lt;&gt;"b",$K112&lt;&gt;"g",$K112&lt;&gt;"k")),1,IF(AND($E112&lt;&gt;0,$F112&gt;0,YEAR($F112)&lt;Preisindex!$A$6,YEAR(AE$4)&gt;=YEAR($F112),$K112="a"),ROUND(VLOOKUP(AJ$4,Preisindex,5,FALSE)/VLOOKUP(Preisindex!$A$6,Preisindex,5,FALSE),2),IF(AND($E112&lt;&gt;0,$F112&gt;0,YEAR($F112)&lt;Preisindex!$A$6,YEAR(AE$4)&gt;=YEAR($F112),$K112="b"),ROUND(VLOOKUP(AJ$4,Preisindex,3,FALSE)/VLOOKUP(Preisindex!$A$6,Preisindex,3,FALSE),2),IF(AND($E112&lt;&gt;0,$F112&gt;0,YEAR($F112)&lt;Preisindex!$A$6,YEAR(AE$4)&gt;=YEAR($F112),$K112="g"),ROUND(VLOOKUP(AJ$4,Preisindex,4,FALSE)/VLOOKUP(Preisindex!$A$6,Preisindex,4,FALSE),2),IF(AND($E112&lt;&gt;0,$F112&gt;0,YEAR($F112)&lt;Preisindex!$A$6,YEAR(AE$4)&gt;=YEAR($F112),$K112="k"),ROUND(VLOOKUP(AJ$4,Preisindex,2,FALSE)/VLOOKUP(Preisindex!$A$6,Preisindex,2,FALSE),2),0)))))</f>
        <v>0</v>
      </c>
      <c r="AL112" s="51">
        <f>IF(AND($E112&lt;&gt;0,$F112&gt;0,YEAR($F112)&lt;=AJ$4,YEAR($F112)&gt;=Preisindex!$A$6),ROUND($E112*AJ112,2),IF(AND($E112&lt;&gt;0,$F112&gt;0,YEAR($F112)&lt;=AJ$4,YEAR($F112)&lt;Preisindex!$A$6),ROUND($E112*AK112,2),0))</f>
        <v>0</v>
      </c>
      <c r="AM112" s="53">
        <f t="shared" si="445"/>
        <v>0</v>
      </c>
      <c r="AN112" s="51">
        <f t="shared" si="488"/>
        <v>0</v>
      </c>
      <c r="AO112" s="51">
        <f t="shared" si="448"/>
        <v>0</v>
      </c>
      <c r="AP112" s="51">
        <f t="shared" si="362"/>
        <v>0</v>
      </c>
      <c r="AQ112" s="51">
        <f t="shared" si="449"/>
        <v>0</v>
      </c>
      <c r="AR112" s="51">
        <f t="shared" si="363"/>
        <v>0</v>
      </c>
      <c r="AS112" s="51">
        <f t="shared" si="450"/>
        <v>0</v>
      </c>
      <c r="AT112" s="51">
        <f t="shared" si="364"/>
        <v>0</v>
      </c>
      <c r="AU112" s="51">
        <f t="shared" si="451"/>
        <v>0</v>
      </c>
      <c r="AV112" s="51">
        <f t="shared" si="365"/>
        <v>0</v>
      </c>
      <c r="AW112" s="51">
        <f t="shared" si="452"/>
        <v>0</v>
      </c>
      <c r="AX112" s="51">
        <f t="shared" si="366"/>
        <v>0</v>
      </c>
      <c r="AY112" s="54">
        <f t="shared" si="367"/>
        <v>0</v>
      </c>
      <c r="AZ112" s="55">
        <f t="shared" si="368"/>
        <v>0</v>
      </c>
      <c r="BA112" s="56">
        <f>IF(AND($E112&lt;&gt;0,$F112&gt;0,YEAR($F112)&gt;=Preisindex!$A$6,YEAR(AV$4)&gt;=YEAR($F112),AND($K112&lt;&gt;"a",$K112&lt;&gt;"b",$K112&lt;&gt;"g",$K112&lt;&gt;"k")),1,IF(AND($E112&lt;&gt;0,$F112&gt;0,YEAR($F112)&gt;=Preisindex!$A$6,YEAR(AV$4)&gt;=YEAR($F112),$K112="a"),ROUND(VLOOKUP(BA$4,Preisindex,5,FALSE)/VLOOKUP(YEAR($F112),Preisindex,5,FALSE),2),IF(AND($E112&lt;&gt;0,$F112&gt;0,YEAR($F112)&gt;=Preisindex!$A$6,YEAR(AV$4)&gt;=YEAR($F112),$K112="b"),ROUND(VLOOKUP(BA$4,Preisindex,3,FALSE)/VLOOKUP(YEAR($F112),Preisindex,3,FALSE),2),IF(AND($E112&lt;&gt;0,$F112&gt;0,YEAR($F112)&gt;=Preisindex!$A$6,YEAR(AV$4)&gt;=YEAR($F112),$K112="g"),ROUND(VLOOKUP(BA$4,Preisindex,4,FALSE)/VLOOKUP(YEAR($F112),Preisindex,4,FALSE),2),IF(AND($E112&lt;&gt;0,$F112&gt;0,YEAR($F112)&gt;=Preisindex!$A$6,YEAR(AV$4)&gt;=YEAR($F112),$K112="k"),ROUND(VLOOKUP(BA$4,Preisindex,2,FALSE)/VLOOKUP(YEAR($F112),Preisindex,2,FALSE),2),0)))))</f>
        <v>0</v>
      </c>
      <c r="BB112" s="56">
        <f>IF(AND($E112&lt;&gt;0,$F112&gt;0,YEAR($F112)&lt;Preisindex!$A$6,YEAR(AV$4)&gt;=YEAR($F112),AND($K112&lt;&gt;"a",$K112&lt;&gt;"b",$K112&lt;&gt;"g",$K112&lt;&gt;"k")),1,IF(AND($E112&lt;&gt;0,$F112&gt;0,YEAR($F112)&lt;Preisindex!$A$6,YEAR(AV$4)&gt;=YEAR($F112),$K112="a"),ROUND(VLOOKUP(BA$4,Preisindex,5,FALSE)/VLOOKUP(Preisindex!$A$6,Preisindex,5,FALSE),2),IF(AND($E112&lt;&gt;0,$F112&gt;0,YEAR($F112)&lt;Preisindex!$A$6,YEAR(AV$4)&gt;=YEAR($F112),$K112="b"),ROUND(VLOOKUP(BA$4,Preisindex,3,FALSE)/VLOOKUP(Preisindex!$A$6,Preisindex,3,FALSE),2),IF(AND($E112&lt;&gt;0,$F112&gt;0,YEAR($F112)&lt;Preisindex!$A$6,YEAR(AV$4)&gt;=YEAR($F112),$K112="g"),ROUND(VLOOKUP(BA$4,Preisindex,4,FALSE)/VLOOKUP(Preisindex!$A$6,Preisindex,4,FALSE),2),IF(AND($E112&lt;&gt;0,$F112&gt;0,YEAR($F112)&lt;Preisindex!$A$6,YEAR(AV$4)&gt;=YEAR($F112),$K112="k"),ROUND(VLOOKUP(BA$4,Preisindex,2,FALSE)/VLOOKUP(Preisindex!$A$6,Preisindex,2,FALSE),2),0)))))</f>
        <v>0</v>
      </c>
      <c r="BC112" s="51">
        <f>IF(AND($E112&lt;&gt;0,$F112&gt;0,YEAR($F112)&lt;=BA$4,YEAR($F112)&gt;=Preisindex!$A$6),ROUND($E112*BA112,2),IF(AND($E112&lt;&gt;0,$F112&gt;0,YEAR($F112)&lt;=BA$4,YEAR($F112)&lt;Preisindex!$A$6),ROUND($E112*BB112,2),0))</f>
        <v>0</v>
      </c>
      <c r="BD112" s="53">
        <f t="shared" si="369"/>
        <v>0</v>
      </c>
      <c r="BE112" s="51">
        <f t="shared" si="488"/>
        <v>0</v>
      </c>
      <c r="BF112" s="51">
        <f t="shared" si="453"/>
        <v>0</v>
      </c>
      <c r="BG112" s="51">
        <f t="shared" si="370"/>
        <v>0</v>
      </c>
      <c r="BH112" s="51">
        <f t="shared" si="454"/>
        <v>0</v>
      </c>
      <c r="BI112" s="51">
        <f t="shared" si="371"/>
        <v>0</v>
      </c>
      <c r="BJ112" s="51">
        <f t="shared" si="455"/>
        <v>0</v>
      </c>
      <c r="BK112" s="51">
        <f t="shared" si="372"/>
        <v>0</v>
      </c>
      <c r="BL112" s="51">
        <f t="shared" si="456"/>
        <v>0</v>
      </c>
      <c r="BM112" s="51">
        <f t="shared" si="373"/>
        <v>0</v>
      </c>
      <c r="BN112" s="51">
        <f t="shared" si="457"/>
        <v>0</v>
      </c>
      <c r="BO112" s="51">
        <f t="shared" si="374"/>
        <v>0</v>
      </c>
      <c r="BP112" s="54">
        <f t="shared" si="375"/>
        <v>0</v>
      </c>
      <c r="BQ112" s="55">
        <f t="shared" si="376"/>
        <v>0</v>
      </c>
      <c r="BR112" s="56">
        <f>IF(AND($E112&lt;&gt;0,$F112&gt;0,YEAR($F112)&gt;=Preisindex!$A$6,YEAR(BM$4)&gt;=YEAR($F112),AND($K112&lt;&gt;"a",$K112&lt;&gt;"b",$K112&lt;&gt;"g",$K112&lt;&gt;"k")),1,IF(AND($E112&lt;&gt;0,$F112&gt;0,YEAR($F112)&gt;=Preisindex!$A$6,YEAR(BM$4)&gt;=YEAR($F112),$K112="a"),ROUND(VLOOKUP(BR$4,Preisindex,5,FALSE)/VLOOKUP(YEAR($F112),Preisindex,5,FALSE),2),IF(AND($E112&lt;&gt;0,$F112&gt;0,YEAR($F112)&gt;=Preisindex!$A$6,YEAR(BM$4)&gt;=YEAR($F112),$K112="b"),ROUND(VLOOKUP(BR$4,Preisindex,3,FALSE)/VLOOKUP(YEAR($F112),Preisindex,3,FALSE),2),IF(AND($E112&lt;&gt;0,$F112&gt;0,YEAR($F112)&gt;=Preisindex!$A$6,YEAR(BM$4)&gt;=YEAR($F112),$K112="g"),ROUND(VLOOKUP(BR$4,Preisindex,4,FALSE)/VLOOKUP(YEAR($F112),Preisindex,4,FALSE),2),IF(AND($E112&lt;&gt;0,$F112&gt;0,YEAR($F112)&gt;=Preisindex!$A$6,YEAR(BM$4)&gt;=YEAR($F112),$K112="k"),ROUND(VLOOKUP(BR$4,Preisindex,2,FALSE)/VLOOKUP(YEAR($F112),Preisindex,2,FALSE),2),0)))))</f>
        <v>0</v>
      </c>
      <c r="BS112" s="56">
        <f>IF(AND($E112&lt;&gt;0,$F112&gt;0,YEAR($F112)&lt;Preisindex!$A$6,YEAR(BM$4)&gt;=YEAR($F112),AND($K112&lt;&gt;"a",$K112&lt;&gt;"b",$K112&lt;&gt;"g",$K112&lt;&gt;"k")),1,IF(AND($E112&lt;&gt;0,$F112&gt;0,YEAR($F112)&lt;Preisindex!$A$6,YEAR(BM$4)&gt;=YEAR($F112),$K112="a"),ROUND(VLOOKUP(BR$4,Preisindex,5,FALSE)/VLOOKUP(Preisindex!$A$6,Preisindex,5,FALSE),2),IF(AND($E112&lt;&gt;0,$F112&gt;0,YEAR($F112)&lt;Preisindex!$A$6,YEAR(BM$4)&gt;=YEAR($F112),$K112="b"),ROUND(VLOOKUP(BR$4,Preisindex,3,FALSE)/VLOOKUP(Preisindex!$A$6,Preisindex,3,FALSE),2),IF(AND($E112&lt;&gt;0,$F112&gt;0,YEAR($F112)&lt;Preisindex!$A$6,YEAR(BM$4)&gt;=YEAR($F112),$K112="g"),ROUND(VLOOKUP(BR$4,Preisindex,4,FALSE)/VLOOKUP(Preisindex!$A$6,Preisindex,4,FALSE),2),IF(AND($E112&lt;&gt;0,$F112&gt;0,YEAR($F112)&lt;Preisindex!$A$6,YEAR(BM$4)&gt;=YEAR($F112),$K112="k"),ROUND(VLOOKUP(BR$4,Preisindex,2,FALSE)/VLOOKUP(Preisindex!$A$6,Preisindex,2,FALSE),2),0)))))</f>
        <v>0</v>
      </c>
      <c r="BT112" s="51">
        <f>IF(AND($E112&lt;&gt;0,$F112&gt;0,YEAR($F112)&lt;=BR$4,YEAR($F112)&gt;=Preisindex!$A$6),ROUND($E112*BR112,2),IF(AND($E112&lt;&gt;0,$F112&gt;0,YEAR($F112)&lt;=BR$4,YEAR($F112)&lt;Preisindex!$A$6),ROUND($E112*BS112,2),0))</f>
        <v>0</v>
      </c>
      <c r="BU112" s="53">
        <f t="shared" si="377"/>
        <v>0</v>
      </c>
      <c r="BV112" s="51">
        <f t="shared" si="488"/>
        <v>0</v>
      </c>
      <c r="BW112" s="51">
        <f t="shared" si="458"/>
        <v>0</v>
      </c>
      <c r="BX112" s="51">
        <f t="shared" si="378"/>
        <v>0</v>
      </c>
      <c r="BY112" s="51">
        <f t="shared" si="459"/>
        <v>0</v>
      </c>
      <c r="BZ112" s="51">
        <f t="shared" si="379"/>
        <v>0</v>
      </c>
      <c r="CA112" s="51">
        <f t="shared" si="460"/>
        <v>0</v>
      </c>
      <c r="CB112" s="51">
        <f t="shared" si="380"/>
        <v>0</v>
      </c>
      <c r="CC112" s="51">
        <f t="shared" si="461"/>
        <v>0</v>
      </c>
      <c r="CD112" s="51">
        <f t="shared" si="381"/>
        <v>0</v>
      </c>
      <c r="CE112" s="51">
        <f t="shared" si="462"/>
        <v>0</v>
      </c>
      <c r="CF112" s="51">
        <f t="shared" si="382"/>
        <v>0</v>
      </c>
      <c r="CG112" s="54">
        <f t="shared" si="383"/>
        <v>0</v>
      </c>
      <c r="CH112" s="55">
        <f t="shared" si="384"/>
        <v>0</v>
      </c>
      <c r="CI112" s="56">
        <f>IF(AND($E112&lt;&gt;0,$F112&gt;0,YEAR($F112)&gt;=Preisindex!$A$6,YEAR(CD$4)&gt;=YEAR($F112),AND($K112&lt;&gt;"a",$K112&lt;&gt;"b",$K112&lt;&gt;"g",$K112&lt;&gt;"k")),1,IF(AND($E112&lt;&gt;0,$F112&gt;0,YEAR($F112)&gt;=Preisindex!$A$6,YEAR(CD$4)&gt;=YEAR($F112),$K112="a"),ROUND(VLOOKUP(CI$4,Preisindex,5,FALSE)/VLOOKUP(YEAR($F112),Preisindex,5,FALSE),2),IF(AND($E112&lt;&gt;0,$F112&gt;0,YEAR($F112)&gt;=Preisindex!$A$6,YEAR(CD$4)&gt;=YEAR($F112),$K112="b"),ROUND(VLOOKUP(CI$4,Preisindex,3,FALSE)/VLOOKUP(YEAR($F112),Preisindex,3,FALSE),2),IF(AND($E112&lt;&gt;0,$F112&gt;0,YEAR($F112)&gt;=Preisindex!$A$6,YEAR(CD$4)&gt;=YEAR($F112),$K112="g"),ROUND(VLOOKUP(CI$4,Preisindex,4,FALSE)/VLOOKUP(YEAR($F112),Preisindex,4,FALSE),2),IF(AND($E112&lt;&gt;0,$F112&gt;0,YEAR($F112)&gt;=Preisindex!$A$6,YEAR(CD$4)&gt;=YEAR($F112),$K112="k"),ROUND(VLOOKUP(CI$4,Preisindex,2,FALSE)/VLOOKUP(YEAR($F112),Preisindex,2,FALSE),2),0)))))</f>
        <v>0</v>
      </c>
      <c r="CJ112" s="56">
        <f>IF(AND($E112&lt;&gt;0,$F112&gt;0,YEAR($F112)&lt;Preisindex!$A$6,YEAR(CD$4)&gt;=YEAR($F112),AND($K112&lt;&gt;"a",$K112&lt;&gt;"b",$K112&lt;&gt;"g",$K112&lt;&gt;"k")),1,IF(AND($E112&lt;&gt;0,$F112&gt;0,YEAR($F112)&lt;Preisindex!$A$6,YEAR(CD$4)&gt;=YEAR($F112),$K112="a"),ROUND(VLOOKUP(CI$4,Preisindex,5,FALSE)/VLOOKUP(Preisindex!$A$6,Preisindex,5,FALSE),2),IF(AND($E112&lt;&gt;0,$F112&gt;0,YEAR($F112)&lt;Preisindex!$A$6,YEAR(CD$4)&gt;=YEAR($F112),$K112="b"),ROUND(VLOOKUP(CI$4,Preisindex,3,FALSE)/VLOOKUP(Preisindex!$A$6,Preisindex,3,FALSE),2),IF(AND($E112&lt;&gt;0,$F112&gt;0,YEAR($F112)&lt;Preisindex!$A$6,YEAR(CD$4)&gt;=YEAR($F112),$K112="g"),ROUND(VLOOKUP(CI$4,Preisindex,4,FALSE)/VLOOKUP(Preisindex!$A$6,Preisindex,4,FALSE),2),IF(AND($E112&lt;&gt;0,$F112&gt;0,YEAR($F112)&lt;Preisindex!$A$6,YEAR(CD$4)&gt;=YEAR($F112),$K112="k"),ROUND(VLOOKUP(CI$4,Preisindex,2,FALSE)/VLOOKUP(Preisindex!$A$6,Preisindex,2,FALSE),2),0)))))</f>
        <v>0</v>
      </c>
      <c r="CK112" s="51">
        <f>IF(AND($E112&lt;&gt;0,$F112&gt;0,YEAR($F112)&lt;=CI$4,YEAR($F112)&gt;=Preisindex!$A$6),ROUND($E112*CI112,2),IF(AND($E112&lt;&gt;0,$F112&gt;0,YEAR($F112)&lt;=CI$4,YEAR($F112)&lt;Preisindex!$A$6),ROUND($E112*CJ112,2),0))</f>
        <v>0</v>
      </c>
      <c r="CL112" s="53">
        <f t="shared" si="385"/>
        <v>0</v>
      </c>
      <c r="CM112" s="51">
        <f t="shared" si="488"/>
        <v>0</v>
      </c>
      <c r="CN112" s="51">
        <f t="shared" si="463"/>
        <v>0</v>
      </c>
      <c r="CO112" s="51">
        <f t="shared" si="386"/>
        <v>0</v>
      </c>
      <c r="CP112" s="51">
        <f t="shared" si="464"/>
        <v>0</v>
      </c>
      <c r="CQ112" s="51">
        <f t="shared" si="387"/>
        <v>0</v>
      </c>
      <c r="CR112" s="51">
        <f t="shared" si="465"/>
        <v>0</v>
      </c>
      <c r="CS112" s="51">
        <f t="shared" si="388"/>
        <v>0</v>
      </c>
      <c r="CT112" s="51">
        <f t="shared" si="466"/>
        <v>0</v>
      </c>
      <c r="CU112" s="51">
        <f t="shared" si="389"/>
        <v>0</v>
      </c>
      <c r="CV112" s="51">
        <f t="shared" si="467"/>
        <v>0</v>
      </c>
      <c r="CW112" s="51">
        <f t="shared" si="390"/>
        <v>0</v>
      </c>
      <c r="CX112" s="54">
        <f t="shared" si="391"/>
        <v>0</v>
      </c>
      <c r="CY112" s="55">
        <f t="shared" si="392"/>
        <v>0</v>
      </c>
      <c r="CZ112" s="56">
        <f>IF(AND($E112&lt;&gt;0,$F112&gt;0,YEAR($F112)&gt;=Preisindex!$A$6,YEAR(CU$4)&gt;=YEAR($F112),AND($K112&lt;&gt;"a",$K112&lt;&gt;"b",$K112&lt;&gt;"g",$K112&lt;&gt;"k")),1,IF(AND($E112&lt;&gt;0,$F112&gt;0,YEAR($F112)&gt;=Preisindex!$A$6,YEAR(CU$4)&gt;=YEAR($F112),$K112="a"),ROUND(VLOOKUP(CZ$4,Preisindex,5,FALSE)/VLOOKUP(YEAR($F112),Preisindex,5,FALSE),2),IF(AND($E112&lt;&gt;0,$F112&gt;0,YEAR($F112)&gt;=Preisindex!$A$6,YEAR(CU$4)&gt;=YEAR($F112),$K112="b"),ROUND(VLOOKUP(CZ$4,Preisindex,3,FALSE)/VLOOKUP(YEAR($F112),Preisindex,3,FALSE),2),IF(AND($E112&lt;&gt;0,$F112&gt;0,YEAR($F112)&gt;=Preisindex!$A$6,YEAR(CU$4)&gt;=YEAR($F112),$K112="g"),ROUND(VLOOKUP(CZ$4,Preisindex,4,FALSE)/VLOOKUP(YEAR($F112),Preisindex,4,FALSE),2),IF(AND($E112&lt;&gt;0,$F112&gt;0,YEAR($F112)&gt;=Preisindex!$A$6,YEAR(CU$4)&gt;=YEAR($F112),$K112="k"),ROUND(VLOOKUP(CZ$4,Preisindex,2,FALSE)/VLOOKUP(YEAR($F112),Preisindex,2,FALSE),2),0)))))</f>
        <v>0</v>
      </c>
      <c r="DA112" s="56">
        <f>IF(AND($E112&lt;&gt;0,$F112&gt;0,YEAR($F112)&lt;Preisindex!$A$6,YEAR(CU$4)&gt;=YEAR($F112),AND($K112&lt;&gt;"a",$K112&lt;&gt;"b",$K112&lt;&gt;"g",$K112&lt;&gt;"k")),1,IF(AND($E112&lt;&gt;0,$F112&gt;0,YEAR($F112)&lt;Preisindex!$A$6,YEAR(CU$4)&gt;=YEAR($F112),$K112="a"),ROUND(VLOOKUP(CZ$4,Preisindex,5,FALSE)/VLOOKUP(Preisindex!$A$6,Preisindex,5,FALSE),2),IF(AND($E112&lt;&gt;0,$F112&gt;0,YEAR($F112)&lt;Preisindex!$A$6,YEAR(CU$4)&gt;=YEAR($F112),$K112="b"),ROUND(VLOOKUP(CZ$4,Preisindex,3,FALSE)/VLOOKUP(Preisindex!$A$6,Preisindex,3,FALSE),2),IF(AND($E112&lt;&gt;0,$F112&gt;0,YEAR($F112)&lt;Preisindex!$A$6,YEAR(CU$4)&gt;=YEAR($F112),$K112="g"),ROUND(VLOOKUP(CZ$4,Preisindex,4,FALSE)/VLOOKUP(Preisindex!$A$6,Preisindex,4,FALSE),2),IF(AND($E112&lt;&gt;0,$F112&gt;0,YEAR($F112)&lt;Preisindex!$A$6,YEAR(CU$4)&gt;=YEAR($F112),$K112="k"),ROUND(VLOOKUP(CZ$4,Preisindex,2,FALSE)/VLOOKUP(Preisindex!$A$6,Preisindex,2,FALSE),2),0)))))</f>
        <v>0</v>
      </c>
      <c r="DB112" s="51">
        <f>IF(AND($E112&lt;&gt;0,$F112&gt;0,YEAR($F112)&lt;=CZ$4,YEAR($F112)&gt;=Preisindex!$A$6),ROUND($E112*CZ112,2),IF(AND($E112&lt;&gt;0,$F112&gt;0,YEAR($F112)&lt;=CZ$4,YEAR($F112)&lt;Preisindex!$A$6),ROUND($E112*DA112,2),0))</f>
        <v>0</v>
      </c>
      <c r="DC112" s="53">
        <f t="shared" si="393"/>
        <v>0</v>
      </c>
      <c r="DD112" s="51">
        <f t="shared" si="489"/>
        <v>0</v>
      </c>
      <c r="DE112" s="51">
        <f t="shared" si="468"/>
        <v>0</v>
      </c>
      <c r="DF112" s="51">
        <f t="shared" si="395"/>
        <v>0</v>
      </c>
      <c r="DG112" s="51">
        <f t="shared" si="469"/>
        <v>0</v>
      </c>
      <c r="DH112" s="51">
        <f t="shared" si="396"/>
        <v>0</v>
      </c>
      <c r="DI112" s="51">
        <f t="shared" si="470"/>
        <v>0</v>
      </c>
      <c r="DJ112" s="51">
        <f t="shared" si="397"/>
        <v>0</v>
      </c>
      <c r="DK112" s="51">
        <f t="shared" si="471"/>
        <v>0</v>
      </c>
      <c r="DL112" s="51">
        <f t="shared" si="398"/>
        <v>0</v>
      </c>
      <c r="DM112" s="51">
        <f t="shared" si="472"/>
        <v>0</v>
      </c>
      <c r="DN112" s="51">
        <f t="shared" si="399"/>
        <v>0</v>
      </c>
      <c r="DO112" s="54">
        <f t="shared" si="400"/>
        <v>0</v>
      </c>
      <c r="DP112" s="55">
        <f t="shared" si="401"/>
        <v>0</v>
      </c>
      <c r="DQ112" s="56">
        <f>IF(AND($E112&lt;&gt;0,$F112&gt;0,YEAR($F112)&gt;=Preisindex!$A$6,YEAR(DL$4)&gt;=YEAR($F112),AND($K112&lt;&gt;"a",$K112&lt;&gt;"b",$K112&lt;&gt;"g",$K112&lt;&gt;"k")),1,IF(AND($E112&lt;&gt;0,$F112&gt;0,YEAR($F112)&gt;=Preisindex!$A$6,YEAR(DL$4)&gt;=YEAR($F112),$K112="a"),ROUND(VLOOKUP(DQ$4,Preisindex,5,FALSE)/VLOOKUP(YEAR($F112),Preisindex,5,FALSE),2),IF(AND($E112&lt;&gt;0,$F112&gt;0,YEAR($F112)&gt;=Preisindex!$A$6,YEAR(DL$4)&gt;=YEAR($F112),$K112="b"),ROUND(VLOOKUP(DQ$4,Preisindex,3,FALSE)/VLOOKUP(YEAR($F112),Preisindex,3,FALSE),2),IF(AND($E112&lt;&gt;0,$F112&gt;0,YEAR($F112)&gt;=Preisindex!$A$6,YEAR(DL$4)&gt;=YEAR($F112),$K112="g"),ROUND(VLOOKUP(DQ$4,Preisindex,4,FALSE)/VLOOKUP(YEAR($F112),Preisindex,4,FALSE),2),IF(AND($E112&lt;&gt;0,$F112&gt;0,YEAR($F112)&gt;=Preisindex!$A$6,YEAR(DL$4)&gt;=YEAR($F112),$K112="k"),ROUND(VLOOKUP(DQ$4,Preisindex,2,FALSE)/VLOOKUP(YEAR($F112),Preisindex,2,FALSE),2),0)))))</f>
        <v>0</v>
      </c>
      <c r="DR112" s="56">
        <f>IF(AND($E112&lt;&gt;0,$F112&gt;0,YEAR($F112)&lt;Preisindex!$A$6,YEAR(DL$4)&gt;=YEAR($F112),AND($K112&lt;&gt;"a",$K112&lt;&gt;"b",$K112&lt;&gt;"g",$K112&lt;&gt;"k")),1,IF(AND($E112&lt;&gt;0,$F112&gt;0,YEAR($F112)&lt;Preisindex!$A$6,YEAR(DL$4)&gt;=YEAR($F112),$K112="a"),ROUND(VLOOKUP(DQ$4,Preisindex,5,FALSE)/VLOOKUP(Preisindex!$A$6,Preisindex,5,FALSE),2),IF(AND($E112&lt;&gt;0,$F112&gt;0,YEAR($F112)&lt;Preisindex!$A$6,YEAR(DL$4)&gt;=YEAR($F112),$K112="b"),ROUND(VLOOKUP(DQ$4,Preisindex,3,FALSE)/VLOOKUP(Preisindex!$A$6,Preisindex,3,FALSE),2),IF(AND($E112&lt;&gt;0,$F112&gt;0,YEAR($F112)&lt;Preisindex!$A$6,YEAR(DL$4)&gt;=YEAR($F112),$K112="g"),ROUND(VLOOKUP(DQ$4,Preisindex,4,FALSE)/VLOOKUP(Preisindex!$A$6,Preisindex,4,FALSE),2),IF(AND($E112&lt;&gt;0,$F112&gt;0,YEAR($F112)&lt;Preisindex!$A$6,YEAR(DL$4)&gt;=YEAR($F112),$K112="k"),ROUND(VLOOKUP(DQ$4,Preisindex,2,FALSE)/VLOOKUP(Preisindex!$A$6,Preisindex,2,FALSE),2),0)))))</f>
        <v>0</v>
      </c>
      <c r="DS112" s="51">
        <f>IF(AND($E112&lt;&gt;0,$F112&gt;0,YEAR($F112)&lt;=DQ$4,YEAR($F112)&gt;=Preisindex!$A$6),ROUND($E112*DQ112,2),IF(AND($E112&lt;&gt;0,$F112&gt;0,YEAR($F112)&lt;=DQ$4,YEAR($F112)&lt;Preisindex!$A$6),ROUND($E112*DR112,2),0))</f>
        <v>0</v>
      </c>
      <c r="DT112" s="53">
        <f t="shared" si="402"/>
        <v>0</v>
      </c>
      <c r="DU112" s="51">
        <f t="shared" si="489"/>
        <v>0</v>
      </c>
      <c r="DV112" s="51">
        <f t="shared" si="473"/>
        <v>0</v>
      </c>
      <c r="DW112" s="51">
        <f t="shared" si="403"/>
        <v>0</v>
      </c>
      <c r="DX112" s="51">
        <f t="shared" si="474"/>
        <v>0</v>
      </c>
      <c r="DY112" s="51">
        <f t="shared" si="404"/>
        <v>0</v>
      </c>
      <c r="DZ112" s="51">
        <f t="shared" si="475"/>
        <v>0</v>
      </c>
      <c r="EA112" s="51">
        <f t="shared" si="405"/>
        <v>0</v>
      </c>
      <c r="EB112" s="51">
        <f t="shared" si="476"/>
        <v>0</v>
      </c>
      <c r="EC112" s="51">
        <f t="shared" si="406"/>
        <v>0</v>
      </c>
      <c r="ED112" s="51">
        <f t="shared" si="477"/>
        <v>0</v>
      </c>
      <c r="EE112" s="51">
        <f t="shared" si="407"/>
        <v>0</v>
      </c>
      <c r="EF112" s="54">
        <f t="shared" si="408"/>
        <v>0</v>
      </c>
      <c r="EG112" s="55">
        <f t="shared" si="409"/>
        <v>0</v>
      </c>
      <c r="EH112" s="56">
        <f>IF(AND($E112&lt;&gt;0,$F112&gt;0,YEAR($F112)&gt;=Preisindex!$A$6,YEAR(EC$4)&gt;=YEAR($F112),AND($K112&lt;&gt;"a",$K112&lt;&gt;"b",$K112&lt;&gt;"g",$K112&lt;&gt;"k")),1,IF(AND($E112&lt;&gt;0,$F112&gt;0,YEAR($F112)&gt;=Preisindex!$A$6,YEAR(EC$4)&gt;=YEAR($F112),$K112="a"),ROUND(VLOOKUP(EH$4,Preisindex,5,FALSE)/VLOOKUP(YEAR($F112),Preisindex,5,FALSE),2),IF(AND($E112&lt;&gt;0,$F112&gt;0,YEAR($F112)&gt;=Preisindex!$A$6,YEAR(EC$4)&gt;=YEAR($F112),$K112="b"),ROUND(VLOOKUP(EH$4,Preisindex,3,FALSE)/VLOOKUP(YEAR($F112),Preisindex,3,FALSE),2),IF(AND($E112&lt;&gt;0,$F112&gt;0,YEAR($F112)&gt;=Preisindex!$A$6,YEAR(EC$4)&gt;=YEAR($F112),$K112="g"),ROUND(VLOOKUP(EH$4,Preisindex,4,FALSE)/VLOOKUP(YEAR($F112),Preisindex,4,FALSE),2),IF(AND($E112&lt;&gt;0,$F112&gt;0,YEAR($F112)&gt;=Preisindex!$A$6,YEAR(EC$4)&gt;=YEAR($F112),$K112="k"),ROUND(VLOOKUP(EH$4,Preisindex,2,FALSE)/VLOOKUP(YEAR($F112),Preisindex,2,FALSE),2),0)))))</f>
        <v>0</v>
      </c>
      <c r="EI112" s="56">
        <f>IF(AND($E112&lt;&gt;0,$F112&gt;0,YEAR($F112)&lt;Preisindex!$A$6,YEAR(EC$4)&gt;=YEAR($F112),AND($K112&lt;&gt;"a",$K112&lt;&gt;"b",$K112&lt;&gt;"g",$K112&lt;&gt;"k")),1,IF(AND($E112&lt;&gt;0,$F112&gt;0,YEAR($F112)&lt;Preisindex!$A$6,YEAR(EC$4)&gt;=YEAR($F112),$K112="a"),ROUND(VLOOKUP(EH$4,Preisindex,5,FALSE)/VLOOKUP(Preisindex!$A$6,Preisindex,5,FALSE),2),IF(AND($E112&lt;&gt;0,$F112&gt;0,YEAR($F112)&lt;Preisindex!$A$6,YEAR(EC$4)&gt;=YEAR($F112),$K112="b"),ROUND(VLOOKUP(EH$4,Preisindex,3,FALSE)/VLOOKUP(Preisindex!$A$6,Preisindex,3,FALSE),2),IF(AND($E112&lt;&gt;0,$F112&gt;0,YEAR($F112)&lt;Preisindex!$A$6,YEAR(EC$4)&gt;=YEAR($F112),$K112="g"),ROUND(VLOOKUP(EH$4,Preisindex,4,FALSE)/VLOOKUP(Preisindex!$A$6,Preisindex,4,FALSE),2),IF(AND($E112&lt;&gt;0,$F112&gt;0,YEAR($F112)&lt;Preisindex!$A$6,YEAR(EC$4)&gt;=YEAR($F112),$K112="k"),ROUND(VLOOKUP(EH$4,Preisindex,2,FALSE)/VLOOKUP(Preisindex!$A$6,Preisindex,2,FALSE),2),0)))))</f>
        <v>0</v>
      </c>
      <c r="EJ112" s="51">
        <f>IF(AND($E112&lt;&gt;0,$F112&gt;0,YEAR($F112)&lt;=EH$4,YEAR($F112)&gt;=Preisindex!$A$6),ROUND($E112*EH112,2),IF(AND($E112&lt;&gt;0,$F112&gt;0,YEAR($F112)&lt;=EH$4,YEAR($F112)&lt;Preisindex!$A$6),ROUND($E112*EI112,2),0))</f>
        <v>0</v>
      </c>
      <c r="EK112" s="53">
        <f t="shared" si="410"/>
        <v>0</v>
      </c>
      <c r="EL112" s="51">
        <f t="shared" si="489"/>
        <v>0</v>
      </c>
      <c r="EM112" s="51">
        <f t="shared" si="478"/>
        <v>0</v>
      </c>
      <c r="EN112" s="51">
        <f t="shared" si="411"/>
        <v>0</v>
      </c>
      <c r="EO112" s="51">
        <f t="shared" si="479"/>
        <v>0</v>
      </c>
      <c r="EP112" s="51">
        <f t="shared" si="412"/>
        <v>0</v>
      </c>
      <c r="EQ112" s="51">
        <f t="shared" si="480"/>
        <v>0</v>
      </c>
      <c r="ER112" s="51">
        <f t="shared" si="413"/>
        <v>0</v>
      </c>
      <c r="ES112" s="51">
        <f t="shared" si="481"/>
        <v>0</v>
      </c>
      <c r="ET112" s="51">
        <f t="shared" si="414"/>
        <v>0</v>
      </c>
      <c r="EU112" s="51">
        <f t="shared" si="482"/>
        <v>0</v>
      </c>
      <c r="EV112" s="51">
        <f t="shared" si="415"/>
        <v>0</v>
      </c>
      <c r="EW112" s="54">
        <f t="shared" si="416"/>
        <v>0</v>
      </c>
      <c r="EX112" s="55">
        <f t="shared" si="417"/>
        <v>0</v>
      </c>
      <c r="EY112" s="56">
        <f>IF(AND($E112&lt;&gt;0,$F112&gt;0,YEAR($F112)&gt;=Preisindex!$A$6,YEAR(ET$4)&gt;=YEAR($F112),AND($K112&lt;&gt;"a",$K112&lt;&gt;"b",$K112&lt;&gt;"g",$K112&lt;&gt;"k")),1,IF(AND($E112&lt;&gt;0,$F112&gt;0,YEAR($F112)&gt;=Preisindex!$A$6,YEAR(ET$4)&gt;=YEAR($F112),$K112="a"),ROUND(VLOOKUP(EY$4,Preisindex,5,FALSE)/VLOOKUP(YEAR($F112),Preisindex,5,FALSE),2),IF(AND($E112&lt;&gt;0,$F112&gt;0,YEAR($F112)&gt;=Preisindex!$A$6,YEAR(ET$4)&gt;=YEAR($F112),$K112="b"),ROUND(VLOOKUP(EY$4,Preisindex,3,FALSE)/VLOOKUP(YEAR($F112),Preisindex,3,FALSE),2),IF(AND($E112&lt;&gt;0,$F112&gt;0,YEAR($F112)&gt;=Preisindex!$A$6,YEAR(ET$4)&gt;=YEAR($F112),$K112="g"),ROUND(VLOOKUP(EY$4,Preisindex,4,FALSE)/VLOOKUP(YEAR($F112),Preisindex,4,FALSE),2),IF(AND($E112&lt;&gt;0,$F112&gt;0,YEAR($F112)&gt;=Preisindex!$A$6,YEAR(ET$4)&gt;=YEAR($F112),$K112="k"),ROUND(VLOOKUP(EY$4,Preisindex,2,FALSE)/VLOOKUP(YEAR($F112),Preisindex,2,FALSE),2),0)))))</f>
        <v>0</v>
      </c>
      <c r="EZ112" s="56">
        <f>IF(AND($E112&lt;&gt;0,$F112&gt;0,YEAR($F112)&lt;Preisindex!$A$6,YEAR(ET$4)&gt;=YEAR($F112),AND($K112&lt;&gt;"a",$K112&lt;&gt;"b",$K112&lt;&gt;"g",$K112&lt;&gt;"k")),1,IF(AND($E112&lt;&gt;0,$F112&gt;0,YEAR($F112)&lt;Preisindex!$A$6,YEAR(ET$4)&gt;=YEAR($F112),$K112="a"),ROUND(VLOOKUP(EY$4,Preisindex,5,FALSE)/VLOOKUP(Preisindex!$A$6,Preisindex,5,FALSE),2),IF(AND($E112&lt;&gt;0,$F112&gt;0,YEAR($F112)&lt;Preisindex!$A$6,YEAR(ET$4)&gt;=YEAR($F112),$K112="b"),ROUND(VLOOKUP(EY$4,Preisindex,3,FALSE)/VLOOKUP(Preisindex!$A$6,Preisindex,3,FALSE),2),IF(AND($E112&lt;&gt;0,$F112&gt;0,YEAR($F112)&lt;Preisindex!$A$6,YEAR(ET$4)&gt;=YEAR($F112),$K112="g"),ROUND(VLOOKUP(EY$4,Preisindex,4,FALSE)/VLOOKUP(Preisindex!$A$6,Preisindex,4,FALSE),2),IF(AND($E112&lt;&gt;0,$F112&gt;0,YEAR($F112)&lt;Preisindex!$A$6,YEAR(ET$4)&gt;=YEAR($F112),$K112="k"),ROUND(VLOOKUP(EY$4,Preisindex,2,FALSE)/VLOOKUP(Preisindex!$A$6,Preisindex,2,FALSE),2),0)))))</f>
        <v>0</v>
      </c>
      <c r="FA112" s="51">
        <f>IF(AND($E112&lt;&gt;0,$F112&gt;0,YEAR($F112)&lt;=EY$4,YEAR($F112)&gt;=Preisindex!$A$6),ROUND($E112*EY112,2),IF(AND($E112&lt;&gt;0,$F112&gt;0,YEAR($F112)&lt;=EY$4,YEAR($F112)&lt;Preisindex!$A$6),ROUND($E112*EZ112,2),0))</f>
        <v>0</v>
      </c>
      <c r="FB112" s="53">
        <f t="shared" si="418"/>
        <v>0</v>
      </c>
      <c r="FC112" s="51">
        <f t="shared" si="489"/>
        <v>0</v>
      </c>
      <c r="FD112" s="51">
        <f t="shared" si="483"/>
        <v>0</v>
      </c>
      <c r="FE112" s="51">
        <f t="shared" si="419"/>
        <v>0</v>
      </c>
      <c r="FF112" s="51">
        <f t="shared" si="484"/>
        <v>0</v>
      </c>
      <c r="FG112" s="51">
        <f t="shared" si="420"/>
        <v>0</v>
      </c>
      <c r="FH112" s="51">
        <f t="shared" si="485"/>
        <v>0</v>
      </c>
      <c r="FI112" s="51">
        <f t="shared" si="421"/>
        <v>0</v>
      </c>
      <c r="FJ112" s="51">
        <f t="shared" si="486"/>
        <v>0</v>
      </c>
      <c r="FK112" s="51">
        <f t="shared" si="422"/>
        <v>0</v>
      </c>
      <c r="FL112" s="51">
        <f t="shared" si="487"/>
        <v>0</v>
      </c>
      <c r="FM112" s="51">
        <f t="shared" si="423"/>
        <v>0</v>
      </c>
      <c r="FN112" s="54">
        <f t="shared" si="424"/>
        <v>0</v>
      </c>
      <c r="FO112" s="55">
        <f t="shared" si="425"/>
        <v>0</v>
      </c>
      <c r="FP112" s="56">
        <f>IF(AND($E112&lt;&gt;0,$F112&gt;0,YEAR($F112)&gt;=Preisindex!$A$6,YEAR(FK$4)&gt;=YEAR($F112),AND($K112&lt;&gt;"a",$K112&lt;&gt;"b",$K112&lt;&gt;"g",$K112&lt;&gt;"k")),1,IF(AND($E112&lt;&gt;0,$F112&gt;0,YEAR($F112)&gt;=Preisindex!$A$6,YEAR(FK$4)&gt;=YEAR($F112),$K112="a"),ROUND(VLOOKUP(FP$4,Preisindex,5,FALSE)/VLOOKUP(YEAR($F112),Preisindex,5,FALSE),2),IF(AND($E112&lt;&gt;0,$F112&gt;0,YEAR($F112)&gt;=Preisindex!$A$6,YEAR(FK$4)&gt;=YEAR($F112),$K112="b"),ROUND(VLOOKUP(FP$4,Preisindex,3,FALSE)/VLOOKUP(YEAR($F112),Preisindex,3,FALSE),2),IF(AND($E112&lt;&gt;0,$F112&gt;0,YEAR($F112)&gt;=Preisindex!$A$6,YEAR(FK$4)&gt;=YEAR($F112),$K112="g"),ROUND(VLOOKUP(FP$4,Preisindex,4,FALSE)/VLOOKUP(YEAR($F112),Preisindex,4,FALSE),2),IF(AND($E112&lt;&gt;0,$F112&gt;0,YEAR($F112)&gt;=Preisindex!$A$6,YEAR(FK$4)&gt;=YEAR($F112),$K112="k"),ROUND(VLOOKUP(FP$4,Preisindex,2,FALSE)/VLOOKUP(YEAR($F112),Preisindex,2,FALSE),2),0)))))</f>
        <v>0</v>
      </c>
      <c r="FQ112" s="56">
        <f>IF(AND($E112&lt;&gt;0,$F112&gt;0,YEAR($F112)&lt;Preisindex!$A$6,YEAR(FK$4)&gt;=YEAR($F112),AND($K112&lt;&gt;"a",$K112&lt;&gt;"b",$K112&lt;&gt;"g",$K112&lt;&gt;"k")),1,IF(AND($E112&lt;&gt;0,$F112&gt;0,YEAR($F112)&lt;Preisindex!$A$6,YEAR(FK$4)&gt;=YEAR($F112),$K112="a"),ROUND(VLOOKUP(FP$4,Preisindex,5,FALSE)/VLOOKUP(Preisindex!$A$6,Preisindex,5,FALSE),2),IF(AND($E112&lt;&gt;0,$F112&gt;0,YEAR($F112)&lt;Preisindex!$A$6,YEAR(FK$4)&gt;=YEAR($F112),$K112="b"),ROUND(VLOOKUP(FP$4,Preisindex,3,FALSE)/VLOOKUP(Preisindex!$A$6,Preisindex,3,FALSE),2),IF(AND($E112&lt;&gt;0,$F112&gt;0,YEAR($F112)&lt;Preisindex!$A$6,YEAR(FK$4)&gt;=YEAR($F112),$K112="g"),ROUND(VLOOKUP(FP$4,Preisindex,4,FALSE)/VLOOKUP(Preisindex!$A$6,Preisindex,4,FALSE),2),IF(AND($E112&lt;&gt;0,$F112&gt;0,YEAR($F112)&lt;Preisindex!$A$6,YEAR(FK$4)&gt;=YEAR($F112),$K112="k"),ROUND(VLOOKUP(FP$4,Preisindex,2,FALSE)/VLOOKUP(Preisindex!$A$6,Preisindex,2,FALSE),2),0)))))</f>
        <v>0</v>
      </c>
      <c r="FR112" s="51">
        <f>IF(AND($E112&lt;&gt;0,$F112&gt;0,YEAR($F112)&lt;=FP$4,YEAR($F112)&gt;=Preisindex!$A$6),ROUND($E112*FP112,2),IF(AND($E112&lt;&gt;0,$F112&gt;0,YEAR($F112)&lt;=FP$4,YEAR($F112)&lt;Preisindex!$A$6),ROUND($E112*FQ112,2),0))</f>
        <v>0</v>
      </c>
      <c r="FS112" s="53">
        <f t="shared" si="426"/>
        <v>0</v>
      </c>
    </row>
    <row r="113" spans="1:175" x14ac:dyDescent="0.3">
      <c r="A113" s="93"/>
      <c r="B113" s="94"/>
      <c r="C113" s="94"/>
      <c r="D113" s="95"/>
      <c r="E113" s="99"/>
      <c r="F113" s="97"/>
      <c r="G113" s="100"/>
      <c r="H113" s="620"/>
      <c r="I113" s="621"/>
      <c r="J113" s="194"/>
      <c r="K113" s="630"/>
      <c r="L113" s="49">
        <f t="shared" si="427"/>
        <v>0</v>
      </c>
      <c r="M113" s="50">
        <f t="shared" si="428"/>
        <v>0</v>
      </c>
      <c r="N113" s="51">
        <f t="shared" si="429"/>
        <v>0</v>
      </c>
      <c r="O113" s="51"/>
      <c r="P113" s="51">
        <f t="shared" si="430"/>
        <v>0</v>
      </c>
      <c r="Q113" s="52"/>
      <c r="R113" s="52"/>
      <c r="S113" s="52"/>
      <c r="T113" s="52"/>
      <c r="U113" s="52"/>
      <c r="V113" s="53">
        <f t="shared" si="431"/>
        <v>0</v>
      </c>
      <c r="W113" s="51">
        <f t="shared" si="432"/>
        <v>0</v>
      </c>
      <c r="X113" s="51">
        <f t="shared" si="433"/>
        <v>0</v>
      </c>
      <c r="Y113" s="51">
        <f t="shared" si="434"/>
        <v>0</v>
      </c>
      <c r="Z113" s="51">
        <f t="shared" si="435"/>
        <v>0</v>
      </c>
      <c r="AA113" s="51">
        <f t="shared" si="436"/>
        <v>0</v>
      </c>
      <c r="AB113" s="51">
        <f t="shared" si="437"/>
        <v>0</v>
      </c>
      <c r="AC113" s="51">
        <f t="shared" si="438"/>
        <v>0</v>
      </c>
      <c r="AD113" s="51">
        <f t="shared" si="439"/>
        <v>0</v>
      </c>
      <c r="AE113" s="51">
        <f t="shared" si="440"/>
        <v>0</v>
      </c>
      <c r="AF113" s="51">
        <f t="shared" si="441"/>
        <v>0</v>
      </c>
      <c r="AG113" s="51">
        <f t="shared" si="442"/>
        <v>0</v>
      </c>
      <c r="AH113" s="54">
        <f t="shared" si="443"/>
        <v>0</v>
      </c>
      <c r="AI113" s="55">
        <f t="shared" si="444"/>
        <v>0</v>
      </c>
      <c r="AJ113" s="56">
        <f>IF(AND($E113&lt;&gt;0,$F113&gt;0,YEAR($F113)&gt;=Preisindex!$A$6,YEAR(AE$4)&gt;=YEAR($F113),AND($K113&lt;&gt;"a",$K113&lt;&gt;"b",$K113&lt;&gt;"g",$K113&lt;&gt;"k")),1,IF(AND($E113&lt;&gt;0,$F113&gt;0,YEAR($F113)&gt;=Preisindex!$A$6,YEAR(AE$4)&gt;=YEAR($F113),$K113="a"),ROUND(VLOOKUP(AJ$4,Preisindex,5,FALSE)/VLOOKUP(YEAR($F113),Preisindex,5,FALSE),2),IF(AND($E113&lt;&gt;0,$F113&gt;0,YEAR($F113)&gt;=Preisindex!$A$6,YEAR(AE$4)&gt;=YEAR($F113),$K113="b"),ROUND(VLOOKUP(AJ$4,Preisindex,3,FALSE)/VLOOKUP(YEAR($F113),Preisindex,3,FALSE),2),IF(AND($E113&lt;&gt;0,$F113&gt;0,YEAR($F113)&gt;=Preisindex!$A$6,YEAR(AE$4)&gt;=YEAR($F113),$K113="g"),ROUND(VLOOKUP(AJ$4,Preisindex,4,FALSE)/VLOOKUP(YEAR($F113),Preisindex,4,FALSE),2),IF(AND($E113&lt;&gt;0,$F113&gt;0,YEAR($F113)&gt;=Preisindex!$A$6,YEAR(AE$4)&gt;=YEAR($F113),$K113="k"),ROUND(VLOOKUP(AJ$4,Preisindex,2,FALSE)/VLOOKUP(YEAR($F113),Preisindex,2,FALSE),2),0)))))</f>
        <v>0</v>
      </c>
      <c r="AK113" s="56">
        <f>IF(AND($E113&lt;&gt;0,$F113&gt;0,YEAR($F113)&lt;Preisindex!$A$6,YEAR(AE$4)&gt;=YEAR($F113),AND($K113&lt;&gt;"a",$K113&lt;&gt;"b",$K113&lt;&gt;"g",$K113&lt;&gt;"k")),1,IF(AND($E113&lt;&gt;0,$F113&gt;0,YEAR($F113)&lt;Preisindex!$A$6,YEAR(AE$4)&gt;=YEAR($F113),$K113="a"),ROUND(VLOOKUP(AJ$4,Preisindex,5,FALSE)/VLOOKUP(Preisindex!$A$6,Preisindex,5,FALSE),2),IF(AND($E113&lt;&gt;0,$F113&gt;0,YEAR($F113)&lt;Preisindex!$A$6,YEAR(AE$4)&gt;=YEAR($F113),$K113="b"),ROUND(VLOOKUP(AJ$4,Preisindex,3,FALSE)/VLOOKUP(Preisindex!$A$6,Preisindex,3,FALSE),2),IF(AND($E113&lt;&gt;0,$F113&gt;0,YEAR($F113)&lt;Preisindex!$A$6,YEAR(AE$4)&gt;=YEAR($F113),$K113="g"),ROUND(VLOOKUP(AJ$4,Preisindex,4,FALSE)/VLOOKUP(Preisindex!$A$6,Preisindex,4,FALSE),2),IF(AND($E113&lt;&gt;0,$F113&gt;0,YEAR($F113)&lt;Preisindex!$A$6,YEAR(AE$4)&gt;=YEAR($F113),$K113="k"),ROUND(VLOOKUP(AJ$4,Preisindex,2,FALSE)/VLOOKUP(Preisindex!$A$6,Preisindex,2,FALSE),2),0)))))</f>
        <v>0</v>
      </c>
      <c r="AL113" s="51">
        <f>IF(AND($E113&lt;&gt;0,$F113&gt;0,YEAR($F113)&lt;=AJ$4,YEAR($F113)&gt;=Preisindex!$A$6),ROUND($E113*AJ113,2),IF(AND($E113&lt;&gt;0,$F113&gt;0,YEAR($F113)&lt;=AJ$4,YEAR($F113)&lt;Preisindex!$A$6),ROUND($E113*AK113,2),0))</f>
        <v>0</v>
      </c>
      <c r="AM113" s="53">
        <f t="shared" si="445"/>
        <v>0</v>
      </c>
      <c r="AN113" s="51">
        <f t="shared" si="488"/>
        <v>0</v>
      </c>
      <c r="AO113" s="51">
        <f t="shared" si="448"/>
        <v>0</v>
      </c>
      <c r="AP113" s="51">
        <f t="shared" si="362"/>
        <v>0</v>
      </c>
      <c r="AQ113" s="51">
        <f t="shared" si="449"/>
        <v>0</v>
      </c>
      <c r="AR113" s="51">
        <f t="shared" si="363"/>
        <v>0</v>
      </c>
      <c r="AS113" s="51">
        <f t="shared" si="450"/>
        <v>0</v>
      </c>
      <c r="AT113" s="51">
        <f t="shared" si="364"/>
        <v>0</v>
      </c>
      <c r="AU113" s="51">
        <f t="shared" si="451"/>
        <v>0</v>
      </c>
      <c r="AV113" s="51">
        <f t="shared" si="365"/>
        <v>0</v>
      </c>
      <c r="AW113" s="51">
        <f t="shared" si="452"/>
        <v>0</v>
      </c>
      <c r="AX113" s="51">
        <f t="shared" si="366"/>
        <v>0</v>
      </c>
      <c r="AY113" s="54">
        <f t="shared" si="367"/>
        <v>0</v>
      </c>
      <c r="AZ113" s="55">
        <f t="shared" si="368"/>
        <v>0</v>
      </c>
      <c r="BA113" s="56">
        <f>IF(AND($E113&lt;&gt;0,$F113&gt;0,YEAR($F113)&gt;=Preisindex!$A$6,YEAR(AV$4)&gt;=YEAR($F113),AND($K113&lt;&gt;"a",$K113&lt;&gt;"b",$K113&lt;&gt;"g",$K113&lt;&gt;"k")),1,IF(AND($E113&lt;&gt;0,$F113&gt;0,YEAR($F113)&gt;=Preisindex!$A$6,YEAR(AV$4)&gt;=YEAR($F113),$K113="a"),ROUND(VLOOKUP(BA$4,Preisindex,5,FALSE)/VLOOKUP(YEAR($F113),Preisindex,5,FALSE),2),IF(AND($E113&lt;&gt;0,$F113&gt;0,YEAR($F113)&gt;=Preisindex!$A$6,YEAR(AV$4)&gt;=YEAR($F113),$K113="b"),ROUND(VLOOKUP(BA$4,Preisindex,3,FALSE)/VLOOKUP(YEAR($F113),Preisindex,3,FALSE),2),IF(AND($E113&lt;&gt;0,$F113&gt;0,YEAR($F113)&gt;=Preisindex!$A$6,YEAR(AV$4)&gt;=YEAR($F113),$K113="g"),ROUND(VLOOKUP(BA$4,Preisindex,4,FALSE)/VLOOKUP(YEAR($F113),Preisindex,4,FALSE),2),IF(AND($E113&lt;&gt;0,$F113&gt;0,YEAR($F113)&gt;=Preisindex!$A$6,YEAR(AV$4)&gt;=YEAR($F113),$K113="k"),ROUND(VLOOKUP(BA$4,Preisindex,2,FALSE)/VLOOKUP(YEAR($F113),Preisindex,2,FALSE),2),0)))))</f>
        <v>0</v>
      </c>
      <c r="BB113" s="56">
        <f>IF(AND($E113&lt;&gt;0,$F113&gt;0,YEAR($F113)&lt;Preisindex!$A$6,YEAR(AV$4)&gt;=YEAR($F113),AND($K113&lt;&gt;"a",$K113&lt;&gt;"b",$K113&lt;&gt;"g",$K113&lt;&gt;"k")),1,IF(AND($E113&lt;&gt;0,$F113&gt;0,YEAR($F113)&lt;Preisindex!$A$6,YEAR(AV$4)&gt;=YEAR($F113),$K113="a"),ROUND(VLOOKUP(BA$4,Preisindex,5,FALSE)/VLOOKUP(Preisindex!$A$6,Preisindex,5,FALSE),2),IF(AND($E113&lt;&gt;0,$F113&gt;0,YEAR($F113)&lt;Preisindex!$A$6,YEAR(AV$4)&gt;=YEAR($F113),$K113="b"),ROUND(VLOOKUP(BA$4,Preisindex,3,FALSE)/VLOOKUP(Preisindex!$A$6,Preisindex,3,FALSE),2),IF(AND($E113&lt;&gt;0,$F113&gt;0,YEAR($F113)&lt;Preisindex!$A$6,YEAR(AV$4)&gt;=YEAR($F113),$K113="g"),ROUND(VLOOKUP(BA$4,Preisindex,4,FALSE)/VLOOKUP(Preisindex!$A$6,Preisindex,4,FALSE),2),IF(AND($E113&lt;&gt;0,$F113&gt;0,YEAR($F113)&lt;Preisindex!$A$6,YEAR(AV$4)&gt;=YEAR($F113),$K113="k"),ROUND(VLOOKUP(BA$4,Preisindex,2,FALSE)/VLOOKUP(Preisindex!$A$6,Preisindex,2,FALSE),2),0)))))</f>
        <v>0</v>
      </c>
      <c r="BC113" s="51">
        <f>IF(AND($E113&lt;&gt;0,$F113&gt;0,YEAR($F113)&lt;=BA$4,YEAR($F113)&gt;=Preisindex!$A$6),ROUND($E113*BA113,2),IF(AND($E113&lt;&gt;0,$F113&gt;0,YEAR($F113)&lt;=BA$4,YEAR($F113)&lt;Preisindex!$A$6),ROUND($E113*BB113,2),0))</f>
        <v>0</v>
      </c>
      <c r="BD113" s="53">
        <f t="shared" si="369"/>
        <v>0</v>
      </c>
      <c r="BE113" s="51">
        <f t="shared" si="488"/>
        <v>0</v>
      </c>
      <c r="BF113" s="51">
        <f t="shared" si="453"/>
        <v>0</v>
      </c>
      <c r="BG113" s="51">
        <f t="shared" si="370"/>
        <v>0</v>
      </c>
      <c r="BH113" s="51">
        <f t="shared" si="454"/>
        <v>0</v>
      </c>
      <c r="BI113" s="51">
        <f t="shared" si="371"/>
        <v>0</v>
      </c>
      <c r="BJ113" s="51">
        <f t="shared" si="455"/>
        <v>0</v>
      </c>
      <c r="BK113" s="51">
        <f t="shared" si="372"/>
        <v>0</v>
      </c>
      <c r="BL113" s="51">
        <f t="shared" si="456"/>
        <v>0</v>
      </c>
      <c r="BM113" s="51">
        <f t="shared" si="373"/>
        <v>0</v>
      </c>
      <c r="BN113" s="51">
        <f t="shared" si="457"/>
        <v>0</v>
      </c>
      <c r="BO113" s="51">
        <f t="shared" si="374"/>
        <v>0</v>
      </c>
      <c r="BP113" s="54">
        <f t="shared" si="375"/>
        <v>0</v>
      </c>
      <c r="BQ113" s="55">
        <f t="shared" si="376"/>
        <v>0</v>
      </c>
      <c r="BR113" s="56">
        <f>IF(AND($E113&lt;&gt;0,$F113&gt;0,YEAR($F113)&gt;=Preisindex!$A$6,YEAR(BM$4)&gt;=YEAR($F113),AND($K113&lt;&gt;"a",$K113&lt;&gt;"b",$K113&lt;&gt;"g",$K113&lt;&gt;"k")),1,IF(AND($E113&lt;&gt;0,$F113&gt;0,YEAR($F113)&gt;=Preisindex!$A$6,YEAR(BM$4)&gt;=YEAR($F113),$K113="a"),ROUND(VLOOKUP(BR$4,Preisindex,5,FALSE)/VLOOKUP(YEAR($F113),Preisindex,5,FALSE),2),IF(AND($E113&lt;&gt;0,$F113&gt;0,YEAR($F113)&gt;=Preisindex!$A$6,YEAR(BM$4)&gt;=YEAR($F113),$K113="b"),ROUND(VLOOKUP(BR$4,Preisindex,3,FALSE)/VLOOKUP(YEAR($F113),Preisindex,3,FALSE),2),IF(AND($E113&lt;&gt;0,$F113&gt;0,YEAR($F113)&gt;=Preisindex!$A$6,YEAR(BM$4)&gt;=YEAR($F113),$K113="g"),ROUND(VLOOKUP(BR$4,Preisindex,4,FALSE)/VLOOKUP(YEAR($F113),Preisindex,4,FALSE),2),IF(AND($E113&lt;&gt;0,$F113&gt;0,YEAR($F113)&gt;=Preisindex!$A$6,YEAR(BM$4)&gt;=YEAR($F113),$K113="k"),ROUND(VLOOKUP(BR$4,Preisindex,2,FALSE)/VLOOKUP(YEAR($F113),Preisindex,2,FALSE),2),0)))))</f>
        <v>0</v>
      </c>
      <c r="BS113" s="56">
        <f>IF(AND($E113&lt;&gt;0,$F113&gt;0,YEAR($F113)&lt;Preisindex!$A$6,YEAR(BM$4)&gt;=YEAR($F113),AND($K113&lt;&gt;"a",$K113&lt;&gt;"b",$K113&lt;&gt;"g",$K113&lt;&gt;"k")),1,IF(AND($E113&lt;&gt;0,$F113&gt;0,YEAR($F113)&lt;Preisindex!$A$6,YEAR(BM$4)&gt;=YEAR($F113),$K113="a"),ROUND(VLOOKUP(BR$4,Preisindex,5,FALSE)/VLOOKUP(Preisindex!$A$6,Preisindex,5,FALSE),2),IF(AND($E113&lt;&gt;0,$F113&gt;0,YEAR($F113)&lt;Preisindex!$A$6,YEAR(BM$4)&gt;=YEAR($F113),$K113="b"),ROUND(VLOOKUP(BR$4,Preisindex,3,FALSE)/VLOOKUP(Preisindex!$A$6,Preisindex,3,FALSE),2),IF(AND($E113&lt;&gt;0,$F113&gt;0,YEAR($F113)&lt;Preisindex!$A$6,YEAR(BM$4)&gt;=YEAR($F113),$K113="g"),ROUND(VLOOKUP(BR$4,Preisindex,4,FALSE)/VLOOKUP(Preisindex!$A$6,Preisindex,4,FALSE),2),IF(AND($E113&lt;&gt;0,$F113&gt;0,YEAR($F113)&lt;Preisindex!$A$6,YEAR(BM$4)&gt;=YEAR($F113),$K113="k"),ROUND(VLOOKUP(BR$4,Preisindex,2,FALSE)/VLOOKUP(Preisindex!$A$6,Preisindex,2,FALSE),2),0)))))</f>
        <v>0</v>
      </c>
      <c r="BT113" s="51">
        <f>IF(AND($E113&lt;&gt;0,$F113&gt;0,YEAR($F113)&lt;=BR$4,YEAR($F113)&gt;=Preisindex!$A$6),ROUND($E113*BR113,2),IF(AND($E113&lt;&gt;0,$F113&gt;0,YEAR($F113)&lt;=BR$4,YEAR($F113)&lt;Preisindex!$A$6),ROUND($E113*BS113,2),0))</f>
        <v>0</v>
      </c>
      <c r="BU113" s="53">
        <f t="shared" si="377"/>
        <v>0</v>
      </c>
      <c r="BV113" s="51">
        <f t="shared" si="488"/>
        <v>0</v>
      </c>
      <c r="BW113" s="51">
        <f t="shared" si="458"/>
        <v>0</v>
      </c>
      <c r="BX113" s="51">
        <f t="shared" si="378"/>
        <v>0</v>
      </c>
      <c r="BY113" s="51">
        <f t="shared" si="459"/>
        <v>0</v>
      </c>
      <c r="BZ113" s="51">
        <f t="shared" si="379"/>
        <v>0</v>
      </c>
      <c r="CA113" s="51">
        <f t="shared" si="460"/>
        <v>0</v>
      </c>
      <c r="CB113" s="51">
        <f t="shared" si="380"/>
        <v>0</v>
      </c>
      <c r="CC113" s="51">
        <f t="shared" si="461"/>
        <v>0</v>
      </c>
      <c r="CD113" s="51">
        <f t="shared" si="381"/>
        <v>0</v>
      </c>
      <c r="CE113" s="51">
        <f t="shared" si="462"/>
        <v>0</v>
      </c>
      <c r="CF113" s="51">
        <f t="shared" si="382"/>
        <v>0</v>
      </c>
      <c r="CG113" s="54">
        <f t="shared" si="383"/>
        <v>0</v>
      </c>
      <c r="CH113" s="55">
        <f t="shared" si="384"/>
        <v>0</v>
      </c>
      <c r="CI113" s="56">
        <f>IF(AND($E113&lt;&gt;0,$F113&gt;0,YEAR($F113)&gt;=Preisindex!$A$6,YEAR(CD$4)&gt;=YEAR($F113),AND($K113&lt;&gt;"a",$K113&lt;&gt;"b",$K113&lt;&gt;"g",$K113&lt;&gt;"k")),1,IF(AND($E113&lt;&gt;0,$F113&gt;0,YEAR($F113)&gt;=Preisindex!$A$6,YEAR(CD$4)&gt;=YEAR($F113),$K113="a"),ROUND(VLOOKUP(CI$4,Preisindex,5,FALSE)/VLOOKUP(YEAR($F113),Preisindex,5,FALSE),2),IF(AND($E113&lt;&gt;0,$F113&gt;0,YEAR($F113)&gt;=Preisindex!$A$6,YEAR(CD$4)&gt;=YEAR($F113),$K113="b"),ROUND(VLOOKUP(CI$4,Preisindex,3,FALSE)/VLOOKUP(YEAR($F113),Preisindex,3,FALSE),2),IF(AND($E113&lt;&gt;0,$F113&gt;0,YEAR($F113)&gt;=Preisindex!$A$6,YEAR(CD$4)&gt;=YEAR($F113),$K113="g"),ROUND(VLOOKUP(CI$4,Preisindex,4,FALSE)/VLOOKUP(YEAR($F113),Preisindex,4,FALSE),2),IF(AND($E113&lt;&gt;0,$F113&gt;0,YEAR($F113)&gt;=Preisindex!$A$6,YEAR(CD$4)&gt;=YEAR($F113),$K113="k"),ROUND(VLOOKUP(CI$4,Preisindex,2,FALSE)/VLOOKUP(YEAR($F113),Preisindex,2,FALSE),2),0)))))</f>
        <v>0</v>
      </c>
      <c r="CJ113" s="56">
        <f>IF(AND($E113&lt;&gt;0,$F113&gt;0,YEAR($F113)&lt;Preisindex!$A$6,YEAR(CD$4)&gt;=YEAR($F113),AND($K113&lt;&gt;"a",$K113&lt;&gt;"b",$K113&lt;&gt;"g",$K113&lt;&gt;"k")),1,IF(AND($E113&lt;&gt;0,$F113&gt;0,YEAR($F113)&lt;Preisindex!$A$6,YEAR(CD$4)&gt;=YEAR($F113),$K113="a"),ROUND(VLOOKUP(CI$4,Preisindex,5,FALSE)/VLOOKUP(Preisindex!$A$6,Preisindex,5,FALSE),2),IF(AND($E113&lt;&gt;0,$F113&gt;0,YEAR($F113)&lt;Preisindex!$A$6,YEAR(CD$4)&gt;=YEAR($F113),$K113="b"),ROUND(VLOOKUP(CI$4,Preisindex,3,FALSE)/VLOOKUP(Preisindex!$A$6,Preisindex,3,FALSE),2),IF(AND($E113&lt;&gt;0,$F113&gt;0,YEAR($F113)&lt;Preisindex!$A$6,YEAR(CD$4)&gt;=YEAR($F113),$K113="g"),ROUND(VLOOKUP(CI$4,Preisindex,4,FALSE)/VLOOKUP(Preisindex!$A$6,Preisindex,4,FALSE),2),IF(AND($E113&lt;&gt;0,$F113&gt;0,YEAR($F113)&lt;Preisindex!$A$6,YEAR(CD$4)&gt;=YEAR($F113),$K113="k"),ROUND(VLOOKUP(CI$4,Preisindex,2,FALSE)/VLOOKUP(Preisindex!$A$6,Preisindex,2,FALSE),2),0)))))</f>
        <v>0</v>
      </c>
      <c r="CK113" s="51">
        <f>IF(AND($E113&lt;&gt;0,$F113&gt;0,YEAR($F113)&lt;=CI$4,YEAR($F113)&gt;=Preisindex!$A$6),ROUND($E113*CI113,2),IF(AND($E113&lt;&gt;0,$F113&gt;0,YEAR($F113)&lt;=CI$4,YEAR($F113)&lt;Preisindex!$A$6),ROUND($E113*CJ113,2),0))</f>
        <v>0</v>
      </c>
      <c r="CL113" s="53">
        <f t="shared" si="385"/>
        <v>0</v>
      </c>
      <c r="CM113" s="51">
        <f t="shared" si="488"/>
        <v>0</v>
      </c>
      <c r="CN113" s="51">
        <f t="shared" si="463"/>
        <v>0</v>
      </c>
      <c r="CO113" s="51">
        <f t="shared" si="386"/>
        <v>0</v>
      </c>
      <c r="CP113" s="51">
        <f t="shared" si="464"/>
        <v>0</v>
      </c>
      <c r="CQ113" s="51">
        <f t="shared" si="387"/>
        <v>0</v>
      </c>
      <c r="CR113" s="51">
        <f t="shared" si="465"/>
        <v>0</v>
      </c>
      <c r="CS113" s="51">
        <f t="shared" si="388"/>
        <v>0</v>
      </c>
      <c r="CT113" s="51">
        <f t="shared" si="466"/>
        <v>0</v>
      </c>
      <c r="CU113" s="51">
        <f t="shared" si="389"/>
        <v>0</v>
      </c>
      <c r="CV113" s="51">
        <f t="shared" si="467"/>
        <v>0</v>
      </c>
      <c r="CW113" s="51">
        <f t="shared" si="390"/>
        <v>0</v>
      </c>
      <c r="CX113" s="54">
        <f t="shared" si="391"/>
        <v>0</v>
      </c>
      <c r="CY113" s="55">
        <f t="shared" si="392"/>
        <v>0</v>
      </c>
      <c r="CZ113" s="56">
        <f>IF(AND($E113&lt;&gt;0,$F113&gt;0,YEAR($F113)&gt;=Preisindex!$A$6,YEAR(CU$4)&gt;=YEAR($F113),AND($K113&lt;&gt;"a",$K113&lt;&gt;"b",$K113&lt;&gt;"g",$K113&lt;&gt;"k")),1,IF(AND($E113&lt;&gt;0,$F113&gt;0,YEAR($F113)&gt;=Preisindex!$A$6,YEAR(CU$4)&gt;=YEAR($F113),$K113="a"),ROUND(VLOOKUP(CZ$4,Preisindex,5,FALSE)/VLOOKUP(YEAR($F113),Preisindex,5,FALSE),2),IF(AND($E113&lt;&gt;0,$F113&gt;0,YEAR($F113)&gt;=Preisindex!$A$6,YEAR(CU$4)&gt;=YEAR($F113),$K113="b"),ROUND(VLOOKUP(CZ$4,Preisindex,3,FALSE)/VLOOKUP(YEAR($F113),Preisindex,3,FALSE),2),IF(AND($E113&lt;&gt;0,$F113&gt;0,YEAR($F113)&gt;=Preisindex!$A$6,YEAR(CU$4)&gt;=YEAR($F113),$K113="g"),ROUND(VLOOKUP(CZ$4,Preisindex,4,FALSE)/VLOOKUP(YEAR($F113),Preisindex,4,FALSE),2),IF(AND($E113&lt;&gt;0,$F113&gt;0,YEAR($F113)&gt;=Preisindex!$A$6,YEAR(CU$4)&gt;=YEAR($F113),$K113="k"),ROUND(VLOOKUP(CZ$4,Preisindex,2,FALSE)/VLOOKUP(YEAR($F113),Preisindex,2,FALSE),2),0)))))</f>
        <v>0</v>
      </c>
      <c r="DA113" s="56">
        <f>IF(AND($E113&lt;&gt;0,$F113&gt;0,YEAR($F113)&lt;Preisindex!$A$6,YEAR(CU$4)&gt;=YEAR($F113),AND($K113&lt;&gt;"a",$K113&lt;&gt;"b",$K113&lt;&gt;"g",$K113&lt;&gt;"k")),1,IF(AND($E113&lt;&gt;0,$F113&gt;0,YEAR($F113)&lt;Preisindex!$A$6,YEAR(CU$4)&gt;=YEAR($F113),$K113="a"),ROUND(VLOOKUP(CZ$4,Preisindex,5,FALSE)/VLOOKUP(Preisindex!$A$6,Preisindex,5,FALSE),2),IF(AND($E113&lt;&gt;0,$F113&gt;0,YEAR($F113)&lt;Preisindex!$A$6,YEAR(CU$4)&gt;=YEAR($F113),$K113="b"),ROUND(VLOOKUP(CZ$4,Preisindex,3,FALSE)/VLOOKUP(Preisindex!$A$6,Preisindex,3,FALSE),2),IF(AND($E113&lt;&gt;0,$F113&gt;0,YEAR($F113)&lt;Preisindex!$A$6,YEAR(CU$4)&gt;=YEAR($F113),$K113="g"),ROUND(VLOOKUP(CZ$4,Preisindex,4,FALSE)/VLOOKUP(Preisindex!$A$6,Preisindex,4,FALSE),2),IF(AND($E113&lt;&gt;0,$F113&gt;0,YEAR($F113)&lt;Preisindex!$A$6,YEAR(CU$4)&gt;=YEAR($F113),$K113="k"),ROUND(VLOOKUP(CZ$4,Preisindex,2,FALSE)/VLOOKUP(Preisindex!$A$6,Preisindex,2,FALSE),2),0)))))</f>
        <v>0</v>
      </c>
      <c r="DB113" s="51">
        <f>IF(AND($E113&lt;&gt;0,$F113&gt;0,YEAR($F113)&lt;=CZ$4,YEAR($F113)&gt;=Preisindex!$A$6),ROUND($E113*CZ113,2),IF(AND($E113&lt;&gt;0,$F113&gt;0,YEAR($F113)&lt;=CZ$4,YEAR($F113)&lt;Preisindex!$A$6),ROUND($E113*DA113,2),0))</f>
        <v>0</v>
      </c>
      <c r="DC113" s="53">
        <f t="shared" si="393"/>
        <v>0</v>
      </c>
      <c r="DD113" s="51">
        <f t="shared" si="489"/>
        <v>0</v>
      </c>
      <c r="DE113" s="51">
        <f t="shared" si="468"/>
        <v>0</v>
      </c>
      <c r="DF113" s="51">
        <f t="shared" si="395"/>
        <v>0</v>
      </c>
      <c r="DG113" s="51">
        <f t="shared" si="469"/>
        <v>0</v>
      </c>
      <c r="DH113" s="51">
        <f t="shared" si="396"/>
        <v>0</v>
      </c>
      <c r="DI113" s="51">
        <f t="shared" si="470"/>
        <v>0</v>
      </c>
      <c r="DJ113" s="51">
        <f t="shared" si="397"/>
        <v>0</v>
      </c>
      <c r="DK113" s="51">
        <f t="shared" si="471"/>
        <v>0</v>
      </c>
      <c r="DL113" s="51">
        <f t="shared" si="398"/>
        <v>0</v>
      </c>
      <c r="DM113" s="51">
        <f t="shared" si="472"/>
        <v>0</v>
      </c>
      <c r="DN113" s="51">
        <f t="shared" si="399"/>
        <v>0</v>
      </c>
      <c r="DO113" s="54">
        <f t="shared" si="400"/>
        <v>0</v>
      </c>
      <c r="DP113" s="55">
        <f t="shared" si="401"/>
        <v>0</v>
      </c>
      <c r="DQ113" s="56">
        <f>IF(AND($E113&lt;&gt;0,$F113&gt;0,YEAR($F113)&gt;=Preisindex!$A$6,YEAR(DL$4)&gt;=YEAR($F113),AND($K113&lt;&gt;"a",$K113&lt;&gt;"b",$K113&lt;&gt;"g",$K113&lt;&gt;"k")),1,IF(AND($E113&lt;&gt;0,$F113&gt;0,YEAR($F113)&gt;=Preisindex!$A$6,YEAR(DL$4)&gt;=YEAR($F113),$K113="a"),ROUND(VLOOKUP(DQ$4,Preisindex,5,FALSE)/VLOOKUP(YEAR($F113),Preisindex,5,FALSE),2),IF(AND($E113&lt;&gt;0,$F113&gt;0,YEAR($F113)&gt;=Preisindex!$A$6,YEAR(DL$4)&gt;=YEAR($F113),$K113="b"),ROUND(VLOOKUP(DQ$4,Preisindex,3,FALSE)/VLOOKUP(YEAR($F113),Preisindex,3,FALSE),2),IF(AND($E113&lt;&gt;0,$F113&gt;0,YEAR($F113)&gt;=Preisindex!$A$6,YEAR(DL$4)&gt;=YEAR($F113),$K113="g"),ROUND(VLOOKUP(DQ$4,Preisindex,4,FALSE)/VLOOKUP(YEAR($F113),Preisindex,4,FALSE),2),IF(AND($E113&lt;&gt;0,$F113&gt;0,YEAR($F113)&gt;=Preisindex!$A$6,YEAR(DL$4)&gt;=YEAR($F113),$K113="k"),ROUND(VLOOKUP(DQ$4,Preisindex,2,FALSE)/VLOOKUP(YEAR($F113),Preisindex,2,FALSE),2),0)))))</f>
        <v>0</v>
      </c>
      <c r="DR113" s="56">
        <f>IF(AND($E113&lt;&gt;0,$F113&gt;0,YEAR($F113)&lt;Preisindex!$A$6,YEAR(DL$4)&gt;=YEAR($F113),AND($K113&lt;&gt;"a",$K113&lt;&gt;"b",$K113&lt;&gt;"g",$K113&lt;&gt;"k")),1,IF(AND($E113&lt;&gt;0,$F113&gt;0,YEAR($F113)&lt;Preisindex!$A$6,YEAR(DL$4)&gt;=YEAR($F113),$K113="a"),ROUND(VLOOKUP(DQ$4,Preisindex,5,FALSE)/VLOOKUP(Preisindex!$A$6,Preisindex,5,FALSE),2),IF(AND($E113&lt;&gt;0,$F113&gt;0,YEAR($F113)&lt;Preisindex!$A$6,YEAR(DL$4)&gt;=YEAR($F113),$K113="b"),ROUND(VLOOKUP(DQ$4,Preisindex,3,FALSE)/VLOOKUP(Preisindex!$A$6,Preisindex,3,FALSE),2),IF(AND($E113&lt;&gt;0,$F113&gt;0,YEAR($F113)&lt;Preisindex!$A$6,YEAR(DL$4)&gt;=YEAR($F113),$K113="g"),ROUND(VLOOKUP(DQ$4,Preisindex,4,FALSE)/VLOOKUP(Preisindex!$A$6,Preisindex,4,FALSE),2),IF(AND($E113&lt;&gt;0,$F113&gt;0,YEAR($F113)&lt;Preisindex!$A$6,YEAR(DL$4)&gt;=YEAR($F113),$K113="k"),ROUND(VLOOKUP(DQ$4,Preisindex,2,FALSE)/VLOOKUP(Preisindex!$A$6,Preisindex,2,FALSE),2),0)))))</f>
        <v>0</v>
      </c>
      <c r="DS113" s="51">
        <f>IF(AND($E113&lt;&gt;0,$F113&gt;0,YEAR($F113)&lt;=DQ$4,YEAR($F113)&gt;=Preisindex!$A$6),ROUND($E113*DQ113,2),IF(AND($E113&lt;&gt;0,$F113&gt;0,YEAR($F113)&lt;=DQ$4,YEAR($F113)&lt;Preisindex!$A$6),ROUND($E113*DR113,2),0))</f>
        <v>0</v>
      </c>
      <c r="DT113" s="53">
        <f t="shared" si="402"/>
        <v>0</v>
      </c>
      <c r="DU113" s="51">
        <f t="shared" si="489"/>
        <v>0</v>
      </c>
      <c r="DV113" s="51">
        <f t="shared" si="473"/>
        <v>0</v>
      </c>
      <c r="DW113" s="51">
        <f t="shared" si="403"/>
        <v>0</v>
      </c>
      <c r="DX113" s="51">
        <f t="shared" si="474"/>
        <v>0</v>
      </c>
      <c r="DY113" s="51">
        <f t="shared" si="404"/>
        <v>0</v>
      </c>
      <c r="DZ113" s="51">
        <f t="shared" si="475"/>
        <v>0</v>
      </c>
      <c r="EA113" s="51">
        <f t="shared" si="405"/>
        <v>0</v>
      </c>
      <c r="EB113" s="51">
        <f t="shared" si="476"/>
        <v>0</v>
      </c>
      <c r="EC113" s="51">
        <f t="shared" si="406"/>
        <v>0</v>
      </c>
      <c r="ED113" s="51">
        <f t="shared" si="477"/>
        <v>0</v>
      </c>
      <c r="EE113" s="51">
        <f t="shared" si="407"/>
        <v>0</v>
      </c>
      <c r="EF113" s="54">
        <f t="shared" si="408"/>
        <v>0</v>
      </c>
      <c r="EG113" s="55">
        <f t="shared" si="409"/>
        <v>0</v>
      </c>
      <c r="EH113" s="56">
        <f>IF(AND($E113&lt;&gt;0,$F113&gt;0,YEAR($F113)&gt;=Preisindex!$A$6,YEAR(EC$4)&gt;=YEAR($F113),AND($K113&lt;&gt;"a",$K113&lt;&gt;"b",$K113&lt;&gt;"g",$K113&lt;&gt;"k")),1,IF(AND($E113&lt;&gt;0,$F113&gt;0,YEAR($F113)&gt;=Preisindex!$A$6,YEAR(EC$4)&gt;=YEAR($F113),$K113="a"),ROUND(VLOOKUP(EH$4,Preisindex,5,FALSE)/VLOOKUP(YEAR($F113),Preisindex,5,FALSE),2),IF(AND($E113&lt;&gt;0,$F113&gt;0,YEAR($F113)&gt;=Preisindex!$A$6,YEAR(EC$4)&gt;=YEAR($F113),$K113="b"),ROUND(VLOOKUP(EH$4,Preisindex,3,FALSE)/VLOOKUP(YEAR($F113),Preisindex,3,FALSE),2),IF(AND($E113&lt;&gt;0,$F113&gt;0,YEAR($F113)&gt;=Preisindex!$A$6,YEAR(EC$4)&gt;=YEAR($F113),$K113="g"),ROUND(VLOOKUP(EH$4,Preisindex,4,FALSE)/VLOOKUP(YEAR($F113),Preisindex,4,FALSE),2),IF(AND($E113&lt;&gt;0,$F113&gt;0,YEAR($F113)&gt;=Preisindex!$A$6,YEAR(EC$4)&gt;=YEAR($F113),$K113="k"),ROUND(VLOOKUP(EH$4,Preisindex,2,FALSE)/VLOOKUP(YEAR($F113),Preisindex,2,FALSE),2),0)))))</f>
        <v>0</v>
      </c>
      <c r="EI113" s="56">
        <f>IF(AND($E113&lt;&gt;0,$F113&gt;0,YEAR($F113)&lt;Preisindex!$A$6,YEAR(EC$4)&gt;=YEAR($F113),AND($K113&lt;&gt;"a",$K113&lt;&gt;"b",$K113&lt;&gt;"g",$K113&lt;&gt;"k")),1,IF(AND($E113&lt;&gt;0,$F113&gt;0,YEAR($F113)&lt;Preisindex!$A$6,YEAR(EC$4)&gt;=YEAR($F113),$K113="a"),ROUND(VLOOKUP(EH$4,Preisindex,5,FALSE)/VLOOKUP(Preisindex!$A$6,Preisindex,5,FALSE),2),IF(AND($E113&lt;&gt;0,$F113&gt;0,YEAR($F113)&lt;Preisindex!$A$6,YEAR(EC$4)&gt;=YEAR($F113),$K113="b"),ROUND(VLOOKUP(EH$4,Preisindex,3,FALSE)/VLOOKUP(Preisindex!$A$6,Preisindex,3,FALSE),2),IF(AND($E113&lt;&gt;0,$F113&gt;0,YEAR($F113)&lt;Preisindex!$A$6,YEAR(EC$4)&gt;=YEAR($F113),$K113="g"),ROUND(VLOOKUP(EH$4,Preisindex,4,FALSE)/VLOOKUP(Preisindex!$A$6,Preisindex,4,FALSE),2),IF(AND($E113&lt;&gt;0,$F113&gt;0,YEAR($F113)&lt;Preisindex!$A$6,YEAR(EC$4)&gt;=YEAR($F113),$K113="k"),ROUND(VLOOKUP(EH$4,Preisindex,2,FALSE)/VLOOKUP(Preisindex!$A$6,Preisindex,2,FALSE),2),0)))))</f>
        <v>0</v>
      </c>
      <c r="EJ113" s="51">
        <f>IF(AND($E113&lt;&gt;0,$F113&gt;0,YEAR($F113)&lt;=EH$4,YEAR($F113)&gt;=Preisindex!$A$6),ROUND($E113*EH113,2),IF(AND($E113&lt;&gt;0,$F113&gt;0,YEAR($F113)&lt;=EH$4,YEAR($F113)&lt;Preisindex!$A$6),ROUND($E113*EI113,2),0))</f>
        <v>0</v>
      </c>
      <c r="EK113" s="53">
        <f t="shared" si="410"/>
        <v>0</v>
      </c>
      <c r="EL113" s="51">
        <f t="shared" si="489"/>
        <v>0</v>
      </c>
      <c r="EM113" s="51">
        <f t="shared" si="478"/>
        <v>0</v>
      </c>
      <c r="EN113" s="51">
        <f t="shared" si="411"/>
        <v>0</v>
      </c>
      <c r="EO113" s="51">
        <f t="shared" si="479"/>
        <v>0</v>
      </c>
      <c r="EP113" s="51">
        <f t="shared" si="412"/>
        <v>0</v>
      </c>
      <c r="EQ113" s="51">
        <f t="shared" si="480"/>
        <v>0</v>
      </c>
      <c r="ER113" s="51">
        <f t="shared" si="413"/>
        <v>0</v>
      </c>
      <c r="ES113" s="51">
        <f t="shared" si="481"/>
        <v>0</v>
      </c>
      <c r="ET113" s="51">
        <f t="shared" si="414"/>
        <v>0</v>
      </c>
      <c r="EU113" s="51">
        <f t="shared" si="482"/>
        <v>0</v>
      </c>
      <c r="EV113" s="51">
        <f t="shared" si="415"/>
        <v>0</v>
      </c>
      <c r="EW113" s="54">
        <f t="shared" si="416"/>
        <v>0</v>
      </c>
      <c r="EX113" s="55">
        <f t="shared" si="417"/>
        <v>0</v>
      </c>
      <c r="EY113" s="56">
        <f>IF(AND($E113&lt;&gt;0,$F113&gt;0,YEAR($F113)&gt;=Preisindex!$A$6,YEAR(ET$4)&gt;=YEAR($F113),AND($K113&lt;&gt;"a",$K113&lt;&gt;"b",$K113&lt;&gt;"g",$K113&lt;&gt;"k")),1,IF(AND($E113&lt;&gt;0,$F113&gt;0,YEAR($F113)&gt;=Preisindex!$A$6,YEAR(ET$4)&gt;=YEAR($F113),$K113="a"),ROUND(VLOOKUP(EY$4,Preisindex,5,FALSE)/VLOOKUP(YEAR($F113),Preisindex,5,FALSE),2),IF(AND($E113&lt;&gt;0,$F113&gt;0,YEAR($F113)&gt;=Preisindex!$A$6,YEAR(ET$4)&gt;=YEAR($F113),$K113="b"),ROUND(VLOOKUP(EY$4,Preisindex,3,FALSE)/VLOOKUP(YEAR($F113),Preisindex,3,FALSE),2),IF(AND($E113&lt;&gt;0,$F113&gt;0,YEAR($F113)&gt;=Preisindex!$A$6,YEAR(ET$4)&gt;=YEAR($F113),$K113="g"),ROUND(VLOOKUP(EY$4,Preisindex,4,FALSE)/VLOOKUP(YEAR($F113),Preisindex,4,FALSE),2),IF(AND($E113&lt;&gt;0,$F113&gt;0,YEAR($F113)&gt;=Preisindex!$A$6,YEAR(ET$4)&gt;=YEAR($F113),$K113="k"),ROUND(VLOOKUP(EY$4,Preisindex,2,FALSE)/VLOOKUP(YEAR($F113),Preisindex,2,FALSE),2),0)))))</f>
        <v>0</v>
      </c>
      <c r="EZ113" s="56">
        <f>IF(AND($E113&lt;&gt;0,$F113&gt;0,YEAR($F113)&lt;Preisindex!$A$6,YEAR(ET$4)&gt;=YEAR($F113),AND($K113&lt;&gt;"a",$K113&lt;&gt;"b",$K113&lt;&gt;"g",$K113&lt;&gt;"k")),1,IF(AND($E113&lt;&gt;0,$F113&gt;0,YEAR($F113)&lt;Preisindex!$A$6,YEAR(ET$4)&gt;=YEAR($F113),$K113="a"),ROUND(VLOOKUP(EY$4,Preisindex,5,FALSE)/VLOOKUP(Preisindex!$A$6,Preisindex,5,FALSE),2),IF(AND($E113&lt;&gt;0,$F113&gt;0,YEAR($F113)&lt;Preisindex!$A$6,YEAR(ET$4)&gt;=YEAR($F113),$K113="b"),ROUND(VLOOKUP(EY$4,Preisindex,3,FALSE)/VLOOKUP(Preisindex!$A$6,Preisindex,3,FALSE),2),IF(AND($E113&lt;&gt;0,$F113&gt;0,YEAR($F113)&lt;Preisindex!$A$6,YEAR(ET$4)&gt;=YEAR($F113),$K113="g"),ROUND(VLOOKUP(EY$4,Preisindex,4,FALSE)/VLOOKUP(Preisindex!$A$6,Preisindex,4,FALSE),2),IF(AND($E113&lt;&gt;0,$F113&gt;0,YEAR($F113)&lt;Preisindex!$A$6,YEAR(ET$4)&gt;=YEAR($F113),$K113="k"),ROUND(VLOOKUP(EY$4,Preisindex,2,FALSE)/VLOOKUP(Preisindex!$A$6,Preisindex,2,FALSE),2),0)))))</f>
        <v>0</v>
      </c>
      <c r="FA113" s="51">
        <f>IF(AND($E113&lt;&gt;0,$F113&gt;0,YEAR($F113)&lt;=EY$4,YEAR($F113)&gt;=Preisindex!$A$6),ROUND($E113*EY113,2),IF(AND($E113&lt;&gt;0,$F113&gt;0,YEAR($F113)&lt;=EY$4,YEAR($F113)&lt;Preisindex!$A$6),ROUND($E113*EZ113,2),0))</f>
        <v>0</v>
      </c>
      <c r="FB113" s="53">
        <f t="shared" si="418"/>
        <v>0</v>
      </c>
      <c r="FC113" s="51">
        <f t="shared" si="489"/>
        <v>0</v>
      </c>
      <c r="FD113" s="51">
        <f t="shared" si="483"/>
        <v>0</v>
      </c>
      <c r="FE113" s="51">
        <f t="shared" si="419"/>
        <v>0</v>
      </c>
      <c r="FF113" s="51">
        <f t="shared" si="484"/>
        <v>0</v>
      </c>
      <c r="FG113" s="51">
        <f t="shared" si="420"/>
        <v>0</v>
      </c>
      <c r="FH113" s="51">
        <f t="shared" si="485"/>
        <v>0</v>
      </c>
      <c r="FI113" s="51">
        <f t="shared" si="421"/>
        <v>0</v>
      </c>
      <c r="FJ113" s="51">
        <f t="shared" si="486"/>
        <v>0</v>
      </c>
      <c r="FK113" s="51">
        <f t="shared" si="422"/>
        <v>0</v>
      </c>
      <c r="FL113" s="51">
        <f t="shared" si="487"/>
        <v>0</v>
      </c>
      <c r="FM113" s="51">
        <f t="shared" si="423"/>
        <v>0</v>
      </c>
      <c r="FN113" s="54">
        <f t="shared" si="424"/>
        <v>0</v>
      </c>
      <c r="FO113" s="55">
        <f t="shared" si="425"/>
        <v>0</v>
      </c>
      <c r="FP113" s="56">
        <f>IF(AND($E113&lt;&gt;0,$F113&gt;0,YEAR($F113)&gt;=Preisindex!$A$6,YEAR(FK$4)&gt;=YEAR($F113),AND($K113&lt;&gt;"a",$K113&lt;&gt;"b",$K113&lt;&gt;"g",$K113&lt;&gt;"k")),1,IF(AND($E113&lt;&gt;0,$F113&gt;0,YEAR($F113)&gt;=Preisindex!$A$6,YEAR(FK$4)&gt;=YEAR($F113),$K113="a"),ROUND(VLOOKUP(FP$4,Preisindex,5,FALSE)/VLOOKUP(YEAR($F113),Preisindex,5,FALSE),2),IF(AND($E113&lt;&gt;0,$F113&gt;0,YEAR($F113)&gt;=Preisindex!$A$6,YEAR(FK$4)&gt;=YEAR($F113),$K113="b"),ROUND(VLOOKUP(FP$4,Preisindex,3,FALSE)/VLOOKUP(YEAR($F113),Preisindex,3,FALSE),2),IF(AND($E113&lt;&gt;0,$F113&gt;0,YEAR($F113)&gt;=Preisindex!$A$6,YEAR(FK$4)&gt;=YEAR($F113),$K113="g"),ROUND(VLOOKUP(FP$4,Preisindex,4,FALSE)/VLOOKUP(YEAR($F113),Preisindex,4,FALSE),2),IF(AND($E113&lt;&gt;0,$F113&gt;0,YEAR($F113)&gt;=Preisindex!$A$6,YEAR(FK$4)&gt;=YEAR($F113),$K113="k"),ROUND(VLOOKUP(FP$4,Preisindex,2,FALSE)/VLOOKUP(YEAR($F113),Preisindex,2,FALSE),2),0)))))</f>
        <v>0</v>
      </c>
      <c r="FQ113" s="56">
        <f>IF(AND($E113&lt;&gt;0,$F113&gt;0,YEAR($F113)&lt;Preisindex!$A$6,YEAR(FK$4)&gt;=YEAR($F113),AND($K113&lt;&gt;"a",$K113&lt;&gt;"b",$K113&lt;&gt;"g",$K113&lt;&gt;"k")),1,IF(AND($E113&lt;&gt;0,$F113&gt;0,YEAR($F113)&lt;Preisindex!$A$6,YEAR(FK$4)&gt;=YEAR($F113),$K113="a"),ROUND(VLOOKUP(FP$4,Preisindex,5,FALSE)/VLOOKUP(Preisindex!$A$6,Preisindex,5,FALSE),2),IF(AND($E113&lt;&gt;0,$F113&gt;0,YEAR($F113)&lt;Preisindex!$A$6,YEAR(FK$4)&gt;=YEAR($F113),$K113="b"),ROUND(VLOOKUP(FP$4,Preisindex,3,FALSE)/VLOOKUP(Preisindex!$A$6,Preisindex,3,FALSE),2),IF(AND($E113&lt;&gt;0,$F113&gt;0,YEAR($F113)&lt;Preisindex!$A$6,YEAR(FK$4)&gt;=YEAR($F113),$K113="g"),ROUND(VLOOKUP(FP$4,Preisindex,4,FALSE)/VLOOKUP(Preisindex!$A$6,Preisindex,4,FALSE),2),IF(AND($E113&lt;&gt;0,$F113&gt;0,YEAR($F113)&lt;Preisindex!$A$6,YEAR(FK$4)&gt;=YEAR($F113),$K113="k"),ROUND(VLOOKUP(FP$4,Preisindex,2,FALSE)/VLOOKUP(Preisindex!$A$6,Preisindex,2,FALSE),2),0)))))</f>
        <v>0</v>
      </c>
      <c r="FR113" s="51">
        <f>IF(AND($E113&lt;&gt;0,$F113&gt;0,YEAR($F113)&lt;=FP$4,YEAR($F113)&gt;=Preisindex!$A$6),ROUND($E113*FP113,2),IF(AND($E113&lt;&gt;0,$F113&gt;0,YEAR($F113)&lt;=FP$4,YEAR($F113)&lt;Preisindex!$A$6),ROUND($E113*FQ113,2),0))</f>
        <v>0</v>
      </c>
      <c r="FS113" s="53">
        <f t="shared" si="426"/>
        <v>0</v>
      </c>
    </row>
    <row r="114" spans="1:175" x14ac:dyDescent="0.3">
      <c r="A114" s="195"/>
      <c r="B114" s="196"/>
      <c r="C114" s="196"/>
      <c r="D114" s="188"/>
      <c r="E114" s="99"/>
      <c r="F114" s="97"/>
      <c r="G114" s="100"/>
      <c r="H114" s="620"/>
      <c r="I114" s="621"/>
      <c r="J114" s="194"/>
      <c r="K114" s="630"/>
      <c r="L114" s="49">
        <f t="shared" si="427"/>
        <v>0</v>
      </c>
      <c r="M114" s="50">
        <f t="shared" si="428"/>
        <v>0</v>
      </c>
      <c r="N114" s="51">
        <f t="shared" si="429"/>
        <v>0</v>
      </c>
      <c r="O114" s="51"/>
      <c r="P114" s="51">
        <f t="shared" si="430"/>
        <v>0</v>
      </c>
      <c r="Q114" s="52"/>
      <c r="R114" s="52"/>
      <c r="S114" s="52"/>
      <c r="T114" s="52"/>
      <c r="U114" s="52"/>
      <c r="V114" s="53">
        <f t="shared" si="431"/>
        <v>0</v>
      </c>
      <c r="W114" s="51">
        <f t="shared" si="432"/>
        <v>0</v>
      </c>
      <c r="X114" s="51">
        <f t="shared" si="433"/>
        <v>0</v>
      </c>
      <c r="Y114" s="51">
        <f t="shared" si="434"/>
        <v>0</v>
      </c>
      <c r="Z114" s="51">
        <f t="shared" si="435"/>
        <v>0</v>
      </c>
      <c r="AA114" s="51">
        <f t="shared" si="436"/>
        <v>0</v>
      </c>
      <c r="AB114" s="51">
        <f t="shared" si="437"/>
        <v>0</v>
      </c>
      <c r="AC114" s="51">
        <f t="shared" si="438"/>
        <v>0</v>
      </c>
      <c r="AD114" s="51">
        <f t="shared" si="439"/>
        <v>0</v>
      </c>
      <c r="AE114" s="51">
        <f t="shared" si="440"/>
        <v>0</v>
      </c>
      <c r="AF114" s="51">
        <f t="shared" si="441"/>
        <v>0</v>
      </c>
      <c r="AG114" s="51">
        <f t="shared" si="442"/>
        <v>0</v>
      </c>
      <c r="AH114" s="54">
        <f t="shared" si="443"/>
        <v>0</v>
      </c>
      <c r="AI114" s="55">
        <f t="shared" si="444"/>
        <v>0</v>
      </c>
      <c r="AJ114" s="56">
        <f>IF(AND($E114&lt;&gt;0,$F114&gt;0,YEAR($F114)&gt;=Preisindex!$A$6,YEAR(AE$4)&gt;=YEAR($F114),AND($K114&lt;&gt;"a",$K114&lt;&gt;"b",$K114&lt;&gt;"g",$K114&lt;&gt;"k")),1,IF(AND($E114&lt;&gt;0,$F114&gt;0,YEAR($F114)&gt;=Preisindex!$A$6,YEAR(AE$4)&gt;=YEAR($F114),$K114="a"),ROUND(VLOOKUP(AJ$4,Preisindex,5,FALSE)/VLOOKUP(YEAR($F114),Preisindex,5,FALSE),2),IF(AND($E114&lt;&gt;0,$F114&gt;0,YEAR($F114)&gt;=Preisindex!$A$6,YEAR(AE$4)&gt;=YEAR($F114),$K114="b"),ROUND(VLOOKUP(AJ$4,Preisindex,3,FALSE)/VLOOKUP(YEAR($F114),Preisindex,3,FALSE),2),IF(AND($E114&lt;&gt;0,$F114&gt;0,YEAR($F114)&gt;=Preisindex!$A$6,YEAR(AE$4)&gt;=YEAR($F114),$K114="g"),ROUND(VLOOKUP(AJ$4,Preisindex,4,FALSE)/VLOOKUP(YEAR($F114),Preisindex,4,FALSE),2),IF(AND($E114&lt;&gt;0,$F114&gt;0,YEAR($F114)&gt;=Preisindex!$A$6,YEAR(AE$4)&gt;=YEAR($F114),$K114="k"),ROUND(VLOOKUP(AJ$4,Preisindex,2,FALSE)/VLOOKUP(YEAR($F114),Preisindex,2,FALSE),2),0)))))</f>
        <v>0</v>
      </c>
      <c r="AK114" s="56">
        <f>IF(AND($E114&lt;&gt;0,$F114&gt;0,YEAR($F114)&lt;Preisindex!$A$6,YEAR(AE$4)&gt;=YEAR($F114),AND($K114&lt;&gt;"a",$K114&lt;&gt;"b",$K114&lt;&gt;"g",$K114&lt;&gt;"k")),1,IF(AND($E114&lt;&gt;0,$F114&gt;0,YEAR($F114)&lt;Preisindex!$A$6,YEAR(AE$4)&gt;=YEAR($F114),$K114="a"),ROUND(VLOOKUP(AJ$4,Preisindex,5,FALSE)/VLOOKUP(Preisindex!$A$6,Preisindex,5,FALSE),2),IF(AND($E114&lt;&gt;0,$F114&gt;0,YEAR($F114)&lt;Preisindex!$A$6,YEAR(AE$4)&gt;=YEAR($F114),$K114="b"),ROUND(VLOOKUP(AJ$4,Preisindex,3,FALSE)/VLOOKUP(Preisindex!$A$6,Preisindex,3,FALSE),2),IF(AND($E114&lt;&gt;0,$F114&gt;0,YEAR($F114)&lt;Preisindex!$A$6,YEAR(AE$4)&gt;=YEAR($F114),$K114="g"),ROUND(VLOOKUP(AJ$4,Preisindex,4,FALSE)/VLOOKUP(Preisindex!$A$6,Preisindex,4,FALSE),2),IF(AND($E114&lt;&gt;0,$F114&gt;0,YEAR($F114)&lt;Preisindex!$A$6,YEAR(AE$4)&gt;=YEAR($F114),$K114="k"),ROUND(VLOOKUP(AJ$4,Preisindex,2,FALSE)/VLOOKUP(Preisindex!$A$6,Preisindex,2,FALSE),2),0)))))</f>
        <v>0</v>
      </c>
      <c r="AL114" s="51">
        <f>IF(AND($E114&lt;&gt;0,$F114&gt;0,YEAR($F114)&lt;=AJ$4,YEAR($F114)&gt;=Preisindex!$A$6),ROUND($E114*AJ114,2),IF(AND($E114&lt;&gt;0,$F114&gt;0,YEAR($F114)&lt;=AJ$4,YEAR($F114)&lt;Preisindex!$A$6),ROUND($E114*AK114,2),0))</f>
        <v>0</v>
      </c>
      <c r="AM114" s="53">
        <f t="shared" si="445"/>
        <v>0</v>
      </c>
      <c r="AN114" s="51">
        <f t="shared" si="488"/>
        <v>0</v>
      </c>
      <c r="AO114" s="51">
        <f t="shared" si="448"/>
        <v>0</v>
      </c>
      <c r="AP114" s="51">
        <f t="shared" si="362"/>
        <v>0</v>
      </c>
      <c r="AQ114" s="51">
        <f t="shared" si="449"/>
        <v>0</v>
      </c>
      <c r="AR114" s="51">
        <f t="shared" si="363"/>
        <v>0</v>
      </c>
      <c r="AS114" s="51">
        <f t="shared" si="450"/>
        <v>0</v>
      </c>
      <c r="AT114" s="51">
        <f t="shared" si="364"/>
        <v>0</v>
      </c>
      <c r="AU114" s="51">
        <f t="shared" si="451"/>
        <v>0</v>
      </c>
      <c r="AV114" s="51">
        <f t="shared" si="365"/>
        <v>0</v>
      </c>
      <c r="AW114" s="51">
        <f t="shared" si="452"/>
        <v>0</v>
      </c>
      <c r="AX114" s="51">
        <f t="shared" si="366"/>
        <v>0</v>
      </c>
      <c r="AY114" s="54">
        <f t="shared" si="367"/>
        <v>0</v>
      </c>
      <c r="AZ114" s="55">
        <f t="shared" si="368"/>
        <v>0</v>
      </c>
      <c r="BA114" s="56">
        <f>IF(AND($E114&lt;&gt;0,$F114&gt;0,YEAR($F114)&gt;=Preisindex!$A$6,YEAR(AV$4)&gt;=YEAR($F114),AND($K114&lt;&gt;"a",$K114&lt;&gt;"b",$K114&lt;&gt;"g",$K114&lt;&gt;"k")),1,IF(AND($E114&lt;&gt;0,$F114&gt;0,YEAR($F114)&gt;=Preisindex!$A$6,YEAR(AV$4)&gt;=YEAR($F114),$K114="a"),ROUND(VLOOKUP(BA$4,Preisindex,5,FALSE)/VLOOKUP(YEAR($F114),Preisindex,5,FALSE),2),IF(AND($E114&lt;&gt;0,$F114&gt;0,YEAR($F114)&gt;=Preisindex!$A$6,YEAR(AV$4)&gt;=YEAR($F114),$K114="b"),ROUND(VLOOKUP(BA$4,Preisindex,3,FALSE)/VLOOKUP(YEAR($F114),Preisindex,3,FALSE),2),IF(AND($E114&lt;&gt;0,$F114&gt;0,YEAR($F114)&gt;=Preisindex!$A$6,YEAR(AV$4)&gt;=YEAR($F114),$K114="g"),ROUND(VLOOKUP(BA$4,Preisindex,4,FALSE)/VLOOKUP(YEAR($F114),Preisindex,4,FALSE),2),IF(AND($E114&lt;&gt;0,$F114&gt;0,YEAR($F114)&gt;=Preisindex!$A$6,YEAR(AV$4)&gt;=YEAR($F114),$K114="k"),ROUND(VLOOKUP(BA$4,Preisindex,2,FALSE)/VLOOKUP(YEAR($F114),Preisindex,2,FALSE),2),0)))))</f>
        <v>0</v>
      </c>
      <c r="BB114" s="56">
        <f>IF(AND($E114&lt;&gt;0,$F114&gt;0,YEAR($F114)&lt;Preisindex!$A$6,YEAR(AV$4)&gt;=YEAR($F114),AND($K114&lt;&gt;"a",$K114&lt;&gt;"b",$K114&lt;&gt;"g",$K114&lt;&gt;"k")),1,IF(AND($E114&lt;&gt;0,$F114&gt;0,YEAR($F114)&lt;Preisindex!$A$6,YEAR(AV$4)&gt;=YEAR($F114),$K114="a"),ROUND(VLOOKUP(BA$4,Preisindex,5,FALSE)/VLOOKUP(Preisindex!$A$6,Preisindex,5,FALSE),2),IF(AND($E114&lt;&gt;0,$F114&gt;0,YEAR($F114)&lt;Preisindex!$A$6,YEAR(AV$4)&gt;=YEAR($F114),$K114="b"),ROUND(VLOOKUP(BA$4,Preisindex,3,FALSE)/VLOOKUP(Preisindex!$A$6,Preisindex,3,FALSE),2),IF(AND($E114&lt;&gt;0,$F114&gt;0,YEAR($F114)&lt;Preisindex!$A$6,YEAR(AV$4)&gt;=YEAR($F114),$K114="g"),ROUND(VLOOKUP(BA$4,Preisindex,4,FALSE)/VLOOKUP(Preisindex!$A$6,Preisindex,4,FALSE),2),IF(AND($E114&lt;&gt;0,$F114&gt;0,YEAR($F114)&lt;Preisindex!$A$6,YEAR(AV$4)&gt;=YEAR($F114),$K114="k"),ROUND(VLOOKUP(BA$4,Preisindex,2,FALSE)/VLOOKUP(Preisindex!$A$6,Preisindex,2,FALSE),2),0)))))</f>
        <v>0</v>
      </c>
      <c r="BC114" s="51">
        <f>IF(AND($E114&lt;&gt;0,$F114&gt;0,YEAR($F114)&lt;=BA$4,YEAR($F114)&gt;=Preisindex!$A$6),ROUND($E114*BA114,2),IF(AND($E114&lt;&gt;0,$F114&gt;0,YEAR($F114)&lt;=BA$4,YEAR($F114)&lt;Preisindex!$A$6),ROUND($E114*BB114,2),0))</f>
        <v>0</v>
      </c>
      <c r="BD114" s="53">
        <f t="shared" si="369"/>
        <v>0</v>
      </c>
      <c r="BE114" s="51">
        <f t="shared" si="488"/>
        <v>0</v>
      </c>
      <c r="BF114" s="51">
        <f t="shared" si="453"/>
        <v>0</v>
      </c>
      <c r="BG114" s="51">
        <f t="shared" si="370"/>
        <v>0</v>
      </c>
      <c r="BH114" s="51">
        <f t="shared" si="454"/>
        <v>0</v>
      </c>
      <c r="BI114" s="51">
        <f t="shared" si="371"/>
        <v>0</v>
      </c>
      <c r="BJ114" s="51">
        <f t="shared" si="455"/>
        <v>0</v>
      </c>
      <c r="BK114" s="51">
        <f t="shared" si="372"/>
        <v>0</v>
      </c>
      <c r="BL114" s="51">
        <f t="shared" si="456"/>
        <v>0</v>
      </c>
      <c r="BM114" s="51">
        <f t="shared" si="373"/>
        <v>0</v>
      </c>
      <c r="BN114" s="51">
        <f t="shared" si="457"/>
        <v>0</v>
      </c>
      <c r="BO114" s="51">
        <f t="shared" si="374"/>
        <v>0</v>
      </c>
      <c r="BP114" s="54">
        <f t="shared" si="375"/>
        <v>0</v>
      </c>
      <c r="BQ114" s="55">
        <f t="shared" si="376"/>
        <v>0</v>
      </c>
      <c r="BR114" s="56">
        <f>IF(AND($E114&lt;&gt;0,$F114&gt;0,YEAR($F114)&gt;=Preisindex!$A$6,YEAR(BM$4)&gt;=YEAR($F114),AND($K114&lt;&gt;"a",$K114&lt;&gt;"b",$K114&lt;&gt;"g",$K114&lt;&gt;"k")),1,IF(AND($E114&lt;&gt;0,$F114&gt;0,YEAR($F114)&gt;=Preisindex!$A$6,YEAR(BM$4)&gt;=YEAR($F114),$K114="a"),ROUND(VLOOKUP(BR$4,Preisindex,5,FALSE)/VLOOKUP(YEAR($F114),Preisindex,5,FALSE),2),IF(AND($E114&lt;&gt;0,$F114&gt;0,YEAR($F114)&gt;=Preisindex!$A$6,YEAR(BM$4)&gt;=YEAR($F114),$K114="b"),ROUND(VLOOKUP(BR$4,Preisindex,3,FALSE)/VLOOKUP(YEAR($F114),Preisindex,3,FALSE),2),IF(AND($E114&lt;&gt;0,$F114&gt;0,YEAR($F114)&gt;=Preisindex!$A$6,YEAR(BM$4)&gt;=YEAR($F114),$K114="g"),ROUND(VLOOKUP(BR$4,Preisindex,4,FALSE)/VLOOKUP(YEAR($F114),Preisindex,4,FALSE),2),IF(AND($E114&lt;&gt;0,$F114&gt;0,YEAR($F114)&gt;=Preisindex!$A$6,YEAR(BM$4)&gt;=YEAR($F114),$K114="k"),ROUND(VLOOKUP(BR$4,Preisindex,2,FALSE)/VLOOKUP(YEAR($F114),Preisindex,2,FALSE),2),0)))))</f>
        <v>0</v>
      </c>
      <c r="BS114" s="56">
        <f>IF(AND($E114&lt;&gt;0,$F114&gt;0,YEAR($F114)&lt;Preisindex!$A$6,YEAR(BM$4)&gt;=YEAR($F114),AND($K114&lt;&gt;"a",$K114&lt;&gt;"b",$K114&lt;&gt;"g",$K114&lt;&gt;"k")),1,IF(AND($E114&lt;&gt;0,$F114&gt;0,YEAR($F114)&lt;Preisindex!$A$6,YEAR(BM$4)&gt;=YEAR($F114),$K114="a"),ROUND(VLOOKUP(BR$4,Preisindex,5,FALSE)/VLOOKUP(Preisindex!$A$6,Preisindex,5,FALSE),2),IF(AND($E114&lt;&gt;0,$F114&gt;0,YEAR($F114)&lt;Preisindex!$A$6,YEAR(BM$4)&gt;=YEAR($F114),$K114="b"),ROUND(VLOOKUP(BR$4,Preisindex,3,FALSE)/VLOOKUP(Preisindex!$A$6,Preisindex,3,FALSE),2),IF(AND($E114&lt;&gt;0,$F114&gt;0,YEAR($F114)&lt;Preisindex!$A$6,YEAR(BM$4)&gt;=YEAR($F114),$K114="g"),ROUND(VLOOKUP(BR$4,Preisindex,4,FALSE)/VLOOKUP(Preisindex!$A$6,Preisindex,4,FALSE),2),IF(AND($E114&lt;&gt;0,$F114&gt;0,YEAR($F114)&lt;Preisindex!$A$6,YEAR(BM$4)&gt;=YEAR($F114),$K114="k"),ROUND(VLOOKUP(BR$4,Preisindex,2,FALSE)/VLOOKUP(Preisindex!$A$6,Preisindex,2,FALSE),2),0)))))</f>
        <v>0</v>
      </c>
      <c r="BT114" s="51">
        <f>IF(AND($E114&lt;&gt;0,$F114&gt;0,YEAR($F114)&lt;=BR$4,YEAR($F114)&gt;=Preisindex!$A$6),ROUND($E114*BR114,2),IF(AND($E114&lt;&gt;0,$F114&gt;0,YEAR($F114)&lt;=BR$4,YEAR($F114)&lt;Preisindex!$A$6),ROUND($E114*BS114,2),0))</f>
        <v>0</v>
      </c>
      <c r="BU114" s="53">
        <f t="shared" si="377"/>
        <v>0</v>
      </c>
      <c r="BV114" s="51">
        <f t="shared" si="488"/>
        <v>0</v>
      </c>
      <c r="BW114" s="51">
        <f t="shared" si="458"/>
        <v>0</v>
      </c>
      <c r="BX114" s="51">
        <f t="shared" si="378"/>
        <v>0</v>
      </c>
      <c r="BY114" s="51">
        <f t="shared" si="459"/>
        <v>0</v>
      </c>
      <c r="BZ114" s="51">
        <f t="shared" si="379"/>
        <v>0</v>
      </c>
      <c r="CA114" s="51">
        <f t="shared" si="460"/>
        <v>0</v>
      </c>
      <c r="CB114" s="51">
        <f t="shared" si="380"/>
        <v>0</v>
      </c>
      <c r="CC114" s="51">
        <f t="shared" si="461"/>
        <v>0</v>
      </c>
      <c r="CD114" s="51">
        <f t="shared" si="381"/>
        <v>0</v>
      </c>
      <c r="CE114" s="51">
        <f t="shared" si="462"/>
        <v>0</v>
      </c>
      <c r="CF114" s="51">
        <f t="shared" si="382"/>
        <v>0</v>
      </c>
      <c r="CG114" s="54">
        <f t="shared" si="383"/>
        <v>0</v>
      </c>
      <c r="CH114" s="55">
        <f t="shared" si="384"/>
        <v>0</v>
      </c>
      <c r="CI114" s="56">
        <f>IF(AND($E114&lt;&gt;0,$F114&gt;0,YEAR($F114)&gt;=Preisindex!$A$6,YEAR(CD$4)&gt;=YEAR($F114),AND($K114&lt;&gt;"a",$K114&lt;&gt;"b",$K114&lt;&gt;"g",$K114&lt;&gt;"k")),1,IF(AND($E114&lt;&gt;0,$F114&gt;0,YEAR($F114)&gt;=Preisindex!$A$6,YEAR(CD$4)&gt;=YEAR($F114),$K114="a"),ROUND(VLOOKUP(CI$4,Preisindex,5,FALSE)/VLOOKUP(YEAR($F114),Preisindex,5,FALSE),2),IF(AND($E114&lt;&gt;0,$F114&gt;0,YEAR($F114)&gt;=Preisindex!$A$6,YEAR(CD$4)&gt;=YEAR($F114),$K114="b"),ROUND(VLOOKUP(CI$4,Preisindex,3,FALSE)/VLOOKUP(YEAR($F114),Preisindex,3,FALSE),2),IF(AND($E114&lt;&gt;0,$F114&gt;0,YEAR($F114)&gt;=Preisindex!$A$6,YEAR(CD$4)&gt;=YEAR($F114),$K114="g"),ROUND(VLOOKUP(CI$4,Preisindex,4,FALSE)/VLOOKUP(YEAR($F114),Preisindex,4,FALSE),2),IF(AND($E114&lt;&gt;0,$F114&gt;0,YEAR($F114)&gt;=Preisindex!$A$6,YEAR(CD$4)&gt;=YEAR($F114),$K114="k"),ROUND(VLOOKUP(CI$4,Preisindex,2,FALSE)/VLOOKUP(YEAR($F114),Preisindex,2,FALSE),2),0)))))</f>
        <v>0</v>
      </c>
      <c r="CJ114" s="56">
        <f>IF(AND($E114&lt;&gt;0,$F114&gt;0,YEAR($F114)&lt;Preisindex!$A$6,YEAR(CD$4)&gt;=YEAR($F114),AND($K114&lt;&gt;"a",$K114&lt;&gt;"b",$K114&lt;&gt;"g",$K114&lt;&gt;"k")),1,IF(AND($E114&lt;&gt;0,$F114&gt;0,YEAR($F114)&lt;Preisindex!$A$6,YEAR(CD$4)&gt;=YEAR($F114),$K114="a"),ROUND(VLOOKUP(CI$4,Preisindex,5,FALSE)/VLOOKUP(Preisindex!$A$6,Preisindex,5,FALSE),2),IF(AND($E114&lt;&gt;0,$F114&gt;0,YEAR($F114)&lt;Preisindex!$A$6,YEAR(CD$4)&gt;=YEAR($F114),$K114="b"),ROUND(VLOOKUP(CI$4,Preisindex,3,FALSE)/VLOOKUP(Preisindex!$A$6,Preisindex,3,FALSE),2),IF(AND($E114&lt;&gt;0,$F114&gt;0,YEAR($F114)&lt;Preisindex!$A$6,YEAR(CD$4)&gt;=YEAR($F114),$K114="g"),ROUND(VLOOKUP(CI$4,Preisindex,4,FALSE)/VLOOKUP(Preisindex!$A$6,Preisindex,4,FALSE),2),IF(AND($E114&lt;&gt;0,$F114&gt;0,YEAR($F114)&lt;Preisindex!$A$6,YEAR(CD$4)&gt;=YEAR($F114),$K114="k"),ROUND(VLOOKUP(CI$4,Preisindex,2,FALSE)/VLOOKUP(Preisindex!$A$6,Preisindex,2,FALSE),2),0)))))</f>
        <v>0</v>
      </c>
      <c r="CK114" s="51">
        <f>IF(AND($E114&lt;&gt;0,$F114&gt;0,YEAR($F114)&lt;=CI$4,YEAR($F114)&gt;=Preisindex!$A$6),ROUND($E114*CI114,2),IF(AND($E114&lt;&gt;0,$F114&gt;0,YEAR($F114)&lt;=CI$4,YEAR($F114)&lt;Preisindex!$A$6),ROUND($E114*CJ114,2),0))</f>
        <v>0</v>
      </c>
      <c r="CL114" s="53">
        <f t="shared" si="385"/>
        <v>0</v>
      </c>
      <c r="CM114" s="51">
        <f t="shared" si="488"/>
        <v>0</v>
      </c>
      <c r="CN114" s="51">
        <f t="shared" si="463"/>
        <v>0</v>
      </c>
      <c r="CO114" s="51">
        <f t="shared" si="386"/>
        <v>0</v>
      </c>
      <c r="CP114" s="51">
        <f t="shared" si="464"/>
        <v>0</v>
      </c>
      <c r="CQ114" s="51">
        <f t="shared" si="387"/>
        <v>0</v>
      </c>
      <c r="CR114" s="51">
        <f t="shared" si="465"/>
        <v>0</v>
      </c>
      <c r="CS114" s="51">
        <f t="shared" si="388"/>
        <v>0</v>
      </c>
      <c r="CT114" s="51">
        <f t="shared" si="466"/>
        <v>0</v>
      </c>
      <c r="CU114" s="51">
        <f t="shared" si="389"/>
        <v>0</v>
      </c>
      <c r="CV114" s="51">
        <f t="shared" si="467"/>
        <v>0</v>
      </c>
      <c r="CW114" s="51">
        <f t="shared" si="390"/>
        <v>0</v>
      </c>
      <c r="CX114" s="54">
        <f t="shared" si="391"/>
        <v>0</v>
      </c>
      <c r="CY114" s="55">
        <f t="shared" si="392"/>
        <v>0</v>
      </c>
      <c r="CZ114" s="56">
        <f>IF(AND($E114&lt;&gt;0,$F114&gt;0,YEAR($F114)&gt;=Preisindex!$A$6,YEAR(CU$4)&gt;=YEAR($F114),AND($K114&lt;&gt;"a",$K114&lt;&gt;"b",$K114&lt;&gt;"g",$K114&lt;&gt;"k")),1,IF(AND($E114&lt;&gt;0,$F114&gt;0,YEAR($F114)&gt;=Preisindex!$A$6,YEAR(CU$4)&gt;=YEAR($F114),$K114="a"),ROUND(VLOOKUP(CZ$4,Preisindex,5,FALSE)/VLOOKUP(YEAR($F114),Preisindex,5,FALSE),2),IF(AND($E114&lt;&gt;0,$F114&gt;0,YEAR($F114)&gt;=Preisindex!$A$6,YEAR(CU$4)&gt;=YEAR($F114),$K114="b"),ROUND(VLOOKUP(CZ$4,Preisindex,3,FALSE)/VLOOKUP(YEAR($F114),Preisindex,3,FALSE),2),IF(AND($E114&lt;&gt;0,$F114&gt;0,YEAR($F114)&gt;=Preisindex!$A$6,YEAR(CU$4)&gt;=YEAR($F114),$K114="g"),ROUND(VLOOKUP(CZ$4,Preisindex,4,FALSE)/VLOOKUP(YEAR($F114),Preisindex,4,FALSE),2),IF(AND($E114&lt;&gt;0,$F114&gt;0,YEAR($F114)&gt;=Preisindex!$A$6,YEAR(CU$4)&gt;=YEAR($F114),$K114="k"),ROUND(VLOOKUP(CZ$4,Preisindex,2,FALSE)/VLOOKUP(YEAR($F114),Preisindex,2,FALSE),2),0)))))</f>
        <v>0</v>
      </c>
      <c r="DA114" s="56">
        <f>IF(AND($E114&lt;&gt;0,$F114&gt;0,YEAR($F114)&lt;Preisindex!$A$6,YEAR(CU$4)&gt;=YEAR($F114),AND($K114&lt;&gt;"a",$K114&lt;&gt;"b",$K114&lt;&gt;"g",$K114&lt;&gt;"k")),1,IF(AND($E114&lt;&gt;0,$F114&gt;0,YEAR($F114)&lt;Preisindex!$A$6,YEAR(CU$4)&gt;=YEAR($F114),$K114="a"),ROUND(VLOOKUP(CZ$4,Preisindex,5,FALSE)/VLOOKUP(Preisindex!$A$6,Preisindex,5,FALSE),2),IF(AND($E114&lt;&gt;0,$F114&gt;0,YEAR($F114)&lt;Preisindex!$A$6,YEAR(CU$4)&gt;=YEAR($F114),$K114="b"),ROUND(VLOOKUP(CZ$4,Preisindex,3,FALSE)/VLOOKUP(Preisindex!$A$6,Preisindex,3,FALSE),2),IF(AND($E114&lt;&gt;0,$F114&gt;0,YEAR($F114)&lt;Preisindex!$A$6,YEAR(CU$4)&gt;=YEAR($F114),$K114="g"),ROUND(VLOOKUP(CZ$4,Preisindex,4,FALSE)/VLOOKUP(Preisindex!$A$6,Preisindex,4,FALSE),2),IF(AND($E114&lt;&gt;0,$F114&gt;0,YEAR($F114)&lt;Preisindex!$A$6,YEAR(CU$4)&gt;=YEAR($F114),$K114="k"),ROUND(VLOOKUP(CZ$4,Preisindex,2,FALSE)/VLOOKUP(Preisindex!$A$6,Preisindex,2,FALSE),2),0)))))</f>
        <v>0</v>
      </c>
      <c r="DB114" s="51">
        <f>IF(AND($E114&lt;&gt;0,$F114&gt;0,YEAR($F114)&lt;=CZ$4,YEAR($F114)&gt;=Preisindex!$A$6),ROUND($E114*CZ114,2),IF(AND($E114&lt;&gt;0,$F114&gt;0,YEAR($F114)&lt;=CZ$4,YEAR($F114)&lt;Preisindex!$A$6),ROUND($E114*DA114,2),0))</f>
        <v>0</v>
      </c>
      <c r="DC114" s="53">
        <f t="shared" si="393"/>
        <v>0</v>
      </c>
      <c r="DD114" s="51">
        <f t="shared" si="489"/>
        <v>0</v>
      </c>
      <c r="DE114" s="51">
        <f t="shared" si="468"/>
        <v>0</v>
      </c>
      <c r="DF114" s="51">
        <f t="shared" si="395"/>
        <v>0</v>
      </c>
      <c r="DG114" s="51">
        <f t="shared" si="469"/>
        <v>0</v>
      </c>
      <c r="DH114" s="51">
        <f t="shared" si="396"/>
        <v>0</v>
      </c>
      <c r="DI114" s="51">
        <f t="shared" si="470"/>
        <v>0</v>
      </c>
      <c r="DJ114" s="51">
        <f t="shared" si="397"/>
        <v>0</v>
      </c>
      <c r="DK114" s="51">
        <f t="shared" si="471"/>
        <v>0</v>
      </c>
      <c r="DL114" s="51">
        <f t="shared" si="398"/>
        <v>0</v>
      </c>
      <c r="DM114" s="51">
        <f t="shared" si="472"/>
        <v>0</v>
      </c>
      <c r="DN114" s="51">
        <f t="shared" si="399"/>
        <v>0</v>
      </c>
      <c r="DO114" s="54">
        <f t="shared" si="400"/>
        <v>0</v>
      </c>
      <c r="DP114" s="55">
        <f t="shared" si="401"/>
        <v>0</v>
      </c>
      <c r="DQ114" s="56">
        <f>IF(AND($E114&lt;&gt;0,$F114&gt;0,YEAR($F114)&gt;=Preisindex!$A$6,YEAR(DL$4)&gt;=YEAR($F114),AND($K114&lt;&gt;"a",$K114&lt;&gt;"b",$K114&lt;&gt;"g",$K114&lt;&gt;"k")),1,IF(AND($E114&lt;&gt;0,$F114&gt;0,YEAR($F114)&gt;=Preisindex!$A$6,YEAR(DL$4)&gt;=YEAR($F114),$K114="a"),ROUND(VLOOKUP(DQ$4,Preisindex,5,FALSE)/VLOOKUP(YEAR($F114),Preisindex,5,FALSE),2),IF(AND($E114&lt;&gt;0,$F114&gt;0,YEAR($F114)&gt;=Preisindex!$A$6,YEAR(DL$4)&gt;=YEAR($F114),$K114="b"),ROUND(VLOOKUP(DQ$4,Preisindex,3,FALSE)/VLOOKUP(YEAR($F114),Preisindex,3,FALSE),2),IF(AND($E114&lt;&gt;0,$F114&gt;0,YEAR($F114)&gt;=Preisindex!$A$6,YEAR(DL$4)&gt;=YEAR($F114),$K114="g"),ROUND(VLOOKUP(DQ$4,Preisindex,4,FALSE)/VLOOKUP(YEAR($F114),Preisindex,4,FALSE),2),IF(AND($E114&lt;&gt;0,$F114&gt;0,YEAR($F114)&gt;=Preisindex!$A$6,YEAR(DL$4)&gt;=YEAR($F114),$K114="k"),ROUND(VLOOKUP(DQ$4,Preisindex,2,FALSE)/VLOOKUP(YEAR($F114),Preisindex,2,FALSE),2),0)))))</f>
        <v>0</v>
      </c>
      <c r="DR114" s="56">
        <f>IF(AND($E114&lt;&gt;0,$F114&gt;0,YEAR($F114)&lt;Preisindex!$A$6,YEAR(DL$4)&gt;=YEAR($F114),AND($K114&lt;&gt;"a",$K114&lt;&gt;"b",$K114&lt;&gt;"g",$K114&lt;&gt;"k")),1,IF(AND($E114&lt;&gt;0,$F114&gt;0,YEAR($F114)&lt;Preisindex!$A$6,YEAR(DL$4)&gt;=YEAR($F114),$K114="a"),ROUND(VLOOKUP(DQ$4,Preisindex,5,FALSE)/VLOOKUP(Preisindex!$A$6,Preisindex,5,FALSE),2),IF(AND($E114&lt;&gt;0,$F114&gt;0,YEAR($F114)&lt;Preisindex!$A$6,YEAR(DL$4)&gt;=YEAR($F114),$K114="b"),ROUND(VLOOKUP(DQ$4,Preisindex,3,FALSE)/VLOOKUP(Preisindex!$A$6,Preisindex,3,FALSE),2),IF(AND($E114&lt;&gt;0,$F114&gt;0,YEAR($F114)&lt;Preisindex!$A$6,YEAR(DL$4)&gt;=YEAR($F114),$K114="g"),ROUND(VLOOKUP(DQ$4,Preisindex,4,FALSE)/VLOOKUP(Preisindex!$A$6,Preisindex,4,FALSE),2),IF(AND($E114&lt;&gt;0,$F114&gt;0,YEAR($F114)&lt;Preisindex!$A$6,YEAR(DL$4)&gt;=YEAR($F114),$K114="k"),ROUND(VLOOKUP(DQ$4,Preisindex,2,FALSE)/VLOOKUP(Preisindex!$A$6,Preisindex,2,FALSE),2),0)))))</f>
        <v>0</v>
      </c>
      <c r="DS114" s="51">
        <f>IF(AND($E114&lt;&gt;0,$F114&gt;0,YEAR($F114)&lt;=DQ$4,YEAR($F114)&gt;=Preisindex!$A$6),ROUND($E114*DQ114,2),IF(AND($E114&lt;&gt;0,$F114&gt;0,YEAR($F114)&lt;=DQ$4,YEAR($F114)&lt;Preisindex!$A$6),ROUND($E114*DR114,2),0))</f>
        <v>0</v>
      </c>
      <c r="DT114" s="53">
        <f t="shared" si="402"/>
        <v>0</v>
      </c>
      <c r="DU114" s="51">
        <f t="shared" si="489"/>
        <v>0</v>
      </c>
      <c r="DV114" s="51">
        <f t="shared" si="473"/>
        <v>0</v>
      </c>
      <c r="DW114" s="51">
        <f t="shared" si="403"/>
        <v>0</v>
      </c>
      <c r="DX114" s="51">
        <f t="shared" si="474"/>
        <v>0</v>
      </c>
      <c r="DY114" s="51">
        <f t="shared" si="404"/>
        <v>0</v>
      </c>
      <c r="DZ114" s="51">
        <f t="shared" si="475"/>
        <v>0</v>
      </c>
      <c r="EA114" s="51">
        <f t="shared" si="405"/>
        <v>0</v>
      </c>
      <c r="EB114" s="51">
        <f t="shared" si="476"/>
        <v>0</v>
      </c>
      <c r="EC114" s="51">
        <f t="shared" si="406"/>
        <v>0</v>
      </c>
      <c r="ED114" s="51">
        <f t="shared" si="477"/>
        <v>0</v>
      </c>
      <c r="EE114" s="51">
        <f t="shared" si="407"/>
        <v>0</v>
      </c>
      <c r="EF114" s="54">
        <f t="shared" si="408"/>
        <v>0</v>
      </c>
      <c r="EG114" s="55">
        <f t="shared" si="409"/>
        <v>0</v>
      </c>
      <c r="EH114" s="56">
        <f>IF(AND($E114&lt;&gt;0,$F114&gt;0,YEAR($F114)&gt;=Preisindex!$A$6,YEAR(EC$4)&gt;=YEAR($F114),AND($K114&lt;&gt;"a",$K114&lt;&gt;"b",$K114&lt;&gt;"g",$K114&lt;&gt;"k")),1,IF(AND($E114&lt;&gt;0,$F114&gt;0,YEAR($F114)&gt;=Preisindex!$A$6,YEAR(EC$4)&gt;=YEAR($F114),$K114="a"),ROUND(VLOOKUP(EH$4,Preisindex,5,FALSE)/VLOOKUP(YEAR($F114),Preisindex,5,FALSE),2),IF(AND($E114&lt;&gt;0,$F114&gt;0,YEAR($F114)&gt;=Preisindex!$A$6,YEAR(EC$4)&gt;=YEAR($F114),$K114="b"),ROUND(VLOOKUP(EH$4,Preisindex,3,FALSE)/VLOOKUP(YEAR($F114),Preisindex,3,FALSE),2),IF(AND($E114&lt;&gt;0,$F114&gt;0,YEAR($F114)&gt;=Preisindex!$A$6,YEAR(EC$4)&gt;=YEAR($F114),$K114="g"),ROUND(VLOOKUP(EH$4,Preisindex,4,FALSE)/VLOOKUP(YEAR($F114),Preisindex,4,FALSE),2),IF(AND($E114&lt;&gt;0,$F114&gt;0,YEAR($F114)&gt;=Preisindex!$A$6,YEAR(EC$4)&gt;=YEAR($F114),$K114="k"),ROUND(VLOOKUP(EH$4,Preisindex,2,FALSE)/VLOOKUP(YEAR($F114),Preisindex,2,FALSE),2),0)))))</f>
        <v>0</v>
      </c>
      <c r="EI114" s="56">
        <f>IF(AND($E114&lt;&gt;0,$F114&gt;0,YEAR($F114)&lt;Preisindex!$A$6,YEAR(EC$4)&gt;=YEAR($F114),AND($K114&lt;&gt;"a",$K114&lt;&gt;"b",$K114&lt;&gt;"g",$K114&lt;&gt;"k")),1,IF(AND($E114&lt;&gt;0,$F114&gt;0,YEAR($F114)&lt;Preisindex!$A$6,YEAR(EC$4)&gt;=YEAR($F114),$K114="a"),ROUND(VLOOKUP(EH$4,Preisindex,5,FALSE)/VLOOKUP(Preisindex!$A$6,Preisindex,5,FALSE),2),IF(AND($E114&lt;&gt;0,$F114&gt;0,YEAR($F114)&lt;Preisindex!$A$6,YEAR(EC$4)&gt;=YEAR($F114),$K114="b"),ROUND(VLOOKUP(EH$4,Preisindex,3,FALSE)/VLOOKUP(Preisindex!$A$6,Preisindex,3,FALSE),2),IF(AND($E114&lt;&gt;0,$F114&gt;0,YEAR($F114)&lt;Preisindex!$A$6,YEAR(EC$4)&gt;=YEAR($F114),$K114="g"),ROUND(VLOOKUP(EH$4,Preisindex,4,FALSE)/VLOOKUP(Preisindex!$A$6,Preisindex,4,FALSE),2),IF(AND($E114&lt;&gt;0,$F114&gt;0,YEAR($F114)&lt;Preisindex!$A$6,YEAR(EC$4)&gt;=YEAR($F114),$K114="k"),ROUND(VLOOKUP(EH$4,Preisindex,2,FALSE)/VLOOKUP(Preisindex!$A$6,Preisindex,2,FALSE),2),0)))))</f>
        <v>0</v>
      </c>
      <c r="EJ114" s="51">
        <f>IF(AND($E114&lt;&gt;0,$F114&gt;0,YEAR($F114)&lt;=EH$4,YEAR($F114)&gt;=Preisindex!$A$6),ROUND($E114*EH114,2),IF(AND($E114&lt;&gt;0,$F114&gt;0,YEAR($F114)&lt;=EH$4,YEAR($F114)&lt;Preisindex!$A$6),ROUND($E114*EI114,2),0))</f>
        <v>0</v>
      </c>
      <c r="EK114" s="53">
        <f t="shared" si="410"/>
        <v>0</v>
      </c>
      <c r="EL114" s="51">
        <f t="shared" si="489"/>
        <v>0</v>
      </c>
      <c r="EM114" s="51">
        <f t="shared" si="478"/>
        <v>0</v>
      </c>
      <c r="EN114" s="51">
        <f t="shared" si="411"/>
        <v>0</v>
      </c>
      <c r="EO114" s="51">
        <f t="shared" si="479"/>
        <v>0</v>
      </c>
      <c r="EP114" s="51">
        <f t="shared" si="412"/>
        <v>0</v>
      </c>
      <c r="EQ114" s="51">
        <f t="shared" si="480"/>
        <v>0</v>
      </c>
      <c r="ER114" s="51">
        <f t="shared" si="413"/>
        <v>0</v>
      </c>
      <c r="ES114" s="51">
        <f t="shared" si="481"/>
        <v>0</v>
      </c>
      <c r="ET114" s="51">
        <f t="shared" si="414"/>
        <v>0</v>
      </c>
      <c r="EU114" s="51">
        <f t="shared" si="482"/>
        <v>0</v>
      </c>
      <c r="EV114" s="51">
        <f t="shared" si="415"/>
        <v>0</v>
      </c>
      <c r="EW114" s="54">
        <f t="shared" si="416"/>
        <v>0</v>
      </c>
      <c r="EX114" s="55">
        <f t="shared" si="417"/>
        <v>0</v>
      </c>
      <c r="EY114" s="56">
        <f>IF(AND($E114&lt;&gt;0,$F114&gt;0,YEAR($F114)&gt;=Preisindex!$A$6,YEAR(ET$4)&gt;=YEAR($F114),AND($K114&lt;&gt;"a",$K114&lt;&gt;"b",$K114&lt;&gt;"g",$K114&lt;&gt;"k")),1,IF(AND($E114&lt;&gt;0,$F114&gt;0,YEAR($F114)&gt;=Preisindex!$A$6,YEAR(ET$4)&gt;=YEAR($F114),$K114="a"),ROUND(VLOOKUP(EY$4,Preisindex,5,FALSE)/VLOOKUP(YEAR($F114),Preisindex,5,FALSE),2),IF(AND($E114&lt;&gt;0,$F114&gt;0,YEAR($F114)&gt;=Preisindex!$A$6,YEAR(ET$4)&gt;=YEAR($F114),$K114="b"),ROUND(VLOOKUP(EY$4,Preisindex,3,FALSE)/VLOOKUP(YEAR($F114),Preisindex,3,FALSE),2),IF(AND($E114&lt;&gt;0,$F114&gt;0,YEAR($F114)&gt;=Preisindex!$A$6,YEAR(ET$4)&gt;=YEAR($F114),$K114="g"),ROUND(VLOOKUP(EY$4,Preisindex,4,FALSE)/VLOOKUP(YEAR($F114),Preisindex,4,FALSE),2),IF(AND($E114&lt;&gt;0,$F114&gt;0,YEAR($F114)&gt;=Preisindex!$A$6,YEAR(ET$4)&gt;=YEAR($F114),$K114="k"),ROUND(VLOOKUP(EY$4,Preisindex,2,FALSE)/VLOOKUP(YEAR($F114),Preisindex,2,FALSE),2),0)))))</f>
        <v>0</v>
      </c>
      <c r="EZ114" s="56">
        <f>IF(AND($E114&lt;&gt;0,$F114&gt;0,YEAR($F114)&lt;Preisindex!$A$6,YEAR(ET$4)&gt;=YEAR($F114),AND($K114&lt;&gt;"a",$K114&lt;&gt;"b",$K114&lt;&gt;"g",$K114&lt;&gt;"k")),1,IF(AND($E114&lt;&gt;0,$F114&gt;0,YEAR($F114)&lt;Preisindex!$A$6,YEAR(ET$4)&gt;=YEAR($F114),$K114="a"),ROUND(VLOOKUP(EY$4,Preisindex,5,FALSE)/VLOOKUP(Preisindex!$A$6,Preisindex,5,FALSE),2),IF(AND($E114&lt;&gt;0,$F114&gt;0,YEAR($F114)&lt;Preisindex!$A$6,YEAR(ET$4)&gt;=YEAR($F114),$K114="b"),ROUND(VLOOKUP(EY$4,Preisindex,3,FALSE)/VLOOKUP(Preisindex!$A$6,Preisindex,3,FALSE),2),IF(AND($E114&lt;&gt;0,$F114&gt;0,YEAR($F114)&lt;Preisindex!$A$6,YEAR(ET$4)&gt;=YEAR($F114),$K114="g"),ROUND(VLOOKUP(EY$4,Preisindex,4,FALSE)/VLOOKUP(Preisindex!$A$6,Preisindex,4,FALSE),2),IF(AND($E114&lt;&gt;0,$F114&gt;0,YEAR($F114)&lt;Preisindex!$A$6,YEAR(ET$4)&gt;=YEAR($F114),$K114="k"),ROUND(VLOOKUP(EY$4,Preisindex,2,FALSE)/VLOOKUP(Preisindex!$A$6,Preisindex,2,FALSE),2),0)))))</f>
        <v>0</v>
      </c>
      <c r="FA114" s="51">
        <f>IF(AND($E114&lt;&gt;0,$F114&gt;0,YEAR($F114)&lt;=EY$4,YEAR($F114)&gt;=Preisindex!$A$6),ROUND($E114*EY114,2),IF(AND($E114&lt;&gt;0,$F114&gt;0,YEAR($F114)&lt;=EY$4,YEAR($F114)&lt;Preisindex!$A$6),ROUND($E114*EZ114,2),0))</f>
        <v>0</v>
      </c>
      <c r="FB114" s="53">
        <f t="shared" si="418"/>
        <v>0</v>
      </c>
      <c r="FC114" s="51">
        <f t="shared" si="489"/>
        <v>0</v>
      </c>
      <c r="FD114" s="51">
        <f t="shared" si="483"/>
        <v>0</v>
      </c>
      <c r="FE114" s="51">
        <f t="shared" si="419"/>
        <v>0</v>
      </c>
      <c r="FF114" s="51">
        <f t="shared" si="484"/>
        <v>0</v>
      </c>
      <c r="FG114" s="51">
        <f t="shared" si="420"/>
        <v>0</v>
      </c>
      <c r="FH114" s="51">
        <f t="shared" si="485"/>
        <v>0</v>
      </c>
      <c r="FI114" s="51">
        <f t="shared" si="421"/>
        <v>0</v>
      </c>
      <c r="FJ114" s="51">
        <f t="shared" si="486"/>
        <v>0</v>
      </c>
      <c r="FK114" s="51">
        <f t="shared" si="422"/>
        <v>0</v>
      </c>
      <c r="FL114" s="51">
        <f t="shared" si="487"/>
        <v>0</v>
      </c>
      <c r="FM114" s="51">
        <f t="shared" si="423"/>
        <v>0</v>
      </c>
      <c r="FN114" s="54">
        <f t="shared" si="424"/>
        <v>0</v>
      </c>
      <c r="FO114" s="55">
        <f t="shared" si="425"/>
        <v>0</v>
      </c>
      <c r="FP114" s="56">
        <f>IF(AND($E114&lt;&gt;0,$F114&gt;0,YEAR($F114)&gt;=Preisindex!$A$6,YEAR(FK$4)&gt;=YEAR($F114),AND($K114&lt;&gt;"a",$K114&lt;&gt;"b",$K114&lt;&gt;"g",$K114&lt;&gt;"k")),1,IF(AND($E114&lt;&gt;0,$F114&gt;0,YEAR($F114)&gt;=Preisindex!$A$6,YEAR(FK$4)&gt;=YEAR($F114),$K114="a"),ROUND(VLOOKUP(FP$4,Preisindex,5,FALSE)/VLOOKUP(YEAR($F114),Preisindex,5,FALSE),2),IF(AND($E114&lt;&gt;0,$F114&gt;0,YEAR($F114)&gt;=Preisindex!$A$6,YEAR(FK$4)&gt;=YEAR($F114),$K114="b"),ROUND(VLOOKUP(FP$4,Preisindex,3,FALSE)/VLOOKUP(YEAR($F114),Preisindex,3,FALSE),2),IF(AND($E114&lt;&gt;0,$F114&gt;0,YEAR($F114)&gt;=Preisindex!$A$6,YEAR(FK$4)&gt;=YEAR($F114),$K114="g"),ROUND(VLOOKUP(FP$4,Preisindex,4,FALSE)/VLOOKUP(YEAR($F114),Preisindex,4,FALSE),2),IF(AND($E114&lt;&gt;0,$F114&gt;0,YEAR($F114)&gt;=Preisindex!$A$6,YEAR(FK$4)&gt;=YEAR($F114),$K114="k"),ROUND(VLOOKUP(FP$4,Preisindex,2,FALSE)/VLOOKUP(YEAR($F114),Preisindex,2,FALSE),2),0)))))</f>
        <v>0</v>
      </c>
      <c r="FQ114" s="56">
        <f>IF(AND($E114&lt;&gt;0,$F114&gt;0,YEAR($F114)&lt;Preisindex!$A$6,YEAR(FK$4)&gt;=YEAR($F114),AND($K114&lt;&gt;"a",$K114&lt;&gt;"b",$K114&lt;&gt;"g",$K114&lt;&gt;"k")),1,IF(AND($E114&lt;&gt;0,$F114&gt;0,YEAR($F114)&lt;Preisindex!$A$6,YEAR(FK$4)&gt;=YEAR($F114),$K114="a"),ROUND(VLOOKUP(FP$4,Preisindex,5,FALSE)/VLOOKUP(Preisindex!$A$6,Preisindex,5,FALSE),2),IF(AND($E114&lt;&gt;0,$F114&gt;0,YEAR($F114)&lt;Preisindex!$A$6,YEAR(FK$4)&gt;=YEAR($F114),$K114="b"),ROUND(VLOOKUP(FP$4,Preisindex,3,FALSE)/VLOOKUP(Preisindex!$A$6,Preisindex,3,FALSE),2),IF(AND($E114&lt;&gt;0,$F114&gt;0,YEAR($F114)&lt;Preisindex!$A$6,YEAR(FK$4)&gt;=YEAR($F114),$K114="g"),ROUND(VLOOKUP(FP$4,Preisindex,4,FALSE)/VLOOKUP(Preisindex!$A$6,Preisindex,4,FALSE),2),IF(AND($E114&lt;&gt;0,$F114&gt;0,YEAR($F114)&lt;Preisindex!$A$6,YEAR(FK$4)&gt;=YEAR($F114),$K114="k"),ROUND(VLOOKUP(FP$4,Preisindex,2,FALSE)/VLOOKUP(Preisindex!$A$6,Preisindex,2,FALSE),2),0)))))</f>
        <v>0</v>
      </c>
      <c r="FR114" s="51">
        <f>IF(AND($E114&lt;&gt;0,$F114&gt;0,YEAR($F114)&lt;=FP$4,YEAR($F114)&gt;=Preisindex!$A$6),ROUND($E114*FP114,2),IF(AND($E114&lt;&gt;0,$F114&gt;0,YEAR($F114)&lt;=FP$4,YEAR($F114)&lt;Preisindex!$A$6),ROUND($E114*FQ114,2),0))</f>
        <v>0</v>
      </c>
      <c r="FS114" s="53">
        <f t="shared" si="426"/>
        <v>0</v>
      </c>
    </row>
    <row r="115" spans="1:175" x14ac:dyDescent="0.3">
      <c r="A115" s="195"/>
      <c r="B115" s="196"/>
      <c r="C115" s="196"/>
      <c r="D115" s="188"/>
      <c r="E115" s="99"/>
      <c r="F115" s="97"/>
      <c r="G115" s="100"/>
      <c r="H115" s="620"/>
      <c r="I115" s="621"/>
      <c r="J115" s="194"/>
      <c r="K115" s="630"/>
      <c r="L115" s="49">
        <f t="shared" si="427"/>
        <v>0</v>
      </c>
      <c r="M115" s="50">
        <f t="shared" si="428"/>
        <v>0</v>
      </c>
      <c r="N115" s="51">
        <f t="shared" si="429"/>
        <v>0</v>
      </c>
      <c r="O115" s="51"/>
      <c r="P115" s="51">
        <f t="shared" si="430"/>
        <v>0</v>
      </c>
      <c r="Q115" s="52"/>
      <c r="R115" s="52"/>
      <c r="S115" s="52"/>
      <c r="T115" s="52"/>
      <c r="U115" s="52"/>
      <c r="V115" s="53">
        <f t="shared" si="431"/>
        <v>0</v>
      </c>
      <c r="W115" s="51">
        <f t="shared" si="432"/>
        <v>0</v>
      </c>
      <c r="X115" s="51">
        <f t="shared" si="433"/>
        <v>0</v>
      </c>
      <c r="Y115" s="51">
        <f t="shared" si="434"/>
        <v>0</v>
      </c>
      <c r="Z115" s="51">
        <f t="shared" si="435"/>
        <v>0</v>
      </c>
      <c r="AA115" s="51">
        <f t="shared" si="436"/>
        <v>0</v>
      </c>
      <c r="AB115" s="51">
        <f t="shared" si="437"/>
        <v>0</v>
      </c>
      <c r="AC115" s="51">
        <f t="shared" si="438"/>
        <v>0</v>
      </c>
      <c r="AD115" s="51">
        <f t="shared" si="439"/>
        <v>0</v>
      </c>
      <c r="AE115" s="51">
        <f t="shared" si="440"/>
        <v>0</v>
      </c>
      <c r="AF115" s="51">
        <f t="shared" si="441"/>
        <v>0</v>
      </c>
      <c r="AG115" s="51">
        <f t="shared" si="442"/>
        <v>0</v>
      </c>
      <c r="AH115" s="54">
        <f t="shared" si="443"/>
        <v>0</v>
      </c>
      <c r="AI115" s="55">
        <f t="shared" si="444"/>
        <v>0</v>
      </c>
      <c r="AJ115" s="56">
        <f>IF(AND($E115&lt;&gt;0,$F115&gt;0,YEAR($F115)&gt;=Preisindex!$A$6,YEAR(AE$4)&gt;=YEAR($F115),AND($K115&lt;&gt;"a",$K115&lt;&gt;"b",$K115&lt;&gt;"g",$K115&lt;&gt;"k")),1,IF(AND($E115&lt;&gt;0,$F115&gt;0,YEAR($F115)&gt;=Preisindex!$A$6,YEAR(AE$4)&gt;=YEAR($F115),$K115="a"),ROUND(VLOOKUP(AJ$4,Preisindex,5,FALSE)/VLOOKUP(YEAR($F115),Preisindex,5,FALSE),2),IF(AND($E115&lt;&gt;0,$F115&gt;0,YEAR($F115)&gt;=Preisindex!$A$6,YEAR(AE$4)&gt;=YEAR($F115),$K115="b"),ROUND(VLOOKUP(AJ$4,Preisindex,3,FALSE)/VLOOKUP(YEAR($F115),Preisindex,3,FALSE),2),IF(AND($E115&lt;&gt;0,$F115&gt;0,YEAR($F115)&gt;=Preisindex!$A$6,YEAR(AE$4)&gt;=YEAR($F115),$K115="g"),ROUND(VLOOKUP(AJ$4,Preisindex,4,FALSE)/VLOOKUP(YEAR($F115),Preisindex,4,FALSE),2),IF(AND($E115&lt;&gt;0,$F115&gt;0,YEAR($F115)&gt;=Preisindex!$A$6,YEAR(AE$4)&gt;=YEAR($F115),$K115="k"),ROUND(VLOOKUP(AJ$4,Preisindex,2,FALSE)/VLOOKUP(YEAR($F115),Preisindex,2,FALSE),2),0)))))</f>
        <v>0</v>
      </c>
      <c r="AK115" s="56">
        <f>IF(AND($E115&lt;&gt;0,$F115&gt;0,YEAR($F115)&lt;Preisindex!$A$6,YEAR(AE$4)&gt;=YEAR($F115),AND($K115&lt;&gt;"a",$K115&lt;&gt;"b",$K115&lt;&gt;"g",$K115&lt;&gt;"k")),1,IF(AND($E115&lt;&gt;0,$F115&gt;0,YEAR($F115)&lt;Preisindex!$A$6,YEAR(AE$4)&gt;=YEAR($F115),$K115="a"),ROUND(VLOOKUP(AJ$4,Preisindex,5,FALSE)/VLOOKUP(Preisindex!$A$6,Preisindex,5,FALSE),2),IF(AND($E115&lt;&gt;0,$F115&gt;0,YEAR($F115)&lt;Preisindex!$A$6,YEAR(AE$4)&gt;=YEAR($F115),$K115="b"),ROUND(VLOOKUP(AJ$4,Preisindex,3,FALSE)/VLOOKUP(Preisindex!$A$6,Preisindex,3,FALSE),2),IF(AND($E115&lt;&gt;0,$F115&gt;0,YEAR($F115)&lt;Preisindex!$A$6,YEAR(AE$4)&gt;=YEAR($F115),$K115="g"),ROUND(VLOOKUP(AJ$4,Preisindex,4,FALSE)/VLOOKUP(Preisindex!$A$6,Preisindex,4,FALSE),2),IF(AND($E115&lt;&gt;0,$F115&gt;0,YEAR($F115)&lt;Preisindex!$A$6,YEAR(AE$4)&gt;=YEAR($F115),$K115="k"),ROUND(VLOOKUP(AJ$4,Preisindex,2,FALSE)/VLOOKUP(Preisindex!$A$6,Preisindex,2,FALSE),2),0)))))</f>
        <v>0</v>
      </c>
      <c r="AL115" s="51">
        <f>IF(AND($E115&lt;&gt;0,$F115&gt;0,YEAR($F115)&lt;=AJ$4,YEAR($F115)&gt;=Preisindex!$A$6),ROUND($E115*AJ115,2),IF(AND($E115&lt;&gt;0,$F115&gt;0,YEAR($F115)&lt;=AJ$4,YEAR($F115)&lt;Preisindex!$A$6),ROUND($E115*AK115,2),0))</f>
        <v>0</v>
      </c>
      <c r="AM115" s="53">
        <f t="shared" si="445"/>
        <v>0</v>
      </c>
      <c r="AN115" s="51">
        <f t="shared" si="488"/>
        <v>0</v>
      </c>
      <c r="AO115" s="51">
        <f t="shared" si="448"/>
        <v>0</v>
      </c>
      <c r="AP115" s="51">
        <f t="shared" si="362"/>
        <v>0</v>
      </c>
      <c r="AQ115" s="51">
        <f t="shared" si="449"/>
        <v>0</v>
      </c>
      <c r="AR115" s="51">
        <f t="shared" si="363"/>
        <v>0</v>
      </c>
      <c r="AS115" s="51">
        <f t="shared" si="450"/>
        <v>0</v>
      </c>
      <c r="AT115" s="51">
        <f t="shared" si="364"/>
        <v>0</v>
      </c>
      <c r="AU115" s="51">
        <f t="shared" si="451"/>
        <v>0</v>
      </c>
      <c r="AV115" s="51">
        <f t="shared" si="365"/>
        <v>0</v>
      </c>
      <c r="AW115" s="51">
        <f t="shared" si="452"/>
        <v>0</v>
      </c>
      <c r="AX115" s="51">
        <f t="shared" si="366"/>
        <v>0</v>
      </c>
      <c r="AY115" s="54">
        <f t="shared" si="367"/>
        <v>0</v>
      </c>
      <c r="AZ115" s="55">
        <f t="shared" si="368"/>
        <v>0</v>
      </c>
      <c r="BA115" s="56">
        <f>IF(AND($E115&lt;&gt;0,$F115&gt;0,YEAR($F115)&gt;=Preisindex!$A$6,YEAR(AV$4)&gt;=YEAR($F115),AND($K115&lt;&gt;"a",$K115&lt;&gt;"b",$K115&lt;&gt;"g",$K115&lt;&gt;"k")),1,IF(AND($E115&lt;&gt;0,$F115&gt;0,YEAR($F115)&gt;=Preisindex!$A$6,YEAR(AV$4)&gt;=YEAR($F115),$K115="a"),ROUND(VLOOKUP(BA$4,Preisindex,5,FALSE)/VLOOKUP(YEAR($F115),Preisindex,5,FALSE),2),IF(AND($E115&lt;&gt;0,$F115&gt;0,YEAR($F115)&gt;=Preisindex!$A$6,YEAR(AV$4)&gt;=YEAR($F115),$K115="b"),ROUND(VLOOKUP(BA$4,Preisindex,3,FALSE)/VLOOKUP(YEAR($F115),Preisindex,3,FALSE),2),IF(AND($E115&lt;&gt;0,$F115&gt;0,YEAR($F115)&gt;=Preisindex!$A$6,YEAR(AV$4)&gt;=YEAR($F115),$K115="g"),ROUND(VLOOKUP(BA$4,Preisindex,4,FALSE)/VLOOKUP(YEAR($F115),Preisindex,4,FALSE),2),IF(AND($E115&lt;&gt;0,$F115&gt;0,YEAR($F115)&gt;=Preisindex!$A$6,YEAR(AV$4)&gt;=YEAR($F115),$K115="k"),ROUND(VLOOKUP(BA$4,Preisindex,2,FALSE)/VLOOKUP(YEAR($F115),Preisindex,2,FALSE),2),0)))))</f>
        <v>0</v>
      </c>
      <c r="BB115" s="56">
        <f>IF(AND($E115&lt;&gt;0,$F115&gt;0,YEAR($F115)&lt;Preisindex!$A$6,YEAR(AV$4)&gt;=YEAR($F115),AND($K115&lt;&gt;"a",$K115&lt;&gt;"b",$K115&lt;&gt;"g",$K115&lt;&gt;"k")),1,IF(AND($E115&lt;&gt;0,$F115&gt;0,YEAR($F115)&lt;Preisindex!$A$6,YEAR(AV$4)&gt;=YEAR($F115),$K115="a"),ROUND(VLOOKUP(BA$4,Preisindex,5,FALSE)/VLOOKUP(Preisindex!$A$6,Preisindex,5,FALSE),2),IF(AND($E115&lt;&gt;0,$F115&gt;0,YEAR($F115)&lt;Preisindex!$A$6,YEAR(AV$4)&gt;=YEAR($F115),$K115="b"),ROUND(VLOOKUP(BA$4,Preisindex,3,FALSE)/VLOOKUP(Preisindex!$A$6,Preisindex,3,FALSE),2),IF(AND($E115&lt;&gt;0,$F115&gt;0,YEAR($F115)&lt;Preisindex!$A$6,YEAR(AV$4)&gt;=YEAR($F115),$K115="g"),ROUND(VLOOKUP(BA$4,Preisindex,4,FALSE)/VLOOKUP(Preisindex!$A$6,Preisindex,4,FALSE),2),IF(AND($E115&lt;&gt;0,$F115&gt;0,YEAR($F115)&lt;Preisindex!$A$6,YEAR(AV$4)&gt;=YEAR($F115),$K115="k"),ROUND(VLOOKUP(BA$4,Preisindex,2,FALSE)/VLOOKUP(Preisindex!$A$6,Preisindex,2,FALSE),2),0)))))</f>
        <v>0</v>
      </c>
      <c r="BC115" s="51">
        <f>IF(AND($E115&lt;&gt;0,$F115&gt;0,YEAR($F115)&lt;=BA$4,YEAR($F115)&gt;=Preisindex!$A$6),ROUND($E115*BA115,2),IF(AND($E115&lt;&gt;0,$F115&gt;0,YEAR($F115)&lt;=BA$4,YEAR($F115)&lt;Preisindex!$A$6),ROUND($E115*BB115,2),0))</f>
        <v>0</v>
      </c>
      <c r="BD115" s="53">
        <f t="shared" si="369"/>
        <v>0</v>
      </c>
      <c r="BE115" s="51">
        <f t="shared" si="488"/>
        <v>0</v>
      </c>
      <c r="BF115" s="51">
        <f t="shared" si="453"/>
        <v>0</v>
      </c>
      <c r="BG115" s="51">
        <f t="shared" si="370"/>
        <v>0</v>
      </c>
      <c r="BH115" s="51">
        <f t="shared" si="454"/>
        <v>0</v>
      </c>
      <c r="BI115" s="51">
        <f t="shared" si="371"/>
        <v>0</v>
      </c>
      <c r="BJ115" s="51">
        <f t="shared" si="455"/>
        <v>0</v>
      </c>
      <c r="BK115" s="51">
        <f t="shared" si="372"/>
        <v>0</v>
      </c>
      <c r="BL115" s="51">
        <f t="shared" si="456"/>
        <v>0</v>
      </c>
      <c r="BM115" s="51">
        <f t="shared" si="373"/>
        <v>0</v>
      </c>
      <c r="BN115" s="51">
        <f t="shared" si="457"/>
        <v>0</v>
      </c>
      <c r="BO115" s="51">
        <f t="shared" si="374"/>
        <v>0</v>
      </c>
      <c r="BP115" s="54">
        <f t="shared" si="375"/>
        <v>0</v>
      </c>
      <c r="BQ115" s="55">
        <f t="shared" si="376"/>
        <v>0</v>
      </c>
      <c r="BR115" s="56">
        <f>IF(AND($E115&lt;&gt;0,$F115&gt;0,YEAR($F115)&gt;=Preisindex!$A$6,YEAR(BM$4)&gt;=YEAR($F115),AND($K115&lt;&gt;"a",$K115&lt;&gt;"b",$K115&lt;&gt;"g",$K115&lt;&gt;"k")),1,IF(AND($E115&lt;&gt;0,$F115&gt;0,YEAR($F115)&gt;=Preisindex!$A$6,YEAR(BM$4)&gt;=YEAR($F115),$K115="a"),ROUND(VLOOKUP(BR$4,Preisindex,5,FALSE)/VLOOKUP(YEAR($F115),Preisindex,5,FALSE),2),IF(AND($E115&lt;&gt;0,$F115&gt;0,YEAR($F115)&gt;=Preisindex!$A$6,YEAR(BM$4)&gt;=YEAR($F115),$K115="b"),ROUND(VLOOKUP(BR$4,Preisindex,3,FALSE)/VLOOKUP(YEAR($F115),Preisindex,3,FALSE),2),IF(AND($E115&lt;&gt;0,$F115&gt;0,YEAR($F115)&gt;=Preisindex!$A$6,YEAR(BM$4)&gt;=YEAR($F115),$K115="g"),ROUND(VLOOKUP(BR$4,Preisindex,4,FALSE)/VLOOKUP(YEAR($F115),Preisindex,4,FALSE),2),IF(AND($E115&lt;&gt;0,$F115&gt;0,YEAR($F115)&gt;=Preisindex!$A$6,YEAR(BM$4)&gt;=YEAR($F115),$K115="k"),ROUND(VLOOKUP(BR$4,Preisindex,2,FALSE)/VLOOKUP(YEAR($F115),Preisindex,2,FALSE),2),0)))))</f>
        <v>0</v>
      </c>
      <c r="BS115" s="56">
        <f>IF(AND($E115&lt;&gt;0,$F115&gt;0,YEAR($F115)&lt;Preisindex!$A$6,YEAR(BM$4)&gt;=YEAR($F115),AND($K115&lt;&gt;"a",$K115&lt;&gt;"b",$K115&lt;&gt;"g",$K115&lt;&gt;"k")),1,IF(AND($E115&lt;&gt;0,$F115&gt;0,YEAR($F115)&lt;Preisindex!$A$6,YEAR(BM$4)&gt;=YEAR($F115),$K115="a"),ROUND(VLOOKUP(BR$4,Preisindex,5,FALSE)/VLOOKUP(Preisindex!$A$6,Preisindex,5,FALSE),2),IF(AND($E115&lt;&gt;0,$F115&gt;0,YEAR($F115)&lt;Preisindex!$A$6,YEAR(BM$4)&gt;=YEAR($F115),$K115="b"),ROUND(VLOOKUP(BR$4,Preisindex,3,FALSE)/VLOOKUP(Preisindex!$A$6,Preisindex,3,FALSE),2),IF(AND($E115&lt;&gt;0,$F115&gt;0,YEAR($F115)&lt;Preisindex!$A$6,YEAR(BM$4)&gt;=YEAR($F115),$K115="g"),ROUND(VLOOKUP(BR$4,Preisindex,4,FALSE)/VLOOKUP(Preisindex!$A$6,Preisindex,4,FALSE),2),IF(AND($E115&lt;&gt;0,$F115&gt;0,YEAR($F115)&lt;Preisindex!$A$6,YEAR(BM$4)&gt;=YEAR($F115),$K115="k"),ROUND(VLOOKUP(BR$4,Preisindex,2,FALSE)/VLOOKUP(Preisindex!$A$6,Preisindex,2,FALSE),2),0)))))</f>
        <v>0</v>
      </c>
      <c r="BT115" s="51">
        <f>IF(AND($E115&lt;&gt;0,$F115&gt;0,YEAR($F115)&lt;=BR$4,YEAR($F115)&gt;=Preisindex!$A$6),ROUND($E115*BR115,2),IF(AND($E115&lt;&gt;0,$F115&gt;0,YEAR($F115)&lt;=BR$4,YEAR($F115)&lt;Preisindex!$A$6),ROUND($E115*BS115,2),0))</f>
        <v>0</v>
      </c>
      <c r="BU115" s="53">
        <f t="shared" si="377"/>
        <v>0</v>
      </c>
      <c r="BV115" s="51">
        <f t="shared" si="488"/>
        <v>0</v>
      </c>
      <c r="BW115" s="51">
        <f t="shared" si="458"/>
        <v>0</v>
      </c>
      <c r="BX115" s="51">
        <f t="shared" si="378"/>
        <v>0</v>
      </c>
      <c r="BY115" s="51">
        <f t="shared" si="459"/>
        <v>0</v>
      </c>
      <c r="BZ115" s="51">
        <f t="shared" si="379"/>
        <v>0</v>
      </c>
      <c r="CA115" s="51">
        <f t="shared" si="460"/>
        <v>0</v>
      </c>
      <c r="CB115" s="51">
        <f t="shared" si="380"/>
        <v>0</v>
      </c>
      <c r="CC115" s="51">
        <f t="shared" si="461"/>
        <v>0</v>
      </c>
      <c r="CD115" s="51">
        <f t="shared" si="381"/>
        <v>0</v>
      </c>
      <c r="CE115" s="51">
        <f t="shared" si="462"/>
        <v>0</v>
      </c>
      <c r="CF115" s="51">
        <f t="shared" si="382"/>
        <v>0</v>
      </c>
      <c r="CG115" s="54">
        <f t="shared" si="383"/>
        <v>0</v>
      </c>
      <c r="CH115" s="55">
        <f t="shared" si="384"/>
        <v>0</v>
      </c>
      <c r="CI115" s="56">
        <f>IF(AND($E115&lt;&gt;0,$F115&gt;0,YEAR($F115)&gt;=Preisindex!$A$6,YEAR(CD$4)&gt;=YEAR($F115),AND($K115&lt;&gt;"a",$K115&lt;&gt;"b",$K115&lt;&gt;"g",$K115&lt;&gt;"k")),1,IF(AND($E115&lt;&gt;0,$F115&gt;0,YEAR($F115)&gt;=Preisindex!$A$6,YEAR(CD$4)&gt;=YEAR($F115),$K115="a"),ROUND(VLOOKUP(CI$4,Preisindex,5,FALSE)/VLOOKUP(YEAR($F115),Preisindex,5,FALSE),2),IF(AND($E115&lt;&gt;0,$F115&gt;0,YEAR($F115)&gt;=Preisindex!$A$6,YEAR(CD$4)&gt;=YEAR($F115),$K115="b"),ROUND(VLOOKUP(CI$4,Preisindex,3,FALSE)/VLOOKUP(YEAR($F115),Preisindex,3,FALSE),2),IF(AND($E115&lt;&gt;0,$F115&gt;0,YEAR($F115)&gt;=Preisindex!$A$6,YEAR(CD$4)&gt;=YEAR($F115),$K115="g"),ROUND(VLOOKUP(CI$4,Preisindex,4,FALSE)/VLOOKUP(YEAR($F115),Preisindex,4,FALSE),2),IF(AND($E115&lt;&gt;0,$F115&gt;0,YEAR($F115)&gt;=Preisindex!$A$6,YEAR(CD$4)&gt;=YEAR($F115),$K115="k"),ROUND(VLOOKUP(CI$4,Preisindex,2,FALSE)/VLOOKUP(YEAR($F115),Preisindex,2,FALSE),2),0)))))</f>
        <v>0</v>
      </c>
      <c r="CJ115" s="56">
        <f>IF(AND($E115&lt;&gt;0,$F115&gt;0,YEAR($F115)&lt;Preisindex!$A$6,YEAR(CD$4)&gt;=YEAR($F115),AND($K115&lt;&gt;"a",$K115&lt;&gt;"b",$K115&lt;&gt;"g",$K115&lt;&gt;"k")),1,IF(AND($E115&lt;&gt;0,$F115&gt;0,YEAR($F115)&lt;Preisindex!$A$6,YEAR(CD$4)&gt;=YEAR($F115),$K115="a"),ROUND(VLOOKUP(CI$4,Preisindex,5,FALSE)/VLOOKUP(Preisindex!$A$6,Preisindex,5,FALSE),2),IF(AND($E115&lt;&gt;0,$F115&gt;0,YEAR($F115)&lt;Preisindex!$A$6,YEAR(CD$4)&gt;=YEAR($F115),$K115="b"),ROUND(VLOOKUP(CI$4,Preisindex,3,FALSE)/VLOOKUP(Preisindex!$A$6,Preisindex,3,FALSE),2),IF(AND($E115&lt;&gt;0,$F115&gt;0,YEAR($F115)&lt;Preisindex!$A$6,YEAR(CD$4)&gt;=YEAR($F115),$K115="g"),ROUND(VLOOKUP(CI$4,Preisindex,4,FALSE)/VLOOKUP(Preisindex!$A$6,Preisindex,4,FALSE),2),IF(AND($E115&lt;&gt;0,$F115&gt;0,YEAR($F115)&lt;Preisindex!$A$6,YEAR(CD$4)&gt;=YEAR($F115),$K115="k"),ROUND(VLOOKUP(CI$4,Preisindex,2,FALSE)/VLOOKUP(Preisindex!$A$6,Preisindex,2,FALSE),2),0)))))</f>
        <v>0</v>
      </c>
      <c r="CK115" s="51">
        <f>IF(AND($E115&lt;&gt;0,$F115&gt;0,YEAR($F115)&lt;=CI$4,YEAR($F115)&gt;=Preisindex!$A$6),ROUND($E115*CI115,2),IF(AND($E115&lt;&gt;0,$F115&gt;0,YEAR($F115)&lt;=CI$4,YEAR($F115)&lt;Preisindex!$A$6),ROUND($E115*CJ115,2),0))</f>
        <v>0</v>
      </c>
      <c r="CL115" s="53">
        <f t="shared" si="385"/>
        <v>0</v>
      </c>
      <c r="CM115" s="51">
        <f t="shared" si="488"/>
        <v>0</v>
      </c>
      <c r="CN115" s="51">
        <f t="shared" si="463"/>
        <v>0</v>
      </c>
      <c r="CO115" s="51">
        <f t="shared" si="386"/>
        <v>0</v>
      </c>
      <c r="CP115" s="51">
        <f t="shared" si="464"/>
        <v>0</v>
      </c>
      <c r="CQ115" s="51">
        <f t="shared" si="387"/>
        <v>0</v>
      </c>
      <c r="CR115" s="51">
        <f t="shared" si="465"/>
        <v>0</v>
      </c>
      <c r="CS115" s="51">
        <f t="shared" si="388"/>
        <v>0</v>
      </c>
      <c r="CT115" s="51">
        <f t="shared" si="466"/>
        <v>0</v>
      </c>
      <c r="CU115" s="51">
        <f t="shared" si="389"/>
        <v>0</v>
      </c>
      <c r="CV115" s="51">
        <f t="shared" si="467"/>
        <v>0</v>
      </c>
      <c r="CW115" s="51">
        <f t="shared" si="390"/>
        <v>0</v>
      </c>
      <c r="CX115" s="54">
        <f t="shared" si="391"/>
        <v>0</v>
      </c>
      <c r="CY115" s="55">
        <f t="shared" si="392"/>
        <v>0</v>
      </c>
      <c r="CZ115" s="56">
        <f>IF(AND($E115&lt;&gt;0,$F115&gt;0,YEAR($F115)&gt;=Preisindex!$A$6,YEAR(CU$4)&gt;=YEAR($F115),AND($K115&lt;&gt;"a",$K115&lt;&gt;"b",$K115&lt;&gt;"g",$K115&lt;&gt;"k")),1,IF(AND($E115&lt;&gt;0,$F115&gt;0,YEAR($F115)&gt;=Preisindex!$A$6,YEAR(CU$4)&gt;=YEAR($F115),$K115="a"),ROUND(VLOOKUP(CZ$4,Preisindex,5,FALSE)/VLOOKUP(YEAR($F115),Preisindex,5,FALSE),2),IF(AND($E115&lt;&gt;0,$F115&gt;0,YEAR($F115)&gt;=Preisindex!$A$6,YEAR(CU$4)&gt;=YEAR($F115),$K115="b"),ROUND(VLOOKUP(CZ$4,Preisindex,3,FALSE)/VLOOKUP(YEAR($F115),Preisindex,3,FALSE),2),IF(AND($E115&lt;&gt;0,$F115&gt;0,YEAR($F115)&gt;=Preisindex!$A$6,YEAR(CU$4)&gt;=YEAR($F115),$K115="g"),ROUND(VLOOKUP(CZ$4,Preisindex,4,FALSE)/VLOOKUP(YEAR($F115),Preisindex,4,FALSE),2),IF(AND($E115&lt;&gt;0,$F115&gt;0,YEAR($F115)&gt;=Preisindex!$A$6,YEAR(CU$4)&gt;=YEAR($F115),$K115="k"),ROUND(VLOOKUP(CZ$4,Preisindex,2,FALSE)/VLOOKUP(YEAR($F115),Preisindex,2,FALSE),2),0)))))</f>
        <v>0</v>
      </c>
      <c r="DA115" s="56">
        <f>IF(AND($E115&lt;&gt;0,$F115&gt;0,YEAR($F115)&lt;Preisindex!$A$6,YEAR(CU$4)&gt;=YEAR($F115),AND($K115&lt;&gt;"a",$K115&lt;&gt;"b",$K115&lt;&gt;"g",$K115&lt;&gt;"k")),1,IF(AND($E115&lt;&gt;0,$F115&gt;0,YEAR($F115)&lt;Preisindex!$A$6,YEAR(CU$4)&gt;=YEAR($F115),$K115="a"),ROUND(VLOOKUP(CZ$4,Preisindex,5,FALSE)/VLOOKUP(Preisindex!$A$6,Preisindex,5,FALSE),2),IF(AND($E115&lt;&gt;0,$F115&gt;0,YEAR($F115)&lt;Preisindex!$A$6,YEAR(CU$4)&gt;=YEAR($F115),$K115="b"),ROUND(VLOOKUP(CZ$4,Preisindex,3,FALSE)/VLOOKUP(Preisindex!$A$6,Preisindex,3,FALSE),2),IF(AND($E115&lt;&gt;0,$F115&gt;0,YEAR($F115)&lt;Preisindex!$A$6,YEAR(CU$4)&gt;=YEAR($F115),$K115="g"),ROUND(VLOOKUP(CZ$4,Preisindex,4,FALSE)/VLOOKUP(Preisindex!$A$6,Preisindex,4,FALSE),2),IF(AND($E115&lt;&gt;0,$F115&gt;0,YEAR($F115)&lt;Preisindex!$A$6,YEAR(CU$4)&gt;=YEAR($F115),$K115="k"),ROUND(VLOOKUP(CZ$4,Preisindex,2,FALSE)/VLOOKUP(Preisindex!$A$6,Preisindex,2,FALSE),2),0)))))</f>
        <v>0</v>
      </c>
      <c r="DB115" s="51">
        <f>IF(AND($E115&lt;&gt;0,$F115&gt;0,YEAR($F115)&lt;=CZ$4,YEAR($F115)&gt;=Preisindex!$A$6),ROUND($E115*CZ115,2),IF(AND($E115&lt;&gt;0,$F115&gt;0,YEAR($F115)&lt;=CZ$4,YEAR($F115)&lt;Preisindex!$A$6),ROUND($E115*DA115,2),0))</f>
        <v>0</v>
      </c>
      <c r="DC115" s="53">
        <f t="shared" si="393"/>
        <v>0</v>
      </c>
      <c r="DD115" s="51">
        <f t="shared" si="489"/>
        <v>0</v>
      </c>
      <c r="DE115" s="51">
        <f t="shared" si="468"/>
        <v>0</v>
      </c>
      <c r="DF115" s="51">
        <f t="shared" si="395"/>
        <v>0</v>
      </c>
      <c r="DG115" s="51">
        <f t="shared" si="469"/>
        <v>0</v>
      </c>
      <c r="DH115" s="51">
        <f t="shared" si="396"/>
        <v>0</v>
      </c>
      <c r="DI115" s="51">
        <f t="shared" si="470"/>
        <v>0</v>
      </c>
      <c r="DJ115" s="51">
        <f t="shared" si="397"/>
        <v>0</v>
      </c>
      <c r="DK115" s="51">
        <f t="shared" si="471"/>
        <v>0</v>
      </c>
      <c r="DL115" s="51">
        <f t="shared" si="398"/>
        <v>0</v>
      </c>
      <c r="DM115" s="51">
        <f t="shared" si="472"/>
        <v>0</v>
      </c>
      <c r="DN115" s="51">
        <f t="shared" si="399"/>
        <v>0</v>
      </c>
      <c r="DO115" s="54">
        <f t="shared" si="400"/>
        <v>0</v>
      </c>
      <c r="DP115" s="55">
        <f t="shared" si="401"/>
        <v>0</v>
      </c>
      <c r="DQ115" s="56">
        <f>IF(AND($E115&lt;&gt;0,$F115&gt;0,YEAR($F115)&gt;=Preisindex!$A$6,YEAR(DL$4)&gt;=YEAR($F115),AND($K115&lt;&gt;"a",$K115&lt;&gt;"b",$K115&lt;&gt;"g",$K115&lt;&gt;"k")),1,IF(AND($E115&lt;&gt;0,$F115&gt;0,YEAR($F115)&gt;=Preisindex!$A$6,YEAR(DL$4)&gt;=YEAR($F115),$K115="a"),ROUND(VLOOKUP(DQ$4,Preisindex,5,FALSE)/VLOOKUP(YEAR($F115),Preisindex,5,FALSE),2),IF(AND($E115&lt;&gt;0,$F115&gt;0,YEAR($F115)&gt;=Preisindex!$A$6,YEAR(DL$4)&gt;=YEAR($F115),$K115="b"),ROUND(VLOOKUP(DQ$4,Preisindex,3,FALSE)/VLOOKUP(YEAR($F115),Preisindex,3,FALSE),2),IF(AND($E115&lt;&gt;0,$F115&gt;0,YEAR($F115)&gt;=Preisindex!$A$6,YEAR(DL$4)&gt;=YEAR($F115),$K115="g"),ROUND(VLOOKUP(DQ$4,Preisindex,4,FALSE)/VLOOKUP(YEAR($F115),Preisindex,4,FALSE),2),IF(AND($E115&lt;&gt;0,$F115&gt;0,YEAR($F115)&gt;=Preisindex!$A$6,YEAR(DL$4)&gt;=YEAR($F115),$K115="k"),ROUND(VLOOKUP(DQ$4,Preisindex,2,FALSE)/VLOOKUP(YEAR($F115),Preisindex,2,FALSE),2),0)))))</f>
        <v>0</v>
      </c>
      <c r="DR115" s="56">
        <f>IF(AND($E115&lt;&gt;0,$F115&gt;0,YEAR($F115)&lt;Preisindex!$A$6,YEAR(DL$4)&gt;=YEAR($F115),AND($K115&lt;&gt;"a",$K115&lt;&gt;"b",$K115&lt;&gt;"g",$K115&lt;&gt;"k")),1,IF(AND($E115&lt;&gt;0,$F115&gt;0,YEAR($F115)&lt;Preisindex!$A$6,YEAR(DL$4)&gt;=YEAR($F115),$K115="a"),ROUND(VLOOKUP(DQ$4,Preisindex,5,FALSE)/VLOOKUP(Preisindex!$A$6,Preisindex,5,FALSE),2),IF(AND($E115&lt;&gt;0,$F115&gt;0,YEAR($F115)&lt;Preisindex!$A$6,YEAR(DL$4)&gt;=YEAR($F115),$K115="b"),ROUND(VLOOKUP(DQ$4,Preisindex,3,FALSE)/VLOOKUP(Preisindex!$A$6,Preisindex,3,FALSE),2),IF(AND($E115&lt;&gt;0,$F115&gt;0,YEAR($F115)&lt;Preisindex!$A$6,YEAR(DL$4)&gt;=YEAR($F115),$K115="g"),ROUND(VLOOKUP(DQ$4,Preisindex,4,FALSE)/VLOOKUP(Preisindex!$A$6,Preisindex,4,FALSE),2),IF(AND($E115&lt;&gt;0,$F115&gt;0,YEAR($F115)&lt;Preisindex!$A$6,YEAR(DL$4)&gt;=YEAR($F115),$K115="k"),ROUND(VLOOKUP(DQ$4,Preisindex,2,FALSE)/VLOOKUP(Preisindex!$A$6,Preisindex,2,FALSE),2),0)))))</f>
        <v>0</v>
      </c>
      <c r="DS115" s="51">
        <f>IF(AND($E115&lt;&gt;0,$F115&gt;0,YEAR($F115)&lt;=DQ$4,YEAR($F115)&gt;=Preisindex!$A$6),ROUND($E115*DQ115,2),IF(AND($E115&lt;&gt;0,$F115&gt;0,YEAR($F115)&lt;=DQ$4,YEAR($F115)&lt;Preisindex!$A$6),ROUND($E115*DR115,2),0))</f>
        <v>0</v>
      </c>
      <c r="DT115" s="53">
        <f t="shared" si="402"/>
        <v>0</v>
      </c>
      <c r="DU115" s="51">
        <f t="shared" si="489"/>
        <v>0</v>
      </c>
      <c r="DV115" s="51">
        <f t="shared" si="473"/>
        <v>0</v>
      </c>
      <c r="DW115" s="51">
        <f t="shared" si="403"/>
        <v>0</v>
      </c>
      <c r="DX115" s="51">
        <f t="shared" si="474"/>
        <v>0</v>
      </c>
      <c r="DY115" s="51">
        <f t="shared" si="404"/>
        <v>0</v>
      </c>
      <c r="DZ115" s="51">
        <f t="shared" si="475"/>
        <v>0</v>
      </c>
      <c r="EA115" s="51">
        <f t="shared" si="405"/>
        <v>0</v>
      </c>
      <c r="EB115" s="51">
        <f t="shared" si="476"/>
        <v>0</v>
      </c>
      <c r="EC115" s="51">
        <f t="shared" si="406"/>
        <v>0</v>
      </c>
      <c r="ED115" s="51">
        <f t="shared" si="477"/>
        <v>0</v>
      </c>
      <c r="EE115" s="51">
        <f t="shared" si="407"/>
        <v>0</v>
      </c>
      <c r="EF115" s="54">
        <f t="shared" si="408"/>
        <v>0</v>
      </c>
      <c r="EG115" s="55">
        <f t="shared" si="409"/>
        <v>0</v>
      </c>
      <c r="EH115" s="56">
        <f>IF(AND($E115&lt;&gt;0,$F115&gt;0,YEAR($F115)&gt;=Preisindex!$A$6,YEAR(EC$4)&gt;=YEAR($F115),AND($K115&lt;&gt;"a",$K115&lt;&gt;"b",$K115&lt;&gt;"g",$K115&lt;&gt;"k")),1,IF(AND($E115&lt;&gt;0,$F115&gt;0,YEAR($F115)&gt;=Preisindex!$A$6,YEAR(EC$4)&gt;=YEAR($F115),$K115="a"),ROUND(VLOOKUP(EH$4,Preisindex,5,FALSE)/VLOOKUP(YEAR($F115),Preisindex,5,FALSE),2),IF(AND($E115&lt;&gt;0,$F115&gt;0,YEAR($F115)&gt;=Preisindex!$A$6,YEAR(EC$4)&gt;=YEAR($F115),$K115="b"),ROUND(VLOOKUP(EH$4,Preisindex,3,FALSE)/VLOOKUP(YEAR($F115),Preisindex,3,FALSE),2),IF(AND($E115&lt;&gt;0,$F115&gt;0,YEAR($F115)&gt;=Preisindex!$A$6,YEAR(EC$4)&gt;=YEAR($F115),$K115="g"),ROUND(VLOOKUP(EH$4,Preisindex,4,FALSE)/VLOOKUP(YEAR($F115),Preisindex,4,FALSE),2),IF(AND($E115&lt;&gt;0,$F115&gt;0,YEAR($F115)&gt;=Preisindex!$A$6,YEAR(EC$4)&gt;=YEAR($F115),$K115="k"),ROUND(VLOOKUP(EH$4,Preisindex,2,FALSE)/VLOOKUP(YEAR($F115),Preisindex,2,FALSE),2),0)))))</f>
        <v>0</v>
      </c>
      <c r="EI115" s="56">
        <f>IF(AND($E115&lt;&gt;0,$F115&gt;0,YEAR($F115)&lt;Preisindex!$A$6,YEAR(EC$4)&gt;=YEAR($F115),AND($K115&lt;&gt;"a",$K115&lt;&gt;"b",$K115&lt;&gt;"g",$K115&lt;&gt;"k")),1,IF(AND($E115&lt;&gt;0,$F115&gt;0,YEAR($F115)&lt;Preisindex!$A$6,YEAR(EC$4)&gt;=YEAR($F115),$K115="a"),ROUND(VLOOKUP(EH$4,Preisindex,5,FALSE)/VLOOKUP(Preisindex!$A$6,Preisindex,5,FALSE),2),IF(AND($E115&lt;&gt;0,$F115&gt;0,YEAR($F115)&lt;Preisindex!$A$6,YEAR(EC$4)&gt;=YEAR($F115),$K115="b"),ROUND(VLOOKUP(EH$4,Preisindex,3,FALSE)/VLOOKUP(Preisindex!$A$6,Preisindex,3,FALSE),2),IF(AND($E115&lt;&gt;0,$F115&gt;0,YEAR($F115)&lt;Preisindex!$A$6,YEAR(EC$4)&gt;=YEAR($F115),$K115="g"),ROUND(VLOOKUP(EH$4,Preisindex,4,FALSE)/VLOOKUP(Preisindex!$A$6,Preisindex,4,FALSE),2),IF(AND($E115&lt;&gt;0,$F115&gt;0,YEAR($F115)&lt;Preisindex!$A$6,YEAR(EC$4)&gt;=YEAR($F115),$K115="k"),ROUND(VLOOKUP(EH$4,Preisindex,2,FALSE)/VLOOKUP(Preisindex!$A$6,Preisindex,2,FALSE),2),0)))))</f>
        <v>0</v>
      </c>
      <c r="EJ115" s="51">
        <f>IF(AND($E115&lt;&gt;0,$F115&gt;0,YEAR($F115)&lt;=EH$4,YEAR($F115)&gt;=Preisindex!$A$6),ROUND($E115*EH115,2),IF(AND($E115&lt;&gt;0,$F115&gt;0,YEAR($F115)&lt;=EH$4,YEAR($F115)&lt;Preisindex!$A$6),ROUND($E115*EI115,2),0))</f>
        <v>0</v>
      </c>
      <c r="EK115" s="53">
        <f t="shared" si="410"/>
        <v>0</v>
      </c>
      <c r="EL115" s="51">
        <f t="shared" si="489"/>
        <v>0</v>
      </c>
      <c r="EM115" s="51">
        <f t="shared" si="478"/>
        <v>0</v>
      </c>
      <c r="EN115" s="51">
        <f t="shared" si="411"/>
        <v>0</v>
      </c>
      <c r="EO115" s="51">
        <f t="shared" si="479"/>
        <v>0</v>
      </c>
      <c r="EP115" s="51">
        <f t="shared" si="412"/>
        <v>0</v>
      </c>
      <c r="EQ115" s="51">
        <f t="shared" si="480"/>
        <v>0</v>
      </c>
      <c r="ER115" s="51">
        <f t="shared" si="413"/>
        <v>0</v>
      </c>
      <c r="ES115" s="51">
        <f t="shared" si="481"/>
        <v>0</v>
      </c>
      <c r="ET115" s="51">
        <f t="shared" si="414"/>
        <v>0</v>
      </c>
      <c r="EU115" s="51">
        <f t="shared" si="482"/>
        <v>0</v>
      </c>
      <c r="EV115" s="51">
        <f t="shared" si="415"/>
        <v>0</v>
      </c>
      <c r="EW115" s="54">
        <f t="shared" si="416"/>
        <v>0</v>
      </c>
      <c r="EX115" s="55">
        <f t="shared" si="417"/>
        <v>0</v>
      </c>
      <c r="EY115" s="56">
        <f>IF(AND($E115&lt;&gt;0,$F115&gt;0,YEAR($F115)&gt;=Preisindex!$A$6,YEAR(ET$4)&gt;=YEAR($F115),AND($K115&lt;&gt;"a",$K115&lt;&gt;"b",$K115&lt;&gt;"g",$K115&lt;&gt;"k")),1,IF(AND($E115&lt;&gt;0,$F115&gt;0,YEAR($F115)&gt;=Preisindex!$A$6,YEAR(ET$4)&gt;=YEAR($F115),$K115="a"),ROUND(VLOOKUP(EY$4,Preisindex,5,FALSE)/VLOOKUP(YEAR($F115),Preisindex,5,FALSE),2),IF(AND($E115&lt;&gt;0,$F115&gt;0,YEAR($F115)&gt;=Preisindex!$A$6,YEAR(ET$4)&gt;=YEAR($F115),$K115="b"),ROUND(VLOOKUP(EY$4,Preisindex,3,FALSE)/VLOOKUP(YEAR($F115),Preisindex,3,FALSE),2),IF(AND($E115&lt;&gt;0,$F115&gt;0,YEAR($F115)&gt;=Preisindex!$A$6,YEAR(ET$4)&gt;=YEAR($F115),$K115="g"),ROUND(VLOOKUP(EY$4,Preisindex,4,FALSE)/VLOOKUP(YEAR($F115),Preisindex,4,FALSE),2),IF(AND($E115&lt;&gt;0,$F115&gt;0,YEAR($F115)&gt;=Preisindex!$A$6,YEAR(ET$4)&gt;=YEAR($F115),$K115="k"),ROUND(VLOOKUP(EY$4,Preisindex,2,FALSE)/VLOOKUP(YEAR($F115),Preisindex,2,FALSE),2),0)))))</f>
        <v>0</v>
      </c>
      <c r="EZ115" s="56">
        <f>IF(AND($E115&lt;&gt;0,$F115&gt;0,YEAR($F115)&lt;Preisindex!$A$6,YEAR(ET$4)&gt;=YEAR($F115),AND($K115&lt;&gt;"a",$K115&lt;&gt;"b",$K115&lt;&gt;"g",$K115&lt;&gt;"k")),1,IF(AND($E115&lt;&gt;0,$F115&gt;0,YEAR($F115)&lt;Preisindex!$A$6,YEAR(ET$4)&gt;=YEAR($F115),$K115="a"),ROUND(VLOOKUP(EY$4,Preisindex,5,FALSE)/VLOOKUP(Preisindex!$A$6,Preisindex,5,FALSE),2),IF(AND($E115&lt;&gt;0,$F115&gt;0,YEAR($F115)&lt;Preisindex!$A$6,YEAR(ET$4)&gt;=YEAR($F115),$K115="b"),ROUND(VLOOKUP(EY$4,Preisindex,3,FALSE)/VLOOKUP(Preisindex!$A$6,Preisindex,3,FALSE),2),IF(AND($E115&lt;&gt;0,$F115&gt;0,YEAR($F115)&lt;Preisindex!$A$6,YEAR(ET$4)&gt;=YEAR($F115),$K115="g"),ROUND(VLOOKUP(EY$4,Preisindex,4,FALSE)/VLOOKUP(Preisindex!$A$6,Preisindex,4,FALSE),2),IF(AND($E115&lt;&gt;0,$F115&gt;0,YEAR($F115)&lt;Preisindex!$A$6,YEAR(ET$4)&gt;=YEAR($F115),$K115="k"),ROUND(VLOOKUP(EY$4,Preisindex,2,FALSE)/VLOOKUP(Preisindex!$A$6,Preisindex,2,FALSE),2),0)))))</f>
        <v>0</v>
      </c>
      <c r="FA115" s="51">
        <f>IF(AND($E115&lt;&gt;0,$F115&gt;0,YEAR($F115)&lt;=EY$4,YEAR($F115)&gt;=Preisindex!$A$6),ROUND($E115*EY115,2),IF(AND($E115&lt;&gt;0,$F115&gt;0,YEAR($F115)&lt;=EY$4,YEAR($F115)&lt;Preisindex!$A$6),ROUND($E115*EZ115,2),0))</f>
        <v>0</v>
      </c>
      <c r="FB115" s="53">
        <f t="shared" si="418"/>
        <v>0</v>
      </c>
      <c r="FC115" s="51">
        <f t="shared" si="489"/>
        <v>0</v>
      </c>
      <c r="FD115" s="51">
        <f t="shared" si="483"/>
        <v>0</v>
      </c>
      <c r="FE115" s="51">
        <f t="shared" si="419"/>
        <v>0</v>
      </c>
      <c r="FF115" s="51">
        <f t="shared" si="484"/>
        <v>0</v>
      </c>
      <c r="FG115" s="51">
        <f t="shared" si="420"/>
        <v>0</v>
      </c>
      <c r="FH115" s="51">
        <f t="shared" si="485"/>
        <v>0</v>
      </c>
      <c r="FI115" s="51">
        <f t="shared" si="421"/>
        <v>0</v>
      </c>
      <c r="FJ115" s="51">
        <f t="shared" si="486"/>
        <v>0</v>
      </c>
      <c r="FK115" s="51">
        <f t="shared" si="422"/>
        <v>0</v>
      </c>
      <c r="FL115" s="51">
        <f t="shared" si="487"/>
        <v>0</v>
      </c>
      <c r="FM115" s="51">
        <f t="shared" si="423"/>
        <v>0</v>
      </c>
      <c r="FN115" s="54">
        <f t="shared" si="424"/>
        <v>0</v>
      </c>
      <c r="FO115" s="55">
        <f t="shared" si="425"/>
        <v>0</v>
      </c>
      <c r="FP115" s="56">
        <f>IF(AND($E115&lt;&gt;0,$F115&gt;0,YEAR($F115)&gt;=Preisindex!$A$6,YEAR(FK$4)&gt;=YEAR($F115),AND($K115&lt;&gt;"a",$K115&lt;&gt;"b",$K115&lt;&gt;"g",$K115&lt;&gt;"k")),1,IF(AND($E115&lt;&gt;0,$F115&gt;0,YEAR($F115)&gt;=Preisindex!$A$6,YEAR(FK$4)&gt;=YEAR($F115),$K115="a"),ROUND(VLOOKUP(FP$4,Preisindex,5,FALSE)/VLOOKUP(YEAR($F115),Preisindex,5,FALSE),2),IF(AND($E115&lt;&gt;0,$F115&gt;0,YEAR($F115)&gt;=Preisindex!$A$6,YEAR(FK$4)&gt;=YEAR($F115),$K115="b"),ROUND(VLOOKUP(FP$4,Preisindex,3,FALSE)/VLOOKUP(YEAR($F115),Preisindex,3,FALSE),2),IF(AND($E115&lt;&gt;0,$F115&gt;0,YEAR($F115)&gt;=Preisindex!$A$6,YEAR(FK$4)&gt;=YEAR($F115),$K115="g"),ROUND(VLOOKUP(FP$4,Preisindex,4,FALSE)/VLOOKUP(YEAR($F115),Preisindex,4,FALSE),2),IF(AND($E115&lt;&gt;0,$F115&gt;0,YEAR($F115)&gt;=Preisindex!$A$6,YEAR(FK$4)&gt;=YEAR($F115),$K115="k"),ROUND(VLOOKUP(FP$4,Preisindex,2,FALSE)/VLOOKUP(YEAR($F115),Preisindex,2,FALSE),2),0)))))</f>
        <v>0</v>
      </c>
      <c r="FQ115" s="56">
        <f>IF(AND($E115&lt;&gt;0,$F115&gt;0,YEAR($F115)&lt;Preisindex!$A$6,YEAR(FK$4)&gt;=YEAR($F115),AND($K115&lt;&gt;"a",$K115&lt;&gt;"b",$K115&lt;&gt;"g",$K115&lt;&gt;"k")),1,IF(AND($E115&lt;&gt;0,$F115&gt;0,YEAR($F115)&lt;Preisindex!$A$6,YEAR(FK$4)&gt;=YEAR($F115),$K115="a"),ROUND(VLOOKUP(FP$4,Preisindex,5,FALSE)/VLOOKUP(Preisindex!$A$6,Preisindex,5,FALSE),2),IF(AND($E115&lt;&gt;0,$F115&gt;0,YEAR($F115)&lt;Preisindex!$A$6,YEAR(FK$4)&gt;=YEAR($F115),$K115="b"),ROUND(VLOOKUP(FP$4,Preisindex,3,FALSE)/VLOOKUP(Preisindex!$A$6,Preisindex,3,FALSE),2),IF(AND($E115&lt;&gt;0,$F115&gt;0,YEAR($F115)&lt;Preisindex!$A$6,YEAR(FK$4)&gt;=YEAR($F115),$K115="g"),ROUND(VLOOKUP(FP$4,Preisindex,4,FALSE)/VLOOKUP(Preisindex!$A$6,Preisindex,4,FALSE),2),IF(AND($E115&lt;&gt;0,$F115&gt;0,YEAR($F115)&lt;Preisindex!$A$6,YEAR(FK$4)&gt;=YEAR($F115),$K115="k"),ROUND(VLOOKUP(FP$4,Preisindex,2,FALSE)/VLOOKUP(Preisindex!$A$6,Preisindex,2,FALSE),2),0)))))</f>
        <v>0</v>
      </c>
      <c r="FR115" s="51">
        <f>IF(AND($E115&lt;&gt;0,$F115&gt;0,YEAR($F115)&lt;=FP$4,YEAR($F115)&gt;=Preisindex!$A$6),ROUND($E115*FP115,2),IF(AND($E115&lt;&gt;0,$F115&gt;0,YEAR($F115)&lt;=FP$4,YEAR($F115)&lt;Preisindex!$A$6),ROUND($E115*FQ115,2),0))</f>
        <v>0</v>
      </c>
      <c r="FS115" s="53">
        <f t="shared" si="426"/>
        <v>0</v>
      </c>
    </row>
    <row r="116" spans="1:175" x14ac:dyDescent="0.3">
      <c r="A116" s="93"/>
      <c r="B116" s="196"/>
      <c r="C116" s="196"/>
      <c r="D116" s="188"/>
      <c r="E116" s="99"/>
      <c r="F116" s="97"/>
      <c r="G116" s="100"/>
      <c r="H116" s="620"/>
      <c r="I116" s="621"/>
      <c r="J116" s="194"/>
      <c r="K116" s="630"/>
      <c r="L116" s="49">
        <f t="shared" si="427"/>
        <v>0</v>
      </c>
      <c r="M116" s="50">
        <f t="shared" si="428"/>
        <v>0</v>
      </c>
      <c r="N116" s="51">
        <f t="shared" si="429"/>
        <v>0</v>
      </c>
      <c r="O116" s="51"/>
      <c r="P116" s="51">
        <f t="shared" si="430"/>
        <v>0</v>
      </c>
      <c r="Q116" s="52"/>
      <c r="R116" s="52"/>
      <c r="S116" s="52"/>
      <c r="T116" s="52"/>
      <c r="U116" s="52"/>
      <c r="V116" s="53">
        <f t="shared" si="431"/>
        <v>0</v>
      </c>
      <c r="W116" s="51">
        <f t="shared" si="432"/>
        <v>0</v>
      </c>
      <c r="X116" s="51">
        <f t="shared" si="433"/>
        <v>0</v>
      </c>
      <c r="Y116" s="51">
        <f t="shared" si="434"/>
        <v>0</v>
      </c>
      <c r="Z116" s="51">
        <f t="shared" si="435"/>
        <v>0</v>
      </c>
      <c r="AA116" s="51">
        <f t="shared" si="436"/>
        <v>0</v>
      </c>
      <c r="AB116" s="51">
        <f t="shared" si="437"/>
        <v>0</v>
      </c>
      <c r="AC116" s="51">
        <f t="shared" si="438"/>
        <v>0</v>
      </c>
      <c r="AD116" s="51">
        <f t="shared" si="439"/>
        <v>0</v>
      </c>
      <c r="AE116" s="51">
        <f t="shared" si="440"/>
        <v>0</v>
      </c>
      <c r="AF116" s="51">
        <f t="shared" si="441"/>
        <v>0</v>
      </c>
      <c r="AG116" s="51">
        <f t="shared" si="442"/>
        <v>0</v>
      </c>
      <c r="AH116" s="54">
        <f t="shared" si="443"/>
        <v>0</v>
      </c>
      <c r="AI116" s="55">
        <f t="shared" si="444"/>
        <v>0</v>
      </c>
      <c r="AJ116" s="56">
        <f>IF(AND($E116&lt;&gt;0,$F116&gt;0,YEAR($F116)&gt;=Preisindex!$A$6,YEAR(AE$4)&gt;=YEAR($F116),AND($K116&lt;&gt;"a",$K116&lt;&gt;"b",$K116&lt;&gt;"g",$K116&lt;&gt;"k")),1,IF(AND($E116&lt;&gt;0,$F116&gt;0,YEAR($F116)&gt;=Preisindex!$A$6,YEAR(AE$4)&gt;=YEAR($F116),$K116="a"),ROUND(VLOOKUP(AJ$4,Preisindex,5,FALSE)/VLOOKUP(YEAR($F116),Preisindex,5,FALSE),2),IF(AND($E116&lt;&gt;0,$F116&gt;0,YEAR($F116)&gt;=Preisindex!$A$6,YEAR(AE$4)&gt;=YEAR($F116),$K116="b"),ROUND(VLOOKUP(AJ$4,Preisindex,3,FALSE)/VLOOKUP(YEAR($F116),Preisindex,3,FALSE),2),IF(AND($E116&lt;&gt;0,$F116&gt;0,YEAR($F116)&gt;=Preisindex!$A$6,YEAR(AE$4)&gt;=YEAR($F116),$K116="g"),ROUND(VLOOKUP(AJ$4,Preisindex,4,FALSE)/VLOOKUP(YEAR($F116),Preisindex,4,FALSE),2),IF(AND($E116&lt;&gt;0,$F116&gt;0,YEAR($F116)&gt;=Preisindex!$A$6,YEAR(AE$4)&gt;=YEAR($F116),$K116="k"),ROUND(VLOOKUP(AJ$4,Preisindex,2,FALSE)/VLOOKUP(YEAR($F116),Preisindex,2,FALSE),2),0)))))</f>
        <v>0</v>
      </c>
      <c r="AK116" s="56">
        <f>IF(AND($E116&lt;&gt;0,$F116&gt;0,YEAR($F116)&lt;Preisindex!$A$6,YEAR(AE$4)&gt;=YEAR($F116),AND($K116&lt;&gt;"a",$K116&lt;&gt;"b",$K116&lt;&gt;"g",$K116&lt;&gt;"k")),1,IF(AND($E116&lt;&gt;0,$F116&gt;0,YEAR($F116)&lt;Preisindex!$A$6,YEAR(AE$4)&gt;=YEAR($F116),$K116="a"),ROUND(VLOOKUP(AJ$4,Preisindex,5,FALSE)/VLOOKUP(Preisindex!$A$6,Preisindex,5,FALSE),2),IF(AND($E116&lt;&gt;0,$F116&gt;0,YEAR($F116)&lt;Preisindex!$A$6,YEAR(AE$4)&gt;=YEAR($F116),$K116="b"),ROUND(VLOOKUP(AJ$4,Preisindex,3,FALSE)/VLOOKUP(Preisindex!$A$6,Preisindex,3,FALSE),2),IF(AND($E116&lt;&gt;0,$F116&gt;0,YEAR($F116)&lt;Preisindex!$A$6,YEAR(AE$4)&gt;=YEAR($F116),$K116="g"),ROUND(VLOOKUP(AJ$4,Preisindex,4,FALSE)/VLOOKUP(Preisindex!$A$6,Preisindex,4,FALSE),2),IF(AND($E116&lt;&gt;0,$F116&gt;0,YEAR($F116)&lt;Preisindex!$A$6,YEAR(AE$4)&gt;=YEAR($F116),$K116="k"),ROUND(VLOOKUP(AJ$4,Preisindex,2,FALSE)/VLOOKUP(Preisindex!$A$6,Preisindex,2,FALSE),2),0)))))</f>
        <v>0</v>
      </c>
      <c r="AL116" s="51">
        <f>IF(AND($E116&lt;&gt;0,$F116&gt;0,YEAR($F116)&lt;=AJ$4,YEAR($F116)&gt;=Preisindex!$A$6),ROUND($E116*AJ116,2),IF(AND($E116&lt;&gt;0,$F116&gt;0,YEAR($F116)&lt;=AJ$4,YEAR($F116)&lt;Preisindex!$A$6),ROUND($E116*AK116,2),0))</f>
        <v>0</v>
      </c>
      <c r="AM116" s="53">
        <f t="shared" si="445"/>
        <v>0</v>
      </c>
      <c r="AN116" s="51">
        <f t="shared" si="488"/>
        <v>0</v>
      </c>
      <c r="AO116" s="51">
        <f t="shared" si="448"/>
        <v>0</v>
      </c>
      <c r="AP116" s="51">
        <f t="shared" si="362"/>
        <v>0</v>
      </c>
      <c r="AQ116" s="51">
        <f t="shared" si="449"/>
        <v>0</v>
      </c>
      <c r="AR116" s="51">
        <f t="shared" si="363"/>
        <v>0</v>
      </c>
      <c r="AS116" s="51">
        <f t="shared" si="450"/>
        <v>0</v>
      </c>
      <c r="AT116" s="51">
        <f t="shared" si="364"/>
        <v>0</v>
      </c>
      <c r="AU116" s="51">
        <f t="shared" si="451"/>
        <v>0</v>
      </c>
      <c r="AV116" s="51">
        <f t="shared" si="365"/>
        <v>0</v>
      </c>
      <c r="AW116" s="51">
        <f t="shared" si="452"/>
        <v>0</v>
      </c>
      <c r="AX116" s="51">
        <f t="shared" si="366"/>
        <v>0</v>
      </c>
      <c r="AY116" s="54">
        <f t="shared" si="367"/>
        <v>0</v>
      </c>
      <c r="AZ116" s="55">
        <f t="shared" si="368"/>
        <v>0</v>
      </c>
      <c r="BA116" s="56">
        <f>IF(AND($E116&lt;&gt;0,$F116&gt;0,YEAR($F116)&gt;=Preisindex!$A$6,YEAR(AV$4)&gt;=YEAR($F116),AND($K116&lt;&gt;"a",$K116&lt;&gt;"b",$K116&lt;&gt;"g",$K116&lt;&gt;"k")),1,IF(AND($E116&lt;&gt;0,$F116&gt;0,YEAR($F116)&gt;=Preisindex!$A$6,YEAR(AV$4)&gt;=YEAR($F116),$K116="a"),ROUND(VLOOKUP(BA$4,Preisindex,5,FALSE)/VLOOKUP(YEAR($F116),Preisindex,5,FALSE),2),IF(AND($E116&lt;&gt;0,$F116&gt;0,YEAR($F116)&gt;=Preisindex!$A$6,YEAR(AV$4)&gt;=YEAR($F116),$K116="b"),ROUND(VLOOKUP(BA$4,Preisindex,3,FALSE)/VLOOKUP(YEAR($F116),Preisindex,3,FALSE),2),IF(AND($E116&lt;&gt;0,$F116&gt;0,YEAR($F116)&gt;=Preisindex!$A$6,YEAR(AV$4)&gt;=YEAR($F116),$K116="g"),ROUND(VLOOKUP(BA$4,Preisindex,4,FALSE)/VLOOKUP(YEAR($F116),Preisindex,4,FALSE),2),IF(AND($E116&lt;&gt;0,$F116&gt;0,YEAR($F116)&gt;=Preisindex!$A$6,YEAR(AV$4)&gt;=YEAR($F116),$K116="k"),ROUND(VLOOKUP(BA$4,Preisindex,2,FALSE)/VLOOKUP(YEAR($F116),Preisindex,2,FALSE),2),0)))))</f>
        <v>0</v>
      </c>
      <c r="BB116" s="56">
        <f>IF(AND($E116&lt;&gt;0,$F116&gt;0,YEAR($F116)&lt;Preisindex!$A$6,YEAR(AV$4)&gt;=YEAR($F116),AND($K116&lt;&gt;"a",$K116&lt;&gt;"b",$K116&lt;&gt;"g",$K116&lt;&gt;"k")),1,IF(AND($E116&lt;&gt;0,$F116&gt;0,YEAR($F116)&lt;Preisindex!$A$6,YEAR(AV$4)&gt;=YEAR($F116),$K116="a"),ROUND(VLOOKUP(BA$4,Preisindex,5,FALSE)/VLOOKUP(Preisindex!$A$6,Preisindex,5,FALSE),2),IF(AND($E116&lt;&gt;0,$F116&gt;0,YEAR($F116)&lt;Preisindex!$A$6,YEAR(AV$4)&gt;=YEAR($F116),$K116="b"),ROUND(VLOOKUP(BA$4,Preisindex,3,FALSE)/VLOOKUP(Preisindex!$A$6,Preisindex,3,FALSE),2),IF(AND($E116&lt;&gt;0,$F116&gt;0,YEAR($F116)&lt;Preisindex!$A$6,YEAR(AV$4)&gt;=YEAR($F116),$K116="g"),ROUND(VLOOKUP(BA$4,Preisindex,4,FALSE)/VLOOKUP(Preisindex!$A$6,Preisindex,4,FALSE),2),IF(AND($E116&lt;&gt;0,$F116&gt;0,YEAR($F116)&lt;Preisindex!$A$6,YEAR(AV$4)&gt;=YEAR($F116),$K116="k"),ROUND(VLOOKUP(BA$4,Preisindex,2,FALSE)/VLOOKUP(Preisindex!$A$6,Preisindex,2,FALSE),2),0)))))</f>
        <v>0</v>
      </c>
      <c r="BC116" s="51">
        <f>IF(AND($E116&lt;&gt;0,$F116&gt;0,YEAR($F116)&lt;=BA$4,YEAR($F116)&gt;=Preisindex!$A$6),ROUND($E116*BA116,2),IF(AND($E116&lt;&gt;0,$F116&gt;0,YEAR($F116)&lt;=BA$4,YEAR($F116)&lt;Preisindex!$A$6),ROUND($E116*BB116,2),0))</f>
        <v>0</v>
      </c>
      <c r="BD116" s="53">
        <f t="shared" si="369"/>
        <v>0</v>
      </c>
      <c r="BE116" s="51">
        <f t="shared" si="488"/>
        <v>0</v>
      </c>
      <c r="BF116" s="51">
        <f t="shared" si="453"/>
        <v>0</v>
      </c>
      <c r="BG116" s="51">
        <f t="shared" si="370"/>
        <v>0</v>
      </c>
      <c r="BH116" s="51">
        <f t="shared" si="454"/>
        <v>0</v>
      </c>
      <c r="BI116" s="51">
        <f t="shared" si="371"/>
        <v>0</v>
      </c>
      <c r="BJ116" s="51">
        <f t="shared" si="455"/>
        <v>0</v>
      </c>
      <c r="BK116" s="51">
        <f t="shared" si="372"/>
        <v>0</v>
      </c>
      <c r="BL116" s="51">
        <f t="shared" si="456"/>
        <v>0</v>
      </c>
      <c r="BM116" s="51">
        <f t="shared" si="373"/>
        <v>0</v>
      </c>
      <c r="BN116" s="51">
        <f t="shared" si="457"/>
        <v>0</v>
      </c>
      <c r="BO116" s="51">
        <f t="shared" si="374"/>
        <v>0</v>
      </c>
      <c r="BP116" s="54">
        <f t="shared" si="375"/>
        <v>0</v>
      </c>
      <c r="BQ116" s="55">
        <f t="shared" si="376"/>
        <v>0</v>
      </c>
      <c r="BR116" s="56">
        <f>IF(AND($E116&lt;&gt;0,$F116&gt;0,YEAR($F116)&gt;=Preisindex!$A$6,YEAR(BM$4)&gt;=YEAR($F116),AND($K116&lt;&gt;"a",$K116&lt;&gt;"b",$K116&lt;&gt;"g",$K116&lt;&gt;"k")),1,IF(AND($E116&lt;&gt;0,$F116&gt;0,YEAR($F116)&gt;=Preisindex!$A$6,YEAR(BM$4)&gt;=YEAR($F116),$K116="a"),ROUND(VLOOKUP(BR$4,Preisindex,5,FALSE)/VLOOKUP(YEAR($F116),Preisindex,5,FALSE),2),IF(AND($E116&lt;&gt;0,$F116&gt;0,YEAR($F116)&gt;=Preisindex!$A$6,YEAR(BM$4)&gt;=YEAR($F116),$K116="b"),ROUND(VLOOKUP(BR$4,Preisindex,3,FALSE)/VLOOKUP(YEAR($F116),Preisindex,3,FALSE),2),IF(AND($E116&lt;&gt;0,$F116&gt;0,YEAR($F116)&gt;=Preisindex!$A$6,YEAR(BM$4)&gt;=YEAR($F116),$K116="g"),ROUND(VLOOKUP(BR$4,Preisindex,4,FALSE)/VLOOKUP(YEAR($F116),Preisindex,4,FALSE),2),IF(AND($E116&lt;&gt;0,$F116&gt;0,YEAR($F116)&gt;=Preisindex!$A$6,YEAR(BM$4)&gt;=YEAR($F116),$K116="k"),ROUND(VLOOKUP(BR$4,Preisindex,2,FALSE)/VLOOKUP(YEAR($F116),Preisindex,2,FALSE),2),0)))))</f>
        <v>0</v>
      </c>
      <c r="BS116" s="56">
        <f>IF(AND($E116&lt;&gt;0,$F116&gt;0,YEAR($F116)&lt;Preisindex!$A$6,YEAR(BM$4)&gt;=YEAR($F116),AND($K116&lt;&gt;"a",$K116&lt;&gt;"b",$K116&lt;&gt;"g",$K116&lt;&gt;"k")),1,IF(AND($E116&lt;&gt;0,$F116&gt;0,YEAR($F116)&lt;Preisindex!$A$6,YEAR(BM$4)&gt;=YEAR($F116),$K116="a"),ROUND(VLOOKUP(BR$4,Preisindex,5,FALSE)/VLOOKUP(Preisindex!$A$6,Preisindex,5,FALSE),2),IF(AND($E116&lt;&gt;0,$F116&gt;0,YEAR($F116)&lt;Preisindex!$A$6,YEAR(BM$4)&gt;=YEAR($F116),$K116="b"),ROUND(VLOOKUP(BR$4,Preisindex,3,FALSE)/VLOOKUP(Preisindex!$A$6,Preisindex,3,FALSE),2),IF(AND($E116&lt;&gt;0,$F116&gt;0,YEAR($F116)&lt;Preisindex!$A$6,YEAR(BM$4)&gt;=YEAR($F116),$K116="g"),ROUND(VLOOKUP(BR$4,Preisindex,4,FALSE)/VLOOKUP(Preisindex!$A$6,Preisindex,4,FALSE),2),IF(AND($E116&lt;&gt;0,$F116&gt;0,YEAR($F116)&lt;Preisindex!$A$6,YEAR(BM$4)&gt;=YEAR($F116),$K116="k"),ROUND(VLOOKUP(BR$4,Preisindex,2,FALSE)/VLOOKUP(Preisindex!$A$6,Preisindex,2,FALSE),2),0)))))</f>
        <v>0</v>
      </c>
      <c r="BT116" s="51">
        <f>IF(AND($E116&lt;&gt;0,$F116&gt;0,YEAR($F116)&lt;=BR$4,YEAR($F116)&gt;=Preisindex!$A$6),ROUND($E116*BR116,2),IF(AND($E116&lt;&gt;0,$F116&gt;0,YEAR($F116)&lt;=BR$4,YEAR($F116)&lt;Preisindex!$A$6),ROUND($E116*BS116,2),0))</f>
        <v>0</v>
      </c>
      <c r="BU116" s="53">
        <f t="shared" si="377"/>
        <v>0</v>
      </c>
      <c r="BV116" s="51">
        <f t="shared" si="488"/>
        <v>0</v>
      </c>
      <c r="BW116" s="51">
        <f t="shared" si="458"/>
        <v>0</v>
      </c>
      <c r="BX116" s="51">
        <f t="shared" si="378"/>
        <v>0</v>
      </c>
      <c r="BY116" s="51">
        <f t="shared" si="459"/>
        <v>0</v>
      </c>
      <c r="BZ116" s="51">
        <f t="shared" si="379"/>
        <v>0</v>
      </c>
      <c r="CA116" s="51">
        <f t="shared" si="460"/>
        <v>0</v>
      </c>
      <c r="CB116" s="51">
        <f t="shared" si="380"/>
        <v>0</v>
      </c>
      <c r="CC116" s="51">
        <f t="shared" si="461"/>
        <v>0</v>
      </c>
      <c r="CD116" s="51">
        <f t="shared" si="381"/>
        <v>0</v>
      </c>
      <c r="CE116" s="51">
        <f t="shared" si="462"/>
        <v>0</v>
      </c>
      <c r="CF116" s="51">
        <f t="shared" si="382"/>
        <v>0</v>
      </c>
      <c r="CG116" s="54">
        <f t="shared" si="383"/>
        <v>0</v>
      </c>
      <c r="CH116" s="55">
        <f t="shared" si="384"/>
        <v>0</v>
      </c>
      <c r="CI116" s="56">
        <f>IF(AND($E116&lt;&gt;0,$F116&gt;0,YEAR($F116)&gt;=Preisindex!$A$6,YEAR(CD$4)&gt;=YEAR($F116),AND($K116&lt;&gt;"a",$K116&lt;&gt;"b",$K116&lt;&gt;"g",$K116&lt;&gt;"k")),1,IF(AND($E116&lt;&gt;0,$F116&gt;0,YEAR($F116)&gt;=Preisindex!$A$6,YEAR(CD$4)&gt;=YEAR($F116),$K116="a"),ROUND(VLOOKUP(CI$4,Preisindex,5,FALSE)/VLOOKUP(YEAR($F116),Preisindex,5,FALSE),2),IF(AND($E116&lt;&gt;0,$F116&gt;0,YEAR($F116)&gt;=Preisindex!$A$6,YEAR(CD$4)&gt;=YEAR($F116),$K116="b"),ROUND(VLOOKUP(CI$4,Preisindex,3,FALSE)/VLOOKUP(YEAR($F116),Preisindex,3,FALSE),2),IF(AND($E116&lt;&gt;0,$F116&gt;0,YEAR($F116)&gt;=Preisindex!$A$6,YEAR(CD$4)&gt;=YEAR($F116),$K116="g"),ROUND(VLOOKUP(CI$4,Preisindex,4,FALSE)/VLOOKUP(YEAR($F116),Preisindex,4,FALSE),2),IF(AND($E116&lt;&gt;0,$F116&gt;0,YEAR($F116)&gt;=Preisindex!$A$6,YEAR(CD$4)&gt;=YEAR($F116),$K116="k"),ROUND(VLOOKUP(CI$4,Preisindex,2,FALSE)/VLOOKUP(YEAR($F116),Preisindex,2,FALSE),2),0)))))</f>
        <v>0</v>
      </c>
      <c r="CJ116" s="56">
        <f>IF(AND($E116&lt;&gt;0,$F116&gt;0,YEAR($F116)&lt;Preisindex!$A$6,YEAR(CD$4)&gt;=YEAR($F116),AND($K116&lt;&gt;"a",$K116&lt;&gt;"b",$K116&lt;&gt;"g",$K116&lt;&gt;"k")),1,IF(AND($E116&lt;&gt;0,$F116&gt;0,YEAR($F116)&lt;Preisindex!$A$6,YEAR(CD$4)&gt;=YEAR($F116),$K116="a"),ROUND(VLOOKUP(CI$4,Preisindex,5,FALSE)/VLOOKUP(Preisindex!$A$6,Preisindex,5,FALSE),2),IF(AND($E116&lt;&gt;0,$F116&gt;0,YEAR($F116)&lt;Preisindex!$A$6,YEAR(CD$4)&gt;=YEAR($F116),$K116="b"),ROUND(VLOOKUP(CI$4,Preisindex,3,FALSE)/VLOOKUP(Preisindex!$A$6,Preisindex,3,FALSE),2),IF(AND($E116&lt;&gt;0,$F116&gt;0,YEAR($F116)&lt;Preisindex!$A$6,YEAR(CD$4)&gt;=YEAR($F116),$K116="g"),ROUND(VLOOKUP(CI$4,Preisindex,4,FALSE)/VLOOKUP(Preisindex!$A$6,Preisindex,4,FALSE),2),IF(AND($E116&lt;&gt;0,$F116&gt;0,YEAR($F116)&lt;Preisindex!$A$6,YEAR(CD$4)&gt;=YEAR($F116),$K116="k"),ROUND(VLOOKUP(CI$4,Preisindex,2,FALSE)/VLOOKUP(Preisindex!$A$6,Preisindex,2,FALSE),2),0)))))</f>
        <v>0</v>
      </c>
      <c r="CK116" s="51">
        <f>IF(AND($E116&lt;&gt;0,$F116&gt;0,YEAR($F116)&lt;=CI$4,YEAR($F116)&gt;=Preisindex!$A$6),ROUND($E116*CI116,2),IF(AND($E116&lt;&gt;0,$F116&gt;0,YEAR($F116)&lt;=CI$4,YEAR($F116)&lt;Preisindex!$A$6),ROUND($E116*CJ116,2),0))</f>
        <v>0</v>
      </c>
      <c r="CL116" s="53">
        <f t="shared" si="385"/>
        <v>0</v>
      </c>
      <c r="CM116" s="51">
        <f t="shared" si="488"/>
        <v>0</v>
      </c>
      <c r="CN116" s="51">
        <f t="shared" si="463"/>
        <v>0</v>
      </c>
      <c r="CO116" s="51">
        <f t="shared" si="386"/>
        <v>0</v>
      </c>
      <c r="CP116" s="51">
        <f t="shared" si="464"/>
        <v>0</v>
      </c>
      <c r="CQ116" s="51">
        <f t="shared" si="387"/>
        <v>0</v>
      </c>
      <c r="CR116" s="51">
        <f t="shared" si="465"/>
        <v>0</v>
      </c>
      <c r="CS116" s="51">
        <f t="shared" si="388"/>
        <v>0</v>
      </c>
      <c r="CT116" s="51">
        <f t="shared" si="466"/>
        <v>0</v>
      </c>
      <c r="CU116" s="51">
        <f t="shared" si="389"/>
        <v>0</v>
      </c>
      <c r="CV116" s="51">
        <f t="shared" si="467"/>
        <v>0</v>
      </c>
      <c r="CW116" s="51">
        <f t="shared" si="390"/>
        <v>0</v>
      </c>
      <c r="CX116" s="54">
        <f t="shared" si="391"/>
        <v>0</v>
      </c>
      <c r="CY116" s="55">
        <f t="shared" si="392"/>
        <v>0</v>
      </c>
      <c r="CZ116" s="56">
        <f>IF(AND($E116&lt;&gt;0,$F116&gt;0,YEAR($F116)&gt;=Preisindex!$A$6,YEAR(CU$4)&gt;=YEAR($F116),AND($K116&lt;&gt;"a",$K116&lt;&gt;"b",$K116&lt;&gt;"g",$K116&lt;&gt;"k")),1,IF(AND($E116&lt;&gt;0,$F116&gt;0,YEAR($F116)&gt;=Preisindex!$A$6,YEAR(CU$4)&gt;=YEAR($F116),$K116="a"),ROUND(VLOOKUP(CZ$4,Preisindex,5,FALSE)/VLOOKUP(YEAR($F116),Preisindex,5,FALSE),2),IF(AND($E116&lt;&gt;0,$F116&gt;0,YEAR($F116)&gt;=Preisindex!$A$6,YEAR(CU$4)&gt;=YEAR($F116),$K116="b"),ROUND(VLOOKUP(CZ$4,Preisindex,3,FALSE)/VLOOKUP(YEAR($F116),Preisindex,3,FALSE),2),IF(AND($E116&lt;&gt;0,$F116&gt;0,YEAR($F116)&gt;=Preisindex!$A$6,YEAR(CU$4)&gt;=YEAR($F116),$K116="g"),ROUND(VLOOKUP(CZ$4,Preisindex,4,FALSE)/VLOOKUP(YEAR($F116),Preisindex,4,FALSE),2),IF(AND($E116&lt;&gt;0,$F116&gt;0,YEAR($F116)&gt;=Preisindex!$A$6,YEAR(CU$4)&gt;=YEAR($F116),$K116="k"),ROUND(VLOOKUP(CZ$4,Preisindex,2,FALSE)/VLOOKUP(YEAR($F116),Preisindex,2,FALSE),2),0)))))</f>
        <v>0</v>
      </c>
      <c r="DA116" s="56">
        <f>IF(AND($E116&lt;&gt;0,$F116&gt;0,YEAR($F116)&lt;Preisindex!$A$6,YEAR(CU$4)&gt;=YEAR($F116),AND($K116&lt;&gt;"a",$K116&lt;&gt;"b",$K116&lt;&gt;"g",$K116&lt;&gt;"k")),1,IF(AND($E116&lt;&gt;0,$F116&gt;0,YEAR($F116)&lt;Preisindex!$A$6,YEAR(CU$4)&gt;=YEAR($F116),$K116="a"),ROUND(VLOOKUP(CZ$4,Preisindex,5,FALSE)/VLOOKUP(Preisindex!$A$6,Preisindex,5,FALSE),2),IF(AND($E116&lt;&gt;0,$F116&gt;0,YEAR($F116)&lt;Preisindex!$A$6,YEAR(CU$4)&gt;=YEAR($F116),$K116="b"),ROUND(VLOOKUP(CZ$4,Preisindex,3,FALSE)/VLOOKUP(Preisindex!$A$6,Preisindex,3,FALSE),2),IF(AND($E116&lt;&gt;0,$F116&gt;0,YEAR($F116)&lt;Preisindex!$A$6,YEAR(CU$4)&gt;=YEAR($F116),$K116="g"),ROUND(VLOOKUP(CZ$4,Preisindex,4,FALSE)/VLOOKUP(Preisindex!$A$6,Preisindex,4,FALSE),2),IF(AND($E116&lt;&gt;0,$F116&gt;0,YEAR($F116)&lt;Preisindex!$A$6,YEAR(CU$4)&gt;=YEAR($F116),$K116="k"),ROUND(VLOOKUP(CZ$4,Preisindex,2,FALSE)/VLOOKUP(Preisindex!$A$6,Preisindex,2,FALSE),2),0)))))</f>
        <v>0</v>
      </c>
      <c r="DB116" s="51">
        <f>IF(AND($E116&lt;&gt;0,$F116&gt;0,YEAR($F116)&lt;=CZ$4,YEAR($F116)&gt;=Preisindex!$A$6),ROUND($E116*CZ116,2),IF(AND($E116&lt;&gt;0,$F116&gt;0,YEAR($F116)&lt;=CZ$4,YEAR($F116)&lt;Preisindex!$A$6),ROUND($E116*DA116,2),0))</f>
        <v>0</v>
      </c>
      <c r="DC116" s="53">
        <f t="shared" si="393"/>
        <v>0</v>
      </c>
      <c r="DD116" s="51">
        <f t="shared" si="489"/>
        <v>0</v>
      </c>
      <c r="DE116" s="51">
        <f t="shared" si="468"/>
        <v>0</v>
      </c>
      <c r="DF116" s="51">
        <f t="shared" si="395"/>
        <v>0</v>
      </c>
      <c r="DG116" s="51">
        <f t="shared" si="469"/>
        <v>0</v>
      </c>
      <c r="DH116" s="51">
        <f t="shared" si="396"/>
        <v>0</v>
      </c>
      <c r="DI116" s="51">
        <f t="shared" si="470"/>
        <v>0</v>
      </c>
      <c r="DJ116" s="51">
        <f t="shared" si="397"/>
        <v>0</v>
      </c>
      <c r="DK116" s="51">
        <f t="shared" si="471"/>
        <v>0</v>
      </c>
      <c r="DL116" s="51">
        <f t="shared" si="398"/>
        <v>0</v>
      </c>
      <c r="DM116" s="51">
        <f t="shared" si="472"/>
        <v>0</v>
      </c>
      <c r="DN116" s="51">
        <f t="shared" si="399"/>
        <v>0</v>
      </c>
      <c r="DO116" s="54">
        <f t="shared" si="400"/>
        <v>0</v>
      </c>
      <c r="DP116" s="55">
        <f t="shared" si="401"/>
        <v>0</v>
      </c>
      <c r="DQ116" s="56">
        <f>IF(AND($E116&lt;&gt;0,$F116&gt;0,YEAR($F116)&gt;=Preisindex!$A$6,YEAR(DL$4)&gt;=YEAR($F116),AND($K116&lt;&gt;"a",$K116&lt;&gt;"b",$K116&lt;&gt;"g",$K116&lt;&gt;"k")),1,IF(AND($E116&lt;&gt;0,$F116&gt;0,YEAR($F116)&gt;=Preisindex!$A$6,YEAR(DL$4)&gt;=YEAR($F116),$K116="a"),ROUND(VLOOKUP(DQ$4,Preisindex,5,FALSE)/VLOOKUP(YEAR($F116),Preisindex,5,FALSE),2),IF(AND($E116&lt;&gt;0,$F116&gt;0,YEAR($F116)&gt;=Preisindex!$A$6,YEAR(DL$4)&gt;=YEAR($F116),$K116="b"),ROUND(VLOOKUP(DQ$4,Preisindex,3,FALSE)/VLOOKUP(YEAR($F116),Preisindex,3,FALSE),2),IF(AND($E116&lt;&gt;0,$F116&gt;0,YEAR($F116)&gt;=Preisindex!$A$6,YEAR(DL$4)&gt;=YEAR($F116),$K116="g"),ROUND(VLOOKUP(DQ$4,Preisindex,4,FALSE)/VLOOKUP(YEAR($F116),Preisindex,4,FALSE),2),IF(AND($E116&lt;&gt;0,$F116&gt;0,YEAR($F116)&gt;=Preisindex!$A$6,YEAR(DL$4)&gt;=YEAR($F116),$K116="k"),ROUND(VLOOKUP(DQ$4,Preisindex,2,FALSE)/VLOOKUP(YEAR($F116),Preisindex,2,FALSE),2),0)))))</f>
        <v>0</v>
      </c>
      <c r="DR116" s="56">
        <f>IF(AND($E116&lt;&gt;0,$F116&gt;0,YEAR($F116)&lt;Preisindex!$A$6,YEAR(DL$4)&gt;=YEAR($F116),AND($K116&lt;&gt;"a",$K116&lt;&gt;"b",$K116&lt;&gt;"g",$K116&lt;&gt;"k")),1,IF(AND($E116&lt;&gt;0,$F116&gt;0,YEAR($F116)&lt;Preisindex!$A$6,YEAR(DL$4)&gt;=YEAR($F116),$K116="a"),ROUND(VLOOKUP(DQ$4,Preisindex,5,FALSE)/VLOOKUP(Preisindex!$A$6,Preisindex,5,FALSE),2),IF(AND($E116&lt;&gt;0,$F116&gt;0,YEAR($F116)&lt;Preisindex!$A$6,YEAR(DL$4)&gt;=YEAR($F116),$K116="b"),ROUND(VLOOKUP(DQ$4,Preisindex,3,FALSE)/VLOOKUP(Preisindex!$A$6,Preisindex,3,FALSE),2),IF(AND($E116&lt;&gt;0,$F116&gt;0,YEAR($F116)&lt;Preisindex!$A$6,YEAR(DL$4)&gt;=YEAR($F116),$K116="g"),ROUND(VLOOKUP(DQ$4,Preisindex,4,FALSE)/VLOOKUP(Preisindex!$A$6,Preisindex,4,FALSE),2),IF(AND($E116&lt;&gt;0,$F116&gt;0,YEAR($F116)&lt;Preisindex!$A$6,YEAR(DL$4)&gt;=YEAR($F116),$K116="k"),ROUND(VLOOKUP(DQ$4,Preisindex,2,FALSE)/VLOOKUP(Preisindex!$A$6,Preisindex,2,FALSE),2),0)))))</f>
        <v>0</v>
      </c>
      <c r="DS116" s="51">
        <f>IF(AND($E116&lt;&gt;0,$F116&gt;0,YEAR($F116)&lt;=DQ$4,YEAR($F116)&gt;=Preisindex!$A$6),ROUND($E116*DQ116,2),IF(AND($E116&lt;&gt;0,$F116&gt;0,YEAR($F116)&lt;=DQ$4,YEAR($F116)&lt;Preisindex!$A$6),ROUND($E116*DR116,2),0))</f>
        <v>0</v>
      </c>
      <c r="DT116" s="53">
        <f t="shared" si="402"/>
        <v>0</v>
      </c>
      <c r="DU116" s="51">
        <f t="shared" si="489"/>
        <v>0</v>
      </c>
      <c r="DV116" s="51">
        <f t="shared" si="473"/>
        <v>0</v>
      </c>
      <c r="DW116" s="51">
        <f t="shared" si="403"/>
        <v>0</v>
      </c>
      <c r="DX116" s="51">
        <f t="shared" si="474"/>
        <v>0</v>
      </c>
      <c r="DY116" s="51">
        <f t="shared" si="404"/>
        <v>0</v>
      </c>
      <c r="DZ116" s="51">
        <f t="shared" si="475"/>
        <v>0</v>
      </c>
      <c r="EA116" s="51">
        <f t="shared" si="405"/>
        <v>0</v>
      </c>
      <c r="EB116" s="51">
        <f t="shared" si="476"/>
        <v>0</v>
      </c>
      <c r="EC116" s="51">
        <f t="shared" si="406"/>
        <v>0</v>
      </c>
      <c r="ED116" s="51">
        <f t="shared" si="477"/>
        <v>0</v>
      </c>
      <c r="EE116" s="51">
        <f t="shared" si="407"/>
        <v>0</v>
      </c>
      <c r="EF116" s="54">
        <f t="shared" si="408"/>
        <v>0</v>
      </c>
      <c r="EG116" s="55">
        <f t="shared" si="409"/>
        <v>0</v>
      </c>
      <c r="EH116" s="56">
        <f>IF(AND($E116&lt;&gt;0,$F116&gt;0,YEAR($F116)&gt;=Preisindex!$A$6,YEAR(EC$4)&gt;=YEAR($F116),AND($K116&lt;&gt;"a",$K116&lt;&gt;"b",$K116&lt;&gt;"g",$K116&lt;&gt;"k")),1,IF(AND($E116&lt;&gt;0,$F116&gt;0,YEAR($F116)&gt;=Preisindex!$A$6,YEAR(EC$4)&gt;=YEAR($F116),$K116="a"),ROUND(VLOOKUP(EH$4,Preisindex,5,FALSE)/VLOOKUP(YEAR($F116),Preisindex,5,FALSE),2),IF(AND($E116&lt;&gt;0,$F116&gt;0,YEAR($F116)&gt;=Preisindex!$A$6,YEAR(EC$4)&gt;=YEAR($F116),$K116="b"),ROUND(VLOOKUP(EH$4,Preisindex,3,FALSE)/VLOOKUP(YEAR($F116),Preisindex,3,FALSE),2),IF(AND($E116&lt;&gt;0,$F116&gt;0,YEAR($F116)&gt;=Preisindex!$A$6,YEAR(EC$4)&gt;=YEAR($F116),$K116="g"),ROUND(VLOOKUP(EH$4,Preisindex,4,FALSE)/VLOOKUP(YEAR($F116),Preisindex,4,FALSE),2),IF(AND($E116&lt;&gt;0,$F116&gt;0,YEAR($F116)&gt;=Preisindex!$A$6,YEAR(EC$4)&gt;=YEAR($F116),$K116="k"),ROUND(VLOOKUP(EH$4,Preisindex,2,FALSE)/VLOOKUP(YEAR($F116),Preisindex,2,FALSE),2),0)))))</f>
        <v>0</v>
      </c>
      <c r="EI116" s="56">
        <f>IF(AND($E116&lt;&gt;0,$F116&gt;0,YEAR($F116)&lt;Preisindex!$A$6,YEAR(EC$4)&gt;=YEAR($F116),AND($K116&lt;&gt;"a",$K116&lt;&gt;"b",$K116&lt;&gt;"g",$K116&lt;&gt;"k")),1,IF(AND($E116&lt;&gt;0,$F116&gt;0,YEAR($F116)&lt;Preisindex!$A$6,YEAR(EC$4)&gt;=YEAR($F116),$K116="a"),ROUND(VLOOKUP(EH$4,Preisindex,5,FALSE)/VLOOKUP(Preisindex!$A$6,Preisindex,5,FALSE),2),IF(AND($E116&lt;&gt;0,$F116&gt;0,YEAR($F116)&lt;Preisindex!$A$6,YEAR(EC$4)&gt;=YEAR($F116),$K116="b"),ROUND(VLOOKUP(EH$4,Preisindex,3,FALSE)/VLOOKUP(Preisindex!$A$6,Preisindex,3,FALSE),2),IF(AND($E116&lt;&gt;0,$F116&gt;0,YEAR($F116)&lt;Preisindex!$A$6,YEAR(EC$4)&gt;=YEAR($F116),$K116="g"),ROUND(VLOOKUP(EH$4,Preisindex,4,FALSE)/VLOOKUP(Preisindex!$A$6,Preisindex,4,FALSE),2),IF(AND($E116&lt;&gt;0,$F116&gt;0,YEAR($F116)&lt;Preisindex!$A$6,YEAR(EC$4)&gt;=YEAR($F116),$K116="k"),ROUND(VLOOKUP(EH$4,Preisindex,2,FALSE)/VLOOKUP(Preisindex!$A$6,Preisindex,2,FALSE),2),0)))))</f>
        <v>0</v>
      </c>
      <c r="EJ116" s="51">
        <f>IF(AND($E116&lt;&gt;0,$F116&gt;0,YEAR($F116)&lt;=EH$4,YEAR($F116)&gt;=Preisindex!$A$6),ROUND($E116*EH116,2),IF(AND($E116&lt;&gt;0,$F116&gt;0,YEAR($F116)&lt;=EH$4,YEAR($F116)&lt;Preisindex!$A$6),ROUND($E116*EI116,2),0))</f>
        <v>0</v>
      </c>
      <c r="EK116" s="53">
        <f t="shared" si="410"/>
        <v>0</v>
      </c>
      <c r="EL116" s="51">
        <f t="shared" si="489"/>
        <v>0</v>
      </c>
      <c r="EM116" s="51">
        <f t="shared" si="478"/>
        <v>0</v>
      </c>
      <c r="EN116" s="51">
        <f t="shared" si="411"/>
        <v>0</v>
      </c>
      <c r="EO116" s="51">
        <f t="shared" si="479"/>
        <v>0</v>
      </c>
      <c r="EP116" s="51">
        <f t="shared" si="412"/>
        <v>0</v>
      </c>
      <c r="EQ116" s="51">
        <f t="shared" si="480"/>
        <v>0</v>
      </c>
      <c r="ER116" s="51">
        <f t="shared" si="413"/>
        <v>0</v>
      </c>
      <c r="ES116" s="51">
        <f t="shared" si="481"/>
        <v>0</v>
      </c>
      <c r="ET116" s="51">
        <f t="shared" si="414"/>
        <v>0</v>
      </c>
      <c r="EU116" s="51">
        <f t="shared" si="482"/>
        <v>0</v>
      </c>
      <c r="EV116" s="51">
        <f t="shared" si="415"/>
        <v>0</v>
      </c>
      <c r="EW116" s="54">
        <f t="shared" si="416"/>
        <v>0</v>
      </c>
      <c r="EX116" s="55">
        <f t="shared" si="417"/>
        <v>0</v>
      </c>
      <c r="EY116" s="56">
        <f>IF(AND($E116&lt;&gt;0,$F116&gt;0,YEAR($F116)&gt;=Preisindex!$A$6,YEAR(ET$4)&gt;=YEAR($F116),AND($K116&lt;&gt;"a",$K116&lt;&gt;"b",$K116&lt;&gt;"g",$K116&lt;&gt;"k")),1,IF(AND($E116&lt;&gt;0,$F116&gt;0,YEAR($F116)&gt;=Preisindex!$A$6,YEAR(ET$4)&gt;=YEAR($F116),$K116="a"),ROUND(VLOOKUP(EY$4,Preisindex,5,FALSE)/VLOOKUP(YEAR($F116),Preisindex,5,FALSE),2),IF(AND($E116&lt;&gt;0,$F116&gt;0,YEAR($F116)&gt;=Preisindex!$A$6,YEAR(ET$4)&gt;=YEAR($F116),$K116="b"),ROUND(VLOOKUP(EY$4,Preisindex,3,FALSE)/VLOOKUP(YEAR($F116),Preisindex,3,FALSE),2),IF(AND($E116&lt;&gt;0,$F116&gt;0,YEAR($F116)&gt;=Preisindex!$A$6,YEAR(ET$4)&gt;=YEAR($F116),$K116="g"),ROUND(VLOOKUP(EY$4,Preisindex,4,FALSE)/VLOOKUP(YEAR($F116),Preisindex,4,FALSE),2),IF(AND($E116&lt;&gt;0,$F116&gt;0,YEAR($F116)&gt;=Preisindex!$A$6,YEAR(ET$4)&gt;=YEAR($F116),$K116="k"),ROUND(VLOOKUP(EY$4,Preisindex,2,FALSE)/VLOOKUP(YEAR($F116),Preisindex,2,FALSE),2),0)))))</f>
        <v>0</v>
      </c>
      <c r="EZ116" s="56">
        <f>IF(AND($E116&lt;&gt;0,$F116&gt;0,YEAR($F116)&lt;Preisindex!$A$6,YEAR(ET$4)&gt;=YEAR($F116),AND($K116&lt;&gt;"a",$K116&lt;&gt;"b",$K116&lt;&gt;"g",$K116&lt;&gt;"k")),1,IF(AND($E116&lt;&gt;0,$F116&gt;0,YEAR($F116)&lt;Preisindex!$A$6,YEAR(ET$4)&gt;=YEAR($F116),$K116="a"),ROUND(VLOOKUP(EY$4,Preisindex,5,FALSE)/VLOOKUP(Preisindex!$A$6,Preisindex,5,FALSE),2),IF(AND($E116&lt;&gt;0,$F116&gt;0,YEAR($F116)&lt;Preisindex!$A$6,YEAR(ET$4)&gt;=YEAR($F116),$K116="b"),ROUND(VLOOKUP(EY$4,Preisindex,3,FALSE)/VLOOKUP(Preisindex!$A$6,Preisindex,3,FALSE),2),IF(AND($E116&lt;&gt;0,$F116&gt;0,YEAR($F116)&lt;Preisindex!$A$6,YEAR(ET$4)&gt;=YEAR($F116),$K116="g"),ROUND(VLOOKUP(EY$4,Preisindex,4,FALSE)/VLOOKUP(Preisindex!$A$6,Preisindex,4,FALSE),2),IF(AND($E116&lt;&gt;0,$F116&gt;0,YEAR($F116)&lt;Preisindex!$A$6,YEAR(ET$4)&gt;=YEAR($F116),$K116="k"),ROUND(VLOOKUP(EY$4,Preisindex,2,FALSE)/VLOOKUP(Preisindex!$A$6,Preisindex,2,FALSE),2),0)))))</f>
        <v>0</v>
      </c>
      <c r="FA116" s="51">
        <f>IF(AND($E116&lt;&gt;0,$F116&gt;0,YEAR($F116)&lt;=EY$4,YEAR($F116)&gt;=Preisindex!$A$6),ROUND($E116*EY116,2),IF(AND($E116&lt;&gt;0,$F116&gt;0,YEAR($F116)&lt;=EY$4,YEAR($F116)&lt;Preisindex!$A$6),ROUND($E116*EZ116,2),0))</f>
        <v>0</v>
      </c>
      <c r="FB116" s="53">
        <f t="shared" si="418"/>
        <v>0</v>
      </c>
      <c r="FC116" s="51">
        <f t="shared" si="489"/>
        <v>0</v>
      </c>
      <c r="FD116" s="51">
        <f t="shared" si="483"/>
        <v>0</v>
      </c>
      <c r="FE116" s="51">
        <f t="shared" si="419"/>
        <v>0</v>
      </c>
      <c r="FF116" s="51">
        <f t="shared" si="484"/>
        <v>0</v>
      </c>
      <c r="FG116" s="51">
        <f t="shared" si="420"/>
        <v>0</v>
      </c>
      <c r="FH116" s="51">
        <f t="shared" si="485"/>
        <v>0</v>
      </c>
      <c r="FI116" s="51">
        <f t="shared" si="421"/>
        <v>0</v>
      </c>
      <c r="FJ116" s="51">
        <f t="shared" si="486"/>
        <v>0</v>
      </c>
      <c r="FK116" s="51">
        <f t="shared" si="422"/>
        <v>0</v>
      </c>
      <c r="FL116" s="51">
        <f t="shared" si="487"/>
        <v>0</v>
      </c>
      <c r="FM116" s="51">
        <f t="shared" si="423"/>
        <v>0</v>
      </c>
      <c r="FN116" s="54">
        <f t="shared" si="424"/>
        <v>0</v>
      </c>
      <c r="FO116" s="55">
        <f t="shared" si="425"/>
        <v>0</v>
      </c>
      <c r="FP116" s="56">
        <f>IF(AND($E116&lt;&gt;0,$F116&gt;0,YEAR($F116)&gt;=Preisindex!$A$6,YEAR(FK$4)&gt;=YEAR($F116),AND($K116&lt;&gt;"a",$K116&lt;&gt;"b",$K116&lt;&gt;"g",$K116&lt;&gt;"k")),1,IF(AND($E116&lt;&gt;0,$F116&gt;0,YEAR($F116)&gt;=Preisindex!$A$6,YEAR(FK$4)&gt;=YEAR($F116),$K116="a"),ROUND(VLOOKUP(FP$4,Preisindex,5,FALSE)/VLOOKUP(YEAR($F116),Preisindex,5,FALSE),2),IF(AND($E116&lt;&gt;0,$F116&gt;0,YEAR($F116)&gt;=Preisindex!$A$6,YEAR(FK$4)&gt;=YEAR($F116),$K116="b"),ROUND(VLOOKUP(FP$4,Preisindex,3,FALSE)/VLOOKUP(YEAR($F116),Preisindex,3,FALSE),2),IF(AND($E116&lt;&gt;0,$F116&gt;0,YEAR($F116)&gt;=Preisindex!$A$6,YEAR(FK$4)&gt;=YEAR($F116),$K116="g"),ROUND(VLOOKUP(FP$4,Preisindex,4,FALSE)/VLOOKUP(YEAR($F116),Preisindex,4,FALSE),2),IF(AND($E116&lt;&gt;0,$F116&gt;0,YEAR($F116)&gt;=Preisindex!$A$6,YEAR(FK$4)&gt;=YEAR($F116),$K116="k"),ROUND(VLOOKUP(FP$4,Preisindex,2,FALSE)/VLOOKUP(YEAR($F116),Preisindex,2,FALSE),2),0)))))</f>
        <v>0</v>
      </c>
      <c r="FQ116" s="56">
        <f>IF(AND($E116&lt;&gt;0,$F116&gt;0,YEAR($F116)&lt;Preisindex!$A$6,YEAR(FK$4)&gt;=YEAR($F116),AND($K116&lt;&gt;"a",$K116&lt;&gt;"b",$K116&lt;&gt;"g",$K116&lt;&gt;"k")),1,IF(AND($E116&lt;&gt;0,$F116&gt;0,YEAR($F116)&lt;Preisindex!$A$6,YEAR(FK$4)&gt;=YEAR($F116),$K116="a"),ROUND(VLOOKUP(FP$4,Preisindex,5,FALSE)/VLOOKUP(Preisindex!$A$6,Preisindex,5,FALSE),2),IF(AND($E116&lt;&gt;0,$F116&gt;0,YEAR($F116)&lt;Preisindex!$A$6,YEAR(FK$4)&gt;=YEAR($F116),$K116="b"),ROUND(VLOOKUP(FP$4,Preisindex,3,FALSE)/VLOOKUP(Preisindex!$A$6,Preisindex,3,FALSE),2),IF(AND($E116&lt;&gt;0,$F116&gt;0,YEAR($F116)&lt;Preisindex!$A$6,YEAR(FK$4)&gt;=YEAR($F116),$K116="g"),ROUND(VLOOKUP(FP$4,Preisindex,4,FALSE)/VLOOKUP(Preisindex!$A$6,Preisindex,4,FALSE),2),IF(AND($E116&lt;&gt;0,$F116&gt;0,YEAR($F116)&lt;Preisindex!$A$6,YEAR(FK$4)&gt;=YEAR($F116),$K116="k"),ROUND(VLOOKUP(FP$4,Preisindex,2,FALSE)/VLOOKUP(Preisindex!$A$6,Preisindex,2,FALSE),2),0)))))</f>
        <v>0</v>
      </c>
      <c r="FR116" s="51">
        <f>IF(AND($E116&lt;&gt;0,$F116&gt;0,YEAR($F116)&lt;=FP$4,YEAR($F116)&gt;=Preisindex!$A$6),ROUND($E116*FP116,2),IF(AND($E116&lt;&gt;0,$F116&gt;0,YEAR($F116)&lt;=FP$4,YEAR($F116)&lt;Preisindex!$A$6),ROUND($E116*FQ116,2),0))</f>
        <v>0</v>
      </c>
      <c r="FS116" s="53">
        <f t="shared" si="426"/>
        <v>0</v>
      </c>
    </row>
    <row r="117" spans="1:175" x14ac:dyDescent="0.3">
      <c r="A117" s="93"/>
      <c r="B117" s="94"/>
      <c r="C117" s="94"/>
      <c r="D117" s="95"/>
      <c r="E117" s="99"/>
      <c r="F117" s="97"/>
      <c r="G117" s="98"/>
      <c r="H117" s="620"/>
      <c r="I117" s="621"/>
      <c r="J117" s="194"/>
      <c r="K117" s="630"/>
      <c r="L117" s="49">
        <f t="shared" si="427"/>
        <v>0</v>
      </c>
      <c r="M117" s="50">
        <f t="shared" si="428"/>
        <v>0</v>
      </c>
      <c r="N117" s="51">
        <f t="shared" si="429"/>
        <v>0</v>
      </c>
      <c r="O117" s="51"/>
      <c r="P117" s="51">
        <f t="shared" si="430"/>
        <v>0</v>
      </c>
      <c r="Q117" s="52"/>
      <c r="R117" s="52"/>
      <c r="S117" s="52"/>
      <c r="T117" s="52"/>
      <c r="U117" s="52"/>
      <c r="V117" s="53">
        <f t="shared" si="431"/>
        <v>0</v>
      </c>
      <c r="W117" s="51">
        <f t="shared" si="432"/>
        <v>0</v>
      </c>
      <c r="X117" s="51">
        <f t="shared" si="433"/>
        <v>0</v>
      </c>
      <c r="Y117" s="51">
        <f t="shared" si="434"/>
        <v>0</v>
      </c>
      <c r="Z117" s="51">
        <f t="shared" si="435"/>
        <v>0</v>
      </c>
      <c r="AA117" s="51">
        <f t="shared" si="436"/>
        <v>0</v>
      </c>
      <c r="AB117" s="51">
        <f t="shared" si="437"/>
        <v>0</v>
      </c>
      <c r="AC117" s="51">
        <f t="shared" si="438"/>
        <v>0</v>
      </c>
      <c r="AD117" s="51">
        <f t="shared" si="439"/>
        <v>0</v>
      </c>
      <c r="AE117" s="51">
        <f t="shared" si="440"/>
        <v>0</v>
      </c>
      <c r="AF117" s="51">
        <f t="shared" si="441"/>
        <v>0</v>
      </c>
      <c r="AG117" s="51">
        <f t="shared" si="442"/>
        <v>0</v>
      </c>
      <c r="AH117" s="54">
        <f t="shared" si="443"/>
        <v>0</v>
      </c>
      <c r="AI117" s="55">
        <f t="shared" si="444"/>
        <v>0</v>
      </c>
      <c r="AJ117" s="56">
        <f>IF(AND($E117&lt;&gt;0,$F117&gt;0,YEAR($F117)&gt;=Preisindex!$A$6,YEAR(AE$4)&gt;=YEAR($F117),AND($K117&lt;&gt;"a",$K117&lt;&gt;"b",$K117&lt;&gt;"g",$K117&lt;&gt;"k")),1,IF(AND($E117&lt;&gt;0,$F117&gt;0,YEAR($F117)&gt;=Preisindex!$A$6,YEAR(AE$4)&gt;=YEAR($F117),$K117="a"),ROUND(VLOOKUP(AJ$4,Preisindex,5,FALSE)/VLOOKUP(YEAR($F117),Preisindex,5,FALSE),2),IF(AND($E117&lt;&gt;0,$F117&gt;0,YEAR($F117)&gt;=Preisindex!$A$6,YEAR(AE$4)&gt;=YEAR($F117),$K117="b"),ROUND(VLOOKUP(AJ$4,Preisindex,3,FALSE)/VLOOKUP(YEAR($F117),Preisindex,3,FALSE),2),IF(AND($E117&lt;&gt;0,$F117&gt;0,YEAR($F117)&gt;=Preisindex!$A$6,YEAR(AE$4)&gt;=YEAR($F117),$K117="g"),ROUND(VLOOKUP(AJ$4,Preisindex,4,FALSE)/VLOOKUP(YEAR($F117),Preisindex,4,FALSE),2),IF(AND($E117&lt;&gt;0,$F117&gt;0,YEAR($F117)&gt;=Preisindex!$A$6,YEAR(AE$4)&gt;=YEAR($F117),$K117="k"),ROUND(VLOOKUP(AJ$4,Preisindex,2,FALSE)/VLOOKUP(YEAR($F117),Preisindex,2,FALSE),2),0)))))</f>
        <v>0</v>
      </c>
      <c r="AK117" s="56">
        <f>IF(AND($E117&lt;&gt;0,$F117&gt;0,YEAR($F117)&lt;Preisindex!$A$6,YEAR(AE$4)&gt;=YEAR($F117),AND($K117&lt;&gt;"a",$K117&lt;&gt;"b",$K117&lt;&gt;"g",$K117&lt;&gt;"k")),1,IF(AND($E117&lt;&gt;0,$F117&gt;0,YEAR($F117)&lt;Preisindex!$A$6,YEAR(AE$4)&gt;=YEAR($F117),$K117="a"),ROUND(VLOOKUP(AJ$4,Preisindex,5,FALSE)/VLOOKUP(Preisindex!$A$6,Preisindex,5,FALSE),2),IF(AND($E117&lt;&gt;0,$F117&gt;0,YEAR($F117)&lt;Preisindex!$A$6,YEAR(AE$4)&gt;=YEAR($F117),$K117="b"),ROUND(VLOOKUP(AJ$4,Preisindex,3,FALSE)/VLOOKUP(Preisindex!$A$6,Preisindex,3,FALSE),2),IF(AND($E117&lt;&gt;0,$F117&gt;0,YEAR($F117)&lt;Preisindex!$A$6,YEAR(AE$4)&gt;=YEAR($F117),$K117="g"),ROUND(VLOOKUP(AJ$4,Preisindex,4,FALSE)/VLOOKUP(Preisindex!$A$6,Preisindex,4,FALSE),2),IF(AND($E117&lt;&gt;0,$F117&gt;0,YEAR($F117)&lt;Preisindex!$A$6,YEAR(AE$4)&gt;=YEAR($F117),$K117="k"),ROUND(VLOOKUP(AJ$4,Preisindex,2,FALSE)/VLOOKUP(Preisindex!$A$6,Preisindex,2,FALSE),2),0)))))</f>
        <v>0</v>
      </c>
      <c r="AL117" s="51">
        <f>IF(AND($E117&lt;&gt;0,$F117&gt;0,YEAR($F117)&lt;=AJ$4,YEAR($F117)&gt;=Preisindex!$A$6),ROUND($E117*AJ117,2),IF(AND($E117&lt;&gt;0,$F117&gt;0,YEAR($F117)&lt;=AJ$4,YEAR($F117)&lt;Preisindex!$A$6),ROUND($E117*AK117,2),0))</f>
        <v>0</v>
      </c>
      <c r="AM117" s="53">
        <f t="shared" si="445"/>
        <v>0</v>
      </c>
      <c r="AN117" s="51">
        <f t="shared" ref="AN117:CM132" si="490">IF(YEAR($F117)=AN$4,$E117,0)</f>
        <v>0</v>
      </c>
      <c r="AO117" s="51">
        <f t="shared" si="448"/>
        <v>0</v>
      </c>
      <c r="AP117" s="51">
        <f t="shared" si="362"/>
        <v>0</v>
      </c>
      <c r="AQ117" s="51">
        <f t="shared" si="449"/>
        <v>0</v>
      </c>
      <c r="AR117" s="51">
        <f t="shared" si="363"/>
        <v>0</v>
      </c>
      <c r="AS117" s="51">
        <f t="shared" si="450"/>
        <v>0</v>
      </c>
      <c r="AT117" s="51">
        <f t="shared" si="364"/>
        <v>0</v>
      </c>
      <c r="AU117" s="51">
        <f t="shared" si="451"/>
        <v>0</v>
      </c>
      <c r="AV117" s="51">
        <f t="shared" si="365"/>
        <v>0</v>
      </c>
      <c r="AW117" s="51">
        <f t="shared" si="452"/>
        <v>0</v>
      </c>
      <c r="AX117" s="51">
        <f t="shared" si="366"/>
        <v>0</v>
      </c>
      <c r="AY117" s="54">
        <f t="shared" si="367"/>
        <v>0</v>
      </c>
      <c r="AZ117" s="55">
        <f t="shared" si="368"/>
        <v>0</v>
      </c>
      <c r="BA117" s="56">
        <f>IF(AND($E117&lt;&gt;0,$F117&gt;0,YEAR($F117)&gt;=Preisindex!$A$6,YEAR(AV$4)&gt;=YEAR($F117),AND($K117&lt;&gt;"a",$K117&lt;&gt;"b",$K117&lt;&gt;"g",$K117&lt;&gt;"k")),1,IF(AND($E117&lt;&gt;0,$F117&gt;0,YEAR($F117)&gt;=Preisindex!$A$6,YEAR(AV$4)&gt;=YEAR($F117),$K117="a"),ROUND(VLOOKUP(BA$4,Preisindex,5,FALSE)/VLOOKUP(YEAR($F117),Preisindex,5,FALSE),2),IF(AND($E117&lt;&gt;0,$F117&gt;0,YEAR($F117)&gt;=Preisindex!$A$6,YEAR(AV$4)&gt;=YEAR($F117),$K117="b"),ROUND(VLOOKUP(BA$4,Preisindex,3,FALSE)/VLOOKUP(YEAR($F117),Preisindex,3,FALSE),2),IF(AND($E117&lt;&gt;0,$F117&gt;0,YEAR($F117)&gt;=Preisindex!$A$6,YEAR(AV$4)&gt;=YEAR($F117),$K117="g"),ROUND(VLOOKUP(BA$4,Preisindex,4,FALSE)/VLOOKUP(YEAR($F117),Preisindex,4,FALSE),2),IF(AND($E117&lt;&gt;0,$F117&gt;0,YEAR($F117)&gt;=Preisindex!$A$6,YEAR(AV$4)&gt;=YEAR($F117),$K117="k"),ROUND(VLOOKUP(BA$4,Preisindex,2,FALSE)/VLOOKUP(YEAR($F117),Preisindex,2,FALSE),2),0)))))</f>
        <v>0</v>
      </c>
      <c r="BB117" s="56">
        <f>IF(AND($E117&lt;&gt;0,$F117&gt;0,YEAR($F117)&lt;Preisindex!$A$6,YEAR(AV$4)&gt;=YEAR($F117),AND($K117&lt;&gt;"a",$K117&lt;&gt;"b",$K117&lt;&gt;"g",$K117&lt;&gt;"k")),1,IF(AND($E117&lt;&gt;0,$F117&gt;0,YEAR($F117)&lt;Preisindex!$A$6,YEAR(AV$4)&gt;=YEAR($F117),$K117="a"),ROUND(VLOOKUP(BA$4,Preisindex,5,FALSE)/VLOOKUP(Preisindex!$A$6,Preisindex,5,FALSE),2),IF(AND($E117&lt;&gt;0,$F117&gt;0,YEAR($F117)&lt;Preisindex!$A$6,YEAR(AV$4)&gt;=YEAR($F117),$K117="b"),ROUND(VLOOKUP(BA$4,Preisindex,3,FALSE)/VLOOKUP(Preisindex!$A$6,Preisindex,3,FALSE),2),IF(AND($E117&lt;&gt;0,$F117&gt;0,YEAR($F117)&lt;Preisindex!$A$6,YEAR(AV$4)&gt;=YEAR($F117),$K117="g"),ROUND(VLOOKUP(BA$4,Preisindex,4,FALSE)/VLOOKUP(Preisindex!$A$6,Preisindex,4,FALSE),2),IF(AND($E117&lt;&gt;0,$F117&gt;0,YEAR($F117)&lt;Preisindex!$A$6,YEAR(AV$4)&gt;=YEAR($F117),$K117="k"),ROUND(VLOOKUP(BA$4,Preisindex,2,FALSE)/VLOOKUP(Preisindex!$A$6,Preisindex,2,FALSE),2),0)))))</f>
        <v>0</v>
      </c>
      <c r="BC117" s="51">
        <f>IF(AND($E117&lt;&gt;0,$F117&gt;0,YEAR($F117)&lt;=BA$4,YEAR($F117)&gt;=Preisindex!$A$6),ROUND($E117*BA117,2),IF(AND($E117&lt;&gt;0,$F117&gt;0,YEAR($F117)&lt;=BA$4,YEAR($F117)&lt;Preisindex!$A$6),ROUND($E117*BB117,2),0))</f>
        <v>0</v>
      </c>
      <c r="BD117" s="53">
        <f t="shared" si="369"/>
        <v>0</v>
      </c>
      <c r="BE117" s="51">
        <f t="shared" si="490"/>
        <v>0</v>
      </c>
      <c r="BF117" s="51">
        <f t="shared" si="453"/>
        <v>0</v>
      </c>
      <c r="BG117" s="51">
        <f t="shared" si="370"/>
        <v>0</v>
      </c>
      <c r="BH117" s="51">
        <f t="shared" si="454"/>
        <v>0</v>
      </c>
      <c r="BI117" s="51">
        <f t="shared" si="371"/>
        <v>0</v>
      </c>
      <c r="BJ117" s="51">
        <f t="shared" si="455"/>
        <v>0</v>
      </c>
      <c r="BK117" s="51">
        <f t="shared" si="372"/>
        <v>0</v>
      </c>
      <c r="BL117" s="51">
        <f t="shared" si="456"/>
        <v>0</v>
      </c>
      <c r="BM117" s="51">
        <f t="shared" si="373"/>
        <v>0</v>
      </c>
      <c r="BN117" s="51">
        <f t="shared" si="457"/>
        <v>0</v>
      </c>
      <c r="BO117" s="51">
        <f t="shared" si="374"/>
        <v>0</v>
      </c>
      <c r="BP117" s="54">
        <f t="shared" si="375"/>
        <v>0</v>
      </c>
      <c r="BQ117" s="55">
        <f t="shared" si="376"/>
        <v>0</v>
      </c>
      <c r="BR117" s="56">
        <f>IF(AND($E117&lt;&gt;0,$F117&gt;0,YEAR($F117)&gt;=Preisindex!$A$6,YEAR(BM$4)&gt;=YEAR($F117),AND($K117&lt;&gt;"a",$K117&lt;&gt;"b",$K117&lt;&gt;"g",$K117&lt;&gt;"k")),1,IF(AND($E117&lt;&gt;0,$F117&gt;0,YEAR($F117)&gt;=Preisindex!$A$6,YEAR(BM$4)&gt;=YEAR($F117),$K117="a"),ROUND(VLOOKUP(BR$4,Preisindex,5,FALSE)/VLOOKUP(YEAR($F117),Preisindex,5,FALSE),2),IF(AND($E117&lt;&gt;0,$F117&gt;0,YEAR($F117)&gt;=Preisindex!$A$6,YEAR(BM$4)&gt;=YEAR($F117),$K117="b"),ROUND(VLOOKUP(BR$4,Preisindex,3,FALSE)/VLOOKUP(YEAR($F117),Preisindex,3,FALSE),2),IF(AND($E117&lt;&gt;0,$F117&gt;0,YEAR($F117)&gt;=Preisindex!$A$6,YEAR(BM$4)&gt;=YEAR($F117),$K117="g"),ROUND(VLOOKUP(BR$4,Preisindex,4,FALSE)/VLOOKUP(YEAR($F117),Preisindex,4,FALSE),2),IF(AND($E117&lt;&gt;0,$F117&gt;0,YEAR($F117)&gt;=Preisindex!$A$6,YEAR(BM$4)&gt;=YEAR($F117),$K117="k"),ROUND(VLOOKUP(BR$4,Preisindex,2,FALSE)/VLOOKUP(YEAR($F117),Preisindex,2,FALSE),2),0)))))</f>
        <v>0</v>
      </c>
      <c r="BS117" s="56">
        <f>IF(AND($E117&lt;&gt;0,$F117&gt;0,YEAR($F117)&lt;Preisindex!$A$6,YEAR(BM$4)&gt;=YEAR($F117),AND($K117&lt;&gt;"a",$K117&lt;&gt;"b",$K117&lt;&gt;"g",$K117&lt;&gt;"k")),1,IF(AND($E117&lt;&gt;0,$F117&gt;0,YEAR($F117)&lt;Preisindex!$A$6,YEAR(BM$4)&gt;=YEAR($F117),$K117="a"),ROUND(VLOOKUP(BR$4,Preisindex,5,FALSE)/VLOOKUP(Preisindex!$A$6,Preisindex,5,FALSE),2),IF(AND($E117&lt;&gt;0,$F117&gt;0,YEAR($F117)&lt;Preisindex!$A$6,YEAR(BM$4)&gt;=YEAR($F117),$K117="b"),ROUND(VLOOKUP(BR$4,Preisindex,3,FALSE)/VLOOKUP(Preisindex!$A$6,Preisindex,3,FALSE),2),IF(AND($E117&lt;&gt;0,$F117&gt;0,YEAR($F117)&lt;Preisindex!$A$6,YEAR(BM$4)&gt;=YEAR($F117),$K117="g"),ROUND(VLOOKUP(BR$4,Preisindex,4,FALSE)/VLOOKUP(Preisindex!$A$6,Preisindex,4,FALSE),2),IF(AND($E117&lt;&gt;0,$F117&gt;0,YEAR($F117)&lt;Preisindex!$A$6,YEAR(BM$4)&gt;=YEAR($F117),$K117="k"),ROUND(VLOOKUP(BR$4,Preisindex,2,FALSE)/VLOOKUP(Preisindex!$A$6,Preisindex,2,FALSE),2),0)))))</f>
        <v>0</v>
      </c>
      <c r="BT117" s="51">
        <f>IF(AND($E117&lt;&gt;0,$F117&gt;0,YEAR($F117)&lt;=BR$4,YEAR($F117)&gt;=Preisindex!$A$6),ROUND($E117*BR117,2),IF(AND($E117&lt;&gt;0,$F117&gt;0,YEAR($F117)&lt;=BR$4,YEAR($F117)&lt;Preisindex!$A$6),ROUND($E117*BS117,2),0))</f>
        <v>0</v>
      </c>
      <c r="BU117" s="53">
        <f t="shared" si="377"/>
        <v>0</v>
      </c>
      <c r="BV117" s="51">
        <f t="shared" si="490"/>
        <v>0</v>
      </c>
      <c r="BW117" s="51">
        <f t="shared" si="458"/>
        <v>0</v>
      </c>
      <c r="BX117" s="51">
        <f t="shared" si="378"/>
        <v>0</v>
      </c>
      <c r="BY117" s="51">
        <f t="shared" si="459"/>
        <v>0</v>
      </c>
      <c r="BZ117" s="51">
        <f t="shared" si="379"/>
        <v>0</v>
      </c>
      <c r="CA117" s="51">
        <f t="shared" si="460"/>
        <v>0</v>
      </c>
      <c r="CB117" s="51">
        <f t="shared" si="380"/>
        <v>0</v>
      </c>
      <c r="CC117" s="51">
        <f t="shared" si="461"/>
        <v>0</v>
      </c>
      <c r="CD117" s="51">
        <f t="shared" si="381"/>
        <v>0</v>
      </c>
      <c r="CE117" s="51">
        <f t="shared" si="462"/>
        <v>0</v>
      </c>
      <c r="CF117" s="51">
        <f t="shared" si="382"/>
        <v>0</v>
      </c>
      <c r="CG117" s="54">
        <f t="shared" si="383"/>
        <v>0</v>
      </c>
      <c r="CH117" s="55">
        <f t="shared" si="384"/>
        <v>0</v>
      </c>
      <c r="CI117" s="56">
        <f>IF(AND($E117&lt;&gt;0,$F117&gt;0,YEAR($F117)&gt;=Preisindex!$A$6,YEAR(CD$4)&gt;=YEAR($F117),AND($K117&lt;&gt;"a",$K117&lt;&gt;"b",$K117&lt;&gt;"g",$K117&lt;&gt;"k")),1,IF(AND($E117&lt;&gt;0,$F117&gt;0,YEAR($F117)&gt;=Preisindex!$A$6,YEAR(CD$4)&gt;=YEAR($F117),$K117="a"),ROUND(VLOOKUP(CI$4,Preisindex,5,FALSE)/VLOOKUP(YEAR($F117),Preisindex,5,FALSE),2),IF(AND($E117&lt;&gt;0,$F117&gt;0,YEAR($F117)&gt;=Preisindex!$A$6,YEAR(CD$4)&gt;=YEAR($F117),$K117="b"),ROUND(VLOOKUP(CI$4,Preisindex,3,FALSE)/VLOOKUP(YEAR($F117),Preisindex,3,FALSE),2),IF(AND($E117&lt;&gt;0,$F117&gt;0,YEAR($F117)&gt;=Preisindex!$A$6,YEAR(CD$4)&gt;=YEAR($F117),$K117="g"),ROUND(VLOOKUP(CI$4,Preisindex,4,FALSE)/VLOOKUP(YEAR($F117),Preisindex,4,FALSE),2),IF(AND($E117&lt;&gt;0,$F117&gt;0,YEAR($F117)&gt;=Preisindex!$A$6,YEAR(CD$4)&gt;=YEAR($F117),$K117="k"),ROUND(VLOOKUP(CI$4,Preisindex,2,FALSE)/VLOOKUP(YEAR($F117),Preisindex,2,FALSE),2),0)))))</f>
        <v>0</v>
      </c>
      <c r="CJ117" s="56">
        <f>IF(AND($E117&lt;&gt;0,$F117&gt;0,YEAR($F117)&lt;Preisindex!$A$6,YEAR(CD$4)&gt;=YEAR($F117),AND($K117&lt;&gt;"a",$K117&lt;&gt;"b",$K117&lt;&gt;"g",$K117&lt;&gt;"k")),1,IF(AND($E117&lt;&gt;0,$F117&gt;0,YEAR($F117)&lt;Preisindex!$A$6,YEAR(CD$4)&gt;=YEAR($F117),$K117="a"),ROUND(VLOOKUP(CI$4,Preisindex,5,FALSE)/VLOOKUP(Preisindex!$A$6,Preisindex,5,FALSE),2),IF(AND($E117&lt;&gt;0,$F117&gt;0,YEAR($F117)&lt;Preisindex!$A$6,YEAR(CD$4)&gt;=YEAR($F117),$K117="b"),ROUND(VLOOKUP(CI$4,Preisindex,3,FALSE)/VLOOKUP(Preisindex!$A$6,Preisindex,3,FALSE),2),IF(AND($E117&lt;&gt;0,$F117&gt;0,YEAR($F117)&lt;Preisindex!$A$6,YEAR(CD$4)&gt;=YEAR($F117),$K117="g"),ROUND(VLOOKUP(CI$4,Preisindex,4,FALSE)/VLOOKUP(Preisindex!$A$6,Preisindex,4,FALSE),2),IF(AND($E117&lt;&gt;0,$F117&gt;0,YEAR($F117)&lt;Preisindex!$A$6,YEAR(CD$4)&gt;=YEAR($F117),$K117="k"),ROUND(VLOOKUP(CI$4,Preisindex,2,FALSE)/VLOOKUP(Preisindex!$A$6,Preisindex,2,FALSE),2),0)))))</f>
        <v>0</v>
      </c>
      <c r="CK117" s="51">
        <f>IF(AND($E117&lt;&gt;0,$F117&gt;0,YEAR($F117)&lt;=CI$4,YEAR($F117)&gt;=Preisindex!$A$6),ROUND($E117*CI117,2),IF(AND($E117&lt;&gt;0,$F117&gt;0,YEAR($F117)&lt;=CI$4,YEAR($F117)&lt;Preisindex!$A$6),ROUND($E117*CJ117,2),0))</f>
        <v>0</v>
      </c>
      <c r="CL117" s="53">
        <f t="shared" si="385"/>
        <v>0</v>
      </c>
      <c r="CM117" s="51">
        <f t="shared" si="490"/>
        <v>0</v>
      </c>
      <c r="CN117" s="51">
        <f t="shared" si="463"/>
        <v>0</v>
      </c>
      <c r="CO117" s="51">
        <f t="shared" si="386"/>
        <v>0</v>
      </c>
      <c r="CP117" s="51">
        <f t="shared" si="464"/>
        <v>0</v>
      </c>
      <c r="CQ117" s="51">
        <f t="shared" si="387"/>
        <v>0</v>
      </c>
      <c r="CR117" s="51">
        <f t="shared" si="465"/>
        <v>0</v>
      </c>
      <c r="CS117" s="51">
        <f t="shared" si="388"/>
        <v>0</v>
      </c>
      <c r="CT117" s="51">
        <f t="shared" si="466"/>
        <v>0</v>
      </c>
      <c r="CU117" s="51">
        <f t="shared" si="389"/>
        <v>0</v>
      </c>
      <c r="CV117" s="51">
        <f t="shared" si="467"/>
        <v>0</v>
      </c>
      <c r="CW117" s="51">
        <f t="shared" si="390"/>
        <v>0</v>
      </c>
      <c r="CX117" s="54">
        <f t="shared" si="391"/>
        <v>0</v>
      </c>
      <c r="CY117" s="55">
        <f t="shared" si="392"/>
        <v>0</v>
      </c>
      <c r="CZ117" s="56">
        <f>IF(AND($E117&lt;&gt;0,$F117&gt;0,YEAR($F117)&gt;=Preisindex!$A$6,YEAR(CU$4)&gt;=YEAR($F117),AND($K117&lt;&gt;"a",$K117&lt;&gt;"b",$K117&lt;&gt;"g",$K117&lt;&gt;"k")),1,IF(AND($E117&lt;&gt;0,$F117&gt;0,YEAR($F117)&gt;=Preisindex!$A$6,YEAR(CU$4)&gt;=YEAR($F117),$K117="a"),ROUND(VLOOKUP(CZ$4,Preisindex,5,FALSE)/VLOOKUP(YEAR($F117),Preisindex,5,FALSE),2),IF(AND($E117&lt;&gt;0,$F117&gt;0,YEAR($F117)&gt;=Preisindex!$A$6,YEAR(CU$4)&gt;=YEAR($F117),$K117="b"),ROUND(VLOOKUP(CZ$4,Preisindex,3,FALSE)/VLOOKUP(YEAR($F117),Preisindex,3,FALSE),2),IF(AND($E117&lt;&gt;0,$F117&gt;0,YEAR($F117)&gt;=Preisindex!$A$6,YEAR(CU$4)&gt;=YEAR($F117),$K117="g"),ROUND(VLOOKUP(CZ$4,Preisindex,4,FALSE)/VLOOKUP(YEAR($F117),Preisindex,4,FALSE),2),IF(AND($E117&lt;&gt;0,$F117&gt;0,YEAR($F117)&gt;=Preisindex!$A$6,YEAR(CU$4)&gt;=YEAR($F117),$K117="k"),ROUND(VLOOKUP(CZ$4,Preisindex,2,FALSE)/VLOOKUP(YEAR($F117),Preisindex,2,FALSE),2),0)))))</f>
        <v>0</v>
      </c>
      <c r="DA117" s="56">
        <f>IF(AND($E117&lt;&gt;0,$F117&gt;0,YEAR($F117)&lt;Preisindex!$A$6,YEAR(CU$4)&gt;=YEAR($F117),AND($K117&lt;&gt;"a",$K117&lt;&gt;"b",$K117&lt;&gt;"g",$K117&lt;&gt;"k")),1,IF(AND($E117&lt;&gt;0,$F117&gt;0,YEAR($F117)&lt;Preisindex!$A$6,YEAR(CU$4)&gt;=YEAR($F117),$K117="a"),ROUND(VLOOKUP(CZ$4,Preisindex,5,FALSE)/VLOOKUP(Preisindex!$A$6,Preisindex,5,FALSE),2),IF(AND($E117&lt;&gt;0,$F117&gt;0,YEAR($F117)&lt;Preisindex!$A$6,YEAR(CU$4)&gt;=YEAR($F117),$K117="b"),ROUND(VLOOKUP(CZ$4,Preisindex,3,FALSE)/VLOOKUP(Preisindex!$A$6,Preisindex,3,FALSE),2),IF(AND($E117&lt;&gt;0,$F117&gt;0,YEAR($F117)&lt;Preisindex!$A$6,YEAR(CU$4)&gt;=YEAR($F117),$K117="g"),ROUND(VLOOKUP(CZ$4,Preisindex,4,FALSE)/VLOOKUP(Preisindex!$A$6,Preisindex,4,FALSE),2),IF(AND($E117&lt;&gt;0,$F117&gt;0,YEAR($F117)&lt;Preisindex!$A$6,YEAR(CU$4)&gt;=YEAR($F117),$K117="k"),ROUND(VLOOKUP(CZ$4,Preisindex,2,FALSE)/VLOOKUP(Preisindex!$A$6,Preisindex,2,FALSE),2),0)))))</f>
        <v>0</v>
      </c>
      <c r="DB117" s="51">
        <f>IF(AND($E117&lt;&gt;0,$F117&gt;0,YEAR($F117)&lt;=CZ$4,YEAR($F117)&gt;=Preisindex!$A$6),ROUND($E117*CZ117,2),IF(AND($E117&lt;&gt;0,$F117&gt;0,YEAR($F117)&lt;=CZ$4,YEAR($F117)&lt;Preisindex!$A$6),ROUND($E117*DA117,2),0))</f>
        <v>0</v>
      </c>
      <c r="DC117" s="53">
        <f t="shared" si="393"/>
        <v>0</v>
      </c>
      <c r="DD117" s="51">
        <f t="shared" ref="DD117:FC132" si="491">IF(YEAR($F117)=DD$4,$E117,0)</f>
        <v>0</v>
      </c>
      <c r="DE117" s="51">
        <f t="shared" si="468"/>
        <v>0</v>
      </c>
      <c r="DF117" s="51">
        <f t="shared" si="395"/>
        <v>0</v>
      </c>
      <c r="DG117" s="51">
        <f t="shared" si="469"/>
        <v>0</v>
      </c>
      <c r="DH117" s="51">
        <f t="shared" si="396"/>
        <v>0</v>
      </c>
      <c r="DI117" s="51">
        <f t="shared" si="470"/>
        <v>0</v>
      </c>
      <c r="DJ117" s="51">
        <f t="shared" si="397"/>
        <v>0</v>
      </c>
      <c r="DK117" s="51">
        <f t="shared" si="471"/>
        <v>0</v>
      </c>
      <c r="DL117" s="51">
        <f t="shared" si="398"/>
        <v>0</v>
      </c>
      <c r="DM117" s="51">
        <f t="shared" si="472"/>
        <v>0</v>
      </c>
      <c r="DN117" s="51">
        <f t="shared" si="399"/>
        <v>0</v>
      </c>
      <c r="DO117" s="54">
        <f t="shared" si="400"/>
        <v>0</v>
      </c>
      <c r="DP117" s="55">
        <f t="shared" si="401"/>
        <v>0</v>
      </c>
      <c r="DQ117" s="56">
        <f>IF(AND($E117&lt;&gt;0,$F117&gt;0,YEAR($F117)&gt;=Preisindex!$A$6,YEAR(DL$4)&gt;=YEAR($F117),AND($K117&lt;&gt;"a",$K117&lt;&gt;"b",$K117&lt;&gt;"g",$K117&lt;&gt;"k")),1,IF(AND($E117&lt;&gt;0,$F117&gt;0,YEAR($F117)&gt;=Preisindex!$A$6,YEAR(DL$4)&gt;=YEAR($F117),$K117="a"),ROUND(VLOOKUP(DQ$4,Preisindex,5,FALSE)/VLOOKUP(YEAR($F117),Preisindex,5,FALSE),2),IF(AND($E117&lt;&gt;0,$F117&gt;0,YEAR($F117)&gt;=Preisindex!$A$6,YEAR(DL$4)&gt;=YEAR($F117),$K117="b"),ROUND(VLOOKUP(DQ$4,Preisindex,3,FALSE)/VLOOKUP(YEAR($F117),Preisindex,3,FALSE),2),IF(AND($E117&lt;&gt;0,$F117&gt;0,YEAR($F117)&gt;=Preisindex!$A$6,YEAR(DL$4)&gt;=YEAR($F117),$K117="g"),ROUND(VLOOKUP(DQ$4,Preisindex,4,FALSE)/VLOOKUP(YEAR($F117),Preisindex,4,FALSE),2),IF(AND($E117&lt;&gt;0,$F117&gt;0,YEAR($F117)&gt;=Preisindex!$A$6,YEAR(DL$4)&gt;=YEAR($F117),$K117="k"),ROUND(VLOOKUP(DQ$4,Preisindex,2,FALSE)/VLOOKUP(YEAR($F117),Preisindex,2,FALSE),2),0)))))</f>
        <v>0</v>
      </c>
      <c r="DR117" s="56">
        <f>IF(AND($E117&lt;&gt;0,$F117&gt;0,YEAR($F117)&lt;Preisindex!$A$6,YEAR(DL$4)&gt;=YEAR($F117),AND($K117&lt;&gt;"a",$K117&lt;&gt;"b",$K117&lt;&gt;"g",$K117&lt;&gt;"k")),1,IF(AND($E117&lt;&gt;0,$F117&gt;0,YEAR($F117)&lt;Preisindex!$A$6,YEAR(DL$4)&gt;=YEAR($F117),$K117="a"),ROUND(VLOOKUP(DQ$4,Preisindex,5,FALSE)/VLOOKUP(Preisindex!$A$6,Preisindex,5,FALSE),2),IF(AND($E117&lt;&gt;0,$F117&gt;0,YEAR($F117)&lt;Preisindex!$A$6,YEAR(DL$4)&gt;=YEAR($F117),$K117="b"),ROUND(VLOOKUP(DQ$4,Preisindex,3,FALSE)/VLOOKUP(Preisindex!$A$6,Preisindex,3,FALSE),2),IF(AND($E117&lt;&gt;0,$F117&gt;0,YEAR($F117)&lt;Preisindex!$A$6,YEAR(DL$4)&gt;=YEAR($F117),$K117="g"),ROUND(VLOOKUP(DQ$4,Preisindex,4,FALSE)/VLOOKUP(Preisindex!$A$6,Preisindex,4,FALSE),2),IF(AND($E117&lt;&gt;0,$F117&gt;0,YEAR($F117)&lt;Preisindex!$A$6,YEAR(DL$4)&gt;=YEAR($F117),$K117="k"),ROUND(VLOOKUP(DQ$4,Preisindex,2,FALSE)/VLOOKUP(Preisindex!$A$6,Preisindex,2,FALSE),2),0)))))</f>
        <v>0</v>
      </c>
      <c r="DS117" s="51">
        <f>IF(AND($E117&lt;&gt;0,$F117&gt;0,YEAR($F117)&lt;=DQ$4,YEAR($F117)&gt;=Preisindex!$A$6),ROUND($E117*DQ117,2),IF(AND($E117&lt;&gt;0,$F117&gt;0,YEAR($F117)&lt;=DQ$4,YEAR($F117)&lt;Preisindex!$A$6),ROUND($E117*DR117,2),0))</f>
        <v>0</v>
      </c>
      <c r="DT117" s="53">
        <f t="shared" si="402"/>
        <v>0</v>
      </c>
      <c r="DU117" s="51">
        <f t="shared" si="491"/>
        <v>0</v>
      </c>
      <c r="DV117" s="51">
        <f t="shared" si="473"/>
        <v>0</v>
      </c>
      <c r="DW117" s="51">
        <f t="shared" si="403"/>
        <v>0</v>
      </c>
      <c r="DX117" s="51">
        <f t="shared" si="474"/>
        <v>0</v>
      </c>
      <c r="DY117" s="51">
        <f t="shared" si="404"/>
        <v>0</v>
      </c>
      <c r="DZ117" s="51">
        <f t="shared" si="475"/>
        <v>0</v>
      </c>
      <c r="EA117" s="51">
        <f t="shared" si="405"/>
        <v>0</v>
      </c>
      <c r="EB117" s="51">
        <f t="shared" si="476"/>
        <v>0</v>
      </c>
      <c r="EC117" s="51">
        <f t="shared" si="406"/>
        <v>0</v>
      </c>
      <c r="ED117" s="51">
        <f t="shared" si="477"/>
        <v>0</v>
      </c>
      <c r="EE117" s="51">
        <f t="shared" si="407"/>
        <v>0</v>
      </c>
      <c r="EF117" s="54">
        <f t="shared" si="408"/>
        <v>0</v>
      </c>
      <c r="EG117" s="55">
        <f t="shared" si="409"/>
        <v>0</v>
      </c>
      <c r="EH117" s="56">
        <f>IF(AND($E117&lt;&gt;0,$F117&gt;0,YEAR($F117)&gt;=Preisindex!$A$6,YEAR(EC$4)&gt;=YEAR($F117),AND($K117&lt;&gt;"a",$K117&lt;&gt;"b",$K117&lt;&gt;"g",$K117&lt;&gt;"k")),1,IF(AND($E117&lt;&gt;0,$F117&gt;0,YEAR($F117)&gt;=Preisindex!$A$6,YEAR(EC$4)&gt;=YEAR($F117),$K117="a"),ROUND(VLOOKUP(EH$4,Preisindex,5,FALSE)/VLOOKUP(YEAR($F117),Preisindex,5,FALSE),2),IF(AND($E117&lt;&gt;0,$F117&gt;0,YEAR($F117)&gt;=Preisindex!$A$6,YEAR(EC$4)&gt;=YEAR($F117),$K117="b"),ROUND(VLOOKUP(EH$4,Preisindex,3,FALSE)/VLOOKUP(YEAR($F117),Preisindex,3,FALSE),2),IF(AND($E117&lt;&gt;0,$F117&gt;0,YEAR($F117)&gt;=Preisindex!$A$6,YEAR(EC$4)&gt;=YEAR($F117),$K117="g"),ROUND(VLOOKUP(EH$4,Preisindex,4,FALSE)/VLOOKUP(YEAR($F117),Preisindex,4,FALSE),2),IF(AND($E117&lt;&gt;0,$F117&gt;0,YEAR($F117)&gt;=Preisindex!$A$6,YEAR(EC$4)&gt;=YEAR($F117),$K117="k"),ROUND(VLOOKUP(EH$4,Preisindex,2,FALSE)/VLOOKUP(YEAR($F117),Preisindex,2,FALSE),2),0)))))</f>
        <v>0</v>
      </c>
      <c r="EI117" s="56">
        <f>IF(AND($E117&lt;&gt;0,$F117&gt;0,YEAR($F117)&lt;Preisindex!$A$6,YEAR(EC$4)&gt;=YEAR($F117),AND($K117&lt;&gt;"a",$K117&lt;&gt;"b",$K117&lt;&gt;"g",$K117&lt;&gt;"k")),1,IF(AND($E117&lt;&gt;0,$F117&gt;0,YEAR($F117)&lt;Preisindex!$A$6,YEAR(EC$4)&gt;=YEAR($F117),$K117="a"),ROUND(VLOOKUP(EH$4,Preisindex,5,FALSE)/VLOOKUP(Preisindex!$A$6,Preisindex,5,FALSE),2),IF(AND($E117&lt;&gt;0,$F117&gt;0,YEAR($F117)&lt;Preisindex!$A$6,YEAR(EC$4)&gt;=YEAR($F117),$K117="b"),ROUND(VLOOKUP(EH$4,Preisindex,3,FALSE)/VLOOKUP(Preisindex!$A$6,Preisindex,3,FALSE),2),IF(AND($E117&lt;&gt;0,$F117&gt;0,YEAR($F117)&lt;Preisindex!$A$6,YEAR(EC$4)&gt;=YEAR($F117),$K117="g"),ROUND(VLOOKUP(EH$4,Preisindex,4,FALSE)/VLOOKUP(Preisindex!$A$6,Preisindex,4,FALSE),2),IF(AND($E117&lt;&gt;0,$F117&gt;0,YEAR($F117)&lt;Preisindex!$A$6,YEAR(EC$4)&gt;=YEAR($F117),$K117="k"),ROUND(VLOOKUP(EH$4,Preisindex,2,FALSE)/VLOOKUP(Preisindex!$A$6,Preisindex,2,FALSE),2),0)))))</f>
        <v>0</v>
      </c>
      <c r="EJ117" s="51">
        <f>IF(AND($E117&lt;&gt;0,$F117&gt;0,YEAR($F117)&lt;=EH$4,YEAR($F117)&gt;=Preisindex!$A$6),ROUND($E117*EH117,2),IF(AND($E117&lt;&gt;0,$F117&gt;0,YEAR($F117)&lt;=EH$4,YEAR($F117)&lt;Preisindex!$A$6),ROUND($E117*EI117,2),0))</f>
        <v>0</v>
      </c>
      <c r="EK117" s="53">
        <f t="shared" si="410"/>
        <v>0</v>
      </c>
      <c r="EL117" s="51">
        <f t="shared" si="491"/>
        <v>0</v>
      </c>
      <c r="EM117" s="51">
        <f t="shared" si="478"/>
        <v>0</v>
      </c>
      <c r="EN117" s="51">
        <f t="shared" si="411"/>
        <v>0</v>
      </c>
      <c r="EO117" s="51">
        <f t="shared" si="479"/>
        <v>0</v>
      </c>
      <c r="EP117" s="51">
        <f t="shared" si="412"/>
        <v>0</v>
      </c>
      <c r="EQ117" s="51">
        <f t="shared" si="480"/>
        <v>0</v>
      </c>
      <c r="ER117" s="51">
        <f t="shared" si="413"/>
        <v>0</v>
      </c>
      <c r="ES117" s="51">
        <f t="shared" si="481"/>
        <v>0</v>
      </c>
      <c r="ET117" s="51">
        <f t="shared" si="414"/>
        <v>0</v>
      </c>
      <c r="EU117" s="51">
        <f t="shared" si="482"/>
        <v>0</v>
      </c>
      <c r="EV117" s="51">
        <f t="shared" si="415"/>
        <v>0</v>
      </c>
      <c r="EW117" s="54">
        <f t="shared" si="416"/>
        <v>0</v>
      </c>
      <c r="EX117" s="55">
        <f t="shared" si="417"/>
        <v>0</v>
      </c>
      <c r="EY117" s="56">
        <f>IF(AND($E117&lt;&gt;0,$F117&gt;0,YEAR($F117)&gt;=Preisindex!$A$6,YEAR(ET$4)&gt;=YEAR($F117),AND($K117&lt;&gt;"a",$K117&lt;&gt;"b",$K117&lt;&gt;"g",$K117&lt;&gt;"k")),1,IF(AND($E117&lt;&gt;0,$F117&gt;0,YEAR($F117)&gt;=Preisindex!$A$6,YEAR(ET$4)&gt;=YEAR($F117),$K117="a"),ROUND(VLOOKUP(EY$4,Preisindex,5,FALSE)/VLOOKUP(YEAR($F117),Preisindex,5,FALSE),2),IF(AND($E117&lt;&gt;0,$F117&gt;0,YEAR($F117)&gt;=Preisindex!$A$6,YEAR(ET$4)&gt;=YEAR($F117),$K117="b"),ROUND(VLOOKUP(EY$4,Preisindex,3,FALSE)/VLOOKUP(YEAR($F117),Preisindex,3,FALSE),2),IF(AND($E117&lt;&gt;0,$F117&gt;0,YEAR($F117)&gt;=Preisindex!$A$6,YEAR(ET$4)&gt;=YEAR($F117),$K117="g"),ROUND(VLOOKUP(EY$4,Preisindex,4,FALSE)/VLOOKUP(YEAR($F117),Preisindex,4,FALSE),2),IF(AND($E117&lt;&gt;0,$F117&gt;0,YEAR($F117)&gt;=Preisindex!$A$6,YEAR(ET$4)&gt;=YEAR($F117),$K117="k"),ROUND(VLOOKUP(EY$4,Preisindex,2,FALSE)/VLOOKUP(YEAR($F117),Preisindex,2,FALSE),2),0)))))</f>
        <v>0</v>
      </c>
      <c r="EZ117" s="56">
        <f>IF(AND($E117&lt;&gt;0,$F117&gt;0,YEAR($F117)&lt;Preisindex!$A$6,YEAR(ET$4)&gt;=YEAR($F117),AND($K117&lt;&gt;"a",$K117&lt;&gt;"b",$K117&lt;&gt;"g",$K117&lt;&gt;"k")),1,IF(AND($E117&lt;&gt;0,$F117&gt;0,YEAR($F117)&lt;Preisindex!$A$6,YEAR(ET$4)&gt;=YEAR($F117),$K117="a"),ROUND(VLOOKUP(EY$4,Preisindex,5,FALSE)/VLOOKUP(Preisindex!$A$6,Preisindex,5,FALSE),2),IF(AND($E117&lt;&gt;0,$F117&gt;0,YEAR($F117)&lt;Preisindex!$A$6,YEAR(ET$4)&gt;=YEAR($F117),$K117="b"),ROUND(VLOOKUP(EY$4,Preisindex,3,FALSE)/VLOOKUP(Preisindex!$A$6,Preisindex,3,FALSE),2),IF(AND($E117&lt;&gt;0,$F117&gt;0,YEAR($F117)&lt;Preisindex!$A$6,YEAR(ET$4)&gt;=YEAR($F117),$K117="g"),ROUND(VLOOKUP(EY$4,Preisindex,4,FALSE)/VLOOKUP(Preisindex!$A$6,Preisindex,4,FALSE),2),IF(AND($E117&lt;&gt;0,$F117&gt;0,YEAR($F117)&lt;Preisindex!$A$6,YEAR(ET$4)&gt;=YEAR($F117),$K117="k"),ROUND(VLOOKUP(EY$4,Preisindex,2,FALSE)/VLOOKUP(Preisindex!$A$6,Preisindex,2,FALSE),2),0)))))</f>
        <v>0</v>
      </c>
      <c r="FA117" s="51">
        <f>IF(AND($E117&lt;&gt;0,$F117&gt;0,YEAR($F117)&lt;=EY$4,YEAR($F117)&gt;=Preisindex!$A$6),ROUND($E117*EY117,2),IF(AND($E117&lt;&gt;0,$F117&gt;0,YEAR($F117)&lt;=EY$4,YEAR($F117)&lt;Preisindex!$A$6),ROUND($E117*EZ117,2),0))</f>
        <v>0</v>
      </c>
      <c r="FB117" s="53">
        <f t="shared" si="418"/>
        <v>0</v>
      </c>
      <c r="FC117" s="51">
        <f t="shared" si="491"/>
        <v>0</v>
      </c>
      <c r="FD117" s="51">
        <f t="shared" si="483"/>
        <v>0</v>
      </c>
      <c r="FE117" s="51">
        <f t="shared" si="419"/>
        <v>0</v>
      </c>
      <c r="FF117" s="51">
        <f t="shared" si="484"/>
        <v>0</v>
      </c>
      <c r="FG117" s="51">
        <f t="shared" si="420"/>
        <v>0</v>
      </c>
      <c r="FH117" s="51">
        <f t="shared" si="485"/>
        <v>0</v>
      </c>
      <c r="FI117" s="51">
        <f t="shared" si="421"/>
        <v>0</v>
      </c>
      <c r="FJ117" s="51">
        <f t="shared" si="486"/>
        <v>0</v>
      </c>
      <c r="FK117" s="51">
        <f t="shared" si="422"/>
        <v>0</v>
      </c>
      <c r="FL117" s="51">
        <f t="shared" si="487"/>
        <v>0</v>
      </c>
      <c r="FM117" s="51">
        <f t="shared" si="423"/>
        <v>0</v>
      </c>
      <c r="FN117" s="54">
        <f t="shared" si="424"/>
        <v>0</v>
      </c>
      <c r="FO117" s="55">
        <f t="shared" si="425"/>
        <v>0</v>
      </c>
      <c r="FP117" s="56">
        <f>IF(AND($E117&lt;&gt;0,$F117&gt;0,YEAR($F117)&gt;=Preisindex!$A$6,YEAR(FK$4)&gt;=YEAR($F117),AND($K117&lt;&gt;"a",$K117&lt;&gt;"b",$K117&lt;&gt;"g",$K117&lt;&gt;"k")),1,IF(AND($E117&lt;&gt;0,$F117&gt;0,YEAR($F117)&gt;=Preisindex!$A$6,YEAR(FK$4)&gt;=YEAR($F117),$K117="a"),ROUND(VLOOKUP(FP$4,Preisindex,5,FALSE)/VLOOKUP(YEAR($F117),Preisindex,5,FALSE),2),IF(AND($E117&lt;&gt;0,$F117&gt;0,YEAR($F117)&gt;=Preisindex!$A$6,YEAR(FK$4)&gt;=YEAR($F117),$K117="b"),ROUND(VLOOKUP(FP$4,Preisindex,3,FALSE)/VLOOKUP(YEAR($F117),Preisindex,3,FALSE),2),IF(AND($E117&lt;&gt;0,$F117&gt;0,YEAR($F117)&gt;=Preisindex!$A$6,YEAR(FK$4)&gt;=YEAR($F117),$K117="g"),ROUND(VLOOKUP(FP$4,Preisindex,4,FALSE)/VLOOKUP(YEAR($F117),Preisindex,4,FALSE),2),IF(AND($E117&lt;&gt;0,$F117&gt;0,YEAR($F117)&gt;=Preisindex!$A$6,YEAR(FK$4)&gt;=YEAR($F117),$K117="k"),ROUND(VLOOKUP(FP$4,Preisindex,2,FALSE)/VLOOKUP(YEAR($F117),Preisindex,2,FALSE),2),0)))))</f>
        <v>0</v>
      </c>
      <c r="FQ117" s="56">
        <f>IF(AND($E117&lt;&gt;0,$F117&gt;0,YEAR($F117)&lt;Preisindex!$A$6,YEAR(FK$4)&gt;=YEAR($F117),AND($K117&lt;&gt;"a",$K117&lt;&gt;"b",$K117&lt;&gt;"g",$K117&lt;&gt;"k")),1,IF(AND($E117&lt;&gt;0,$F117&gt;0,YEAR($F117)&lt;Preisindex!$A$6,YEAR(FK$4)&gt;=YEAR($F117),$K117="a"),ROUND(VLOOKUP(FP$4,Preisindex,5,FALSE)/VLOOKUP(Preisindex!$A$6,Preisindex,5,FALSE),2),IF(AND($E117&lt;&gt;0,$F117&gt;0,YEAR($F117)&lt;Preisindex!$A$6,YEAR(FK$4)&gt;=YEAR($F117),$K117="b"),ROUND(VLOOKUP(FP$4,Preisindex,3,FALSE)/VLOOKUP(Preisindex!$A$6,Preisindex,3,FALSE),2),IF(AND($E117&lt;&gt;0,$F117&gt;0,YEAR($F117)&lt;Preisindex!$A$6,YEAR(FK$4)&gt;=YEAR($F117),$K117="g"),ROUND(VLOOKUP(FP$4,Preisindex,4,FALSE)/VLOOKUP(Preisindex!$A$6,Preisindex,4,FALSE),2),IF(AND($E117&lt;&gt;0,$F117&gt;0,YEAR($F117)&lt;Preisindex!$A$6,YEAR(FK$4)&gt;=YEAR($F117),$K117="k"),ROUND(VLOOKUP(FP$4,Preisindex,2,FALSE)/VLOOKUP(Preisindex!$A$6,Preisindex,2,FALSE),2),0)))))</f>
        <v>0</v>
      </c>
      <c r="FR117" s="51">
        <f>IF(AND($E117&lt;&gt;0,$F117&gt;0,YEAR($F117)&lt;=FP$4,YEAR($F117)&gt;=Preisindex!$A$6),ROUND($E117*FP117,2),IF(AND($E117&lt;&gt;0,$F117&gt;0,YEAR($F117)&lt;=FP$4,YEAR($F117)&lt;Preisindex!$A$6),ROUND($E117*FQ117,2),0))</f>
        <v>0</v>
      </c>
      <c r="FS117" s="53">
        <f t="shared" si="426"/>
        <v>0</v>
      </c>
    </row>
    <row r="118" spans="1:175" x14ac:dyDescent="0.3">
      <c r="A118" s="93"/>
      <c r="B118" s="94"/>
      <c r="C118" s="94"/>
      <c r="D118" s="95"/>
      <c r="E118" s="99"/>
      <c r="F118" s="97"/>
      <c r="G118" s="98"/>
      <c r="H118" s="620"/>
      <c r="I118" s="621"/>
      <c r="J118" s="194"/>
      <c r="K118" s="630"/>
      <c r="L118" s="49">
        <f t="shared" si="427"/>
        <v>0</v>
      </c>
      <c r="M118" s="50">
        <f t="shared" si="428"/>
        <v>0</v>
      </c>
      <c r="N118" s="51">
        <f t="shared" si="429"/>
        <v>0</v>
      </c>
      <c r="O118" s="51"/>
      <c r="P118" s="51">
        <f t="shared" si="430"/>
        <v>0</v>
      </c>
      <c r="Q118" s="52"/>
      <c r="R118" s="52"/>
      <c r="S118" s="52"/>
      <c r="T118" s="52"/>
      <c r="U118" s="52"/>
      <c r="V118" s="53">
        <f t="shared" si="431"/>
        <v>0</v>
      </c>
      <c r="W118" s="51">
        <f t="shared" si="432"/>
        <v>0</v>
      </c>
      <c r="X118" s="51">
        <f t="shared" si="433"/>
        <v>0</v>
      </c>
      <c r="Y118" s="51">
        <f t="shared" si="434"/>
        <v>0</v>
      </c>
      <c r="Z118" s="51">
        <f t="shared" si="435"/>
        <v>0</v>
      </c>
      <c r="AA118" s="51">
        <f t="shared" si="436"/>
        <v>0</v>
      </c>
      <c r="AB118" s="51">
        <f t="shared" si="437"/>
        <v>0</v>
      </c>
      <c r="AC118" s="51">
        <f t="shared" si="438"/>
        <v>0</v>
      </c>
      <c r="AD118" s="51">
        <f t="shared" si="439"/>
        <v>0</v>
      </c>
      <c r="AE118" s="51">
        <f t="shared" si="440"/>
        <v>0</v>
      </c>
      <c r="AF118" s="51">
        <f t="shared" si="441"/>
        <v>0</v>
      </c>
      <c r="AG118" s="51">
        <f t="shared" si="442"/>
        <v>0</v>
      </c>
      <c r="AH118" s="54">
        <f t="shared" si="443"/>
        <v>0</v>
      </c>
      <c r="AI118" s="55">
        <f t="shared" si="444"/>
        <v>0</v>
      </c>
      <c r="AJ118" s="56">
        <f>IF(AND($E118&lt;&gt;0,$F118&gt;0,YEAR($F118)&gt;=Preisindex!$A$6,YEAR(AE$4)&gt;=YEAR($F118),AND($K118&lt;&gt;"a",$K118&lt;&gt;"b",$K118&lt;&gt;"g",$K118&lt;&gt;"k")),1,IF(AND($E118&lt;&gt;0,$F118&gt;0,YEAR($F118)&gt;=Preisindex!$A$6,YEAR(AE$4)&gt;=YEAR($F118),$K118="a"),ROUND(VLOOKUP(AJ$4,Preisindex,5,FALSE)/VLOOKUP(YEAR($F118),Preisindex,5,FALSE),2),IF(AND($E118&lt;&gt;0,$F118&gt;0,YEAR($F118)&gt;=Preisindex!$A$6,YEAR(AE$4)&gt;=YEAR($F118),$K118="b"),ROUND(VLOOKUP(AJ$4,Preisindex,3,FALSE)/VLOOKUP(YEAR($F118),Preisindex,3,FALSE),2),IF(AND($E118&lt;&gt;0,$F118&gt;0,YEAR($F118)&gt;=Preisindex!$A$6,YEAR(AE$4)&gt;=YEAR($F118),$K118="g"),ROUND(VLOOKUP(AJ$4,Preisindex,4,FALSE)/VLOOKUP(YEAR($F118),Preisindex,4,FALSE),2),IF(AND($E118&lt;&gt;0,$F118&gt;0,YEAR($F118)&gt;=Preisindex!$A$6,YEAR(AE$4)&gt;=YEAR($F118),$K118="k"),ROUND(VLOOKUP(AJ$4,Preisindex,2,FALSE)/VLOOKUP(YEAR($F118),Preisindex,2,FALSE),2),0)))))</f>
        <v>0</v>
      </c>
      <c r="AK118" s="56">
        <f>IF(AND($E118&lt;&gt;0,$F118&gt;0,YEAR($F118)&lt;Preisindex!$A$6,YEAR(AE$4)&gt;=YEAR($F118),AND($K118&lt;&gt;"a",$K118&lt;&gt;"b",$K118&lt;&gt;"g",$K118&lt;&gt;"k")),1,IF(AND($E118&lt;&gt;0,$F118&gt;0,YEAR($F118)&lt;Preisindex!$A$6,YEAR(AE$4)&gt;=YEAR($F118),$K118="a"),ROUND(VLOOKUP(AJ$4,Preisindex,5,FALSE)/VLOOKUP(Preisindex!$A$6,Preisindex,5,FALSE),2),IF(AND($E118&lt;&gt;0,$F118&gt;0,YEAR($F118)&lt;Preisindex!$A$6,YEAR(AE$4)&gt;=YEAR($F118),$K118="b"),ROUND(VLOOKUP(AJ$4,Preisindex,3,FALSE)/VLOOKUP(Preisindex!$A$6,Preisindex,3,FALSE),2),IF(AND($E118&lt;&gt;0,$F118&gt;0,YEAR($F118)&lt;Preisindex!$A$6,YEAR(AE$4)&gt;=YEAR($F118),$K118="g"),ROUND(VLOOKUP(AJ$4,Preisindex,4,FALSE)/VLOOKUP(Preisindex!$A$6,Preisindex,4,FALSE),2),IF(AND($E118&lt;&gt;0,$F118&gt;0,YEAR($F118)&lt;Preisindex!$A$6,YEAR(AE$4)&gt;=YEAR($F118),$K118="k"),ROUND(VLOOKUP(AJ$4,Preisindex,2,FALSE)/VLOOKUP(Preisindex!$A$6,Preisindex,2,FALSE),2),0)))))</f>
        <v>0</v>
      </c>
      <c r="AL118" s="51">
        <f>IF(AND($E118&lt;&gt;0,$F118&gt;0,YEAR($F118)&lt;=AJ$4,YEAR($F118)&gt;=Preisindex!$A$6),ROUND($E118*AJ118,2),IF(AND($E118&lt;&gt;0,$F118&gt;0,YEAR($F118)&lt;=AJ$4,YEAR($F118)&lt;Preisindex!$A$6),ROUND($E118*AK118,2),0))</f>
        <v>0</v>
      </c>
      <c r="AM118" s="53">
        <f t="shared" si="445"/>
        <v>0</v>
      </c>
      <c r="AN118" s="51">
        <f t="shared" si="490"/>
        <v>0</v>
      </c>
      <c r="AO118" s="51">
        <f t="shared" si="448"/>
        <v>0</v>
      </c>
      <c r="AP118" s="51">
        <f t="shared" si="362"/>
        <v>0</v>
      </c>
      <c r="AQ118" s="51">
        <f t="shared" si="449"/>
        <v>0</v>
      </c>
      <c r="AR118" s="51">
        <f t="shared" si="363"/>
        <v>0</v>
      </c>
      <c r="AS118" s="51">
        <f t="shared" si="450"/>
        <v>0</v>
      </c>
      <c r="AT118" s="51">
        <f t="shared" si="364"/>
        <v>0</v>
      </c>
      <c r="AU118" s="51">
        <f t="shared" si="451"/>
        <v>0</v>
      </c>
      <c r="AV118" s="51">
        <f t="shared" si="365"/>
        <v>0</v>
      </c>
      <c r="AW118" s="51">
        <f t="shared" si="452"/>
        <v>0</v>
      </c>
      <c r="AX118" s="51">
        <f t="shared" si="366"/>
        <v>0</v>
      </c>
      <c r="AY118" s="54">
        <f t="shared" si="367"/>
        <v>0</v>
      </c>
      <c r="AZ118" s="55">
        <f t="shared" si="368"/>
        <v>0</v>
      </c>
      <c r="BA118" s="56">
        <f>IF(AND($E118&lt;&gt;0,$F118&gt;0,YEAR($F118)&gt;=Preisindex!$A$6,YEAR(AV$4)&gt;=YEAR($F118),AND($K118&lt;&gt;"a",$K118&lt;&gt;"b",$K118&lt;&gt;"g",$K118&lt;&gt;"k")),1,IF(AND($E118&lt;&gt;0,$F118&gt;0,YEAR($F118)&gt;=Preisindex!$A$6,YEAR(AV$4)&gt;=YEAR($F118),$K118="a"),ROUND(VLOOKUP(BA$4,Preisindex,5,FALSE)/VLOOKUP(YEAR($F118),Preisindex,5,FALSE),2),IF(AND($E118&lt;&gt;0,$F118&gt;0,YEAR($F118)&gt;=Preisindex!$A$6,YEAR(AV$4)&gt;=YEAR($F118),$K118="b"),ROUND(VLOOKUP(BA$4,Preisindex,3,FALSE)/VLOOKUP(YEAR($F118),Preisindex,3,FALSE),2),IF(AND($E118&lt;&gt;0,$F118&gt;0,YEAR($F118)&gt;=Preisindex!$A$6,YEAR(AV$4)&gt;=YEAR($F118),$K118="g"),ROUND(VLOOKUP(BA$4,Preisindex,4,FALSE)/VLOOKUP(YEAR($F118),Preisindex,4,FALSE),2),IF(AND($E118&lt;&gt;0,$F118&gt;0,YEAR($F118)&gt;=Preisindex!$A$6,YEAR(AV$4)&gt;=YEAR($F118),$K118="k"),ROUND(VLOOKUP(BA$4,Preisindex,2,FALSE)/VLOOKUP(YEAR($F118),Preisindex,2,FALSE),2),0)))))</f>
        <v>0</v>
      </c>
      <c r="BB118" s="56">
        <f>IF(AND($E118&lt;&gt;0,$F118&gt;0,YEAR($F118)&lt;Preisindex!$A$6,YEAR(AV$4)&gt;=YEAR($F118),AND($K118&lt;&gt;"a",$K118&lt;&gt;"b",$K118&lt;&gt;"g",$K118&lt;&gt;"k")),1,IF(AND($E118&lt;&gt;0,$F118&gt;0,YEAR($F118)&lt;Preisindex!$A$6,YEAR(AV$4)&gt;=YEAR($F118),$K118="a"),ROUND(VLOOKUP(BA$4,Preisindex,5,FALSE)/VLOOKUP(Preisindex!$A$6,Preisindex,5,FALSE),2),IF(AND($E118&lt;&gt;0,$F118&gt;0,YEAR($F118)&lt;Preisindex!$A$6,YEAR(AV$4)&gt;=YEAR($F118),$K118="b"),ROUND(VLOOKUP(BA$4,Preisindex,3,FALSE)/VLOOKUP(Preisindex!$A$6,Preisindex,3,FALSE),2),IF(AND($E118&lt;&gt;0,$F118&gt;0,YEAR($F118)&lt;Preisindex!$A$6,YEAR(AV$4)&gt;=YEAR($F118),$K118="g"),ROUND(VLOOKUP(BA$4,Preisindex,4,FALSE)/VLOOKUP(Preisindex!$A$6,Preisindex,4,FALSE),2),IF(AND($E118&lt;&gt;0,$F118&gt;0,YEAR($F118)&lt;Preisindex!$A$6,YEAR(AV$4)&gt;=YEAR($F118),$K118="k"),ROUND(VLOOKUP(BA$4,Preisindex,2,FALSE)/VLOOKUP(Preisindex!$A$6,Preisindex,2,FALSE),2),0)))))</f>
        <v>0</v>
      </c>
      <c r="BC118" s="51">
        <f>IF(AND($E118&lt;&gt;0,$F118&gt;0,YEAR($F118)&lt;=BA$4,YEAR($F118)&gt;=Preisindex!$A$6),ROUND($E118*BA118,2),IF(AND($E118&lt;&gt;0,$F118&gt;0,YEAR($F118)&lt;=BA$4,YEAR($F118)&lt;Preisindex!$A$6),ROUND($E118*BB118,2),0))</f>
        <v>0</v>
      </c>
      <c r="BD118" s="53">
        <f t="shared" si="369"/>
        <v>0</v>
      </c>
      <c r="BE118" s="51">
        <f t="shared" si="490"/>
        <v>0</v>
      </c>
      <c r="BF118" s="51">
        <f t="shared" si="453"/>
        <v>0</v>
      </c>
      <c r="BG118" s="51">
        <f t="shared" si="370"/>
        <v>0</v>
      </c>
      <c r="BH118" s="51">
        <f t="shared" si="454"/>
        <v>0</v>
      </c>
      <c r="BI118" s="51">
        <f t="shared" si="371"/>
        <v>0</v>
      </c>
      <c r="BJ118" s="51">
        <f t="shared" si="455"/>
        <v>0</v>
      </c>
      <c r="BK118" s="51">
        <f t="shared" si="372"/>
        <v>0</v>
      </c>
      <c r="BL118" s="51">
        <f t="shared" si="456"/>
        <v>0</v>
      </c>
      <c r="BM118" s="51">
        <f t="shared" si="373"/>
        <v>0</v>
      </c>
      <c r="BN118" s="51">
        <f t="shared" si="457"/>
        <v>0</v>
      </c>
      <c r="BO118" s="51">
        <f t="shared" si="374"/>
        <v>0</v>
      </c>
      <c r="BP118" s="54">
        <f t="shared" si="375"/>
        <v>0</v>
      </c>
      <c r="BQ118" s="55">
        <f t="shared" si="376"/>
        <v>0</v>
      </c>
      <c r="BR118" s="56">
        <f>IF(AND($E118&lt;&gt;0,$F118&gt;0,YEAR($F118)&gt;=Preisindex!$A$6,YEAR(BM$4)&gt;=YEAR($F118),AND($K118&lt;&gt;"a",$K118&lt;&gt;"b",$K118&lt;&gt;"g",$K118&lt;&gt;"k")),1,IF(AND($E118&lt;&gt;0,$F118&gt;0,YEAR($F118)&gt;=Preisindex!$A$6,YEAR(BM$4)&gt;=YEAR($F118),$K118="a"),ROUND(VLOOKUP(BR$4,Preisindex,5,FALSE)/VLOOKUP(YEAR($F118),Preisindex,5,FALSE),2),IF(AND($E118&lt;&gt;0,$F118&gt;0,YEAR($F118)&gt;=Preisindex!$A$6,YEAR(BM$4)&gt;=YEAR($F118),$K118="b"),ROUND(VLOOKUP(BR$4,Preisindex,3,FALSE)/VLOOKUP(YEAR($F118),Preisindex,3,FALSE),2),IF(AND($E118&lt;&gt;0,$F118&gt;0,YEAR($F118)&gt;=Preisindex!$A$6,YEAR(BM$4)&gt;=YEAR($F118),$K118="g"),ROUND(VLOOKUP(BR$4,Preisindex,4,FALSE)/VLOOKUP(YEAR($F118),Preisindex,4,FALSE),2),IF(AND($E118&lt;&gt;0,$F118&gt;0,YEAR($F118)&gt;=Preisindex!$A$6,YEAR(BM$4)&gt;=YEAR($F118),$K118="k"),ROUND(VLOOKUP(BR$4,Preisindex,2,FALSE)/VLOOKUP(YEAR($F118),Preisindex,2,FALSE),2),0)))))</f>
        <v>0</v>
      </c>
      <c r="BS118" s="56">
        <f>IF(AND($E118&lt;&gt;0,$F118&gt;0,YEAR($F118)&lt;Preisindex!$A$6,YEAR(BM$4)&gt;=YEAR($F118),AND($K118&lt;&gt;"a",$K118&lt;&gt;"b",$K118&lt;&gt;"g",$K118&lt;&gt;"k")),1,IF(AND($E118&lt;&gt;0,$F118&gt;0,YEAR($F118)&lt;Preisindex!$A$6,YEAR(BM$4)&gt;=YEAR($F118),$K118="a"),ROUND(VLOOKUP(BR$4,Preisindex,5,FALSE)/VLOOKUP(Preisindex!$A$6,Preisindex,5,FALSE),2),IF(AND($E118&lt;&gt;0,$F118&gt;0,YEAR($F118)&lt;Preisindex!$A$6,YEAR(BM$4)&gt;=YEAR($F118),$K118="b"),ROUND(VLOOKUP(BR$4,Preisindex,3,FALSE)/VLOOKUP(Preisindex!$A$6,Preisindex,3,FALSE),2),IF(AND($E118&lt;&gt;0,$F118&gt;0,YEAR($F118)&lt;Preisindex!$A$6,YEAR(BM$4)&gt;=YEAR($F118),$K118="g"),ROUND(VLOOKUP(BR$4,Preisindex,4,FALSE)/VLOOKUP(Preisindex!$A$6,Preisindex,4,FALSE),2),IF(AND($E118&lt;&gt;0,$F118&gt;0,YEAR($F118)&lt;Preisindex!$A$6,YEAR(BM$4)&gt;=YEAR($F118),$K118="k"),ROUND(VLOOKUP(BR$4,Preisindex,2,FALSE)/VLOOKUP(Preisindex!$A$6,Preisindex,2,FALSE),2),0)))))</f>
        <v>0</v>
      </c>
      <c r="BT118" s="51">
        <f>IF(AND($E118&lt;&gt;0,$F118&gt;0,YEAR($F118)&lt;=BR$4,YEAR($F118)&gt;=Preisindex!$A$6),ROUND($E118*BR118,2),IF(AND($E118&lt;&gt;0,$F118&gt;0,YEAR($F118)&lt;=BR$4,YEAR($F118)&lt;Preisindex!$A$6),ROUND($E118*BS118,2),0))</f>
        <v>0</v>
      </c>
      <c r="BU118" s="53">
        <f t="shared" si="377"/>
        <v>0</v>
      </c>
      <c r="BV118" s="51">
        <f t="shared" si="490"/>
        <v>0</v>
      </c>
      <c r="BW118" s="51">
        <f t="shared" si="458"/>
        <v>0</v>
      </c>
      <c r="BX118" s="51">
        <f t="shared" si="378"/>
        <v>0</v>
      </c>
      <c r="BY118" s="51">
        <f t="shared" si="459"/>
        <v>0</v>
      </c>
      <c r="BZ118" s="51">
        <f t="shared" si="379"/>
        <v>0</v>
      </c>
      <c r="CA118" s="51">
        <f t="shared" si="460"/>
        <v>0</v>
      </c>
      <c r="CB118" s="51">
        <f t="shared" si="380"/>
        <v>0</v>
      </c>
      <c r="CC118" s="51">
        <f t="shared" si="461"/>
        <v>0</v>
      </c>
      <c r="CD118" s="51">
        <f t="shared" si="381"/>
        <v>0</v>
      </c>
      <c r="CE118" s="51">
        <f t="shared" si="462"/>
        <v>0</v>
      </c>
      <c r="CF118" s="51">
        <f t="shared" si="382"/>
        <v>0</v>
      </c>
      <c r="CG118" s="54">
        <f t="shared" si="383"/>
        <v>0</v>
      </c>
      <c r="CH118" s="55">
        <f t="shared" si="384"/>
        <v>0</v>
      </c>
      <c r="CI118" s="56">
        <f>IF(AND($E118&lt;&gt;0,$F118&gt;0,YEAR($F118)&gt;=Preisindex!$A$6,YEAR(CD$4)&gt;=YEAR($F118),AND($K118&lt;&gt;"a",$K118&lt;&gt;"b",$K118&lt;&gt;"g",$K118&lt;&gt;"k")),1,IF(AND($E118&lt;&gt;0,$F118&gt;0,YEAR($F118)&gt;=Preisindex!$A$6,YEAR(CD$4)&gt;=YEAR($F118),$K118="a"),ROUND(VLOOKUP(CI$4,Preisindex,5,FALSE)/VLOOKUP(YEAR($F118),Preisindex,5,FALSE),2),IF(AND($E118&lt;&gt;0,$F118&gt;0,YEAR($F118)&gt;=Preisindex!$A$6,YEAR(CD$4)&gt;=YEAR($F118),$K118="b"),ROUND(VLOOKUP(CI$4,Preisindex,3,FALSE)/VLOOKUP(YEAR($F118),Preisindex,3,FALSE),2),IF(AND($E118&lt;&gt;0,$F118&gt;0,YEAR($F118)&gt;=Preisindex!$A$6,YEAR(CD$4)&gt;=YEAR($F118),$K118="g"),ROUND(VLOOKUP(CI$4,Preisindex,4,FALSE)/VLOOKUP(YEAR($F118),Preisindex,4,FALSE),2),IF(AND($E118&lt;&gt;0,$F118&gt;0,YEAR($F118)&gt;=Preisindex!$A$6,YEAR(CD$4)&gt;=YEAR($F118),$K118="k"),ROUND(VLOOKUP(CI$4,Preisindex,2,FALSE)/VLOOKUP(YEAR($F118),Preisindex,2,FALSE),2),0)))))</f>
        <v>0</v>
      </c>
      <c r="CJ118" s="56">
        <f>IF(AND($E118&lt;&gt;0,$F118&gt;0,YEAR($F118)&lt;Preisindex!$A$6,YEAR(CD$4)&gt;=YEAR($F118),AND($K118&lt;&gt;"a",$K118&lt;&gt;"b",$K118&lt;&gt;"g",$K118&lt;&gt;"k")),1,IF(AND($E118&lt;&gt;0,$F118&gt;0,YEAR($F118)&lt;Preisindex!$A$6,YEAR(CD$4)&gt;=YEAR($F118),$K118="a"),ROUND(VLOOKUP(CI$4,Preisindex,5,FALSE)/VLOOKUP(Preisindex!$A$6,Preisindex,5,FALSE),2),IF(AND($E118&lt;&gt;0,$F118&gt;0,YEAR($F118)&lt;Preisindex!$A$6,YEAR(CD$4)&gt;=YEAR($F118),$K118="b"),ROUND(VLOOKUP(CI$4,Preisindex,3,FALSE)/VLOOKUP(Preisindex!$A$6,Preisindex,3,FALSE),2),IF(AND($E118&lt;&gt;0,$F118&gt;0,YEAR($F118)&lt;Preisindex!$A$6,YEAR(CD$4)&gt;=YEAR($F118),$K118="g"),ROUND(VLOOKUP(CI$4,Preisindex,4,FALSE)/VLOOKUP(Preisindex!$A$6,Preisindex,4,FALSE),2),IF(AND($E118&lt;&gt;0,$F118&gt;0,YEAR($F118)&lt;Preisindex!$A$6,YEAR(CD$4)&gt;=YEAR($F118),$K118="k"),ROUND(VLOOKUP(CI$4,Preisindex,2,FALSE)/VLOOKUP(Preisindex!$A$6,Preisindex,2,FALSE),2),0)))))</f>
        <v>0</v>
      </c>
      <c r="CK118" s="51">
        <f>IF(AND($E118&lt;&gt;0,$F118&gt;0,YEAR($F118)&lt;=CI$4,YEAR($F118)&gt;=Preisindex!$A$6),ROUND($E118*CI118,2),IF(AND($E118&lt;&gt;0,$F118&gt;0,YEAR($F118)&lt;=CI$4,YEAR($F118)&lt;Preisindex!$A$6),ROUND($E118*CJ118,2),0))</f>
        <v>0</v>
      </c>
      <c r="CL118" s="53">
        <f t="shared" si="385"/>
        <v>0</v>
      </c>
      <c r="CM118" s="51">
        <f t="shared" si="490"/>
        <v>0</v>
      </c>
      <c r="CN118" s="51">
        <f t="shared" si="463"/>
        <v>0</v>
      </c>
      <c r="CO118" s="51">
        <f t="shared" si="386"/>
        <v>0</v>
      </c>
      <c r="CP118" s="51">
        <f t="shared" si="464"/>
        <v>0</v>
      </c>
      <c r="CQ118" s="51">
        <f t="shared" si="387"/>
        <v>0</v>
      </c>
      <c r="CR118" s="51">
        <f t="shared" si="465"/>
        <v>0</v>
      </c>
      <c r="CS118" s="51">
        <f t="shared" si="388"/>
        <v>0</v>
      </c>
      <c r="CT118" s="51">
        <f t="shared" si="466"/>
        <v>0</v>
      </c>
      <c r="CU118" s="51">
        <f t="shared" si="389"/>
        <v>0</v>
      </c>
      <c r="CV118" s="51">
        <f t="shared" si="467"/>
        <v>0</v>
      </c>
      <c r="CW118" s="51">
        <f t="shared" si="390"/>
        <v>0</v>
      </c>
      <c r="CX118" s="54">
        <f t="shared" si="391"/>
        <v>0</v>
      </c>
      <c r="CY118" s="55">
        <f t="shared" si="392"/>
        <v>0</v>
      </c>
      <c r="CZ118" s="56">
        <f>IF(AND($E118&lt;&gt;0,$F118&gt;0,YEAR($F118)&gt;=Preisindex!$A$6,YEAR(CU$4)&gt;=YEAR($F118),AND($K118&lt;&gt;"a",$K118&lt;&gt;"b",$K118&lt;&gt;"g",$K118&lt;&gt;"k")),1,IF(AND($E118&lt;&gt;0,$F118&gt;0,YEAR($F118)&gt;=Preisindex!$A$6,YEAR(CU$4)&gt;=YEAR($F118),$K118="a"),ROUND(VLOOKUP(CZ$4,Preisindex,5,FALSE)/VLOOKUP(YEAR($F118),Preisindex,5,FALSE),2),IF(AND($E118&lt;&gt;0,$F118&gt;0,YEAR($F118)&gt;=Preisindex!$A$6,YEAR(CU$4)&gt;=YEAR($F118),$K118="b"),ROUND(VLOOKUP(CZ$4,Preisindex,3,FALSE)/VLOOKUP(YEAR($F118),Preisindex,3,FALSE),2),IF(AND($E118&lt;&gt;0,$F118&gt;0,YEAR($F118)&gt;=Preisindex!$A$6,YEAR(CU$4)&gt;=YEAR($F118),$K118="g"),ROUND(VLOOKUP(CZ$4,Preisindex,4,FALSE)/VLOOKUP(YEAR($F118),Preisindex,4,FALSE),2),IF(AND($E118&lt;&gt;0,$F118&gt;0,YEAR($F118)&gt;=Preisindex!$A$6,YEAR(CU$4)&gt;=YEAR($F118),$K118="k"),ROUND(VLOOKUP(CZ$4,Preisindex,2,FALSE)/VLOOKUP(YEAR($F118),Preisindex,2,FALSE),2),0)))))</f>
        <v>0</v>
      </c>
      <c r="DA118" s="56">
        <f>IF(AND($E118&lt;&gt;0,$F118&gt;0,YEAR($F118)&lt;Preisindex!$A$6,YEAR(CU$4)&gt;=YEAR($F118),AND($K118&lt;&gt;"a",$K118&lt;&gt;"b",$K118&lt;&gt;"g",$K118&lt;&gt;"k")),1,IF(AND($E118&lt;&gt;0,$F118&gt;0,YEAR($F118)&lt;Preisindex!$A$6,YEAR(CU$4)&gt;=YEAR($F118),$K118="a"),ROUND(VLOOKUP(CZ$4,Preisindex,5,FALSE)/VLOOKUP(Preisindex!$A$6,Preisindex,5,FALSE),2),IF(AND($E118&lt;&gt;0,$F118&gt;0,YEAR($F118)&lt;Preisindex!$A$6,YEAR(CU$4)&gt;=YEAR($F118),$K118="b"),ROUND(VLOOKUP(CZ$4,Preisindex,3,FALSE)/VLOOKUP(Preisindex!$A$6,Preisindex,3,FALSE),2),IF(AND($E118&lt;&gt;0,$F118&gt;0,YEAR($F118)&lt;Preisindex!$A$6,YEAR(CU$4)&gt;=YEAR($F118),$K118="g"),ROUND(VLOOKUP(CZ$4,Preisindex,4,FALSE)/VLOOKUP(Preisindex!$A$6,Preisindex,4,FALSE),2),IF(AND($E118&lt;&gt;0,$F118&gt;0,YEAR($F118)&lt;Preisindex!$A$6,YEAR(CU$4)&gt;=YEAR($F118),$K118="k"),ROUND(VLOOKUP(CZ$4,Preisindex,2,FALSE)/VLOOKUP(Preisindex!$A$6,Preisindex,2,FALSE),2),0)))))</f>
        <v>0</v>
      </c>
      <c r="DB118" s="51">
        <f>IF(AND($E118&lt;&gt;0,$F118&gt;0,YEAR($F118)&lt;=CZ$4,YEAR($F118)&gt;=Preisindex!$A$6),ROUND($E118*CZ118,2),IF(AND($E118&lt;&gt;0,$F118&gt;0,YEAR($F118)&lt;=CZ$4,YEAR($F118)&lt;Preisindex!$A$6),ROUND($E118*DA118,2),0))</f>
        <v>0</v>
      </c>
      <c r="DC118" s="53">
        <f t="shared" si="393"/>
        <v>0</v>
      </c>
      <c r="DD118" s="51">
        <f t="shared" si="491"/>
        <v>0</v>
      </c>
      <c r="DE118" s="51">
        <f t="shared" si="468"/>
        <v>0</v>
      </c>
      <c r="DF118" s="51">
        <f t="shared" si="395"/>
        <v>0</v>
      </c>
      <c r="DG118" s="51">
        <f t="shared" si="469"/>
        <v>0</v>
      </c>
      <c r="DH118" s="51">
        <f t="shared" si="396"/>
        <v>0</v>
      </c>
      <c r="DI118" s="51">
        <f t="shared" si="470"/>
        <v>0</v>
      </c>
      <c r="DJ118" s="51">
        <f t="shared" si="397"/>
        <v>0</v>
      </c>
      <c r="DK118" s="51">
        <f t="shared" si="471"/>
        <v>0</v>
      </c>
      <c r="DL118" s="51">
        <f t="shared" si="398"/>
        <v>0</v>
      </c>
      <c r="DM118" s="51">
        <f t="shared" si="472"/>
        <v>0</v>
      </c>
      <c r="DN118" s="51">
        <f t="shared" si="399"/>
        <v>0</v>
      </c>
      <c r="DO118" s="54">
        <f t="shared" si="400"/>
        <v>0</v>
      </c>
      <c r="DP118" s="55">
        <f t="shared" si="401"/>
        <v>0</v>
      </c>
      <c r="DQ118" s="56">
        <f>IF(AND($E118&lt;&gt;0,$F118&gt;0,YEAR($F118)&gt;=Preisindex!$A$6,YEAR(DL$4)&gt;=YEAR($F118),AND($K118&lt;&gt;"a",$K118&lt;&gt;"b",$K118&lt;&gt;"g",$K118&lt;&gt;"k")),1,IF(AND($E118&lt;&gt;0,$F118&gt;0,YEAR($F118)&gt;=Preisindex!$A$6,YEAR(DL$4)&gt;=YEAR($F118),$K118="a"),ROUND(VLOOKUP(DQ$4,Preisindex,5,FALSE)/VLOOKUP(YEAR($F118),Preisindex,5,FALSE),2),IF(AND($E118&lt;&gt;0,$F118&gt;0,YEAR($F118)&gt;=Preisindex!$A$6,YEAR(DL$4)&gt;=YEAR($F118),$K118="b"),ROUND(VLOOKUP(DQ$4,Preisindex,3,FALSE)/VLOOKUP(YEAR($F118),Preisindex,3,FALSE),2),IF(AND($E118&lt;&gt;0,$F118&gt;0,YEAR($F118)&gt;=Preisindex!$A$6,YEAR(DL$4)&gt;=YEAR($F118),$K118="g"),ROUND(VLOOKUP(DQ$4,Preisindex,4,FALSE)/VLOOKUP(YEAR($F118),Preisindex,4,FALSE),2),IF(AND($E118&lt;&gt;0,$F118&gt;0,YEAR($F118)&gt;=Preisindex!$A$6,YEAR(DL$4)&gt;=YEAR($F118),$K118="k"),ROUND(VLOOKUP(DQ$4,Preisindex,2,FALSE)/VLOOKUP(YEAR($F118),Preisindex,2,FALSE),2),0)))))</f>
        <v>0</v>
      </c>
      <c r="DR118" s="56">
        <f>IF(AND($E118&lt;&gt;0,$F118&gt;0,YEAR($F118)&lt;Preisindex!$A$6,YEAR(DL$4)&gt;=YEAR($F118),AND($K118&lt;&gt;"a",$K118&lt;&gt;"b",$K118&lt;&gt;"g",$K118&lt;&gt;"k")),1,IF(AND($E118&lt;&gt;0,$F118&gt;0,YEAR($F118)&lt;Preisindex!$A$6,YEAR(DL$4)&gt;=YEAR($F118),$K118="a"),ROUND(VLOOKUP(DQ$4,Preisindex,5,FALSE)/VLOOKUP(Preisindex!$A$6,Preisindex,5,FALSE),2),IF(AND($E118&lt;&gt;0,$F118&gt;0,YEAR($F118)&lt;Preisindex!$A$6,YEAR(DL$4)&gt;=YEAR($F118),$K118="b"),ROUND(VLOOKUP(DQ$4,Preisindex,3,FALSE)/VLOOKUP(Preisindex!$A$6,Preisindex,3,FALSE),2),IF(AND($E118&lt;&gt;0,$F118&gt;0,YEAR($F118)&lt;Preisindex!$A$6,YEAR(DL$4)&gt;=YEAR($F118),$K118="g"),ROUND(VLOOKUP(DQ$4,Preisindex,4,FALSE)/VLOOKUP(Preisindex!$A$6,Preisindex,4,FALSE),2),IF(AND($E118&lt;&gt;0,$F118&gt;0,YEAR($F118)&lt;Preisindex!$A$6,YEAR(DL$4)&gt;=YEAR($F118),$K118="k"),ROUND(VLOOKUP(DQ$4,Preisindex,2,FALSE)/VLOOKUP(Preisindex!$A$6,Preisindex,2,FALSE),2),0)))))</f>
        <v>0</v>
      </c>
      <c r="DS118" s="51">
        <f>IF(AND($E118&lt;&gt;0,$F118&gt;0,YEAR($F118)&lt;=DQ$4,YEAR($F118)&gt;=Preisindex!$A$6),ROUND($E118*DQ118,2),IF(AND($E118&lt;&gt;0,$F118&gt;0,YEAR($F118)&lt;=DQ$4,YEAR($F118)&lt;Preisindex!$A$6),ROUND($E118*DR118,2),0))</f>
        <v>0</v>
      </c>
      <c r="DT118" s="53">
        <f t="shared" si="402"/>
        <v>0</v>
      </c>
      <c r="DU118" s="51">
        <f t="shared" si="491"/>
        <v>0</v>
      </c>
      <c r="DV118" s="51">
        <f t="shared" si="473"/>
        <v>0</v>
      </c>
      <c r="DW118" s="51">
        <f t="shared" si="403"/>
        <v>0</v>
      </c>
      <c r="DX118" s="51">
        <f t="shared" si="474"/>
        <v>0</v>
      </c>
      <c r="DY118" s="51">
        <f t="shared" si="404"/>
        <v>0</v>
      </c>
      <c r="DZ118" s="51">
        <f t="shared" si="475"/>
        <v>0</v>
      </c>
      <c r="EA118" s="51">
        <f t="shared" si="405"/>
        <v>0</v>
      </c>
      <c r="EB118" s="51">
        <f t="shared" si="476"/>
        <v>0</v>
      </c>
      <c r="EC118" s="51">
        <f t="shared" si="406"/>
        <v>0</v>
      </c>
      <c r="ED118" s="51">
        <f t="shared" si="477"/>
        <v>0</v>
      </c>
      <c r="EE118" s="51">
        <f t="shared" si="407"/>
        <v>0</v>
      </c>
      <c r="EF118" s="54">
        <f t="shared" si="408"/>
        <v>0</v>
      </c>
      <c r="EG118" s="55">
        <f t="shared" si="409"/>
        <v>0</v>
      </c>
      <c r="EH118" s="56">
        <f>IF(AND($E118&lt;&gt;0,$F118&gt;0,YEAR($F118)&gt;=Preisindex!$A$6,YEAR(EC$4)&gt;=YEAR($F118),AND($K118&lt;&gt;"a",$K118&lt;&gt;"b",$K118&lt;&gt;"g",$K118&lt;&gt;"k")),1,IF(AND($E118&lt;&gt;0,$F118&gt;0,YEAR($F118)&gt;=Preisindex!$A$6,YEAR(EC$4)&gt;=YEAR($F118),$K118="a"),ROUND(VLOOKUP(EH$4,Preisindex,5,FALSE)/VLOOKUP(YEAR($F118),Preisindex,5,FALSE),2),IF(AND($E118&lt;&gt;0,$F118&gt;0,YEAR($F118)&gt;=Preisindex!$A$6,YEAR(EC$4)&gt;=YEAR($F118),$K118="b"),ROUND(VLOOKUP(EH$4,Preisindex,3,FALSE)/VLOOKUP(YEAR($F118),Preisindex,3,FALSE),2),IF(AND($E118&lt;&gt;0,$F118&gt;0,YEAR($F118)&gt;=Preisindex!$A$6,YEAR(EC$4)&gt;=YEAR($F118),$K118="g"),ROUND(VLOOKUP(EH$4,Preisindex,4,FALSE)/VLOOKUP(YEAR($F118),Preisindex,4,FALSE),2),IF(AND($E118&lt;&gt;0,$F118&gt;0,YEAR($F118)&gt;=Preisindex!$A$6,YEAR(EC$4)&gt;=YEAR($F118),$K118="k"),ROUND(VLOOKUP(EH$4,Preisindex,2,FALSE)/VLOOKUP(YEAR($F118),Preisindex,2,FALSE),2),0)))))</f>
        <v>0</v>
      </c>
      <c r="EI118" s="56">
        <f>IF(AND($E118&lt;&gt;0,$F118&gt;0,YEAR($F118)&lt;Preisindex!$A$6,YEAR(EC$4)&gt;=YEAR($F118),AND($K118&lt;&gt;"a",$K118&lt;&gt;"b",$K118&lt;&gt;"g",$K118&lt;&gt;"k")),1,IF(AND($E118&lt;&gt;0,$F118&gt;0,YEAR($F118)&lt;Preisindex!$A$6,YEAR(EC$4)&gt;=YEAR($F118),$K118="a"),ROUND(VLOOKUP(EH$4,Preisindex,5,FALSE)/VLOOKUP(Preisindex!$A$6,Preisindex,5,FALSE),2),IF(AND($E118&lt;&gt;0,$F118&gt;0,YEAR($F118)&lt;Preisindex!$A$6,YEAR(EC$4)&gt;=YEAR($F118),$K118="b"),ROUND(VLOOKUP(EH$4,Preisindex,3,FALSE)/VLOOKUP(Preisindex!$A$6,Preisindex,3,FALSE),2),IF(AND($E118&lt;&gt;0,$F118&gt;0,YEAR($F118)&lt;Preisindex!$A$6,YEAR(EC$4)&gt;=YEAR($F118),$K118="g"),ROUND(VLOOKUP(EH$4,Preisindex,4,FALSE)/VLOOKUP(Preisindex!$A$6,Preisindex,4,FALSE),2),IF(AND($E118&lt;&gt;0,$F118&gt;0,YEAR($F118)&lt;Preisindex!$A$6,YEAR(EC$4)&gt;=YEAR($F118),$K118="k"),ROUND(VLOOKUP(EH$4,Preisindex,2,FALSE)/VLOOKUP(Preisindex!$A$6,Preisindex,2,FALSE),2),0)))))</f>
        <v>0</v>
      </c>
      <c r="EJ118" s="51">
        <f>IF(AND($E118&lt;&gt;0,$F118&gt;0,YEAR($F118)&lt;=EH$4,YEAR($F118)&gt;=Preisindex!$A$6),ROUND($E118*EH118,2),IF(AND($E118&lt;&gt;0,$F118&gt;0,YEAR($F118)&lt;=EH$4,YEAR($F118)&lt;Preisindex!$A$6),ROUND($E118*EI118,2),0))</f>
        <v>0</v>
      </c>
      <c r="EK118" s="53">
        <f t="shared" si="410"/>
        <v>0</v>
      </c>
      <c r="EL118" s="51">
        <f t="shared" si="491"/>
        <v>0</v>
      </c>
      <c r="EM118" s="51">
        <f t="shared" si="478"/>
        <v>0</v>
      </c>
      <c r="EN118" s="51">
        <f t="shared" si="411"/>
        <v>0</v>
      </c>
      <c r="EO118" s="51">
        <f t="shared" si="479"/>
        <v>0</v>
      </c>
      <c r="EP118" s="51">
        <f t="shared" si="412"/>
        <v>0</v>
      </c>
      <c r="EQ118" s="51">
        <f t="shared" si="480"/>
        <v>0</v>
      </c>
      <c r="ER118" s="51">
        <f t="shared" si="413"/>
        <v>0</v>
      </c>
      <c r="ES118" s="51">
        <f t="shared" si="481"/>
        <v>0</v>
      </c>
      <c r="ET118" s="51">
        <f t="shared" si="414"/>
        <v>0</v>
      </c>
      <c r="EU118" s="51">
        <f t="shared" si="482"/>
        <v>0</v>
      </c>
      <c r="EV118" s="51">
        <f t="shared" si="415"/>
        <v>0</v>
      </c>
      <c r="EW118" s="54">
        <f t="shared" si="416"/>
        <v>0</v>
      </c>
      <c r="EX118" s="55">
        <f t="shared" si="417"/>
        <v>0</v>
      </c>
      <c r="EY118" s="56">
        <f>IF(AND($E118&lt;&gt;0,$F118&gt;0,YEAR($F118)&gt;=Preisindex!$A$6,YEAR(ET$4)&gt;=YEAR($F118),AND($K118&lt;&gt;"a",$K118&lt;&gt;"b",$K118&lt;&gt;"g",$K118&lt;&gt;"k")),1,IF(AND($E118&lt;&gt;0,$F118&gt;0,YEAR($F118)&gt;=Preisindex!$A$6,YEAR(ET$4)&gt;=YEAR($F118),$K118="a"),ROUND(VLOOKUP(EY$4,Preisindex,5,FALSE)/VLOOKUP(YEAR($F118),Preisindex,5,FALSE),2),IF(AND($E118&lt;&gt;0,$F118&gt;0,YEAR($F118)&gt;=Preisindex!$A$6,YEAR(ET$4)&gt;=YEAR($F118),$K118="b"),ROUND(VLOOKUP(EY$4,Preisindex,3,FALSE)/VLOOKUP(YEAR($F118),Preisindex,3,FALSE),2),IF(AND($E118&lt;&gt;0,$F118&gt;0,YEAR($F118)&gt;=Preisindex!$A$6,YEAR(ET$4)&gt;=YEAR($F118),$K118="g"),ROUND(VLOOKUP(EY$4,Preisindex,4,FALSE)/VLOOKUP(YEAR($F118),Preisindex,4,FALSE),2),IF(AND($E118&lt;&gt;0,$F118&gt;0,YEAR($F118)&gt;=Preisindex!$A$6,YEAR(ET$4)&gt;=YEAR($F118),$K118="k"),ROUND(VLOOKUP(EY$4,Preisindex,2,FALSE)/VLOOKUP(YEAR($F118),Preisindex,2,FALSE),2),0)))))</f>
        <v>0</v>
      </c>
      <c r="EZ118" s="56">
        <f>IF(AND($E118&lt;&gt;0,$F118&gt;0,YEAR($F118)&lt;Preisindex!$A$6,YEAR(ET$4)&gt;=YEAR($F118),AND($K118&lt;&gt;"a",$K118&lt;&gt;"b",$K118&lt;&gt;"g",$K118&lt;&gt;"k")),1,IF(AND($E118&lt;&gt;0,$F118&gt;0,YEAR($F118)&lt;Preisindex!$A$6,YEAR(ET$4)&gt;=YEAR($F118),$K118="a"),ROUND(VLOOKUP(EY$4,Preisindex,5,FALSE)/VLOOKUP(Preisindex!$A$6,Preisindex,5,FALSE),2),IF(AND($E118&lt;&gt;0,$F118&gt;0,YEAR($F118)&lt;Preisindex!$A$6,YEAR(ET$4)&gt;=YEAR($F118),$K118="b"),ROUND(VLOOKUP(EY$4,Preisindex,3,FALSE)/VLOOKUP(Preisindex!$A$6,Preisindex,3,FALSE),2),IF(AND($E118&lt;&gt;0,$F118&gt;0,YEAR($F118)&lt;Preisindex!$A$6,YEAR(ET$4)&gt;=YEAR($F118),$K118="g"),ROUND(VLOOKUP(EY$4,Preisindex,4,FALSE)/VLOOKUP(Preisindex!$A$6,Preisindex,4,FALSE),2),IF(AND($E118&lt;&gt;0,$F118&gt;0,YEAR($F118)&lt;Preisindex!$A$6,YEAR(ET$4)&gt;=YEAR($F118),$K118="k"),ROUND(VLOOKUP(EY$4,Preisindex,2,FALSE)/VLOOKUP(Preisindex!$A$6,Preisindex,2,FALSE),2),0)))))</f>
        <v>0</v>
      </c>
      <c r="FA118" s="51">
        <f>IF(AND($E118&lt;&gt;0,$F118&gt;0,YEAR($F118)&lt;=EY$4,YEAR($F118)&gt;=Preisindex!$A$6),ROUND($E118*EY118,2),IF(AND($E118&lt;&gt;0,$F118&gt;0,YEAR($F118)&lt;=EY$4,YEAR($F118)&lt;Preisindex!$A$6),ROUND($E118*EZ118,2),0))</f>
        <v>0</v>
      </c>
      <c r="FB118" s="53">
        <f t="shared" si="418"/>
        <v>0</v>
      </c>
      <c r="FC118" s="51">
        <f t="shared" si="491"/>
        <v>0</v>
      </c>
      <c r="FD118" s="51">
        <f t="shared" si="483"/>
        <v>0</v>
      </c>
      <c r="FE118" s="51">
        <f t="shared" si="419"/>
        <v>0</v>
      </c>
      <c r="FF118" s="51">
        <f t="shared" si="484"/>
        <v>0</v>
      </c>
      <c r="FG118" s="51">
        <f t="shared" si="420"/>
        <v>0</v>
      </c>
      <c r="FH118" s="51">
        <f t="shared" si="485"/>
        <v>0</v>
      </c>
      <c r="FI118" s="51">
        <f t="shared" si="421"/>
        <v>0</v>
      </c>
      <c r="FJ118" s="51">
        <f t="shared" si="486"/>
        <v>0</v>
      </c>
      <c r="FK118" s="51">
        <f t="shared" si="422"/>
        <v>0</v>
      </c>
      <c r="FL118" s="51">
        <f t="shared" si="487"/>
        <v>0</v>
      </c>
      <c r="FM118" s="51">
        <f t="shared" si="423"/>
        <v>0</v>
      </c>
      <c r="FN118" s="54">
        <f t="shared" si="424"/>
        <v>0</v>
      </c>
      <c r="FO118" s="55">
        <f t="shared" si="425"/>
        <v>0</v>
      </c>
      <c r="FP118" s="56">
        <f>IF(AND($E118&lt;&gt;0,$F118&gt;0,YEAR($F118)&gt;=Preisindex!$A$6,YEAR(FK$4)&gt;=YEAR($F118),AND($K118&lt;&gt;"a",$K118&lt;&gt;"b",$K118&lt;&gt;"g",$K118&lt;&gt;"k")),1,IF(AND($E118&lt;&gt;0,$F118&gt;0,YEAR($F118)&gt;=Preisindex!$A$6,YEAR(FK$4)&gt;=YEAR($F118),$K118="a"),ROUND(VLOOKUP(FP$4,Preisindex,5,FALSE)/VLOOKUP(YEAR($F118),Preisindex,5,FALSE),2),IF(AND($E118&lt;&gt;0,$F118&gt;0,YEAR($F118)&gt;=Preisindex!$A$6,YEAR(FK$4)&gt;=YEAR($F118),$K118="b"),ROUND(VLOOKUP(FP$4,Preisindex,3,FALSE)/VLOOKUP(YEAR($F118),Preisindex,3,FALSE),2),IF(AND($E118&lt;&gt;0,$F118&gt;0,YEAR($F118)&gt;=Preisindex!$A$6,YEAR(FK$4)&gt;=YEAR($F118),$K118="g"),ROUND(VLOOKUP(FP$4,Preisindex,4,FALSE)/VLOOKUP(YEAR($F118),Preisindex,4,FALSE),2),IF(AND($E118&lt;&gt;0,$F118&gt;0,YEAR($F118)&gt;=Preisindex!$A$6,YEAR(FK$4)&gt;=YEAR($F118),$K118="k"),ROUND(VLOOKUP(FP$4,Preisindex,2,FALSE)/VLOOKUP(YEAR($F118),Preisindex,2,FALSE),2),0)))))</f>
        <v>0</v>
      </c>
      <c r="FQ118" s="56">
        <f>IF(AND($E118&lt;&gt;0,$F118&gt;0,YEAR($F118)&lt;Preisindex!$A$6,YEAR(FK$4)&gt;=YEAR($F118),AND($K118&lt;&gt;"a",$K118&lt;&gt;"b",$K118&lt;&gt;"g",$K118&lt;&gt;"k")),1,IF(AND($E118&lt;&gt;0,$F118&gt;0,YEAR($F118)&lt;Preisindex!$A$6,YEAR(FK$4)&gt;=YEAR($F118),$K118="a"),ROUND(VLOOKUP(FP$4,Preisindex,5,FALSE)/VLOOKUP(Preisindex!$A$6,Preisindex,5,FALSE),2),IF(AND($E118&lt;&gt;0,$F118&gt;0,YEAR($F118)&lt;Preisindex!$A$6,YEAR(FK$4)&gt;=YEAR($F118),$K118="b"),ROUND(VLOOKUP(FP$4,Preisindex,3,FALSE)/VLOOKUP(Preisindex!$A$6,Preisindex,3,FALSE),2),IF(AND($E118&lt;&gt;0,$F118&gt;0,YEAR($F118)&lt;Preisindex!$A$6,YEAR(FK$4)&gt;=YEAR($F118),$K118="g"),ROUND(VLOOKUP(FP$4,Preisindex,4,FALSE)/VLOOKUP(Preisindex!$A$6,Preisindex,4,FALSE),2),IF(AND($E118&lt;&gt;0,$F118&gt;0,YEAR($F118)&lt;Preisindex!$A$6,YEAR(FK$4)&gt;=YEAR($F118),$K118="k"),ROUND(VLOOKUP(FP$4,Preisindex,2,FALSE)/VLOOKUP(Preisindex!$A$6,Preisindex,2,FALSE),2),0)))))</f>
        <v>0</v>
      </c>
      <c r="FR118" s="51">
        <f>IF(AND($E118&lt;&gt;0,$F118&gt;0,YEAR($F118)&lt;=FP$4,YEAR($F118)&gt;=Preisindex!$A$6),ROUND($E118*FP118,2),IF(AND($E118&lt;&gt;0,$F118&gt;0,YEAR($F118)&lt;=FP$4,YEAR($F118)&lt;Preisindex!$A$6),ROUND($E118*FQ118,2),0))</f>
        <v>0</v>
      </c>
      <c r="FS118" s="53">
        <f t="shared" si="426"/>
        <v>0</v>
      </c>
    </row>
    <row r="119" spans="1:175" x14ac:dyDescent="0.3">
      <c r="A119" s="93"/>
      <c r="B119" s="94"/>
      <c r="C119" s="94"/>
      <c r="D119" s="95"/>
      <c r="E119" s="99"/>
      <c r="F119" s="97"/>
      <c r="G119" s="98"/>
      <c r="H119" s="620"/>
      <c r="I119" s="621"/>
      <c r="J119" s="194"/>
      <c r="K119" s="630"/>
      <c r="L119" s="49">
        <f t="shared" si="427"/>
        <v>0</v>
      </c>
      <c r="M119" s="50">
        <f t="shared" si="428"/>
        <v>0</v>
      </c>
      <c r="N119" s="51">
        <f t="shared" si="429"/>
        <v>0</v>
      </c>
      <c r="O119" s="51"/>
      <c r="P119" s="51">
        <f t="shared" si="430"/>
        <v>0</v>
      </c>
      <c r="Q119" s="52"/>
      <c r="R119" s="52"/>
      <c r="S119" s="52"/>
      <c r="T119" s="52"/>
      <c r="U119" s="52"/>
      <c r="V119" s="53">
        <f t="shared" si="431"/>
        <v>0</v>
      </c>
      <c r="W119" s="51">
        <f t="shared" si="432"/>
        <v>0</v>
      </c>
      <c r="X119" s="51">
        <f t="shared" si="433"/>
        <v>0</v>
      </c>
      <c r="Y119" s="51">
        <f t="shared" si="434"/>
        <v>0</v>
      </c>
      <c r="Z119" s="51">
        <f t="shared" si="435"/>
        <v>0</v>
      </c>
      <c r="AA119" s="51">
        <f t="shared" si="436"/>
        <v>0</v>
      </c>
      <c r="AB119" s="51">
        <f t="shared" si="437"/>
        <v>0</v>
      </c>
      <c r="AC119" s="51">
        <f t="shared" si="438"/>
        <v>0</v>
      </c>
      <c r="AD119" s="51">
        <f t="shared" si="439"/>
        <v>0</v>
      </c>
      <c r="AE119" s="51">
        <f t="shared" si="440"/>
        <v>0</v>
      </c>
      <c r="AF119" s="51">
        <f t="shared" si="441"/>
        <v>0</v>
      </c>
      <c r="AG119" s="51">
        <f t="shared" si="442"/>
        <v>0</v>
      </c>
      <c r="AH119" s="54">
        <f t="shared" si="443"/>
        <v>0</v>
      </c>
      <c r="AI119" s="55">
        <f t="shared" si="444"/>
        <v>0</v>
      </c>
      <c r="AJ119" s="56">
        <f>IF(AND($E119&lt;&gt;0,$F119&gt;0,YEAR($F119)&gt;=Preisindex!$A$6,YEAR(AE$4)&gt;=YEAR($F119),AND($K119&lt;&gt;"a",$K119&lt;&gt;"b",$K119&lt;&gt;"g",$K119&lt;&gt;"k")),1,IF(AND($E119&lt;&gt;0,$F119&gt;0,YEAR($F119)&gt;=Preisindex!$A$6,YEAR(AE$4)&gt;=YEAR($F119),$K119="a"),ROUND(VLOOKUP(AJ$4,Preisindex,5,FALSE)/VLOOKUP(YEAR($F119),Preisindex,5,FALSE),2),IF(AND($E119&lt;&gt;0,$F119&gt;0,YEAR($F119)&gt;=Preisindex!$A$6,YEAR(AE$4)&gt;=YEAR($F119),$K119="b"),ROUND(VLOOKUP(AJ$4,Preisindex,3,FALSE)/VLOOKUP(YEAR($F119),Preisindex,3,FALSE),2),IF(AND($E119&lt;&gt;0,$F119&gt;0,YEAR($F119)&gt;=Preisindex!$A$6,YEAR(AE$4)&gt;=YEAR($F119),$K119="g"),ROUND(VLOOKUP(AJ$4,Preisindex,4,FALSE)/VLOOKUP(YEAR($F119),Preisindex,4,FALSE),2),IF(AND($E119&lt;&gt;0,$F119&gt;0,YEAR($F119)&gt;=Preisindex!$A$6,YEAR(AE$4)&gt;=YEAR($F119),$K119="k"),ROUND(VLOOKUP(AJ$4,Preisindex,2,FALSE)/VLOOKUP(YEAR($F119),Preisindex,2,FALSE),2),0)))))</f>
        <v>0</v>
      </c>
      <c r="AK119" s="56">
        <f>IF(AND($E119&lt;&gt;0,$F119&gt;0,YEAR($F119)&lt;Preisindex!$A$6,YEAR(AE$4)&gt;=YEAR($F119),AND($K119&lt;&gt;"a",$K119&lt;&gt;"b",$K119&lt;&gt;"g",$K119&lt;&gt;"k")),1,IF(AND($E119&lt;&gt;0,$F119&gt;0,YEAR($F119)&lt;Preisindex!$A$6,YEAR(AE$4)&gt;=YEAR($F119),$K119="a"),ROUND(VLOOKUP(AJ$4,Preisindex,5,FALSE)/VLOOKUP(Preisindex!$A$6,Preisindex,5,FALSE),2),IF(AND($E119&lt;&gt;0,$F119&gt;0,YEAR($F119)&lt;Preisindex!$A$6,YEAR(AE$4)&gt;=YEAR($F119),$K119="b"),ROUND(VLOOKUP(AJ$4,Preisindex,3,FALSE)/VLOOKUP(Preisindex!$A$6,Preisindex,3,FALSE),2),IF(AND($E119&lt;&gt;0,$F119&gt;0,YEAR($F119)&lt;Preisindex!$A$6,YEAR(AE$4)&gt;=YEAR($F119),$K119="g"),ROUND(VLOOKUP(AJ$4,Preisindex,4,FALSE)/VLOOKUP(Preisindex!$A$6,Preisindex,4,FALSE),2),IF(AND($E119&lt;&gt;0,$F119&gt;0,YEAR($F119)&lt;Preisindex!$A$6,YEAR(AE$4)&gt;=YEAR($F119),$K119="k"),ROUND(VLOOKUP(AJ$4,Preisindex,2,FALSE)/VLOOKUP(Preisindex!$A$6,Preisindex,2,FALSE),2),0)))))</f>
        <v>0</v>
      </c>
      <c r="AL119" s="51">
        <f>IF(AND($E119&lt;&gt;0,$F119&gt;0,YEAR($F119)&lt;=AJ$4,YEAR($F119)&gt;=Preisindex!$A$6),ROUND($E119*AJ119,2),IF(AND($E119&lt;&gt;0,$F119&gt;0,YEAR($F119)&lt;=AJ$4,YEAR($F119)&lt;Preisindex!$A$6),ROUND($E119*AK119,2),0))</f>
        <v>0</v>
      </c>
      <c r="AM119" s="53">
        <f t="shared" si="445"/>
        <v>0</v>
      </c>
      <c r="AN119" s="51">
        <f t="shared" si="490"/>
        <v>0</v>
      </c>
      <c r="AO119" s="51">
        <f t="shared" si="448"/>
        <v>0</v>
      </c>
      <c r="AP119" s="51">
        <f t="shared" si="362"/>
        <v>0</v>
      </c>
      <c r="AQ119" s="51">
        <f t="shared" si="449"/>
        <v>0</v>
      </c>
      <c r="AR119" s="51">
        <f t="shared" si="363"/>
        <v>0</v>
      </c>
      <c r="AS119" s="51">
        <f t="shared" si="450"/>
        <v>0</v>
      </c>
      <c r="AT119" s="51">
        <f t="shared" si="364"/>
        <v>0</v>
      </c>
      <c r="AU119" s="51">
        <f t="shared" si="451"/>
        <v>0</v>
      </c>
      <c r="AV119" s="51">
        <f t="shared" si="365"/>
        <v>0</v>
      </c>
      <c r="AW119" s="51">
        <f t="shared" si="452"/>
        <v>0</v>
      </c>
      <c r="AX119" s="51">
        <f t="shared" si="366"/>
        <v>0</v>
      </c>
      <c r="AY119" s="54">
        <f t="shared" si="367"/>
        <v>0</v>
      </c>
      <c r="AZ119" s="55">
        <f t="shared" si="368"/>
        <v>0</v>
      </c>
      <c r="BA119" s="56">
        <f>IF(AND($E119&lt;&gt;0,$F119&gt;0,YEAR($F119)&gt;=Preisindex!$A$6,YEAR(AV$4)&gt;=YEAR($F119),AND($K119&lt;&gt;"a",$K119&lt;&gt;"b",$K119&lt;&gt;"g",$K119&lt;&gt;"k")),1,IF(AND($E119&lt;&gt;0,$F119&gt;0,YEAR($F119)&gt;=Preisindex!$A$6,YEAR(AV$4)&gt;=YEAR($F119),$K119="a"),ROUND(VLOOKUP(BA$4,Preisindex,5,FALSE)/VLOOKUP(YEAR($F119),Preisindex,5,FALSE),2),IF(AND($E119&lt;&gt;0,$F119&gt;0,YEAR($F119)&gt;=Preisindex!$A$6,YEAR(AV$4)&gt;=YEAR($F119),$K119="b"),ROUND(VLOOKUP(BA$4,Preisindex,3,FALSE)/VLOOKUP(YEAR($F119),Preisindex,3,FALSE),2),IF(AND($E119&lt;&gt;0,$F119&gt;0,YEAR($F119)&gt;=Preisindex!$A$6,YEAR(AV$4)&gt;=YEAR($F119),$K119="g"),ROUND(VLOOKUP(BA$4,Preisindex,4,FALSE)/VLOOKUP(YEAR($F119),Preisindex,4,FALSE),2),IF(AND($E119&lt;&gt;0,$F119&gt;0,YEAR($F119)&gt;=Preisindex!$A$6,YEAR(AV$4)&gt;=YEAR($F119),$K119="k"),ROUND(VLOOKUP(BA$4,Preisindex,2,FALSE)/VLOOKUP(YEAR($F119),Preisindex,2,FALSE),2),0)))))</f>
        <v>0</v>
      </c>
      <c r="BB119" s="56">
        <f>IF(AND($E119&lt;&gt;0,$F119&gt;0,YEAR($F119)&lt;Preisindex!$A$6,YEAR(AV$4)&gt;=YEAR($F119),AND($K119&lt;&gt;"a",$K119&lt;&gt;"b",$K119&lt;&gt;"g",$K119&lt;&gt;"k")),1,IF(AND($E119&lt;&gt;0,$F119&gt;0,YEAR($F119)&lt;Preisindex!$A$6,YEAR(AV$4)&gt;=YEAR($F119),$K119="a"),ROUND(VLOOKUP(BA$4,Preisindex,5,FALSE)/VLOOKUP(Preisindex!$A$6,Preisindex,5,FALSE),2),IF(AND($E119&lt;&gt;0,$F119&gt;0,YEAR($F119)&lt;Preisindex!$A$6,YEAR(AV$4)&gt;=YEAR($F119),$K119="b"),ROUND(VLOOKUP(BA$4,Preisindex,3,FALSE)/VLOOKUP(Preisindex!$A$6,Preisindex,3,FALSE),2),IF(AND($E119&lt;&gt;0,$F119&gt;0,YEAR($F119)&lt;Preisindex!$A$6,YEAR(AV$4)&gt;=YEAR($F119),$K119="g"),ROUND(VLOOKUP(BA$4,Preisindex,4,FALSE)/VLOOKUP(Preisindex!$A$6,Preisindex,4,FALSE),2),IF(AND($E119&lt;&gt;0,$F119&gt;0,YEAR($F119)&lt;Preisindex!$A$6,YEAR(AV$4)&gt;=YEAR($F119),$K119="k"),ROUND(VLOOKUP(BA$4,Preisindex,2,FALSE)/VLOOKUP(Preisindex!$A$6,Preisindex,2,FALSE),2),0)))))</f>
        <v>0</v>
      </c>
      <c r="BC119" s="51">
        <f>IF(AND($E119&lt;&gt;0,$F119&gt;0,YEAR($F119)&lt;=BA$4,YEAR($F119)&gt;=Preisindex!$A$6),ROUND($E119*BA119,2),IF(AND($E119&lt;&gt;0,$F119&gt;0,YEAR($F119)&lt;=BA$4,YEAR($F119)&lt;Preisindex!$A$6),ROUND($E119*BB119,2),0))</f>
        <v>0</v>
      </c>
      <c r="BD119" s="53">
        <f t="shared" si="369"/>
        <v>0</v>
      </c>
      <c r="BE119" s="51">
        <f t="shared" si="490"/>
        <v>0</v>
      </c>
      <c r="BF119" s="51">
        <f t="shared" si="453"/>
        <v>0</v>
      </c>
      <c r="BG119" s="51">
        <f t="shared" si="370"/>
        <v>0</v>
      </c>
      <c r="BH119" s="51">
        <f t="shared" si="454"/>
        <v>0</v>
      </c>
      <c r="BI119" s="51">
        <f t="shared" si="371"/>
        <v>0</v>
      </c>
      <c r="BJ119" s="51">
        <f t="shared" si="455"/>
        <v>0</v>
      </c>
      <c r="BK119" s="51">
        <f t="shared" si="372"/>
        <v>0</v>
      </c>
      <c r="BL119" s="51">
        <f t="shared" si="456"/>
        <v>0</v>
      </c>
      <c r="BM119" s="51">
        <f t="shared" si="373"/>
        <v>0</v>
      </c>
      <c r="BN119" s="51">
        <f t="shared" si="457"/>
        <v>0</v>
      </c>
      <c r="BO119" s="51">
        <f t="shared" si="374"/>
        <v>0</v>
      </c>
      <c r="BP119" s="54">
        <f t="shared" si="375"/>
        <v>0</v>
      </c>
      <c r="BQ119" s="55">
        <f t="shared" si="376"/>
        <v>0</v>
      </c>
      <c r="BR119" s="56">
        <f>IF(AND($E119&lt;&gt;0,$F119&gt;0,YEAR($F119)&gt;=Preisindex!$A$6,YEAR(BM$4)&gt;=YEAR($F119),AND($K119&lt;&gt;"a",$K119&lt;&gt;"b",$K119&lt;&gt;"g",$K119&lt;&gt;"k")),1,IF(AND($E119&lt;&gt;0,$F119&gt;0,YEAR($F119)&gt;=Preisindex!$A$6,YEAR(BM$4)&gt;=YEAR($F119),$K119="a"),ROUND(VLOOKUP(BR$4,Preisindex,5,FALSE)/VLOOKUP(YEAR($F119),Preisindex,5,FALSE),2),IF(AND($E119&lt;&gt;0,$F119&gt;0,YEAR($F119)&gt;=Preisindex!$A$6,YEAR(BM$4)&gt;=YEAR($F119),$K119="b"),ROUND(VLOOKUP(BR$4,Preisindex,3,FALSE)/VLOOKUP(YEAR($F119),Preisindex,3,FALSE),2),IF(AND($E119&lt;&gt;0,$F119&gt;0,YEAR($F119)&gt;=Preisindex!$A$6,YEAR(BM$4)&gt;=YEAR($F119),$K119="g"),ROUND(VLOOKUP(BR$4,Preisindex,4,FALSE)/VLOOKUP(YEAR($F119),Preisindex,4,FALSE),2),IF(AND($E119&lt;&gt;0,$F119&gt;0,YEAR($F119)&gt;=Preisindex!$A$6,YEAR(BM$4)&gt;=YEAR($F119),$K119="k"),ROUND(VLOOKUP(BR$4,Preisindex,2,FALSE)/VLOOKUP(YEAR($F119),Preisindex,2,FALSE),2),0)))))</f>
        <v>0</v>
      </c>
      <c r="BS119" s="56">
        <f>IF(AND($E119&lt;&gt;0,$F119&gt;0,YEAR($F119)&lt;Preisindex!$A$6,YEAR(BM$4)&gt;=YEAR($F119),AND($K119&lt;&gt;"a",$K119&lt;&gt;"b",$K119&lt;&gt;"g",$K119&lt;&gt;"k")),1,IF(AND($E119&lt;&gt;0,$F119&gt;0,YEAR($F119)&lt;Preisindex!$A$6,YEAR(BM$4)&gt;=YEAR($F119),$K119="a"),ROUND(VLOOKUP(BR$4,Preisindex,5,FALSE)/VLOOKUP(Preisindex!$A$6,Preisindex,5,FALSE),2),IF(AND($E119&lt;&gt;0,$F119&gt;0,YEAR($F119)&lt;Preisindex!$A$6,YEAR(BM$4)&gt;=YEAR($F119),$K119="b"),ROUND(VLOOKUP(BR$4,Preisindex,3,FALSE)/VLOOKUP(Preisindex!$A$6,Preisindex,3,FALSE),2),IF(AND($E119&lt;&gt;0,$F119&gt;0,YEAR($F119)&lt;Preisindex!$A$6,YEAR(BM$4)&gt;=YEAR($F119),$K119="g"),ROUND(VLOOKUP(BR$4,Preisindex,4,FALSE)/VLOOKUP(Preisindex!$A$6,Preisindex,4,FALSE),2),IF(AND($E119&lt;&gt;0,$F119&gt;0,YEAR($F119)&lt;Preisindex!$A$6,YEAR(BM$4)&gt;=YEAR($F119),$K119="k"),ROUND(VLOOKUP(BR$4,Preisindex,2,FALSE)/VLOOKUP(Preisindex!$A$6,Preisindex,2,FALSE),2),0)))))</f>
        <v>0</v>
      </c>
      <c r="BT119" s="51">
        <f>IF(AND($E119&lt;&gt;0,$F119&gt;0,YEAR($F119)&lt;=BR$4,YEAR($F119)&gt;=Preisindex!$A$6),ROUND($E119*BR119,2),IF(AND($E119&lt;&gt;0,$F119&gt;0,YEAR($F119)&lt;=BR$4,YEAR($F119)&lt;Preisindex!$A$6),ROUND($E119*BS119,2),0))</f>
        <v>0</v>
      </c>
      <c r="BU119" s="53">
        <f t="shared" si="377"/>
        <v>0</v>
      </c>
      <c r="BV119" s="51">
        <f t="shared" si="490"/>
        <v>0</v>
      </c>
      <c r="BW119" s="51">
        <f t="shared" si="458"/>
        <v>0</v>
      </c>
      <c r="BX119" s="51">
        <f t="shared" si="378"/>
        <v>0</v>
      </c>
      <c r="BY119" s="51">
        <f t="shared" si="459"/>
        <v>0</v>
      </c>
      <c r="BZ119" s="51">
        <f t="shared" si="379"/>
        <v>0</v>
      </c>
      <c r="CA119" s="51">
        <f t="shared" si="460"/>
        <v>0</v>
      </c>
      <c r="CB119" s="51">
        <f t="shared" si="380"/>
        <v>0</v>
      </c>
      <c r="CC119" s="51">
        <f t="shared" si="461"/>
        <v>0</v>
      </c>
      <c r="CD119" s="51">
        <f t="shared" si="381"/>
        <v>0</v>
      </c>
      <c r="CE119" s="51">
        <f t="shared" si="462"/>
        <v>0</v>
      </c>
      <c r="CF119" s="51">
        <f t="shared" si="382"/>
        <v>0</v>
      </c>
      <c r="CG119" s="54">
        <f t="shared" si="383"/>
        <v>0</v>
      </c>
      <c r="CH119" s="55">
        <f t="shared" si="384"/>
        <v>0</v>
      </c>
      <c r="CI119" s="56">
        <f>IF(AND($E119&lt;&gt;0,$F119&gt;0,YEAR($F119)&gt;=Preisindex!$A$6,YEAR(CD$4)&gt;=YEAR($F119),AND($K119&lt;&gt;"a",$K119&lt;&gt;"b",$K119&lt;&gt;"g",$K119&lt;&gt;"k")),1,IF(AND($E119&lt;&gt;0,$F119&gt;0,YEAR($F119)&gt;=Preisindex!$A$6,YEAR(CD$4)&gt;=YEAR($F119),$K119="a"),ROUND(VLOOKUP(CI$4,Preisindex,5,FALSE)/VLOOKUP(YEAR($F119),Preisindex,5,FALSE),2),IF(AND($E119&lt;&gt;0,$F119&gt;0,YEAR($F119)&gt;=Preisindex!$A$6,YEAR(CD$4)&gt;=YEAR($F119),$K119="b"),ROUND(VLOOKUP(CI$4,Preisindex,3,FALSE)/VLOOKUP(YEAR($F119),Preisindex,3,FALSE),2),IF(AND($E119&lt;&gt;0,$F119&gt;0,YEAR($F119)&gt;=Preisindex!$A$6,YEAR(CD$4)&gt;=YEAR($F119),$K119="g"),ROUND(VLOOKUP(CI$4,Preisindex,4,FALSE)/VLOOKUP(YEAR($F119),Preisindex,4,FALSE),2),IF(AND($E119&lt;&gt;0,$F119&gt;0,YEAR($F119)&gt;=Preisindex!$A$6,YEAR(CD$4)&gt;=YEAR($F119),$K119="k"),ROUND(VLOOKUP(CI$4,Preisindex,2,FALSE)/VLOOKUP(YEAR($F119),Preisindex,2,FALSE),2),0)))))</f>
        <v>0</v>
      </c>
      <c r="CJ119" s="56">
        <f>IF(AND($E119&lt;&gt;0,$F119&gt;0,YEAR($F119)&lt;Preisindex!$A$6,YEAR(CD$4)&gt;=YEAR($F119),AND($K119&lt;&gt;"a",$K119&lt;&gt;"b",$K119&lt;&gt;"g",$K119&lt;&gt;"k")),1,IF(AND($E119&lt;&gt;0,$F119&gt;0,YEAR($F119)&lt;Preisindex!$A$6,YEAR(CD$4)&gt;=YEAR($F119),$K119="a"),ROUND(VLOOKUP(CI$4,Preisindex,5,FALSE)/VLOOKUP(Preisindex!$A$6,Preisindex,5,FALSE),2),IF(AND($E119&lt;&gt;0,$F119&gt;0,YEAR($F119)&lt;Preisindex!$A$6,YEAR(CD$4)&gt;=YEAR($F119),$K119="b"),ROUND(VLOOKUP(CI$4,Preisindex,3,FALSE)/VLOOKUP(Preisindex!$A$6,Preisindex,3,FALSE),2),IF(AND($E119&lt;&gt;0,$F119&gt;0,YEAR($F119)&lt;Preisindex!$A$6,YEAR(CD$4)&gt;=YEAR($F119),$K119="g"),ROUND(VLOOKUP(CI$4,Preisindex,4,FALSE)/VLOOKUP(Preisindex!$A$6,Preisindex,4,FALSE),2),IF(AND($E119&lt;&gt;0,$F119&gt;0,YEAR($F119)&lt;Preisindex!$A$6,YEAR(CD$4)&gt;=YEAR($F119),$K119="k"),ROUND(VLOOKUP(CI$4,Preisindex,2,FALSE)/VLOOKUP(Preisindex!$A$6,Preisindex,2,FALSE),2),0)))))</f>
        <v>0</v>
      </c>
      <c r="CK119" s="51">
        <f>IF(AND($E119&lt;&gt;0,$F119&gt;0,YEAR($F119)&lt;=CI$4,YEAR($F119)&gt;=Preisindex!$A$6),ROUND($E119*CI119,2),IF(AND($E119&lt;&gt;0,$F119&gt;0,YEAR($F119)&lt;=CI$4,YEAR($F119)&lt;Preisindex!$A$6),ROUND($E119*CJ119,2),0))</f>
        <v>0</v>
      </c>
      <c r="CL119" s="53">
        <f t="shared" si="385"/>
        <v>0</v>
      </c>
      <c r="CM119" s="51">
        <f t="shared" si="490"/>
        <v>0</v>
      </c>
      <c r="CN119" s="51">
        <f t="shared" si="463"/>
        <v>0</v>
      </c>
      <c r="CO119" s="51">
        <f t="shared" si="386"/>
        <v>0</v>
      </c>
      <c r="CP119" s="51">
        <f t="shared" si="464"/>
        <v>0</v>
      </c>
      <c r="CQ119" s="51">
        <f t="shared" si="387"/>
        <v>0</v>
      </c>
      <c r="CR119" s="51">
        <f t="shared" si="465"/>
        <v>0</v>
      </c>
      <c r="CS119" s="51">
        <f t="shared" si="388"/>
        <v>0</v>
      </c>
      <c r="CT119" s="51">
        <f t="shared" si="466"/>
        <v>0</v>
      </c>
      <c r="CU119" s="51">
        <f t="shared" si="389"/>
        <v>0</v>
      </c>
      <c r="CV119" s="51">
        <f t="shared" si="467"/>
        <v>0</v>
      </c>
      <c r="CW119" s="51">
        <f t="shared" si="390"/>
        <v>0</v>
      </c>
      <c r="CX119" s="54">
        <f t="shared" si="391"/>
        <v>0</v>
      </c>
      <c r="CY119" s="55">
        <f t="shared" si="392"/>
        <v>0</v>
      </c>
      <c r="CZ119" s="56">
        <f>IF(AND($E119&lt;&gt;0,$F119&gt;0,YEAR($F119)&gt;=Preisindex!$A$6,YEAR(CU$4)&gt;=YEAR($F119),AND($K119&lt;&gt;"a",$K119&lt;&gt;"b",$K119&lt;&gt;"g",$K119&lt;&gt;"k")),1,IF(AND($E119&lt;&gt;0,$F119&gt;0,YEAR($F119)&gt;=Preisindex!$A$6,YEAR(CU$4)&gt;=YEAR($F119),$K119="a"),ROUND(VLOOKUP(CZ$4,Preisindex,5,FALSE)/VLOOKUP(YEAR($F119),Preisindex,5,FALSE),2),IF(AND($E119&lt;&gt;0,$F119&gt;0,YEAR($F119)&gt;=Preisindex!$A$6,YEAR(CU$4)&gt;=YEAR($F119),$K119="b"),ROUND(VLOOKUP(CZ$4,Preisindex,3,FALSE)/VLOOKUP(YEAR($F119),Preisindex,3,FALSE),2),IF(AND($E119&lt;&gt;0,$F119&gt;0,YEAR($F119)&gt;=Preisindex!$A$6,YEAR(CU$4)&gt;=YEAR($F119),$K119="g"),ROUND(VLOOKUP(CZ$4,Preisindex,4,FALSE)/VLOOKUP(YEAR($F119),Preisindex,4,FALSE),2),IF(AND($E119&lt;&gt;0,$F119&gt;0,YEAR($F119)&gt;=Preisindex!$A$6,YEAR(CU$4)&gt;=YEAR($F119),$K119="k"),ROUND(VLOOKUP(CZ$4,Preisindex,2,FALSE)/VLOOKUP(YEAR($F119),Preisindex,2,FALSE),2),0)))))</f>
        <v>0</v>
      </c>
      <c r="DA119" s="56">
        <f>IF(AND($E119&lt;&gt;0,$F119&gt;0,YEAR($F119)&lt;Preisindex!$A$6,YEAR(CU$4)&gt;=YEAR($F119),AND($K119&lt;&gt;"a",$K119&lt;&gt;"b",$K119&lt;&gt;"g",$K119&lt;&gt;"k")),1,IF(AND($E119&lt;&gt;0,$F119&gt;0,YEAR($F119)&lt;Preisindex!$A$6,YEAR(CU$4)&gt;=YEAR($F119),$K119="a"),ROUND(VLOOKUP(CZ$4,Preisindex,5,FALSE)/VLOOKUP(Preisindex!$A$6,Preisindex,5,FALSE),2),IF(AND($E119&lt;&gt;0,$F119&gt;0,YEAR($F119)&lt;Preisindex!$A$6,YEAR(CU$4)&gt;=YEAR($F119),$K119="b"),ROUND(VLOOKUP(CZ$4,Preisindex,3,FALSE)/VLOOKUP(Preisindex!$A$6,Preisindex,3,FALSE),2),IF(AND($E119&lt;&gt;0,$F119&gt;0,YEAR($F119)&lt;Preisindex!$A$6,YEAR(CU$4)&gt;=YEAR($F119),$K119="g"),ROUND(VLOOKUP(CZ$4,Preisindex,4,FALSE)/VLOOKUP(Preisindex!$A$6,Preisindex,4,FALSE),2),IF(AND($E119&lt;&gt;0,$F119&gt;0,YEAR($F119)&lt;Preisindex!$A$6,YEAR(CU$4)&gt;=YEAR($F119),$K119="k"),ROUND(VLOOKUP(CZ$4,Preisindex,2,FALSE)/VLOOKUP(Preisindex!$A$6,Preisindex,2,FALSE),2),0)))))</f>
        <v>0</v>
      </c>
      <c r="DB119" s="51">
        <f>IF(AND($E119&lt;&gt;0,$F119&gt;0,YEAR($F119)&lt;=CZ$4,YEAR($F119)&gt;=Preisindex!$A$6),ROUND($E119*CZ119,2),IF(AND($E119&lt;&gt;0,$F119&gt;0,YEAR($F119)&lt;=CZ$4,YEAR($F119)&lt;Preisindex!$A$6),ROUND($E119*DA119,2),0))</f>
        <v>0</v>
      </c>
      <c r="DC119" s="53">
        <f t="shared" si="393"/>
        <v>0</v>
      </c>
      <c r="DD119" s="51">
        <f t="shared" si="491"/>
        <v>0</v>
      </c>
      <c r="DE119" s="51">
        <f t="shared" si="468"/>
        <v>0</v>
      </c>
      <c r="DF119" s="51">
        <f t="shared" si="395"/>
        <v>0</v>
      </c>
      <c r="DG119" s="51">
        <f t="shared" si="469"/>
        <v>0</v>
      </c>
      <c r="DH119" s="51">
        <f t="shared" si="396"/>
        <v>0</v>
      </c>
      <c r="DI119" s="51">
        <f t="shared" si="470"/>
        <v>0</v>
      </c>
      <c r="DJ119" s="51">
        <f t="shared" si="397"/>
        <v>0</v>
      </c>
      <c r="DK119" s="51">
        <f t="shared" si="471"/>
        <v>0</v>
      </c>
      <c r="DL119" s="51">
        <f t="shared" si="398"/>
        <v>0</v>
      </c>
      <c r="DM119" s="51">
        <f t="shared" si="472"/>
        <v>0</v>
      </c>
      <c r="DN119" s="51">
        <f t="shared" si="399"/>
        <v>0</v>
      </c>
      <c r="DO119" s="54">
        <f t="shared" si="400"/>
        <v>0</v>
      </c>
      <c r="DP119" s="55">
        <f t="shared" si="401"/>
        <v>0</v>
      </c>
      <c r="DQ119" s="56">
        <f>IF(AND($E119&lt;&gt;0,$F119&gt;0,YEAR($F119)&gt;=Preisindex!$A$6,YEAR(DL$4)&gt;=YEAR($F119),AND($K119&lt;&gt;"a",$K119&lt;&gt;"b",$K119&lt;&gt;"g",$K119&lt;&gt;"k")),1,IF(AND($E119&lt;&gt;0,$F119&gt;0,YEAR($F119)&gt;=Preisindex!$A$6,YEAR(DL$4)&gt;=YEAR($F119),$K119="a"),ROUND(VLOOKUP(DQ$4,Preisindex,5,FALSE)/VLOOKUP(YEAR($F119),Preisindex,5,FALSE),2),IF(AND($E119&lt;&gt;0,$F119&gt;0,YEAR($F119)&gt;=Preisindex!$A$6,YEAR(DL$4)&gt;=YEAR($F119),$K119="b"),ROUND(VLOOKUP(DQ$4,Preisindex,3,FALSE)/VLOOKUP(YEAR($F119),Preisindex,3,FALSE),2),IF(AND($E119&lt;&gt;0,$F119&gt;0,YEAR($F119)&gt;=Preisindex!$A$6,YEAR(DL$4)&gt;=YEAR($F119),$K119="g"),ROUND(VLOOKUP(DQ$4,Preisindex,4,FALSE)/VLOOKUP(YEAR($F119),Preisindex,4,FALSE),2),IF(AND($E119&lt;&gt;0,$F119&gt;0,YEAR($F119)&gt;=Preisindex!$A$6,YEAR(DL$4)&gt;=YEAR($F119),$K119="k"),ROUND(VLOOKUP(DQ$4,Preisindex,2,FALSE)/VLOOKUP(YEAR($F119),Preisindex,2,FALSE),2),0)))))</f>
        <v>0</v>
      </c>
      <c r="DR119" s="56">
        <f>IF(AND($E119&lt;&gt;0,$F119&gt;0,YEAR($F119)&lt;Preisindex!$A$6,YEAR(DL$4)&gt;=YEAR($F119),AND($K119&lt;&gt;"a",$K119&lt;&gt;"b",$K119&lt;&gt;"g",$K119&lt;&gt;"k")),1,IF(AND($E119&lt;&gt;0,$F119&gt;0,YEAR($F119)&lt;Preisindex!$A$6,YEAR(DL$4)&gt;=YEAR($F119),$K119="a"),ROUND(VLOOKUP(DQ$4,Preisindex,5,FALSE)/VLOOKUP(Preisindex!$A$6,Preisindex,5,FALSE),2),IF(AND($E119&lt;&gt;0,$F119&gt;0,YEAR($F119)&lt;Preisindex!$A$6,YEAR(DL$4)&gt;=YEAR($F119),$K119="b"),ROUND(VLOOKUP(DQ$4,Preisindex,3,FALSE)/VLOOKUP(Preisindex!$A$6,Preisindex,3,FALSE),2),IF(AND($E119&lt;&gt;0,$F119&gt;0,YEAR($F119)&lt;Preisindex!$A$6,YEAR(DL$4)&gt;=YEAR($F119),$K119="g"),ROUND(VLOOKUP(DQ$4,Preisindex,4,FALSE)/VLOOKUP(Preisindex!$A$6,Preisindex,4,FALSE),2),IF(AND($E119&lt;&gt;0,$F119&gt;0,YEAR($F119)&lt;Preisindex!$A$6,YEAR(DL$4)&gt;=YEAR($F119),$K119="k"),ROUND(VLOOKUP(DQ$4,Preisindex,2,FALSE)/VLOOKUP(Preisindex!$A$6,Preisindex,2,FALSE),2),0)))))</f>
        <v>0</v>
      </c>
      <c r="DS119" s="51">
        <f>IF(AND($E119&lt;&gt;0,$F119&gt;0,YEAR($F119)&lt;=DQ$4,YEAR($F119)&gt;=Preisindex!$A$6),ROUND($E119*DQ119,2),IF(AND($E119&lt;&gt;0,$F119&gt;0,YEAR($F119)&lt;=DQ$4,YEAR($F119)&lt;Preisindex!$A$6),ROUND($E119*DR119,2),0))</f>
        <v>0</v>
      </c>
      <c r="DT119" s="53">
        <f t="shared" si="402"/>
        <v>0</v>
      </c>
      <c r="DU119" s="51">
        <f t="shared" si="491"/>
        <v>0</v>
      </c>
      <c r="DV119" s="51">
        <f t="shared" si="473"/>
        <v>0</v>
      </c>
      <c r="DW119" s="51">
        <f t="shared" si="403"/>
        <v>0</v>
      </c>
      <c r="DX119" s="51">
        <f t="shared" si="474"/>
        <v>0</v>
      </c>
      <c r="DY119" s="51">
        <f t="shared" si="404"/>
        <v>0</v>
      </c>
      <c r="DZ119" s="51">
        <f t="shared" si="475"/>
        <v>0</v>
      </c>
      <c r="EA119" s="51">
        <f t="shared" si="405"/>
        <v>0</v>
      </c>
      <c r="EB119" s="51">
        <f t="shared" si="476"/>
        <v>0</v>
      </c>
      <c r="EC119" s="51">
        <f t="shared" si="406"/>
        <v>0</v>
      </c>
      <c r="ED119" s="51">
        <f t="shared" si="477"/>
        <v>0</v>
      </c>
      <c r="EE119" s="51">
        <f t="shared" si="407"/>
        <v>0</v>
      </c>
      <c r="EF119" s="54">
        <f t="shared" si="408"/>
        <v>0</v>
      </c>
      <c r="EG119" s="55">
        <f t="shared" si="409"/>
        <v>0</v>
      </c>
      <c r="EH119" s="56">
        <f>IF(AND($E119&lt;&gt;0,$F119&gt;0,YEAR($F119)&gt;=Preisindex!$A$6,YEAR(EC$4)&gt;=YEAR($F119),AND($K119&lt;&gt;"a",$K119&lt;&gt;"b",$K119&lt;&gt;"g",$K119&lt;&gt;"k")),1,IF(AND($E119&lt;&gt;0,$F119&gt;0,YEAR($F119)&gt;=Preisindex!$A$6,YEAR(EC$4)&gt;=YEAR($F119),$K119="a"),ROUND(VLOOKUP(EH$4,Preisindex,5,FALSE)/VLOOKUP(YEAR($F119),Preisindex,5,FALSE),2),IF(AND($E119&lt;&gt;0,$F119&gt;0,YEAR($F119)&gt;=Preisindex!$A$6,YEAR(EC$4)&gt;=YEAR($F119),$K119="b"),ROUND(VLOOKUP(EH$4,Preisindex,3,FALSE)/VLOOKUP(YEAR($F119),Preisindex,3,FALSE),2),IF(AND($E119&lt;&gt;0,$F119&gt;0,YEAR($F119)&gt;=Preisindex!$A$6,YEAR(EC$4)&gt;=YEAR($F119),$K119="g"),ROUND(VLOOKUP(EH$4,Preisindex,4,FALSE)/VLOOKUP(YEAR($F119),Preisindex,4,FALSE),2),IF(AND($E119&lt;&gt;0,$F119&gt;0,YEAR($F119)&gt;=Preisindex!$A$6,YEAR(EC$4)&gt;=YEAR($F119),$K119="k"),ROUND(VLOOKUP(EH$4,Preisindex,2,FALSE)/VLOOKUP(YEAR($F119),Preisindex,2,FALSE),2),0)))))</f>
        <v>0</v>
      </c>
      <c r="EI119" s="56">
        <f>IF(AND($E119&lt;&gt;0,$F119&gt;0,YEAR($F119)&lt;Preisindex!$A$6,YEAR(EC$4)&gt;=YEAR($F119),AND($K119&lt;&gt;"a",$K119&lt;&gt;"b",$K119&lt;&gt;"g",$K119&lt;&gt;"k")),1,IF(AND($E119&lt;&gt;0,$F119&gt;0,YEAR($F119)&lt;Preisindex!$A$6,YEAR(EC$4)&gt;=YEAR($F119),$K119="a"),ROUND(VLOOKUP(EH$4,Preisindex,5,FALSE)/VLOOKUP(Preisindex!$A$6,Preisindex,5,FALSE),2),IF(AND($E119&lt;&gt;0,$F119&gt;0,YEAR($F119)&lt;Preisindex!$A$6,YEAR(EC$4)&gt;=YEAR($F119),$K119="b"),ROUND(VLOOKUP(EH$4,Preisindex,3,FALSE)/VLOOKUP(Preisindex!$A$6,Preisindex,3,FALSE),2),IF(AND($E119&lt;&gt;0,$F119&gt;0,YEAR($F119)&lt;Preisindex!$A$6,YEAR(EC$4)&gt;=YEAR($F119),$K119="g"),ROUND(VLOOKUP(EH$4,Preisindex,4,FALSE)/VLOOKUP(Preisindex!$A$6,Preisindex,4,FALSE),2),IF(AND($E119&lt;&gt;0,$F119&gt;0,YEAR($F119)&lt;Preisindex!$A$6,YEAR(EC$4)&gt;=YEAR($F119),$K119="k"),ROUND(VLOOKUP(EH$4,Preisindex,2,FALSE)/VLOOKUP(Preisindex!$A$6,Preisindex,2,FALSE),2),0)))))</f>
        <v>0</v>
      </c>
      <c r="EJ119" s="51">
        <f>IF(AND($E119&lt;&gt;0,$F119&gt;0,YEAR($F119)&lt;=EH$4,YEAR($F119)&gt;=Preisindex!$A$6),ROUND($E119*EH119,2),IF(AND($E119&lt;&gt;0,$F119&gt;0,YEAR($F119)&lt;=EH$4,YEAR($F119)&lt;Preisindex!$A$6),ROUND($E119*EI119,2),0))</f>
        <v>0</v>
      </c>
      <c r="EK119" s="53">
        <f t="shared" si="410"/>
        <v>0</v>
      </c>
      <c r="EL119" s="51">
        <f t="shared" si="491"/>
        <v>0</v>
      </c>
      <c r="EM119" s="51">
        <f t="shared" si="478"/>
        <v>0</v>
      </c>
      <c r="EN119" s="51">
        <f t="shared" si="411"/>
        <v>0</v>
      </c>
      <c r="EO119" s="51">
        <f t="shared" si="479"/>
        <v>0</v>
      </c>
      <c r="EP119" s="51">
        <f t="shared" si="412"/>
        <v>0</v>
      </c>
      <c r="EQ119" s="51">
        <f t="shared" si="480"/>
        <v>0</v>
      </c>
      <c r="ER119" s="51">
        <f t="shared" si="413"/>
        <v>0</v>
      </c>
      <c r="ES119" s="51">
        <f t="shared" si="481"/>
        <v>0</v>
      </c>
      <c r="ET119" s="51">
        <f t="shared" si="414"/>
        <v>0</v>
      </c>
      <c r="EU119" s="51">
        <f t="shared" si="482"/>
        <v>0</v>
      </c>
      <c r="EV119" s="51">
        <f t="shared" si="415"/>
        <v>0</v>
      </c>
      <c r="EW119" s="54">
        <f t="shared" si="416"/>
        <v>0</v>
      </c>
      <c r="EX119" s="55">
        <f t="shared" si="417"/>
        <v>0</v>
      </c>
      <c r="EY119" s="56">
        <f>IF(AND($E119&lt;&gt;0,$F119&gt;0,YEAR($F119)&gt;=Preisindex!$A$6,YEAR(ET$4)&gt;=YEAR($F119),AND($K119&lt;&gt;"a",$K119&lt;&gt;"b",$K119&lt;&gt;"g",$K119&lt;&gt;"k")),1,IF(AND($E119&lt;&gt;0,$F119&gt;0,YEAR($F119)&gt;=Preisindex!$A$6,YEAR(ET$4)&gt;=YEAR($F119),$K119="a"),ROUND(VLOOKUP(EY$4,Preisindex,5,FALSE)/VLOOKUP(YEAR($F119),Preisindex,5,FALSE),2),IF(AND($E119&lt;&gt;0,$F119&gt;0,YEAR($F119)&gt;=Preisindex!$A$6,YEAR(ET$4)&gt;=YEAR($F119),$K119="b"),ROUND(VLOOKUP(EY$4,Preisindex,3,FALSE)/VLOOKUP(YEAR($F119),Preisindex,3,FALSE),2),IF(AND($E119&lt;&gt;0,$F119&gt;0,YEAR($F119)&gt;=Preisindex!$A$6,YEAR(ET$4)&gt;=YEAR($F119),$K119="g"),ROUND(VLOOKUP(EY$4,Preisindex,4,FALSE)/VLOOKUP(YEAR($F119),Preisindex,4,FALSE),2),IF(AND($E119&lt;&gt;0,$F119&gt;0,YEAR($F119)&gt;=Preisindex!$A$6,YEAR(ET$4)&gt;=YEAR($F119),$K119="k"),ROUND(VLOOKUP(EY$4,Preisindex,2,FALSE)/VLOOKUP(YEAR($F119),Preisindex,2,FALSE),2),0)))))</f>
        <v>0</v>
      </c>
      <c r="EZ119" s="56">
        <f>IF(AND($E119&lt;&gt;0,$F119&gt;0,YEAR($F119)&lt;Preisindex!$A$6,YEAR(ET$4)&gt;=YEAR($F119),AND($K119&lt;&gt;"a",$K119&lt;&gt;"b",$K119&lt;&gt;"g",$K119&lt;&gt;"k")),1,IF(AND($E119&lt;&gt;0,$F119&gt;0,YEAR($F119)&lt;Preisindex!$A$6,YEAR(ET$4)&gt;=YEAR($F119),$K119="a"),ROUND(VLOOKUP(EY$4,Preisindex,5,FALSE)/VLOOKUP(Preisindex!$A$6,Preisindex,5,FALSE),2),IF(AND($E119&lt;&gt;0,$F119&gt;0,YEAR($F119)&lt;Preisindex!$A$6,YEAR(ET$4)&gt;=YEAR($F119),$K119="b"),ROUND(VLOOKUP(EY$4,Preisindex,3,FALSE)/VLOOKUP(Preisindex!$A$6,Preisindex,3,FALSE),2),IF(AND($E119&lt;&gt;0,$F119&gt;0,YEAR($F119)&lt;Preisindex!$A$6,YEAR(ET$4)&gt;=YEAR($F119),$K119="g"),ROUND(VLOOKUP(EY$4,Preisindex,4,FALSE)/VLOOKUP(Preisindex!$A$6,Preisindex,4,FALSE),2),IF(AND($E119&lt;&gt;0,$F119&gt;0,YEAR($F119)&lt;Preisindex!$A$6,YEAR(ET$4)&gt;=YEAR($F119),$K119="k"),ROUND(VLOOKUP(EY$4,Preisindex,2,FALSE)/VLOOKUP(Preisindex!$A$6,Preisindex,2,FALSE),2),0)))))</f>
        <v>0</v>
      </c>
      <c r="FA119" s="51">
        <f>IF(AND($E119&lt;&gt;0,$F119&gt;0,YEAR($F119)&lt;=EY$4,YEAR($F119)&gt;=Preisindex!$A$6),ROUND($E119*EY119,2),IF(AND($E119&lt;&gt;0,$F119&gt;0,YEAR($F119)&lt;=EY$4,YEAR($F119)&lt;Preisindex!$A$6),ROUND($E119*EZ119,2),0))</f>
        <v>0</v>
      </c>
      <c r="FB119" s="53">
        <f t="shared" si="418"/>
        <v>0</v>
      </c>
      <c r="FC119" s="51">
        <f t="shared" si="491"/>
        <v>0</v>
      </c>
      <c r="FD119" s="51">
        <f t="shared" si="483"/>
        <v>0</v>
      </c>
      <c r="FE119" s="51">
        <f t="shared" si="419"/>
        <v>0</v>
      </c>
      <c r="FF119" s="51">
        <f t="shared" si="484"/>
        <v>0</v>
      </c>
      <c r="FG119" s="51">
        <f t="shared" si="420"/>
        <v>0</v>
      </c>
      <c r="FH119" s="51">
        <f t="shared" si="485"/>
        <v>0</v>
      </c>
      <c r="FI119" s="51">
        <f t="shared" si="421"/>
        <v>0</v>
      </c>
      <c r="FJ119" s="51">
        <f t="shared" si="486"/>
        <v>0</v>
      </c>
      <c r="FK119" s="51">
        <f t="shared" si="422"/>
        <v>0</v>
      </c>
      <c r="FL119" s="51">
        <f t="shared" si="487"/>
        <v>0</v>
      </c>
      <c r="FM119" s="51">
        <f t="shared" si="423"/>
        <v>0</v>
      </c>
      <c r="FN119" s="54">
        <f t="shared" si="424"/>
        <v>0</v>
      </c>
      <c r="FO119" s="55">
        <f t="shared" si="425"/>
        <v>0</v>
      </c>
      <c r="FP119" s="56">
        <f>IF(AND($E119&lt;&gt;0,$F119&gt;0,YEAR($F119)&gt;=Preisindex!$A$6,YEAR(FK$4)&gt;=YEAR($F119),AND($K119&lt;&gt;"a",$K119&lt;&gt;"b",$K119&lt;&gt;"g",$K119&lt;&gt;"k")),1,IF(AND($E119&lt;&gt;0,$F119&gt;0,YEAR($F119)&gt;=Preisindex!$A$6,YEAR(FK$4)&gt;=YEAR($F119),$K119="a"),ROUND(VLOOKUP(FP$4,Preisindex,5,FALSE)/VLOOKUP(YEAR($F119),Preisindex,5,FALSE),2),IF(AND($E119&lt;&gt;0,$F119&gt;0,YEAR($F119)&gt;=Preisindex!$A$6,YEAR(FK$4)&gt;=YEAR($F119),$K119="b"),ROUND(VLOOKUP(FP$4,Preisindex,3,FALSE)/VLOOKUP(YEAR($F119),Preisindex,3,FALSE),2),IF(AND($E119&lt;&gt;0,$F119&gt;0,YEAR($F119)&gt;=Preisindex!$A$6,YEAR(FK$4)&gt;=YEAR($F119),$K119="g"),ROUND(VLOOKUP(FP$4,Preisindex,4,FALSE)/VLOOKUP(YEAR($F119),Preisindex,4,FALSE),2),IF(AND($E119&lt;&gt;0,$F119&gt;0,YEAR($F119)&gt;=Preisindex!$A$6,YEAR(FK$4)&gt;=YEAR($F119),$K119="k"),ROUND(VLOOKUP(FP$4,Preisindex,2,FALSE)/VLOOKUP(YEAR($F119),Preisindex,2,FALSE),2),0)))))</f>
        <v>0</v>
      </c>
      <c r="FQ119" s="56">
        <f>IF(AND($E119&lt;&gt;0,$F119&gt;0,YEAR($F119)&lt;Preisindex!$A$6,YEAR(FK$4)&gt;=YEAR($F119),AND($K119&lt;&gt;"a",$K119&lt;&gt;"b",$K119&lt;&gt;"g",$K119&lt;&gt;"k")),1,IF(AND($E119&lt;&gt;0,$F119&gt;0,YEAR($F119)&lt;Preisindex!$A$6,YEAR(FK$4)&gt;=YEAR($F119),$K119="a"),ROUND(VLOOKUP(FP$4,Preisindex,5,FALSE)/VLOOKUP(Preisindex!$A$6,Preisindex,5,FALSE),2),IF(AND($E119&lt;&gt;0,$F119&gt;0,YEAR($F119)&lt;Preisindex!$A$6,YEAR(FK$4)&gt;=YEAR($F119),$K119="b"),ROUND(VLOOKUP(FP$4,Preisindex,3,FALSE)/VLOOKUP(Preisindex!$A$6,Preisindex,3,FALSE),2),IF(AND($E119&lt;&gt;0,$F119&gt;0,YEAR($F119)&lt;Preisindex!$A$6,YEAR(FK$4)&gt;=YEAR($F119),$K119="g"),ROUND(VLOOKUP(FP$4,Preisindex,4,FALSE)/VLOOKUP(Preisindex!$A$6,Preisindex,4,FALSE),2),IF(AND($E119&lt;&gt;0,$F119&gt;0,YEAR($F119)&lt;Preisindex!$A$6,YEAR(FK$4)&gt;=YEAR($F119),$K119="k"),ROUND(VLOOKUP(FP$4,Preisindex,2,FALSE)/VLOOKUP(Preisindex!$A$6,Preisindex,2,FALSE),2),0)))))</f>
        <v>0</v>
      </c>
      <c r="FR119" s="51">
        <f>IF(AND($E119&lt;&gt;0,$F119&gt;0,YEAR($F119)&lt;=FP$4,YEAR($F119)&gt;=Preisindex!$A$6),ROUND($E119*FP119,2),IF(AND($E119&lt;&gt;0,$F119&gt;0,YEAR($F119)&lt;=FP$4,YEAR($F119)&lt;Preisindex!$A$6),ROUND($E119*FQ119,2),0))</f>
        <v>0</v>
      </c>
      <c r="FS119" s="53">
        <f t="shared" si="426"/>
        <v>0</v>
      </c>
    </row>
    <row r="120" spans="1:175" x14ac:dyDescent="0.3">
      <c r="A120" s="93"/>
      <c r="B120" s="94"/>
      <c r="C120" s="94"/>
      <c r="D120" s="95"/>
      <c r="E120" s="99"/>
      <c r="F120" s="97"/>
      <c r="G120" s="98"/>
      <c r="H120" s="620"/>
      <c r="I120" s="621"/>
      <c r="J120" s="194"/>
      <c r="K120" s="630"/>
      <c r="L120" s="49">
        <f t="shared" si="427"/>
        <v>0</v>
      </c>
      <c r="M120" s="50">
        <f t="shared" si="428"/>
        <v>0</v>
      </c>
      <c r="N120" s="51">
        <f t="shared" si="429"/>
        <v>0</v>
      </c>
      <c r="O120" s="51"/>
      <c r="P120" s="51">
        <f t="shared" si="430"/>
        <v>0</v>
      </c>
      <c r="Q120" s="52"/>
      <c r="R120" s="52"/>
      <c r="S120" s="52"/>
      <c r="T120" s="52"/>
      <c r="U120" s="52"/>
      <c r="V120" s="53">
        <f t="shared" si="431"/>
        <v>0</v>
      </c>
      <c r="W120" s="51">
        <f t="shared" si="432"/>
        <v>0</v>
      </c>
      <c r="X120" s="51">
        <f t="shared" si="433"/>
        <v>0</v>
      </c>
      <c r="Y120" s="51">
        <f t="shared" si="434"/>
        <v>0</v>
      </c>
      <c r="Z120" s="51">
        <f t="shared" si="435"/>
        <v>0</v>
      </c>
      <c r="AA120" s="51">
        <f t="shared" si="436"/>
        <v>0</v>
      </c>
      <c r="AB120" s="51">
        <f t="shared" si="437"/>
        <v>0</v>
      </c>
      <c r="AC120" s="51">
        <f t="shared" si="438"/>
        <v>0</v>
      </c>
      <c r="AD120" s="51">
        <f t="shared" si="439"/>
        <v>0</v>
      </c>
      <c r="AE120" s="51">
        <f t="shared" si="440"/>
        <v>0</v>
      </c>
      <c r="AF120" s="51">
        <f t="shared" si="441"/>
        <v>0</v>
      </c>
      <c r="AG120" s="51">
        <f t="shared" si="442"/>
        <v>0</v>
      </c>
      <c r="AH120" s="54">
        <f t="shared" si="443"/>
        <v>0</v>
      </c>
      <c r="AI120" s="55">
        <f t="shared" si="444"/>
        <v>0</v>
      </c>
      <c r="AJ120" s="56">
        <f>IF(AND($E120&lt;&gt;0,$F120&gt;0,YEAR($F120)&gt;=Preisindex!$A$6,YEAR(AE$4)&gt;=YEAR($F120),AND($K120&lt;&gt;"a",$K120&lt;&gt;"b",$K120&lt;&gt;"g",$K120&lt;&gt;"k")),1,IF(AND($E120&lt;&gt;0,$F120&gt;0,YEAR($F120)&gt;=Preisindex!$A$6,YEAR(AE$4)&gt;=YEAR($F120),$K120="a"),ROUND(VLOOKUP(AJ$4,Preisindex,5,FALSE)/VLOOKUP(YEAR($F120),Preisindex,5,FALSE),2),IF(AND($E120&lt;&gt;0,$F120&gt;0,YEAR($F120)&gt;=Preisindex!$A$6,YEAR(AE$4)&gt;=YEAR($F120),$K120="b"),ROUND(VLOOKUP(AJ$4,Preisindex,3,FALSE)/VLOOKUP(YEAR($F120),Preisindex,3,FALSE),2),IF(AND($E120&lt;&gt;0,$F120&gt;0,YEAR($F120)&gt;=Preisindex!$A$6,YEAR(AE$4)&gt;=YEAR($F120),$K120="g"),ROUND(VLOOKUP(AJ$4,Preisindex,4,FALSE)/VLOOKUP(YEAR($F120),Preisindex,4,FALSE),2),IF(AND($E120&lt;&gt;0,$F120&gt;0,YEAR($F120)&gt;=Preisindex!$A$6,YEAR(AE$4)&gt;=YEAR($F120),$K120="k"),ROUND(VLOOKUP(AJ$4,Preisindex,2,FALSE)/VLOOKUP(YEAR($F120),Preisindex,2,FALSE),2),0)))))</f>
        <v>0</v>
      </c>
      <c r="AK120" s="56">
        <f>IF(AND($E120&lt;&gt;0,$F120&gt;0,YEAR($F120)&lt;Preisindex!$A$6,YEAR(AE$4)&gt;=YEAR($F120),AND($K120&lt;&gt;"a",$K120&lt;&gt;"b",$K120&lt;&gt;"g",$K120&lt;&gt;"k")),1,IF(AND($E120&lt;&gt;0,$F120&gt;0,YEAR($F120)&lt;Preisindex!$A$6,YEAR(AE$4)&gt;=YEAR($F120),$K120="a"),ROUND(VLOOKUP(AJ$4,Preisindex,5,FALSE)/VLOOKUP(Preisindex!$A$6,Preisindex,5,FALSE),2),IF(AND($E120&lt;&gt;0,$F120&gt;0,YEAR($F120)&lt;Preisindex!$A$6,YEAR(AE$4)&gt;=YEAR($F120),$K120="b"),ROUND(VLOOKUP(AJ$4,Preisindex,3,FALSE)/VLOOKUP(Preisindex!$A$6,Preisindex,3,FALSE),2),IF(AND($E120&lt;&gt;0,$F120&gt;0,YEAR($F120)&lt;Preisindex!$A$6,YEAR(AE$4)&gt;=YEAR($F120),$K120="g"),ROUND(VLOOKUP(AJ$4,Preisindex,4,FALSE)/VLOOKUP(Preisindex!$A$6,Preisindex,4,FALSE),2),IF(AND($E120&lt;&gt;0,$F120&gt;0,YEAR($F120)&lt;Preisindex!$A$6,YEAR(AE$4)&gt;=YEAR($F120),$K120="k"),ROUND(VLOOKUP(AJ$4,Preisindex,2,FALSE)/VLOOKUP(Preisindex!$A$6,Preisindex,2,FALSE),2),0)))))</f>
        <v>0</v>
      </c>
      <c r="AL120" s="51">
        <f>IF(AND($E120&lt;&gt;0,$F120&gt;0,YEAR($F120)&lt;=AJ$4,YEAR($F120)&gt;=Preisindex!$A$6),ROUND($E120*AJ120,2),IF(AND($E120&lt;&gt;0,$F120&gt;0,YEAR($F120)&lt;=AJ$4,YEAR($F120)&lt;Preisindex!$A$6),ROUND($E120*AK120,2),0))</f>
        <v>0</v>
      </c>
      <c r="AM120" s="53">
        <f t="shared" si="445"/>
        <v>0</v>
      </c>
      <c r="AN120" s="51">
        <f t="shared" si="490"/>
        <v>0</v>
      </c>
      <c r="AO120" s="51">
        <f t="shared" si="448"/>
        <v>0</v>
      </c>
      <c r="AP120" s="51">
        <f t="shared" si="362"/>
        <v>0</v>
      </c>
      <c r="AQ120" s="51">
        <f t="shared" si="449"/>
        <v>0</v>
      </c>
      <c r="AR120" s="51">
        <f t="shared" si="363"/>
        <v>0</v>
      </c>
      <c r="AS120" s="51">
        <f t="shared" si="450"/>
        <v>0</v>
      </c>
      <c r="AT120" s="51">
        <f t="shared" si="364"/>
        <v>0</v>
      </c>
      <c r="AU120" s="51">
        <f t="shared" si="451"/>
        <v>0</v>
      </c>
      <c r="AV120" s="51">
        <f t="shared" si="365"/>
        <v>0</v>
      </c>
      <c r="AW120" s="51">
        <f t="shared" si="452"/>
        <v>0</v>
      </c>
      <c r="AX120" s="51">
        <f t="shared" si="366"/>
        <v>0</v>
      </c>
      <c r="AY120" s="54">
        <f t="shared" si="367"/>
        <v>0</v>
      </c>
      <c r="AZ120" s="55">
        <f t="shared" si="368"/>
        <v>0</v>
      </c>
      <c r="BA120" s="56">
        <f>IF(AND($E120&lt;&gt;0,$F120&gt;0,YEAR($F120)&gt;=Preisindex!$A$6,YEAR(AV$4)&gt;=YEAR($F120),AND($K120&lt;&gt;"a",$K120&lt;&gt;"b",$K120&lt;&gt;"g",$K120&lt;&gt;"k")),1,IF(AND($E120&lt;&gt;0,$F120&gt;0,YEAR($F120)&gt;=Preisindex!$A$6,YEAR(AV$4)&gt;=YEAR($F120),$K120="a"),ROUND(VLOOKUP(BA$4,Preisindex,5,FALSE)/VLOOKUP(YEAR($F120),Preisindex,5,FALSE),2),IF(AND($E120&lt;&gt;0,$F120&gt;0,YEAR($F120)&gt;=Preisindex!$A$6,YEAR(AV$4)&gt;=YEAR($F120),$K120="b"),ROUND(VLOOKUP(BA$4,Preisindex,3,FALSE)/VLOOKUP(YEAR($F120),Preisindex,3,FALSE),2),IF(AND($E120&lt;&gt;0,$F120&gt;0,YEAR($F120)&gt;=Preisindex!$A$6,YEAR(AV$4)&gt;=YEAR($F120),$K120="g"),ROUND(VLOOKUP(BA$4,Preisindex,4,FALSE)/VLOOKUP(YEAR($F120),Preisindex,4,FALSE),2),IF(AND($E120&lt;&gt;0,$F120&gt;0,YEAR($F120)&gt;=Preisindex!$A$6,YEAR(AV$4)&gt;=YEAR($F120),$K120="k"),ROUND(VLOOKUP(BA$4,Preisindex,2,FALSE)/VLOOKUP(YEAR($F120),Preisindex,2,FALSE),2),0)))))</f>
        <v>0</v>
      </c>
      <c r="BB120" s="56">
        <f>IF(AND($E120&lt;&gt;0,$F120&gt;0,YEAR($F120)&lt;Preisindex!$A$6,YEAR(AV$4)&gt;=YEAR($F120),AND($K120&lt;&gt;"a",$K120&lt;&gt;"b",$K120&lt;&gt;"g",$K120&lt;&gt;"k")),1,IF(AND($E120&lt;&gt;0,$F120&gt;0,YEAR($F120)&lt;Preisindex!$A$6,YEAR(AV$4)&gt;=YEAR($F120),$K120="a"),ROUND(VLOOKUP(BA$4,Preisindex,5,FALSE)/VLOOKUP(Preisindex!$A$6,Preisindex,5,FALSE),2),IF(AND($E120&lt;&gt;0,$F120&gt;0,YEAR($F120)&lt;Preisindex!$A$6,YEAR(AV$4)&gt;=YEAR($F120),$K120="b"),ROUND(VLOOKUP(BA$4,Preisindex,3,FALSE)/VLOOKUP(Preisindex!$A$6,Preisindex,3,FALSE),2),IF(AND($E120&lt;&gt;0,$F120&gt;0,YEAR($F120)&lt;Preisindex!$A$6,YEAR(AV$4)&gt;=YEAR($F120),$K120="g"),ROUND(VLOOKUP(BA$4,Preisindex,4,FALSE)/VLOOKUP(Preisindex!$A$6,Preisindex,4,FALSE),2),IF(AND($E120&lt;&gt;0,$F120&gt;0,YEAR($F120)&lt;Preisindex!$A$6,YEAR(AV$4)&gt;=YEAR($F120),$K120="k"),ROUND(VLOOKUP(BA$4,Preisindex,2,FALSE)/VLOOKUP(Preisindex!$A$6,Preisindex,2,FALSE),2),0)))))</f>
        <v>0</v>
      </c>
      <c r="BC120" s="51">
        <f>IF(AND($E120&lt;&gt;0,$F120&gt;0,YEAR($F120)&lt;=BA$4,YEAR($F120)&gt;=Preisindex!$A$6),ROUND($E120*BA120,2),IF(AND($E120&lt;&gt;0,$F120&gt;0,YEAR($F120)&lt;=BA$4,YEAR($F120)&lt;Preisindex!$A$6),ROUND($E120*BB120,2),0))</f>
        <v>0</v>
      </c>
      <c r="BD120" s="53">
        <f t="shared" si="369"/>
        <v>0</v>
      </c>
      <c r="BE120" s="51">
        <f t="shared" si="490"/>
        <v>0</v>
      </c>
      <c r="BF120" s="51">
        <f t="shared" si="453"/>
        <v>0</v>
      </c>
      <c r="BG120" s="51">
        <f t="shared" si="370"/>
        <v>0</v>
      </c>
      <c r="BH120" s="51">
        <f t="shared" si="454"/>
        <v>0</v>
      </c>
      <c r="BI120" s="51">
        <f t="shared" si="371"/>
        <v>0</v>
      </c>
      <c r="BJ120" s="51">
        <f t="shared" si="455"/>
        <v>0</v>
      </c>
      <c r="BK120" s="51">
        <f t="shared" si="372"/>
        <v>0</v>
      </c>
      <c r="BL120" s="51">
        <f t="shared" si="456"/>
        <v>0</v>
      </c>
      <c r="BM120" s="51">
        <f t="shared" si="373"/>
        <v>0</v>
      </c>
      <c r="BN120" s="51">
        <f t="shared" si="457"/>
        <v>0</v>
      </c>
      <c r="BO120" s="51">
        <f t="shared" si="374"/>
        <v>0</v>
      </c>
      <c r="BP120" s="54">
        <f t="shared" si="375"/>
        <v>0</v>
      </c>
      <c r="BQ120" s="55">
        <f t="shared" si="376"/>
        <v>0</v>
      </c>
      <c r="BR120" s="56">
        <f>IF(AND($E120&lt;&gt;0,$F120&gt;0,YEAR($F120)&gt;=Preisindex!$A$6,YEAR(BM$4)&gt;=YEAR($F120),AND($K120&lt;&gt;"a",$K120&lt;&gt;"b",$K120&lt;&gt;"g",$K120&lt;&gt;"k")),1,IF(AND($E120&lt;&gt;0,$F120&gt;0,YEAR($F120)&gt;=Preisindex!$A$6,YEAR(BM$4)&gt;=YEAR($F120),$K120="a"),ROUND(VLOOKUP(BR$4,Preisindex,5,FALSE)/VLOOKUP(YEAR($F120),Preisindex,5,FALSE),2),IF(AND($E120&lt;&gt;0,$F120&gt;0,YEAR($F120)&gt;=Preisindex!$A$6,YEAR(BM$4)&gt;=YEAR($F120),$K120="b"),ROUND(VLOOKUP(BR$4,Preisindex,3,FALSE)/VLOOKUP(YEAR($F120),Preisindex,3,FALSE),2),IF(AND($E120&lt;&gt;0,$F120&gt;0,YEAR($F120)&gt;=Preisindex!$A$6,YEAR(BM$4)&gt;=YEAR($F120),$K120="g"),ROUND(VLOOKUP(BR$4,Preisindex,4,FALSE)/VLOOKUP(YEAR($F120),Preisindex,4,FALSE),2),IF(AND($E120&lt;&gt;0,$F120&gt;0,YEAR($F120)&gt;=Preisindex!$A$6,YEAR(BM$4)&gt;=YEAR($F120),$K120="k"),ROUND(VLOOKUP(BR$4,Preisindex,2,FALSE)/VLOOKUP(YEAR($F120),Preisindex,2,FALSE),2),0)))))</f>
        <v>0</v>
      </c>
      <c r="BS120" s="56">
        <f>IF(AND($E120&lt;&gt;0,$F120&gt;0,YEAR($F120)&lt;Preisindex!$A$6,YEAR(BM$4)&gt;=YEAR($F120),AND($K120&lt;&gt;"a",$K120&lt;&gt;"b",$K120&lt;&gt;"g",$K120&lt;&gt;"k")),1,IF(AND($E120&lt;&gt;0,$F120&gt;0,YEAR($F120)&lt;Preisindex!$A$6,YEAR(BM$4)&gt;=YEAR($F120),$K120="a"),ROUND(VLOOKUP(BR$4,Preisindex,5,FALSE)/VLOOKUP(Preisindex!$A$6,Preisindex,5,FALSE),2),IF(AND($E120&lt;&gt;0,$F120&gt;0,YEAR($F120)&lt;Preisindex!$A$6,YEAR(BM$4)&gt;=YEAR($F120),$K120="b"),ROUND(VLOOKUP(BR$4,Preisindex,3,FALSE)/VLOOKUP(Preisindex!$A$6,Preisindex,3,FALSE),2),IF(AND($E120&lt;&gt;0,$F120&gt;0,YEAR($F120)&lt;Preisindex!$A$6,YEAR(BM$4)&gt;=YEAR($F120),$K120="g"),ROUND(VLOOKUP(BR$4,Preisindex,4,FALSE)/VLOOKUP(Preisindex!$A$6,Preisindex,4,FALSE),2),IF(AND($E120&lt;&gt;0,$F120&gt;0,YEAR($F120)&lt;Preisindex!$A$6,YEAR(BM$4)&gt;=YEAR($F120),$K120="k"),ROUND(VLOOKUP(BR$4,Preisindex,2,FALSE)/VLOOKUP(Preisindex!$A$6,Preisindex,2,FALSE),2),0)))))</f>
        <v>0</v>
      </c>
      <c r="BT120" s="51">
        <f>IF(AND($E120&lt;&gt;0,$F120&gt;0,YEAR($F120)&lt;=BR$4,YEAR($F120)&gt;=Preisindex!$A$6),ROUND($E120*BR120,2),IF(AND($E120&lt;&gt;0,$F120&gt;0,YEAR($F120)&lt;=BR$4,YEAR($F120)&lt;Preisindex!$A$6),ROUND($E120*BS120,2),0))</f>
        <v>0</v>
      </c>
      <c r="BU120" s="53">
        <f t="shared" si="377"/>
        <v>0</v>
      </c>
      <c r="BV120" s="51">
        <f t="shared" si="490"/>
        <v>0</v>
      </c>
      <c r="BW120" s="51">
        <f t="shared" si="458"/>
        <v>0</v>
      </c>
      <c r="BX120" s="51">
        <f t="shared" si="378"/>
        <v>0</v>
      </c>
      <c r="BY120" s="51">
        <f t="shared" si="459"/>
        <v>0</v>
      </c>
      <c r="BZ120" s="51">
        <f t="shared" si="379"/>
        <v>0</v>
      </c>
      <c r="CA120" s="51">
        <f t="shared" si="460"/>
        <v>0</v>
      </c>
      <c r="CB120" s="51">
        <f t="shared" si="380"/>
        <v>0</v>
      </c>
      <c r="CC120" s="51">
        <f t="shared" si="461"/>
        <v>0</v>
      </c>
      <c r="CD120" s="51">
        <f t="shared" si="381"/>
        <v>0</v>
      </c>
      <c r="CE120" s="51">
        <f t="shared" si="462"/>
        <v>0</v>
      </c>
      <c r="CF120" s="51">
        <f t="shared" si="382"/>
        <v>0</v>
      </c>
      <c r="CG120" s="54">
        <f t="shared" si="383"/>
        <v>0</v>
      </c>
      <c r="CH120" s="55">
        <f t="shared" si="384"/>
        <v>0</v>
      </c>
      <c r="CI120" s="56">
        <f>IF(AND($E120&lt;&gt;0,$F120&gt;0,YEAR($F120)&gt;=Preisindex!$A$6,YEAR(CD$4)&gt;=YEAR($F120),AND($K120&lt;&gt;"a",$K120&lt;&gt;"b",$K120&lt;&gt;"g",$K120&lt;&gt;"k")),1,IF(AND($E120&lt;&gt;0,$F120&gt;0,YEAR($F120)&gt;=Preisindex!$A$6,YEAR(CD$4)&gt;=YEAR($F120),$K120="a"),ROUND(VLOOKUP(CI$4,Preisindex,5,FALSE)/VLOOKUP(YEAR($F120),Preisindex,5,FALSE),2),IF(AND($E120&lt;&gt;0,$F120&gt;0,YEAR($F120)&gt;=Preisindex!$A$6,YEAR(CD$4)&gt;=YEAR($F120),$K120="b"),ROUND(VLOOKUP(CI$4,Preisindex,3,FALSE)/VLOOKUP(YEAR($F120),Preisindex,3,FALSE),2),IF(AND($E120&lt;&gt;0,$F120&gt;0,YEAR($F120)&gt;=Preisindex!$A$6,YEAR(CD$4)&gt;=YEAR($F120),$K120="g"),ROUND(VLOOKUP(CI$4,Preisindex,4,FALSE)/VLOOKUP(YEAR($F120),Preisindex,4,FALSE),2),IF(AND($E120&lt;&gt;0,$F120&gt;0,YEAR($F120)&gt;=Preisindex!$A$6,YEAR(CD$4)&gt;=YEAR($F120),$K120="k"),ROUND(VLOOKUP(CI$4,Preisindex,2,FALSE)/VLOOKUP(YEAR($F120),Preisindex,2,FALSE),2),0)))))</f>
        <v>0</v>
      </c>
      <c r="CJ120" s="56">
        <f>IF(AND($E120&lt;&gt;0,$F120&gt;0,YEAR($F120)&lt;Preisindex!$A$6,YEAR(CD$4)&gt;=YEAR($F120),AND($K120&lt;&gt;"a",$K120&lt;&gt;"b",$K120&lt;&gt;"g",$K120&lt;&gt;"k")),1,IF(AND($E120&lt;&gt;0,$F120&gt;0,YEAR($F120)&lt;Preisindex!$A$6,YEAR(CD$4)&gt;=YEAR($F120),$K120="a"),ROUND(VLOOKUP(CI$4,Preisindex,5,FALSE)/VLOOKUP(Preisindex!$A$6,Preisindex,5,FALSE),2),IF(AND($E120&lt;&gt;0,$F120&gt;0,YEAR($F120)&lt;Preisindex!$A$6,YEAR(CD$4)&gt;=YEAR($F120),$K120="b"),ROUND(VLOOKUP(CI$4,Preisindex,3,FALSE)/VLOOKUP(Preisindex!$A$6,Preisindex,3,FALSE),2),IF(AND($E120&lt;&gt;0,$F120&gt;0,YEAR($F120)&lt;Preisindex!$A$6,YEAR(CD$4)&gt;=YEAR($F120),$K120="g"),ROUND(VLOOKUP(CI$4,Preisindex,4,FALSE)/VLOOKUP(Preisindex!$A$6,Preisindex,4,FALSE),2),IF(AND($E120&lt;&gt;0,$F120&gt;0,YEAR($F120)&lt;Preisindex!$A$6,YEAR(CD$4)&gt;=YEAR($F120),$K120="k"),ROUND(VLOOKUP(CI$4,Preisindex,2,FALSE)/VLOOKUP(Preisindex!$A$6,Preisindex,2,FALSE),2),0)))))</f>
        <v>0</v>
      </c>
      <c r="CK120" s="51">
        <f>IF(AND($E120&lt;&gt;0,$F120&gt;0,YEAR($F120)&lt;=CI$4,YEAR($F120)&gt;=Preisindex!$A$6),ROUND($E120*CI120,2),IF(AND($E120&lt;&gt;0,$F120&gt;0,YEAR($F120)&lt;=CI$4,YEAR($F120)&lt;Preisindex!$A$6),ROUND($E120*CJ120,2),0))</f>
        <v>0</v>
      </c>
      <c r="CL120" s="53">
        <f t="shared" si="385"/>
        <v>0</v>
      </c>
      <c r="CM120" s="51">
        <f t="shared" si="490"/>
        <v>0</v>
      </c>
      <c r="CN120" s="51">
        <f t="shared" si="463"/>
        <v>0</v>
      </c>
      <c r="CO120" s="51">
        <f t="shared" si="386"/>
        <v>0</v>
      </c>
      <c r="CP120" s="51">
        <f t="shared" si="464"/>
        <v>0</v>
      </c>
      <c r="CQ120" s="51">
        <f t="shared" si="387"/>
        <v>0</v>
      </c>
      <c r="CR120" s="51">
        <f t="shared" si="465"/>
        <v>0</v>
      </c>
      <c r="CS120" s="51">
        <f t="shared" si="388"/>
        <v>0</v>
      </c>
      <c r="CT120" s="51">
        <f t="shared" si="466"/>
        <v>0</v>
      </c>
      <c r="CU120" s="51">
        <f t="shared" si="389"/>
        <v>0</v>
      </c>
      <c r="CV120" s="51">
        <f t="shared" si="467"/>
        <v>0</v>
      </c>
      <c r="CW120" s="51">
        <f t="shared" si="390"/>
        <v>0</v>
      </c>
      <c r="CX120" s="54">
        <f t="shared" si="391"/>
        <v>0</v>
      </c>
      <c r="CY120" s="55">
        <f t="shared" si="392"/>
        <v>0</v>
      </c>
      <c r="CZ120" s="56">
        <f>IF(AND($E120&lt;&gt;0,$F120&gt;0,YEAR($F120)&gt;=Preisindex!$A$6,YEAR(CU$4)&gt;=YEAR($F120),AND($K120&lt;&gt;"a",$K120&lt;&gt;"b",$K120&lt;&gt;"g",$K120&lt;&gt;"k")),1,IF(AND($E120&lt;&gt;0,$F120&gt;0,YEAR($F120)&gt;=Preisindex!$A$6,YEAR(CU$4)&gt;=YEAR($F120),$K120="a"),ROUND(VLOOKUP(CZ$4,Preisindex,5,FALSE)/VLOOKUP(YEAR($F120),Preisindex,5,FALSE),2),IF(AND($E120&lt;&gt;0,$F120&gt;0,YEAR($F120)&gt;=Preisindex!$A$6,YEAR(CU$4)&gt;=YEAR($F120),$K120="b"),ROUND(VLOOKUP(CZ$4,Preisindex,3,FALSE)/VLOOKUP(YEAR($F120),Preisindex,3,FALSE),2),IF(AND($E120&lt;&gt;0,$F120&gt;0,YEAR($F120)&gt;=Preisindex!$A$6,YEAR(CU$4)&gt;=YEAR($F120),$K120="g"),ROUND(VLOOKUP(CZ$4,Preisindex,4,FALSE)/VLOOKUP(YEAR($F120),Preisindex,4,FALSE),2),IF(AND($E120&lt;&gt;0,$F120&gt;0,YEAR($F120)&gt;=Preisindex!$A$6,YEAR(CU$4)&gt;=YEAR($F120),$K120="k"),ROUND(VLOOKUP(CZ$4,Preisindex,2,FALSE)/VLOOKUP(YEAR($F120),Preisindex,2,FALSE),2),0)))))</f>
        <v>0</v>
      </c>
      <c r="DA120" s="56">
        <f>IF(AND($E120&lt;&gt;0,$F120&gt;0,YEAR($F120)&lt;Preisindex!$A$6,YEAR(CU$4)&gt;=YEAR($F120),AND($K120&lt;&gt;"a",$K120&lt;&gt;"b",$K120&lt;&gt;"g",$K120&lt;&gt;"k")),1,IF(AND($E120&lt;&gt;0,$F120&gt;0,YEAR($F120)&lt;Preisindex!$A$6,YEAR(CU$4)&gt;=YEAR($F120),$K120="a"),ROUND(VLOOKUP(CZ$4,Preisindex,5,FALSE)/VLOOKUP(Preisindex!$A$6,Preisindex,5,FALSE),2),IF(AND($E120&lt;&gt;0,$F120&gt;0,YEAR($F120)&lt;Preisindex!$A$6,YEAR(CU$4)&gt;=YEAR($F120),$K120="b"),ROUND(VLOOKUP(CZ$4,Preisindex,3,FALSE)/VLOOKUP(Preisindex!$A$6,Preisindex,3,FALSE),2),IF(AND($E120&lt;&gt;0,$F120&gt;0,YEAR($F120)&lt;Preisindex!$A$6,YEAR(CU$4)&gt;=YEAR($F120),$K120="g"),ROUND(VLOOKUP(CZ$4,Preisindex,4,FALSE)/VLOOKUP(Preisindex!$A$6,Preisindex,4,FALSE),2),IF(AND($E120&lt;&gt;0,$F120&gt;0,YEAR($F120)&lt;Preisindex!$A$6,YEAR(CU$4)&gt;=YEAR($F120),$K120="k"),ROUND(VLOOKUP(CZ$4,Preisindex,2,FALSE)/VLOOKUP(Preisindex!$A$6,Preisindex,2,FALSE),2),0)))))</f>
        <v>0</v>
      </c>
      <c r="DB120" s="51">
        <f>IF(AND($E120&lt;&gt;0,$F120&gt;0,YEAR($F120)&lt;=CZ$4,YEAR($F120)&gt;=Preisindex!$A$6),ROUND($E120*CZ120,2),IF(AND($E120&lt;&gt;0,$F120&gt;0,YEAR($F120)&lt;=CZ$4,YEAR($F120)&lt;Preisindex!$A$6),ROUND($E120*DA120,2),0))</f>
        <v>0</v>
      </c>
      <c r="DC120" s="53">
        <f t="shared" si="393"/>
        <v>0</v>
      </c>
      <c r="DD120" s="51">
        <f t="shared" si="491"/>
        <v>0</v>
      </c>
      <c r="DE120" s="51">
        <f t="shared" si="468"/>
        <v>0</v>
      </c>
      <c r="DF120" s="51">
        <f t="shared" si="395"/>
        <v>0</v>
      </c>
      <c r="DG120" s="51">
        <f t="shared" si="469"/>
        <v>0</v>
      </c>
      <c r="DH120" s="51">
        <f t="shared" si="396"/>
        <v>0</v>
      </c>
      <c r="DI120" s="51">
        <f t="shared" si="470"/>
        <v>0</v>
      </c>
      <c r="DJ120" s="51">
        <f t="shared" si="397"/>
        <v>0</v>
      </c>
      <c r="DK120" s="51">
        <f t="shared" si="471"/>
        <v>0</v>
      </c>
      <c r="DL120" s="51">
        <f t="shared" si="398"/>
        <v>0</v>
      </c>
      <c r="DM120" s="51">
        <f t="shared" si="472"/>
        <v>0</v>
      </c>
      <c r="DN120" s="51">
        <f t="shared" si="399"/>
        <v>0</v>
      </c>
      <c r="DO120" s="54">
        <f t="shared" si="400"/>
        <v>0</v>
      </c>
      <c r="DP120" s="55">
        <f t="shared" si="401"/>
        <v>0</v>
      </c>
      <c r="DQ120" s="56">
        <f>IF(AND($E120&lt;&gt;0,$F120&gt;0,YEAR($F120)&gt;=Preisindex!$A$6,YEAR(DL$4)&gt;=YEAR($F120),AND($K120&lt;&gt;"a",$K120&lt;&gt;"b",$K120&lt;&gt;"g",$K120&lt;&gt;"k")),1,IF(AND($E120&lt;&gt;0,$F120&gt;0,YEAR($F120)&gt;=Preisindex!$A$6,YEAR(DL$4)&gt;=YEAR($F120),$K120="a"),ROUND(VLOOKUP(DQ$4,Preisindex,5,FALSE)/VLOOKUP(YEAR($F120),Preisindex,5,FALSE),2),IF(AND($E120&lt;&gt;0,$F120&gt;0,YEAR($F120)&gt;=Preisindex!$A$6,YEAR(DL$4)&gt;=YEAR($F120),$K120="b"),ROUND(VLOOKUP(DQ$4,Preisindex,3,FALSE)/VLOOKUP(YEAR($F120),Preisindex,3,FALSE),2),IF(AND($E120&lt;&gt;0,$F120&gt;0,YEAR($F120)&gt;=Preisindex!$A$6,YEAR(DL$4)&gt;=YEAR($F120),$K120="g"),ROUND(VLOOKUP(DQ$4,Preisindex,4,FALSE)/VLOOKUP(YEAR($F120),Preisindex,4,FALSE),2),IF(AND($E120&lt;&gt;0,$F120&gt;0,YEAR($F120)&gt;=Preisindex!$A$6,YEAR(DL$4)&gt;=YEAR($F120),$K120="k"),ROUND(VLOOKUP(DQ$4,Preisindex,2,FALSE)/VLOOKUP(YEAR($F120),Preisindex,2,FALSE),2),0)))))</f>
        <v>0</v>
      </c>
      <c r="DR120" s="56">
        <f>IF(AND($E120&lt;&gt;0,$F120&gt;0,YEAR($F120)&lt;Preisindex!$A$6,YEAR(DL$4)&gt;=YEAR($F120),AND($K120&lt;&gt;"a",$K120&lt;&gt;"b",$K120&lt;&gt;"g",$K120&lt;&gt;"k")),1,IF(AND($E120&lt;&gt;0,$F120&gt;0,YEAR($F120)&lt;Preisindex!$A$6,YEAR(DL$4)&gt;=YEAR($F120),$K120="a"),ROUND(VLOOKUP(DQ$4,Preisindex,5,FALSE)/VLOOKUP(Preisindex!$A$6,Preisindex,5,FALSE),2),IF(AND($E120&lt;&gt;0,$F120&gt;0,YEAR($F120)&lt;Preisindex!$A$6,YEAR(DL$4)&gt;=YEAR($F120),$K120="b"),ROUND(VLOOKUP(DQ$4,Preisindex,3,FALSE)/VLOOKUP(Preisindex!$A$6,Preisindex,3,FALSE),2),IF(AND($E120&lt;&gt;0,$F120&gt;0,YEAR($F120)&lt;Preisindex!$A$6,YEAR(DL$4)&gt;=YEAR($F120),$K120="g"),ROUND(VLOOKUP(DQ$4,Preisindex,4,FALSE)/VLOOKUP(Preisindex!$A$6,Preisindex,4,FALSE),2),IF(AND($E120&lt;&gt;0,$F120&gt;0,YEAR($F120)&lt;Preisindex!$A$6,YEAR(DL$4)&gt;=YEAR($F120),$K120="k"),ROUND(VLOOKUP(DQ$4,Preisindex,2,FALSE)/VLOOKUP(Preisindex!$A$6,Preisindex,2,FALSE),2),0)))))</f>
        <v>0</v>
      </c>
      <c r="DS120" s="51">
        <f>IF(AND($E120&lt;&gt;0,$F120&gt;0,YEAR($F120)&lt;=DQ$4,YEAR($F120)&gt;=Preisindex!$A$6),ROUND($E120*DQ120,2),IF(AND($E120&lt;&gt;0,$F120&gt;0,YEAR($F120)&lt;=DQ$4,YEAR($F120)&lt;Preisindex!$A$6),ROUND($E120*DR120,2),0))</f>
        <v>0</v>
      </c>
      <c r="DT120" s="53">
        <f t="shared" si="402"/>
        <v>0</v>
      </c>
      <c r="DU120" s="51">
        <f t="shared" si="491"/>
        <v>0</v>
      </c>
      <c r="DV120" s="51">
        <f t="shared" si="473"/>
        <v>0</v>
      </c>
      <c r="DW120" s="51">
        <f t="shared" si="403"/>
        <v>0</v>
      </c>
      <c r="DX120" s="51">
        <f t="shared" si="474"/>
        <v>0</v>
      </c>
      <c r="DY120" s="51">
        <f t="shared" si="404"/>
        <v>0</v>
      </c>
      <c r="DZ120" s="51">
        <f t="shared" si="475"/>
        <v>0</v>
      </c>
      <c r="EA120" s="51">
        <f t="shared" si="405"/>
        <v>0</v>
      </c>
      <c r="EB120" s="51">
        <f t="shared" si="476"/>
        <v>0</v>
      </c>
      <c r="EC120" s="51">
        <f t="shared" si="406"/>
        <v>0</v>
      </c>
      <c r="ED120" s="51">
        <f t="shared" si="477"/>
        <v>0</v>
      </c>
      <c r="EE120" s="51">
        <f t="shared" si="407"/>
        <v>0</v>
      </c>
      <c r="EF120" s="54">
        <f t="shared" si="408"/>
        <v>0</v>
      </c>
      <c r="EG120" s="55">
        <f t="shared" si="409"/>
        <v>0</v>
      </c>
      <c r="EH120" s="56">
        <f>IF(AND($E120&lt;&gt;0,$F120&gt;0,YEAR($F120)&gt;=Preisindex!$A$6,YEAR(EC$4)&gt;=YEAR($F120),AND($K120&lt;&gt;"a",$K120&lt;&gt;"b",$K120&lt;&gt;"g",$K120&lt;&gt;"k")),1,IF(AND($E120&lt;&gt;0,$F120&gt;0,YEAR($F120)&gt;=Preisindex!$A$6,YEAR(EC$4)&gt;=YEAR($F120),$K120="a"),ROUND(VLOOKUP(EH$4,Preisindex,5,FALSE)/VLOOKUP(YEAR($F120),Preisindex,5,FALSE),2),IF(AND($E120&lt;&gt;0,$F120&gt;0,YEAR($F120)&gt;=Preisindex!$A$6,YEAR(EC$4)&gt;=YEAR($F120),$K120="b"),ROUND(VLOOKUP(EH$4,Preisindex,3,FALSE)/VLOOKUP(YEAR($F120),Preisindex,3,FALSE),2),IF(AND($E120&lt;&gt;0,$F120&gt;0,YEAR($F120)&gt;=Preisindex!$A$6,YEAR(EC$4)&gt;=YEAR($F120),$K120="g"),ROUND(VLOOKUP(EH$4,Preisindex,4,FALSE)/VLOOKUP(YEAR($F120),Preisindex,4,FALSE),2),IF(AND($E120&lt;&gt;0,$F120&gt;0,YEAR($F120)&gt;=Preisindex!$A$6,YEAR(EC$4)&gt;=YEAR($F120),$K120="k"),ROUND(VLOOKUP(EH$4,Preisindex,2,FALSE)/VLOOKUP(YEAR($F120),Preisindex,2,FALSE),2),0)))))</f>
        <v>0</v>
      </c>
      <c r="EI120" s="56">
        <f>IF(AND($E120&lt;&gt;0,$F120&gt;0,YEAR($F120)&lt;Preisindex!$A$6,YEAR(EC$4)&gt;=YEAR($F120),AND($K120&lt;&gt;"a",$K120&lt;&gt;"b",$K120&lt;&gt;"g",$K120&lt;&gt;"k")),1,IF(AND($E120&lt;&gt;0,$F120&gt;0,YEAR($F120)&lt;Preisindex!$A$6,YEAR(EC$4)&gt;=YEAR($F120),$K120="a"),ROUND(VLOOKUP(EH$4,Preisindex,5,FALSE)/VLOOKUP(Preisindex!$A$6,Preisindex,5,FALSE),2),IF(AND($E120&lt;&gt;0,$F120&gt;0,YEAR($F120)&lt;Preisindex!$A$6,YEAR(EC$4)&gt;=YEAR($F120),$K120="b"),ROUND(VLOOKUP(EH$4,Preisindex,3,FALSE)/VLOOKUP(Preisindex!$A$6,Preisindex,3,FALSE),2),IF(AND($E120&lt;&gt;0,$F120&gt;0,YEAR($F120)&lt;Preisindex!$A$6,YEAR(EC$4)&gt;=YEAR($F120),$K120="g"),ROUND(VLOOKUP(EH$4,Preisindex,4,FALSE)/VLOOKUP(Preisindex!$A$6,Preisindex,4,FALSE),2),IF(AND($E120&lt;&gt;0,$F120&gt;0,YEAR($F120)&lt;Preisindex!$A$6,YEAR(EC$4)&gt;=YEAR($F120),$K120="k"),ROUND(VLOOKUP(EH$4,Preisindex,2,FALSE)/VLOOKUP(Preisindex!$A$6,Preisindex,2,FALSE),2),0)))))</f>
        <v>0</v>
      </c>
      <c r="EJ120" s="51">
        <f>IF(AND($E120&lt;&gt;0,$F120&gt;0,YEAR($F120)&lt;=EH$4,YEAR($F120)&gt;=Preisindex!$A$6),ROUND($E120*EH120,2),IF(AND($E120&lt;&gt;0,$F120&gt;0,YEAR($F120)&lt;=EH$4,YEAR($F120)&lt;Preisindex!$A$6),ROUND($E120*EI120,2),0))</f>
        <v>0</v>
      </c>
      <c r="EK120" s="53">
        <f t="shared" si="410"/>
        <v>0</v>
      </c>
      <c r="EL120" s="51">
        <f t="shared" si="491"/>
        <v>0</v>
      </c>
      <c r="EM120" s="51">
        <f t="shared" si="478"/>
        <v>0</v>
      </c>
      <c r="EN120" s="51">
        <f t="shared" si="411"/>
        <v>0</v>
      </c>
      <c r="EO120" s="51">
        <f t="shared" si="479"/>
        <v>0</v>
      </c>
      <c r="EP120" s="51">
        <f t="shared" si="412"/>
        <v>0</v>
      </c>
      <c r="EQ120" s="51">
        <f t="shared" si="480"/>
        <v>0</v>
      </c>
      <c r="ER120" s="51">
        <f t="shared" si="413"/>
        <v>0</v>
      </c>
      <c r="ES120" s="51">
        <f t="shared" si="481"/>
        <v>0</v>
      </c>
      <c r="ET120" s="51">
        <f t="shared" si="414"/>
        <v>0</v>
      </c>
      <c r="EU120" s="51">
        <f t="shared" si="482"/>
        <v>0</v>
      </c>
      <c r="EV120" s="51">
        <f t="shared" si="415"/>
        <v>0</v>
      </c>
      <c r="EW120" s="54">
        <f t="shared" si="416"/>
        <v>0</v>
      </c>
      <c r="EX120" s="55">
        <f t="shared" si="417"/>
        <v>0</v>
      </c>
      <c r="EY120" s="56">
        <f>IF(AND($E120&lt;&gt;0,$F120&gt;0,YEAR($F120)&gt;=Preisindex!$A$6,YEAR(ET$4)&gt;=YEAR($F120),AND($K120&lt;&gt;"a",$K120&lt;&gt;"b",$K120&lt;&gt;"g",$K120&lt;&gt;"k")),1,IF(AND($E120&lt;&gt;0,$F120&gt;0,YEAR($F120)&gt;=Preisindex!$A$6,YEAR(ET$4)&gt;=YEAR($F120),$K120="a"),ROUND(VLOOKUP(EY$4,Preisindex,5,FALSE)/VLOOKUP(YEAR($F120),Preisindex,5,FALSE),2),IF(AND($E120&lt;&gt;0,$F120&gt;0,YEAR($F120)&gt;=Preisindex!$A$6,YEAR(ET$4)&gt;=YEAR($F120),$K120="b"),ROUND(VLOOKUP(EY$4,Preisindex,3,FALSE)/VLOOKUP(YEAR($F120),Preisindex,3,FALSE),2),IF(AND($E120&lt;&gt;0,$F120&gt;0,YEAR($F120)&gt;=Preisindex!$A$6,YEAR(ET$4)&gt;=YEAR($F120),$K120="g"),ROUND(VLOOKUP(EY$4,Preisindex,4,FALSE)/VLOOKUP(YEAR($F120),Preisindex,4,FALSE),2),IF(AND($E120&lt;&gt;0,$F120&gt;0,YEAR($F120)&gt;=Preisindex!$A$6,YEAR(ET$4)&gt;=YEAR($F120),$K120="k"),ROUND(VLOOKUP(EY$4,Preisindex,2,FALSE)/VLOOKUP(YEAR($F120),Preisindex,2,FALSE),2),0)))))</f>
        <v>0</v>
      </c>
      <c r="EZ120" s="56">
        <f>IF(AND($E120&lt;&gt;0,$F120&gt;0,YEAR($F120)&lt;Preisindex!$A$6,YEAR(ET$4)&gt;=YEAR($F120),AND($K120&lt;&gt;"a",$K120&lt;&gt;"b",$K120&lt;&gt;"g",$K120&lt;&gt;"k")),1,IF(AND($E120&lt;&gt;0,$F120&gt;0,YEAR($F120)&lt;Preisindex!$A$6,YEAR(ET$4)&gt;=YEAR($F120),$K120="a"),ROUND(VLOOKUP(EY$4,Preisindex,5,FALSE)/VLOOKUP(Preisindex!$A$6,Preisindex,5,FALSE),2),IF(AND($E120&lt;&gt;0,$F120&gt;0,YEAR($F120)&lt;Preisindex!$A$6,YEAR(ET$4)&gt;=YEAR($F120),$K120="b"),ROUND(VLOOKUP(EY$4,Preisindex,3,FALSE)/VLOOKUP(Preisindex!$A$6,Preisindex,3,FALSE),2),IF(AND($E120&lt;&gt;0,$F120&gt;0,YEAR($F120)&lt;Preisindex!$A$6,YEAR(ET$4)&gt;=YEAR($F120),$K120="g"),ROUND(VLOOKUP(EY$4,Preisindex,4,FALSE)/VLOOKUP(Preisindex!$A$6,Preisindex,4,FALSE),2),IF(AND($E120&lt;&gt;0,$F120&gt;0,YEAR($F120)&lt;Preisindex!$A$6,YEAR(ET$4)&gt;=YEAR($F120),$K120="k"),ROUND(VLOOKUP(EY$4,Preisindex,2,FALSE)/VLOOKUP(Preisindex!$A$6,Preisindex,2,FALSE),2),0)))))</f>
        <v>0</v>
      </c>
      <c r="FA120" s="51">
        <f>IF(AND($E120&lt;&gt;0,$F120&gt;0,YEAR($F120)&lt;=EY$4,YEAR($F120)&gt;=Preisindex!$A$6),ROUND($E120*EY120,2),IF(AND($E120&lt;&gt;0,$F120&gt;0,YEAR($F120)&lt;=EY$4,YEAR($F120)&lt;Preisindex!$A$6),ROUND($E120*EZ120,2),0))</f>
        <v>0</v>
      </c>
      <c r="FB120" s="53">
        <f t="shared" si="418"/>
        <v>0</v>
      </c>
      <c r="FC120" s="51">
        <f t="shared" si="491"/>
        <v>0</v>
      </c>
      <c r="FD120" s="51">
        <f t="shared" si="483"/>
        <v>0</v>
      </c>
      <c r="FE120" s="51">
        <f t="shared" si="419"/>
        <v>0</v>
      </c>
      <c r="FF120" s="51">
        <f t="shared" si="484"/>
        <v>0</v>
      </c>
      <c r="FG120" s="51">
        <f t="shared" si="420"/>
        <v>0</v>
      </c>
      <c r="FH120" s="51">
        <f t="shared" si="485"/>
        <v>0</v>
      </c>
      <c r="FI120" s="51">
        <f t="shared" si="421"/>
        <v>0</v>
      </c>
      <c r="FJ120" s="51">
        <f t="shared" si="486"/>
        <v>0</v>
      </c>
      <c r="FK120" s="51">
        <f t="shared" si="422"/>
        <v>0</v>
      </c>
      <c r="FL120" s="51">
        <f t="shared" si="487"/>
        <v>0</v>
      </c>
      <c r="FM120" s="51">
        <f t="shared" si="423"/>
        <v>0</v>
      </c>
      <c r="FN120" s="54">
        <f t="shared" si="424"/>
        <v>0</v>
      </c>
      <c r="FO120" s="55">
        <f t="shared" si="425"/>
        <v>0</v>
      </c>
      <c r="FP120" s="56">
        <f>IF(AND($E120&lt;&gt;0,$F120&gt;0,YEAR($F120)&gt;=Preisindex!$A$6,YEAR(FK$4)&gt;=YEAR($F120),AND($K120&lt;&gt;"a",$K120&lt;&gt;"b",$K120&lt;&gt;"g",$K120&lt;&gt;"k")),1,IF(AND($E120&lt;&gt;0,$F120&gt;0,YEAR($F120)&gt;=Preisindex!$A$6,YEAR(FK$4)&gt;=YEAR($F120),$K120="a"),ROUND(VLOOKUP(FP$4,Preisindex,5,FALSE)/VLOOKUP(YEAR($F120),Preisindex,5,FALSE),2),IF(AND($E120&lt;&gt;0,$F120&gt;0,YEAR($F120)&gt;=Preisindex!$A$6,YEAR(FK$4)&gt;=YEAR($F120),$K120="b"),ROUND(VLOOKUP(FP$4,Preisindex,3,FALSE)/VLOOKUP(YEAR($F120),Preisindex,3,FALSE),2),IF(AND($E120&lt;&gt;0,$F120&gt;0,YEAR($F120)&gt;=Preisindex!$A$6,YEAR(FK$4)&gt;=YEAR($F120),$K120="g"),ROUND(VLOOKUP(FP$4,Preisindex,4,FALSE)/VLOOKUP(YEAR($F120),Preisindex,4,FALSE),2),IF(AND($E120&lt;&gt;0,$F120&gt;0,YEAR($F120)&gt;=Preisindex!$A$6,YEAR(FK$4)&gt;=YEAR($F120),$K120="k"),ROUND(VLOOKUP(FP$4,Preisindex,2,FALSE)/VLOOKUP(YEAR($F120),Preisindex,2,FALSE),2),0)))))</f>
        <v>0</v>
      </c>
      <c r="FQ120" s="56">
        <f>IF(AND($E120&lt;&gt;0,$F120&gt;0,YEAR($F120)&lt;Preisindex!$A$6,YEAR(FK$4)&gt;=YEAR($F120),AND($K120&lt;&gt;"a",$K120&lt;&gt;"b",$K120&lt;&gt;"g",$K120&lt;&gt;"k")),1,IF(AND($E120&lt;&gt;0,$F120&gt;0,YEAR($F120)&lt;Preisindex!$A$6,YEAR(FK$4)&gt;=YEAR($F120),$K120="a"),ROUND(VLOOKUP(FP$4,Preisindex,5,FALSE)/VLOOKUP(Preisindex!$A$6,Preisindex,5,FALSE),2),IF(AND($E120&lt;&gt;0,$F120&gt;0,YEAR($F120)&lt;Preisindex!$A$6,YEAR(FK$4)&gt;=YEAR($F120),$K120="b"),ROUND(VLOOKUP(FP$4,Preisindex,3,FALSE)/VLOOKUP(Preisindex!$A$6,Preisindex,3,FALSE),2),IF(AND($E120&lt;&gt;0,$F120&gt;0,YEAR($F120)&lt;Preisindex!$A$6,YEAR(FK$4)&gt;=YEAR($F120),$K120="g"),ROUND(VLOOKUP(FP$4,Preisindex,4,FALSE)/VLOOKUP(Preisindex!$A$6,Preisindex,4,FALSE),2),IF(AND($E120&lt;&gt;0,$F120&gt;0,YEAR($F120)&lt;Preisindex!$A$6,YEAR(FK$4)&gt;=YEAR($F120),$K120="k"),ROUND(VLOOKUP(FP$4,Preisindex,2,FALSE)/VLOOKUP(Preisindex!$A$6,Preisindex,2,FALSE),2),0)))))</f>
        <v>0</v>
      </c>
      <c r="FR120" s="51">
        <f>IF(AND($E120&lt;&gt;0,$F120&gt;0,YEAR($F120)&lt;=FP$4,YEAR($F120)&gt;=Preisindex!$A$6),ROUND($E120*FP120,2),IF(AND($E120&lt;&gt;0,$F120&gt;0,YEAR($F120)&lt;=FP$4,YEAR($F120)&lt;Preisindex!$A$6),ROUND($E120*FQ120,2),0))</f>
        <v>0</v>
      </c>
      <c r="FS120" s="53">
        <f t="shared" si="426"/>
        <v>0</v>
      </c>
    </row>
    <row r="121" spans="1:175" x14ac:dyDescent="0.3">
      <c r="A121" s="93"/>
      <c r="B121" s="94"/>
      <c r="C121" s="94"/>
      <c r="D121" s="95"/>
      <c r="E121" s="99"/>
      <c r="F121" s="97"/>
      <c r="G121" s="98"/>
      <c r="H121" s="620"/>
      <c r="I121" s="621"/>
      <c r="J121" s="194"/>
      <c r="K121" s="630"/>
      <c r="L121" s="49">
        <f t="shared" si="427"/>
        <v>0</v>
      </c>
      <c r="M121" s="50">
        <f t="shared" si="428"/>
        <v>0</v>
      </c>
      <c r="N121" s="51">
        <f t="shared" si="429"/>
        <v>0</v>
      </c>
      <c r="O121" s="51"/>
      <c r="P121" s="51">
        <f t="shared" si="430"/>
        <v>0</v>
      </c>
      <c r="Q121" s="52"/>
      <c r="R121" s="52"/>
      <c r="S121" s="52"/>
      <c r="T121" s="52"/>
      <c r="U121" s="52"/>
      <c r="V121" s="53">
        <f t="shared" si="431"/>
        <v>0</v>
      </c>
      <c r="W121" s="51">
        <f t="shared" si="432"/>
        <v>0</v>
      </c>
      <c r="X121" s="51">
        <f t="shared" si="433"/>
        <v>0</v>
      </c>
      <c r="Y121" s="51">
        <f t="shared" si="434"/>
        <v>0</v>
      </c>
      <c r="Z121" s="51">
        <f t="shared" si="435"/>
        <v>0</v>
      </c>
      <c r="AA121" s="51">
        <f t="shared" si="436"/>
        <v>0</v>
      </c>
      <c r="AB121" s="51">
        <f t="shared" si="437"/>
        <v>0</v>
      </c>
      <c r="AC121" s="51">
        <f t="shared" si="438"/>
        <v>0</v>
      </c>
      <c r="AD121" s="51">
        <f t="shared" si="439"/>
        <v>0</v>
      </c>
      <c r="AE121" s="51">
        <f t="shared" si="440"/>
        <v>0</v>
      </c>
      <c r="AF121" s="51">
        <f t="shared" si="441"/>
        <v>0</v>
      </c>
      <c r="AG121" s="51">
        <f t="shared" si="442"/>
        <v>0</v>
      </c>
      <c r="AH121" s="54">
        <f t="shared" si="443"/>
        <v>0</v>
      </c>
      <c r="AI121" s="55">
        <f t="shared" si="444"/>
        <v>0</v>
      </c>
      <c r="AJ121" s="56">
        <f>IF(AND($E121&lt;&gt;0,$F121&gt;0,YEAR($F121)&gt;=Preisindex!$A$6,YEAR(AE$4)&gt;=YEAR($F121),AND($K121&lt;&gt;"a",$K121&lt;&gt;"b",$K121&lt;&gt;"g",$K121&lt;&gt;"k")),1,IF(AND($E121&lt;&gt;0,$F121&gt;0,YEAR($F121)&gt;=Preisindex!$A$6,YEAR(AE$4)&gt;=YEAR($F121),$K121="a"),ROUND(VLOOKUP(AJ$4,Preisindex,5,FALSE)/VLOOKUP(YEAR($F121),Preisindex,5,FALSE),2),IF(AND($E121&lt;&gt;0,$F121&gt;0,YEAR($F121)&gt;=Preisindex!$A$6,YEAR(AE$4)&gt;=YEAR($F121),$K121="b"),ROUND(VLOOKUP(AJ$4,Preisindex,3,FALSE)/VLOOKUP(YEAR($F121),Preisindex,3,FALSE),2),IF(AND($E121&lt;&gt;0,$F121&gt;0,YEAR($F121)&gt;=Preisindex!$A$6,YEAR(AE$4)&gt;=YEAR($F121),$K121="g"),ROUND(VLOOKUP(AJ$4,Preisindex,4,FALSE)/VLOOKUP(YEAR($F121),Preisindex,4,FALSE),2),IF(AND($E121&lt;&gt;0,$F121&gt;0,YEAR($F121)&gt;=Preisindex!$A$6,YEAR(AE$4)&gt;=YEAR($F121),$K121="k"),ROUND(VLOOKUP(AJ$4,Preisindex,2,FALSE)/VLOOKUP(YEAR($F121),Preisindex,2,FALSE),2),0)))))</f>
        <v>0</v>
      </c>
      <c r="AK121" s="56">
        <f>IF(AND($E121&lt;&gt;0,$F121&gt;0,YEAR($F121)&lt;Preisindex!$A$6,YEAR(AE$4)&gt;=YEAR($F121),AND($K121&lt;&gt;"a",$K121&lt;&gt;"b",$K121&lt;&gt;"g",$K121&lt;&gt;"k")),1,IF(AND($E121&lt;&gt;0,$F121&gt;0,YEAR($F121)&lt;Preisindex!$A$6,YEAR(AE$4)&gt;=YEAR($F121),$K121="a"),ROUND(VLOOKUP(AJ$4,Preisindex,5,FALSE)/VLOOKUP(Preisindex!$A$6,Preisindex,5,FALSE),2),IF(AND($E121&lt;&gt;0,$F121&gt;0,YEAR($F121)&lt;Preisindex!$A$6,YEAR(AE$4)&gt;=YEAR($F121),$K121="b"),ROUND(VLOOKUP(AJ$4,Preisindex,3,FALSE)/VLOOKUP(Preisindex!$A$6,Preisindex,3,FALSE),2),IF(AND($E121&lt;&gt;0,$F121&gt;0,YEAR($F121)&lt;Preisindex!$A$6,YEAR(AE$4)&gt;=YEAR($F121),$K121="g"),ROUND(VLOOKUP(AJ$4,Preisindex,4,FALSE)/VLOOKUP(Preisindex!$A$6,Preisindex,4,FALSE),2),IF(AND($E121&lt;&gt;0,$F121&gt;0,YEAR($F121)&lt;Preisindex!$A$6,YEAR(AE$4)&gt;=YEAR($F121),$K121="k"),ROUND(VLOOKUP(AJ$4,Preisindex,2,FALSE)/VLOOKUP(Preisindex!$A$6,Preisindex,2,FALSE),2),0)))))</f>
        <v>0</v>
      </c>
      <c r="AL121" s="51">
        <f>IF(AND($E121&lt;&gt;0,$F121&gt;0,YEAR($F121)&lt;=AJ$4,YEAR($F121)&gt;=Preisindex!$A$6),ROUND($E121*AJ121,2),IF(AND($E121&lt;&gt;0,$F121&gt;0,YEAR($F121)&lt;=AJ$4,YEAR($F121)&lt;Preisindex!$A$6),ROUND($E121*AK121,2),0))</f>
        <v>0</v>
      </c>
      <c r="AM121" s="53">
        <f t="shared" si="445"/>
        <v>0</v>
      </c>
      <c r="AN121" s="51">
        <f t="shared" si="490"/>
        <v>0</v>
      </c>
      <c r="AO121" s="51">
        <f t="shared" si="448"/>
        <v>0</v>
      </c>
      <c r="AP121" s="51">
        <f t="shared" si="362"/>
        <v>0</v>
      </c>
      <c r="AQ121" s="51">
        <f t="shared" si="449"/>
        <v>0</v>
      </c>
      <c r="AR121" s="51">
        <f t="shared" si="363"/>
        <v>0</v>
      </c>
      <c r="AS121" s="51">
        <f t="shared" si="450"/>
        <v>0</v>
      </c>
      <c r="AT121" s="51">
        <f t="shared" si="364"/>
        <v>0</v>
      </c>
      <c r="AU121" s="51">
        <f t="shared" si="451"/>
        <v>0</v>
      </c>
      <c r="AV121" s="51">
        <f t="shared" si="365"/>
        <v>0</v>
      </c>
      <c r="AW121" s="51">
        <f t="shared" si="452"/>
        <v>0</v>
      </c>
      <c r="AX121" s="51">
        <f t="shared" si="366"/>
        <v>0</v>
      </c>
      <c r="AY121" s="54">
        <f t="shared" si="367"/>
        <v>0</v>
      </c>
      <c r="AZ121" s="55">
        <f t="shared" si="368"/>
        <v>0</v>
      </c>
      <c r="BA121" s="56">
        <f>IF(AND($E121&lt;&gt;0,$F121&gt;0,YEAR($F121)&gt;=Preisindex!$A$6,YEAR(AV$4)&gt;=YEAR($F121),AND($K121&lt;&gt;"a",$K121&lt;&gt;"b",$K121&lt;&gt;"g",$K121&lt;&gt;"k")),1,IF(AND($E121&lt;&gt;0,$F121&gt;0,YEAR($F121)&gt;=Preisindex!$A$6,YEAR(AV$4)&gt;=YEAR($F121),$K121="a"),ROUND(VLOOKUP(BA$4,Preisindex,5,FALSE)/VLOOKUP(YEAR($F121),Preisindex,5,FALSE),2),IF(AND($E121&lt;&gt;0,$F121&gt;0,YEAR($F121)&gt;=Preisindex!$A$6,YEAR(AV$4)&gt;=YEAR($F121),$K121="b"),ROUND(VLOOKUP(BA$4,Preisindex,3,FALSE)/VLOOKUP(YEAR($F121),Preisindex,3,FALSE),2),IF(AND($E121&lt;&gt;0,$F121&gt;0,YEAR($F121)&gt;=Preisindex!$A$6,YEAR(AV$4)&gt;=YEAR($F121),$K121="g"),ROUND(VLOOKUP(BA$4,Preisindex,4,FALSE)/VLOOKUP(YEAR($F121),Preisindex,4,FALSE),2),IF(AND($E121&lt;&gt;0,$F121&gt;0,YEAR($F121)&gt;=Preisindex!$A$6,YEAR(AV$4)&gt;=YEAR($F121),$K121="k"),ROUND(VLOOKUP(BA$4,Preisindex,2,FALSE)/VLOOKUP(YEAR($F121),Preisindex,2,FALSE),2),0)))))</f>
        <v>0</v>
      </c>
      <c r="BB121" s="56">
        <f>IF(AND($E121&lt;&gt;0,$F121&gt;0,YEAR($F121)&lt;Preisindex!$A$6,YEAR(AV$4)&gt;=YEAR($F121),AND($K121&lt;&gt;"a",$K121&lt;&gt;"b",$K121&lt;&gt;"g",$K121&lt;&gt;"k")),1,IF(AND($E121&lt;&gt;0,$F121&gt;0,YEAR($F121)&lt;Preisindex!$A$6,YEAR(AV$4)&gt;=YEAR($F121),$K121="a"),ROUND(VLOOKUP(BA$4,Preisindex,5,FALSE)/VLOOKUP(Preisindex!$A$6,Preisindex,5,FALSE),2),IF(AND($E121&lt;&gt;0,$F121&gt;0,YEAR($F121)&lt;Preisindex!$A$6,YEAR(AV$4)&gt;=YEAR($F121),$K121="b"),ROUND(VLOOKUP(BA$4,Preisindex,3,FALSE)/VLOOKUP(Preisindex!$A$6,Preisindex,3,FALSE),2),IF(AND($E121&lt;&gt;0,$F121&gt;0,YEAR($F121)&lt;Preisindex!$A$6,YEAR(AV$4)&gt;=YEAR($F121),$K121="g"),ROUND(VLOOKUP(BA$4,Preisindex,4,FALSE)/VLOOKUP(Preisindex!$A$6,Preisindex,4,FALSE),2),IF(AND($E121&lt;&gt;0,$F121&gt;0,YEAR($F121)&lt;Preisindex!$A$6,YEAR(AV$4)&gt;=YEAR($F121),$K121="k"),ROUND(VLOOKUP(BA$4,Preisindex,2,FALSE)/VLOOKUP(Preisindex!$A$6,Preisindex,2,FALSE),2),0)))))</f>
        <v>0</v>
      </c>
      <c r="BC121" s="51">
        <f>IF(AND($E121&lt;&gt;0,$F121&gt;0,YEAR($F121)&lt;=BA$4,YEAR($F121)&gt;=Preisindex!$A$6),ROUND($E121*BA121,2),IF(AND($E121&lt;&gt;0,$F121&gt;0,YEAR($F121)&lt;=BA$4,YEAR($F121)&lt;Preisindex!$A$6),ROUND($E121*BB121,2),0))</f>
        <v>0</v>
      </c>
      <c r="BD121" s="53">
        <f t="shared" si="369"/>
        <v>0</v>
      </c>
      <c r="BE121" s="51">
        <f t="shared" si="490"/>
        <v>0</v>
      </c>
      <c r="BF121" s="51">
        <f t="shared" si="453"/>
        <v>0</v>
      </c>
      <c r="BG121" s="51">
        <f t="shared" si="370"/>
        <v>0</v>
      </c>
      <c r="BH121" s="51">
        <f t="shared" si="454"/>
        <v>0</v>
      </c>
      <c r="BI121" s="51">
        <f t="shared" si="371"/>
        <v>0</v>
      </c>
      <c r="BJ121" s="51">
        <f t="shared" si="455"/>
        <v>0</v>
      </c>
      <c r="BK121" s="51">
        <f t="shared" si="372"/>
        <v>0</v>
      </c>
      <c r="BL121" s="51">
        <f t="shared" si="456"/>
        <v>0</v>
      </c>
      <c r="BM121" s="51">
        <f t="shared" si="373"/>
        <v>0</v>
      </c>
      <c r="BN121" s="51">
        <f t="shared" si="457"/>
        <v>0</v>
      </c>
      <c r="BO121" s="51">
        <f t="shared" si="374"/>
        <v>0</v>
      </c>
      <c r="BP121" s="54">
        <f t="shared" si="375"/>
        <v>0</v>
      </c>
      <c r="BQ121" s="55">
        <f t="shared" si="376"/>
        <v>0</v>
      </c>
      <c r="BR121" s="56">
        <f>IF(AND($E121&lt;&gt;0,$F121&gt;0,YEAR($F121)&gt;=Preisindex!$A$6,YEAR(BM$4)&gt;=YEAR($F121),AND($K121&lt;&gt;"a",$K121&lt;&gt;"b",$K121&lt;&gt;"g",$K121&lt;&gt;"k")),1,IF(AND($E121&lt;&gt;0,$F121&gt;0,YEAR($F121)&gt;=Preisindex!$A$6,YEAR(BM$4)&gt;=YEAR($F121),$K121="a"),ROUND(VLOOKUP(BR$4,Preisindex,5,FALSE)/VLOOKUP(YEAR($F121),Preisindex,5,FALSE),2),IF(AND($E121&lt;&gt;0,$F121&gt;0,YEAR($F121)&gt;=Preisindex!$A$6,YEAR(BM$4)&gt;=YEAR($F121),$K121="b"),ROUND(VLOOKUP(BR$4,Preisindex,3,FALSE)/VLOOKUP(YEAR($F121),Preisindex,3,FALSE),2),IF(AND($E121&lt;&gt;0,$F121&gt;0,YEAR($F121)&gt;=Preisindex!$A$6,YEAR(BM$4)&gt;=YEAR($F121),$K121="g"),ROUND(VLOOKUP(BR$4,Preisindex,4,FALSE)/VLOOKUP(YEAR($F121),Preisindex,4,FALSE),2),IF(AND($E121&lt;&gt;0,$F121&gt;0,YEAR($F121)&gt;=Preisindex!$A$6,YEAR(BM$4)&gt;=YEAR($F121),$K121="k"),ROUND(VLOOKUP(BR$4,Preisindex,2,FALSE)/VLOOKUP(YEAR($F121),Preisindex,2,FALSE),2),0)))))</f>
        <v>0</v>
      </c>
      <c r="BS121" s="56">
        <f>IF(AND($E121&lt;&gt;0,$F121&gt;0,YEAR($F121)&lt;Preisindex!$A$6,YEAR(BM$4)&gt;=YEAR($F121),AND($K121&lt;&gt;"a",$K121&lt;&gt;"b",$K121&lt;&gt;"g",$K121&lt;&gt;"k")),1,IF(AND($E121&lt;&gt;0,$F121&gt;0,YEAR($F121)&lt;Preisindex!$A$6,YEAR(BM$4)&gt;=YEAR($F121),$K121="a"),ROUND(VLOOKUP(BR$4,Preisindex,5,FALSE)/VLOOKUP(Preisindex!$A$6,Preisindex,5,FALSE),2),IF(AND($E121&lt;&gt;0,$F121&gt;0,YEAR($F121)&lt;Preisindex!$A$6,YEAR(BM$4)&gt;=YEAR($F121),$K121="b"),ROUND(VLOOKUP(BR$4,Preisindex,3,FALSE)/VLOOKUP(Preisindex!$A$6,Preisindex,3,FALSE),2),IF(AND($E121&lt;&gt;0,$F121&gt;0,YEAR($F121)&lt;Preisindex!$A$6,YEAR(BM$4)&gt;=YEAR($F121),$K121="g"),ROUND(VLOOKUP(BR$4,Preisindex,4,FALSE)/VLOOKUP(Preisindex!$A$6,Preisindex,4,FALSE),2),IF(AND($E121&lt;&gt;0,$F121&gt;0,YEAR($F121)&lt;Preisindex!$A$6,YEAR(BM$4)&gt;=YEAR($F121),$K121="k"),ROUND(VLOOKUP(BR$4,Preisindex,2,FALSE)/VLOOKUP(Preisindex!$A$6,Preisindex,2,FALSE),2),0)))))</f>
        <v>0</v>
      </c>
      <c r="BT121" s="51">
        <f>IF(AND($E121&lt;&gt;0,$F121&gt;0,YEAR($F121)&lt;=BR$4,YEAR($F121)&gt;=Preisindex!$A$6),ROUND($E121*BR121,2),IF(AND($E121&lt;&gt;0,$F121&gt;0,YEAR($F121)&lt;=BR$4,YEAR($F121)&lt;Preisindex!$A$6),ROUND($E121*BS121,2),0))</f>
        <v>0</v>
      </c>
      <c r="BU121" s="53">
        <f t="shared" si="377"/>
        <v>0</v>
      </c>
      <c r="BV121" s="51">
        <f t="shared" si="490"/>
        <v>0</v>
      </c>
      <c r="BW121" s="51">
        <f t="shared" si="458"/>
        <v>0</v>
      </c>
      <c r="BX121" s="51">
        <f t="shared" si="378"/>
        <v>0</v>
      </c>
      <c r="BY121" s="51">
        <f t="shared" si="459"/>
        <v>0</v>
      </c>
      <c r="BZ121" s="51">
        <f t="shared" si="379"/>
        <v>0</v>
      </c>
      <c r="CA121" s="51">
        <f t="shared" si="460"/>
        <v>0</v>
      </c>
      <c r="CB121" s="51">
        <f t="shared" si="380"/>
        <v>0</v>
      </c>
      <c r="CC121" s="51">
        <f t="shared" si="461"/>
        <v>0</v>
      </c>
      <c r="CD121" s="51">
        <f t="shared" si="381"/>
        <v>0</v>
      </c>
      <c r="CE121" s="51">
        <f t="shared" si="462"/>
        <v>0</v>
      </c>
      <c r="CF121" s="51">
        <f t="shared" si="382"/>
        <v>0</v>
      </c>
      <c r="CG121" s="54">
        <f t="shared" si="383"/>
        <v>0</v>
      </c>
      <c r="CH121" s="55">
        <f t="shared" si="384"/>
        <v>0</v>
      </c>
      <c r="CI121" s="56">
        <f>IF(AND($E121&lt;&gt;0,$F121&gt;0,YEAR($F121)&gt;=Preisindex!$A$6,YEAR(CD$4)&gt;=YEAR($F121),AND($K121&lt;&gt;"a",$K121&lt;&gt;"b",$K121&lt;&gt;"g",$K121&lt;&gt;"k")),1,IF(AND($E121&lt;&gt;0,$F121&gt;0,YEAR($F121)&gt;=Preisindex!$A$6,YEAR(CD$4)&gt;=YEAR($F121),$K121="a"),ROUND(VLOOKUP(CI$4,Preisindex,5,FALSE)/VLOOKUP(YEAR($F121),Preisindex,5,FALSE),2),IF(AND($E121&lt;&gt;0,$F121&gt;0,YEAR($F121)&gt;=Preisindex!$A$6,YEAR(CD$4)&gt;=YEAR($F121),$K121="b"),ROUND(VLOOKUP(CI$4,Preisindex,3,FALSE)/VLOOKUP(YEAR($F121),Preisindex,3,FALSE),2),IF(AND($E121&lt;&gt;0,$F121&gt;0,YEAR($F121)&gt;=Preisindex!$A$6,YEAR(CD$4)&gt;=YEAR($F121),$K121="g"),ROUND(VLOOKUP(CI$4,Preisindex,4,FALSE)/VLOOKUP(YEAR($F121),Preisindex,4,FALSE),2),IF(AND($E121&lt;&gt;0,$F121&gt;0,YEAR($F121)&gt;=Preisindex!$A$6,YEAR(CD$4)&gt;=YEAR($F121),$K121="k"),ROUND(VLOOKUP(CI$4,Preisindex,2,FALSE)/VLOOKUP(YEAR($F121),Preisindex,2,FALSE),2),0)))))</f>
        <v>0</v>
      </c>
      <c r="CJ121" s="56">
        <f>IF(AND($E121&lt;&gt;0,$F121&gt;0,YEAR($F121)&lt;Preisindex!$A$6,YEAR(CD$4)&gt;=YEAR($F121),AND($K121&lt;&gt;"a",$K121&lt;&gt;"b",$K121&lt;&gt;"g",$K121&lt;&gt;"k")),1,IF(AND($E121&lt;&gt;0,$F121&gt;0,YEAR($F121)&lt;Preisindex!$A$6,YEAR(CD$4)&gt;=YEAR($F121),$K121="a"),ROUND(VLOOKUP(CI$4,Preisindex,5,FALSE)/VLOOKUP(Preisindex!$A$6,Preisindex,5,FALSE),2),IF(AND($E121&lt;&gt;0,$F121&gt;0,YEAR($F121)&lt;Preisindex!$A$6,YEAR(CD$4)&gt;=YEAR($F121),$K121="b"),ROUND(VLOOKUP(CI$4,Preisindex,3,FALSE)/VLOOKUP(Preisindex!$A$6,Preisindex,3,FALSE),2),IF(AND($E121&lt;&gt;0,$F121&gt;0,YEAR($F121)&lt;Preisindex!$A$6,YEAR(CD$4)&gt;=YEAR($F121),$K121="g"),ROUND(VLOOKUP(CI$4,Preisindex,4,FALSE)/VLOOKUP(Preisindex!$A$6,Preisindex,4,FALSE),2),IF(AND($E121&lt;&gt;0,$F121&gt;0,YEAR($F121)&lt;Preisindex!$A$6,YEAR(CD$4)&gt;=YEAR($F121),$K121="k"),ROUND(VLOOKUP(CI$4,Preisindex,2,FALSE)/VLOOKUP(Preisindex!$A$6,Preisindex,2,FALSE),2),0)))))</f>
        <v>0</v>
      </c>
      <c r="CK121" s="51">
        <f>IF(AND($E121&lt;&gt;0,$F121&gt;0,YEAR($F121)&lt;=CI$4,YEAR($F121)&gt;=Preisindex!$A$6),ROUND($E121*CI121,2),IF(AND($E121&lt;&gt;0,$F121&gt;0,YEAR($F121)&lt;=CI$4,YEAR($F121)&lt;Preisindex!$A$6),ROUND($E121*CJ121,2),0))</f>
        <v>0</v>
      </c>
      <c r="CL121" s="53">
        <f t="shared" si="385"/>
        <v>0</v>
      </c>
      <c r="CM121" s="51">
        <f t="shared" si="490"/>
        <v>0</v>
      </c>
      <c r="CN121" s="51">
        <f t="shared" si="463"/>
        <v>0</v>
      </c>
      <c r="CO121" s="51">
        <f t="shared" si="386"/>
        <v>0</v>
      </c>
      <c r="CP121" s="51">
        <f t="shared" si="464"/>
        <v>0</v>
      </c>
      <c r="CQ121" s="51">
        <f t="shared" si="387"/>
        <v>0</v>
      </c>
      <c r="CR121" s="51">
        <f t="shared" si="465"/>
        <v>0</v>
      </c>
      <c r="CS121" s="51">
        <f t="shared" si="388"/>
        <v>0</v>
      </c>
      <c r="CT121" s="51">
        <f t="shared" si="466"/>
        <v>0</v>
      </c>
      <c r="CU121" s="51">
        <f t="shared" si="389"/>
        <v>0</v>
      </c>
      <c r="CV121" s="51">
        <f t="shared" si="467"/>
        <v>0</v>
      </c>
      <c r="CW121" s="51">
        <f t="shared" si="390"/>
        <v>0</v>
      </c>
      <c r="CX121" s="54">
        <f t="shared" si="391"/>
        <v>0</v>
      </c>
      <c r="CY121" s="55">
        <f t="shared" si="392"/>
        <v>0</v>
      </c>
      <c r="CZ121" s="56">
        <f>IF(AND($E121&lt;&gt;0,$F121&gt;0,YEAR($F121)&gt;=Preisindex!$A$6,YEAR(CU$4)&gt;=YEAR($F121),AND($K121&lt;&gt;"a",$K121&lt;&gt;"b",$K121&lt;&gt;"g",$K121&lt;&gt;"k")),1,IF(AND($E121&lt;&gt;0,$F121&gt;0,YEAR($F121)&gt;=Preisindex!$A$6,YEAR(CU$4)&gt;=YEAR($F121),$K121="a"),ROUND(VLOOKUP(CZ$4,Preisindex,5,FALSE)/VLOOKUP(YEAR($F121),Preisindex,5,FALSE),2),IF(AND($E121&lt;&gt;0,$F121&gt;0,YEAR($F121)&gt;=Preisindex!$A$6,YEAR(CU$4)&gt;=YEAR($F121),$K121="b"),ROUND(VLOOKUP(CZ$4,Preisindex,3,FALSE)/VLOOKUP(YEAR($F121),Preisindex,3,FALSE),2),IF(AND($E121&lt;&gt;0,$F121&gt;0,YEAR($F121)&gt;=Preisindex!$A$6,YEAR(CU$4)&gt;=YEAR($F121),$K121="g"),ROUND(VLOOKUP(CZ$4,Preisindex,4,FALSE)/VLOOKUP(YEAR($F121),Preisindex,4,FALSE),2),IF(AND($E121&lt;&gt;0,$F121&gt;0,YEAR($F121)&gt;=Preisindex!$A$6,YEAR(CU$4)&gt;=YEAR($F121),$K121="k"),ROUND(VLOOKUP(CZ$4,Preisindex,2,FALSE)/VLOOKUP(YEAR($F121),Preisindex,2,FALSE),2),0)))))</f>
        <v>0</v>
      </c>
      <c r="DA121" s="56">
        <f>IF(AND($E121&lt;&gt;0,$F121&gt;0,YEAR($F121)&lt;Preisindex!$A$6,YEAR(CU$4)&gt;=YEAR($F121),AND($K121&lt;&gt;"a",$K121&lt;&gt;"b",$K121&lt;&gt;"g",$K121&lt;&gt;"k")),1,IF(AND($E121&lt;&gt;0,$F121&gt;0,YEAR($F121)&lt;Preisindex!$A$6,YEAR(CU$4)&gt;=YEAR($F121),$K121="a"),ROUND(VLOOKUP(CZ$4,Preisindex,5,FALSE)/VLOOKUP(Preisindex!$A$6,Preisindex,5,FALSE),2),IF(AND($E121&lt;&gt;0,$F121&gt;0,YEAR($F121)&lt;Preisindex!$A$6,YEAR(CU$4)&gt;=YEAR($F121),$K121="b"),ROUND(VLOOKUP(CZ$4,Preisindex,3,FALSE)/VLOOKUP(Preisindex!$A$6,Preisindex,3,FALSE),2),IF(AND($E121&lt;&gt;0,$F121&gt;0,YEAR($F121)&lt;Preisindex!$A$6,YEAR(CU$4)&gt;=YEAR($F121),$K121="g"),ROUND(VLOOKUP(CZ$4,Preisindex,4,FALSE)/VLOOKUP(Preisindex!$A$6,Preisindex,4,FALSE),2),IF(AND($E121&lt;&gt;0,$F121&gt;0,YEAR($F121)&lt;Preisindex!$A$6,YEAR(CU$4)&gt;=YEAR($F121),$K121="k"),ROUND(VLOOKUP(CZ$4,Preisindex,2,FALSE)/VLOOKUP(Preisindex!$A$6,Preisindex,2,FALSE),2),0)))))</f>
        <v>0</v>
      </c>
      <c r="DB121" s="51">
        <f>IF(AND($E121&lt;&gt;0,$F121&gt;0,YEAR($F121)&lt;=CZ$4,YEAR($F121)&gt;=Preisindex!$A$6),ROUND($E121*CZ121,2),IF(AND($E121&lt;&gt;0,$F121&gt;0,YEAR($F121)&lt;=CZ$4,YEAR($F121)&lt;Preisindex!$A$6),ROUND($E121*DA121,2),0))</f>
        <v>0</v>
      </c>
      <c r="DC121" s="53">
        <f t="shared" si="393"/>
        <v>0</v>
      </c>
      <c r="DD121" s="51">
        <f t="shared" si="491"/>
        <v>0</v>
      </c>
      <c r="DE121" s="51">
        <f t="shared" si="468"/>
        <v>0</v>
      </c>
      <c r="DF121" s="51">
        <f t="shared" si="395"/>
        <v>0</v>
      </c>
      <c r="DG121" s="51">
        <f t="shared" si="469"/>
        <v>0</v>
      </c>
      <c r="DH121" s="51">
        <f t="shared" si="396"/>
        <v>0</v>
      </c>
      <c r="DI121" s="51">
        <f t="shared" si="470"/>
        <v>0</v>
      </c>
      <c r="DJ121" s="51">
        <f t="shared" si="397"/>
        <v>0</v>
      </c>
      <c r="DK121" s="51">
        <f t="shared" si="471"/>
        <v>0</v>
      </c>
      <c r="DL121" s="51">
        <f t="shared" si="398"/>
        <v>0</v>
      </c>
      <c r="DM121" s="51">
        <f t="shared" si="472"/>
        <v>0</v>
      </c>
      <c r="DN121" s="51">
        <f t="shared" si="399"/>
        <v>0</v>
      </c>
      <c r="DO121" s="54">
        <f t="shared" si="400"/>
        <v>0</v>
      </c>
      <c r="DP121" s="55">
        <f t="shared" si="401"/>
        <v>0</v>
      </c>
      <c r="DQ121" s="56">
        <f>IF(AND($E121&lt;&gt;0,$F121&gt;0,YEAR($F121)&gt;=Preisindex!$A$6,YEAR(DL$4)&gt;=YEAR($F121),AND($K121&lt;&gt;"a",$K121&lt;&gt;"b",$K121&lt;&gt;"g",$K121&lt;&gt;"k")),1,IF(AND($E121&lt;&gt;0,$F121&gt;0,YEAR($F121)&gt;=Preisindex!$A$6,YEAR(DL$4)&gt;=YEAR($F121),$K121="a"),ROUND(VLOOKUP(DQ$4,Preisindex,5,FALSE)/VLOOKUP(YEAR($F121),Preisindex,5,FALSE),2),IF(AND($E121&lt;&gt;0,$F121&gt;0,YEAR($F121)&gt;=Preisindex!$A$6,YEAR(DL$4)&gt;=YEAR($F121),$K121="b"),ROUND(VLOOKUP(DQ$4,Preisindex,3,FALSE)/VLOOKUP(YEAR($F121),Preisindex,3,FALSE),2),IF(AND($E121&lt;&gt;0,$F121&gt;0,YEAR($F121)&gt;=Preisindex!$A$6,YEAR(DL$4)&gt;=YEAR($F121),$K121="g"),ROUND(VLOOKUP(DQ$4,Preisindex,4,FALSE)/VLOOKUP(YEAR($F121),Preisindex,4,FALSE),2),IF(AND($E121&lt;&gt;0,$F121&gt;0,YEAR($F121)&gt;=Preisindex!$A$6,YEAR(DL$4)&gt;=YEAR($F121),$K121="k"),ROUND(VLOOKUP(DQ$4,Preisindex,2,FALSE)/VLOOKUP(YEAR($F121),Preisindex,2,FALSE),2),0)))))</f>
        <v>0</v>
      </c>
      <c r="DR121" s="56">
        <f>IF(AND($E121&lt;&gt;0,$F121&gt;0,YEAR($F121)&lt;Preisindex!$A$6,YEAR(DL$4)&gt;=YEAR($F121),AND($K121&lt;&gt;"a",$K121&lt;&gt;"b",$K121&lt;&gt;"g",$K121&lt;&gt;"k")),1,IF(AND($E121&lt;&gt;0,$F121&gt;0,YEAR($F121)&lt;Preisindex!$A$6,YEAR(DL$4)&gt;=YEAR($F121),$K121="a"),ROUND(VLOOKUP(DQ$4,Preisindex,5,FALSE)/VLOOKUP(Preisindex!$A$6,Preisindex,5,FALSE),2),IF(AND($E121&lt;&gt;0,$F121&gt;0,YEAR($F121)&lt;Preisindex!$A$6,YEAR(DL$4)&gt;=YEAR($F121),$K121="b"),ROUND(VLOOKUP(DQ$4,Preisindex,3,FALSE)/VLOOKUP(Preisindex!$A$6,Preisindex,3,FALSE),2),IF(AND($E121&lt;&gt;0,$F121&gt;0,YEAR($F121)&lt;Preisindex!$A$6,YEAR(DL$4)&gt;=YEAR($F121),$K121="g"),ROUND(VLOOKUP(DQ$4,Preisindex,4,FALSE)/VLOOKUP(Preisindex!$A$6,Preisindex,4,FALSE),2),IF(AND($E121&lt;&gt;0,$F121&gt;0,YEAR($F121)&lt;Preisindex!$A$6,YEAR(DL$4)&gt;=YEAR($F121),$K121="k"),ROUND(VLOOKUP(DQ$4,Preisindex,2,FALSE)/VLOOKUP(Preisindex!$A$6,Preisindex,2,FALSE),2),0)))))</f>
        <v>0</v>
      </c>
      <c r="DS121" s="51">
        <f>IF(AND($E121&lt;&gt;0,$F121&gt;0,YEAR($F121)&lt;=DQ$4,YEAR($F121)&gt;=Preisindex!$A$6),ROUND($E121*DQ121,2),IF(AND($E121&lt;&gt;0,$F121&gt;0,YEAR($F121)&lt;=DQ$4,YEAR($F121)&lt;Preisindex!$A$6),ROUND($E121*DR121,2),0))</f>
        <v>0</v>
      </c>
      <c r="DT121" s="53">
        <f t="shared" si="402"/>
        <v>0</v>
      </c>
      <c r="DU121" s="51">
        <f t="shared" si="491"/>
        <v>0</v>
      </c>
      <c r="DV121" s="51">
        <f t="shared" si="473"/>
        <v>0</v>
      </c>
      <c r="DW121" s="51">
        <f t="shared" si="403"/>
        <v>0</v>
      </c>
      <c r="DX121" s="51">
        <f t="shared" si="474"/>
        <v>0</v>
      </c>
      <c r="DY121" s="51">
        <f t="shared" si="404"/>
        <v>0</v>
      </c>
      <c r="DZ121" s="51">
        <f t="shared" si="475"/>
        <v>0</v>
      </c>
      <c r="EA121" s="51">
        <f t="shared" si="405"/>
        <v>0</v>
      </c>
      <c r="EB121" s="51">
        <f t="shared" si="476"/>
        <v>0</v>
      </c>
      <c r="EC121" s="51">
        <f t="shared" si="406"/>
        <v>0</v>
      </c>
      <c r="ED121" s="51">
        <f t="shared" si="477"/>
        <v>0</v>
      </c>
      <c r="EE121" s="51">
        <f t="shared" si="407"/>
        <v>0</v>
      </c>
      <c r="EF121" s="54">
        <f t="shared" si="408"/>
        <v>0</v>
      </c>
      <c r="EG121" s="55">
        <f t="shared" si="409"/>
        <v>0</v>
      </c>
      <c r="EH121" s="56">
        <f>IF(AND($E121&lt;&gt;0,$F121&gt;0,YEAR($F121)&gt;=Preisindex!$A$6,YEAR(EC$4)&gt;=YEAR($F121),AND($K121&lt;&gt;"a",$K121&lt;&gt;"b",$K121&lt;&gt;"g",$K121&lt;&gt;"k")),1,IF(AND($E121&lt;&gt;0,$F121&gt;0,YEAR($F121)&gt;=Preisindex!$A$6,YEAR(EC$4)&gt;=YEAR($F121),$K121="a"),ROUND(VLOOKUP(EH$4,Preisindex,5,FALSE)/VLOOKUP(YEAR($F121),Preisindex,5,FALSE),2),IF(AND($E121&lt;&gt;0,$F121&gt;0,YEAR($F121)&gt;=Preisindex!$A$6,YEAR(EC$4)&gt;=YEAR($F121),$K121="b"),ROUND(VLOOKUP(EH$4,Preisindex,3,FALSE)/VLOOKUP(YEAR($F121),Preisindex,3,FALSE),2),IF(AND($E121&lt;&gt;0,$F121&gt;0,YEAR($F121)&gt;=Preisindex!$A$6,YEAR(EC$4)&gt;=YEAR($F121),$K121="g"),ROUND(VLOOKUP(EH$4,Preisindex,4,FALSE)/VLOOKUP(YEAR($F121),Preisindex,4,FALSE),2),IF(AND($E121&lt;&gt;0,$F121&gt;0,YEAR($F121)&gt;=Preisindex!$A$6,YEAR(EC$4)&gt;=YEAR($F121),$K121="k"),ROUND(VLOOKUP(EH$4,Preisindex,2,FALSE)/VLOOKUP(YEAR($F121),Preisindex,2,FALSE),2),0)))))</f>
        <v>0</v>
      </c>
      <c r="EI121" s="56">
        <f>IF(AND($E121&lt;&gt;0,$F121&gt;0,YEAR($F121)&lt;Preisindex!$A$6,YEAR(EC$4)&gt;=YEAR($F121),AND($K121&lt;&gt;"a",$K121&lt;&gt;"b",$K121&lt;&gt;"g",$K121&lt;&gt;"k")),1,IF(AND($E121&lt;&gt;0,$F121&gt;0,YEAR($F121)&lt;Preisindex!$A$6,YEAR(EC$4)&gt;=YEAR($F121),$K121="a"),ROUND(VLOOKUP(EH$4,Preisindex,5,FALSE)/VLOOKUP(Preisindex!$A$6,Preisindex,5,FALSE),2),IF(AND($E121&lt;&gt;0,$F121&gt;0,YEAR($F121)&lt;Preisindex!$A$6,YEAR(EC$4)&gt;=YEAR($F121),$K121="b"),ROUND(VLOOKUP(EH$4,Preisindex,3,FALSE)/VLOOKUP(Preisindex!$A$6,Preisindex,3,FALSE),2),IF(AND($E121&lt;&gt;0,$F121&gt;0,YEAR($F121)&lt;Preisindex!$A$6,YEAR(EC$4)&gt;=YEAR($F121),$K121="g"),ROUND(VLOOKUP(EH$4,Preisindex,4,FALSE)/VLOOKUP(Preisindex!$A$6,Preisindex,4,FALSE),2),IF(AND($E121&lt;&gt;0,$F121&gt;0,YEAR($F121)&lt;Preisindex!$A$6,YEAR(EC$4)&gt;=YEAR($F121),$K121="k"),ROUND(VLOOKUP(EH$4,Preisindex,2,FALSE)/VLOOKUP(Preisindex!$A$6,Preisindex,2,FALSE),2),0)))))</f>
        <v>0</v>
      </c>
      <c r="EJ121" s="51">
        <f>IF(AND($E121&lt;&gt;0,$F121&gt;0,YEAR($F121)&lt;=EH$4,YEAR($F121)&gt;=Preisindex!$A$6),ROUND($E121*EH121,2),IF(AND($E121&lt;&gt;0,$F121&gt;0,YEAR($F121)&lt;=EH$4,YEAR($F121)&lt;Preisindex!$A$6),ROUND($E121*EI121,2),0))</f>
        <v>0</v>
      </c>
      <c r="EK121" s="53">
        <f t="shared" si="410"/>
        <v>0</v>
      </c>
      <c r="EL121" s="51">
        <f t="shared" si="491"/>
        <v>0</v>
      </c>
      <c r="EM121" s="51">
        <f t="shared" si="478"/>
        <v>0</v>
      </c>
      <c r="EN121" s="51">
        <f t="shared" si="411"/>
        <v>0</v>
      </c>
      <c r="EO121" s="51">
        <f t="shared" si="479"/>
        <v>0</v>
      </c>
      <c r="EP121" s="51">
        <f t="shared" si="412"/>
        <v>0</v>
      </c>
      <c r="EQ121" s="51">
        <f t="shared" si="480"/>
        <v>0</v>
      </c>
      <c r="ER121" s="51">
        <f t="shared" si="413"/>
        <v>0</v>
      </c>
      <c r="ES121" s="51">
        <f t="shared" si="481"/>
        <v>0</v>
      </c>
      <c r="ET121" s="51">
        <f t="shared" si="414"/>
        <v>0</v>
      </c>
      <c r="EU121" s="51">
        <f t="shared" si="482"/>
        <v>0</v>
      </c>
      <c r="EV121" s="51">
        <f t="shared" si="415"/>
        <v>0</v>
      </c>
      <c r="EW121" s="54">
        <f t="shared" si="416"/>
        <v>0</v>
      </c>
      <c r="EX121" s="55">
        <f t="shared" si="417"/>
        <v>0</v>
      </c>
      <c r="EY121" s="56">
        <f>IF(AND($E121&lt;&gt;0,$F121&gt;0,YEAR($F121)&gt;=Preisindex!$A$6,YEAR(ET$4)&gt;=YEAR($F121),AND($K121&lt;&gt;"a",$K121&lt;&gt;"b",$K121&lt;&gt;"g",$K121&lt;&gt;"k")),1,IF(AND($E121&lt;&gt;0,$F121&gt;0,YEAR($F121)&gt;=Preisindex!$A$6,YEAR(ET$4)&gt;=YEAR($F121),$K121="a"),ROUND(VLOOKUP(EY$4,Preisindex,5,FALSE)/VLOOKUP(YEAR($F121),Preisindex,5,FALSE),2),IF(AND($E121&lt;&gt;0,$F121&gt;0,YEAR($F121)&gt;=Preisindex!$A$6,YEAR(ET$4)&gt;=YEAR($F121),$K121="b"),ROUND(VLOOKUP(EY$4,Preisindex,3,FALSE)/VLOOKUP(YEAR($F121),Preisindex,3,FALSE),2),IF(AND($E121&lt;&gt;0,$F121&gt;0,YEAR($F121)&gt;=Preisindex!$A$6,YEAR(ET$4)&gt;=YEAR($F121),$K121="g"),ROUND(VLOOKUP(EY$4,Preisindex,4,FALSE)/VLOOKUP(YEAR($F121),Preisindex,4,FALSE),2),IF(AND($E121&lt;&gt;0,$F121&gt;0,YEAR($F121)&gt;=Preisindex!$A$6,YEAR(ET$4)&gt;=YEAR($F121),$K121="k"),ROUND(VLOOKUP(EY$4,Preisindex,2,FALSE)/VLOOKUP(YEAR($F121),Preisindex,2,FALSE),2),0)))))</f>
        <v>0</v>
      </c>
      <c r="EZ121" s="56">
        <f>IF(AND($E121&lt;&gt;0,$F121&gt;0,YEAR($F121)&lt;Preisindex!$A$6,YEAR(ET$4)&gt;=YEAR($F121),AND($K121&lt;&gt;"a",$K121&lt;&gt;"b",$K121&lt;&gt;"g",$K121&lt;&gt;"k")),1,IF(AND($E121&lt;&gt;0,$F121&gt;0,YEAR($F121)&lt;Preisindex!$A$6,YEAR(ET$4)&gt;=YEAR($F121),$K121="a"),ROUND(VLOOKUP(EY$4,Preisindex,5,FALSE)/VLOOKUP(Preisindex!$A$6,Preisindex,5,FALSE),2),IF(AND($E121&lt;&gt;0,$F121&gt;0,YEAR($F121)&lt;Preisindex!$A$6,YEAR(ET$4)&gt;=YEAR($F121),$K121="b"),ROUND(VLOOKUP(EY$4,Preisindex,3,FALSE)/VLOOKUP(Preisindex!$A$6,Preisindex,3,FALSE),2),IF(AND($E121&lt;&gt;0,$F121&gt;0,YEAR($F121)&lt;Preisindex!$A$6,YEAR(ET$4)&gt;=YEAR($F121),$K121="g"),ROUND(VLOOKUP(EY$4,Preisindex,4,FALSE)/VLOOKUP(Preisindex!$A$6,Preisindex,4,FALSE),2),IF(AND($E121&lt;&gt;0,$F121&gt;0,YEAR($F121)&lt;Preisindex!$A$6,YEAR(ET$4)&gt;=YEAR($F121),$K121="k"),ROUND(VLOOKUP(EY$4,Preisindex,2,FALSE)/VLOOKUP(Preisindex!$A$6,Preisindex,2,FALSE),2),0)))))</f>
        <v>0</v>
      </c>
      <c r="FA121" s="51">
        <f>IF(AND($E121&lt;&gt;0,$F121&gt;0,YEAR($F121)&lt;=EY$4,YEAR($F121)&gt;=Preisindex!$A$6),ROUND($E121*EY121,2),IF(AND($E121&lt;&gt;0,$F121&gt;0,YEAR($F121)&lt;=EY$4,YEAR($F121)&lt;Preisindex!$A$6),ROUND($E121*EZ121,2),0))</f>
        <v>0</v>
      </c>
      <c r="FB121" s="53">
        <f t="shared" si="418"/>
        <v>0</v>
      </c>
      <c r="FC121" s="51">
        <f t="shared" si="491"/>
        <v>0</v>
      </c>
      <c r="FD121" s="51">
        <f t="shared" si="483"/>
        <v>0</v>
      </c>
      <c r="FE121" s="51">
        <f t="shared" si="419"/>
        <v>0</v>
      </c>
      <c r="FF121" s="51">
        <f t="shared" si="484"/>
        <v>0</v>
      </c>
      <c r="FG121" s="51">
        <f t="shared" si="420"/>
        <v>0</v>
      </c>
      <c r="FH121" s="51">
        <f t="shared" si="485"/>
        <v>0</v>
      </c>
      <c r="FI121" s="51">
        <f t="shared" si="421"/>
        <v>0</v>
      </c>
      <c r="FJ121" s="51">
        <f t="shared" si="486"/>
        <v>0</v>
      </c>
      <c r="FK121" s="51">
        <f t="shared" si="422"/>
        <v>0</v>
      </c>
      <c r="FL121" s="51">
        <f t="shared" si="487"/>
        <v>0</v>
      </c>
      <c r="FM121" s="51">
        <f t="shared" si="423"/>
        <v>0</v>
      </c>
      <c r="FN121" s="54">
        <f t="shared" si="424"/>
        <v>0</v>
      </c>
      <c r="FO121" s="55">
        <f t="shared" si="425"/>
        <v>0</v>
      </c>
      <c r="FP121" s="56">
        <f>IF(AND($E121&lt;&gt;0,$F121&gt;0,YEAR($F121)&gt;=Preisindex!$A$6,YEAR(FK$4)&gt;=YEAR($F121),AND($K121&lt;&gt;"a",$K121&lt;&gt;"b",$K121&lt;&gt;"g",$K121&lt;&gt;"k")),1,IF(AND($E121&lt;&gt;0,$F121&gt;0,YEAR($F121)&gt;=Preisindex!$A$6,YEAR(FK$4)&gt;=YEAR($F121),$K121="a"),ROUND(VLOOKUP(FP$4,Preisindex,5,FALSE)/VLOOKUP(YEAR($F121),Preisindex,5,FALSE),2),IF(AND($E121&lt;&gt;0,$F121&gt;0,YEAR($F121)&gt;=Preisindex!$A$6,YEAR(FK$4)&gt;=YEAR($F121),$K121="b"),ROUND(VLOOKUP(FP$4,Preisindex,3,FALSE)/VLOOKUP(YEAR($F121),Preisindex,3,FALSE),2),IF(AND($E121&lt;&gt;0,$F121&gt;0,YEAR($F121)&gt;=Preisindex!$A$6,YEAR(FK$4)&gt;=YEAR($F121),$K121="g"),ROUND(VLOOKUP(FP$4,Preisindex,4,FALSE)/VLOOKUP(YEAR($F121),Preisindex,4,FALSE),2),IF(AND($E121&lt;&gt;0,$F121&gt;0,YEAR($F121)&gt;=Preisindex!$A$6,YEAR(FK$4)&gt;=YEAR($F121),$K121="k"),ROUND(VLOOKUP(FP$4,Preisindex,2,FALSE)/VLOOKUP(YEAR($F121),Preisindex,2,FALSE),2),0)))))</f>
        <v>0</v>
      </c>
      <c r="FQ121" s="56">
        <f>IF(AND($E121&lt;&gt;0,$F121&gt;0,YEAR($F121)&lt;Preisindex!$A$6,YEAR(FK$4)&gt;=YEAR($F121),AND($K121&lt;&gt;"a",$K121&lt;&gt;"b",$K121&lt;&gt;"g",$K121&lt;&gt;"k")),1,IF(AND($E121&lt;&gt;0,$F121&gt;0,YEAR($F121)&lt;Preisindex!$A$6,YEAR(FK$4)&gt;=YEAR($F121),$K121="a"),ROUND(VLOOKUP(FP$4,Preisindex,5,FALSE)/VLOOKUP(Preisindex!$A$6,Preisindex,5,FALSE),2),IF(AND($E121&lt;&gt;0,$F121&gt;0,YEAR($F121)&lt;Preisindex!$A$6,YEAR(FK$4)&gt;=YEAR($F121),$K121="b"),ROUND(VLOOKUP(FP$4,Preisindex,3,FALSE)/VLOOKUP(Preisindex!$A$6,Preisindex,3,FALSE),2),IF(AND($E121&lt;&gt;0,$F121&gt;0,YEAR($F121)&lt;Preisindex!$A$6,YEAR(FK$4)&gt;=YEAR($F121),$K121="g"),ROUND(VLOOKUP(FP$4,Preisindex,4,FALSE)/VLOOKUP(Preisindex!$A$6,Preisindex,4,FALSE),2),IF(AND($E121&lt;&gt;0,$F121&gt;0,YEAR($F121)&lt;Preisindex!$A$6,YEAR(FK$4)&gt;=YEAR($F121),$K121="k"),ROUND(VLOOKUP(FP$4,Preisindex,2,FALSE)/VLOOKUP(Preisindex!$A$6,Preisindex,2,FALSE),2),0)))))</f>
        <v>0</v>
      </c>
      <c r="FR121" s="51">
        <f>IF(AND($E121&lt;&gt;0,$F121&gt;0,YEAR($F121)&lt;=FP$4,YEAR($F121)&gt;=Preisindex!$A$6),ROUND($E121*FP121,2),IF(AND($E121&lt;&gt;0,$F121&gt;0,YEAR($F121)&lt;=FP$4,YEAR($F121)&lt;Preisindex!$A$6),ROUND($E121*FQ121,2),0))</f>
        <v>0</v>
      </c>
      <c r="FS121" s="53">
        <f t="shared" si="426"/>
        <v>0</v>
      </c>
    </row>
    <row r="122" spans="1:175" x14ac:dyDescent="0.3">
      <c r="A122" s="93"/>
      <c r="B122" s="94"/>
      <c r="C122" s="94"/>
      <c r="D122" s="95"/>
      <c r="E122" s="99"/>
      <c r="F122" s="97"/>
      <c r="G122" s="98"/>
      <c r="H122" s="620"/>
      <c r="I122" s="621"/>
      <c r="J122" s="194"/>
      <c r="K122" s="630"/>
      <c r="L122" s="49">
        <f t="shared" si="427"/>
        <v>0</v>
      </c>
      <c r="M122" s="50">
        <f t="shared" si="428"/>
        <v>0</v>
      </c>
      <c r="N122" s="51">
        <f t="shared" si="429"/>
        <v>0</v>
      </c>
      <c r="O122" s="51"/>
      <c r="P122" s="51">
        <f t="shared" si="430"/>
        <v>0</v>
      </c>
      <c r="Q122" s="52"/>
      <c r="R122" s="52"/>
      <c r="S122" s="52"/>
      <c r="T122" s="52"/>
      <c r="U122" s="52"/>
      <c r="V122" s="53">
        <f t="shared" si="431"/>
        <v>0</v>
      </c>
      <c r="W122" s="51">
        <f t="shared" si="432"/>
        <v>0</v>
      </c>
      <c r="X122" s="51">
        <f t="shared" si="433"/>
        <v>0</v>
      </c>
      <c r="Y122" s="51">
        <f t="shared" si="434"/>
        <v>0</v>
      </c>
      <c r="Z122" s="51">
        <f t="shared" si="435"/>
        <v>0</v>
      </c>
      <c r="AA122" s="51">
        <f t="shared" si="436"/>
        <v>0</v>
      </c>
      <c r="AB122" s="51">
        <f t="shared" si="437"/>
        <v>0</v>
      </c>
      <c r="AC122" s="51">
        <f t="shared" si="438"/>
        <v>0</v>
      </c>
      <c r="AD122" s="51">
        <f t="shared" si="439"/>
        <v>0</v>
      </c>
      <c r="AE122" s="51">
        <f t="shared" si="440"/>
        <v>0</v>
      </c>
      <c r="AF122" s="51">
        <f t="shared" si="441"/>
        <v>0</v>
      </c>
      <c r="AG122" s="51">
        <f t="shared" si="442"/>
        <v>0</v>
      </c>
      <c r="AH122" s="54">
        <f t="shared" si="443"/>
        <v>0</v>
      </c>
      <c r="AI122" s="55">
        <f t="shared" si="444"/>
        <v>0</v>
      </c>
      <c r="AJ122" s="56">
        <f>IF(AND($E122&lt;&gt;0,$F122&gt;0,YEAR($F122)&gt;=Preisindex!$A$6,YEAR(AE$4)&gt;=YEAR($F122),AND($K122&lt;&gt;"a",$K122&lt;&gt;"b",$K122&lt;&gt;"g",$K122&lt;&gt;"k")),1,IF(AND($E122&lt;&gt;0,$F122&gt;0,YEAR($F122)&gt;=Preisindex!$A$6,YEAR(AE$4)&gt;=YEAR($F122),$K122="a"),ROUND(VLOOKUP(AJ$4,Preisindex,5,FALSE)/VLOOKUP(YEAR($F122),Preisindex,5,FALSE),2),IF(AND($E122&lt;&gt;0,$F122&gt;0,YEAR($F122)&gt;=Preisindex!$A$6,YEAR(AE$4)&gt;=YEAR($F122),$K122="b"),ROUND(VLOOKUP(AJ$4,Preisindex,3,FALSE)/VLOOKUP(YEAR($F122),Preisindex,3,FALSE),2),IF(AND($E122&lt;&gt;0,$F122&gt;0,YEAR($F122)&gt;=Preisindex!$A$6,YEAR(AE$4)&gt;=YEAR($F122),$K122="g"),ROUND(VLOOKUP(AJ$4,Preisindex,4,FALSE)/VLOOKUP(YEAR($F122),Preisindex,4,FALSE),2),IF(AND($E122&lt;&gt;0,$F122&gt;0,YEAR($F122)&gt;=Preisindex!$A$6,YEAR(AE$4)&gt;=YEAR($F122),$K122="k"),ROUND(VLOOKUP(AJ$4,Preisindex,2,FALSE)/VLOOKUP(YEAR($F122),Preisindex,2,FALSE),2),0)))))</f>
        <v>0</v>
      </c>
      <c r="AK122" s="56">
        <f>IF(AND($E122&lt;&gt;0,$F122&gt;0,YEAR($F122)&lt;Preisindex!$A$6,YEAR(AE$4)&gt;=YEAR($F122),AND($K122&lt;&gt;"a",$K122&lt;&gt;"b",$K122&lt;&gt;"g",$K122&lt;&gt;"k")),1,IF(AND($E122&lt;&gt;0,$F122&gt;0,YEAR($F122)&lt;Preisindex!$A$6,YEAR(AE$4)&gt;=YEAR($F122),$K122="a"),ROUND(VLOOKUP(AJ$4,Preisindex,5,FALSE)/VLOOKUP(Preisindex!$A$6,Preisindex,5,FALSE),2),IF(AND($E122&lt;&gt;0,$F122&gt;0,YEAR($F122)&lt;Preisindex!$A$6,YEAR(AE$4)&gt;=YEAR($F122),$K122="b"),ROUND(VLOOKUP(AJ$4,Preisindex,3,FALSE)/VLOOKUP(Preisindex!$A$6,Preisindex,3,FALSE),2),IF(AND($E122&lt;&gt;0,$F122&gt;0,YEAR($F122)&lt;Preisindex!$A$6,YEAR(AE$4)&gt;=YEAR($F122),$K122="g"),ROUND(VLOOKUP(AJ$4,Preisindex,4,FALSE)/VLOOKUP(Preisindex!$A$6,Preisindex,4,FALSE),2),IF(AND($E122&lt;&gt;0,$F122&gt;0,YEAR($F122)&lt;Preisindex!$A$6,YEAR(AE$4)&gt;=YEAR($F122),$K122="k"),ROUND(VLOOKUP(AJ$4,Preisindex,2,FALSE)/VLOOKUP(Preisindex!$A$6,Preisindex,2,FALSE),2),0)))))</f>
        <v>0</v>
      </c>
      <c r="AL122" s="51">
        <f>IF(AND($E122&lt;&gt;0,$F122&gt;0,YEAR($F122)&lt;=AJ$4,YEAR($F122)&gt;=Preisindex!$A$6),ROUND($E122*AJ122,2),IF(AND($E122&lt;&gt;0,$F122&gt;0,YEAR($F122)&lt;=AJ$4,YEAR($F122)&lt;Preisindex!$A$6),ROUND($E122*AK122,2),0))</f>
        <v>0</v>
      </c>
      <c r="AM122" s="53">
        <f t="shared" si="445"/>
        <v>0</v>
      </c>
      <c r="AN122" s="51">
        <f t="shared" si="490"/>
        <v>0</v>
      </c>
      <c r="AO122" s="51">
        <f t="shared" si="448"/>
        <v>0</v>
      </c>
      <c r="AP122" s="51">
        <f t="shared" si="362"/>
        <v>0</v>
      </c>
      <c r="AQ122" s="51">
        <f t="shared" si="449"/>
        <v>0</v>
      </c>
      <c r="AR122" s="51">
        <f t="shared" si="363"/>
        <v>0</v>
      </c>
      <c r="AS122" s="51">
        <f t="shared" si="450"/>
        <v>0</v>
      </c>
      <c r="AT122" s="51">
        <f t="shared" si="364"/>
        <v>0</v>
      </c>
      <c r="AU122" s="51">
        <f t="shared" si="451"/>
        <v>0</v>
      </c>
      <c r="AV122" s="51">
        <f t="shared" si="365"/>
        <v>0</v>
      </c>
      <c r="AW122" s="51">
        <f t="shared" si="452"/>
        <v>0</v>
      </c>
      <c r="AX122" s="51">
        <f t="shared" si="366"/>
        <v>0</v>
      </c>
      <c r="AY122" s="54">
        <f t="shared" si="367"/>
        <v>0</v>
      </c>
      <c r="AZ122" s="55">
        <f t="shared" si="368"/>
        <v>0</v>
      </c>
      <c r="BA122" s="56">
        <f>IF(AND($E122&lt;&gt;0,$F122&gt;0,YEAR($F122)&gt;=Preisindex!$A$6,YEAR(AV$4)&gt;=YEAR($F122),AND($K122&lt;&gt;"a",$K122&lt;&gt;"b",$K122&lt;&gt;"g",$K122&lt;&gt;"k")),1,IF(AND($E122&lt;&gt;0,$F122&gt;0,YEAR($F122)&gt;=Preisindex!$A$6,YEAR(AV$4)&gt;=YEAR($F122),$K122="a"),ROUND(VLOOKUP(BA$4,Preisindex,5,FALSE)/VLOOKUP(YEAR($F122),Preisindex,5,FALSE),2),IF(AND($E122&lt;&gt;0,$F122&gt;0,YEAR($F122)&gt;=Preisindex!$A$6,YEAR(AV$4)&gt;=YEAR($F122),$K122="b"),ROUND(VLOOKUP(BA$4,Preisindex,3,FALSE)/VLOOKUP(YEAR($F122),Preisindex,3,FALSE),2),IF(AND($E122&lt;&gt;0,$F122&gt;0,YEAR($F122)&gt;=Preisindex!$A$6,YEAR(AV$4)&gt;=YEAR($F122),$K122="g"),ROUND(VLOOKUP(BA$4,Preisindex,4,FALSE)/VLOOKUP(YEAR($F122),Preisindex,4,FALSE),2),IF(AND($E122&lt;&gt;0,$F122&gt;0,YEAR($F122)&gt;=Preisindex!$A$6,YEAR(AV$4)&gt;=YEAR($F122),$K122="k"),ROUND(VLOOKUP(BA$4,Preisindex,2,FALSE)/VLOOKUP(YEAR($F122),Preisindex,2,FALSE),2),0)))))</f>
        <v>0</v>
      </c>
      <c r="BB122" s="56">
        <f>IF(AND($E122&lt;&gt;0,$F122&gt;0,YEAR($F122)&lt;Preisindex!$A$6,YEAR(AV$4)&gt;=YEAR($F122),AND($K122&lt;&gt;"a",$K122&lt;&gt;"b",$K122&lt;&gt;"g",$K122&lt;&gt;"k")),1,IF(AND($E122&lt;&gt;0,$F122&gt;0,YEAR($F122)&lt;Preisindex!$A$6,YEAR(AV$4)&gt;=YEAR($F122),$K122="a"),ROUND(VLOOKUP(BA$4,Preisindex,5,FALSE)/VLOOKUP(Preisindex!$A$6,Preisindex,5,FALSE),2),IF(AND($E122&lt;&gt;0,$F122&gt;0,YEAR($F122)&lt;Preisindex!$A$6,YEAR(AV$4)&gt;=YEAR($F122),$K122="b"),ROUND(VLOOKUP(BA$4,Preisindex,3,FALSE)/VLOOKUP(Preisindex!$A$6,Preisindex,3,FALSE),2),IF(AND($E122&lt;&gt;0,$F122&gt;0,YEAR($F122)&lt;Preisindex!$A$6,YEAR(AV$4)&gt;=YEAR($F122),$K122="g"),ROUND(VLOOKUP(BA$4,Preisindex,4,FALSE)/VLOOKUP(Preisindex!$A$6,Preisindex,4,FALSE),2),IF(AND($E122&lt;&gt;0,$F122&gt;0,YEAR($F122)&lt;Preisindex!$A$6,YEAR(AV$4)&gt;=YEAR($F122),$K122="k"),ROUND(VLOOKUP(BA$4,Preisindex,2,FALSE)/VLOOKUP(Preisindex!$A$6,Preisindex,2,FALSE),2),0)))))</f>
        <v>0</v>
      </c>
      <c r="BC122" s="51">
        <f>IF(AND($E122&lt;&gt;0,$F122&gt;0,YEAR($F122)&lt;=BA$4,YEAR($F122)&gt;=Preisindex!$A$6),ROUND($E122*BA122,2),IF(AND($E122&lt;&gt;0,$F122&gt;0,YEAR($F122)&lt;=BA$4,YEAR($F122)&lt;Preisindex!$A$6),ROUND($E122*BB122,2),0))</f>
        <v>0</v>
      </c>
      <c r="BD122" s="53">
        <f t="shared" si="369"/>
        <v>0</v>
      </c>
      <c r="BE122" s="51">
        <f t="shared" si="490"/>
        <v>0</v>
      </c>
      <c r="BF122" s="51">
        <f t="shared" si="453"/>
        <v>0</v>
      </c>
      <c r="BG122" s="51">
        <f t="shared" si="370"/>
        <v>0</v>
      </c>
      <c r="BH122" s="51">
        <f t="shared" si="454"/>
        <v>0</v>
      </c>
      <c r="BI122" s="51">
        <f t="shared" si="371"/>
        <v>0</v>
      </c>
      <c r="BJ122" s="51">
        <f t="shared" si="455"/>
        <v>0</v>
      </c>
      <c r="BK122" s="51">
        <f t="shared" si="372"/>
        <v>0</v>
      </c>
      <c r="BL122" s="51">
        <f t="shared" si="456"/>
        <v>0</v>
      </c>
      <c r="BM122" s="51">
        <f t="shared" si="373"/>
        <v>0</v>
      </c>
      <c r="BN122" s="51">
        <f t="shared" si="457"/>
        <v>0</v>
      </c>
      <c r="BO122" s="51">
        <f t="shared" si="374"/>
        <v>0</v>
      </c>
      <c r="BP122" s="54">
        <f t="shared" si="375"/>
        <v>0</v>
      </c>
      <c r="BQ122" s="55">
        <f t="shared" si="376"/>
        <v>0</v>
      </c>
      <c r="BR122" s="56">
        <f>IF(AND($E122&lt;&gt;0,$F122&gt;0,YEAR($F122)&gt;=Preisindex!$A$6,YEAR(BM$4)&gt;=YEAR($F122),AND($K122&lt;&gt;"a",$K122&lt;&gt;"b",$K122&lt;&gt;"g",$K122&lt;&gt;"k")),1,IF(AND($E122&lt;&gt;0,$F122&gt;0,YEAR($F122)&gt;=Preisindex!$A$6,YEAR(BM$4)&gt;=YEAR($F122),$K122="a"),ROUND(VLOOKUP(BR$4,Preisindex,5,FALSE)/VLOOKUP(YEAR($F122),Preisindex,5,FALSE),2),IF(AND($E122&lt;&gt;0,$F122&gt;0,YEAR($F122)&gt;=Preisindex!$A$6,YEAR(BM$4)&gt;=YEAR($F122),$K122="b"),ROUND(VLOOKUP(BR$4,Preisindex,3,FALSE)/VLOOKUP(YEAR($F122),Preisindex,3,FALSE),2),IF(AND($E122&lt;&gt;0,$F122&gt;0,YEAR($F122)&gt;=Preisindex!$A$6,YEAR(BM$4)&gt;=YEAR($F122),$K122="g"),ROUND(VLOOKUP(BR$4,Preisindex,4,FALSE)/VLOOKUP(YEAR($F122),Preisindex,4,FALSE),2),IF(AND($E122&lt;&gt;0,$F122&gt;0,YEAR($F122)&gt;=Preisindex!$A$6,YEAR(BM$4)&gt;=YEAR($F122),$K122="k"),ROUND(VLOOKUP(BR$4,Preisindex,2,FALSE)/VLOOKUP(YEAR($F122),Preisindex,2,FALSE),2),0)))))</f>
        <v>0</v>
      </c>
      <c r="BS122" s="56">
        <f>IF(AND($E122&lt;&gt;0,$F122&gt;0,YEAR($F122)&lt;Preisindex!$A$6,YEAR(BM$4)&gt;=YEAR($F122),AND($K122&lt;&gt;"a",$K122&lt;&gt;"b",$K122&lt;&gt;"g",$K122&lt;&gt;"k")),1,IF(AND($E122&lt;&gt;0,$F122&gt;0,YEAR($F122)&lt;Preisindex!$A$6,YEAR(BM$4)&gt;=YEAR($F122),$K122="a"),ROUND(VLOOKUP(BR$4,Preisindex,5,FALSE)/VLOOKUP(Preisindex!$A$6,Preisindex,5,FALSE),2),IF(AND($E122&lt;&gt;0,$F122&gt;0,YEAR($F122)&lt;Preisindex!$A$6,YEAR(BM$4)&gt;=YEAR($F122),$K122="b"),ROUND(VLOOKUP(BR$4,Preisindex,3,FALSE)/VLOOKUP(Preisindex!$A$6,Preisindex,3,FALSE),2),IF(AND($E122&lt;&gt;0,$F122&gt;0,YEAR($F122)&lt;Preisindex!$A$6,YEAR(BM$4)&gt;=YEAR($F122),$K122="g"),ROUND(VLOOKUP(BR$4,Preisindex,4,FALSE)/VLOOKUP(Preisindex!$A$6,Preisindex,4,FALSE),2),IF(AND($E122&lt;&gt;0,$F122&gt;0,YEAR($F122)&lt;Preisindex!$A$6,YEAR(BM$4)&gt;=YEAR($F122),$K122="k"),ROUND(VLOOKUP(BR$4,Preisindex,2,FALSE)/VLOOKUP(Preisindex!$A$6,Preisindex,2,FALSE),2),0)))))</f>
        <v>0</v>
      </c>
      <c r="BT122" s="51">
        <f>IF(AND($E122&lt;&gt;0,$F122&gt;0,YEAR($F122)&lt;=BR$4,YEAR($F122)&gt;=Preisindex!$A$6),ROUND($E122*BR122,2),IF(AND($E122&lt;&gt;0,$F122&gt;0,YEAR($F122)&lt;=BR$4,YEAR($F122)&lt;Preisindex!$A$6),ROUND($E122*BS122,2),0))</f>
        <v>0</v>
      </c>
      <c r="BU122" s="53">
        <f t="shared" si="377"/>
        <v>0</v>
      </c>
      <c r="BV122" s="51">
        <f t="shared" si="490"/>
        <v>0</v>
      </c>
      <c r="BW122" s="51">
        <f t="shared" si="458"/>
        <v>0</v>
      </c>
      <c r="BX122" s="51">
        <f t="shared" si="378"/>
        <v>0</v>
      </c>
      <c r="BY122" s="51">
        <f t="shared" si="459"/>
        <v>0</v>
      </c>
      <c r="BZ122" s="51">
        <f t="shared" si="379"/>
        <v>0</v>
      </c>
      <c r="CA122" s="51">
        <f t="shared" si="460"/>
        <v>0</v>
      </c>
      <c r="CB122" s="51">
        <f t="shared" si="380"/>
        <v>0</v>
      </c>
      <c r="CC122" s="51">
        <f t="shared" si="461"/>
        <v>0</v>
      </c>
      <c r="CD122" s="51">
        <f t="shared" si="381"/>
        <v>0</v>
      </c>
      <c r="CE122" s="51">
        <f t="shared" si="462"/>
        <v>0</v>
      </c>
      <c r="CF122" s="51">
        <f t="shared" si="382"/>
        <v>0</v>
      </c>
      <c r="CG122" s="54">
        <f t="shared" si="383"/>
        <v>0</v>
      </c>
      <c r="CH122" s="55">
        <f t="shared" si="384"/>
        <v>0</v>
      </c>
      <c r="CI122" s="56">
        <f>IF(AND($E122&lt;&gt;0,$F122&gt;0,YEAR($F122)&gt;=Preisindex!$A$6,YEAR(CD$4)&gt;=YEAR($F122),AND($K122&lt;&gt;"a",$K122&lt;&gt;"b",$K122&lt;&gt;"g",$K122&lt;&gt;"k")),1,IF(AND($E122&lt;&gt;0,$F122&gt;0,YEAR($F122)&gt;=Preisindex!$A$6,YEAR(CD$4)&gt;=YEAR($F122),$K122="a"),ROUND(VLOOKUP(CI$4,Preisindex,5,FALSE)/VLOOKUP(YEAR($F122),Preisindex,5,FALSE),2),IF(AND($E122&lt;&gt;0,$F122&gt;0,YEAR($F122)&gt;=Preisindex!$A$6,YEAR(CD$4)&gt;=YEAR($F122),$K122="b"),ROUND(VLOOKUP(CI$4,Preisindex,3,FALSE)/VLOOKUP(YEAR($F122),Preisindex,3,FALSE),2),IF(AND($E122&lt;&gt;0,$F122&gt;0,YEAR($F122)&gt;=Preisindex!$A$6,YEAR(CD$4)&gt;=YEAR($F122),$K122="g"),ROUND(VLOOKUP(CI$4,Preisindex,4,FALSE)/VLOOKUP(YEAR($F122),Preisindex,4,FALSE),2),IF(AND($E122&lt;&gt;0,$F122&gt;0,YEAR($F122)&gt;=Preisindex!$A$6,YEAR(CD$4)&gt;=YEAR($F122),$K122="k"),ROUND(VLOOKUP(CI$4,Preisindex,2,FALSE)/VLOOKUP(YEAR($F122),Preisindex,2,FALSE),2),0)))))</f>
        <v>0</v>
      </c>
      <c r="CJ122" s="56">
        <f>IF(AND($E122&lt;&gt;0,$F122&gt;0,YEAR($F122)&lt;Preisindex!$A$6,YEAR(CD$4)&gt;=YEAR($F122),AND($K122&lt;&gt;"a",$K122&lt;&gt;"b",$K122&lt;&gt;"g",$K122&lt;&gt;"k")),1,IF(AND($E122&lt;&gt;0,$F122&gt;0,YEAR($F122)&lt;Preisindex!$A$6,YEAR(CD$4)&gt;=YEAR($F122),$K122="a"),ROUND(VLOOKUP(CI$4,Preisindex,5,FALSE)/VLOOKUP(Preisindex!$A$6,Preisindex,5,FALSE),2),IF(AND($E122&lt;&gt;0,$F122&gt;0,YEAR($F122)&lt;Preisindex!$A$6,YEAR(CD$4)&gt;=YEAR($F122),$K122="b"),ROUND(VLOOKUP(CI$4,Preisindex,3,FALSE)/VLOOKUP(Preisindex!$A$6,Preisindex,3,FALSE),2),IF(AND($E122&lt;&gt;0,$F122&gt;0,YEAR($F122)&lt;Preisindex!$A$6,YEAR(CD$4)&gt;=YEAR($F122),$K122="g"),ROUND(VLOOKUP(CI$4,Preisindex,4,FALSE)/VLOOKUP(Preisindex!$A$6,Preisindex,4,FALSE),2),IF(AND($E122&lt;&gt;0,$F122&gt;0,YEAR($F122)&lt;Preisindex!$A$6,YEAR(CD$4)&gt;=YEAR($F122),$K122="k"),ROUND(VLOOKUP(CI$4,Preisindex,2,FALSE)/VLOOKUP(Preisindex!$A$6,Preisindex,2,FALSE),2),0)))))</f>
        <v>0</v>
      </c>
      <c r="CK122" s="51">
        <f>IF(AND($E122&lt;&gt;0,$F122&gt;0,YEAR($F122)&lt;=CI$4,YEAR($F122)&gt;=Preisindex!$A$6),ROUND($E122*CI122,2),IF(AND($E122&lt;&gt;0,$F122&gt;0,YEAR($F122)&lt;=CI$4,YEAR($F122)&lt;Preisindex!$A$6),ROUND($E122*CJ122,2),0))</f>
        <v>0</v>
      </c>
      <c r="CL122" s="53">
        <f t="shared" si="385"/>
        <v>0</v>
      </c>
      <c r="CM122" s="51">
        <f t="shared" si="490"/>
        <v>0</v>
      </c>
      <c r="CN122" s="51">
        <f t="shared" si="463"/>
        <v>0</v>
      </c>
      <c r="CO122" s="51">
        <f t="shared" si="386"/>
        <v>0</v>
      </c>
      <c r="CP122" s="51">
        <f t="shared" si="464"/>
        <v>0</v>
      </c>
      <c r="CQ122" s="51">
        <f t="shared" si="387"/>
        <v>0</v>
      </c>
      <c r="CR122" s="51">
        <f t="shared" si="465"/>
        <v>0</v>
      </c>
      <c r="CS122" s="51">
        <f t="shared" si="388"/>
        <v>0</v>
      </c>
      <c r="CT122" s="51">
        <f t="shared" si="466"/>
        <v>0</v>
      </c>
      <c r="CU122" s="51">
        <f t="shared" si="389"/>
        <v>0</v>
      </c>
      <c r="CV122" s="51">
        <f t="shared" si="467"/>
        <v>0</v>
      </c>
      <c r="CW122" s="51">
        <f t="shared" si="390"/>
        <v>0</v>
      </c>
      <c r="CX122" s="54">
        <f t="shared" si="391"/>
        <v>0</v>
      </c>
      <c r="CY122" s="55">
        <f t="shared" si="392"/>
        <v>0</v>
      </c>
      <c r="CZ122" s="56">
        <f>IF(AND($E122&lt;&gt;0,$F122&gt;0,YEAR($F122)&gt;=Preisindex!$A$6,YEAR(CU$4)&gt;=YEAR($F122),AND($K122&lt;&gt;"a",$K122&lt;&gt;"b",$K122&lt;&gt;"g",$K122&lt;&gt;"k")),1,IF(AND($E122&lt;&gt;0,$F122&gt;0,YEAR($F122)&gt;=Preisindex!$A$6,YEAR(CU$4)&gt;=YEAR($F122),$K122="a"),ROUND(VLOOKUP(CZ$4,Preisindex,5,FALSE)/VLOOKUP(YEAR($F122),Preisindex,5,FALSE),2),IF(AND($E122&lt;&gt;0,$F122&gt;0,YEAR($F122)&gt;=Preisindex!$A$6,YEAR(CU$4)&gt;=YEAR($F122),$K122="b"),ROUND(VLOOKUP(CZ$4,Preisindex,3,FALSE)/VLOOKUP(YEAR($F122),Preisindex,3,FALSE),2),IF(AND($E122&lt;&gt;0,$F122&gt;0,YEAR($F122)&gt;=Preisindex!$A$6,YEAR(CU$4)&gt;=YEAR($F122),$K122="g"),ROUND(VLOOKUP(CZ$4,Preisindex,4,FALSE)/VLOOKUP(YEAR($F122),Preisindex,4,FALSE),2),IF(AND($E122&lt;&gt;0,$F122&gt;0,YEAR($F122)&gt;=Preisindex!$A$6,YEAR(CU$4)&gt;=YEAR($F122),$K122="k"),ROUND(VLOOKUP(CZ$4,Preisindex,2,FALSE)/VLOOKUP(YEAR($F122),Preisindex,2,FALSE),2),0)))))</f>
        <v>0</v>
      </c>
      <c r="DA122" s="56">
        <f>IF(AND($E122&lt;&gt;0,$F122&gt;0,YEAR($F122)&lt;Preisindex!$A$6,YEAR(CU$4)&gt;=YEAR($F122),AND($K122&lt;&gt;"a",$K122&lt;&gt;"b",$K122&lt;&gt;"g",$K122&lt;&gt;"k")),1,IF(AND($E122&lt;&gt;0,$F122&gt;0,YEAR($F122)&lt;Preisindex!$A$6,YEAR(CU$4)&gt;=YEAR($F122),$K122="a"),ROUND(VLOOKUP(CZ$4,Preisindex,5,FALSE)/VLOOKUP(Preisindex!$A$6,Preisindex,5,FALSE),2),IF(AND($E122&lt;&gt;0,$F122&gt;0,YEAR($F122)&lt;Preisindex!$A$6,YEAR(CU$4)&gt;=YEAR($F122),$K122="b"),ROUND(VLOOKUP(CZ$4,Preisindex,3,FALSE)/VLOOKUP(Preisindex!$A$6,Preisindex,3,FALSE),2),IF(AND($E122&lt;&gt;0,$F122&gt;0,YEAR($F122)&lt;Preisindex!$A$6,YEAR(CU$4)&gt;=YEAR($F122),$K122="g"),ROUND(VLOOKUP(CZ$4,Preisindex,4,FALSE)/VLOOKUP(Preisindex!$A$6,Preisindex,4,FALSE),2),IF(AND($E122&lt;&gt;0,$F122&gt;0,YEAR($F122)&lt;Preisindex!$A$6,YEAR(CU$4)&gt;=YEAR($F122),$K122="k"),ROUND(VLOOKUP(CZ$4,Preisindex,2,FALSE)/VLOOKUP(Preisindex!$A$6,Preisindex,2,FALSE),2),0)))))</f>
        <v>0</v>
      </c>
      <c r="DB122" s="51">
        <f>IF(AND($E122&lt;&gt;0,$F122&gt;0,YEAR($F122)&lt;=CZ$4,YEAR($F122)&gt;=Preisindex!$A$6),ROUND($E122*CZ122,2),IF(AND($E122&lt;&gt;0,$F122&gt;0,YEAR($F122)&lt;=CZ$4,YEAR($F122)&lt;Preisindex!$A$6),ROUND($E122*DA122,2),0))</f>
        <v>0</v>
      </c>
      <c r="DC122" s="53">
        <f t="shared" si="393"/>
        <v>0</v>
      </c>
      <c r="DD122" s="51">
        <f t="shared" si="491"/>
        <v>0</v>
      </c>
      <c r="DE122" s="51">
        <f t="shared" si="468"/>
        <v>0</v>
      </c>
      <c r="DF122" s="51">
        <f t="shared" si="395"/>
        <v>0</v>
      </c>
      <c r="DG122" s="51">
        <f t="shared" si="469"/>
        <v>0</v>
      </c>
      <c r="DH122" s="51">
        <f t="shared" si="396"/>
        <v>0</v>
      </c>
      <c r="DI122" s="51">
        <f t="shared" si="470"/>
        <v>0</v>
      </c>
      <c r="DJ122" s="51">
        <f t="shared" si="397"/>
        <v>0</v>
      </c>
      <c r="DK122" s="51">
        <f t="shared" si="471"/>
        <v>0</v>
      </c>
      <c r="DL122" s="51">
        <f t="shared" si="398"/>
        <v>0</v>
      </c>
      <c r="DM122" s="51">
        <f t="shared" si="472"/>
        <v>0</v>
      </c>
      <c r="DN122" s="51">
        <f t="shared" si="399"/>
        <v>0</v>
      </c>
      <c r="DO122" s="54">
        <f t="shared" si="400"/>
        <v>0</v>
      </c>
      <c r="DP122" s="55">
        <f t="shared" si="401"/>
        <v>0</v>
      </c>
      <c r="DQ122" s="56">
        <f>IF(AND($E122&lt;&gt;0,$F122&gt;0,YEAR($F122)&gt;=Preisindex!$A$6,YEAR(DL$4)&gt;=YEAR($F122),AND($K122&lt;&gt;"a",$K122&lt;&gt;"b",$K122&lt;&gt;"g",$K122&lt;&gt;"k")),1,IF(AND($E122&lt;&gt;0,$F122&gt;0,YEAR($F122)&gt;=Preisindex!$A$6,YEAR(DL$4)&gt;=YEAR($F122),$K122="a"),ROUND(VLOOKUP(DQ$4,Preisindex,5,FALSE)/VLOOKUP(YEAR($F122),Preisindex,5,FALSE),2),IF(AND($E122&lt;&gt;0,$F122&gt;0,YEAR($F122)&gt;=Preisindex!$A$6,YEAR(DL$4)&gt;=YEAR($F122),$K122="b"),ROUND(VLOOKUP(DQ$4,Preisindex,3,FALSE)/VLOOKUP(YEAR($F122),Preisindex,3,FALSE),2),IF(AND($E122&lt;&gt;0,$F122&gt;0,YEAR($F122)&gt;=Preisindex!$A$6,YEAR(DL$4)&gt;=YEAR($F122),$K122="g"),ROUND(VLOOKUP(DQ$4,Preisindex,4,FALSE)/VLOOKUP(YEAR($F122),Preisindex,4,FALSE),2),IF(AND($E122&lt;&gt;0,$F122&gt;0,YEAR($F122)&gt;=Preisindex!$A$6,YEAR(DL$4)&gt;=YEAR($F122),$K122="k"),ROUND(VLOOKUP(DQ$4,Preisindex,2,FALSE)/VLOOKUP(YEAR($F122),Preisindex,2,FALSE),2),0)))))</f>
        <v>0</v>
      </c>
      <c r="DR122" s="56">
        <f>IF(AND($E122&lt;&gt;0,$F122&gt;0,YEAR($F122)&lt;Preisindex!$A$6,YEAR(DL$4)&gt;=YEAR($F122),AND($K122&lt;&gt;"a",$K122&lt;&gt;"b",$K122&lt;&gt;"g",$K122&lt;&gt;"k")),1,IF(AND($E122&lt;&gt;0,$F122&gt;0,YEAR($F122)&lt;Preisindex!$A$6,YEAR(DL$4)&gt;=YEAR($F122),$K122="a"),ROUND(VLOOKUP(DQ$4,Preisindex,5,FALSE)/VLOOKUP(Preisindex!$A$6,Preisindex,5,FALSE),2),IF(AND($E122&lt;&gt;0,$F122&gt;0,YEAR($F122)&lt;Preisindex!$A$6,YEAR(DL$4)&gt;=YEAR($F122),$K122="b"),ROUND(VLOOKUP(DQ$4,Preisindex,3,FALSE)/VLOOKUP(Preisindex!$A$6,Preisindex,3,FALSE),2),IF(AND($E122&lt;&gt;0,$F122&gt;0,YEAR($F122)&lt;Preisindex!$A$6,YEAR(DL$4)&gt;=YEAR($F122),$K122="g"),ROUND(VLOOKUP(DQ$4,Preisindex,4,FALSE)/VLOOKUP(Preisindex!$A$6,Preisindex,4,FALSE),2),IF(AND($E122&lt;&gt;0,$F122&gt;0,YEAR($F122)&lt;Preisindex!$A$6,YEAR(DL$4)&gt;=YEAR($F122),$K122="k"),ROUND(VLOOKUP(DQ$4,Preisindex,2,FALSE)/VLOOKUP(Preisindex!$A$6,Preisindex,2,FALSE),2),0)))))</f>
        <v>0</v>
      </c>
      <c r="DS122" s="51">
        <f>IF(AND($E122&lt;&gt;0,$F122&gt;0,YEAR($F122)&lt;=DQ$4,YEAR($F122)&gt;=Preisindex!$A$6),ROUND($E122*DQ122,2),IF(AND($E122&lt;&gt;0,$F122&gt;0,YEAR($F122)&lt;=DQ$4,YEAR($F122)&lt;Preisindex!$A$6),ROUND($E122*DR122,2),0))</f>
        <v>0</v>
      </c>
      <c r="DT122" s="53">
        <f t="shared" si="402"/>
        <v>0</v>
      </c>
      <c r="DU122" s="51">
        <f t="shared" si="491"/>
        <v>0</v>
      </c>
      <c r="DV122" s="51">
        <f t="shared" si="473"/>
        <v>0</v>
      </c>
      <c r="DW122" s="51">
        <f t="shared" si="403"/>
        <v>0</v>
      </c>
      <c r="DX122" s="51">
        <f t="shared" si="474"/>
        <v>0</v>
      </c>
      <c r="DY122" s="51">
        <f t="shared" si="404"/>
        <v>0</v>
      </c>
      <c r="DZ122" s="51">
        <f t="shared" si="475"/>
        <v>0</v>
      </c>
      <c r="EA122" s="51">
        <f t="shared" si="405"/>
        <v>0</v>
      </c>
      <c r="EB122" s="51">
        <f t="shared" si="476"/>
        <v>0</v>
      </c>
      <c r="EC122" s="51">
        <f t="shared" si="406"/>
        <v>0</v>
      </c>
      <c r="ED122" s="51">
        <f t="shared" si="477"/>
        <v>0</v>
      </c>
      <c r="EE122" s="51">
        <f t="shared" si="407"/>
        <v>0</v>
      </c>
      <c r="EF122" s="54">
        <f t="shared" si="408"/>
        <v>0</v>
      </c>
      <c r="EG122" s="55">
        <f t="shared" si="409"/>
        <v>0</v>
      </c>
      <c r="EH122" s="56">
        <f>IF(AND($E122&lt;&gt;0,$F122&gt;0,YEAR($F122)&gt;=Preisindex!$A$6,YEAR(EC$4)&gt;=YEAR($F122),AND($K122&lt;&gt;"a",$K122&lt;&gt;"b",$K122&lt;&gt;"g",$K122&lt;&gt;"k")),1,IF(AND($E122&lt;&gt;0,$F122&gt;0,YEAR($F122)&gt;=Preisindex!$A$6,YEAR(EC$4)&gt;=YEAR($F122),$K122="a"),ROUND(VLOOKUP(EH$4,Preisindex,5,FALSE)/VLOOKUP(YEAR($F122),Preisindex,5,FALSE),2),IF(AND($E122&lt;&gt;0,$F122&gt;0,YEAR($F122)&gt;=Preisindex!$A$6,YEAR(EC$4)&gt;=YEAR($F122),$K122="b"),ROUND(VLOOKUP(EH$4,Preisindex,3,FALSE)/VLOOKUP(YEAR($F122),Preisindex,3,FALSE),2),IF(AND($E122&lt;&gt;0,$F122&gt;0,YEAR($F122)&gt;=Preisindex!$A$6,YEAR(EC$4)&gt;=YEAR($F122),$K122="g"),ROUND(VLOOKUP(EH$4,Preisindex,4,FALSE)/VLOOKUP(YEAR($F122),Preisindex,4,FALSE),2),IF(AND($E122&lt;&gt;0,$F122&gt;0,YEAR($F122)&gt;=Preisindex!$A$6,YEAR(EC$4)&gt;=YEAR($F122),$K122="k"),ROUND(VLOOKUP(EH$4,Preisindex,2,FALSE)/VLOOKUP(YEAR($F122),Preisindex,2,FALSE),2),0)))))</f>
        <v>0</v>
      </c>
      <c r="EI122" s="56">
        <f>IF(AND($E122&lt;&gt;0,$F122&gt;0,YEAR($F122)&lt;Preisindex!$A$6,YEAR(EC$4)&gt;=YEAR($F122),AND($K122&lt;&gt;"a",$K122&lt;&gt;"b",$K122&lt;&gt;"g",$K122&lt;&gt;"k")),1,IF(AND($E122&lt;&gt;0,$F122&gt;0,YEAR($F122)&lt;Preisindex!$A$6,YEAR(EC$4)&gt;=YEAR($F122),$K122="a"),ROUND(VLOOKUP(EH$4,Preisindex,5,FALSE)/VLOOKUP(Preisindex!$A$6,Preisindex,5,FALSE),2),IF(AND($E122&lt;&gt;0,$F122&gt;0,YEAR($F122)&lt;Preisindex!$A$6,YEAR(EC$4)&gt;=YEAR($F122),$K122="b"),ROUND(VLOOKUP(EH$4,Preisindex,3,FALSE)/VLOOKUP(Preisindex!$A$6,Preisindex,3,FALSE),2),IF(AND($E122&lt;&gt;0,$F122&gt;0,YEAR($F122)&lt;Preisindex!$A$6,YEAR(EC$4)&gt;=YEAR($F122),$K122="g"),ROUND(VLOOKUP(EH$4,Preisindex,4,FALSE)/VLOOKUP(Preisindex!$A$6,Preisindex,4,FALSE),2),IF(AND($E122&lt;&gt;0,$F122&gt;0,YEAR($F122)&lt;Preisindex!$A$6,YEAR(EC$4)&gt;=YEAR($F122),$K122="k"),ROUND(VLOOKUP(EH$4,Preisindex,2,FALSE)/VLOOKUP(Preisindex!$A$6,Preisindex,2,FALSE),2),0)))))</f>
        <v>0</v>
      </c>
      <c r="EJ122" s="51">
        <f>IF(AND($E122&lt;&gt;0,$F122&gt;0,YEAR($F122)&lt;=EH$4,YEAR($F122)&gt;=Preisindex!$A$6),ROUND($E122*EH122,2),IF(AND($E122&lt;&gt;0,$F122&gt;0,YEAR($F122)&lt;=EH$4,YEAR($F122)&lt;Preisindex!$A$6),ROUND($E122*EI122,2),0))</f>
        <v>0</v>
      </c>
      <c r="EK122" s="53">
        <f t="shared" si="410"/>
        <v>0</v>
      </c>
      <c r="EL122" s="51">
        <f t="shared" si="491"/>
        <v>0</v>
      </c>
      <c r="EM122" s="51">
        <f t="shared" si="478"/>
        <v>0</v>
      </c>
      <c r="EN122" s="51">
        <f t="shared" si="411"/>
        <v>0</v>
      </c>
      <c r="EO122" s="51">
        <f t="shared" si="479"/>
        <v>0</v>
      </c>
      <c r="EP122" s="51">
        <f t="shared" si="412"/>
        <v>0</v>
      </c>
      <c r="EQ122" s="51">
        <f t="shared" si="480"/>
        <v>0</v>
      </c>
      <c r="ER122" s="51">
        <f t="shared" si="413"/>
        <v>0</v>
      </c>
      <c r="ES122" s="51">
        <f t="shared" si="481"/>
        <v>0</v>
      </c>
      <c r="ET122" s="51">
        <f t="shared" si="414"/>
        <v>0</v>
      </c>
      <c r="EU122" s="51">
        <f t="shared" si="482"/>
        <v>0</v>
      </c>
      <c r="EV122" s="51">
        <f t="shared" si="415"/>
        <v>0</v>
      </c>
      <c r="EW122" s="54">
        <f t="shared" si="416"/>
        <v>0</v>
      </c>
      <c r="EX122" s="55">
        <f t="shared" si="417"/>
        <v>0</v>
      </c>
      <c r="EY122" s="56">
        <f>IF(AND($E122&lt;&gt;0,$F122&gt;0,YEAR($F122)&gt;=Preisindex!$A$6,YEAR(ET$4)&gt;=YEAR($F122),AND($K122&lt;&gt;"a",$K122&lt;&gt;"b",$K122&lt;&gt;"g",$K122&lt;&gt;"k")),1,IF(AND($E122&lt;&gt;0,$F122&gt;0,YEAR($F122)&gt;=Preisindex!$A$6,YEAR(ET$4)&gt;=YEAR($F122),$K122="a"),ROUND(VLOOKUP(EY$4,Preisindex,5,FALSE)/VLOOKUP(YEAR($F122),Preisindex,5,FALSE),2),IF(AND($E122&lt;&gt;0,$F122&gt;0,YEAR($F122)&gt;=Preisindex!$A$6,YEAR(ET$4)&gt;=YEAR($F122),$K122="b"),ROUND(VLOOKUP(EY$4,Preisindex,3,FALSE)/VLOOKUP(YEAR($F122),Preisindex,3,FALSE),2),IF(AND($E122&lt;&gt;0,$F122&gt;0,YEAR($F122)&gt;=Preisindex!$A$6,YEAR(ET$4)&gt;=YEAR($F122),$K122="g"),ROUND(VLOOKUP(EY$4,Preisindex,4,FALSE)/VLOOKUP(YEAR($F122),Preisindex,4,FALSE),2),IF(AND($E122&lt;&gt;0,$F122&gt;0,YEAR($F122)&gt;=Preisindex!$A$6,YEAR(ET$4)&gt;=YEAR($F122),$K122="k"),ROUND(VLOOKUP(EY$4,Preisindex,2,FALSE)/VLOOKUP(YEAR($F122),Preisindex,2,FALSE),2),0)))))</f>
        <v>0</v>
      </c>
      <c r="EZ122" s="56">
        <f>IF(AND($E122&lt;&gt;0,$F122&gt;0,YEAR($F122)&lt;Preisindex!$A$6,YEAR(ET$4)&gt;=YEAR($F122),AND($K122&lt;&gt;"a",$K122&lt;&gt;"b",$K122&lt;&gt;"g",$K122&lt;&gt;"k")),1,IF(AND($E122&lt;&gt;0,$F122&gt;0,YEAR($F122)&lt;Preisindex!$A$6,YEAR(ET$4)&gt;=YEAR($F122),$K122="a"),ROUND(VLOOKUP(EY$4,Preisindex,5,FALSE)/VLOOKUP(Preisindex!$A$6,Preisindex,5,FALSE),2),IF(AND($E122&lt;&gt;0,$F122&gt;0,YEAR($F122)&lt;Preisindex!$A$6,YEAR(ET$4)&gt;=YEAR($F122),$K122="b"),ROUND(VLOOKUP(EY$4,Preisindex,3,FALSE)/VLOOKUP(Preisindex!$A$6,Preisindex,3,FALSE),2),IF(AND($E122&lt;&gt;0,$F122&gt;0,YEAR($F122)&lt;Preisindex!$A$6,YEAR(ET$4)&gt;=YEAR($F122),$K122="g"),ROUND(VLOOKUP(EY$4,Preisindex,4,FALSE)/VLOOKUP(Preisindex!$A$6,Preisindex,4,FALSE),2),IF(AND($E122&lt;&gt;0,$F122&gt;0,YEAR($F122)&lt;Preisindex!$A$6,YEAR(ET$4)&gt;=YEAR($F122),$K122="k"),ROUND(VLOOKUP(EY$4,Preisindex,2,FALSE)/VLOOKUP(Preisindex!$A$6,Preisindex,2,FALSE),2),0)))))</f>
        <v>0</v>
      </c>
      <c r="FA122" s="51">
        <f>IF(AND($E122&lt;&gt;0,$F122&gt;0,YEAR($F122)&lt;=EY$4,YEAR($F122)&gt;=Preisindex!$A$6),ROUND($E122*EY122,2),IF(AND($E122&lt;&gt;0,$F122&gt;0,YEAR($F122)&lt;=EY$4,YEAR($F122)&lt;Preisindex!$A$6),ROUND($E122*EZ122,2),0))</f>
        <v>0</v>
      </c>
      <c r="FB122" s="53">
        <f t="shared" si="418"/>
        <v>0</v>
      </c>
      <c r="FC122" s="51">
        <f t="shared" si="491"/>
        <v>0</v>
      </c>
      <c r="FD122" s="51">
        <f t="shared" si="483"/>
        <v>0</v>
      </c>
      <c r="FE122" s="51">
        <f t="shared" si="419"/>
        <v>0</v>
      </c>
      <c r="FF122" s="51">
        <f t="shared" si="484"/>
        <v>0</v>
      </c>
      <c r="FG122" s="51">
        <f t="shared" si="420"/>
        <v>0</v>
      </c>
      <c r="FH122" s="51">
        <f t="shared" si="485"/>
        <v>0</v>
      </c>
      <c r="FI122" s="51">
        <f t="shared" si="421"/>
        <v>0</v>
      </c>
      <c r="FJ122" s="51">
        <f t="shared" si="486"/>
        <v>0</v>
      </c>
      <c r="FK122" s="51">
        <f t="shared" si="422"/>
        <v>0</v>
      </c>
      <c r="FL122" s="51">
        <f t="shared" si="487"/>
        <v>0</v>
      </c>
      <c r="FM122" s="51">
        <f t="shared" si="423"/>
        <v>0</v>
      </c>
      <c r="FN122" s="54">
        <f t="shared" si="424"/>
        <v>0</v>
      </c>
      <c r="FO122" s="55">
        <f t="shared" si="425"/>
        <v>0</v>
      </c>
      <c r="FP122" s="56">
        <f>IF(AND($E122&lt;&gt;0,$F122&gt;0,YEAR($F122)&gt;=Preisindex!$A$6,YEAR(FK$4)&gt;=YEAR($F122),AND($K122&lt;&gt;"a",$K122&lt;&gt;"b",$K122&lt;&gt;"g",$K122&lt;&gt;"k")),1,IF(AND($E122&lt;&gt;0,$F122&gt;0,YEAR($F122)&gt;=Preisindex!$A$6,YEAR(FK$4)&gt;=YEAR($F122),$K122="a"),ROUND(VLOOKUP(FP$4,Preisindex,5,FALSE)/VLOOKUP(YEAR($F122),Preisindex,5,FALSE),2),IF(AND($E122&lt;&gt;0,$F122&gt;0,YEAR($F122)&gt;=Preisindex!$A$6,YEAR(FK$4)&gt;=YEAR($F122),$K122="b"),ROUND(VLOOKUP(FP$4,Preisindex,3,FALSE)/VLOOKUP(YEAR($F122),Preisindex,3,FALSE),2),IF(AND($E122&lt;&gt;0,$F122&gt;0,YEAR($F122)&gt;=Preisindex!$A$6,YEAR(FK$4)&gt;=YEAR($F122),$K122="g"),ROUND(VLOOKUP(FP$4,Preisindex,4,FALSE)/VLOOKUP(YEAR($F122),Preisindex,4,FALSE),2),IF(AND($E122&lt;&gt;0,$F122&gt;0,YEAR($F122)&gt;=Preisindex!$A$6,YEAR(FK$4)&gt;=YEAR($F122),$K122="k"),ROUND(VLOOKUP(FP$4,Preisindex,2,FALSE)/VLOOKUP(YEAR($F122),Preisindex,2,FALSE),2),0)))))</f>
        <v>0</v>
      </c>
      <c r="FQ122" s="56">
        <f>IF(AND($E122&lt;&gt;0,$F122&gt;0,YEAR($F122)&lt;Preisindex!$A$6,YEAR(FK$4)&gt;=YEAR($F122),AND($K122&lt;&gt;"a",$K122&lt;&gt;"b",$K122&lt;&gt;"g",$K122&lt;&gt;"k")),1,IF(AND($E122&lt;&gt;0,$F122&gt;0,YEAR($F122)&lt;Preisindex!$A$6,YEAR(FK$4)&gt;=YEAR($F122),$K122="a"),ROUND(VLOOKUP(FP$4,Preisindex,5,FALSE)/VLOOKUP(Preisindex!$A$6,Preisindex,5,FALSE),2),IF(AND($E122&lt;&gt;0,$F122&gt;0,YEAR($F122)&lt;Preisindex!$A$6,YEAR(FK$4)&gt;=YEAR($F122),$K122="b"),ROUND(VLOOKUP(FP$4,Preisindex,3,FALSE)/VLOOKUP(Preisindex!$A$6,Preisindex,3,FALSE),2),IF(AND($E122&lt;&gt;0,$F122&gt;0,YEAR($F122)&lt;Preisindex!$A$6,YEAR(FK$4)&gt;=YEAR($F122),$K122="g"),ROUND(VLOOKUP(FP$4,Preisindex,4,FALSE)/VLOOKUP(Preisindex!$A$6,Preisindex,4,FALSE),2),IF(AND($E122&lt;&gt;0,$F122&gt;0,YEAR($F122)&lt;Preisindex!$A$6,YEAR(FK$4)&gt;=YEAR($F122),$K122="k"),ROUND(VLOOKUP(FP$4,Preisindex,2,FALSE)/VLOOKUP(Preisindex!$A$6,Preisindex,2,FALSE),2),0)))))</f>
        <v>0</v>
      </c>
      <c r="FR122" s="51">
        <f>IF(AND($E122&lt;&gt;0,$F122&gt;0,YEAR($F122)&lt;=FP$4,YEAR($F122)&gt;=Preisindex!$A$6),ROUND($E122*FP122,2),IF(AND($E122&lt;&gt;0,$F122&gt;0,YEAR($F122)&lt;=FP$4,YEAR($F122)&lt;Preisindex!$A$6),ROUND($E122*FQ122,2),0))</f>
        <v>0</v>
      </c>
      <c r="FS122" s="53">
        <f t="shared" si="426"/>
        <v>0</v>
      </c>
    </row>
    <row r="123" spans="1:175" x14ac:dyDescent="0.3">
      <c r="A123" s="93"/>
      <c r="B123" s="94"/>
      <c r="C123" s="94"/>
      <c r="D123" s="95"/>
      <c r="E123" s="99"/>
      <c r="F123" s="97"/>
      <c r="G123" s="98"/>
      <c r="H123" s="620"/>
      <c r="I123" s="621"/>
      <c r="J123" s="194"/>
      <c r="K123" s="630"/>
      <c r="L123" s="49">
        <f t="shared" si="427"/>
        <v>0</v>
      </c>
      <c r="M123" s="50">
        <f t="shared" si="428"/>
        <v>0</v>
      </c>
      <c r="N123" s="51">
        <f t="shared" si="429"/>
        <v>0</v>
      </c>
      <c r="O123" s="51"/>
      <c r="P123" s="51">
        <f t="shared" si="430"/>
        <v>0</v>
      </c>
      <c r="Q123" s="52"/>
      <c r="R123" s="52"/>
      <c r="S123" s="52"/>
      <c r="T123" s="52"/>
      <c r="U123" s="52"/>
      <c r="V123" s="53">
        <f t="shared" si="431"/>
        <v>0</v>
      </c>
      <c r="W123" s="51">
        <f t="shared" si="432"/>
        <v>0</v>
      </c>
      <c r="X123" s="51">
        <f t="shared" si="433"/>
        <v>0</v>
      </c>
      <c r="Y123" s="51">
        <f t="shared" si="434"/>
        <v>0</v>
      </c>
      <c r="Z123" s="51">
        <f t="shared" si="435"/>
        <v>0</v>
      </c>
      <c r="AA123" s="51">
        <f t="shared" si="436"/>
        <v>0</v>
      </c>
      <c r="AB123" s="51">
        <f t="shared" si="437"/>
        <v>0</v>
      </c>
      <c r="AC123" s="51">
        <f t="shared" si="438"/>
        <v>0</v>
      </c>
      <c r="AD123" s="51">
        <f t="shared" si="439"/>
        <v>0</v>
      </c>
      <c r="AE123" s="51">
        <f t="shared" si="440"/>
        <v>0</v>
      </c>
      <c r="AF123" s="51">
        <f t="shared" si="441"/>
        <v>0</v>
      </c>
      <c r="AG123" s="51">
        <f t="shared" si="442"/>
        <v>0</v>
      </c>
      <c r="AH123" s="54">
        <f t="shared" si="443"/>
        <v>0</v>
      </c>
      <c r="AI123" s="55">
        <f t="shared" si="444"/>
        <v>0</v>
      </c>
      <c r="AJ123" s="56">
        <f>IF(AND($E123&lt;&gt;0,$F123&gt;0,YEAR($F123)&gt;=Preisindex!$A$6,YEAR(AE$4)&gt;=YEAR($F123),AND($K123&lt;&gt;"a",$K123&lt;&gt;"b",$K123&lt;&gt;"g",$K123&lt;&gt;"k")),1,IF(AND($E123&lt;&gt;0,$F123&gt;0,YEAR($F123)&gt;=Preisindex!$A$6,YEAR(AE$4)&gt;=YEAR($F123),$K123="a"),ROUND(VLOOKUP(AJ$4,Preisindex,5,FALSE)/VLOOKUP(YEAR($F123),Preisindex,5,FALSE),2),IF(AND($E123&lt;&gt;0,$F123&gt;0,YEAR($F123)&gt;=Preisindex!$A$6,YEAR(AE$4)&gt;=YEAR($F123),$K123="b"),ROUND(VLOOKUP(AJ$4,Preisindex,3,FALSE)/VLOOKUP(YEAR($F123),Preisindex,3,FALSE),2),IF(AND($E123&lt;&gt;0,$F123&gt;0,YEAR($F123)&gt;=Preisindex!$A$6,YEAR(AE$4)&gt;=YEAR($F123),$K123="g"),ROUND(VLOOKUP(AJ$4,Preisindex,4,FALSE)/VLOOKUP(YEAR($F123),Preisindex,4,FALSE),2),IF(AND($E123&lt;&gt;0,$F123&gt;0,YEAR($F123)&gt;=Preisindex!$A$6,YEAR(AE$4)&gt;=YEAR($F123),$K123="k"),ROUND(VLOOKUP(AJ$4,Preisindex,2,FALSE)/VLOOKUP(YEAR($F123),Preisindex,2,FALSE),2),0)))))</f>
        <v>0</v>
      </c>
      <c r="AK123" s="56">
        <f>IF(AND($E123&lt;&gt;0,$F123&gt;0,YEAR($F123)&lt;Preisindex!$A$6,YEAR(AE$4)&gt;=YEAR($F123),AND($K123&lt;&gt;"a",$K123&lt;&gt;"b",$K123&lt;&gt;"g",$K123&lt;&gt;"k")),1,IF(AND($E123&lt;&gt;0,$F123&gt;0,YEAR($F123)&lt;Preisindex!$A$6,YEAR(AE$4)&gt;=YEAR($F123),$K123="a"),ROUND(VLOOKUP(AJ$4,Preisindex,5,FALSE)/VLOOKUP(Preisindex!$A$6,Preisindex,5,FALSE),2),IF(AND($E123&lt;&gt;0,$F123&gt;0,YEAR($F123)&lt;Preisindex!$A$6,YEAR(AE$4)&gt;=YEAR($F123),$K123="b"),ROUND(VLOOKUP(AJ$4,Preisindex,3,FALSE)/VLOOKUP(Preisindex!$A$6,Preisindex,3,FALSE),2),IF(AND($E123&lt;&gt;0,$F123&gt;0,YEAR($F123)&lt;Preisindex!$A$6,YEAR(AE$4)&gt;=YEAR($F123),$K123="g"),ROUND(VLOOKUP(AJ$4,Preisindex,4,FALSE)/VLOOKUP(Preisindex!$A$6,Preisindex,4,FALSE),2),IF(AND($E123&lt;&gt;0,$F123&gt;0,YEAR($F123)&lt;Preisindex!$A$6,YEAR(AE$4)&gt;=YEAR($F123),$K123="k"),ROUND(VLOOKUP(AJ$4,Preisindex,2,FALSE)/VLOOKUP(Preisindex!$A$6,Preisindex,2,FALSE),2),0)))))</f>
        <v>0</v>
      </c>
      <c r="AL123" s="51">
        <f>IF(AND($E123&lt;&gt;0,$F123&gt;0,YEAR($F123)&lt;=AJ$4,YEAR($F123)&gt;=Preisindex!$A$6),ROUND($E123*AJ123,2),IF(AND($E123&lt;&gt;0,$F123&gt;0,YEAR($F123)&lt;=AJ$4,YEAR($F123)&lt;Preisindex!$A$6),ROUND($E123*AK123,2),0))</f>
        <v>0</v>
      </c>
      <c r="AM123" s="53">
        <f t="shared" si="445"/>
        <v>0</v>
      </c>
      <c r="AN123" s="51">
        <f t="shared" si="490"/>
        <v>0</v>
      </c>
      <c r="AO123" s="51">
        <f t="shared" si="448"/>
        <v>0</v>
      </c>
      <c r="AP123" s="51">
        <f t="shared" si="362"/>
        <v>0</v>
      </c>
      <c r="AQ123" s="51">
        <f t="shared" si="449"/>
        <v>0</v>
      </c>
      <c r="AR123" s="51">
        <f t="shared" si="363"/>
        <v>0</v>
      </c>
      <c r="AS123" s="51">
        <f t="shared" si="450"/>
        <v>0</v>
      </c>
      <c r="AT123" s="51">
        <f t="shared" si="364"/>
        <v>0</v>
      </c>
      <c r="AU123" s="51">
        <f t="shared" si="451"/>
        <v>0</v>
      </c>
      <c r="AV123" s="51">
        <f t="shared" si="365"/>
        <v>0</v>
      </c>
      <c r="AW123" s="51">
        <f t="shared" si="452"/>
        <v>0</v>
      </c>
      <c r="AX123" s="51">
        <f t="shared" si="366"/>
        <v>0</v>
      </c>
      <c r="AY123" s="54">
        <f t="shared" si="367"/>
        <v>0</v>
      </c>
      <c r="AZ123" s="55">
        <f t="shared" si="368"/>
        <v>0</v>
      </c>
      <c r="BA123" s="56">
        <f>IF(AND($E123&lt;&gt;0,$F123&gt;0,YEAR($F123)&gt;=Preisindex!$A$6,YEAR(AV$4)&gt;=YEAR($F123),AND($K123&lt;&gt;"a",$K123&lt;&gt;"b",$K123&lt;&gt;"g",$K123&lt;&gt;"k")),1,IF(AND($E123&lt;&gt;0,$F123&gt;0,YEAR($F123)&gt;=Preisindex!$A$6,YEAR(AV$4)&gt;=YEAR($F123),$K123="a"),ROUND(VLOOKUP(BA$4,Preisindex,5,FALSE)/VLOOKUP(YEAR($F123),Preisindex,5,FALSE),2),IF(AND($E123&lt;&gt;0,$F123&gt;0,YEAR($F123)&gt;=Preisindex!$A$6,YEAR(AV$4)&gt;=YEAR($F123),$K123="b"),ROUND(VLOOKUP(BA$4,Preisindex,3,FALSE)/VLOOKUP(YEAR($F123),Preisindex,3,FALSE),2),IF(AND($E123&lt;&gt;0,$F123&gt;0,YEAR($F123)&gt;=Preisindex!$A$6,YEAR(AV$4)&gt;=YEAR($F123),$K123="g"),ROUND(VLOOKUP(BA$4,Preisindex,4,FALSE)/VLOOKUP(YEAR($F123),Preisindex,4,FALSE),2),IF(AND($E123&lt;&gt;0,$F123&gt;0,YEAR($F123)&gt;=Preisindex!$A$6,YEAR(AV$4)&gt;=YEAR($F123),$K123="k"),ROUND(VLOOKUP(BA$4,Preisindex,2,FALSE)/VLOOKUP(YEAR($F123),Preisindex,2,FALSE),2),0)))))</f>
        <v>0</v>
      </c>
      <c r="BB123" s="56">
        <f>IF(AND($E123&lt;&gt;0,$F123&gt;0,YEAR($F123)&lt;Preisindex!$A$6,YEAR(AV$4)&gt;=YEAR($F123),AND($K123&lt;&gt;"a",$K123&lt;&gt;"b",$K123&lt;&gt;"g",$K123&lt;&gt;"k")),1,IF(AND($E123&lt;&gt;0,$F123&gt;0,YEAR($F123)&lt;Preisindex!$A$6,YEAR(AV$4)&gt;=YEAR($F123),$K123="a"),ROUND(VLOOKUP(BA$4,Preisindex,5,FALSE)/VLOOKUP(Preisindex!$A$6,Preisindex,5,FALSE),2),IF(AND($E123&lt;&gt;0,$F123&gt;0,YEAR($F123)&lt;Preisindex!$A$6,YEAR(AV$4)&gt;=YEAR($F123),$K123="b"),ROUND(VLOOKUP(BA$4,Preisindex,3,FALSE)/VLOOKUP(Preisindex!$A$6,Preisindex,3,FALSE),2),IF(AND($E123&lt;&gt;0,$F123&gt;0,YEAR($F123)&lt;Preisindex!$A$6,YEAR(AV$4)&gt;=YEAR($F123),$K123="g"),ROUND(VLOOKUP(BA$4,Preisindex,4,FALSE)/VLOOKUP(Preisindex!$A$6,Preisindex,4,FALSE),2),IF(AND($E123&lt;&gt;0,$F123&gt;0,YEAR($F123)&lt;Preisindex!$A$6,YEAR(AV$4)&gt;=YEAR($F123),$K123="k"),ROUND(VLOOKUP(BA$4,Preisindex,2,FALSE)/VLOOKUP(Preisindex!$A$6,Preisindex,2,FALSE),2),0)))))</f>
        <v>0</v>
      </c>
      <c r="BC123" s="51">
        <f>IF(AND($E123&lt;&gt;0,$F123&gt;0,YEAR($F123)&lt;=BA$4,YEAR($F123)&gt;=Preisindex!$A$6),ROUND($E123*BA123,2),IF(AND($E123&lt;&gt;0,$F123&gt;0,YEAR($F123)&lt;=BA$4,YEAR($F123)&lt;Preisindex!$A$6),ROUND($E123*BB123,2),0))</f>
        <v>0</v>
      </c>
      <c r="BD123" s="53">
        <f t="shared" si="369"/>
        <v>0</v>
      </c>
      <c r="BE123" s="51">
        <f t="shared" si="490"/>
        <v>0</v>
      </c>
      <c r="BF123" s="51">
        <f t="shared" si="453"/>
        <v>0</v>
      </c>
      <c r="BG123" s="51">
        <f t="shared" si="370"/>
        <v>0</v>
      </c>
      <c r="BH123" s="51">
        <f t="shared" si="454"/>
        <v>0</v>
      </c>
      <c r="BI123" s="51">
        <f t="shared" si="371"/>
        <v>0</v>
      </c>
      <c r="BJ123" s="51">
        <f t="shared" si="455"/>
        <v>0</v>
      </c>
      <c r="BK123" s="51">
        <f t="shared" si="372"/>
        <v>0</v>
      </c>
      <c r="BL123" s="51">
        <f t="shared" si="456"/>
        <v>0</v>
      </c>
      <c r="BM123" s="51">
        <f t="shared" si="373"/>
        <v>0</v>
      </c>
      <c r="BN123" s="51">
        <f t="shared" si="457"/>
        <v>0</v>
      </c>
      <c r="BO123" s="51">
        <f t="shared" si="374"/>
        <v>0</v>
      </c>
      <c r="BP123" s="54">
        <f t="shared" si="375"/>
        <v>0</v>
      </c>
      <c r="BQ123" s="55">
        <f t="shared" si="376"/>
        <v>0</v>
      </c>
      <c r="BR123" s="56">
        <f>IF(AND($E123&lt;&gt;0,$F123&gt;0,YEAR($F123)&gt;=Preisindex!$A$6,YEAR(BM$4)&gt;=YEAR($F123),AND($K123&lt;&gt;"a",$K123&lt;&gt;"b",$K123&lt;&gt;"g",$K123&lt;&gt;"k")),1,IF(AND($E123&lt;&gt;0,$F123&gt;0,YEAR($F123)&gt;=Preisindex!$A$6,YEAR(BM$4)&gt;=YEAR($F123),$K123="a"),ROUND(VLOOKUP(BR$4,Preisindex,5,FALSE)/VLOOKUP(YEAR($F123),Preisindex,5,FALSE),2),IF(AND($E123&lt;&gt;0,$F123&gt;0,YEAR($F123)&gt;=Preisindex!$A$6,YEAR(BM$4)&gt;=YEAR($F123),$K123="b"),ROUND(VLOOKUP(BR$4,Preisindex,3,FALSE)/VLOOKUP(YEAR($F123),Preisindex,3,FALSE),2),IF(AND($E123&lt;&gt;0,$F123&gt;0,YEAR($F123)&gt;=Preisindex!$A$6,YEAR(BM$4)&gt;=YEAR($F123),$K123="g"),ROUND(VLOOKUP(BR$4,Preisindex,4,FALSE)/VLOOKUP(YEAR($F123),Preisindex,4,FALSE),2),IF(AND($E123&lt;&gt;0,$F123&gt;0,YEAR($F123)&gt;=Preisindex!$A$6,YEAR(BM$4)&gt;=YEAR($F123),$K123="k"),ROUND(VLOOKUP(BR$4,Preisindex,2,FALSE)/VLOOKUP(YEAR($F123),Preisindex,2,FALSE),2),0)))))</f>
        <v>0</v>
      </c>
      <c r="BS123" s="56">
        <f>IF(AND($E123&lt;&gt;0,$F123&gt;0,YEAR($F123)&lt;Preisindex!$A$6,YEAR(BM$4)&gt;=YEAR($F123),AND($K123&lt;&gt;"a",$K123&lt;&gt;"b",$K123&lt;&gt;"g",$K123&lt;&gt;"k")),1,IF(AND($E123&lt;&gt;0,$F123&gt;0,YEAR($F123)&lt;Preisindex!$A$6,YEAR(BM$4)&gt;=YEAR($F123),$K123="a"),ROUND(VLOOKUP(BR$4,Preisindex,5,FALSE)/VLOOKUP(Preisindex!$A$6,Preisindex,5,FALSE),2),IF(AND($E123&lt;&gt;0,$F123&gt;0,YEAR($F123)&lt;Preisindex!$A$6,YEAR(BM$4)&gt;=YEAR($F123),$K123="b"),ROUND(VLOOKUP(BR$4,Preisindex,3,FALSE)/VLOOKUP(Preisindex!$A$6,Preisindex,3,FALSE),2),IF(AND($E123&lt;&gt;0,$F123&gt;0,YEAR($F123)&lt;Preisindex!$A$6,YEAR(BM$4)&gt;=YEAR($F123),$K123="g"),ROUND(VLOOKUP(BR$4,Preisindex,4,FALSE)/VLOOKUP(Preisindex!$A$6,Preisindex,4,FALSE),2),IF(AND($E123&lt;&gt;0,$F123&gt;0,YEAR($F123)&lt;Preisindex!$A$6,YEAR(BM$4)&gt;=YEAR($F123),$K123="k"),ROUND(VLOOKUP(BR$4,Preisindex,2,FALSE)/VLOOKUP(Preisindex!$A$6,Preisindex,2,FALSE),2),0)))))</f>
        <v>0</v>
      </c>
      <c r="BT123" s="51">
        <f>IF(AND($E123&lt;&gt;0,$F123&gt;0,YEAR($F123)&lt;=BR$4,YEAR($F123)&gt;=Preisindex!$A$6),ROUND($E123*BR123,2),IF(AND($E123&lt;&gt;0,$F123&gt;0,YEAR($F123)&lt;=BR$4,YEAR($F123)&lt;Preisindex!$A$6),ROUND($E123*BS123,2),0))</f>
        <v>0</v>
      </c>
      <c r="BU123" s="53">
        <f t="shared" si="377"/>
        <v>0</v>
      </c>
      <c r="BV123" s="51">
        <f t="shared" si="490"/>
        <v>0</v>
      </c>
      <c r="BW123" s="51">
        <f t="shared" si="458"/>
        <v>0</v>
      </c>
      <c r="BX123" s="51">
        <f t="shared" si="378"/>
        <v>0</v>
      </c>
      <c r="BY123" s="51">
        <f t="shared" si="459"/>
        <v>0</v>
      </c>
      <c r="BZ123" s="51">
        <f t="shared" si="379"/>
        <v>0</v>
      </c>
      <c r="CA123" s="51">
        <f t="shared" si="460"/>
        <v>0</v>
      </c>
      <c r="CB123" s="51">
        <f t="shared" si="380"/>
        <v>0</v>
      </c>
      <c r="CC123" s="51">
        <f t="shared" si="461"/>
        <v>0</v>
      </c>
      <c r="CD123" s="51">
        <f t="shared" si="381"/>
        <v>0</v>
      </c>
      <c r="CE123" s="51">
        <f t="shared" si="462"/>
        <v>0</v>
      </c>
      <c r="CF123" s="51">
        <f t="shared" si="382"/>
        <v>0</v>
      </c>
      <c r="CG123" s="54">
        <f t="shared" si="383"/>
        <v>0</v>
      </c>
      <c r="CH123" s="55">
        <f t="shared" si="384"/>
        <v>0</v>
      </c>
      <c r="CI123" s="56">
        <f>IF(AND($E123&lt;&gt;0,$F123&gt;0,YEAR($F123)&gt;=Preisindex!$A$6,YEAR(CD$4)&gt;=YEAR($F123),AND($K123&lt;&gt;"a",$K123&lt;&gt;"b",$K123&lt;&gt;"g",$K123&lt;&gt;"k")),1,IF(AND($E123&lt;&gt;0,$F123&gt;0,YEAR($F123)&gt;=Preisindex!$A$6,YEAR(CD$4)&gt;=YEAR($F123),$K123="a"),ROUND(VLOOKUP(CI$4,Preisindex,5,FALSE)/VLOOKUP(YEAR($F123),Preisindex,5,FALSE),2),IF(AND($E123&lt;&gt;0,$F123&gt;0,YEAR($F123)&gt;=Preisindex!$A$6,YEAR(CD$4)&gt;=YEAR($F123),$K123="b"),ROUND(VLOOKUP(CI$4,Preisindex,3,FALSE)/VLOOKUP(YEAR($F123),Preisindex,3,FALSE),2),IF(AND($E123&lt;&gt;0,$F123&gt;0,YEAR($F123)&gt;=Preisindex!$A$6,YEAR(CD$4)&gt;=YEAR($F123),$K123="g"),ROUND(VLOOKUP(CI$4,Preisindex,4,FALSE)/VLOOKUP(YEAR($F123),Preisindex,4,FALSE),2),IF(AND($E123&lt;&gt;0,$F123&gt;0,YEAR($F123)&gt;=Preisindex!$A$6,YEAR(CD$4)&gt;=YEAR($F123),$K123="k"),ROUND(VLOOKUP(CI$4,Preisindex,2,FALSE)/VLOOKUP(YEAR($F123),Preisindex,2,FALSE),2),0)))))</f>
        <v>0</v>
      </c>
      <c r="CJ123" s="56">
        <f>IF(AND($E123&lt;&gt;0,$F123&gt;0,YEAR($F123)&lt;Preisindex!$A$6,YEAR(CD$4)&gt;=YEAR($F123),AND($K123&lt;&gt;"a",$K123&lt;&gt;"b",$K123&lt;&gt;"g",$K123&lt;&gt;"k")),1,IF(AND($E123&lt;&gt;0,$F123&gt;0,YEAR($F123)&lt;Preisindex!$A$6,YEAR(CD$4)&gt;=YEAR($F123),$K123="a"),ROUND(VLOOKUP(CI$4,Preisindex,5,FALSE)/VLOOKUP(Preisindex!$A$6,Preisindex,5,FALSE),2),IF(AND($E123&lt;&gt;0,$F123&gt;0,YEAR($F123)&lt;Preisindex!$A$6,YEAR(CD$4)&gt;=YEAR($F123),$K123="b"),ROUND(VLOOKUP(CI$4,Preisindex,3,FALSE)/VLOOKUP(Preisindex!$A$6,Preisindex,3,FALSE),2),IF(AND($E123&lt;&gt;0,$F123&gt;0,YEAR($F123)&lt;Preisindex!$A$6,YEAR(CD$4)&gt;=YEAR($F123),$K123="g"),ROUND(VLOOKUP(CI$4,Preisindex,4,FALSE)/VLOOKUP(Preisindex!$A$6,Preisindex,4,FALSE),2),IF(AND($E123&lt;&gt;0,$F123&gt;0,YEAR($F123)&lt;Preisindex!$A$6,YEAR(CD$4)&gt;=YEAR($F123),$K123="k"),ROUND(VLOOKUP(CI$4,Preisindex,2,FALSE)/VLOOKUP(Preisindex!$A$6,Preisindex,2,FALSE),2),0)))))</f>
        <v>0</v>
      </c>
      <c r="CK123" s="51">
        <f>IF(AND($E123&lt;&gt;0,$F123&gt;0,YEAR($F123)&lt;=CI$4,YEAR($F123)&gt;=Preisindex!$A$6),ROUND($E123*CI123,2),IF(AND($E123&lt;&gt;0,$F123&gt;0,YEAR($F123)&lt;=CI$4,YEAR($F123)&lt;Preisindex!$A$6),ROUND($E123*CJ123,2),0))</f>
        <v>0</v>
      </c>
      <c r="CL123" s="53">
        <f t="shared" si="385"/>
        <v>0</v>
      </c>
      <c r="CM123" s="51">
        <f t="shared" si="490"/>
        <v>0</v>
      </c>
      <c r="CN123" s="51">
        <f t="shared" si="463"/>
        <v>0</v>
      </c>
      <c r="CO123" s="51">
        <f t="shared" si="386"/>
        <v>0</v>
      </c>
      <c r="CP123" s="51">
        <f t="shared" si="464"/>
        <v>0</v>
      </c>
      <c r="CQ123" s="51">
        <f t="shared" si="387"/>
        <v>0</v>
      </c>
      <c r="CR123" s="51">
        <f t="shared" si="465"/>
        <v>0</v>
      </c>
      <c r="CS123" s="51">
        <f t="shared" si="388"/>
        <v>0</v>
      </c>
      <c r="CT123" s="51">
        <f t="shared" si="466"/>
        <v>0</v>
      </c>
      <c r="CU123" s="51">
        <f t="shared" si="389"/>
        <v>0</v>
      </c>
      <c r="CV123" s="51">
        <f t="shared" si="467"/>
        <v>0</v>
      </c>
      <c r="CW123" s="51">
        <f t="shared" si="390"/>
        <v>0</v>
      </c>
      <c r="CX123" s="54">
        <f t="shared" si="391"/>
        <v>0</v>
      </c>
      <c r="CY123" s="55">
        <f t="shared" si="392"/>
        <v>0</v>
      </c>
      <c r="CZ123" s="56">
        <f>IF(AND($E123&lt;&gt;0,$F123&gt;0,YEAR($F123)&gt;=Preisindex!$A$6,YEAR(CU$4)&gt;=YEAR($F123),AND($K123&lt;&gt;"a",$K123&lt;&gt;"b",$K123&lt;&gt;"g",$K123&lt;&gt;"k")),1,IF(AND($E123&lt;&gt;0,$F123&gt;0,YEAR($F123)&gt;=Preisindex!$A$6,YEAR(CU$4)&gt;=YEAR($F123),$K123="a"),ROUND(VLOOKUP(CZ$4,Preisindex,5,FALSE)/VLOOKUP(YEAR($F123),Preisindex,5,FALSE),2),IF(AND($E123&lt;&gt;0,$F123&gt;0,YEAR($F123)&gt;=Preisindex!$A$6,YEAR(CU$4)&gt;=YEAR($F123),$K123="b"),ROUND(VLOOKUP(CZ$4,Preisindex,3,FALSE)/VLOOKUP(YEAR($F123),Preisindex,3,FALSE),2),IF(AND($E123&lt;&gt;0,$F123&gt;0,YEAR($F123)&gt;=Preisindex!$A$6,YEAR(CU$4)&gt;=YEAR($F123),$K123="g"),ROUND(VLOOKUP(CZ$4,Preisindex,4,FALSE)/VLOOKUP(YEAR($F123),Preisindex,4,FALSE),2),IF(AND($E123&lt;&gt;0,$F123&gt;0,YEAR($F123)&gt;=Preisindex!$A$6,YEAR(CU$4)&gt;=YEAR($F123),$K123="k"),ROUND(VLOOKUP(CZ$4,Preisindex,2,FALSE)/VLOOKUP(YEAR($F123),Preisindex,2,FALSE),2),0)))))</f>
        <v>0</v>
      </c>
      <c r="DA123" s="56">
        <f>IF(AND($E123&lt;&gt;0,$F123&gt;0,YEAR($F123)&lt;Preisindex!$A$6,YEAR(CU$4)&gt;=YEAR($F123),AND($K123&lt;&gt;"a",$K123&lt;&gt;"b",$K123&lt;&gt;"g",$K123&lt;&gt;"k")),1,IF(AND($E123&lt;&gt;0,$F123&gt;0,YEAR($F123)&lt;Preisindex!$A$6,YEAR(CU$4)&gt;=YEAR($F123),$K123="a"),ROUND(VLOOKUP(CZ$4,Preisindex,5,FALSE)/VLOOKUP(Preisindex!$A$6,Preisindex,5,FALSE),2),IF(AND($E123&lt;&gt;0,$F123&gt;0,YEAR($F123)&lt;Preisindex!$A$6,YEAR(CU$4)&gt;=YEAR($F123),$K123="b"),ROUND(VLOOKUP(CZ$4,Preisindex,3,FALSE)/VLOOKUP(Preisindex!$A$6,Preisindex,3,FALSE),2),IF(AND($E123&lt;&gt;0,$F123&gt;0,YEAR($F123)&lt;Preisindex!$A$6,YEAR(CU$4)&gt;=YEAR($F123),$K123="g"),ROUND(VLOOKUP(CZ$4,Preisindex,4,FALSE)/VLOOKUP(Preisindex!$A$6,Preisindex,4,FALSE),2),IF(AND($E123&lt;&gt;0,$F123&gt;0,YEAR($F123)&lt;Preisindex!$A$6,YEAR(CU$4)&gt;=YEAR($F123),$K123="k"),ROUND(VLOOKUP(CZ$4,Preisindex,2,FALSE)/VLOOKUP(Preisindex!$A$6,Preisindex,2,FALSE),2),0)))))</f>
        <v>0</v>
      </c>
      <c r="DB123" s="51">
        <f>IF(AND($E123&lt;&gt;0,$F123&gt;0,YEAR($F123)&lt;=CZ$4,YEAR($F123)&gt;=Preisindex!$A$6),ROUND($E123*CZ123,2),IF(AND($E123&lt;&gt;0,$F123&gt;0,YEAR($F123)&lt;=CZ$4,YEAR($F123)&lt;Preisindex!$A$6),ROUND($E123*DA123,2),0))</f>
        <v>0</v>
      </c>
      <c r="DC123" s="53">
        <f t="shared" si="393"/>
        <v>0</v>
      </c>
      <c r="DD123" s="51">
        <f t="shared" si="491"/>
        <v>0</v>
      </c>
      <c r="DE123" s="51">
        <f t="shared" si="468"/>
        <v>0</v>
      </c>
      <c r="DF123" s="51">
        <f t="shared" si="395"/>
        <v>0</v>
      </c>
      <c r="DG123" s="51">
        <f t="shared" si="469"/>
        <v>0</v>
      </c>
      <c r="DH123" s="51">
        <f t="shared" si="396"/>
        <v>0</v>
      </c>
      <c r="DI123" s="51">
        <f t="shared" si="470"/>
        <v>0</v>
      </c>
      <c r="DJ123" s="51">
        <f t="shared" si="397"/>
        <v>0</v>
      </c>
      <c r="DK123" s="51">
        <f t="shared" si="471"/>
        <v>0</v>
      </c>
      <c r="DL123" s="51">
        <f t="shared" si="398"/>
        <v>0</v>
      </c>
      <c r="DM123" s="51">
        <f t="shared" si="472"/>
        <v>0</v>
      </c>
      <c r="DN123" s="51">
        <f t="shared" si="399"/>
        <v>0</v>
      </c>
      <c r="DO123" s="54">
        <f t="shared" si="400"/>
        <v>0</v>
      </c>
      <c r="DP123" s="55">
        <f t="shared" si="401"/>
        <v>0</v>
      </c>
      <c r="DQ123" s="56">
        <f>IF(AND($E123&lt;&gt;0,$F123&gt;0,YEAR($F123)&gt;=Preisindex!$A$6,YEAR(DL$4)&gt;=YEAR($F123),AND($K123&lt;&gt;"a",$K123&lt;&gt;"b",$K123&lt;&gt;"g",$K123&lt;&gt;"k")),1,IF(AND($E123&lt;&gt;0,$F123&gt;0,YEAR($F123)&gt;=Preisindex!$A$6,YEAR(DL$4)&gt;=YEAR($F123),$K123="a"),ROUND(VLOOKUP(DQ$4,Preisindex,5,FALSE)/VLOOKUP(YEAR($F123),Preisindex,5,FALSE),2),IF(AND($E123&lt;&gt;0,$F123&gt;0,YEAR($F123)&gt;=Preisindex!$A$6,YEAR(DL$4)&gt;=YEAR($F123),$K123="b"),ROUND(VLOOKUP(DQ$4,Preisindex,3,FALSE)/VLOOKUP(YEAR($F123),Preisindex,3,FALSE),2),IF(AND($E123&lt;&gt;0,$F123&gt;0,YEAR($F123)&gt;=Preisindex!$A$6,YEAR(DL$4)&gt;=YEAR($F123),$K123="g"),ROUND(VLOOKUP(DQ$4,Preisindex,4,FALSE)/VLOOKUP(YEAR($F123),Preisindex,4,FALSE),2),IF(AND($E123&lt;&gt;0,$F123&gt;0,YEAR($F123)&gt;=Preisindex!$A$6,YEAR(DL$4)&gt;=YEAR($F123),$K123="k"),ROUND(VLOOKUP(DQ$4,Preisindex,2,FALSE)/VLOOKUP(YEAR($F123),Preisindex,2,FALSE),2),0)))))</f>
        <v>0</v>
      </c>
      <c r="DR123" s="56">
        <f>IF(AND($E123&lt;&gt;0,$F123&gt;0,YEAR($F123)&lt;Preisindex!$A$6,YEAR(DL$4)&gt;=YEAR($F123),AND($K123&lt;&gt;"a",$K123&lt;&gt;"b",$K123&lt;&gt;"g",$K123&lt;&gt;"k")),1,IF(AND($E123&lt;&gt;0,$F123&gt;0,YEAR($F123)&lt;Preisindex!$A$6,YEAR(DL$4)&gt;=YEAR($F123),$K123="a"),ROUND(VLOOKUP(DQ$4,Preisindex,5,FALSE)/VLOOKUP(Preisindex!$A$6,Preisindex,5,FALSE),2),IF(AND($E123&lt;&gt;0,$F123&gt;0,YEAR($F123)&lt;Preisindex!$A$6,YEAR(DL$4)&gt;=YEAR($F123),$K123="b"),ROUND(VLOOKUP(DQ$4,Preisindex,3,FALSE)/VLOOKUP(Preisindex!$A$6,Preisindex,3,FALSE),2),IF(AND($E123&lt;&gt;0,$F123&gt;0,YEAR($F123)&lt;Preisindex!$A$6,YEAR(DL$4)&gt;=YEAR($F123),$K123="g"),ROUND(VLOOKUP(DQ$4,Preisindex,4,FALSE)/VLOOKUP(Preisindex!$A$6,Preisindex,4,FALSE),2),IF(AND($E123&lt;&gt;0,$F123&gt;0,YEAR($F123)&lt;Preisindex!$A$6,YEAR(DL$4)&gt;=YEAR($F123),$K123="k"),ROUND(VLOOKUP(DQ$4,Preisindex,2,FALSE)/VLOOKUP(Preisindex!$A$6,Preisindex,2,FALSE),2),0)))))</f>
        <v>0</v>
      </c>
      <c r="DS123" s="51">
        <f>IF(AND($E123&lt;&gt;0,$F123&gt;0,YEAR($F123)&lt;=DQ$4,YEAR($F123)&gt;=Preisindex!$A$6),ROUND($E123*DQ123,2),IF(AND($E123&lt;&gt;0,$F123&gt;0,YEAR($F123)&lt;=DQ$4,YEAR($F123)&lt;Preisindex!$A$6),ROUND($E123*DR123,2),0))</f>
        <v>0</v>
      </c>
      <c r="DT123" s="53">
        <f t="shared" si="402"/>
        <v>0</v>
      </c>
      <c r="DU123" s="51">
        <f t="shared" si="491"/>
        <v>0</v>
      </c>
      <c r="DV123" s="51">
        <f t="shared" si="473"/>
        <v>0</v>
      </c>
      <c r="DW123" s="51">
        <f t="shared" si="403"/>
        <v>0</v>
      </c>
      <c r="DX123" s="51">
        <f t="shared" si="474"/>
        <v>0</v>
      </c>
      <c r="DY123" s="51">
        <f t="shared" si="404"/>
        <v>0</v>
      </c>
      <c r="DZ123" s="51">
        <f t="shared" si="475"/>
        <v>0</v>
      </c>
      <c r="EA123" s="51">
        <f t="shared" si="405"/>
        <v>0</v>
      </c>
      <c r="EB123" s="51">
        <f t="shared" si="476"/>
        <v>0</v>
      </c>
      <c r="EC123" s="51">
        <f t="shared" si="406"/>
        <v>0</v>
      </c>
      <c r="ED123" s="51">
        <f t="shared" si="477"/>
        <v>0</v>
      </c>
      <c r="EE123" s="51">
        <f t="shared" si="407"/>
        <v>0</v>
      </c>
      <c r="EF123" s="54">
        <f t="shared" si="408"/>
        <v>0</v>
      </c>
      <c r="EG123" s="55">
        <f t="shared" si="409"/>
        <v>0</v>
      </c>
      <c r="EH123" s="56">
        <f>IF(AND($E123&lt;&gt;0,$F123&gt;0,YEAR($F123)&gt;=Preisindex!$A$6,YEAR(EC$4)&gt;=YEAR($F123),AND($K123&lt;&gt;"a",$K123&lt;&gt;"b",$K123&lt;&gt;"g",$K123&lt;&gt;"k")),1,IF(AND($E123&lt;&gt;0,$F123&gt;0,YEAR($F123)&gt;=Preisindex!$A$6,YEAR(EC$4)&gt;=YEAR($F123),$K123="a"),ROUND(VLOOKUP(EH$4,Preisindex,5,FALSE)/VLOOKUP(YEAR($F123),Preisindex,5,FALSE),2),IF(AND($E123&lt;&gt;0,$F123&gt;0,YEAR($F123)&gt;=Preisindex!$A$6,YEAR(EC$4)&gt;=YEAR($F123),$K123="b"),ROUND(VLOOKUP(EH$4,Preisindex,3,FALSE)/VLOOKUP(YEAR($F123),Preisindex,3,FALSE),2),IF(AND($E123&lt;&gt;0,$F123&gt;0,YEAR($F123)&gt;=Preisindex!$A$6,YEAR(EC$4)&gt;=YEAR($F123),$K123="g"),ROUND(VLOOKUP(EH$4,Preisindex,4,FALSE)/VLOOKUP(YEAR($F123),Preisindex,4,FALSE),2),IF(AND($E123&lt;&gt;0,$F123&gt;0,YEAR($F123)&gt;=Preisindex!$A$6,YEAR(EC$4)&gt;=YEAR($F123),$K123="k"),ROUND(VLOOKUP(EH$4,Preisindex,2,FALSE)/VLOOKUP(YEAR($F123),Preisindex,2,FALSE),2),0)))))</f>
        <v>0</v>
      </c>
      <c r="EI123" s="56">
        <f>IF(AND($E123&lt;&gt;0,$F123&gt;0,YEAR($F123)&lt;Preisindex!$A$6,YEAR(EC$4)&gt;=YEAR($F123),AND($K123&lt;&gt;"a",$K123&lt;&gt;"b",$K123&lt;&gt;"g",$K123&lt;&gt;"k")),1,IF(AND($E123&lt;&gt;0,$F123&gt;0,YEAR($F123)&lt;Preisindex!$A$6,YEAR(EC$4)&gt;=YEAR($F123),$K123="a"),ROUND(VLOOKUP(EH$4,Preisindex,5,FALSE)/VLOOKUP(Preisindex!$A$6,Preisindex,5,FALSE),2),IF(AND($E123&lt;&gt;0,$F123&gt;0,YEAR($F123)&lt;Preisindex!$A$6,YEAR(EC$4)&gt;=YEAR($F123),$K123="b"),ROUND(VLOOKUP(EH$4,Preisindex,3,FALSE)/VLOOKUP(Preisindex!$A$6,Preisindex,3,FALSE),2),IF(AND($E123&lt;&gt;0,$F123&gt;0,YEAR($F123)&lt;Preisindex!$A$6,YEAR(EC$4)&gt;=YEAR($F123),$K123="g"),ROUND(VLOOKUP(EH$4,Preisindex,4,FALSE)/VLOOKUP(Preisindex!$A$6,Preisindex,4,FALSE),2),IF(AND($E123&lt;&gt;0,$F123&gt;0,YEAR($F123)&lt;Preisindex!$A$6,YEAR(EC$4)&gt;=YEAR($F123),$K123="k"),ROUND(VLOOKUP(EH$4,Preisindex,2,FALSE)/VLOOKUP(Preisindex!$A$6,Preisindex,2,FALSE),2),0)))))</f>
        <v>0</v>
      </c>
      <c r="EJ123" s="51">
        <f>IF(AND($E123&lt;&gt;0,$F123&gt;0,YEAR($F123)&lt;=EH$4,YEAR($F123)&gt;=Preisindex!$A$6),ROUND($E123*EH123,2),IF(AND($E123&lt;&gt;0,$F123&gt;0,YEAR($F123)&lt;=EH$4,YEAR($F123)&lt;Preisindex!$A$6),ROUND($E123*EI123,2),0))</f>
        <v>0</v>
      </c>
      <c r="EK123" s="53">
        <f t="shared" si="410"/>
        <v>0</v>
      </c>
      <c r="EL123" s="51">
        <f t="shared" si="491"/>
        <v>0</v>
      </c>
      <c r="EM123" s="51">
        <f t="shared" si="478"/>
        <v>0</v>
      </c>
      <c r="EN123" s="51">
        <f t="shared" si="411"/>
        <v>0</v>
      </c>
      <c r="EO123" s="51">
        <f t="shared" si="479"/>
        <v>0</v>
      </c>
      <c r="EP123" s="51">
        <f t="shared" si="412"/>
        <v>0</v>
      </c>
      <c r="EQ123" s="51">
        <f t="shared" si="480"/>
        <v>0</v>
      </c>
      <c r="ER123" s="51">
        <f t="shared" si="413"/>
        <v>0</v>
      </c>
      <c r="ES123" s="51">
        <f t="shared" si="481"/>
        <v>0</v>
      </c>
      <c r="ET123" s="51">
        <f t="shared" si="414"/>
        <v>0</v>
      </c>
      <c r="EU123" s="51">
        <f t="shared" si="482"/>
        <v>0</v>
      </c>
      <c r="EV123" s="51">
        <f t="shared" si="415"/>
        <v>0</v>
      </c>
      <c r="EW123" s="54">
        <f t="shared" si="416"/>
        <v>0</v>
      </c>
      <c r="EX123" s="55">
        <f t="shared" si="417"/>
        <v>0</v>
      </c>
      <c r="EY123" s="56">
        <f>IF(AND($E123&lt;&gt;0,$F123&gt;0,YEAR($F123)&gt;=Preisindex!$A$6,YEAR(ET$4)&gt;=YEAR($F123),AND($K123&lt;&gt;"a",$K123&lt;&gt;"b",$K123&lt;&gt;"g",$K123&lt;&gt;"k")),1,IF(AND($E123&lt;&gt;0,$F123&gt;0,YEAR($F123)&gt;=Preisindex!$A$6,YEAR(ET$4)&gt;=YEAR($F123),$K123="a"),ROUND(VLOOKUP(EY$4,Preisindex,5,FALSE)/VLOOKUP(YEAR($F123),Preisindex,5,FALSE),2),IF(AND($E123&lt;&gt;0,$F123&gt;0,YEAR($F123)&gt;=Preisindex!$A$6,YEAR(ET$4)&gt;=YEAR($F123),$K123="b"),ROUND(VLOOKUP(EY$4,Preisindex,3,FALSE)/VLOOKUP(YEAR($F123),Preisindex,3,FALSE),2),IF(AND($E123&lt;&gt;0,$F123&gt;0,YEAR($F123)&gt;=Preisindex!$A$6,YEAR(ET$4)&gt;=YEAR($F123),$K123="g"),ROUND(VLOOKUP(EY$4,Preisindex,4,FALSE)/VLOOKUP(YEAR($F123),Preisindex,4,FALSE),2),IF(AND($E123&lt;&gt;0,$F123&gt;0,YEAR($F123)&gt;=Preisindex!$A$6,YEAR(ET$4)&gt;=YEAR($F123),$K123="k"),ROUND(VLOOKUP(EY$4,Preisindex,2,FALSE)/VLOOKUP(YEAR($F123),Preisindex,2,FALSE),2),0)))))</f>
        <v>0</v>
      </c>
      <c r="EZ123" s="56">
        <f>IF(AND($E123&lt;&gt;0,$F123&gt;0,YEAR($F123)&lt;Preisindex!$A$6,YEAR(ET$4)&gt;=YEAR($F123),AND($K123&lt;&gt;"a",$K123&lt;&gt;"b",$K123&lt;&gt;"g",$K123&lt;&gt;"k")),1,IF(AND($E123&lt;&gt;0,$F123&gt;0,YEAR($F123)&lt;Preisindex!$A$6,YEAR(ET$4)&gt;=YEAR($F123),$K123="a"),ROUND(VLOOKUP(EY$4,Preisindex,5,FALSE)/VLOOKUP(Preisindex!$A$6,Preisindex,5,FALSE),2),IF(AND($E123&lt;&gt;0,$F123&gt;0,YEAR($F123)&lt;Preisindex!$A$6,YEAR(ET$4)&gt;=YEAR($F123),$K123="b"),ROUND(VLOOKUP(EY$4,Preisindex,3,FALSE)/VLOOKUP(Preisindex!$A$6,Preisindex,3,FALSE),2),IF(AND($E123&lt;&gt;0,$F123&gt;0,YEAR($F123)&lt;Preisindex!$A$6,YEAR(ET$4)&gt;=YEAR($F123),$K123="g"),ROUND(VLOOKUP(EY$4,Preisindex,4,FALSE)/VLOOKUP(Preisindex!$A$6,Preisindex,4,FALSE),2),IF(AND($E123&lt;&gt;0,$F123&gt;0,YEAR($F123)&lt;Preisindex!$A$6,YEAR(ET$4)&gt;=YEAR($F123),$K123="k"),ROUND(VLOOKUP(EY$4,Preisindex,2,FALSE)/VLOOKUP(Preisindex!$A$6,Preisindex,2,FALSE),2),0)))))</f>
        <v>0</v>
      </c>
      <c r="FA123" s="51">
        <f>IF(AND($E123&lt;&gt;0,$F123&gt;0,YEAR($F123)&lt;=EY$4,YEAR($F123)&gt;=Preisindex!$A$6),ROUND($E123*EY123,2),IF(AND($E123&lt;&gt;0,$F123&gt;0,YEAR($F123)&lt;=EY$4,YEAR($F123)&lt;Preisindex!$A$6),ROUND($E123*EZ123,2),0))</f>
        <v>0</v>
      </c>
      <c r="FB123" s="53">
        <f t="shared" si="418"/>
        <v>0</v>
      </c>
      <c r="FC123" s="51">
        <f t="shared" si="491"/>
        <v>0</v>
      </c>
      <c r="FD123" s="51">
        <f t="shared" si="483"/>
        <v>0</v>
      </c>
      <c r="FE123" s="51">
        <f t="shared" si="419"/>
        <v>0</v>
      </c>
      <c r="FF123" s="51">
        <f t="shared" si="484"/>
        <v>0</v>
      </c>
      <c r="FG123" s="51">
        <f t="shared" si="420"/>
        <v>0</v>
      </c>
      <c r="FH123" s="51">
        <f t="shared" si="485"/>
        <v>0</v>
      </c>
      <c r="FI123" s="51">
        <f t="shared" si="421"/>
        <v>0</v>
      </c>
      <c r="FJ123" s="51">
        <f t="shared" si="486"/>
        <v>0</v>
      </c>
      <c r="FK123" s="51">
        <f t="shared" si="422"/>
        <v>0</v>
      </c>
      <c r="FL123" s="51">
        <f t="shared" si="487"/>
        <v>0</v>
      </c>
      <c r="FM123" s="51">
        <f t="shared" si="423"/>
        <v>0</v>
      </c>
      <c r="FN123" s="54">
        <f t="shared" si="424"/>
        <v>0</v>
      </c>
      <c r="FO123" s="55">
        <f t="shared" si="425"/>
        <v>0</v>
      </c>
      <c r="FP123" s="56">
        <f>IF(AND($E123&lt;&gt;0,$F123&gt;0,YEAR($F123)&gt;=Preisindex!$A$6,YEAR(FK$4)&gt;=YEAR($F123),AND($K123&lt;&gt;"a",$K123&lt;&gt;"b",$K123&lt;&gt;"g",$K123&lt;&gt;"k")),1,IF(AND($E123&lt;&gt;0,$F123&gt;0,YEAR($F123)&gt;=Preisindex!$A$6,YEAR(FK$4)&gt;=YEAR($F123),$K123="a"),ROUND(VLOOKUP(FP$4,Preisindex,5,FALSE)/VLOOKUP(YEAR($F123),Preisindex,5,FALSE),2),IF(AND($E123&lt;&gt;0,$F123&gt;0,YEAR($F123)&gt;=Preisindex!$A$6,YEAR(FK$4)&gt;=YEAR($F123),$K123="b"),ROUND(VLOOKUP(FP$4,Preisindex,3,FALSE)/VLOOKUP(YEAR($F123),Preisindex,3,FALSE),2),IF(AND($E123&lt;&gt;0,$F123&gt;0,YEAR($F123)&gt;=Preisindex!$A$6,YEAR(FK$4)&gt;=YEAR($F123),$K123="g"),ROUND(VLOOKUP(FP$4,Preisindex,4,FALSE)/VLOOKUP(YEAR($F123),Preisindex,4,FALSE),2),IF(AND($E123&lt;&gt;0,$F123&gt;0,YEAR($F123)&gt;=Preisindex!$A$6,YEAR(FK$4)&gt;=YEAR($F123),$K123="k"),ROUND(VLOOKUP(FP$4,Preisindex,2,FALSE)/VLOOKUP(YEAR($F123),Preisindex,2,FALSE),2),0)))))</f>
        <v>0</v>
      </c>
      <c r="FQ123" s="56">
        <f>IF(AND($E123&lt;&gt;0,$F123&gt;0,YEAR($F123)&lt;Preisindex!$A$6,YEAR(FK$4)&gt;=YEAR($F123),AND($K123&lt;&gt;"a",$K123&lt;&gt;"b",$K123&lt;&gt;"g",$K123&lt;&gt;"k")),1,IF(AND($E123&lt;&gt;0,$F123&gt;0,YEAR($F123)&lt;Preisindex!$A$6,YEAR(FK$4)&gt;=YEAR($F123),$K123="a"),ROUND(VLOOKUP(FP$4,Preisindex,5,FALSE)/VLOOKUP(Preisindex!$A$6,Preisindex,5,FALSE),2),IF(AND($E123&lt;&gt;0,$F123&gt;0,YEAR($F123)&lt;Preisindex!$A$6,YEAR(FK$4)&gt;=YEAR($F123),$K123="b"),ROUND(VLOOKUP(FP$4,Preisindex,3,FALSE)/VLOOKUP(Preisindex!$A$6,Preisindex,3,FALSE),2),IF(AND($E123&lt;&gt;0,$F123&gt;0,YEAR($F123)&lt;Preisindex!$A$6,YEAR(FK$4)&gt;=YEAR($F123),$K123="g"),ROUND(VLOOKUP(FP$4,Preisindex,4,FALSE)/VLOOKUP(Preisindex!$A$6,Preisindex,4,FALSE),2),IF(AND($E123&lt;&gt;0,$F123&gt;0,YEAR($F123)&lt;Preisindex!$A$6,YEAR(FK$4)&gt;=YEAR($F123),$K123="k"),ROUND(VLOOKUP(FP$4,Preisindex,2,FALSE)/VLOOKUP(Preisindex!$A$6,Preisindex,2,FALSE),2),0)))))</f>
        <v>0</v>
      </c>
      <c r="FR123" s="51">
        <f>IF(AND($E123&lt;&gt;0,$F123&gt;0,YEAR($F123)&lt;=FP$4,YEAR($F123)&gt;=Preisindex!$A$6),ROUND($E123*FP123,2),IF(AND($E123&lt;&gt;0,$F123&gt;0,YEAR($F123)&lt;=FP$4,YEAR($F123)&lt;Preisindex!$A$6),ROUND($E123*FQ123,2),0))</f>
        <v>0</v>
      </c>
      <c r="FS123" s="53">
        <f t="shared" si="426"/>
        <v>0</v>
      </c>
    </row>
    <row r="124" spans="1:175" x14ac:dyDescent="0.3">
      <c r="A124" s="93"/>
      <c r="B124" s="94"/>
      <c r="C124" s="94"/>
      <c r="D124" s="95"/>
      <c r="E124" s="99"/>
      <c r="F124" s="97"/>
      <c r="G124" s="98"/>
      <c r="H124" s="620"/>
      <c r="I124" s="621"/>
      <c r="J124" s="194"/>
      <c r="K124" s="630"/>
      <c r="L124" s="49">
        <f t="shared" si="427"/>
        <v>0</v>
      </c>
      <c r="M124" s="50">
        <f t="shared" si="428"/>
        <v>0</v>
      </c>
      <c r="N124" s="51">
        <f t="shared" si="429"/>
        <v>0</v>
      </c>
      <c r="O124" s="51"/>
      <c r="P124" s="51">
        <f t="shared" si="430"/>
        <v>0</v>
      </c>
      <c r="Q124" s="52"/>
      <c r="R124" s="52"/>
      <c r="S124" s="52"/>
      <c r="T124" s="52"/>
      <c r="U124" s="52"/>
      <c r="V124" s="53">
        <f t="shared" si="431"/>
        <v>0</v>
      </c>
      <c r="W124" s="51">
        <f t="shared" si="432"/>
        <v>0</v>
      </c>
      <c r="X124" s="51">
        <f t="shared" si="433"/>
        <v>0</v>
      </c>
      <c r="Y124" s="51">
        <f t="shared" si="434"/>
        <v>0</v>
      </c>
      <c r="Z124" s="51">
        <f t="shared" si="435"/>
        <v>0</v>
      </c>
      <c r="AA124" s="51">
        <f t="shared" si="436"/>
        <v>0</v>
      </c>
      <c r="AB124" s="51">
        <f t="shared" si="437"/>
        <v>0</v>
      </c>
      <c r="AC124" s="51">
        <f t="shared" si="438"/>
        <v>0</v>
      </c>
      <c r="AD124" s="51">
        <f t="shared" si="439"/>
        <v>0</v>
      </c>
      <c r="AE124" s="51">
        <f t="shared" si="440"/>
        <v>0</v>
      </c>
      <c r="AF124" s="51">
        <f t="shared" si="441"/>
        <v>0</v>
      </c>
      <c r="AG124" s="51">
        <f t="shared" si="442"/>
        <v>0</v>
      </c>
      <c r="AH124" s="54">
        <f t="shared" si="443"/>
        <v>0</v>
      </c>
      <c r="AI124" s="55">
        <f t="shared" si="444"/>
        <v>0</v>
      </c>
      <c r="AJ124" s="56">
        <f>IF(AND($E124&lt;&gt;0,$F124&gt;0,YEAR($F124)&gt;=Preisindex!$A$6,YEAR(AE$4)&gt;=YEAR($F124),AND($K124&lt;&gt;"a",$K124&lt;&gt;"b",$K124&lt;&gt;"g",$K124&lt;&gt;"k")),1,IF(AND($E124&lt;&gt;0,$F124&gt;0,YEAR($F124)&gt;=Preisindex!$A$6,YEAR(AE$4)&gt;=YEAR($F124),$K124="a"),ROUND(VLOOKUP(AJ$4,Preisindex,5,FALSE)/VLOOKUP(YEAR($F124),Preisindex,5,FALSE),2),IF(AND($E124&lt;&gt;0,$F124&gt;0,YEAR($F124)&gt;=Preisindex!$A$6,YEAR(AE$4)&gt;=YEAR($F124),$K124="b"),ROUND(VLOOKUP(AJ$4,Preisindex,3,FALSE)/VLOOKUP(YEAR($F124),Preisindex,3,FALSE),2),IF(AND($E124&lt;&gt;0,$F124&gt;0,YEAR($F124)&gt;=Preisindex!$A$6,YEAR(AE$4)&gt;=YEAR($F124),$K124="g"),ROUND(VLOOKUP(AJ$4,Preisindex,4,FALSE)/VLOOKUP(YEAR($F124),Preisindex,4,FALSE),2),IF(AND($E124&lt;&gt;0,$F124&gt;0,YEAR($F124)&gt;=Preisindex!$A$6,YEAR(AE$4)&gt;=YEAR($F124),$K124="k"),ROUND(VLOOKUP(AJ$4,Preisindex,2,FALSE)/VLOOKUP(YEAR($F124),Preisindex,2,FALSE),2),0)))))</f>
        <v>0</v>
      </c>
      <c r="AK124" s="56">
        <f>IF(AND($E124&lt;&gt;0,$F124&gt;0,YEAR($F124)&lt;Preisindex!$A$6,YEAR(AE$4)&gt;=YEAR($F124),AND($K124&lt;&gt;"a",$K124&lt;&gt;"b",$K124&lt;&gt;"g",$K124&lt;&gt;"k")),1,IF(AND($E124&lt;&gt;0,$F124&gt;0,YEAR($F124)&lt;Preisindex!$A$6,YEAR(AE$4)&gt;=YEAR($F124),$K124="a"),ROUND(VLOOKUP(AJ$4,Preisindex,5,FALSE)/VLOOKUP(Preisindex!$A$6,Preisindex,5,FALSE),2),IF(AND($E124&lt;&gt;0,$F124&gt;0,YEAR($F124)&lt;Preisindex!$A$6,YEAR(AE$4)&gt;=YEAR($F124),$K124="b"),ROUND(VLOOKUP(AJ$4,Preisindex,3,FALSE)/VLOOKUP(Preisindex!$A$6,Preisindex,3,FALSE),2),IF(AND($E124&lt;&gt;0,$F124&gt;0,YEAR($F124)&lt;Preisindex!$A$6,YEAR(AE$4)&gt;=YEAR($F124),$K124="g"),ROUND(VLOOKUP(AJ$4,Preisindex,4,FALSE)/VLOOKUP(Preisindex!$A$6,Preisindex,4,FALSE),2),IF(AND($E124&lt;&gt;0,$F124&gt;0,YEAR($F124)&lt;Preisindex!$A$6,YEAR(AE$4)&gt;=YEAR($F124),$K124="k"),ROUND(VLOOKUP(AJ$4,Preisindex,2,FALSE)/VLOOKUP(Preisindex!$A$6,Preisindex,2,FALSE),2),0)))))</f>
        <v>0</v>
      </c>
      <c r="AL124" s="51">
        <f>IF(AND($E124&lt;&gt;0,$F124&gt;0,YEAR($F124)&lt;=AJ$4,YEAR($F124)&gt;=Preisindex!$A$6),ROUND($E124*AJ124,2),IF(AND($E124&lt;&gt;0,$F124&gt;0,YEAR($F124)&lt;=AJ$4,YEAR($F124)&lt;Preisindex!$A$6),ROUND($E124*AK124,2),0))</f>
        <v>0</v>
      </c>
      <c r="AM124" s="53">
        <f t="shared" si="445"/>
        <v>0</v>
      </c>
      <c r="AN124" s="51">
        <f t="shared" si="490"/>
        <v>0</v>
      </c>
      <c r="AO124" s="51">
        <f t="shared" si="448"/>
        <v>0</v>
      </c>
      <c r="AP124" s="51">
        <f t="shared" si="362"/>
        <v>0</v>
      </c>
      <c r="AQ124" s="51">
        <f t="shared" si="449"/>
        <v>0</v>
      </c>
      <c r="AR124" s="51">
        <f t="shared" si="363"/>
        <v>0</v>
      </c>
      <c r="AS124" s="51">
        <f t="shared" si="450"/>
        <v>0</v>
      </c>
      <c r="AT124" s="51">
        <f t="shared" si="364"/>
        <v>0</v>
      </c>
      <c r="AU124" s="51">
        <f t="shared" si="451"/>
        <v>0</v>
      </c>
      <c r="AV124" s="51">
        <f t="shared" si="365"/>
        <v>0</v>
      </c>
      <c r="AW124" s="51">
        <f t="shared" si="452"/>
        <v>0</v>
      </c>
      <c r="AX124" s="51">
        <f t="shared" si="366"/>
        <v>0</v>
      </c>
      <c r="AY124" s="54">
        <f t="shared" si="367"/>
        <v>0</v>
      </c>
      <c r="AZ124" s="55">
        <f t="shared" si="368"/>
        <v>0</v>
      </c>
      <c r="BA124" s="56">
        <f>IF(AND($E124&lt;&gt;0,$F124&gt;0,YEAR($F124)&gt;=Preisindex!$A$6,YEAR(AV$4)&gt;=YEAR($F124),AND($K124&lt;&gt;"a",$K124&lt;&gt;"b",$K124&lt;&gt;"g",$K124&lt;&gt;"k")),1,IF(AND($E124&lt;&gt;0,$F124&gt;0,YEAR($F124)&gt;=Preisindex!$A$6,YEAR(AV$4)&gt;=YEAR($F124),$K124="a"),ROUND(VLOOKUP(BA$4,Preisindex,5,FALSE)/VLOOKUP(YEAR($F124),Preisindex,5,FALSE),2),IF(AND($E124&lt;&gt;0,$F124&gt;0,YEAR($F124)&gt;=Preisindex!$A$6,YEAR(AV$4)&gt;=YEAR($F124),$K124="b"),ROUND(VLOOKUP(BA$4,Preisindex,3,FALSE)/VLOOKUP(YEAR($F124),Preisindex,3,FALSE),2),IF(AND($E124&lt;&gt;0,$F124&gt;0,YEAR($F124)&gt;=Preisindex!$A$6,YEAR(AV$4)&gt;=YEAR($F124),$K124="g"),ROUND(VLOOKUP(BA$4,Preisindex,4,FALSE)/VLOOKUP(YEAR($F124),Preisindex,4,FALSE),2),IF(AND($E124&lt;&gt;0,$F124&gt;0,YEAR($F124)&gt;=Preisindex!$A$6,YEAR(AV$4)&gt;=YEAR($F124),$K124="k"),ROUND(VLOOKUP(BA$4,Preisindex,2,FALSE)/VLOOKUP(YEAR($F124),Preisindex,2,FALSE),2),0)))))</f>
        <v>0</v>
      </c>
      <c r="BB124" s="56">
        <f>IF(AND($E124&lt;&gt;0,$F124&gt;0,YEAR($F124)&lt;Preisindex!$A$6,YEAR(AV$4)&gt;=YEAR($F124),AND($K124&lt;&gt;"a",$K124&lt;&gt;"b",$K124&lt;&gt;"g",$K124&lt;&gt;"k")),1,IF(AND($E124&lt;&gt;0,$F124&gt;0,YEAR($F124)&lt;Preisindex!$A$6,YEAR(AV$4)&gt;=YEAR($F124),$K124="a"),ROUND(VLOOKUP(BA$4,Preisindex,5,FALSE)/VLOOKUP(Preisindex!$A$6,Preisindex,5,FALSE),2),IF(AND($E124&lt;&gt;0,$F124&gt;0,YEAR($F124)&lt;Preisindex!$A$6,YEAR(AV$4)&gt;=YEAR($F124),$K124="b"),ROUND(VLOOKUP(BA$4,Preisindex,3,FALSE)/VLOOKUP(Preisindex!$A$6,Preisindex,3,FALSE),2),IF(AND($E124&lt;&gt;0,$F124&gt;0,YEAR($F124)&lt;Preisindex!$A$6,YEAR(AV$4)&gt;=YEAR($F124),$K124="g"),ROUND(VLOOKUP(BA$4,Preisindex,4,FALSE)/VLOOKUP(Preisindex!$A$6,Preisindex,4,FALSE),2),IF(AND($E124&lt;&gt;0,$F124&gt;0,YEAR($F124)&lt;Preisindex!$A$6,YEAR(AV$4)&gt;=YEAR($F124),$K124="k"),ROUND(VLOOKUP(BA$4,Preisindex,2,FALSE)/VLOOKUP(Preisindex!$A$6,Preisindex,2,FALSE),2),0)))))</f>
        <v>0</v>
      </c>
      <c r="BC124" s="51">
        <f>IF(AND($E124&lt;&gt;0,$F124&gt;0,YEAR($F124)&lt;=BA$4,YEAR($F124)&gt;=Preisindex!$A$6),ROUND($E124*BA124,2),IF(AND($E124&lt;&gt;0,$F124&gt;0,YEAR($F124)&lt;=BA$4,YEAR($F124)&lt;Preisindex!$A$6),ROUND($E124*BB124,2),0))</f>
        <v>0</v>
      </c>
      <c r="BD124" s="53">
        <f t="shared" si="369"/>
        <v>0</v>
      </c>
      <c r="BE124" s="51">
        <f t="shared" si="490"/>
        <v>0</v>
      </c>
      <c r="BF124" s="51">
        <f t="shared" si="453"/>
        <v>0</v>
      </c>
      <c r="BG124" s="51">
        <f t="shared" si="370"/>
        <v>0</v>
      </c>
      <c r="BH124" s="51">
        <f t="shared" si="454"/>
        <v>0</v>
      </c>
      <c r="BI124" s="51">
        <f t="shared" si="371"/>
        <v>0</v>
      </c>
      <c r="BJ124" s="51">
        <f t="shared" si="455"/>
        <v>0</v>
      </c>
      <c r="BK124" s="51">
        <f t="shared" si="372"/>
        <v>0</v>
      </c>
      <c r="BL124" s="51">
        <f t="shared" si="456"/>
        <v>0</v>
      </c>
      <c r="BM124" s="51">
        <f t="shared" si="373"/>
        <v>0</v>
      </c>
      <c r="BN124" s="51">
        <f t="shared" si="457"/>
        <v>0</v>
      </c>
      <c r="BO124" s="51">
        <f t="shared" si="374"/>
        <v>0</v>
      </c>
      <c r="BP124" s="54">
        <f t="shared" si="375"/>
        <v>0</v>
      </c>
      <c r="BQ124" s="55">
        <f t="shared" si="376"/>
        <v>0</v>
      </c>
      <c r="BR124" s="56">
        <f>IF(AND($E124&lt;&gt;0,$F124&gt;0,YEAR($F124)&gt;=Preisindex!$A$6,YEAR(BM$4)&gt;=YEAR($F124),AND($K124&lt;&gt;"a",$K124&lt;&gt;"b",$K124&lt;&gt;"g",$K124&lt;&gt;"k")),1,IF(AND($E124&lt;&gt;0,$F124&gt;0,YEAR($F124)&gt;=Preisindex!$A$6,YEAR(BM$4)&gt;=YEAR($F124),$K124="a"),ROUND(VLOOKUP(BR$4,Preisindex,5,FALSE)/VLOOKUP(YEAR($F124),Preisindex,5,FALSE),2),IF(AND($E124&lt;&gt;0,$F124&gt;0,YEAR($F124)&gt;=Preisindex!$A$6,YEAR(BM$4)&gt;=YEAR($F124),$K124="b"),ROUND(VLOOKUP(BR$4,Preisindex,3,FALSE)/VLOOKUP(YEAR($F124),Preisindex,3,FALSE),2),IF(AND($E124&lt;&gt;0,$F124&gt;0,YEAR($F124)&gt;=Preisindex!$A$6,YEAR(BM$4)&gt;=YEAR($F124),$K124="g"),ROUND(VLOOKUP(BR$4,Preisindex,4,FALSE)/VLOOKUP(YEAR($F124),Preisindex,4,FALSE),2),IF(AND($E124&lt;&gt;0,$F124&gt;0,YEAR($F124)&gt;=Preisindex!$A$6,YEAR(BM$4)&gt;=YEAR($F124),$K124="k"),ROUND(VLOOKUP(BR$4,Preisindex,2,FALSE)/VLOOKUP(YEAR($F124),Preisindex,2,FALSE),2),0)))))</f>
        <v>0</v>
      </c>
      <c r="BS124" s="56">
        <f>IF(AND($E124&lt;&gt;0,$F124&gt;0,YEAR($F124)&lt;Preisindex!$A$6,YEAR(BM$4)&gt;=YEAR($F124),AND($K124&lt;&gt;"a",$K124&lt;&gt;"b",$K124&lt;&gt;"g",$K124&lt;&gt;"k")),1,IF(AND($E124&lt;&gt;0,$F124&gt;0,YEAR($F124)&lt;Preisindex!$A$6,YEAR(BM$4)&gt;=YEAR($F124),$K124="a"),ROUND(VLOOKUP(BR$4,Preisindex,5,FALSE)/VLOOKUP(Preisindex!$A$6,Preisindex,5,FALSE),2),IF(AND($E124&lt;&gt;0,$F124&gt;0,YEAR($F124)&lt;Preisindex!$A$6,YEAR(BM$4)&gt;=YEAR($F124),$K124="b"),ROUND(VLOOKUP(BR$4,Preisindex,3,FALSE)/VLOOKUP(Preisindex!$A$6,Preisindex,3,FALSE),2),IF(AND($E124&lt;&gt;0,$F124&gt;0,YEAR($F124)&lt;Preisindex!$A$6,YEAR(BM$4)&gt;=YEAR($F124),$K124="g"),ROUND(VLOOKUP(BR$4,Preisindex,4,FALSE)/VLOOKUP(Preisindex!$A$6,Preisindex,4,FALSE),2),IF(AND($E124&lt;&gt;0,$F124&gt;0,YEAR($F124)&lt;Preisindex!$A$6,YEAR(BM$4)&gt;=YEAR($F124),$K124="k"),ROUND(VLOOKUP(BR$4,Preisindex,2,FALSE)/VLOOKUP(Preisindex!$A$6,Preisindex,2,FALSE),2),0)))))</f>
        <v>0</v>
      </c>
      <c r="BT124" s="51">
        <f>IF(AND($E124&lt;&gt;0,$F124&gt;0,YEAR($F124)&lt;=BR$4,YEAR($F124)&gt;=Preisindex!$A$6),ROUND($E124*BR124,2),IF(AND($E124&lt;&gt;0,$F124&gt;0,YEAR($F124)&lt;=BR$4,YEAR($F124)&lt;Preisindex!$A$6),ROUND($E124*BS124,2),0))</f>
        <v>0</v>
      </c>
      <c r="BU124" s="53">
        <f t="shared" si="377"/>
        <v>0</v>
      </c>
      <c r="BV124" s="51">
        <f t="shared" si="490"/>
        <v>0</v>
      </c>
      <c r="BW124" s="51">
        <f t="shared" si="458"/>
        <v>0</v>
      </c>
      <c r="BX124" s="51">
        <f t="shared" si="378"/>
        <v>0</v>
      </c>
      <c r="BY124" s="51">
        <f t="shared" si="459"/>
        <v>0</v>
      </c>
      <c r="BZ124" s="51">
        <f t="shared" si="379"/>
        <v>0</v>
      </c>
      <c r="CA124" s="51">
        <f t="shared" si="460"/>
        <v>0</v>
      </c>
      <c r="CB124" s="51">
        <f t="shared" si="380"/>
        <v>0</v>
      </c>
      <c r="CC124" s="51">
        <f t="shared" si="461"/>
        <v>0</v>
      </c>
      <c r="CD124" s="51">
        <f t="shared" si="381"/>
        <v>0</v>
      </c>
      <c r="CE124" s="51">
        <f t="shared" si="462"/>
        <v>0</v>
      </c>
      <c r="CF124" s="51">
        <f t="shared" si="382"/>
        <v>0</v>
      </c>
      <c r="CG124" s="54">
        <f t="shared" si="383"/>
        <v>0</v>
      </c>
      <c r="CH124" s="55">
        <f t="shared" si="384"/>
        <v>0</v>
      </c>
      <c r="CI124" s="56">
        <f>IF(AND($E124&lt;&gt;0,$F124&gt;0,YEAR($F124)&gt;=Preisindex!$A$6,YEAR(CD$4)&gt;=YEAR($F124),AND($K124&lt;&gt;"a",$K124&lt;&gt;"b",$K124&lt;&gt;"g",$K124&lt;&gt;"k")),1,IF(AND($E124&lt;&gt;0,$F124&gt;0,YEAR($F124)&gt;=Preisindex!$A$6,YEAR(CD$4)&gt;=YEAR($F124),$K124="a"),ROUND(VLOOKUP(CI$4,Preisindex,5,FALSE)/VLOOKUP(YEAR($F124),Preisindex,5,FALSE),2),IF(AND($E124&lt;&gt;0,$F124&gt;0,YEAR($F124)&gt;=Preisindex!$A$6,YEAR(CD$4)&gt;=YEAR($F124),$K124="b"),ROUND(VLOOKUP(CI$4,Preisindex,3,FALSE)/VLOOKUP(YEAR($F124),Preisindex,3,FALSE),2),IF(AND($E124&lt;&gt;0,$F124&gt;0,YEAR($F124)&gt;=Preisindex!$A$6,YEAR(CD$4)&gt;=YEAR($F124),$K124="g"),ROUND(VLOOKUP(CI$4,Preisindex,4,FALSE)/VLOOKUP(YEAR($F124),Preisindex,4,FALSE),2),IF(AND($E124&lt;&gt;0,$F124&gt;0,YEAR($F124)&gt;=Preisindex!$A$6,YEAR(CD$4)&gt;=YEAR($F124),$K124="k"),ROUND(VLOOKUP(CI$4,Preisindex,2,FALSE)/VLOOKUP(YEAR($F124),Preisindex,2,FALSE),2),0)))))</f>
        <v>0</v>
      </c>
      <c r="CJ124" s="56">
        <f>IF(AND($E124&lt;&gt;0,$F124&gt;0,YEAR($F124)&lt;Preisindex!$A$6,YEAR(CD$4)&gt;=YEAR($F124),AND($K124&lt;&gt;"a",$K124&lt;&gt;"b",$K124&lt;&gt;"g",$K124&lt;&gt;"k")),1,IF(AND($E124&lt;&gt;0,$F124&gt;0,YEAR($F124)&lt;Preisindex!$A$6,YEAR(CD$4)&gt;=YEAR($F124),$K124="a"),ROUND(VLOOKUP(CI$4,Preisindex,5,FALSE)/VLOOKUP(Preisindex!$A$6,Preisindex,5,FALSE),2),IF(AND($E124&lt;&gt;0,$F124&gt;0,YEAR($F124)&lt;Preisindex!$A$6,YEAR(CD$4)&gt;=YEAR($F124),$K124="b"),ROUND(VLOOKUP(CI$4,Preisindex,3,FALSE)/VLOOKUP(Preisindex!$A$6,Preisindex,3,FALSE),2),IF(AND($E124&lt;&gt;0,$F124&gt;0,YEAR($F124)&lt;Preisindex!$A$6,YEAR(CD$4)&gt;=YEAR($F124),$K124="g"),ROUND(VLOOKUP(CI$4,Preisindex,4,FALSE)/VLOOKUP(Preisindex!$A$6,Preisindex,4,FALSE),2),IF(AND($E124&lt;&gt;0,$F124&gt;0,YEAR($F124)&lt;Preisindex!$A$6,YEAR(CD$4)&gt;=YEAR($F124),$K124="k"),ROUND(VLOOKUP(CI$4,Preisindex,2,FALSE)/VLOOKUP(Preisindex!$A$6,Preisindex,2,FALSE),2),0)))))</f>
        <v>0</v>
      </c>
      <c r="CK124" s="51">
        <f>IF(AND($E124&lt;&gt;0,$F124&gt;0,YEAR($F124)&lt;=CI$4,YEAR($F124)&gt;=Preisindex!$A$6),ROUND($E124*CI124,2),IF(AND($E124&lt;&gt;0,$F124&gt;0,YEAR($F124)&lt;=CI$4,YEAR($F124)&lt;Preisindex!$A$6),ROUND($E124*CJ124,2),0))</f>
        <v>0</v>
      </c>
      <c r="CL124" s="53">
        <f t="shared" si="385"/>
        <v>0</v>
      </c>
      <c r="CM124" s="51">
        <f t="shared" si="490"/>
        <v>0</v>
      </c>
      <c r="CN124" s="51">
        <f t="shared" si="463"/>
        <v>0</v>
      </c>
      <c r="CO124" s="51">
        <f t="shared" si="386"/>
        <v>0</v>
      </c>
      <c r="CP124" s="51">
        <f t="shared" si="464"/>
        <v>0</v>
      </c>
      <c r="CQ124" s="51">
        <f t="shared" si="387"/>
        <v>0</v>
      </c>
      <c r="CR124" s="51">
        <f t="shared" si="465"/>
        <v>0</v>
      </c>
      <c r="CS124" s="51">
        <f t="shared" si="388"/>
        <v>0</v>
      </c>
      <c r="CT124" s="51">
        <f t="shared" si="466"/>
        <v>0</v>
      </c>
      <c r="CU124" s="51">
        <f t="shared" si="389"/>
        <v>0</v>
      </c>
      <c r="CV124" s="51">
        <f t="shared" si="467"/>
        <v>0</v>
      </c>
      <c r="CW124" s="51">
        <f t="shared" si="390"/>
        <v>0</v>
      </c>
      <c r="CX124" s="54">
        <f t="shared" si="391"/>
        <v>0</v>
      </c>
      <c r="CY124" s="55">
        <f t="shared" si="392"/>
        <v>0</v>
      </c>
      <c r="CZ124" s="56">
        <f>IF(AND($E124&lt;&gt;0,$F124&gt;0,YEAR($F124)&gt;=Preisindex!$A$6,YEAR(CU$4)&gt;=YEAR($F124),AND($K124&lt;&gt;"a",$K124&lt;&gt;"b",$K124&lt;&gt;"g",$K124&lt;&gt;"k")),1,IF(AND($E124&lt;&gt;0,$F124&gt;0,YEAR($F124)&gt;=Preisindex!$A$6,YEAR(CU$4)&gt;=YEAR($F124),$K124="a"),ROUND(VLOOKUP(CZ$4,Preisindex,5,FALSE)/VLOOKUP(YEAR($F124),Preisindex,5,FALSE),2),IF(AND($E124&lt;&gt;0,$F124&gt;0,YEAR($F124)&gt;=Preisindex!$A$6,YEAR(CU$4)&gt;=YEAR($F124),$K124="b"),ROUND(VLOOKUP(CZ$4,Preisindex,3,FALSE)/VLOOKUP(YEAR($F124),Preisindex,3,FALSE),2),IF(AND($E124&lt;&gt;0,$F124&gt;0,YEAR($F124)&gt;=Preisindex!$A$6,YEAR(CU$4)&gt;=YEAR($F124),$K124="g"),ROUND(VLOOKUP(CZ$4,Preisindex,4,FALSE)/VLOOKUP(YEAR($F124),Preisindex,4,FALSE),2),IF(AND($E124&lt;&gt;0,$F124&gt;0,YEAR($F124)&gt;=Preisindex!$A$6,YEAR(CU$4)&gt;=YEAR($F124),$K124="k"),ROUND(VLOOKUP(CZ$4,Preisindex,2,FALSE)/VLOOKUP(YEAR($F124),Preisindex,2,FALSE),2),0)))))</f>
        <v>0</v>
      </c>
      <c r="DA124" s="56">
        <f>IF(AND($E124&lt;&gt;0,$F124&gt;0,YEAR($F124)&lt;Preisindex!$A$6,YEAR(CU$4)&gt;=YEAR($F124),AND($K124&lt;&gt;"a",$K124&lt;&gt;"b",$K124&lt;&gt;"g",$K124&lt;&gt;"k")),1,IF(AND($E124&lt;&gt;0,$F124&gt;0,YEAR($F124)&lt;Preisindex!$A$6,YEAR(CU$4)&gt;=YEAR($F124),$K124="a"),ROUND(VLOOKUP(CZ$4,Preisindex,5,FALSE)/VLOOKUP(Preisindex!$A$6,Preisindex,5,FALSE),2),IF(AND($E124&lt;&gt;0,$F124&gt;0,YEAR($F124)&lt;Preisindex!$A$6,YEAR(CU$4)&gt;=YEAR($F124),$K124="b"),ROUND(VLOOKUP(CZ$4,Preisindex,3,FALSE)/VLOOKUP(Preisindex!$A$6,Preisindex,3,FALSE),2),IF(AND($E124&lt;&gt;0,$F124&gt;0,YEAR($F124)&lt;Preisindex!$A$6,YEAR(CU$4)&gt;=YEAR($F124),$K124="g"),ROUND(VLOOKUP(CZ$4,Preisindex,4,FALSE)/VLOOKUP(Preisindex!$A$6,Preisindex,4,FALSE),2),IF(AND($E124&lt;&gt;0,$F124&gt;0,YEAR($F124)&lt;Preisindex!$A$6,YEAR(CU$4)&gt;=YEAR($F124),$K124="k"),ROUND(VLOOKUP(CZ$4,Preisindex,2,FALSE)/VLOOKUP(Preisindex!$A$6,Preisindex,2,FALSE),2),0)))))</f>
        <v>0</v>
      </c>
      <c r="DB124" s="51">
        <f>IF(AND($E124&lt;&gt;0,$F124&gt;0,YEAR($F124)&lt;=CZ$4,YEAR($F124)&gt;=Preisindex!$A$6),ROUND($E124*CZ124,2),IF(AND($E124&lt;&gt;0,$F124&gt;0,YEAR($F124)&lt;=CZ$4,YEAR($F124)&lt;Preisindex!$A$6),ROUND($E124*DA124,2),0))</f>
        <v>0</v>
      </c>
      <c r="DC124" s="53">
        <f t="shared" si="393"/>
        <v>0</v>
      </c>
      <c r="DD124" s="51">
        <f t="shared" si="491"/>
        <v>0</v>
      </c>
      <c r="DE124" s="51">
        <f t="shared" si="468"/>
        <v>0</v>
      </c>
      <c r="DF124" s="51">
        <f t="shared" si="395"/>
        <v>0</v>
      </c>
      <c r="DG124" s="51">
        <f t="shared" si="469"/>
        <v>0</v>
      </c>
      <c r="DH124" s="51">
        <f t="shared" si="396"/>
        <v>0</v>
      </c>
      <c r="DI124" s="51">
        <f t="shared" si="470"/>
        <v>0</v>
      </c>
      <c r="DJ124" s="51">
        <f t="shared" si="397"/>
        <v>0</v>
      </c>
      <c r="DK124" s="51">
        <f t="shared" si="471"/>
        <v>0</v>
      </c>
      <c r="DL124" s="51">
        <f t="shared" si="398"/>
        <v>0</v>
      </c>
      <c r="DM124" s="51">
        <f t="shared" si="472"/>
        <v>0</v>
      </c>
      <c r="DN124" s="51">
        <f t="shared" si="399"/>
        <v>0</v>
      </c>
      <c r="DO124" s="54">
        <f t="shared" si="400"/>
        <v>0</v>
      </c>
      <c r="DP124" s="55">
        <f t="shared" si="401"/>
        <v>0</v>
      </c>
      <c r="DQ124" s="56">
        <f>IF(AND($E124&lt;&gt;0,$F124&gt;0,YEAR($F124)&gt;=Preisindex!$A$6,YEAR(DL$4)&gt;=YEAR($F124),AND($K124&lt;&gt;"a",$K124&lt;&gt;"b",$K124&lt;&gt;"g",$K124&lt;&gt;"k")),1,IF(AND($E124&lt;&gt;0,$F124&gt;0,YEAR($F124)&gt;=Preisindex!$A$6,YEAR(DL$4)&gt;=YEAR($F124),$K124="a"),ROUND(VLOOKUP(DQ$4,Preisindex,5,FALSE)/VLOOKUP(YEAR($F124),Preisindex,5,FALSE),2),IF(AND($E124&lt;&gt;0,$F124&gt;0,YEAR($F124)&gt;=Preisindex!$A$6,YEAR(DL$4)&gt;=YEAR($F124),$K124="b"),ROUND(VLOOKUP(DQ$4,Preisindex,3,FALSE)/VLOOKUP(YEAR($F124),Preisindex,3,FALSE),2),IF(AND($E124&lt;&gt;0,$F124&gt;0,YEAR($F124)&gt;=Preisindex!$A$6,YEAR(DL$4)&gt;=YEAR($F124),$K124="g"),ROUND(VLOOKUP(DQ$4,Preisindex,4,FALSE)/VLOOKUP(YEAR($F124),Preisindex,4,FALSE),2),IF(AND($E124&lt;&gt;0,$F124&gt;0,YEAR($F124)&gt;=Preisindex!$A$6,YEAR(DL$4)&gt;=YEAR($F124),$K124="k"),ROUND(VLOOKUP(DQ$4,Preisindex,2,FALSE)/VLOOKUP(YEAR($F124),Preisindex,2,FALSE),2),0)))))</f>
        <v>0</v>
      </c>
      <c r="DR124" s="56">
        <f>IF(AND($E124&lt;&gt;0,$F124&gt;0,YEAR($F124)&lt;Preisindex!$A$6,YEAR(DL$4)&gt;=YEAR($F124),AND($K124&lt;&gt;"a",$K124&lt;&gt;"b",$K124&lt;&gt;"g",$K124&lt;&gt;"k")),1,IF(AND($E124&lt;&gt;0,$F124&gt;0,YEAR($F124)&lt;Preisindex!$A$6,YEAR(DL$4)&gt;=YEAR($F124),$K124="a"),ROUND(VLOOKUP(DQ$4,Preisindex,5,FALSE)/VLOOKUP(Preisindex!$A$6,Preisindex,5,FALSE),2),IF(AND($E124&lt;&gt;0,$F124&gt;0,YEAR($F124)&lt;Preisindex!$A$6,YEAR(DL$4)&gt;=YEAR($F124),$K124="b"),ROUND(VLOOKUP(DQ$4,Preisindex,3,FALSE)/VLOOKUP(Preisindex!$A$6,Preisindex,3,FALSE),2),IF(AND($E124&lt;&gt;0,$F124&gt;0,YEAR($F124)&lt;Preisindex!$A$6,YEAR(DL$4)&gt;=YEAR($F124),$K124="g"),ROUND(VLOOKUP(DQ$4,Preisindex,4,FALSE)/VLOOKUP(Preisindex!$A$6,Preisindex,4,FALSE),2),IF(AND($E124&lt;&gt;0,$F124&gt;0,YEAR($F124)&lt;Preisindex!$A$6,YEAR(DL$4)&gt;=YEAR($F124),$K124="k"),ROUND(VLOOKUP(DQ$4,Preisindex,2,FALSE)/VLOOKUP(Preisindex!$A$6,Preisindex,2,FALSE),2),0)))))</f>
        <v>0</v>
      </c>
      <c r="DS124" s="51">
        <f>IF(AND($E124&lt;&gt;0,$F124&gt;0,YEAR($F124)&lt;=DQ$4,YEAR($F124)&gt;=Preisindex!$A$6),ROUND($E124*DQ124,2),IF(AND($E124&lt;&gt;0,$F124&gt;0,YEAR($F124)&lt;=DQ$4,YEAR($F124)&lt;Preisindex!$A$6),ROUND($E124*DR124,2),0))</f>
        <v>0</v>
      </c>
      <c r="DT124" s="53">
        <f t="shared" si="402"/>
        <v>0</v>
      </c>
      <c r="DU124" s="51">
        <f t="shared" si="491"/>
        <v>0</v>
      </c>
      <c r="DV124" s="51">
        <f t="shared" si="473"/>
        <v>0</v>
      </c>
      <c r="DW124" s="51">
        <f t="shared" si="403"/>
        <v>0</v>
      </c>
      <c r="DX124" s="51">
        <f t="shared" si="474"/>
        <v>0</v>
      </c>
      <c r="DY124" s="51">
        <f t="shared" si="404"/>
        <v>0</v>
      </c>
      <c r="DZ124" s="51">
        <f t="shared" si="475"/>
        <v>0</v>
      </c>
      <c r="EA124" s="51">
        <f t="shared" si="405"/>
        <v>0</v>
      </c>
      <c r="EB124" s="51">
        <f t="shared" si="476"/>
        <v>0</v>
      </c>
      <c r="EC124" s="51">
        <f t="shared" si="406"/>
        <v>0</v>
      </c>
      <c r="ED124" s="51">
        <f t="shared" si="477"/>
        <v>0</v>
      </c>
      <c r="EE124" s="51">
        <f t="shared" si="407"/>
        <v>0</v>
      </c>
      <c r="EF124" s="54">
        <f t="shared" si="408"/>
        <v>0</v>
      </c>
      <c r="EG124" s="55">
        <f t="shared" si="409"/>
        <v>0</v>
      </c>
      <c r="EH124" s="56">
        <f>IF(AND($E124&lt;&gt;0,$F124&gt;0,YEAR($F124)&gt;=Preisindex!$A$6,YEAR(EC$4)&gt;=YEAR($F124),AND($K124&lt;&gt;"a",$K124&lt;&gt;"b",$K124&lt;&gt;"g",$K124&lt;&gt;"k")),1,IF(AND($E124&lt;&gt;0,$F124&gt;0,YEAR($F124)&gt;=Preisindex!$A$6,YEAR(EC$4)&gt;=YEAR($F124),$K124="a"),ROUND(VLOOKUP(EH$4,Preisindex,5,FALSE)/VLOOKUP(YEAR($F124),Preisindex,5,FALSE),2),IF(AND($E124&lt;&gt;0,$F124&gt;0,YEAR($F124)&gt;=Preisindex!$A$6,YEAR(EC$4)&gt;=YEAR($F124),$K124="b"),ROUND(VLOOKUP(EH$4,Preisindex,3,FALSE)/VLOOKUP(YEAR($F124),Preisindex,3,FALSE),2),IF(AND($E124&lt;&gt;0,$F124&gt;0,YEAR($F124)&gt;=Preisindex!$A$6,YEAR(EC$4)&gt;=YEAR($F124),$K124="g"),ROUND(VLOOKUP(EH$4,Preisindex,4,FALSE)/VLOOKUP(YEAR($F124),Preisindex,4,FALSE),2),IF(AND($E124&lt;&gt;0,$F124&gt;0,YEAR($F124)&gt;=Preisindex!$A$6,YEAR(EC$4)&gt;=YEAR($F124),$K124="k"),ROUND(VLOOKUP(EH$4,Preisindex,2,FALSE)/VLOOKUP(YEAR($F124),Preisindex,2,FALSE),2),0)))))</f>
        <v>0</v>
      </c>
      <c r="EI124" s="56">
        <f>IF(AND($E124&lt;&gt;0,$F124&gt;0,YEAR($F124)&lt;Preisindex!$A$6,YEAR(EC$4)&gt;=YEAR($F124),AND($K124&lt;&gt;"a",$K124&lt;&gt;"b",$K124&lt;&gt;"g",$K124&lt;&gt;"k")),1,IF(AND($E124&lt;&gt;0,$F124&gt;0,YEAR($F124)&lt;Preisindex!$A$6,YEAR(EC$4)&gt;=YEAR($F124),$K124="a"),ROUND(VLOOKUP(EH$4,Preisindex,5,FALSE)/VLOOKUP(Preisindex!$A$6,Preisindex,5,FALSE),2),IF(AND($E124&lt;&gt;0,$F124&gt;0,YEAR($F124)&lt;Preisindex!$A$6,YEAR(EC$4)&gt;=YEAR($F124),$K124="b"),ROUND(VLOOKUP(EH$4,Preisindex,3,FALSE)/VLOOKUP(Preisindex!$A$6,Preisindex,3,FALSE),2),IF(AND($E124&lt;&gt;0,$F124&gt;0,YEAR($F124)&lt;Preisindex!$A$6,YEAR(EC$4)&gt;=YEAR($F124),$K124="g"),ROUND(VLOOKUP(EH$4,Preisindex,4,FALSE)/VLOOKUP(Preisindex!$A$6,Preisindex,4,FALSE),2),IF(AND($E124&lt;&gt;0,$F124&gt;0,YEAR($F124)&lt;Preisindex!$A$6,YEAR(EC$4)&gt;=YEAR($F124),$K124="k"),ROUND(VLOOKUP(EH$4,Preisindex,2,FALSE)/VLOOKUP(Preisindex!$A$6,Preisindex,2,FALSE),2),0)))))</f>
        <v>0</v>
      </c>
      <c r="EJ124" s="51">
        <f>IF(AND($E124&lt;&gt;0,$F124&gt;0,YEAR($F124)&lt;=EH$4,YEAR($F124)&gt;=Preisindex!$A$6),ROUND($E124*EH124,2),IF(AND($E124&lt;&gt;0,$F124&gt;0,YEAR($F124)&lt;=EH$4,YEAR($F124)&lt;Preisindex!$A$6),ROUND($E124*EI124,2),0))</f>
        <v>0</v>
      </c>
      <c r="EK124" s="53">
        <f t="shared" si="410"/>
        <v>0</v>
      </c>
      <c r="EL124" s="51">
        <f t="shared" si="491"/>
        <v>0</v>
      </c>
      <c r="EM124" s="51">
        <f t="shared" si="478"/>
        <v>0</v>
      </c>
      <c r="EN124" s="51">
        <f t="shared" si="411"/>
        <v>0</v>
      </c>
      <c r="EO124" s="51">
        <f t="shared" si="479"/>
        <v>0</v>
      </c>
      <c r="EP124" s="51">
        <f t="shared" si="412"/>
        <v>0</v>
      </c>
      <c r="EQ124" s="51">
        <f t="shared" si="480"/>
        <v>0</v>
      </c>
      <c r="ER124" s="51">
        <f t="shared" si="413"/>
        <v>0</v>
      </c>
      <c r="ES124" s="51">
        <f t="shared" si="481"/>
        <v>0</v>
      </c>
      <c r="ET124" s="51">
        <f t="shared" si="414"/>
        <v>0</v>
      </c>
      <c r="EU124" s="51">
        <f t="shared" si="482"/>
        <v>0</v>
      </c>
      <c r="EV124" s="51">
        <f t="shared" si="415"/>
        <v>0</v>
      </c>
      <c r="EW124" s="54">
        <f t="shared" si="416"/>
        <v>0</v>
      </c>
      <c r="EX124" s="55">
        <f t="shared" si="417"/>
        <v>0</v>
      </c>
      <c r="EY124" s="56">
        <f>IF(AND($E124&lt;&gt;0,$F124&gt;0,YEAR($F124)&gt;=Preisindex!$A$6,YEAR(ET$4)&gt;=YEAR($F124),AND($K124&lt;&gt;"a",$K124&lt;&gt;"b",$K124&lt;&gt;"g",$K124&lt;&gt;"k")),1,IF(AND($E124&lt;&gt;0,$F124&gt;0,YEAR($F124)&gt;=Preisindex!$A$6,YEAR(ET$4)&gt;=YEAR($F124),$K124="a"),ROUND(VLOOKUP(EY$4,Preisindex,5,FALSE)/VLOOKUP(YEAR($F124),Preisindex,5,FALSE),2),IF(AND($E124&lt;&gt;0,$F124&gt;0,YEAR($F124)&gt;=Preisindex!$A$6,YEAR(ET$4)&gt;=YEAR($F124),$K124="b"),ROUND(VLOOKUP(EY$4,Preisindex,3,FALSE)/VLOOKUP(YEAR($F124),Preisindex,3,FALSE),2),IF(AND($E124&lt;&gt;0,$F124&gt;0,YEAR($F124)&gt;=Preisindex!$A$6,YEAR(ET$4)&gt;=YEAR($F124),$K124="g"),ROUND(VLOOKUP(EY$4,Preisindex,4,FALSE)/VLOOKUP(YEAR($F124),Preisindex,4,FALSE),2),IF(AND($E124&lt;&gt;0,$F124&gt;0,YEAR($F124)&gt;=Preisindex!$A$6,YEAR(ET$4)&gt;=YEAR($F124),$K124="k"),ROUND(VLOOKUP(EY$4,Preisindex,2,FALSE)/VLOOKUP(YEAR($F124),Preisindex,2,FALSE),2),0)))))</f>
        <v>0</v>
      </c>
      <c r="EZ124" s="56">
        <f>IF(AND($E124&lt;&gt;0,$F124&gt;0,YEAR($F124)&lt;Preisindex!$A$6,YEAR(ET$4)&gt;=YEAR($F124),AND($K124&lt;&gt;"a",$K124&lt;&gt;"b",$K124&lt;&gt;"g",$K124&lt;&gt;"k")),1,IF(AND($E124&lt;&gt;0,$F124&gt;0,YEAR($F124)&lt;Preisindex!$A$6,YEAR(ET$4)&gt;=YEAR($F124),$K124="a"),ROUND(VLOOKUP(EY$4,Preisindex,5,FALSE)/VLOOKUP(Preisindex!$A$6,Preisindex,5,FALSE),2),IF(AND($E124&lt;&gt;0,$F124&gt;0,YEAR($F124)&lt;Preisindex!$A$6,YEAR(ET$4)&gt;=YEAR($F124),$K124="b"),ROUND(VLOOKUP(EY$4,Preisindex,3,FALSE)/VLOOKUP(Preisindex!$A$6,Preisindex,3,FALSE),2),IF(AND($E124&lt;&gt;0,$F124&gt;0,YEAR($F124)&lt;Preisindex!$A$6,YEAR(ET$4)&gt;=YEAR($F124),$K124="g"),ROUND(VLOOKUP(EY$4,Preisindex,4,FALSE)/VLOOKUP(Preisindex!$A$6,Preisindex,4,FALSE),2),IF(AND($E124&lt;&gt;0,$F124&gt;0,YEAR($F124)&lt;Preisindex!$A$6,YEAR(ET$4)&gt;=YEAR($F124),$K124="k"),ROUND(VLOOKUP(EY$4,Preisindex,2,FALSE)/VLOOKUP(Preisindex!$A$6,Preisindex,2,FALSE),2),0)))))</f>
        <v>0</v>
      </c>
      <c r="FA124" s="51">
        <f>IF(AND($E124&lt;&gt;0,$F124&gt;0,YEAR($F124)&lt;=EY$4,YEAR($F124)&gt;=Preisindex!$A$6),ROUND($E124*EY124,2),IF(AND($E124&lt;&gt;0,$F124&gt;0,YEAR($F124)&lt;=EY$4,YEAR($F124)&lt;Preisindex!$A$6),ROUND($E124*EZ124,2),0))</f>
        <v>0</v>
      </c>
      <c r="FB124" s="53">
        <f t="shared" si="418"/>
        <v>0</v>
      </c>
      <c r="FC124" s="51">
        <f t="shared" si="491"/>
        <v>0</v>
      </c>
      <c r="FD124" s="51">
        <f t="shared" si="483"/>
        <v>0</v>
      </c>
      <c r="FE124" s="51">
        <f t="shared" si="419"/>
        <v>0</v>
      </c>
      <c r="FF124" s="51">
        <f t="shared" si="484"/>
        <v>0</v>
      </c>
      <c r="FG124" s="51">
        <f t="shared" si="420"/>
        <v>0</v>
      </c>
      <c r="FH124" s="51">
        <f t="shared" si="485"/>
        <v>0</v>
      </c>
      <c r="FI124" s="51">
        <f t="shared" si="421"/>
        <v>0</v>
      </c>
      <c r="FJ124" s="51">
        <f t="shared" si="486"/>
        <v>0</v>
      </c>
      <c r="FK124" s="51">
        <f t="shared" si="422"/>
        <v>0</v>
      </c>
      <c r="FL124" s="51">
        <f t="shared" si="487"/>
        <v>0</v>
      </c>
      <c r="FM124" s="51">
        <f t="shared" si="423"/>
        <v>0</v>
      </c>
      <c r="FN124" s="54">
        <f t="shared" si="424"/>
        <v>0</v>
      </c>
      <c r="FO124" s="55">
        <f t="shared" si="425"/>
        <v>0</v>
      </c>
      <c r="FP124" s="56">
        <f>IF(AND($E124&lt;&gt;0,$F124&gt;0,YEAR($F124)&gt;=Preisindex!$A$6,YEAR(FK$4)&gt;=YEAR($F124),AND($K124&lt;&gt;"a",$K124&lt;&gt;"b",$K124&lt;&gt;"g",$K124&lt;&gt;"k")),1,IF(AND($E124&lt;&gt;0,$F124&gt;0,YEAR($F124)&gt;=Preisindex!$A$6,YEAR(FK$4)&gt;=YEAR($F124),$K124="a"),ROUND(VLOOKUP(FP$4,Preisindex,5,FALSE)/VLOOKUP(YEAR($F124),Preisindex,5,FALSE),2),IF(AND($E124&lt;&gt;0,$F124&gt;0,YEAR($F124)&gt;=Preisindex!$A$6,YEAR(FK$4)&gt;=YEAR($F124),$K124="b"),ROUND(VLOOKUP(FP$4,Preisindex,3,FALSE)/VLOOKUP(YEAR($F124),Preisindex,3,FALSE),2),IF(AND($E124&lt;&gt;0,$F124&gt;0,YEAR($F124)&gt;=Preisindex!$A$6,YEAR(FK$4)&gt;=YEAR($F124),$K124="g"),ROUND(VLOOKUP(FP$4,Preisindex,4,FALSE)/VLOOKUP(YEAR($F124),Preisindex,4,FALSE),2),IF(AND($E124&lt;&gt;0,$F124&gt;0,YEAR($F124)&gt;=Preisindex!$A$6,YEAR(FK$4)&gt;=YEAR($F124),$K124="k"),ROUND(VLOOKUP(FP$4,Preisindex,2,FALSE)/VLOOKUP(YEAR($F124),Preisindex,2,FALSE),2),0)))))</f>
        <v>0</v>
      </c>
      <c r="FQ124" s="56">
        <f>IF(AND($E124&lt;&gt;0,$F124&gt;0,YEAR($F124)&lt;Preisindex!$A$6,YEAR(FK$4)&gt;=YEAR($F124),AND($K124&lt;&gt;"a",$K124&lt;&gt;"b",$K124&lt;&gt;"g",$K124&lt;&gt;"k")),1,IF(AND($E124&lt;&gt;0,$F124&gt;0,YEAR($F124)&lt;Preisindex!$A$6,YEAR(FK$4)&gt;=YEAR($F124),$K124="a"),ROUND(VLOOKUP(FP$4,Preisindex,5,FALSE)/VLOOKUP(Preisindex!$A$6,Preisindex,5,FALSE),2),IF(AND($E124&lt;&gt;0,$F124&gt;0,YEAR($F124)&lt;Preisindex!$A$6,YEAR(FK$4)&gt;=YEAR($F124),$K124="b"),ROUND(VLOOKUP(FP$4,Preisindex,3,FALSE)/VLOOKUP(Preisindex!$A$6,Preisindex,3,FALSE),2),IF(AND($E124&lt;&gt;0,$F124&gt;0,YEAR($F124)&lt;Preisindex!$A$6,YEAR(FK$4)&gt;=YEAR($F124),$K124="g"),ROUND(VLOOKUP(FP$4,Preisindex,4,FALSE)/VLOOKUP(Preisindex!$A$6,Preisindex,4,FALSE),2),IF(AND($E124&lt;&gt;0,$F124&gt;0,YEAR($F124)&lt;Preisindex!$A$6,YEAR(FK$4)&gt;=YEAR($F124),$K124="k"),ROUND(VLOOKUP(FP$4,Preisindex,2,FALSE)/VLOOKUP(Preisindex!$A$6,Preisindex,2,FALSE),2),0)))))</f>
        <v>0</v>
      </c>
      <c r="FR124" s="51">
        <f>IF(AND($E124&lt;&gt;0,$F124&gt;0,YEAR($F124)&lt;=FP$4,YEAR($F124)&gt;=Preisindex!$A$6),ROUND($E124*FP124,2),IF(AND($E124&lt;&gt;0,$F124&gt;0,YEAR($F124)&lt;=FP$4,YEAR($F124)&lt;Preisindex!$A$6),ROUND($E124*FQ124,2),0))</f>
        <v>0</v>
      </c>
      <c r="FS124" s="53">
        <f t="shared" si="426"/>
        <v>0</v>
      </c>
    </row>
    <row r="125" spans="1:175" x14ac:dyDescent="0.3">
      <c r="A125" s="93"/>
      <c r="B125" s="94"/>
      <c r="C125" s="94"/>
      <c r="D125" s="95"/>
      <c r="E125" s="99"/>
      <c r="F125" s="97"/>
      <c r="G125" s="98"/>
      <c r="H125" s="620"/>
      <c r="I125" s="621"/>
      <c r="J125" s="194"/>
      <c r="K125" s="630"/>
      <c r="L125" s="49">
        <f t="shared" si="427"/>
        <v>0</v>
      </c>
      <c r="M125" s="50">
        <f t="shared" si="428"/>
        <v>0</v>
      </c>
      <c r="N125" s="51">
        <f t="shared" si="429"/>
        <v>0</v>
      </c>
      <c r="O125" s="51"/>
      <c r="P125" s="51">
        <f t="shared" si="430"/>
        <v>0</v>
      </c>
      <c r="Q125" s="52"/>
      <c r="R125" s="52"/>
      <c r="S125" s="52"/>
      <c r="T125" s="52"/>
      <c r="U125" s="52"/>
      <c r="V125" s="53">
        <f t="shared" si="431"/>
        <v>0</v>
      </c>
      <c r="W125" s="51">
        <f t="shared" si="432"/>
        <v>0</v>
      </c>
      <c r="X125" s="51">
        <f t="shared" si="433"/>
        <v>0</v>
      </c>
      <c r="Y125" s="51">
        <f t="shared" si="434"/>
        <v>0</v>
      </c>
      <c r="Z125" s="51">
        <f t="shared" si="435"/>
        <v>0</v>
      </c>
      <c r="AA125" s="51">
        <f t="shared" si="436"/>
        <v>0</v>
      </c>
      <c r="AB125" s="51">
        <f t="shared" si="437"/>
        <v>0</v>
      </c>
      <c r="AC125" s="51">
        <f t="shared" si="438"/>
        <v>0</v>
      </c>
      <c r="AD125" s="51">
        <f t="shared" si="439"/>
        <v>0</v>
      </c>
      <c r="AE125" s="51">
        <f t="shared" si="440"/>
        <v>0</v>
      </c>
      <c r="AF125" s="51">
        <f t="shared" si="441"/>
        <v>0</v>
      </c>
      <c r="AG125" s="51">
        <f t="shared" si="442"/>
        <v>0</v>
      </c>
      <c r="AH125" s="54">
        <f t="shared" si="443"/>
        <v>0</v>
      </c>
      <c r="AI125" s="55">
        <f t="shared" si="444"/>
        <v>0</v>
      </c>
      <c r="AJ125" s="56">
        <f>IF(AND($E125&lt;&gt;0,$F125&gt;0,YEAR($F125)&gt;=Preisindex!$A$6,YEAR(AE$4)&gt;=YEAR($F125),AND($K125&lt;&gt;"a",$K125&lt;&gt;"b",$K125&lt;&gt;"g",$K125&lt;&gt;"k")),1,IF(AND($E125&lt;&gt;0,$F125&gt;0,YEAR($F125)&gt;=Preisindex!$A$6,YEAR(AE$4)&gt;=YEAR($F125),$K125="a"),ROUND(VLOOKUP(AJ$4,Preisindex,5,FALSE)/VLOOKUP(YEAR($F125),Preisindex,5,FALSE),2),IF(AND($E125&lt;&gt;0,$F125&gt;0,YEAR($F125)&gt;=Preisindex!$A$6,YEAR(AE$4)&gt;=YEAR($F125),$K125="b"),ROUND(VLOOKUP(AJ$4,Preisindex,3,FALSE)/VLOOKUP(YEAR($F125),Preisindex,3,FALSE),2),IF(AND($E125&lt;&gt;0,$F125&gt;0,YEAR($F125)&gt;=Preisindex!$A$6,YEAR(AE$4)&gt;=YEAR($F125),$K125="g"),ROUND(VLOOKUP(AJ$4,Preisindex,4,FALSE)/VLOOKUP(YEAR($F125),Preisindex,4,FALSE),2),IF(AND($E125&lt;&gt;0,$F125&gt;0,YEAR($F125)&gt;=Preisindex!$A$6,YEAR(AE$4)&gt;=YEAR($F125),$K125="k"),ROUND(VLOOKUP(AJ$4,Preisindex,2,FALSE)/VLOOKUP(YEAR($F125),Preisindex,2,FALSE),2),0)))))</f>
        <v>0</v>
      </c>
      <c r="AK125" s="56">
        <f>IF(AND($E125&lt;&gt;0,$F125&gt;0,YEAR($F125)&lt;Preisindex!$A$6,YEAR(AE$4)&gt;=YEAR($F125),AND($K125&lt;&gt;"a",$K125&lt;&gt;"b",$K125&lt;&gt;"g",$K125&lt;&gt;"k")),1,IF(AND($E125&lt;&gt;0,$F125&gt;0,YEAR($F125)&lt;Preisindex!$A$6,YEAR(AE$4)&gt;=YEAR($F125),$K125="a"),ROUND(VLOOKUP(AJ$4,Preisindex,5,FALSE)/VLOOKUP(Preisindex!$A$6,Preisindex,5,FALSE),2),IF(AND($E125&lt;&gt;0,$F125&gt;0,YEAR($F125)&lt;Preisindex!$A$6,YEAR(AE$4)&gt;=YEAR($F125),$K125="b"),ROUND(VLOOKUP(AJ$4,Preisindex,3,FALSE)/VLOOKUP(Preisindex!$A$6,Preisindex,3,FALSE),2),IF(AND($E125&lt;&gt;0,$F125&gt;0,YEAR($F125)&lt;Preisindex!$A$6,YEAR(AE$4)&gt;=YEAR($F125),$K125="g"),ROUND(VLOOKUP(AJ$4,Preisindex,4,FALSE)/VLOOKUP(Preisindex!$A$6,Preisindex,4,FALSE),2),IF(AND($E125&lt;&gt;0,$F125&gt;0,YEAR($F125)&lt;Preisindex!$A$6,YEAR(AE$4)&gt;=YEAR($F125),$K125="k"),ROUND(VLOOKUP(AJ$4,Preisindex,2,FALSE)/VLOOKUP(Preisindex!$A$6,Preisindex,2,FALSE),2),0)))))</f>
        <v>0</v>
      </c>
      <c r="AL125" s="51">
        <f>IF(AND($E125&lt;&gt;0,$F125&gt;0,YEAR($F125)&lt;=AJ$4,YEAR($F125)&gt;=Preisindex!$A$6),ROUND($E125*AJ125,2),IF(AND($E125&lt;&gt;0,$F125&gt;0,YEAR($F125)&lt;=AJ$4,YEAR($F125)&lt;Preisindex!$A$6),ROUND($E125*AK125,2),0))</f>
        <v>0</v>
      </c>
      <c r="AM125" s="53">
        <f t="shared" si="445"/>
        <v>0</v>
      </c>
      <c r="AN125" s="51">
        <f t="shared" si="490"/>
        <v>0</v>
      </c>
      <c r="AO125" s="51">
        <f t="shared" si="448"/>
        <v>0</v>
      </c>
      <c r="AP125" s="51">
        <f t="shared" si="362"/>
        <v>0</v>
      </c>
      <c r="AQ125" s="51">
        <f t="shared" si="449"/>
        <v>0</v>
      </c>
      <c r="AR125" s="51">
        <f t="shared" si="363"/>
        <v>0</v>
      </c>
      <c r="AS125" s="51">
        <f t="shared" si="450"/>
        <v>0</v>
      </c>
      <c r="AT125" s="51">
        <f t="shared" si="364"/>
        <v>0</v>
      </c>
      <c r="AU125" s="51">
        <f t="shared" si="451"/>
        <v>0</v>
      </c>
      <c r="AV125" s="51">
        <f t="shared" si="365"/>
        <v>0</v>
      </c>
      <c r="AW125" s="51">
        <f t="shared" si="452"/>
        <v>0</v>
      </c>
      <c r="AX125" s="51">
        <f t="shared" si="366"/>
        <v>0</v>
      </c>
      <c r="AY125" s="54">
        <f t="shared" si="367"/>
        <v>0</v>
      </c>
      <c r="AZ125" s="55">
        <f t="shared" si="368"/>
        <v>0</v>
      </c>
      <c r="BA125" s="56">
        <f>IF(AND($E125&lt;&gt;0,$F125&gt;0,YEAR($F125)&gt;=Preisindex!$A$6,YEAR(AV$4)&gt;=YEAR($F125),AND($K125&lt;&gt;"a",$K125&lt;&gt;"b",$K125&lt;&gt;"g",$K125&lt;&gt;"k")),1,IF(AND($E125&lt;&gt;0,$F125&gt;0,YEAR($F125)&gt;=Preisindex!$A$6,YEAR(AV$4)&gt;=YEAR($F125),$K125="a"),ROUND(VLOOKUP(BA$4,Preisindex,5,FALSE)/VLOOKUP(YEAR($F125),Preisindex,5,FALSE),2),IF(AND($E125&lt;&gt;0,$F125&gt;0,YEAR($F125)&gt;=Preisindex!$A$6,YEAR(AV$4)&gt;=YEAR($F125),$K125="b"),ROUND(VLOOKUP(BA$4,Preisindex,3,FALSE)/VLOOKUP(YEAR($F125),Preisindex,3,FALSE),2),IF(AND($E125&lt;&gt;0,$F125&gt;0,YEAR($F125)&gt;=Preisindex!$A$6,YEAR(AV$4)&gt;=YEAR($F125),$K125="g"),ROUND(VLOOKUP(BA$4,Preisindex,4,FALSE)/VLOOKUP(YEAR($F125),Preisindex,4,FALSE),2),IF(AND($E125&lt;&gt;0,$F125&gt;0,YEAR($F125)&gt;=Preisindex!$A$6,YEAR(AV$4)&gt;=YEAR($F125),$K125="k"),ROUND(VLOOKUP(BA$4,Preisindex,2,FALSE)/VLOOKUP(YEAR($F125),Preisindex,2,FALSE),2),0)))))</f>
        <v>0</v>
      </c>
      <c r="BB125" s="56">
        <f>IF(AND($E125&lt;&gt;0,$F125&gt;0,YEAR($F125)&lt;Preisindex!$A$6,YEAR(AV$4)&gt;=YEAR($F125),AND($K125&lt;&gt;"a",$K125&lt;&gt;"b",$K125&lt;&gt;"g",$K125&lt;&gt;"k")),1,IF(AND($E125&lt;&gt;0,$F125&gt;0,YEAR($F125)&lt;Preisindex!$A$6,YEAR(AV$4)&gt;=YEAR($F125),$K125="a"),ROUND(VLOOKUP(BA$4,Preisindex,5,FALSE)/VLOOKUP(Preisindex!$A$6,Preisindex,5,FALSE),2),IF(AND($E125&lt;&gt;0,$F125&gt;0,YEAR($F125)&lt;Preisindex!$A$6,YEAR(AV$4)&gt;=YEAR($F125),$K125="b"),ROUND(VLOOKUP(BA$4,Preisindex,3,FALSE)/VLOOKUP(Preisindex!$A$6,Preisindex,3,FALSE),2),IF(AND($E125&lt;&gt;0,$F125&gt;0,YEAR($F125)&lt;Preisindex!$A$6,YEAR(AV$4)&gt;=YEAR($F125),$K125="g"),ROUND(VLOOKUP(BA$4,Preisindex,4,FALSE)/VLOOKUP(Preisindex!$A$6,Preisindex,4,FALSE),2),IF(AND($E125&lt;&gt;0,$F125&gt;0,YEAR($F125)&lt;Preisindex!$A$6,YEAR(AV$4)&gt;=YEAR($F125),$K125="k"),ROUND(VLOOKUP(BA$4,Preisindex,2,FALSE)/VLOOKUP(Preisindex!$A$6,Preisindex,2,FALSE),2),0)))))</f>
        <v>0</v>
      </c>
      <c r="BC125" s="51">
        <f>IF(AND($E125&lt;&gt;0,$F125&gt;0,YEAR($F125)&lt;=BA$4,YEAR($F125)&gt;=Preisindex!$A$6),ROUND($E125*BA125,2),IF(AND($E125&lt;&gt;0,$F125&gt;0,YEAR($F125)&lt;=BA$4,YEAR($F125)&lt;Preisindex!$A$6),ROUND($E125*BB125,2),0))</f>
        <v>0</v>
      </c>
      <c r="BD125" s="53">
        <f t="shared" si="369"/>
        <v>0</v>
      </c>
      <c r="BE125" s="51">
        <f t="shared" si="490"/>
        <v>0</v>
      </c>
      <c r="BF125" s="51">
        <f t="shared" si="453"/>
        <v>0</v>
      </c>
      <c r="BG125" s="51">
        <f t="shared" si="370"/>
        <v>0</v>
      </c>
      <c r="BH125" s="51">
        <f t="shared" si="454"/>
        <v>0</v>
      </c>
      <c r="BI125" s="51">
        <f t="shared" si="371"/>
        <v>0</v>
      </c>
      <c r="BJ125" s="51">
        <f t="shared" si="455"/>
        <v>0</v>
      </c>
      <c r="BK125" s="51">
        <f t="shared" si="372"/>
        <v>0</v>
      </c>
      <c r="BL125" s="51">
        <f t="shared" si="456"/>
        <v>0</v>
      </c>
      <c r="BM125" s="51">
        <f t="shared" si="373"/>
        <v>0</v>
      </c>
      <c r="BN125" s="51">
        <f t="shared" si="457"/>
        <v>0</v>
      </c>
      <c r="BO125" s="51">
        <f t="shared" si="374"/>
        <v>0</v>
      </c>
      <c r="BP125" s="54">
        <f t="shared" si="375"/>
        <v>0</v>
      </c>
      <c r="BQ125" s="55">
        <f t="shared" si="376"/>
        <v>0</v>
      </c>
      <c r="BR125" s="56">
        <f>IF(AND($E125&lt;&gt;0,$F125&gt;0,YEAR($F125)&gt;=Preisindex!$A$6,YEAR(BM$4)&gt;=YEAR($F125),AND($K125&lt;&gt;"a",$K125&lt;&gt;"b",$K125&lt;&gt;"g",$K125&lt;&gt;"k")),1,IF(AND($E125&lt;&gt;0,$F125&gt;0,YEAR($F125)&gt;=Preisindex!$A$6,YEAR(BM$4)&gt;=YEAR($F125),$K125="a"),ROUND(VLOOKUP(BR$4,Preisindex,5,FALSE)/VLOOKUP(YEAR($F125),Preisindex,5,FALSE),2),IF(AND($E125&lt;&gt;0,$F125&gt;0,YEAR($F125)&gt;=Preisindex!$A$6,YEAR(BM$4)&gt;=YEAR($F125),$K125="b"),ROUND(VLOOKUP(BR$4,Preisindex,3,FALSE)/VLOOKUP(YEAR($F125),Preisindex,3,FALSE),2),IF(AND($E125&lt;&gt;0,$F125&gt;0,YEAR($F125)&gt;=Preisindex!$A$6,YEAR(BM$4)&gt;=YEAR($F125),$K125="g"),ROUND(VLOOKUP(BR$4,Preisindex,4,FALSE)/VLOOKUP(YEAR($F125),Preisindex,4,FALSE),2),IF(AND($E125&lt;&gt;0,$F125&gt;0,YEAR($F125)&gt;=Preisindex!$A$6,YEAR(BM$4)&gt;=YEAR($F125),$K125="k"),ROUND(VLOOKUP(BR$4,Preisindex,2,FALSE)/VLOOKUP(YEAR($F125),Preisindex,2,FALSE),2),0)))))</f>
        <v>0</v>
      </c>
      <c r="BS125" s="56">
        <f>IF(AND($E125&lt;&gt;0,$F125&gt;0,YEAR($F125)&lt;Preisindex!$A$6,YEAR(BM$4)&gt;=YEAR($F125),AND($K125&lt;&gt;"a",$K125&lt;&gt;"b",$K125&lt;&gt;"g",$K125&lt;&gt;"k")),1,IF(AND($E125&lt;&gt;0,$F125&gt;0,YEAR($F125)&lt;Preisindex!$A$6,YEAR(BM$4)&gt;=YEAR($F125),$K125="a"),ROUND(VLOOKUP(BR$4,Preisindex,5,FALSE)/VLOOKUP(Preisindex!$A$6,Preisindex,5,FALSE),2),IF(AND($E125&lt;&gt;0,$F125&gt;0,YEAR($F125)&lt;Preisindex!$A$6,YEAR(BM$4)&gt;=YEAR($F125),$K125="b"),ROUND(VLOOKUP(BR$4,Preisindex,3,FALSE)/VLOOKUP(Preisindex!$A$6,Preisindex,3,FALSE),2),IF(AND($E125&lt;&gt;0,$F125&gt;0,YEAR($F125)&lt;Preisindex!$A$6,YEAR(BM$4)&gt;=YEAR($F125),$K125="g"),ROUND(VLOOKUP(BR$4,Preisindex,4,FALSE)/VLOOKUP(Preisindex!$A$6,Preisindex,4,FALSE),2),IF(AND($E125&lt;&gt;0,$F125&gt;0,YEAR($F125)&lt;Preisindex!$A$6,YEAR(BM$4)&gt;=YEAR($F125),$K125="k"),ROUND(VLOOKUP(BR$4,Preisindex,2,FALSE)/VLOOKUP(Preisindex!$A$6,Preisindex,2,FALSE),2),0)))))</f>
        <v>0</v>
      </c>
      <c r="BT125" s="51">
        <f>IF(AND($E125&lt;&gt;0,$F125&gt;0,YEAR($F125)&lt;=BR$4,YEAR($F125)&gt;=Preisindex!$A$6),ROUND($E125*BR125,2),IF(AND($E125&lt;&gt;0,$F125&gt;0,YEAR($F125)&lt;=BR$4,YEAR($F125)&lt;Preisindex!$A$6),ROUND($E125*BS125,2),0))</f>
        <v>0</v>
      </c>
      <c r="BU125" s="53">
        <f t="shared" si="377"/>
        <v>0</v>
      </c>
      <c r="BV125" s="51">
        <f t="shared" si="490"/>
        <v>0</v>
      </c>
      <c r="BW125" s="51">
        <f t="shared" si="458"/>
        <v>0</v>
      </c>
      <c r="BX125" s="51">
        <f t="shared" si="378"/>
        <v>0</v>
      </c>
      <c r="BY125" s="51">
        <f t="shared" si="459"/>
        <v>0</v>
      </c>
      <c r="BZ125" s="51">
        <f t="shared" si="379"/>
        <v>0</v>
      </c>
      <c r="CA125" s="51">
        <f t="shared" si="460"/>
        <v>0</v>
      </c>
      <c r="CB125" s="51">
        <f t="shared" si="380"/>
        <v>0</v>
      </c>
      <c r="CC125" s="51">
        <f t="shared" si="461"/>
        <v>0</v>
      </c>
      <c r="CD125" s="51">
        <f t="shared" si="381"/>
        <v>0</v>
      </c>
      <c r="CE125" s="51">
        <f t="shared" si="462"/>
        <v>0</v>
      </c>
      <c r="CF125" s="51">
        <f t="shared" si="382"/>
        <v>0</v>
      </c>
      <c r="CG125" s="54">
        <f t="shared" si="383"/>
        <v>0</v>
      </c>
      <c r="CH125" s="55">
        <f t="shared" si="384"/>
        <v>0</v>
      </c>
      <c r="CI125" s="56">
        <f>IF(AND($E125&lt;&gt;0,$F125&gt;0,YEAR($F125)&gt;=Preisindex!$A$6,YEAR(CD$4)&gt;=YEAR($F125),AND($K125&lt;&gt;"a",$K125&lt;&gt;"b",$K125&lt;&gt;"g",$K125&lt;&gt;"k")),1,IF(AND($E125&lt;&gt;0,$F125&gt;0,YEAR($F125)&gt;=Preisindex!$A$6,YEAR(CD$4)&gt;=YEAR($F125),$K125="a"),ROUND(VLOOKUP(CI$4,Preisindex,5,FALSE)/VLOOKUP(YEAR($F125),Preisindex,5,FALSE),2),IF(AND($E125&lt;&gt;0,$F125&gt;0,YEAR($F125)&gt;=Preisindex!$A$6,YEAR(CD$4)&gt;=YEAR($F125),$K125="b"),ROUND(VLOOKUP(CI$4,Preisindex,3,FALSE)/VLOOKUP(YEAR($F125),Preisindex,3,FALSE),2),IF(AND($E125&lt;&gt;0,$F125&gt;0,YEAR($F125)&gt;=Preisindex!$A$6,YEAR(CD$4)&gt;=YEAR($F125),$K125="g"),ROUND(VLOOKUP(CI$4,Preisindex,4,FALSE)/VLOOKUP(YEAR($F125),Preisindex,4,FALSE),2),IF(AND($E125&lt;&gt;0,$F125&gt;0,YEAR($F125)&gt;=Preisindex!$A$6,YEAR(CD$4)&gt;=YEAR($F125),$K125="k"),ROUND(VLOOKUP(CI$4,Preisindex,2,FALSE)/VLOOKUP(YEAR($F125),Preisindex,2,FALSE),2),0)))))</f>
        <v>0</v>
      </c>
      <c r="CJ125" s="56">
        <f>IF(AND($E125&lt;&gt;0,$F125&gt;0,YEAR($F125)&lt;Preisindex!$A$6,YEAR(CD$4)&gt;=YEAR($F125),AND($K125&lt;&gt;"a",$K125&lt;&gt;"b",$K125&lt;&gt;"g",$K125&lt;&gt;"k")),1,IF(AND($E125&lt;&gt;0,$F125&gt;0,YEAR($F125)&lt;Preisindex!$A$6,YEAR(CD$4)&gt;=YEAR($F125),$K125="a"),ROUND(VLOOKUP(CI$4,Preisindex,5,FALSE)/VLOOKUP(Preisindex!$A$6,Preisindex,5,FALSE),2),IF(AND($E125&lt;&gt;0,$F125&gt;0,YEAR($F125)&lt;Preisindex!$A$6,YEAR(CD$4)&gt;=YEAR($F125),$K125="b"),ROUND(VLOOKUP(CI$4,Preisindex,3,FALSE)/VLOOKUP(Preisindex!$A$6,Preisindex,3,FALSE),2),IF(AND($E125&lt;&gt;0,$F125&gt;0,YEAR($F125)&lt;Preisindex!$A$6,YEAR(CD$4)&gt;=YEAR($F125),$K125="g"),ROUND(VLOOKUP(CI$4,Preisindex,4,FALSE)/VLOOKUP(Preisindex!$A$6,Preisindex,4,FALSE),2),IF(AND($E125&lt;&gt;0,$F125&gt;0,YEAR($F125)&lt;Preisindex!$A$6,YEAR(CD$4)&gt;=YEAR($F125),$K125="k"),ROUND(VLOOKUP(CI$4,Preisindex,2,FALSE)/VLOOKUP(Preisindex!$A$6,Preisindex,2,FALSE),2),0)))))</f>
        <v>0</v>
      </c>
      <c r="CK125" s="51">
        <f>IF(AND($E125&lt;&gt;0,$F125&gt;0,YEAR($F125)&lt;=CI$4,YEAR($F125)&gt;=Preisindex!$A$6),ROUND($E125*CI125,2),IF(AND($E125&lt;&gt;0,$F125&gt;0,YEAR($F125)&lt;=CI$4,YEAR($F125)&lt;Preisindex!$A$6),ROUND($E125*CJ125,2),0))</f>
        <v>0</v>
      </c>
      <c r="CL125" s="53">
        <f t="shared" si="385"/>
        <v>0</v>
      </c>
      <c r="CM125" s="51">
        <f t="shared" si="490"/>
        <v>0</v>
      </c>
      <c r="CN125" s="51">
        <f t="shared" si="463"/>
        <v>0</v>
      </c>
      <c r="CO125" s="51">
        <f t="shared" si="386"/>
        <v>0</v>
      </c>
      <c r="CP125" s="51">
        <f t="shared" si="464"/>
        <v>0</v>
      </c>
      <c r="CQ125" s="51">
        <f t="shared" si="387"/>
        <v>0</v>
      </c>
      <c r="CR125" s="51">
        <f t="shared" si="465"/>
        <v>0</v>
      </c>
      <c r="CS125" s="51">
        <f t="shared" si="388"/>
        <v>0</v>
      </c>
      <c r="CT125" s="51">
        <f t="shared" si="466"/>
        <v>0</v>
      </c>
      <c r="CU125" s="51">
        <f t="shared" si="389"/>
        <v>0</v>
      </c>
      <c r="CV125" s="51">
        <f t="shared" si="467"/>
        <v>0</v>
      </c>
      <c r="CW125" s="51">
        <f t="shared" si="390"/>
        <v>0</v>
      </c>
      <c r="CX125" s="54">
        <f t="shared" si="391"/>
        <v>0</v>
      </c>
      <c r="CY125" s="55">
        <f t="shared" si="392"/>
        <v>0</v>
      </c>
      <c r="CZ125" s="56">
        <f>IF(AND($E125&lt;&gt;0,$F125&gt;0,YEAR($F125)&gt;=Preisindex!$A$6,YEAR(CU$4)&gt;=YEAR($F125),AND($K125&lt;&gt;"a",$K125&lt;&gt;"b",$K125&lt;&gt;"g",$K125&lt;&gt;"k")),1,IF(AND($E125&lt;&gt;0,$F125&gt;0,YEAR($F125)&gt;=Preisindex!$A$6,YEAR(CU$4)&gt;=YEAR($F125),$K125="a"),ROUND(VLOOKUP(CZ$4,Preisindex,5,FALSE)/VLOOKUP(YEAR($F125),Preisindex,5,FALSE),2),IF(AND($E125&lt;&gt;0,$F125&gt;0,YEAR($F125)&gt;=Preisindex!$A$6,YEAR(CU$4)&gt;=YEAR($F125),$K125="b"),ROUND(VLOOKUP(CZ$4,Preisindex,3,FALSE)/VLOOKUP(YEAR($F125),Preisindex,3,FALSE),2),IF(AND($E125&lt;&gt;0,$F125&gt;0,YEAR($F125)&gt;=Preisindex!$A$6,YEAR(CU$4)&gt;=YEAR($F125),$K125="g"),ROUND(VLOOKUP(CZ$4,Preisindex,4,FALSE)/VLOOKUP(YEAR($F125),Preisindex,4,FALSE),2),IF(AND($E125&lt;&gt;0,$F125&gt;0,YEAR($F125)&gt;=Preisindex!$A$6,YEAR(CU$4)&gt;=YEAR($F125),$K125="k"),ROUND(VLOOKUP(CZ$4,Preisindex,2,FALSE)/VLOOKUP(YEAR($F125),Preisindex,2,FALSE),2),0)))))</f>
        <v>0</v>
      </c>
      <c r="DA125" s="56">
        <f>IF(AND($E125&lt;&gt;0,$F125&gt;0,YEAR($F125)&lt;Preisindex!$A$6,YEAR(CU$4)&gt;=YEAR($F125),AND($K125&lt;&gt;"a",$K125&lt;&gt;"b",$K125&lt;&gt;"g",$K125&lt;&gt;"k")),1,IF(AND($E125&lt;&gt;0,$F125&gt;0,YEAR($F125)&lt;Preisindex!$A$6,YEAR(CU$4)&gt;=YEAR($F125),$K125="a"),ROUND(VLOOKUP(CZ$4,Preisindex,5,FALSE)/VLOOKUP(Preisindex!$A$6,Preisindex,5,FALSE),2),IF(AND($E125&lt;&gt;0,$F125&gt;0,YEAR($F125)&lt;Preisindex!$A$6,YEAR(CU$4)&gt;=YEAR($F125),$K125="b"),ROUND(VLOOKUP(CZ$4,Preisindex,3,FALSE)/VLOOKUP(Preisindex!$A$6,Preisindex,3,FALSE),2),IF(AND($E125&lt;&gt;0,$F125&gt;0,YEAR($F125)&lt;Preisindex!$A$6,YEAR(CU$4)&gt;=YEAR($F125),$K125="g"),ROUND(VLOOKUP(CZ$4,Preisindex,4,FALSE)/VLOOKUP(Preisindex!$A$6,Preisindex,4,FALSE),2),IF(AND($E125&lt;&gt;0,$F125&gt;0,YEAR($F125)&lt;Preisindex!$A$6,YEAR(CU$4)&gt;=YEAR($F125),$K125="k"),ROUND(VLOOKUP(CZ$4,Preisindex,2,FALSE)/VLOOKUP(Preisindex!$A$6,Preisindex,2,FALSE),2),0)))))</f>
        <v>0</v>
      </c>
      <c r="DB125" s="51">
        <f>IF(AND($E125&lt;&gt;0,$F125&gt;0,YEAR($F125)&lt;=CZ$4,YEAR($F125)&gt;=Preisindex!$A$6),ROUND($E125*CZ125,2),IF(AND($E125&lt;&gt;0,$F125&gt;0,YEAR($F125)&lt;=CZ$4,YEAR($F125)&lt;Preisindex!$A$6),ROUND($E125*DA125,2),0))</f>
        <v>0</v>
      </c>
      <c r="DC125" s="53">
        <f t="shared" si="393"/>
        <v>0</v>
      </c>
      <c r="DD125" s="51">
        <f t="shared" si="491"/>
        <v>0</v>
      </c>
      <c r="DE125" s="51">
        <f t="shared" si="468"/>
        <v>0</v>
      </c>
      <c r="DF125" s="51">
        <f t="shared" si="395"/>
        <v>0</v>
      </c>
      <c r="DG125" s="51">
        <f t="shared" si="469"/>
        <v>0</v>
      </c>
      <c r="DH125" s="51">
        <f t="shared" si="396"/>
        <v>0</v>
      </c>
      <c r="DI125" s="51">
        <f t="shared" si="470"/>
        <v>0</v>
      </c>
      <c r="DJ125" s="51">
        <f t="shared" si="397"/>
        <v>0</v>
      </c>
      <c r="DK125" s="51">
        <f t="shared" si="471"/>
        <v>0</v>
      </c>
      <c r="DL125" s="51">
        <f t="shared" si="398"/>
        <v>0</v>
      </c>
      <c r="DM125" s="51">
        <f t="shared" si="472"/>
        <v>0</v>
      </c>
      <c r="DN125" s="51">
        <f t="shared" si="399"/>
        <v>0</v>
      </c>
      <c r="DO125" s="54">
        <f t="shared" si="400"/>
        <v>0</v>
      </c>
      <c r="DP125" s="55">
        <f t="shared" si="401"/>
        <v>0</v>
      </c>
      <c r="DQ125" s="56">
        <f>IF(AND($E125&lt;&gt;0,$F125&gt;0,YEAR($F125)&gt;=Preisindex!$A$6,YEAR(DL$4)&gt;=YEAR($F125),AND($K125&lt;&gt;"a",$K125&lt;&gt;"b",$K125&lt;&gt;"g",$K125&lt;&gt;"k")),1,IF(AND($E125&lt;&gt;0,$F125&gt;0,YEAR($F125)&gt;=Preisindex!$A$6,YEAR(DL$4)&gt;=YEAR($F125),$K125="a"),ROUND(VLOOKUP(DQ$4,Preisindex,5,FALSE)/VLOOKUP(YEAR($F125),Preisindex,5,FALSE),2),IF(AND($E125&lt;&gt;0,$F125&gt;0,YEAR($F125)&gt;=Preisindex!$A$6,YEAR(DL$4)&gt;=YEAR($F125),$K125="b"),ROUND(VLOOKUP(DQ$4,Preisindex,3,FALSE)/VLOOKUP(YEAR($F125),Preisindex,3,FALSE),2),IF(AND($E125&lt;&gt;0,$F125&gt;0,YEAR($F125)&gt;=Preisindex!$A$6,YEAR(DL$4)&gt;=YEAR($F125),$K125="g"),ROUND(VLOOKUP(DQ$4,Preisindex,4,FALSE)/VLOOKUP(YEAR($F125),Preisindex,4,FALSE),2),IF(AND($E125&lt;&gt;0,$F125&gt;0,YEAR($F125)&gt;=Preisindex!$A$6,YEAR(DL$4)&gt;=YEAR($F125),$K125="k"),ROUND(VLOOKUP(DQ$4,Preisindex,2,FALSE)/VLOOKUP(YEAR($F125),Preisindex,2,FALSE),2),0)))))</f>
        <v>0</v>
      </c>
      <c r="DR125" s="56">
        <f>IF(AND($E125&lt;&gt;0,$F125&gt;0,YEAR($F125)&lt;Preisindex!$A$6,YEAR(DL$4)&gt;=YEAR($F125),AND($K125&lt;&gt;"a",$K125&lt;&gt;"b",$K125&lt;&gt;"g",$K125&lt;&gt;"k")),1,IF(AND($E125&lt;&gt;0,$F125&gt;0,YEAR($F125)&lt;Preisindex!$A$6,YEAR(DL$4)&gt;=YEAR($F125),$K125="a"),ROUND(VLOOKUP(DQ$4,Preisindex,5,FALSE)/VLOOKUP(Preisindex!$A$6,Preisindex,5,FALSE),2),IF(AND($E125&lt;&gt;0,$F125&gt;0,YEAR($F125)&lt;Preisindex!$A$6,YEAR(DL$4)&gt;=YEAR($F125),$K125="b"),ROUND(VLOOKUP(DQ$4,Preisindex,3,FALSE)/VLOOKUP(Preisindex!$A$6,Preisindex,3,FALSE),2),IF(AND($E125&lt;&gt;0,$F125&gt;0,YEAR($F125)&lt;Preisindex!$A$6,YEAR(DL$4)&gt;=YEAR($F125),$K125="g"),ROUND(VLOOKUP(DQ$4,Preisindex,4,FALSE)/VLOOKUP(Preisindex!$A$6,Preisindex,4,FALSE),2),IF(AND($E125&lt;&gt;0,$F125&gt;0,YEAR($F125)&lt;Preisindex!$A$6,YEAR(DL$4)&gt;=YEAR($F125),$K125="k"),ROUND(VLOOKUP(DQ$4,Preisindex,2,FALSE)/VLOOKUP(Preisindex!$A$6,Preisindex,2,FALSE),2),0)))))</f>
        <v>0</v>
      </c>
      <c r="DS125" s="51">
        <f>IF(AND($E125&lt;&gt;0,$F125&gt;0,YEAR($F125)&lt;=DQ$4,YEAR($F125)&gt;=Preisindex!$A$6),ROUND($E125*DQ125,2),IF(AND($E125&lt;&gt;0,$F125&gt;0,YEAR($F125)&lt;=DQ$4,YEAR($F125)&lt;Preisindex!$A$6),ROUND($E125*DR125,2),0))</f>
        <v>0</v>
      </c>
      <c r="DT125" s="53">
        <f t="shared" si="402"/>
        <v>0</v>
      </c>
      <c r="DU125" s="51">
        <f t="shared" si="491"/>
        <v>0</v>
      </c>
      <c r="DV125" s="51">
        <f t="shared" si="473"/>
        <v>0</v>
      </c>
      <c r="DW125" s="51">
        <f t="shared" si="403"/>
        <v>0</v>
      </c>
      <c r="DX125" s="51">
        <f t="shared" si="474"/>
        <v>0</v>
      </c>
      <c r="DY125" s="51">
        <f t="shared" si="404"/>
        <v>0</v>
      </c>
      <c r="DZ125" s="51">
        <f t="shared" si="475"/>
        <v>0</v>
      </c>
      <c r="EA125" s="51">
        <f t="shared" si="405"/>
        <v>0</v>
      </c>
      <c r="EB125" s="51">
        <f t="shared" si="476"/>
        <v>0</v>
      </c>
      <c r="EC125" s="51">
        <f t="shared" si="406"/>
        <v>0</v>
      </c>
      <c r="ED125" s="51">
        <f t="shared" si="477"/>
        <v>0</v>
      </c>
      <c r="EE125" s="51">
        <f t="shared" si="407"/>
        <v>0</v>
      </c>
      <c r="EF125" s="54">
        <f t="shared" si="408"/>
        <v>0</v>
      </c>
      <c r="EG125" s="55">
        <f t="shared" si="409"/>
        <v>0</v>
      </c>
      <c r="EH125" s="56">
        <f>IF(AND($E125&lt;&gt;0,$F125&gt;0,YEAR($F125)&gt;=Preisindex!$A$6,YEAR(EC$4)&gt;=YEAR($F125),AND($K125&lt;&gt;"a",$K125&lt;&gt;"b",$K125&lt;&gt;"g",$K125&lt;&gt;"k")),1,IF(AND($E125&lt;&gt;0,$F125&gt;0,YEAR($F125)&gt;=Preisindex!$A$6,YEAR(EC$4)&gt;=YEAR($F125),$K125="a"),ROUND(VLOOKUP(EH$4,Preisindex,5,FALSE)/VLOOKUP(YEAR($F125),Preisindex,5,FALSE),2),IF(AND($E125&lt;&gt;0,$F125&gt;0,YEAR($F125)&gt;=Preisindex!$A$6,YEAR(EC$4)&gt;=YEAR($F125),$K125="b"),ROUND(VLOOKUP(EH$4,Preisindex,3,FALSE)/VLOOKUP(YEAR($F125),Preisindex,3,FALSE),2),IF(AND($E125&lt;&gt;0,$F125&gt;0,YEAR($F125)&gt;=Preisindex!$A$6,YEAR(EC$4)&gt;=YEAR($F125),$K125="g"),ROUND(VLOOKUP(EH$4,Preisindex,4,FALSE)/VLOOKUP(YEAR($F125),Preisindex,4,FALSE),2),IF(AND($E125&lt;&gt;0,$F125&gt;0,YEAR($F125)&gt;=Preisindex!$A$6,YEAR(EC$4)&gt;=YEAR($F125),$K125="k"),ROUND(VLOOKUP(EH$4,Preisindex,2,FALSE)/VLOOKUP(YEAR($F125),Preisindex,2,FALSE),2),0)))))</f>
        <v>0</v>
      </c>
      <c r="EI125" s="56">
        <f>IF(AND($E125&lt;&gt;0,$F125&gt;0,YEAR($F125)&lt;Preisindex!$A$6,YEAR(EC$4)&gt;=YEAR($F125),AND($K125&lt;&gt;"a",$K125&lt;&gt;"b",$K125&lt;&gt;"g",$K125&lt;&gt;"k")),1,IF(AND($E125&lt;&gt;0,$F125&gt;0,YEAR($F125)&lt;Preisindex!$A$6,YEAR(EC$4)&gt;=YEAR($F125),$K125="a"),ROUND(VLOOKUP(EH$4,Preisindex,5,FALSE)/VLOOKUP(Preisindex!$A$6,Preisindex,5,FALSE),2),IF(AND($E125&lt;&gt;0,$F125&gt;0,YEAR($F125)&lt;Preisindex!$A$6,YEAR(EC$4)&gt;=YEAR($F125),$K125="b"),ROUND(VLOOKUP(EH$4,Preisindex,3,FALSE)/VLOOKUP(Preisindex!$A$6,Preisindex,3,FALSE),2),IF(AND($E125&lt;&gt;0,$F125&gt;0,YEAR($F125)&lt;Preisindex!$A$6,YEAR(EC$4)&gt;=YEAR($F125),$K125="g"),ROUND(VLOOKUP(EH$4,Preisindex,4,FALSE)/VLOOKUP(Preisindex!$A$6,Preisindex,4,FALSE),2),IF(AND($E125&lt;&gt;0,$F125&gt;0,YEAR($F125)&lt;Preisindex!$A$6,YEAR(EC$4)&gt;=YEAR($F125),$K125="k"),ROUND(VLOOKUP(EH$4,Preisindex,2,FALSE)/VLOOKUP(Preisindex!$A$6,Preisindex,2,FALSE),2),0)))))</f>
        <v>0</v>
      </c>
      <c r="EJ125" s="51">
        <f>IF(AND($E125&lt;&gt;0,$F125&gt;0,YEAR($F125)&lt;=EH$4,YEAR($F125)&gt;=Preisindex!$A$6),ROUND($E125*EH125,2),IF(AND($E125&lt;&gt;0,$F125&gt;0,YEAR($F125)&lt;=EH$4,YEAR($F125)&lt;Preisindex!$A$6),ROUND($E125*EI125,2),0))</f>
        <v>0</v>
      </c>
      <c r="EK125" s="53">
        <f t="shared" si="410"/>
        <v>0</v>
      </c>
      <c r="EL125" s="51">
        <f t="shared" si="491"/>
        <v>0</v>
      </c>
      <c r="EM125" s="51">
        <f t="shared" si="478"/>
        <v>0</v>
      </c>
      <c r="EN125" s="51">
        <f t="shared" si="411"/>
        <v>0</v>
      </c>
      <c r="EO125" s="51">
        <f t="shared" si="479"/>
        <v>0</v>
      </c>
      <c r="EP125" s="51">
        <f t="shared" si="412"/>
        <v>0</v>
      </c>
      <c r="EQ125" s="51">
        <f t="shared" si="480"/>
        <v>0</v>
      </c>
      <c r="ER125" s="51">
        <f t="shared" si="413"/>
        <v>0</v>
      </c>
      <c r="ES125" s="51">
        <f t="shared" si="481"/>
        <v>0</v>
      </c>
      <c r="ET125" s="51">
        <f t="shared" si="414"/>
        <v>0</v>
      </c>
      <c r="EU125" s="51">
        <f t="shared" si="482"/>
        <v>0</v>
      </c>
      <c r="EV125" s="51">
        <f t="shared" si="415"/>
        <v>0</v>
      </c>
      <c r="EW125" s="54">
        <f t="shared" si="416"/>
        <v>0</v>
      </c>
      <c r="EX125" s="55">
        <f t="shared" si="417"/>
        <v>0</v>
      </c>
      <c r="EY125" s="56">
        <f>IF(AND($E125&lt;&gt;0,$F125&gt;0,YEAR($F125)&gt;=Preisindex!$A$6,YEAR(ET$4)&gt;=YEAR($F125),AND($K125&lt;&gt;"a",$K125&lt;&gt;"b",$K125&lt;&gt;"g",$K125&lt;&gt;"k")),1,IF(AND($E125&lt;&gt;0,$F125&gt;0,YEAR($F125)&gt;=Preisindex!$A$6,YEAR(ET$4)&gt;=YEAR($F125),$K125="a"),ROUND(VLOOKUP(EY$4,Preisindex,5,FALSE)/VLOOKUP(YEAR($F125),Preisindex,5,FALSE),2),IF(AND($E125&lt;&gt;0,$F125&gt;0,YEAR($F125)&gt;=Preisindex!$A$6,YEAR(ET$4)&gt;=YEAR($F125),$K125="b"),ROUND(VLOOKUP(EY$4,Preisindex,3,FALSE)/VLOOKUP(YEAR($F125),Preisindex,3,FALSE),2),IF(AND($E125&lt;&gt;0,$F125&gt;0,YEAR($F125)&gt;=Preisindex!$A$6,YEAR(ET$4)&gt;=YEAR($F125),$K125="g"),ROUND(VLOOKUP(EY$4,Preisindex,4,FALSE)/VLOOKUP(YEAR($F125),Preisindex,4,FALSE),2),IF(AND($E125&lt;&gt;0,$F125&gt;0,YEAR($F125)&gt;=Preisindex!$A$6,YEAR(ET$4)&gt;=YEAR($F125),$K125="k"),ROUND(VLOOKUP(EY$4,Preisindex,2,FALSE)/VLOOKUP(YEAR($F125),Preisindex,2,FALSE),2),0)))))</f>
        <v>0</v>
      </c>
      <c r="EZ125" s="56">
        <f>IF(AND($E125&lt;&gt;0,$F125&gt;0,YEAR($F125)&lt;Preisindex!$A$6,YEAR(ET$4)&gt;=YEAR($F125),AND($K125&lt;&gt;"a",$K125&lt;&gt;"b",$K125&lt;&gt;"g",$K125&lt;&gt;"k")),1,IF(AND($E125&lt;&gt;0,$F125&gt;0,YEAR($F125)&lt;Preisindex!$A$6,YEAR(ET$4)&gt;=YEAR($F125),$K125="a"),ROUND(VLOOKUP(EY$4,Preisindex,5,FALSE)/VLOOKUP(Preisindex!$A$6,Preisindex,5,FALSE),2),IF(AND($E125&lt;&gt;0,$F125&gt;0,YEAR($F125)&lt;Preisindex!$A$6,YEAR(ET$4)&gt;=YEAR($F125),$K125="b"),ROUND(VLOOKUP(EY$4,Preisindex,3,FALSE)/VLOOKUP(Preisindex!$A$6,Preisindex,3,FALSE),2),IF(AND($E125&lt;&gt;0,$F125&gt;0,YEAR($F125)&lt;Preisindex!$A$6,YEAR(ET$4)&gt;=YEAR($F125),$K125="g"),ROUND(VLOOKUP(EY$4,Preisindex,4,FALSE)/VLOOKUP(Preisindex!$A$6,Preisindex,4,FALSE),2),IF(AND($E125&lt;&gt;0,$F125&gt;0,YEAR($F125)&lt;Preisindex!$A$6,YEAR(ET$4)&gt;=YEAR($F125),$K125="k"),ROUND(VLOOKUP(EY$4,Preisindex,2,FALSE)/VLOOKUP(Preisindex!$A$6,Preisindex,2,FALSE),2),0)))))</f>
        <v>0</v>
      </c>
      <c r="FA125" s="51">
        <f>IF(AND($E125&lt;&gt;0,$F125&gt;0,YEAR($F125)&lt;=EY$4,YEAR($F125)&gt;=Preisindex!$A$6),ROUND($E125*EY125,2),IF(AND($E125&lt;&gt;0,$F125&gt;0,YEAR($F125)&lt;=EY$4,YEAR($F125)&lt;Preisindex!$A$6),ROUND($E125*EZ125,2),0))</f>
        <v>0</v>
      </c>
      <c r="FB125" s="53">
        <f t="shared" si="418"/>
        <v>0</v>
      </c>
      <c r="FC125" s="51">
        <f t="shared" si="491"/>
        <v>0</v>
      </c>
      <c r="FD125" s="51">
        <f t="shared" si="483"/>
        <v>0</v>
      </c>
      <c r="FE125" s="51">
        <f t="shared" si="419"/>
        <v>0</v>
      </c>
      <c r="FF125" s="51">
        <f t="shared" si="484"/>
        <v>0</v>
      </c>
      <c r="FG125" s="51">
        <f t="shared" si="420"/>
        <v>0</v>
      </c>
      <c r="FH125" s="51">
        <f t="shared" si="485"/>
        <v>0</v>
      </c>
      <c r="FI125" s="51">
        <f t="shared" si="421"/>
        <v>0</v>
      </c>
      <c r="FJ125" s="51">
        <f t="shared" si="486"/>
        <v>0</v>
      </c>
      <c r="FK125" s="51">
        <f t="shared" si="422"/>
        <v>0</v>
      </c>
      <c r="FL125" s="51">
        <f t="shared" si="487"/>
        <v>0</v>
      </c>
      <c r="FM125" s="51">
        <f t="shared" si="423"/>
        <v>0</v>
      </c>
      <c r="FN125" s="54">
        <f t="shared" si="424"/>
        <v>0</v>
      </c>
      <c r="FO125" s="55">
        <f t="shared" si="425"/>
        <v>0</v>
      </c>
      <c r="FP125" s="56">
        <f>IF(AND($E125&lt;&gt;0,$F125&gt;0,YEAR($F125)&gt;=Preisindex!$A$6,YEAR(FK$4)&gt;=YEAR($F125),AND($K125&lt;&gt;"a",$K125&lt;&gt;"b",$K125&lt;&gt;"g",$K125&lt;&gt;"k")),1,IF(AND($E125&lt;&gt;0,$F125&gt;0,YEAR($F125)&gt;=Preisindex!$A$6,YEAR(FK$4)&gt;=YEAR($F125),$K125="a"),ROUND(VLOOKUP(FP$4,Preisindex,5,FALSE)/VLOOKUP(YEAR($F125),Preisindex,5,FALSE),2),IF(AND($E125&lt;&gt;0,$F125&gt;0,YEAR($F125)&gt;=Preisindex!$A$6,YEAR(FK$4)&gt;=YEAR($F125),$K125="b"),ROUND(VLOOKUP(FP$4,Preisindex,3,FALSE)/VLOOKUP(YEAR($F125),Preisindex,3,FALSE),2),IF(AND($E125&lt;&gt;0,$F125&gt;0,YEAR($F125)&gt;=Preisindex!$A$6,YEAR(FK$4)&gt;=YEAR($F125),$K125="g"),ROUND(VLOOKUP(FP$4,Preisindex,4,FALSE)/VLOOKUP(YEAR($F125),Preisindex,4,FALSE),2),IF(AND($E125&lt;&gt;0,$F125&gt;0,YEAR($F125)&gt;=Preisindex!$A$6,YEAR(FK$4)&gt;=YEAR($F125),$K125="k"),ROUND(VLOOKUP(FP$4,Preisindex,2,FALSE)/VLOOKUP(YEAR($F125),Preisindex,2,FALSE),2),0)))))</f>
        <v>0</v>
      </c>
      <c r="FQ125" s="56">
        <f>IF(AND($E125&lt;&gt;0,$F125&gt;0,YEAR($F125)&lt;Preisindex!$A$6,YEAR(FK$4)&gt;=YEAR($F125),AND($K125&lt;&gt;"a",$K125&lt;&gt;"b",$K125&lt;&gt;"g",$K125&lt;&gt;"k")),1,IF(AND($E125&lt;&gt;0,$F125&gt;0,YEAR($F125)&lt;Preisindex!$A$6,YEAR(FK$4)&gt;=YEAR($F125),$K125="a"),ROUND(VLOOKUP(FP$4,Preisindex,5,FALSE)/VLOOKUP(Preisindex!$A$6,Preisindex,5,FALSE),2),IF(AND($E125&lt;&gt;0,$F125&gt;0,YEAR($F125)&lt;Preisindex!$A$6,YEAR(FK$4)&gt;=YEAR($F125),$K125="b"),ROUND(VLOOKUP(FP$4,Preisindex,3,FALSE)/VLOOKUP(Preisindex!$A$6,Preisindex,3,FALSE),2),IF(AND($E125&lt;&gt;0,$F125&gt;0,YEAR($F125)&lt;Preisindex!$A$6,YEAR(FK$4)&gt;=YEAR($F125),$K125="g"),ROUND(VLOOKUP(FP$4,Preisindex,4,FALSE)/VLOOKUP(Preisindex!$A$6,Preisindex,4,FALSE),2),IF(AND($E125&lt;&gt;0,$F125&gt;0,YEAR($F125)&lt;Preisindex!$A$6,YEAR(FK$4)&gt;=YEAR($F125),$K125="k"),ROUND(VLOOKUP(FP$4,Preisindex,2,FALSE)/VLOOKUP(Preisindex!$A$6,Preisindex,2,FALSE),2),0)))))</f>
        <v>0</v>
      </c>
      <c r="FR125" s="51">
        <f>IF(AND($E125&lt;&gt;0,$F125&gt;0,YEAR($F125)&lt;=FP$4,YEAR($F125)&gt;=Preisindex!$A$6),ROUND($E125*FP125,2),IF(AND($E125&lt;&gt;0,$F125&gt;0,YEAR($F125)&lt;=FP$4,YEAR($F125)&lt;Preisindex!$A$6),ROUND($E125*FQ125,2),0))</f>
        <v>0</v>
      </c>
      <c r="FS125" s="53">
        <f t="shared" si="426"/>
        <v>0</v>
      </c>
    </row>
    <row r="126" spans="1:175" x14ac:dyDescent="0.3">
      <c r="A126" s="93"/>
      <c r="B126" s="94"/>
      <c r="C126" s="94"/>
      <c r="D126" s="95"/>
      <c r="E126" s="99"/>
      <c r="F126" s="97"/>
      <c r="G126" s="98"/>
      <c r="H126" s="620"/>
      <c r="I126" s="621"/>
      <c r="J126" s="194"/>
      <c r="K126" s="630"/>
      <c r="L126" s="49">
        <f t="shared" si="427"/>
        <v>0</v>
      </c>
      <c r="M126" s="50">
        <f t="shared" si="428"/>
        <v>0</v>
      </c>
      <c r="N126" s="51">
        <f t="shared" si="429"/>
        <v>0</v>
      </c>
      <c r="O126" s="51"/>
      <c r="P126" s="51">
        <f t="shared" si="430"/>
        <v>0</v>
      </c>
      <c r="Q126" s="52"/>
      <c r="R126" s="52"/>
      <c r="S126" s="52"/>
      <c r="T126" s="52"/>
      <c r="U126" s="52"/>
      <c r="V126" s="53">
        <f t="shared" si="431"/>
        <v>0</v>
      </c>
      <c r="W126" s="51">
        <f t="shared" si="432"/>
        <v>0</v>
      </c>
      <c r="X126" s="51">
        <f t="shared" si="433"/>
        <v>0</v>
      </c>
      <c r="Y126" s="51">
        <f t="shared" si="434"/>
        <v>0</v>
      </c>
      <c r="Z126" s="51">
        <f t="shared" si="435"/>
        <v>0</v>
      </c>
      <c r="AA126" s="51">
        <f t="shared" si="436"/>
        <v>0</v>
      </c>
      <c r="AB126" s="51">
        <f t="shared" si="437"/>
        <v>0</v>
      </c>
      <c r="AC126" s="51">
        <f t="shared" si="438"/>
        <v>0</v>
      </c>
      <c r="AD126" s="51">
        <f t="shared" si="439"/>
        <v>0</v>
      </c>
      <c r="AE126" s="51">
        <f t="shared" si="440"/>
        <v>0</v>
      </c>
      <c r="AF126" s="51">
        <f t="shared" si="441"/>
        <v>0</v>
      </c>
      <c r="AG126" s="51">
        <f t="shared" si="442"/>
        <v>0</v>
      </c>
      <c r="AH126" s="54">
        <f t="shared" si="443"/>
        <v>0</v>
      </c>
      <c r="AI126" s="55">
        <f t="shared" si="444"/>
        <v>0</v>
      </c>
      <c r="AJ126" s="56">
        <f>IF(AND($E126&lt;&gt;0,$F126&gt;0,YEAR($F126)&gt;=Preisindex!$A$6,YEAR(AE$4)&gt;=YEAR($F126),AND($K126&lt;&gt;"a",$K126&lt;&gt;"b",$K126&lt;&gt;"g",$K126&lt;&gt;"k")),1,IF(AND($E126&lt;&gt;0,$F126&gt;0,YEAR($F126)&gt;=Preisindex!$A$6,YEAR(AE$4)&gt;=YEAR($F126),$K126="a"),ROUND(VLOOKUP(AJ$4,Preisindex,5,FALSE)/VLOOKUP(YEAR($F126),Preisindex,5,FALSE),2),IF(AND($E126&lt;&gt;0,$F126&gt;0,YEAR($F126)&gt;=Preisindex!$A$6,YEAR(AE$4)&gt;=YEAR($F126),$K126="b"),ROUND(VLOOKUP(AJ$4,Preisindex,3,FALSE)/VLOOKUP(YEAR($F126),Preisindex,3,FALSE),2),IF(AND($E126&lt;&gt;0,$F126&gt;0,YEAR($F126)&gt;=Preisindex!$A$6,YEAR(AE$4)&gt;=YEAR($F126),$K126="g"),ROUND(VLOOKUP(AJ$4,Preisindex,4,FALSE)/VLOOKUP(YEAR($F126),Preisindex,4,FALSE),2),IF(AND($E126&lt;&gt;0,$F126&gt;0,YEAR($F126)&gt;=Preisindex!$A$6,YEAR(AE$4)&gt;=YEAR($F126),$K126="k"),ROUND(VLOOKUP(AJ$4,Preisindex,2,FALSE)/VLOOKUP(YEAR($F126),Preisindex,2,FALSE),2),0)))))</f>
        <v>0</v>
      </c>
      <c r="AK126" s="56">
        <f>IF(AND($E126&lt;&gt;0,$F126&gt;0,YEAR($F126)&lt;Preisindex!$A$6,YEAR(AE$4)&gt;=YEAR($F126),AND($K126&lt;&gt;"a",$K126&lt;&gt;"b",$K126&lt;&gt;"g",$K126&lt;&gt;"k")),1,IF(AND($E126&lt;&gt;0,$F126&gt;0,YEAR($F126)&lt;Preisindex!$A$6,YEAR(AE$4)&gt;=YEAR($F126),$K126="a"),ROUND(VLOOKUP(AJ$4,Preisindex,5,FALSE)/VLOOKUP(Preisindex!$A$6,Preisindex,5,FALSE),2),IF(AND($E126&lt;&gt;0,$F126&gt;0,YEAR($F126)&lt;Preisindex!$A$6,YEAR(AE$4)&gt;=YEAR($F126),$K126="b"),ROUND(VLOOKUP(AJ$4,Preisindex,3,FALSE)/VLOOKUP(Preisindex!$A$6,Preisindex,3,FALSE),2),IF(AND($E126&lt;&gt;0,$F126&gt;0,YEAR($F126)&lt;Preisindex!$A$6,YEAR(AE$4)&gt;=YEAR($F126),$K126="g"),ROUND(VLOOKUP(AJ$4,Preisindex,4,FALSE)/VLOOKUP(Preisindex!$A$6,Preisindex,4,FALSE),2),IF(AND($E126&lt;&gt;0,$F126&gt;0,YEAR($F126)&lt;Preisindex!$A$6,YEAR(AE$4)&gt;=YEAR($F126),$K126="k"),ROUND(VLOOKUP(AJ$4,Preisindex,2,FALSE)/VLOOKUP(Preisindex!$A$6,Preisindex,2,FALSE),2),0)))))</f>
        <v>0</v>
      </c>
      <c r="AL126" s="51">
        <f>IF(AND($E126&lt;&gt;0,$F126&gt;0,YEAR($F126)&lt;=AJ$4,YEAR($F126)&gt;=Preisindex!$A$6),ROUND($E126*AJ126,2),IF(AND($E126&lt;&gt;0,$F126&gt;0,YEAR($F126)&lt;=AJ$4,YEAR($F126)&lt;Preisindex!$A$6),ROUND($E126*AK126,2),0))</f>
        <v>0</v>
      </c>
      <c r="AM126" s="53">
        <f t="shared" si="445"/>
        <v>0</v>
      </c>
      <c r="AN126" s="51">
        <f t="shared" si="490"/>
        <v>0</v>
      </c>
      <c r="AO126" s="51">
        <f t="shared" si="448"/>
        <v>0</v>
      </c>
      <c r="AP126" s="51">
        <f t="shared" si="362"/>
        <v>0</v>
      </c>
      <c r="AQ126" s="51">
        <f t="shared" si="449"/>
        <v>0</v>
      </c>
      <c r="AR126" s="51">
        <f t="shared" si="363"/>
        <v>0</v>
      </c>
      <c r="AS126" s="51">
        <f t="shared" si="450"/>
        <v>0</v>
      </c>
      <c r="AT126" s="51">
        <f t="shared" si="364"/>
        <v>0</v>
      </c>
      <c r="AU126" s="51">
        <f t="shared" si="451"/>
        <v>0</v>
      </c>
      <c r="AV126" s="51">
        <f t="shared" si="365"/>
        <v>0</v>
      </c>
      <c r="AW126" s="51">
        <f t="shared" si="452"/>
        <v>0</v>
      </c>
      <c r="AX126" s="51">
        <f t="shared" si="366"/>
        <v>0</v>
      </c>
      <c r="AY126" s="54">
        <f t="shared" si="367"/>
        <v>0</v>
      </c>
      <c r="AZ126" s="55">
        <f t="shared" si="368"/>
        <v>0</v>
      </c>
      <c r="BA126" s="56">
        <f>IF(AND($E126&lt;&gt;0,$F126&gt;0,YEAR($F126)&gt;=Preisindex!$A$6,YEAR(AV$4)&gt;=YEAR($F126),AND($K126&lt;&gt;"a",$K126&lt;&gt;"b",$K126&lt;&gt;"g",$K126&lt;&gt;"k")),1,IF(AND($E126&lt;&gt;0,$F126&gt;0,YEAR($F126)&gt;=Preisindex!$A$6,YEAR(AV$4)&gt;=YEAR($F126),$K126="a"),ROUND(VLOOKUP(BA$4,Preisindex,5,FALSE)/VLOOKUP(YEAR($F126),Preisindex,5,FALSE),2),IF(AND($E126&lt;&gt;0,$F126&gt;0,YEAR($F126)&gt;=Preisindex!$A$6,YEAR(AV$4)&gt;=YEAR($F126),$K126="b"),ROUND(VLOOKUP(BA$4,Preisindex,3,FALSE)/VLOOKUP(YEAR($F126),Preisindex,3,FALSE),2),IF(AND($E126&lt;&gt;0,$F126&gt;0,YEAR($F126)&gt;=Preisindex!$A$6,YEAR(AV$4)&gt;=YEAR($F126),$K126="g"),ROUND(VLOOKUP(BA$4,Preisindex,4,FALSE)/VLOOKUP(YEAR($F126),Preisindex,4,FALSE),2),IF(AND($E126&lt;&gt;0,$F126&gt;0,YEAR($F126)&gt;=Preisindex!$A$6,YEAR(AV$4)&gt;=YEAR($F126),$K126="k"),ROUND(VLOOKUP(BA$4,Preisindex,2,FALSE)/VLOOKUP(YEAR($F126),Preisindex,2,FALSE),2),0)))))</f>
        <v>0</v>
      </c>
      <c r="BB126" s="56">
        <f>IF(AND($E126&lt;&gt;0,$F126&gt;0,YEAR($F126)&lt;Preisindex!$A$6,YEAR(AV$4)&gt;=YEAR($F126),AND($K126&lt;&gt;"a",$K126&lt;&gt;"b",$K126&lt;&gt;"g",$K126&lt;&gt;"k")),1,IF(AND($E126&lt;&gt;0,$F126&gt;0,YEAR($F126)&lt;Preisindex!$A$6,YEAR(AV$4)&gt;=YEAR($F126),$K126="a"),ROUND(VLOOKUP(BA$4,Preisindex,5,FALSE)/VLOOKUP(Preisindex!$A$6,Preisindex,5,FALSE),2),IF(AND($E126&lt;&gt;0,$F126&gt;0,YEAR($F126)&lt;Preisindex!$A$6,YEAR(AV$4)&gt;=YEAR($F126),$K126="b"),ROUND(VLOOKUP(BA$4,Preisindex,3,FALSE)/VLOOKUP(Preisindex!$A$6,Preisindex,3,FALSE),2),IF(AND($E126&lt;&gt;0,$F126&gt;0,YEAR($F126)&lt;Preisindex!$A$6,YEAR(AV$4)&gt;=YEAR($F126),$K126="g"),ROUND(VLOOKUP(BA$4,Preisindex,4,FALSE)/VLOOKUP(Preisindex!$A$6,Preisindex,4,FALSE),2),IF(AND($E126&lt;&gt;0,$F126&gt;0,YEAR($F126)&lt;Preisindex!$A$6,YEAR(AV$4)&gt;=YEAR($F126),$K126="k"),ROUND(VLOOKUP(BA$4,Preisindex,2,FALSE)/VLOOKUP(Preisindex!$A$6,Preisindex,2,FALSE),2),0)))))</f>
        <v>0</v>
      </c>
      <c r="BC126" s="51">
        <f>IF(AND($E126&lt;&gt;0,$F126&gt;0,YEAR($F126)&lt;=BA$4,YEAR($F126)&gt;=Preisindex!$A$6),ROUND($E126*BA126,2),IF(AND($E126&lt;&gt;0,$F126&gt;0,YEAR($F126)&lt;=BA$4,YEAR($F126)&lt;Preisindex!$A$6),ROUND($E126*BB126,2),0))</f>
        <v>0</v>
      </c>
      <c r="BD126" s="53">
        <f t="shared" si="369"/>
        <v>0</v>
      </c>
      <c r="BE126" s="51">
        <f t="shared" si="490"/>
        <v>0</v>
      </c>
      <c r="BF126" s="51">
        <f t="shared" si="453"/>
        <v>0</v>
      </c>
      <c r="BG126" s="51">
        <f t="shared" si="370"/>
        <v>0</v>
      </c>
      <c r="BH126" s="51">
        <f t="shared" si="454"/>
        <v>0</v>
      </c>
      <c r="BI126" s="51">
        <f t="shared" si="371"/>
        <v>0</v>
      </c>
      <c r="BJ126" s="51">
        <f t="shared" si="455"/>
        <v>0</v>
      </c>
      <c r="BK126" s="51">
        <f t="shared" si="372"/>
        <v>0</v>
      </c>
      <c r="BL126" s="51">
        <f t="shared" si="456"/>
        <v>0</v>
      </c>
      <c r="BM126" s="51">
        <f t="shared" si="373"/>
        <v>0</v>
      </c>
      <c r="BN126" s="51">
        <f t="shared" si="457"/>
        <v>0</v>
      </c>
      <c r="BO126" s="51">
        <f t="shared" si="374"/>
        <v>0</v>
      </c>
      <c r="BP126" s="54">
        <f t="shared" si="375"/>
        <v>0</v>
      </c>
      <c r="BQ126" s="55">
        <f t="shared" si="376"/>
        <v>0</v>
      </c>
      <c r="BR126" s="56">
        <f>IF(AND($E126&lt;&gt;0,$F126&gt;0,YEAR($F126)&gt;=Preisindex!$A$6,YEAR(BM$4)&gt;=YEAR($F126),AND($K126&lt;&gt;"a",$K126&lt;&gt;"b",$K126&lt;&gt;"g",$K126&lt;&gt;"k")),1,IF(AND($E126&lt;&gt;0,$F126&gt;0,YEAR($F126)&gt;=Preisindex!$A$6,YEAR(BM$4)&gt;=YEAR($F126),$K126="a"),ROUND(VLOOKUP(BR$4,Preisindex,5,FALSE)/VLOOKUP(YEAR($F126),Preisindex,5,FALSE),2),IF(AND($E126&lt;&gt;0,$F126&gt;0,YEAR($F126)&gt;=Preisindex!$A$6,YEAR(BM$4)&gt;=YEAR($F126),$K126="b"),ROUND(VLOOKUP(BR$4,Preisindex,3,FALSE)/VLOOKUP(YEAR($F126),Preisindex,3,FALSE),2),IF(AND($E126&lt;&gt;0,$F126&gt;0,YEAR($F126)&gt;=Preisindex!$A$6,YEAR(BM$4)&gt;=YEAR($F126),$K126="g"),ROUND(VLOOKUP(BR$4,Preisindex,4,FALSE)/VLOOKUP(YEAR($F126),Preisindex,4,FALSE),2),IF(AND($E126&lt;&gt;0,$F126&gt;0,YEAR($F126)&gt;=Preisindex!$A$6,YEAR(BM$4)&gt;=YEAR($F126),$K126="k"),ROUND(VLOOKUP(BR$4,Preisindex,2,FALSE)/VLOOKUP(YEAR($F126),Preisindex,2,FALSE),2),0)))))</f>
        <v>0</v>
      </c>
      <c r="BS126" s="56">
        <f>IF(AND($E126&lt;&gt;0,$F126&gt;0,YEAR($F126)&lt;Preisindex!$A$6,YEAR(BM$4)&gt;=YEAR($F126),AND($K126&lt;&gt;"a",$K126&lt;&gt;"b",$K126&lt;&gt;"g",$K126&lt;&gt;"k")),1,IF(AND($E126&lt;&gt;0,$F126&gt;0,YEAR($F126)&lt;Preisindex!$A$6,YEAR(BM$4)&gt;=YEAR($F126),$K126="a"),ROUND(VLOOKUP(BR$4,Preisindex,5,FALSE)/VLOOKUP(Preisindex!$A$6,Preisindex,5,FALSE),2),IF(AND($E126&lt;&gt;0,$F126&gt;0,YEAR($F126)&lt;Preisindex!$A$6,YEAR(BM$4)&gt;=YEAR($F126),$K126="b"),ROUND(VLOOKUP(BR$4,Preisindex,3,FALSE)/VLOOKUP(Preisindex!$A$6,Preisindex,3,FALSE),2),IF(AND($E126&lt;&gt;0,$F126&gt;0,YEAR($F126)&lt;Preisindex!$A$6,YEAR(BM$4)&gt;=YEAR($F126),$K126="g"),ROUND(VLOOKUP(BR$4,Preisindex,4,FALSE)/VLOOKUP(Preisindex!$A$6,Preisindex,4,FALSE),2),IF(AND($E126&lt;&gt;0,$F126&gt;0,YEAR($F126)&lt;Preisindex!$A$6,YEAR(BM$4)&gt;=YEAR($F126),$K126="k"),ROUND(VLOOKUP(BR$4,Preisindex,2,FALSE)/VLOOKUP(Preisindex!$A$6,Preisindex,2,FALSE),2),0)))))</f>
        <v>0</v>
      </c>
      <c r="BT126" s="51">
        <f>IF(AND($E126&lt;&gt;0,$F126&gt;0,YEAR($F126)&lt;=BR$4,YEAR($F126)&gt;=Preisindex!$A$6),ROUND($E126*BR126,2),IF(AND($E126&lt;&gt;0,$F126&gt;0,YEAR($F126)&lt;=BR$4,YEAR($F126)&lt;Preisindex!$A$6),ROUND($E126*BS126,2),0))</f>
        <v>0</v>
      </c>
      <c r="BU126" s="53">
        <f t="shared" si="377"/>
        <v>0</v>
      </c>
      <c r="BV126" s="51">
        <f t="shared" si="490"/>
        <v>0</v>
      </c>
      <c r="BW126" s="51">
        <f t="shared" si="458"/>
        <v>0</v>
      </c>
      <c r="BX126" s="51">
        <f t="shared" si="378"/>
        <v>0</v>
      </c>
      <c r="BY126" s="51">
        <f t="shared" si="459"/>
        <v>0</v>
      </c>
      <c r="BZ126" s="51">
        <f t="shared" si="379"/>
        <v>0</v>
      </c>
      <c r="CA126" s="51">
        <f t="shared" si="460"/>
        <v>0</v>
      </c>
      <c r="CB126" s="51">
        <f t="shared" si="380"/>
        <v>0</v>
      </c>
      <c r="CC126" s="51">
        <f t="shared" si="461"/>
        <v>0</v>
      </c>
      <c r="CD126" s="51">
        <f t="shared" si="381"/>
        <v>0</v>
      </c>
      <c r="CE126" s="51">
        <f t="shared" si="462"/>
        <v>0</v>
      </c>
      <c r="CF126" s="51">
        <f t="shared" si="382"/>
        <v>0</v>
      </c>
      <c r="CG126" s="54">
        <f t="shared" si="383"/>
        <v>0</v>
      </c>
      <c r="CH126" s="55">
        <f t="shared" si="384"/>
        <v>0</v>
      </c>
      <c r="CI126" s="56">
        <f>IF(AND($E126&lt;&gt;0,$F126&gt;0,YEAR($F126)&gt;=Preisindex!$A$6,YEAR(CD$4)&gt;=YEAR($F126),AND($K126&lt;&gt;"a",$K126&lt;&gt;"b",$K126&lt;&gt;"g",$K126&lt;&gt;"k")),1,IF(AND($E126&lt;&gt;0,$F126&gt;0,YEAR($F126)&gt;=Preisindex!$A$6,YEAR(CD$4)&gt;=YEAR($F126),$K126="a"),ROUND(VLOOKUP(CI$4,Preisindex,5,FALSE)/VLOOKUP(YEAR($F126),Preisindex,5,FALSE),2),IF(AND($E126&lt;&gt;0,$F126&gt;0,YEAR($F126)&gt;=Preisindex!$A$6,YEAR(CD$4)&gt;=YEAR($F126),$K126="b"),ROUND(VLOOKUP(CI$4,Preisindex,3,FALSE)/VLOOKUP(YEAR($F126),Preisindex,3,FALSE),2),IF(AND($E126&lt;&gt;0,$F126&gt;0,YEAR($F126)&gt;=Preisindex!$A$6,YEAR(CD$4)&gt;=YEAR($F126),$K126="g"),ROUND(VLOOKUP(CI$4,Preisindex,4,FALSE)/VLOOKUP(YEAR($F126),Preisindex,4,FALSE),2),IF(AND($E126&lt;&gt;0,$F126&gt;0,YEAR($F126)&gt;=Preisindex!$A$6,YEAR(CD$4)&gt;=YEAR($F126),$K126="k"),ROUND(VLOOKUP(CI$4,Preisindex,2,FALSE)/VLOOKUP(YEAR($F126),Preisindex,2,FALSE),2),0)))))</f>
        <v>0</v>
      </c>
      <c r="CJ126" s="56">
        <f>IF(AND($E126&lt;&gt;0,$F126&gt;0,YEAR($F126)&lt;Preisindex!$A$6,YEAR(CD$4)&gt;=YEAR($F126),AND($K126&lt;&gt;"a",$K126&lt;&gt;"b",$K126&lt;&gt;"g",$K126&lt;&gt;"k")),1,IF(AND($E126&lt;&gt;0,$F126&gt;0,YEAR($F126)&lt;Preisindex!$A$6,YEAR(CD$4)&gt;=YEAR($F126),$K126="a"),ROUND(VLOOKUP(CI$4,Preisindex,5,FALSE)/VLOOKUP(Preisindex!$A$6,Preisindex,5,FALSE),2),IF(AND($E126&lt;&gt;0,$F126&gt;0,YEAR($F126)&lt;Preisindex!$A$6,YEAR(CD$4)&gt;=YEAR($F126),$K126="b"),ROUND(VLOOKUP(CI$4,Preisindex,3,FALSE)/VLOOKUP(Preisindex!$A$6,Preisindex,3,FALSE),2),IF(AND($E126&lt;&gt;0,$F126&gt;0,YEAR($F126)&lt;Preisindex!$A$6,YEAR(CD$4)&gt;=YEAR($F126),$K126="g"),ROUND(VLOOKUP(CI$4,Preisindex,4,FALSE)/VLOOKUP(Preisindex!$A$6,Preisindex,4,FALSE),2),IF(AND($E126&lt;&gt;0,$F126&gt;0,YEAR($F126)&lt;Preisindex!$A$6,YEAR(CD$4)&gt;=YEAR($F126),$K126="k"),ROUND(VLOOKUP(CI$4,Preisindex,2,FALSE)/VLOOKUP(Preisindex!$A$6,Preisindex,2,FALSE),2),0)))))</f>
        <v>0</v>
      </c>
      <c r="CK126" s="51">
        <f>IF(AND($E126&lt;&gt;0,$F126&gt;0,YEAR($F126)&lt;=CI$4,YEAR($F126)&gt;=Preisindex!$A$6),ROUND($E126*CI126,2),IF(AND($E126&lt;&gt;0,$F126&gt;0,YEAR($F126)&lt;=CI$4,YEAR($F126)&lt;Preisindex!$A$6),ROUND($E126*CJ126,2),0))</f>
        <v>0</v>
      </c>
      <c r="CL126" s="53">
        <f t="shared" si="385"/>
        <v>0</v>
      </c>
      <c r="CM126" s="51">
        <f t="shared" si="490"/>
        <v>0</v>
      </c>
      <c r="CN126" s="51">
        <f t="shared" si="463"/>
        <v>0</v>
      </c>
      <c r="CO126" s="51">
        <f t="shared" si="386"/>
        <v>0</v>
      </c>
      <c r="CP126" s="51">
        <f t="shared" si="464"/>
        <v>0</v>
      </c>
      <c r="CQ126" s="51">
        <f t="shared" si="387"/>
        <v>0</v>
      </c>
      <c r="CR126" s="51">
        <f t="shared" si="465"/>
        <v>0</v>
      </c>
      <c r="CS126" s="51">
        <f t="shared" si="388"/>
        <v>0</v>
      </c>
      <c r="CT126" s="51">
        <f t="shared" si="466"/>
        <v>0</v>
      </c>
      <c r="CU126" s="51">
        <f t="shared" si="389"/>
        <v>0</v>
      </c>
      <c r="CV126" s="51">
        <f t="shared" si="467"/>
        <v>0</v>
      </c>
      <c r="CW126" s="51">
        <f t="shared" si="390"/>
        <v>0</v>
      </c>
      <c r="CX126" s="54">
        <f t="shared" si="391"/>
        <v>0</v>
      </c>
      <c r="CY126" s="55">
        <f t="shared" si="392"/>
        <v>0</v>
      </c>
      <c r="CZ126" s="56">
        <f>IF(AND($E126&lt;&gt;0,$F126&gt;0,YEAR($F126)&gt;=Preisindex!$A$6,YEAR(CU$4)&gt;=YEAR($F126),AND($K126&lt;&gt;"a",$K126&lt;&gt;"b",$K126&lt;&gt;"g",$K126&lt;&gt;"k")),1,IF(AND($E126&lt;&gt;0,$F126&gt;0,YEAR($F126)&gt;=Preisindex!$A$6,YEAR(CU$4)&gt;=YEAR($F126),$K126="a"),ROUND(VLOOKUP(CZ$4,Preisindex,5,FALSE)/VLOOKUP(YEAR($F126),Preisindex,5,FALSE),2),IF(AND($E126&lt;&gt;0,$F126&gt;0,YEAR($F126)&gt;=Preisindex!$A$6,YEAR(CU$4)&gt;=YEAR($F126),$K126="b"),ROUND(VLOOKUP(CZ$4,Preisindex,3,FALSE)/VLOOKUP(YEAR($F126),Preisindex,3,FALSE),2),IF(AND($E126&lt;&gt;0,$F126&gt;0,YEAR($F126)&gt;=Preisindex!$A$6,YEAR(CU$4)&gt;=YEAR($F126),$K126="g"),ROUND(VLOOKUP(CZ$4,Preisindex,4,FALSE)/VLOOKUP(YEAR($F126),Preisindex,4,FALSE),2),IF(AND($E126&lt;&gt;0,$F126&gt;0,YEAR($F126)&gt;=Preisindex!$A$6,YEAR(CU$4)&gt;=YEAR($F126),$K126="k"),ROUND(VLOOKUP(CZ$4,Preisindex,2,FALSE)/VLOOKUP(YEAR($F126),Preisindex,2,FALSE),2),0)))))</f>
        <v>0</v>
      </c>
      <c r="DA126" s="56">
        <f>IF(AND($E126&lt;&gt;0,$F126&gt;0,YEAR($F126)&lt;Preisindex!$A$6,YEAR(CU$4)&gt;=YEAR($F126),AND($K126&lt;&gt;"a",$K126&lt;&gt;"b",$K126&lt;&gt;"g",$K126&lt;&gt;"k")),1,IF(AND($E126&lt;&gt;0,$F126&gt;0,YEAR($F126)&lt;Preisindex!$A$6,YEAR(CU$4)&gt;=YEAR($F126),$K126="a"),ROUND(VLOOKUP(CZ$4,Preisindex,5,FALSE)/VLOOKUP(Preisindex!$A$6,Preisindex,5,FALSE),2),IF(AND($E126&lt;&gt;0,$F126&gt;0,YEAR($F126)&lt;Preisindex!$A$6,YEAR(CU$4)&gt;=YEAR($F126),$K126="b"),ROUND(VLOOKUP(CZ$4,Preisindex,3,FALSE)/VLOOKUP(Preisindex!$A$6,Preisindex,3,FALSE),2),IF(AND($E126&lt;&gt;0,$F126&gt;0,YEAR($F126)&lt;Preisindex!$A$6,YEAR(CU$4)&gt;=YEAR($F126),$K126="g"),ROUND(VLOOKUP(CZ$4,Preisindex,4,FALSE)/VLOOKUP(Preisindex!$A$6,Preisindex,4,FALSE),2),IF(AND($E126&lt;&gt;0,$F126&gt;0,YEAR($F126)&lt;Preisindex!$A$6,YEAR(CU$4)&gt;=YEAR($F126),$K126="k"),ROUND(VLOOKUP(CZ$4,Preisindex,2,FALSE)/VLOOKUP(Preisindex!$A$6,Preisindex,2,FALSE),2),0)))))</f>
        <v>0</v>
      </c>
      <c r="DB126" s="51">
        <f>IF(AND($E126&lt;&gt;0,$F126&gt;0,YEAR($F126)&lt;=CZ$4,YEAR($F126)&gt;=Preisindex!$A$6),ROUND($E126*CZ126,2),IF(AND($E126&lt;&gt;0,$F126&gt;0,YEAR($F126)&lt;=CZ$4,YEAR($F126)&lt;Preisindex!$A$6),ROUND($E126*DA126,2),0))</f>
        <v>0</v>
      </c>
      <c r="DC126" s="53">
        <f t="shared" si="393"/>
        <v>0</v>
      </c>
      <c r="DD126" s="51">
        <f t="shared" si="491"/>
        <v>0</v>
      </c>
      <c r="DE126" s="51">
        <f t="shared" si="468"/>
        <v>0</v>
      </c>
      <c r="DF126" s="51">
        <f t="shared" si="395"/>
        <v>0</v>
      </c>
      <c r="DG126" s="51">
        <f t="shared" si="469"/>
        <v>0</v>
      </c>
      <c r="DH126" s="51">
        <f t="shared" si="396"/>
        <v>0</v>
      </c>
      <c r="DI126" s="51">
        <f t="shared" si="470"/>
        <v>0</v>
      </c>
      <c r="DJ126" s="51">
        <f t="shared" si="397"/>
        <v>0</v>
      </c>
      <c r="DK126" s="51">
        <f t="shared" si="471"/>
        <v>0</v>
      </c>
      <c r="DL126" s="51">
        <f t="shared" si="398"/>
        <v>0</v>
      </c>
      <c r="DM126" s="51">
        <f t="shared" si="472"/>
        <v>0</v>
      </c>
      <c r="DN126" s="51">
        <f t="shared" si="399"/>
        <v>0</v>
      </c>
      <c r="DO126" s="54">
        <f t="shared" si="400"/>
        <v>0</v>
      </c>
      <c r="DP126" s="55">
        <f t="shared" si="401"/>
        <v>0</v>
      </c>
      <c r="DQ126" s="56">
        <f>IF(AND($E126&lt;&gt;0,$F126&gt;0,YEAR($F126)&gt;=Preisindex!$A$6,YEAR(DL$4)&gt;=YEAR($F126),AND($K126&lt;&gt;"a",$K126&lt;&gt;"b",$K126&lt;&gt;"g",$K126&lt;&gt;"k")),1,IF(AND($E126&lt;&gt;0,$F126&gt;0,YEAR($F126)&gt;=Preisindex!$A$6,YEAR(DL$4)&gt;=YEAR($F126),$K126="a"),ROUND(VLOOKUP(DQ$4,Preisindex,5,FALSE)/VLOOKUP(YEAR($F126),Preisindex,5,FALSE),2),IF(AND($E126&lt;&gt;0,$F126&gt;0,YEAR($F126)&gt;=Preisindex!$A$6,YEAR(DL$4)&gt;=YEAR($F126),$K126="b"),ROUND(VLOOKUP(DQ$4,Preisindex,3,FALSE)/VLOOKUP(YEAR($F126),Preisindex,3,FALSE),2),IF(AND($E126&lt;&gt;0,$F126&gt;0,YEAR($F126)&gt;=Preisindex!$A$6,YEAR(DL$4)&gt;=YEAR($F126),$K126="g"),ROUND(VLOOKUP(DQ$4,Preisindex,4,FALSE)/VLOOKUP(YEAR($F126),Preisindex,4,FALSE),2),IF(AND($E126&lt;&gt;0,$F126&gt;0,YEAR($F126)&gt;=Preisindex!$A$6,YEAR(DL$4)&gt;=YEAR($F126),$K126="k"),ROUND(VLOOKUP(DQ$4,Preisindex,2,FALSE)/VLOOKUP(YEAR($F126),Preisindex,2,FALSE),2),0)))))</f>
        <v>0</v>
      </c>
      <c r="DR126" s="56">
        <f>IF(AND($E126&lt;&gt;0,$F126&gt;0,YEAR($F126)&lt;Preisindex!$A$6,YEAR(DL$4)&gt;=YEAR($F126),AND($K126&lt;&gt;"a",$K126&lt;&gt;"b",$K126&lt;&gt;"g",$K126&lt;&gt;"k")),1,IF(AND($E126&lt;&gt;0,$F126&gt;0,YEAR($F126)&lt;Preisindex!$A$6,YEAR(DL$4)&gt;=YEAR($F126),$K126="a"),ROUND(VLOOKUP(DQ$4,Preisindex,5,FALSE)/VLOOKUP(Preisindex!$A$6,Preisindex,5,FALSE),2),IF(AND($E126&lt;&gt;0,$F126&gt;0,YEAR($F126)&lt;Preisindex!$A$6,YEAR(DL$4)&gt;=YEAR($F126),$K126="b"),ROUND(VLOOKUP(DQ$4,Preisindex,3,FALSE)/VLOOKUP(Preisindex!$A$6,Preisindex,3,FALSE),2),IF(AND($E126&lt;&gt;0,$F126&gt;0,YEAR($F126)&lt;Preisindex!$A$6,YEAR(DL$4)&gt;=YEAR($F126),$K126="g"),ROUND(VLOOKUP(DQ$4,Preisindex,4,FALSE)/VLOOKUP(Preisindex!$A$6,Preisindex,4,FALSE),2),IF(AND($E126&lt;&gt;0,$F126&gt;0,YEAR($F126)&lt;Preisindex!$A$6,YEAR(DL$4)&gt;=YEAR($F126),$K126="k"),ROUND(VLOOKUP(DQ$4,Preisindex,2,FALSE)/VLOOKUP(Preisindex!$A$6,Preisindex,2,FALSE),2),0)))))</f>
        <v>0</v>
      </c>
      <c r="DS126" s="51">
        <f>IF(AND($E126&lt;&gt;0,$F126&gt;0,YEAR($F126)&lt;=DQ$4,YEAR($F126)&gt;=Preisindex!$A$6),ROUND($E126*DQ126,2),IF(AND($E126&lt;&gt;0,$F126&gt;0,YEAR($F126)&lt;=DQ$4,YEAR($F126)&lt;Preisindex!$A$6),ROUND($E126*DR126,2),0))</f>
        <v>0</v>
      </c>
      <c r="DT126" s="53">
        <f t="shared" si="402"/>
        <v>0</v>
      </c>
      <c r="DU126" s="51">
        <f t="shared" si="491"/>
        <v>0</v>
      </c>
      <c r="DV126" s="51">
        <f t="shared" si="473"/>
        <v>0</v>
      </c>
      <c r="DW126" s="51">
        <f t="shared" si="403"/>
        <v>0</v>
      </c>
      <c r="DX126" s="51">
        <f t="shared" si="474"/>
        <v>0</v>
      </c>
      <c r="DY126" s="51">
        <f t="shared" si="404"/>
        <v>0</v>
      </c>
      <c r="DZ126" s="51">
        <f t="shared" si="475"/>
        <v>0</v>
      </c>
      <c r="EA126" s="51">
        <f t="shared" si="405"/>
        <v>0</v>
      </c>
      <c r="EB126" s="51">
        <f t="shared" si="476"/>
        <v>0</v>
      </c>
      <c r="EC126" s="51">
        <f t="shared" si="406"/>
        <v>0</v>
      </c>
      <c r="ED126" s="51">
        <f t="shared" si="477"/>
        <v>0</v>
      </c>
      <c r="EE126" s="51">
        <f t="shared" si="407"/>
        <v>0</v>
      </c>
      <c r="EF126" s="54">
        <f t="shared" si="408"/>
        <v>0</v>
      </c>
      <c r="EG126" s="55">
        <f t="shared" si="409"/>
        <v>0</v>
      </c>
      <c r="EH126" s="56">
        <f>IF(AND($E126&lt;&gt;0,$F126&gt;0,YEAR($F126)&gt;=Preisindex!$A$6,YEAR(EC$4)&gt;=YEAR($F126),AND($K126&lt;&gt;"a",$K126&lt;&gt;"b",$K126&lt;&gt;"g",$K126&lt;&gt;"k")),1,IF(AND($E126&lt;&gt;0,$F126&gt;0,YEAR($F126)&gt;=Preisindex!$A$6,YEAR(EC$4)&gt;=YEAR($F126),$K126="a"),ROUND(VLOOKUP(EH$4,Preisindex,5,FALSE)/VLOOKUP(YEAR($F126),Preisindex,5,FALSE),2),IF(AND($E126&lt;&gt;0,$F126&gt;0,YEAR($F126)&gt;=Preisindex!$A$6,YEAR(EC$4)&gt;=YEAR($F126),$K126="b"),ROUND(VLOOKUP(EH$4,Preisindex,3,FALSE)/VLOOKUP(YEAR($F126),Preisindex,3,FALSE),2),IF(AND($E126&lt;&gt;0,$F126&gt;0,YEAR($F126)&gt;=Preisindex!$A$6,YEAR(EC$4)&gt;=YEAR($F126),$K126="g"),ROUND(VLOOKUP(EH$4,Preisindex,4,FALSE)/VLOOKUP(YEAR($F126),Preisindex,4,FALSE),2),IF(AND($E126&lt;&gt;0,$F126&gt;0,YEAR($F126)&gt;=Preisindex!$A$6,YEAR(EC$4)&gt;=YEAR($F126),$K126="k"),ROUND(VLOOKUP(EH$4,Preisindex,2,FALSE)/VLOOKUP(YEAR($F126),Preisindex,2,FALSE),2),0)))))</f>
        <v>0</v>
      </c>
      <c r="EI126" s="56">
        <f>IF(AND($E126&lt;&gt;0,$F126&gt;0,YEAR($F126)&lt;Preisindex!$A$6,YEAR(EC$4)&gt;=YEAR($F126),AND($K126&lt;&gt;"a",$K126&lt;&gt;"b",$K126&lt;&gt;"g",$K126&lt;&gt;"k")),1,IF(AND($E126&lt;&gt;0,$F126&gt;0,YEAR($F126)&lt;Preisindex!$A$6,YEAR(EC$4)&gt;=YEAR($F126),$K126="a"),ROUND(VLOOKUP(EH$4,Preisindex,5,FALSE)/VLOOKUP(Preisindex!$A$6,Preisindex,5,FALSE),2),IF(AND($E126&lt;&gt;0,$F126&gt;0,YEAR($F126)&lt;Preisindex!$A$6,YEAR(EC$4)&gt;=YEAR($F126),$K126="b"),ROUND(VLOOKUP(EH$4,Preisindex,3,FALSE)/VLOOKUP(Preisindex!$A$6,Preisindex,3,FALSE),2),IF(AND($E126&lt;&gt;0,$F126&gt;0,YEAR($F126)&lt;Preisindex!$A$6,YEAR(EC$4)&gt;=YEAR($F126),$K126="g"),ROUND(VLOOKUP(EH$4,Preisindex,4,FALSE)/VLOOKUP(Preisindex!$A$6,Preisindex,4,FALSE),2),IF(AND($E126&lt;&gt;0,$F126&gt;0,YEAR($F126)&lt;Preisindex!$A$6,YEAR(EC$4)&gt;=YEAR($F126),$K126="k"),ROUND(VLOOKUP(EH$4,Preisindex,2,FALSE)/VLOOKUP(Preisindex!$A$6,Preisindex,2,FALSE),2),0)))))</f>
        <v>0</v>
      </c>
      <c r="EJ126" s="51">
        <f>IF(AND($E126&lt;&gt;0,$F126&gt;0,YEAR($F126)&lt;=EH$4,YEAR($F126)&gt;=Preisindex!$A$6),ROUND($E126*EH126,2),IF(AND($E126&lt;&gt;0,$F126&gt;0,YEAR($F126)&lt;=EH$4,YEAR($F126)&lt;Preisindex!$A$6),ROUND($E126*EI126,2),0))</f>
        <v>0</v>
      </c>
      <c r="EK126" s="53">
        <f t="shared" si="410"/>
        <v>0</v>
      </c>
      <c r="EL126" s="51">
        <f t="shared" si="491"/>
        <v>0</v>
      </c>
      <c r="EM126" s="51">
        <f t="shared" si="478"/>
        <v>0</v>
      </c>
      <c r="EN126" s="51">
        <f t="shared" si="411"/>
        <v>0</v>
      </c>
      <c r="EO126" s="51">
        <f t="shared" si="479"/>
        <v>0</v>
      </c>
      <c r="EP126" s="51">
        <f t="shared" si="412"/>
        <v>0</v>
      </c>
      <c r="EQ126" s="51">
        <f t="shared" si="480"/>
        <v>0</v>
      </c>
      <c r="ER126" s="51">
        <f t="shared" si="413"/>
        <v>0</v>
      </c>
      <c r="ES126" s="51">
        <f t="shared" si="481"/>
        <v>0</v>
      </c>
      <c r="ET126" s="51">
        <f t="shared" si="414"/>
        <v>0</v>
      </c>
      <c r="EU126" s="51">
        <f t="shared" si="482"/>
        <v>0</v>
      </c>
      <c r="EV126" s="51">
        <f t="shared" si="415"/>
        <v>0</v>
      </c>
      <c r="EW126" s="54">
        <f t="shared" si="416"/>
        <v>0</v>
      </c>
      <c r="EX126" s="55">
        <f t="shared" si="417"/>
        <v>0</v>
      </c>
      <c r="EY126" s="56">
        <f>IF(AND($E126&lt;&gt;0,$F126&gt;0,YEAR($F126)&gt;=Preisindex!$A$6,YEAR(ET$4)&gt;=YEAR($F126),AND($K126&lt;&gt;"a",$K126&lt;&gt;"b",$K126&lt;&gt;"g",$K126&lt;&gt;"k")),1,IF(AND($E126&lt;&gt;0,$F126&gt;0,YEAR($F126)&gt;=Preisindex!$A$6,YEAR(ET$4)&gt;=YEAR($F126),$K126="a"),ROUND(VLOOKUP(EY$4,Preisindex,5,FALSE)/VLOOKUP(YEAR($F126),Preisindex,5,FALSE),2),IF(AND($E126&lt;&gt;0,$F126&gt;0,YEAR($F126)&gt;=Preisindex!$A$6,YEAR(ET$4)&gt;=YEAR($F126),$K126="b"),ROUND(VLOOKUP(EY$4,Preisindex,3,FALSE)/VLOOKUP(YEAR($F126),Preisindex,3,FALSE),2),IF(AND($E126&lt;&gt;0,$F126&gt;0,YEAR($F126)&gt;=Preisindex!$A$6,YEAR(ET$4)&gt;=YEAR($F126),$K126="g"),ROUND(VLOOKUP(EY$4,Preisindex,4,FALSE)/VLOOKUP(YEAR($F126),Preisindex,4,FALSE),2),IF(AND($E126&lt;&gt;0,$F126&gt;0,YEAR($F126)&gt;=Preisindex!$A$6,YEAR(ET$4)&gt;=YEAR($F126),$K126="k"),ROUND(VLOOKUP(EY$4,Preisindex,2,FALSE)/VLOOKUP(YEAR($F126),Preisindex,2,FALSE),2),0)))))</f>
        <v>0</v>
      </c>
      <c r="EZ126" s="56">
        <f>IF(AND($E126&lt;&gt;0,$F126&gt;0,YEAR($F126)&lt;Preisindex!$A$6,YEAR(ET$4)&gt;=YEAR($F126),AND($K126&lt;&gt;"a",$K126&lt;&gt;"b",$K126&lt;&gt;"g",$K126&lt;&gt;"k")),1,IF(AND($E126&lt;&gt;0,$F126&gt;0,YEAR($F126)&lt;Preisindex!$A$6,YEAR(ET$4)&gt;=YEAR($F126),$K126="a"),ROUND(VLOOKUP(EY$4,Preisindex,5,FALSE)/VLOOKUP(Preisindex!$A$6,Preisindex,5,FALSE),2),IF(AND($E126&lt;&gt;0,$F126&gt;0,YEAR($F126)&lt;Preisindex!$A$6,YEAR(ET$4)&gt;=YEAR($F126),$K126="b"),ROUND(VLOOKUP(EY$4,Preisindex,3,FALSE)/VLOOKUP(Preisindex!$A$6,Preisindex,3,FALSE),2),IF(AND($E126&lt;&gt;0,$F126&gt;0,YEAR($F126)&lt;Preisindex!$A$6,YEAR(ET$4)&gt;=YEAR($F126),$K126="g"),ROUND(VLOOKUP(EY$4,Preisindex,4,FALSE)/VLOOKUP(Preisindex!$A$6,Preisindex,4,FALSE),2),IF(AND($E126&lt;&gt;0,$F126&gt;0,YEAR($F126)&lt;Preisindex!$A$6,YEAR(ET$4)&gt;=YEAR($F126),$K126="k"),ROUND(VLOOKUP(EY$4,Preisindex,2,FALSE)/VLOOKUP(Preisindex!$A$6,Preisindex,2,FALSE),2),0)))))</f>
        <v>0</v>
      </c>
      <c r="FA126" s="51">
        <f>IF(AND($E126&lt;&gt;0,$F126&gt;0,YEAR($F126)&lt;=EY$4,YEAR($F126)&gt;=Preisindex!$A$6),ROUND($E126*EY126,2),IF(AND($E126&lt;&gt;0,$F126&gt;0,YEAR($F126)&lt;=EY$4,YEAR($F126)&lt;Preisindex!$A$6),ROUND($E126*EZ126,2),0))</f>
        <v>0</v>
      </c>
      <c r="FB126" s="53">
        <f t="shared" si="418"/>
        <v>0</v>
      </c>
      <c r="FC126" s="51">
        <f t="shared" si="491"/>
        <v>0</v>
      </c>
      <c r="FD126" s="51">
        <f t="shared" si="483"/>
        <v>0</v>
      </c>
      <c r="FE126" s="51">
        <f t="shared" si="419"/>
        <v>0</v>
      </c>
      <c r="FF126" s="51">
        <f t="shared" si="484"/>
        <v>0</v>
      </c>
      <c r="FG126" s="51">
        <f t="shared" si="420"/>
        <v>0</v>
      </c>
      <c r="FH126" s="51">
        <f t="shared" si="485"/>
        <v>0</v>
      </c>
      <c r="FI126" s="51">
        <f t="shared" si="421"/>
        <v>0</v>
      </c>
      <c r="FJ126" s="51">
        <f t="shared" si="486"/>
        <v>0</v>
      </c>
      <c r="FK126" s="51">
        <f t="shared" si="422"/>
        <v>0</v>
      </c>
      <c r="FL126" s="51">
        <f t="shared" si="487"/>
        <v>0</v>
      </c>
      <c r="FM126" s="51">
        <f t="shared" si="423"/>
        <v>0</v>
      </c>
      <c r="FN126" s="54">
        <f t="shared" si="424"/>
        <v>0</v>
      </c>
      <c r="FO126" s="55">
        <f t="shared" si="425"/>
        <v>0</v>
      </c>
      <c r="FP126" s="56">
        <f>IF(AND($E126&lt;&gt;0,$F126&gt;0,YEAR($F126)&gt;=Preisindex!$A$6,YEAR(FK$4)&gt;=YEAR($F126),AND($K126&lt;&gt;"a",$K126&lt;&gt;"b",$K126&lt;&gt;"g",$K126&lt;&gt;"k")),1,IF(AND($E126&lt;&gt;0,$F126&gt;0,YEAR($F126)&gt;=Preisindex!$A$6,YEAR(FK$4)&gt;=YEAR($F126),$K126="a"),ROUND(VLOOKUP(FP$4,Preisindex,5,FALSE)/VLOOKUP(YEAR($F126),Preisindex,5,FALSE),2),IF(AND($E126&lt;&gt;0,$F126&gt;0,YEAR($F126)&gt;=Preisindex!$A$6,YEAR(FK$4)&gt;=YEAR($F126),$K126="b"),ROUND(VLOOKUP(FP$4,Preisindex,3,FALSE)/VLOOKUP(YEAR($F126),Preisindex,3,FALSE),2),IF(AND($E126&lt;&gt;0,$F126&gt;0,YEAR($F126)&gt;=Preisindex!$A$6,YEAR(FK$4)&gt;=YEAR($F126),$K126="g"),ROUND(VLOOKUP(FP$4,Preisindex,4,FALSE)/VLOOKUP(YEAR($F126),Preisindex,4,FALSE),2),IF(AND($E126&lt;&gt;0,$F126&gt;0,YEAR($F126)&gt;=Preisindex!$A$6,YEAR(FK$4)&gt;=YEAR($F126),$K126="k"),ROUND(VLOOKUP(FP$4,Preisindex,2,FALSE)/VLOOKUP(YEAR($F126),Preisindex,2,FALSE),2),0)))))</f>
        <v>0</v>
      </c>
      <c r="FQ126" s="56">
        <f>IF(AND($E126&lt;&gt;0,$F126&gt;0,YEAR($F126)&lt;Preisindex!$A$6,YEAR(FK$4)&gt;=YEAR($F126),AND($K126&lt;&gt;"a",$K126&lt;&gt;"b",$K126&lt;&gt;"g",$K126&lt;&gt;"k")),1,IF(AND($E126&lt;&gt;0,$F126&gt;0,YEAR($F126)&lt;Preisindex!$A$6,YEAR(FK$4)&gt;=YEAR($F126),$K126="a"),ROUND(VLOOKUP(FP$4,Preisindex,5,FALSE)/VLOOKUP(Preisindex!$A$6,Preisindex,5,FALSE),2),IF(AND($E126&lt;&gt;0,$F126&gt;0,YEAR($F126)&lt;Preisindex!$A$6,YEAR(FK$4)&gt;=YEAR($F126),$K126="b"),ROUND(VLOOKUP(FP$4,Preisindex,3,FALSE)/VLOOKUP(Preisindex!$A$6,Preisindex,3,FALSE),2),IF(AND($E126&lt;&gt;0,$F126&gt;0,YEAR($F126)&lt;Preisindex!$A$6,YEAR(FK$4)&gt;=YEAR($F126),$K126="g"),ROUND(VLOOKUP(FP$4,Preisindex,4,FALSE)/VLOOKUP(Preisindex!$A$6,Preisindex,4,FALSE),2),IF(AND($E126&lt;&gt;0,$F126&gt;0,YEAR($F126)&lt;Preisindex!$A$6,YEAR(FK$4)&gt;=YEAR($F126),$K126="k"),ROUND(VLOOKUP(FP$4,Preisindex,2,FALSE)/VLOOKUP(Preisindex!$A$6,Preisindex,2,FALSE),2),0)))))</f>
        <v>0</v>
      </c>
      <c r="FR126" s="51">
        <f>IF(AND($E126&lt;&gt;0,$F126&gt;0,YEAR($F126)&lt;=FP$4,YEAR($F126)&gt;=Preisindex!$A$6),ROUND($E126*FP126,2),IF(AND($E126&lt;&gt;0,$F126&gt;0,YEAR($F126)&lt;=FP$4,YEAR($F126)&lt;Preisindex!$A$6),ROUND($E126*FQ126,2),0))</f>
        <v>0</v>
      </c>
      <c r="FS126" s="53">
        <f t="shared" si="426"/>
        <v>0</v>
      </c>
    </row>
    <row r="127" spans="1:175" x14ac:dyDescent="0.3">
      <c r="A127" s="93"/>
      <c r="B127" s="94"/>
      <c r="C127" s="94"/>
      <c r="D127" s="95"/>
      <c r="E127" s="99"/>
      <c r="F127" s="97"/>
      <c r="G127" s="98"/>
      <c r="H127" s="620"/>
      <c r="I127" s="621"/>
      <c r="J127" s="194"/>
      <c r="K127" s="630"/>
      <c r="L127" s="49">
        <f t="shared" si="427"/>
        <v>0</v>
      </c>
      <c r="M127" s="50">
        <f t="shared" si="428"/>
        <v>0</v>
      </c>
      <c r="N127" s="51">
        <f t="shared" si="429"/>
        <v>0</v>
      </c>
      <c r="O127" s="51"/>
      <c r="P127" s="51">
        <f t="shared" si="430"/>
        <v>0</v>
      </c>
      <c r="Q127" s="52"/>
      <c r="R127" s="52"/>
      <c r="S127" s="52"/>
      <c r="T127" s="52"/>
      <c r="U127" s="52"/>
      <c r="V127" s="53">
        <f t="shared" si="431"/>
        <v>0</v>
      </c>
      <c r="W127" s="51">
        <f t="shared" si="432"/>
        <v>0</v>
      </c>
      <c r="X127" s="51">
        <f t="shared" si="433"/>
        <v>0</v>
      </c>
      <c r="Y127" s="51">
        <f t="shared" si="434"/>
        <v>0</v>
      </c>
      <c r="Z127" s="51">
        <f t="shared" si="435"/>
        <v>0</v>
      </c>
      <c r="AA127" s="51">
        <f t="shared" si="436"/>
        <v>0</v>
      </c>
      <c r="AB127" s="51">
        <f t="shared" si="437"/>
        <v>0</v>
      </c>
      <c r="AC127" s="51">
        <f t="shared" si="438"/>
        <v>0</v>
      </c>
      <c r="AD127" s="51">
        <f t="shared" si="439"/>
        <v>0</v>
      </c>
      <c r="AE127" s="51">
        <f t="shared" si="440"/>
        <v>0</v>
      </c>
      <c r="AF127" s="51">
        <f t="shared" si="441"/>
        <v>0</v>
      </c>
      <c r="AG127" s="51">
        <f t="shared" si="442"/>
        <v>0</v>
      </c>
      <c r="AH127" s="54">
        <f t="shared" si="443"/>
        <v>0</v>
      </c>
      <c r="AI127" s="55">
        <f t="shared" si="444"/>
        <v>0</v>
      </c>
      <c r="AJ127" s="56">
        <f>IF(AND($E127&lt;&gt;0,$F127&gt;0,YEAR($F127)&gt;=Preisindex!$A$6,YEAR(AE$4)&gt;=YEAR($F127),AND($K127&lt;&gt;"a",$K127&lt;&gt;"b",$K127&lt;&gt;"g",$K127&lt;&gt;"k")),1,IF(AND($E127&lt;&gt;0,$F127&gt;0,YEAR($F127)&gt;=Preisindex!$A$6,YEAR(AE$4)&gt;=YEAR($F127),$K127="a"),ROUND(VLOOKUP(AJ$4,Preisindex,5,FALSE)/VLOOKUP(YEAR($F127),Preisindex,5,FALSE),2),IF(AND($E127&lt;&gt;0,$F127&gt;0,YEAR($F127)&gt;=Preisindex!$A$6,YEAR(AE$4)&gt;=YEAR($F127),$K127="b"),ROUND(VLOOKUP(AJ$4,Preisindex,3,FALSE)/VLOOKUP(YEAR($F127),Preisindex,3,FALSE),2),IF(AND($E127&lt;&gt;0,$F127&gt;0,YEAR($F127)&gt;=Preisindex!$A$6,YEAR(AE$4)&gt;=YEAR($F127),$K127="g"),ROUND(VLOOKUP(AJ$4,Preisindex,4,FALSE)/VLOOKUP(YEAR($F127),Preisindex,4,FALSE),2),IF(AND($E127&lt;&gt;0,$F127&gt;0,YEAR($F127)&gt;=Preisindex!$A$6,YEAR(AE$4)&gt;=YEAR($F127),$K127="k"),ROUND(VLOOKUP(AJ$4,Preisindex,2,FALSE)/VLOOKUP(YEAR($F127),Preisindex,2,FALSE),2),0)))))</f>
        <v>0</v>
      </c>
      <c r="AK127" s="56">
        <f>IF(AND($E127&lt;&gt;0,$F127&gt;0,YEAR($F127)&lt;Preisindex!$A$6,YEAR(AE$4)&gt;=YEAR($F127),AND($K127&lt;&gt;"a",$K127&lt;&gt;"b",$K127&lt;&gt;"g",$K127&lt;&gt;"k")),1,IF(AND($E127&lt;&gt;0,$F127&gt;0,YEAR($F127)&lt;Preisindex!$A$6,YEAR(AE$4)&gt;=YEAR($F127),$K127="a"),ROUND(VLOOKUP(AJ$4,Preisindex,5,FALSE)/VLOOKUP(Preisindex!$A$6,Preisindex,5,FALSE),2),IF(AND($E127&lt;&gt;0,$F127&gt;0,YEAR($F127)&lt;Preisindex!$A$6,YEAR(AE$4)&gt;=YEAR($F127),$K127="b"),ROUND(VLOOKUP(AJ$4,Preisindex,3,FALSE)/VLOOKUP(Preisindex!$A$6,Preisindex,3,FALSE),2),IF(AND($E127&lt;&gt;0,$F127&gt;0,YEAR($F127)&lt;Preisindex!$A$6,YEAR(AE$4)&gt;=YEAR($F127),$K127="g"),ROUND(VLOOKUP(AJ$4,Preisindex,4,FALSE)/VLOOKUP(Preisindex!$A$6,Preisindex,4,FALSE),2),IF(AND($E127&lt;&gt;0,$F127&gt;0,YEAR($F127)&lt;Preisindex!$A$6,YEAR(AE$4)&gt;=YEAR($F127),$K127="k"),ROUND(VLOOKUP(AJ$4,Preisindex,2,FALSE)/VLOOKUP(Preisindex!$A$6,Preisindex,2,FALSE),2),0)))))</f>
        <v>0</v>
      </c>
      <c r="AL127" s="51">
        <f>IF(AND($E127&lt;&gt;0,$F127&gt;0,YEAR($F127)&lt;=AJ$4,YEAR($F127)&gt;=Preisindex!$A$6),ROUND($E127*AJ127,2),IF(AND($E127&lt;&gt;0,$F127&gt;0,YEAR($F127)&lt;=AJ$4,YEAR($F127)&lt;Preisindex!$A$6),ROUND($E127*AK127,2),0))</f>
        <v>0</v>
      </c>
      <c r="AM127" s="53">
        <f t="shared" si="445"/>
        <v>0</v>
      </c>
      <c r="AN127" s="51">
        <f t="shared" si="490"/>
        <v>0</v>
      </c>
      <c r="AO127" s="51">
        <f t="shared" si="448"/>
        <v>0</v>
      </c>
      <c r="AP127" s="51">
        <f t="shared" si="362"/>
        <v>0</v>
      </c>
      <c r="AQ127" s="51">
        <f t="shared" si="449"/>
        <v>0</v>
      </c>
      <c r="AR127" s="51">
        <f t="shared" si="363"/>
        <v>0</v>
      </c>
      <c r="AS127" s="51">
        <f t="shared" si="450"/>
        <v>0</v>
      </c>
      <c r="AT127" s="51">
        <f t="shared" si="364"/>
        <v>0</v>
      </c>
      <c r="AU127" s="51">
        <f t="shared" si="451"/>
        <v>0</v>
      </c>
      <c r="AV127" s="51">
        <f t="shared" si="365"/>
        <v>0</v>
      </c>
      <c r="AW127" s="51">
        <f t="shared" si="452"/>
        <v>0</v>
      </c>
      <c r="AX127" s="51">
        <f t="shared" si="366"/>
        <v>0</v>
      </c>
      <c r="AY127" s="54">
        <f t="shared" si="367"/>
        <v>0</v>
      </c>
      <c r="AZ127" s="55">
        <f t="shared" si="368"/>
        <v>0</v>
      </c>
      <c r="BA127" s="56">
        <f>IF(AND($E127&lt;&gt;0,$F127&gt;0,YEAR($F127)&gt;=Preisindex!$A$6,YEAR(AV$4)&gt;=YEAR($F127),AND($K127&lt;&gt;"a",$K127&lt;&gt;"b",$K127&lt;&gt;"g",$K127&lt;&gt;"k")),1,IF(AND($E127&lt;&gt;0,$F127&gt;0,YEAR($F127)&gt;=Preisindex!$A$6,YEAR(AV$4)&gt;=YEAR($F127),$K127="a"),ROUND(VLOOKUP(BA$4,Preisindex,5,FALSE)/VLOOKUP(YEAR($F127),Preisindex,5,FALSE),2),IF(AND($E127&lt;&gt;0,$F127&gt;0,YEAR($F127)&gt;=Preisindex!$A$6,YEAR(AV$4)&gt;=YEAR($F127),$K127="b"),ROUND(VLOOKUP(BA$4,Preisindex,3,FALSE)/VLOOKUP(YEAR($F127),Preisindex,3,FALSE),2),IF(AND($E127&lt;&gt;0,$F127&gt;0,YEAR($F127)&gt;=Preisindex!$A$6,YEAR(AV$4)&gt;=YEAR($F127),$K127="g"),ROUND(VLOOKUP(BA$4,Preisindex,4,FALSE)/VLOOKUP(YEAR($F127),Preisindex,4,FALSE),2),IF(AND($E127&lt;&gt;0,$F127&gt;0,YEAR($F127)&gt;=Preisindex!$A$6,YEAR(AV$4)&gt;=YEAR($F127),$K127="k"),ROUND(VLOOKUP(BA$4,Preisindex,2,FALSE)/VLOOKUP(YEAR($F127),Preisindex,2,FALSE),2),0)))))</f>
        <v>0</v>
      </c>
      <c r="BB127" s="56">
        <f>IF(AND($E127&lt;&gt;0,$F127&gt;0,YEAR($F127)&lt;Preisindex!$A$6,YEAR(AV$4)&gt;=YEAR($F127),AND($K127&lt;&gt;"a",$K127&lt;&gt;"b",$K127&lt;&gt;"g",$K127&lt;&gt;"k")),1,IF(AND($E127&lt;&gt;0,$F127&gt;0,YEAR($F127)&lt;Preisindex!$A$6,YEAR(AV$4)&gt;=YEAR($F127),$K127="a"),ROUND(VLOOKUP(BA$4,Preisindex,5,FALSE)/VLOOKUP(Preisindex!$A$6,Preisindex,5,FALSE),2),IF(AND($E127&lt;&gt;0,$F127&gt;0,YEAR($F127)&lt;Preisindex!$A$6,YEAR(AV$4)&gt;=YEAR($F127),$K127="b"),ROUND(VLOOKUP(BA$4,Preisindex,3,FALSE)/VLOOKUP(Preisindex!$A$6,Preisindex,3,FALSE),2),IF(AND($E127&lt;&gt;0,$F127&gt;0,YEAR($F127)&lt;Preisindex!$A$6,YEAR(AV$4)&gt;=YEAR($F127),$K127="g"),ROUND(VLOOKUP(BA$4,Preisindex,4,FALSE)/VLOOKUP(Preisindex!$A$6,Preisindex,4,FALSE),2),IF(AND($E127&lt;&gt;0,$F127&gt;0,YEAR($F127)&lt;Preisindex!$A$6,YEAR(AV$4)&gt;=YEAR($F127),$K127="k"),ROUND(VLOOKUP(BA$4,Preisindex,2,FALSE)/VLOOKUP(Preisindex!$A$6,Preisindex,2,FALSE),2),0)))))</f>
        <v>0</v>
      </c>
      <c r="BC127" s="51">
        <f>IF(AND($E127&lt;&gt;0,$F127&gt;0,YEAR($F127)&lt;=BA$4,YEAR($F127)&gt;=Preisindex!$A$6),ROUND($E127*BA127,2),IF(AND($E127&lt;&gt;0,$F127&gt;0,YEAR($F127)&lt;=BA$4,YEAR($F127)&lt;Preisindex!$A$6),ROUND($E127*BB127,2),0))</f>
        <v>0</v>
      </c>
      <c r="BD127" s="53">
        <f t="shared" si="369"/>
        <v>0</v>
      </c>
      <c r="BE127" s="51">
        <f t="shared" si="490"/>
        <v>0</v>
      </c>
      <c r="BF127" s="51">
        <f t="shared" si="453"/>
        <v>0</v>
      </c>
      <c r="BG127" s="51">
        <f t="shared" si="370"/>
        <v>0</v>
      </c>
      <c r="BH127" s="51">
        <f t="shared" si="454"/>
        <v>0</v>
      </c>
      <c r="BI127" s="51">
        <f t="shared" si="371"/>
        <v>0</v>
      </c>
      <c r="BJ127" s="51">
        <f t="shared" si="455"/>
        <v>0</v>
      </c>
      <c r="BK127" s="51">
        <f t="shared" si="372"/>
        <v>0</v>
      </c>
      <c r="BL127" s="51">
        <f t="shared" si="456"/>
        <v>0</v>
      </c>
      <c r="BM127" s="51">
        <f t="shared" si="373"/>
        <v>0</v>
      </c>
      <c r="BN127" s="51">
        <f t="shared" si="457"/>
        <v>0</v>
      </c>
      <c r="BO127" s="51">
        <f t="shared" si="374"/>
        <v>0</v>
      </c>
      <c r="BP127" s="54">
        <f t="shared" si="375"/>
        <v>0</v>
      </c>
      <c r="BQ127" s="55">
        <f t="shared" si="376"/>
        <v>0</v>
      </c>
      <c r="BR127" s="56">
        <f>IF(AND($E127&lt;&gt;0,$F127&gt;0,YEAR($F127)&gt;=Preisindex!$A$6,YEAR(BM$4)&gt;=YEAR($F127),AND($K127&lt;&gt;"a",$K127&lt;&gt;"b",$K127&lt;&gt;"g",$K127&lt;&gt;"k")),1,IF(AND($E127&lt;&gt;0,$F127&gt;0,YEAR($F127)&gt;=Preisindex!$A$6,YEAR(BM$4)&gt;=YEAR($F127),$K127="a"),ROUND(VLOOKUP(BR$4,Preisindex,5,FALSE)/VLOOKUP(YEAR($F127),Preisindex,5,FALSE),2),IF(AND($E127&lt;&gt;0,$F127&gt;0,YEAR($F127)&gt;=Preisindex!$A$6,YEAR(BM$4)&gt;=YEAR($F127),$K127="b"),ROUND(VLOOKUP(BR$4,Preisindex,3,FALSE)/VLOOKUP(YEAR($F127),Preisindex,3,FALSE),2),IF(AND($E127&lt;&gt;0,$F127&gt;0,YEAR($F127)&gt;=Preisindex!$A$6,YEAR(BM$4)&gt;=YEAR($F127),$K127="g"),ROUND(VLOOKUP(BR$4,Preisindex,4,FALSE)/VLOOKUP(YEAR($F127),Preisindex,4,FALSE),2),IF(AND($E127&lt;&gt;0,$F127&gt;0,YEAR($F127)&gt;=Preisindex!$A$6,YEAR(BM$4)&gt;=YEAR($F127),$K127="k"),ROUND(VLOOKUP(BR$4,Preisindex,2,FALSE)/VLOOKUP(YEAR($F127),Preisindex,2,FALSE),2),0)))))</f>
        <v>0</v>
      </c>
      <c r="BS127" s="56">
        <f>IF(AND($E127&lt;&gt;0,$F127&gt;0,YEAR($F127)&lt;Preisindex!$A$6,YEAR(BM$4)&gt;=YEAR($F127),AND($K127&lt;&gt;"a",$K127&lt;&gt;"b",$K127&lt;&gt;"g",$K127&lt;&gt;"k")),1,IF(AND($E127&lt;&gt;0,$F127&gt;0,YEAR($F127)&lt;Preisindex!$A$6,YEAR(BM$4)&gt;=YEAR($F127),$K127="a"),ROUND(VLOOKUP(BR$4,Preisindex,5,FALSE)/VLOOKUP(Preisindex!$A$6,Preisindex,5,FALSE),2),IF(AND($E127&lt;&gt;0,$F127&gt;0,YEAR($F127)&lt;Preisindex!$A$6,YEAR(BM$4)&gt;=YEAR($F127),$K127="b"),ROUND(VLOOKUP(BR$4,Preisindex,3,FALSE)/VLOOKUP(Preisindex!$A$6,Preisindex,3,FALSE),2),IF(AND($E127&lt;&gt;0,$F127&gt;0,YEAR($F127)&lt;Preisindex!$A$6,YEAR(BM$4)&gt;=YEAR($F127),$K127="g"),ROUND(VLOOKUP(BR$4,Preisindex,4,FALSE)/VLOOKUP(Preisindex!$A$6,Preisindex,4,FALSE),2),IF(AND($E127&lt;&gt;0,$F127&gt;0,YEAR($F127)&lt;Preisindex!$A$6,YEAR(BM$4)&gt;=YEAR($F127),$K127="k"),ROUND(VLOOKUP(BR$4,Preisindex,2,FALSE)/VLOOKUP(Preisindex!$A$6,Preisindex,2,FALSE),2),0)))))</f>
        <v>0</v>
      </c>
      <c r="BT127" s="51">
        <f>IF(AND($E127&lt;&gt;0,$F127&gt;0,YEAR($F127)&lt;=BR$4,YEAR($F127)&gt;=Preisindex!$A$6),ROUND($E127*BR127,2),IF(AND($E127&lt;&gt;0,$F127&gt;0,YEAR($F127)&lt;=BR$4,YEAR($F127)&lt;Preisindex!$A$6),ROUND($E127*BS127,2),0))</f>
        <v>0</v>
      </c>
      <c r="BU127" s="53">
        <f t="shared" si="377"/>
        <v>0</v>
      </c>
      <c r="BV127" s="51">
        <f t="shared" si="490"/>
        <v>0</v>
      </c>
      <c r="BW127" s="51">
        <f t="shared" si="458"/>
        <v>0</v>
      </c>
      <c r="BX127" s="51">
        <f t="shared" si="378"/>
        <v>0</v>
      </c>
      <c r="BY127" s="51">
        <f t="shared" si="459"/>
        <v>0</v>
      </c>
      <c r="BZ127" s="51">
        <f t="shared" si="379"/>
        <v>0</v>
      </c>
      <c r="CA127" s="51">
        <f t="shared" si="460"/>
        <v>0</v>
      </c>
      <c r="CB127" s="51">
        <f t="shared" si="380"/>
        <v>0</v>
      </c>
      <c r="CC127" s="51">
        <f t="shared" si="461"/>
        <v>0</v>
      </c>
      <c r="CD127" s="51">
        <f t="shared" si="381"/>
        <v>0</v>
      </c>
      <c r="CE127" s="51">
        <f t="shared" si="462"/>
        <v>0</v>
      </c>
      <c r="CF127" s="51">
        <f t="shared" si="382"/>
        <v>0</v>
      </c>
      <c r="CG127" s="54">
        <f t="shared" si="383"/>
        <v>0</v>
      </c>
      <c r="CH127" s="55">
        <f t="shared" si="384"/>
        <v>0</v>
      </c>
      <c r="CI127" s="56">
        <f>IF(AND($E127&lt;&gt;0,$F127&gt;0,YEAR($F127)&gt;=Preisindex!$A$6,YEAR(CD$4)&gt;=YEAR($F127),AND($K127&lt;&gt;"a",$K127&lt;&gt;"b",$K127&lt;&gt;"g",$K127&lt;&gt;"k")),1,IF(AND($E127&lt;&gt;0,$F127&gt;0,YEAR($F127)&gt;=Preisindex!$A$6,YEAR(CD$4)&gt;=YEAR($F127),$K127="a"),ROUND(VLOOKUP(CI$4,Preisindex,5,FALSE)/VLOOKUP(YEAR($F127),Preisindex,5,FALSE),2),IF(AND($E127&lt;&gt;0,$F127&gt;0,YEAR($F127)&gt;=Preisindex!$A$6,YEAR(CD$4)&gt;=YEAR($F127),$K127="b"),ROUND(VLOOKUP(CI$4,Preisindex,3,FALSE)/VLOOKUP(YEAR($F127),Preisindex,3,FALSE),2),IF(AND($E127&lt;&gt;0,$F127&gt;0,YEAR($F127)&gt;=Preisindex!$A$6,YEAR(CD$4)&gt;=YEAR($F127),$K127="g"),ROUND(VLOOKUP(CI$4,Preisindex,4,FALSE)/VLOOKUP(YEAR($F127),Preisindex,4,FALSE),2),IF(AND($E127&lt;&gt;0,$F127&gt;0,YEAR($F127)&gt;=Preisindex!$A$6,YEAR(CD$4)&gt;=YEAR($F127),$K127="k"),ROUND(VLOOKUP(CI$4,Preisindex,2,FALSE)/VLOOKUP(YEAR($F127),Preisindex,2,FALSE),2),0)))))</f>
        <v>0</v>
      </c>
      <c r="CJ127" s="56">
        <f>IF(AND($E127&lt;&gt;0,$F127&gt;0,YEAR($F127)&lt;Preisindex!$A$6,YEAR(CD$4)&gt;=YEAR($F127),AND($K127&lt;&gt;"a",$K127&lt;&gt;"b",$K127&lt;&gt;"g",$K127&lt;&gt;"k")),1,IF(AND($E127&lt;&gt;0,$F127&gt;0,YEAR($F127)&lt;Preisindex!$A$6,YEAR(CD$4)&gt;=YEAR($F127),$K127="a"),ROUND(VLOOKUP(CI$4,Preisindex,5,FALSE)/VLOOKUP(Preisindex!$A$6,Preisindex,5,FALSE),2),IF(AND($E127&lt;&gt;0,$F127&gt;0,YEAR($F127)&lt;Preisindex!$A$6,YEAR(CD$4)&gt;=YEAR($F127),$K127="b"),ROUND(VLOOKUP(CI$4,Preisindex,3,FALSE)/VLOOKUP(Preisindex!$A$6,Preisindex,3,FALSE),2),IF(AND($E127&lt;&gt;0,$F127&gt;0,YEAR($F127)&lt;Preisindex!$A$6,YEAR(CD$4)&gt;=YEAR($F127),$K127="g"),ROUND(VLOOKUP(CI$4,Preisindex,4,FALSE)/VLOOKUP(Preisindex!$A$6,Preisindex,4,FALSE),2),IF(AND($E127&lt;&gt;0,$F127&gt;0,YEAR($F127)&lt;Preisindex!$A$6,YEAR(CD$4)&gt;=YEAR($F127),$K127="k"),ROUND(VLOOKUP(CI$4,Preisindex,2,FALSE)/VLOOKUP(Preisindex!$A$6,Preisindex,2,FALSE),2),0)))))</f>
        <v>0</v>
      </c>
      <c r="CK127" s="51">
        <f>IF(AND($E127&lt;&gt;0,$F127&gt;0,YEAR($F127)&lt;=CI$4,YEAR($F127)&gt;=Preisindex!$A$6),ROUND($E127*CI127,2),IF(AND($E127&lt;&gt;0,$F127&gt;0,YEAR($F127)&lt;=CI$4,YEAR($F127)&lt;Preisindex!$A$6),ROUND($E127*CJ127,2),0))</f>
        <v>0</v>
      </c>
      <c r="CL127" s="53">
        <f t="shared" si="385"/>
        <v>0</v>
      </c>
      <c r="CM127" s="51">
        <f t="shared" si="490"/>
        <v>0</v>
      </c>
      <c r="CN127" s="51">
        <f t="shared" si="463"/>
        <v>0</v>
      </c>
      <c r="CO127" s="51">
        <f t="shared" si="386"/>
        <v>0</v>
      </c>
      <c r="CP127" s="51">
        <f t="shared" si="464"/>
        <v>0</v>
      </c>
      <c r="CQ127" s="51">
        <f t="shared" si="387"/>
        <v>0</v>
      </c>
      <c r="CR127" s="51">
        <f t="shared" si="465"/>
        <v>0</v>
      </c>
      <c r="CS127" s="51">
        <f t="shared" si="388"/>
        <v>0</v>
      </c>
      <c r="CT127" s="51">
        <f t="shared" si="466"/>
        <v>0</v>
      </c>
      <c r="CU127" s="51">
        <f t="shared" si="389"/>
        <v>0</v>
      </c>
      <c r="CV127" s="51">
        <f t="shared" si="467"/>
        <v>0</v>
      </c>
      <c r="CW127" s="51">
        <f t="shared" si="390"/>
        <v>0</v>
      </c>
      <c r="CX127" s="54">
        <f t="shared" si="391"/>
        <v>0</v>
      </c>
      <c r="CY127" s="55">
        <f t="shared" si="392"/>
        <v>0</v>
      </c>
      <c r="CZ127" s="56">
        <f>IF(AND($E127&lt;&gt;0,$F127&gt;0,YEAR($F127)&gt;=Preisindex!$A$6,YEAR(CU$4)&gt;=YEAR($F127),AND($K127&lt;&gt;"a",$K127&lt;&gt;"b",$K127&lt;&gt;"g",$K127&lt;&gt;"k")),1,IF(AND($E127&lt;&gt;0,$F127&gt;0,YEAR($F127)&gt;=Preisindex!$A$6,YEAR(CU$4)&gt;=YEAR($F127),$K127="a"),ROUND(VLOOKUP(CZ$4,Preisindex,5,FALSE)/VLOOKUP(YEAR($F127),Preisindex,5,FALSE),2),IF(AND($E127&lt;&gt;0,$F127&gt;0,YEAR($F127)&gt;=Preisindex!$A$6,YEAR(CU$4)&gt;=YEAR($F127),$K127="b"),ROUND(VLOOKUP(CZ$4,Preisindex,3,FALSE)/VLOOKUP(YEAR($F127),Preisindex,3,FALSE),2),IF(AND($E127&lt;&gt;0,$F127&gt;0,YEAR($F127)&gt;=Preisindex!$A$6,YEAR(CU$4)&gt;=YEAR($F127),$K127="g"),ROUND(VLOOKUP(CZ$4,Preisindex,4,FALSE)/VLOOKUP(YEAR($F127),Preisindex,4,FALSE),2),IF(AND($E127&lt;&gt;0,$F127&gt;0,YEAR($F127)&gt;=Preisindex!$A$6,YEAR(CU$4)&gt;=YEAR($F127),$K127="k"),ROUND(VLOOKUP(CZ$4,Preisindex,2,FALSE)/VLOOKUP(YEAR($F127),Preisindex,2,FALSE),2),0)))))</f>
        <v>0</v>
      </c>
      <c r="DA127" s="56">
        <f>IF(AND($E127&lt;&gt;0,$F127&gt;0,YEAR($F127)&lt;Preisindex!$A$6,YEAR(CU$4)&gt;=YEAR($F127),AND($K127&lt;&gt;"a",$K127&lt;&gt;"b",$K127&lt;&gt;"g",$K127&lt;&gt;"k")),1,IF(AND($E127&lt;&gt;0,$F127&gt;0,YEAR($F127)&lt;Preisindex!$A$6,YEAR(CU$4)&gt;=YEAR($F127),$K127="a"),ROUND(VLOOKUP(CZ$4,Preisindex,5,FALSE)/VLOOKUP(Preisindex!$A$6,Preisindex,5,FALSE),2),IF(AND($E127&lt;&gt;0,$F127&gt;0,YEAR($F127)&lt;Preisindex!$A$6,YEAR(CU$4)&gt;=YEAR($F127),$K127="b"),ROUND(VLOOKUP(CZ$4,Preisindex,3,FALSE)/VLOOKUP(Preisindex!$A$6,Preisindex,3,FALSE),2),IF(AND($E127&lt;&gt;0,$F127&gt;0,YEAR($F127)&lt;Preisindex!$A$6,YEAR(CU$4)&gt;=YEAR($F127),$K127="g"),ROUND(VLOOKUP(CZ$4,Preisindex,4,FALSE)/VLOOKUP(Preisindex!$A$6,Preisindex,4,FALSE),2),IF(AND($E127&lt;&gt;0,$F127&gt;0,YEAR($F127)&lt;Preisindex!$A$6,YEAR(CU$4)&gt;=YEAR($F127),$K127="k"),ROUND(VLOOKUP(CZ$4,Preisindex,2,FALSE)/VLOOKUP(Preisindex!$A$6,Preisindex,2,FALSE),2),0)))))</f>
        <v>0</v>
      </c>
      <c r="DB127" s="51">
        <f>IF(AND($E127&lt;&gt;0,$F127&gt;0,YEAR($F127)&lt;=CZ$4,YEAR($F127)&gt;=Preisindex!$A$6),ROUND($E127*CZ127,2),IF(AND($E127&lt;&gt;0,$F127&gt;0,YEAR($F127)&lt;=CZ$4,YEAR($F127)&lt;Preisindex!$A$6),ROUND($E127*DA127,2),0))</f>
        <v>0</v>
      </c>
      <c r="DC127" s="53">
        <f t="shared" si="393"/>
        <v>0</v>
      </c>
      <c r="DD127" s="51">
        <f t="shared" si="491"/>
        <v>0</v>
      </c>
      <c r="DE127" s="51">
        <f t="shared" si="468"/>
        <v>0</v>
      </c>
      <c r="DF127" s="51">
        <f t="shared" si="395"/>
        <v>0</v>
      </c>
      <c r="DG127" s="51">
        <f t="shared" si="469"/>
        <v>0</v>
      </c>
      <c r="DH127" s="51">
        <f t="shared" si="396"/>
        <v>0</v>
      </c>
      <c r="DI127" s="51">
        <f t="shared" si="470"/>
        <v>0</v>
      </c>
      <c r="DJ127" s="51">
        <f t="shared" si="397"/>
        <v>0</v>
      </c>
      <c r="DK127" s="51">
        <f t="shared" si="471"/>
        <v>0</v>
      </c>
      <c r="DL127" s="51">
        <f t="shared" si="398"/>
        <v>0</v>
      </c>
      <c r="DM127" s="51">
        <f t="shared" si="472"/>
        <v>0</v>
      </c>
      <c r="DN127" s="51">
        <f t="shared" si="399"/>
        <v>0</v>
      </c>
      <c r="DO127" s="54">
        <f t="shared" si="400"/>
        <v>0</v>
      </c>
      <c r="DP127" s="55">
        <f t="shared" si="401"/>
        <v>0</v>
      </c>
      <c r="DQ127" s="56">
        <f>IF(AND($E127&lt;&gt;0,$F127&gt;0,YEAR($F127)&gt;=Preisindex!$A$6,YEAR(DL$4)&gt;=YEAR($F127),AND($K127&lt;&gt;"a",$K127&lt;&gt;"b",$K127&lt;&gt;"g",$K127&lt;&gt;"k")),1,IF(AND($E127&lt;&gt;0,$F127&gt;0,YEAR($F127)&gt;=Preisindex!$A$6,YEAR(DL$4)&gt;=YEAR($F127),$K127="a"),ROUND(VLOOKUP(DQ$4,Preisindex,5,FALSE)/VLOOKUP(YEAR($F127),Preisindex,5,FALSE),2),IF(AND($E127&lt;&gt;0,$F127&gt;0,YEAR($F127)&gt;=Preisindex!$A$6,YEAR(DL$4)&gt;=YEAR($F127),$K127="b"),ROUND(VLOOKUP(DQ$4,Preisindex,3,FALSE)/VLOOKUP(YEAR($F127),Preisindex,3,FALSE),2),IF(AND($E127&lt;&gt;0,$F127&gt;0,YEAR($F127)&gt;=Preisindex!$A$6,YEAR(DL$4)&gt;=YEAR($F127),$K127="g"),ROUND(VLOOKUP(DQ$4,Preisindex,4,FALSE)/VLOOKUP(YEAR($F127),Preisindex,4,FALSE),2),IF(AND($E127&lt;&gt;0,$F127&gt;0,YEAR($F127)&gt;=Preisindex!$A$6,YEAR(DL$4)&gt;=YEAR($F127),$K127="k"),ROUND(VLOOKUP(DQ$4,Preisindex,2,FALSE)/VLOOKUP(YEAR($F127),Preisindex,2,FALSE),2),0)))))</f>
        <v>0</v>
      </c>
      <c r="DR127" s="56">
        <f>IF(AND($E127&lt;&gt;0,$F127&gt;0,YEAR($F127)&lt;Preisindex!$A$6,YEAR(DL$4)&gt;=YEAR($F127),AND($K127&lt;&gt;"a",$K127&lt;&gt;"b",$K127&lt;&gt;"g",$K127&lt;&gt;"k")),1,IF(AND($E127&lt;&gt;0,$F127&gt;0,YEAR($F127)&lt;Preisindex!$A$6,YEAR(DL$4)&gt;=YEAR($F127),$K127="a"),ROUND(VLOOKUP(DQ$4,Preisindex,5,FALSE)/VLOOKUP(Preisindex!$A$6,Preisindex,5,FALSE),2),IF(AND($E127&lt;&gt;0,$F127&gt;0,YEAR($F127)&lt;Preisindex!$A$6,YEAR(DL$4)&gt;=YEAR($F127),$K127="b"),ROUND(VLOOKUP(DQ$4,Preisindex,3,FALSE)/VLOOKUP(Preisindex!$A$6,Preisindex,3,FALSE),2),IF(AND($E127&lt;&gt;0,$F127&gt;0,YEAR($F127)&lt;Preisindex!$A$6,YEAR(DL$4)&gt;=YEAR($F127),$K127="g"),ROUND(VLOOKUP(DQ$4,Preisindex,4,FALSE)/VLOOKUP(Preisindex!$A$6,Preisindex,4,FALSE),2),IF(AND($E127&lt;&gt;0,$F127&gt;0,YEAR($F127)&lt;Preisindex!$A$6,YEAR(DL$4)&gt;=YEAR($F127),$K127="k"),ROUND(VLOOKUP(DQ$4,Preisindex,2,FALSE)/VLOOKUP(Preisindex!$A$6,Preisindex,2,FALSE),2),0)))))</f>
        <v>0</v>
      </c>
      <c r="DS127" s="51">
        <f>IF(AND($E127&lt;&gt;0,$F127&gt;0,YEAR($F127)&lt;=DQ$4,YEAR($F127)&gt;=Preisindex!$A$6),ROUND($E127*DQ127,2),IF(AND($E127&lt;&gt;0,$F127&gt;0,YEAR($F127)&lt;=DQ$4,YEAR($F127)&lt;Preisindex!$A$6),ROUND($E127*DR127,2),0))</f>
        <v>0</v>
      </c>
      <c r="DT127" s="53">
        <f t="shared" si="402"/>
        <v>0</v>
      </c>
      <c r="DU127" s="51">
        <f t="shared" si="491"/>
        <v>0</v>
      </c>
      <c r="DV127" s="51">
        <f t="shared" si="473"/>
        <v>0</v>
      </c>
      <c r="DW127" s="51">
        <f t="shared" si="403"/>
        <v>0</v>
      </c>
      <c r="DX127" s="51">
        <f t="shared" si="474"/>
        <v>0</v>
      </c>
      <c r="DY127" s="51">
        <f t="shared" si="404"/>
        <v>0</v>
      </c>
      <c r="DZ127" s="51">
        <f t="shared" si="475"/>
        <v>0</v>
      </c>
      <c r="EA127" s="51">
        <f t="shared" si="405"/>
        <v>0</v>
      </c>
      <c r="EB127" s="51">
        <f t="shared" si="476"/>
        <v>0</v>
      </c>
      <c r="EC127" s="51">
        <f t="shared" si="406"/>
        <v>0</v>
      </c>
      <c r="ED127" s="51">
        <f t="shared" si="477"/>
        <v>0</v>
      </c>
      <c r="EE127" s="51">
        <f t="shared" si="407"/>
        <v>0</v>
      </c>
      <c r="EF127" s="54">
        <f t="shared" si="408"/>
        <v>0</v>
      </c>
      <c r="EG127" s="55">
        <f t="shared" si="409"/>
        <v>0</v>
      </c>
      <c r="EH127" s="56">
        <f>IF(AND($E127&lt;&gt;0,$F127&gt;0,YEAR($F127)&gt;=Preisindex!$A$6,YEAR(EC$4)&gt;=YEAR($F127),AND($K127&lt;&gt;"a",$K127&lt;&gt;"b",$K127&lt;&gt;"g",$K127&lt;&gt;"k")),1,IF(AND($E127&lt;&gt;0,$F127&gt;0,YEAR($F127)&gt;=Preisindex!$A$6,YEAR(EC$4)&gt;=YEAR($F127),$K127="a"),ROUND(VLOOKUP(EH$4,Preisindex,5,FALSE)/VLOOKUP(YEAR($F127),Preisindex,5,FALSE),2),IF(AND($E127&lt;&gt;0,$F127&gt;0,YEAR($F127)&gt;=Preisindex!$A$6,YEAR(EC$4)&gt;=YEAR($F127),$K127="b"),ROUND(VLOOKUP(EH$4,Preisindex,3,FALSE)/VLOOKUP(YEAR($F127),Preisindex,3,FALSE),2),IF(AND($E127&lt;&gt;0,$F127&gt;0,YEAR($F127)&gt;=Preisindex!$A$6,YEAR(EC$4)&gt;=YEAR($F127),$K127="g"),ROUND(VLOOKUP(EH$4,Preisindex,4,FALSE)/VLOOKUP(YEAR($F127),Preisindex,4,FALSE),2),IF(AND($E127&lt;&gt;0,$F127&gt;0,YEAR($F127)&gt;=Preisindex!$A$6,YEAR(EC$4)&gt;=YEAR($F127),$K127="k"),ROUND(VLOOKUP(EH$4,Preisindex,2,FALSE)/VLOOKUP(YEAR($F127),Preisindex,2,FALSE),2),0)))))</f>
        <v>0</v>
      </c>
      <c r="EI127" s="56">
        <f>IF(AND($E127&lt;&gt;0,$F127&gt;0,YEAR($F127)&lt;Preisindex!$A$6,YEAR(EC$4)&gt;=YEAR($F127),AND($K127&lt;&gt;"a",$K127&lt;&gt;"b",$K127&lt;&gt;"g",$K127&lt;&gt;"k")),1,IF(AND($E127&lt;&gt;0,$F127&gt;0,YEAR($F127)&lt;Preisindex!$A$6,YEAR(EC$4)&gt;=YEAR($F127),$K127="a"),ROUND(VLOOKUP(EH$4,Preisindex,5,FALSE)/VLOOKUP(Preisindex!$A$6,Preisindex,5,FALSE),2),IF(AND($E127&lt;&gt;0,$F127&gt;0,YEAR($F127)&lt;Preisindex!$A$6,YEAR(EC$4)&gt;=YEAR($F127),$K127="b"),ROUND(VLOOKUP(EH$4,Preisindex,3,FALSE)/VLOOKUP(Preisindex!$A$6,Preisindex,3,FALSE),2),IF(AND($E127&lt;&gt;0,$F127&gt;0,YEAR($F127)&lt;Preisindex!$A$6,YEAR(EC$4)&gt;=YEAR($F127),$K127="g"),ROUND(VLOOKUP(EH$4,Preisindex,4,FALSE)/VLOOKUP(Preisindex!$A$6,Preisindex,4,FALSE),2),IF(AND($E127&lt;&gt;0,$F127&gt;0,YEAR($F127)&lt;Preisindex!$A$6,YEAR(EC$4)&gt;=YEAR($F127),$K127="k"),ROUND(VLOOKUP(EH$4,Preisindex,2,FALSE)/VLOOKUP(Preisindex!$A$6,Preisindex,2,FALSE),2),0)))))</f>
        <v>0</v>
      </c>
      <c r="EJ127" s="51">
        <f>IF(AND($E127&lt;&gt;0,$F127&gt;0,YEAR($F127)&lt;=EH$4,YEAR($F127)&gt;=Preisindex!$A$6),ROUND($E127*EH127,2),IF(AND($E127&lt;&gt;0,$F127&gt;0,YEAR($F127)&lt;=EH$4,YEAR($F127)&lt;Preisindex!$A$6),ROUND($E127*EI127,2),0))</f>
        <v>0</v>
      </c>
      <c r="EK127" s="53">
        <f t="shared" si="410"/>
        <v>0</v>
      </c>
      <c r="EL127" s="51">
        <f t="shared" si="491"/>
        <v>0</v>
      </c>
      <c r="EM127" s="51">
        <f t="shared" si="478"/>
        <v>0</v>
      </c>
      <c r="EN127" s="51">
        <f t="shared" si="411"/>
        <v>0</v>
      </c>
      <c r="EO127" s="51">
        <f t="shared" si="479"/>
        <v>0</v>
      </c>
      <c r="EP127" s="51">
        <f t="shared" si="412"/>
        <v>0</v>
      </c>
      <c r="EQ127" s="51">
        <f t="shared" si="480"/>
        <v>0</v>
      </c>
      <c r="ER127" s="51">
        <f t="shared" si="413"/>
        <v>0</v>
      </c>
      <c r="ES127" s="51">
        <f t="shared" si="481"/>
        <v>0</v>
      </c>
      <c r="ET127" s="51">
        <f t="shared" si="414"/>
        <v>0</v>
      </c>
      <c r="EU127" s="51">
        <f t="shared" si="482"/>
        <v>0</v>
      </c>
      <c r="EV127" s="51">
        <f t="shared" si="415"/>
        <v>0</v>
      </c>
      <c r="EW127" s="54">
        <f t="shared" si="416"/>
        <v>0</v>
      </c>
      <c r="EX127" s="55">
        <f t="shared" si="417"/>
        <v>0</v>
      </c>
      <c r="EY127" s="56">
        <f>IF(AND($E127&lt;&gt;0,$F127&gt;0,YEAR($F127)&gt;=Preisindex!$A$6,YEAR(ET$4)&gt;=YEAR($F127),AND($K127&lt;&gt;"a",$K127&lt;&gt;"b",$K127&lt;&gt;"g",$K127&lt;&gt;"k")),1,IF(AND($E127&lt;&gt;0,$F127&gt;0,YEAR($F127)&gt;=Preisindex!$A$6,YEAR(ET$4)&gt;=YEAR($F127),$K127="a"),ROUND(VLOOKUP(EY$4,Preisindex,5,FALSE)/VLOOKUP(YEAR($F127),Preisindex,5,FALSE),2),IF(AND($E127&lt;&gt;0,$F127&gt;0,YEAR($F127)&gt;=Preisindex!$A$6,YEAR(ET$4)&gt;=YEAR($F127),$K127="b"),ROUND(VLOOKUP(EY$4,Preisindex,3,FALSE)/VLOOKUP(YEAR($F127),Preisindex,3,FALSE),2),IF(AND($E127&lt;&gt;0,$F127&gt;0,YEAR($F127)&gt;=Preisindex!$A$6,YEAR(ET$4)&gt;=YEAR($F127),$K127="g"),ROUND(VLOOKUP(EY$4,Preisindex,4,FALSE)/VLOOKUP(YEAR($F127),Preisindex,4,FALSE),2),IF(AND($E127&lt;&gt;0,$F127&gt;0,YEAR($F127)&gt;=Preisindex!$A$6,YEAR(ET$4)&gt;=YEAR($F127),$K127="k"),ROUND(VLOOKUP(EY$4,Preisindex,2,FALSE)/VLOOKUP(YEAR($F127),Preisindex,2,FALSE),2),0)))))</f>
        <v>0</v>
      </c>
      <c r="EZ127" s="56">
        <f>IF(AND($E127&lt;&gt;0,$F127&gt;0,YEAR($F127)&lt;Preisindex!$A$6,YEAR(ET$4)&gt;=YEAR($F127),AND($K127&lt;&gt;"a",$K127&lt;&gt;"b",$K127&lt;&gt;"g",$K127&lt;&gt;"k")),1,IF(AND($E127&lt;&gt;0,$F127&gt;0,YEAR($F127)&lt;Preisindex!$A$6,YEAR(ET$4)&gt;=YEAR($F127),$K127="a"),ROUND(VLOOKUP(EY$4,Preisindex,5,FALSE)/VLOOKUP(Preisindex!$A$6,Preisindex,5,FALSE),2),IF(AND($E127&lt;&gt;0,$F127&gt;0,YEAR($F127)&lt;Preisindex!$A$6,YEAR(ET$4)&gt;=YEAR($F127),$K127="b"),ROUND(VLOOKUP(EY$4,Preisindex,3,FALSE)/VLOOKUP(Preisindex!$A$6,Preisindex,3,FALSE),2),IF(AND($E127&lt;&gt;0,$F127&gt;0,YEAR($F127)&lt;Preisindex!$A$6,YEAR(ET$4)&gt;=YEAR($F127),$K127="g"),ROUND(VLOOKUP(EY$4,Preisindex,4,FALSE)/VLOOKUP(Preisindex!$A$6,Preisindex,4,FALSE),2),IF(AND($E127&lt;&gt;0,$F127&gt;0,YEAR($F127)&lt;Preisindex!$A$6,YEAR(ET$4)&gt;=YEAR($F127),$K127="k"),ROUND(VLOOKUP(EY$4,Preisindex,2,FALSE)/VLOOKUP(Preisindex!$A$6,Preisindex,2,FALSE),2),0)))))</f>
        <v>0</v>
      </c>
      <c r="FA127" s="51">
        <f>IF(AND($E127&lt;&gt;0,$F127&gt;0,YEAR($F127)&lt;=EY$4,YEAR($F127)&gt;=Preisindex!$A$6),ROUND($E127*EY127,2),IF(AND($E127&lt;&gt;0,$F127&gt;0,YEAR($F127)&lt;=EY$4,YEAR($F127)&lt;Preisindex!$A$6),ROUND($E127*EZ127,2),0))</f>
        <v>0</v>
      </c>
      <c r="FB127" s="53">
        <f t="shared" si="418"/>
        <v>0</v>
      </c>
      <c r="FC127" s="51">
        <f t="shared" si="491"/>
        <v>0</v>
      </c>
      <c r="FD127" s="51">
        <f t="shared" si="483"/>
        <v>0</v>
      </c>
      <c r="FE127" s="51">
        <f t="shared" si="419"/>
        <v>0</v>
      </c>
      <c r="FF127" s="51">
        <f t="shared" si="484"/>
        <v>0</v>
      </c>
      <c r="FG127" s="51">
        <f t="shared" si="420"/>
        <v>0</v>
      </c>
      <c r="FH127" s="51">
        <f t="shared" si="485"/>
        <v>0</v>
      </c>
      <c r="FI127" s="51">
        <f t="shared" si="421"/>
        <v>0</v>
      </c>
      <c r="FJ127" s="51">
        <f t="shared" si="486"/>
        <v>0</v>
      </c>
      <c r="FK127" s="51">
        <f t="shared" si="422"/>
        <v>0</v>
      </c>
      <c r="FL127" s="51">
        <f t="shared" si="487"/>
        <v>0</v>
      </c>
      <c r="FM127" s="51">
        <f t="shared" si="423"/>
        <v>0</v>
      </c>
      <c r="FN127" s="54">
        <f t="shared" si="424"/>
        <v>0</v>
      </c>
      <c r="FO127" s="55">
        <f t="shared" si="425"/>
        <v>0</v>
      </c>
      <c r="FP127" s="56">
        <f>IF(AND($E127&lt;&gt;0,$F127&gt;0,YEAR($F127)&gt;=Preisindex!$A$6,YEAR(FK$4)&gt;=YEAR($F127),AND($K127&lt;&gt;"a",$K127&lt;&gt;"b",$K127&lt;&gt;"g",$K127&lt;&gt;"k")),1,IF(AND($E127&lt;&gt;0,$F127&gt;0,YEAR($F127)&gt;=Preisindex!$A$6,YEAR(FK$4)&gt;=YEAR($F127),$K127="a"),ROUND(VLOOKUP(FP$4,Preisindex,5,FALSE)/VLOOKUP(YEAR($F127),Preisindex,5,FALSE),2),IF(AND($E127&lt;&gt;0,$F127&gt;0,YEAR($F127)&gt;=Preisindex!$A$6,YEAR(FK$4)&gt;=YEAR($F127),$K127="b"),ROUND(VLOOKUP(FP$4,Preisindex,3,FALSE)/VLOOKUP(YEAR($F127),Preisindex,3,FALSE),2),IF(AND($E127&lt;&gt;0,$F127&gt;0,YEAR($F127)&gt;=Preisindex!$A$6,YEAR(FK$4)&gt;=YEAR($F127),$K127="g"),ROUND(VLOOKUP(FP$4,Preisindex,4,FALSE)/VLOOKUP(YEAR($F127),Preisindex,4,FALSE),2),IF(AND($E127&lt;&gt;0,$F127&gt;0,YEAR($F127)&gt;=Preisindex!$A$6,YEAR(FK$4)&gt;=YEAR($F127),$K127="k"),ROUND(VLOOKUP(FP$4,Preisindex,2,FALSE)/VLOOKUP(YEAR($F127),Preisindex,2,FALSE),2),0)))))</f>
        <v>0</v>
      </c>
      <c r="FQ127" s="56">
        <f>IF(AND($E127&lt;&gt;0,$F127&gt;0,YEAR($F127)&lt;Preisindex!$A$6,YEAR(FK$4)&gt;=YEAR($F127),AND($K127&lt;&gt;"a",$K127&lt;&gt;"b",$K127&lt;&gt;"g",$K127&lt;&gt;"k")),1,IF(AND($E127&lt;&gt;0,$F127&gt;0,YEAR($F127)&lt;Preisindex!$A$6,YEAR(FK$4)&gt;=YEAR($F127),$K127="a"),ROUND(VLOOKUP(FP$4,Preisindex,5,FALSE)/VLOOKUP(Preisindex!$A$6,Preisindex,5,FALSE),2),IF(AND($E127&lt;&gt;0,$F127&gt;0,YEAR($F127)&lt;Preisindex!$A$6,YEAR(FK$4)&gt;=YEAR($F127),$K127="b"),ROUND(VLOOKUP(FP$4,Preisindex,3,FALSE)/VLOOKUP(Preisindex!$A$6,Preisindex,3,FALSE),2),IF(AND($E127&lt;&gt;0,$F127&gt;0,YEAR($F127)&lt;Preisindex!$A$6,YEAR(FK$4)&gt;=YEAR($F127),$K127="g"),ROUND(VLOOKUP(FP$4,Preisindex,4,FALSE)/VLOOKUP(Preisindex!$A$6,Preisindex,4,FALSE),2),IF(AND($E127&lt;&gt;0,$F127&gt;0,YEAR($F127)&lt;Preisindex!$A$6,YEAR(FK$4)&gt;=YEAR($F127),$K127="k"),ROUND(VLOOKUP(FP$4,Preisindex,2,FALSE)/VLOOKUP(Preisindex!$A$6,Preisindex,2,FALSE),2),0)))))</f>
        <v>0</v>
      </c>
      <c r="FR127" s="51">
        <f>IF(AND($E127&lt;&gt;0,$F127&gt;0,YEAR($F127)&lt;=FP$4,YEAR($F127)&gt;=Preisindex!$A$6),ROUND($E127*FP127,2),IF(AND($E127&lt;&gt;0,$F127&gt;0,YEAR($F127)&lt;=FP$4,YEAR($F127)&lt;Preisindex!$A$6),ROUND($E127*FQ127,2),0))</f>
        <v>0</v>
      </c>
      <c r="FS127" s="53">
        <f t="shared" si="426"/>
        <v>0</v>
      </c>
    </row>
    <row r="128" spans="1:175" x14ac:dyDescent="0.3">
      <c r="A128" s="93"/>
      <c r="B128" s="94"/>
      <c r="C128" s="94"/>
      <c r="D128" s="95"/>
      <c r="E128" s="99"/>
      <c r="F128" s="97"/>
      <c r="G128" s="98"/>
      <c r="H128" s="620"/>
      <c r="I128" s="621"/>
      <c r="J128" s="194"/>
      <c r="K128" s="630"/>
      <c r="L128" s="49">
        <f t="shared" si="427"/>
        <v>0</v>
      </c>
      <c r="M128" s="50">
        <f t="shared" si="428"/>
        <v>0</v>
      </c>
      <c r="N128" s="51">
        <f t="shared" si="429"/>
        <v>0</v>
      </c>
      <c r="O128" s="51"/>
      <c r="P128" s="51">
        <f t="shared" si="430"/>
        <v>0</v>
      </c>
      <c r="Q128" s="52"/>
      <c r="R128" s="52"/>
      <c r="S128" s="52"/>
      <c r="T128" s="52"/>
      <c r="U128" s="52"/>
      <c r="V128" s="53">
        <f t="shared" si="431"/>
        <v>0</v>
      </c>
      <c r="W128" s="51">
        <f t="shared" si="432"/>
        <v>0</v>
      </c>
      <c r="X128" s="51">
        <f t="shared" si="433"/>
        <v>0</v>
      </c>
      <c r="Y128" s="51">
        <f t="shared" si="434"/>
        <v>0</v>
      </c>
      <c r="Z128" s="51">
        <f t="shared" si="435"/>
        <v>0</v>
      </c>
      <c r="AA128" s="51">
        <f t="shared" si="436"/>
        <v>0</v>
      </c>
      <c r="AB128" s="51">
        <f t="shared" si="437"/>
        <v>0</v>
      </c>
      <c r="AC128" s="51">
        <f t="shared" si="438"/>
        <v>0</v>
      </c>
      <c r="AD128" s="51">
        <f t="shared" si="439"/>
        <v>0</v>
      </c>
      <c r="AE128" s="51">
        <f t="shared" si="440"/>
        <v>0</v>
      </c>
      <c r="AF128" s="51">
        <f t="shared" si="441"/>
        <v>0</v>
      </c>
      <c r="AG128" s="51">
        <f t="shared" si="442"/>
        <v>0</v>
      </c>
      <c r="AH128" s="54">
        <f t="shared" si="443"/>
        <v>0</v>
      </c>
      <c r="AI128" s="55">
        <f t="shared" si="444"/>
        <v>0</v>
      </c>
      <c r="AJ128" s="56">
        <f>IF(AND($E128&lt;&gt;0,$F128&gt;0,YEAR($F128)&gt;=Preisindex!$A$6,YEAR(AE$4)&gt;=YEAR($F128),AND($K128&lt;&gt;"a",$K128&lt;&gt;"b",$K128&lt;&gt;"g",$K128&lt;&gt;"k")),1,IF(AND($E128&lt;&gt;0,$F128&gt;0,YEAR($F128)&gt;=Preisindex!$A$6,YEAR(AE$4)&gt;=YEAR($F128),$K128="a"),ROUND(VLOOKUP(AJ$4,Preisindex,5,FALSE)/VLOOKUP(YEAR($F128),Preisindex,5,FALSE),2),IF(AND($E128&lt;&gt;0,$F128&gt;0,YEAR($F128)&gt;=Preisindex!$A$6,YEAR(AE$4)&gt;=YEAR($F128),$K128="b"),ROUND(VLOOKUP(AJ$4,Preisindex,3,FALSE)/VLOOKUP(YEAR($F128),Preisindex,3,FALSE),2),IF(AND($E128&lt;&gt;0,$F128&gt;0,YEAR($F128)&gt;=Preisindex!$A$6,YEAR(AE$4)&gt;=YEAR($F128),$K128="g"),ROUND(VLOOKUP(AJ$4,Preisindex,4,FALSE)/VLOOKUP(YEAR($F128),Preisindex,4,FALSE),2),IF(AND($E128&lt;&gt;0,$F128&gt;0,YEAR($F128)&gt;=Preisindex!$A$6,YEAR(AE$4)&gt;=YEAR($F128),$K128="k"),ROUND(VLOOKUP(AJ$4,Preisindex,2,FALSE)/VLOOKUP(YEAR($F128),Preisindex,2,FALSE),2),0)))))</f>
        <v>0</v>
      </c>
      <c r="AK128" s="56">
        <f>IF(AND($E128&lt;&gt;0,$F128&gt;0,YEAR($F128)&lt;Preisindex!$A$6,YEAR(AE$4)&gt;=YEAR($F128),AND($K128&lt;&gt;"a",$K128&lt;&gt;"b",$K128&lt;&gt;"g",$K128&lt;&gt;"k")),1,IF(AND($E128&lt;&gt;0,$F128&gt;0,YEAR($F128)&lt;Preisindex!$A$6,YEAR(AE$4)&gt;=YEAR($F128),$K128="a"),ROUND(VLOOKUP(AJ$4,Preisindex,5,FALSE)/VLOOKUP(Preisindex!$A$6,Preisindex,5,FALSE),2),IF(AND($E128&lt;&gt;0,$F128&gt;0,YEAR($F128)&lt;Preisindex!$A$6,YEAR(AE$4)&gt;=YEAR($F128),$K128="b"),ROUND(VLOOKUP(AJ$4,Preisindex,3,FALSE)/VLOOKUP(Preisindex!$A$6,Preisindex,3,FALSE),2),IF(AND($E128&lt;&gt;0,$F128&gt;0,YEAR($F128)&lt;Preisindex!$A$6,YEAR(AE$4)&gt;=YEAR($F128),$K128="g"),ROUND(VLOOKUP(AJ$4,Preisindex,4,FALSE)/VLOOKUP(Preisindex!$A$6,Preisindex,4,FALSE),2),IF(AND($E128&lt;&gt;0,$F128&gt;0,YEAR($F128)&lt;Preisindex!$A$6,YEAR(AE$4)&gt;=YEAR($F128),$K128="k"),ROUND(VLOOKUP(AJ$4,Preisindex,2,FALSE)/VLOOKUP(Preisindex!$A$6,Preisindex,2,FALSE),2),0)))))</f>
        <v>0</v>
      </c>
      <c r="AL128" s="51">
        <f>IF(AND($E128&lt;&gt;0,$F128&gt;0,YEAR($F128)&lt;=AJ$4,YEAR($F128)&gt;=Preisindex!$A$6),ROUND($E128*AJ128,2),IF(AND($E128&lt;&gt;0,$F128&gt;0,YEAR($F128)&lt;=AJ$4,YEAR($F128)&lt;Preisindex!$A$6),ROUND($E128*AK128,2),0))</f>
        <v>0</v>
      </c>
      <c r="AM128" s="53">
        <f t="shared" si="445"/>
        <v>0</v>
      </c>
      <c r="AN128" s="51">
        <f t="shared" si="490"/>
        <v>0</v>
      </c>
      <c r="AO128" s="51">
        <f t="shared" si="448"/>
        <v>0</v>
      </c>
      <c r="AP128" s="51">
        <f t="shared" si="362"/>
        <v>0</v>
      </c>
      <c r="AQ128" s="51">
        <f t="shared" si="449"/>
        <v>0</v>
      </c>
      <c r="AR128" s="51">
        <f t="shared" si="363"/>
        <v>0</v>
      </c>
      <c r="AS128" s="51">
        <f t="shared" si="450"/>
        <v>0</v>
      </c>
      <c r="AT128" s="51">
        <f t="shared" si="364"/>
        <v>0</v>
      </c>
      <c r="AU128" s="51">
        <f t="shared" si="451"/>
        <v>0</v>
      </c>
      <c r="AV128" s="51">
        <f t="shared" si="365"/>
        <v>0</v>
      </c>
      <c r="AW128" s="51">
        <f t="shared" si="452"/>
        <v>0</v>
      </c>
      <c r="AX128" s="51">
        <f t="shared" si="366"/>
        <v>0</v>
      </c>
      <c r="AY128" s="54">
        <f t="shared" si="367"/>
        <v>0</v>
      </c>
      <c r="AZ128" s="55">
        <f t="shared" si="368"/>
        <v>0</v>
      </c>
      <c r="BA128" s="56">
        <f>IF(AND($E128&lt;&gt;0,$F128&gt;0,YEAR($F128)&gt;=Preisindex!$A$6,YEAR(AV$4)&gt;=YEAR($F128),AND($K128&lt;&gt;"a",$K128&lt;&gt;"b",$K128&lt;&gt;"g",$K128&lt;&gt;"k")),1,IF(AND($E128&lt;&gt;0,$F128&gt;0,YEAR($F128)&gt;=Preisindex!$A$6,YEAR(AV$4)&gt;=YEAR($F128),$K128="a"),ROUND(VLOOKUP(BA$4,Preisindex,5,FALSE)/VLOOKUP(YEAR($F128),Preisindex,5,FALSE),2),IF(AND($E128&lt;&gt;0,$F128&gt;0,YEAR($F128)&gt;=Preisindex!$A$6,YEAR(AV$4)&gt;=YEAR($F128),$K128="b"),ROUND(VLOOKUP(BA$4,Preisindex,3,FALSE)/VLOOKUP(YEAR($F128),Preisindex,3,FALSE),2),IF(AND($E128&lt;&gt;0,$F128&gt;0,YEAR($F128)&gt;=Preisindex!$A$6,YEAR(AV$4)&gt;=YEAR($F128),$K128="g"),ROUND(VLOOKUP(BA$4,Preisindex,4,FALSE)/VLOOKUP(YEAR($F128),Preisindex,4,FALSE),2),IF(AND($E128&lt;&gt;0,$F128&gt;0,YEAR($F128)&gt;=Preisindex!$A$6,YEAR(AV$4)&gt;=YEAR($F128),$K128="k"),ROUND(VLOOKUP(BA$4,Preisindex,2,FALSE)/VLOOKUP(YEAR($F128),Preisindex,2,FALSE),2),0)))))</f>
        <v>0</v>
      </c>
      <c r="BB128" s="56">
        <f>IF(AND($E128&lt;&gt;0,$F128&gt;0,YEAR($F128)&lt;Preisindex!$A$6,YEAR(AV$4)&gt;=YEAR($F128),AND($K128&lt;&gt;"a",$K128&lt;&gt;"b",$K128&lt;&gt;"g",$K128&lt;&gt;"k")),1,IF(AND($E128&lt;&gt;0,$F128&gt;0,YEAR($F128)&lt;Preisindex!$A$6,YEAR(AV$4)&gt;=YEAR($F128),$K128="a"),ROUND(VLOOKUP(BA$4,Preisindex,5,FALSE)/VLOOKUP(Preisindex!$A$6,Preisindex,5,FALSE),2),IF(AND($E128&lt;&gt;0,$F128&gt;0,YEAR($F128)&lt;Preisindex!$A$6,YEAR(AV$4)&gt;=YEAR($F128),$K128="b"),ROUND(VLOOKUP(BA$4,Preisindex,3,FALSE)/VLOOKUP(Preisindex!$A$6,Preisindex,3,FALSE),2),IF(AND($E128&lt;&gt;0,$F128&gt;0,YEAR($F128)&lt;Preisindex!$A$6,YEAR(AV$4)&gt;=YEAR($F128),$K128="g"),ROUND(VLOOKUP(BA$4,Preisindex,4,FALSE)/VLOOKUP(Preisindex!$A$6,Preisindex,4,FALSE),2),IF(AND($E128&lt;&gt;0,$F128&gt;0,YEAR($F128)&lt;Preisindex!$A$6,YEAR(AV$4)&gt;=YEAR($F128),$K128="k"),ROUND(VLOOKUP(BA$4,Preisindex,2,FALSE)/VLOOKUP(Preisindex!$A$6,Preisindex,2,FALSE),2),0)))))</f>
        <v>0</v>
      </c>
      <c r="BC128" s="51">
        <f>IF(AND($E128&lt;&gt;0,$F128&gt;0,YEAR($F128)&lt;=BA$4,YEAR($F128)&gt;=Preisindex!$A$6),ROUND($E128*BA128,2),IF(AND($E128&lt;&gt;0,$F128&gt;0,YEAR($F128)&lt;=BA$4,YEAR($F128)&lt;Preisindex!$A$6),ROUND($E128*BB128,2),0))</f>
        <v>0</v>
      </c>
      <c r="BD128" s="53">
        <f t="shared" si="369"/>
        <v>0</v>
      </c>
      <c r="BE128" s="51">
        <f t="shared" si="490"/>
        <v>0</v>
      </c>
      <c r="BF128" s="51">
        <f t="shared" si="453"/>
        <v>0</v>
      </c>
      <c r="BG128" s="51">
        <f t="shared" si="370"/>
        <v>0</v>
      </c>
      <c r="BH128" s="51">
        <f t="shared" si="454"/>
        <v>0</v>
      </c>
      <c r="BI128" s="51">
        <f t="shared" si="371"/>
        <v>0</v>
      </c>
      <c r="BJ128" s="51">
        <f t="shared" si="455"/>
        <v>0</v>
      </c>
      <c r="BK128" s="51">
        <f t="shared" si="372"/>
        <v>0</v>
      </c>
      <c r="BL128" s="51">
        <f t="shared" si="456"/>
        <v>0</v>
      </c>
      <c r="BM128" s="51">
        <f t="shared" si="373"/>
        <v>0</v>
      </c>
      <c r="BN128" s="51">
        <f t="shared" si="457"/>
        <v>0</v>
      </c>
      <c r="BO128" s="51">
        <f t="shared" si="374"/>
        <v>0</v>
      </c>
      <c r="BP128" s="54">
        <f t="shared" si="375"/>
        <v>0</v>
      </c>
      <c r="BQ128" s="55">
        <f t="shared" si="376"/>
        <v>0</v>
      </c>
      <c r="BR128" s="56">
        <f>IF(AND($E128&lt;&gt;0,$F128&gt;0,YEAR($F128)&gt;=Preisindex!$A$6,YEAR(BM$4)&gt;=YEAR($F128),AND($K128&lt;&gt;"a",$K128&lt;&gt;"b",$K128&lt;&gt;"g",$K128&lt;&gt;"k")),1,IF(AND($E128&lt;&gt;0,$F128&gt;0,YEAR($F128)&gt;=Preisindex!$A$6,YEAR(BM$4)&gt;=YEAR($F128),$K128="a"),ROUND(VLOOKUP(BR$4,Preisindex,5,FALSE)/VLOOKUP(YEAR($F128),Preisindex,5,FALSE),2),IF(AND($E128&lt;&gt;0,$F128&gt;0,YEAR($F128)&gt;=Preisindex!$A$6,YEAR(BM$4)&gt;=YEAR($F128),$K128="b"),ROUND(VLOOKUP(BR$4,Preisindex,3,FALSE)/VLOOKUP(YEAR($F128),Preisindex,3,FALSE),2),IF(AND($E128&lt;&gt;0,$F128&gt;0,YEAR($F128)&gt;=Preisindex!$A$6,YEAR(BM$4)&gt;=YEAR($F128),$K128="g"),ROUND(VLOOKUP(BR$4,Preisindex,4,FALSE)/VLOOKUP(YEAR($F128),Preisindex,4,FALSE),2),IF(AND($E128&lt;&gt;0,$F128&gt;0,YEAR($F128)&gt;=Preisindex!$A$6,YEAR(BM$4)&gt;=YEAR($F128),$K128="k"),ROUND(VLOOKUP(BR$4,Preisindex,2,FALSE)/VLOOKUP(YEAR($F128),Preisindex,2,FALSE),2),0)))))</f>
        <v>0</v>
      </c>
      <c r="BS128" s="56">
        <f>IF(AND($E128&lt;&gt;0,$F128&gt;0,YEAR($F128)&lt;Preisindex!$A$6,YEAR(BM$4)&gt;=YEAR($F128),AND($K128&lt;&gt;"a",$K128&lt;&gt;"b",$K128&lt;&gt;"g",$K128&lt;&gt;"k")),1,IF(AND($E128&lt;&gt;0,$F128&gt;0,YEAR($F128)&lt;Preisindex!$A$6,YEAR(BM$4)&gt;=YEAR($F128),$K128="a"),ROUND(VLOOKUP(BR$4,Preisindex,5,FALSE)/VLOOKUP(Preisindex!$A$6,Preisindex,5,FALSE),2),IF(AND($E128&lt;&gt;0,$F128&gt;0,YEAR($F128)&lt;Preisindex!$A$6,YEAR(BM$4)&gt;=YEAR($F128),$K128="b"),ROUND(VLOOKUP(BR$4,Preisindex,3,FALSE)/VLOOKUP(Preisindex!$A$6,Preisindex,3,FALSE),2),IF(AND($E128&lt;&gt;0,$F128&gt;0,YEAR($F128)&lt;Preisindex!$A$6,YEAR(BM$4)&gt;=YEAR($F128),$K128="g"),ROUND(VLOOKUP(BR$4,Preisindex,4,FALSE)/VLOOKUP(Preisindex!$A$6,Preisindex,4,FALSE),2),IF(AND($E128&lt;&gt;0,$F128&gt;0,YEAR($F128)&lt;Preisindex!$A$6,YEAR(BM$4)&gt;=YEAR($F128),$K128="k"),ROUND(VLOOKUP(BR$4,Preisindex,2,FALSE)/VLOOKUP(Preisindex!$A$6,Preisindex,2,FALSE),2),0)))))</f>
        <v>0</v>
      </c>
      <c r="BT128" s="51">
        <f>IF(AND($E128&lt;&gt;0,$F128&gt;0,YEAR($F128)&lt;=BR$4,YEAR($F128)&gt;=Preisindex!$A$6),ROUND($E128*BR128,2),IF(AND($E128&lt;&gt;0,$F128&gt;0,YEAR($F128)&lt;=BR$4,YEAR($F128)&lt;Preisindex!$A$6),ROUND($E128*BS128,2),0))</f>
        <v>0</v>
      </c>
      <c r="BU128" s="53">
        <f t="shared" si="377"/>
        <v>0</v>
      </c>
      <c r="BV128" s="51">
        <f t="shared" si="490"/>
        <v>0</v>
      </c>
      <c r="BW128" s="51">
        <f t="shared" si="458"/>
        <v>0</v>
      </c>
      <c r="BX128" s="51">
        <f t="shared" si="378"/>
        <v>0</v>
      </c>
      <c r="BY128" s="51">
        <f t="shared" si="459"/>
        <v>0</v>
      </c>
      <c r="BZ128" s="51">
        <f t="shared" si="379"/>
        <v>0</v>
      </c>
      <c r="CA128" s="51">
        <f t="shared" si="460"/>
        <v>0</v>
      </c>
      <c r="CB128" s="51">
        <f t="shared" si="380"/>
        <v>0</v>
      </c>
      <c r="CC128" s="51">
        <f t="shared" si="461"/>
        <v>0</v>
      </c>
      <c r="CD128" s="51">
        <f t="shared" si="381"/>
        <v>0</v>
      </c>
      <c r="CE128" s="51">
        <f t="shared" si="462"/>
        <v>0</v>
      </c>
      <c r="CF128" s="51">
        <f t="shared" si="382"/>
        <v>0</v>
      </c>
      <c r="CG128" s="54">
        <f t="shared" si="383"/>
        <v>0</v>
      </c>
      <c r="CH128" s="55">
        <f t="shared" si="384"/>
        <v>0</v>
      </c>
      <c r="CI128" s="56">
        <f>IF(AND($E128&lt;&gt;0,$F128&gt;0,YEAR($F128)&gt;=Preisindex!$A$6,YEAR(CD$4)&gt;=YEAR($F128),AND($K128&lt;&gt;"a",$K128&lt;&gt;"b",$K128&lt;&gt;"g",$K128&lt;&gt;"k")),1,IF(AND($E128&lt;&gt;0,$F128&gt;0,YEAR($F128)&gt;=Preisindex!$A$6,YEAR(CD$4)&gt;=YEAR($F128),$K128="a"),ROUND(VLOOKUP(CI$4,Preisindex,5,FALSE)/VLOOKUP(YEAR($F128),Preisindex,5,FALSE),2),IF(AND($E128&lt;&gt;0,$F128&gt;0,YEAR($F128)&gt;=Preisindex!$A$6,YEAR(CD$4)&gt;=YEAR($F128),$K128="b"),ROUND(VLOOKUP(CI$4,Preisindex,3,FALSE)/VLOOKUP(YEAR($F128),Preisindex,3,FALSE),2),IF(AND($E128&lt;&gt;0,$F128&gt;0,YEAR($F128)&gt;=Preisindex!$A$6,YEAR(CD$4)&gt;=YEAR($F128),$K128="g"),ROUND(VLOOKUP(CI$4,Preisindex,4,FALSE)/VLOOKUP(YEAR($F128),Preisindex,4,FALSE),2),IF(AND($E128&lt;&gt;0,$F128&gt;0,YEAR($F128)&gt;=Preisindex!$A$6,YEAR(CD$4)&gt;=YEAR($F128),$K128="k"),ROUND(VLOOKUP(CI$4,Preisindex,2,FALSE)/VLOOKUP(YEAR($F128),Preisindex,2,FALSE),2),0)))))</f>
        <v>0</v>
      </c>
      <c r="CJ128" s="56">
        <f>IF(AND($E128&lt;&gt;0,$F128&gt;0,YEAR($F128)&lt;Preisindex!$A$6,YEAR(CD$4)&gt;=YEAR($F128),AND($K128&lt;&gt;"a",$K128&lt;&gt;"b",$K128&lt;&gt;"g",$K128&lt;&gt;"k")),1,IF(AND($E128&lt;&gt;0,$F128&gt;0,YEAR($F128)&lt;Preisindex!$A$6,YEAR(CD$4)&gt;=YEAR($F128),$K128="a"),ROUND(VLOOKUP(CI$4,Preisindex,5,FALSE)/VLOOKUP(Preisindex!$A$6,Preisindex,5,FALSE),2),IF(AND($E128&lt;&gt;0,$F128&gt;0,YEAR($F128)&lt;Preisindex!$A$6,YEAR(CD$4)&gt;=YEAR($F128),$K128="b"),ROUND(VLOOKUP(CI$4,Preisindex,3,FALSE)/VLOOKUP(Preisindex!$A$6,Preisindex,3,FALSE),2),IF(AND($E128&lt;&gt;0,$F128&gt;0,YEAR($F128)&lt;Preisindex!$A$6,YEAR(CD$4)&gt;=YEAR($F128),$K128="g"),ROUND(VLOOKUP(CI$4,Preisindex,4,FALSE)/VLOOKUP(Preisindex!$A$6,Preisindex,4,FALSE),2),IF(AND($E128&lt;&gt;0,$F128&gt;0,YEAR($F128)&lt;Preisindex!$A$6,YEAR(CD$4)&gt;=YEAR($F128),$K128="k"),ROUND(VLOOKUP(CI$4,Preisindex,2,FALSE)/VLOOKUP(Preisindex!$A$6,Preisindex,2,FALSE),2),0)))))</f>
        <v>0</v>
      </c>
      <c r="CK128" s="51">
        <f>IF(AND($E128&lt;&gt;0,$F128&gt;0,YEAR($F128)&lt;=CI$4,YEAR($F128)&gt;=Preisindex!$A$6),ROUND($E128*CI128,2),IF(AND($E128&lt;&gt;0,$F128&gt;0,YEAR($F128)&lt;=CI$4,YEAR($F128)&lt;Preisindex!$A$6),ROUND($E128*CJ128,2),0))</f>
        <v>0</v>
      </c>
      <c r="CL128" s="53">
        <f t="shared" si="385"/>
        <v>0</v>
      </c>
      <c r="CM128" s="51">
        <f t="shared" si="490"/>
        <v>0</v>
      </c>
      <c r="CN128" s="51">
        <f t="shared" si="463"/>
        <v>0</v>
      </c>
      <c r="CO128" s="51">
        <f t="shared" si="386"/>
        <v>0</v>
      </c>
      <c r="CP128" s="51">
        <f t="shared" si="464"/>
        <v>0</v>
      </c>
      <c r="CQ128" s="51">
        <f t="shared" si="387"/>
        <v>0</v>
      </c>
      <c r="CR128" s="51">
        <f t="shared" si="465"/>
        <v>0</v>
      </c>
      <c r="CS128" s="51">
        <f t="shared" si="388"/>
        <v>0</v>
      </c>
      <c r="CT128" s="51">
        <f t="shared" si="466"/>
        <v>0</v>
      </c>
      <c r="CU128" s="51">
        <f t="shared" si="389"/>
        <v>0</v>
      </c>
      <c r="CV128" s="51">
        <f t="shared" si="467"/>
        <v>0</v>
      </c>
      <c r="CW128" s="51">
        <f t="shared" si="390"/>
        <v>0</v>
      </c>
      <c r="CX128" s="54">
        <f t="shared" si="391"/>
        <v>0</v>
      </c>
      <c r="CY128" s="55">
        <f t="shared" si="392"/>
        <v>0</v>
      </c>
      <c r="CZ128" s="56">
        <f>IF(AND($E128&lt;&gt;0,$F128&gt;0,YEAR($F128)&gt;=Preisindex!$A$6,YEAR(CU$4)&gt;=YEAR($F128),AND($K128&lt;&gt;"a",$K128&lt;&gt;"b",$K128&lt;&gt;"g",$K128&lt;&gt;"k")),1,IF(AND($E128&lt;&gt;0,$F128&gt;0,YEAR($F128)&gt;=Preisindex!$A$6,YEAR(CU$4)&gt;=YEAR($F128),$K128="a"),ROUND(VLOOKUP(CZ$4,Preisindex,5,FALSE)/VLOOKUP(YEAR($F128),Preisindex,5,FALSE),2),IF(AND($E128&lt;&gt;0,$F128&gt;0,YEAR($F128)&gt;=Preisindex!$A$6,YEAR(CU$4)&gt;=YEAR($F128),$K128="b"),ROUND(VLOOKUP(CZ$4,Preisindex,3,FALSE)/VLOOKUP(YEAR($F128),Preisindex,3,FALSE),2),IF(AND($E128&lt;&gt;0,$F128&gt;0,YEAR($F128)&gt;=Preisindex!$A$6,YEAR(CU$4)&gt;=YEAR($F128),$K128="g"),ROUND(VLOOKUP(CZ$4,Preisindex,4,FALSE)/VLOOKUP(YEAR($F128),Preisindex,4,FALSE),2),IF(AND($E128&lt;&gt;0,$F128&gt;0,YEAR($F128)&gt;=Preisindex!$A$6,YEAR(CU$4)&gt;=YEAR($F128),$K128="k"),ROUND(VLOOKUP(CZ$4,Preisindex,2,FALSE)/VLOOKUP(YEAR($F128),Preisindex,2,FALSE),2),0)))))</f>
        <v>0</v>
      </c>
      <c r="DA128" s="56">
        <f>IF(AND($E128&lt;&gt;0,$F128&gt;0,YEAR($F128)&lt;Preisindex!$A$6,YEAR(CU$4)&gt;=YEAR($F128),AND($K128&lt;&gt;"a",$K128&lt;&gt;"b",$K128&lt;&gt;"g",$K128&lt;&gt;"k")),1,IF(AND($E128&lt;&gt;0,$F128&gt;0,YEAR($F128)&lt;Preisindex!$A$6,YEAR(CU$4)&gt;=YEAR($F128),$K128="a"),ROUND(VLOOKUP(CZ$4,Preisindex,5,FALSE)/VLOOKUP(Preisindex!$A$6,Preisindex,5,FALSE),2),IF(AND($E128&lt;&gt;0,$F128&gt;0,YEAR($F128)&lt;Preisindex!$A$6,YEAR(CU$4)&gt;=YEAR($F128),$K128="b"),ROUND(VLOOKUP(CZ$4,Preisindex,3,FALSE)/VLOOKUP(Preisindex!$A$6,Preisindex,3,FALSE),2),IF(AND($E128&lt;&gt;0,$F128&gt;0,YEAR($F128)&lt;Preisindex!$A$6,YEAR(CU$4)&gt;=YEAR($F128),$K128="g"),ROUND(VLOOKUP(CZ$4,Preisindex,4,FALSE)/VLOOKUP(Preisindex!$A$6,Preisindex,4,FALSE),2),IF(AND($E128&lt;&gt;0,$F128&gt;0,YEAR($F128)&lt;Preisindex!$A$6,YEAR(CU$4)&gt;=YEAR($F128),$K128="k"),ROUND(VLOOKUP(CZ$4,Preisindex,2,FALSE)/VLOOKUP(Preisindex!$A$6,Preisindex,2,FALSE),2),0)))))</f>
        <v>0</v>
      </c>
      <c r="DB128" s="51">
        <f>IF(AND($E128&lt;&gt;0,$F128&gt;0,YEAR($F128)&lt;=CZ$4,YEAR($F128)&gt;=Preisindex!$A$6),ROUND($E128*CZ128,2),IF(AND($E128&lt;&gt;0,$F128&gt;0,YEAR($F128)&lt;=CZ$4,YEAR($F128)&lt;Preisindex!$A$6),ROUND($E128*DA128,2),0))</f>
        <v>0</v>
      </c>
      <c r="DC128" s="53">
        <f t="shared" si="393"/>
        <v>0</v>
      </c>
      <c r="DD128" s="51">
        <f t="shared" si="491"/>
        <v>0</v>
      </c>
      <c r="DE128" s="51">
        <f t="shared" si="468"/>
        <v>0</v>
      </c>
      <c r="DF128" s="51">
        <f t="shared" si="395"/>
        <v>0</v>
      </c>
      <c r="DG128" s="51">
        <f t="shared" si="469"/>
        <v>0</v>
      </c>
      <c r="DH128" s="51">
        <f t="shared" si="396"/>
        <v>0</v>
      </c>
      <c r="DI128" s="51">
        <f t="shared" si="470"/>
        <v>0</v>
      </c>
      <c r="DJ128" s="51">
        <f t="shared" si="397"/>
        <v>0</v>
      </c>
      <c r="DK128" s="51">
        <f t="shared" si="471"/>
        <v>0</v>
      </c>
      <c r="DL128" s="51">
        <f t="shared" si="398"/>
        <v>0</v>
      </c>
      <c r="DM128" s="51">
        <f t="shared" si="472"/>
        <v>0</v>
      </c>
      <c r="DN128" s="51">
        <f t="shared" si="399"/>
        <v>0</v>
      </c>
      <c r="DO128" s="54">
        <f t="shared" si="400"/>
        <v>0</v>
      </c>
      <c r="DP128" s="55">
        <f t="shared" si="401"/>
        <v>0</v>
      </c>
      <c r="DQ128" s="56">
        <f>IF(AND($E128&lt;&gt;0,$F128&gt;0,YEAR($F128)&gt;=Preisindex!$A$6,YEAR(DL$4)&gt;=YEAR($F128),AND($K128&lt;&gt;"a",$K128&lt;&gt;"b",$K128&lt;&gt;"g",$K128&lt;&gt;"k")),1,IF(AND($E128&lt;&gt;0,$F128&gt;0,YEAR($F128)&gt;=Preisindex!$A$6,YEAR(DL$4)&gt;=YEAR($F128),$K128="a"),ROUND(VLOOKUP(DQ$4,Preisindex,5,FALSE)/VLOOKUP(YEAR($F128),Preisindex,5,FALSE),2),IF(AND($E128&lt;&gt;0,$F128&gt;0,YEAR($F128)&gt;=Preisindex!$A$6,YEAR(DL$4)&gt;=YEAR($F128),$K128="b"),ROUND(VLOOKUP(DQ$4,Preisindex,3,FALSE)/VLOOKUP(YEAR($F128),Preisindex,3,FALSE),2),IF(AND($E128&lt;&gt;0,$F128&gt;0,YEAR($F128)&gt;=Preisindex!$A$6,YEAR(DL$4)&gt;=YEAR($F128),$K128="g"),ROUND(VLOOKUP(DQ$4,Preisindex,4,FALSE)/VLOOKUP(YEAR($F128),Preisindex,4,FALSE),2),IF(AND($E128&lt;&gt;0,$F128&gt;0,YEAR($F128)&gt;=Preisindex!$A$6,YEAR(DL$4)&gt;=YEAR($F128),$K128="k"),ROUND(VLOOKUP(DQ$4,Preisindex,2,FALSE)/VLOOKUP(YEAR($F128),Preisindex,2,FALSE),2),0)))))</f>
        <v>0</v>
      </c>
      <c r="DR128" s="56">
        <f>IF(AND($E128&lt;&gt;0,$F128&gt;0,YEAR($F128)&lt;Preisindex!$A$6,YEAR(DL$4)&gt;=YEAR($F128),AND($K128&lt;&gt;"a",$K128&lt;&gt;"b",$K128&lt;&gt;"g",$K128&lt;&gt;"k")),1,IF(AND($E128&lt;&gt;0,$F128&gt;0,YEAR($F128)&lt;Preisindex!$A$6,YEAR(DL$4)&gt;=YEAR($F128),$K128="a"),ROUND(VLOOKUP(DQ$4,Preisindex,5,FALSE)/VLOOKUP(Preisindex!$A$6,Preisindex,5,FALSE),2),IF(AND($E128&lt;&gt;0,$F128&gt;0,YEAR($F128)&lt;Preisindex!$A$6,YEAR(DL$4)&gt;=YEAR($F128),$K128="b"),ROUND(VLOOKUP(DQ$4,Preisindex,3,FALSE)/VLOOKUP(Preisindex!$A$6,Preisindex,3,FALSE),2),IF(AND($E128&lt;&gt;0,$F128&gt;0,YEAR($F128)&lt;Preisindex!$A$6,YEAR(DL$4)&gt;=YEAR($F128),$K128="g"),ROUND(VLOOKUP(DQ$4,Preisindex,4,FALSE)/VLOOKUP(Preisindex!$A$6,Preisindex,4,FALSE),2),IF(AND($E128&lt;&gt;0,$F128&gt;0,YEAR($F128)&lt;Preisindex!$A$6,YEAR(DL$4)&gt;=YEAR($F128),$K128="k"),ROUND(VLOOKUP(DQ$4,Preisindex,2,FALSE)/VLOOKUP(Preisindex!$A$6,Preisindex,2,FALSE),2),0)))))</f>
        <v>0</v>
      </c>
      <c r="DS128" s="51">
        <f>IF(AND($E128&lt;&gt;0,$F128&gt;0,YEAR($F128)&lt;=DQ$4,YEAR($F128)&gt;=Preisindex!$A$6),ROUND($E128*DQ128,2),IF(AND($E128&lt;&gt;0,$F128&gt;0,YEAR($F128)&lt;=DQ$4,YEAR($F128)&lt;Preisindex!$A$6),ROUND($E128*DR128,2),0))</f>
        <v>0</v>
      </c>
      <c r="DT128" s="53">
        <f t="shared" si="402"/>
        <v>0</v>
      </c>
      <c r="DU128" s="51">
        <f t="shared" si="491"/>
        <v>0</v>
      </c>
      <c r="DV128" s="51">
        <f t="shared" si="473"/>
        <v>0</v>
      </c>
      <c r="DW128" s="51">
        <f t="shared" si="403"/>
        <v>0</v>
      </c>
      <c r="DX128" s="51">
        <f t="shared" si="474"/>
        <v>0</v>
      </c>
      <c r="DY128" s="51">
        <f t="shared" si="404"/>
        <v>0</v>
      </c>
      <c r="DZ128" s="51">
        <f t="shared" si="475"/>
        <v>0</v>
      </c>
      <c r="EA128" s="51">
        <f t="shared" si="405"/>
        <v>0</v>
      </c>
      <c r="EB128" s="51">
        <f t="shared" si="476"/>
        <v>0</v>
      </c>
      <c r="EC128" s="51">
        <f t="shared" si="406"/>
        <v>0</v>
      </c>
      <c r="ED128" s="51">
        <f t="shared" si="477"/>
        <v>0</v>
      </c>
      <c r="EE128" s="51">
        <f t="shared" si="407"/>
        <v>0</v>
      </c>
      <c r="EF128" s="54">
        <f t="shared" si="408"/>
        <v>0</v>
      </c>
      <c r="EG128" s="55">
        <f t="shared" si="409"/>
        <v>0</v>
      </c>
      <c r="EH128" s="56">
        <f>IF(AND($E128&lt;&gt;0,$F128&gt;0,YEAR($F128)&gt;=Preisindex!$A$6,YEAR(EC$4)&gt;=YEAR($F128),AND($K128&lt;&gt;"a",$K128&lt;&gt;"b",$K128&lt;&gt;"g",$K128&lt;&gt;"k")),1,IF(AND($E128&lt;&gt;0,$F128&gt;0,YEAR($F128)&gt;=Preisindex!$A$6,YEAR(EC$4)&gt;=YEAR($F128),$K128="a"),ROUND(VLOOKUP(EH$4,Preisindex,5,FALSE)/VLOOKUP(YEAR($F128),Preisindex,5,FALSE),2),IF(AND($E128&lt;&gt;0,$F128&gt;0,YEAR($F128)&gt;=Preisindex!$A$6,YEAR(EC$4)&gt;=YEAR($F128),$K128="b"),ROUND(VLOOKUP(EH$4,Preisindex,3,FALSE)/VLOOKUP(YEAR($F128),Preisindex,3,FALSE),2),IF(AND($E128&lt;&gt;0,$F128&gt;0,YEAR($F128)&gt;=Preisindex!$A$6,YEAR(EC$4)&gt;=YEAR($F128),$K128="g"),ROUND(VLOOKUP(EH$4,Preisindex,4,FALSE)/VLOOKUP(YEAR($F128),Preisindex,4,FALSE),2),IF(AND($E128&lt;&gt;0,$F128&gt;0,YEAR($F128)&gt;=Preisindex!$A$6,YEAR(EC$4)&gt;=YEAR($F128),$K128="k"),ROUND(VLOOKUP(EH$4,Preisindex,2,FALSE)/VLOOKUP(YEAR($F128),Preisindex,2,FALSE),2),0)))))</f>
        <v>0</v>
      </c>
      <c r="EI128" s="56">
        <f>IF(AND($E128&lt;&gt;0,$F128&gt;0,YEAR($F128)&lt;Preisindex!$A$6,YEAR(EC$4)&gt;=YEAR($F128),AND($K128&lt;&gt;"a",$K128&lt;&gt;"b",$K128&lt;&gt;"g",$K128&lt;&gt;"k")),1,IF(AND($E128&lt;&gt;0,$F128&gt;0,YEAR($F128)&lt;Preisindex!$A$6,YEAR(EC$4)&gt;=YEAR($F128),$K128="a"),ROUND(VLOOKUP(EH$4,Preisindex,5,FALSE)/VLOOKUP(Preisindex!$A$6,Preisindex,5,FALSE),2),IF(AND($E128&lt;&gt;0,$F128&gt;0,YEAR($F128)&lt;Preisindex!$A$6,YEAR(EC$4)&gt;=YEAR($F128),$K128="b"),ROUND(VLOOKUP(EH$4,Preisindex,3,FALSE)/VLOOKUP(Preisindex!$A$6,Preisindex,3,FALSE),2),IF(AND($E128&lt;&gt;0,$F128&gt;0,YEAR($F128)&lt;Preisindex!$A$6,YEAR(EC$4)&gt;=YEAR($F128),$K128="g"),ROUND(VLOOKUP(EH$4,Preisindex,4,FALSE)/VLOOKUP(Preisindex!$A$6,Preisindex,4,FALSE),2),IF(AND($E128&lt;&gt;0,$F128&gt;0,YEAR($F128)&lt;Preisindex!$A$6,YEAR(EC$4)&gt;=YEAR($F128),$K128="k"),ROUND(VLOOKUP(EH$4,Preisindex,2,FALSE)/VLOOKUP(Preisindex!$A$6,Preisindex,2,FALSE),2),0)))))</f>
        <v>0</v>
      </c>
      <c r="EJ128" s="51">
        <f>IF(AND($E128&lt;&gt;0,$F128&gt;0,YEAR($F128)&lt;=EH$4,YEAR($F128)&gt;=Preisindex!$A$6),ROUND($E128*EH128,2),IF(AND($E128&lt;&gt;0,$F128&gt;0,YEAR($F128)&lt;=EH$4,YEAR($F128)&lt;Preisindex!$A$6),ROUND($E128*EI128,2),0))</f>
        <v>0</v>
      </c>
      <c r="EK128" s="53">
        <f t="shared" si="410"/>
        <v>0</v>
      </c>
      <c r="EL128" s="51">
        <f t="shared" si="491"/>
        <v>0</v>
      </c>
      <c r="EM128" s="51">
        <f t="shared" si="478"/>
        <v>0</v>
      </c>
      <c r="EN128" s="51">
        <f t="shared" si="411"/>
        <v>0</v>
      </c>
      <c r="EO128" s="51">
        <f t="shared" si="479"/>
        <v>0</v>
      </c>
      <c r="EP128" s="51">
        <f t="shared" si="412"/>
        <v>0</v>
      </c>
      <c r="EQ128" s="51">
        <f t="shared" si="480"/>
        <v>0</v>
      </c>
      <c r="ER128" s="51">
        <f t="shared" si="413"/>
        <v>0</v>
      </c>
      <c r="ES128" s="51">
        <f t="shared" si="481"/>
        <v>0</v>
      </c>
      <c r="ET128" s="51">
        <f t="shared" si="414"/>
        <v>0</v>
      </c>
      <c r="EU128" s="51">
        <f t="shared" si="482"/>
        <v>0</v>
      </c>
      <c r="EV128" s="51">
        <f t="shared" si="415"/>
        <v>0</v>
      </c>
      <c r="EW128" s="54">
        <f t="shared" si="416"/>
        <v>0</v>
      </c>
      <c r="EX128" s="55">
        <f t="shared" si="417"/>
        <v>0</v>
      </c>
      <c r="EY128" s="56">
        <f>IF(AND($E128&lt;&gt;0,$F128&gt;0,YEAR($F128)&gt;=Preisindex!$A$6,YEAR(ET$4)&gt;=YEAR($F128),AND($K128&lt;&gt;"a",$K128&lt;&gt;"b",$K128&lt;&gt;"g",$K128&lt;&gt;"k")),1,IF(AND($E128&lt;&gt;0,$F128&gt;0,YEAR($F128)&gt;=Preisindex!$A$6,YEAR(ET$4)&gt;=YEAR($F128),$K128="a"),ROUND(VLOOKUP(EY$4,Preisindex,5,FALSE)/VLOOKUP(YEAR($F128),Preisindex,5,FALSE),2),IF(AND($E128&lt;&gt;0,$F128&gt;0,YEAR($F128)&gt;=Preisindex!$A$6,YEAR(ET$4)&gt;=YEAR($F128),$K128="b"),ROUND(VLOOKUP(EY$4,Preisindex,3,FALSE)/VLOOKUP(YEAR($F128),Preisindex,3,FALSE),2),IF(AND($E128&lt;&gt;0,$F128&gt;0,YEAR($F128)&gt;=Preisindex!$A$6,YEAR(ET$4)&gt;=YEAR($F128),$K128="g"),ROUND(VLOOKUP(EY$4,Preisindex,4,FALSE)/VLOOKUP(YEAR($F128),Preisindex,4,FALSE),2),IF(AND($E128&lt;&gt;0,$F128&gt;0,YEAR($F128)&gt;=Preisindex!$A$6,YEAR(ET$4)&gt;=YEAR($F128),$K128="k"),ROUND(VLOOKUP(EY$4,Preisindex,2,FALSE)/VLOOKUP(YEAR($F128),Preisindex,2,FALSE),2),0)))))</f>
        <v>0</v>
      </c>
      <c r="EZ128" s="56">
        <f>IF(AND($E128&lt;&gt;0,$F128&gt;0,YEAR($F128)&lt;Preisindex!$A$6,YEAR(ET$4)&gt;=YEAR($F128),AND($K128&lt;&gt;"a",$K128&lt;&gt;"b",$K128&lt;&gt;"g",$K128&lt;&gt;"k")),1,IF(AND($E128&lt;&gt;0,$F128&gt;0,YEAR($F128)&lt;Preisindex!$A$6,YEAR(ET$4)&gt;=YEAR($F128),$K128="a"),ROUND(VLOOKUP(EY$4,Preisindex,5,FALSE)/VLOOKUP(Preisindex!$A$6,Preisindex,5,FALSE),2),IF(AND($E128&lt;&gt;0,$F128&gt;0,YEAR($F128)&lt;Preisindex!$A$6,YEAR(ET$4)&gt;=YEAR($F128),$K128="b"),ROUND(VLOOKUP(EY$4,Preisindex,3,FALSE)/VLOOKUP(Preisindex!$A$6,Preisindex,3,FALSE),2),IF(AND($E128&lt;&gt;0,$F128&gt;0,YEAR($F128)&lt;Preisindex!$A$6,YEAR(ET$4)&gt;=YEAR($F128),$K128="g"),ROUND(VLOOKUP(EY$4,Preisindex,4,FALSE)/VLOOKUP(Preisindex!$A$6,Preisindex,4,FALSE),2),IF(AND($E128&lt;&gt;0,$F128&gt;0,YEAR($F128)&lt;Preisindex!$A$6,YEAR(ET$4)&gt;=YEAR($F128),$K128="k"),ROUND(VLOOKUP(EY$4,Preisindex,2,FALSE)/VLOOKUP(Preisindex!$A$6,Preisindex,2,FALSE),2),0)))))</f>
        <v>0</v>
      </c>
      <c r="FA128" s="51">
        <f>IF(AND($E128&lt;&gt;0,$F128&gt;0,YEAR($F128)&lt;=EY$4,YEAR($F128)&gt;=Preisindex!$A$6),ROUND($E128*EY128,2),IF(AND($E128&lt;&gt;0,$F128&gt;0,YEAR($F128)&lt;=EY$4,YEAR($F128)&lt;Preisindex!$A$6),ROUND($E128*EZ128,2),0))</f>
        <v>0</v>
      </c>
      <c r="FB128" s="53">
        <f t="shared" si="418"/>
        <v>0</v>
      </c>
      <c r="FC128" s="51">
        <f t="shared" si="491"/>
        <v>0</v>
      </c>
      <c r="FD128" s="51">
        <f t="shared" si="483"/>
        <v>0</v>
      </c>
      <c r="FE128" s="51">
        <f t="shared" si="419"/>
        <v>0</v>
      </c>
      <c r="FF128" s="51">
        <f t="shared" si="484"/>
        <v>0</v>
      </c>
      <c r="FG128" s="51">
        <f t="shared" si="420"/>
        <v>0</v>
      </c>
      <c r="FH128" s="51">
        <f t="shared" si="485"/>
        <v>0</v>
      </c>
      <c r="FI128" s="51">
        <f t="shared" si="421"/>
        <v>0</v>
      </c>
      <c r="FJ128" s="51">
        <f t="shared" si="486"/>
        <v>0</v>
      </c>
      <c r="FK128" s="51">
        <f t="shared" si="422"/>
        <v>0</v>
      </c>
      <c r="FL128" s="51">
        <f t="shared" si="487"/>
        <v>0</v>
      </c>
      <c r="FM128" s="51">
        <f t="shared" si="423"/>
        <v>0</v>
      </c>
      <c r="FN128" s="54">
        <f t="shared" si="424"/>
        <v>0</v>
      </c>
      <c r="FO128" s="55">
        <f t="shared" si="425"/>
        <v>0</v>
      </c>
      <c r="FP128" s="56">
        <f>IF(AND($E128&lt;&gt;0,$F128&gt;0,YEAR($F128)&gt;=Preisindex!$A$6,YEAR(FK$4)&gt;=YEAR($F128),AND($K128&lt;&gt;"a",$K128&lt;&gt;"b",$K128&lt;&gt;"g",$K128&lt;&gt;"k")),1,IF(AND($E128&lt;&gt;0,$F128&gt;0,YEAR($F128)&gt;=Preisindex!$A$6,YEAR(FK$4)&gt;=YEAR($F128),$K128="a"),ROUND(VLOOKUP(FP$4,Preisindex,5,FALSE)/VLOOKUP(YEAR($F128),Preisindex,5,FALSE),2),IF(AND($E128&lt;&gt;0,$F128&gt;0,YEAR($F128)&gt;=Preisindex!$A$6,YEAR(FK$4)&gt;=YEAR($F128),$K128="b"),ROUND(VLOOKUP(FP$4,Preisindex,3,FALSE)/VLOOKUP(YEAR($F128),Preisindex,3,FALSE),2),IF(AND($E128&lt;&gt;0,$F128&gt;0,YEAR($F128)&gt;=Preisindex!$A$6,YEAR(FK$4)&gt;=YEAR($F128),$K128="g"),ROUND(VLOOKUP(FP$4,Preisindex,4,FALSE)/VLOOKUP(YEAR($F128),Preisindex,4,FALSE),2),IF(AND($E128&lt;&gt;0,$F128&gt;0,YEAR($F128)&gt;=Preisindex!$A$6,YEAR(FK$4)&gt;=YEAR($F128),$K128="k"),ROUND(VLOOKUP(FP$4,Preisindex,2,FALSE)/VLOOKUP(YEAR($F128),Preisindex,2,FALSE),2),0)))))</f>
        <v>0</v>
      </c>
      <c r="FQ128" s="56">
        <f>IF(AND($E128&lt;&gt;0,$F128&gt;0,YEAR($F128)&lt;Preisindex!$A$6,YEAR(FK$4)&gt;=YEAR($F128),AND($K128&lt;&gt;"a",$K128&lt;&gt;"b",$K128&lt;&gt;"g",$K128&lt;&gt;"k")),1,IF(AND($E128&lt;&gt;0,$F128&gt;0,YEAR($F128)&lt;Preisindex!$A$6,YEAR(FK$4)&gt;=YEAR($F128),$K128="a"),ROUND(VLOOKUP(FP$4,Preisindex,5,FALSE)/VLOOKUP(Preisindex!$A$6,Preisindex,5,FALSE),2),IF(AND($E128&lt;&gt;0,$F128&gt;0,YEAR($F128)&lt;Preisindex!$A$6,YEAR(FK$4)&gt;=YEAR($F128),$K128="b"),ROUND(VLOOKUP(FP$4,Preisindex,3,FALSE)/VLOOKUP(Preisindex!$A$6,Preisindex,3,FALSE),2),IF(AND($E128&lt;&gt;0,$F128&gt;0,YEAR($F128)&lt;Preisindex!$A$6,YEAR(FK$4)&gt;=YEAR($F128),$K128="g"),ROUND(VLOOKUP(FP$4,Preisindex,4,FALSE)/VLOOKUP(Preisindex!$A$6,Preisindex,4,FALSE),2),IF(AND($E128&lt;&gt;0,$F128&gt;0,YEAR($F128)&lt;Preisindex!$A$6,YEAR(FK$4)&gt;=YEAR($F128),$K128="k"),ROUND(VLOOKUP(FP$4,Preisindex,2,FALSE)/VLOOKUP(Preisindex!$A$6,Preisindex,2,FALSE),2),0)))))</f>
        <v>0</v>
      </c>
      <c r="FR128" s="51">
        <f>IF(AND($E128&lt;&gt;0,$F128&gt;0,YEAR($F128)&lt;=FP$4,YEAR($F128)&gt;=Preisindex!$A$6),ROUND($E128*FP128,2),IF(AND($E128&lt;&gt;0,$F128&gt;0,YEAR($F128)&lt;=FP$4,YEAR($F128)&lt;Preisindex!$A$6),ROUND($E128*FQ128,2),0))</f>
        <v>0</v>
      </c>
      <c r="FS128" s="53">
        <f t="shared" si="426"/>
        <v>0</v>
      </c>
    </row>
    <row r="129" spans="1:175" x14ac:dyDescent="0.3">
      <c r="A129" s="93"/>
      <c r="B129" s="94"/>
      <c r="C129" s="94"/>
      <c r="D129" s="95"/>
      <c r="E129" s="99"/>
      <c r="F129" s="97"/>
      <c r="G129" s="98"/>
      <c r="H129" s="620"/>
      <c r="I129" s="621"/>
      <c r="J129" s="194"/>
      <c r="K129" s="630"/>
      <c r="L129" s="49">
        <f t="shared" si="427"/>
        <v>0</v>
      </c>
      <c r="M129" s="50">
        <f t="shared" si="428"/>
        <v>0</v>
      </c>
      <c r="N129" s="51">
        <f t="shared" si="429"/>
        <v>0</v>
      </c>
      <c r="O129" s="51"/>
      <c r="P129" s="51">
        <f t="shared" si="430"/>
        <v>0</v>
      </c>
      <c r="Q129" s="52"/>
      <c r="R129" s="52"/>
      <c r="S129" s="52"/>
      <c r="T129" s="52"/>
      <c r="U129" s="52"/>
      <c r="V129" s="53">
        <f t="shared" si="431"/>
        <v>0</v>
      </c>
      <c r="W129" s="51">
        <f t="shared" si="432"/>
        <v>0</v>
      </c>
      <c r="X129" s="51">
        <f t="shared" si="433"/>
        <v>0</v>
      </c>
      <c r="Y129" s="51">
        <f t="shared" si="434"/>
        <v>0</v>
      </c>
      <c r="Z129" s="51">
        <f t="shared" si="435"/>
        <v>0</v>
      </c>
      <c r="AA129" s="51">
        <f t="shared" si="436"/>
        <v>0</v>
      </c>
      <c r="AB129" s="51">
        <f t="shared" si="437"/>
        <v>0</v>
      </c>
      <c r="AC129" s="51">
        <f t="shared" si="438"/>
        <v>0</v>
      </c>
      <c r="AD129" s="51">
        <f t="shared" si="439"/>
        <v>0</v>
      </c>
      <c r="AE129" s="51">
        <f t="shared" si="440"/>
        <v>0</v>
      </c>
      <c r="AF129" s="51">
        <f t="shared" si="441"/>
        <v>0</v>
      </c>
      <c r="AG129" s="51">
        <f t="shared" si="442"/>
        <v>0</v>
      </c>
      <c r="AH129" s="54">
        <f t="shared" si="443"/>
        <v>0</v>
      </c>
      <c r="AI129" s="55">
        <f t="shared" si="444"/>
        <v>0</v>
      </c>
      <c r="AJ129" s="56">
        <f>IF(AND($E129&lt;&gt;0,$F129&gt;0,YEAR($F129)&gt;=Preisindex!$A$6,YEAR(AE$4)&gt;=YEAR($F129),AND($K129&lt;&gt;"a",$K129&lt;&gt;"b",$K129&lt;&gt;"g",$K129&lt;&gt;"k")),1,IF(AND($E129&lt;&gt;0,$F129&gt;0,YEAR($F129)&gt;=Preisindex!$A$6,YEAR(AE$4)&gt;=YEAR($F129),$K129="a"),ROUND(VLOOKUP(AJ$4,Preisindex,5,FALSE)/VLOOKUP(YEAR($F129),Preisindex,5,FALSE),2),IF(AND($E129&lt;&gt;0,$F129&gt;0,YEAR($F129)&gt;=Preisindex!$A$6,YEAR(AE$4)&gt;=YEAR($F129),$K129="b"),ROUND(VLOOKUP(AJ$4,Preisindex,3,FALSE)/VLOOKUP(YEAR($F129),Preisindex,3,FALSE),2),IF(AND($E129&lt;&gt;0,$F129&gt;0,YEAR($F129)&gt;=Preisindex!$A$6,YEAR(AE$4)&gt;=YEAR($F129),$K129="g"),ROUND(VLOOKUP(AJ$4,Preisindex,4,FALSE)/VLOOKUP(YEAR($F129),Preisindex,4,FALSE),2),IF(AND($E129&lt;&gt;0,$F129&gt;0,YEAR($F129)&gt;=Preisindex!$A$6,YEAR(AE$4)&gt;=YEAR($F129),$K129="k"),ROUND(VLOOKUP(AJ$4,Preisindex,2,FALSE)/VLOOKUP(YEAR($F129),Preisindex,2,FALSE),2),0)))))</f>
        <v>0</v>
      </c>
      <c r="AK129" s="56">
        <f>IF(AND($E129&lt;&gt;0,$F129&gt;0,YEAR($F129)&lt;Preisindex!$A$6,YEAR(AE$4)&gt;=YEAR($F129),AND($K129&lt;&gt;"a",$K129&lt;&gt;"b",$K129&lt;&gt;"g",$K129&lt;&gt;"k")),1,IF(AND($E129&lt;&gt;0,$F129&gt;0,YEAR($F129)&lt;Preisindex!$A$6,YEAR(AE$4)&gt;=YEAR($F129),$K129="a"),ROUND(VLOOKUP(AJ$4,Preisindex,5,FALSE)/VLOOKUP(Preisindex!$A$6,Preisindex,5,FALSE),2),IF(AND($E129&lt;&gt;0,$F129&gt;0,YEAR($F129)&lt;Preisindex!$A$6,YEAR(AE$4)&gt;=YEAR($F129),$K129="b"),ROUND(VLOOKUP(AJ$4,Preisindex,3,FALSE)/VLOOKUP(Preisindex!$A$6,Preisindex,3,FALSE),2),IF(AND($E129&lt;&gt;0,$F129&gt;0,YEAR($F129)&lt;Preisindex!$A$6,YEAR(AE$4)&gt;=YEAR($F129),$K129="g"),ROUND(VLOOKUP(AJ$4,Preisindex,4,FALSE)/VLOOKUP(Preisindex!$A$6,Preisindex,4,FALSE),2),IF(AND($E129&lt;&gt;0,$F129&gt;0,YEAR($F129)&lt;Preisindex!$A$6,YEAR(AE$4)&gt;=YEAR($F129),$K129="k"),ROUND(VLOOKUP(AJ$4,Preisindex,2,FALSE)/VLOOKUP(Preisindex!$A$6,Preisindex,2,FALSE),2),0)))))</f>
        <v>0</v>
      </c>
      <c r="AL129" s="51">
        <f>IF(AND($E129&lt;&gt;0,$F129&gt;0,YEAR($F129)&lt;=AJ$4,YEAR($F129)&gt;=Preisindex!$A$6),ROUND($E129*AJ129,2),IF(AND($E129&lt;&gt;0,$F129&gt;0,YEAR($F129)&lt;=AJ$4,YEAR($F129)&lt;Preisindex!$A$6),ROUND($E129*AK129,2),0))</f>
        <v>0</v>
      </c>
      <c r="AM129" s="53">
        <f t="shared" si="445"/>
        <v>0</v>
      </c>
      <c r="AN129" s="51">
        <f t="shared" si="490"/>
        <v>0</v>
      </c>
      <c r="AO129" s="51">
        <f t="shared" si="448"/>
        <v>0</v>
      </c>
      <c r="AP129" s="51">
        <f t="shared" si="362"/>
        <v>0</v>
      </c>
      <c r="AQ129" s="51">
        <f t="shared" si="449"/>
        <v>0</v>
      </c>
      <c r="AR129" s="51">
        <f t="shared" si="363"/>
        <v>0</v>
      </c>
      <c r="AS129" s="51">
        <f t="shared" si="450"/>
        <v>0</v>
      </c>
      <c r="AT129" s="51">
        <f t="shared" si="364"/>
        <v>0</v>
      </c>
      <c r="AU129" s="51">
        <f t="shared" si="451"/>
        <v>0</v>
      </c>
      <c r="AV129" s="51">
        <f t="shared" si="365"/>
        <v>0</v>
      </c>
      <c r="AW129" s="51">
        <f t="shared" si="452"/>
        <v>0</v>
      </c>
      <c r="AX129" s="51">
        <f t="shared" si="366"/>
        <v>0</v>
      </c>
      <c r="AY129" s="54">
        <f t="shared" si="367"/>
        <v>0</v>
      </c>
      <c r="AZ129" s="55">
        <f t="shared" si="368"/>
        <v>0</v>
      </c>
      <c r="BA129" s="56">
        <f>IF(AND($E129&lt;&gt;0,$F129&gt;0,YEAR($F129)&gt;=Preisindex!$A$6,YEAR(AV$4)&gt;=YEAR($F129),AND($K129&lt;&gt;"a",$K129&lt;&gt;"b",$K129&lt;&gt;"g",$K129&lt;&gt;"k")),1,IF(AND($E129&lt;&gt;0,$F129&gt;0,YEAR($F129)&gt;=Preisindex!$A$6,YEAR(AV$4)&gt;=YEAR($F129),$K129="a"),ROUND(VLOOKUP(BA$4,Preisindex,5,FALSE)/VLOOKUP(YEAR($F129),Preisindex,5,FALSE),2),IF(AND($E129&lt;&gt;0,$F129&gt;0,YEAR($F129)&gt;=Preisindex!$A$6,YEAR(AV$4)&gt;=YEAR($F129),$K129="b"),ROUND(VLOOKUP(BA$4,Preisindex,3,FALSE)/VLOOKUP(YEAR($F129),Preisindex,3,FALSE),2),IF(AND($E129&lt;&gt;0,$F129&gt;0,YEAR($F129)&gt;=Preisindex!$A$6,YEAR(AV$4)&gt;=YEAR($F129),$K129="g"),ROUND(VLOOKUP(BA$4,Preisindex,4,FALSE)/VLOOKUP(YEAR($F129),Preisindex,4,FALSE),2),IF(AND($E129&lt;&gt;0,$F129&gt;0,YEAR($F129)&gt;=Preisindex!$A$6,YEAR(AV$4)&gt;=YEAR($F129),$K129="k"),ROUND(VLOOKUP(BA$4,Preisindex,2,FALSE)/VLOOKUP(YEAR($F129),Preisindex,2,FALSE),2),0)))))</f>
        <v>0</v>
      </c>
      <c r="BB129" s="56">
        <f>IF(AND($E129&lt;&gt;0,$F129&gt;0,YEAR($F129)&lt;Preisindex!$A$6,YEAR(AV$4)&gt;=YEAR($F129),AND($K129&lt;&gt;"a",$K129&lt;&gt;"b",$K129&lt;&gt;"g",$K129&lt;&gt;"k")),1,IF(AND($E129&lt;&gt;0,$F129&gt;0,YEAR($F129)&lt;Preisindex!$A$6,YEAR(AV$4)&gt;=YEAR($F129),$K129="a"),ROUND(VLOOKUP(BA$4,Preisindex,5,FALSE)/VLOOKUP(Preisindex!$A$6,Preisindex,5,FALSE),2),IF(AND($E129&lt;&gt;0,$F129&gt;0,YEAR($F129)&lt;Preisindex!$A$6,YEAR(AV$4)&gt;=YEAR($F129),$K129="b"),ROUND(VLOOKUP(BA$4,Preisindex,3,FALSE)/VLOOKUP(Preisindex!$A$6,Preisindex,3,FALSE),2),IF(AND($E129&lt;&gt;0,$F129&gt;0,YEAR($F129)&lt;Preisindex!$A$6,YEAR(AV$4)&gt;=YEAR($F129),$K129="g"),ROUND(VLOOKUP(BA$4,Preisindex,4,FALSE)/VLOOKUP(Preisindex!$A$6,Preisindex,4,FALSE),2),IF(AND($E129&lt;&gt;0,$F129&gt;0,YEAR($F129)&lt;Preisindex!$A$6,YEAR(AV$4)&gt;=YEAR($F129),$K129="k"),ROUND(VLOOKUP(BA$4,Preisindex,2,FALSE)/VLOOKUP(Preisindex!$A$6,Preisindex,2,FALSE),2),0)))))</f>
        <v>0</v>
      </c>
      <c r="BC129" s="51">
        <f>IF(AND($E129&lt;&gt;0,$F129&gt;0,YEAR($F129)&lt;=BA$4,YEAR($F129)&gt;=Preisindex!$A$6),ROUND($E129*BA129,2),IF(AND($E129&lt;&gt;0,$F129&gt;0,YEAR($F129)&lt;=BA$4,YEAR($F129)&lt;Preisindex!$A$6),ROUND($E129*BB129,2),0))</f>
        <v>0</v>
      </c>
      <c r="BD129" s="53">
        <f t="shared" si="369"/>
        <v>0</v>
      </c>
      <c r="BE129" s="51">
        <f t="shared" si="490"/>
        <v>0</v>
      </c>
      <c r="BF129" s="51">
        <f t="shared" si="453"/>
        <v>0</v>
      </c>
      <c r="BG129" s="51">
        <f t="shared" si="370"/>
        <v>0</v>
      </c>
      <c r="BH129" s="51">
        <f t="shared" si="454"/>
        <v>0</v>
      </c>
      <c r="BI129" s="51">
        <f t="shared" si="371"/>
        <v>0</v>
      </c>
      <c r="BJ129" s="51">
        <f t="shared" si="455"/>
        <v>0</v>
      </c>
      <c r="BK129" s="51">
        <f t="shared" si="372"/>
        <v>0</v>
      </c>
      <c r="BL129" s="51">
        <f t="shared" si="456"/>
        <v>0</v>
      </c>
      <c r="BM129" s="51">
        <f t="shared" si="373"/>
        <v>0</v>
      </c>
      <c r="BN129" s="51">
        <f t="shared" si="457"/>
        <v>0</v>
      </c>
      <c r="BO129" s="51">
        <f t="shared" si="374"/>
        <v>0</v>
      </c>
      <c r="BP129" s="54">
        <f t="shared" si="375"/>
        <v>0</v>
      </c>
      <c r="BQ129" s="55">
        <f t="shared" si="376"/>
        <v>0</v>
      </c>
      <c r="BR129" s="56">
        <f>IF(AND($E129&lt;&gt;0,$F129&gt;0,YEAR($F129)&gt;=Preisindex!$A$6,YEAR(BM$4)&gt;=YEAR($F129),AND($K129&lt;&gt;"a",$K129&lt;&gt;"b",$K129&lt;&gt;"g",$K129&lt;&gt;"k")),1,IF(AND($E129&lt;&gt;0,$F129&gt;0,YEAR($F129)&gt;=Preisindex!$A$6,YEAR(BM$4)&gt;=YEAR($F129),$K129="a"),ROUND(VLOOKUP(BR$4,Preisindex,5,FALSE)/VLOOKUP(YEAR($F129),Preisindex,5,FALSE),2),IF(AND($E129&lt;&gt;0,$F129&gt;0,YEAR($F129)&gt;=Preisindex!$A$6,YEAR(BM$4)&gt;=YEAR($F129),$K129="b"),ROUND(VLOOKUP(BR$4,Preisindex,3,FALSE)/VLOOKUP(YEAR($F129),Preisindex,3,FALSE),2),IF(AND($E129&lt;&gt;0,$F129&gt;0,YEAR($F129)&gt;=Preisindex!$A$6,YEAR(BM$4)&gt;=YEAR($F129),$K129="g"),ROUND(VLOOKUP(BR$4,Preisindex,4,FALSE)/VLOOKUP(YEAR($F129),Preisindex,4,FALSE),2),IF(AND($E129&lt;&gt;0,$F129&gt;0,YEAR($F129)&gt;=Preisindex!$A$6,YEAR(BM$4)&gt;=YEAR($F129),$K129="k"),ROUND(VLOOKUP(BR$4,Preisindex,2,FALSE)/VLOOKUP(YEAR($F129),Preisindex,2,FALSE),2),0)))))</f>
        <v>0</v>
      </c>
      <c r="BS129" s="56">
        <f>IF(AND($E129&lt;&gt;0,$F129&gt;0,YEAR($F129)&lt;Preisindex!$A$6,YEAR(BM$4)&gt;=YEAR($F129),AND($K129&lt;&gt;"a",$K129&lt;&gt;"b",$K129&lt;&gt;"g",$K129&lt;&gt;"k")),1,IF(AND($E129&lt;&gt;0,$F129&gt;0,YEAR($F129)&lt;Preisindex!$A$6,YEAR(BM$4)&gt;=YEAR($F129),$K129="a"),ROUND(VLOOKUP(BR$4,Preisindex,5,FALSE)/VLOOKUP(Preisindex!$A$6,Preisindex,5,FALSE),2),IF(AND($E129&lt;&gt;0,$F129&gt;0,YEAR($F129)&lt;Preisindex!$A$6,YEAR(BM$4)&gt;=YEAR($F129),$K129="b"),ROUND(VLOOKUP(BR$4,Preisindex,3,FALSE)/VLOOKUP(Preisindex!$A$6,Preisindex,3,FALSE),2),IF(AND($E129&lt;&gt;0,$F129&gt;0,YEAR($F129)&lt;Preisindex!$A$6,YEAR(BM$4)&gt;=YEAR($F129),$K129="g"),ROUND(VLOOKUP(BR$4,Preisindex,4,FALSE)/VLOOKUP(Preisindex!$A$6,Preisindex,4,FALSE),2),IF(AND($E129&lt;&gt;0,$F129&gt;0,YEAR($F129)&lt;Preisindex!$A$6,YEAR(BM$4)&gt;=YEAR($F129),$K129="k"),ROUND(VLOOKUP(BR$4,Preisindex,2,FALSE)/VLOOKUP(Preisindex!$A$6,Preisindex,2,FALSE),2),0)))))</f>
        <v>0</v>
      </c>
      <c r="BT129" s="51">
        <f>IF(AND($E129&lt;&gt;0,$F129&gt;0,YEAR($F129)&lt;=BR$4,YEAR($F129)&gt;=Preisindex!$A$6),ROUND($E129*BR129,2),IF(AND($E129&lt;&gt;0,$F129&gt;0,YEAR($F129)&lt;=BR$4,YEAR($F129)&lt;Preisindex!$A$6),ROUND($E129*BS129,2),0))</f>
        <v>0</v>
      </c>
      <c r="BU129" s="53">
        <f t="shared" si="377"/>
        <v>0</v>
      </c>
      <c r="BV129" s="51">
        <f t="shared" si="490"/>
        <v>0</v>
      </c>
      <c r="BW129" s="51">
        <f t="shared" si="458"/>
        <v>0</v>
      </c>
      <c r="BX129" s="51">
        <f t="shared" si="378"/>
        <v>0</v>
      </c>
      <c r="BY129" s="51">
        <f t="shared" si="459"/>
        <v>0</v>
      </c>
      <c r="BZ129" s="51">
        <f t="shared" si="379"/>
        <v>0</v>
      </c>
      <c r="CA129" s="51">
        <f t="shared" si="460"/>
        <v>0</v>
      </c>
      <c r="CB129" s="51">
        <f t="shared" si="380"/>
        <v>0</v>
      </c>
      <c r="CC129" s="51">
        <f t="shared" si="461"/>
        <v>0</v>
      </c>
      <c r="CD129" s="51">
        <f t="shared" si="381"/>
        <v>0</v>
      </c>
      <c r="CE129" s="51">
        <f t="shared" si="462"/>
        <v>0</v>
      </c>
      <c r="CF129" s="51">
        <f t="shared" si="382"/>
        <v>0</v>
      </c>
      <c r="CG129" s="54">
        <f t="shared" si="383"/>
        <v>0</v>
      </c>
      <c r="CH129" s="55">
        <f t="shared" si="384"/>
        <v>0</v>
      </c>
      <c r="CI129" s="56">
        <f>IF(AND($E129&lt;&gt;0,$F129&gt;0,YEAR($F129)&gt;=Preisindex!$A$6,YEAR(CD$4)&gt;=YEAR($F129),AND($K129&lt;&gt;"a",$K129&lt;&gt;"b",$K129&lt;&gt;"g",$K129&lt;&gt;"k")),1,IF(AND($E129&lt;&gt;0,$F129&gt;0,YEAR($F129)&gt;=Preisindex!$A$6,YEAR(CD$4)&gt;=YEAR($F129),$K129="a"),ROUND(VLOOKUP(CI$4,Preisindex,5,FALSE)/VLOOKUP(YEAR($F129),Preisindex,5,FALSE),2),IF(AND($E129&lt;&gt;0,$F129&gt;0,YEAR($F129)&gt;=Preisindex!$A$6,YEAR(CD$4)&gt;=YEAR($F129),$K129="b"),ROUND(VLOOKUP(CI$4,Preisindex,3,FALSE)/VLOOKUP(YEAR($F129),Preisindex,3,FALSE),2),IF(AND($E129&lt;&gt;0,$F129&gt;0,YEAR($F129)&gt;=Preisindex!$A$6,YEAR(CD$4)&gt;=YEAR($F129),$K129="g"),ROUND(VLOOKUP(CI$4,Preisindex,4,FALSE)/VLOOKUP(YEAR($F129),Preisindex,4,FALSE),2),IF(AND($E129&lt;&gt;0,$F129&gt;0,YEAR($F129)&gt;=Preisindex!$A$6,YEAR(CD$4)&gt;=YEAR($F129),$K129="k"),ROUND(VLOOKUP(CI$4,Preisindex,2,FALSE)/VLOOKUP(YEAR($F129),Preisindex,2,FALSE),2),0)))))</f>
        <v>0</v>
      </c>
      <c r="CJ129" s="56">
        <f>IF(AND($E129&lt;&gt;0,$F129&gt;0,YEAR($F129)&lt;Preisindex!$A$6,YEAR(CD$4)&gt;=YEAR($F129),AND($K129&lt;&gt;"a",$K129&lt;&gt;"b",$K129&lt;&gt;"g",$K129&lt;&gt;"k")),1,IF(AND($E129&lt;&gt;0,$F129&gt;0,YEAR($F129)&lt;Preisindex!$A$6,YEAR(CD$4)&gt;=YEAR($F129),$K129="a"),ROUND(VLOOKUP(CI$4,Preisindex,5,FALSE)/VLOOKUP(Preisindex!$A$6,Preisindex,5,FALSE),2),IF(AND($E129&lt;&gt;0,$F129&gt;0,YEAR($F129)&lt;Preisindex!$A$6,YEAR(CD$4)&gt;=YEAR($F129),$K129="b"),ROUND(VLOOKUP(CI$4,Preisindex,3,FALSE)/VLOOKUP(Preisindex!$A$6,Preisindex,3,FALSE),2),IF(AND($E129&lt;&gt;0,$F129&gt;0,YEAR($F129)&lt;Preisindex!$A$6,YEAR(CD$4)&gt;=YEAR($F129),$K129="g"),ROUND(VLOOKUP(CI$4,Preisindex,4,FALSE)/VLOOKUP(Preisindex!$A$6,Preisindex,4,FALSE),2),IF(AND($E129&lt;&gt;0,$F129&gt;0,YEAR($F129)&lt;Preisindex!$A$6,YEAR(CD$4)&gt;=YEAR($F129),$K129="k"),ROUND(VLOOKUP(CI$4,Preisindex,2,FALSE)/VLOOKUP(Preisindex!$A$6,Preisindex,2,FALSE),2),0)))))</f>
        <v>0</v>
      </c>
      <c r="CK129" s="51">
        <f>IF(AND($E129&lt;&gt;0,$F129&gt;0,YEAR($F129)&lt;=CI$4,YEAR($F129)&gt;=Preisindex!$A$6),ROUND($E129*CI129,2),IF(AND($E129&lt;&gt;0,$F129&gt;0,YEAR($F129)&lt;=CI$4,YEAR($F129)&lt;Preisindex!$A$6),ROUND($E129*CJ129,2),0))</f>
        <v>0</v>
      </c>
      <c r="CL129" s="53">
        <f t="shared" si="385"/>
        <v>0</v>
      </c>
      <c r="CM129" s="51">
        <f t="shared" si="490"/>
        <v>0</v>
      </c>
      <c r="CN129" s="51">
        <f t="shared" si="463"/>
        <v>0</v>
      </c>
      <c r="CO129" s="51">
        <f t="shared" si="386"/>
        <v>0</v>
      </c>
      <c r="CP129" s="51">
        <f t="shared" si="464"/>
        <v>0</v>
      </c>
      <c r="CQ129" s="51">
        <f t="shared" si="387"/>
        <v>0</v>
      </c>
      <c r="CR129" s="51">
        <f t="shared" si="465"/>
        <v>0</v>
      </c>
      <c r="CS129" s="51">
        <f t="shared" si="388"/>
        <v>0</v>
      </c>
      <c r="CT129" s="51">
        <f t="shared" si="466"/>
        <v>0</v>
      </c>
      <c r="CU129" s="51">
        <f t="shared" si="389"/>
        <v>0</v>
      </c>
      <c r="CV129" s="51">
        <f t="shared" si="467"/>
        <v>0</v>
      </c>
      <c r="CW129" s="51">
        <f t="shared" si="390"/>
        <v>0</v>
      </c>
      <c r="CX129" s="54">
        <f t="shared" si="391"/>
        <v>0</v>
      </c>
      <c r="CY129" s="55">
        <f t="shared" si="392"/>
        <v>0</v>
      </c>
      <c r="CZ129" s="56">
        <f>IF(AND($E129&lt;&gt;0,$F129&gt;0,YEAR($F129)&gt;=Preisindex!$A$6,YEAR(CU$4)&gt;=YEAR($F129),AND($K129&lt;&gt;"a",$K129&lt;&gt;"b",$K129&lt;&gt;"g",$K129&lt;&gt;"k")),1,IF(AND($E129&lt;&gt;0,$F129&gt;0,YEAR($F129)&gt;=Preisindex!$A$6,YEAR(CU$4)&gt;=YEAR($F129),$K129="a"),ROUND(VLOOKUP(CZ$4,Preisindex,5,FALSE)/VLOOKUP(YEAR($F129),Preisindex,5,FALSE),2),IF(AND($E129&lt;&gt;0,$F129&gt;0,YEAR($F129)&gt;=Preisindex!$A$6,YEAR(CU$4)&gt;=YEAR($F129),$K129="b"),ROUND(VLOOKUP(CZ$4,Preisindex,3,FALSE)/VLOOKUP(YEAR($F129),Preisindex,3,FALSE),2),IF(AND($E129&lt;&gt;0,$F129&gt;0,YEAR($F129)&gt;=Preisindex!$A$6,YEAR(CU$4)&gt;=YEAR($F129),$K129="g"),ROUND(VLOOKUP(CZ$4,Preisindex,4,FALSE)/VLOOKUP(YEAR($F129),Preisindex,4,FALSE),2),IF(AND($E129&lt;&gt;0,$F129&gt;0,YEAR($F129)&gt;=Preisindex!$A$6,YEAR(CU$4)&gt;=YEAR($F129),$K129="k"),ROUND(VLOOKUP(CZ$4,Preisindex,2,FALSE)/VLOOKUP(YEAR($F129),Preisindex,2,FALSE),2),0)))))</f>
        <v>0</v>
      </c>
      <c r="DA129" s="56">
        <f>IF(AND($E129&lt;&gt;0,$F129&gt;0,YEAR($F129)&lt;Preisindex!$A$6,YEAR(CU$4)&gt;=YEAR($F129),AND($K129&lt;&gt;"a",$K129&lt;&gt;"b",$K129&lt;&gt;"g",$K129&lt;&gt;"k")),1,IF(AND($E129&lt;&gt;0,$F129&gt;0,YEAR($F129)&lt;Preisindex!$A$6,YEAR(CU$4)&gt;=YEAR($F129),$K129="a"),ROUND(VLOOKUP(CZ$4,Preisindex,5,FALSE)/VLOOKUP(Preisindex!$A$6,Preisindex,5,FALSE),2),IF(AND($E129&lt;&gt;0,$F129&gt;0,YEAR($F129)&lt;Preisindex!$A$6,YEAR(CU$4)&gt;=YEAR($F129),$K129="b"),ROUND(VLOOKUP(CZ$4,Preisindex,3,FALSE)/VLOOKUP(Preisindex!$A$6,Preisindex,3,FALSE),2),IF(AND($E129&lt;&gt;0,$F129&gt;0,YEAR($F129)&lt;Preisindex!$A$6,YEAR(CU$4)&gt;=YEAR($F129),$K129="g"),ROUND(VLOOKUP(CZ$4,Preisindex,4,FALSE)/VLOOKUP(Preisindex!$A$6,Preisindex,4,FALSE),2),IF(AND($E129&lt;&gt;0,$F129&gt;0,YEAR($F129)&lt;Preisindex!$A$6,YEAR(CU$4)&gt;=YEAR($F129),$K129="k"),ROUND(VLOOKUP(CZ$4,Preisindex,2,FALSE)/VLOOKUP(Preisindex!$A$6,Preisindex,2,FALSE),2),0)))))</f>
        <v>0</v>
      </c>
      <c r="DB129" s="51">
        <f>IF(AND($E129&lt;&gt;0,$F129&gt;0,YEAR($F129)&lt;=CZ$4,YEAR($F129)&gt;=Preisindex!$A$6),ROUND($E129*CZ129,2),IF(AND($E129&lt;&gt;0,$F129&gt;0,YEAR($F129)&lt;=CZ$4,YEAR($F129)&lt;Preisindex!$A$6),ROUND($E129*DA129,2),0))</f>
        <v>0</v>
      </c>
      <c r="DC129" s="53">
        <f t="shared" si="393"/>
        <v>0</v>
      </c>
      <c r="DD129" s="51">
        <f t="shared" si="491"/>
        <v>0</v>
      </c>
      <c r="DE129" s="51">
        <f t="shared" si="468"/>
        <v>0</v>
      </c>
      <c r="DF129" s="51">
        <f t="shared" si="395"/>
        <v>0</v>
      </c>
      <c r="DG129" s="51">
        <f t="shared" si="469"/>
        <v>0</v>
      </c>
      <c r="DH129" s="51">
        <f t="shared" si="396"/>
        <v>0</v>
      </c>
      <c r="DI129" s="51">
        <f t="shared" si="470"/>
        <v>0</v>
      </c>
      <c r="DJ129" s="51">
        <f t="shared" si="397"/>
        <v>0</v>
      </c>
      <c r="DK129" s="51">
        <f t="shared" si="471"/>
        <v>0</v>
      </c>
      <c r="DL129" s="51">
        <f t="shared" si="398"/>
        <v>0</v>
      </c>
      <c r="DM129" s="51">
        <f t="shared" si="472"/>
        <v>0</v>
      </c>
      <c r="DN129" s="51">
        <f t="shared" si="399"/>
        <v>0</v>
      </c>
      <c r="DO129" s="54">
        <f t="shared" si="400"/>
        <v>0</v>
      </c>
      <c r="DP129" s="55">
        <f t="shared" si="401"/>
        <v>0</v>
      </c>
      <c r="DQ129" s="56">
        <f>IF(AND($E129&lt;&gt;0,$F129&gt;0,YEAR($F129)&gt;=Preisindex!$A$6,YEAR(DL$4)&gt;=YEAR($F129),AND($K129&lt;&gt;"a",$K129&lt;&gt;"b",$K129&lt;&gt;"g",$K129&lt;&gt;"k")),1,IF(AND($E129&lt;&gt;0,$F129&gt;0,YEAR($F129)&gt;=Preisindex!$A$6,YEAR(DL$4)&gt;=YEAR($F129),$K129="a"),ROUND(VLOOKUP(DQ$4,Preisindex,5,FALSE)/VLOOKUP(YEAR($F129),Preisindex,5,FALSE),2),IF(AND($E129&lt;&gt;0,$F129&gt;0,YEAR($F129)&gt;=Preisindex!$A$6,YEAR(DL$4)&gt;=YEAR($F129),$K129="b"),ROUND(VLOOKUP(DQ$4,Preisindex,3,FALSE)/VLOOKUP(YEAR($F129),Preisindex,3,FALSE),2),IF(AND($E129&lt;&gt;0,$F129&gt;0,YEAR($F129)&gt;=Preisindex!$A$6,YEAR(DL$4)&gt;=YEAR($F129),$K129="g"),ROUND(VLOOKUP(DQ$4,Preisindex,4,FALSE)/VLOOKUP(YEAR($F129),Preisindex,4,FALSE),2),IF(AND($E129&lt;&gt;0,$F129&gt;0,YEAR($F129)&gt;=Preisindex!$A$6,YEAR(DL$4)&gt;=YEAR($F129),$K129="k"),ROUND(VLOOKUP(DQ$4,Preisindex,2,FALSE)/VLOOKUP(YEAR($F129),Preisindex,2,FALSE),2),0)))))</f>
        <v>0</v>
      </c>
      <c r="DR129" s="56">
        <f>IF(AND($E129&lt;&gt;0,$F129&gt;0,YEAR($F129)&lt;Preisindex!$A$6,YEAR(DL$4)&gt;=YEAR($F129),AND($K129&lt;&gt;"a",$K129&lt;&gt;"b",$K129&lt;&gt;"g",$K129&lt;&gt;"k")),1,IF(AND($E129&lt;&gt;0,$F129&gt;0,YEAR($F129)&lt;Preisindex!$A$6,YEAR(DL$4)&gt;=YEAR($F129),$K129="a"),ROUND(VLOOKUP(DQ$4,Preisindex,5,FALSE)/VLOOKUP(Preisindex!$A$6,Preisindex,5,FALSE),2),IF(AND($E129&lt;&gt;0,$F129&gt;0,YEAR($F129)&lt;Preisindex!$A$6,YEAR(DL$4)&gt;=YEAR($F129),$K129="b"),ROUND(VLOOKUP(DQ$4,Preisindex,3,FALSE)/VLOOKUP(Preisindex!$A$6,Preisindex,3,FALSE),2),IF(AND($E129&lt;&gt;0,$F129&gt;0,YEAR($F129)&lt;Preisindex!$A$6,YEAR(DL$4)&gt;=YEAR($F129),$K129="g"),ROUND(VLOOKUP(DQ$4,Preisindex,4,FALSE)/VLOOKUP(Preisindex!$A$6,Preisindex,4,FALSE),2),IF(AND($E129&lt;&gt;0,$F129&gt;0,YEAR($F129)&lt;Preisindex!$A$6,YEAR(DL$4)&gt;=YEAR($F129),$K129="k"),ROUND(VLOOKUP(DQ$4,Preisindex,2,FALSE)/VLOOKUP(Preisindex!$A$6,Preisindex,2,FALSE),2),0)))))</f>
        <v>0</v>
      </c>
      <c r="DS129" s="51">
        <f>IF(AND($E129&lt;&gt;0,$F129&gt;0,YEAR($F129)&lt;=DQ$4,YEAR($F129)&gt;=Preisindex!$A$6),ROUND($E129*DQ129,2),IF(AND($E129&lt;&gt;0,$F129&gt;0,YEAR($F129)&lt;=DQ$4,YEAR($F129)&lt;Preisindex!$A$6),ROUND($E129*DR129,2),0))</f>
        <v>0</v>
      </c>
      <c r="DT129" s="53">
        <f t="shared" si="402"/>
        <v>0</v>
      </c>
      <c r="DU129" s="51">
        <f t="shared" si="491"/>
        <v>0</v>
      </c>
      <c r="DV129" s="51">
        <f t="shared" si="473"/>
        <v>0</v>
      </c>
      <c r="DW129" s="51">
        <f t="shared" si="403"/>
        <v>0</v>
      </c>
      <c r="DX129" s="51">
        <f t="shared" si="474"/>
        <v>0</v>
      </c>
      <c r="DY129" s="51">
        <f t="shared" si="404"/>
        <v>0</v>
      </c>
      <c r="DZ129" s="51">
        <f t="shared" si="475"/>
        <v>0</v>
      </c>
      <c r="EA129" s="51">
        <f t="shared" si="405"/>
        <v>0</v>
      </c>
      <c r="EB129" s="51">
        <f t="shared" si="476"/>
        <v>0</v>
      </c>
      <c r="EC129" s="51">
        <f t="shared" si="406"/>
        <v>0</v>
      </c>
      <c r="ED129" s="51">
        <f t="shared" si="477"/>
        <v>0</v>
      </c>
      <c r="EE129" s="51">
        <f t="shared" si="407"/>
        <v>0</v>
      </c>
      <c r="EF129" s="54">
        <f t="shared" si="408"/>
        <v>0</v>
      </c>
      <c r="EG129" s="55">
        <f t="shared" si="409"/>
        <v>0</v>
      </c>
      <c r="EH129" s="56">
        <f>IF(AND($E129&lt;&gt;0,$F129&gt;0,YEAR($F129)&gt;=Preisindex!$A$6,YEAR(EC$4)&gt;=YEAR($F129),AND($K129&lt;&gt;"a",$K129&lt;&gt;"b",$K129&lt;&gt;"g",$K129&lt;&gt;"k")),1,IF(AND($E129&lt;&gt;0,$F129&gt;0,YEAR($F129)&gt;=Preisindex!$A$6,YEAR(EC$4)&gt;=YEAR($F129),$K129="a"),ROUND(VLOOKUP(EH$4,Preisindex,5,FALSE)/VLOOKUP(YEAR($F129),Preisindex,5,FALSE),2),IF(AND($E129&lt;&gt;0,$F129&gt;0,YEAR($F129)&gt;=Preisindex!$A$6,YEAR(EC$4)&gt;=YEAR($F129),$K129="b"),ROUND(VLOOKUP(EH$4,Preisindex,3,FALSE)/VLOOKUP(YEAR($F129),Preisindex,3,FALSE),2),IF(AND($E129&lt;&gt;0,$F129&gt;0,YEAR($F129)&gt;=Preisindex!$A$6,YEAR(EC$4)&gt;=YEAR($F129),$K129="g"),ROUND(VLOOKUP(EH$4,Preisindex,4,FALSE)/VLOOKUP(YEAR($F129),Preisindex,4,FALSE),2),IF(AND($E129&lt;&gt;0,$F129&gt;0,YEAR($F129)&gt;=Preisindex!$A$6,YEAR(EC$4)&gt;=YEAR($F129),$K129="k"),ROUND(VLOOKUP(EH$4,Preisindex,2,FALSE)/VLOOKUP(YEAR($F129),Preisindex,2,FALSE),2),0)))))</f>
        <v>0</v>
      </c>
      <c r="EI129" s="56">
        <f>IF(AND($E129&lt;&gt;0,$F129&gt;0,YEAR($F129)&lt;Preisindex!$A$6,YEAR(EC$4)&gt;=YEAR($F129),AND($K129&lt;&gt;"a",$K129&lt;&gt;"b",$K129&lt;&gt;"g",$K129&lt;&gt;"k")),1,IF(AND($E129&lt;&gt;0,$F129&gt;0,YEAR($F129)&lt;Preisindex!$A$6,YEAR(EC$4)&gt;=YEAR($F129),$K129="a"),ROUND(VLOOKUP(EH$4,Preisindex,5,FALSE)/VLOOKUP(Preisindex!$A$6,Preisindex,5,FALSE),2),IF(AND($E129&lt;&gt;0,$F129&gt;0,YEAR($F129)&lt;Preisindex!$A$6,YEAR(EC$4)&gt;=YEAR($F129),$K129="b"),ROUND(VLOOKUP(EH$4,Preisindex,3,FALSE)/VLOOKUP(Preisindex!$A$6,Preisindex,3,FALSE),2),IF(AND($E129&lt;&gt;0,$F129&gt;0,YEAR($F129)&lt;Preisindex!$A$6,YEAR(EC$4)&gt;=YEAR($F129),$K129="g"),ROUND(VLOOKUP(EH$4,Preisindex,4,FALSE)/VLOOKUP(Preisindex!$A$6,Preisindex,4,FALSE),2),IF(AND($E129&lt;&gt;0,$F129&gt;0,YEAR($F129)&lt;Preisindex!$A$6,YEAR(EC$4)&gt;=YEAR($F129),$K129="k"),ROUND(VLOOKUP(EH$4,Preisindex,2,FALSE)/VLOOKUP(Preisindex!$A$6,Preisindex,2,FALSE),2),0)))))</f>
        <v>0</v>
      </c>
      <c r="EJ129" s="51">
        <f>IF(AND($E129&lt;&gt;0,$F129&gt;0,YEAR($F129)&lt;=EH$4,YEAR($F129)&gt;=Preisindex!$A$6),ROUND($E129*EH129,2),IF(AND($E129&lt;&gt;0,$F129&gt;0,YEAR($F129)&lt;=EH$4,YEAR($F129)&lt;Preisindex!$A$6),ROUND($E129*EI129,2),0))</f>
        <v>0</v>
      </c>
      <c r="EK129" s="53">
        <f t="shared" si="410"/>
        <v>0</v>
      </c>
      <c r="EL129" s="51">
        <f t="shared" si="491"/>
        <v>0</v>
      </c>
      <c r="EM129" s="51">
        <f t="shared" si="478"/>
        <v>0</v>
      </c>
      <c r="EN129" s="51">
        <f t="shared" si="411"/>
        <v>0</v>
      </c>
      <c r="EO129" s="51">
        <f t="shared" si="479"/>
        <v>0</v>
      </c>
      <c r="EP129" s="51">
        <f t="shared" si="412"/>
        <v>0</v>
      </c>
      <c r="EQ129" s="51">
        <f t="shared" si="480"/>
        <v>0</v>
      </c>
      <c r="ER129" s="51">
        <f t="shared" si="413"/>
        <v>0</v>
      </c>
      <c r="ES129" s="51">
        <f t="shared" si="481"/>
        <v>0</v>
      </c>
      <c r="ET129" s="51">
        <f t="shared" si="414"/>
        <v>0</v>
      </c>
      <c r="EU129" s="51">
        <f t="shared" si="482"/>
        <v>0</v>
      </c>
      <c r="EV129" s="51">
        <f t="shared" si="415"/>
        <v>0</v>
      </c>
      <c r="EW129" s="54">
        <f t="shared" si="416"/>
        <v>0</v>
      </c>
      <c r="EX129" s="55">
        <f t="shared" si="417"/>
        <v>0</v>
      </c>
      <c r="EY129" s="56">
        <f>IF(AND($E129&lt;&gt;0,$F129&gt;0,YEAR($F129)&gt;=Preisindex!$A$6,YEAR(ET$4)&gt;=YEAR($F129),AND($K129&lt;&gt;"a",$K129&lt;&gt;"b",$K129&lt;&gt;"g",$K129&lt;&gt;"k")),1,IF(AND($E129&lt;&gt;0,$F129&gt;0,YEAR($F129)&gt;=Preisindex!$A$6,YEAR(ET$4)&gt;=YEAR($F129),$K129="a"),ROUND(VLOOKUP(EY$4,Preisindex,5,FALSE)/VLOOKUP(YEAR($F129),Preisindex,5,FALSE),2),IF(AND($E129&lt;&gt;0,$F129&gt;0,YEAR($F129)&gt;=Preisindex!$A$6,YEAR(ET$4)&gt;=YEAR($F129),$K129="b"),ROUND(VLOOKUP(EY$4,Preisindex,3,FALSE)/VLOOKUP(YEAR($F129),Preisindex,3,FALSE),2),IF(AND($E129&lt;&gt;0,$F129&gt;0,YEAR($F129)&gt;=Preisindex!$A$6,YEAR(ET$4)&gt;=YEAR($F129),$K129="g"),ROUND(VLOOKUP(EY$4,Preisindex,4,FALSE)/VLOOKUP(YEAR($F129),Preisindex,4,FALSE),2),IF(AND($E129&lt;&gt;0,$F129&gt;0,YEAR($F129)&gt;=Preisindex!$A$6,YEAR(ET$4)&gt;=YEAR($F129),$K129="k"),ROUND(VLOOKUP(EY$4,Preisindex,2,FALSE)/VLOOKUP(YEAR($F129),Preisindex,2,FALSE),2),0)))))</f>
        <v>0</v>
      </c>
      <c r="EZ129" s="56">
        <f>IF(AND($E129&lt;&gt;0,$F129&gt;0,YEAR($F129)&lt;Preisindex!$A$6,YEAR(ET$4)&gt;=YEAR($F129),AND($K129&lt;&gt;"a",$K129&lt;&gt;"b",$K129&lt;&gt;"g",$K129&lt;&gt;"k")),1,IF(AND($E129&lt;&gt;0,$F129&gt;0,YEAR($F129)&lt;Preisindex!$A$6,YEAR(ET$4)&gt;=YEAR($F129),$K129="a"),ROUND(VLOOKUP(EY$4,Preisindex,5,FALSE)/VLOOKUP(Preisindex!$A$6,Preisindex,5,FALSE),2),IF(AND($E129&lt;&gt;0,$F129&gt;0,YEAR($F129)&lt;Preisindex!$A$6,YEAR(ET$4)&gt;=YEAR($F129),$K129="b"),ROUND(VLOOKUP(EY$4,Preisindex,3,FALSE)/VLOOKUP(Preisindex!$A$6,Preisindex,3,FALSE),2),IF(AND($E129&lt;&gt;0,$F129&gt;0,YEAR($F129)&lt;Preisindex!$A$6,YEAR(ET$4)&gt;=YEAR($F129),$K129="g"),ROUND(VLOOKUP(EY$4,Preisindex,4,FALSE)/VLOOKUP(Preisindex!$A$6,Preisindex,4,FALSE),2),IF(AND($E129&lt;&gt;0,$F129&gt;0,YEAR($F129)&lt;Preisindex!$A$6,YEAR(ET$4)&gt;=YEAR($F129),$K129="k"),ROUND(VLOOKUP(EY$4,Preisindex,2,FALSE)/VLOOKUP(Preisindex!$A$6,Preisindex,2,FALSE),2),0)))))</f>
        <v>0</v>
      </c>
      <c r="FA129" s="51">
        <f>IF(AND($E129&lt;&gt;0,$F129&gt;0,YEAR($F129)&lt;=EY$4,YEAR($F129)&gt;=Preisindex!$A$6),ROUND($E129*EY129,2),IF(AND($E129&lt;&gt;0,$F129&gt;0,YEAR($F129)&lt;=EY$4,YEAR($F129)&lt;Preisindex!$A$6),ROUND($E129*EZ129,2),0))</f>
        <v>0</v>
      </c>
      <c r="FB129" s="53">
        <f t="shared" si="418"/>
        <v>0</v>
      </c>
      <c r="FC129" s="51">
        <f t="shared" si="491"/>
        <v>0</v>
      </c>
      <c r="FD129" s="51">
        <f t="shared" si="483"/>
        <v>0</v>
      </c>
      <c r="FE129" s="51">
        <f t="shared" si="419"/>
        <v>0</v>
      </c>
      <c r="FF129" s="51">
        <f t="shared" si="484"/>
        <v>0</v>
      </c>
      <c r="FG129" s="51">
        <f t="shared" si="420"/>
        <v>0</v>
      </c>
      <c r="FH129" s="51">
        <f t="shared" si="485"/>
        <v>0</v>
      </c>
      <c r="FI129" s="51">
        <f t="shared" si="421"/>
        <v>0</v>
      </c>
      <c r="FJ129" s="51">
        <f t="shared" si="486"/>
        <v>0</v>
      </c>
      <c r="FK129" s="51">
        <f t="shared" si="422"/>
        <v>0</v>
      </c>
      <c r="FL129" s="51">
        <f t="shared" si="487"/>
        <v>0</v>
      </c>
      <c r="FM129" s="51">
        <f t="shared" si="423"/>
        <v>0</v>
      </c>
      <c r="FN129" s="54">
        <f t="shared" si="424"/>
        <v>0</v>
      </c>
      <c r="FO129" s="55">
        <f t="shared" si="425"/>
        <v>0</v>
      </c>
      <c r="FP129" s="56">
        <f>IF(AND($E129&lt;&gt;0,$F129&gt;0,YEAR($F129)&gt;=Preisindex!$A$6,YEAR(FK$4)&gt;=YEAR($F129),AND($K129&lt;&gt;"a",$K129&lt;&gt;"b",$K129&lt;&gt;"g",$K129&lt;&gt;"k")),1,IF(AND($E129&lt;&gt;0,$F129&gt;0,YEAR($F129)&gt;=Preisindex!$A$6,YEAR(FK$4)&gt;=YEAR($F129),$K129="a"),ROUND(VLOOKUP(FP$4,Preisindex,5,FALSE)/VLOOKUP(YEAR($F129),Preisindex,5,FALSE),2),IF(AND($E129&lt;&gt;0,$F129&gt;0,YEAR($F129)&gt;=Preisindex!$A$6,YEAR(FK$4)&gt;=YEAR($F129),$K129="b"),ROUND(VLOOKUP(FP$4,Preisindex,3,FALSE)/VLOOKUP(YEAR($F129),Preisindex,3,FALSE),2),IF(AND($E129&lt;&gt;0,$F129&gt;0,YEAR($F129)&gt;=Preisindex!$A$6,YEAR(FK$4)&gt;=YEAR($F129),$K129="g"),ROUND(VLOOKUP(FP$4,Preisindex,4,FALSE)/VLOOKUP(YEAR($F129),Preisindex,4,FALSE),2),IF(AND($E129&lt;&gt;0,$F129&gt;0,YEAR($F129)&gt;=Preisindex!$A$6,YEAR(FK$4)&gt;=YEAR($F129),$K129="k"),ROUND(VLOOKUP(FP$4,Preisindex,2,FALSE)/VLOOKUP(YEAR($F129),Preisindex,2,FALSE),2),0)))))</f>
        <v>0</v>
      </c>
      <c r="FQ129" s="56">
        <f>IF(AND($E129&lt;&gt;0,$F129&gt;0,YEAR($F129)&lt;Preisindex!$A$6,YEAR(FK$4)&gt;=YEAR($F129),AND($K129&lt;&gt;"a",$K129&lt;&gt;"b",$K129&lt;&gt;"g",$K129&lt;&gt;"k")),1,IF(AND($E129&lt;&gt;0,$F129&gt;0,YEAR($F129)&lt;Preisindex!$A$6,YEAR(FK$4)&gt;=YEAR($F129),$K129="a"),ROUND(VLOOKUP(FP$4,Preisindex,5,FALSE)/VLOOKUP(Preisindex!$A$6,Preisindex,5,FALSE),2),IF(AND($E129&lt;&gt;0,$F129&gt;0,YEAR($F129)&lt;Preisindex!$A$6,YEAR(FK$4)&gt;=YEAR($F129),$K129="b"),ROUND(VLOOKUP(FP$4,Preisindex,3,FALSE)/VLOOKUP(Preisindex!$A$6,Preisindex,3,FALSE),2),IF(AND($E129&lt;&gt;0,$F129&gt;0,YEAR($F129)&lt;Preisindex!$A$6,YEAR(FK$4)&gt;=YEAR($F129),$K129="g"),ROUND(VLOOKUP(FP$4,Preisindex,4,FALSE)/VLOOKUP(Preisindex!$A$6,Preisindex,4,FALSE),2),IF(AND($E129&lt;&gt;0,$F129&gt;0,YEAR($F129)&lt;Preisindex!$A$6,YEAR(FK$4)&gt;=YEAR($F129),$K129="k"),ROUND(VLOOKUP(FP$4,Preisindex,2,FALSE)/VLOOKUP(Preisindex!$A$6,Preisindex,2,FALSE),2),0)))))</f>
        <v>0</v>
      </c>
      <c r="FR129" s="51">
        <f>IF(AND($E129&lt;&gt;0,$F129&gt;0,YEAR($F129)&lt;=FP$4,YEAR($F129)&gt;=Preisindex!$A$6),ROUND($E129*FP129,2),IF(AND($E129&lt;&gt;0,$F129&gt;0,YEAR($F129)&lt;=FP$4,YEAR($F129)&lt;Preisindex!$A$6),ROUND($E129*FQ129,2),0))</f>
        <v>0</v>
      </c>
      <c r="FS129" s="53">
        <f t="shared" si="426"/>
        <v>0</v>
      </c>
    </row>
    <row r="130" spans="1:175" x14ac:dyDescent="0.3">
      <c r="A130" s="93"/>
      <c r="B130" s="94"/>
      <c r="C130" s="94"/>
      <c r="D130" s="95"/>
      <c r="E130" s="99"/>
      <c r="F130" s="97"/>
      <c r="G130" s="98"/>
      <c r="H130" s="620"/>
      <c r="I130" s="621"/>
      <c r="J130" s="194"/>
      <c r="K130" s="630"/>
      <c r="L130" s="49">
        <f t="shared" si="427"/>
        <v>0</v>
      </c>
      <c r="M130" s="50">
        <f t="shared" si="428"/>
        <v>0</v>
      </c>
      <c r="N130" s="51">
        <f t="shared" si="429"/>
        <v>0</v>
      </c>
      <c r="O130" s="51"/>
      <c r="P130" s="51">
        <f t="shared" si="430"/>
        <v>0</v>
      </c>
      <c r="Q130" s="52"/>
      <c r="R130" s="52"/>
      <c r="S130" s="52"/>
      <c r="T130" s="52"/>
      <c r="U130" s="52"/>
      <c r="V130" s="53">
        <f t="shared" si="431"/>
        <v>0</v>
      </c>
      <c r="W130" s="51">
        <f t="shared" si="432"/>
        <v>0</v>
      </c>
      <c r="X130" s="51">
        <f t="shared" si="433"/>
        <v>0</v>
      </c>
      <c r="Y130" s="51">
        <f t="shared" si="434"/>
        <v>0</v>
      </c>
      <c r="Z130" s="51">
        <f t="shared" si="435"/>
        <v>0</v>
      </c>
      <c r="AA130" s="51">
        <f t="shared" si="436"/>
        <v>0</v>
      </c>
      <c r="AB130" s="51">
        <f t="shared" si="437"/>
        <v>0</v>
      </c>
      <c r="AC130" s="51">
        <f t="shared" si="438"/>
        <v>0</v>
      </c>
      <c r="AD130" s="51">
        <f t="shared" si="439"/>
        <v>0</v>
      </c>
      <c r="AE130" s="51">
        <f t="shared" si="440"/>
        <v>0</v>
      </c>
      <c r="AF130" s="51">
        <f t="shared" si="441"/>
        <v>0</v>
      </c>
      <c r="AG130" s="51">
        <f t="shared" si="442"/>
        <v>0</v>
      </c>
      <c r="AH130" s="54">
        <f t="shared" si="443"/>
        <v>0</v>
      </c>
      <c r="AI130" s="55">
        <f t="shared" si="444"/>
        <v>0</v>
      </c>
      <c r="AJ130" s="56">
        <f>IF(AND($E130&lt;&gt;0,$F130&gt;0,YEAR($F130)&gt;=Preisindex!$A$6,YEAR(AE$4)&gt;=YEAR($F130),AND($K130&lt;&gt;"a",$K130&lt;&gt;"b",$K130&lt;&gt;"g",$K130&lt;&gt;"k")),1,IF(AND($E130&lt;&gt;0,$F130&gt;0,YEAR($F130)&gt;=Preisindex!$A$6,YEAR(AE$4)&gt;=YEAR($F130),$K130="a"),ROUND(VLOOKUP(AJ$4,Preisindex,5,FALSE)/VLOOKUP(YEAR($F130),Preisindex,5,FALSE),2),IF(AND($E130&lt;&gt;0,$F130&gt;0,YEAR($F130)&gt;=Preisindex!$A$6,YEAR(AE$4)&gt;=YEAR($F130),$K130="b"),ROUND(VLOOKUP(AJ$4,Preisindex,3,FALSE)/VLOOKUP(YEAR($F130),Preisindex,3,FALSE),2),IF(AND($E130&lt;&gt;0,$F130&gt;0,YEAR($F130)&gt;=Preisindex!$A$6,YEAR(AE$4)&gt;=YEAR($F130),$K130="g"),ROUND(VLOOKUP(AJ$4,Preisindex,4,FALSE)/VLOOKUP(YEAR($F130),Preisindex,4,FALSE),2),IF(AND($E130&lt;&gt;0,$F130&gt;0,YEAR($F130)&gt;=Preisindex!$A$6,YEAR(AE$4)&gt;=YEAR($F130),$K130="k"),ROUND(VLOOKUP(AJ$4,Preisindex,2,FALSE)/VLOOKUP(YEAR($F130),Preisindex,2,FALSE),2),0)))))</f>
        <v>0</v>
      </c>
      <c r="AK130" s="56">
        <f>IF(AND($E130&lt;&gt;0,$F130&gt;0,YEAR($F130)&lt;Preisindex!$A$6,YEAR(AE$4)&gt;=YEAR($F130),AND($K130&lt;&gt;"a",$K130&lt;&gt;"b",$K130&lt;&gt;"g",$K130&lt;&gt;"k")),1,IF(AND($E130&lt;&gt;0,$F130&gt;0,YEAR($F130)&lt;Preisindex!$A$6,YEAR(AE$4)&gt;=YEAR($F130),$K130="a"),ROUND(VLOOKUP(AJ$4,Preisindex,5,FALSE)/VLOOKUP(Preisindex!$A$6,Preisindex,5,FALSE),2),IF(AND($E130&lt;&gt;0,$F130&gt;0,YEAR($F130)&lt;Preisindex!$A$6,YEAR(AE$4)&gt;=YEAR($F130),$K130="b"),ROUND(VLOOKUP(AJ$4,Preisindex,3,FALSE)/VLOOKUP(Preisindex!$A$6,Preisindex,3,FALSE),2),IF(AND($E130&lt;&gt;0,$F130&gt;0,YEAR($F130)&lt;Preisindex!$A$6,YEAR(AE$4)&gt;=YEAR($F130),$K130="g"),ROUND(VLOOKUP(AJ$4,Preisindex,4,FALSE)/VLOOKUP(Preisindex!$A$6,Preisindex,4,FALSE),2),IF(AND($E130&lt;&gt;0,$F130&gt;0,YEAR($F130)&lt;Preisindex!$A$6,YEAR(AE$4)&gt;=YEAR($F130),$K130="k"),ROUND(VLOOKUP(AJ$4,Preisindex,2,FALSE)/VLOOKUP(Preisindex!$A$6,Preisindex,2,FALSE),2),0)))))</f>
        <v>0</v>
      </c>
      <c r="AL130" s="51">
        <f>IF(AND($E130&lt;&gt;0,$F130&gt;0,YEAR($F130)&lt;=AJ$4,YEAR($F130)&gt;=Preisindex!$A$6),ROUND($E130*AJ130,2),IF(AND($E130&lt;&gt;0,$F130&gt;0,YEAR($F130)&lt;=AJ$4,YEAR($F130)&lt;Preisindex!$A$6),ROUND($E130*AK130,2),0))</f>
        <v>0</v>
      </c>
      <c r="AM130" s="53">
        <f t="shared" si="445"/>
        <v>0</v>
      </c>
      <c r="AN130" s="51">
        <f t="shared" si="490"/>
        <v>0</v>
      </c>
      <c r="AO130" s="51">
        <f t="shared" si="448"/>
        <v>0</v>
      </c>
      <c r="AP130" s="51">
        <f t="shared" si="362"/>
        <v>0</v>
      </c>
      <c r="AQ130" s="51">
        <f t="shared" si="449"/>
        <v>0</v>
      </c>
      <c r="AR130" s="51">
        <f t="shared" si="363"/>
        <v>0</v>
      </c>
      <c r="AS130" s="51">
        <f t="shared" si="450"/>
        <v>0</v>
      </c>
      <c r="AT130" s="51">
        <f t="shared" si="364"/>
        <v>0</v>
      </c>
      <c r="AU130" s="51">
        <f t="shared" si="451"/>
        <v>0</v>
      </c>
      <c r="AV130" s="51">
        <f t="shared" si="365"/>
        <v>0</v>
      </c>
      <c r="AW130" s="51">
        <f t="shared" si="452"/>
        <v>0</v>
      </c>
      <c r="AX130" s="51">
        <f t="shared" si="366"/>
        <v>0</v>
      </c>
      <c r="AY130" s="54">
        <f t="shared" si="367"/>
        <v>0</v>
      </c>
      <c r="AZ130" s="55">
        <f t="shared" si="368"/>
        <v>0</v>
      </c>
      <c r="BA130" s="56">
        <f>IF(AND($E130&lt;&gt;0,$F130&gt;0,YEAR($F130)&gt;=Preisindex!$A$6,YEAR(AV$4)&gt;=YEAR($F130),AND($K130&lt;&gt;"a",$K130&lt;&gt;"b",$K130&lt;&gt;"g",$K130&lt;&gt;"k")),1,IF(AND($E130&lt;&gt;0,$F130&gt;0,YEAR($F130)&gt;=Preisindex!$A$6,YEAR(AV$4)&gt;=YEAR($F130),$K130="a"),ROUND(VLOOKUP(BA$4,Preisindex,5,FALSE)/VLOOKUP(YEAR($F130),Preisindex,5,FALSE),2),IF(AND($E130&lt;&gt;0,$F130&gt;0,YEAR($F130)&gt;=Preisindex!$A$6,YEAR(AV$4)&gt;=YEAR($F130),$K130="b"),ROUND(VLOOKUP(BA$4,Preisindex,3,FALSE)/VLOOKUP(YEAR($F130),Preisindex,3,FALSE),2),IF(AND($E130&lt;&gt;0,$F130&gt;0,YEAR($F130)&gt;=Preisindex!$A$6,YEAR(AV$4)&gt;=YEAR($F130),$K130="g"),ROUND(VLOOKUP(BA$4,Preisindex,4,FALSE)/VLOOKUP(YEAR($F130),Preisindex,4,FALSE),2),IF(AND($E130&lt;&gt;0,$F130&gt;0,YEAR($F130)&gt;=Preisindex!$A$6,YEAR(AV$4)&gt;=YEAR($F130),$K130="k"),ROUND(VLOOKUP(BA$4,Preisindex,2,FALSE)/VLOOKUP(YEAR($F130),Preisindex,2,FALSE),2),0)))))</f>
        <v>0</v>
      </c>
      <c r="BB130" s="56">
        <f>IF(AND($E130&lt;&gt;0,$F130&gt;0,YEAR($F130)&lt;Preisindex!$A$6,YEAR(AV$4)&gt;=YEAR($F130),AND($K130&lt;&gt;"a",$K130&lt;&gt;"b",$K130&lt;&gt;"g",$K130&lt;&gt;"k")),1,IF(AND($E130&lt;&gt;0,$F130&gt;0,YEAR($F130)&lt;Preisindex!$A$6,YEAR(AV$4)&gt;=YEAR($F130),$K130="a"),ROUND(VLOOKUP(BA$4,Preisindex,5,FALSE)/VLOOKUP(Preisindex!$A$6,Preisindex,5,FALSE),2),IF(AND($E130&lt;&gt;0,$F130&gt;0,YEAR($F130)&lt;Preisindex!$A$6,YEAR(AV$4)&gt;=YEAR($F130),$K130="b"),ROUND(VLOOKUP(BA$4,Preisindex,3,FALSE)/VLOOKUP(Preisindex!$A$6,Preisindex,3,FALSE),2),IF(AND($E130&lt;&gt;0,$F130&gt;0,YEAR($F130)&lt;Preisindex!$A$6,YEAR(AV$4)&gt;=YEAR($F130),$K130="g"),ROUND(VLOOKUP(BA$4,Preisindex,4,FALSE)/VLOOKUP(Preisindex!$A$6,Preisindex,4,FALSE),2),IF(AND($E130&lt;&gt;0,$F130&gt;0,YEAR($F130)&lt;Preisindex!$A$6,YEAR(AV$4)&gt;=YEAR($F130),$K130="k"),ROUND(VLOOKUP(BA$4,Preisindex,2,FALSE)/VLOOKUP(Preisindex!$A$6,Preisindex,2,FALSE),2),0)))))</f>
        <v>0</v>
      </c>
      <c r="BC130" s="51">
        <f>IF(AND($E130&lt;&gt;0,$F130&gt;0,YEAR($F130)&lt;=BA$4,YEAR($F130)&gt;=Preisindex!$A$6),ROUND($E130*BA130,2),IF(AND($E130&lt;&gt;0,$F130&gt;0,YEAR($F130)&lt;=BA$4,YEAR($F130)&lt;Preisindex!$A$6),ROUND($E130*BB130,2),0))</f>
        <v>0</v>
      </c>
      <c r="BD130" s="53">
        <f t="shared" si="369"/>
        <v>0</v>
      </c>
      <c r="BE130" s="51">
        <f t="shared" si="490"/>
        <v>0</v>
      </c>
      <c r="BF130" s="51">
        <f t="shared" si="453"/>
        <v>0</v>
      </c>
      <c r="BG130" s="51">
        <f t="shared" si="370"/>
        <v>0</v>
      </c>
      <c r="BH130" s="51">
        <f t="shared" si="454"/>
        <v>0</v>
      </c>
      <c r="BI130" s="51">
        <f t="shared" si="371"/>
        <v>0</v>
      </c>
      <c r="BJ130" s="51">
        <f t="shared" si="455"/>
        <v>0</v>
      </c>
      <c r="BK130" s="51">
        <f t="shared" si="372"/>
        <v>0</v>
      </c>
      <c r="BL130" s="51">
        <f t="shared" si="456"/>
        <v>0</v>
      </c>
      <c r="BM130" s="51">
        <f t="shared" si="373"/>
        <v>0</v>
      </c>
      <c r="BN130" s="51">
        <f t="shared" si="457"/>
        <v>0</v>
      </c>
      <c r="BO130" s="51">
        <f t="shared" si="374"/>
        <v>0</v>
      </c>
      <c r="BP130" s="54">
        <f t="shared" si="375"/>
        <v>0</v>
      </c>
      <c r="BQ130" s="55">
        <f t="shared" si="376"/>
        <v>0</v>
      </c>
      <c r="BR130" s="56">
        <f>IF(AND($E130&lt;&gt;0,$F130&gt;0,YEAR($F130)&gt;=Preisindex!$A$6,YEAR(BM$4)&gt;=YEAR($F130),AND($K130&lt;&gt;"a",$K130&lt;&gt;"b",$K130&lt;&gt;"g",$K130&lt;&gt;"k")),1,IF(AND($E130&lt;&gt;0,$F130&gt;0,YEAR($F130)&gt;=Preisindex!$A$6,YEAR(BM$4)&gt;=YEAR($F130),$K130="a"),ROUND(VLOOKUP(BR$4,Preisindex,5,FALSE)/VLOOKUP(YEAR($F130),Preisindex,5,FALSE),2),IF(AND($E130&lt;&gt;0,$F130&gt;0,YEAR($F130)&gt;=Preisindex!$A$6,YEAR(BM$4)&gt;=YEAR($F130),$K130="b"),ROUND(VLOOKUP(BR$4,Preisindex,3,FALSE)/VLOOKUP(YEAR($F130),Preisindex,3,FALSE),2),IF(AND($E130&lt;&gt;0,$F130&gt;0,YEAR($F130)&gt;=Preisindex!$A$6,YEAR(BM$4)&gt;=YEAR($F130),$K130="g"),ROUND(VLOOKUP(BR$4,Preisindex,4,FALSE)/VLOOKUP(YEAR($F130),Preisindex,4,FALSE),2),IF(AND($E130&lt;&gt;0,$F130&gt;0,YEAR($F130)&gt;=Preisindex!$A$6,YEAR(BM$4)&gt;=YEAR($F130),$K130="k"),ROUND(VLOOKUP(BR$4,Preisindex,2,FALSE)/VLOOKUP(YEAR($F130),Preisindex,2,FALSE),2),0)))))</f>
        <v>0</v>
      </c>
      <c r="BS130" s="56">
        <f>IF(AND($E130&lt;&gt;0,$F130&gt;0,YEAR($F130)&lt;Preisindex!$A$6,YEAR(BM$4)&gt;=YEAR($F130),AND($K130&lt;&gt;"a",$K130&lt;&gt;"b",$K130&lt;&gt;"g",$K130&lt;&gt;"k")),1,IF(AND($E130&lt;&gt;0,$F130&gt;0,YEAR($F130)&lt;Preisindex!$A$6,YEAR(BM$4)&gt;=YEAR($F130),$K130="a"),ROUND(VLOOKUP(BR$4,Preisindex,5,FALSE)/VLOOKUP(Preisindex!$A$6,Preisindex,5,FALSE),2),IF(AND($E130&lt;&gt;0,$F130&gt;0,YEAR($F130)&lt;Preisindex!$A$6,YEAR(BM$4)&gt;=YEAR($F130),$K130="b"),ROUND(VLOOKUP(BR$4,Preisindex,3,FALSE)/VLOOKUP(Preisindex!$A$6,Preisindex,3,FALSE),2),IF(AND($E130&lt;&gt;0,$F130&gt;0,YEAR($F130)&lt;Preisindex!$A$6,YEAR(BM$4)&gt;=YEAR($F130),$K130="g"),ROUND(VLOOKUP(BR$4,Preisindex,4,FALSE)/VLOOKUP(Preisindex!$A$6,Preisindex,4,FALSE),2),IF(AND($E130&lt;&gt;0,$F130&gt;0,YEAR($F130)&lt;Preisindex!$A$6,YEAR(BM$4)&gt;=YEAR($F130),$K130="k"),ROUND(VLOOKUP(BR$4,Preisindex,2,FALSE)/VLOOKUP(Preisindex!$A$6,Preisindex,2,FALSE),2),0)))))</f>
        <v>0</v>
      </c>
      <c r="BT130" s="51">
        <f>IF(AND($E130&lt;&gt;0,$F130&gt;0,YEAR($F130)&lt;=BR$4,YEAR($F130)&gt;=Preisindex!$A$6),ROUND($E130*BR130,2),IF(AND($E130&lt;&gt;0,$F130&gt;0,YEAR($F130)&lt;=BR$4,YEAR($F130)&lt;Preisindex!$A$6),ROUND($E130*BS130,2),0))</f>
        <v>0</v>
      </c>
      <c r="BU130" s="53">
        <f t="shared" si="377"/>
        <v>0</v>
      </c>
      <c r="BV130" s="51">
        <f t="shared" si="490"/>
        <v>0</v>
      </c>
      <c r="BW130" s="51">
        <f t="shared" si="458"/>
        <v>0</v>
      </c>
      <c r="BX130" s="51">
        <f t="shared" si="378"/>
        <v>0</v>
      </c>
      <c r="BY130" s="51">
        <f t="shared" si="459"/>
        <v>0</v>
      </c>
      <c r="BZ130" s="51">
        <f t="shared" si="379"/>
        <v>0</v>
      </c>
      <c r="CA130" s="51">
        <f t="shared" si="460"/>
        <v>0</v>
      </c>
      <c r="CB130" s="51">
        <f t="shared" si="380"/>
        <v>0</v>
      </c>
      <c r="CC130" s="51">
        <f t="shared" si="461"/>
        <v>0</v>
      </c>
      <c r="CD130" s="51">
        <f t="shared" si="381"/>
        <v>0</v>
      </c>
      <c r="CE130" s="51">
        <f t="shared" si="462"/>
        <v>0</v>
      </c>
      <c r="CF130" s="51">
        <f t="shared" si="382"/>
        <v>0</v>
      </c>
      <c r="CG130" s="54">
        <f t="shared" si="383"/>
        <v>0</v>
      </c>
      <c r="CH130" s="55">
        <f t="shared" si="384"/>
        <v>0</v>
      </c>
      <c r="CI130" s="56">
        <f>IF(AND($E130&lt;&gt;0,$F130&gt;0,YEAR($F130)&gt;=Preisindex!$A$6,YEAR(CD$4)&gt;=YEAR($F130),AND($K130&lt;&gt;"a",$K130&lt;&gt;"b",$K130&lt;&gt;"g",$K130&lt;&gt;"k")),1,IF(AND($E130&lt;&gt;0,$F130&gt;0,YEAR($F130)&gt;=Preisindex!$A$6,YEAR(CD$4)&gt;=YEAR($F130),$K130="a"),ROUND(VLOOKUP(CI$4,Preisindex,5,FALSE)/VLOOKUP(YEAR($F130),Preisindex,5,FALSE),2),IF(AND($E130&lt;&gt;0,$F130&gt;0,YEAR($F130)&gt;=Preisindex!$A$6,YEAR(CD$4)&gt;=YEAR($F130),$K130="b"),ROUND(VLOOKUP(CI$4,Preisindex,3,FALSE)/VLOOKUP(YEAR($F130),Preisindex,3,FALSE),2),IF(AND($E130&lt;&gt;0,$F130&gt;0,YEAR($F130)&gt;=Preisindex!$A$6,YEAR(CD$4)&gt;=YEAR($F130),$K130="g"),ROUND(VLOOKUP(CI$4,Preisindex,4,FALSE)/VLOOKUP(YEAR($F130),Preisindex,4,FALSE),2),IF(AND($E130&lt;&gt;0,$F130&gt;0,YEAR($F130)&gt;=Preisindex!$A$6,YEAR(CD$4)&gt;=YEAR($F130),$K130="k"),ROUND(VLOOKUP(CI$4,Preisindex,2,FALSE)/VLOOKUP(YEAR($F130),Preisindex,2,FALSE),2),0)))))</f>
        <v>0</v>
      </c>
      <c r="CJ130" s="56">
        <f>IF(AND($E130&lt;&gt;0,$F130&gt;0,YEAR($F130)&lt;Preisindex!$A$6,YEAR(CD$4)&gt;=YEAR($F130),AND($K130&lt;&gt;"a",$K130&lt;&gt;"b",$K130&lt;&gt;"g",$K130&lt;&gt;"k")),1,IF(AND($E130&lt;&gt;0,$F130&gt;0,YEAR($F130)&lt;Preisindex!$A$6,YEAR(CD$4)&gt;=YEAR($F130),$K130="a"),ROUND(VLOOKUP(CI$4,Preisindex,5,FALSE)/VLOOKUP(Preisindex!$A$6,Preisindex,5,FALSE),2),IF(AND($E130&lt;&gt;0,$F130&gt;0,YEAR($F130)&lt;Preisindex!$A$6,YEAR(CD$4)&gt;=YEAR($F130),$K130="b"),ROUND(VLOOKUP(CI$4,Preisindex,3,FALSE)/VLOOKUP(Preisindex!$A$6,Preisindex,3,FALSE),2),IF(AND($E130&lt;&gt;0,$F130&gt;0,YEAR($F130)&lt;Preisindex!$A$6,YEAR(CD$4)&gt;=YEAR($F130),$K130="g"),ROUND(VLOOKUP(CI$4,Preisindex,4,FALSE)/VLOOKUP(Preisindex!$A$6,Preisindex,4,FALSE),2),IF(AND($E130&lt;&gt;0,$F130&gt;0,YEAR($F130)&lt;Preisindex!$A$6,YEAR(CD$4)&gt;=YEAR($F130),$K130="k"),ROUND(VLOOKUP(CI$4,Preisindex,2,FALSE)/VLOOKUP(Preisindex!$A$6,Preisindex,2,FALSE),2),0)))))</f>
        <v>0</v>
      </c>
      <c r="CK130" s="51">
        <f>IF(AND($E130&lt;&gt;0,$F130&gt;0,YEAR($F130)&lt;=CI$4,YEAR($F130)&gt;=Preisindex!$A$6),ROUND($E130*CI130,2),IF(AND($E130&lt;&gt;0,$F130&gt;0,YEAR($F130)&lt;=CI$4,YEAR($F130)&lt;Preisindex!$A$6),ROUND($E130*CJ130,2),0))</f>
        <v>0</v>
      </c>
      <c r="CL130" s="53">
        <f t="shared" si="385"/>
        <v>0</v>
      </c>
      <c r="CM130" s="51">
        <f t="shared" si="490"/>
        <v>0</v>
      </c>
      <c r="CN130" s="51">
        <f t="shared" si="463"/>
        <v>0</v>
      </c>
      <c r="CO130" s="51">
        <f t="shared" si="386"/>
        <v>0</v>
      </c>
      <c r="CP130" s="51">
        <f t="shared" si="464"/>
        <v>0</v>
      </c>
      <c r="CQ130" s="51">
        <f t="shared" si="387"/>
        <v>0</v>
      </c>
      <c r="CR130" s="51">
        <f t="shared" si="465"/>
        <v>0</v>
      </c>
      <c r="CS130" s="51">
        <f t="shared" si="388"/>
        <v>0</v>
      </c>
      <c r="CT130" s="51">
        <f t="shared" si="466"/>
        <v>0</v>
      </c>
      <c r="CU130" s="51">
        <f t="shared" si="389"/>
        <v>0</v>
      </c>
      <c r="CV130" s="51">
        <f t="shared" si="467"/>
        <v>0</v>
      </c>
      <c r="CW130" s="51">
        <f t="shared" si="390"/>
        <v>0</v>
      </c>
      <c r="CX130" s="54">
        <f t="shared" si="391"/>
        <v>0</v>
      </c>
      <c r="CY130" s="55">
        <f t="shared" si="392"/>
        <v>0</v>
      </c>
      <c r="CZ130" s="56">
        <f>IF(AND($E130&lt;&gt;0,$F130&gt;0,YEAR($F130)&gt;=Preisindex!$A$6,YEAR(CU$4)&gt;=YEAR($F130),AND($K130&lt;&gt;"a",$K130&lt;&gt;"b",$K130&lt;&gt;"g",$K130&lt;&gt;"k")),1,IF(AND($E130&lt;&gt;0,$F130&gt;0,YEAR($F130)&gt;=Preisindex!$A$6,YEAR(CU$4)&gt;=YEAR($F130),$K130="a"),ROUND(VLOOKUP(CZ$4,Preisindex,5,FALSE)/VLOOKUP(YEAR($F130),Preisindex,5,FALSE),2),IF(AND($E130&lt;&gt;0,$F130&gt;0,YEAR($F130)&gt;=Preisindex!$A$6,YEAR(CU$4)&gt;=YEAR($F130),$K130="b"),ROUND(VLOOKUP(CZ$4,Preisindex,3,FALSE)/VLOOKUP(YEAR($F130),Preisindex,3,FALSE),2),IF(AND($E130&lt;&gt;0,$F130&gt;0,YEAR($F130)&gt;=Preisindex!$A$6,YEAR(CU$4)&gt;=YEAR($F130),$K130="g"),ROUND(VLOOKUP(CZ$4,Preisindex,4,FALSE)/VLOOKUP(YEAR($F130),Preisindex,4,FALSE),2),IF(AND($E130&lt;&gt;0,$F130&gt;0,YEAR($F130)&gt;=Preisindex!$A$6,YEAR(CU$4)&gt;=YEAR($F130),$K130="k"),ROUND(VLOOKUP(CZ$4,Preisindex,2,FALSE)/VLOOKUP(YEAR($F130),Preisindex,2,FALSE),2),0)))))</f>
        <v>0</v>
      </c>
      <c r="DA130" s="56">
        <f>IF(AND($E130&lt;&gt;0,$F130&gt;0,YEAR($F130)&lt;Preisindex!$A$6,YEAR(CU$4)&gt;=YEAR($F130),AND($K130&lt;&gt;"a",$K130&lt;&gt;"b",$K130&lt;&gt;"g",$K130&lt;&gt;"k")),1,IF(AND($E130&lt;&gt;0,$F130&gt;0,YEAR($F130)&lt;Preisindex!$A$6,YEAR(CU$4)&gt;=YEAR($F130),$K130="a"),ROUND(VLOOKUP(CZ$4,Preisindex,5,FALSE)/VLOOKUP(Preisindex!$A$6,Preisindex,5,FALSE),2),IF(AND($E130&lt;&gt;0,$F130&gt;0,YEAR($F130)&lt;Preisindex!$A$6,YEAR(CU$4)&gt;=YEAR($F130),$K130="b"),ROUND(VLOOKUP(CZ$4,Preisindex,3,FALSE)/VLOOKUP(Preisindex!$A$6,Preisindex,3,FALSE),2),IF(AND($E130&lt;&gt;0,$F130&gt;0,YEAR($F130)&lt;Preisindex!$A$6,YEAR(CU$4)&gt;=YEAR($F130),$K130="g"),ROUND(VLOOKUP(CZ$4,Preisindex,4,FALSE)/VLOOKUP(Preisindex!$A$6,Preisindex,4,FALSE),2),IF(AND($E130&lt;&gt;0,$F130&gt;0,YEAR($F130)&lt;Preisindex!$A$6,YEAR(CU$4)&gt;=YEAR($F130),$K130="k"),ROUND(VLOOKUP(CZ$4,Preisindex,2,FALSE)/VLOOKUP(Preisindex!$A$6,Preisindex,2,FALSE),2),0)))))</f>
        <v>0</v>
      </c>
      <c r="DB130" s="51">
        <f>IF(AND($E130&lt;&gt;0,$F130&gt;0,YEAR($F130)&lt;=CZ$4,YEAR($F130)&gt;=Preisindex!$A$6),ROUND($E130*CZ130,2),IF(AND($E130&lt;&gt;0,$F130&gt;0,YEAR($F130)&lt;=CZ$4,YEAR($F130)&lt;Preisindex!$A$6),ROUND($E130*DA130,2),0))</f>
        <v>0</v>
      </c>
      <c r="DC130" s="53">
        <f t="shared" si="393"/>
        <v>0</v>
      </c>
      <c r="DD130" s="51">
        <f t="shared" si="491"/>
        <v>0</v>
      </c>
      <c r="DE130" s="51">
        <f t="shared" si="468"/>
        <v>0</v>
      </c>
      <c r="DF130" s="51">
        <f t="shared" si="395"/>
        <v>0</v>
      </c>
      <c r="DG130" s="51">
        <f t="shared" si="469"/>
        <v>0</v>
      </c>
      <c r="DH130" s="51">
        <f t="shared" si="396"/>
        <v>0</v>
      </c>
      <c r="DI130" s="51">
        <f t="shared" si="470"/>
        <v>0</v>
      </c>
      <c r="DJ130" s="51">
        <f t="shared" si="397"/>
        <v>0</v>
      </c>
      <c r="DK130" s="51">
        <f t="shared" si="471"/>
        <v>0</v>
      </c>
      <c r="DL130" s="51">
        <f t="shared" si="398"/>
        <v>0</v>
      </c>
      <c r="DM130" s="51">
        <f t="shared" si="472"/>
        <v>0</v>
      </c>
      <c r="DN130" s="51">
        <f t="shared" si="399"/>
        <v>0</v>
      </c>
      <c r="DO130" s="54">
        <f t="shared" si="400"/>
        <v>0</v>
      </c>
      <c r="DP130" s="55">
        <f t="shared" si="401"/>
        <v>0</v>
      </c>
      <c r="DQ130" s="56">
        <f>IF(AND($E130&lt;&gt;0,$F130&gt;0,YEAR($F130)&gt;=Preisindex!$A$6,YEAR(DL$4)&gt;=YEAR($F130),AND($K130&lt;&gt;"a",$K130&lt;&gt;"b",$K130&lt;&gt;"g",$K130&lt;&gt;"k")),1,IF(AND($E130&lt;&gt;0,$F130&gt;0,YEAR($F130)&gt;=Preisindex!$A$6,YEAR(DL$4)&gt;=YEAR($F130),$K130="a"),ROUND(VLOOKUP(DQ$4,Preisindex,5,FALSE)/VLOOKUP(YEAR($F130),Preisindex,5,FALSE),2),IF(AND($E130&lt;&gt;0,$F130&gt;0,YEAR($F130)&gt;=Preisindex!$A$6,YEAR(DL$4)&gt;=YEAR($F130),$K130="b"),ROUND(VLOOKUP(DQ$4,Preisindex,3,FALSE)/VLOOKUP(YEAR($F130),Preisindex,3,FALSE),2),IF(AND($E130&lt;&gt;0,$F130&gt;0,YEAR($F130)&gt;=Preisindex!$A$6,YEAR(DL$4)&gt;=YEAR($F130),$K130="g"),ROUND(VLOOKUP(DQ$4,Preisindex,4,FALSE)/VLOOKUP(YEAR($F130),Preisindex,4,FALSE),2),IF(AND($E130&lt;&gt;0,$F130&gt;0,YEAR($F130)&gt;=Preisindex!$A$6,YEAR(DL$4)&gt;=YEAR($F130),$K130="k"),ROUND(VLOOKUP(DQ$4,Preisindex,2,FALSE)/VLOOKUP(YEAR($F130),Preisindex,2,FALSE),2),0)))))</f>
        <v>0</v>
      </c>
      <c r="DR130" s="56">
        <f>IF(AND($E130&lt;&gt;0,$F130&gt;0,YEAR($F130)&lt;Preisindex!$A$6,YEAR(DL$4)&gt;=YEAR($F130),AND($K130&lt;&gt;"a",$K130&lt;&gt;"b",$K130&lt;&gt;"g",$K130&lt;&gt;"k")),1,IF(AND($E130&lt;&gt;0,$F130&gt;0,YEAR($F130)&lt;Preisindex!$A$6,YEAR(DL$4)&gt;=YEAR($F130),$K130="a"),ROUND(VLOOKUP(DQ$4,Preisindex,5,FALSE)/VLOOKUP(Preisindex!$A$6,Preisindex,5,FALSE),2),IF(AND($E130&lt;&gt;0,$F130&gt;0,YEAR($F130)&lt;Preisindex!$A$6,YEAR(DL$4)&gt;=YEAR($F130),$K130="b"),ROUND(VLOOKUP(DQ$4,Preisindex,3,FALSE)/VLOOKUP(Preisindex!$A$6,Preisindex,3,FALSE),2),IF(AND($E130&lt;&gt;0,$F130&gt;0,YEAR($F130)&lt;Preisindex!$A$6,YEAR(DL$4)&gt;=YEAR($F130),$K130="g"),ROUND(VLOOKUP(DQ$4,Preisindex,4,FALSE)/VLOOKUP(Preisindex!$A$6,Preisindex,4,FALSE),2),IF(AND($E130&lt;&gt;0,$F130&gt;0,YEAR($F130)&lt;Preisindex!$A$6,YEAR(DL$4)&gt;=YEAR($F130),$K130="k"),ROUND(VLOOKUP(DQ$4,Preisindex,2,FALSE)/VLOOKUP(Preisindex!$A$6,Preisindex,2,FALSE),2),0)))))</f>
        <v>0</v>
      </c>
      <c r="DS130" s="51">
        <f>IF(AND($E130&lt;&gt;0,$F130&gt;0,YEAR($F130)&lt;=DQ$4,YEAR($F130)&gt;=Preisindex!$A$6),ROUND($E130*DQ130,2),IF(AND($E130&lt;&gt;0,$F130&gt;0,YEAR($F130)&lt;=DQ$4,YEAR($F130)&lt;Preisindex!$A$6),ROUND($E130*DR130,2),0))</f>
        <v>0</v>
      </c>
      <c r="DT130" s="53">
        <f t="shared" si="402"/>
        <v>0</v>
      </c>
      <c r="DU130" s="51">
        <f t="shared" si="491"/>
        <v>0</v>
      </c>
      <c r="DV130" s="51">
        <f t="shared" si="473"/>
        <v>0</v>
      </c>
      <c r="DW130" s="51">
        <f t="shared" si="403"/>
        <v>0</v>
      </c>
      <c r="DX130" s="51">
        <f t="shared" si="474"/>
        <v>0</v>
      </c>
      <c r="DY130" s="51">
        <f t="shared" si="404"/>
        <v>0</v>
      </c>
      <c r="DZ130" s="51">
        <f t="shared" si="475"/>
        <v>0</v>
      </c>
      <c r="EA130" s="51">
        <f t="shared" si="405"/>
        <v>0</v>
      </c>
      <c r="EB130" s="51">
        <f t="shared" si="476"/>
        <v>0</v>
      </c>
      <c r="EC130" s="51">
        <f t="shared" si="406"/>
        <v>0</v>
      </c>
      <c r="ED130" s="51">
        <f t="shared" si="477"/>
        <v>0</v>
      </c>
      <c r="EE130" s="51">
        <f t="shared" si="407"/>
        <v>0</v>
      </c>
      <c r="EF130" s="54">
        <f t="shared" si="408"/>
        <v>0</v>
      </c>
      <c r="EG130" s="55">
        <f t="shared" si="409"/>
        <v>0</v>
      </c>
      <c r="EH130" s="56">
        <f>IF(AND($E130&lt;&gt;0,$F130&gt;0,YEAR($F130)&gt;=Preisindex!$A$6,YEAR(EC$4)&gt;=YEAR($F130),AND($K130&lt;&gt;"a",$K130&lt;&gt;"b",$K130&lt;&gt;"g",$K130&lt;&gt;"k")),1,IF(AND($E130&lt;&gt;0,$F130&gt;0,YEAR($F130)&gt;=Preisindex!$A$6,YEAR(EC$4)&gt;=YEAR($F130),$K130="a"),ROUND(VLOOKUP(EH$4,Preisindex,5,FALSE)/VLOOKUP(YEAR($F130),Preisindex,5,FALSE),2),IF(AND($E130&lt;&gt;0,$F130&gt;0,YEAR($F130)&gt;=Preisindex!$A$6,YEAR(EC$4)&gt;=YEAR($F130),$K130="b"),ROUND(VLOOKUP(EH$4,Preisindex,3,FALSE)/VLOOKUP(YEAR($F130),Preisindex,3,FALSE),2),IF(AND($E130&lt;&gt;0,$F130&gt;0,YEAR($F130)&gt;=Preisindex!$A$6,YEAR(EC$4)&gt;=YEAR($F130),$K130="g"),ROUND(VLOOKUP(EH$4,Preisindex,4,FALSE)/VLOOKUP(YEAR($F130),Preisindex,4,FALSE),2),IF(AND($E130&lt;&gt;0,$F130&gt;0,YEAR($F130)&gt;=Preisindex!$A$6,YEAR(EC$4)&gt;=YEAR($F130),$K130="k"),ROUND(VLOOKUP(EH$4,Preisindex,2,FALSE)/VLOOKUP(YEAR($F130),Preisindex,2,FALSE),2),0)))))</f>
        <v>0</v>
      </c>
      <c r="EI130" s="56">
        <f>IF(AND($E130&lt;&gt;0,$F130&gt;0,YEAR($F130)&lt;Preisindex!$A$6,YEAR(EC$4)&gt;=YEAR($F130),AND($K130&lt;&gt;"a",$K130&lt;&gt;"b",$K130&lt;&gt;"g",$K130&lt;&gt;"k")),1,IF(AND($E130&lt;&gt;0,$F130&gt;0,YEAR($F130)&lt;Preisindex!$A$6,YEAR(EC$4)&gt;=YEAR($F130),$K130="a"),ROUND(VLOOKUP(EH$4,Preisindex,5,FALSE)/VLOOKUP(Preisindex!$A$6,Preisindex,5,FALSE),2),IF(AND($E130&lt;&gt;0,$F130&gt;0,YEAR($F130)&lt;Preisindex!$A$6,YEAR(EC$4)&gt;=YEAR($F130),$K130="b"),ROUND(VLOOKUP(EH$4,Preisindex,3,FALSE)/VLOOKUP(Preisindex!$A$6,Preisindex,3,FALSE),2),IF(AND($E130&lt;&gt;0,$F130&gt;0,YEAR($F130)&lt;Preisindex!$A$6,YEAR(EC$4)&gt;=YEAR($F130),$K130="g"),ROUND(VLOOKUP(EH$4,Preisindex,4,FALSE)/VLOOKUP(Preisindex!$A$6,Preisindex,4,FALSE),2),IF(AND($E130&lt;&gt;0,$F130&gt;0,YEAR($F130)&lt;Preisindex!$A$6,YEAR(EC$4)&gt;=YEAR($F130),$K130="k"),ROUND(VLOOKUP(EH$4,Preisindex,2,FALSE)/VLOOKUP(Preisindex!$A$6,Preisindex,2,FALSE),2),0)))))</f>
        <v>0</v>
      </c>
      <c r="EJ130" s="51">
        <f>IF(AND($E130&lt;&gt;0,$F130&gt;0,YEAR($F130)&lt;=EH$4,YEAR($F130)&gt;=Preisindex!$A$6),ROUND($E130*EH130,2),IF(AND($E130&lt;&gt;0,$F130&gt;0,YEAR($F130)&lt;=EH$4,YEAR($F130)&lt;Preisindex!$A$6),ROUND($E130*EI130,2),0))</f>
        <v>0</v>
      </c>
      <c r="EK130" s="53">
        <f t="shared" si="410"/>
        <v>0</v>
      </c>
      <c r="EL130" s="51">
        <f t="shared" si="491"/>
        <v>0</v>
      </c>
      <c r="EM130" s="51">
        <f t="shared" si="478"/>
        <v>0</v>
      </c>
      <c r="EN130" s="51">
        <f t="shared" si="411"/>
        <v>0</v>
      </c>
      <c r="EO130" s="51">
        <f t="shared" si="479"/>
        <v>0</v>
      </c>
      <c r="EP130" s="51">
        <f t="shared" si="412"/>
        <v>0</v>
      </c>
      <c r="EQ130" s="51">
        <f t="shared" si="480"/>
        <v>0</v>
      </c>
      <c r="ER130" s="51">
        <f t="shared" si="413"/>
        <v>0</v>
      </c>
      <c r="ES130" s="51">
        <f t="shared" si="481"/>
        <v>0</v>
      </c>
      <c r="ET130" s="51">
        <f t="shared" si="414"/>
        <v>0</v>
      </c>
      <c r="EU130" s="51">
        <f t="shared" si="482"/>
        <v>0</v>
      </c>
      <c r="EV130" s="51">
        <f t="shared" si="415"/>
        <v>0</v>
      </c>
      <c r="EW130" s="54">
        <f t="shared" si="416"/>
        <v>0</v>
      </c>
      <c r="EX130" s="55">
        <f t="shared" si="417"/>
        <v>0</v>
      </c>
      <c r="EY130" s="56">
        <f>IF(AND($E130&lt;&gt;0,$F130&gt;0,YEAR($F130)&gt;=Preisindex!$A$6,YEAR(ET$4)&gt;=YEAR($F130),AND($K130&lt;&gt;"a",$K130&lt;&gt;"b",$K130&lt;&gt;"g",$K130&lt;&gt;"k")),1,IF(AND($E130&lt;&gt;0,$F130&gt;0,YEAR($F130)&gt;=Preisindex!$A$6,YEAR(ET$4)&gt;=YEAR($F130),$K130="a"),ROUND(VLOOKUP(EY$4,Preisindex,5,FALSE)/VLOOKUP(YEAR($F130),Preisindex,5,FALSE),2),IF(AND($E130&lt;&gt;0,$F130&gt;0,YEAR($F130)&gt;=Preisindex!$A$6,YEAR(ET$4)&gt;=YEAR($F130),$K130="b"),ROUND(VLOOKUP(EY$4,Preisindex,3,FALSE)/VLOOKUP(YEAR($F130),Preisindex,3,FALSE),2),IF(AND($E130&lt;&gt;0,$F130&gt;0,YEAR($F130)&gt;=Preisindex!$A$6,YEAR(ET$4)&gt;=YEAR($F130),$K130="g"),ROUND(VLOOKUP(EY$4,Preisindex,4,FALSE)/VLOOKUP(YEAR($F130),Preisindex,4,FALSE),2),IF(AND($E130&lt;&gt;0,$F130&gt;0,YEAR($F130)&gt;=Preisindex!$A$6,YEAR(ET$4)&gt;=YEAR($F130),$K130="k"),ROUND(VLOOKUP(EY$4,Preisindex,2,FALSE)/VLOOKUP(YEAR($F130),Preisindex,2,FALSE),2),0)))))</f>
        <v>0</v>
      </c>
      <c r="EZ130" s="56">
        <f>IF(AND($E130&lt;&gt;0,$F130&gt;0,YEAR($F130)&lt;Preisindex!$A$6,YEAR(ET$4)&gt;=YEAR($F130),AND($K130&lt;&gt;"a",$K130&lt;&gt;"b",$K130&lt;&gt;"g",$K130&lt;&gt;"k")),1,IF(AND($E130&lt;&gt;0,$F130&gt;0,YEAR($F130)&lt;Preisindex!$A$6,YEAR(ET$4)&gt;=YEAR($F130),$K130="a"),ROUND(VLOOKUP(EY$4,Preisindex,5,FALSE)/VLOOKUP(Preisindex!$A$6,Preisindex,5,FALSE),2),IF(AND($E130&lt;&gt;0,$F130&gt;0,YEAR($F130)&lt;Preisindex!$A$6,YEAR(ET$4)&gt;=YEAR($F130),$K130="b"),ROUND(VLOOKUP(EY$4,Preisindex,3,FALSE)/VLOOKUP(Preisindex!$A$6,Preisindex,3,FALSE),2),IF(AND($E130&lt;&gt;0,$F130&gt;0,YEAR($F130)&lt;Preisindex!$A$6,YEAR(ET$4)&gt;=YEAR($F130),$K130="g"),ROUND(VLOOKUP(EY$4,Preisindex,4,FALSE)/VLOOKUP(Preisindex!$A$6,Preisindex,4,FALSE),2),IF(AND($E130&lt;&gt;0,$F130&gt;0,YEAR($F130)&lt;Preisindex!$A$6,YEAR(ET$4)&gt;=YEAR($F130),$K130="k"),ROUND(VLOOKUP(EY$4,Preisindex,2,FALSE)/VLOOKUP(Preisindex!$A$6,Preisindex,2,FALSE),2),0)))))</f>
        <v>0</v>
      </c>
      <c r="FA130" s="51">
        <f>IF(AND($E130&lt;&gt;0,$F130&gt;0,YEAR($F130)&lt;=EY$4,YEAR($F130)&gt;=Preisindex!$A$6),ROUND($E130*EY130,2),IF(AND($E130&lt;&gt;0,$F130&gt;0,YEAR($F130)&lt;=EY$4,YEAR($F130)&lt;Preisindex!$A$6),ROUND($E130*EZ130,2),0))</f>
        <v>0</v>
      </c>
      <c r="FB130" s="53">
        <f t="shared" si="418"/>
        <v>0</v>
      </c>
      <c r="FC130" s="51">
        <f t="shared" si="491"/>
        <v>0</v>
      </c>
      <c r="FD130" s="51">
        <f t="shared" si="483"/>
        <v>0</v>
      </c>
      <c r="FE130" s="51">
        <f t="shared" si="419"/>
        <v>0</v>
      </c>
      <c r="FF130" s="51">
        <f t="shared" si="484"/>
        <v>0</v>
      </c>
      <c r="FG130" s="51">
        <f t="shared" si="420"/>
        <v>0</v>
      </c>
      <c r="FH130" s="51">
        <f t="shared" si="485"/>
        <v>0</v>
      </c>
      <c r="FI130" s="51">
        <f t="shared" si="421"/>
        <v>0</v>
      </c>
      <c r="FJ130" s="51">
        <f t="shared" si="486"/>
        <v>0</v>
      </c>
      <c r="FK130" s="51">
        <f t="shared" si="422"/>
        <v>0</v>
      </c>
      <c r="FL130" s="51">
        <f t="shared" si="487"/>
        <v>0</v>
      </c>
      <c r="FM130" s="51">
        <f t="shared" si="423"/>
        <v>0</v>
      </c>
      <c r="FN130" s="54">
        <f t="shared" si="424"/>
        <v>0</v>
      </c>
      <c r="FO130" s="55">
        <f t="shared" si="425"/>
        <v>0</v>
      </c>
      <c r="FP130" s="56">
        <f>IF(AND($E130&lt;&gt;0,$F130&gt;0,YEAR($F130)&gt;=Preisindex!$A$6,YEAR(FK$4)&gt;=YEAR($F130),AND($K130&lt;&gt;"a",$K130&lt;&gt;"b",$K130&lt;&gt;"g",$K130&lt;&gt;"k")),1,IF(AND($E130&lt;&gt;0,$F130&gt;0,YEAR($F130)&gt;=Preisindex!$A$6,YEAR(FK$4)&gt;=YEAR($F130),$K130="a"),ROUND(VLOOKUP(FP$4,Preisindex,5,FALSE)/VLOOKUP(YEAR($F130),Preisindex,5,FALSE),2),IF(AND($E130&lt;&gt;0,$F130&gt;0,YEAR($F130)&gt;=Preisindex!$A$6,YEAR(FK$4)&gt;=YEAR($F130),$K130="b"),ROUND(VLOOKUP(FP$4,Preisindex,3,FALSE)/VLOOKUP(YEAR($F130),Preisindex,3,FALSE),2),IF(AND($E130&lt;&gt;0,$F130&gt;0,YEAR($F130)&gt;=Preisindex!$A$6,YEAR(FK$4)&gt;=YEAR($F130),$K130="g"),ROUND(VLOOKUP(FP$4,Preisindex,4,FALSE)/VLOOKUP(YEAR($F130),Preisindex,4,FALSE),2),IF(AND($E130&lt;&gt;0,$F130&gt;0,YEAR($F130)&gt;=Preisindex!$A$6,YEAR(FK$4)&gt;=YEAR($F130),$K130="k"),ROUND(VLOOKUP(FP$4,Preisindex,2,FALSE)/VLOOKUP(YEAR($F130),Preisindex,2,FALSE),2),0)))))</f>
        <v>0</v>
      </c>
      <c r="FQ130" s="56">
        <f>IF(AND($E130&lt;&gt;0,$F130&gt;0,YEAR($F130)&lt;Preisindex!$A$6,YEAR(FK$4)&gt;=YEAR($F130),AND($K130&lt;&gt;"a",$K130&lt;&gt;"b",$K130&lt;&gt;"g",$K130&lt;&gt;"k")),1,IF(AND($E130&lt;&gt;0,$F130&gt;0,YEAR($F130)&lt;Preisindex!$A$6,YEAR(FK$4)&gt;=YEAR($F130),$K130="a"),ROUND(VLOOKUP(FP$4,Preisindex,5,FALSE)/VLOOKUP(Preisindex!$A$6,Preisindex,5,FALSE),2),IF(AND($E130&lt;&gt;0,$F130&gt;0,YEAR($F130)&lt;Preisindex!$A$6,YEAR(FK$4)&gt;=YEAR($F130),$K130="b"),ROUND(VLOOKUP(FP$4,Preisindex,3,FALSE)/VLOOKUP(Preisindex!$A$6,Preisindex,3,FALSE),2),IF(AND($E130&lt;&gt;0,$F130&gt;0,YEAR($F130)&lt;Preisindex!$A$6,YEAR(FK$4)&gt;=YEAR($F130),$K130="g"),ROUND(VLOOKUP(FP$4,Preisindex,4,FALSE)/VLOOKUP(Preisindex!$A$6,Preisindex,4,FALSE),2),IF(AND($E130&lt;&gt;0,$F130&gt;0,YEAR($F130)&lt;Preisindex!$A$6,YEAR(FK$4)&gt;=YEAR($F130),$K130="k"),ROUND(VLOOKUP(FP$4,Preisindex,2,FALSE)/VLOOKUP(Preisindex!$A$6,Preisindex,2,FALSE),2),0)))))</f>
        <v>0</v>
      </c>
      <c r="FR130" s="51">
        <f>IF(AND($E130&lt;&gt;0,$F130&gt;0,YEAR($F130)&lt;=FP$4,YEAR($F130)&gt;=Preisindex!$A$6),ROUND($E130*FP130,2),IF(AND($E130&lt;&gt;0,$F130&gt;0,YEAR($F130)&lt;=FP$4,YEAR($F130)&lt;Preisindex!$A$6),ROUND($E130*FQ130,2),0))</f>
        <v>0</v>
      </c>
      <c r="FS130" s="53">
        <f t="shared" si="426"/>
        <v>0</v>
      </c>
    </row>
    <row r="131" spans="1:175" x14ac:dyDescent="0.3">
      <c r="A131" s="93"/>
      <c r="B131" s="94"/>
      <c r="C131" s="94"/>
      <c r="D131" s="95"/>
      <c r="E131" s="99"/>
      <c r="F131" s="97"/>
      <c r="G131" s="98"/>
      <c r="H131" s="620"/>
      <c r="I131" s="621"/>
      <c r="J131" s="194"/>
      <c r="K131" s="630"/>
      <c r="L131" s="49">
        <f t="shared" si="427"/>
        <v>0</v>
      </c>
      <c r="M131" s="50">
        <f t="shared" si="428"/>
        <v>0</v>
      </c>
      <c r="N131" s="51">
        <f t="shared" si="429"/>
        <v>0</v>
      </c>
      <c r="O131" s="51"/>
      <c r="P131" s="51">
        <f t="shared" si="430"/>
        <v>0</v>
      </c>
      <c r="Q131" s="52"/>
      <c r="R131" s="52"/>
      <c r="S131" s="52"/>
      <c r="T131" s="52"/>
      <c r="U131" s="52"/>
      <c r="V131" s="53">
        <f t="shared" si="431"/>
        <v>0</v>
      </c>
      <c r="W131" s="51">
        <f t="shared" si="432"/>
        <v>0</v>
      </c>
      <c r="X131" s="51">
        <f t="shared" si="433"/>
        <v>0</v>
      </c>
      <c r="Y131" s="51">
        <f t="shared" si="434"/>
        <v>0</v>
      </c>
      <c r="Z131" s="51">
        <f t="shared" si="435"/>
        <v>0</v>
      </c>
      <c r="AA131" s="51">
        <f t="shared" si="436"/>
        <v>0</v>
      </c>
      <c r="AB131" s="51">
        <f t="shared" si="437"/>
        <v>0</v>
      </c>
      <c r="AC131" s="51">
        <f t="shared" si="438"/>
        <v>0</v>
      </c>
      <c r="AD131" s="51">
        <f t="shared" si="439"/>
        <v>0</v>
      </c>
      <c r="AE131" s="51">
        <f t="shared" si="440"/>
        <v>0</v>
      </c>
      <c r="AF131" s="51">
        <f t="shared" si="441"/>
        <v>0</v>
      </c>
      <c r="AG131" s="51">
        <f t="shared" si="442"/>
        <v>0</v>
      </c>
      <c r="AH131" s="54">
        <f t="shared" si="443"/>
        <v>0</v>
      </c>
      <c r="AI131" s="55">
        <f t="shared" si="444"/>
        <v>0</v>
      </c>
      <c r="AJ131" s="56">
        <f>IF(AND($E131&lt;&gt;0,$F131&gt;0,YEAR($F131)&gt;=Preisindex!$A$6,YEAR(AE$4)&gt;=YEAR($F131),AND($K131&lt;&gt;"a",$K131&lt;&gt;"b",$K131&lt;&gt;"g",$K131&lt;&gt;"k")),1,IF(AND($E131&lt;&gt;0,$F131&gt;0,YEAR($F131)&gt;=Preisindex!$A$6,YEAR(AE$4)&gt;=YEAR($F131),$K131="a"),ROUND(VLOOKUP(AJ$4,Preisindex,5,FALSE)/VLOOKUP(YEAR($F131),Preisindex,5,FALSE),2),IF(AND($E131&lt;&gt;0,$F131&gt;0,YEAR($F131)&gt;=Preisindex!$A$6,YEAR(AE$4)&gt;=YEAR($F131),$K131="b"),ROUND(VLOOKUP(AJ$4,Preisindex,3,FALSE)/VLOOKUP(YEAR($F131),Preisindex,3,FALSE),2),IF(AND($E131&lt;&gt;0,$F131&gt;0,YEAR($F131)&gt;=Preisindex!$A$6,YEAR(AE$4)&gt;=YEAR($F131),$K131="g"),ROUND(VLOOKUP(AJ$4,Preisindex,4,FALSE)/VLOOKUP(YEAR($F131),Preisindex,4,FALSE),2),IF(AND($E131&lt;&gt;0,$F131&gt;0,YEAR($F131)&gt;=Preisindex!$A$6,YEAR(AE$4)&gt;=YEAR($F131),$K131="k"),ROUND(VLOOKUP(AJ$4,Preisindex,2,FALSE)/VLOOKUP(YEAR($F131),Preisindex,2,FALSE),2),0)))))</f>
        <v>0</v>
      </c>
      <c r="AK131" s="56">
        <f>IF(AND($E131&lt;&gt;0,$F131&gt;0,YEAR($F131)&lt;Preisindex!$A$6,YEAR(AE$4)&gt;=YEAR($F131),AND($K131&lt;&gt;"a",$K131&lt;&gt;"b",$K131&lt;&gt;"g",$K131&lt;&gt;"k")),1,IF(AND($E131&lt;&gt;0,$F131&gt;0,YEAR($F131)&lt;Preisindex!$A$6,YEAR(AE$4)&gt;=YEAR($F131),$K131="a"),ROUND(VLOOKUP(AJ$4,Preisindex,5,FALSE)/VLOOKUP(Preisindex!$A$6,Preisindex,5,FALSE),2),IF(AND($E131&lt;&gt;0,$F131&gt;0,YEAR($F131)&lt;Preisindex!$A$6,YEAR(AE$4)&gt;=YEAR($F131),$K131="b"),ROUND(VLOOKUP(AJ$4,Preisindex,3,FALSE)/VLOOKUP(Preisindex!$A$6,Preisindex,3,FALSE),2),IF(AND($E131&lt;&gt;0,$F131&gt;0,YEAR($F131)&lt;Preisindex!$A$6,YEAR(AE$4)&gt;=YEAR($F131),$K131="g"),ROUND(VLOOKUP(AJ$4,Preisindex,4,FALSE)/VLOOKUP(Preisindex!$A$6,Preisindex,4,FALSE),2),IF(AND($E131&lt;&gt;0,$F131&gt;0,YEAR($F131)&lt;Preisindex!$A$6,YEAR(AE$4)&gt;=YEAR($F131),$K131="k"),ROUND(VLOOKUP(AJ$4,Preisindex,2,FALSE)/VLOOKUP(Preisindex!$A$6,Preisindex,2,FALSE),2),0)))))</f>
        <v>0</v>
      </c>
      <c r="AL131" s="51">
        <f>IF(AND($E131&lt;&gt;0,$F131&gt;0,YEAR($F131)&lt;=AJ$4,YEAR($F131)&gt;=Preisindex!$A$6),ROUND($E131*AJ131,2),IF(AND($E131&lt;&gt;0,$F131&gt;0,YEAR($F131)&lt;=AJ$4,YEAR($F131)&lt;Preisindex!$A$6),ROUND($E131*AK131,2),0))</f>
        <v>0</v>
      </c>
      <c r="AM131" s="53">
        <f t="shared" si="445"/>
        <v>0</v>
      </c>
      <c r="AN131" s="51">
        <f t="shared" si="490"/>
        <v>0</v>
      </c>
      <c r="AO131" s="51">
        <f t="shared" si="448"/>
        <v>0</v>
      </c>
      <c r="AP131" s="51">
        <f t="shared" si="362"/>
        <v>0</v>
      </c>
      <c r="AQ131" s="51">
        <f t="shared" si="449"/>
        <v>0</v>
      </c>
      <c r="AR131" s="51">
        <f t="shared" si="363"/>
        <v>0</v>
      </c>
      <c r="AS131" s="51">
        <f t="shared" si="450"/>
        <v>0</v>
      </c>
      <c r="AT131" s="51">
        <f t="shared" si="364"/>
        <v>0</v>
      </c>
      <c r="AU131" s="51">
        <f t="shared" si="451"/>
        <v>0</v>
      </c>
      <c r="AV131" s="51">
        <f t="shared" si="365"/>
        <v>0</v>
      </c>
      <c r="AW131" s="51">
        <f t="shared" si="452"/>
        <v>0</v>
      </c>
      <c r="AX131" s="51">
        <f t="shared" si="366"/>
        <v>0</v>
      </c>
      <c r="AY131" s="54">
        <f t="shared" si="367"/>
        <v>0</v>
      </c>
      <c r="AZ131" s="55">
        <f t="shared" si="368"/>
        <v>0</v>
      </c>
      <c r="BA131" s="56">
        <f>IF(AND($E131&lt;&gt;0,$F131&gt;0,YEAR($F131)&gt;=Preisindex!$A$6,YEAR(AV$4)&gt;=YEAR($F131),AND($K131&lt;&gt;"a",$K131&lt;&gt;"b",$K131&lt;&gt;"g",$K131&lt;&gt;"k")),1,IF(AND($E131&lt;&gt;0,$F131&gt;0,YEAR($F131)&gt;=Preisindex!$A$6,YEAR(AV$4)&gt;=YEAR($F131),$K131="a"),ROUND(VLOOKUP(BA$4,Preisindex,5,FALSE)/VLOOKUP(YEAR($F131),Preisindex,5,FALSE),2),IF(AND($E131&lt;&gt;0,$F131&gt;0,YEAR($F131)&gt;=Preisindex!$A$6,YEAR(AV$4)&gt;=YEAR($F131),$K131="b"),ROUND(VLOOKUP(BA$4,Preisindex,3,FALSE)/VLOOKUP(YEAR($F131),Preisindex,3,FALSE),2),IF(AND($E131&lt;&gt;0,$F131&gt;0,YEAR($F131)&gt;=Preisindex!$A$6,YEAR(AV$4)&gt;=YEAR($F131),$K131="g"),ROUND(VLOOKUP(BA$4,Preisindex,4,FALSE)/VLOOKUP(YEAR($F131),Preisindex,4,FALSE),2),IF(AND($E131&lt;&gt;0,$F131&gt;0,YEAR($F131)&gt;=Preisindex!$A$6,YEAR(AV$4)&gt;=YEAR($F131),$K131="k"),ROUND(VLOOKUP(BA$4,Preisindex,2,FALSE)/VLOOKUP(YEAR($F131),Preisindex,2,FALSE),2),0)))))</f>
        <v>0</v>
      </c>
      <c r="BB131" s="56">
        <f>IF(AND($E131&lt;&gt;0,$F131&gt;0,YEAR($F131)&lt;Preisindex!$A$6,YEAR(AV$4)&gt;=YEAR($F131),AND($K131&lt;&gt;"a",$K131&lt;&gt;"b",$K131&lt;&gt;"g",$K131&lt;&gt;"k")),1,IF(AND($E131&lt;&gt;0,$F131&gt;0,YEAR($F131)&lt;Preisindex!$A$6,YEAR(AV$4)&gt;=YEAR($F131),$K131="a"),ROUND(VLOOKUP(BA$4,Preisindex,5,FALSE)/VLOOKUP(Preisindex!$A$6,Preisindex,5,FALSE),2),IF(AND($E131&lt;&gt;0,$F131&gt;0,YEAR($F131)&lt;Preisindex!$A$6,YEAR(AV$4)&gt;=YEAR($F131),$K131="b"),ROUND(VLOOKUP(BA$4,Preisindex,3,FALSE)/VLOOKUP(Preisindex!$A$6,Preisindex,3,FALSE),2),IF(AND($E131&lt;&gt;0,$F131&gt;0,YEAR($F131)&lt;Preisindex!$A$6,YEAR(AV$4)&gt;=YEAR($F131),$K131="g"),ROUND(VLOOKUP(BA$4,Preisindex,4,FALSE)/VLOOKUP(Preisindex!$A$6,Preisindex,4,FALSE),2),IF(AND($E131&lt;&gt;0,$F131&gt;0,YEAR($F131)&lt;Preisindex!$A$6,YEAR(AV$4)&gt;=YEAR($F131),$K131="k"),ROUND(VLOOKUP(BA$4,Preisindex,2,FALSE)/VLOOKUP(Preisindex!$A$6,Preisindex,2,FALSE),2),0)))))</f>
        <v>0</v>
      </c>
      <c r="BC131" s="51">
        <f>IF(AND($E131&lt;&gt;0,$F131&gt;0,YEAR($F131)&lt;=BA$4,YEAR($F131)&gt;=Preisindex!$A$6),ROUND($E131*BA131,2),IF(AND($E131&lt;&gt;0,$F131&gt;0,YEAR($F131)&lt;=BA$4,YEAR($F131)&lt;Preisindex!$A$6),ROUND($E131*BB131,2),0))</f>
        <v>0</v>
      </c>
      <c r="BD131" s="53">
        <f t="shared" si="369"/>
        <v>0</v>
      </c>
      <c r="BE131" s="51">
        <f t="shared" si="490"/>
        <v>0</v>
      </c>
      <c r="BF131" s="51">
        <f t="shared" si="453"/>
        <v>0</v>
      </c>
      <c r="BG131" s="51">
        <f t="shared" si="370"/>
        <v>0</v>
      </c>
      <c r="BH131" s="51">
        <f t="shared" si="454"/>
        <v>0</v>
      </c>
      <c r="BI131" s="51">
        <f t="shared" si="371"/>
        <v>0</v>
      </c>
      <c r="BJ131" s="51">
        <f t="shared" si="455"/>
        <v>0</v>
      </c>
      <c r="BK131" s="51">
        <f t="shared" si="372"/>
        <v>0</v>
      </c>
      <c r="BL131" s="51">
        <f t="shared" si="456"/>
        <v>0</v>
      </c>
      <c r="BM131" s="51">
        <f t="shared" si="373"/>
        <v>0</v>
      </c>
      <c r="BN131" s="51">
        <f t="shared" si="457"/>
        <v>0</v>
      </c>
      <c r="BO131" s="51">
        <f t="shared" si="374"/>
        <v>0</v>
      </c>
      <c r="BP131" s="54">
        <f t="shared" si="375"/>
        <v>0</v>
      </c>
      <c r="BQ131" s="55">
        <f t="shared" si="376"/>
        <v>0</v>
      </c>
      <c r="BR131" s="56">
        <f>IF(AND($E131&lt;&gt;0,$F131&gt;0,YEAR($F131)&gt;=Preisindex!$A$6,YEAR(BM$4)&gt;=YEAR($F131),AND($K131&lt;&gt;"a",$K131&lt;&gt;"b",$K131&lt;&gt;"g",$K131&lt;&gt;"k")),1,IF(AND($E131&lt;&gt;0,$F131&gt;0,YEAR($F131)&gt;=Preisindex!$A$6,YEAR(BM$4)&gt;=YEAR($F131),$K131="a"),ROUND(VLOOKUP(BR$4,Preisindex,5,FALSE)/VLOOKUP(YEAR($F131),Preisindex,5,FALSE),2),IF(AND($E131&lt;&gt;0,$F131&gt;0,YEAR($F131)&gt;=Preisindex!$A$6,YEAR(BM$4)&gt;=YEAR($F131),$K131="b"),ROUND(VLOOKUP(BR$4,Preisindex,3,FALSE)/VLOOKUP(YEAR($F131),Preisindex,3,FALSE),2),IF(AND($E131&lt;&gt;0,$F131&gt;0,YEAR($F131)&gt;=Preisindex!$A$6,YEAR(BM$4)&gt;=YEAR($F131),$K131="g"),ROUND(VLOOKUP(BR$4,Preisindex,4,FALSE)/VLOOKUP(YEAR($F131),Preisindex,4,FALSE),2),IF(AND($E131&lt;&gt;0,$F131&gt;0,YEAR($F131)&gt;=Preisindex!$A$6,YEAR(BM$4)&gt;=YEAR($F131),$K131="k"),ROUND(VLOOKUP(BR$4,Preisindex,2,FALSE)/VLOOKUP(YEAR($F131),Preisindex,2,FALSE),2),0)))))</f>
        <v>0</v>
      </c>
      <c r="BS131" s="56">
        <f>IF(AND($E131&lt;&gt;0,$F131&gt;0,YEAR($F131)&lt;Preisindex!$A$6,YEAR(BM$4)&gt;=YEAR($F131),AND($K131&lt;&gt;"a",$K131&lt;&gt;"b",$K131&lt;&gt;"g",$K131&lt;&gt;"k")),1,IF(AND($E131&lt;&gt;0,$F131&gt;0,YEAR($F131)&lt;Preisindex!$A$6,YEAR(BM$4)&gt;=YEAR($F131),$K131="a"),ROUND(VLOOKUP(BR$4,Preisindex,5,FALSE)/VLOOKUP(Preisindex!$A$6,Preisindex,5,FALSE),2),IF(AND($E131&lt;&gt;0,$F131&gt;0,YEAR($F131)&lt;Preisindex!$A$6,YEAR(BM$4)&gt;=YEAR($F131),$K131="b"),ROUND(VLOOKUP(BR$4,Preisindex,3,FALSE)/VLOOKUP(Preisindex!$A$6,Preisindex,3,FALSE),2),IF(AND($E131&lt;&gt;0,$F131&gt;0,YEAR($F131)&lt;Preisindex!$A$6,YEAR(BM$4)&gt;=YEAR($F131),$K131="g"),ROUND(VLOOKUP(BR$4,Preisindex,4,FALSE)/VLOOKUP(Preisindex!$A$6,Preisindex,4,FALSE),2),IF(AND($E131&lt;&gt;0,$F131&gt;0,YEAR($F131)&lt;Preisindex!$A$6,YEAR(BM$4)&gt;=YEAR($F131),$K131="k"),ROUND(VLOOKUP(BR$4,Preisindex,2,FALSE)/VLOOKUP(Preisindex!$A$6,Preisindex,2,FALSE),2),0)))))</f>
        <v>0</v>
      </c>
      <c r="BT131" s="51">
        <f>IF(AND($E131&lt;&gt;0,$F131&gt;0,YEAR($F131)&lt;=BR$4,YEAR($F131)&gt;=Preisindex!$A$6),ROUND($E131*BR131,2),IF(AND($E131&lt;&gt;0,$F131&gt;0,YEAR($F131)&lt;=BR$4,YEAR($F131)&lt;Preisindex!$A$6),ROUND($E131*BS131,2),0))</f>
        <v>0</v>
      </c>
      <c r="BU131" s="53">
        <f t="shared" si="377"/>
        <v>0</v>
      </c>
      <c r="BV131" s="51">
        <f t="shared" si="490"/>
        <v>0</v>
      </c>
      <c r="BW131" s="51">
        <f t="shared" si="458"/>
        <v>0</v>
      </c>
      <c r="BX131" s="51">
        <f t="shared" si="378"/>
        <v>0</v>
      </c>
      <c r="BY131" s="51">
        <f t="shared" si="459"/>
        <v>0</v>
      </c>
      <c r="BZ131" s="51">
        <f t="shared" si="379"/>
        <v>0</v>
      </c>
      <c r="CA131" s="51">
        <f t="shared" si="460"/>
        <v>0</v>
      </c>
      <c r="CB131" s="51">
        <f t="shared" si="380"/>
        <v>0</v>
      </c>
      <c r="CC131" s="51">
        <f t="shared" si="461"/>
        <v>0</v>
      </c>
      <c r="CD131" s="51">
        <f t="shared" si="381"/>
        <v>0</v>
      </c>
      <c r="CE131" s="51">
        <f t="shared" si="462"/>
        <v>0</v>
      </c>
      <c r="CF131" s="51">
        <f t="shared" si="382"/>
        <v>0</v>
      </c>
      <c r="CG131" s="54">
        <f t="shared" si="383"/>
        <v>0</v>
      </c>
      <c r="CH131" s="55">
        <f t="shared" si="384"/>
        <v>0</v>
      </c>
      <c r="CI131" s="56">
        <f>IF(AND($E131&lt;&gt;0,$F131&gt;0,YEAR($F131)&gt;=Preisindex!$A$6,YEAR(CD$4)&gt;=YEAR($F131),AND($K131&lt;&gt;"a",$K131&lt;&gt;"b",$K131&lt;&gt;"g",$K131&lt;&gt;"k")),1,IF(AND($E131&lt;&gt;0,$F131&gt;0,YEAR($F131)&gt;=Preisindex!$A$6,YEAR(CD$4)&gt;=YEAR($F131),$K131="a"),ROUND(VLOOKUP(CI$4,Preisindex,5,FALSE)/VLOOKUP(YEAR($F131),Preisindex,5,FALSE),2),IF(AND($E131&lt;&gt;0,$F131&gt;0,YEAR($F131)&gt;=Preisindex!$A$6,YEAR(CD$4)&gt;=YEAR($F131),$K131="b"),ROUND(VLOOKUP(CI$4,Preisindex,3,FALSE)/VLOOKUP(YEAR($F131),Preisindex,3,FALSE),2),IF(AND($E131&lt;&gt;0,$F131&gt;0,YEAR($F131)&gt;=Preisindex!$A$6,YEAR(CD$4)&gt;=YEAR($F131),$K131="g"),ROUND(VLOOKUP(CI$4,Preisindex,4,FALSE)/VLOOKUP(YEAR($F131),Preisindex,4,FALSE),2),IF(AND($E131&lt;&gt;0,$F131&gt;0,YEAR($F131)&gt;=Preisindex!$A$6,YEAR(CD$4)&gt;=YEAR($F131),$K131="k"),ROUND(VLOOKUP(CI$4,Preisindex,2,FALSE)/VLOOKUP(YEAR($F131),Preisindex,2,FALSE),2),0)))))</f>
        <v>0</v>
      </c>
      <c r="CJ131" s="56">
        <f>IF(AND($E131&lt;&gt;0,$F131&gt;0,YEAR($F131)&lt;Preisindex!$A$6,YEAR(CD$4)&gt;=YEAR($F131),AND($K131&lt;&gt;"a",$K131&lt;&gt;"b",$K131&lt;&gt;"g",$K131&lt;&gt;"k")),1,IF(AND($E131&lt;&gt;0,$F131&gt;0,YEAR($F131)&lt;Preisindex!$A$6,YEAR(CD$4)&gt;=YEAR($F131),$K131="a"),ROUND(VLOOKUP(CI$4,Preisindex,5,FALSE)/VLOOKUP(Preisindex!$A$6,Preisindex,5,FALSE),2),IF(AND($E131&lt;&gt;0,$F131&gt;0,YEAR($F131)&lt;Preisindex!$A$6,YEAR(CD$4)&gt;=YEAR($F131),$K131="b"),ROUND(VLOOKUP(CI$4,Preisindex,3,FALSE)/VLOOKUP(Preisindex!$A$6,Preisindex,3,FALSE),2),IF(AND($E131&lt;&gt;0,$F131&gt;0,YEAR($F131)&lt;Preisindex!$A$6,YEAR(CD$4)&gt;=YEAR($F131),$K131="g"),ROUND(VLOOKUP(CI$4,Preisindex,4,FALSE)/VLOOKUP(Preisindex!$A$6,Preisindex,4,FALSE),2),IF(AND($E131&lt;&gt;0,$F131&gt;0,YEAR($F131)&lt;Preisindex!$A$6,YEAR(CD$4)&gt;=YEAR($F131),$K131="k"),ROUND(VLOOKUP(CI$4,Preisindex,2,FALSE)/VLOOKUP(Preisindex!$A$6,Preisindex,2,FALSE),2),0)))))</f>
        <v>0</v>
      </c>
      <c r="CK131" s="51">
        <f>IF(AND($E131&lt;&gt;0,$F131&gt;0,YEAR($F131)&lt;=CI$4,YEAR($F131)&gt;=Preisindex!$A$6),ROUND($E131*CI131,2),IF(AND($E131&lt;&gt;0,$F131&gt;0,YEAR($F131)&lt;=CI$4,YEAR($F131)&lt;Preisindex!$A$6),ROUND($E131*CJ131,2),0))</f>
        <v>0</v>
      </c>
      <c r="CL131" s="53">
        <f t="shared" si="385"/>
        <v>0</v>
      </c>
      <c r="CM131" s="51">
        <f t="shared" si="490"/>
        <v>0</v>
      </c>
      <c r="CN131" s="51">
        <f t="shared" si="463"/>
        <v>0</v>
      </c>
      <c r="CO131" s="51">
        <f t="shared" si="386"/>
        <v>0</v>
      </c>
      <c r="CP131" s="51">
        <f t="shared" si="464"/>
        <v>0</v>
      </c>
      <c r="CQ131" s="51">
        <f t="shared" si="387"/>
        <v>0</v>
      </c>
      <c r="CR131" s="51">
        <f t="shared" si="465"/>
        <v>0</v>
      </c>
      <c r="CS131" s="51">
        <f t="shared" si="388"/>
        <v>0</v>
      </c>
      <c r="CT131" s="51">
        <f t="shared" si="466"/>
        <v>0</v>
      </c>
      <c r="CU131" s="51">
        <f t="shared" si="389"/>
        <v>0</v>
      </c>
      <c r="CV131" s="51">
        <f t="shared" si="467"/>
        <v>0</v>
      </c>
      <c r="CW131" s="51">
        <f t="shared" si="390"/>
        <v>0</v>
      </c>
      <c r="CX131" s="54">
        <f t="shared" si="391"/>
        <v>0</v>
      </c>
      <c r="CY131" s="55">
        <f t="shared" si="392"/>
        <v>0</v>
      </c>
      <c r="CZ131" s="56">
        <f>IF(AND($E131&lt;&gt;0,$F131&gt;0,YEAR($F131)&gt;=Preisindex!$A$6,YEAR(CU$4)&gt;=YEAR($F131),AND($K131&lt;&gt;"a",$K131&lt;&gt;"b",$K131&lt;&gt;"g",$K131&lt;&gt;"k")),1,IF(AND($E131&lt;&gt;0,$F131&gt;0,YEAR($F131)&gt;=Preisindex!$A$6,YEAR(CU$4)&gt;=YEAR($F131),$K131="a"),ROUND(VLOOKUP(CZ$4,Preisindex,5,FALSE)/VLOOKUP(YEAR($F131),Preisindex,5,FALSE),2),IF(AND($E131&lt;&gt;0,$F131&gt;0,YEAR($F131)&gt;=Preisindex!$A$6,YEAR(CU$4)&gt;=YEAR($F131),$K131="b"),ROUND(VLOOKUP(CZ$4,Preisindex,3,FALSE)/VLOOKUP(YEAR($F131),Preisindex,3,FALSE),2),IF(AND($E131&lt;&gt;0,$F131&gt;0,YEAR($F131)&gt;=Preisindex!$A$6,YEAR(CU$4)&gt;=YEAR($F131),$K131="g"),ROUND(VLOOKUP(CZ$4,Preisindex,4,FALSE)/VLOOKUP(YEAR($F131),Preisindex,4,FALSE),2),IF(AND($E131&lt;&gt;0,$F131&gt;0,YEAR($F131)&gt;=Preisindex!$A$6,YEAR(CU$4)&gt;=YEAR($F131),$K131="k"),ROUND(VLOOKUP(CZ$4,Preisindex,2,FALSE)/VLOOKUP(YEAR($F131),Preisindex,2,FALSE),2),0)))))</f>
        <v>0</v>
      </c>
      <c r="DA131" s="56">
        <f>IF(AND($E131&lt;&gt;0,$F131&gt;0,YEAR($F131)&lt;Preisindex!$A$6,YEAR(CU$4)&gt;=YEAR($F131),AND($K131&lt;&gt;"a",$K131&lt;&gt;"b",$K131&lt;&gt;"g",$K131&lt;&gt;"k")),1,IF(AND($E131&lt;&gt;0,$F131&gt;0,YEAR($F131)&lt;Preisindex!$A$6,YEAR(CU$4)&gt;=YEAR($F131),$K131="a"),ROUND(VLOOKUP(CZ$4,Preisindex,5,FALSE)/VLOOKUP(Preisindex!$A$6,Preisindex,5,FALSE),2),IF(AND($E131&lt;&gt;0,$F131&gt;0,YEAR($F131)&lt;Preisindex!$A$6,YEAR(CU$4)&gt;=YEAR($F131),$K131="b"),ROUND(VLOOKUP(CZ$4,Preisindex,3,FALSE)/VLOOKUP(Preisindex!$A$6,Preisindex,3,FALSE),2),IF(AND($E131&lt;&gt;0,$F131&gt;0,YEAR($F131)&lt;Preisindex!$A$6,YEAR(CU$4)&gt;=YEAR($F131),$K131="g"),ROUND(VLOOKUP(CZ$4,Preisindex,4,FALSE)/VLOOKUP(Preisindex!$A$6,Preisindex,4,FALSE),2),IF(AND($E131&lt;&gt;0,$F131&gt;0,YEAR($F131)&lt;Preisindex!$A$6,YEAR(CU$4)&gt;=YEAR($F131),$K131="k"),ROUND(VLOOKUP(CZ$4,Preisindex,2,FALSE)/VLOOKUP(Preisindex!$A$6,Preisindex,2,FALSE),2),0)))))</f>
        <v>0</v>
      </c>
      <c r="DB131" s="51">
        <f>IF(AND($E131&lt;&gt;0,$F131&gt;0,YEAR($F131)&lt;=CZ$4,YEAR($F131)&gt;=Preisindex!$A$6),ROUND($E131*CZ131,2),IF(AND($E131&lt;&gt;0,$F131&gt;0,YEAR($F131)&lt;=CZ$4,YEAR($F131)&lt;Preisindex!$A$6),ROUND($E131*DA131,2),0))</f>
        <v>0</v>
      </c>
      <c r="DC131" s="53">
        <f t="shared" si="393"/>
        <v>0</v>
      </c>
      <c r="DD131" s="51">
        <f t="shared" si="491"/>
        <v>0</v>
      </c>
      <c r="DE131" s="51">
        <f t="shared" si="468"/>
        <v>0</v>
      </c>
      <c r="DF131" s="51">
        <f t="shared" si="395"/>
        <v>0</v>
      </c>
      <c r="DG131" s="51">
        <f t="shared" si="469"/>
        <v>0</v>
      </c>
      <c r="DH131" s="51">
        <f t="shared" si="396"/>
        <v>0</v>
      </c>
      <c r="DI131" s="51">
        <f t="shared" si="470"/>
        <v>0</v>
      </c>
      <c r="DJ131" s="51">
        <f t="shared" si="397"/>
        <v>0</v>
      </c>
      <c r="DK131" s="51">
        <f t="shared" si="471"/>
        <v>0</v>
      </c>
      <c r="DL131" s="51">
        <f t="shared" si="398"/>
        <v>0</v>
      </c>
      <c r="DM131" s="51">
        <f t="shared" si="472"/>
        <v>0</v>
      </c>
      <c r="DN131" s="51">
        <f t="shared" si="399"/>
        <v>0</v>
      </c>
      <c r="DO131" s="54">
        <f t="shared" si="400"/>
        <v>0</v>
      </c>
      <c r="DP131" s="55">
        <f t="shared" si="401"/>
        <v>0</v>
      </c>
      <c r="DQ131" s="56">
        <f>IF(AND($E131&lt;&gt;0,$F131&gt;0,YEAR($F131)&gt;=Preisindex!$A$6,YEAR(DL$4)&gt;=YEAR($F131),AND($K131&lt;&gt;"a",$K131&lt;&gt;"b",$K131&lt;&gt;"g",$K131&lt;&gt;"k")),1,IF(AND($E131&lt;&gt;0,$F131&gt;0,YEAR($F131)&gt;=Preisindex!$A$6,YEAR(DL$4)&gt;=YEAR($F131),$K131="a"),ROUND(VLOOKUP(DQ$4,Preisindex,5,FALSE)/VLOOKUP(YEAR($F131),Preisindex,5,FALSE),2),IF(AND($E131&lt;&gt;0,$F131&gt;0,YEAR($F131)&gt;=Preisindex!$A$6,YEAR(DL$4)&gt;=YEAR($F131),$K131="b"),ROUND(VLOOKUP(DQ$4,Preisindex,3,FALSE)/VLOOKUP(YEAR($F131),Preisindex,3,FALSE),2),IF(AND($E131&lt;&gt;0,$F131&gt;0,YEAR($F131)&gt;=Preisindex!$A$6,YEAR(DL$4)&gt;=YEAR($F131),$K131="g"),ROUND(VLOOKUP(DQ$4,Preisindex,4,FALSE)/VLOOKUP(YEAR($F131),Preisindex,4,FALSE),2),IF(AND($E131&lt;&gt;0,$F131&gt;0,YEAR($F131)&gt;=Preisindex!$A$6,YEAR(DL$4)&gt;=YEAR($F131),$K131="k"),ROUND(VLOOKUP(DQ$4,Preisindex,2,FALSE)/VLOOKUP(YEAR($F131),Preisindex,2,FALSE),2),0)))))</f>
        <v>0</v>
      </c>
      <c r="DR131" s="56">
        <f>IF(AND($E131&lt;&gt;0,$F131&gt;0,YEAR($F131)&lt;Preisindex!$A$6,YEAR(DL$4)&gt;=YEAR($F131),AND($K131&lt;&gt;"a",$K131&lt;&gt;"b",$K131&lt;&gt;"g",$K131&lt;&gt;"k")),1,IF(AND($E131&lt;&gt;0,$F131&gt;0,YEAR($F131)&lt;Preisindex!$A$6,YEAR(DL$4)&gt;=YEAR($F131),$K131="a"),ROUND(VLOOKUP(DQ$4,Preisindex,5,FALSE)/VLOOKUP(Preisindex!$A$6,Preisindex,5,FALSE),2),IF(AND($E131&lt;&gt;0,$F131&gt;0,YEAR($F131)&lt;Preisindex!$A$6,YEAR(DL$4)&gt;=YEAR($F131),$K131="b"),ROUND(VLOOKUP(DQ$4,Preisindex,3,FALSE)/VLOOKUP(Preisindex!$A$6,Preisindex,3,FALSE),2),IF(AND($E131&lt;&gt;0,$F131&gt;0,YEAR($F131)&lt;Preisindex!$A$6,YEAR(DL$4)&gt;=YEAR($F131),$K131="g"),ROUND(VLOOKUP(DQ$4,Preisindex,4,FALSE)/VLOOKUP(Preisindex!$A$6,Preisindex,4,FALSE),2),IF(AND($E131&lt;&gt;0,$F131&gt;0,YEAR($F131)&lt;Preisindex!$A$6,YEAR(DL$4)&gt;=YEAR($F131),$K131="k"),ROUND(VLOOKUP(DQ$4,Preisindex,2,FALSE)/VLOOKUP(Preisindex!$A$6,Preisindex,2,FALSE),2),0)))))</f>
        <v>0</v>
      </c>
      <c r="DS131" s="51">
        <f>IF(AND($E131&lt;&gt;0,$F131&gt;0,YEAR($F131)&lt;=DQ$4,YEAR($F131)&gt;=Preisindex!$A$6),ROUND($E131*DQ131,2),IF(AND($E131&lt;&gt;0,$F131&gt;0,YEAR($F131)&lt;=DQ$4,YEAR($F131)&lt;Preisindex!$A$6),ROUND($E131*DR131,2),0))</f>
        <v>0</v>
      </c>
      <c r="DT131" s="53">
        <f t="shared" si="402"/>
        <v>0</v>
      </c>
      <c r="DU131" s="51">
        <f t="shared" si="491"/>
        <v>0</v>
      </c>
      <c r="DV131" s="51">
        <f t="shared" si="473"/>
        <v>0</v>
      </c>
      <c r="DW131" s="51">
        <f t="shared" si="403"/>
        <v>0</v>
      </c>
      <c r="DX131" s="51">
        <f t="shared" si="474"/>
        <v>0</v>
      </c>
      <c r="DY131" s="51">
        <f t="shared" si="404"/>
        <v>0</v>
      </c>
      <c r="DZ131" s="51">
        <f t="shared" si="475"/>
        <v>0</v>
      </c>
      <c r="EA131" s="51">
        <f t="shared" si="405"/>
        <v>0</v>
      </c>
      <c r="EB131" s="51">
        <f t="shared" si="476"/>
        <v>0</v>
      </c>
      <c r="EC131" s="51">
        <f t="shared" si="406"/>
        <v>0</v>
      </c>
      <c r="ED131" s="51">
        <f t="shared" si="477"/>
        <v>0</v>
      </c>
      <c r="EE131" s="51">
        <f t="shared" si="407"/>
        <v>0</v>
      </c>
      <c r="EF131" s="54">
        <f t="shared" si="408"/>
        <v>0</v>
      </c>
      <c r="EG131" s="55">
        <f t="shared" si="409"/>
        <v>0</v>
      </c>
      <c r="EH131" s="56">
        <f>IF(AND($E131&lt;&gt;0,$F131&gt;0,YEAR($F131)&gt;=Preisindex!$A$6,YEAR(EC$4)&gt;=YEAR($F131),AND($K131&lt;&gt;"a",$K131&lt;&gt;"b",$K131&lt;&gt;"g",$K131&lt;&gt;"k")),1,IF(AND($E131&lt;&gt;0,$F131&gt;0,YEAR($F131)&gt;=Preisindex!$A$6,YEAR(EC$4)&gt;=YEAR($F131),$K131="a"),ROUND(VLOOKUP(EH$4,Preisindex,5,FALSE)/VLOOKUP(YEAR($F131),Preisindex,5,FALSE),2),IF(AND($E131&lt;&gt;0,$F131&gt;0,YEAR($F131)&gt;=Preisindex!$A$6,YEAR(EC$4)&gt;=YEAR($F131),$K131="b"),ROUND(VLOOKUP(EH$4,Preisindex,3,FALSE)/VLOOKUP(YEAR($F131),Preisindex,3,FALSE),2),IF(AND($E131&lt;&gt;0,$F131&gt;0,YEAR($F131)&gt;=Preisindex!$A$6,YEAR(EC$4)&gt;=YEAR($F131),$K131="g"),ROUND(VLOOKUP(EH$4,Preisindex,4,FALSE)/VLOOKUP(YEAR($F131),Preisindex,4,FALSE),2),IF(AND($E131&lt;&gt;0,$F131&gt;0,YEAR($F131)&gt;=Preisindex!$A$6,YEAR(EC$4)&gt;=YEAR($F131),$K131="k"),ROUND(VLOOKUP(EH$4,Preisindex,2,FALSE)/VLOOKUP(YEAR($F131),Preisindex,2,FALSE),2),0)))))</f>
        <v>0</v>
      </c>
      <c r="EI131" s="56">
        <f>IF(AND($E131&lt;&gt;0,$F131&gt;0,YEAR($F131)&lt;Preisindex!$A$6,YEAR(EC$4)&gt;=YEAR($F131),AND($K131&lt;&gt;"a",$K131&lt;&gt;"b",$K131&lt;&gt;"g",$K131&lt;&gt;"k")),1,IF(AND($E131&lt;&gt;0,$F131&gt;0,YEAR($F131)&lt;Preisindex!$A$6,YEAR(EC$4)&gt;=YEAR($F131),$K131="a"),ROUND(VLOOKUP(EH$4,Preisindex,5,FALSE)/VLOOKUP(Preisindex!$A$6,Preisindex,5,FALSE),2),IF(AND($E131&lt;&gt;0,$F131&gt;0,YEAR($F131)&lt;Preisindex!$A$6,YEAR(EC$4)&gt;=YEAR($F131),$K131="b"),ROUND(VLOOKUP(EH$4,Preisindex,3,FALSE)/VLOOKUP(Preisindex!$A$6,Preisindex,3,FALSE),2),IF(AND($E131&lt;&gt;0,$F131&gt;0,YEAR($F131)&lt;Preisindex!$A$6,YEAR(EC$4)&gt;=YEAR($F131),$K131="g"),ROUND(VLOOKUP(EH$4,Preisindex,4,FALSE)/VLOOKUP(Preisindex!$A$6,Preisindex,4,FALSE),2),IF(AND($E131&lt;&gt;0,$F131&gt;0,YEAR($F131)&lt;Preisindex!$A$6,YEAR(EC$4)&gt;=YEAR($F131),$K131="k"),ROUND(VLOOKUP(EH$4,Preisindex,2,FALSE)/VLOOKUP(Preisindex!$A$6,Preisindex,2,FALSE),2),0)))))</f>
        <v>0</v>
      </c>
      <c r="EJ131" s="51">
        <f>IF(AND($E131&lt;&gt;0,$F131&gt;0,YEAR($F131)&lt;=EH$4,YEAR($F131)&gt;=Preisindex!$A$6),ROUND($E131*EH131,2),IF(AND($E131&lt;&gt;0,$F131&gt;0,YEAR($F131)&lt;=EH$4,YEAR($F131)&lt;Preisindex!$A$6),ROUND($E131*EI131,2),0))</f>
        <v>0</v>
      </c>
      <c r="EK131" s="53">
        <f t="shared" si="410"/>
        <v>0</v>
      </c>
      <c r="EL131" s="51">
        <f t="shared" si="491"/>
        <v>0</v>
      </c>
      <c r="EM131" s="51">
        <f t="shared" si="478"/>
        <v>0</v>
      </c>
      <c r="EN131" s="51">
        <f t="shared" si="411"/>
        <v>0</v>
      </c>
      <c r="EO131" s="51">
        <f t="shared" si="479"/>
        <v>0</v>
      </c>
      <c r="EP131" s="51">
        <f t="shared" si="412"/>
        <v>0</v>
      </c>
      <c r="EQ131" s="51">
        <f t="shared" si="480"/>
        <v>0</v>
      </c>
      <c r="ER131" s="51">
        <f t="shared" si="413"/>
        <v>0</v>
      </c>
      <c r="ES131" s="51">
        <f t="shared" si="481"/>
        <v>0</v>
      </c>
      <c r="ET131" s="51">
        <f t="shared" si="414"/>
        <v>0</v>
      </c>
      <c r="EU131" s="51">
        <f t="shared" si="482"/>
        <v>0</v>
      </c>
      <c r="EV131" s="51">
        <f t="shared" si="415"/>
        <v>0</v>
      </c>
      <c r="EW131" s="54">
        <f t="shared" si="416"/>
        <v>0</v>
      </c>
      <c r="EX131" s="55">
        <f t="shared" si="417"/>
        <v>0</v>
      </c>
      <c r="EY131" s="56">
        <f>IF(AND($E131&lt;&gt;0,$F131&gt;0,YEAR($F131)&gt;=Preisindex!$A$6,YEAR(ET$4)&gt;=YEAR($F131),AND($K131&lt;&gt;"a",$K131&lt;&gt;"b",$K131&lt;&gt;"g",$K131&lt;&gt;"k")),1,IF(AND($E131&lt;&gt;0,$F131&gt;0,YEAR($F131)&gt;=Preisindex!$A$6,YEAR(ET$4)&gt;=YEAR($F131),$K131="a"),ROUND(VLOOKUP(EY$4,Preisindex,5,FALSE)/VLOOKUP(YEAR($F131),Preisindex,5,FALSE),2),IF(AND($E131&lt;&gt;0,$F131&gt;0,YEAR($F131)&gt;=Preisindex!$A$6,YEAR(ET$4)&gt;=YEAR($F131),$K131="b"),ROUND(VLOOKUP(EY$4,Preisindex,3,FALSE)/VLOOKUP(YEAR($F131),Preisindex,3,FALSE),2),IF(AND($E131&lt;&gt;0,$F131&gt;0,YEAR($F131)&gt;=Preisindex!$A$6,YEAR(ET$4)&gt;=YEAR($F131),$K131="g"),ROUND(VLOOKUP(EY$4,Preisindex,4,FALSE)/VLOOKUP(YEAR($F131),Preisindex,4,FALSE),2),IF(AND($E131&lt;&gt;0,$F131&gt;0,YEAR($F131)&gt;=Preisindex!$A$6,YEAR(ET$4)&gt;=YEAR($F131),$K131="k"),ROUND(VLOOKUP(EY$4,Preisindex,2,FALSE)/VLOOKUP(YEAR($F131),Preisindex,2,FALSE),2),0)))))</f>
        <v>0</v>
      </c>
      <c r="EZ131" s="56">
        <f>IF(AND($E131&lt;&gt;0,$F131&gt;0,YEAR($F131)&lt;Preisindex!$A$6,YEAR(ET$4)&gt;=YEAR($F131),AND($K131&lt;&gt;"a",$K131&lt;&gt;"b",$K131&lt;&gt;"g",$K131&lt;&gt;"k")),1,IF(AND($E131&lt;&gt;0,$F131&gt;0,YEAR($F131)&lt;Preisindex!$A$6,YEAR(ET$4)&gt;=YEAR($F131),$K131="a"),ROUND(VLOOKUP(EY$4,Preisindex,5,FALSE)/VLOOKUP(Preisindex!$A$6,Preisindex,5,FALSE),2),IF(AND($E131&lt;&gt;0,$F131&gt;0,YEAR($F131)&lt;Preisindex!$A$6,YEAR(ET$4)&gt;=YEAR($F131),$K131="b"),ROUND(VLOOKUP(EY$4,Preisindex,3,FALSE)/VLOOKUP(Preisindex!$A$6,Preisindex,3,FALSE),2),IF(AND($E131&lt;&gt;0,$F131&gt;0,YEAR($F131)&lt;Preisindex!$A$6,YEAR(ET$4)&gt;=YEAR($F131),$K131="g"),ROUND(VLOOKUP(EY$4,Preisindex,4,FALSE)/VLOOKUP(Preisindex!$A$6,Preisindex,4,FALSE),2),IF(AND($E131&lt;&gt;0,$F131&gt;0,YEAR($F131)&lt;Preisindex!$A$6,YEAR(ET$4)&gt;=YEAR($F131),$K131="k"),ROUND(VLOOKUP(EY$4,Preisindex,2,FALSE)/VLOOKUP(Preisindex!$A$6,Preisindex,2,FALSE),2),0)))))</f>
        <v>0</v>
      </c>
      <c r="FA131" s="51">
        <f>IF(AND($E131&lt;&gt;0,$F131&gt;0,YEAR($F131)&lt;=EY$4,YEAR($F131)&gt;=Preisindex!$A$6),ROUND($E131*EY131,2),IF(AND($E131&lt;&gt;0,$F131&gt;0,YEAR($F131)&lt;=EY$4,YEAR($F131)&lt;Preisindex!$A$6),ROUND($E131*EZ131,2),0))</f>
        <v>0</v>
      </c>
      <c r="FB131" s="53">
        <f t="shared" si="418"/>
        <v>0</v>
      </c>
      <c r="FC131" s="51">
        <f t="shared" si="491"/>
        <v>0</v>
      </c>
      <c r="FD131" s="51">
        <f t="shared" si="483"/>
        <v>0</v>
      </c>
      <c r="FE131" s="51">
        <f t="shared" si="419"/>
        <v>0</v>
      </c>
      <c r="FF131" s="51">
        <f t="shared" si="484"/>
        <v>0</v>
      </c>
      <c r="FG131" s="51">
        <f t="shared" si="420"/>
        <v>0</v>
      </c>
      <c r="FH131" s="51">
        <f t="shared" si="485"/>
        <v>0</v>
      </c>
      <c r="FI131" s="51">
        <f t="shared" si="421"/>
        <v>0</v>
      </c>
      <c r="FJ131" s="51">
        <f t="shared" si="486"/>
        <v>0</v>
      </c>
      <c r="FK131" s="51">
        <f t="shared" si="422"/>
        <v>0</v>
      </c>
      <c r="FL131" s="51">
        <f t="shared" si="487"/>
        <v>0</v>
      </c>
      <c r="FM131" s="51">
        <f t="shared" si="423"/>
        <v>0</v>
      </c>
      <c r="FN131" s="54">
        <f t="shared" si="424"/>
        <v>0</v>
      </c>
      <c r="FO131" s="55">
        <f t="shared" si="425"/>
        <v>0</v>
      </c>
      <c r="FP131" s="56">
        <f>IF(AND($E131&lt;&gt;0,$F131&gt;0,YEAR($F131)&gt;=Preisindex!$A$6,YEAR(FK$4)&gt;=YEAR($F131),AND($K131&lt;&gt;"a",$K131&lt;&gt;"b",$K131&lt;&gt;"g",$K131&lt;&gt;"k")),1,IF(AND($E131&lt;&gt;0,$F131&gt;0,YEAR($F131)&gt;=Preisindex!$A$6,YEAR(FK$4)&gt;=YEAR($F131),$K131="a"),ROUND(VLOOKUP(FP$4,Preisindex,5,FALSE)/VLOOKUP(YEAR($F131),Preisindex,5,FALSE),2),IF(AND($E131&lt;&gt;0,$F131&gt;0,YEAR($F131)&gt;=Preisindex!$A$6,YEAR(FK$4)&gt;=YEAR($F131),$K131="b"),ROUND(VLOOKUP(FP$4,Preisindex,3,FALSE)/VLOOKUP(YEAR($F131),Preisindex,3,FALSE),2),IF(AND($E131&lt;&gt;0,$F131&gt;0,YEAR($F131)&gt;=Preisindex!$A$6,YEAR(FK$4)&gt;=YEAR($F131),$K131="g"),ROUND(VLOOKUP(FP$4,Preisindex,4,FALSE)/VLOOKUP(YEAR($F131),Preisindex,4,FALSE),2),IF(AND($E131&lt;&gt;0,$F131&gt;0,YEAR($F131)&gt;=Preisindex!$A$6,YEAR(FK$4)&gt;=YEAR($F131),$K131="k"),ROUND(VLOOKUP(FP$4,Preisindex,2,FALSE)/VLOOKUP(YEAR($F131),Preisindex,2,FALSE),2),0)))))</f>
        <v>0</v>
      </c>
      <c r="FQ131" s="56">
        <f>IF(AND($E131&lt;&gt;0,$F131&gt;0,YEAR($F131)&lt;Preisindex!$A$6,YEAR(FK$4)&gt;=YEAR($F131),AND($K131&lt;&gt;"a",$K131&lt;&gt;"b",$K131&lt;&gt;"g",$K131&lt;&gt;"k")),1,IF(AND($E131&lt;&gt;0,$F131&gt;0,YEAR($F131)&lt;Preisindex!$A$6,YEAR(FK$4)&gt;=YEAR($F131),$K131="a"),ROUND(VLOOKUP(FP$4,Preisindex,5,FALSE)/VLOOKUP(Preisindex!$A$6,Preisindex,5,FALSE),2),IF(AND($E131&lt;&gt;0,$F131&gt;0,YEAR($F131)&lt;Preisindex!$A$6,YEAR(FK$4)&gt;=YEAR($F131),$K131="b"),ROUND(VLOOKUP(FP$4,Preisindex,3,FALSE)/VLOOKUP(Preisindex!$A$6,Preisindex,3,FALSE),2),IF(AND($E131&lt;&gt;0,$F131&gt;0,YEAR($F131)&lt;Preisindex!$A$6,YEAR(FK$4)&gt;=YEAR($F131),$K131="g"),ROUND(VLOOKUP(FP$4,Preisindex,4,FALSE)/VLOOKUP(Preisindex!$A$6,Preisindex,4,FALSE),2),IF(AND($E131&lt;&gt;0,$F131&gt;0,YEAR($F131)&lt;Preisindex!$A$6,YEAR(FK$4)&gt;=YEAR($F131),$K131="k"),ROUND(VLOOKUP(FP$4,Preisindex,2,FALSE)/VLOOKUP(Preisindex!$A$6,Preisindex,2,FALSE),2),0)))))</f>
        <v>0</v>
      </c>
      <c r="FR131" s="51">
        <f>IF(AND($E131&lt;&gt;0,$F131&gt;0,YEAR($F131)&lt;=FP$4,YEAR($F131)&gt;=Preisindex!$A$6),ROUND($E131*FP131,2),IF(AND($E131&lt;&gt;0,$F131&gt;0,YEAR($F131)&lt;=FP$4,YEAR($F131)&lt;Preisindex!$A$6),ROUND($E131*FQ131,2),0))</f>
        <v>0</v>
      </c>
      <c r="FS131" s="53">
        <f t="shared" si="426"/>
        <v>0</v>
      </c>
    </row>
    <row r="132" spans="1:175" x14ac:dyDescent="0.3">
      <c r="A132" s="93"/>
      <c r="B132" s="94"/>
      <c r="C132" s="94"/>
      <c r="D132" s="95"/>
      <c r="E132" s="99"/>
      <c r="F132" s="97"/>
      <c r="G132" s="98"/>
      <c r="H132" s="620"/>
      <c r="I132" s="621"/>
      <c r="J132" s="194"/>
      <c r="K132" s="630"/>
      <c r="L132" s="49">
        <f t="shared" si="427"/>
        <v>0</v>
      </c>
      <c r="M132" s="50">
        <f t="shared" si="428"/>
        <v>0</v>
      </c>
      <c r="N132" s="51">
        <f t="shared" si="429"/>
        <v>0</v>
      </c>
      <c r="O132" s="51"/>
      <c r="P132" s="51">
        <f t="shared" si="430"/>
        <v>0</v>
      </c>
      <c r="Q132" s="52"/>
      <c r="R132" s="52"/>
      <c r="S132" s="52"/>
      <c r="T132" s="52"/>
      <c r="U132" s="52"/>
      <c r="V132" s="53">
        <f t="shared" si="431"/>
        <v>0</v>
      </c>
      <c r="W132" s="51">
        <f t="shared" si="432"/>
        <v>0</v>
      </c>
      <c r="X132" s="51">
        <f t="shared" si="433"/>
        <v>0</v>
      </c>
      <c r="Y132" s="51">
        <f t="shared" si="434"/>
        <v>0</v>
      </c>
      <c r="Z132" s="51">
        <f t="shared" si="435"/>
        <v>0</v>
      </c>
      <c r="AA132" s="51">
        <f t="shared" si="436"/>
        <v>0</v>
      </c>
      <c r="AB132" s="51">
        <f t="shared" si="437"/>
        <v>0</v>
      </c>
      <c r="AC132" s="51">
        <f t="shared" si="438"/>
        <v>0</v>
      </c>
      <c r="AD132" s="51">
        <f t="shared" si="439"/>
        <v>0</v>
      </c>
      <c r="AE132" s="51">
        <f t="shared" si="440"/>
        <v>0</v>
      </c>
      <c r="AF132" s="51">
        <f t="shared" si="441"/>
        <v>0</v>
      </c>
      <c r="AG132" s="51">
        <f t="shared" si="442"/>
        <v>0</v>
      </c>
      <c r="AH132" s="54">
        <f t="shared" si="443"/>
        <v>0</v>
      </c>
      <c r="AI132" s="55">
        <f t="shared" si="444"/>
        <v>0</v>
      </c>
      <c r="AJ132" s="56">
        <f>IF(AND($E132&lt;&gt;0,$F132&gt;0,YEAR($F132)&gt;=Preisindex!$A$6,YEAR(AE$4)&gt;=YEAR($F132),AND($K132&lt;&gt;"a",$K132&lt;&gt;"b",$K132&lt;&gt;"g",$K132&lt;&gt;"k")),1,IF(AND($E132&lt;&gt;0,$F132&gt;0,YEAR($F132)&gt;=Preisindex!$A$6,YEAR(AE$4)&gt;=YEAR($F132),$K132="a"),ROUND(VLOOKUP(AJ$4,Preisindex,5,FALSE)/VLOOKUP(YEAR($F132),Preisindex,5,FALSE),2),IF(AND($E132&lt;&gt;0,$F132&gt;0,YEAR($F132)&gt;=Preisindex!$A$6,YEAR(AE$4)&gt;=YEAR($F132),$K132="b"),ROUND(VLOOKUP(AJ$4,Preisindex,3,FALSE)/VLOOKUP(YEAR($F132),Preisindex,3,FALSE),2),IF(AND($E132&lt;&gt;0,$F132&gt;0,YEAR($F132)&gt;=Preisindex!$A$6,YEAR(AE$4)&gt;=YEAR($F132),$K132="g"),ROUND(VLOOKUP(AJ$4,Preisindex,4,FALSE)/VLOOKUP(YEAR($F132),Preisindex,4,FALSE),2),IF(AND($E132&lt;&gt;0,$F132&gt;0,YEAR($F132)&gt;=Preisindex!$A$6,YEAR(AE$4)&gt;=YEAR($F132),$K132="k"),ROUND(VLOOKUP(AJ$4,Preisindex,2,FALSE)/VLOOKUP(YEAR($F132),Preisindex,2,FALSE),2),0)))))</f>
        <v>0</v>
      </c>
      <c r="AK132" s="56">
        <f>IF(AND($E132&lt;&gt;0,$F132&gt;0,YEAR($F132)&lt;Preisindex!$A$6,YEAR(AE$4)&gt;=YEAR($F132),AND($K132&lt;&gt;"a",$K132&lt;&gt;"b",$K132&lt;&gt;"g",$K132&lt;&gt;"k")),1,IF(AND($E132&lt;&gt;0,$F132&gt;0,YEAR($F132)&lt;Preisindex!$A$6,YEAR(AE$4)&gt;=YEAR($F132),$K132="a"),ROUND(VLOOKUP(AJ$4,Preisindex,5,FALSE)/VLOOKUP(Preisindex!$A$6,Preisindex,5,FALSE),2),IF(AND($E132&lt;&gt;0,$F132&gt;0,YEAR($F132)&lt;Preisindex!$A$6,YEAR(AE$4)&gt;=YEAR($F132),$K132="b"),ROUND(VLOOKUP(AJ$4,Preisindex,3,FALSE)/VLOOKUP(Preisindex!$A$6,Preisindex,3,FALSE),2),IF(AND($E132&lt;&gt;0,$F132&gt;0,YEAR($F132)&lt;Preisindex!$A$6,YEAR(AE$4)&gt;=YEAR($F132),$K132="g"),ROUND(VLOOKUP(AJ$4,Preisindex,4,FALSE)/VLOOKUP(Preisindex!$A$6,Preisindex,4,FALSE),2),IF(AND($E132&lt;&gt;0,$F132&gt;0,YEAR($F132)&lt;Preisindex!$A$6,YEAR(AE$4)&gt;=YEAR($F132),$K132="k"),ROUND(VLOOKUP(AJ$4,Preisindex,2,FALSE)/VLOOKUP(Preisindex!$A$6,Preisindex,2,FALSE),2),0)))))</f>
        <v>0</v>
      </c>
      <c r="AL132" s="51">
        <f>IF(AND($E132&lt;&gt;0,$F132&gt;0,YEAR($F132)&lt;=AJ$4,YEAR($F132)&gt;=Preisindex!$A$6),ROUND($E132*AJ132,2),IF(AND($E132&lt;&gt;0,$F132&gt;0,YEAR($F132)&lt;=AJ$4,YEAR($F132)&lt;Preisindex!$A$6),ROUND($E132*AK132,2),0))</f>
        <v>0</v>
      </c>
      <c r="AM132" s="53">
        <f t="shared" si="445"/>
        <v>0</v>
      </c>
      <c r="AN132" s="51">
        <f t="shared" si="490"/>
        <v>0</v>
      </c>
      <c r="AO132" s="51">
        <f t="shared" si="448"/>
        <v>0</v>
      </c>
      <c r="AP132" s="51">
        <f t="shared" si="362"/>
        <v>0</v>
      </c>
      <c r="AQ132" s="51">
        <f t="shared" si="449"/>
        <v>0</v>
      </c>
      <c r="AR132" s="51">
        <f t="shared" si="363"/>
        <v>0</v>
      </c>
      <c r="AS132" s="51">
        <f t="shared" si="450"/>
        <v>0</v>
      </c>
      <c r="AT132" s="51">
        <f t="shared" si="364"/>
        <v>0</v>
      </c>
      <c r="AU132" s="51">
        <f t="shared" si="451"/>
        <v>0</v>
      </c>
      <c r="AV132" s="51">
        <f t="shared" si="365"/>
        <v>0</v>
      </c>
      <c r="AW132" s="51">
        <f t="shared" si="452"/>
        <v>0</v>
      </c>
      <c r="AX132" s="51">
        <f t="shared" si="366"/>
        <v>0</v>
      </c>
      <c r="AY132" s="54">
        <f t="shared" si="367"/>
        <v>0</v>
      </c>
      <c r="AZ132" s="55">
        <f t="shared" si="368"/>
        <v>0</v>
      </c>
      <c r="BA132" s="56">
        <f>IF(AND($E132&lt;&gt;0,$F132&gt;0,YEAR($F132)&gt;=Preisindex!$A$6,YEAR(AV$4)&gt;=YEAR($F132),AND($K132&lt;&gt;"a",$K132&lt;&gt;"b",$K132&lt;&gt;"g",$K132&lt;&gt;"k")),1,IF(AND($E132&lt;&gt;0,$F132&gt;0,YEAR($F132)&gt;=Preisindex!$A$6,YEAR(AV$4)&gt;=YEAR($F132),$K132="a"),ROUND(VLOOKUP(BA$4,Preisindex,5,FALSE)/VLOOKUP(YEAR($F132),Preisindex,5,FALSE),2),IF(AND($E132&lt;&gt;0,$F132&gt;0,YEAR($F132)&gt;=Preisindex!$A$6,YEAR(AV$4)&gt;=YEAR($F132),$K132="b"),ROUND(VLOOKUP(BA$4,Preisindex,3,FALSE)/VLOOKUP(YEAR($F132),Preisindex,3,FALSE),2),IF(AND($E132&lt;&gt;0,$F132&gt;0,YEAR($F132)&gt;=Preisindex!$A$6,YEAR(AV$4)&gt;=YEAR($F132),$K132="g"),ROUND(VLOOKUP(BA$4,Preisindex,4,FALSE)/VLOOKUP(YEAR($F132),Preisindex,4,FALSE),2),IF(AND($E132&lt;&gt;0,$F132&gt;0,YEAR($F132)&gt;=Preisindex!$A$6,YEAR(AV$4)&gt;=YEAR($F132),$K132="k"),ROUND(VLOOKUP(BA$4,Preisindex,2,FALSE)/VLOOKUP(YEAR($F132),Preisindex,2,FALSE),2),0)))))</f>
        <v>0</v>
      </c>
      <c r="BB132" s="56">
        <f>IF(AND($E132&lt;&gt;0,$F132&gt;0,YEAR($F132)&lt;Preisindex!$A$6,YEAR(AV$4)&gt;=YEAR($F132),AND($K132&lt;&gt;"a",$K132&lt;&gt;"b",$K132&lt;&gt;"g",$K132&lt;&gt;"k")),1,IF(AND($E132&lt;&gt;0,$F132&gt;0,YEAR($F132)&lt;Preisindex!$A$6,YEAR(AV$4)&gt;=YEAR($F132),$K132="a"),ROUND(VLOOKUP(BA$4,Preisindex,5,FALSE)/VLOOKUP(Preisindex!$A$6,Preisindex,5,FALSE),2),IF(AND($E132&lt;&gt;0,$F132&gt;0,YEAR($F132)&lt;Preisindex!$A$6,YEAR(AV$4)&gt;=YEAR($F132),$K132="b"),ROUND(VLOOKUP(BA$4,Preisindex,3,FALSE)/VLOOKUP(Preisindex!$A$6,Preisindex,3,FALSE),2),IF(AND($E132&lt;&gt;0,$F132&gt;0,YEAR($F132)&lt;Preisindex!$A$6,YEAR(AV$4)&gt;=YEAR($F132),$K132="g"),ROUND(VLOOKUP(BA$4,Preisindex,4,FALSE)/VLOOKUP(Preisindex!$A$6,Preisindex,4,FALSE),2),IF(AND($E132&lt;&gt;0,$F132&gt;0,YEAR($F132)&lt;Preisindex!$A$6,YEAR(AV$4)&gt;=YEAR($F132),$K132="k"),ROUND(VLOOKUP(BA$4,Preisindex,2,FALSE)/VLOOKUP(Preisindex!$A$6,Preisindex,2,FALSE),2),0)))))</f>
        <v>0</v>
      </c>
      <c r="BC132" s="51">
        <f>IF(AND($E132&lt;&gt;0,$F132&gt;0,YEAR($F132)&lt;=BA$4,YEAR($F132)&gt;=Preisindex!$A$6),ROUND($E132*BA132,2),IF(AND($E132&lt;&gt;0,$F132&gt;0,YEAR($F132)&lt;=BA$4,YEAR($F132)&lt;Preisindex!$A$6),ROUND($E132*BB132,2),0))</f>
        <v>0</v>
      </c>
      <c r="BD132" s="53">
        <f t="shared" si="369"/>
        <v>0</v>
      </c>
      <c r="BE132" s="51">
        <f t="shared" si="490"/>
        <v>0</v>
      </c>
      <c r="BF132" s="51">
        <f t="shared" si="453"/>
        <v>0</v>
      </c>
      <c r="BG132" s="51">
        <f t="shared" si="370"/>
        <v>0</v>
      </c>
      <c r="BH132" s="51">
        <f t="shared" si="454"/>
        <v>0</v>
      </c>
      <c r="BI132" s="51">
        <f t="shared" si="371"/>
        <v>0</v>
      </c>
      <c r="BJ132" s="51">
        <f t="shared" si="455"/>
        <v>0</v>
      </c>
      <c r="BK132" s="51">
        <f t="shared" si="372"/>
        <v>0</v>
      </c>
      <c r="BL132" s="51">
        <f t="shared" si="456"/>
        <v>0</v>
      </c>
      <c r="BM132" s="51">
        <f t="shared" si="373"/>
        <v>0</v>
      </c>
      <c r="BN132" s="51">
        <f t="shared" si="457"/>
        <v>0</v>
      </c>
      <c r="BO132" s="51">
        <f t="shared" si="374"/>
        <v>0</v>
      </c>
      <c r="BP132" s="54">
        <f t="shared" si="375"/>
        <v>0</v>
      </c>
      <c r="BQ132" s="55">
        <f t="shared" si="376"/>
        <v>0</v>
      </c>
      <c r="BR132" s="56">
        <f>IF(AND($E132&lt;&gt;0,$F132&gt;0,YEAR($F132)&gt;=Preisindex!$A$6,YEAR(BM$4)&gt;=YEAR($F132),AND($K132&lt;&gt;"a",$K132&lt;&gt;"b",$K132&lt;&gt;"g",$K132&lt;&gt;"k")),1,IF(AND($E132&lt;&gt;0,$F132&gt;0,YEAR($F132)&gt;=Preisindex!$A$6,YEAR(BM$4)&gt;=YEAR($F132),$K132="a"),ROUND(VLOOKUP(BR$4,Preisindex,5,FALSE)/VLOOKUP(YEAR($F132),Preisindex,5,FALSE),2),IF(AND($E132&lt;&gt;0,$F132&gt;0,YEAR($F132)&gt;=Preisindex!$A$6,YEAR(BM$4)&gt;=YEAR($F132),$K132="b"),ROUND(VLOOKUP(BR$4,Preisindex,3,FALSE)/VLOOKUP(YEAR($F132),Preisindex,3,FALSE),2),IF(AND($E132&lt;&gt;0,$F132&gt;0,YEAR($F132)&gt;=Preisindex!$A$6,YEAR(BM$4)&gt;=YEAR($F132),$K132="g"),ROUND(VLOOKUP(BR$4,Preisindex,4,FALSE)/VLOOKUP(YEAR($F132),Preisindex,4,FALSE),2),IF(AND($E132&lt;&gt;0,$F132&gt;0,YEAR($F132)&gt;=Preisindex!$A$6,YEAR(BM$4)&gt;=YEAR($F132),$K132="k"),ROUND(VLOOKUP(BR$4,Preisindex,2,FALSE)/VLOOKUP(YEAR($F132),Preisindex,2,FALSE),2),0)))))</f>
        <v>0</v>
      </c>
      <c r="BS132" s="56">
        <f>IF(AND($E132&lt;&gt;0,$F132&gt;0,YEAR($F132)&lt;Preisindex!$A$6,YEAR(BM$4)&gt;=YEAR($F132),AND($K132&lt;&gt;"a",$K132&lt;&gt;"b",$K132&lt;&gt;"g",$K132&lt;&gt;"k")),1,IF(AND($E132&lt;&gt;0,$F132&gt;0,YEAR($F132)&lt;Preisindex!$A$6,YEAR(BM$4)&gt;=YEAR($F132),$K132="a"),ROUND(VLOOKUP(BR$4,Preisindex,5,FALSE)/VLOOKUP(Preisindex!$A$6,Preisindex,5,FALSE),2),IF(AND($E132&lt;&gt;0,$F132&gt;0,YEAR($F132)&lt;Preisindex!$A$6,YEAR(BM$4)&gt;=YEAR($F132),$K132="b"),ROUND(VLOOKUP(BR$4,Preisindex,3,FALSE)/VLOOKUP(Preisindex!$A$6,Preisindex,3,FALSE),2),IF(AND($E132&lt;&gt;0,$F132&gt;0,YEAR($F132)&lt;Preisindex!$A$6,YEAR(BM$4)&gt;=YEAR($F132),$K132="g"),ROUND(VLOOKUP(BR$4,Preisindex,4,FALSE)/VLOOKUP(Preisindex!$A$6,Preisindex,4,FALSE),2),IF(AND($E132&lt;&gt;0,$F132&gt;0,YEAR($F132)&lt;Preisindex!$A$6,YEAR(BM$4)&gt;=YEAR($F132),$K132="k"),ROUND(VLOOKUP(BR$4,Preisindex,2,FALSE)/VLOOKUP(Preisindex!$A$6,Preisindex,2,FALSE),2),0)))))</f>
        <v>0</v>
      </c>
      <c r="BT132" s="51">
        <f>IF(AND($E132&lt;&gt;0,$F132&gt;0,YEAR($F132)&lt;=BR$4,YEAR($F132)&gt;=Preisindex!$A$6),ROUND($E132*BR132,2),IF(AND($E132&lt;&gt;0,$F132&gt;0,YEAR($F132)&lt;=BR$4,YEAR($F132)&lt;Preisindex!$A$6),ROUND($E132*BS132,2),0))</f>
        <v>0</v>
      </c>
      <c r="BU132" s="53">
        <f t="shared" si="377"/>
        <v>0</v>
      </c>
      <c r="BV132" s="51">
        <f t="shared" si="490"/>
        <v>0</v>
      </c>
      <c r="BW132" s="51">
        <f t="shared" si="458"/>
        <v>0</v>
      </c>
      <c r="BX132" s="51">
        <f t="shared" si="378"/>
        <v>0</v>
      </c>
      <c r="BY132" s="51">
        <f t="shared" si="459"/>
        <v>0</v>
      </c>
      <c r="BZ132" s="51">
        <f t="shared" si="379"/>
        <v>0</v>
      </c>
      <c r="CA132" s="51">
        <f t="shared" si="460"/>
        <v>0</v>
      </c>
      <c r="CB132" s="51">
        <f t="shared" si="380"/>
        <v>0</v>
      </c>
      <c r="CC132" s="51">
        <f t="shared" si="461"/>
        <v>0</v>
      </c>
      <c r="CD132" s="51">
        <f t="shared" si="381"/>
        <v>0</v>
      </c>
      <c r="CE132" s="51">
        <f t="shared" si="462"/>
        <v>0</v>
      </c>
      <c r="CF132" s="51">
        <f t="shared" si="382"/>
        <v>0</v>
      </c>
      <c r="CG132" s="54">
        <f t="shared" si="383"/>
        <v>0</v>
      </c>
      <c r="CH132" s="55">
        <f t="shared" si="384"/>
        <v>0</v>
      </c>
      <c r="CI132" s="56">
        <f>IF(AND($E132&lt;&gt;0,$F132&gt;0,YEAR($F132)&gt;=Preisindex!$A$6,YEAR(CD$4)&gt;=YEAR($F132),AND($K132&lt;&gt;"a",$K132&lt;&gt;"b",$K132&lt;&gt;"g",$K132&lt;&gt;"k")),1,IF(AND($E132&lt;&gt;0,$F132&gt;0,YEAR($F132)&gt;=Preisindex!$A$6,YEAR(CD$4)&gt;=YEAR($F132),$K132="a"),ROUND(VLOOKUP(CI$4,Preisindex,5,FALSE)/VLOOKUP(YEAR($F132),Preisindex,5,FALSE),2),IF(AND($E132&lt;&gt;0,$F132&gt;0,YEAR($F132)&gt;=Preisindex!$A$6,YEAR(CD$4)&gt;=YEAR($F132),$K132="b"),ROUND(VLOOKUP(CI$4,Preisindex,3,FALSE)/VLOOKUP(YEAR($F132),Preisindex,3,FALSE),2),IF(AND($E132&lt;&gt;0,$F132&gt;0,YEAR($F132)&gt;=Preisindex!$A$6,YEAR(CD$4)&gt;=YEAR($F132),$K132="g"),ROUND(VLOOKUP(CI$4,Preisindex,4,FALSE)/VLOOKUP(YEAR($F132),Preisindex,4,FALSE),2),IF(AND($E132&lt;&gt;0,$F132&gt;0,YEAR($F132)&gt;=Preisindex!$A$6,YEAR(CD$4)&gt;=YEAR($F132),$K132="k"),ROUND(VLOOKUP(CI$4,Preisindex,2,FALSE)/VLOOKUP(YEAR($F132),Preisindex,2,FALSE),2),0)))))</f>
        <v>0</v>
      </c>
      <c r="CJ132" s="56">
        <f>IF(AND($E132&lt;&gt;0,$F132&gt;0,YEAR($F132)&lt;Preisindex!$A$6,YEAR(CD$4)&gt;=YEAR($F132),AND($K132&lt;&gt;"a",$K132&lt;&gt;"b",$K132&lt;&gt;"g",$K132&lt;&gt;"k")),1,IF(AND($E132&lt;&gt;0,$F132&gt;0,YEAR($F132)&lt;Preisindex!$A$6,YEAR(CD$4)&gt;=YEAR($F132),$K132="a"),ROUND(VLOOKUP(CI$4,Preisindex,5,FALSE)/VLOOKUP(Preisindex!$A$6,Preisindex,5,FALSE),2),IF(AND($E132&lt;&gt;0,$F132&gt;0,YEAR($F132)&lt;Preisindex!$A$6,YEAR(CD$4)&gt;=YEAR($F132),$K132="b"),ROUND(VLOOKUP(CI$4,Preisindex,3,FALSE)/VLOOKUP(Preisindex!$A$6,Preisindex,3,FALSE),2),IF(AND($E132&lt;&gt;0,$F132&gt;0,YEAR($F132)&lt;Preisindex!$A$6,YEAR(CD$4)&gt;=YEAR($F132),$K132="g"),ROUND(VLOOKUP(CI$4,Preisindex,4,FALSE)/VLOOKUP(Preisindex!$A$6,Preisindex,4,FALSE),2),IF(AND($E132&lt;&gt;0,$F132&gt;0,YEAR($F132)&lt;Preisindex!$A$6,YEAR(CD$4)&gt;=YEAR($F132),$K132="k"),ROUND(VLOOKUP(CI$4,Preisindex,2,FALSE)/VLOOKUP(Preisindex!$A$6,Preisindex,2,FALSE),2),0)))))</f>
        <v>0</v>
      </c>
      <c r="CK132" s="51">
        <f>IF(AND($E132&lt;&gt;0,$F132&gt;0,YEAR($F132)&lt;=CI$4,YEAR($F132)&gt;=Preisindex!$A$6),ROUND($E132*CI132,2),IF(AND($E132&lt;&gt;0,$F132&gt;0,YEAR($F132)&lt;=CI$4,YEAR($F132)&lt;Preisindex!$A$6),ROUND($E132*CJ132,2),0))</f>
        <v>0</v>
      </c>
      <c r="CL132" s="53">
        <f t="shared" si="385"/>
        <v>0</v>
      </c>
      <c r="CM132" s="51">
        <f t="shared" si="490"/>
        <v>0</v>
      </c>
      <c r="CN132" s="51">
        <f t="shared" si="463"/>
        <v>0</v>
      </c>
      <c r="CO132" s="51">
        <f t="shared" si="386"/>
        <v>0</v>
      </c>
      <c r="CP132" s="51">
        <f t="shared" si="464"/>
        <v>0</v>
      </c>
      <c r="CQ132" s="51">
        <f t="shared" si="387"/>
        <v>0</v>
      </c>
      <c r="CR132" s="51">
        <f t="shared" si="465"/>
        <v>0</v>
      </c>
      <c r="CS132" s="51">
        <f t="shared" si="388"/>
        <v>0</v>
      </c>
      <c r="CT132" s="51">
        <f t="shared" si="466"/>
        <v>0</v>
      </c>
      <c r="CU132" s="51">
        <f t="shared" si="389"/>
        <v>0</v>
      </c>
      <c r="CV132" s="51">
        <f t="shared" si="467"/>
        <v>0</v>
      </c>
      <c r="CW132" s="51">
        <f t="shared" si="390"/>
        <v>0</v>
      </c>
      <c r="CX132" s="54">
        <f t="shared" si="391"/>
        <v>0</v>
      </c>
      <c r="CY132" s="55">
        <f t="shared" si="392"/>
        <v>0</v>
      </c>
      <c r="CZ132" s="56">
        <f>IF(AND($E132&lt;&gt;0,$F132&gt;0,YEAR($F132)&gt;=Preisindex!$A$6,YEAR(CU$4)&gt;=YEAR($F132),AND($K132&lt;&gt;"a",$K132&lt;&gt;"b",$K132&lt;&gt;"g",$K132&lt;&gt;"k")),1,IF(AND($E132&lt;&gt;0,$F132&gt;0,YEAR($F132)&gt;=Preisindex!$A$6,YEAR(CU$4)&gt;=YEAR($F132),$K132="a"),ROUND(VLOOKUP(CZ$4,Preisindex,5,FALSE)/VLOOKUP(YEAR($F132),Preisindex,5,FALSE),2),IF(AND($E132&lt;&gt;0,$F132&gt;0,YEAR($F132)&gt;=Preisindex!$A$6,YEAR(CU$4)&gt;=YEAR($F132),$K132="b"),ROUND(VLOOKUP(CZ$4,Preisindex,3,FALSE)/VLOOKUP(YEAR($F132),Preisindex,3,FALSE),2),IF(AND($E132&lt;&gt;0,$F132&gt;0,YEAR($F132)&gt;=Preisindex!$A$6,YEAR(CU$4)&gt;=YEAR($F132),$K132="g"),ROUND(VLOOKUP(CZ$4,Preisindex,4,FALSE)/VLOOKUP(YEAR($F132),Preisindex,4,FALSE),2),IF(AND($E132&lt;&gt;0,$F132&gt;0,YEAR($F132)&gt;=Preisindex!$A$6,YEAR(CU$4)&gt;=YEAR($F132),$K132="k"),ROUND(VLOOKUP(CZ$4,Preisindex,2,FALSE)/VLOOKUP(YEAR($F132),Preisindex,2,FALSE),2),0)))))</f>
        <v>0</v>
      </c>
      <c r="DA132" s="56">
        <f>IF(AND($E132&lt;&gt;0,$F132&gt;0,YEAR($F132)&lt;Preisindex!$A$6,YEAR(CU$4)&gt;=YEAR($F132),AND($K132&lt;&gt;"a",$K132&lt;&gt;"b",$K132&lt;&gt;"g",$K132&lt;&gt;"k")),1,IF(AND($E132&lt;&gt;0,$F132&gt;0,YEAR($F132)&lt;Preisindex!$A$6,YEAR(CU$4)&gt;=YEAR($F132),$K132="a"),ROUND(VLOOKUP(CZ$4,Preisindex,5,FALSE)/VLOOKUP(Preisindex!$A$6,Preisindex,5,FALSE),2),IF(AND($E132&lt;&gt;0,$F132&gt;0,YEAR($F132)&lt;Preisindex!$A$6,YEAR(CU$4)&gt;=YEAR($F132),$K132="b"),ROUND(VLOOKUP(CZ$4,Preisindex,3,FALSE)/VLOOKUP(Preisindex!$A$6,Preisindex,3,FALSE),2),IF(AND($E132&lt;&gt;0,$F132&gt;0,YEAR($F132)&lt;Preisindex!$A$6,YEAR(CU$4)&gt;=YEAR($F132),$K132="g"),ROUND(VLOOKUP(CZ$4,Preisindex,4,FALSE)/VLOOKUP(Preisindex!$A$6,Preisindex,4,FALSE),2),IF(AND($E132&lt;&gt;0,$F132&gt;0,YEAR($F132)&lt;Preisindex!$A$6,YEAR(CU$4)&gt;=YEAR($F132),$K132="k"),ROUND(VLOOKUP(CZ$4,Preisindex,2,FALSE)/VLOOKUP(Preisindex!$A$6,Preisindex,2,FALSE),2),0)))))</f>
        <v>0</v>
      </c>
      <c r="DB132" s="51">
        <f>IF(AND($E132&lt;&gt;0,$F132&gt;0,YEAR($F132)&lt;=CZ$4,YEAR($F132)&gt;=Preisindex!$A$6),ROUND($E132*CZ132,2),IF(AND($E132&lt;&gt;0,$F132&gt;0,YEAR($F132)&lt;=CZ$4,YEAR($F132)&lt;Preisindex!$A$6),ROUND($E132*DA132,2),0))</f>
        <v>0</v>
      </c>
      <c r="DC132" s="53">
        <f t="shared" si="393"/>
        <v>0</v>
      </c>
      <c r="DD132" s="51">
        <f t="shared" si="491"/>
        <v>0</v>
      </c>
      <c r="DE132" s="51">
        <f t="shared" si="468"/>
        <v>0</v>
      </c>
      <c r="DF132" s="51">
        <f t="shared" si="395"/>
        <v>0</v>
      </c>
      <c r="DG132" s="51">
        <f t="shared" si="469"/>
        <v>0</v>
      </c>
      <c r="DH132" s="51">
        <f t="shared" si="396"/>
        <v>0</v>
      </c>
      <c r="DI132" s="51">
        <f t="shared" si="470"/>
        <v>0</v>
      </c>
      <c r="DJ132" s="51">
        <f t="shared" si="397"/>
        <v>0</v>
      </c>
      <c r="DK132" s="51">
        <f t="shared" si="471"/>
        <v>0</v>
      </c>
      <c r="DL132" s="51">
        <f t="shared" si="398"/>
        <v>0</v>
      </c>
      <c r="DM132" s="51">
        <f t="shared" si="472"/>
        <v>0</v>
      </c>
      <c r="DN132" s="51">
        <f t="shared" si="399"/>
        <v>0</v>
      </c>
      <c r="DO132" s="54">
        <f t="shared" si="400"/>
        <v>0</v>
      </c>
      <c r="DP132" s="55">
        <f t="shared" si="401"/>
        <v>0</v>
      </c>
      <c r="DQ132" s="56">
        <f>IF(AND($E132&lt;&gt;0,$F132&gt;0,YEAR($F132)&gt;=Preisindex!$A$6,YEAR(DL$4)&gt;=YEAR($F132),AND($K132&lt;&gt;"a",$K132&lt;&gt;"b",$K132&lt;&gt;"g",$K132&lt;&gt;"k")),1,IF(AND($E132&lt;&gt;0,$F132&gt;0,YEAR($F132)&gt;=Preisindex!$A$6,YEAR(DL$4)&gt;=YEAR($F132),$K132="a"),ROUND(VLOOKUP(DQ$4,Preisindex,5,FALSE)/VLOOKUP(YEAR($F132),Preisindex,5,FALSE),2),IF(AND($E132&lt;&gt;0,$F132&gt;0,YEAR($F132)&gt;=Preisindex!$A$6,YEAR(DL$4)&gt;=YEAR($F132),$K132="b"),ROUND(VLOOKUP(DQ$4,Preisindex,3,FALSE)/VLOOKUP(YEAR($F132),Preisindex,3,FALSE),2),IF(AND($E132&lt;&gt;0,$F132&gt;0,YEAR($F132)&gt;=Preisindex!$A$6,YEAR(DL$4)&gt;=YEAR($F132),$K132="g"),ROUND(VLOOKUP(DQ$4,Preisindex,4,FALSE)/VLOOKUP(YEAR($F132),Preisindex,4,FALSE),2),IF(AND($E132&lt;&gt;0,$F132&gt;0,YEAR($F132)&gt;=Preisindex!$A$6,YEAR(DL$4)&gt;=YEAR($F132),$K132="k"),ROUND(VLOOKUP(DQ$4,Preisindex,2,FALSE)/VLOOKUP(YEAR($F132),Preisindex,2,FALSE),2),0)))))</f>
        <v>0</v>
      </c>
      <c r="DR132" s="56">
        <f>IF(AND($E132&lt;&gt;0,$F132&gt;0,YEAR($F132)&lt;Preisindex!$A$6,YEAR(DL$4)&gt;=YEAR($F132),AND($K132&lt;&gt;"a",$K132&lt;&gt;"b",$K132&lt;&gt;"g",$K132&lt;&gt;"k")),1,IF(AND($E132&lt;&gt;0,$F132&gt;0,YEAR($F132)&lt;Preisindex!$A$6,YEAR(DL$4)&gt;=YEAR($F132),$K132="a"),ROUND(VLOOKUP(DQ$4,Preisindex,5,FALSE)/VLOOKUP(Preisindex!$A$6,Preisindex,5,FALSE),2),IF(AND($E132&lt;&gt;0,$F132&gt;0,YEAR($F132)&lt;Preisindex!$A$6,YEAR(DL$4)&gt;=YEAR($F132),$K132="b"),ROUND(VLOOKUP(DQ$4,Preisindex,3,FALSE)/VLOOKUP(Preisindex!$A$6,Preisindex,3,FALSE),2),IF(AND($E132&lt;&gt;0,$F132&gt;0,YEAR($F132)&lt;Preisindex!$A$6,YEAR(DL$4)&gt;=YEAR($F132),$K132="g"),ROUND(VLOOKUP(DQ$4,Preisindex,4,FALSE)/VLOOKUP(Preisindex!$A$6,Preisindex,4,FALSE),2),IF(AND($E132&lt;&gt;0,$F132&gt;0,YEAR($F132)&lt;Preisindex!$A$6,YEAR(DL$4)&gt;=YEAR($F132),$K132="k"),ROUND(VLOOKUP(DQ$4,Preisindex,2,FALSE)/VLOOKUP(Preisindex!$A$6,Preisindex,2,FALSE),2),0)))))</f>
        <v>0</v>
      </c>
      <c r="DS132" s="51">
        <f>IF(AND($E132&lt;&gt;0,$F132&gt;0,YEAR($F132)&lt;=DQ$4,YEAR($F132)&gt;=Preisindex!$A$6),ROUND($E132*DQ132,2),IF(AND($E132&lt;&gt;0,$F132&gt;0,YEAR($F132)&lt;=DQ$4,YEAR($F132)&lt;Preisindex!$A$6),ROUND($E132*DR132,2),0))</f>
        <v>0</v>
      </c>
      <c r="DT132" s="53">
        <f t="shared" si="402"/>
        <v>0</v>
      </c>
      <c r="DU132" s="51">
        <f t="shared" si="491"/>
        <v>0</v>
      </c>
      <c r="DV132" s="51">
        <f t="shared" si="473"/>
        <v>0</v>
      </c>
      <c r="DW132" s="51">
        <f t="shared" si="403"/>
        <v>0</v>
      </c>
      <c r="DX132" s="51">
        <f t="shared" si="474"/>
        <v>0</v>
      </c>
      <c r="DY132" s="51">
        <f t="shared" si="404"/>
        <v>0</v>
      </c>
      <c r="DZ132" s="51">
        <f t="shared" si="475"/>
        <v>0</v>
      </c>
      <c r="EA132" s="51">
        <f t="shared" si="405"/>
        <v>0</v>
      </c>
      <c r="EB132" s="51">
        <f t="shared" si="476"/>
        <v>0</v>
      </c>
      <c r="EC132" s="51">
        <f t="shared" si="406"/>
        <v>0</v>
      </c>
      <c r="ED132" s="51">
        <f t="shared" si="477"/>
        <v>0</v>
      </c>
      <c r="EE132" s="51">
        <f t="shared" si="407"/>
        <v>0</v>
      </c>
      <c r="EF132" s="54">
        <f t="shared" si="408"/>
        <v>0</v>
      </c>
      <c r="EG132" s="55">
        <f t="shared" si="409"/>
        <v>0</v>
      </c>
      <c r="EH132" s="56">
        <f>IF(AND($E132&lt;&gt;0,$F132&gt;0,YEAR($F132)&gt;=Preisindex!$A$6,YEAR(EC$4)&gt;=YEAR($F132),AND($K132&lt;&gt;"a",$K132&lt;&gt;"b",$K132&lt;&gt;"g",$K132&lt;&gt;"k")),1,IF(AND($E132&lt;&gt;0,$F132&gt;0,YEAR($F132)&gt;=Preisindex!$A$6,YEAR(EC$4)&gt;=YEAR($F132),$K132="a"),ROUND(VLOOKUP(EH$4,Preisindex,5,FALSE)/VLOOKUP(YEAR($F132),Preisindex,5,FALSE),2),IF(AND($E132&lt;&gt;0,$F132&gt;0,YEAR($F132)&gt;=Preisindex!$A$6,YEAR(EC$4)&gt;=YEAR($F132),$K132="b"),ROUND(VLOOKUP(EH$4,Preisindex,3,FALSE)/VLOOKUP(YEAR($F132),Preisindex,3,FALSE),2),IF(AND($E132&lt;&gt;0,$F132&gt;0,YEAR($F132)&gt;=Preisindex!$A$6,YEAR(EC$4)&gt;=YEAR($F132),$K132="g"),ROUND(VLOOKUP(EH$4,Preisindex,4,FALSE)/VLOOKUP(YEAR($F132),Preisindex,4,FALSE),2),IF(AND($E132&lt;&gt;0,$F132&gt;0,YEAR($F132)&gt;=Preisindex!$A$6,YEAR(EC$4)&gt;=YEAR($F132),$K132="k"),ROUND(VLOOKUP(EH$4,Preisindex,2,FALSE)/VLOOKUP(YEAR($F132),Preisindex,2,FALSE),2),0)))))</f>
        <v>0</v>
      </c>
      <c r="EI132" s="56">
        <f>IF(AND($E132&lt;&gt;0,$F132&gt;0,YEAR($F132)&lt;Preisindex!$A$6,YEAR(EC$4)&gt;=YEAR($F132),AND($K132&lt;&gt;"a",$K132&lt;&gt;"b",$K132&lt;&gt;"g",$K132&lt;&gt;"k")),1,IF(AND($E132&lt;&gt;0,$F132&gt;0,YEAR($F132)&lt;Preisindex!$A$6,YEAR(EC$4)&gt;=YEAR($F132),$K132="a"),ROUND(VLOOKUP(EH$4,Preisindex,5,FALSE)/VLOOKUP(Preisindex!$A$6,Preisindex,5,FALSE),2),IF(AND($E132&lt;&gt;0,$F132&gt;0,YEAR($F132)&lt;Preisindex!$A$6,YEAR(EC$4)&gt;=YEAR($F132),$K132="b"),ROUND(VLOOKUP(EH$4,Preisindex,3,FALSE)/VLOOKUP(Preisindex!$A$6,Preisindex,3,FALSE),2),IF(AND($E132&lt;&gt;0,$F132&gt;0,YEAR($F132)&lt;Preisindex!$A$6,YEAR(EC$4)&gt;=YEAR($F132),$K132="g"),ROUND(VLOOKUP(EH$4,Preisindex,4,FALSE)/VLOOKUP(Preisindex!$A$6,Preisindex,4,FALSE),2),IF(AND($E132&lt;&gt;0,$F132&gt;0,YEAR($F132)&lt;Preisindex!$A$6,YEAR(EC$4)&gt;=YEAR($F132),$K132="k"),ROUND(VLOOKUP(EH$4,Preisindex,2,FALSE)/VLOOKUP(Preisindex!$A$6,Preisindex,2,FALSE),2),0)))))</f>
        <v>0</v>
      </c>
      <c r="EJ132" s="51">
        <f>IF(AND($E132&lt;&gt;0,$F132&gt;0,YEAR($F132)&lt;=EH$4,YEAR($F132)&gt;=Preisindex!$A$6),ROUND($E132*EH132,2),IF(AND($E132&lt;&gt;0,$F132&gt;0,YEAR($F132)&lt;=EH$4,YEAR($F132)&lt;Preisindex!$A$6),ROUND($E132*EI132,2),0))</f>
        <v>0</v>
      </c>
      <c r="EK132" s="53">
        <f t="shared" si="410"/>
        <v>0</v>
      </c>
      <c r="EL132" s="51">
        <f t="shared" si="491"/>
        <v>0</v>
      </c>
      <c r="EM132" s="51">
        <f t="shared" si="478"/>
        <v>0</v>
      </c>
      <c r="EN132" s="51">
        <f t="shared" si="411"/>
        <v>0</v>
      </c>
      <c r="EO132" s="51">
        <f t="shared" si="479"/>
        <v>0</v>
      </c>
      <c r="EP132" s="51">
        <f t="shared" si="412"/>
        <v>0</v>
      </c>
      <c r="EQ132" s="51">
        <f t="shared" si="480"/>
        <v>0</v>
      </c>
      <c r="ER132" s="51">
        <f t="shared" si="413"/>
        <v>0</v>
      </c>
      <c r="ES132" s="51">
        <f t="shared" si="481"/>
        <v>0</v>
      </c>
      <c r="ET132" s="51">
        <f t="shared" si="414"/>
        <v>0</v>
      </c>
      <c r="EU132" s="51">
        <f t="shared" si="482"/>
        <v>0</v>
      </c>
      <c r="EV132" s="51">
        <f t="shared" si="415"/>
        <v>0</v>
      </c>
      <c r="EW132" s="54">
        <f t="shared" si="416"/>
        <v>0</v>
      </c>
      <c r="EX132" s="55">
        <f t="shared" si="417"/>
        <v>0</v>
      </c>
      <c r="EY132" s="56">
        <f>IF(AND($E132&lt;&gt;0,$F132&gt;0,YEAR($F132)&gt;=Preisindex!$A$6,YEAR(ET$4)&gt;=YEAR($F132),AND($K132&lt;&gt;"a",$K132&lt;&gt;"b",$K132&lt;&gt;"g",$K132&lt;&gt;"k")),1,IF(AND($E132&lt;&gt;0,$F132&gt;0,YEAR($F132)&gt;=Preisindex!$A$6,YEAR(ET$4)&gt;=YEAR($F132),$K132="a"),ROUND(VLOOKUP(EY$4,Preisindex,5,FALSE)/VLOOKUP(YEAR($F132),Preisindex,5,FALSE),2),IF(AND($E132&lt;&gt;0,$F132&gt;0,YEAR($F132)&gt;=Preisindex!$A$6,YEAR(ET$4)&gt;=YEAR($F132),$K132="b"),ROUND(VLOOKUP(EY$4,Preisindex,3,FALSE)/VLOOKUP(YEAR($F132),Preisindex,3,FALSE),2),IF(AND($E132&lt;&gt;0,$F132&gt;0,YEAR($F132)&gt;=Preisindex!$A$6,YEAR(ET$4)&gt;=YEAR($F132),$K132="g"),ROUND(VLOOKUP(EY$4,Preisindex,4,FALSE)/VLOOKUP(YEAR($F132),Preisindex,4,FALSE),2),IF(AND($E132&lt;&gt;0,$F132&gt;0,YEAR($F132)&gt;=Preisindex!$A$6,YEAR(ET$4)&gt;=YEAR($F132),$K132="k"),ROUND(VLOOKUP(EY$4,Preisindex,2,FALSE)/VLOOKUP(YEAR($F132),Preisindex,2,FALSE),2),0)))))</f>
        <v>0</v>
      </c>
      <c r="EZ132" s="56">
        <f>IF(AND($E132&lt;&gt;0,$F132&gt;0,YEAR($F132)&lt;Preisindex!$A$6,YEAR(ET$4)&gt;=YEAR($F132),AND($K132&lt;&gt;"a",$K132&lt;&gt;"b",$K132&lt;&gt;"g",$K132&lt;&gt;"k")),1,IF(AND($E132&lt;&gt;0,$F132&gt;0,YEAR($F132)&lt;Preisindex!$A$6,YEAR(ET$4)&gt;=YEAR($F132),$K132="a"),ROUND(VLOOKUP(EY$4,Preisindex,5,FALSE)/VLOOKUP(Preisindex!$A$6,Preisindex,5,FALSE),2),IF(AND($E132&lt;&gt;0,$F132&gt;0,YEAR($F132)&lt;Preisindex!$A$6,YEAR(ET$4)&gt;=YEAR($F132),$K132="b"),ROUND(VLOOKUP(EY$4,Preisindex,3,FALSE)/VLOOKUP(Preisindex!$A$6,Preisindex,3,FALSE),2),IF(AND($E132&lt;&gt;0,$F132&gt;0,YEAR($F132)&lt;Preisindex!$A$6,YEAR(ET$4)&gt;=YEAR($F132),$K132="g"),ROUND(VLOOKUP(EY$4,Preisindex,4,FALSE)/VLOOKUP(Preisindex!$A$6,Preisindex,4,FALSE),2),IF(AND($E132&lt;&gt;0,$F132&gt;0,YEAR($F132)&lt;Preisindex!$A$6,YEAR(ET$4)&gt;=YEAR($F132),$K132="k"),ROUND(VLOOKUP(EY$4,Preisindex,2,FALSE)/VLOOKUP(Preisindex!$A$6,Preisindex,2,FALSE),2),0)))))</f>
        <v>0</v>
      </c>
      <c r="FA132" s="51">
        <f>IF(AND($E132&lt;&gt;0,$F132&gt;0,YEAR($F132)&lt;=EY$4,YEAR($F132)&gt;=Preisindex!$A$6),ROUND($E132*EY132,2),IF(AND($E132&lt;&gt;0,$F132&gt;0,YEAR($F132)&lt;=EY$4,YEAR($F132)&lt;Preisindex!$A$6),ROUND($E132*EZ132,2),0))</f>
        <v>0</v>
      </c>
      <c r="FB132" s="53">
        <f t="shared" si="418"/>
        <v>0</v>
      </c>
      <c r="FC132" s="51">
        <f t="shared" si="491"/>
        <v>0</v>
      </c>
      <c r="FD132" s="51">
        <f t="shared" si="483"/>
        <v>0</v>
      </c>
      <c r="FE132" s="51">
        <f t="shared" si="419"/>
        <v>0</v>
      </c>
      <c r="FF132" s="51">
        <f t="shared" si="484"/>
        <v>0</v>
      </c>
      <c r="FG132" s="51">
        <f t="shared" si="420"/>
        <v>0</v>
      </c>
      <c r="FH132" s="51">
        <f t="shared" si="485"/>
        <v>0</v>
      </c>
      <c r="FI132" s="51">
        <f t="shared" si="421"/>
        <v>0</v>
      </c>
      <c r="FJ132" s="51">
        <f t="shared" si="486"/>
        <v>0</v>
      </c>
      <c r="FK132" s="51">
        <f t="shared" si="422"/>
        <v>0</v>
      </c>
      <c r="FL132" s="51">
        <f t="shared" si="487"/>
        <v>0</v>
      </c>
      <c r="FM132" s="51">
        <f t="shared" si="423"/>
        <v>0</v>
      </c>
      <c r="FN132" s="54">
        <f t="shared" si="424"/>
        <v>0</v>
      </c>
      <c r="FO132" s="55">
        <f t="shared" si="425"/>
        <v>0</v>
      </c>
      <c r="FP132" s="56">
        <f>IF(AND($E132&lt;&gt;0,$F132&gt;0,YEAR($F132)&gt;=Preisindex!$A$6,YEAR(FK$4)&gt;=YEAR($F132),AND($K132&lt;&gt;"a",$K132&lt;&gt;"b",$K132&lt;&gt;"g",$K132&lt;&gt;"k")),1,IF(AND($E132&lt;&gt;0,$F132&gt;0,YEAR($F132)&gt;=Preisindex!$A$6,YEAR(FK$4)&gt;=YEAR($F132),$K132="a"),ROUND(VLOOKUP(FP$4,Preisindex,5,FALSE)/VLOOKUP(YEAR($F132),Preisindex,5,FALSE),2),IF(AND($E132&lt;&gt;0,$F132&gt;0,YEAR($F132)&gt;=Preisindex!$A$6,YEAR(FK$4)&gt;=YEAR($F132),$K132="b"),ROUND(VLOOKUP(FP$4,Preisindex,3,FALSE)/VLOOKUP(YEAR($F132),Preisindex,3,FALSE),2),IF(AND($E132&lt;&gt;0,$F132&gt;0,YEAR($F132)&gt;=Preisindex!$A$6,YEAR(FK$4)&gt;=YEAR($F132),$K132="g"),ROUND(VLOOKUP(FP$4,Preisindex,4,FALSE)/VLOOKUP(YEAR($F132),Preisindex,4,FALSE),2),IF(AND($E132&lt;&gt;0,$F132&gt;0,YEAR($F132)&gt;=Preisindex!$A$6,YEAR(FK$4)&gt;=YEAR($F132),$K132="k"),ROUND(VLOOKUP(FP$4,Preisindex,2,FALSE)/VLOOKUP(YEAR($F132),Preisindex,2,FALSE),2),0)))))</f>
        <v>0</v>
      </c>
      <c r="FQ132" s="56">
        <f>IF(AND($E132&lt;&gt;0,$F132&gt;0,YEAR($F132)&lt;Preisindex!$A$6,YEAR(FK$4)&gt;=YEAR($F132),AND($K132&lt;&gt;"a",$K132&lt;&gt;"b",$K132&lt;&gt;"g",$K132&lt;&gt;"k")),1,IF(AND($E132&lt;&gt;0,$F132&gt;0,YEAR($F132)&lt;Preisindex!$A$6,YEAR(FK$4)&gt;=YEAR($F132),$K132="a"),ROUND(VLOOKUP(FP$4,Preisindex,5,FALSE)/VLOOKUP(Preisindex!$A$6,Preisindex,5,FALSE),2),IF(AND($E132&lt;&gt;0,$F132&gt;0,YEAR($F132)&lt;Preisindex!$A$6,YEAR(FK$4)&gt;=YEAR($F132),$K132="b"),ROUND(VLOOKUP(FP$4,Preisindex,3,FALSE)/VLOOKUP(Preisindex!$A$6,Preisindex,3,FALSE),2),IF(AND($E132&lt;&gt;0,$F132&gt;0,YEAR($F132)&lt;Preisindex!$A$6,YEAR(FK$4)&gt;=YEAR($F132),$K132="g"),ROUND(VLOOKUP(FP$4,Preisindex,4,FALSE)/VLOOKUP(Preisindex!$A$6,Preisindex,4,FALSE),2),IF(AND($E132&lt;&gt;0,$F132&gt;0,YEAR($F132)&lt;Preisindex!$A$6,YEAR(FK$4)&gt;=YEAR($F132),$K132="k"),ROUND(VLOOKUP(FP$4,Preisindex,2,FALSE)/VLOOKUP(Preisindex!$A$6,Preisindex,2,FALSE),2),0)))))</f>
        <v>0</v>
      </c>
      <c r="FR132" s="51">
        <f>IF(AND($E132&lt;&gt;0,$F132&gt;0,YEAR($F132)&lt;=FP$4,YEAR($F132)&gt;=Preisindex!$A$6),ROUND($E132*FP132,2),IF(AND($E132&lt;&gt;0,$F132&gt;0,YEAR($F132)&lt;=FP$4,YEAR($F132)&lt;Preisindex!$A$6),ROUND($E132*FQ132,2),0))</f>
        <v>0</v>
      </c>
      <c r="FS132" s="53">
        <f t="shared" si="426"/>
        <v>0</v>
      </c>
    </row>
    <row r="133" spans="1:175" x14ac:dyDescent="0.3">
      <c r="A133" s="93"/>
      <c r="B133" s="94"/>
      <c r="C133" s="94"/>
      <c r="D133" s="95"/>
      <c r="E133" s="99"/>
      <c r="F133" s="97"/>
      <c r="G133" s="98"/>
      <c r="H133" s="620"/>
      <c r="I133" s="621"/>
      <c r="J133" s="194"/>
      <c r="K133" s="630"/>
      <c r="L133" s="49">
        <f t="shared" si="427"/>
        <v>0</v>
      </c>
      <c r="M133" s="50">
        <f t="shared" si="428"/>
        <v>0</v>
      </c>
      <c r="N133" s="51">
        <f t="shared" si="429"/>
        <v>0</v>
      </c>
      <c r="O133" s="51"/>
      <c r="P133" s="51">
        <f t="shared" si="430"/>
        <v>0</v>
      </c>
      <c r="Q133" s="52"/>
      <c r="R133" s="52"/>
      <c r="S133" s="52"/>
      <c r="T133" s="52"/>
      <c r="U133" s="52"/>
      <c r="V133" s="53">
        <f t="shared" si="431"/>
        <v>0</v>
      </c>
      <c r="W133" s="51">
        <f t="shared" si="432"/>
        <v>0</v>
      </c>
      <c r="X133" s="51">
        <f t="shared" si="433"/>
        <v>0</v>
      </c>
      <c r="Y133" s="51">
        <f t="shared" si="434"/>
        <v>0</v>
      </c>
      <c r="Z133" s="51">
        <f t="shared" si="435"/>
        <v>0</v>
      </c>
      <c r="AA133" s="51">
        <f t="shared" si="436"/>
        <v>0</v>
      </c>
      <c r="AB133" s="51">
        <f t="shared" si="437"/>
        <v>0</v>
      </c>
      <c r="AC133" s="51">
        <f t="shared" si="438"/>
        <v>0</v>
      </c>
      <c r="AD133" s="51">
        <f t="shared" si="439"/>
        <v>0</v>
      </c>
      <c r="AE133" s="51">
        <f t="shared" si="440"/>
        <v>0</v>
      </c>
      <c r="AF133" s="51">
        <f t="shared" si="441"/>
        <v>0</v>
      </c>
      <c r="AG133" s="51">
        <f t="shared" si="442"/>
        <v>0</v>
      </c>
      <c r="AH133" s="54">
        <f t="shared" si="443"/>
        <v>0</v>
      </c>
      <c r="AI133" s="55">
        <f t="shared" si="444"/>
        <v>0</v>
      </c>
      <c r="AJ133" s="56">
        <f>IF(AND($E133&lt;&gt;0,$F133&gt;0,YEAR($F133)&gt;=Preisindex!$A$6,YEAR(AE$4)&gt;=YEAR($F133),AND($K133&lt;&gt;"a",$K133&lt;&gt;"b",$K133&lt;&gt;"g",$K133&lt;&gt;"k")),1,IF(AND($E133&lt;&gt;0,$F133&gt;0,YEAR($F133)&gt;=Preisindex!$A$6,YEAR(AE$4)&gt;=YEAR($F133),$K133="a"),ROUND(VLOOKUP(AJ$4,Preisindex,5,FALSE)/VLOOKUP(YEAR($F133),Preisindex,5,FALSE),2),IF(AND($E133&lt;&gt;0,$F133&gt;0,YEAR($F133)&gt;=Preisindex!$A$6,YEAR(AE$4)&gt;=YEAR($F133),$K133="b"),ROUND(VLOOKUP(AJ$4,Preisindex,3,FALSE)/VLOOKUP(YEAR($F133),Preisindex,3,FALSE),2),IF(AND($E133&lt;&gt;0,$F133&gt;0,YEAR($F133)&gt;=Preisindex!$A$6,YEAR(AE$4)&gt;=YEAR($F133),$K133="g"),ROUND(VLOOKUP(AJ$4,Preisindex,4,FALSE)/VLOOKUP(YEAR($F133),Preisindex,4,FALSE),2),IF(AND($E133&lt;&gt;0,$F133&gt;0,YEAR($F133)&gt;=Preisindex!$A$6,YEAR(AE$4)&gt;=YEAR($F133),$K133="k"),ROUND(VLOOKUP(AJ$4,Preisindex,2,FALSE)/VLOOKUP(YEAR($F133),Preisindex,2,FALSE),2),0)))))</f>
        <v>0</v>
      </c>
      <c r="AK133" s="56">
        <f>IF(AND($E133&lt;&gt;0,$F133&gt;0,YEAR($F133)&lt;Preisindex!$A$6,YEAR(AE$4)&gt;=YEAR($F133),AND($K133&lt;&gt;"a",$K133&lt;&gt;"b",$K133&lt;&gt;"g",$K133&lt;&gt;"k")),1,IF(AND($E133&lt;&gt;0,$F133&gt;0,YEAR($F133)&lt;Preisindex!$A$6,YEAR(AE$4)&gt;=YEAR($F133),$K133="a"),ROUND(VLOOKUP(AJ$4,Preisindex,5,FALSE)/VLOOKUP(Preisindex!$A$6,Preisindex,5,FALSE),2),IF(AND($E133&lt;&gt;0,$F133&gt;0,YEAR($F133)&lt;Preisindex!$A$6,YEAR(AE$4)&gt;=YEAR($F133),$K133="b"),ROUND(VLOOKUP(AJ$4,Preisindex,3,FALSE)/VLOOKUP(Preisindex!$A$6,Preisindex,3,FALSE),2),IF(AND($E133&lt;&gt;0,$F133&gt;0,YEAR($F133)&lt;Preisindex!$A$6,YEAR(AE$4)&gt;=YEAR($F133),$K133="g"),ROUND(VLOOKUP(AJ$4,Preisindex,4,FALSE)/VLOOKUP(Preisindex!$A$6,Preisindex,4,FALSE),2),IF(AND($E133&lt;&gt;0,$F133&gt;0,YEAR($F133)&lt;Preisindex!$A$6,YEAR(AE$4)&gt;=YEAR($F133),$K133="k"),ROUND(VLOOKUP(AJ$4,Preisindex,2,FALSE)/VLOOKUP(Preisindex!$A$6,Preisindex,2,FALSE),2),0)))))</f>
        <v>0</v>
      </c>
      <c r="AL133" s="51">
        <f>IF(AND($E133&lt;&gt;0,$F133&gt;0,YEAR($F133)&lt;=AJ$4,YEAR($F133)&gt;=Preisindex!$A$6),ROUND($E133*AJ133,2),IF(AND($E133&lt;&gt;0,$F133&gt;0,YEAR($F133)&lt;=AJ$4,YEAR($F133)&lt;Preisindex!$A$6),ROUND($E133*AK133,2),0))</f>
        <v>0</v>
      </c>
      <c r="AM133" s="53">
        <f t="shared" si="445"/>
        <v>0</v>
      </c>
      <c r="AN133" s="51">
        <f t="shared" ref="AN133:CM148" si="492">IF(YEAR($F133)=AN$4,$E133,0)</f>
        <v>0</v>
      </c>
      <c r="AO133" s="51">
        <f t="shared" si="448"/>
        <v>0</v>
      </c>
      <c r="AP133" s="51">
        <f t="shared" ref="AP133:AP196" si="493">IF(AN133&lt;&gt;0,ROUND(AN133*YEARFRAC($F133,AV$4,0),2),0)</f>
        <v>0</v>
      </c>
      <c r="AQ133" s="51">
        <f t="shared" si="449"/>
        <v>0</v>
      </c>
      <c r="AR133" s="51">
        <f t="shared" ref="AR133:AR196" si="494">IF(AND($F133&gt;0,$F133&lt;=AV$4),$E133,0)</f>
        <v>0</v>
      </c>
      <c r="AS133" s="51">
        <f t="shared" si="450"/>
        <v>0</v>
      </c>
      <c r="AT133" s="51">
        <f t="shared" ref="AT133:AT196" si="495">IF(AND(YEAR($F133)=YEAR(AV$4),$E133&lt;1000,$E133&gt;-1000,$F133&gt;0,$L133=1),$E133-$I133,IF(AND(YEAR($F133)=YEAR(AV$4),$F133&gt;0,$L133&gt;0),ROUND(($M133/12)*(13-MONTH($F133)),2),IF(AND(YEAR($F133)&lt;YEAR(AV$4),$E133&gt;0,$F133&gt;0,$L133&gt;0,AE133&gt;$M133+$I133),$M133,IF(AND(YEAR($F133)&lt;YEAR(AV$4),$E133&gt;0,$F133&gt;0,$L133&gt;0,AE133&gt;0,AE133&lt;=$M133+$I133),AE133-$I133,IF(AND(YEAR($F133)&lt;YEAR(AV$4),$E133&lt;0,$F133&gt;0,$L133&gt;0,AE133&lt;0,AE133&lt;=$M133),$M133,IF(AND(YEAR($F133)&lt;YEAR(AV$4),$E133&lt;0,$F133&gt;0,$L133&gt;0,AE133&lt;0,AE133&gt;$M133),AE133,0))))))</f>
        <v>0</v>
      </c>
      <c r="AU133" s="51">
        <f t="shared" si="451"/>
        <v>0</v>
      </c>
      <c r="AV133" s="51">
        <f t="shared" ref="AV133:AV196" si="496">IF(AND(YEAR(AV$4)=YEAR($F133),$E133&gt;0,$F133&gt;0,$E133-AT133&gt;=0),$E133-AT133,IF(AND(YEAR(AV$4)&gt;YEAR($F133),$E133&gt;0,$F133&gt;0,AE133-AT133&gt;=0),AE133-AT133,IF(AND(YEAR(AV$4)=YEAR($F133),$E133&lt;0,$F133&gt;0,$E133-AT133&lt;0),$E133-AT133,IF(AND(YEAR(AV$4)&gt;YEAR($F133),$E133&lt;0,$F133&gt;0,AE133-AT133&lt;=0),AE133-AT133,0))))</f>
        <v>0</v>
      </c>
      <c r="AW133" s="51">
        <f t="shared" si="452"/>
        <v>0</v>
      </c>
      <c r="AX133" s="51">
        <f t="shared" ref="AX133:AX196" si="497">AG133+AT133</f>
        <v>0</v>
      </c>
      <c r="AY133" s="54">
        <f t="shared" ref="AY133:AY196" si="498">IF(AND(AN133&lt;&gt;0,$J133="H",$M133=0),AP133,IF(AND(YEAR(AV$4)&gt;YEAR($F133),$J133="H",$F133&gt;0,$M133=0),$E133,0))</f>
        <v>0</v>
      </c>
      <c r="AZ133" s="55">
        <f t="shared" ref="AZ133:AZ196" si="499">IF(AND(YEAR(AV$4)&gt;=YEAR($F133),$E133&gt;0,$F133&gt;0,AT133&gt;0,$J133="H"),ROUND(AT133/$M133*$E133,2),IF(AND(YEAR(AV$4)&gt;=YEAR($F133),$E133&lt;0,$F133&gt;0,AT133&lt;0,$J133="H"),ROUND(AT133/$M133*$E133,2),0))</f>
        <v>0</v>
      </c>
      <c r="BA133" s="56">
        <f>IF(AND($E133&lt;&gt;0,$F133&gt;0,YEAR($F133)&gt;=Preisindex!$A$6,YEAR(AV$4)&gt;=YEAR($F133),AND($K133&lt;&gt;"a",$K133&lt;&gt;"b",$K133&lt;&gt;"g",$K133&lt;&gt;"k")),1,IF(AND($E133&lt;&gt;0,$F133&gt;0,YEAR($F133)&gt;=Preisindex!$A$6,YEAR(AV$4)&gt;=YEAR($F133),$K133="a"),ROUND(VLOOKUP(BA$4,Preisindex,5,FALSE)/VLOOKUP(YEAR($F133),Preisindex,5,FALSE),2),IF(AND($E133&lt;&gt;0,$F133&gt;0,YEAR($F133)&gt;=Preisindex!$A$6,YEAR(AV$4)&gt;=YEAR($F133),$K133="b"),ROUND(VLOOKUP(BA$4,Preisindex,3,FALSE)/VLOOKUP(YEAR($F133),Preisindex,3,FALSE),2),IF(AND($E133&lt;&gt;0,$F133&gt;0,YEAR($F133)&gt;=Preisindex!$A$6,YEAR(AV$4)&gt;=YEAR($F133),$K133="g"),ROUND(VLOOKUP(BA$4,Preisindex,4,FALSE)/VLOOKUP(YEAR($F133),Preisindex,4,FALSE),2),IF(AND($E133&lt;&gt;0,$F133&gt;0,YEAR($F133)&gt;=Preisindex!$A$6,YEAR(AV$4)&gt;=YEAR($F133),$K133="k"),ROUND(VLOOKUP(BA$4,Preisindex,2,FALSE)/VLOOKUP(YEAR($F133),Preisindex,2,FALSE),2),0)))))</f>
        <v>0</v>
      </c>
      <c r="BB133" s="56">
        <f>IF(AND($E133&lt;&gt;0,$F133&gt;0,YEAR($F133)&lt;Preisindex!$A$6,YEAR(AV$4)&gt;=YEAR($F133),AND($K133&lt;&gt;"a",$K133&lt;&gt;"b",$K133&lt;&gt;"g",$K133&lt;&gt;"k")),1,IF(AND($E133&lt;&gt;0,$F133&gt;0,YEAR($F133)&lt;Preisindex!$A$6,YEAR(AV$4)&gt;=YEAR($F133),$K133="a"),ROUND(VLOOKUP(BA$4,Preisindex,5,FALSE)/VLOOKUP(Preisindex!$A$6,Preisindex,5,FALSE),2),IF(AND($E133&lt;&gt;0,$F133&gt;0,YEAR($F133)&lt;Preisindex!$A$6,YEAR(AV$4)&gt;=YEAR($F133),$K133="b"),ROUND(VLOOKUP(BA$4,Preisindex,3,FALSE)/VLOOKUP(Preisindex!$A$6,Preisindex,3,FALSE),2),IF(AND($E133&lt;&gt;0,$F133&gt;0,YEAR($F133)&lt;Preisindex!$A$6,YEAR(AV$4)&gt;=YEAR($F133),$K133="g"),ROUND(VLOOKUP(BA$4,Preisindex,4,FALSE)/VLOOKUP(Preisindex!$A$6,Preisindex,4,FALSE),2),IF(AND($E133&lt;&gt;0,$F133&gt;0,YEAR($F133)&lt;Preisindex!$A$6,YEAR(AV$4)&gt;=YEAR($F133),$K133="k"),ROUND(VLOOKUP(BA$4,Preisindex,2,FALSE)/VLOOKUP(Preisindex!$A$6,Preisindex,2,FALSE),2),0)))))</f>
        <v>0</v>
      </c>
      <c r="BC133" s="51">
        <f>IF(AND($E133&lt;&gt;0,$F133&gt;0,YEAR($F133)&lt;=BA$4,YEAR($F133)&gt;=Preisindex!$A$6),ROUND($E133*BA133,2),IF(AND($E133&lt;&gt;0,$F133&gt;0,YEAR($F133)&lt;=BA$4,YEAR($F133)&lt;Preisindex!$A$6),ROUND($E133*BB133,2),0))</f>
        <v>0</v>
      </c>
      <c r="BD133" s="53">
        <f t="shared" ref="BD133:BD196" si="500">IF(AND(AT133&lt;&gt;0,AT133=$M133),BC133*$L133,IF(AND(AT133&lt;&gt;0,AT133&lt;&gt;$M133),BC133*($L133*(AT133/$M133)),0))</f>
        <v>0</v>
      </c>
      <c r="BE133" s="51">
        <f t="shared" si="492"/>
        <v>0</v>
      </c>
      <c r="BF133" s="51">
        <f t="shared" si="453"/>
        <v>0</v>
      </c>
      <c r="BG133" s="51">
        <f t="shared" ref="BG133:BG196" si="501">IF(BE133&lt;&gt;0,ROUND(BE133*YEARFRAC($F133,BM$4,0),2),0)</f>
        <v>0</v>
      </c>
      <c r="BH133" s="51">
        <f t="shared" si="454"/>
        <v>0</v>
      </c>
      <c r="BI133" s="51">
        <f t="shared" ref="BI133:BI196" si="502">IF(AND($F133&gt;0,$F133&lt;=BM$4),$E133,0)</f>
        <v>0</v>
      </c>
      <c r="BJ133" s="51">
        <f t="shared" si="455"/>
        <v>0</v>
      </c>
      <c r="BK133" s="51">
        <f t="shared" ref="BK133:BK196" si="503">IF(AND(YEAR($F133)=YEAR(BM$4),$E133&lt;1000,$E133&gt;-1000,$F133&gt;0,$L133=1),$E133-$I133,IF(AND(YEAR($F133)=YEAR(BM$4),$F133&gt;0,$L133&gt;0),ROUND(($M133/12)*(13-MONTH($F133)),2),IF(AND(YEAR($F133)&lt;YEAR(BM$4),$E133&gt;0,$F133&gt;0,$L133&gt;0,AV133&gt;$M133+$I133),$M133,IF(AND(YEAR($F133)&lt;YEAR(BM$4),$E133&gt;0,$F133&gt;0,$L133&gt;0,AV133&gt;0,AV133&lt;=$M133+$I133),AV133-$I133,IF(AND(YEAR($F133)&lt;YEAR(BM$4),$E133&lt;0,$F133&gt;0,$L133&gt;0,AV133&lt;0,AV133&lt;=$M133),$M133,IF(AND(YEAR($F133)&lt;YEAR(BM$4),$E133&lt;0,$F133&gt;0,$L133&gt;0,AV133&lt;0,AV133&gt;$M133),AV133,0))))))</f>
        <v>0</v>
      </c>
      <c r="BL133" s="51">
        <f t="shared" si="456"/>
        <v>0</v>
      </c>
      <c r="BM133" s="51">
        <f t="shared" ref="BM133:BM196" si="504">IF(AND(YEAR(BM$4)=YEAR($F133),$E133&gt;0,$F133&gt;0,$E133-BK133&gt;=0),$E133-BK133,IF(AND(YEAR(BM$4)&gt;YEAR($F133),$E133&gt;0,$F133&gt;0,AV133-BK133&gt;=0),AV133-BK133,IF(AND(YEAR(BM$4)=YEAR($F133),$E133&lt;0,$F133&gt;0,$E133-BK133&lt;0),$E133-BK133,IF(AND(YEAR(BM$4)&gt;YEAR($F133),$E133&lt;0,$F133&gt;0,AV133-BK133&lt;=0),AV133-BK133,0))))</f>
        <v>0</v>
      </c>
      <c r="BN133" s="51">
        <f t="shared" si="457"/>
        <v>0</v>
      </c>
      <c r="BO133" s="51">
        <f t="shared" ref="BO133:BO196" si="505">AX133+BK133</f>
        <v>0</v>
      </c>
      <c r="BP133" s="54">
        <f t="shared" ref="BP133:BP196" si="506">IF(AND(BE133&lt;&gt;0,$J133="H",$M133=0),BG133,IF(AND(YEAR(BM$4)&gt;YEAR($F133),$J133="H",$F133&gt;0,$M133=0),$E133,0))</f>
        <v>0</v>
      </c>
      <c r="BQ133" s="55">
        <f t="shared" ref="BQ133:BQ196" si="507">IF(AND(YEAR(BM$4)&gt;=YEAR($F133),$E133&gt;0,$F133&gt;0,BK133&gt;0,$J133="H"),ROUND(BK133/$M133*$E133,2),IF(AND(YEAR(BM$4)&gt;=YEAR($F133),$E133&lt;0,$F133&gt;0,BK133&lt;0,$J133="H"),ROUND(BK133/$M133*$E133,2),0))</f>
        <v>0</v>
      </c>
      <c r="BR133" s="56">
        <f>IF(AND($E133&lt;&gt;0,$F133&gt;0,YEAR($F133)&gt;=Preisindex!$A$6,YEAR(BM$4)&gt;=YEAR($F133),AND($K133&lt;&gt;"a",$K133&lt;&gt;"b",$K133&lt;&gt;"g",$K133&lt;&gt;"k")),1,IF(AND($E133&lt;&gt;0,$F133&gt;0,YEAR($F133)&gt;=Preisindex!$A$6,YEAR(BM$4)&gt;=YEAR($F133),$K133="a"),ROUND(VLOOKUP(BR$4,Preisindex,5,FALSE)/VLOOKUP(YEAR($F133),Preisindex,5,FALSE),2),IF(AND($E133&lt;&gt;0,$F133&gt;0,YEAR($F133)&gt;=Preisindex!$A$6,YEAR(BM$4)&gt;=YEAR($F133),$K133="b"),ROUND(VLOOKUP(BR$4,Preisindex,3,FALSE)/VLOOKUP(YEAR($F133),Preisindex,3,FALSE),2),IF(AND($E133&lt;&gt;0,$F133&gt;0,YEAR($F133)&gt;=Preisindex!$A$6,YEAR(BM$4)&gt;=YEAR($F133),$K133="g"),ROUND(VLOOKUP(BR$4,Preisindex,4,FALSE)/VLOOKUP(YEAR($F133),Preisindex,4,FALSE),2),IF(AND($E133&lt;&gt;0,$F133&gt;0,YEAR($F133)&gt;=Preisindex!$A$6,YEAR(BM$4)&gt;=YEAR($F133),$K133="k"),ROUND(VLOOKUP(BR$4,Preisindex,2,FALSE)/VLOOKUP(YEAR($F133),Preisindex,2,FALSE),2),0)))))</f>
        <v>0</v>
      </c>
      <c r="BS133" s="56">
        <f>IF(AND($E133&lt;&gt;0,$F133&gt;0,YEAR($F133)&lt;Preisindex!$A$6,YEAR(BM$4)&gt;=YEAR($F133),AND($K133&lt;&gt;"a",$K133&lt;&gt;"b",$K133&lt;&gt;"g",$K133&lt;&gt;"k")),1,IF(AND($E133&lt;&gt;0,$F133&gt;0,YEAR($F133)&lt;Preisindex!$A$6,YEAR(BM$4)&gt;=YEAR($F133),$K133="a"),ROUND(VLOOKUP(BR$4,Preisindex,5,FALSE)/VLOOKUP(Preisindex!$A$6,Preisindex,5,FALSE),2),IF(AND($E133&lt;&gt;0,$F133&gt;0,YEAR($F133)&lt;Preisindex!$A$6,YEAR(BM$4)&gt;=YEAR($F133),$K133="b"),ROUND(VLOOKUP(BR$4,Preisindex,3,FALSE)/VLOOKUP(Preisindex!$A$6,Preisindex,3,FALSE),2),IF(AND($E133&lt;&gt;0,$F133&gt;0,YEAR($F133)&lt;Preisindex!$A$6,YEAR(BM$4)&gt;=YEAR($F133),$K133="g"),ROUND(VLOOKUP(BR$4,Preisindex,4,FALSE)/VLOOKUP(Preisindex!$A$6,Preisindex,4,FALSE),2),IF(AND($E133&lt;&gt;0,$F133&gt;0,YEAR($F133)&lt;Preisindex!$A$6,YEAR(BM$4)&gt;=YEAR($F133),$K133="k"),ROUND(VLOOKUP(BR$4,Preisindex,2,FALSE)/VLOOKUP(Preisindex!$A$6,Preisindex,2,FALSE),2),0)))))</f>
        <v>0</v>
      </c>
      <c r="BT133" s="51">
        <f>IF(AND($E133&lt;&gt;0,$F133&gt;0,YEAR($F133)&lt;=BR$4,YEAR($F133)&gt;=Preisindex!$A$6),ROUND($E133*BR133,2),IF(AND($E133&lt;&gt;0,$F133&gt;0,YEAR($F133)&lt;=BR$4,YEAR($F133)&lt;Preisindex!$A$6),ROUND($E133*BS133,2),0))</f>
        <v>0</v>
      </c>
      <c r="BU133" s="53">
        <f t="shared" ref="BU133:BU196" si="508">IF(AND(BK133&lt;&gt;0,BK133=$M133),BT133*$L133,IF(AND(BK133&lt;&gt;0,BK133&lt;&gt;$M133),BT133*($L133*(BK133/$M133)),0))</f>
        <v>0</v>
      </c>
      <c r="BV133" s="51">
        <f t="shared" si="492"/>
        <v>0</v>
      </c>
      <c r="BW133" s="51">
        <f t="shared" si="458"/>
        <v>0</v>
      </c>
      <c r="BX133" s="51">
        <f t="shared" ref="BX133:BX196" si="509">IF(BV133&lt;&gt;0,ROUND(BV133*YEARFRAC($F133,CD$4,0),2),0)</f>
        <v>0</v>
      </c>
      <c r="BY133" s="51">
        <f t="shared" si="459"/>
        <v>0</v>
      </c>
      <c r="BZ133" s="51">
        <f t="shared" ref="BZ133:BZ196" si="510">IF(AND($F133&gt;0,$F133&lt;=CD$4),$E133,0)</f>
        <v>0</v>
      </c>
      <c r="CA133" s="51">
        <f t="shared" si="460"/>
        <v>0</v>
      </c>
      <c r="CB133" s="51">
        <f t="shared" ref="CB133:CB196" si="511">IF(AND(YEAR($F133)=YEAR(CD$4),$E133&lt;1000,$E133&gt;-1000,$F133&gt;0,$L133=1),$E133-$I133,IF(AND(YEAR($F133)=YEAR(CD$4),$F133&gt;0,$L133&gt;0),ROUND(($M133/12)*(13-MONTH($F133)),2),IF(AND(YEAR($F133)&lt;YEAR(CD$4),$E133&gt;0,$F133&gt;0,$L133&gt;0,BM133&gt;$M133+$I133),$M133,IF(AND(YEAR($F133)&lt;YEAR(CD$4),$E133&gt;0,$F133&gt;0,$L133&gt;0,BM133&gt;0,BM133&lt;=$M133+$I133),BM133-$I133,IF(AND(YEAR($F133)&lt;YEAR(CD$4),$E133&lt;0,$F133&gt;0,$L133&gt;0,BM133&lt;0,BM133&lt;=$M133),$M133,IF(AND(YEAR($F133)&lt;YEAR(CD$4),$E133&lt;0,$F133&gt;0,$L133&gt;0,BM133&lt;0,BM133&gt;$M133),BM133,0))))))</f>
        <v>0</v>
      </c>
      <c r="CC133" s="51">
        <f t="shared" si="461"/>
        <v>0</v>
      </c>
      <c r="CD133" s="51">
        <f t="shared" ref="CD133:CD196" si="512">IF(AND(YEAR(CD$4)=YEAR($F133),$E133&gt;0,$F133&gt;0,$E133-CB133&gt;=0),$E133-CB133,IF(AND(YEAR(CD$4)&gt;YEAR($F133),$E133&gt;0,$F133&gt;0,BM133-CB133&gt;=0),BM133-CB133,IF(AND(YEAR(CD$4)=YEAR($F133),$E133&lt;0,$F133&gt;0,$E133-CB133&lt;0),$E133-CB133,IF(AND(YEAR(CD$4)&gt;YEAR($F133),$E133&lt;0,$F133&gt;0,BM133-CB133&lt;=0),BM133-CB133,0))))</f>
        <v>0</v>
      </c>
      <c r="CE133" s="51">
        <f t="shared" si="462"/>
        <v>0</v>
      </c>
      <c r="CF133" s="51">
        <f t="shared" ref="CF133:CF196" si="513">BO133+CB133</f>
        <v>0</v>
      </c>
      <c r="CG133" s="54">
        <f t="shared" ref="CG133:CG196" si="514">IF(AND(BV133&lt;&gt;0,$J133="H",$M133=0),BX133,IF(AND(YEAR(CD$4)&gt;YEAR($F133),$J133="H",$F133&gt;0,$M133=0),$E133,0))</f>
        <v>0</v>
      </c>
      <c r="CH133" s="55">
        <f t="shared" ref="CH133:CH196" si="515">IF(AND(YEAR(CD$4)&gt;=YEAR($F133),$E133&gt;0,$F133&gt;0,CB133&gt;0,$J133="H"),ROUND(CB133/$M133*$E133,2),IF(AND(YEAR(CD$4)&gt;=YEAR($F133),$E133&lt;0,$F133&gt;0,CB133&lt;0,$J133="H"),ROUND(CB133/$M133*$E133,2),0))</f>
        <v>0</v>
      </c>
      <c r="CI133" s="56">
        <f>IF(AND($E133&lt;&gt;0,$F133&gt;0,YEAR($F133)&gt;=Preisindex!$A$6,YEAR(CD$4)&gt;=YEAR($F133),AND($K133&lt;&gt;"a",$K133&lt;&gt;"b",$K133&lt;&gt;"g",$K133&lt;&gt;"k")),1,IF(AND($E133&lt;&gt;0,$F133&gt;0,YEAR($F133)&gt;=Preisindex!$A$6,YEAR(CD$4)&gt;=YEAR($F133),$K133="a"),ROUND(VLOOKUP(CI$4,Preisindex,5,FALSE)/VLOOKUP(YEAR($F133),Preisindex,5,FALSE),2),IF(AND($E133&lt;&gt;0,$F133&gt;0,YEAR($F133)&gt;=Preisindex!$A$6,YEAR(CD$4)&gt;=YEAR($F133),$K133="b"),ROUND(VLOOKUP(CI$4,Preisindex,3,FALSE)/VLOOKUP(YEAR($F133),Preisindex,3,FALSE),2),IF(AND($E133&lt;&gt;0,$F133&gt;0,YEAR($F133)&gt;=Preisindex!$A$6,YEAR(CD$4)&gt;=YEAR($F133),$K133="g"),ROUND(VLOOKUP(CI$4,Preisindex,4,FALSE)/VLOOKUP(YEAR($F133),Preisindex,4,FALSE),2),IF(AND($E133&lt;&gt;0,$F133&gt;0,YEAR($F133)&gt;=Preisindex!$A$6,YEAR(CD$4)&gt;=YEAR($F133),$K133="k"),ROUND(VLOOKUP(CI$4,Preisindex,2,FALSE)/VLOOKUP(YEAR($F133),Preisindex,2,FALSE),2),0)))))</f>
        <v>0</v>
      </c>
      <c r="CJ133" s="56">
        <f>IF(AND($E133&lt;&gt;0,$F133&gt;0,YEAR($F133)&lt;Preisindex!$A$6,YEAR(CD$4)&gt;=YEAR($F133),AND($K133&lt;&gt;"a",$K133&lt;&gt;"b",$K133&lt;&gt;"g",$K133&lt;&gt;"k")),1,IF(AND($E133&lt;&gt;0,$F133&gt;0,YEAR($F133)&lt;Preisindex!$A$6,YEAR(CD$4)&gt;=YEAR($F133),$K133="a"),ROUND(VLOOKUP(CI$4,Preisindex,5,FALSE)/VLOOKUP(Preisindex!$A$6,Preisindex,5,FALSE),2),IF(AND($E133&lt;&gt;0,$F133&gt;0,YEAR($F133)&lt;Preisindex!$A$6,YEAR(CD$4)&gt;=YEAR($F133),$K133="b"),ROUND(VLOOKUP(CI$4,Preisindex,3,FALSE)/VLOOKUP(Preisindex!$A$6,Preisindex,3,FALSE),2),IF(AND($E133&lt;&gt;0,$F133&gt;0,YEAR($F133)&lt;Preisindex!$A$6,YEAR(CD$4)&gt;=YEAR($F133),$K133="g"),ROUND(VLOOKUP(CI$4,Preisindex,4,FALSE)/VLOOKUP(Preisindex!$A$6,Preisindex,4,FALSE),2),IF(AND($E133&lt;&gt;0,$F133&gt;0,YEAR($F133)&lt;Preisindex!$A$6,YEAR(CD$4)&gt;=YEAR($F133),$K133="k"),ROUND(VLOOKUP(CI$4,Preisindex,2,FALSE)/VLOOKUP(Preisindex!$A$6,Preisindex,2,FALSE),2),0)))))</f>
        <v>0</v>
      </c>
      <c r="CK133" s="51">
        <f>IF(AND($E133&lt;&gt;0,$F133&gt;0,YEAR($F133)&lt;=CI$4,YEAR($F133)&gt;=Preisindex!$A$6),ROUND($E133*CI133,2),IF(AND($E133&lt;&gt;0,$F133&gt;0,YEAR($F133)&lt;=CI$4,YEAR($F133)&lt;Preisindex!$A$6),ROUND($E133*CJ133,2),0))</f>
        <v>0</v>
      </c>
      <c r="CL133" s="53">
        <f t="shared" ref="CL133:CL196" si="516">IF(AND(CB133&lt;&gt;0,CB133=$M133),CK133*$L133,IF(AND(CB133&lt;&gt;0,CB133&lt;&gt;$M133),CK133*($L133*(CB133/$M133)),0))</f>
        <v>0</v>
      </c>
      <c r="CM133" s="51">
        <f t="shared" si="492"/>
        <v>0</v>
      </c>
      <c r="CN133" s="51">
        <f t="shared" si="463"/>
        <v>0</v>
      </c>
      <c r="CO133" s="51">
        <f t="shared" ref="CO133:CO196" si="517">IF(CM133&lt;&gt;0,ROUND(CM133*YEARFRAC($F133,CU$4,0),2),0)</f>
        <v>0</v>
      </c>
      <c r="CP133" s="51">
        <f t="shared" si="464"/>
        <v>0</v>
      </c>
      <c r="CQ133" s="51">
        <f t="shared" ref="CQ133:CQ196" si="518">IF(AND($F133&gt;0,$F133&lt;=CU$4),$E133,0)</f>
        <v>0</v>
      </c>
      <c r="CR133" s="51">
        <f t="shared" si="465"/>
        <v>0</v>
      </c>
      <c r="CS133" s="51">
        <f t="shared" ref="CS133:CS196" si="519">IF(AND(YEAR($F133)=YEAR(CU$4),$E133&lt;1000,$E133&gt;-1000,$F133&gt;0,$L133=1),$E133-$I133,IF(AND(YEAR($F133)=YEAR(CU$4),$F133&gt;0,$L133&gt;0),ROUND(($M133/12)*(13-MONTH($F133)),2),IF(AND(YEAR($F133)&lt;YEAR(CU$4),$E133&gt;0,$F133&gt;0,$L133&gt;0,CD133&gt;$M133+$I133),$M133,IF(AND(YEAR($F133)&lt;YEAR(CU$4),$E133&gt;0,$F133&gt;0,$L133&gt;0,CD133&gt;0,CD133&lt;=$M133+$I133),CD133-$I133,IF(AND(YEAR($F133)&lt;YEAR(CU$4),$E133&lt;0,$F133&gt;0,$L133&gt;0,CD133&lt;0,CD133&lt;=$M133),$M133,IF(AND(YEAR($F133)&lt;YEAR(CU$4),$E133&lt;0,$F133&gt;0,$L133&gt;0,CD133&lt;0,CD133&gt;$M133),CD133,0))))))</f>
        <v>0</v>
      </c>
      <c r="CT133" s="51">
        <f t="shared" si="466"/>
        <v>0</v>
      </c>
      <c r="CU133" s="51">
        <f t="shared" ref="CU133:CU196" si="520">IF(AND(YEAR(CU$4)=YEAR($F133),$E133&gt;0,$F133&gt;0,$E133-CS133&gt;=0),$E133-CS133,IF(AND(YEAR(CU$4)&gt;YEAR($F133),$E133&gt;0,$F133&gt;0,CD133-CS133&gt;=0),CD133-CS133,IF(AND(YEAR(CU$4)=YEAR($F133),$E133&lt;0,$F133&gt;0,$E133-CS133&lt;0),$E133-CS133,IF(AND(YEAR(CU$4)&gt;YEAR($F133),$E133&lt;0,$F133&gt;0,CD133-CS133&lt;=0),CD133-CS133,0))))</f>
        <v>0</v>
      </c>
      <c r="CV133" s="51">
        <f t="shared" si="467"/>
        <v>0</v>
      </c>
      <c r="CW133" s="51">
        <f t="shared" ref="CW133:CW196" si="521">CF133+CS133</f>
        <v>0</v>
      </c>
      <c r="CX133" s="54">
        <f t="shared" ref="CX133:CX196" si="522">IF(AND(CM133&lt;&gt;0,$J133="H",$M133=0),CO133,IF(AND(YEAR(CU$4)&gt;YEAR($F133),$J133="H",$F133&gt;0,$M133=0),$E133,0))</f>
        <v>0</v>
      </c>
      <c r="CY133" s="55">
        <f t="shared" ref="CY133:CY196" si="523">IF(AND(YEAR(CU$4)&gt;=YEAR($F133),$E133&gt;0,$F133&gt;0,CS133&gt;0,$J133="H"),ROUND(CS133/$M133*$E133,2),IF(AND(YEAR(CU$4)&gt;=YEAR($F133),$E133&lt;0,$F133&gt;0,CS133&lt;0,$J133="H"),ROUND(CS133/$M133*$E133,2),0))</f>
        <v>0</v>
      </c>
      <c r="CZ133" s="56">
        <f>IF(AND($E133&lt;&gt;0,$F133&gt;0,YEAR($F133)&gt;=Preisindex!$A$6,YEAR(CU$4)&gt;=YEAR($F133),AND($K133&lt;&gt;"a",$K133&lt;&gt;"b",$K133&lt;&gt;"g",$K133&lt;&gt;"k")),1,IF(AND($E133&lt;&gt;0,$F133&gt;0,YEAR($F133)&gt;=Preisindex!$A$6,YEAR(CU$4)&gt;=YEAR($F133),$K133="a"),ROUND(VLOOKUP(CZ$4,Preisindex,5,FALSE)/VLOOKUP(YEAR($F133),Preisindex,5,FALSE),2),IF(AND($E133&lt;&gt;0,$F133&gt;0,YEAR($F133)&gt;=Preisindex!$A$6,YEAR(CU$4)&gt;=YEAR($F133),$K133="b"),ROUND(VLOOKUP(CZ$4,Preisindex,3,FALSE)/VLOOKUP(YEAR($F133),Preisindex,3,FALSE),2),IF(AND($E133&lt;&gt;0,$F133&gt;0,YEAR($F133)&gt;=Preisindex!$A$6,YEAR(CU$4)&gt;=YEAR($F133),$K133="g"),ROUND(VLOOKUP(CZ$4,Preisindex,4,FALSE)/VLOOKUP(YEAR($F133),Preisindex,4,FALSE),2),IF(AND($E133&lt;&gt;0,$F133&gt;0,YEAR($F133)&gt;=Preisindex!$A$6,YEAR(CU$4)&gt;=YEAR($F133),$K133="k"),ROUND(VLOOKUP(CZ$4,Preisindex,2,FALSE)/VLOOKUP(YEAR($F133),Preisindex,2,FALSE),2),0)))))</f>
        <v>0</v>
      </c>
      <c r="DA133" s="56">
        <f>IF(AND($E133&lt;&gt;0,$F133&gt;0,YEAR($F133)&lt;Preisindex!$A$6,YEAR(CU$4)&gt;=YEAR($F133),AND($K133&lt;&gt;"a",$K133&lt;&gt;"b",$K133&lt;&gt;"g",$K133&lt;&gt;"k")),1,IF(AND($E133&lt;&gt;0,$F133&gt;0,YEAR($F133)&lt;Preisindex!$A$6,YEAR(CU$4)&gt;=YEAR($F133),$K133="a"),ROUND(VLOOKUP(CZ$4,Preisindex,5,FALSE)/VLOOKUP(Preisindex!$A$6,Preisindex,5,FALSE),2),IF(AND($E133&lt;&gt;0,$F133&gt;0,YEAR($F133)&lt;Preisindex!$A$6,YEAR(CU$4)&gt;=YEAR($F133),$K133="b"),ROUND(VLOOKUP(CZ$4,Preisindex,3,FALSE)/VLOOKUP(Preisindex!$A$6,Preisindex,3,FALSE),2),IF(AND($E133&lt;&gt;0,$F133&gt;0,YEAR($F133)&lt;Preisindex!$A$6,YEAR(CU$4)&gt;=YEAR($F133),$K133="g"),ROUND(VLOOKUP(CZ$4,Preisindex,4,FALSE)/VLOOKUP(Preisindex!$A$6,Preisindex,4,FALSE),2),IF(AND($E133&lt;&gt;0,$F133&gt;0,YEAR($F133)&lt;Preisindex!$A$6,YEAR(CU$4)&gt;=YEAR($F133),$K133="k"),ROUND(VLOOKUP(CZ$4,Preisindex,2,FALSE)/VLOOKUP(Preisindex!$A$6,Preisindex,2,FALSE),2),0)))))</f>
        <v>0</v>
      </c>
      <c r="DB133" s="51">
        <f>IF(AND($E133&lt;&gt;0,$F133&gt;0,YEAR($F133)&lt;=CZ$4,YEAR($F133)&gt;=Preisindex!$A$6),ROUND($E133*CZ133,2),IF(AND($E133&lt;&gt;0,$F133&gt;0,YEAR($F133)&lt;=CZ$4,YEAR($F133)&lt;Preisindex!$A$6),ROUND($E133*DA133,2),0))</f>
        <v>0</v>
      </c>
      <c r="DC133" s="53">
        <f t="shared" ref="DC133:DC196" si="524">IF(AND(CS133&lt;&gt;0,CS133=$M133),DB133*$L133,IF(AND(CS133&lt;&gt;0,CS133&lt;&gt;$M133),DB133*($L133*(CS133/$M133)),0))</f>
        <v>0</v>
      </c>
      <c r="DD133" s="51">
        <f t="shared" ref="DD133:FC148" si="525">IF(YEAR($F133)=DD$4,$E133,0)</f>
        <v>0</v>
      </c>
      <c r="DE133" s="51">
        <f t="shared" si="468"/>
        <v>0</v>
      </c>
      <c r="DF133" s="51">
        <f t="shared" ref="DF133:DF196" si="526">IF(DD133&lt;&gt;0,ROUND(DD133*YEARFRAC($F133,DL$4,0),2),0)</f>
        <v>0</v>
      </c>
      <c r="DG133" s="51">
        <f t="shared" si="469"/>
        <v>0</v>
      </c>
      <c r="DH133" s="51">
        <f t="shared" ref="DH133:DH196" si="527">IF(AND($F133&gt;0,$F133&lt;=DL$4),$E133,0)</f>
        <v>0</v>
      </c>
      <c r="DI133" s="51">
        <f t="shared" si="470"/>
        <v>0</v>
      </c>
      <c r="DJ133" s="51">
        <f t="shared" ref="DJ133:DJ196" si="528">IF(AND(YEAR($F133)=YEAR(DL$4),$E133&lt;1000,$E133&gt;-1000,$F133&gt;0,$L133=1),$E133-$I133,IF(AND(YEAR($F133)=YEAR(DL$4),$F133&gt;0,$L133&gt;0),ROUND(($M133/12)*(13-MONTH($F133)),2),IF(AND(YEAR($F133)&lt;YEAR(DL$4),$E133&gt;0,$F133&gt;0,$L133&gt;0,CU133&gt;$M133+$I133),$M133,IF(AND(YEAR($F133)&lt;YEAR(DL$4),$E133&gt;0,$F133&gt;0,$L133&gt;0,CU133&gt;0,CU133&lt;=$M133+$I133),CU133-$I133,IF(AND(YEAR($F133)&lt;YEAR(DL$4),$E133&lt;0,$F133&gt;0,$L133&gt;0,CU133&lt;0,CU133&lt;=$M133),$M133,IF(AND(YEAR($F133)&lt;YEAR(DL$4),$E133&lt;0,$F133&gt;0,$L133&gt;0,CU133&lt;0,CU133&gt;$M133),CU133,0))))))</f>
        <v>0</v>
      </c>
      <c r="DK133" s="51">
        <f t="shared" si="471"/>
        <v>0</v>
      </c>
      <c r="DL133" s="51">
        <f t="shared" ref="DL133:DL196" si="529">IF(AND(YEAR(DL$4)=YEAR($F133),$E133&gt;0,$F133&gt;0,$E133-DJ133&gt;=0),$E133-DJ133,IF(AND(YEAR(DL$4)&gt;YEAR($F133),$E133&gt;0,$F133&gt;0,CU133-DJ133&gt;=0),CU133-DJ133,IF(AND(YEAR(DL$4)=YEAR($F133),$E133&lt;0,$F133&gt;0,$E133-DJ133&lt;0),$E133-DJ133,IF(AND(YEAR(DL$4)&gt;YEAR($F133),$E133&lt;0,$F133&gt;0,CU133-DJ133&lt;=0),CU133-DJ133,0))))</f>
        <v>0</v>
      </c>
      <c r="DM133" s="51">
        <f t="shared" si="472"/>
        <v>0</v>
      </c>
      <c r="DN133" s="51">
        <f t="shared" ref="DN133:DN196" si="530">CW133+DJ133</f>
        <v>0</v>
      </c>
      <c r="DO133" s="54">
        <f t="shared" ref="DO133:DO196" si="531">IF(AND(DD133&lt;&gt;0,$J133="H",$M133=0),DF133,IF(AND(YEAR(DL$4)&gt;YEAR($F133),$J133="H",$F133&gt;0,$M133=0),$E133,0))</f>
        <v>0</v>
      </c>
      <c r="DP133" s="55">
        <f t="shared" ref="DP133:DP196" si="532">IF(AND(YEAR(DL$4)&gt;=YEAR($F133),$E133&gt;0,$F133&gt;0,DJ133&gt;0,$J133="H"),ROUND(DJ133/$M133*$E133,2),IF(AND(YEAR(DL$4)&gt;=YEAR($F133),$E133&lt;0,$F133&gt;0,DJ133&lt;0,$J133="H"),ROUND(DJ133/$M133*$E133,2),0))</f>
        <v>0</v>
      </c>
      <c r="DQ133" s="56">
        <f>IF(AND($E133&lt;&gt;0,$F133&gt;0,YEAR($F133)&gt;=Preisindex!$A$6,YEAR(DL$4)&gt;=YEAR($F133),AND($K133&lt;&gt;"a",$K133&lt;&gt;"b",$K133&lt;&gt;"g",$K133&lt;&gt;"k")),1,IF(AND($E133&lt;&gt;0,$F133&gt;0,YEAR($F133)&gt;=Preisindex!$A$6,YEAR(DL$4)&gt;=YEAR($F133),$K133="a"),ROUND(VLOOKUP(DQ$4,Preisindex,5,FALSE)/VLOOKUP(YEAR($F133),Preisindex,5,FALSE),2),IF(AND($E133&lt;&gt;0,$F133&gt;0,YEAR($F133)&gt;=Preisindex!$A$6,YEAR(DL$4)&gt;=YEAR($F133),$K133="b"),ROUND(VLOOKUP(DQ$4,Preisindex,3,FALSE)/VLOOKUP(YEAR($F133),Preisindex,3,FALSE),2),IF(AND($E133&lt;&gt;0,$F133&gt;0,YEAR($F133)&gt;=Preisindex!$A$6,YEAR(DL$4)&gt;=YEAR($F133),$K133="g"),ROUND(VLOOKUP(DQ$4,Preisindex,4,FALSE)/VLOOKUP(YEAR($F133),Preisindex,4,FALSE),2),IF(AND($E133&lt;&gt;0,$F133&gt;0,YEAR($F133)&gt;=Preisindex!$A$6,YEAR(DL$4)&gt;=YEAR($F133),$K133="k"),ROUND(VLOOKUP(DQ$4,Preisindex,2,FALSE)/VLOOKUP(YEAR($F133),Preisindex,2,FALSE),2),0)))))</f>
        <v>0</v>
      </c>
      <c r="DR133" s="56">
        <f>IF(AND($E133&lt;&gt;0,$F133&gt;0,YEAR($F133)&lt;Preisindex!$A$6,YEAR(DL$4)&gt;=YEAR($F133),AND($K133&lt;&gt;"a",$K133&lt;&gt;"b",$K133&lt;&gt;"g",$K133&lt;&gt;"k")),1,IF(AND($E133&lt;&gt;0,$F133&gt;0,YEAR($F133)&lt;Preisindex!$A$6,YEAR(DL$4)&gt;=YEAR($F133),$K133="a"),ROUND(VLOOKUP(DQ$4,Preisindex,5,FALSE)/VLOOKUP(Preisindex!$A$6,Preisindex,5,FALSE),2),IF(AND($E133&lt;&gt;0,$F133&gt;0,YEAR($F133)&lt;Preisindex!$A$6,YEAR(DL$4)&gt;=YEAR($F133),$K133="b"),ROUND(VLOOKUP(DQ$4,Preisindex,3,FALSE)/VLOOKUP(Preisindex!$A$6,Preisindex,3,FALSE),2),IF(AND($E133&lt;&gt;0,$F133&gt;0,YEAR($F133)&lt;Preisindex!$A$6,YEAR(DL$4)&gt;=YEAR($F133),$K133="g"),ROUND(VLOOKUP(DQ$4,Preisindex,4,FALSE)/VLOOKUP(Preisindex!$A$6,Preisindex,4,FALSE),2),IF(AND($E133&lt;&gt;0,$F133&gt;0,YEAR($F133)&lt;Preisindex!$A$6,YEAR(DL$4)&gt;=YEAR($F133),$K133="k"),ROUND(VLOOKUP(DQ$4,Preisindex,2,FALSE)/VLOOKUP(Preisindex!$A$6,Preisindex,2,FALSE),2),0)))))</f>
        <v>0</v>
      </c>
      <c r="DS133" s="51">
        <f>IF(AND($E133&lt;&gt;0,$F133&gt;0,YEAR($F133)&lt;=DQ$4,YEAR($F133)&gt;=Preisindex!$A$6),ROUND($E133*DQ133,2),IF(AND($E133&lt;&gt;0,$F133&gt;0,YEAR($F133)&lt;=DQ$4,YEAR($F133)&lt;Preisindex!$A$6),ROUND($E133*DR133,2),0))</f>
        <v>0</v>
      </c>
      <c r="DT133" s="53">
        <f t="shared" ref="DT133:DT196" si="533">IF(AND(DJ133&lt;&gt;0,DJ133=$M133),DS133*$L133,IF(AND(DJ133&lt;&gt;0,DJ133&lt;&gt;$M133),DS133*($L133*(DJ133/$M133)),0))</f>
        <v>0</v>
      </c>
      <c r="DU133" s="51">
        <f t="shared" si="525"/>
        <v>0</v>
      </c>
      <c r="DV133" s="51">
        <f t="shared" si="473"/>
        <v>0</v>
      </c>
      <c r="DW133" s="51">
        <f t="shared" ref="DW133:DW196" si="534">IF(DU133&lt;&gt;0,ROUND(DU133*YEARFRAC($F133,EC$4,0),2),0)</f>
        <v>0</v>
      </c>
      <c r="DX133" s="51">
        <f t="shared" si="474"/>
        <v>0</v>
      </c>
      <c r="DY133" s="51">
        <f t="shared" ref="DY133:DY196" si="535">IF(AND($F133&gt;0,$F133&lt;=EC$4),$E133,0)</f>
        <v>0</v>
      </c>
      <c r="DZ133" s="51">
        <f t="shared" si="475"/>
        <v>0</v>
      </c>
      <c r="EA133" s="51">
        <f t="shared" ref="EA133:EA196" si="536">IF(AND(YEAR($F133)=YEAR(EC$4),$E133&lt;1000,$E133&gt;-1000,$F133&gt;0,$L133=1),$E133-$I133,IF(AND(YEAR($F133)=YEAR(EC$4),$F133&gt;0,$L133&gt;0),ROUND(($M133/12)*(13-MONTH($F133)),2),IF(AND(YEAR($F133)&lt;YEAR(EC$4),$E133&gt;0,$F133&gt;0,$L133&gt;0,DL133&gt;$M133+$I133),$M133,IF(AND(YEAR($F133)&lt;YEAR(EC$4),$E133&gt;0,$F133&gt;0,$L133&gt;0,DL133&gt;0,DL133&lt;=$M133+$I133),DL133-$I133,IF(AND(YEAR($F133)&lt;YEAR(EC$4),$E133&lt;0,$F133&gt;0,$L133&gt;0,DL133&lt;0,DL133&lt;=$M133),$M133,IF(AND(YEAR($F133)&lt;YEAR(EC$4),$E133&lt;0,$F133&gt;0,$L133&gt;0,DL133&lt;0,DL133&gt;$M133),DL133,0))))))</f>
        <v>0</v>
      </c>
      <c r="EB133" s="51">
        <f t="shared" si="476"/>
        <v>0</v>
      </c>
      <c r="EC133" s="51">
        <f t="shared" ref="EC133:EC196" si="537">IF(AND(YEAR(EC$4)=YEAR($F133),$E133&gt;0,$F133&gt;0,$E133-EA133&gt;=0),$E133-EA133,IF(AND(YEAR(EC$4)&gt;YEAR($F133),$E133&gt;0,$F133&gt;0,DL133-EA133&gt;=0),DL133-EA133,IF(AND(YEAR(EC$4)=YEAR($F133),$E133&lt;0,$F133&gt;0,$E133-EA133&lt;0),$E133-EA133,IF(AND(YEAR(EC$4)&gt;YEAR($F133),$E133&lt;0,$F133&gt;0,DL133-EA133&lt;=0),DL133-EA133,0))))</f>
        <v>0</v>
      </c>
      <c r="ED133" s="51">
        <f t="shared" si="477"/>
        <v>0</v>
      </c>
      <c r="EE133" s="51">
        <f t="shared" ref="EE133:EE196" si="538">DN133+EA133</f>
        <v>0</v>
      </c>
      <c r="EF133" s="54">
        <f t="shared" ref="EF133:EF196" si="539">IF(AND(DU133&lt;&gt;0,$J133="H",$M133=0),DW133,IF(AND(YEAR(EC$4)&gt;YEAR($F133),$J133="H",$F133&gt;0,$M133=0),$E133,0))</f>
        <v>0</v>
      </c>
      <c r="EG133" s="55">
        <f t="shared" ref="EG133:EG196" si="540">IF(AND(YEAR(EC$4)&gt;=YEAR($F133),$E133&gt;0,$F133&gt;0,EA133&gt;0,$J133="H"),ROUND(EA133/$M133*$E133,2),IF(AND(YEAR(EC$4)&gt;=YEAR($F133),$E133&lt;0,$F133&gt;0,EA133&lt;0,$J133="H"),ROUND(EA133/$M133*$E133,2),0))</f>
        <v>0</v>
      </c>
      <c r="EH133" s="56">
        <f>IF(AND($E133&lt;&gt;0,$F133&gt;0,YEAR($F133)&gt;=Preisindex!$A$6,YEAR(EC$4)&gt;=YEAR($F133),AND($K133&lt;&gt;"a",$K133&lt;&gt;"b",$K133&lt;&gt;"g",$K133&lt;&gt;"k")),1,IF(AND($E133&lt;&gt;0,$F133&gt;0,YEAR($F133)&gt;=Preisindex!$A$6,YEAR(EC$4)&gt;=YEAR($F133),$K133="a"),ROUND(VLOOKUP(EH$4,Preisindex,5,FALSE)/VLOOKUP(YEAR($F133),Preisindex,5,FALSE),2),IF(AND($E133&lt;&gt;0,$F133&gt;0,YEAR($F133)&gt;=Preisindex!$A$6,YEAR(EC$4)&gt;=YEAR($F133),$K133="b"),ROUND(VLOOKUP(EH$4,Preisindex,3,FALSE)/VLOOKUP(YEAR($F133),Preisindex,3,FALSE),2),IF(AND($E133&lt;&gt;0,$F133&gt;0,YEAR($F133)&gt;=Preisindex!$A$6,YEAR(EC$4)&gt;=YEAR($F133),$K133="g"),ROUND(VLOOKUP(EH$4,Preisindex,4,FALSE)/VLOOKUP(YEAR($F133),Preisindex,4,FALSE),2),IF(AND($E133&lt;&gt;0,$F133&gt;0,YEAR($F133)&gt;=Preisindex!$A$6,YEAR(EC$4)&gt;=YEAR($F133),$K133="k"),ROUND(VLOOKUP(EH$4,Preisindex,2,FALSE)/VLOOKUP(YEAR($F133),Preisindex,2,FALSE),2),0)))))</f>
        <v>0</v>
      </c>
      <c r="EI133" s="56">
        <f>IF(AND($E133&lt;&gt;0,$F133&gt;0,YEAR($F133)&lt;Preisindex!$A$6,YEAR(EC$4)&gt;=YEAR($F133),AND($K133&lt;&gt;"a",$K133&lt;&gt;"b",$K133&lt;&gt;"g",$K133&lt;&gt;"k")),1,IF(AND($E133&lt;&gt;0,$F133&gt;0,YEAR($F133)&lt;Preisindex!$A$6,YEAR(EC$4)&gt;=YEAR($F133),$K133="a"),ROUND(VLOOKUP(EH$4,Preisindex,5,FALSE)/VLOOKUP(Preisindex!$A$6,Preisindex,5,FALSE),2),IF(AND($E133&lt;&gt;0,$F133&gt;0,YEAR($F133)&lt;Preisindex!$A$6,YEAR(EC$4)&gt;=YEAR($F133),$K133="b"),ROUND(VLOOKUP(EH$4,Preisindex,3,FALSE)/VLOOKUP(Preisindex!$A$6,Preisindex,3,FALSE),2),IF(AND($E133&lt;&gt;0,$F133&gt;0,YEAR($F133)&lt;Preisindex!$A$6,YEAR(EC$4)&gt;=YEAR($F133),$K133="g"),ROUND(VLOOKUP(EH$4,Preisindex,4,FALSE)/VLOOKUP(Preisindex!$A$6,Preisindex,4,FALSE),2),IF(AND($E133&lt;&gt;0,$F133&gt;0,YEAR($F133)&lt;Preisindex!$A$6,YEAR(EC$4)&gt;=YEAR($F133),$K133="k"),ROUND(VLOOKUP(EH$4,Preisindex,2,FALSE)/VLOOKUP(Preisindex!$A$6,Preisindex,2,FALSE),2),0)))))</f>
        <v>0</v>
      </c>
      <c r="EJ133" s="51">
        <f>IF(AND($E133&lt;&gt;0,$F133&gt;0,YEAR($F133)&lt;=EH$4,YEAR($F133)&gt;=Preisindex!$A$6),ROUND($E133*EH133,2),IF(AND($E133&lt;&gt;0,$F133&gt;0,YEAR($F133)&lt;=EH$4,YEAR($F133)&lt;Preisindex!$A$6),ROUND($E133*EI133,2),0))</f>
        <v>0</v>
      </c>
      <c r="EK133" s="53">
        <f t="shared" ref="EK133:EK196" si="541">IF(AND(EA133&lt;&gt;0,EA133=$M133),EJ133*$L133,IF(AND(EA133&lt;&gt;0,EA133&lt;&gt;$M133),EJ133*($L133*(EA133/$M133)),0))</f>
        <v>0</v>
      </c>
      <c r="EL133" s="51">
        <f t="shared" si="525"/>
        <v>0</v>
      </c>
      <c r="EM133" s="51">
        <f t="shared" si="478"/>
        <v>0</v>
      </c>
      <c r="EN133" s="51">
        <f t="shared" ref="EN133:EN196" si="542">IF(EL133&lt;&gt;0,ROUND(EL133*YEARFRAC($F133,ET$4,0),2),0)</f>
        <v>0</v>
      </c>
      <c r="EO133" s="51">
        <f t="shared" si="479"/>
        <v>0</v>
      </c>
      <c r="EP133" s="51">
        <f t="shared" ref="EP133:EP196" si="543">IF(AND($F133&gt;0,$F133&lt;=ET$4),$E133,0)</f>
        <v>0</v>
      </c>
      <c r="EQ133" s="51">
        <f t="shared" si="480"/>
        <v>0</v>
      </c>
      <c r="ER133" s="51">
        <f t="shared" ref="ER133:ER196" si="544">IF(AND(YEAR($F133)=YEAR(ET$4),$E133&lt;1000,$E133&gt;-1000,$F133&gt;0,$L133=1),$E133-$I133,IF(AND(YEAR($F133)=YEAR(ET$4),$F133&gt;0,$L133&gt;0),ROUND(($M133/12)*(13-MONTH($F133)),2),IF(AND(YEAR($F133)&lt;YEAR(ET$4),$E133&gt;0,$F133&gt;0,$L133&gt;0,EC133&gt;$M133+$I133),$M133,IF(AND(YEAR($F133)&lt;YEAR(ET$4),$E133&gt;0,$F133&gt;0,$L133&gt;0,EC133&gt;0,EC133&lt;=$M133+$I133),EC133-$I133,IF(AND(YEAR($F133)&lt;YEAR(ET$4),$E133&lt;0,$F133&gt;0,$L133&gt;0,EC133&lt;0,EC133&lt;=$M133),$M133,IF(AND(YEAR($F133)&lt;YEAR(ET$4),$E133&lt;0,$F133&gt;0,$L133&gt;0,EC133&lt;0,EC133&gt;$M133),EC133,0))))))</f>
        <v>0</v>
      </c>
      <c r="ES133" s="51">
        <f t="shared" si="481"/>
        <v>0</v>
      </c>
      <c r="ET133" s="51">
        <f t="shared" ref="ET133:ET196" si="545">IF(AND(YEAR(ET$4)=YEAR($F133),$E133&gt;0,$F133&gt;0,$E133-ER133&gt;=0),$E133-ER133,IF(AND(YEAR(ET$4)&gt;YEAR($F133),$E133&gt;0,$F133&gt;0,EC133-ER133&gt;=0),EC133-ER133,IF(AND(YEAR(ET$4)=YEAR($F133),$E133&lt;0,$F133&gt;0,$E133-ER133&lt;0),$E133-ER133,IF(AND(YEAR(ET$4)&gt;YEAR($F133),$E133&lt;0,$F133&gt;0,EC133-ER133&lt;=0),EC133-ER133,0))))</f>
        <v>0</v>
      </c>
      <c r="EU133" s="51">
        <f t="shared" si="482"/>
        <v>0</v>
      </c>
      <c r="EV133" s="51">
        <f t="shared" ref="EV133:EV196" si="546">EE133+ER133</f>
        <v>0</v>
      </c>
      <c r="EW133" s="54">
        <f t="shared" ref="EW133:EW196" si="547">IF(AND(EL133&lt;&gt;0,$J133="H",$M133=0),EN133,IF(AND(YEAR(ET$4)&gt;YEAR($F133),$J133="H",$F133&gt;0,$M133=0),$E133,0))</f>
        <v>0</v>
      </c>
      <c r="EX133" s="55">
        <f t="shared" ref="EX133:EX196" si="548">IF(AND(YEAR(ET$4)&gt;=YEAR($F133),$E133&gt;0,$F133&gt;0,ER133&gt;0,$J133="H"),ROUND(ER133/$M133*$E133,2),IF(AND(YEAR(ET$4)&gt;=YEAR($F133),$E133&lt;0,$F133&gt;0,ER133&lt;0,$J133="H"),ROUND(ER133/$M133*$E133,2),0))</f>
        <v>0</v>
      </c>
      <c r="EY133" s="56">
        <f>IF(AND($E133&lt;&gt;0,$F133&gt;0,YEAR($F133)&gt;=Preisindex!$A$6,YEAR(ET$4)&gt;=YEAR($F133),AND($K133&lt;&gt;"a",$K133&lt;&gt;"b",$K133&lt;&gt;"g",$K133&lt;&gt;"k")),1,IF(AND($E133&lt;&gt;0,$F133&gt;0,YEAR($F133)&gt;=Preisindex!$A$6,YEAR(ET$4)&gt;=YEAR($F133),$K133="a"),ROUND(VLOOKUP(EY$4,Preisindex,5,FALSE)/VLOOKUP(YEAR($F133),Preisindex,5,FALSE),2),IF(AND($E133&lt;&gt;0,$F133&gt;0,YEAR($F133)&gt;=Preisindex!$A$6,YEAR(ET$4)&gt;=YEAR($F133),$K133="b"),ROUND(VLOOKUP(EY$4,Preisindex,3,FALSE)/VLOOKUP(YEAR($F133),Preisindex,3,FALSE),2),IF(AND($E133&lt;&gt;0,$F133&gt;0,YEAR($F133)&gt;=Preisindex!$A$6,YEAR(ET$4)&gt;=YEAR($F133),$K133="g"),ROUND(VLOOKUP(EY$4,Preisindex,4,FALSE)/VLOOKUP(YEAR($F133),Preisindex,4,FALSE),2),IF(AND($E133&lt;&gt;0,$F133&gt;0,YEAR($F133)&gt;=Preisindex!$A$6,YEAR(ET$4)&gt;=YEAR($F133),$K133="k"),ROUND(VLOOKUP(EY$4,Preisindex,2,FALSE)/VLOOKUP(YEAR($F133),Preisindex,2,FALSE),2),0)))))</f>
        <v>0</v>
      </c>
      <c r="EZ133" s="56">
        <f>IF(AND($E133&lt;&gt;0,$F133&gt;0,YEAR($F133)&lt;Preisindex!$A$6,YEAR(ET$4)&gt;=YEAR($F133),AND($K133&lt;&gt;"a",$K133&lt;&gt;"b",$K133&lt;&gt;"g",$K133&lt;&gt;"k")),1,IF(AND($E133&lt;&gt;0,$F133&gt;0,YEAR($F133)&lt;Preisindex!$A$6,YEAR(ET$4)&gt;=YEAR($F133),$K133="a"),ROUND(VLOOKUP(EY$4,Preisindex,5,FALSE)/VLOOKUP(Preisindex!$A$6,Preisindex,5,FALSE),2),IF(AND($E133&lt;&gt;0,$F133&gt;0,YEAR($F133)&lt;Preisindex!$A$6,YEAR(ET$4)&gt;=YEAR($F133),$K133="b"),ROUND(VLOOKUP(EY$4,Preisindex,3,FALSE)/VLOOKUP(Preisindex!$A$6,Preisindex,3,FALSE),2),IF(AND($E133&lt;&gt;0,$F133&gt;0,YEAR($F133)&lt;Preisindex!$A$6,YEAR(ET$4)&gt;=YEAR($F133),$K133="g"),ROUND(VLOOKUP(EY$4,Preisindex,4,FALSE)/VLOOKUP(Preisindex!$A$6,Preisindex,4,FALSE),2),IF(AND($E133&lt;&gt;0,$F133&gt;0,YEAR($F133)&lt;Preisindex!$A$6,YEAR(ET$4)&gt;=YEAR($F133),$K133="k"),ROUND(VLOOKUP(EY$4,Preisindex,2,FALSE)/VLOOKUP(Preisindex!$A$6,Preisindex,2,FALSE),2),0)))))</f>
        <v>0</v>
      </c>
      <c r="FA133" s="51">
        <f>IF(AND($E133&lt;&gt;0,$F133&gt;0,YEAR($F133)&lt;=EY$4,YEAR($F133)&gt;=Preisindex!$A$6),ROUND($E133*EY133,2),IF(AND($E133&lt;&gt;0,$F133&gt;0,YEAR($F133)&lt;=EY$4,YEAR($F133)&lt;Preisindex!$A$6),ROUND($E133*EZ133,2),0))</f>
        <v>0</v>
      </c>
      <c r="FB133" s="53">
        <f t="shared" ref="FB133:FB196" si="549">IF(AND(ER133&lt;&gt;0,ER133=$M133),FA133*$L133,IF(AND(ER133&lt;&gt;0,ER133&lt;&gt;$M133),FA133*($L133*(ER133/$M133)),0))</f>
        <v>0</v>
      </c>
      <c r="FC133" s="51">
        <f t="shared" si="525"/>
        <v>0</v>
      </c>
      <c r="FD133" s="51">
        <f t="shared" si="483"/>
        <v>0</v>
      </c>
      <c r="FE133" s="51">
        <f t="shared" ref="FE133:FE196" si="550">IF(FC133&lt;&gt;0,ROUND(FC133*YEARFRAC($F133,FK$4,0),2),0)</f>
        <v>0</v>
      </c>
      <c r="FF133" s="51">
        <f t="shared" si="484"/>
        <v>0</v>
      </c>
      <c r="FG133" s="51">
        <f t="shared" ref="FG133:FG196" si="551">IF(AND($F133&gt;0,$F133&lt;=FK$4),$E133,0)</f>
        <v>0</v>
      </c>
      <c r="FH133" s="51">
        <f t="shared" si="485"/>
        <v>0</v>
      </c>
      <c r="FI133" s="51">
        <f t="shared" ref="FI133:FI196" si="552">IF(AND(YEAR($F133)=YEAR(FK$4),$E133&lt;1000,$E133&gt;-1000,$F133&gt;0,$L133=1),$E133-$I133,IF(AND(YEAR($F133)=YEAR(FK$4),$F133&gt;0,$L133&gt;0),ROUND(($M133/12)*(13-MONTH($F133)),2),IF(AND(YEAR($F133)&lt;YEAR(FK$4),$E133&gt;0,$F133&gt;0,$L133&gt;0,ET133&gt;$M133+$I133),$M133,IF(AND(YEAR($F133)&lt;YEAR(FK$4),$E133&gt;0,$F133&gt;0,$L133&gt;0,ET133&gt;0,ET133&lt;=$M133+$I133),ET133-$I133,IF(AND(YEAR($F133)&lt;YEAR(FK$4),$E133&lt;0,$F133&gt;0,$L133&gt;0,ET133&lt;0,ET133&lt;=$M133),$M133,IF(AND(YEAR($F133)&lt;YEAR(FK$4),$E133&lt;0,$F133&gt;0,$L133&gt;0,ET133&lt;0,ET133&gt;$M133),ET133,0))))))</f>
        <v>0</v>
      </c>
      <c r="FJ133" s="51">
        <f t="shared" si="486"/>
        <v>0</v>
      </c>
      <c r="FK133" s="51">
        <f t="shared" ref="FK133:FK196" si="553">IF(AND(YEAR(FK$4)=YEAR($F133),$E133&gt;0,$F133&gt;0,$E133-FI133&gt;=0),$E133-FI133,IF(AND(YEAR(FK$4)&gt;YEAR($F133),$E133&gt;0,$F133&gt;0,ET133-FI133&gt;=0),ET133-FI133,IF(AND(YEAR(FK$4)=YEAR($F133),$E133&lt;0,$F133&gt;0,$E133-FI133&lt;0),$E133-FI133,IF(AND(YEAR(FK$4)&gt;YEAR($F133),$E133&lt;0,$F133&gt;0,ET133-FI133&lt;=0),ET133-FI133,0))))</f>
        <v>0</v>
      </c>
      <c r="FL133" s="51">
        <f t="shared" si="487"/>
        <v>0</v>
      </c>
      <c r="FM133" s="51">
        <f t="shared" ref="FM133:FM196" si="554">EV133+FI133</f>
        <v>0</v>
      </c>
      <c r="FN133" s="54">
        <f t="shared" ref="FN133:FN196" si="555">IF(AND(FC133&lt;&gt;0,$J133="H",$M133=0),FE133,IF(AND(YEAR(FK$4)&gt;YEAR($F133),$J133="H",$F133&gt;0,$M133=0),$E133,0))</f>
        <v>0</v>
      </c>
      <c r="FO133" s="55">
        <f t="shared" ref="FO133:FO196" si="556">IF(AND(YEAR(FK$4)&gt;=YEAR($F133),$E133&gt;0,$F133&gt;0,FI133&gt;0,$J133="H"),ROUND(FI133/$M133*$E133,2),IF(AND(YEAR(FK$4)&gt;=YEAR($F133),$E133&lt;0,$F133&gt;0,FI133&lt;0,$J133="H"),ROUND(FI133/$M133*$E133,2),0))</f>
        <v>0</v>
      </c>
      <c r="FP133" s="56">
        <f>IF(AND($E133&lt;&gt;0,$F133&gt;0,YEAR($F133)&gt;=Preisindex!$A$6,YEAR(FK$4)&gt;=YEAR($F133),AND($K133&lt;&gt;"a",$K133&lt;&gt;"b",$K133&lt;&gt;"g",$K133&lt;&gt;"k")),1,IF(AND($E133&lt;&gt;0,$F133&gt;0,YEAR($F133)&gt;=Preisindex!$A$6,YEAR(FK$4)&gt;=YEAR($F133),$K133="a"),ROUND(VLOOKUP(FP$4,Preisindex,5,FALSE)/VLOOKUP(YEAR($F133),Preisindex,5,FALSE),2),IF(AND($E133&lt;&gt;0,$F133&gt;0,YEAR($F133)&gt;=Preisindex!$A$6,YEAR(FK$4)&gt;=YEAR($F133),$K133="b"),ROUND(VLOOKUP(FP$4,Preisindex,3,FALSE)/VLOOKUP(YEAR($F133),Preisindex,3,FALSE),2),IF(AND($E133&lt;&gt;0,$F133&gt;0,YEAR($F133)&gt;=Preisindex!$A$6,YEAR(FK$4)&gt;=YEAR($F133),$K133="g"),ROUND(VLOOKUP(FP$4,Preisindex,4,FALSE)/VLOOKUP(YEAR($F133),Preisindex,4,FALSE),2),IF(AND($E133&lt;&gt;0,$F133&gt;0,YEAR($F133)&gt;=Preisindex!$A$6,YEAR(FK$4)&gt;=YEAR($F133),$K133="k"),ROUND(VLOOKUP(FP$4,Preisindex,2,FALSE)/VLOOKUP(YEAR($F133),Preisindex,2,FALSE),2),0)))))</f>
        <v>0</v>
      </c>
      <c r="FQ133" s="56">
        <f>IF(AND($E133&lt;&gt;0,$F133&gt;0,YEAR($F133)&lt;Preisindex!$A$6,YEAR(FK$4)&gt;=YEAR($F133),AND($K133&lt;&gt;"a",$K133&lt;&gt;"b",$K133&lt;&gt;"g",$K133&lt;&gt;"k")),1,IF(AND($E133&lt;&gt;0,$F133&gt;0,YEAR($F133)&lt;Preisindex!$A$6,YEAR(FK$4)&gt;=YEAR($F133),$K133="a"),ROUND(VLOOKUP(FP$4,Preisindex,5,FALSE)/VLOOKUP(Preisindex!$A$6,Preisindex,5,FALSE),2),IF(AND($E133&lt;&gt;0,$F133&gt;0,YEAR($F133)&lt;Preisindex!$A$6,YEAR(FK$4)&gt;=YEAR($F133),$K133="b"),ROUND(VLOOKUP(FP$4,Preisindex,3,FALSE)/VLOOKUP(Preisindex!$A$6,Preisindex,3,FALSE),2),IF(AND($E133&lt;&gt;0,$F133&gt;0,YEAR($F133)&lt;Preisindex!$A$6,YEAR(FK$4)&gt;=YEAR($F133),$K133="g"),ROUND(VLOOKUP(FP$4,Preisindex,4,FALSE)/VLOOKUP(Preisindex!$A$6,Preisindex,4,FALSE),2),IF(AND($E133&lt;&gt;0,$F133&gt;0,YEAR($F133)&lt;Preisindex!$A$6,YEAR(FK$4)&gt;=YEAR($F133),$K133="k"),ROUND(VLOOKUP(FP$4,Preisindex,2,FALSE)/VLOOKUP(Preisindex!$A$6,Preisindex,2,FALSE),2),0)))))</f>
        <v>0</v>
      </c>
      <c r="FR133" s="51">
        <f>IF(AND($E133&lt;&gt;0,$F133&gt;0,YEAR($F133)&lt;=FP$4,YEAR($F133)&gt;=Preisindex!$A$6),ROUND($E133*FP133,2),IF(AND($E133&lt;&gt;0,$F133&gt;0,YEAR($F133)&lt;=FP$4,YEAR($F133)&lt;Preisindex!$A$6),ROUND($E133*FQ133,2),0))</f>
        <v>0</v>
      </c>
      <c r="FS133" s="53">
        <f t="shared" ref="FS133:FS196" si="557">IF(AND(FI133&lt;&gt;0,FI133=$M133),FR133*$L133,IF(AND(FI133&lt;&gt;0,FI133&lt;&gt;$M133),FR133*($L133*(FI133/$M133)),0))</f>
        <v>0</v>
      </c>
    </row>
    <row r="134" spans="1:175" x14ac:dyDescent="0.3">
      <c r="A134" s="93"/>
      <c r="B134" s="94"/>
      <c r="C134" s="94"/>
      <c r="D134" s="95"/>
      <c r="E134" s="99"/>
      <c r="F134" s="97"/>
      <c r="G134" s="98"/>
      <c r="H134" s="620"/>
      <c r="I134" s="621"/>
      <c r="J134" s="194"/>
      <c r="K134" s="630"/>
      <c r="L134" s="49">
        <f t="shared" si="427"/>
        <v>0</v>
      </c>
      <c r="M134" s="50">
        <f t="shared" si="428"/>
        <v>0</v>
      </c>
      <c r="N134" s="51">
        <f t="shared" si="429"/>
        <v>0</v>
      </c>
      <c r="O134" s="51"/>
      <c r="P134" s="51">
        <f t="shared" si="430"/>
        <v>0</v>
      </c>
      <c r="Q134" s="52"/>
      <c r="R134" s="52"/>
      <c r="S134" s="52"/>
      <c r="T134" s="52"/>
      <c r="U134" s="52"/>
      <c r="V134" s="53">
        <f t="shared" si="431"/>
        <v>0</v>
      </c>
      <c r="W134" s="51">
        <f t="shared" si="432"/>
        <v>0</v>
      </c>
      <c r="X134" s="51">
        <f t="shared" si="433"/>
        <v>0</v>
      </c>
      <c r="Y134" s="51">
        <f t="shared" si="434"/>
        <v>0</v>
      </c>
      <c r="Z134" s="51">
        <f t="shared" si="435"/>
        <v>0</v>
      </c>
      <c r="AA134" s="51">
        <f t="shared" si="436"/>
        <v>0</v>
      </c>
      <c r="AB134" s="51">
        <f t="shared" si="437"/>
        <v>0</v>
      </c>
      <c r="AC134" s="51">
        <f t="shared" si="438"/>
        <v>0</v>
      </c>
      <c r="AD134" s="51">
        <f t="shared" si="439"/>
        <v>0</v>
      </c>
      <c r="AE134" s="51">
        <f t="shared" si="440"/>
        <v>0</v>
      </c>
      <c r="AF134" s="51">
        <f t="shared" si="441"/>
        <v>0</v>
      </c>
      <c r="AG134" s="51">
        <f t="shared" si="442"/>
        <v>0</v>
      </c>
      <c r="AH134" s="54">
        <f t="shared" si="443"/>
        <v>0</v>
      </c>
      <c r="AI134" s="55">
        <f t="shared" si="444"/>
        <v>0</v>
      </c>
      <c r="AJ134" s="56">
        <f>IF(AND($E134&lt;&gt;0,$F134&gt;0,YEAR($F134)&gt;=Preisindex!$A$6,YEAR(AE$4)&gt;=YEAR($F134),AND($K134&lt;&gt;"a",$K134&lt;&gt;"b",$K134&lt;&gt;"g",$K134&lt;&gt;"k")),1,IF(AND($E134&lt;&gt;0,$F134&gt;0,YEAR($F134)&gt;=Preisindex!$A$6,YEAR(AE$4)&gt;=YEAR($F134),$K134="a"),ROUND(VLOOKUP(AJ$4,Preisindex,5,FALSE)/VLOOKUP(YEAR($F134),Preisindex,5,FALSE),2),IF(AND($E134&lt;&gt;0,$F134&gt;0,YEAR($F134)&gt;=Preisindex!$A$6,YEAR(AE$4)&gt;=YEAR($F134),$K134="b"),ROUND(VLOOKUP(AJ$4,Preisindex,3,FALSE)/VLOOKUP(YEAR($F134),Preisindex,3,FALSE),2),IF(AND($E134&lt;&gt;0,$F134&gt;0,YEAR($F134)&gt;=Preisindex!$A$6,YEAR(AE$4)&gt;=YEAR($F134),$K134="g"),ROUND(VLOOKUP(AJ$4,Preisindex,4,FALSE)/VLOOKUP(YEAR($F134),Preisindex,4,FALSE),2),IF(AND($E134&lt;&gt;0,$F134&gt;0,YEAR($F134)&gt;=Preisindex!$A$6,YEAR(AE$4)&gt;=YEAR($F134),$K134="k"),ROUND(VLOOKUP(AJ$4,Preisindex,2,FALSE)/VLOOKUP(YEAR($F134),Preisindex,2,FALSE),2),0)))))</f>
        <v>0</v>
      </c>
      <c r="AK134" s="56">
        <f>IF(AND($E134&lt;&gt;0,$F134&gt;0,YEAR($F134)&lt;Preisindex!$A$6,YEAR(AE$4)&gt;=YEAR($F134),AND($K134&lt;&gt;"a",$K134&lt;&gt;"b",$K134&lt;&gt;"g",$K134&lt;&gt;"k")),1,IF(AND($E134&lt;&gt;0,$F134&gt;0,YEAR($F134)&lt;Preisindex!$A$6,YEAR(AE$4)&gt;=YEAR($F134),$K134="a"),ROUND(VLOOKUP(AJ$4,Preisindex,5,FALSE)/VLOOKUP(Preisindex!$A$6,Preisindex,5,FALSE),2),IF(AND($E134&lt;&gt;0,$F134&gt;0,YEAR($F134)&lt;Preisindex!$A$6,YEAR(AE$4)&gt;=YEAR($F134),$K134="b"),ROUND(VLOOKUP(AJ$4,Preisindex,3,FALSE)/VLOOKUP(Preisindex!$A$6,Preisindex,3,FALSE),2),IF(AND($E134&lt;&gt;0,$F134&gt;0,YEAR($F134)&lt;Preisindex!$A$6,YEAR(AE$4)&gt;=YEAR($F134),$K134="g"),ROUND(VLOOKUP(AJ$4,Preisindex,4,FALSE)/VLOOKUP(Preisindex!$A$6,Preisindex,4,FALSE),2),IF(AND($E134&lt;&gt;0,$F134&gt;0,YEAR($F134)&lt;Preisindex!$A$6,YEAR(AE$4)&gt;=YEAR($F134),$K134="k"),ROUND(VLOOKUP(AJ$4,Preisindex,2,FALSE)/VLOOKUP(Preisindex!$A$6,Preisindex,2,FALSE),2),0)))))</f>
        <v>0</v>
      </c>
      <c r="AL134" s="51">
        <f>IF(AND($E134&lt;&gt;0,$F134&gt;0,YEAR($F134)&lt;=AJ$4,YEAR($F134)&gt;=Preisindex!$A$6),ROUND($E134*AJ134,2),IF(AND($E134&lt;&gt;0,$F134&gt;0,YEAR($F134)&lt;=AJ$4,YEAR($F134)&lt;Preisindex!$A$6),ROUND($E134*AK134,2),0))</f>
        <v>0</v>
      </c>
      <c r="AM134" s="53">
        <f t="shared" si="445"/>
        <v>0</v>
      </c>
      <c r="AN134" s="51">
        <f t="shared" si="492"/>
        <v>0</v>
      </c>
      <c r="AO134" s="51">
        <f t="shared" si="448"/>
        <v>0</v>
      </c>
      <c r="AP134" s="51">
        <f t="shared" si="493"/>
        <v>0</v>
      </c>
      <c r="AQ134" s="51">
        <f t="shared" si="449"/>
        <v>0</v>
      </c>
      <c r="AR134" s="51">
        <f t="shared" si="494"/>
        <v>0</v>
      </c>
      <c r="AS134" s="51">
        <f t="shared" si="450"/>
        <v>0</v>
      </c>
      <c r="AT134" s="51">
        <f t="shared" si="495"/>
        <v>0</v>
      </c>
      <c r="AU134" s="51">
        <f t="shared" si="451"/>
        <v>0</v>
      </c>
      <c r="AV134" s="51">
        <f t="shared" si="496"/>
        <v>0</v>
      </c>
      <c r="AW134" s="51">
        <f t="shared" si="452"/>
        <v>0</v>
      </c>
      <c r="AX134" s="51">
        <f t="shared" si="497"/>
        <v>0</v>
      </c>
      <c r="AY134" s="54">
        <f t="shared" si="498"/>
        <v>0</v>
      </c>
      <c r="AZ134" s="55">
        <f t="shared" si="499"/>
        <v>0</v>
      </c>
      <c r="BA134" s="56">
        <f>IF(AND($E134&lt;&gt;0,$F134&gt;0,YEAR($F134)&gt;=Preisindex!$A$6,YEAR(AV$4)&gt;=YEAR($F134),AND($K134&lt;&gt;"a",$K134&lt;&gt;"b",$K134&lt;&gt;"g",$K134&lt;&gt;"k")),1,IF(AND($E134&lt;&gt;0,$F134&gt;0,YEAR($F134)&gt;=Preisindex!$A$6,YEAR(AV$4)&gt;=YEAR($F134),$K134="a"),ROUND(VLOOKUP(BA$4,Preisindex,5,FALSE)/VLOOKUP(YEAR($F134),Preisindex,5,FALSE),2),IF(AND($E134&lt;&gt;0,$F134&gt;0,YEAR($F134)&gt;=Preisindex!$A$6,YEAR(AV$4)&gt;=YEAR($F134),$K134="b"),ROUND(VLOOKUP(BA$4,Preisindex,3,FALSE)/VLOOKUP(YEAR($F134),Preisindex,3,FALSE),2),IF(AND($E134&lt;&gt;0,$F134&gt;0,YEAR($F134)&gt;=Preisindex!$A$6,YEAR(AV$4)&gt;=YEAR($F134),$K134="g"),ROUND(VLOOKUP(BA$4,Preisindex,4,FALSE)/VLOOKUP(YEAR($F134),Preisindex,4,FALSE),2),IF(AND($E134&lt;&gt;0,$F134&gt;0,YEAR($F134)&gt;=Preisindex!$A$6,YEAR(AV$4)&gt;=YEAR($F134),$K134="k"),ROUND(VLOOKUP(BA$4,Preisindex,2,FALSE)/VLOOKUP(YEAR($F134),Preisindex,2,FALSE),2),0)))))</f>
        <v>0</v>
      </c>
      <c r="BB134" s="56">
        <f>IF(AND($E134&lt;&gt;0,$F134&gt;0,YEAR($F134)&lt;Preisindex!$A$6,YEAR(AV$4)&gt;=YEAR($F134),AND($K134&lt;&gt;"a",$K134&lt;&gt;"b",$K134&lt;&gt;"g",$K134&lt;&gt;"k")),1,IF(AND($E134&lt;&gt;0,$F134&gt;0,YEAR($F134)&lt;Preisindex!$A$6,YEAR(AV$4)&gt;=YEAR($F134),$K134="a"),ROUND(VLOOKUP(BA$4,Preisindex,5,FALSE)/VLOOKUP(Preisindex!$A$6,Preisindex,5,FALSE),2),IF(AND($E134&lt;&gt;0,$F134&gt;0,YEAR($F134)&lt;Preisindex!$A$6,YEAR(AV$4)&gt;=YEAR($F134),$K134="b"),ROUND(VLOOKUP(BA$4,Preisindex,3,FALSE)/VLOOKUP(Preisindex!$A$6,Preisindex,3,FALSE),2),IF(AND($E134&lt;&gt;0,$F134&gt;0,YEAR($F134)&lt;Preisindex!$A$6,YEAR(AV$4)&gt;=YEAR($F134),$K134="g"),ROUND(VLOOKUP(BA$4,Preisindex,4,FALSE)/VLOOKUP(Preisindex!$A$6,Preisindex,4,FALSE),2),IF(AND($E134&lt;&gt;0,$F134&gt;0,YEAR($F134)&lt;Preisindex!$A$6,YEAR(AV$4)&gt;=YEAR($F134),$K134="k"),ROUND(VLOOKUP(BA$4,Preisindex,2,FALSE)/VLOOKUP(Preisindex!$A$6,Preisindex,2,FALSE),2),0)))))</f>
        <v>0</v>
      </c>
      <c r="BC134" s="51">
        <f>IF(AND($E134&lt;&gt;0,$F134&gt;0,YEAR($F134)&lt;=BA$4,YEAR($F134)&gt;=Preisindex!$A$6),ROUND($E134*BA134,2),IF(AND($E134&lt;&gt;0,$F134&gt;0,YEAR($F134)&lt;=BA$4,YEAR($F134)&lt;Preisindex!$A$6),ROUND($E134*BB134,2),0))</f>
        <v>0</v>
      </c>
      <c r="BD134" s="53">
        <f t="shared" si="500"/>
        <v>0</v>
      </c>
      <c r="BE134" s="51">
        <f t="shared" si="492"/>
        <v>0</v>
      </c>
      <c r="BF134" s="51">
        <f t="shared" si="453"/>
        <v>0</v>
      </c>
      <c r="BG134" s="51">
        <f t="shared" si="501"/>
        <v>0</v>
      </c>
      <c r="BH134" s="51">
        <f t="shared" si="454"/>
        <v>0</v>
      </c>
      <c r="BI134" s="51">
        <f t="shared" si="502"/>
        <v>0</v>
      </c>
      <c r="BJ134" s="51">
        <f t="shared" si="455"/>
        <v>0</v>
      </c>
      <c r="BK134" s="51">
        <f t="shared" si="503"/>
        <v>0</v>
      </c>
      <c r="BL134" s="51">
        <f t="shared" si="456"/>
        <v>0</v>
      </c>
      <c r="BM134" s="51">
        <f t="shared" si="504"/>
        <v>0</v>
      </c>
      <c r="BN134" s="51">
        <f t="shared" si="457"/>
        <v>0</v>
      </c>
      <c r="BO134" s="51">
        <f t="shared" si="505"/>
        <v>0</v>
      </c>
      <c r="BP134" s="54">
        <f t="shared" si="506"/>
        <v>0</v>
      </c>
      <c r="BQ134" s="55">
        <f t="shared" si="507"/>
        <v>0</v>
      </c>
      <c r="BR134" s="56">
        <f>IF(AND($E134&lt;&gt;0,$F134&gt;0,YEAR($F134)&gt;=Preisindex!$A$6,YEAR(BM$4)&gt;=YEAR($F134),AND($K134&lt;&gt;"a",$K134&lt;&gt;"b",$K134&lt;&gt;"g",$K134&lt;&gt;"k")),1,IF(AND($E134&lt;&gt;0,$F134&gt;0,YEAR($F134)&gt;=Preisindex!$A$6,YEAR(BM$4)&gt;=YEAR($F134),$K134="a"),ROUND(VLOOKUP(BR$4,Preisindex,5,FALSE)/VLOOKUP(YEAR($F134),Preisindex,5,FALSE),2),IF(AND($E134&lt;&gt;0,$F134&gt;0,YEAR($F134)&gt;=Preisindex!$A$6,YEAR(BM$4)&gt;=YEAR($F134),$K134="b"),ROUND(VLOOKUP(BR$4,Preisindex,3,FALSE)/VLOOKUP(YEAR($F134),Preisindex,3,FALSE),2),IF(AND($E134&lt;&gt;0,$F134&gt;0,YEAR($F134)&gt;=Preisindex!$A$6,YEAR(BM$4)&gt;=YEAR($F134),$K134="g"),ROUND(VLOOKUP(BR$4,Preisindex,4,FALSE)/VLOOKUP(YEAR($F134),Preisindex,4,FALSE),2),IF(AND($E134&lt;&gt;0,$F134&gt;0,YEAR($F134)&gt;=Preisindex!$A$6,YEAR(BM$4)&gt;=YEAR($F134),$K134="k"),ROUND(VLOOKUP(BR$4,Preisindex,2,FALSE)/VLOOKUP(YEAR($F134),Preisindex,2,FALSE),2),0)))))</f>
        <v>0</v>
      </c>
      <c r="BS134" s="56">
        <f>IF(AND($E134&lt;&gt;0,$F134&gt;0,YEAR($F134)&lt;Preisindex!$A$6,YEAR(BM$4)&gt;=YEAR($F134),AND($K134&lt;&gt;"a",$K134&lt;&gt;"b",$K134&lt;&gt;"g",$K134&lt;&gt;"k")),1,IF(AND($E134&lt;&gt;0,$F134&gt;0,YEAR($F134)&lt;Preisindex!$A$6,YEAR(BM$4)&gt;=YEAR($F134),$K134="a"),ROUND(VLOOKUP(BR$4,Preisindex,5,FALSE)/VLOOKUP(Preisindex!$A$6,Preisindex,5,FALSE),2),IF(AND($E134&lt;&gt;0,$F134&gt;0,YEAR($F134)&lt;Preisindex!$A$6,YEAR(BM$4)&gt;=YEAR($F134),$K134="b"),ROUND(VLOOKUP(BR$4,Preisindex,3,FALSE)/VLOOKUP(Preisindex!$A$6,Preisindex,3,FALSE),2),IF(AND($E134&lt;&gt;0,$F134&gt;0,YEAR($F134)&lt;Preisindex!$A$6,YEAR(BM$4)&gt;=YEAR($F134),$K134="g"),ROUND(VLOOKUP(BR$4,Preisindex,4,FALSE)/VLOOKUP(Preisindex!$A$6,Preisindex,4,FALSE),2),IF(AND($E134&lt;&gt;0,$F134&gt;0,YEAR($F134)&lt;Preisindex!$A$6,YEAR(BM$4)&gt;=YEAR($F134),$K134="k"),ROUND(VLOOKUP(BR$4,Preisindex,2,FALSE)/VLOOKUP(Preisindex!$A$6,Preisindex,2,FALSE),2),0)))))</f>
        <v>0</v>
      </c>
      <c r="BT134" s="51">
        <f>IF(AND($E134&lt;&gt;0,$F134&gt;0,YEAR($F134)&lt;=BR$4,YEAR($F134)&gt;=Preisindex!$A$6),ROUND($E134*BR134,2),IF(AND($E134&lt;&gt;0,$F134&gt;0,YEAR($F134)&lt;=BR$4,YEAR($F134)&lt;Preisindex!$A$6),ROUND($E134*BS134,2),0))</f>
        <v>0</v>
      </c>
      <c r="BU134" s="53">
        <f t="shared" si="508"/>
        <v>0</v>
      </c>
      <c r="BV134" s="51">
        <f t="shared" si="492"/>
        <v>0</v>
      </c>
      <c r="BW134" s="51">
        <f t="shared" si="458"/>
        <v>0</v>
      </c>
      <c r="BX134" s="51">
        <f t="shared" si="509"/>
        <v>0</v>
      </c>
      <c r="BY134" s="51">
        <f t="shared" si="459"/>
        <v>0</v>
      </c>
      <c r="BZ134" s="51">
        <f t="shared" si="510"/>
        <v>0</v>
      </c>
      <c r="CA134" s="51">
        <f t="shared" si="460"/>
        <v>0</v>
      </c>
      <c r="CB134" s="51">
        <f t="shared" si="511"/>
        <v>0</v>
      </c>
      <c r="CC134" s="51">
        <f t="shared" si="461"/>
        <v>0</v>
      </c>
      <c r="CD134" s="51">
        <f t="shared" si="512"/>
        <v>0</v>
      </c>
      <c r="CE134" s="51">
        <f t="shared" si="462"/>
        <v>0</v>
      </c>
      <c r="CF134" s="51">
        <f t="shared" si="513"/>
        <v>0</v>
      </c>
      <c r="CG134" s="54">
        <f t="shared" si="514"/>
        <v>0</v>
      </c>
      <c r="CH134" s="55">
        <f t="shared" si="515"/>
        <v>0</v>
      </c>
      <c r="CI134" s="56">
        <f>IF(AND($E134&lt;&gt;0,$F134&gt;0,YEAR($F134)&gt;=Preisindex!$A$6,YEAR(CD$4)&gt;=YEAR($F134),AND($K134&lt;&gt;"a",$K134&lt;&gt;"b",$K134&lt;&gt;"g",$K134&lt;&gt;"k")),1,IF(AND($E134&lt;&gt;0,$F134&gt;0,YEAR($F134)&gt;=Preisindex!$A$6,YEAR(CD$4)&gt;=YEAR($F134),$K134="a"),ROUND(VLOOKUP(CI$4,Preisindex,5,FALSE)/VLOOKUP(YEAR($F134),Preisindex,5,FALSE),2),IF(AND($E134&lt;&gt;0,$F134&gt;0,YEAR($F134)&gt;=Preisindex!$A$6,YEAR(CD$4)&gt;=YEAR($F134),$K134="b"),ROUND(VLOOKUP(CI$4,Preisindex,3,FALSE)/VLOOKUP(YEAR($F134),Preisindex,3,FALSE),2),IF(AND($E134&lt;&gt;0,$F134&gt;0,YEAR($F134)&gt;=Preisindex!$A$6,YEAR(CD$4)&gt;=YEAR($F134),$K134="g"),ROUND(VLOOKUP(CI$4,Preisindex,4,FALSE)/VLOOKUP(YEAR($F134),Preisindex,4,FALSE),2),IF(AND($E134&lt;&gt;0,$F134&gt;0,YEAR($F134)&gt;=Preisindex!$A$6,YEAR(CD$4)&gt;=YEAR($F134),$K134="k"),ROUND(VLOOKUP(CI$4,Preisindex,2,FALSE)/VLOOKUP(YEAR($F134),Preisindex,2,FALSE),2),0)))))</f>
        <v>0</v>
      </c>
      <c r="CJ134" s="56">
        <f>IF(AND($E134&lt;&gt;0,$F134&gt;0,YEAR($F134)&lt;Preisindex!$A$6,YEAR(CD$4)&gt;=YEAR($F134),AND($K134&lt;&gt;"a",$K134&lt;&gt;"b",$K134&lt;&gt;"g",$K134&lt;&gt;"k")),1,IF(AND($E134&lt;&gt;0,$F134&gt;0,YEAR($F134)&lt;Preisindex!$A$6,YEAR(CD$4)&gt;=YEAR($F134),$K134="a"),ROUND(VLOOKUP(CI$4,Preisindex,5,FALSE)/VLOOKUP(Preisindex!$A$6,Preisindex,5,FALSE),2),IF(AND($E134&lt;&gt;0,$F134&gt;0,YEAR($F134)&lt;Preisindex!$A$6,YEAR(CD$4)&gt;=YEAR($F134),$K134="b"),ROUND(VLOOKUP(CI$4,Preisindex,3,FALSE)/VLOOKUP(Preisindex!$A$6,Preisindex,3,FALSE),2),IF(AND($E134&lt;&gt;0,$F134&gt;0,YEAR($F134)&lt;Preisindex!$A$6,YEAR(CD$4)&gt;=YEAR($F134),$K134="g"),ROUND(VLOOKUP(CI$4,Preisindex,4,FALSE)/VLOOKUP(Preisindex!$A$6,Preisindex,4,FALSE),2),IF(AND($E134&lt;&gt;0,$F134&gt;0,YEAR($F134)&lt;Preisindex!$A$6,YEAR(CD$4)&gt;=YEAR($F134),$K134="k"),ROUND(VLOOKUP(CI$4,Preisindex,2,FALSE)/VLOOKUP(Preisindex!$A$6,Preisindex,2,FALSE),2),0)))))</f>
        <v>0</v>
      </c>
      <c r="CK134" s="51">
        <f>IF(AND($E134&lt;&gt;0,$F134&gt;0,YEAR($F134)&lt;=CI$4,YEAR($F134)&gt;=Preisindex!$A$6),ROUND($E134*CI134,2),IF(AND($E134&lt;&gt;0,$F134&gt;0,YEAR($F134)&lt;=CI$4,YEAR($F134)&lt;Preisindex!$A$6),ROUND($E134*CJ134,2),0))</f>
        <v>0</v>
      </c>
      <c r="CL134" s="53">
        <f t="shared" si="516"/>
        <v>0</v>
      </c>
      <c r="CM134" s="51">
        <f t="shared" si="492"/>
        <v>0</v>
      </c>
      <c r="CN134" s="51">
        <f t="shared" si="463"/>
        <v>0</v>
      </c>
      <c r="CO134" s="51">
        <f t="shared" si="517"/>
        <v>0</v>
      </c>
      <c r="CP134" s="51">
        <f t="shared" si="464"/>
        <v>0</v>
      </c>
      <c r="CQ134" s="51">
        <f t="shared" si="518"/>
        <v>0</v>
      </c>
      <c r="CR134" s="51">
        <f t="shared" si="465"/>
        <v>0</v>
      </c>
      <c r="CS134" s="51">
        <f t="shared" si="519"/>
        <v>0</v>
      </c>
      <c r="CT134" s="51">
        <f t="shared" si="466"/>
        <v>0</v>
      </c>
      <c r="CU134" s="51">
        <f t="shared" si="520"/>
        <v>0</v>
      </c>
      <c r="CV134" s="51">
        <f t="shared" si="467"/>
        <v>0</v>
      </c>
      <c r="CW134" s="51">
        <f t="shared" si="521"/>
        <v>0</v>
      </c>
      <c r="CX134" s="54">
        <f t="shared" si="522"/>
        <v>0</v>
      </c>
      <c r="CY134" s="55">
        <f t="shared" si="523"/>
        <v>0</v>
      </c>
      <c r="CZ134" s="56">
        <f>IF(AND($E134&lt;&gt;0,$F134&gt;0,YEAR($F134)&gt;=Preisindex!$A$6,YEAR(CU$4)&gt;=YEAR($F134),AND($K134&lt;&gt;"a",$K134&lt;&gt;"b",$K134&lt;&gt;"g",$K134&lt;&gt;"k")),1,IF(AND($E134&lt;&gt;0,$F134&gt;0,YEAR($F134)&gt;=Preisindex!$A$6,YEAR(CU$4)&gt;=YEAR($F134),$K134="a"),ROUND(VLOOKUP(CZ$4,Preisindex,5,FALSE)/VLOOKUP(YEAR($F134),Preisindex,5,FALSE),2),IF(AND($E134&lt;&gt;0,$F134&gt;0,YEAR($F134)&gt;=Preisindex!$A$6,YEAR(CU$4)&gt;=YEAR($F134),$K134="b"),ROUND(VLOOKUP(CZ$4,Preisindex,3,FALSE)/VLOOKUP(YEAR($F134),Preisindex,3,FALSE),2),IF(AND($E134&lt;&gt;0,$F134&gt;0,YEAR($F134)&gt;=Preisindex!$A$6,YEAR(CU$4)&gt;=YEAR($F134),$K134="g"),ROUND(VLOOKUP(CZ$4,Preisindex,4,FALSE)/VLOOKUP(YEAR($F134),Preisindex,4,FALSE),2),IF(AND($E134&lt;&gt;0,$F134&gt;0,YEAR($F134)&gt;=Preisindex!$A$6,YEAR(CU$4)&gt;=YEAR($F134),$K134="k"),ROUND(VLOOKUP(CZ$4,Preisindex,2,FALSE)/VLOOKUP(YEAR($F134),Preisindex,2,FALSE),2),0)))))</f>
        <v>0</v>
      </c>
      <c r="DA134" s="56">
        <f>IF(AND($E134&lt;&gt;0,$F134&gt;0,YEAR($F134)&lt;Preisindex!$A$6,YEAR(CU$4)&gt;=YEAR($F134),AND($K134&lt;&gt;"a",$K134&lt;&gt;"b",$K134&lt;&gt;"g",$K134&lt;&gt;"k")),1,IF(AND($E134&lt;&gt;0,$F134&gt;0,YEAR($F134)&lt;Preisindex!$A$6,YEAR(CU$4)&gt;=YEAR($F134),$K134="a"),ROUND(VLOOKUP(CZ$4,Preisindex,5,FALSE)/VLOOKUP(Preisindex!$A$6,Preisindex,5,FALSE),2),IF(AND($E134&lt;&gt;0,$F134&gt;0,YEAR($F134)&lt;Preisindex!$A$6,YEAR(CU$4)&gt;=YEAR($F134),$K134="b"),ROUND(VLOOKUP(CZ$4,Preisindex,3,FALSE)/VLOOKUP(Preisindex!$A$6,Preisindex,3,FALSE),2),IF(AND($E134&lt;&gt;0,$F134&gt;0,YEAR($F134)&lt;Preisindex!$A$6,YEAR(CU$4)&gt;=YEAR($F134),$K134="g"),ROUND(VLOOKUP(CZ$4,Preisindex,4,FALSE)/VLOOKUP(Preisindex!$A$6,Preisindex,4,FALSE),2),IF(AND($E134&lt;&gt;0,$F134&gt;0,YEAR($F134)&lt;Preisindex!$A$6,YEAR(CU$4)&gt;=YEAR($F134),$K134="k"),ROUND(VLOOKUP(CZ$4,Preisindex,2,FALSE)/VLOOKUP(Preisindex!$A$6,Preisindex,2,FALSE),2),0)))))</f>
        <v>0</v>
      </c>
      <c r="DB134" s="51">
        <f>IF(AND($E134&lt;&gt;0,$F134&gt;0,YEAR($F134)&lt;=CZ$4,YEAR($F134)&gt;=Preisindex!$A$6),ROUND($E134*CZ134,2),IF(AND($E134&lt;&gt;0,$F134&gt;0,YEAR($F134)&lt;=CZ$4,YEAR($F134)&lt;Preisindex!$A$6),ROUND($E134*DA134,2),0))</f>
        <v>0</v>
      </c>
      <c r="DC134" s="53">
        <f t="shared" si="524"/>
        <v>0</v>
      </c>
      <c r="DD134" s="51">
        <f t="shared" si="525"/>
        <v>0</v>
      </c>
      <c r="DE134" s="51">
        <f t="shared" si="468"/>
        <v>0</v>
      </c>
      <c r="DF134" s="51">
        <f t="shared" si="526"/>
        <v>0</v>
      </c>
      <c r="DG134" s="51">
        <f t="shared" si="469"/>
        <v>0</v>
      </c>
      <c r="DH134" s="51">
        <f t="shared" si="527"/>
        <v>0</v>
      </c>
      <c r="DI134" s="51">
        <f t="shared" si="470"/>
        <v>0</v>
      </c>
      <c r="DJ134" s="51">
        <f t="shared" si="528"/>
        <v>0</v>
      </c>
      <c r="DK134" s="51">
        <f t="shared" si="471"/>
        <v>0</v>
      </c>
      <c r="DL134" s="51">
        <f t="shared" si="529"/>
        <v>0</v>
      </c>
      <c r="DM134" s="51">
        <f t="shared" si="472"/>
        <v>0</v>
      </c>
      <c r="DN134" s="51">
        <f t="shared" si="530"/>
        <v>0</v>
      </c>
      <c r="DO134" s="54">
        <f t="shared" si="531"/>
        <v>0</v>
      </c>
      <c r="DP134" s="55">
        <f t="shared" si="532"/>
        <v>0</v>
      </c>
      <c r="DQ134" s="56">
        <f>IF(AND($E134&lt;&gt;0,$F134&gt;0,YEAR($F134)&gt;=Preisindex!$A$6,YEAR(DL$4)&gt;=YEAR($F134),AND($K134&lt;&gt;"a",$K134&lt;&gt;"b",$K134&lt;&gt;"g",$K134&lt;&gt;"k")),1,IF(AND($E134&lt;&gt;0,$F134&gt;0,YEAR($F134)&gt;=Preisindex!$A$6,YEAR(DL$4)&gt;=YEAR($F134),$K134="a"),ROUND(VLOOKUP(DQ$4,Preisindex,5,FALSE)/VLOOKUP(YEAR($F134),Preisindex,5,FALSE),2),IF(AND($E134&lt;&gt;0,$F134&gt;0,YEAR($F134)&gt;=Preisindex!$A$6,YEAR(DL$4)&gt;=YEAR($F134),$K134="b"),ROUND(VLOOKUP(DQ$4,Preisindex,3,FALSE)/VLOOKUP(YEAR($F134),Preisindex,3,FALSE),2),IF(AND($E134&lt;&gt;0,$F134&gt;0,YEAR($F134)&gt;=Preisindex!$A$6,YEAR(DL$4)&gt;=YEAR($F134),$K134="g"),ROUND(VLOOKUP(DQ$4,Preisindex,4,FALSE)/VLOOKUP(YEAR($F134),Preisindex,4,FALSE),2),IF(AND($E134&lt;&gt;0,$F134&gt;0,YEAR($F134)&gt;=Preisindex!$A$6,YEAR(DL$4)&gt;=YEAR($F134),$K134="k"),ROUND(VLOOKUP(DQ$4,Preisindex,2,FALSE)/VLOOKUP(YEAR($F134),Preisindex,2,FALSE),2),0)))))</f>
        <v>0</v>
      </c>
      <c r="DR134" s="56">
        <f>IF(AND($E134&lt;&gt;0,$F134&gt;0,YEAR($F134)&lt;Preisindex!$A$6,YEAR(DL$4)&gt;=YEAR($F134),AND($K134&lt;&gt;"a",$K134&lt;&gt;"b",$K134&lt;&gt;"g",$K134&lt;&gt;"k")),1,IF(AND($E134&lt;&gt;0,$F134&gt;0,YEAR($F134)&lt;Preisindex!$A$6,YEAR(DL$4)&gt;=YEAR($F134),$K134="a"),ROUND(VLOOKUP(DQ$4,Preisindex,5,FALSE)/VLOOKUP(Preisindex!$A$6,Preisindex,5,FALSE),2),IF(AND($E134&lt;&gt;0,$F134&gt;0,YEAR($F134)&lt;Preisindex!$A$6,YEAR(DL$4)&gt;=YEAR($F134),$K134="b"),ROUND(VLOOKUP(DQ$4,Preisindex,3,FALSE)/VLOOKUP(Preisindex!$A$6,Preisindex,3,FALSE),2),IF(AND($E134&lt;&gt;0,$F134&gt;0,YEAR($F134)&lt;Preisindex!$A$6,YEAR(DL$4)&gt;=YEAR($F134),$K134="g"),ROUND(VLOOKUP(DQ$4,Preisindex,4,FALSE)/VLOOKUP(Preisindex!$A$6,Preisindex,4,FALSE),2),IF(AND($E134&lt;&gt;0,$F134&gt;0,YEAR($F134)&lt;Preisindex!$A$6,YEAR(DL$4)&gt;=YEAR($F134),$K134="k"),ROUND(VLOOKUP(DQ$4,Preisindex,2,FALSE)/VLOOKUP(Preisindex!$A$6,Preisindex,2,FALSE),2),0)))))</f>
        <v>0</v>
      </c>
      <c r="DS134" s="51">
        <f>IF(AND($E134&lt;&gt;0,$F134&gt;0,YEAR($F134)&lt;=DQ$4,YEAR($F134)&gt;=Preisindex!$A$6),ROUND($E134*DQ134,2),IF(AND($E134&lt;&gt;0,$F134&gt;0,YEAR($F134)&lt;=DQ$4,YEAR($F134)&lt;Preisindex!$A$6),ROUND($E134*DR134,2),0))</f>
        <v>0</v>
      </c>
      <c r="DT134" s="53">
        <f t="shared" si="533"/>
        <v>0</v>
      </c>
      <c r="DU134" s="51">
        <f t="shared" si="525"/>
        <v>0</v>
      </c>
      <c r="DV134" s="51">
        <f t="shared" si="473"/>
        <v>0</v>
      </c>
      <c r="DW134" s="51">
        <f t="shared" si="534"/>
        <v>0</v>
      </c>
      <c r="DX134" s="51">
        <f t="shared" si="474"/>
        <v>0</v>
      </c>
      <c r="DY134" s="51">
        <f t="shared" si="535"/>
        <v>0</v>
      </c>
      <c r="DZ134" s="51">
        <f t="shared" si="475"/>
        <v>0</v>
      </c>
      <c r="EA134" s="51">
        <f t="shared" si="536"/>
        <v>0</v>
      </c>
      <c r="EB134" s="51">
        <f t="shared" si="476"/>
        <v>0</v>
      </c>
      <c r="EC134" s="51">
        <f t="shared" si="537"/>
        <v>0</v>
      </c>
      <c r="ED134" s="51">
        <f t="shared" si="477"/>
        <v>0</v>
      </c>
      <c r="EE134" s="51">
        <f t="shared" si="538"/>
        <v>0</v>
      </c>
      <c r="EF134" s="54">
        <f t="shared" si="539"/>
        <v>0</v>
      </c>
      <c r="EG134" s="55">
        <f t="shared" si="540"/>
        <v>0</v>
      </c>
      <c r="EH134" s="56">
        <f>IF(AND($E134&lt;&gt;0,$F134&gt;0,YEAR($F134)&gt;=Preisindex!$A$6,YEAR(EC$4)&gt;=YEAR($F134),AND($K134&lt;&gt;"a",$K134&lt;&gt;"b",$K134&lt;&gt;"g",$K134&lt;&gt;"k")),1,IF(AND($E134&lt;&gt;0,$F134&gt;0,YEAR($F134)&gt;=Preisindex!$A$6,YEAR(EC$4)&gt;=YEAR($F134),$K134="a"),ROUND(VLOOKUP(EH$4,Preisindex,5,FALSE)/VLOOKUP(YEAR($F134),Preisindex,5,FALSE),2),IF(AND($E134&lt;&gt;0,$F134&gt;0,YEAR($F134)&gt;=Preisindex!$A$6,YEAR(EC$4)&gt;=YEAR($F134),$K134="b"),ROUND(VLOOKUP(EH$4,Preisindex,3,FALSE)/VLOOKUP(YEAR($F134),Preisindex,3,FALSE),2),IF(AND($E134&lt;&gt;0,$F134&gt;0,YEAR($F134)&gt;=Preisindex!$A$6,YEAR(EC$4)&gt;=YEAR($F134),$K134="g"),ROUND(VLOOKUP(EH$4,Preisindex,4,FALSE)/VLOOKUP(YEAR($F134),Preisindex,4,FALSE),2),IF(AND($E134&lt;&gt;0,$F134&gt;0,YEAR($F134)&gt;=Preisindex!$A$6,YEAR(EC$4)&gt;=YEAR($F134),$K134="k"),ROUND(VLOOKUP(EH$4,Preisindex,2,FALSE)/VLOOKUP(YEAR($F134),Preisindex,2,FALSE),2),0)))))</f>
        <v>0</v>
      </c>
      <c r="EI134" s="56">
        <f>IF(AND($E134&lt;&gt;0,$F134&gt;0,YEAR($F134)&lt;Preisindex!$A$6,YEAR(EC$4)&gt;=YEAR($F134),AND($K134&lt;&gt;"a",$K134&lt;&gt;"b",$K134&lt;&gt;"g",$K134&lt;&gt;"k")),1,IF(AND($E134&lt;&gt;0,$F134&gt;0,YEAR($F134)&lt;Preisindex!$A$6,YEAR(EC$4)&gt;=YEAR($F134),$K134="a"),ROUND(VLOOKUP(EH$4,Preisindex,5,FALSE)/VLOOKUP(Preisindex!$A$6,Preisindex,5,FALSE),2),IF(AND($E134&lt;&gt;0,$F134&gt;0,YEAR($F134)&lt;Preisindex!$A$6,YEAR(EC$4)&gt;=YEAR($F134),$K134="b"),ROUND(VLOOKUP(EH$4,Preisindex,3,FALSE)/VLOOKUP(Preisindex!$A$6,Preisindex,3,FALSE),2),IF(AND($E134&lt;&gt;0,$F134&gt;0,YEAR($F134)&lt;Preisindex!$A$6,YEAR(EC$4)&gt;=YEAR($F134),$K134="g"),ROUND(VLOOKUP(EH$4,Preisindex,4,FALSE)/VLOOKUP(Preisindex!$A$6,Preisindex,4,FALSE),2),IF(AND($E134&lt;&gt;0,$F134&gt;0,YEAR($F134)&lt;Preisindex!$A$6,YEAR(EC$4)&gt;=YEAR($F134),$K134="k"),ROUND(VLOOKUP(EH$4,Preisindex,2,FALSE)/VLOOKUP(Preisindex!$A$6,Preisindex,2,FALSE),2),0)))))</f>
        <v>0</v>
      </c>
      <c r="EJ134" s="51">
        <f>IF(AND($E134&lt;&gt;0,$F134&gt;0,YEAR($F134)&lt;=EH$4,YEAR($F134)&gt;=Preisindex!$A$6),ROUND($E134*EH134,2),IF(AND($E134&lt;&gt;0,$F134&gt;0,YEAR($F134)&lt;=EH$4,YEAR($F134)&lt;Preisindex!$A$6),ROUND($E134*EI134,2),0))</f>
        <v>0</v>
      </c>
      <c r="EK134" s="53">
        <f t="shared" si="541"/>
        <v>0</v>
      </c>
      <c r="EL134" s="51">
        <f t="shared" si="525"/>
        <v>0</v>
      </c>
      <c r="EM134" s="51">
        <f t="shared" si="478"/>
        <v>0</v>
      </c>
      <c r="EN134" s="51">
        <f t="shared" si="542"/>
        <v>0</v>
      </c>
      <c r="EO134" s="51">
        <f t="shared" si="479"/>
        <v>0</v>
      </c>
      <c r="EP134" s="51">
        <f t="shared" si="543"/>
        <v>0</v>
      </c>
      <c r="EQ134" s="51">
        <f t="shared" si="480"/>
        <v>0</v>
      </c>
      <c r="ER134" s="51">
        <f t="shared" si="544"/>
        <v>0</v>
      </c>
      <c r="ES134" s="51">
        <f t="shared" si="481"/>
        <v>0</v>
      </c>
      <c r="ET134" s="51">
        <f t="shared" si="545"/>
        <v>0</v>
      </c>
      <c r="EU134" s="51">
        <f t="shared" si="482"/>
        <v>0</v>
      </c>
      <c r="EV134" s="51">
        <f t="shared" si="546"/>
        <v>0</v>
      </c>
      <c r="EW134" s="54">
        <f t="shared" si="547"/>
        <v>0</v>
      </c>
      <c r="EX134" s="55">
        <f t="shared" si="548"/>
        <v>0</v>
      </c>
      <c r="EY134" s="56">
        <f>IF(AND($E134&lt;&gt;0,$F134&gt;0,YEAR($F134)&gt;=Preisindex!$A$6,YEAR(ET$4)&gt;=YEAR($F134),AND($K134&lt;&gt;"a",$K134&lt;&gt;"b",$K134&lt;&gt;"g",$K134&lt;&gt;"k")),1,IF(AND($E134&lt;&gt;0,$F134&gt;0,YEAR($F134)&gt;=Preisindex!$A$6,YEAR(ET$4)&gt;=YEAR($F134),$K134="a"),ROUND(VLOOKUP(EY$4,Preisindex,5,FALSE)/VLOOKUP(YEAR($F134),Preisindex,5,FALSE),2),IF(AND($E134&lt;&gt;0,$F134&gt;0,YEAR($F134)&gt;=Preisindex!$A$6,YEAR(ET$4)&gt;=YEAR($F134),$K134="b"),ROUND(VLOOKUP(EY$4,Preisindex,3,FALSE)/VLOOKUP(YEAR($F134),Preisindex,3,FALSE),2),IF(AND($E134&lt;&gt;0,$F134&gt;0,YEAR($F134)&gt;=Preisindex!$A$6,YEAR(ET$4)&gt;=YEAR($F134),$K134="g"),ROUND(VLOOKUP(EY$4,Preisindex,4,FALSE)/VLOOKUP(YEAR($F134),Preisindex,4,FALSE),2),IF(AND($E134&lt;&gt;0,$F134&gt;0,YEAR($F134)&gt;=Preisindex!$A$6,YEAR(ET$4)&gt;=YEAR($F134),$K134="k"),ROUND(VLOOKUP(EY$4,Preisindex,2,FALSE)/VLOOKUP(YEAR($F134),Preisindex,2,FALSE),2),0)))))</f>
        <v>0</v>
      </c>
      <c r="EZ134" s="56">
        <f>IF(AND($E134&lt;&gt;0,$F134&gt;0,YEAR($F134)&lt;Preisindex!$A$6,YEAR(ET$4)&gt;=YEAR($F134),AND($K134&lt;&gt;"a",$K134&lt;&gt;"b",$K134&lt;&gt;"g",$K134&lt;&gt;"k")),1,IF(AND($E134&lt;&gt;0,$F134&gt;0,YEAR($F134)&lt;Preisindex!$A$6,YEAR(ET$4)&gt;=YEAR($F134),$K134="a"),ROUND(VLOOKUP(EY$4,Preisindex,5,FALSE)/VLOOKUP(Preisindex!$A$6,Preisindex,5,FALSE),2),IF(AND($E134&lt;&gt;0,$F134&gt;0,YEAR($F134)&lt;Preisindex!$A$6,YEAR(ET$4)&gt;=YEAR($F134),$K134="b"),ROUND(VLOOKUP(EY$4,Preisindex,3,FALSE)/VLOOKUP(Preisindex!$A$6,Preisindex,3,FALSE),2),IF(AND($E134&lt;&gt;0,$F134&gt;0,YEAR($F134)&lt;Preisindex!$A$6,YEAR(ET$4)&gt;=YEAR($F134),$K134="g"),ROUND(VLOOKUP(EY$4,Preisindex,4,FALSE)/VLOOKUP(Preisindex!$A$6,Preisindex,4,FALSE),2),IF(AND($E134&lt;&gt;0,$F134&gt;0,YEAR($F134)&lt;Preisindex!$A$6,YEAR(ET$4)&gt;=YEAR($F134),$K134="k"),ROUND(VLOOKUP(EY$4,Preisindex,2,FALSE)/VLOOKUP(Preisindex!$A$6,Preisindex,2,FALSE),2),0)))))</f>
        <v>0</v>
      </c>
      <c r="FA134" s="51">
        <f>IF(AND($E134&lt;&gt;0,$F134&gt;0,YEAR($F134)&lt;=EY$4,YEAR($F134)&gt;=Preisindex!$A$6),ROUND($E134*EY134,2),IF(AND($E134&lt;&gt;0,$F134&gt;0,YEAR($F134)&lt;=EY$4,YEAR($F134)&lt;Preisindex!$A$6),ROUND($E134*EZ134,2),0))</f>
        <v>0</v>
      </c>
      <c r="FB134" s="53">
        <f t="shared" si="549"/>
        <v>0</v>
      </c>
      <c r="FC134" s="51">
        <f t="shared" si="525"/>
        <v>0</v>
      </c>
      <c r="FD134" s="51">
        <f t="shared" si="483"/>
        <v>0</v>
      </c>
      <c r="FE134" s="51">
        <f t="shared" si="550"/>
        <v>0</v>
      </c>
      <c r="FF134" s="51">
        <f t="shared" si="484"/>
        <v>0</v>
      </c>
      <c r="FG134" s="51">
        <f t="shared" si="551"/>
        <v>0</v>
      </c>
      <c r="FH134" s="51">
        <f t="shared" si="485"/>
        <v>0</v>
      </c>
      <c r="FI134" s="51">
        <f t="shared" si="552"/>
        <v>0</v>
      </c>
      <c r="FJ134" s="51">
        <f t="shared" si="486"/>
        <v>0</v>
      </c>
      <c r="FK134" s="51">
        <f t="shared" si="553"/>
        <v>0</v>
      </c>
      <c r="FL134" s="51">
        <f t="shared" si="487"/>
        <v>0</v>
      </c>
      <c r="FM134" s="51">
        <f t="shared" si="554"/>
        <v>0</v>
      </c>
      <c r="FN134" s="54">
        <f t="shared" si="555"/>
        <v>0</v>
      </c>
      <c r="FO134" s="55">
        <f t="shared" si="556"/>
        <v>0</v>
      </c>
      <c r="FP134" s="56">
        <f>IF(AND($E134&lt;&gt;0,$F134&gt;0,YEAR($F134)&gt;=Preisindex!$A$6,YEAR(FK$4)&gt;=YEAR($F134),AND($K134&lt;&gt;"a",$K134&lt;&gt;"b",$K134&lt;&gt;"g",$K134&lt;&gt;"k")),1,IF(AND($E134&lt;&gt;0,$F134&gt;0,YEAR($F134)&gt;=Preisindex!$A$6,YEAR(FK$4)&gt;=YEAR($F134),$K134="a"),ROUND(VLOOKUP(FP$4,Preisindex,5,FALSE)/VLOOKUP(YEAR($F134),Preisindex,5,FALSE),2),IF(AND($E134&lt;&gt;0,$F134&gt;0,YEAR($F134)&gt;=Preisindex!$A$6,YEAR(FK$4)&gt;=YEAR($F134),$K134="b"),ROUND(VLOOKUP(FP$4,Preisindex,3,FALSE)/VLOOKUP(YEAR($F134),Preisindex,3,FALSE),2),IF(AND($E134&lt;&gt;0,$F134&gt;0,YEAR($F134)&gt;=Preisindex!$A$6,YEAR(FK$4)&gt;=YEAR($F134),$K134="g"),ROUND(VLOOKUP(FP$4,Preisindex,4,FALSE)/VLOOKUP(YEAR($F134),Preisindex,4,FALSE),2),IF(AND($E134&lt;&gt;0,$F134&gt;0,YEAR($F134)&gt;=Preisindex!$A$6,YEAR(FK$4)&gt;=YEAR($F134),$K134="k"),ROUND(VLOOKUP(FP$4,Preisindex,2,FALSE)/VLOOKUP(YEAR($F134),Preisindex,2,FALSE),2),0)))))</f>
        <v>0</v>
      </c>
      <c r="FQ134" s="56">
        <f>IF(AND($E134&lt;&gt;0,$F134&gt;0,YEAR($F134)&lt;Preisindex!$A$6,YEAR(FK$4)&gt;=YEAR($F134),AND($K134&lt;&gt;"a",$K134&lt;&gt;"b",$K134&lt;&gt;"g",$K134&lt;&gt;"k")),1,IF(AND($E134&lt;&gt;0,$F134&gt;0,YEAR($F134)&lt;Preisindex!$A$6,YEAR(FK$4)&gt;=YEAR($F134),$K134="a"),ROUND(VLOOKUP(FP$4,Preisindex,5,FALSE)/VLOOKUP(Preisindex!$A$6,Preisindex,5,FALSE),2),IF(AND($E134&lt;&gt;0,$F134&gt;0,YEAR($F134)&lt;Preisindex!$A$6,YEAR(FK$4)&gt;=YEAR($F134),$K134="b"),ROUND(VLOOKUP(FP$4,Preisindex,3,FALSE)/VLOOKUP(Preisindex!$A$6,Preisindex,3,FALSE),2),IF(AND($E134&lt;&gt;0,$F134&gt;0,YEAR($F134)&lt;Preisindex!$A$6,YEAR(FK$4)&gt;=YEAR($F134),$K134="g"),ROUND(VLOOKUP(FP$4,Preisindex,4,FALSE)/VLOOKUP(Preisindex!$A$6,Preisindex,4,FALSE),2),IF(AND($E134&lt;&gt;0,$F134&gt;0,YEAR($F134)&lt;Preisindex!$A$6,YEAR(FK$4)&gt;=YEAR($F134),$K134="k"),ROUND(VLOOKUP(FP$4,Preisindex,2,FALSE)/VLOOKUP(Preisindex!$A$6,Preisindex,2,FALSE),2),0)))))</f>
        <v>0</v>
      </c>
      <c r="FR134" s="51">
        <f>IF(AND($E134&lt;&gt;0,$F134&gt;0,YEAR($F134)&lt;=FP$4,YEAR($F134)&gt;=Preisindex!$A$6),ROUND($E134*FP134,2),IF(AND($E134&lt;&gt;0,$F134&gt;0,YEAR($F134)&lt;=FP$4,YEAR($F134)&lt;Preisindex!$A$6),ROUND($E134*FQ134,2),0))</f>
        <v>0</v>
      </c>
      <c r="FS134" s="53">
        <f t="shared" si="557"/>
        <v>0</v>
      </c>
    </row>
    <row r="135" spans="1:175" x14ac:dyDescent="0.3">
      <c r="A135" s="93"/>
      <c r="B135" s="94"/>
      <c r="C135" s="94"/>
      <c r="D135" s="95"/>
      <c r="E135" s="99"/>
      <c r="F135" s="97"/>
      <c r="G135" s="98"/>
      <c r="H135" s="620"/>
      <c r="I135" s="621"/>
      <c r="J135" s="194"/>
      <c r="K135" s="630"/>
      <c r="L135" s="49">
        <f t="shared" ref="L135:L198" si="558">IF(AND(G135&gt;0,G135&lt;=1,H135=0),1,IF(H135&gt;=1,1,IF(AND(H135&gt;0,H135&lt;1),H135,IF(AND(G135&gt;1,OR(H135=0,H135="")),ROUND(1/G135,4),0))))</f>
        <v>0</v>
      </c>
      <c r="M135" s="50">
        <f t="shared" ref="M135:M198" si="559">IF(AND(E135&gt;0,F135&gt;0,OR(G135&gt;0,H135&gt;0)),ROUND((E135-I135)*L135,2),IF(AND(E135&lt;0,F135&gt;0,OR(G135&gt;0,H135&gt;0)),ROUND(E135*L135,2),0))</f>
        <v>0</v>
      </c>
      <c r="N135" s="51">
        <f t="shared" ref="N135:N198" si="560">IF(AND(E135-P135&gt;=0,F135&gt;0,YEAR(N$4)&gt;=YEAR(F135)),E135-P135,IF(AND(E135-P135&lt;0,F135&gt;0,YEAR(N$4)&gt;=YEAR(F135)),E135-P135,0))</f>
        <v>0</v>
      </c>
      <c r="O135" s="51"/>
      <c r="P135" s="51">
        <f t="shared" ref="P135:P198" si="561">IF(AND(YEAR(F135)&lt;=YEAR(N$4),E135&lt;1000,E135&gt;-1000,F135&gt;0,L135=1),E135-I135,IF(AND(YEAR(F135)&lt;=YEAR(N$4),E135&gt;0,F135&gt;0,L135&gt;0,E135&gt;M135*(YEAR(N$4)-YEAR(F135))+ROUND((M135/12)*(13-MONTH(F135)),2)+I135),M135*(YEAR(N$4)-YEAR(F135))+ROUND((M135/12)*(13-MONTH(F135)),2),IF(AND(YEAR(F135)&lt;=YEAR(N$4),E135&gt;0,F135&gt;0,L135&gt;0,E135&lt;=(M135*(YEAR(N$4)-YEAR(F135)+ROUND((M135/12)*(13-MONTH(F135)),2)))+I135),E135-I135,IF(AND(YEAR(F135)&lt;=YEAR(N$4),E135&lt;0,F135&gt;0,L135&gt;0,E135&lt;M135*(YEAR(N$4)-YEAR(F135))+ROUND((M135/12)*(13-MONTH(F135)),2)+I135),M135*(YEAR(N$4)-YEAR(F135))+ROUND((M135/12)*(13-MONTH(F135)),2),IF(AND(YEAR(F135)&lt;=YEAR(N$4),E135&lt;0,F135&gt;0,L135&gt;0,E135&lt;=(M135*(YEAR(N$4)-YEAR(F135)+ROUND((M135/12)*(13-MONTH(F135)),2)))),E135,0)))))</f>
        <v>0</v>
      </c>
      <c r="Q135" s="52"/>
      <c r="R135" s="52"/>
      <c r="S135" s="52"/>
      <c r="T135" s="52"/>
      <c r="U135" s="52"/>
      <c r="V135" s="53">
        <f t="shared" ref="V135:V198" si="562">IF(AND(F135&gt;0,F135&lt;=N$4),E135,0)</f>
        <v>0</v>
      </c>
      <c r="W135" s="51">
        <f t="shared" ref="W135:W198" si="563">IF(YEAR($F135)=W$4,$E135,0)</f>
        <v>0</v>
      </c>
      <c r="X135" s="51">
        <f t="shared" ref="X135:X198" si="564">IF($J135&lt;&gt;"H",W135,0)</f>
        <v>0</v>
      </c>
      <c r="Y135" s="51">
        <f t="shared" ref="Y135:Y198" si="565">IF(W135&lt;&gt;0,ROUND(W135*YEARFRAC($F135,AE$4,0),2),0)</f>
        <v>0</v>
      </c>
      <c r="Z135" s="51">
        <f t="shared" ref="Z135:Z198" si="566">IF($J135&lt;&gt;"H",Y135,0)</f>
        <v>0</v>
      </c>
      <c r="AA135" s="51">
        <f t="shared" ref="AA135:AA198" si="567">IF(AND($F135&gt;0,$F135&lt;=AE$4),$E135,0)</f>
        <v>0</v>
      </c>
      <c r="AB135" s="51">
        <f t="shared" ref="AB135:AB198" si="568">IF(AC135&lt;&gt;0,ROUND(AC135/$M135*AA135,2),0)</f>
        <v>0</v>
      </c>
      <c r="AC135" s="51">
        <f t="shared" ref="AC135:AC198" si="569">IF(AND(YEAR($F135)=YEAR(AE$4),$E135&lt;1000,$E135&gt;-1000,$F135&gt;0,$L135=1),$E135-$I135,IF(AND(YEAR($F135)=YEAR(AE$4),$F135&gt;0,$L135&gt;0),ROUND(($M135/12)*(13-MONTH($F135)),2),IF(AND(YEAR($F135)&lt;YEAR(AE$4),$E135&gt;0,$F135&gt;0,$L135&gt;0,N135&gt;$M135+$I135),$M135,IF(AND(YEAR($F135)&lt;YEAR(AE$4),$E135&gt;0,$F135&gt;0,$L135&gt;0,N135&gt;0,N135&lt;=$M135+$I135),N135-$I135,IF(AND(YEAR($F135)&lt;YEAR(AE$4),$E135&lt;0,$F135&gt;0,$L135&gt;0,N135&lt;0,N135&lt;=$M135),$M135,IF(AND(YEAR($F135)&lt;YEAR(AE$4),$E135&lt;0,$F135&gt;0,$L135&gt;0,N135&lt;0,N135&gt;$M135),N135,0))))))</f>
        <v>0</v>
      </c>
      <c r="AD135" s="51">
        <f t="shared" ref="AD135:AD198" si="570">IF($J135&lt;&gt;"H",AC135,0)</f>
        <v>0</v>
      </c>
      <c r="AE135" s="51">
        <f t="shared" ref="AE135:AE198" si="571">IF(AND(YEAR(AE$4)=YEAR($F135),$E135&gt;0,$F135&gt;0,$E135-AC135&gt;=0),$E135-AC135,IF(AND(YEAR(AE$4)&gt;YEAR($F135),$E135&gt;0,$F135&gt;0,N135-AC135&gt;=0),N135-AC135,IF(AND(YEAR(AE$4)=YEAR($F135),$E135&lt;0,$F135&gt;0,$E135-AC135&lt;0),$E135-AC135,IF(AND(YEAR(AE$4)&gt;YEAR($F135),$E135&lt;0,$F135&gt;0,N135-AC135&lt;=0),N135-AC135,0))))</f>
        <v>0</v>
      </c>
      <c r="AF135" s="51">
        <f t="shared" ref="AF135:AF198" si="572">IF($J135&lt;&gt;"H",AE135,0)</f>
        <v>0</v>
      </c>
      <c r="AG135" s="51">
        <f t="shared" ref="AG135:AG198" si="573">P135+AC135</f>
        <v>0</v>
      </c>
      <c r="AH135" s="54">
        <f t="shared" ref="AH135:AH198" si="574">IF(AND(W135&lt;&gt;0,$J135="H",$M135=0),Y135,IF(AND(YEAR(AE$4)&gt;YEAR($F135),$J135="H",$F135&gt;0,$M135=0),$E135,0))</f>
        <v>0</v>
      </c>
      <c r="AI135" s="55">
        <f t="shared" ref="AI135:AI198" si="575">IF(AND(YEAR(AE$4)&gt;=YEAR($F135),$E135&gt;0,$F135&gt;0,AC135&gt;0,$J135="H"),ROUND(AC135/$M135*$E135,2),IF(AND(YEAR(AE$4)&gt;=YEAR($F135),$E135&lt;0,$F135&gt;0,AC135&lt;0,$J135="H"),ROUND(AC135/$M135*$E135,2),0))</f>
        <v>0</v>
      </c>
      <c r="AJ135" s="56">
        <f>IF(AND($E135&lt;&gt;0,$F135&gt;0,YEAR($F135)&gt;=Preisindex!$A$6,YEAR(AE$4)&gt;=YEAR($F135),AND($K135&lt;&gt;"a",$K135&lt;&gt;"b",$K135&lt;&gt;"g",$K135&lt;&gt;"k")),1,IF(AND($E135&lt;&gt;0,$F135&gt;0,YEAR($F135)&gt;=Preisindex!$A$6,YEAR(AE$4)&gt;=YEAR($F135),$K135="a"),ROUND(VLOOKUP(AJ$4,Preisindex,5,FALSE)/VLOOKUP(YEAR($F135),Preisindex,5,FALSE),2),IF(AND($E135&lt;&gt;0,$F135&gt;0,YEAR($F135)&gt;=Preisindex!$A$6,YEAR(AE$4)&gt;=YEAR($F135),$K135="b"),ROUND(VLOOKUP(AJ$4,Preisindex,3,FALSE)/VLOOKUP(YEAR($F135),Preisindex,3,FALSE),2),IF(AND($E135&lt;&gt;0,$F135&gt;0,YEAR($F135)&gt;=Preisindex!$A$6,YEAR(AE$4)&gt;=YEAR($F135),$K135="g"),ROUND(VLOOKUP(AJ$4,Preisindex,4,FALSE)/VLOOKUP(YEAR($F135),Preisindex,4,FALSE),2),IF(AND($E135&lt;&gt;0,$F135&gt;0,YEAR($F135)&gt;=Preisindex!$A$6,YEAR(AE$4)&gt;=YEAR($F135),$K135="k"),ROUND(VLOOKUP(AJ$4,Preisindex,2,FALSE)/VLOOKUP(YEAR($F135),Preisindex,2,FALSE),2),0)))))</f>
        <v>0</v>
      </c>
      <c r="AK135" s="56">
        <f>IF(AND($E135&lt;&gt;0,$F135&gt;0,YEAR($F135)&lt;Preisindex!$A$6,YEAR(AE$4)&gt;=YEAR($F135),AND($K135&lt;&gt;"a",$K135&lt;&gt;"b",$K135&lt;&gt;"g",$K135&lt;&gt;"k")),1,IF(AND($E135&lt;&gt;0,$F135&gt;0,YEAR($F135)&lt;Preisindex!$A$6,YEAR(AE$4)&gt;=YEAR($F135),$K135="a"),ROUND(VLOOKUP(AJ$4,Preisindex,5,FALSE)/VLOOKUP(Preisindex!$A$6,Preisindex,5,FALSE),2),IF(AND($E135&lt;&gt;0,$F135&gt;0,YEAR($F135)&lt;Preisindex!$A$6,YEAR(AE$4)&gt;=YEAR($F135),$K135="b"),ROUND(VLOOKUP(AJ$4,Preisindex,3,FALSE)/VLOOKUP(Preisindex!$A$6,Preisindex,3,FALSE),2),IF(AND($E135&lt;&gt;0,$F135&gt;0,YEAR($F135)&lt;Preisindex!$A$6,YEAR(AE$4)&gt;=YEAR($F135),$K135="g"),ROUND(VLOOKUP(AJ$4,Preisindex,4,FALSE)/VLOOKUP(Preisindex!$A$6,Preisindex,4,FALSE),2),IF(AND($E135&lt;&gt;0,$F135&gt;0,YEAR($F135)&lt;Preisindex!$A$6,YEAR(AE$4)&gt;=YEAR($F135),$K135="k"),ROUND(VLOOKUP(AJ$4,Preisindex,2,FALSE)/VLOOKUP(Preisindex!$A$6,Preisindex,2,FALSE),2),0)))))</f>
        <v>0</v>
      </c>
      <c r="AL135" s="51">
        <f>IF(AND($E135&lt;&gt;0,$F135&gt;0,YEAR($F135)&lt;=AJ$4,YEAR($F135)&gt;=Preisindex!$A$6),ROUND($E135*AJ135,2),IF(AND($E135&lt;&gt;0,$F135&gt;0,YEAR($F135)&lt;=AJ$4,YEAR($F135)&lt;Preisindex!$A$6),ROUND($E135*AK135,2),0))</f>
        <v>0</v>
      </c>
      <c r="AM135" s="53">
        <f t="shared" ref="AM135:AM198" si="576">IF(AND(AC135&lt;&gt;0,AC135=$M135),AL135*$L135,IF(AND(AC135&lt;&gt;0,AC135&lt;&gt;$M135),AL135*($L135*(AC135/$M135)),0))</f>
        <v>0</v>
      </c>
      <c r="AN135" s="51">
        <f t="shared" si="492"/>
        <v>0</v>
      </c>
      <c r="AO135" s="51">
        <f t="shared" si="448"/>
        <v>0</v>
      </c>
      <c r="AP135" s="51">
        <f t="shared" si="493"/>
        <v>0</v>
      </c>
      <c r="AQ135" s="51">
        <f t="shared" si="449"/>
        <v>0</v>
      </c>
      <c r="AR135" s="51">
        <f t="shared" si="494"/>
        <v>0</v>
      </c>
      <c r="AS135" s="51">
        <f t="shared" si="450"/>
        <v>0</v>
      </c>
      <c r="AT135" s="51">
        <f t="shared" si="495"/>
        <v>0</v>
      </c>
      <c r="AU135" s="51">
        <f t="shared" si="451"/>
        <v>0</v>
      </c>
      <c r="AV135" s="51">
        <f t="shared" si="496"/>
        <v>0</v>
      </c>
      <c r="AW135" s="51">
        <f t="shared" si="452"/>
        <v>0</v>
      </c>
      <c r="AX135" s="51">
        <f t="shared" si="497"/>
        <v>0</v>
      </c>
      <c r="AY135" s="54">
        <f t="shared" si="498"/>
        <v>0</v>
      </c>
      <c r="AZ135" s="55">
        <f t="shared" si="499"/>
        <v>0</v>
      </c>
      <c r="BA135" s="56">
        <f>IF(AND($E135&lt;&gt;0,$F135&gt;0,YEAR($F135)&gt;=Preisindex!$A$6,YEAR(AV$4)&gt;=YEAR($F135),AND($K135&lt;&gt;"a",$K135&lt;&gt;"b",$K135&lt;&gt;"g",$K135&lt;&gt;"k")),1,IF(AND($E135&lt;&gt;0,$F135&gt;0,YEAR($F135)&gt;=Preisindex!$A$6,YEAR(AV$4)&gt;=YEAR($F135),$K135="a"),ROUND(VLOOKUP(BA$4,Preisindex,5,FALSE)/VLOOKUP(YEAR($F135),Preisindex,5,FALSE),2),IF(AND($E135&lt;&gt;0,$F135&gt;0,YEAR($F135)&gt;=Preisindex!$A$6,YEAR(AV$4)&gt;=YEAR($F135),$K135="b"),ROUND(VLOOKUP(BA$4,Preisindex,3,FALSE)/VLOOKUP(YEAR($F135),Preisindex,3,FALSE),2),IF(AND($E135&lt;&gt;0,$F135&gt;0,YEAR($F135)&gt;=Preisindex!$A$6,YEAR(AV$4)&gt;=YEAR($F135),$K135="g"),ROUND(VLOOKUP(BA$4,Preisindex,4,FALSE)/VLOOKUP(YEAR($F135),Preisindex,4,FALSE),2),IF(AND($E135&lt;&gt;0,$F135&gt;0,YEAR($F135)&gt;=Preisindex!$A$6,YEAR(AV$4)&gt;=YEAR($F135),$K135="k"),ROUND(VLOOKUP(BA$4,Preisindex,2,FALSE)/VLOOKUP(YEAR($F135),Preisindex,2,FALSE),2),0)))))</f>
        <v>0</v>
      </c>
      <c r="BB135" s="56">
        <f>IF(AND($E135&lt;&gt;0,$F135&gt;0,YEAR($F135)&lt;Preisindex!$A$6,YEAR(AV$4)&gt;=YEAR($F135),AND($K135&lt;&gt;"a",$K135&lt;&gt;"b",$K135&lt;&gt;"g",$K135&lt;&gt;"k")),1,IF(AND($E135&lt;&gt;0,$F135&gt;0,YEAR($F135)&lt;Preisindex!$A$6,YEAR(AV$4)&gt;=YEAR($F135),$K135="a"),ROUND(VLOOKUP(BA$4,Preisindex,5,FALSE)/VLOOKUP(Preisindex!$A$6,Preisindex,5,FALSE),2),IF(AND($E135&lt;&gt;0,$F135&gt;0,YEAR($F135)&lt;Preisindex!$A$6,YEAR(AV$4)&gt;=YEAR($F135),$K135="b"),ROUND(VLOOKUP(BA$4,Preisindex,3,FALSE)/VLOOKUP(Preisindex!$A$6,Preisindex,3,FALSE),2),IF(AND($E135&lt;&gt;0,$F135&gt;0,YEAR($F135)&lt;Preisindex!$A$6,YEAR(AV$4)&gt;=YEAR($F135),$K135="g"),ROUND(VLOOKUP(BA$4,Preisindex,4,FALSE)/VLOOKUP(Preisindex!$A$6,Preisindex,4,FALSE),2),IF(AND($E135&lt;&gt;0,$F135&gt;0,YEAR($F135)&lt;Preisindex!$A$6,YEAR(AV$4)&gt;=YEAR($F135),$K135="k"),ROUND(VLOOKUP(BA$4,Preisindex,2,FALSE)/VLOOKUP(Preisindex!$A$6,Preisindex,2,FALSE),2),0)))))</f>
        <v>0</v>
      </c>
      <c r="BC135" s="51">
        <f>IF(AND($E135&lt;&gt;0,$F135&gt;0,YEAR($F135)&lt;=BA$4,YEAR($F135)&gt;=Preisindex!$A$6),ROUND($E135*BA135,2),IF(AND($E135&lt;&gt;0,$F135&gt;0,YEAR($F135)&lt;=BA$4,YEAR($F135)&lt;Preisindex!$A$6),ROUND($E135*BB135,2),0))</f>
        <v>0</v>
      </c>
      <c r="BD135" s="53">
        <f t="shared" si="500"/>
        <v>0</v>
      </c>
      <c r="BE135" s="51">
        <f t="shared" si="492"/>
        <v>0</v>
      </c>
      <c r="BF135" s="51">
        <f t="shared" si="453"/>
        <v>0</v>
      </c>
      <c r="BG135" s="51">
        <f t="shared" si="501"/>
        <v>0</v>
      </c>
      <c r="BH135" s="51">
        <f t="shared" si="454"/>
        <v>0</v>
      </c>
      <c r="BI135" s="51">
        <f t="shared" si="502"/>
        <v>0</v>
      </c>
      <c r="BJ135" s="51">
        <f t="shared" si="455"/>
        <v>0</v>
      </c>
      <c r="BK135" s="51">
        <f t="shared" si="503"/>
        <v>0</v>
      </c>
      <c r="BL135" s="51">
        <f t="shared" si="456"/>
        <v>0</v>
      </c>
      <c r="BM135" s="51">
        <f t="shared" si="504"/>
        <v>0</v>
      </c>
      <c r="BN135" s="51">
        <f t="shared" si="457"/>
        <v>0</v>
      </c>
      <c r="BO135" s="51">
        <f t="shared" si="505"/>
        <v>0</v>
      </c>
      <c r="BP135" s="54">
        <f t="shared" si="506"/>
        <v>0</v>
      </c>
      <c r="BQ135" s="55">
        <f t="shared" si="507"/>
        <v>0</v>
      </c>
      <c r="BR135" s="56">
        <f>IF(AND($E135&lt;&gt;0,$F135&gt;0,YEAR($F135)&gt;=Preisindex!$A$6,YEAR(BM$4)&gt;=YEAR($F135),AND($K135&lt;&gt;"a",$K135&lt;&gt;"b",$K135&lt;&gt;"g",$K135&lt;&gt;"k")),1,IF(AND($E135&lt;&gt;0,$F135&gt;0,YEAR($F135)&gt;=Preisindex!$A$6,YEAR(BM$4)&gt;=YEAR($F135),$K135="a"),ROUND(VLOOKUP(BR$4,Preisindex,5,FALSE)/VLOOKUP(YEAR($F135),Preisindex,5,FALSE),2),IF(AND($E135&lt;&gt;0,$F135&gt;0,YEAR($F135)&gt;=Preisindex!$A$6,YEAR(BM$4)&gt;=YEAR($F135),$K135="b"),ROUND(VLOOKUP(BR$4,Preisindex,3,FALSE)/VLOOKUP(YEAR($F135),Preisindex,3,FALSE),2),IF(AND($E135&lt;&gt;0,$F135&gt;0,YEAR($F135)&gt;=Preisindex!$A$6,YEAR(BM$4)&gt;=YEAR($F135),$K135="g"),ROUND(VLOOKUP(BR$4,Preisindex,4,FALSE)/VLOOKUP(YEAR($F135),Preisindex,4,FALSE),2),IF(AND($E135&lt;&gt;0,$F135&gt;0,YEAR($F135)&gt;=Preisindex!$A$6,YEAR(BM$4)&gt;=YEAR($F135),$K135="k"),ROUND(VLOOKUP(BR$4,Preisindex,2,FALSE)/VLOOKUP(YEAR($F135),Preisindex,2,FALSE),2),0)))))</f>
        <v>0</v>
      </c>
      <c r="BS135" s="56">
        <f>IF(AND($E135&lt;&gt;0,$F135&gt;0,YEAR($F135)&lt;Preisindex!$A$6,YEAR(BM$4)&gt;=YEAR($F135),AND($K135&lt;&gt;"a",$K135&lt;&gt;"b",$K135&lt;&gt;"g",$K135&lt;&gt;"k")),1,IF(AND($E135&lt;&gt;0,$F135&gt;0,YEAR($F135)&lt;Preisindex!$A$6,YEAR(BM$4)&gt;=YEAR($F135),$K135="a"),ROUND(VLOOKUP(BR$4,Preisindex,5,FALSE)/VLOOKUP(Preisindex!$A$6,Preisindex,5,FALSE),2),IF(AND($E135&lt;&gt;0,$F135&gt;0,YEAR($F135)&lt;Preisindex!$A$6,YEAR(BM$4)&gt;=YEAR($F135),$K135="b"),ROUND(VLOOKUP(BR$4,Preisindex,3,FALSE)/VLOOKUP(Preisindex!$A$6,Preisindex,3,FALSE),2),IF(AND($E135&lt;&gt;0,$F135&gt;0,YEAR($F135)&lt;Preisindex!$A$6,YEAR(BM$4)&gt;=YEAR($F135),$K135="g"),ROUND(VLOOKUP(BR$4,Preisindex,4,FALSE)/VLOOKUP(Preisindex!$A$6,Preisindex,4,FALSE),2),IF(AND($E135&lt;&gt;0,$F135&gt;0,YEAR($F135)&lt;Preisindex!$A$6,YEAR(BM$4)&gt;=YEAR($F135),$K135="k"),ROUND(VLOOKUP(BR$4,Preisindex,2,FALSE)/VLOOKUP(Preisindex!$A$6,Preisindex,2,FALSE),2),0)))))</f>
        <v>0</v>
      </c>
      <c r="BT135" s="51">
        <f>IF(AND($E135&lt;&gt;0,$F135&gt;0,YEAR($F135)&lt;=BR$4,YEAR($F135)&gt;=Preisindex!$A$6),ROUND($E135*BR135,2),IF(AND($E135&lt;&gt;0,$F135&gt;0,YEAR($F135)&lt;=BR$4,YEAR($F135)&lt;Preisindex!$A$6),ROUND($E135*BS135,2),0))</f>
        <v>0</v>
      </c>
      <c r="BU135" s="53">
        <f t="shared" si="508"/>
        <v>0</v>
      </c>
      <c r="BV135" s="51">
        <f t="shared" si="492"/>
        <v>0</v>
      </c>
      <c r="BW135" s="51">
        <f t="shared" si="458"/>
        <v>0</v>
      </c>
      <c r="BX135" s="51">
        <f t="shared" si="509"/>
        <v>0</v>
      </c>
      <c r="BY135" s="51">
        <f t="shared" si="459"/>
        <v>0</v>
      </c>
      <c r="BZ135" s="51">
        <f t="shared" si="510"/>
        <v>0</v>
      </c>
      <c r="CA135" s="51">
        <f t="shared" si="460"/>
        <v>0</v>
      </c>
      <c r="CB135" s="51">
        <f t="shared" si="511"/>
        <v>0</v>
      </c>
      <c r="CC135" s="51">
        <f t="shared" si="461"/>
        <v>0</v>
      </c>
      <c r="CD135" s="51">
        <f t="shared" si="512"/>
        <v>0</v>
      </c>
      <c r="CE135" s="51">
        <f t="shared" si="462"/>
        <v>0</v>
      </c>
      <c r="CF135" s="51">
        <f t="shared" si="513"/>
        <v>0</v>
      </c>
      <c r="CG135" s="54">
        <f t="shared" si="514"/>
        <v>0</v>
      </c>
      <c r="CH135" s="55">
        <f t="shared" si="515"/>
        <v>0</v>
      </c>
      <c r="CI135" s="56">
        <f>IF(AND($E135&lt;&gt;0,$F135&gt;0,YEAR($F135)&gt;=Preisindex!$A$6,YEAR(CD$4)&gt;=YEAR($F135),AND($K135&lt;&gt;"a",$K135&lt;&gt;"b",$K135&lt;&gt;"g",$K135&lt;&gt;"k")),1,IF(AND($E135&lt;&gt;0,$F135&gt;0,YEAR($F135)&gt;=Preisindex!$A$6,YEAR(CD$4)&gt;=YEAR($F135),$K135="a"),ROUND(VLOOKUP(CI$4,Preisindex,5,FALSE)/VLOOKUP(YEAR($F135),Preisindex,5,FALSE),2),IF(AND($E135&lt;&gt;0,$F135&gt;0,YEAR($F135)&gt;=Preisindex!$A$6,YEAR(CD$4)&gt;=YEAR($F135),$K135="b"),ROUND(VLOOKUP(CI$4,Preisindex,3,FALSE)/VLOOKUP(YEAR($F135),Preisindex,3,FALSE),2),IF(AND($E135&lt;&gt;0,$F135&gt;0,YEAR($F135)&gt;=Preisindex!$A$6,YEAR(CD$4)&gt;=YEAR($F135),$K135="g"),ROUND(VLOOKUP(CI$4,Preisindex,4,FALSE)/VLOOKUP(YEAR($F135),Preisindex,4,FALSE),2),IF(AND($E135&lt;&gt;0,$F135&gt;0,YEAR($F135)&gt;=Preisindex!$A$6,YEAR(CD$4)&gt;=YEAR($F135),$K135="k"),ROUND(VLOOKUP(CI$4,Preisindex,2,FALSE)/VLOOKUP(YEAR($F135),Preisindex,2,FALSE),2),0)))))</f>
        <v>0</v>
      </c>
      <c r="CJ135" s="56">
        <f>IF(AND($E135&lt;&gt;0,$F135&gt;0,YEAR($F135)&lt;Preisindex!$A$6,YEAR(CD$4)&gt;=YEAR($F135),AND($K135&lt;&gt;"a",$K135&lt;&gt;"b",$K135&lt;&gt;"g",$K135&lt;&gt;"k")),1,IF(AND($E135&lt;&gt;0,$F135&gt;0,YEAR($F135)&lt;Preisindex!$A$6,YEAR(CD$4)&gt;=YEAR($F135),$K135="a"),ROUND(VLOOKUP(CI$4,Preisindex,5,FALSE)/VLOOKUP(Preisindex!$A$6,Preisindex,5,FALSE),2),IF(AND($E135&lt;&gt;0,$F135&gt;0,YEAR($F135)&lt;Preisindex!$A$6,YEAR(CD$4)&gt;=YEAR($F135),$K135="b"),ROUND(VLOOKUP(CI$4,Preisindex,3,FALSE)/VLOOKUP(Preisindex!$A$6,Preisindex,3,FALSE),2),IF(AND($E135&lt;&gt;0,$F135&gt;0,YEAR($F135)&lt;Preisindex!$A$6,YEAR(CD$4)&gt;=YEAR($F135),$K135="g"),ROUND(VLOOKUP(CI$4,Preisindex,4,FALSE)/VLOOKUP(Preisindex!$A$6,Preisindex,4,FALSE),2),IF(AND($E135&lt;&gt;0,$F135&gt;0,YEAR($F135)&lt;Preisindex!$A$6,YEAR(CD$4)&gt;=YEAR($F135),$K135="k"),ROUND(VLOOKUP(CI$4,Preisindex,2,FALSE)/VLOOKUP(Preisindex!$A$6,Preisindex,2,FALSE),2),0)))))</f>
        <v>0</v>
      </c>
      <c r="CK135" s="51">
        <f>IF(AND($E135&lt;&gt;0,$F135&gt;0,YEAR($F135)&lt;=CI$4,YEAR($F135)&gt;=Preisindex!$A$6),ROUND($E135*CI135,2),IF(AND($E135&lt;&gt;0,$F135&gt;0,YEAR($F135)&lt;=CI$4,YEAR($F135)&lt;Preisindex!$A$6),ROUND($E135*CJ135,2),0))</f>
        <v>0</v>
      </c>
      <c r="CL135" s="53">
        <f t="shared" si="516"/>
        <v>0</v>
      </c>
      <c r="CM135" s="51">
        <f t="shared" si="492"/>
        <v>0</v>
      </c>
      <c r="CN135" s="51">
        <f t="shared" si="463"/>
        <v>0</v>
      </c>
      <c r="CO135" s="51">
        <f t="shared" si="517"/>
        <v>0</v>
      </c>
      <c r="CP135" s="51">
        <f t="shared" si="464"/>
        <v>0</v>
      </c>
      <c r="CQ135" s="51">
        <f t="shared" si="518"/>
        <v>0</v>
      </c>
      <c r="CR135" s="51">
        <f t="shared" si="465"/>
        <v>0</v>
      </c>
      <c r="CS135" s="51">
        <f t="shared" si="519"/>
        <v>0</v>
      </c>
      <c r="CT135" s="51">
        <f t="shared" si="466"/>
        <v>0</v>
      </c>
      <c r="CU135" s="51">
        <f t="shared" si="520"/>
        <v>0</v>
      </c>
      <c r="CV135" s="51">
        <f t="shared" si="467"/>
        <v>0</v>
      </c>
      <c r="CW135" s="51">
        <f t="shared" si="521"/>
        <v>0</v>
      </c>
      <c r="CX135" s="54">
        <f t="shared" si="522"/>
        <v>0</v>
      </c>
      <c r="CY135" s="55">
        <f t="shared" si="523"/>
        <v>0</v>
      </c>
      <c r="CZ135" s="56">
        <f>IF(AND($E135&lt;&gt;0,$F135&gt;0,YEAR($F135)&gt;=Preisindex!$A$6,YEAR(CU$4)&gt;=YEAR($F135),AND($K135&lt;&gt;"a",$K135&lt;&gt;"b",$K135&lt;&gt;"g",$K135&lt;&gt;"k")),1,IF(AND($E135&lt;&gt;0,$F135&gt;0,YEAR($F135)&gt;=Preisindex!$A$6,YEAR(CU$4)&gt;=YEAR($F135),$K135="a"),ROUND(VLOOKUP(CZ$4,Preisindex,5,FALSE)/VLOOKUP(YEAR($F135),Preisindex,5,FALSE),2),IF(AND($E135&lt;&gt;0,$F135&gt;0,YEAR($F135)&gt;=Preisindex!$A$6,YEAR(CU$4)&gt;=YEAR($F135),$K135="b"),ROUND(VLOOKUP(CZ$4,Preisindex,3,FALSE)/VLOOKUP(YEAR($F135),Preisindex,3,FALSE),2),IF(AND($E135&lt;&gt;0,$F135&gt;0,YEAR($F135)&gt;=Preisindex!$A$6,YEAR(CU$4)&gt;=YEAR($F135),$K135="g"),ROUND(VLOOKUP(CZ$4,Preisindex,4,FALSE)/VLOOKUP(YEAR($F135),Preisindex,4,FALSE),2),IF(AND($E135&lt;&gt;0,$F135&gt;0,YEAR($F135)&gt;=Preisindex!$A$6,YEAR(CU$4)&gt;=YEAR($F135),$K135="k"),ROUND(VLOOKUP(CZ$4,Preisindex,2,FALSE)/VLOOKUP(YEAR($F135),Preisindex,2,FALSE),2),0)))))</f>
        <v>0</v>
      </c>
      <c r="DA135" s="56">
        <f>IF(AND($E135&lt;&gt;0,$F135&gt;0,YEAR($F135)&lt;Preisindex!$A$6,YEAR(CU$4)&gt;=YEAR($F135),AND($K135&lt;&gt;"a",$K135&lt;&gt;"b",$K135&lt;&gt;"g",$K135&lt;&gt;"k")),1,IF(AND($E135&lt;&gt;0,$F135&gt;0,YEAR($F135)&lt;Preisindex!$A$6,YEAR(CU$4)&gt;=YEAR($F135),$K135="a"),ROUND(VLOOKUP(CZ$4,Preisindex,5,FALSE)/VLOOKUP(Preisindex!$A$6,Preisindex,5,FALSE),2),IF(AND($E135&lt;&gt;0,$F135&gt;0,YEAR($F135)&lt;Preisindex!$A$6,YEAR(CU$4)&gt;=YEAR($F135),$K135="b"),ROUND(VLOOKUP(CZ$4,Preisindex,3,FALSE)/VLOOKUP(Preisindex!$A$6,Preisindex,3,FALSE),2),IF(AND($E135&lt;&gt;0,$F135&gt;0,YEAR($F135)&lt;Preisindex!$A$6,YEAR(CU$4)&gt;=YEAR($F135),$K135="g"),ROUND(VLOOKUP(CZ$4,Preisindex,4,FALSE)/VLOOKUP(Preisindex!$A$6,Preisindex,4,FALSE),2),IF(AND($E135&lt;&gt;0,$F135&gt;0,YEAR($F135)&lt;Preisindex!$A$6,YEAR(CU$4)&gt;=YEAR($F135),$K135="k"),ROUND(VLOOKUP(CZ$4,Preisindex,2,FALSE)/VLOOKUP(Preisindex!$A$6,Preisindex,2,FALSE),2),0)))))</f>
        <v>0</v>
      </c>
      <c r="DB135" s="51">
        <f>IF(AND($E135&lt;&gt;0,$F135&gt;0,YEAR($F135)&lt;=CZ$4,YEAR($F135)&gt;=Preisindex!$A$6),ROUND($E135*CZ135,2),IF(AND($E135&lt;&gt;0,$F135&gt;0,YEAR($F135)&lt;=CZ$4,YEAR($F135)&lt;Preisindex!$A$6),ROUND($E135*DA135,2),0))</f>
        <v>0</v>
      </c>
      <c r="DC135" s="53">
        <f t="shared" si="524"/>
        <v>0</v>
      </c>
      <c r="DD135" s="51">
        <f t="shared" si="525"/>
        <v>0</v>
      </c>
      <c r="DE135" s="51">
        <f t="shared" si="468"/>
        <v>0</v>
      </c>
      <c r="DF135" s="51">
        <f t="shared" si="526"/>
        <v>0</v>
      </c>
      <c r="DG135" s="51">
        <f t="shared" si="469"/>
        <v>0</v>
      </c>
      <c r="DH135" s="51">
        <f t="shared" si="527"/>
        <v>0</v>
      </c>
      <c r="DI135" s="51">
        <f t="shared" si="470"/>
        <v>0</v>
      </c>
      <c r="DJ135" s="51">
        <f t="shared" si="528"/>
        <v>0</v>
      </c>
      <c r="DK135" s="51">
        <f t="shared" si="471"/>
        <v>0</v>
      </c>
      <c r="DL135" s="51">
        <f t="shared" si="529"/>
        <v>0</v>
      </c>
      <c r="DM135" s="51">
        <f t="shared" si="472"/>
        <v>0</v>
      </c>
      <c r="DN135" s="51">
        <f t="shared" si="530"/>
        <v>0</v>
      </c>
      <c r="DO135" s="54">
        <f t="shared" si="531"/>
        <v>0</v>
      </c>
      <c r="DP135" s="55">
        <f t="shared" si="532"/>
        <v>0</v>
      </c>
      <c r="DQ135" s="56">
        <f>IF(AND($E135&lt;&gt;0,$F135&gt;0,YEAR($F135)&gt;=Preisindex!$A$6,YEAR(DL$4)&gt;=YEAR($F135),AND($K135&lt;&gt;"a",$K135&lt;&gt;"b",$K135&lt;&gt;"g",$K135&lt;&gt;"k")),1,IF(AND($E135&lt;&gt;0,$F135&gt;0,YEAR($F135)&gt;=Preisindex!$A$6,YEAR(DL$4)&gt;=YEAR($F135),$K135="a"),ROUND(VLOOKUP(DQ$4,Preisindex,5,FALSE)/VLOOKUP(YEAR($F135),Preisindex,5,FALSE),2),IF(AND($E135&lt;&gt;0,$F135&gt;0,YEAR($F135)&gt;=Preisindex!$A$6,YEAR(DL$4)&gt;=YEAR($F135),$K135="b"),ROUND(VLOOKUP(DQ$4,Preisindex,3,FALSE)/VLOOKUP(YEAR($F135),Preisindex,3,FALSE),2),IF(AND($E135&lt;&gt;0,$F135&gt;0,YEAR($F135)&gt;=Preisindex!$A$6,YEAR(DL$4)&gt;=YEAR($F135),$K135="g"),ROUND(VLOOKUP(DQ$4,Preisindex,4,FALSE)/VLOOKUP(YEAR($F135),Preisindex,4,FALSE),2),IF(AND($E135&lt;&gt;0,$F135&gt;0,YEAR($F135)&gt;=Preisindex!$A$6,YEAR(DL$4)&gt;=YEAR($F135),$K135="k"),ROUND(VLOOKUP(DQ$4,Preisindex,2,FALSE)/VLOOKUP(YEAR($F135),Preisindex,2,FALSE),2),0)))))</f>
        <v>0</v>
      </c>
      <c r="DR135" s="56">
        <f>IF(AND($E135&lt;&gt;0,$F135&gt;0,YEAR($F135)&lt;Preisindex!$A$6,YEAR(DL$4)&gt;=YEAR($F135),AND($K135&lt;&gt;"a",$K135&lt;&gt;"b",$K135&lt;&gt;"g",$K135&lt;&gt;"k")),1,IF(AND($E135&lt;&gt;0,$F135&gt;0,YEAR($F135)&lt;Preisindex!$A$6,YEAR(DL$4)&gt;=YEAR($F135),$K135="a"),ROUND(VLOOKUP(DQ$4,Preisindex,5,FALSE)/VLOOKUP(Preisindex!$A$6,Preisindex,5,FALSE),2),IF(AND($E135&lt;&gt;0,$F135&gt;0,YEAR($F135)&lt;Preisindex!$A$6,YEAR(DL$4)&gt;=YEAR($F135),$K135="b"),ROUND(VLOOKUP(DQ$4,Preisindex,3,FALSE)/VLOOKUP(Preisindex!$A$6,Preisindex,3,FALSE),2),IF(AND($E135&lt;&gt;0,$F135&gt;0,YEAR($F135)&lt;Preisindex!$A$6,YEAR(DL$4)&gt;=YEAR($F135),$K135="g"),ROUND(VLOOKUP(DQ$4,Preisindex,4,FALSE)/VLOOKUP(Preisindex!$A$6,Preisindex,4,FALSE),2),IF(AND($E135&lt;&gt;0,$F135&gt;0,YEAR($F135)&lt;Preisindex!$A$6,YEAR(DL$4)&gt;=YEAR($F135),$K135="k"),ROUND(VLOOKUP(DQ$4,Preisindex,2,FALSE)/VLOOKUP(Preisindex!$A$6,Preisindex,2,FALSE),2),0)))))</f>
        <v>0</v>
      </c>
      <c r="DS135" s="51">
        <f>IF(AND($E135&lt;&gt;0,$F135&gt;0,YEAR($F135)&lt;=DQ$4,YEAR($F135)&gt;=Preisindex!$A$6),ROUND($E135*DQ135,2),IF(AND($E135&lt;&gt;0,$F135&gt;0,YEAR($F135)&lt;=DQ$4,YEAR($F135)&lt;Preisindex!$A$6),ROUND($E135*DR135,2),0))</f>
        <v>0</v>
      </c>
      <c r="DT135" s="53">
        <f t="shared" si="533"/>
        <v>0</v>
      </c>
      <c r="DU135" s="51">
        <f t="shared" si="525"/>
        <v>0</v>
      </c>
      <c r="DV135" s="51">
        <f t="shared" si="473"/>
        <v>0</v>
      </c>
      <c r="DW135" s="51">
        <f t="shared" si="534"/>
        <v>0</v>
      </c>
      <c r="DX135" s="51">
        <f t="shared" si="474"/>
        <v>0</v>
      </c>
      <c r="DY135" s="51">
        <f t="shared" si="535"/>
        <v>0</v>
      </c>
      <c r="DZ135" s="51">
        <f t="shared" si="475"/>
        <v>0</v>
      </c>
      <c r="EA135" s="51">
        <f t="shared" si="536"/>
        <v>0</v>
      </c>
      <c r="EB135" s="51">
        <f t="shared" si="476"/>
        <v>0</v>
      </c>
      <c r="EC135" s="51">
        <f t="shared" si="537"/>
        <v>0</v>
      </c>
      <c r="ED135" s="51">
        <f t="shared" si="477"/>
        <v>0</v>
      </c>
      <c r="EE135" s="51">
        <f t="shared" si="538"/>
        <v>0</v>
      </c>
      <c r="EF135" s="54">
        <f t="shared" si="539"/>
        <v>0</v>
      </c>
      <c r="EG135" s="55">
        <f t="shared" si="540"/>
        <v>0</v>
      </c>
      <c r="EH135" s="56">
        <f>IF(AND($E135&lt;&gt;0,$F135&gt;0,YEAR($F135)&gt;=Preisindex!$A$6,YEAR(EC$4)&gt;=YEAR($F135),AND($K135&lt;&gt;"a",$K135&lt;&gt;"b",$K135&lt;&gt;"g",$K135&lt;&gt;"k")),1,IF(AND($E135&lt;&gt;0,$F135&gt;0,YEAR($F135)&gt;=Preisindex!$A$6,YEAR(EC$4)&gt;=YEAR($F135),$K135="a"),ROUND(VLOOKUP(EH$4,Preisindex,5,FALSE)/VLOOKUP(YEAR($F135),Preisindex,5,FALSE),2),IF(AND($E135&lt;&gt;0,$F135&gt;0,YEAR($F135)&gt;=Preisindex!$A$6,YEAR(EC$4)&gt;=YEAR($F135),$K135="b"),ROUND(VLOOKUP(EH$4,Preisindex,3,FALSE)/VLOOKUP(YEAR($F135),Preisindex,3,FALSE),2),IF(AND($E135&lt;&gt;0,$F135&gt;0,YEAR($F135)&gt;=Preisindex!$A$6,YEAR(EC$4)&gt;=YEAR($F135),$K135="g"),ROUND(VLOOKUP(EH$4,Preisindex,4,FALSE)/VLOOKUP(YEAR($F135),Preisindex,4,FALSE),2),IF(AND($E135&lt;&gt;0,$F135&gt;0,YEAR($F135)&gt;=Preisindex!$A$6,YEAR(EC$4)&gt;=YEAR($F135),$K135="k"),ROUND(VLOOKUP(EH$4,Preisindex,2,FALSE)/VLOOKUP(YEAR($F135),Preisindex,2,FALSE),2),0)))))</f>
        <v>0</v>
      </c>
      <c r="EI135" s="56">
        <f>IF(AND($E135&lt;&gt;0,$F135&gt;0,YEAR($F135)&lt;Preisindex!$A$6,YEAR(EC$4)&gt;=YEAR($F135),AND($K135&lt;&gt;"a",$K135&lt;&gt;"b",$K135&lt;&gt;"g",$K135&lt;&gt;"k")),1,IF(AND($E135&lt;&gt;0,$F135&gt;0,YEAR($F135)&lt;Preisindex!$A$6,YEAR(EC$4)&gt;=YEAR($F135),$K135="a"),ROUND(VLOOKUP(EH$4,Preisindex,5,FALSE)/VLOOKUP(Preisindex!$A$6,Preisindex,5,FALSE),2),IF(AND($E135&lt;&gt;0,$F135&gt;0,YEAR($F135)&lt;Preisindex!$A$6,YEAR(EC$4)&gt;=YEAR($F135),$K135="b"),ROUND(VLOOKUP(EH$4,Preisindex,3,FALSE)/VLOOKUP(Preisindex!$A$6,Preisindex,3,FALSE),2),IF(AND($E135&lt;&gt;0,$F135&gt;0,YEAR($F135)&lt;Preisindex!$A$6,YEAR(EC$4)&gt;=YEAR($F135),$K135="g"),ROUND(VLOOKUP(EH$4,Preisindex,4,FALSE)/VLOOKUP(Preisindex!$A$6,Preisindex,4,FALSE),2),IF(AND($E135&lt;&gt;0,$F135&gt;0,YEAR($F135)&lt;Preisindex!$A$6,YEAR(EC$4)&gt;=YEAR($F135),$K135="k"),ROUND(VLOOKUP(EH$4,Preisindex,2,FALSE)/VLOOKUP(Preisindex!$A$6,Preisindex,2,FALSE),2),0)))))</f>
        <v>0</v>
      </c>
      <c r="EJ135" s="51">
        <f>IF(AND($E135&lt;&gt;0,$F135&gt;0,YEAR($F135)&lt;=EH$4,YEAR($F135)&gt;=Preisindex!$A$6),ROUND($E135*EH135,2),IF(AND($E135&lt;&gt;0,$F135&gt;0,YEAR($F135)&lt;=EH$4,YEAR($F135)&lt;Preisindex!$A$6),ROUND($E135*EI135,2),0))</f>
        <v>0</v>
      </c>
      <c r="EK135" s="53">
        <f t="shared" si="541"/>
        <v>0</v>
      </c>
      <c r="EL135" s="51">
        <f t="shared" si="525"/>
        <v>0</v>
      </c>
      <c r="EM135" s="51">
        <f t="shared" si="478"/>
        <v>0</v>
      </c>
      <c r="EN135" s="51">
        <f t="shared" si="542"/>
        <v>0</v>
      </c>
      <c r="EO135" s="51">
        <f t="shared" si="479"/>
        <v>0</v>
      </c>
      <c r="EP135" s="51">
        <f t="shared" si="543"/>
        <v>0</v>
      </c>
      <c r="EQ135" s="51">
        <f t="shared" si="480"/>
        <v>0</v>
      </c>
      <c r="ER135" s="51">
        <f t="shared" si="544"/>
        <v>0</v>
      </c>
      <c r="ES135" s="51">
        <f t="shared" si="481"/>
        <v>0</v>
      </c>
      <c r="ET135" s="51">
        <f t="shared" si="545"/>
        <v>0</v>
      </c>
      <c r="EU135" s="51">
        <f t="shared" si="482"/>
        <v>0</v>
      </c>
      <c r="EV135" s="51">
        <f t="shared" si="546"/>
        <v>0</v>
      </c>
      <c r="EW135" s="54">
        <f t="shared" si="547"/>
        <v>0</v>
      </c>
      <c r="EX135" s="55">
        <f t="shared" si="548"/>
        <v>0</v>
      </c>
      <c r="EY135" s="56">
        <f>IF(AND($E135&lt;&gt;0,$F135&gt;0,YEAR($F135)&gt;=Preisindex!$A$6,YEAR(ET$4)&gt;=YEAR($F135),AND($K135&lt;&gt;"a",$K135&lt;&gt;"b",$K135&lt;&gt;"g",$K135&lt;&gt;"k")),1,IF(AND($E135&lt;&gt;0,$F135&gt;0,YEAR($F135)&gt;=Preisindex!$A$6,YEAR(ET$4)&gt;=YEAR($F135),$K135="a"),ROUND(VLOOKUP(EY$4,Preisindex,5,FALSE)/VLOOKUP(YEAR($F135),Preisindex,5,FALSE),2),IF(AND($E135&lt;&gt;0,$F135&gt;0,YEAR($F135)&gt;=Preisindex!$A$6,YEAR(ET$4)&gt;=YEAR($F135),$K135="b"),ROUND(VLOOKUP(EY$4,Preisindex,3,FALSE)/VLOOKUP(YEAR($F135),Preisindex,3,FALSE),2),IF(AND($E135&lt;&gt;0,$F135&gt;0,YEAR($F135)&gt;=Preisindex!$A$6,YEAR(ET$4)&gt;=YEAR($F135),$K135="g"),ROUND(VLOOKUP(EY$4,Preisindex,4,FALSE)/VLOOKUP(YEAR($F135),Preisindex,4,FALSE),2),IF(AND($E135&lt;&gt;0,$F135&gt;0,YEAR($F135)&gt;=Preisindex!$A$6,YEAR(ET$4)&gt;=YEAR($F135),$K135="k"),ROUND(VLOOKUP(EY$4,Preisindex,2,FALSE)/VLOOKUP(YEAR($F135),Preisindex,2,FALSE),2),0)))))</f>
        <v>0</v>
      </c>
      <c r="EZ135" s="56">
        <f>IF(AND($E135&lt;&gt;0,$F135&gt;0,YEAR($F135)&lt;Preisindex!$A$6,YEAR(ET$4)&gt;=YEAR($F135),AND($K135&lt;&gt;"a",$K135&lt;&gt;"b",$K135&lt;&gt;"g",$K135&lt;&gt;"k")),1,IF(AND($E135&lt;&gt;0,$F135&gt;0,YEAR($F135)&lt;Preisindex!$A$6,YEAR(ET$4)&gt;=YEAR($F135),$K135="a"),ROUND(VLOOKUP(EY$4,Preisindex,5,FALSE)/VLOOKUP(Preisindex!$A$6,Preisindex,5,FALSE),2),IF(AND($E135&lt;&gt;0,$F135&gt;0,YEAR($F135)&lt;Preisindex!$A$6,YEAR(ET$4)&gt;=YEAR($F135),$K135="b"),ROUND(VLOOKUP(EY$4,Preisindex,3,FALSE)/VLOOKUP(Preisindex!$A$6,Preisindex,3,FALSE),2),IF(AND($E135&lt;&gt;0,$F135&gt;0,YEAR($F135)&lt;Preisindex!$A$6,YEAR(ET$4)&gt;=YEAR($F135),$K135="g"),ROUND(VLOOKUP(EY$4,Preisindex,4,FALSE)/VLOOKUP(Preisindex!$A$6,Preisindex,4,FALSE),2),IF(AND($E135&lt;&gt;0,$F135&gt;0,YEAR($F135)&lt;Preisindex!$A$6,YEAR(ET$4)&gt;=YEAR($F135),$K135="k"),ROUND(VLOOKUP(EY$4,Preisindex,2,FALSE)/VLOOKUP(Preisindex!$A$6,Preisindex,2,FALSE),2),0)))))</f>
        <v>0</v>
      </c>
      <c r="FA135" s="51">
        <f>IF(AND($E135&lt;&gt;0,$F135&gt;0,YEAR($F135)&lt;=EY$4,YEAR($F135)&gt;=Preisindex!$A$6),ROUND($E135*EY135,2),IF(AND($E135&lt;&gt;0,$F135&gt;0,YEAR($F135)&lt;=EY$4,YEAR($F135)&lt;Preisindex!$A$6),ROUND($E135*EZ135,2),0))</f>
        <v>0</v>
      </c>
      <c r="FB135" s="53">
        <f t="shared" si="549"/>
        <v>0</v>
      </c>
      <c r="FC135" s="51">
        <f t="shared" si="525"/>
        <v>0</v>
      </c>
      <c r="FD135" s="51">
        <f t="shared" si="483"/>
        <v>0</v>
      </c>
      <c r="FE135" s="51">
        <f t="shared" si="550"/>
        <v>0</v>
      </c>
      <c r="FF135" s="51">
        <f t="shared" si="484"/>
        <v>0</v>
      </c>
      <c r="FG135" s="51">
        <f t="shared" si="551"/>
        <v>0</v>
      </c>
      <c r="FH135" s="51">
        <f t="shared" si="485"/>
        <v>0</v>
      </c>
      <c r="FI135" s="51">
        <f t="shared" si="552"/>
        <v>0</v>
      </c>
      <c r="FJ135" s="51">
        <f t="shared" si="486"/>
        <v>0</v>
      </c>
      <c r="FK135" s="51">
        <f t="shared" si="553"/>
        <v>0</v>
      </c>
      <c r="FL135" s="51">
        <f t="shared" si="487"/>
        <v>0</v>
      </c>
      <c r="FM135" s="51">
        <f t="shared" si="554"/>
        <v>0</v>
      </c>
      <c r="FN135" s="54">
        <f t="shared" si="555"/>
        <v>0</v>
      </c>
      <c r="FO135" s="55">
        <f t="shared" si="556"/>
        <v>0</v>
      </c>
      <c r="FP135" s="56">
        <f>IF(AND($E135&lt;&gt;0,$F135&gt;0,YEAR($F135)&gt;=Preisindex!$A$6,YEAR(FK$4)&gt;=YEAR($F135),AND($K135&lt;&gt;"a",$K135&lt;&gt;"b",$K135&lt;&gt;"g",$K135&lt;&gt;"k")),1,IF(AND($E135&lt;&gt;0,$F135&gt;0,YEAR($F135)&gt;=Preisindex!$A$6,YEAR(FK$4)&gt;=YEAR($F135),$K135="a"),ROUND(VLOOKUP(FP$4,Preisindex,5,FALSE)/VLOOKUP(YEAR($F135),Preisindex,5,FALSE),2),IF(AND($E135&lt;&gt;0,$F135&gt;0,YEAR($F135)&gt;=Preisindex!$A$6,YEAR(FK$4)&gt;=YEAR($F135),$K135="b"),ROUND(VLOOKUP(FP$4,Preisindex,3,FALSE)/VLOOKUP(YEAR($F135),Preisindex,3,FALSE),2),IF(AND($E135&lt;&gt;0,$F135&gt;0,YEAR($F135)&gt;=Preisindex!$A$6,YEAR(FK$4)&gt;=YEAR($F135),$K135="g"),ROUND(VLOOKUP(FP$4,Preisindex,4,FALSE)/VLOOKUP(YEAR($F135),Preisindex,4,FALSE),2),IF(AND($E135&lt;&gt;0,$F135&gt;0,YEAR($F135)&gt;=Preisindex!$A$6,YEAR(FK$4)&gt;=YEAR($F135),$K135="k"),ROUND(VLOOKUP(FP$4,Preisindex,2,FALSE)/VLOOKUP(YEAR($F135),Preisindex,2,FALSE),2),0)))))</f>
        <v>0</v>
      </c>
      <c r="FQ135" s="56">
        <f>IF(AND($E135&lt;&gt;0,$F135&gt;0,YEAR($F135)&lt;Preisindex!$A$6,YEAR(FK$4)&gt;=YEAR($F135),AND($K135&lt;&gt;"a",$K135&lt;&gt;"b",$K135&lt;&gt;"g",$K135&lt;&gt;"k")),1,IF(AND($E135&lt;&gt;0,$F135&gt;0,YEAR($F135)&lt;Preisindex!$A$6,YEAR(FK$4)&gt;=YEAR($F135),$K135="a"),ROUND(VLOOKUP(FP$4,Preisindex,5,FALSE)/VLOOKUP(Preisindex!$A$6,Preisindex,5,FALSE),2),IF(AND($E135&lt;&gt;0,$F135&gt;0,YEAR($F135)&lt;Preisindex!$A$6,YEAR(FK$4)&gt;=YEAR($F135),$K135="b"),ROUND(VLOOKUP(FP$4,Preisindex,3,FALSE)/VLOOKUP(Preisindex!$A$6,Preisindex,3,FALSE),2),IF(AND($E135&lt;&gt;0,$F135&gt;0,YEAR($F135)&lt;Preisindex!$A$6,YEAR(FK$4)&gt;=YEAR($F135),$K135="g"),ROUND(VLOOKUP(FP$4,Preisindex,4,FALSE)/VLOOKUP(Preisindex!$A$6,Preisindex,4,FALSE),2),IF(AND($E135&lt;&gt;0,$F135&gt;0,YEAR($F135)&lt;Preisindex!$A$6,YEAR(FK$4)&gt;=YEAR($F135),$K135="k"),ROUND(VLOOKUP(FP$4,Preisindex,2,FALSE)/VLOOKUP(Preisindex!$A$6,Preisindex,2,FALSE),2),0)))))</f>
        <v>0</v>
      </c>
      <c r="FR135" s="51">
        <f>IF(AND($E135&lt;&gt;0,$F135&gt;0,YEAR($F135)&lt;=FP$4,YEAR($F135)&gt;=Preisindex!$A$6),ROUND($E135*FP135,2),IF(AND($E135&lt;&gt;0,$F135&gt;0,YEAR($F135)&lt;=FP$4,YEAR($F135)&lt;Preisindex!$A$6),ROUND($E135*FQ135,2),0))</f>
        <v>0</v>
      </c>
      <c r="FS135" s="53">
        <f t="shared" si="557"/>
        <v>0</v>
      </c>
    </row>
    <row r="136" spans="1:175" x14ac:dyDescent="0.3">
      <c r="A136" s="93"/>
      <c r="B136" s="94"/>
      <c r="C136" s="94"/>
      <c r="D136" s="95"/>
      <c r="E136" s="99"/>
      <c r="F136" s="97"/>
      <c r="G136" s="98"/>
      <c r="H136" s="620"/>
      <c r="I136" s="621"/>
      <c r="J136" s="194"/>
      <c r="K136" s="630"/>
      <c r="L136" s="49">
        <f t="shared" si="558"/>
        <v>0</v>
      </c>
      <c r="M136" s="50">
        <f t="shared" si="559"/>
        <v>0</v>
      </c>
      <c r="N136" s="51">
        <f t="shared" si="560"/>
        <v>0</v>
      </c>
      <c r="O136" s="51"/>
      <c r="P136" s="51">
        <f t="shared" si="561"/>
        <v>0</v>
      </c>
      <c r="Q136" s="52"/>
      <c r="R136" s="52"/>
      <c r="S136" s="52"/>
      <c r="T136" s="52"/>
      <c r="U136" s="52"/>
      <c r="V136" s="53">
        <f t="shared" si="562"/>
        <v>0</v>
      </c>
      <c r="W136" s="51">
        <f t="shared" si="563"/>
        <v>0</v>
      </c>
      <c r="X136" s="51">
        <f t="shared" si="564"/>
        <v>0</v>
      </c>
      <c r="Y136" s="51">
        <f t="shared" si="565"/>
        <v>0</v>
      </c>
      <c r="Z136" s="51">
        <f t="shared" si="566"/>
        <v>0</v>
      </c>
      <c r="AA136" s="51">
        <f t="shared" si="567"/>
        <v>0</v>
      </c>
      <c r="AB136" s="51">
        <f t="shared" si="568"/>
        <v>0</v>
      </c>
      <c r="AC136" s="51">
        <f t="shared" si="569"/>
        <v>0</v>
      </c>
      <c r="AD136" s="51">
        <f t="shared" si="570"/>
        <v>0</v>
      </c>
      <c r="AE136" s="51">
        <f t="shared" si="571"/>
        <v>0</v>
      </c>
      <c r="AF136" s="51">
        <f t="shared" si="572"/>
        <v>0</v>
      </c>
      <c r="AG136" s="51">
        <f t="shared" si="573"/>
        <v>0</v>
      </c>
      <c r="AH136" s="54">
        <f t="shared" si="574"/>
        <v>0</v>
      </c>
      <c r="AI136" s="55">
        <f t="shared" si="575"/>
        <v>0</v>
      </c>
      <c r="AJ136" s="56">
        <f>IF(AND($E136&lt;&gt;0,$F136&gt;0,YEAR($F136)&gt;=Preisindex!$A$6,YEAR(AE$4)&gt;=YEAR($F136),AND($K136&lt;&gt;"a",$K136&lt;&gt;"b",$K136&lt;&gt;"g",$K136&lt;&gt;"k")),1,IF(AND($E136&lt;&gt;0,$F136&gt;0,YEAR($F136)&gt;=Preisindex!$A$6,YEAR(AE$4)&gt;=YEAR($F136),$K136="a"),ROUND(VLOOKUP(AJ$4,Preisindex,5,FALSE)/VLOOKUP(YEAR($F136),Preisindex,5,FALSE),2),IF(AND($E136&lt;&gt;0,$F136&gt;0,YEAR($F136)&gt;=Preisindex!$A$6,YEAR(AE$4)&gt;=YEAR($F136),$K136="b"),ROUND(VLOOKUP(AJ$4,Preisindex,3,FALSE)/VLOOKUP(YEAR($F136),Preisindex,3,FALSE),2),IF(AND($E136&lt;&gt;0,$F136&gt;0,YEAR($F136)&gt;=Preisindex!$A$6,YEAR(AE$4)&gt;=YEAR($F136),$K136="g"),ROUND(VLOOKUP(AJ$4,Preisindex,4,FALSE)/VLOOKUP(YEAR($F136),Preisindex,4,FALSE),2),IF(AND($E136&lt;&gt;0,$F136&gt;0,YEAR($F136)&gt;=Preisindex!$A$6,YEAR(AE$4)&gt;=YEAR($F136),$K136="k"),ROUND(VLOOKUP(AJ$4,Preisindex,2,FALSE)/VLOOKUP(YEAR($F136),Preisindex,2,FALSE),2),0)))))</f>
        <v>0</v>
      </c>
      <c r="AK136" s="56">
        <f>IF(AND($E136&lt;&gt;0,$F136&gt;0,YEAR($F136)&lt;Preisindex!$A$6,YEAR(AE$4)&gt;=YEAR($F136),AND($K136&lt;&gt;"a",$K136&lt;&gt;"b",$K136&lt;&gt;"g",$K136&lt;&gt;"k")),1,IF(AND($E136&lt;&gt;0,$F136&gt;0,YEAR($F136)&lt;Preisindex!$A$6,YEAR(AE$4)&gt;=YEAR($F136),$K136="a"),ROUND(VLOOKUP(AJ$4,Preisindex,5,FALSE)/VLOOKUP(Preisindex!$A$6,Preisindex,5,FALSE),2),IF(AND($E136&lt;&gt;0,$F136&gt;0,YEAR($F136)&lt;Preisindex!$A$6,YEAR(AE$4)&gt;=YEAR($F136),$K136="b"),ROUND(VLOOKUP(AJ$4,Preisindex,3,FALSE)/VLOOKUP(Preisindex!$A$6,Preisindex,3,FALSE),2),IF(AND($E136&lt;&gt;0,$F136&gt;0,YEAR($F136)&lt;Preisindex!$A$6,YEAR(AE$4)&gt;=YEAR($F136),$K136="g"),ROUND(VLOOKUP(AJ$4,Preisindex,4,FALSE)/VLOOKUP(Preisindex!$A$6,Preisindex,4,FALSE),2),IF(AND($E136&lt;&gt;0,$F136&gt;0,YEAR($F136)&lt;Preisindex!$A$6,YEAR(AE$4)&gt;=YEAR($F136),$K136="k"),ROUND(VLOOKUP(AJ$4,Preisindex,2,FALSE)/VLOOKUP(Preisindex!$A$6,Preisindex,2,FALSE),2),0)))))</f>
        <v>0</v>
      </c>
      <c r="AL136" s="51">
        <f>IF(AND($E136&lt;&gt;0,$F136&gt;0,YEAR($F136)&lt;=AJ$4,YEAR($F136)&gt;=Preisindex!$A$6),ROUND($E136*AJ136,2),IF(AND($E136&lt;&gt;0,$F136&gt;0,YEAR($F136)&lt;=AJ$4,YEAR($F136)&lt;Preisindex!$A$6),ROUND($E136*AK136,2),0))</f>
        <v>0</v>
      </c>
      <c r="AM136" s="53">
        <f t="shared" si="576"/>
        <v>0</v>
      </c>
      <c r="AN136" s="51">
        <f t="shared" si="492"/>
        <v>0</v>
      </c>
      <c r="AO136" s="51">
        <f t="shared" si="448"/>
        <v>0</v>
      </c>
      <c r="AP136" s="51">
        <f t="shared" si="493"/>
        <v>0</v>
      </c>
      <c r="AQ136" s="51">
        <f t="shared" si="449"/>
        <v>0</v>
      </c>
      <c r="AR136" s="51">
        <f t="shared" si="494"/>
        <v>0</v>
      </c>
      <c r="AS136" s="51">
        <f t="shared" si="450"/>
        <v>0</v>
      </c>
      <c r="AT136" s="51">
        <f t="shared" si="495"/>
        <v>0</v>
      </c>
      <c r="AU136" s="51">
        <f t="shared" si="451"/>
        <v>0</v>
      </c>
      <c r="AV136" s="51">
        <f t="shared" si="496"/>
        <v>0</v>
      </c>
      <c r="AW136" s="51">
        <f t="shared" si="452"/>
        <v>0</v>
      </c>
      <c r="AX136" s="51">
        <f t="shared" si="497"/>
        <v>0</v>
      </c>
      <c r="AY136" s="54">
        <f t="shared" si="498"/>
        <v>0</v>
      </c>
      <c r="AZ136" s="55">
        <f t="shared" si="499"/>
        <v>0</v>
      </c>
      <c r="BA136" s="56">
        <f>IF(AND($E136&lt;&gt;0,$F136&gt;0,YEAR($F136)&gt;=Preisindex!$A$6,YEAR(AV$4)&gt;=YEAR($F136),AND($K136&lt;&gt;"a",$K136&lt;&gt;"b",$K136&lt;&gt;"g",$K136&lt;&gt;"k")),1,IF(AND($E136&lt;&gt;0,$F136&gt;0,YEAR($F136)&gt;=Preisindex!$A$6,YEAR(AV$4)&gt;=YEAR($F136),$K136="a"),ROUND(VLOOKUP(BA$4,Preisindex,5,FALSE)/VLOOKUP(YEAR($F136),Preisindex,5,FALSE),2),IF(AND($E136&lt;&gt;0,$F136&gt;0,YEAR($F136)&gt;=Preisindex!$A$6,YEAR(AV$4)&gt;=YEAR($F136),$K136="b"),ROUND(VLOOKUP(BA$4,Preisindex,3,FALSE)/VLOOKUP(YEAR($F136),Preisindex,3,FALSE),2),IF(AND($E136&lt;&gt;0,$F136&gt;0,YEAR($F136)&gt;=Preisindex!$A$6,YEAR(AV$4)&gt;=YEAR($F136),$K136="g"),ROUND(VLOOKUP(BA$4,Preisindex,4,FALSE)/VLOOKUP(YEAR($F136),Preisindex,4,FALSE),2),IF(AND($E136&lt;&gt;0,$F136&gt;0,YEAR($F136)&gt;=Preisindex!$A$6,YEAR(AV$4)&gt;=YEAR($F136),$K136="k"),ROUND(VLOOKUP(BA$4,Preisindex,2,FALSE)/VLOOKUP(YEAR($F136),Preisindex,2,FALSE),2),0)))))</f>
        <v>0</v>
      </c>
      <c r="BB136" s="56">
        <f>IF(AND($E136&lt;&gt;0,$F136&gt;0,YEAR($F136)&lt;Preisindex!$A$6,YEAR(AV$4)&gt;=YEAR($F136),AND($K136&lt;&gt;"a",$K136&lt;&gt;"b",$K136&lt;&gt;"g",$K136&lt;&gt;"k")),1,IF(AND($E136&lt;&gt;0,$F136&gt;0,YEAR($F136)&lt;Preisindex!$A$6,YEAR(AV$4)&gt;=YEAR($F136),$K136="a"),ROUND(VLOOKUP(BA$4,Preisindex,5,FALSE)/VLOOKUP(Preisindex!$A$6,Preisindex,5,FALSE),2),IF(AND($E136&lt;&gt;0,$F136&gt;0,YEAR($F136)&lt;Preisindex!$A$6,YEAR(AV$4)&gt;=YEAR($F136),$K136="b"),ROUND(VLOOKUP(BA$4,Preisindex,3,FALSE)/VLOOKUP(Preisindex!$A$6,Preisindex,3,FALSE),2),IF(AND($E136&lt;&gt;0,$F136&gt;0,YEAR($F136)&lt;Preisindex!$A$6,YEAR(AV$4)&gt;=YEAR($F136),$K136="g"),ROUND(VLOOKUP(BA$4,Preisindex,4,FALSE)/VLOOKUP(Preisindex!$A$6,Preisindex,4,FALSE),2),IF(AND($E136&lt;&gt;0,$F136&gt;0,YEAR($F136)&lt;Preisindex!$A$6,YEAR(AV$4)&gt;=YEAR($F136),$K136="k"),ROUND(VLOOKUP(BA$4,Preisindex,2,FALSE)/VLOOKUP(Preisindex!$A$6,Preisindex,2,FALSE),2),0)))))</f>
        <v>0</v>
      </c>
      <c r="BC136" s="51">
        <f>IF(AND($E136&lt;&gt;0,$F136&gt;0,YEAR($F136)&lt;=BA$4,YEAR($F136)&gt;=Preisindex!$A$6),ROUND($E136*BA136,2),IF(AND($E136&lt;&gt;0,$F136&gt;0,YEAR($F136)&lt;=BA$4,YEAR($F136)&lt;Preisindex!$A$6),ROUND($E136*BB136,2),0))</f>
        <v>0</v>
      </c>
      <c r="BD136" s="53">
        <f t="shared" si="500"/>
        <v>0</v>
      </c>
      <c r="BE136" s="51">
        <f t="shared" si="492"/>
        <v>0</v>
      </c>
      <c r="BF136" s="51">
        <f t="shared" si="453"/>
        <v>0</v>
      </c>
      <c r="BG136" s="51">
        <f t="shared" si="501"/>
        <v>0</v>
      </c>
      <c r="BH136" s="51">
        <f t="shared" si="454"/>
        <v>0</v>
      </c>
      <c r="BI136" s="51">
        <f t="shared" si="502"/>
        <v>0</v>
      </c>
      <c r="BJ136" s="51">
        <f t="shared" si="455"/>
        <v>0</v>
      </c>
      <c r="BK136" s="51">
        <f t="shared" si="503"/>
        <v>0</v>
      </c>
      <c r="BL136" s="51">
        <f t="shared" si="456"/>
        <v>0</v>
      </c>
      <c r="BM136" s="51">
        <f t="shared" si="504"/>
        <v>0</v>
      </c>
      <c r="BN136" s="51">
        <f t="shared" si="457"/>
        <v>0</v>
      </c>
      <c r="BO136" s="51">
        <f t="shared" si="505"/>
        <v>0</v>
      </c>
      <c r="BP136" s="54">
        <f t="shared" si="506"/>
        <v>0</v>
      </c>
      <c r="BQ136" s="55">
        <f t="shared" si="507"/>
        <v>0</v>
      </c>
      <c r="BR136" s="56">
        <f>IF(AND($E136&lt;&gt;0,$F136&gt;0,YEAR($F136)&gt;=Preisindex!$A$6,YEAR(BM$4)&gt;=YEAR($F136),AND($K136&lt;&gt;"a",$K136&lt;&gt;"b",$K136&lt;&gt;"g",$K136&lt;&gt;"k")),1,IF(AND($E136&lt;&gt;0,$F136&gt;0,YEAR($F136)&gt;=Preisindex!$A$6,YEAR(BM$4)&gt;=YEAR($F136),$K136="a"),ROUND(VLOOKUP(BR$4,Preisindex,5,FALSE)/VLOOKUP(YEAR($F136),Preisindex,5,FALSE),2),IF(AND($E136&lt;&gt;0,$F136&gt;0,YEAR($F136)&gt;=Preisindex!$A$6,YEAR(BM$4)&gt;=YEAR($F136),$K136="b"),ROUND(VLOOKUP(BR$4,Preisindex,3,FALSE)/VLOOKUP(YEAR($F136),Preisindex,3,FALSE),2),IF(AND($E136&lt;&gt;0,$F136&gt;0,YEAR($F136)&gt;=Preisindex!$A$6,YEAR(BM$4)&gt;=YEAR($F136),$K136="g"),ROUND(VLOOKUP(BR$4,Preisindex,4,FALSE)/VLOOKUP(YEAR($F136),Preisindex,4,FALSE),2),IF(AND($E136&lt;&gt;0,$F136&gt;0,YEAR($F136)&gt;=Preisindex!$A$6,YEAR(BM$4)&gt;=YEAR($F136),$K136="k"),ROUND(VLOOKUP(BR$4,Preisindex,2,FALSE)/VLOOKUP(YEAR($F136),Preisindex,2,FALSE),2),0)))))</f>
        <v>0</v>
      </c>
      <c r="BS136" s="56">
        <f>IF(AND($E136&lt;&gt;0,$F136&gt;0,YEAR($F136)&lt;Preisindex!$A$6,YEAR(BM$4)&gt;=YEAR($F136),AND($K136&lt;&gt;"a",$K136&lt;&gt;"b",$K136&lt;&gt;"g",$K136&lt;&gt;"k")),1,IF(AND($E136&lt;&gt;0,$F136&gt;0,YEAR($F136)&lt;Preisindex!$A$6,YEAR(BM$4)&gt;=YEAR($F136),$K136="a"),ROUND(VLOOKUP(BR$4,Preisindex,5,FALSE)/VLOOKUP(Preisindex!$A$6,Preisindex,5,FALSE),2),IF(AND($E136&lt;&gt;0,$F136&gt;0,YEAR($F136)&lt;Preisindex!$A$6,YEAR(BM$4)&gt;=YEAR($F136),$K136="b"),ROUND(VLOOKUP(BR$4,Preisindex,3,FALSE)/VLOOKUP(Preisindex!$A$6,Preisindex,3,FALSE),2),IF(AND($E136&lt;&gt;0,$F136&gt;0,YEAR($F136)&lt;Preisindex!$A$6,YEAR(BM$4)&gt;=YEAR($F136),$K136="g"),ROUND(VLOOKUP(BR$4,Preisindex,4,FALSE)/VLOOKUP(Preisindex!$A$6,Preisindex,4,FALSE),2),IF(AND($E136&lt;&gt;0,$F136&gt;0,YEAR($F136)&lt;Preisindex!$A$6,YEAR(BM$4)&gt;=YEAR($F136),$K136="k"),ROUND(VLOOKUP(BR$4,Preisindex,2,FALSE)/VLOOKUP(Preisindex!$A$6,Preisindex,2,FALSE),2),0)))))</f>
        <v>0</v>
      </c>
      <c r="BT136" s="51">
        <f>IF(AND($E136&lt;&gt;0,$F136&gt;0,YEAR($F136)&lt;=BR$4,YEAR($F136)&gt;=Preisindex!$A$6),ROUND($E136*BR136,2),IF(AND($E136&lt;&gt;0,$F136&gt;0,YEAR($F136)&lt;=BR$4,YEAR($F136)&lt;Preisindex!$A$6),ROUND($E136*BS136,2),0))</f>
        <v>0</v>
      </c>
      <c r="BU136" s="53">
        <f t="shared" si="508"/>
        <v>0</v>
      </c>
      <c r="BV136" s="51">
        <f t="shared" si="492"/>
        <v>0</v>
      </c>
      <c r="BW136" s="51">
        <f t="shared" si="458"/>
        <v>0</v>
      </c>
      <c r="BX136" s="51">
        <f t="shared" si="509"/>
        <v>0</v>
      </c>
      <c r="BY136" s="51">
        <f t="shared" si="459"/>
        <v>0</v>
      </c>
      <c r="BZ136" s="51">
        <f t="shared" si="510"/>
        <v>0</v>
      </c>
      <c r="CA136" s="51">
        <f t="shared" si="460"/>
        <v>0</v>
      </c>
      <c r="CB136" s="51">
        <f t="shared" si="511"/>
        <v>0</v>
      </c>
      <c r="CC136" s="51">
        <f t="shared" si="461"/>
        <v>0</v>
      </c>
      <c r="CD136" s="51">
        <f t="shared" si="512"/>
        <v>0</v>
      </c>
      <c r="CE136" s="51">
        <f t="shared" si="462"/>
        <v>0</v>
      </c>
      <c r="CF136" s="51">
        <f t="shared" si="513"/>
        <v>0</v>
      </c>
      <c r="CG136" s="54">
        <f t="shared" si="514"/>
        <v>0</v>
      </c>
      <c r="CH136" s="55">
        <f t="shared" si="515"/>
        <v>0</v>
      </c>
      <c r="CI136" s="56">
        <f>IF(AND($E136&lt;&gt;0,$F136&gt;0,YEAR($F136)&gt;=Preisindex!$A$6,YEAR(CD$4)&gt;=YEAR($F136),AND($K136&lt;&gt;"a",$K136&lt;&gt;"b",$K136&lt;&gt;"g",$K136&lt;&gt;"k")),1,IF(AND($E136&lt;&gt;0,$F136&gt;0,YEAR($F136)&gt;=Preisindex!$A$6,YEAR(CD$4)&gt;=YEAR($F136),$K136="a"),ROUND(VLOOKUP(CI$4,Preisindex,5,FALSE)/VLOOKUP(YEAR($F136),Preisindex,5,FALSE),2),IF(AND($E136&lt;&gt;0,$F136&gt;0,YEAR($F136)&gt;=Preisindex!$A$6,YEAR(CD$4)&gt;=YEAR($F136),$K136="b"),ROUND(VLOOKUP(CI$4,Preisindex,3,FALSE)/VLOOKUP(YEAR($F136),Preisindex,3,FALSE),2),IF(AND($E136&lt;&gt;0,$F136&gt;0,YEAR($F136)&gt;=Preisindex!$A$6,YEAR(CD$4)&gt;=YEAR($F136),$K136="g"),ROUND(VLOOKUP(CI$4,Preisindex,4,FALSE)/VLOOKUP(YEAR($F136),Preisindex,4,FALSE),2),IF(AND($E136&lt;&gt;0,$F136&gt;0,YEAR($F136)&gt;=Preisindex!$A$6,YEAR(CD$4)&gt;=YEAR($F136),$K136="k"),ROUND(VLOOKUP(CI$4,Preisindex,2,FALSE)/VLOOKUP(YEAR($F136),Preisindex,2,FALSE),2),0)))))</f>
        <v>0</v>
      </c>
      <c r="CJ136" s="56">
        <f>IF(AND($E136&lt;&gt;0,$F136&gt;0,YEAR($F136)&lt;Preisindex!$A$6,YEAR(CD$4)&gt;=YEAR($F136),AND($K136&lt;&gt;"a",$K136&lt;&gt;"b",$K136&lt;&gt;"g",$K136&lt;&gt;"k")),1,IF(AND($E136&lt;&gt;0,$F136&gt;0,YEAR($F136)&lt;Preisindex!$A$6,YEAR(CD$4)&gt;=YEAR($F136),$K136="a"),ROUND(VLOOKUP(CI$4,Preisindex,5,FALSE)/VLOOKUP(Preisindex!$A$6,Preisindex,5,FALSE),2),IF(AND($E136&lt;&gt;0,$F136&gt;0,YEAR($F136)&lt;Preisindex!$A$6,YEAR(CD$4)&gt;=YEAR($F136),$K136="b"),ROUND(VLOOKUP(CI$4,Preisindex,3,FALSE)/VLOOKUP(Preisindex!$A$6,Preisindex,3,FALSE),2),IF(AND($E136&lt;&gt;0,$F136&gt;0,YEAR($F136)&lt;Preisindex!$A$6,YEAR(CD$4)&gt;=YEAR($F136),$K136="g"),ROUND(VLOOKUP(CI$4,Preisindex,4,FALSE)/VLOOKUP(Preisindex!$A$6,Preisindex,4,FALSE),2),IF(AND($E136&lt;&gt;0,$F136&gt;0,YEAR($F136)&lt;Preisindex!$A$6,YEAR(CD$4)&gt;=YEAR($F136),$K136="k"),ROUND(VLOOKUP(CI$4,Preisindex,2,FALSE)/VLOOKUP(Preisindex!$A$6,Preisindex,2,FALSE),2),0)))))</f>
        <v>0</v>
      </c>
      <c r="CK136" s="51">
        <f>IF(AND($E136&lt;&gt;0,$F136&gt;0,YEAR($F136)&lt;=CI$4,YEAR($F136)&gt;=Preisindex!$A$6),ROUND($E136*CI136,2),IF(AND($E136&lt;&gt;0,$F136&gt;0,YEAR($F136)&lt;=CI$4,YEAR($F136)&lt;Preisindex!$A$6),ROUND($E136*CJ136,2),0))</f>
        <v>0</v>
      </c>
      <c r="CL136" s="53">
        <f t="shared" si="516"/>
        <v>0</v>
      </c>
      <c r="CM136" s="51">
        <f t="shared" si="492"/>
        <v>0</v>
      </c>
      <c r="CN136" s="51">
        <f t="shared" si="463"/>
        <v>0</v>
      </c>
      <c r="CO136" s="51">
        <f t="shared" si="517"/>
        <v>0</v>
      </c>
      <c r="CP136" s="51">
        <f t="shared" si="464"/>
        <v>0</v>
      </c>
      <c r="CQ136" s="51">
        <f t="shared" si="518"/>
        <v>0</v>
      </c>
      <c r="CR136" s="51">
        <f t="shared" si="465"/>
        <v>0</v>
      </c>
      <c r="CS136" s="51">
        <f t="shared" si="519"/>
        <v>0</v>
      </c>
      <c r="CT136" s="51">
        <f t="shared" si="466"/>
        <v>0</v>
      </c>
      <c r="CU136" s="51">
        <f t="shared" si="520"/>
        <v>0</v>
      </c>
      <c r="CV136" s="51">
        <f t="shared" si="467"/>
        <v>0</v>
      </c>
      <c r="CW136" s="51">
        <f t="shared" si="521"/>
        <v>0</v>
      </c>
      <c r="CX136" s="54">
        <f t="shared" si="522"/>
        <v>0</v>
      </c>
      <c r="CY136" s="55">
        <f t="shared" si="523"/>
        <v>0</v>
      </c>
      <c r="CZ136" s="56">
        <f>IF(AND($E136&lt;&gt;0,$F136&gt;0,YEAR($F136)&gt;=Preisindex!$A$6,YEAR(CU$4)&gt;=YEAR($F136),AND($K136&lt;&gt;"a",$K136&lt;&gt;"b",$K136&lt;&gt;"g",$K136&lt;&gt;"k")),1,IF(AND($E136&lt;&gt;0,$F136&gt;0,YEAR($F136)&gt;=Preisindex!$A$6,YEAR(CU$4)&gt;=YEAR($F136),$K136="a"),ROUND(VLOOKUP(CZ$4,Preisindex,5,FALSE)/VLOOKUP(YEAR($F136),Preisindex,5,FALSE),2),IF(AND($E136&lt;&gt;0,$F136&gt;0,YEAR($F136)&gt;=Preisindex!$A$6,YEAR(CU$4)&gt;=YEAR($F136),$K136="b"),ROUND(VLOOKUP(CZ$4,Preisindex,3,FALSE)/VLOOKUP(YEAR($F136),Preisindex,3,FALSE),2),IF(AND($E136&lt;&gt;0,$F136&gt;0,YEAR($F136)&gt;=Preisindex!$A$6,YEAR(CU$4)&gt;=YEAR($F136),$K136="g"),ROUND(VLOOKUP(CZ$4,Preisindex,4,FALSE)/VLOOKUP(YEAR($F136),Preisindex,4,FALSE),2),IF(AND($E136&lt;&gt;0,$F136&gt;0,YEAR($F136)&gt;=Preisindex!$A$6,YEAR(CU$4)&gt;=YEAR($F136),$K136="k"),ROUND(VLOOKUP(CZ$4,Preisindex,2,FALSE)/VLOOKUP(YEAR($F136),Preisindex,2,FALSE),2),0)))))</f>
        <v>0</v>
      </c>
      <c r="DA136" s="56">
        <f>IF(AND($E136&lt;&gt;0,$F136&gt;0,YEAR($F136)&lt;Preisindex!$A$6,YEAR(CU$4)&gt;=YEAR($F136),AND($K136&lt;&gt;"a",$K136&lt;&gt;"b",$K136&lt;&gt;"g",$K136&lt;&gt;"k")),1,IF(AND($E136&lt;&gt;0,$F136&gt;0,YEAR($F136)&lt;Preisindex!$A$6,YEAR(CU$4)&gt;=YEAR($F136),$K136="a"),ROUND(VLOOKUP(CZ$4,Preisindex,5,FALSE)/VLOOKUP(Preisindex!$A$6,Preisindex,5,FALSE),2),IF(AND($E136&lt;&gt;0,$F136&gt;0,YEAR($F136)&lt;Preisindex!$A$6,YEAR(CU$4)&gt;=YEAR($F136),$K136="b"),ROUND(VLOOKUP(CZ$4,Preisindex,3,FALSE)/VLOOKUP(Preisindex!$A$6,Preisindex,3,FALSE),2),IF(AND($E136&lt;&gt;0,$F136&gt;0,YEAR($F136)&lt;Preisindex!$A$6,YEAR(CU$4)&gt;=YEAR($F136),$K136="g"),ROUND(VLOOKUP(CZ$4,Preisindex,4,FALSE)/VLOOKUP(Preisindex!$A$6,Preisindex,4,FALSE),2),IF(AND($E136&lt;&gt;0,$F136&gt;0,YEAR($F136)&lt;Preisindex!$A$6,YEAR(CU$4)&gt;=YEAR($F136),$K136="k"),ROUND(VLOOKUP(CZ$4,Preisindex,2,FALSE)/VLOOKUP(Preisindex!$A$6,Preisindex,2,FALSE),2),0)))))</f>
        <v>0</v>
      </c>
      <c r="DB136" s="51">
        <f>IF(AND($E136&lt;&gt;0,$F136&gt;0,YEAR($F136)&lt;=CZ$4,YEAR($F136)&gt;=Preisindex!$A$6),ROUND($E136*CZ136,2),IF(AND($E136&lt;&gt;0,$F136&gt;0,YEAR($F136)&lt;=CZ$4,YEAR($F136)&lt;Preisindex!$A$6),ROUND($E136*DA136,2),0))</f>
        <v>0</v>
      </c>
      <c r="DC136" s="53">
        <f t="shared" si="524"/>
        <v>0</v>
      </c>
      <c r="DD136" s="51">
        <f t="shared" si="525"/>
        <v>0</v>
      </c>
      <c r="DE136" s="51">
        <f t="shared" si="468"/>
        <v>0</v>
      </c>
      <c r="DF136" s="51">
        <f t="shared" si="526"/>
        <v>0</v>
      </c>
      <c r="DG136" s="51">
        <f t="shared" si="469"/>
        <v>0</v>
      </c>
      <c r="DH136" s="51">
        <f t="shared" si="527"/>
        <v>0</v>
      </c>
      <c r="DI136" s="51">
        <f t="shared" si="470"/>
        <v>0</v>
      </c>
      <c r="DJ136" s="51">
        <f t="shared" si="528"/>
        <v>0</v>
      </c>
      <c r="DK136" s="51">
        <f t="shared" si="471"/>
        <v>0</v>
      </c>
      <c r="DL136" s="51">
        <f t="shared" si="529"/>
        <v>0</v>
      </c>
      <c r="DM136" s="51">
        <f t="shared" si="472"/>
        <v>0</v>
      </c>
      <c r="DN136" s="51">
        <f t="shared" si="530"/>
        <v>0</v>
      </c>
      <c r="DO136" s="54">
        <f t="shared" si="531"/>
        <v>0</v>
      </c>
      <c r="DP136" s="55">
        <f t="shared" si="532"/>
        <v>0</v>
      </c>
      <c r="DQ136" s="56">
        <f>IF(AND($E136&lt;&gt;0,$F136&gt;0,YEAR($F136)&gt;=Preisindex!$A$6,YEAR(DL$4)&gt;=YEAR($F136),AND($K136&lt;&gt;"a",$K136&lt;&gt;"b",$K136&lt;&gt;"g",$K136&lt;&gt;"k")),1,IF(AND($E136&lt;&gt;0,$F136&gt;0,YEAR($F136)&gt;=Preisindex!$A$6,YEAR(DL$4)&gt;=YEAR($F136),$K136="a"),ROUND(VLOOKUP(DQ$4,Preisindex,5,FALSE)/VLOOKUP(YEAR($F136),Preisindex,5,FALSE),2),IF(AND($E136&lt;&gt;0,$F136&gt;0,YEAR($F136)&gt;=Preisindex!$A$6,YEAR(DL$4)&gt;=YEAR($F136),$K136="b"),ROUND(VLOOKUP(DQ$4,Preisindex,3,FALSE)/VLOOKUP(YEAR($F136),Preisindex,3,FALSE),2),IF(AND($E136&lt;&gt;0,$F136&gt;0,YEAR($F136)&gt;=Preisindex!$A$6,YEAR(DL$4)&gt;=YEAR($F136),$K136="g"),ROUND(VLOOKUP(DQ$4,Preisindex,4,FALSE)/VLOOKUP(YEAR($F136),Preisindex,4,FALSE),2),IF(AND($E136&lt;&gt;0,$F136&gt;0,YEAR($F136)&gt;=Preisindex!$A$6,YEAR(DL$4)&gt;=YEAR($F136),$K136="k"),ROUND(VLOOKUP(DQ$4,Preisindex,2,FALSE)/VLOOKUP(YEAR($F136),Preisindex,2,FALSE),2),0)))))</f>
        <v>0</v>
      </c>
      <c r="DR136" s="56">
        <f>IF(AND($E136&lt;&gt;0,$F136&gt;0,YEAR($F136)&lt;Preisindex!$A$6,YEAR(DL$4)&gt;=YEAR($F136),AND($K136&lt;&gt;"a",$K136&lt;&gt;"b",$K136&lt;&gt;"g",$K136&lt;&gt;"k")),1,IF(AND($E136&lt;&gt;0,$F136&gt;0,YEAR($F136)&lt;Preisindex!$A$6,YEAR(DL$4)&gt;=YEAR($F136),$K136="a"),ROUND(VLOOKUP(DQ$4,Preisindex,5,FALSE)/VLOOKUP(Preisindex!$A$6,Preisindex,5,FALSE),2),IF(AND($E136&lt;&gt;0,$F136&gt;0,YEAR($F136)&lt;Preisindex!$A$6,YEAR(DL$4)&gt;=YEAR($F136),$K136="b"),ROUND(VLOOKUP(DQ$4,Preisindex,3,FALSE)/VLOOKUP(Preisindex!$A$6,Preisindex,3,FALSE),2),IF(AND($E136&lt;&gt;0,$F136&gt;0,YEAR($F136)&lt;Preisindex!$A$6,YEAR(DL$4)&gt;=YEAR($F136),$K136="g"),ROUND(VLOOKUP(DQ$4,Preisindex,4,FALSE)/VLOOKUP(Preisindex!$A$6,Preisindex,4,FALSE),2),IF(AND($E136&lt;&gt;0,$F136&gt;0,YEAR($F136)&lt;Preisindex!$A$6,YEAR(DL$4)&gt;=YEAR($F136),$K136="k"),ROUND(VLOOKUP(DQ$4,Preisindex,2,FALSE)/VLOOKUP(Preisindex!$A$6,Preisindex,2,FALSE),2),0)))))</f>
        <v>0</v>
      </c>
      <c r="DS136" s="51">
        <f>IF(AND($E136&lt;&gt;0,$F136&gt;0,YEAR($F136)&lt;=DQ$4,YEAR($F136)&gt;=Preisindex!$A$6),ROUND($E136*DQ136,2),IF(AND($E136&lt;&gt;0,$F136&gt;0,YEAR($F136)&lt;=DQ$4,YEAR($F136)&lt;Preisindex!$A$6),ROUND($E136*DR136,2),0))</f>
        <v>0</v>
      </c>
      <c r="DT136" s="53">
        <f t="shared" si="533"/>
        <v>0</v>
      </c>
      <c r="DU136" s="51">
        <f t="shared" si="525"/>
        <v>0</v>
      </c>
      <c r="DV136" s="51">
        <f t="shared" si="473"/>
        <v>0</v>
      </c>
      <c r="DW136" s="51">
        <f t="shared" si="534"/>
        <v>0</v>
      </c>
      <c r="DX136" s="51">
        <f t="shared" si="474"/>
        <v>0</v>
      </c>
      <c r="DY136" s="51">
        <f t="shared" si="535"/>
        <v>0</v>
      </c>
      <c r="DZ136" s="51">
        <f t="shared" si="475"/>
        <v>0</v>
      </c>
      <c r="EA136" s="51">
        <f t="shared" si="536"/>
        <v>0</v>
      </c>
      <c r="EB136" s="51">
        <f t="shared" si="476"/>
        <v>0</v>
      </c>
      <c r="EC136" s="51">
        <f t="shared" si="537"/>
        <v>0</v>
      </c>
      <c r="ED136" s="51">
        <f t="shared" si="477"/>
        <v>0</v>
      </c>
      <c r="EE136" s="51">
        <f t="shared" si="538"/>
        <v>0</v>
      </c>
      <c r="EF136" s="54">
        <f t="shared" si="539"/>
        <v>0</v>
      </c>
      <c r="EG136" s="55">
        <f t="shared" si="540"/>
        <v>0</v>
      </c>
      <c r="EH136" s="56">
        <f>IF(AND($E136&lt;&gt;0,$F136&gt;0,YEAR($F136)&gt;=Preisindex!$A$6,YEAR(EC$4)&gt;=YEAR($F136),AND($K136&lt;&gt;"a",$K136&lt;&gt;"b",$K136&lt;&gt;"g",$K136&lt;&gt;"k")),1,IF(AND($E136&lt;&gt;0,$F136&gt;0,YEAR($F136)&gt;=Preisindex!$A$6,YEAR(EC$4)&gt;=YEAR($F136),$K136="a"),ROUND(VLOOKUP(EH$4,Preisindex,5,FALSE)/VLOOKUP(YEAR($F136),Preisindex,5,FALSE),2),IF(AND($E136&lt;&gt;0,$F136&gt;0,YEAR($F136)&gt;=Preisindex!$A$6,YEAR(EC$4)&gt;=YEAR($F136),$K136="b"),ROUND(VLOOKUP(EH$4,Preisindex,3,FALSE)/VLOOKUP(YEAR($F136),Preisindex,3,FALSE),2),IF(AND($E136&lt;&gt;0,$F136&gt;0,YEAR($F136)&gt;=Preisindex!$A$6,YEAR(EC$4)&gt;=YEAR($F136),$K136="g"),ROUND(VLOOKUP(EH$4,Preisindex,4,FALSE)/VLOOKUP(YEAR($F136),Preisindex,4,FALSE),2),IF(AND($E136&lt;&gt;0,$F136&gt;0,YEAR($F136)&gt;=Preisindex!$A$6,YEAR(EC$4)&gt;=YEAR($F136),$K136="k"),ROUND(VLOOKUP(EH$4,Preisindex,2,FALSE)/VLOOKUP(YEAR($F136),Preisindex,2,FALSE),2),0)))))</f>
        <v>0</v>
      </c>
      <c r="EI136" s="56">
        <f>IF(AND($E136&lt;&gt;0,$F136&gt;0,YEAR($F136)&lt;Preisindex!$A$6,YEAR(EC$4)&gt;=YEAR($F136),AND($K136&lt;&gt;"a",$K136&lt;&gt;"b",$K136&lt;&gt;"g",$K136&lt;&gt;"k")),1,IF(AND($E136&lt;&gt;0,$F136&gt;0,YEAR($F136)&lt;Preisindex!$A$6,YEAR(EC$4)&gt;=YEAR($F136),$K136="a"),ROUND(VLOOKUP(EH$4,Preisindex,5,FALSE)/VLOOKUP(Preisindex!$A$6,Preisindex,5,FALSE),2),IF(AND($E136&lt;&gt;0,$F136&gt;0,YEAR($F136)&lt;Preisindex!$A$6,YEAR(EC$4)&gt;=YEAR($F136),$K136="b"),ROUND(VLOOKUP(EH$4,Preisindex,3,FALSE)/VLOOKUP(Preisindex!$A$6,Preisindex,3,FALSE),2),IF(AND($E136&lt;&gt;0,$F136&gt;0,YEAR($F136)&lt;Preisindex!$A$6,YEAR(EC$4)&gt;=YEAR($F136),$K136="g"),ROUND(VLOOKUP(EH$4,Preisindex,4,FALSE)/VLOOKUP(Preisindex!$A$6,Preisindex,4,FALSE),2),IF(AND($E136&lt;&gt;0,$F136&gt;0,YEAR($F136)&lt;Preisindex!$A$6,YEAR(EC$4)&gt;=YEAR($F136),$K136="k"),ROUND(VLOOKUP(EH$4,Preisindex,2,FALSE)/VLOOKUP(Preisindex!$A$6,Preisindex,2,FALSE),2),0)))))</f>
        <v>0</v>
      </c>
      <c r="EJ136" s="51">
        <f>IF(AND($E136&lt;&gt;0,$F136&gt;0,YEAR($F136)&lt;=EH$4,YEAR($F136)&gt;=Preisindex!$A$6),ROUND($E136*EH136,2),IF(AND($E136&lt;&gt;0,$F136&gt;0,YEAR($F136)&lt;=EH$4,YEAR($F136)&lt;Preisindex!$A$6),ROUND($E136*EI136,2),0))</f>
        <v>0</v>
      </c>
      <c r="EK136" s="53">
        <f t="shared" si="541"/>
        <v>0</v>
      </c>
      <c r="EL136" s="51">
        <f t="shared" si="525"/>
        <v>0</v>
      </c>
      <c r="EM136" s="51">
        <f t="shared" si="478"/>
        <v>0</v>
      </c>
      <c r="EN136" s="51">
        <f t="shared" si="542"/>
        <v>0</v>
      </c>
      <c r="EO136" s="51">
        <f t="shared" si="479"/>
        <v>0</v>
      </c>
      <c r="EP136" s="51">
        <f t="shared" si="543"/>
        <v>0</v>
      </c>
      <c r="EQ136" s="51">
        <f t="shared" si="480"/>
        <v>0</v>
      </c>
      <c r="ER136" s="51">
        <f t="shared" si="544"/>
        <v>0</v>
      </c>
      <c r="ES136" s="51">
        <f t="shared" si="481"/>
        <v>0</v>
      </c>
      <c r="ET136" s="51">
        <f t="shared" si="545"/>
        <v>0</v>
      </c>
      <c r="EU136" s="51">
        <f t="shared" si="482"/>
        <v>0</v>
      </c>
      <c r="EV136" s="51">
        <f t="shared" si="546"/>
        <v>0</v>
      </c>
      <c r="EW136" s="54">
        <f t="shared" si="547"/>
        <v>0</v>
      </c>
      <c r="EX136" s="55">
        <f t="shared" si="548"/>
        <v>0</v>
      </c>
      <c r="EY136" s="56">
        <f>IF(AND($E136&lt;&gt;0,$F136&gt;0,YEAR($F136)&gt;=Preisindex!$A$6,YEAR(ET$4)&gt;=YEAR($F136),AND($K136&lt;&gt;"a",$K136&lt;&gt;"b",$K136&lt;&gt;"g",$K136&lt;&gt;"k")),1,IF(AND($E136&lt;&gt;0,$F136&gt;0,YEAR($F136)&gt;=Preisindex!$A$6,YEAR(ET$4)&gt;=YEAR($F136),$K136="a"),ROUND(VLOOKUP(EY$4,Preisindex,5,FALSE)/VLOOKUP(YEAR($F136),Preisindex,5,FALSE),2),IF(AND($E136&lt;&gt;0,$F136&gt;0,YEAR($F136)&gt;=Preisindex!$A$6,YEAR(ET$4)&gt;=YEAR($F136),$K136="b"),ROUND(VLOOKUP(EY$4,Preisindex,3,FALSE)/VLOOKUP(YEAR($F136),Preisindex,3,FALSE),2),IF(AND($E136&lt;&gt;0,$F136&gt;0,YEAR($F136)&gt;=Preisindex!$A$6,YEAR(ET$4)&gt;=YEAR($F136),$K136="g"),ROUND(VLOOKUP(EY$4,Preisindex,4,FALSE)/VLOOKUP(YEAR($F136),Preisindex,4,FALSE),2),IF(AND($E136&lt;&gt;0,$F136&gt;0,YEAR($F136)&gt;=Preisindex!$A$6,YEAR(ET$4)&gt;=YEAR($F136),$K136="k"),ROUND(VLOOKUP(EY$4,Preisindex,2,FALSE)/VLOOKUP(YEAR($F136),Preisindex,2,FALSE),2),0)))))</f>
        <v>0</v>
      </c>
      <c r="EZ136" s="56">
        <f>IF(AND($E136&lt;&gt;0,$F136&gt;0,YEAR($F136)&lt;Preisindex!$A$6,YEAR(ET$4)&gt;=YEAR($F136),AND($K136&lt;&gt;"a",$K136&lt;&gt;"b",$K136&lt;&gt;"g",$K136&lt;&gt;"k")),1,IF(AND($E136&lt;&gt;0,$F136&gt;0,YEAR($F136)&lt;Preisindex!$A$6,YEAR(ET$4)&gt;=YEAR($F136),$K136="a"),ROUND(VLOOKUP(EY$4,Preisindex,5,FALSE)/VLOOKUP(Preisindex!$A$6,Preisindex,5,FALSE),2),IF(AND($E136&lt;&gt;0,$F136&gt;0,YEAR($F136)&lt;Preisindex!$A$6,YEAR(ET$4)&gt;=YEAR($F136),$K136="b"),ROUND(VLOOKUP(EY$4,Preisindex,3,FALSE)/VLOOKUP(Preisindex!$A$6,Preisindex,3,FALSE),2),IF(AND($E136&lt;&gt;0,$F136&gt;0,YEAR($F136)&lt;Preisindex!$A$6,YEAR(ET$4)&gt;=YEAR($F136),$K136="g"),ROUND(VLOOKUP(EY$4,Preisindex,4,FALSE)/VLOOKUP(Preisindex!$A$6,Preisindex,4,FALSE),2),IF(AND($E136&lt;&gt;0,$F136&gt;0,YEAR($F136)&lt;Preisindex!$A$6,YEAR(ET$4)&gt;=YEAR($F136),$K136="k"),ROUND(VLOOKUP(EY$4,Preisindex,2,FALSE)/VLOOKUP(Preisindex!$A$6,Preisindex,2,FALSE),2),0)))))</f>
        <v>0</v>
      </c>
      <c r="FA136" s="51">
        <f>IF(AND($E136&lt;&gt;0,$F136&gt;0,YEAR($F136)&lt;=EY$4,YEAR($F136)&gt;=Preisindex!$A$6),ROUND($E136*EY136,2),IF(AND($E136&lt;&gt;0,$F136&gt;0,YEAR($F136)&lt;=EY$4,YEAR($F136)&lt;Preisindex!$A$6),ROUND($E136*EZ136,2),0))</f>
        <v>0</v>
      </c>
      <c r="FB136" s="53">
        <f t="shared" si="549"/>
        <v>0</v>
      </c>
      <c r="FC136" s="51">
        <f t="shared" si="525"/>
        <v>0</v>
      </c>
      <c r="FD136" s="51">
        <f t="shared" si="483"/>
        <v>0</v>
      </c>
      <c r="FE136" s="51">
        <f t="shared" si="550"/>
        <v>0</v>
      </c>
      <c r="FF136" s="51">
        <f t="shared" si="484"/>
        <v>0</v>
      </c>
      <c r="FG136" s="51">
        <f t="shared" si="551"/>
        <v>0</v>
      </c>
      <c r="FH136" s="51">
        <f t="shared" si="485"/>
        <v>0</v>
      </c>
      <c r="FI136" s="51">
        <f t="shared" si="552"/>
        <v>0</v>
      </c>
      <c r="FJ136" s="51">
        <f t="shared" si="486"/>
        <v>0</v>
      </c>
      <c r="FK136" s="51">
        <f t="shared" si="553"/>
        <v>0</v>
      </c>
      <c r="FL136" s="51">
        <f t="shared" si="487"/>
        <v>0</v>
      </c>
      <c r="FM136" s="51">
        <f t="shared" si="554"/>
        <v>0</v>
      </c>
      <c r="FN136" s="54">
        <f t="shared" si="555"/>
        <v>0</v>
      </c>
      <c r="FO136" s="55">
        <f t="shared" si="556"/>
        <v>0</v>
      </c>
      <c r="FP136" s="56">
        <f>IF(AND($E136&lt;&gt;0,$F136&gt;0,YEAR($F136)&gt;=Preisindex!$A$6,YEAR(FK$4)&gt;=YEAR($F136),AND($K136&lt;&gt;"a",$K136&lt;&gt;"b",$K136&lt;&gt;"g",$K136&lt;&gt;"k")),1,IF(AND($E136&lt;&gt;0,$F136&gt;0,YEAR($F136)&gt;=Preisindex!$A$6,YEAR(FK$4)&gt;=YEAR($F136),$K136="a"),ROUND(VLOOKUP(FP$4,Preisindex,5,FALSE)/VLOOKUP(YEAR($F136),Preisindex,5,FALSE),2),IF(AND($E136&lt;&gt;0,$F136&gt;0,YEAR($F136)&gt;=Preisindex!$A$6,YEAR(FK$4)&gt;=YEAR($F136),$K136="b"),ROUND(VLOOKUP(FP$4,Preisindex,3,FALSE)/VLOOKUP(YEAR($F136),Preisindex,3,FALSE),2),IF(AND($E136&lt;&gt;0,$F136&gt;0,YEAR($F136)&gt;=Preisindex!$A$6,YEAR(FK$4)&gt;=YEAR($F136),$K136="g"),ROUND(VLOOKUP(FP$4,Preisindex,4,FALSE)/VLOOKUP(YEAR($F136),Preisindex,4,FALSE),2),IF(AND($E136&lt;&gt;0,$F136&gt;0,YEAR($F136)&gt;=Preisindex!$A$6,YEAR(FK$4)&gt;=YEAR($F136),$K136="k"),ROUND(VLOOKUP(FP$4,Preisindex,2,FALSE)/VLOOKUP(YEAR($F136),Preisindex,2,FALSE),2),0)))))</f>
        <v>0</v>
      </c>
      <c r="FQ136" s="56">
        <f>IF(AND($E136&lt;&gt;0,$F136&gt;0,YEAR($F136)&lt;Preisindex!$A$6,YEAR(FK$4)&gt;=YEAR($F136),AND($K136&lt;&gt;"a",$K136&lt;&gt;"b",$K136&lt;&gt;"g",$K136&lt;&gt;"k")),1,IF(AND($E136&lt;&gt;0,$F136&gt;0,YEAR($F136)&lt;Preisindex!$A$6,YEAR(FK$4)&gt;=YEAR($F136),$K136="a"),ROUND(VLOOKUP(FP$4,Preisindex,5,FALSE)/VLOOKUP(Preisindex!$A$6,Preisindex,5,FALSE),2),IF(AND($E136&lt;&gt;0,$F136&gt;0,YEAR($F136)&lt;Preisindex!$A$6,YEAR(FK$4)&gt;=YEAR($F136),$K136="b"),ROUND(VLOOKUP(FP$4,Preisindex,3,FALSE)/VLOOKUP(Preisindex!$A$6,Preisindex,3,FALSE),2),IF(AND($E136&lt;&gt;0,$F136&gt;0,YEAR($F136)&lt;Preisindex!$A$6,YEAR(FK$4)&gt;=YEAR($F136),$K136="g"),ROUND(VLOOKUP(FP$4,Preisindex,4,FALSE)/VLOOKUP(Preisindex!$A$6,Preisindex,4,FALSE),2),IF(AND($E136&lt;&gt;0,$F136&gt;0,YEAR($F136)&lt;Preisindex!$A$6,YEAR(FK$4)&gt;=YEAR($F136),$K136="k"),ROUND(VLOOKUP(FP$4,Preisindex,2,FALSE)/VLOOKUP(Preisindex!$A$6,Preisindex,2,FALSE),2),0)))))</f>
        <v>0</v>
      </c>
      <c r="FR136" s="51">
        <f>IF(AND($E136&lt;&gt;0,$F136&gt;0,YEAR($F136)&lt;=FP$4,YEAR($F136)&gt;=Preisindex!$A$6),ROUND($E136*FP136,2),IF(AND($E136&lt;&gt;0,$F136&gt;0,YEAR($F136)&lt;=FP$4,YEAR($F136)&lt;Preisindex!$A$6),ROUND($E136*FQ136,2),0))</f>
        <v>0</v>
      </c>
      <c r="FS136" s="53">
        <f t="shared" si="557"/>
        <v>0</v>
      </c>
    </row>
    <row r="137" spans="1:175" x14ac:dyDescent="0.3">
      <c r="A137" s="93"/>
      <c r="B137" s="94"/>
      <c r="C137" s="94"/>
      <c r="D137" s="95"/>
      <c r="E137" s="99"/>
      <c r="F137" s="97"/>
      <c r="G137" s="98"/>
      <c r="H137" s="620"/>
      <c r="I137" s="621"/>
      <c r="J137" s="194"/>
      <c r="K137" s="630"/>
      <c r="L137" s="49">
        <f t="shared" si="558"/>
        <v>0</v>
      </c>
      <c r="M137" s="50">
        <f t="shared" si="559"/>
        <v>0</v>
      </c>
      <c r="N137" s="51">
        <f t="shared" si="560"/>
        <v>0</v>
      </c>
      <c r="O137" s="51"/>
      <c r="P137" s="51">
        <f t="shared" si="561"/>
        <v>0</v>
      </c>
      <c r="Q137" s="52"/>
      <c r="R137" s="52"/>
      <c r="S137" s="52"/>
      <c r="T137" s="52"/>
      <c r="U137" s="52"/>
      <c r="V137" s="53">
        <f t="shared" si="562"/>
        <v>0</v>
      </c>
      <c r="W137" s="51">
        <f t="shared" si="563"/>
        <v>0</v>
      </c>
      <c r="X137" s="51">
        <f t="shared" si="564"/>
        <v>0</v>
      </c>
      <c r="Y137" s="51">
        <f t="shared" si="565"/>
        <v>0</v>
      </c>
      <c r="Z137" s="51">
        <f t="shared" si="566"/>
        <v>0</v>
      </c>
      <c r="AA137" s="51">
        <f t="shared" si="567"/>
        <v>0</v>
      </c>
      <c r="AB137" s="51">
        <f t="shared" si="568"/>
        <v>0</v>
      </c>
      <c r="AC137" s="51">
        <f t="shared" si="569"/>
        <v>0</v>
      </c>
      <c r="AD137" s="51">
        <f t="shared" si="570"/>
        <v>0</v>
      </c>
      <c r="AE137" s="51">
        <f t="shared" si="571"/>
        <v>0</v>
      </c>
      <c r="AF137" s="51">
        <f t="shared" si="572"/>
        <v>0</v>
      </c>
      <c r="AG137" s="51">
        <f t="shared" si="573"/>
        <v>0</v>
      </c>
      <c r="AH137" s="54">
        <f t="shared" si="574"/>
        <v>0</v>
      </c>
      <c r="AI137" s="55">
        <f t="shared" si="575"/>
        <v>0</v>
      </c>
      <c r="AJ137" s="56">
        <f>IF(AND($E137&lt;&gt;0,$F137&gt;0,YEAR($F137)&gt;=Preisindex!$A$6,YEAR(AE$4)&gt;=YEAR($F137),AND($K137&lt;&gt;"a",$K137&lt;&gt;"b",$K137&lt;&gt;"g",$K137&lt;&gt;"k")),1,IF(AND($E137&lt;&gt;0,$F137&gt;0,YEAR($F137)&gt;=Preisindex!$A$6,YEAR(AE$4)&gt;=YEAR($F137),$K137="a"),ROUND(VLOOKUP(AJ$4,Preisindex,5,FALSE)/VLOOKUP(YEAR($F137),Preisindex,5,FALSE),2),IF(AND($E137&lt;&gt;0,$F137&gt;0,YEAR($F137)&gt;=Preisindex!$A$6,YEAR(AE$4)&gt;=YEAR($F137),$K137="b"),ROUND(VLOOKUP(AJ$4,Preisindex,3,FALSE)/VLOOKUP(YEAR($F137),Preisindex,3,FALSE),2),IF(AND($E137&lt;&gt;0,$F137&gt;0,YEAR($F137)&gt;=Preisindex!$A$6,YEAR(AE$4)&gt;=YEAR($F137),$K137="g"),ROUND(VLOOKUP(AJ$4,Preisindex,4,FALSE)/VLOOKUP(YEAR($F137),Preisindex,4,FALSE),2),IF(AND($E137&lt;&gt;0,$F137&gt;0,YEAR($F137)&gt;=Preisindex!$A$6,YEAR(AE$4)&gt;=YEAR($F137),$K137="k"),ROUND(VLOOKUP(AJ$4,Preisindex,2,FALSE)/VLOOKUP(YEAR($F137),Preisindex,2,FALSE),2),0)))))</f>
        <v>0</v>
      </c>
      <c r="AK137" s="56">
        <f>IF(AND($E137&lt;&gt;0,$F137&gt;0,YEAR($F137)&lt;Preisindex!$A$6,YEAR(AE$4)&gt;=YEAR($F137),AND($K137&lt;&gt;"a",$K137&lt;&gt;"b",$K137&lt;&gt;"g",$K137&lt;&gt;"k")),1,IF(AND($E137&lt;&gt;0,$F137&gt;0,YEAR($F137)&lt;Preisindex!$A$6,YEAR(AE$4)&gt;=YEAR($F137),$K137="a"),ROUND(VLOOKUP(AJ$4,Preisindex,5,FALSE)/VLOOKUP(Preisindex!$A$6,Preisindex,5,FALSE),2),IF(AND($E137&lt;&gt;0,$F137&gt;0,YEAR($F137)&lt;Preisindex!$A$6,YEAR(AE$4)&gt;=YEAR($F137),$K137="b"),ROUND(VLOOKUP(AJ$4,Preisindex,3,FALSE)/VLOOKUP(Preisindex!$A$6,Preisindex,3,FALSE),2),IF(AND($E137&lt;&gt;0,$F137&gt;0,YEAR($F137)&lt;Preisindex!$A$6,YEAR(AE$4)&gt;=YEAR($F137),$K137="g"),ROUND(VLOOKUP(AJ$4,Preisindex,4,FALSE)/VLOOKUP(Preisindex!$A$6,Preisindex,4,FALSE),2),IF(AND($E137&lt;&gt;0,$F137&gt;0,YEAR($F137)&lt;Preisindex!$A$6,YEAR(AE$4)&gt;=YEAR($F137),$K137="k"),ROUND(VLOOKUP(AJ$4,Preisindex,2,FALSE)/VLOOKUP(Preisindex!$A$6,Preisindex,2,FALSE),2),0)))))</f>
        <v>0</v>
      </c>
      <c r="AL137" s="51">
        <f>IF(AND($E137&lt;&gt;0,$F137&gt;0,YEAR($F137)&lt;=AJ$4,YEAR($F137)&gt;=Preisindex!$A$6),ROUND($E137*AJ137,2),IF(AND($E137&lt;&gt;0,$F137&gt;0,YEAR($F137)&lt;=AJ$4,YEAR($F137)&lt;Preisindex!$A$6),ROUND($E137*AK137,2),0))</f>
        <v>0</v>
      </c>
      <c r="AM137" s="53">
        <f t="shared" si="576"/>
        <v>0</v>
      </c>
      <c r="AN137" s="51">
        <f t="shared" si="492"/>
        <v>0</v>
      </c>
      <c r="AO137" s="51">
        <f t="shared" si="448"/>
        <v>0</v>
      </c>
      <c r="AP137" s="51">
        <f t="shared" si="493"/>
        <v>0</v>
      </c>
      <c r="AQ137" s="51">
        <f t="shared" si="449"/>
        <v>0</v>
      </c>
      <c r="AR137" s="51">
        <f t="shared" si="494"/>
        <v>0</v>
      </c>
      <c r="AS137" s="51">
        <f t="shared" si="450"/>
        <v>0</v>
      </c>
      <c r="AT137" s="51">
        <f t="shared" si="495"/>
        <v>0</v>
      </c>
      <c r="AU137" s="51">
        <f t="shared" si="451"/>
        <v>0</v>
      </c>
      <c r="AV137" s="51">
        <f t="shared" si="496"/>
        <v>0</v>
      </c>
      <c r="AW137" s="51">
        <f t="shared" si="452"/>
        <v>0</v>
      </c>
      <c r="AX137" s="51">
        <f t="shared" si="497"/>
        <v>0</v>
      </c>
      <c r="AY137" s="54">
        <f t="shared" si="498"/>
        <v>0</v>
      </c>
      <c r="AZ137" s="55">
        <f t="shared" si="499"/>
        <v>0</v>
      </c>
      <c r="BA137" s="56">
        <f>IF(AND($E137&lt;&gt;0,$F137&gt;0,YEAR($F137)&gt;=Preisindex!$A$6,YEAR(AV$4)&gt;=YEAR($F137),AND($K137&lt;&gt;"a",$K137&lt;&gt;"b",$K137&lt;&gt;"g",$K137&lt;&gt;"k")),1,IF(AND($E137&lt;&gt;0,$F137&gt;0,YEAR($F137)&gt;=Preisindex!$A$6,YEAR(AV$4)&gt;=YEAR($F137),$K137="a"),ROUND(VLOOKUP(BA$4,Preisindex,5,FALSE)/VLOOKUP(YEAR($F137),Preisindex,5,FALSE),2),IF(AND($E137&lt;&gt;0,$F137&gt;0,YEAR($F137)&gt;=Preisindex!$A$6,YEAR(AV$4)&gt;=YEAR($F137),$K137="b"),ROUND(VLOOKUP(BA$4,Preisindex,3,FALSE)/VLOOKUP(YEAR($F137),Preisindex,3,FALSE),2),IF(AND($E137&lt;&gt;0,$F137&gt;0,YEAR($F137)&gt;=Preisindex!$A$6,YEAR(AV$4)&gt;=YEAR($F137),$K137="g"),ROUND(VLOOKUP(BA$4,Preisindex,4,FALSE)/VLOOKUP(YEAR($F137),Preisindex,4,FALSE),2),IF(AND($E137&lt;&gt;0,$F137&gt;0,YEAR($F137)&gt;=Preisindex!$A$6,YEAR(AV$4)&gt;=YEAR($F137),$K137="k"),ROUND(VLOOKUP(BA$4,Preisindex,2,FALSE)/VLOOKUP(YEAR($F137),Preisindex,2,FALSE),2),0)))))</f>
        <v>0</v>
      </c>
      <c r="BB137" s="56">
        <f>IF(AND($E137&lt;&gt;0,$F137&gt;0,YEAR($F137)&lt;Preisindex!$A$6,YEAR(AV$4)&gt;=YEAR($F137),AND($K137&lt;&gt;"a",$K137&lt;&gt;"b",$K137&lt;&gt;"g",$K137&lt;&gt;"k")),1,IF(AND($E137&lt;&gt;0,$F137&gt;0,YEAR($F137)&lt;Preisindex!$A$6,YEAR(AV$4)&gt;=YEAR($F137),$K137="a"),ROUND(VLOOKUP(BA$4,Preisindex,5,FALSE)/VLOOKUP(Preisindex!$A$6,Preisindex,5,FALSE),2),IF(AND($E137&lt;&gt;0,$F137&gt;0,YEAR($F137)&lt;Preisindex!$A$6,YEAR(AV$4)&gt;=YEAR($F137),$K137="b"),ROUND(VLOOKUP(BA$4,Preisindex,3,FALSE)/VLOOKUP(Preisindex!$A$6,Preisindex,3,FALSE),2),IF(AND($E137&lt;&gt;0,$F137&gt;0,YEAR($F137)&lt;Preisindex!$A$6,YEAR(AV$4)&gt;=YEAR($F137),$K137="g"),ROUND(VLOOKUP(BA$4,Preisindex,4,FALSE)/VLOOKUP(Preisindex!$A$6,Preisindex,4,FALSE),2),IF(AND($E137&lt;&gt;0,$F137&gt;0,YEAR($F137)&lt;Preisindex!$A$6,YEAR(AV$4)&gt;=YEAR($F137),$K137="k"),ROUND(VLOOKUP(BA$4,Preisindex,2,FALSE)/VLOOKUP(Preisindex!$A$6,Preisindex,2,FALSE),2),0)))))</f>
        <v>0</v>
      </c>
      <c r="BC137" s="51">
        <f>IF(AND($E137&lt;&gt;0,$F137&gt;0,YEAR($F137)&lt;=BA$4,YEAR($F137)&gt;=Preisindex!$A$6),ROUND($E137*BA137,2),IF(AND($E137&lt;&gt;0,$F137&gt;0,YEAR($F137)&lt;=BA$4,YEAR($F137)&lt;Preisindex!$A$6),ROUND($E137*BB137,2),0))</f>
        <v>0</v>
      </c>
      <c r="BD137" s="53">
        <f t="shared" si="500"/>
        <v>0</v>
      </c>
      <c r="BE137" s="51">
        <f t="shared" si="492"/>
        <v>0</v>
      </c>
      <c r="BF137" s="51">
        <f t="shared" si="453"/>
        <v>0</v>
      </c>
      <c r="BG137" s="51">
        <f t="shared" si="501"/>
        <v>0</v>
      </c>
      <c r="BH137" s="51">
        <f t="shared" si="454"/>
        <v>0</v>
      </c>
      <c r="BI137" s="51">
        <f t="shared" si="502"/>
        <v>0</v>
      </c>
      <c r="BJ137" s="51">
        <f t="shared" si="455"/>
        <v>0</v>
      </c>
      <c r="BK137" s="51">
        <f t="shared" si="503"/>
        <v>0</v>
      </c>
      <c r="BL137" s="51">
        <f t="shared" si="456"/>
        <v>0</v>
      </c>
      <c r="BM137" s="51">
        <f t="shared" si="504"/>
        <v>0</v>
      </c>
      <c r="BN137" s="51">
        <f t="shared" si="457"/>
        <v>0</v>
      </c>
      <c r="BO137" s="51">
        <f t="shared" si="505"/>
        <v>0</v>
      </c>
      <c r="BP137" s="54">
        <f t="shared" si="506"/>
        <v>0</v>
      </c>
      <c r="BQ137" s="55">
        <f t="shared" si="507"/>
        <v>0</v>
      </c>
      <c r="BR137" s="56">
        <f>IF(AND($E137&lt;&gt;0,$F137&gt;0,YEAR($F137)&gt;=Preisindex!$A$6,YEAR(BM$4)&gt;=YEAR($F137),AND($K137&lt;&gt;"a",$K137&lt;&gt;"b",$K137&lt;&gt;"g",$K137&lt;&gt;"k")),1,IF(AND($E137&lt;&gt;0,$F137&gt;0,YEAR($F137)&gt;=Preisindex!$A$6,YEAR(BM$4)&gt;=YEAR($F137),$K137="a"),ROUND(VLOOKUP(BR$4,Preisindex,5,FALSE)/VLOOKUP(YEAR($F137),Preisindex,5,FALSE),2),IF(AND($E137&lt;&gt;0,$F137&gt;0,YEAR($F137)&gt;=Preisindex!$A$6,YEAR(BM$4)&gt;=YEAR($F137),$K137="b"),ROUND(VLOOKUP(BR$4,Preisindex,3,FALSE)/VLOOKUP(YEAR($F137),Preisindex,3,FALSE),2),IF(AND($E137&lt;&gt;0,$F137&gt;0,YEAR($F137)&gt;=Preisindex!$A$6,YEAR(BM$4)&gt;=YEAR($F137),$K137="g"),ROUND(VLOOKUP(BR$4,Preisindex,4,FALSE)/VLOOKUP(YEAR($F137),Preisindex,4,FALSE),2),IF(AND($E137&lt;&gt;0,$F137&gt;0,YEAR($F137)&gt;=Preisindex!$A$6,YEAR(BM$4)&gt;=YEAR($F137),$K137="k"),ROUND(VLOOKUP(BR$4,Preisindex,2,FALSE)/VLOOKUP(YEAR($F137),Preisindex,2,FALSE),2),0)))))</f>
        <v>0</v>
      </c>
      <c r="BS137" s="56">
        <f>IF(AND($E137&lt;&gt;0,$F137&gt;0,YEAR($F137)&lt;Preisindex!$A$6,YEAR(BM$4)&gt;=YEAR($F137),AND($K137&lt;&gt;"a",$K137&lt;&gt;"b",$K137&lt;&gt;"g",$K137&lt;&gt;"k")),1,IF(AND($E137&lt;&gt;0,$F137&gt;0,YEAR($F137)&lt;Preisindex!$A$6,YEAR(BM$4)&gt;=YEAR($F137),$K137="a"),ROUND(VLOOKUP(BR$4,Preisindex,5,FALSE)/VLOOKUP(Preisindex!$A$6,Preisindex,5,FALSE),2),IF(AND($E137&lt;&gt;0,$F137&gt;0,YEAR($F137)&lt;Preisindex!$A$6,YEAR(BM$4)&gt;=YEAR($F137),$K137="b"),ROUND(VLOOKUP(BR$4,Preisindex,3,FALSE)/VLOOKUP(Preisindex!$A$6,Preisindex,3,FALSE),2),IF(AND($E137&lt;&gt;0,$F137&gt;0,YEAR($F137)&lt;Preisindex!$A$6,YEAR(BM$4)&gt;=YEAR($F137),$K137="g"),ROUND(VLOOKUP(BR$4,Preisindex,4,FALSE)/VLOOKUP(Preisindex!$A$6,Preisindex,4,FALSE),2),IF(AND($E137&lt;&gt;0,$F137&gt;0,YEAR($F137)&lt;Preisindex!$A$6,YEAR(BM$4)&gt;=YEAR($F137),$K137="k"),ROUND(VLOOKUP(BR$4,Preisindex,2,FALSE)/VLOOKUP(Preisindex!$A$6,Preisindex,2,FALSE),2),0)))))</f>
        <v>0</v>
      </c>
      <c r="BT137" s="51">
        <f>IF(AND($E137&lt;&gt;0,$F137&gt;0,YEAR($F137)&lt;=BR$4,YEAR($F137)&gt;=Preisindex!$A$6),ROUND($E137*BR137,2),IF(AND($E137&lt;&gt;0,$F137&gt;0,YEAR($F137)&lt;=BR$4,YEAR($F137)&lt;Preisindex!$A$6),ROUND($E137*BS137,2),0))</f>
        <v>0</v>
      </c>
      <c r="BU137" s="53">
        <f t="shared" si="508"/>
        <v>0</v>
      </c>
      <c r="BV137" s="51">
        <f t="shared" si="492"/>
        <v>0</v>
      </c>
      <c r="BW137" s="51">
        <f t="shared" si="458"/>
        <v>0</v>
      </c>
      <c r="BX137" s="51">
        <f t="shared" si="509"/>
        <v>0</v>
      </c>
      <c r="BY137" s="51">
        <f t="shared" si="459"/>
        <v>0</v>
      </c>
      <c r="BZ137" s="51">
        <f t="shared" si="510"/>
        <v>0</v>
      </c>
      <c r="CA137" s="51">
        <f t="shared" si="460"/>
        <v>0</v>
      </c>
      <c r="CB137" s="51">
        <f t="shared" si="511"/>
        <v>0</v>
      </c>
      <c r="CC137" s="51">
        <f t="shared" si="461"/>
        <v>0</v>
      </c>
      <c r="CD137" s="51">
        <f t="shared" si="512"/>
        <v>0</v>
      </c>
      <c r="CE137" s="51">
        <f t="shared" si="462"/>
        <v>0</v>
      </c>
      <c r="CF137" s="51">
        <f t="shared" si="513"/>
        <v>0</v>
      </c>
      <c r="CG137" s="54">
        <f t="shared" si="514"/>
        <v>0</v>
      </c>
      <c r="CH137" s="55">
        <f t="shared" si="515"/>
        <v>0</v>
      </c>
      <c r="CI137" s="56">
        <f>IF(AND($E137&lt;&gt;0,$F137&gt;0,YEAR($F137)&gt;=Preisindex!$A$6,YEAR(CD$4)&gt;=YEAR($F137),AND($K137&lt;&gt;"a",$K137&lt;&gt;"b",$K137&lt;&gt;"g",$K137&lt;&gt;"k")),1,IF(AND($E137&lt;&gt;0,$F137&gt;0,YEAR($F137)&gt;=Preisindex!$A$6,YEAR(CD$4)&gt;=YEAR($F137),$K137="a"),ROUND(VLOOKUP(CI$4,Preisindex,5,FALSE)/VLOOKUP(YEAR($F137),Preisindex,5,FALSE),2),IF(AND($E137&lt;&gt;0,$F137&gt;0,YEAR($F137)&gt;=Preisindex!$A$6,YEAR(CD$4)&gt;=YEAR($F137),$K137="b"),ROUND(VLOOKUP(CI$4,Preisindex,3,FALSE)/VLOOKUP(YEAR($F137),Preisindex,3,FALSE),2),IF(AND($E137&lt;&gt;0,$F137&gt;0,YEAR($F137)&gt;=Preisindex!$A$6,YEAR(CD$4)&gt;=YEAR($F137),$K137="g"),ROUND(VLOOKUP(CI$4,Preisindex,4,FALSE)/VLOOKUP(YEAR($F137),Preisindex,4,FALSE),2),IF(AND($E137&lt;&gt;0,$F137&gt;0,YEAR($F137)&gt;=Preisindex!$A$6,YEAR(CD$4)&gt;=YEAR($F137),$K137="k"),ROUND(VLOOKUP(CI$4,Preisindex,2,FALSE)/VLOOKUP(YEAR($F137),Preisindex,2,FALSE),2),0)))))</f>
        <v>0</v>
      </c>
      <c r="CJ137" s="56">
        <f>IF(AND($E137&lt;&gt;0,$F137&gt;0,YEAR($F137)&lt;Preisindex!$A$6,YEAR(CD$4)&gt;=YEAR($F137),AND($K137&lt;&gt;"a",$K137&lt;&gt;"b",$K137&lt;&gt;"g",$K137&lt;&gt;"k")),1,IF(AND($E137&lt;&gt;0,$F137&gt;0,YEAR($F137)&lt;Preisindex!$A$6,YEAR(CD$4)&gt;=YEAR($F137),$K137="a"),ROUND(VLOOKUP(CI$4,Preisindex,5,FALSE)/VLOOKUP(Preisindex!$A$6,Preisindex,5,FALSE),2),IF(AND($E137&lt;&gt;0,$F137&gt;0,YEAR($F137)&lt;Preisindex!$A$6,YEAR(CD$4)&gt;=YEAR($F137),$K137="b"),ROUND(VLOOKUP(CI$4,Preisindex,3,FALSE)/VLOOKUP(Preisindex!$A$6,Preisindex,3,FALSE),2),IF(AND($E137&lt;&gt;0,$F137&gt;0,YEAR($F137)&lt;Preisindex!$A$6,YEAR(CD$4)&gt;=YEAR($F137),$K137="g"),ROUND(VLOOKUP(CI$4,Preisindex,4,FALSE)/VLOOKUP(Preisindex!$A$6,Preisindex,4,FALSE),2),IF(AND($E137&lt;&gt;0,$F137&gt;0,YEAR($F137)&lt;Preisindex!$A$6,YEAR(CD$4)&gt;=YEAR($F137),$K137="k"),ROUND(VLOOKUP(CI$4,Preisindex,2,FALSE)/VLOOKUP(Preisindex!$A$6,Preisindex,2,FALSE),2),0)))))</f>
        <v>0</v>
      </c>
      <c r="CK137" s="51">
        <f>IF(AND($E137&lt;&gt;0,$F137&gt;0,YEAR($F137)&lt;=CI$4,YEAR($F137)&gt;=Preisindex!$A$6),ROUND($E137*CI137,2),IF(AND($E137&lt;&gt;0,$F137&gt;0,YEAR($F137)&lt;=CI$4,YEAR($F137)&lt;Preisindex!$A$6),ROUND($E137*CJ137,2),0))</f>
        <v>0</v>
      </c>
      <c r="CL137" s="53">
        <f t="shared" si="516"/>
        <v>0</v>
      </c>
      <c r="CM137" s="51">
        <f t="shared" si="492"/>
        <v>0</v>
      </c>
      <c r="CN137" s="51">
        <f t="shared" si="463"/>
        <v>0</v>
      </c>
      <c r="CO137" s="51">
        <f t="shared" si="517"/>
        <v>0</v>
      </c>
      <c r="CP137" s="51">
        <f t="shared" si="464"/>
        <v>0</v>
      </c>
      <c r="CQ137" s="51">
        <f t="shared" si="518"/>
        <v>0</v>
      </c>
      <c r="CR137" s="51">
        <f t="shared" si="465"/>
        <v>0</v>
      </c>
      <c r="CS137" s="51">
        <f t="shared" si="519"/>
        <v>0</v>
      </c>
      <c r="CT137" s="51">
        <f t="shared" si="466"/>
        <v>0</v>
      </c>
      <c r="CU137" s="51">
        <f t="shared" si="520"/>
        <v>0</v>
      </c>
      <c r="CV137" s="51">
        <f t="shared" si="467"/>
        <v>0</v>
      </c>
      <c r="CW137" s="51">
        <f t="shared" si="521"/>
        <v>0</v>
      </c>
      <c r="CX137" s="54">
        <f t="shared" si="522"/>
        <v>0</v>
      </c>
      <c r="CY137" s="55">
        <f t="shared" si="523"/>
        <v>0</v>
      </c>
      <c r="CZ137" s="56">
        <f>IF(AND($E137&lt;&gt;0,$F137&gt;0,YEAR($F137)&gt;=Preisindex!$A$6,YEAR(CU$4)&gt;=YEAR($F137),AND($K137&lt;&gt;"a",$K137&lt;&gt;"b",$K137&lt;&gt;"g",$K137&lt;&gt;"k")),1,IF(AND($E137&lt;&gt;0,$F137&gt;0,YEAR($F137)&gt;=Preisindex!$A$6,YEAR(CU$4)&gt;=YEAR($F137),$K137="a"),ROUND(VLOOKUP(CZ$4,Preisindex,5,FALSE)/VLOOKUP(YEAR($F137),Preisindex,5,FALSE),2),IF(AND($E137&lt;&gt;0,$F137&gt;0,YEAR($F137)&gt;=Preisindex!$A$6,YEAR(CU$4)&gt;=YEAR($F137),$K137="b"),ROUND(VLOOKUP(CZ$4,Preisindex,3,FALSE)/VLOOKUP(YEAR($F137),Preisindex,3,FALSE),2),IF(AND($E137&lt;&gt;0,$F137&gt;0,YEAR($F137)&gt;=Preisindex!$A$6,YEAR(CU$4)&gt;=YEAR($F137),$K137="g"),ROUND(VLOOKUP(CZ$4,Preisindex,4,FALSE)/VLOOKUP(YEAR($F137),Preisindex,4,FALSE),2),IF(AND($E137&lt;&gt;0,$F137&gt;0,YEAR($F137)&gt;=Preisindex!$A$6,YEAR(CU$4)&gt;=YEAR($F137),$K137="k"),ROUND(VLOOKUP(CZ$4,Preisindex,2,FALSE)/VLOOKUP(YEAR($F137),Preisindex,2,FALSE),2),0)))))</f>
        <v>0</v>
      </c>
      <c r="DA137" s="56">
        <f>IF(AND($E137&lt;&gt;0,$F137&gt;0,YEAR($F137)&lt;Preisindex!$A$6,YEAR(CU$4)&gt;=YEAR($F137),AND($K137&lt;&gt;"a",$K137&lt;&gt;"b",$K137&lt;&gt;"g",$K137&lt;&gt;"k")),1,IF(AND($E137&lt;&gt;0,$F137&gt;0,YEAR($F137)&lt;Preisindex!$A$6,YEAR(CU$4)&gt;=YEAR($F137),$K137="a"),ROUND(VLOOKUP(CZ$4,Preisindex,5,FALSE)/VLOOKUP(Preisindex!$A$6,Preisindex,5,FALSE),2),IF(AND($E137&lt;&gt;0,$F137&gt;0,YEAR($F137)&lt;Preisindex!$A$6,YEAR(CU$4)&gt;=YEAR($F137),$K137="b"),ROUND(VLOOKUP(CZ$4,Preisindex,3,FALSE)/VLOOKUP(Preisindex!$A$6,Preisindex,3,FALSE),2),IF(AND($E137&lt;&gt;0,$F137&gt;0,YEAR($F137)&lt;Preisindex!$A$6,YEAR(CU$4)&gt;=YEAR($F137),$K137="g"),ROUND(VLOOKUP(CZ$4,Preisindex,4,FALSE)/VLOOKUP(Preisindex!$A$6,Preisindex,4,FALSE),2),IF(AND($E137&lt;&gt;0,$F137&gt;0,YEAR($F137)&lt;Preisindex!$A$6,YEAR(CU$4)&gt;=YEAR($F137),$K137="k"),ROUND(VLOOKUP(CZ$4,Preisindex,2,FALSE)/VLOOKUP(Preisindex!$A$6,Preisindex,2,FALSE),2),0)))))</f>
        <v>0</v>
      </c>
      <c r="DB137" s="51">
        <f>IF(AND($E137&lt;&gt;0,$F137&gt;0,YEAR($F137)&lt;=CZ$4,YEAR($F137)&gt;=Preisindex!$A$6),ROUND($E137*CZ137,2),IF(AND($E137&lt;&gt;0,$F137&gt;0,YEAR($F137)&lt;=CZ$4,YEAR($F137)&lt;Preisindex!$A$6),ROUND($E137*DA137,2),0))</f>
        <v>0</v>
      </c>
      <c r="DC137" s="53">
        <f t="shared" si="524"/>
        <v>0</v>
      </c>
      <c r="DD137" s="51">
        <f t="shared" si="525"/>
        <v>0</v>
      </c>
      <c r="DE137" s="51">
        <f t="shared" si="468"/>
        <v>0</v>
      </c>
      <c r="DF137" s="51">
        <f t="shared" si="526"/>
        <v>0</v>
      </c>
      <c r="DG137" s="51">
        <f t="shared" si="469"/>
        <v>0</v>
      </c>
      <c r="DH137" s="51">
        <f t="shared" si="527"/>
        <v>0</v>
      </c>
      <c r="DI137" s="51">
        <f t="shared" si="470"/>
        <v>0</v>
      </c>
      <c r="DJ137" s="51">
        <f t="shared" si="528"/>
        <v>0</v>
      </c>
      <c r="DK137" s="51">
        <f t="shared" si="471"/>
        <v>0</v>
      </c>
      <c r="DL137" s="51">
        <f t="shared" si="529"/>
        <v>0</v>
      </c>
      <c r="DM137" s="51">
        <f t="shared" si="472"/>
        <v>0</v>
      </c>
      <c r="DN137" s="51">
        <f t="shared" si="530"/>
        <v>0</v>
      </c>
      <c r="DO137" s="54">
        <f t="shared" si="531"/>
        <v>0</v>
      </c>
      <c r="DP137" s="55">
        <f t="shared" si="532"/>
        <v>0</v>
      </c>
      <c r="DQ137" s="56">
        <f>IF(AND($E137&lt;&gt;0,$F137&gt;0,YEAR($F137)&gt;=Preisindex!$A$6,YEAR(DL$4)&gt;=YEAR($F137),AND($K137&lt;&gt;"a",$K137&lt;&gt;"b",$K137&lt;&gt;"g",$K137&lt;&gt;"k")),1,IF(AND($E137&lt;&gt;0,$F137&gt;0,YEAR($F137)&gt;=Preisindex!$A$6,YEAR(DL$4)&gt;=YEAR($F137),$K137="a"),ROUND(VLOOKUP(DQ$4,Preisindex,5,FALSE)/VLOOKUP(YEAR($F137),Preisindex,5,FALSE),2),IF(AND($E137&lt;&gt;0,$F137&gt;0,YEAR($F137)&gt;=Preisindex!$A$6,YEAR(DL$4)&gt;=YEAR($F137),$K137="b"),ROUND(VLOOKUP(DQ$4,Preisindex,3,FALSE)/VLOOKUP(YEAR($F137),Preisindex,3,FALSE),2),IF(AND($E137&lt;&gt;0,$F137&gt;0,YEAR($F137)&gt;=Preisindex!$A$6,YEAR(DL$4)&gt;=YEAR($F137),$K137="g"),ROUND(VLOOKUP(DQ$4,Preisindex,4,FALSE)/VLOOKUP(YEAR($F137),Preisindex,4,FALSE),2),IF(AND($E137&lt;&gt;0,$F137&gt;0,YEAR($F137)&gt;=Preisindex!$A$6,YEAR(DL$4)&gt;=YEAR($F137),$K137="k"),ROUND(VLOOKUP(DQ$4,Preisindex,2,FALSE)/VLOOKUP(YEAR($F137),Preisindex,2,FALSE),2),0)))))</f>
        <v>0</v>
      </c>
      <c r="DR137" s="56">
        <f>IF(AND($E137&lt;&gt;0,$F137&gt;0,YEAR($F137)&lt;Preisindex!$A$6,YEAR(DL$4)&gt;=YEAR($F137),AND($K137&lt;&gt;"a",$K137&lt;&gt;"b",$K137&lt;&gt;"g",$K137&lt;&gt;"k")),1,IF(AND($E137&lt;&gt;0,$F137&gt;0,YEAR($F137)&lt;Preisindex!$A$6,YEAR(DL$4)&gt;=YEAR($F137),$K137="a"),ROUND(VLOOKUP(DQ$4,Preisindex,5,FALSE)/VLOOKUP(Preisindex!$A$6,Preisindex,5,FALSE),2),IF(AND($E137&lt;&gt;0,$F137&gt;0,YEAR($F137)&lt;Preisindex!$A$6,YEAR(DL$4)&gt;=YEAR($F137),$K137="b"),ROUND(VLOOKUP(DQ$4,Preisindex,3,FALSE)/VLOOKUP(Preisindex!$A$6,Preisindex,3,FALSE),2),IF(AND($E137&lt;&gt;0,$F137&gt;0,YEAR($F137)&lt;Preisindex!$A$6,YEAR(DL$4)&gt;=YEAR($F137),$K137="g"),ROUND(VLOOKUP(DQ$4,Preisindex,4,FALSE)/VLOOKUP(Preisindex!$A$6,Preisindex,4,FALSE),2),IF(AND($E137&lt;&gt;0,$F137&gt;0,YEAR($F137)&lt;Preisindex!$A$6,YEAR(DL$4)&gt;=YEAR($F137),$K137="k"),ROUND(VLOOKUP(DQ$4,Preisindex,2,FALSE)/VLOOKUP(Preisindex!$A$6,Preisindex,2,FALSE),2),0)))))</f>
        <v>0</v>
      </c>
      <c r="DS137" s="51">
        <f>IF(AND($E137&lt;&gt;0,$F137&gt;0,YEAR($F137)&lt;=DQ$4,YEAR($F137)&gt;=Preisindex!$A$6),ROUND($E137*DQ137,2),IF(AND($E137&lt;&gt;0,$F137&gt;0,YEAR($F137)&lt;=DQ$4,YEAR($F137)&lt;Preisindex!$A$6),ROUND($E137*DR137,2),0))</f>
        <v>0</v>
      </c>
      <c r="DT137" s="53">
        <f t="shared" si="533"/>
        <v>0</v>
      </c>
      <c r="DU137" s="51">
        <f t="shared" si="525"/>
        <v>0</v>
      </c>
      <c r="DV137" s="51">
        <f t="shared" si="473"/>
        <v>0</v>
      </c>
      <c r="DW137" s="51">
        <f t="shared" si="534"/>
        <v>0</v>
      </c>
      <c r="DX137" s="51">
        <f t="shared" si="474"/>
        <v>0</v>
      </c>
      <c r="DY137" s="51">
        <f t="shared" si="535"/>
        <v>0</v>
      </c>
      <c r="DZ137" s="51">
        <f t="shared" si="475"/>
        <v>0</v>
      </c>
      <c r="EA137" s="51">
        <f t="shared" si="536"/>
        <v>0</v>
      </c>
      <c r="EB137" s="51">
        <f t="shared" si="476"/>
        <v>0</v>
      </c>
      <c r="EC137" s="51">
        <f t="shared" si="537"/>
        <v>0</v>
      </c>
      <c r="ED137" s="51">
        <f t="shared" si="477"/>
        <v>0</v>
      </c>
      <c r="EE137" s="51">
        <f t="shared" si="538"/>
        <v>0</v>
      </c>
      <c r="EF137" s="54">
        <f t="shared" si="539"/>
        <v>0</v>
      </c>
      <c r="EG137" s="55">
        <f t="shared" si="540"/>
        <v>0</v>
      </c>
      <c r="EH137" s="56">
        <f>IF(AND($E137&lt;&gt;0,$F137&gt;0,YEAR($F137)&gt;=Preisindex!$A$6,YEAR(EC$4)&gt;=YEAR($F137),AND($K137&lt;&gt;"a",$K137&lt;&gt;"b",$K137&lt;&gt;"g",$K137&lt;&gt;"k")),1,IF(AND($E137&lt;&gt;0,$F137&gt;0,YEAR($F137)&gt;=Preisindex!$A$6,YEAR(EC$4)&gt;=YEAR($F137),$K137="a"),ROUND(VLOOKUP(EH$4,Preisindex,5,FALSE)/VLOOKUP(YEAR($F137),Preisindex,5,FALSE),2),IF(AND($E137&lt;&gt;0,$F137&gt;0,YEAR($F137)&gt;=Preisindex!$A$6,YEAR(EC$4)&gt;=YEAR($F137),$K137="b"),ROUND(VLOOKUP(EH$4,Preisindex,3,FALSE)/VLOOKUP(YEAR($F137),Preisindex,3,FALSE),2),IF(AND($E137&lt;&gt;0,$F137&gt;0,YEAR($F137)&gt;=Preisindex!$A$6,YEAR(EC$4)&gt;=YEAR($F137),$K137="g"),ROUND(VLOOKUP(EH$4,Preisindex,4,FALSE)/VLOOKUP(YEAR($F137),Preisindex,4,FALSE),2),IF(AND($E137&lt;&gt;0,$F137&gt;0,YEAR($F137)&gt;=Preisindex!$A$6,YEAR(EC$4)&gt;=YEAR($F137),$K137="k"),ROUND(VLOOKUP(EH$4,Preisindex,2,FALSE)/VLOOKUP(YEAR($F137),Preisindex,2,FALSE),2),0)))))</f>
        <v>0</v>
      </c>
      <c r="EI137" s="56">
        <f>IF(AND($E137&lt;&gt;0,$F137&gt;0,YEAR($F137)&lt;Preisindex!$A$6,YEAR(EC$4)&gt;=YEAR($F137),AND($K137&lt;&gt;"a",$K137&lt;&gt;"b",$K137&lt;&gt;"g",$K137&lt;&gt;"k")),1,IF(AND($E137&lt;&gt;0,$F137&gt;0,YEAR($F137)&lt;Preisindex!$A$6,YEAR(EC$4)&gt;=YEAR($F137),$K137="a"),ROUND(VLOOKUP(EH$4,Preisindex,5,FALSE)/VLOOKUP(Preisindex!$A$6,Preisindex,5,FALSE),2),IF(AND($E137&lt;&gt;0,$F137&gt;0,YEAR($F137)&lt;Preisindex!$A$6,YEAR(EC$4)&gt;=YEAR($F137),$K137="b"),ROUND(VLOOKUP(EH$4,Preisindex,3,FALSE)/VLOOKUP(Preisindex!$A$6,Preisindex,3,FALSE),2),IF(AND($E137&lt;&gt;0,$F137&gt;0,YEAR($F137)&lt;Preisindex!$A$6,YEAR(EC$4)&gt;=YEAR($F137),$K137="g"),ROUND(VLOOKUP(EH$4,Preisindex,4,FALSE)/VLOOKUP(Preisindex!$A$6,Preisindex,4,FALSE),2),IF(AND($E137&lt;&gt;0,$F137&gt;0,YEAR($F137)&lt;Preisindex!$A$6,YEAR(EC$4)&gt;=YEAR($F137),$K137="k"),ROUND(VLOOKUP(EH$4,Preisindex,2,FALSE)/VLOOKUP(Preisindex!$A$6,Preisindex,2,FALSE),2),0)))))</f>
        <v>0</v>
      </c>
      <c r="EJ137" s="51">
        <f>IF(AND($E137&lt;&gt;0,$F137&gt;0,YEAR($F137)&lt;=EH$4,YEAR($F137)&gt;=Preisindex!$A$6),ROUND($E137*EH137,2),IF(AND($E137&lt;&gt;0,$F137&gt;0,YEAR($F137)&lt;=EH$4,YEAR($F137)&lt;Preisindex!$A$6),ROUND($E137*EI137,2),0))</f>
        <v>0</v>
      </c>
      <c r="EK137" s="53">
        <f t="shared" si="541"/>
        <v>0</v>
      </c>
      <c r="EL137" s="51">
        <f t="shared" si="525"/>
        <v>0</v>
      </c>
      <c r="EM137" s="51">
        <f t="shared" si="478"/>
        <v>0</v>
      </c>
      <c r="EN137" s="51">
        <f t="shared" si="542"/>
        <v>0</v>
      </c>
      <c r="EO137" s="51">
        <f t="shared" si="479"/>
        <v>0</v>
      </c>
      <c r="EP137" s="51">
        <f t="shared" si="543"/>
        <v>0</v>
      </c>
      <c r="EQ137" s="51">
        <f t="shared" si="480"/>
        <v>0</v>
      </c>
      <c r="ER137" s="51">
        <f t="shared" si="544"/>
        <v>0</v>
      </c>
      <c r="ES137" s="51">
        <f t="shared" si="481"/>
        <v>0</v>
      </c>
      <c r="ET137" s="51">
        <f t="shared" si="545"/>
        <v>0</v>
      </c>
      <c r="EU137" s="51">
        <f t="shared" si="482"/>
        <v>0</v>
      </c>
      <c r="EV137" s="51">
        <f t="shared" si="546"/>
        <v>0</v>
      </c>
      <c r="EW137" s="54">
        <f t="shared" si="547"/>
        <v>0</v>
      </c>
      <c r="EX137" s="55">
        <f t="shared" si="548"/>
        <v>0</v>
      </c>
      <c r="EY137" s="56">
        <f>IF(AND($E137&lt;&gt;0,$F137&gt;0,YEAR($F137)&gt;=Preisindex!$A$6,YEAR(ET$4)&gt;=YEAR($F137),AND($K137&lt;&gt;"a",$K137&lt;&gt;"b",$K137&lt;&gt;"g",$K137&lt;&gt;"k")),1,IF(AND($E137&lt;&gt;0,$F137&gt;0,YEAR($F137)&gt;=Preisindex!$A$6,YEAR(ET$4)&gt;=YEAR($F137),$K137="a"),ROUND(VLOOKUP(EY$4,Preisindex,5,FALSE)/VLOOKUP(YEAR($F137),Preisindex,5,FALSE),2),IF(AND($E137&lt;&gt;0,$F137&gt;0,YEAR($F137)&gt;=Preisindex!$A$6,YEAR(ET$4)&gt;=YEAR($F137),$K137="b"),ROUND(VLOOKUP(EY$4,Preisindex,3,FALSE)/VLOOKUP(YEAR($F137),Preisindex,3,FALSE),2),IF(AND($E137&lt;&gt;0,$F137&gt;0,YEAR($F137)&gt;=Preisindex!$A$6,YEAR(ET$4)&gt;=YEAR($F137),$K137="g"),ROUND(VLOOKUP(EY$4,Preisindex,4,FALSE)/VLOOKUP(YEAR($F137),Preisindex,4,FALSE),2),IF(AND($E137&lt;&gt;0,$F137&gt;0,YEAR($F137)&gt;=Preisindex!$A$6,YEAR(ET$4)&gt;=YEAR($F137),$K137="k"),ROUND(VLOOKUP(EY$4,Preisindex,2,FALSE)/VLOOKUP(YEAR($F137),Preisindex,2,FALSE),2),0)))))</f>
        <v>0</v>
      </c>
      <c r="EZ137" s="56">
        <f>IF(AND($E137&lt;&gt;0,$F137&gt;0,YEAR($F137)&lt;Preisindex!$A$6,YEAR(ET$4)&gt;=YEAR($F137),AND($K137&lt;&gt;"a",$K137&lt;&gt;"b",$K137&lt;&gt;"g",$K137&lt;&gt;"k")),1,IF(AND($E137&lt;&gt;0,$F137&gt;0,YEAR($F137)&lt;Preisindex!$A$6,YEAR(ET$4)&gt;=YEAR($F137),$K137="a"),ROUND(VLOOKUP(EY$4,Preisindex,5,FALSE)/VLOOKUP(Preisindex!$A$6,Preisindex,5,FALSE),2),IF(AND($E137&lt;&gt;0,$F137&gt;0,YEAR($F137)&lt;Preisindex!$A$6,YEAR(ET$4)&gt;=YEAR($F137),$K137="b"),ROUND(VLOOKUP(EY$4,Preisindex,3,FALSE)/VLOOKUP(Preisindex!$A$6,Preisindex,3,FALSE),2),IF(AND($E137&lt;&gt;0,$F137&gt;0,YEAR($F137)&lt;Preisindex!$A$6,YEAR(ET$4)&gt;=YEAR($F137),$K137="g"),ROUND(VLOOKUP(EY$4,Preisindex,4,FALSE)/VLOOKUP(Preisindex!$A$6,Preisindex,4,FALSE),2),IF(AND($E137&lt;&gt;0,$F137&gt;0,YEAR($F137)&lt;Preisindex!$A$6,YEAR(ET$4)&gt;=YEAR($F137),$K137="k"),ROUND(VLOOKUP(EY$4,Preisindex,2,FALSE)/VLOOKUP(Preisindex!$A$6,Preisindex,2,FALSE),2),0)))))</f>
        <v>0</v>
      </c>
      <c r="FA137" s="51">
        <f>IF(AND($E137&lt;&gt;0,$F137&gt;0,YEAR($F137)&lt;=EY$4,YEAR($F137)&gt;=Preisindex!$A$6),ROUND($E137*EY137,2),IF(AND($E137&lt;&gt;0,$F137&gt;0,YEAR($F137)&lt;=EY$4,YEAR($F137)&lt;Preisindex!$A$6),ROUND($E137*EZ137,2),0))</f>
        <v>0</v>
      </c>
      <c r="FB137" s="53">
        <f t="shared" si="549"/>
        <v>0</v>
      </c>
      <c r="FC137" s="51">
        <f t="shared" si="525"/>
        <v>0</v>
      </c>
      <c r="FD137" s="51">
        <f t="shared" si="483"/>
        <v>0</v>
      </c>
      <c r="FE137" s="51">
        <f t="shared" si="550"/>
        <v>0</v>
      </c>
      <c r="FF137" s="51">
        <f t="shared" si="484"/>
        <v>0</v>
      </c>
      <c r="FG137" s="51">
        <f t="shared" si="551"/>
        <v>0</v>
      </c>
      <c r="FH137" s="51">
        <f t="shared" si="485"/>
        <v>0</v>
      </c>
      <c r="FI137" s="51">
        <f t="shared" si="552"/>
        <v>0</v>
      </c>
      <c r="FJ137" s="51">
        <f t="shared" si="486"/>
        <v>0</v>
      </c>
      <c r="FK137" s="51">
        <f t="shared" si="553"/>
        <v>0</v>
      </c>
      <c r="FL137" s="51">
        <f t="shared" si="487"/>
        <v>0</v>
      </c>
      <c r="FM137" s="51">
        <f t="shared" si="554"/>
        <v>0</v>
      </c>
      <c r="FN137" s="54">
        <f t="shared" si="555"/>
        <v>0</v>
      </c>
      <c r="FO137" s="55">
        <f t="shared" si="556"/>
        <v>0</v>
      </c>
      <c r="FP137" s="56">
        <f>IF(AND($E137&lt;&gt;0,$F137&gt;0,YEAR($F137)&gt;=Preisindex!$A$6,YEAR(FK$4)&gt;=YEAR($F137),AND($K137&lt;&gt;"a",$K137&lt;&gt;"b",$K137&lt;&gt;"g",$K137&lt;&gt;"k")),1,IF(AND($E137&lt;&gt;0,$F137&gt;0,YEAR($F137)&gt;=Preisindex!$A$6,YEAR(FK$4)&gt;=YEAR($F137),$K137="a"),ROUND(VLOOKUP(FP$4,Preisindex,5,FALSE)/VLOOKUP(YEAR($F137),Preisindex,5,FALSE),2),IF(AND($E137&lt;&gt;0,$F137&gt;0,YEAR($F137)&gt;=Preisindex!$A$6,YEAR(FK$4)&gt;=YEAR($F137),$K137="b"),ROUND(VLOOKUP(FP$4,Preisindex,3,FALSE)/VLOOKUP(YEAR($F137),Preisindex,3,FALSE),2),IF(AND($E137&lt;&gt;0,$F137&gt;0,YEAR($F137)&gt;=Preisindex!$A$6,YEAR(FK$4)&gt;=YEAR($F137),$K137="g"),ROUND(VLOOKUP(FP$4,Preisindex,4,FALSE)/VLOOKUP(YEAR($F137),Preisindex,4,FALSE),2),IF(AND($E137&lt;&gt;0,$F137&gt;0,YEAR($F137)&gt;=Preisindex!$A$6,YEAR(FK$4)&gt;=YEAR($F137),$K137="k"),ROUND(VLOOKUP(FP$4,Preisindex,2,FALSE)/VLOOKUP(YEAR($F137),Preisindex,2,FALSE),2),0)))))</f>
        <v>0</v>
      </c>
      <c r="FQ137" s="56">
        <f>IF(AND($E137&lt;&gt;0,$F137&gt;0,YEAR($F137)&lt;Preisindex!$A$6,YEAR(FK$4)&gt;=YEAR($F137),AND($K137&lt;&gt;"a",$K137&lt;&gt;"b",$K137&lt;&gt;"g",$K137&lt;&gt;"k")),1,IF(AND($E137&lt;&gt;0,$F137&gt;0,YEAR($F137)&lt;Preisindex!$A$6,YEAR(FK$4)&gt;=YEAR($F137),$K137="a"),ROUND(VLOOKUP(FP$4,Preisindex,5,FALSE)/VLOOKUP(Preisindex!$A$6,Preisindex,5,FALSE),2),IF(AND($E137&lt;&gt;0,$F137&gt;0,YEAR($F137)&lt;Preisindex!$A$6,YEAR(FK$4)&gt;=YEAR($F137),$K137="b"),ROUND(VLOOKUP(FP$4,Preisindex,3,FALSE)/VLOOKUP(Preisindex!$A$6,Preisindex,3,FALSE),2),IF(AND($E137&lt;&gt;0,$F137&gt;0,YEAR($F137)&lt;Preisindex!$A$6,YEAR(FK$4)&gt;=YEAR($F137),$K137="g"),ROUND(VLOOKUP(FP$4,Preisindex,4,FALSE)/VLOOKUP(Preisindex!$A$6,Preisindex,4,FALSE),2),IF(AND($E137&lt;&gt;0,$F137&gt;0,YEAR($F137)&lt;Preisindex!$A$6,YEAR(FK$4)&gt;=YEAR($F137),$K137="k"),ROUND(VLOOKUP(FP$4,Preisindex,2,FALSE)/VLOOKUP(Preisindex!$A$6,Preisindex,2,FALSE),2),0)))))</f>
        <v>0</v>
      </c>
      <c r="FR137" s="51">
        <f>IF(AND($E137&lt;&gt;0,$F137&gt;0,YEAR($F137)&lt;=FP$4,YEAR($F137)&gt;=Preisindex!$A$6),ROUND($E137*FP137,2),IF(AND($E137&lt;&gt;0,$F137&gt;0,YEAR($F137)&lt;=FP$4,YEAR($F137)&lt;Preisindex!$A$6),ROUND($E137*FQ137,2),0))</f>
        <v>0</v>
      </c>
      <c r="FS137" s="53">
        <f t="shared" si="557"/>
        <v>0</v>
      </c>
    </row>
    <row r="138" spans="1:175" x14ac:dyDescent="0.3">
      <c r="A138" s="93"/>
      <c r="B138" s="94"/>
      <c r="C138" s="94"/>
      <c r="D138" s="95"/>
      <c r="E138" s="99"/>
      <c r="F138" s="97"/>
      <c r="G138" s="98"/>
      <c r="H138" s="620"/>
      <c r="I138" s="621"/>
      <c r="J138" s="194"/>
      <c r="K138" s="630"/>
      <c r="L138" s="49">
        <f t="shared" si="558"/>
        <v>0</v>
      </c>
      <c r="M138" s="50">
        <f t="shared" si="559"/>
        <v>0</v>
      </c>
      <c r="N138" s="51">
        <f t="shared" si="560"/>
        <v>0</v>
      </c>
      <c r="O138" s="51"/>
      <c r="P138" s="51">
        <f t="shared" si="561"/>
        <v>0</v>
      </c>
      <c r="Q138" s="52"/>
      <c r="R138" s="52"/>
      <c r="S138" s="52"/>
      <c r="T138" s="52"/>
      <c r="U138" s="52"/>
      <c r="V138" s="53">
        <f t="shared" si="562"/>
        <v>0</v>
      </c>
      <c r="W138" s="51">
        <f t="shared" si="563"/>
        <v>0</v>
      </c>
      <c r="X138" s="51">
        <f t="shared" si="564"/>
        <v>0</v>
      </c>
      <c r="Y138" s="51">
        <f t="shared" si="565"/>
        <v>0</v>
      </c>
      <c r="Z138" s="51">
        <f t="shared" si="566"/>
        <v>0</v>
      </c>
      <c r="AA138" s="51">
        <f t="shared" si="567"/>
        <v>0</v>
      </c>
      <c r="AB138" s="51">
        <f t="shared" si="568"/>
        <v>0</v>
      </c>
      <c r="AC138" s="51">
        <f t="shared" si="569"/>
        <v>0</v>
      </c>
      <c r="AD138" s="51">
        <f t="shared" si="570"/>
        <v>0</v>
      </c>
      <c r="AE138" s="51">
        <f t="shared" si="571"/>
        <v>0</v>
      </c>
      <c r="AF138" s="51">
        <f t="shared" si="572"/>
        <v>0</v>
      </c>
      <c r="AG138" s="51">
        <f t="shared" si="573"/>
        <v>0</v>
      </c>
      <c r="AH138" s="54">
        <f t="shared" si="574"/>
        <v>0</v>
      </c>
      <c r="AI138" s="55">
        <f t="shared" si="575"/>
        <v>0</v>
      </c>
      <c r="AJ138" s="56">
        <f>IF(AND($E138&lt;&gt;0,$F138&gt;0,YEAR($F138)&gt;=Preisindex!$A$6,YEAR(AE$4)&gt;=YEAR($F138),AND($K138&lt;&gt;"a",$K138&lt;&gt;"b",$K138&lt;&gt;"g",$K138&lt;&gt;"k")),1,IF(AND($E138&lt;&gt;0,$F138&gt;0,YEAR($F138)&gt;=Preisindex!$A$6,YEAR(AE$4)&gt;=YEAR($F138),$K138="a"),ROUND(VLOOKUP(AJ$4,Preisindex,5,FALSE)/VLOOKUP(YEAR($F138),Preisindex,5,FALSE),2),IF(AND($E138&lt;&gt;0,$F138&gt;0,YEAR($F138)&gt;=Preisindex!$A$6,YEAR(AE$4)&gt;=YEAR($F138),$K138="b"),ROUND(VLOOKUP(AJ$4,Preisindex,3,FALSE)/VLOOKUP(YEAR($F138),Preisindex,3,FALSE),2),IF(AND($E138&lt;&gt;0,$F138&gt;0,YEAR($F138)&gt;=Preisindex!$A$6,YEAR(AE$4)&gt;=YEAR($F138),$K138="g"),ROUND(VLOOKUP(AJ$4,Preisindex,4,FALSE)/VLOOKUP(YEAR($F138),Preisindex,4,FALSE),2),IF(AND($E138&lt;&gt;0,$F138&gt;0,YEAR($F138)&gt;=Preisindex!$A$6,YEAR(AE$4)&gt;=YEAR($F138),$K138="k"),ROUND(VLOOKUP(AJ$4,Preisindex,2,FALSE)/VLOOKUP(YEAR($F138),Preisindex,2,FALSE),2),0)))))</f>
        <v>0</v>
      </c>
      <c r="AK138" s="56">
        <f>IF(AND($E138&lt;&gt;0,$F138&gt;0,YEAR($F138)&lt;Preisindex!$A$6,YEAR(AE$4)&gt;=YEAR($F138),AND($K138&lt;&gt;"a",$K138&lt;&gt;"b",$K138&lt;&gt;"g",$K138&lt;&gt;"k")),1,IF(AND($E138&lt;&gt;0,$F138&gt;0,YEAR($F138)&lt;Preisindex!$A$6,YEAR(AE$4)&gt;=YEAR($F138),$K138="a"),ROUND(VLOOKUP(AJ$4,Preisindex,5,FALSE)/VLOOKUP(Preisindex!$A$6,Preisindex,5,FALSE),2),IF(AND($E138&lt;&gt;0,$F138&gt;0,YEAR($F138)&lt;Preisindex!$A$6,YEAR(AE$4)&gt;=YEAR($F138),$K138="b"),ROUND(VLOOKUP(AJ$4,Preisindex,3,FALSE)/VLOOKUP(Preisindex!$A$6,Preisindex,3,FALSE),2),IF(AND($E138&lt;&gt;0,$F138&gt;0,YEAR($F138)&lt;Preisindex!$A$6,YEAR(AE$4)&gt;=YEAR($F138),$K138="g"),ROUND(VLOOKUP(AJ$4,Preisindex,4,FALSE)/VLOOKUP(Preisindex!$A$6,Preisindex,4,FALSE),2),IF(AND($E138&lt;&gt;0,$F138&gt;0,YEAR($F138)&lt;Preisindex!$A$6,YEAR(AE$4)&gt;=YEAR($F138),$K138="k"),ROUND(VLOOKUP(AJ$4,Preisindex,2,FALSE)/VLOOKUP(Preisindex!$A$6,Preisindex,2,FALSE),2),0)))))</f>
        <v>0</v>
      </c>
      <c r="AL138" s="51">
        <f>IF(AND($E138&lt;&gt;0,$F138&gt;0,YEAR($F138)&lt;=AJ$4,YEAR($F138)&gt;=Preisindex!$A$6),ROUND($E138*AJ138,2),IF(AND($E138&lt;&gt;0,$F138&gt;0,YEAR($F138)&lt;=AJ$4,YEAR($F138)&lt;Preisindex!$A$6),ROUND($E138*AK138,2),0))</f>
        <v>0</v>
      </c>
      <c r="AM138" s="53">
        <f t="shared" si="576"/>
        <v>0</v>
      </c>
      <c r="AN138" s="51">
        <f t="shared" si="492"/>
        <v>0</v>
      </c>
      <c r="AO138" s="51">
        <f t="shared" si="448"/>
        <v>0</v>
      </c>
      <c r="AP138" s="51">
        <f t="shared" si="493"/>
        <v>0</v>
      </c>
      <c r="AQ138" s="51">
        <f t="shared" si="449"/>
        <v>0</v>
      </c>
      <c r="AR138" s="51">
        <f t="shared" si="494"/>
        <v>0</v>
      </c>
      <c r="AS138" s="51">
        <f t="shared" si="450"/>
        <v>0</v>
      </c>
      <c r="AT138" s="51">
        <f t="shared" si="495"/>
        <v>0</v>
      </c>
      <c r="AU138" s="51">
        <f t="shared" si="451"/>
        <v>0</v>
      </c>
      <c r="AV138" s="51">
        <f t="shared" si="496"/>
        <v>0</v>
      </c>
      <c r="AW138" s="51">
        <f t="shared" si="452"/>
        <v>0</v>
      </c>
      <c r="AX138" s="51">
        <f t="shared" si="497"/>
        <v>0</v>
      </c>
      <c r="AY138" s="54">
        <f t="shared" si="498"/>
        <v>0</v>
      </c>
      <c r="AZ138" s="55">
        <f t="shared" si="499"/>
        <v>0</v>
      </c>
      <c r="BA138" s="56">
        <f>IF(AND($E138&lt;&gt;0,$F138&gt;0,YEAR($F138)&gt;=Preisindex!$A$6,YEAR(AV$4)&gt;=YEAR($F138),AND($K138&lt;&gt;"a",$K138&lt;&gt;"b",$K138&lt;&gt;"g",$K138&lt;&gt;"k")),1,IF(AND($E138&lt;&gt;0,$F138&gt;0,YEAR($F138)&gt;=Preisindex!$A$6,YEAR(AV$4)&gt;=YEAR($F138),$K138="a"),ROUND(VLOOKUP(BA$4,Preisindex,5,FALSE)/VLOOKUP(YEAR($F138),Preisindex,5,FALSE),2),IF(AND($E138&lt;&gt;0,$F138&gt;0,YEAR($F138)&gt;=Preisindex!$A$6,YEAR(AV$4)&gt;=YEAR($F138),$K138="b"),ROUND(VLOOKUP(BA$4,Preisindex,3,FALSE)/VLOOKUP(YEAR($F138),Preisindex,3,FALSE),2),IF(AND($E138&lt;&gt;0,$F138&gt;0,YEAR($F138)&gt;=Preisindex!$A$6,YEAR(AV$4)&gt;=YEAR($F138),$K138="g"),ROUND(VLOOKUP(BA$4,Preisindex,4,FALSE)/VLOOKUP(YEAR($F138),Preisindex,4,FALSE),2),IF(AND($E138&lt;&gt;0,$F138&gt;0,YEAR($F138)&gt;=Preisindex!$A$6,YEAR(AV$4)&gt;=YEAR($F138),$K138="k"),ROUND(VLOOKUP(BA$4,Preisindex,2,FALSE)/VLOOKUP(YEAR($F138),Preisindex,2,FALSE),2),0)))))</f>
        <v>0</v>
      </c>
      <c r="BB138" s="56">
        <f>IF(AND($E138&lt;&gt;0,$F138&gt;0,YEAR($F138)&lt;Preisindex!$A$6,YEAR(AV$4)&gt;=YEAR($F138),AND($K138&lt;&gt;"a",$K138&lt;&gt;"b",$K138&lt;&gt;"g",$K138&lt;&gt;"k")),1,IF(AND($E138&lt;&gt;0,$F138&gt;0,YEAR($F138)&lt;Preisindex!$A$6,YEAR(AV$4)&gt;=YEAR($F138),$K138="a"),ROUND(VLOOKUP(BA$4,Preisindex,5,FALSE)/VLOOKUP(Preisindex!$A$6,Preisindex,5,FALSE),2),IF(AND($E138&lt;&gt;0,$F138&gt;0,YEAR($F138)&lt;Preisindex!$A$6,YEAR(AV$4)&gt;=YEAR($F138),$K138="b"),ROUND(VLOOKUP(BA$4,Preisindex,3,FALSE)/VLOOKUP(Preisindex!$A$6,Preisindex,3,FALSE),2),IF(AND($E138&lt;&gt;0,$F138&gt;0,YEAR($F138)&lt;Preisindex!$A$6,YEAR(AV$4)&gt;=YEAR($F138),$K138="g"),ROUND(VLOOKUP(BA$4,Preisindex,4,FALSE)/VLOOKUP(Preisindex!$A$6,Preisindex,4,FALSE),2),IF(AND($E138&lt;&gt;0,$F138&gt;0,YEAR($F138)&lt;Preisindex!$A$6,YEAR(AV$4)&gt;=YEAR($F138),$K138="k"),ROUND(VLOOKUP(BA$4,Preisindex,2,FALSE)/VLOOKUP(Preisindex!$A$6,Preisindex,2,FALSE),2),0)))))</f>
        <v>0</v>
      </c>
      <c r="BC138" s="51">
        <f>IF(AND($E138&lt;&gt;0,$F138&gt;0,YEAR($F138)&lt;=BA$4,YEAR($F138)&gt;=Preisindex!$A$6),ROUND($E138*BA138,2),IF(AND($E138&lt;&gt;0,$F138&gt;0,YEAR($F138)&lt;=BA$4,YEAR($F138)&lt;Preisindex!$A$6),ROUND($E138*BB138,2),0))</f>
        <v>0</v>
      </c>
      <c r="BD138" s="53">
        <f t="shared" si="500"/>
        <v>0</v>
      </c>
      <c r="BE138" s="51">
        <f t="shared" si="492"/>
        <v>0</v>
      </c>
      <c r="BF138" s="51">
        <f t="shared" si="453"/>
        <v>0</v>
      </c>
      <c r="BG138" s="51">
        <f t="shared" si="501"/>
        <v>0</v>
      </c>
      <c r="BH138" s="51">
        <f t="shared" si="454"/>
        <v>0</v>
      </c>
      <c r="BI138" s="51">
        <f t="shared" si="502"/>
        <v>0</v>
      </c>
      <c r="BJ138" s="51">
        <f t="shared" si="455"/>
        <v>0</v>
      </c>
      <c r="BK138" s="51">
        <f t="shared" si="503"/>
        <v>0</v>
      </c>
      <c r="BL138" s="51">
        <f t="shared" si="456"/>
        <v>0</v>
      </c>
      <c r="BM138" s="51">
        <f t="shared" si="504"/>
        <v>0</v>
      </c>
      <c r="BN138" s="51">
        <f t="shared" si="457"/>
        <v>0</v>
      </c>
      <c r="BO138" s="51">
        <f t="shared" si="505"/>
        <v>0</v>
      </c>
      <c r="BP138" s="54">
        <f t="shared" si="506"/>
        <v>0</v>
      </c>
      <c r="BQ138" s="55">
        <f t="shared" si="507"/>
        <v>0</v>
      </c>
      <c r="BR138" s="56">
        <f>IF(AND($E138&lt;&gt;0,$F138&gt;0,YEAR($F138)&gt;=Preisindex!$A$6,YEAR(BM$4)&gt;=YEAR($F138),AND($K138&lt;&gt;"a",$K138&lt;&gt;"b",$K138&lt;&gt;"g",$K138&lt;&gt;"k")),1,IF(AND($E138&lt;&gt;0,$F138&gt;0,YEAR($F138)&gt;=Preisindex!$A$6,YEAR(BM$4)&gt;=YEAR($F138),$K138="a"),ROUND(VLOOKUP(BR$4,Preisindex,5,FALSE)/VLOOKUP(YEAR($F138),Preisindex,5,FALSE),2),IF(AND($E138&lt;&gt;0,$F138&gt;0,YEAR($F138)&gt;=Preisindex!$A$6,YEAR(BM$4)&gt;=YEAR($F138),$K138="b"),ROUND(VLOOKUP(BR$4,Preisindex,3,FALSE)/VLOOKUP(YEAR($F138),Preisindex,3,FALSE),2),IF(AND($E138&lt;&gt;0,$F138&gt;0,YEAR($F138)&gt;=Preisindex!$A$6,YEAR(BM$4)&gt;=YEAR($F138),$K138="g"),ROUND(VLOOKUP(BR$4,Preisindex,4,FALSE)/VLOOKUP(YEAR($F138),Preisindex,4,FALSE),2),IF(AND($E138&lt;&gt;0,$F138&gt;0,YEAR($F138)&gt;=Preisindex!$A$6,YEAR(BM$4)&gt;=YEAR($F138),$K138="k"),ROUND(VLOOKUP(BR$4,Preisindex,2,FALSE)/VLOOKUP(YEAR($F138),Preisindex,2,FALSE),2),0)))))</f>
        <v>0</v>
      </c>
      <c r="BS138" s="56">
        <f>IF(AND($E138&lt;&gt;0,$F138&gt;0,YEAR($F138)&lt;Preisindex!$A$6,YEAR(BM$4)&gt;=YEAR($F138),AND($K138&lt;&gt;"a",$K138&lt;&gt;"b",$K138&lt;&gt;"g",$K138&lt;&gt;"k")),1,IF(AND($E138&lt;&gt;0,$F138&gt;0,YEAR($F138)&lt;Preisindex!$A$6,YEAR(BM$4)&gt;=YEAR($F138),$K138="a"),ROUND(VLOOKUP(BR$4,Preisindex,5,FALSE)/VLOOKUP(Preisindex!$A$6,Preisindex,5,FALSE),2),IF(AND($E138&lt;&gt;0,$F138&gt;0,YEAR($F138)&lt;Preisindex!$A$6,YEAR(BM$4)&gt;=YEAR($F138),$K138="b"),ROUND(VLOOKUP(BR$4,Preisindex,3,FALSE)/VLOOKUP(Preisindex!$A$6,Preisindex,3,FALSE),2),IF(AND($E138&lt;&gt;0,$F138&gt;0,YEAR($F138)&lt;Preisindex!$A$6,YEAR(BM$4)&gt;=YEAR($F138),$K138="g"),ROUND(VLOOKUP(BR$4,Preisindex,4,FALSE)/VLOOKUP(Preisindex!$A$6,Preisindex,4,FALSE),2),IF(AND($E138&lt;&gt;0,$F138&gt;0,YEAR($F138)&lt;Preisindex!$A$6,YEAR(BM$4)&gt;=YEAR($F138),$K138="k"),ROUND(VLOOKUP(BR$4,Preisindex,2,FALSE)/VLOOKUP(Preisindex!$A$6,Preisindex,2,FALSE),2),0)))))</f>
        <v>0</v>
      </c>
      <c r="BT138" s="51">
        <f>IF(AND($E138&lt;&gt;0,$F138&gt;0,YEAR($F138)&lt;=BR$4,YEAR($F138)&gt;=Preisindex!$A$6),ROUND($E138*BR138,2),IF(AND($E138&lt;&gt;0,$F138&gt;0,YEAR($F138)&lt;=BR$4,YEAR($F138)&lt;Preisindex!$A$6),ROUND($E138*BS138,2),0))</f>
        <v>0</v>
      </c>
      <c r="BU138" s="53">
        <f t="shared" si="508"/>
        <v>0</v>
      </c>
      <c r="BV138" s="51">
        <f t="shared" si="492"/>
        <v>0</v>
      </c>
      <c r="BW138" s="51">
        <f t="shared" si="458"/>
        <v>0</v>
      </c>
      <c r="BX138" s="51">
        <f t="shared" si="509"/>
        <v>0</v>
      </c>
      <c r="BY138" s="51">
        <f t="shared" si="459"/>
        <v>0</v>
      </c>
      <c r="BZ138" s="51">
        <f t="shared" si="510"/>
        <v>0</v>
      </c>
      <c r="CA138" s="51">
        <f t="shared" si="460"/>
        <v>0</v>
      </c>
      <c r="CB138" s="51">
        <f t="shared" si="511"/>
        <v>0</v>
      </c>
      <c r="CC138" s="51">
        <f t="shared" si="461"/>
        <v>0</v>
      </c>
      <c r="CD138" s="51">
        <f t="shared" si="512"/>
        <v>0</v>
      </c>
      <c r="CE138" s="51">
        <f t="shared" si="462"/>
        <v>0</v>
      </c>
      <c r="CF138" s="51">
        <f t="shared" si="513"/>
        <v>0</v>
      </c>
      <c r="CG138" s="54">
        <f t="shared" si="514"/>
        <v>0</v>
      </c>
      <c r="CH138" s="55">
        <f t="shared" si="515"/>
        <v>0</v>
      </c>
      <c r="CI138" s="56">
        <f>IF(AND($E138&lt;&gt;0,$F138&gt;0,YEAR($F138)&gt;=Preisindex!$A$6,YEAR(CD$4)&gt;=YEAR($F138),AND($K138&lt;&gt;"a",$K138&lt;&gt;"b",$K138&lt;&gt;"g",$K138&lt;&gt;"k")),1,IF(AND($E138&lt;&gt;0,$F138&gt;0,YEAR($F138)&gt;=Preisindex!$A$6,YEAR(CD$4)&gt;=YEAR($F138),$K138="a"),ROUND(VLOOKUP(CI$4,Preisindex,5,FALSE)/VLOOKUP(YEAR($F138),Preisindex,5,FALSE),2),IF(AND($E138&lt;&gt;0,$F138&gt;0,YEAR($F138)&gt;=Preisindex!$A$6,YEAR(CD$4)&gt;=YEAR($F138),$K138="b"),ROUND(VLOOKUP(CI$4,Preisindex,3,FALSE)/VLOOKUP(YEAR($F138),Preisindex,3,FALSE),2),IF(AND($E138&lt;&gt;0,$F138&gt;0,YEAR($F138)&gt;=Preisindex!$A$6,YEAR(CD$4)&gt;=YEAR($F138),$K138="g"),ROUND(VLOOKUP(CI$4,Preisindex,4,FALSE)/VLOOKUP(YEAR($F138),Preisindex,4,FALSE),2),IF(AND($E138&lt;&gt;0,$F138&gt;0,YEAR($F138)&gt;=Preisindex!$A$6,YEAR(CD$4)&gt;=YEAR($F138),$K138="k"),ROUND(VLOOKUP(CI$4,Preisindex,2,FALSE)/VLOOKUP(YEAR($F138),Preisindex,2,FALSE),2),0)))))</f>
        <v>0</v>
      </c>
      <c r="CJ138" s="56">
        <f>IF(AND($E138&lt;&gt;0,$F138&gt;0,YEAR($F138)&lt;Preisindex!$A$6,YEAR(CD$4)&gt;=YEAR($F138),AND($K138&lt;&gt;"a",$K138&lt;&gt;"b",$K138&lt;&gt;"g",$K138&lt;&gt;"k")),1,IF(AND($E138&lt;&gt;0,$F138&gt;0,YEAR($F138)&lt;Preisindex!$A$6,YEAR(CD$4)&gt;=YEAR($F138),$K138="a"),ROUND(VLOOKUP(CI$4,Preisindex,5,FALSE)/VLOOKUP(Preisindex!$A$6,Preisindex,5,FALSE),2),IF(AND($E138&lt;&gt;0,$F138&gt;0,YEAR($F138)&lt;Preisindex!$A$6,YEAR(CD$4)&gt;=YEAR($F138),$K138="b"),ROUND(VLOOKUP(CI$4,Preisindex,3,FALSE)/VLOOKUP(Preisindex!$A$6,Preisindex,3,FALSE),2),IF(AND($E138&lt;&gt;0,$F138&gt;0,YEAR($F138)&lt;Preisindex!$A$6,YEAR(CD$4)&gt;=YEAR($F138),$K138="g"),ROUND(VLOOKUP(CI$4,Preisindex,4,FALSE)/VLOOKUP(Preisindex!$A$6,Preisindex,4,FALSE),2),IF(AND($E138&lt;&gt;0,$F138&gt;0,YEAR($F138)&lt;Preisindex!$A$6,YEAR(CD$4)&gt;=YEAR($F138),$K138="k"),ROUND(VLOOKUP(CI$4,Preisindex,2,FALSE)/VLOOKUP(Preisindex!$A$6,Preisindex,2,FALSE),2),0)))))</f>
        <v>0</v>
      </c>
      <c r="CK138" s="51">
        <f>IF(AND($E138&lt;&gt;0,$F138&gt;0,YEAR($F138)&lt;=CI$4,YEAR($F138)&gt;=Preisindex!$A$6),ROUND($E138*CI138,2),IF(AND($E138&lt;&gt;0,$F138&gt;0,YEAR($F138)&lt;=CI$4,YEAR($F138)&lt;Preisindex!$A$6),ROUND($E138*CJ138,2),0))</f>
        <v>0</v>
      </c>
      <c r="CL138" s="53">
        <f t="shared" si="516"/>
        <v>0</v>
      </c>
      <c r="CM138" s="51">
        <f t="shared" si="492"/>
        <v>0</v>
      </c>
      <c r="CN138" s="51">
        <f t="shared" si="463"/>
        <v>0</v>
      </c>
      <c r="CO138" s="51">
        <f t="shared" si="517"/>
        <v>0</v>
      </c>
      <c r="CP138" s="51">
        <f t="shared" si="464"/>
        <v>0</v>
      </c>
      <c r="CQ138" s="51">
        <f t="shared" si="518"/>
        <v>0</v>
      </c>
      <c r="CR138" s="51">
        <f t="shared" si="465"/>
        <v>0</v>
      </c>
      <c r="CS138" s="51">
        <f t="shared" si="519"/>
        <v>0</v>
      </c>
      <c r="CT138" s="51">
        <f t="shared" si="466"/>
        <v>0</v>
      </c>
      <c r="CU138" s="51">
        <f t="shared" si="520"/>
        <v>0</v>
      </c>
      <c r="CV138" s="51">
        <f t="shared" si="467"/>
        <v>0</v>
      </c>
      <c r="CW138" s="51">
        <f t="shared" si="521"/>
        <v>0</v>
      </c>
      <c r="CX138" s="54">
        <f t="shared" si="522"/>
        <v>0</v>
      </c>
      <c r="CY138" s="55">
        <f t="shared" si="523"/>
        <v>0</v>
      </c>
      <c r="CZ138" s="56">
        <f>IF(AND($E138&lt;&gt;0,$F138&gt;0,YEAR($F138)&gt;=Preisindex!$A$6,YEAR(CU$4)&gt;=YEAR($F138),AND($K138&lt;&gt;"a",$K138&lt;&gt;"b",$K138&lt;&gt;"g",$K138&lt;&gt;"k")),1,IF(AND($E138&lt;&gt;0,$F138&gt;0,YEAR($F138)&gt;=Preisindex!$A$6,YEAR(CU$4)&gt;=YEAR($F138),$K138="a"),ROUND(VLOOKUP(CZ$4,Preisindex,5,FALSE)/VLOOKUP(YEAR($F138),Preisindex,5,FALSE),2),IF(AND($E138&lt;&gt;0,$F138&gt;0,YEAR($F138)&gt;=Preisindex!$A$6,YEAR(CU$4)&gt;=YEAR($F138),$K138="b"),ROUND(VLOOKUP(CZ$4,Preisindex,3,FALSE)/VLOOKUP(YEAR($F138),Preisindex,3,FALSE),2),IF(AND($E138&lt;&gt;0,$F138&gt;0,YEAR($F138)&gt;=Preisindex!$A$6,YEAR(CU$4)&gt;=YEAR($F138),$K138="g"),ROUND(VLOOKUP(CZ$4,Preisindex,4,FALSE)/VLOOKUP(YEAR($F138),Preisindex,4,FALSE),2),IF(AND($E138&lt;&gt;0,$F138&gt;0,YEAR($F138)&gt;=Preisindex!$A$6,YEAR(CU$4)&gt;=YEAR($F138),$K138="k"),ROUND(VLOOKUP(CZ$4,Preisindex,2,FALSE)/VLOOKUP(YEAR($F138),Preisindex,2,FALSE),2),0)))))</f>
        <v>0</v>
      </c>
      <c r="DA138" s="56">
        <f>IF(AND($E138&lt;&gt;0,$F138&gt;0,YEAR($F138)&lt;Preisindex!$A$6,YEAR(CU$4)&gt;=YEAR($F138),AND($K138&lt;&gt;"a",$K138&lt;&gt;"b",$K138&lt;&gt;"g",$K138&lt;&gt;"k")),1,IF(AND($E138&lt;&gt;0,$F138&gt;0,YEAR($F138)&lt;Preisindex!$A$6,YEAR(CU$4)&gt;=YEAR($F138),$K138="a"),ROUND(VLOOKUP(CZ$4,Preisindex,5,FALSE)/VLOOKUP(Preisindex!$A$6,Preisindex,5,FALSE),2),IF(AND($E138&lt;&gt;0,$F138&gt;0,YEAR($F138)&lt;Preisindex!$A$6,YEAR(CU$4)&gt;=YEAR($F138),$K138="b"),ROUND(VLOOKUP(CZ$4,Preisindex,3,FALSE)/VLOOKUP(Preisindex!$A$6,Preisindex,3,FALSE),2),IF(AND($E138&lt;&gt;0,$F138&gt;0,YEAR($F138)&lt;Preisindex!$A$6,YEAR(CU$4)&gt;=YEAR($F138),$K138="g"),ROUND(VLOOKUP(CZ$4,Preisindex,4,FALSE)/VLOOKUP(Preisindex!$A$6,Preisindex,4,FALSE),2),IF(AND($E138&lt;&gt;0,$F138&gt;0,YEAR($F138)&lt;Preisindex!$A$6,YEAR(CU$4)&gt;=YEAR($F138),$K138="k"),ROUND(VLOOKUP(CZ$4,Preisindex,2,FALSE)/VLOOKUP(Preisindex!$A$6,Preisindex,2,FALSE),2),0)))))</f>
        <v>0</v>
      </c>
      <c r="DB138" s="51">
        <f>IF(AND($E138&lt;&gt;0,$F138&gt;0,YEAR($F138)&lt;=CZ$4,YEAR($F138)&gt;=Preisindex!$A$6),ROUND($E138*CZ138,2),IF(AND($E138&lt;&gt;0,$F138&gt;0,YEAR($F138)&lt;=CZ$4,YEAR($F138)&lt;Preisindex!$A$6),ROUND($E138*DA138,2),0))</f>
        <v>0</v>
      </c>
      <c r="DC138" s="53">
        <f t="shared" si="524"/>
        <v>0</v>
      </c>
      <c r="DD138" s="51">
        <f t="shared" si="525"/>
        <v>0</v>
      </c>
      <c r="DE138" s="51">
        <f t="shared" si="468"/>
        <v>0</v>
      </c>
      <c r="DF138" s="51">
        <f t="shared" si="526"/>
        <v>0</v>
      </c>
      <c r="DG138" s="51">
        <f t="shared" si="469"/>
        <v>0</v>
      </c>
      <c r="DH138" s="51">
        <f t="shared" si="527"/>
        <v>0</v>
      </c>
      <c r="DI138" s="51">
        <f t="shared" si="470"/>
        <v>0</v>
      </c>
      <c r="DJ138" s="51">
        <f t="shared" si="528"/>
        <v>0</v>
      </c>
      <c r="DK138" s="51">
        <f t="shared" si="471"/>
        <v>0</v>
      </c>
      <c r="DL138" s="51">
        <f t="shared" si="529"/>
        <v>0</v>
      </c>
      <c r="DM138" s="51">
        <f t="shared" si="472"/>
        <v>0</v>
      </c>
      <c r="DN138" s="51">
        <f t="shared" si="530"/>
        <v>0</v>
      </c>
      <c r="DO138" s="54">
        <f t="shared" si="531"/>
        <v>0</v>
      </c>
      <c r="DP138" s="55">
        <f t="shared" si="532"/>
        <v>0</v>
      </c>
      <c r="DQ138" s="56">
        <f>IF(AND($E138&lt;&gt;0,$F138&gt;0,YEAR($F138)&gt;=Preisindex!$A$6,YEAR(DL$4)&gt;=YEAR($F138),AND($K138&lt;&gt;"a",$K138&lt;&gt;"b",$K138&lt;&gt;"g",$K138&lt;&gt;"k")),1,IF(AND($E138&lt;&gt;0,$F138&gt;0,YEAR($F138)&gt;=Preisindex!$A$6,YEAR(DL$4)&gt;=YEAR($F138),$K138="a"),ROUND(VLOOKUP(DQ$4,Preisindex,5,FALSE)/VLOOKUP(YEAR($F138),Preisindex,5,FALSE),2),IF(AND($E138&lt;&gt;0,$F138&gt;0,YEAR($F138)&gt;=Preisindex!$A$6,YEAR(DL$4)&gt;=YEAR($F138),$K138="b"),ROUND(VLOOKUP(DQ$4,Preisindex,3,FALSE)/VLOOKUP(YEAR($F138),Preisindex,3,FALSE),2),IF(AND($E138&lt;&gt;0,$F138&gt;0,YEAR($F138)&gt;=Preisindex!$A$6,YEAR(DL$4)&gt;=YEAR($F138),$K138="g"),ROUND(VLOOKUP(DQ$4,Preisindex,4,FALSE)/VLOOKUP(YEAR($F138),Preisindex,4,FALSE),2),IF(AND($E138&lt;&gt;0,$F138&gt;0,YEAR($F138)&gt;=Preisindex!$A$6,YEAR(DL$4)&gt;=YEAR($F138),$K138="k"),ROUND(VLOOKUP(DQ$4,Preisindex,2,FALSE)/VLOOKUP(YEAR($F138),Preisindex,2,FALSE),2),0)))))</f>
        <v>0</v>
      </c>
      <c r="DR138" s="56">
        <f>IF(AND($E138&lt;&gt;0,$F138&gt;0,YEAR($F138)&lt;Preisindex!$A$6,YEAR(DL$4)&gt;=YEAR($F138),AND($K138&lt;&gt;"a",$K138&lt;&gt;"b",$K138&lt;&gt;"g",$K138&lt;&gt;"k")),1,IF(AND($E138&lt;&gt;0,$F138&gt;0,YEAR($F138)&lt;Preisindex!$A$6,YEAR(DL$4)&gt;=YEAR($F138),$K138="a"),ROUND(VLOOKUP(DQ$4,Preisindex,5,FALSE)/VLOOKUP(Preisindex!$A$6,Preisindex,5,FALSE),2),IF(AND($E138&lt;&gt;0,$F138&gt;0,YEAR($F138)&lt;Preisindex!$A$6,YEAR(DL$4)&gt;=YEAR($F138),$K138="b"),ROUND(VLOOKUP(DQ$4,Preisindex,3,FALSE)/VLOOKUP(Preisindex!$A$6,Preisindex,3,FALSE),2),IF(AND($E138&lt;&gt;0,$F138&gt;0,YEAR($F138)&lt;Preisindex!$A$6,YEAR(DL$4)&gt;=YEAR($F138),$K138="g"),ROUND(VLOOKUP(DQ$4,Preisindex,4,FALSE)/VLOOKUP(Preisindex!$A$6,Preisindex,4,FALSE),2),IF(AND($E138&lt;&gt;0,$F138&gt;0,YEAR($F138)&lt;Preisindex!$A$6,YEAR(DL$4)&gt;=YEAR($F138),$K138="k"),ROUND(VLOOKUP(DQ$4,Preisindex,2,FALSE)/VLOOKUP(Preisindex!$A$6,Preisindex,2,FALSE),2),0)))))</f>
        <v>0</v>
      </c>
      <c r="DS138" s="51">
        <f>IF(AND($E138&lt;&gt;0,$F138&gt;0,YEAR($F138)&lt;=DQ$4,YEAR($F138)&gt;=Preisindex!$A$6),ROUND($E138*DQ138,2),IF(AND($E138&lt;&gt;0,$F138&gt;0,YEAR($F138)&lt;=DQ$4,YEAR($F138)&lt;Preisindex!$A$6),ROUND($E138*DR138,2),0))</f>
        <v>0</v>
      </c>
      <c r="DT138" s="53">
        <f t="shared" si="533"/>
        <v>0</v>
      </c>
      <c r="DU138" s="51">
        <f t="shared" si="525"/>
        <v>0</v>
      </c>
      <c r="DV138" s="51">
        <f t="shared" si="473"/>
        <v>0</v>
      </c>
      <c r="DW138" s="51">
        <f t="shared" si="534"/>
        <v>0</v>
      </c>
      <c r="DX138" s="51">
        <f t="shared" si="474"/>
        <v>0</v>
      </c>
      <c r="DY138" s="51">
        <f t="shared" si="535"/>
        <v>0</v>
      </c>
      <c r="DZ138" s="51">
        <f t="shared" si="475"/>
        <v>0</v>
      </c>
      <c r="EA138" s="51">
        <f t="shared" si="536"/>
        <v>0</v>
      </c>
      <c r="EB138" s="51">
        <f t="shared" si="476"/>
        <v>0</v>
      </c>
      <c r="EC138" s="51">
        <f t="shared" si="537"/>
        <v>0</v>
      </c>
      <c r="ED138" s="51">
        <f t="shared" si="477"/>
        <v>0</v>
      </c>
      <c r="EE138" s="51">
        <f t="shared" si="538"/>
        <v>0</v>
      </c>
      <c r="EF138" s="54">
        <f t="shared" si="539"/>
        <v>0</v>
      </c>
      <c r="EG138" s="55">
        <f t="shared" si="540"/>
        <v>0</v>
      </c>
      <c r="EH138" s="56">
        <f>IF(AND($E138&lt;&gt;0,$F138&gt;0,YEAR($F138)&gt;=Preisindex!$A$6,YEAR(EC$4)&gt;=YEAR($F138),AND($K138&lt;&gt;"a",$K138&lt;&gt;"b",$K138&lt;&gt;"g",$K138&lt;&gt;"k")),1,IF(AND($E138&lt;&gt;0,$F138&gt;0,YEAR($F138)&gt;=Preisindex!$A$6,YEAR(EC$4)&gt;=YEAR($F138),$K138="a"),ROUND(VLOOKUP(EH$4,Preisindex,5,FALSE)/VLOOKUP(YEAR($F138),Preisindex,5,FALSE),2),IF(AND($E138&lt;&gt;0,$F138&gt;0,YEAR($F138)&gt;=Preisindex!$A$6,YEAR(EC$4)&gt;=YEAR($F138),$K138="b"),ROUND(VLOOKUP(EH$4,Preisindex,3,FALSE)/VLOOKUP(YEAR($F138),Preisindex,3,FALSE),2),IF(AND($E138&lt;&gt;0,$F138&gt;0,YEAR($F138)&gt;=Preisindex!$A$6,YEAR(EC$4)&gt;=YEAR($F138),$K138="g"),ROUND(VLOOKUP(EH$4,Preisindex,4,FALSE)/VLOOKUP(YEAR($F138),Preisindex,4,FALSE),2),IF(AND($E138&lt;&gt;0,$F138&gt;0,YEAR($F138)&gt;=Preisindex!$A$6,YEAR(EC$4)&gt;=YEAR($F138),$K138="k"),ROUND(VLOOKUP(EH$4,Preisindex,2,FALSE)/VLOOKUP(YEAR($F138),Preisindex,2,FALSE),2),0)))))</f>
        <v>0</v>
      </c>
      <c r="EI138" s="56">
        <f>IF(AND($E138&lt;&gt;0,$F138&gt;0,YEAR($F138)&lt;Preisindex!$A$6,YEAR(EC$4)&gt;=YEAR($F138),AND($K138&lt;&gt;"a",$K138&lt;&gt;"b",$K138&lt;&gt;"g",$K138&lt;&gt;"k")),1,IF(AND($E138&lt;&gt;0,$F138&gt;0,YEAR($F138)&lt;Preisindex!$A$6,YEAR(EC$4)&gt;=YEAR($F138),$K138="a"),ROUND(VLOOKUP(EH$4,Preisindex,5,FALSE)/VLOOKUP(Preisindex!$A$6,Preisindex,5,FALSE),2),IF(AND($E138&lt;&gt;0,$F138&gt;0,YEAR($F138)&lt;Preisindex!$A$6,YEAR(EC$4)&gt;=YEAR($F138),$K138="b"),ROUND(VLOOKUP(EH$4,Preisindex,3,FALSE)/VLOOKUP(Preisindex!$A$6,Preisindex,3,FALSE),2),IF(AND($E138&lt;&gt;0,$F138&gt;0,YEAR($F138)&lt;Preisindex!$A$6,YEAR(EC$4)&gt;=YEAR($F138),$K138="g"),ROUND(VLOOKUP(EH$4,Preisindex,4,FALSE)/VLOOKUP(Preisindex!$A$6,Preisindex,4,FALSE),2),IF(AND($E138&lt;&gt;0,$F138&gt;0,YEAR($F138)&lt;Preisindex!$A$6,YEAR(EC$4)&gt;=YEAR($F138),$K138="k"),ROUND(VLOOKUP(EH$4,Preisindex,2,FALSE)/VLOOKUP(Preisindex!$A$6,Preisindex,2,FALSE),2),0)))))</f>
        <v>0</v>
      </c>
      <c r="EJ138" s="51">
        <f>IF(AND($E138&lt;&gt;0,$F138&gt;0,YEAR($F138)&lt;=EH$4,YEAR($F138)&gt;=Preisindex!$A$6),ROUND($E138*EH138,2),IF(AND($E138&lt;&gt;0,$F138&gt;0,YEAR($F138)&lt;=EH$4,YEAR($F138)&lt;Preisindex!$A$6),ROUND($E138*EI138,2),0))</f>
        <v>0</v>
      </c>
      <c r="EK138" s="53">
        <f t="shared" si="541"/>
        <v>0</v>
      </c>
      <c r="EL138" s="51">
        <f t="shared" si="525"/>
        <v>0</v>
      </c>
      <c r="EM138" s="51">
        <f t="shared" si="478"/>
        <v>0</v>
      </c>
      <c r="EN138" s="51">
        <f t="shared" si="542"/>
        <v>0</v>
      </c>
      <c r="EO138" s="51">
        <f t="shared" si="479"/>
        <v>0</v>
      </c>
      <c r="EP138" s="51">
        <f t="shared" si="543"/>
        <v>0</v>
      </c>
      <c r="EQ138" s="51">
        <f t="shared" si="480"/>
        <v>0</v>
      </c>
      <c r="ER138" s="51">
        <f t="shared" si="544"/>
        <v>0</v>
      </c>
      <c r="ES138" s="51">
        <f t="shared" si="481"/>
        <v>0</v>
      </c>
      <c r="ET138" s="51">
        <f t="shared" si="545"/>
        <v>0</v>
      </c>
      <c r="EU138" s="51">
        <f t="shared" si="482"/>
        <v>0</v>
      </c>
      <c r="EV138" s="51">
        <f t="shared" si="546"/>
        <v>0</v>
      </c>
      <c r="EW138" s="54">
        <f t="shared" si="547"/>
        <v>0</v>
      </c>
      <c r="EX138" s="55">
        <f t="shared" si="548"/>
        <v>0</v>
      </c>
      <c r="EY138" s="56">
        <f>IF(AND($E138&lt;&gt;0,$F138&gt;0,YEAR($F138)&gt;=Preisindex!$A$6,YEAR(ET$4)&gt;=YEAR($F138),AND($K138&lt;&gt;"a",$K138&lt;&gt;"b",$K138&lt;&gt;"g",$K138&lt;&gt;"k")),1,IF(AND($E138&lt;&gt;0,$F138&gt;0,YEAR($F138)&gt;=Preisindex!$A$6,YEAR(ET$4)&gt;=YEAR($F138),$K138="a"),ROUND(VLOOKUP(EY$4,Preisindex,5,FALSE)/VLOOKUP(YEAR($F138),Preisindex,5,FALSE),2),IF(AND($E138&lt;&gt;0,$F138&gt;0,YEAR($F138)&gt;=Preisindex!$A$6,YEAR(ET$4)&gt;=YEAR($F138),$K138="b"),ROUND(VLOOKUP(EY$4,Preisindex,3,FALSE)/VLOOKUP(YEAR($F138),Preisindex,3,FALSE),2),IF(AND($E138&lt;&gt;0,$F138&gt;0,YEAR($F138)&gt;=Preisindex!$A$6,YEAR(ET$4)&gt;=YEAR($F138),$K138="g"),ROUND(VLOOKUP(EY$4,Preisindex,4,FALSE)/VLOOKUP(YEAR($F138),Preisindex,4,FALSE),2),IF(AND($E138&lt;&gt;0,$F138&gt;0,YEAR($F138)&gt;=Preisindex!$A$6,YEAR(ET$4)&gt;=YEAR($F138),$K138="k"),ROUND(VLOOKUP(EY$4,Preisindex,2,FALSE)/VLOOKUP(YEAR($F138),Preisindex,2,FALSE),2),0)))))</f>
        <v>0</v>
      </c>
      <c r="EZ138" s="56">
        <f>IF(AND($E138&lt;&gt;0,$F138&gt;0,YEAR($F138)&lt;Preisindex!$A$6,YEAR(ET$4)&gt;=YEAR($F138),AND($K138&lt;&gt;"a",$K138&lt;&gt;"b",$K138&lt;&gt;"g",$K138&lt;&gt;"k")),1,IF(AND($E138&lt;&gt;0,$F138&gt;0,YEAR($F138)&lt;Preisindex!$A$6,YEAR(ET$4)&gt;=YEAR($F138),$K138="a"),ROUND(VLOOKUP(EY$4,Preisindex,5,FALSE)/VLOOKUP(Preisindex!$A$6,Preisindex,5,FALSE),2),IF(AND($E138&lt;&gt;0,$F138&gt;0,YEAR($F138)&lt;Preisindex!$A$6,YEAR(ET$4)&gt;=YEAR($F138),$K138="b"),ROUND(VLOOKUP(EY$4,Preisindex,3,FALSE)/VLOOKUP(Preisindex!$A$6,Preisindex,3,FALSE),2),IF(AND($E138&lt;&gt;0,$F138&gt;0,YEAR($F138)&lt;Preisindex!$A$6,YEAR(ET$4)&gt;=YEAR($F138),$K138="g"),ROUND(VLOOKUP(EY$4,Preisindex,4,FALSE)/VLOOKUP(Preisindex!$A$6,Preisindex,4,FALSE),2),IF(AND($E138&lt;&gt;0,$F138&gt;0,YEAR($F138)&lt;Preisindex!$A$6,YEAR(ET$4)&gt;=YEAR($F138),$K138="k"),ROUND(VLOOKUP(EY$4,Preisindex,2,FALSE)/VLOOKUP(Preisindex!$A$6,Preisindex,2,FALSE),2),0)))))</f>
        <v>0</v>
      </c>
      <c r="FA138" s="51">
        <f>IF(AND($E138&lt;&gt;0,$F138&gt;0,YEAR($F138)&lt;=EY$4,YEAR($F138)&gt;=Preisindex!$A$6),ROUND($E138*EY138,2),IF(AND($E138&lt;&gt;0,$F138&gt;0,YEAR($F138)&lt;=EY$4,YEAR($F138)&lt;Preisindex!$A$6),ROUND($E138*EZ138,2),0))</f>
        <v>0</v>
      </c>
      <c r="FB138" s="53">
        <f t="shared" si="549"/>
        <v>0</v>
      </c>
      <c r="FC138" s="51">
        <f t="shared" si="525"/>
        <v>0</v>
      </c>
      <c r="FD138" s="51">
        <f t="shared" si="483"/>
        <v>0</v>
      </c>
      <c r="FE138" s="51">
        <f t="shared" si="550"/>
        <v>0</v>
      </c>
      <c r="FF138" s="51">
        <f t="shared" si="484"/>
        <v>0</v>
      </c>
      <c r="FG138" s="51">
        <f t="shared" si="551"/>
        <v>0</v>
      </c>
      <c r="FH138" s="51">
        <f t="shared" si="485"/>
        <v>0</v>
      </c>
      <c r="FI138" s="51">
        <f t="shared" si="552"/>
        <v>0</v>
      </c>
      <c r="FJ138" s="51">
        <f t="shared" si="486"/>
        <v>0</v>
      </c>
      <c r="FK138" s="51">
        <f t="shared" si="553"/>
        <v>0</v>
      </c>
      <c r="FL138" s="51">
        <f t="shared" si="487"/>
        <v>0</v>
      </c>
      <c r="FM138" s="51">
        <f t="shared" si="554"/>
        <v>0</v>
      </c>
      <c r="FN138" s="54">
        <f t="shared" si="555"/>
        <v>0</v>
      </c>
      <c r="FO138" s="55">
        <f t="shared" si="556"/>
        <v>0</v>
      </c>
      <c r="FP138" s="56">
        <f>IF(AND($E138&lt;&gt;0,$F138&gt;0,YEAR($F138)&gt;=Preisindex!$A$6,YEAR(FK$4)&gt;=YEAR($F138),AND($K138&lt;&gt;"a",$K138&lt;&gt;"b",$K138&lt;&gt;"g",$K138&lt;&gt;"k")),1,IF(AND($E138&lt;&gt;0,$F138&gt;0,YEAR($F138)&gt;=Preisindex!$A$6,YEAR(FK$4)&gt;=YEAR($F138),$K138="a"),ROUND(VLOOKUP(FP$4,Preisindex,5,FALSE)/VLOOKUP(YEAR($F138),Preisindex,5,FALSE),2),IF(AND($E138&lt;&gt;0,$F138&gt;0,YEAR($F138)&gt;=Preisindex!$A$6,YEAR(FK$4)&gt;=YEAR($F138),$K138="b"),ROUND(VLOOKUP(FP$4,Preisindex,3,FALSE)/VLOOKUP(YEAR($F138),Preisindex,3,FALSE),2),IF(AND($E138&lt;&gt;0,$F138&gt;0,YEAR($F138)&gt;=Preisindex!$A$6,YEAR(FK$4)&gt;=YEAR($F138),$K138="g"),ROUND(VLOOKUP(FP$4,Preisindex,4,FALSE)/VLOOKUP(YEAR($F138),Preisindex,4,FALSE),2),IF(AND($E138&lt;&gt;0,$F138&gt;0,YEAR($F138)&gt;=Preisindex!$A$6,YEAR(FK$4)&gt;=YEAR($F138),$K138="k"),ROUND(VLOOKUP(FP$4,Preisindex,2,FALSE)/VLOOKUP(YEAR($F138),Preisindex,2,FALSE),2),0)))))</f>
        <v>0</v>
      </c>
      <c r="FQ138" s="56">
        <f>IF(AND($E138&lt;&gt;0,$F138&gt;0,YEAR($F138)&lt;Preisindex!$A$6,YEAR(FK$4)&gt;=YEAR($F138),AND($K138&lt;&gt;"a",$K138&lt;&gt;"b",$K138&lt;&gt;"g",$K138&lt;&gt;"k")),1,IF(AND($E138&lt;&gt;0,$F138&gt;0,YEAR($F138)&lt;Preisindex!$A$6,YEAR(FK$4)&gt;=YEAR($F138),$K138="a"),ROUND(VLOOKUP(FP$4,Preisindex,5,FALSE)/VLOOKUP(Preisindex!$A$6,Preisindex,5,FALSE),2),IF(AND($E138&lt;&gt;0,$F138&gt;0,YEAR($F138)&lt;Preisindex!$A$6,YEAR(FK$4)&gt;=YEAR($F138),$K138="b"),ROUND(VLOOKUP(FP$4,Preisindex,3,FALSE)/VLOOKUP(Preisindex!$A$6,Preisindex,3,FALSE),2),IF(AND($E138&lt;&gt;0,$F138&gt;0,YEAR($F138)&lt;Preisindex!$A$6,YEAR(FK$4)&gt;=YEAR($F138),$K138="g"),ROUND(VLOOKUP(FP$4,Preisindex,4,FALSE)/VLOOKUP(Preisindex!$A$6,Preisindex,4,FALSE),2),IF(AND($E138&lt;&gt;0,$F138&gt;0,YEAR($F138)&lt;Preisindex!$A$6,YEAR(FK$4)&gt;=YEAR($F138),$K138="k"),ROUND(VLOOKUP(FP$4,Preisindex,2,FALSE)/VLOOKUP(Preisindex!$A$6,Preisindex,2,FALSE),2),0)))))</f>
        <v>0</v>
      </c>
      <c r="FR138" s="51">
        <f>IF(AND($E138&lt;&gt;0,$F138&gt;0,YEAR($F138)&lt;=FP$4,YEAR($F138)&gt;=Preisindex!$A$6),ROUND($E138*FP138,2),IF(AND($E138&lt;&gt;0,$F138&gt;0,YEAR($F138)&lt;=FP$4,YEAR($F138)&lt;Preisindex!$A$6),ROUND($E138*FQ138,2),0))</f>
        <v>0</v>
      </c>
      <c r="FS138" s="53">
        <f t="shared" si="557"/>
        <v>0</v>
      </c>
    </row>
    <row r="139" spans="1:175" x14ac:dyDescent="0.3">
      <c r="A139" s="93"/>
      <c r="B139" s="94"/>
      <c r="C139" s="94"/>
      <c r="D139" s="95"/>
      <c r="E139" s="99"/>
      <c r="F139" s="97"/>
      <c r="G139" s="98"/>
      <c r="H139" s="620"/>
      <c r="I139" s="621"/>
      <c r="J139" s="194"/>
      <c r="K139" s="630"/>
      <c r="L139" s="49">
        <f t="shared" si="558"/>
        <v>0</v>
      </c>
      <c r="M139" s="50">
        <f t="shared" si="559"/>
        <v>0</v>
      </c>
      <c r="N139" s="51">
        <f t="shared" si="560"/>
        <v>0</v>
      </c>
      <c r="O139" s="51"/>
      <c r="P139" s="51">
        <f t="shared" si="561"/>
        <v>0</v>
      </c>
      <c r="Q139" s="52"/>
      <c r="R139" s="52"/>
      <c r="S139" s="52"/>
      <c r="T139" s="52"/>
      <c r="U139" s="52"/>
      <c r="V139" s="53">
        <f t="shared" si="562"/>
        <v>0</v>
      </c>
      <c r="W139" s="51">
        <f t="shared" si="563"/>
        <v>0</v>
      </c>
      <c r="X139" s="51">
        <f t="shared" si="564"/>
        <v>0</v>
      </c>
      <c r="Y139" s="51">
        <f t="shared" si="565"/>
        <v>0</v>
      </c>
      <c r="Z139" s="51">
        <f t="shared" si="566"/>
        <v>0</v>
      </c>
      <c r="AA139" s="51">
        <f t="shared" si="567"/>
        <v>0</v>
      </c>
      <c r="AB139" s="51">
        <f t="shared" si="568"/>
        <v>0</v>
      </c>
      <c r="AC139" s="51">
        <f t="shared" si="569"/>
        <v>0</v>
      </c>
      <c r="AD139" s="51">
        <f t="shared" si="570"/>
        <v>0</v>
      </c>
      <c r="AE139" s="51">
        <f t="shared" si="571"/>
        <v>0</v>
      </c>
      <c r="AF139" s="51">
        <f t="shared" si="572"/>
        <v>0</v>
      </c>
      <c r="AG139" s="51">
        <f t="shared" si="573"/>
        <v>0</v>
      </c>
      <c r="AH139" s="54">
        <f t="shared" si="574"/>
        <v>0</v>
      </c>
      <c r="AI139" s="55">
        <f t="shared" si="575"/>
        <v>0</v>
      </c>
      <c r="AJ139" s="56">
        <f>IF(AND($E139&lt;&gt;0,$F139&gt;0,YEAR($F139)&gt;=Preisindex!$A$6,YEAR(AE$4)&gt;=YEAR($F139),AND($K139&lt;&gt;"a",$K139&lt;&gt;"b",$K139&lt;&gt;"g",$K139&lt;&gt;"k")),1,IF(AND($E139&lt;&gt;0,$F139&gt;0,YEAR($F139)&gt;=Preisindex!$A$6,YEAR(AE$4)&gt;=YEAR($F139),$K139="a"),ROUND(VLOOKUP(AJ$4,Preisindex,5,FALSE)/VLOOKUP(YEAR($F139),Preisindex,5,FALSE),2),IF(AND($E139&lt;&gt;0,$F139&gt;0,YEAR($F139)&gt;=Preisindex!$A$6,YEAR(AE$4)&gt;=YEAR($F139),$K139="b"),ROUND(VLOOKUP(AJ$4,Preisindex,3,FALSE)/VLOOKUP(YEAR($F139),Preisindex,3,FALSE),2),IF(AND($E139&lt;&gt;0,$F139&gt;0,YEAR($F139)&gt;=Preisindex!$A$6,YEAR(AE$4)&gt;=YEAR($F139),$K139="g"),ROUND(VLOOKUP(AJ$4,Preisindex,4,FALSE)/VLOOKUP(YEAR($F139),Preisindex,4,FALSE),2),IF(AND($E139&lt;&gt;0,$F139&gt;0,YEAR($F139)&gt;=Preisindex!$A$6,YEAR(AE$4)&gt;=YEAR($F139),$K139="k"),ROUND(VLOOKUP(AJ$4,Preisindex,2,FALSE)/VLOOKUP(YEAR($F139),Preisindex,2,FALSE),2),0)))))</f>
        <v>0</v>
      </c>
      <c r="AK139" s="56">
        <f>IF(AND($E139&lt;&gt;0,$F139&gt;0,YEAR($F139)&lt;Preisindex!$A$6,YEAR(AE$4)&gt;=YEAR($F139),AND($K139&lt;&gt;"a",$K139&lt;&gt;"b",$K139&lt;&gt;"g",$K139&lt;&gt;"k")),1,IF(AND($E139&lt;&gt;0,$F139&gt;0,YEAR($F139)&lt;Preisindex!$A$6,YEAR(AE$4)&gt;=YEAR($F139),$K139="a"),ROUND(VLOOKUP(AJ$4,Preisindex,5,FALSE)/VLOOKUP(Preisindex!$A$6,Preisindex,5,FALSE),2),IF(AND($E139&lt;&gt;0,$F139&gt;0,YEAR($F139)&lt;Preisindex!$A$6,YEAR(AE$4)&gt;=YEAR($F139),$K139="b"),ROUND(VLOOKUP(AJ$4,Preisindex,3,FALSE)/VLOOKUP(Preisindex!$A$6,Preisindex,3,FALSE),2),IF(AND($E139&lt;&gt;0,$F139&gt;0,YEAR($F139)&lt;Preisindex!$A$6,YEAR(AE$4)&gt;=YEAR($F139),$K139="g"),ROUND(VLOOKUP(AJ$4,Preisindex,4,FALSE)/VLOOKUP(Preisindex!$A$6,Preisindex,4,FALSE),2),IF(AND($E139&lt;&gt;0,$F139&gt;0,YEAR($F139)&lt;Preisindex!$A$6,YEAR(AE$4)&gt;=YEAR($F139),$K139="k"),ROUND(VLOOKUP(AJ$4,Preisindex,2,FALSE)/VLOOKUP(Preisindex!$A$6,Preisindex,2,FALSE),2),0)))))</f>
        <v>0</v>
      </c>
      <c r="AL139" s="51">
        <f>IF(AND($E139&lt;&gt;0,$F139&gt;0,YEAR($F139)&lt;=AJ$4,YEAR($F139)&gt;=Preisindex!$A$6),ROUND($E139*AJ139,2),IF(AND($E139&lt;&gt;0,$F139&gt;0,YEAR($F139)&lt;=AJ$4,YEAR($F139)&lt;Preisindex!$A$6),ROUND($E139*AK139,2),0))</f>
        <v>0</v>
      </c>
      <c r="AM139" s="53">
        <f t="shared" si="576"/>
        <v>0</v>
      </c>
      <c r="AN139" s="51">
        <f t="shared" si="492"/>
        <v>0</v>
      </c>
      <c r="AO139" s="51">
        <f t="shared" si="448"/>
        <v>0</v>
      </c>
      <c r="AP139" s="51">
        <f t="shared" si="493"/>
        <v>0</v>
      </c>
      <c r="AQ139" s="51">
        <f t="shared" si="449"/>
        <v>0</v>
      </c>
      <c r="AR139" s="51">
        <f t="shared" si="494"/>
        <v>0</v>
      </c>
      <c r="AS139" s="51">
        <f t="shared" si="450"/>
        <v>0</v>
      </c>
      <c r="AT139" s="51">
        <f t="shared" si="495"/>
        <v>0</v>
      </c>
      <c r="AU139" s="51">
        <f t="shared" si="451"/>
        <v>0</v>
      </c>
      <c r="AV139" s="51">
        <f t="shared" si="496"/>
        <v>0</v>
      </c>
      <c r="AW139" s="51">
        <f t="shared" si="452"/>
        <v>0</v>
      </c>
      <c r="AX139" s="51">
        <f t="shared" si="497"/>
        <v>0</v>
      </c>
      <c r="AY139" s="54">
        <f t="shared" si="498"/>
        <v>0</v>
      </c>
      <c r="AZ139" s="55">
        <f t="shared" si="499"/>
        <v>0</v>
      </c>
      <c r="BA139" s="56">
        <f>IF(AND($E139&lt;&gt;0,$F139&gt;0,YEAR($F139)&gt;=Preisindex!$A$6,YEAR(AV$4)&gt;=YEAR($F139),AND($K139&lt;&gt;"a",$K139&lt;&gt;"b",$K139&lt;&gt;"g",$K139&lt;&gt;"k")),1,IF(AND($E139&lt;&gt;0,$F139&gt;0,YEAR($F139)&gt;=Preisindex!$A$6,YEAR(AV$4)&gt;=YEAR($F139),$K139="a"),ROUND(VLOOKUP(BA$4,Preisindex,5,FALSE)/VLOOKUP(YEAR($F139),Preisindex,5,FALSE),2),IF(AND($E139&lt;&gt;0,$F139&gt;0,YEAR($F139)&gt;=Preisindex!$A$6,YEAR(AV$4)&gt;=YEAR($F139),$K139="b"),ROUND(VLOOKUP(BA$4,Preisindex,3,FALSE)/VLOOKUP(YEAR($F139),Preisindex,3,FALSE),2),IF(AND($E139&lt;&gt;0,$F139&gt;0,YEAR($F139)&gt;=Preisindex!$A$6,YEAR(AV$4)&gt;=YEAR($F139),$K139="g"),ROUND(VLOOKUP(BA$4,Preisindex,4,FALSE)/VLOOKUP(YEAR($F139),Preisindex,4,FALSE),2),IF(AND($E139&lt;&gt;0,$F139&gt;0,YEAR($F139)&gt;=Preisindex!$A$6,YEAR(AV$4)&gt;=YEAR($F139),$K139="k"),ROUND(VLOOKUP(BA$4,Preisindex,2,FALSE)/VLOOKUP(YEAR($F139),Preisindex,2,FALSE),2),0)))))</f>
        <v>0</v>
      </c>
      <c r="BB139" s="56">
        <f>IF(AND($E139&lt;&gt;0,$F139&gt;0,YEAR($F139)&lt;Preisindex!$A$6,YEAR(AV$4)&gt;=YEAR($F139),AND($K139&lt;&gt;"a",$K139&lt;&gt;"b",$K139&lt;&gt;"g",$K139&lt;&gt;"k")),1,IF(AND($E139&lt;&gt;0,$F139&gt;0,YEAR($F139)&lt;Preisindex!$A$6,YEAR(AV$4)&gt;=YEAR($F139),$K139="a"),ROUND(VLOOKUP(BA$4,Preisindex,5,FALSE)/VLOOKUP(Preisindex!$A$6,Preisindex,5,FALSE),2),IF(AND($E139&lt;&gt;0,$F139&gt;0,YEAR($F139)&lt;Preisindex!$A$6,YEAR(AV$4)&gt;=YEAR($F139),$K139="b"),ROUND(VLOOKUP(BA$4,Preisindex,3,FALSE)/VLOOKUP(Preisindex!$A$6,Preisindex,3,FALSE),2),IF(AND($E139&lt;&gt;0,$F139&gt;0,YEAR($F139)&lt;Preisindex!$A$6,YEAR(AV$4)&gt;=YEAR($F139),$K139="g"),ROUND(VLOOKUP(BA$4,Preisindex,4,FALSE)/VLOOKUP(Preisindex!$A$6,Preisindex,4,FALSE),2),IF(AND($E139&lt;&gt;0,$F139&gt;0,YEAR($F139)&lt;Preisindex!$A$6,YEAR(AV$4)&gt;=YEAR($F139),$K139="k"),ROUND(VLOOKUP(BA$4,Preisindex,2,FALSE)/VLOOKUP(Preisindex!$A$6,Preisindex,2,FALSE),2),0)))))</f>
        <v>0</v>
      </c>
      <c r="BC139" s="51">
        <f>IF(AND($E139&lt;&gt;0,$F139&gt;0,YEAR($F139)&lt;=BA$4,YEAR($F139)&gt;=Preisindex!$A$6),ROUND($E139*BA139,2),IF(AND($E139&lt;&gt;0,$F139&gt;0,YEAR($F139)&lt;=BA$4,YEAR($F139)&lt;Preisindex!$A$6),ROUND($E139*BB139,2),0))</f>
        <v>0</v>
      </c>
      <c r="BD139" s="53">
        <f t="shared" si="500"/>
        <v>0</v>
      </c>
      <c r="BE139" s="51">
        <f t="shared" si="492"/>
        <v>0</v>
      </c>
      <c r="BF139" s="51">
        <f t="shared" si="453"/>
        <v>0</v>
      </c>
      <c r="BG139" s="51">
        <f t="shared" si="501"/>
        <v>0</v>
      </c>
      <c r="BH139" s="51">
        <f t="shared" si="454"/>
        <v>0</v>
      </c>
      <c r="BI139" s="51">
        <f t="shared" si="502"/>
        <v>0</v>
      </c>
      <c r="BJ139" s="51">
        <f t="shared" si="455"/>
        <v>0</v>
      </c>
      <c r="BK139" s="51">
        <f t="shared" si="503"/>
        <v>0</v>
      </c>
      <c r="BL139" s="51">
        <f t="shared" si="456"/>
        <v>0</v>
      </c>
      <c r="BM139" s="51">
        <f t="shared" si="504"/>
        <v>0</v>
      </c>
      <c r="BN139" s="51">
        <f t="shared" si="457"/>
        <v>0</v>
      </c>
      <c r="BO139" s="51">
        <f t="shared" si="505"/>
        <v>0</v>
      </c>
      <c r="BP139" s="54">
        <f t="shared" si="506"/>
        <v>0</v>
      </c>
      <c r="BQ139" s="55">
        <f t="shared" si="507"/>
        <v>0</v>
      </c>
      <c r="BR139" s="56">
        <f>IF(AND($E139&lt;&gt;0,$F139&gt;0,YEAR($F139)&gt;=Preisindex!$A$6,YEAR(BM$4)&gt;=YEAR($F139),AND($K139&lt;&gt;"a",$K139&lt;&gt;"b",$K139&lt;&gt;"g",$K139&lt;&gt;"k")),1,IF(AND($E139&lt;&gt;0,$F139&gt;0,YEAR($F139)&gt;=Preisindex!$A$6,YEAR(BM$4)&gt;=YEAR($F139),$K139="a"),ROUND(VLOOKUP(BR$4,Preisindex,5,FALSE)/VLOOKUP(YEAR($F139),Preisindex,5,FALSE),2),IF(AND($E139&lt;&gt;0,$F139&gt;0,YEAR($F139)&gt;=Preisindex!$A$6,YEAR(BM$4)&gt;=YEAR($F139),$K139="b"),ROUND(VLOOKUP(BR$4,Preisindex,3,FALSE)/VLOOKUP(YEAR($F139),Preisindex,3,FALSE),2),IF(AND($E139&lt;&gt;0,$F139&gt;0,YEAR($F139)&gt;=Preisindex!$A$6,YEAR(BM$4)&gt;=YEAR($F139),$K139="g"),ROUND(VLOOKUP(BR$4,Preisindex,4,FALSE)/VLOOKUP(YEAR($F139),Preisindex,4,FALSE),2),IF(AND($E139&lt;&gt;0,$F139&gt;0,YEAR($F139)&gt;=Preisindex!$A$6,YEAR(BM$4)&gt;=YEAR($F139),$K139="k"),ROUND(VLOOKUP(BR$4,Preisindex,2,FALSE)/VLOOKUP(YEAR($F139),Preisindex,2,FALSE),2),0)))))</f>
        <v>0</v>
      </c>
      <c r="BS139" s="56">
        <f>IF(AND($E139&lt;&gt;0,$F139&gt;0,YEAR($F139)&lt;Preisindex!$A$6,YEAR(BM$4)&gt;=YEAR($F139),AND($K139&lt;&gt;"a",$K139&lt;&gt;"b",$K139&lt;&gt;"g",$K139&lt;&gt;"k")),1,IF(AND($E139&lt;&gt;0,$F139&gt;0,YEAR($F139)&lt;Preisindex!$A$6,YEAR(BM$4)&gt;=YEAR($F139),$K139="a"),ROUND(VLOOKUP(BR$4,Preisindex,5,FALSE)/VLOOKUP(Preisindex!$A$6,Preisindex,5,FALSE),2),IF(AND($E139&lt;&gt;0,$F139&gt;0,YEAR($F139)&lt;Preisindex!$A$6,YEAR(BM$4)&gt;=YEAR($F139),$K139="b"),ROUND(VLOOKUP(BR$4,Preisindex,3,FALSE)/VLOOKUP(Preisindex!$A$6,Preisindex,3,FALSE),2),IF(AND($E139&lt;&gt;0,$F139&gt;0,YEAR($F139)&lt;Preisindex!$A$6,YEAR(BM$4)&gt;=YEAR($F139),$K139="g"),ROUND(VLOOKUP(BR$4,Preisindex,4,FALSE)/VLOOKUP(Preisindex!$A$6,Preisindex,4,FALSE),2),IF(AND($E139&lt;&gt;0,$F139&gt;0,YEAR($F139)&lt;Preisindex!$A$6,YEAR(BM$4)&gt;=YEAR($F139),$K139="k"),ROUND(VLOOKUP(BR$4,Preisindex,2,FALSE)/VLOOKUP(Preisindex!$A$6,Preisindex,2,FALSE),2),0)))))</f>
        <v>0</v>
      </c>
      <c r="BT139" s="51">
        <f>IF(AND($E139&lt;&gt;0,$F139&gt;0,YEAR($F139)&lt;=BR$4,YEAR($F139)&gt;=Preisindex!$A$6),ROUND($E139*BR139,2),IF(AND($E139&lt;&gt;0,$F139&gt;0,YEAR($F139)&lt;=BR$4,YEAR($F139)&lt;Preisindex!$A$6),ROUND($E139*BS139,2),0))</f>
        <v>0</v>
      </c>
      <c r="BU139" s="53">
        <f t="shared" si="508"/>
        <v>0</v>
      </c>
      <c r="BV139" s="51">
        <f t="shared" si="492"/>
        <v>0</v>
      </c>
      <c r="BW139" s="51">
        <f t="shared" si="458"/>
        <v>0</v>
      </c>
      <c r="BX139" s="51">
        <f t="shared" si="509"/>
        <v>0</v>
      </c>
      <c r="BY139" s="51">
        <f t="shared" si="459"/>
        <v>0</v>
      </c>
      <c r="BZ139" s="51">
        <f t="shared" si="510"/>
        <v>0</v>
      </c>
      <c r="CA139" s="51">
        <f t="shared" si="460"/>
        <v>0</v>
      </c>
      <c r="CB139" s="51">
        <f t="shared" si="511"/>
        <v>0</v>
      </c>
      <c r="CC139" s="51">
        <f t="shared" si="461"/>
        <v>0</v>
      </c>
      <c r="CD139" s="51">
        <f t="shared" si="512"/>
        <v>0</v>
      </c>
      <c r="CE139" s="51">
        <f t="shared" si="462"/>
        <v>0</v>
      </c>
      <c r="CF139" s="51">
        <f t="shared" si="513"/>
        <v>0</v>
      </c>
      <c r="CG139" s="54">
        <f t="shared" si="514"/>
        <v>0</v>
      </c>
      <c r="CH139" s="55">
        <f t="shared" si="515"/>
        <v>0</v>
      </c>
      <c r="CI139" s="56">
        <f>IF(AND($E139&lt;&gt;0,$F139&gt;0,YEAR($F139)&gt;=Preisindex!$A$6,YEAR(CD$4)&gt;=YEAR($F139),AND($K139&lt;&gt;"a",$K139&lt;&gt;"b",$K139&lt;&gt;"g",$K139&lt;&gt;"k")),1,IF(AND($E139&lt;&gt;0,$F139&gt;0,YEAR($F139)&gt;=Preisindex!$A$6,YEAR(CD$4)&gt;=YEAR($F139),$K139="a"),ROUND(VLOOKUP(CI$4,Preisindex,5,FALSE)/VLOOKUP(YEAR($F139),Preisindex,5,FALSE),2),IF(AND($E139&lt;&gt;0,$F139&gt;0,YEAR($F139)&gt;=Preisindex!$A$6,YEAR(CD$4)&gt;=YEAR($F139),$K139="b"),ROUND(VLOOKUP(CI$4,Preisindex,3,FALSE)/VLOOKUP(YEAR($F139),Preisindex,3,FALSE),2),IF(AND($E139&lt;&gt;0,$F139&gt;0,YEAR($F139)&gt;=Preisindex!$A$6,YEAR(CD$4)&gt;=YEAR($F139),$K139="g"),ROUND(VLOOKUP(CI$4,Preisindex,4,FALSE)/VLOOKUP(YEAR($F139),Preisindex,4,FALSE),2),IF(AND($E139&lt;&gt;0,$F139&gt;0,YEAR($F139)&gt;=Preisindex!$A$6,YEAR(CD$4)&gt;=YEAR($F139),$K139="k"),ROUND(VLOOKUP(CI$4,Preisindex,2,FALSE)/VLOOKUP(YEAR($F139),Preisindex,2,FALSE),2),0)))))</f>
        <v>0</v>
      </c>
      <c r="CJ139" s="56">
        <f>IF(AND($E139&lt;&gt;0,$F139&gt;0,YEAR($F139)&lt;Preisindex!$A$6,YEAR(CD$4)&gt;=YEAR($F139),AND($K139&lt;&gt;"a",$K139&lt;&gt;"b",$K139&lt;&gt;"g",$K139&lt;&gt;"k")),1,IF(AND($E139&lt;&gt;0,$F139&gt;0,YEAR($F139)&lt;Preisindex!$A$6,YEAR(CD$4)&gt;=YEAR($F139),$K139="a"),ROUND(VLOOKUP(CI$4,Preisindex,5,FALSE)/VLOOKUP(Preisindex!$A$6,Preisindex,5,FALSE),2),IF(AND($E139&lt;&gt;0,$F139&gt;0,YEAR($F139)&lt;Preisindex!$A$6,YEAR(CD$4)&gt;=YEAR($F139),$K139="b"),ROUND(VLOOKUP(CI$4,Preisindex,3,FALSE)/VLOOKUP(Preisindex!$A$6,Preisindex,3,FALSE),2),IF(AND($E139&lt;&gt;0,$F139&gt;0,YEAR($F139)&lt;Preisindex!$A$6,YEAR(CD$4)&gt;=YEAR($F139),$K139="g"),ROUND(VLOOKUP(CI$4,Preisindex,4,FALSE)/VLOOKUP(Preisindex!$A$6,Preisindex,4,FALSE),2),IF(AND($E139&lt;&gt;0,$F139&gt;0,YEAR($F139)&lt;Preisindex!$A$6,YEAR(CD$4)&gt;=YEAR($F139),$K139="k"),ROUND(VLOOKUP(CI$4,Preisindex,2,FALSE)/VLOOKUP(Preisindex!$A$6,Preisindex,2,FALSE),2),0)))))</f>
        <v>0</v>
      </c>
      <c r="CK139" s="51">
        <f>IF(AND($E139&lt;&gt;0,$F139&gt;0,YEAR($F139)&lt;=CI$4,YEAR($F139)&gt;=Preisindex!$A$6),ROUND($E139*CI139,2),IF(AND($E139&lt;&gt;0,$F139&gt;0,YEAR($F139)&lt;=CI$4,YEAR($F139)&lt;Preisindex!$A$6),ROUND($E139*CJ139,2),0))</f>
        <v>0</v>
      </c>
      <c r="CL139" s="53">
        <f t="shared" si="516"/>
        <v>0</v>
      </c>
      <c r="CM139" s="51">
        <f t="shared" si="492"/>
        <v>0</v>
      </c>
      <c r="CN139" s="51">
        <f t="shared" si="463"/>
        <v>0</v>
      </c>
      <c r="CO139" s="51">
        <f t="shared" si="517"/>
        <v>0</v>
      </c>
      <c r="CP139" s="51">
        <f t="shared" si="464"/>
        <v>0</v>
      </c>
      <c r="CQ139" s="51">
        <f t="shared" si="518"/>
        <v>0</v>
      </c>
      <c r="CR139" s="51">
        <f t="shared" si="465"/>
        <v>0</v>
      </c>
      <c r="CS139" s="51">
        <f t="shared" si="519"/>
        <v>0</v>
      </c>
      <c r="CT139" s="51">
        <f t="shared" si="466"/>
        <v>0</v>
      </c>
      <c r="CU139" s="51">
        <f t="shared" si="520"/>
        <v>0</v>
      </c>
      <c r="CV139" s="51">
        <f t="shared" si="467"/>
        <v>0</v>
      </c>
      <c r="CW139" s="51">
        <f t="shared" si="521"/>
        <v>0</v>
      </c>
      <c r="CX139" s="54">
        <f t="shared" si="522"/>
        <v>0</v>
      </c>
      <c r="CY139" s="55">
        <f t="shared" si="523"/>
        <v>0</v>
      </c>
      <c r="CZ139" s="56">
        <f>IF(AND($E139&lt;&gt;0,$F139&gt;0,YEAR($F139)&gt;=Preisindex!$A$6,YEAR(CU$4)&gt;=YEAR($F139),AND($K139&lt;&gt;"a",$K139&lt;&gt;"b",$K139&lt;&gt;"g",$K139&lt;&gt;"k")),1,IF(AND($E139&lt;&gt;0,$F139&gt;0,YEAR($F139)&gt;=Preisindex!$A$6,YEAR(CU$4)&gt;=YEAR($F139),$K139="a"),ROUND(VLOOKUP(CZ$4,Preisindex,5,FALSE)/VLOOKUP(YEAR($F139),Preisindex,5,FALSE),2),IF(AND($E139&lt;&gt;0,$F139&gt;0,YEAR($F139)&gt;=Preisindex!$A$6,YEAR(CU$4)&gt;=YEAR($F139),$K139="b"),ROUND(VLOOKUP(CZ$4,Preisindex,3,FALSE)/VLOOKUP(YEAR($F139),Preisindex,3,FALSE),2),IF(AND($E139&lt;&gt;0,$F139&gt;0,YEAR($F139)&gt;=Preisindex!$A$6,YEAR(CU$4)&gt;=YEAR($F139),$K139="g"),ROUND(VLOOKUP(CZ$4,Preisindex,4,FALSE)/VLOOKUP(YEAR($F139),Preisindex,4,FALSE),2),IF(AND($E139&lt;&gt;0,$F139&gt;0,YEAR($F139)&gt;=Preisindex!$A$6,YEAR(CU$4)&gt;=YEAR($F139),$K139="k"),ROUND(VLOOKUP(CZ$4,Preisindex,2,FALSE)/VLOOKUP(YEAR($F139),Preisindex,2,FALSE),2),0)))))</f>
        <v>0</v>
      </c>
      <c r="DA139" s="56">
        <f>IF(AND($E139&lt;&gt;0,$F139&gt;0,YEAR($F139)&lt;Preisindex!$A$6,YEAR(CU$4)&gt;=YEAR($F139),AND($K139&lt;&gt;"a",$K139&lt;&gt;"b",$K139&lt;&gt;"g",$K139&lt;&gt;"k")),1,IF(AND($E139&lt;&gt;0,$F139&gt;0,YEAR($F139)&lt;Preisindex!$A$6,YEAR(CU$4)&gt;=YEAR($F139),$K139="a"),ROUND(VLOOKUP(CZ$4,Preisindex,5,FALSE)/VLOOKUP(Preisindex!$A$6,Preisindex,5,FALSE),2),IF(AND($E139&lt;&gt;0,$F139&gt;0,YEAR($F139)&lt;Preisindex!$A$6,YEAR(CU$4)&gt;=YEAR($F139),$K139="b"),ROUND(VLOOKUP(CZ$4,Preisindex,3,FALSE)/VLOOKUP(Preisindex!$A$6,Preisindex,3,FALSE),2),IF(AND($E139&lt;&gt;0,$F139&gt;0,YEAR($F139)&lt;Preisindex!$A$6,YEAR(CU$4)&gt;=YEAR($F139),$K139="g"),ROUND(VLOOKUP(CZ$4,Preisindex,4,FALSE)/VLOOKUP(Preisindex!$A$6,Preisindex,4,FALSE),2),IF(AND($E139&lt;&gt;0,$F139&gt;0,YEAR($F139)&lt;Preisindex!$A$6,YEAR(CU$4)&gt;=YEAR($F139),$K139="k"),ROUND(VLOOKUP(CZ$4,Preisindex,2,FALSE)/VLOOKUP(Preisindex!$A$6,Preisindex,2,FALSE),2),0)))))</f>
        <v>0</v>
      </c>
      <c r="DB139" s="51">
        <f>IF(AND($E139&lt;&gt;0,$F139&gt;0,YEAR($F139)&lt;=CZ$4,YEAR($F139)&gt;=Preisindex!$A$6),ROUND($E139*CZ139,2),IF(AND($E139&lt;&gt;0,$F139&gt;0,YEAR($F139)&lt;=CZ$4,YEAR($F139)&lt;Preisindex!$A$6),ROUND($E139*DA139,2),0))</f>
        <v>0</v>
      </c>
      <c r="DC139" s="53">
        <f t="shared" si="524"/>
        <v>0</v>
      </c>
      <c r="DD139" s="51">
        <f t="shared" si="525"/>
        <v>0</v>
      </c>
      <c r="DE139" s="51">
        <f t="shared" si="468"/>
        <v>0</v>
      </c>
      <c r="DF139" s="51">
        <f t="shared" si="526"/>
        <v>0</v>
      </c>
      <c r="DG139" s="51">
        <f t="shared" si="469"/>
        <v>0</v>
      </c>
      <c r="DH139" s="51">
        <f t="shared" si="527"/>
        <v>0</v>
      </c>
      <c r="DI139" s="51">
        <f t="shared" si="470"/>
        <v>0</v>
      </c>
      <c r="DJ139" s="51">
        <f t="shared" si="528"/>
        <v>0</v>
      </c>
      <c r="DK139" s="51">
        <f t="shared" si="471"/>
        <v>0</v>
      </c>
      <c r="DL139" s="51">
        <f t="shared" si="529"/>
        <v>0</v>
      </c>
      <c r="DM139" s="51">
        <f t="shared" si="472"/>
        <v>0</v>
      </c>
      <c r="DN139" s="51">
        <f t="shared" si="530"/>
        <v>0</v>
      </c>
      <c r="DO139" s="54">
        <f t="shared" si="531"/>
        <v>0</v>
      </c>
      <c r="DP139" s="55">
        <f t="shared" si="532"/>
        <v>0</v>
      </c>
      <c r="DQ139" s="56">
        <f>IF(AND($E139&lt;&gt;0,$F139&gt;0,YEAR($F139)&gt;=Preisindex!$A$6,YEAR(DL$4)&gt;=YEAR($F139),AND($K139&lt;&gt;"a",$K139&lt;&gt;"b",$K139&lt;&gt;"g",$K139&lt;&gt;"k")),1,IF(AND($E139&lt;&gt;0,$F139&gt;0,YEAR($F139)&gt;=Preisindex!$A$6,YEAR(DL$4)&gt;=YEAR($F139),$K139="a"),ROUND(VLOOKUP(DQ$4,Preisindex,5,FALSE)/VLOOKUP(YEAR($F139),Preisindex,5,FALSE),2),IF(AND($E139&lt;&gt;0,$F139&gt;0,YEAR($F139)&gt;=Preisindex!$A$6,YEAR(DL$4)&gt;=YEAR($F139),$K139="b"),ROUND(VLOOKUP(DQ$4,Preisindex,3,FALSE)/VLOOKUP(YEAR($F139),Preisindex,3,FALSE),2),IF(AND($E139&lt;&gt;0,$F139&gt;0,YEAR($F139)&gt;=Preisindex!$A$6,YEAR(DL$4)&gt;=YEAR($F139),$K139="g"),ROUND(VLOOKUP(DQ$4,Preisindex,4,FALSE)/VLOOKUP(YEAR($F139),Preisindex,4,FALSE),2),IF(AND($E139&lt;&gt;0,$F139&gt;0,YEAR($F139)&gt;=Preisindex!$A$6,YEAR(DL$4)&gt;=YEAR($F139),$K139="k"),ROUND(VLOOKUP(DQ$4,Preisindex,2,FALSE)/VLOOKUP(YEAR($F139),Preisindex,2,FALSE),2),0)))))</f>
        <v>0</v>
      </c>
      <c r="DR139" s="56">
        <f>IF(AND($E139&lt;&gt;0,$F139&gt;0,YEAR($F139)&lt;Preisindex!$A$6,YEAR(DL$4)&gt;=YEAR($F139),AND($K139&lt;&gt;"a",$K139&lt;&gt;"b",$K139&lt;&gt;"g",$K139&lt;&gt;"k")),1,IF(AND($E139&lt;&gt;0,$F139&gt;0,YEAR($F139)&lt;Preisindex!$A$6,YEAR(DL$4)&gt;=YEAR($F139),$K139="a"),ROUND(VLOOKUP(DQ$4,Preisindex,5,FALSE)/VLOOKUP(Preisindex!$A$6,Preisindex,5,FALSE),2),IF(AND($E139&lt;&gt;0,$F139&gt;0,YEAR($F139)&lt;Preisindex!$A$6,YEAR(DL$4)&gt;=YEAR($F139),$K139="b"),ROUND(VLOOKUP(DQ$4,Preisindex,3,FALSE)/VLOOKUP(Preisindex!$A$6,Preisindex,3,FALSE),2),IF(AND($E139&lt;&gt;0,$F139&gt;0,YEAR($F139)&lt;Preisindex!$A$6,YEAR(DL$4)&gt;=YEAR($F139),$K139="g"),ROUND(VLOOKUP(DQ$4,Preisindex,4,FALSE)/VLOOKUP(Preisindex!$A$6,Preisindex,4,FALSE),2),IF(AND($E139&lt;&gt;0,$F139&gt;0,YEAR($F139)&lt;Preisindex!$A$6,YEAR(DL$4)&gt;=YEAR($F139),$K139="k"),ROUND(VLOOKUP(DQ$4,Preisindex,2,FALSE)/VLOOKUP(Preisindex!$A$6,Preisindex,2,FALSE),2),0)))))</f>
        <v>0</v>
      </c>
      <c r="DS139" s="51">
        <f>IF(AND($E139&lt;&gt;0,$F139&gt;0,YEAR($F139)&lt;=DQ$4,YEAR($F139)&gt;=Preisindex!$A$6),ROUND($E139*DQ139,2),IF(AND($E139&lt;&gt;0,$F139&gt;0,YEAR($F139)&lt;=DQ$4,YEAR($F139)&lt;Preisindex!$A$6),ROUND($E139*DR139,2),0))</f>
        <v>0</v>
      </c>
      <c r="DT139" s="53">
        <f t="shared" si="533"/>
        <v>0</v>
      </c>
      <c r="DU139" s="51">
        <f t="shared" si="525"/>
        <v>0</v>
      </c>
      <c r="DV139" s="51">
        <f t="shared" si="473"/>
        <v>0</v>
      </c>
      <c r="DW139" s="51">
        <f t="shared" si="534"/>
        <v>0</v>
      </c>
      <c r="DX139" s="51">
        <f t="shared" si="474"/>
        <v>0</v>
      </c>
      <c r="DY139" s="51">
        <f t="shared" si="535"/>
        <v>0</v>
      </c>
      <c r="DZ139" s="51">
        <f t="shared" si="475"/>
        <v>0</v>
      </c>
      <c r="EA139" s="51">
        <f t="shared" si="536"/>
        <v>0</v>
      </c>
      <c r="EB139" s="51">
        <f t="shared" si="476"/>
        <v>0</v>
      </c>
      <c r="EC139" s="51">
        <f t="shared" si="537"/>
        <v>0</v>
      </c>
      <c r="ED139" s="51">
        <f t="shared" si="477"/>
        <v>0</v>
      </c>
      <c r="EE139" s="51">
        <f t="shared" si="538"/>
        <v>0</v>
      </c>
      <c r="EF139" s="54">
        <f t="shared" si="539"/>
        <v>0</v>
      </c>
      <c r="EG139" s="55">
        <f t="shared" si="540"/>
        <v>0</v>
      </c>
      <c r="EH139" s="56">
        <f>IF(AND($E139&lt;&gt;0,$F139&gt;0,YEAR($F139)&gt;=Preisindex!$A$6,YEAR(EC$4)&gt;=YEAR($F139),AND($K139&lt;&gt;"a",$K139&lt;&gt;"b",$K139&lt;&gt;"g",$K139&lt;&gt;"k")),1,IF(AND($E139&lt;&gt;0,$F139&gt;0,YEAR($F139)&gt;=Preisindex!$A$6,YEAR(EC$4)&gt;=YEAR($F139),$K139="a"),ROUND(VLOOKUP(EH$4,Preisindex,5,FALSE)/VLOOKUP(YEAR($F139),Preisindex,5,FALSE),2),IF(AND($E139&lt;&gt;0,$F139&gt;0,YEAR($F139)&gt;=Preisindex!$A$6,YEAR(EC$4)&gt;=YEAR($F139),$K139="b"),ROUND(VLOOKUP(EH$4,Preisindex,3,FALSE)/VLOOKUP(YEAR($F139),Preisindex,3,FALSE),2),IF(AND($E139&lt;&gt;0,$F139&gt;0,YEAR($F139)&gt;=Preisindex!$A$6,YEAR(EC$4)&gt;=YEAR($F139),$K139="g"),ROUND(VLOOKUP(EH$4,Preisindex,4,FALSE)/VLOOKUP(YEAR($F139),Preisindex,4,FALSE),2),IF(AND($E139&lt;&gt;0,$F139&gt;0,YEAR($F139)&gt;=Preisindex!$A$6,YEAR(EC$4)&gt;=YEAR($F139),$K139="k"),ROUND(VLOOKUP(EH$4,Preisindex,2,FALSE)/VLOOKUP(YEAR($F139),Preisindex,2,FALSE),2),0)))))</f>
        <v>0</v>
      </c>
      <c r="EI139" s="56">
        <f>IF(AND($E139&lt;&gt;0,$F139&gt;0,YEAR($F139)&lt;Preisindex!$A$6,YEAR(EC$4)&gt;=YEAR($F139),AND($K139&lt;&gt;"a",$K139&lt;&gt;"b",$K139&lt;&gt;"g",$K139&lt;&gt;"k")),1,IF(AND($E139&lt;&gt;0,$F139&gt;0,YEAR($F139)&lt;Preisindex!$A$6,YEAR(EC$4)&gt;=YEAR($F139),$K139="a"),ROUND(VLOOKUP(EH$4,Preisindex,5,FALSE)/VLOOKUP(Preisindex!$A$6,Preisindex,5,FALSE),2),IF(AND($E139&lt;&gt;0,$F139&gt;0,YEAR($F139)&lt;Preisindex!$A$6,YEAR(EC$4)&gt;=YEAR($F139),$K139="b"),ROUND(VLOOKUP(EH$4,Preisindex,3,FALSE)/VLOOKUP(Preisindex!$A$6,Preisindex,3,FALSE),2),IF(AND($E139&lt;&gt;0,$F139&gt;0,YEAR($F139)&lt;Preisindex!$A$6,YEAR(EC$4)&gt;=YEAR($F139),$K139="g"),ROUND(VLOOKUP(EH$4,Preisindex,4,FALSE)/VLOOKUP(Preisindex!$A$6,Preisindex,4,FALSE),2),IF(AND($E139&lt;&gt;0,$F139&gt;0,YEAR($F139)&lt;Preisindex!$A$6,YEAR(EC$4)&gt;=YEAR($F139),$K139="k"),ROUND(VLOOKUP(EH$4,Preisindex,2,FALSE)/VLOOKUP(Preisindex!$A$6,Preisindex,2,FALSE),2),0)))))</f>
        <v>0</v>
      </c>
      <c r="EJ139" s="51">
        <f>IF(AND($E139&lt;&gt;0,$F139&gt;0,YEAR($F139)&lt;=EH$4,YEAR($F139)&gt;=Preisindex!$A$6),ROUND($E139*EH139,2),IF(AND($E139&lt;&gt;0,$F139&gt;0,YEAR($F139)&lt;=EH$4,YEAR($F139)&lt;Preisindex!$A$6),ROUND($E139*EI139,2),0))</f>
        <v>0</v>
      </c>
      <c r="EK139" s="53">
        <f t="shared" si="541"/>
        <v>0</v>
      </c>
      <c r="EL139" s="51">
        <f t="shared" si="525"/>
        <v>0</v>
      </c>
      <c r="EM139" s="51">
        <f t="shared" si="478"/>
        <v>0</v>
      </c>
      <c r="EN139" s="51">
        <f t="shared" si="542"/>
        <v>0</v>
      </c>
      <c r="EO139" s="51">
        <f t="shared" si="479"/>
        <v>0</v>
      </c>
      <c r="EP139" s="51">
        <f t="shared" si="543"/>
        <v>0</v>
      </c>
      <c r="EQ139" s="51">
        <f t="shared" si="480"/>
        <v>0</v>
      </c>
      <c r="ER139" s="51">
        <f t="shared" si="544"/>
        <v>0</v>
      </c>
      <c r="ES139" s="51">
        <f t="shared" si="481"/>
        <v>0</v>
      </c>
      <c r="ET139" s="51">
        <f t="shared" si="545"/>
        <v>0</v>
      </c>
      <c r="EU139" s="51">
        <f t="shared" si="482"/>
        <v>0</v>
      </c>
      <c r="EV139" s="51">
        <f t="shared" si="546"/>
        <v>0</v>
      </c>
      <c r="EW139" s="54">
        <f t="shared" si="547"/>
        <v>0</v>
      </c>
      <c r="EX139" s="55">
        <f t="shared" si="548"/>
        <v>0</v>
      </c>
      <c r="EY139" s="56">
        <f>IF(AND($E139&lt;&gt;0,$F139&gt;0,YEAR($F139)&gt;=Preisindex!$A$6,YEAR(ET$4)&gt;=YEAR($F139),AND($K139&lt;&gt;"a",$K139&lt;&gt;"b",$K139&lt;&gt;"g",$K139&lt;&gt;"k")),1,IF(AND($E139&lt;&gt;0,$F139&gt;0,YEAR($F139)&gt;=Preisindex!$A$6,YEAR(ET$4)&gt;=YEAR($F139),$K139="a"),ROUND(VLOOKUP(EY$4,Preisindex,5,FALSE)/VLOOKUP(YEAR($F139),Preisindex,5,FALSE),2),IF(AND($E139&lt;&gt;0,$F139&gt;0,YEAR($F139)&gt;=Preisindex!$A$6,YEAR(ET$4)&gt;=YEAR($F139),$K139="b"),ROUND(VLOOKUP(EY$4,Preisindex,3,FALSE)/VLOOKUP(YEAR($F139),Preisindex,3,FALSE),2),IF(AND($E139&lt;&gt;0,$F139&gt;0,YEAR($F139)&gt;=Preisindex!$A$6,YEAR(ET$4)&gt;=YEAR($F139),$K139="g"),ROUND(VLOOKUP(EY$4,Preisindex,4,FALSE)/VLOOKUP(YEAR($F139),Preisindex,4,FALSE),2),IF(AND($E139&lt;&gt;0,$F139&gt;0,YEAR($F139)&gt;=Preisindex!$A$6,YEAR(ET$4)&gt;=YEAR($F139),$K139="k"),ROUND(VLOOKUP(EY$4,Preisindex,2,FALSE)/VLOOKUP(YEAR($F139),Preisindex,2,FALSE),2),0)))))</f>
        <v>0</v>
      </c>
      <c r="EZ139" s="56">
        <f>IF(AND($E139&lt;&gt;0,$F139&gt;0,YEAR($F139)&lt;Preisindex!$A$6,YEAR(ET$4)&gt;=YEAR($F139),AND($K139&lt;&gt;"a",$K139&lt;&gt;"b",$K139&lt;&gt;"g",$K139&lt;&gt;"k")),1,IF(AND($E139&lt;&gt;0,$F139&gt;0,YEAR($F139)&lt;Preisindex!$A$6,YEAR(ET$4)&gt;=YEAR($F139),$K139="a"),ROUND(VLOOKUP(EY$4,Preisindex,5,FALSE)/VLOOKUP(Preisindex!$A$6,Preisindex,5,FALSE),2),IF(AND($E139&lt;&gt;0,$F139&gt;0,YEAR($F139)&lt;Preisindex!$A$6,YEAR(ET$4)&gt;=YEAR($F139),$K139="b"),ROUND(VLOOKUP(EY$4,Preisindex,3,FALSE)/VLOOKUP(Preisindex!$A$6,Preisindex,3,FALSE),2),IF(AND($E139&lt;&gt;0,$F139&gt;0,YEAR($F139)&lt;Preisindex!$A$6,YEAR(ET$4)&gt;=YEAR($F139),$K139="g"),ROUND(VLOOKUP(EY$4,Preisindex,4,FALSE)/VLOOKUP(Preisindex!$A$6,Preisindex,4,FALSE),2),IF(AND($E139&lt;&gt;0,$F139&gt;0,YEAR($F139)&lt;Preisindex!$A$6,YEAR(ET$4)&gt;=YEAR($F139),$K139="k"),ROUND(VLOOKUP(EY$4,Preisindex,2,FALSE)/VLOOKUP(Preisindex!$A$6,Preisindex,2,FALSE),2),0)))))</f>
        <v>0</v>
      </c>
      <c r="FA139" s="51">
        <f>IF(AND($E139&lt;&gt;0,$F139&gt;0,YEAR($F139)&lt;=EY$4,YEAR($F139)&gt;=Preisindex!$A$6),ROUND($E139*EY139,2),IF(AND($E139&lt;&gt;0,$F139&gt;0,YEAR($F139)&lt;=EY$4,YEAR($F139)&lt;Preisindex!$A$6),ROUND($E139*EZ139,2),0))</f>
        <v>0</v>
      </c>
      <c r="FB139" s="53">
        <f t="shared" si="549"/>
        <v>0</v>
      </c>
      <c r="FC139" s="51">
        <f t="shared" si="525"/>
        <v>0</v>
      </c>
      <c r="FD139" s="51">
        <f t="shared" si="483"/>
        <v>0</v>
      </c>
      <c r="FE139" s="51">
        <f t="shared" si="550"/>
        <v>0</v>
      </c>
      <c r="FF139" s="51">
        <f t="shared" si="484"/>
        <v>0</v>
      </c>
      <c r="FG139" s="51">
        <f t="shared" si="551"/>
        <v>0</v>
      </c>
      <c r="FH139" s="51">
        <f t="shared" si="485"/>
        <v>0</v>
      </c>
      <c r="FI139" s="51">
        <f t="shared" si="552"/>
        <v>0</v>
      </c>
      <c r="FJ139" s="51">
        <f t="shared" si="486"/>
        <v>0</v>
      </c>
      <c r="FK139" s="51">
        <f t="shared" si="553"/>
        <v>0</v>
      </c>
      <c r="FL139" s="51">
        <f t="shared" si="487"/>
        <v>0</v>
      </c>
      <c r="FM139" s="51">
        <f t="shared" si="554"/>
        <v>0</v>
      </c>
      <c r="FN139" s="54">
        <f t="shared" si="555"/>
        <v>0</v>
      </c>
      <c r="FO139" s="55">
        <f t="shared" si="556"/>
        <v>0</v>
      </c>
      <c r="FP139" s="56">
        <f>IF(AND($E139&lt;&gt;0,$F139&gt;0,YEAR($F139)&gt;=Preisindex!$A$6,YEAR(FK$4)&gt;=YEAR($F139),AND($K139&lt;&gt;"a",$K139&lt;&gt;"b",$K139&lt;&gt;"g",$K139&lt;&gt;"k")),1,IF(AND($E139&lt;&gt;0,$F139&gt;0,YEAR($F139)&gt;=Preisindex!$A$6,YEAR(FK$4)&gt;=YEAR($F139),$K139="a"),ROUND(VLOOKUP(FP$4,Preisindex,5,FALSE)/VLOOKUP(YEAR($F139),Preisindex,5,FALSE),2),IF(AND($E139&lt;&gt;0,$F139&gt;0,YEAR($F139)&gt;=Preisindex!$A$6,YEAR(FK$4)&gt;=YEAR($F139),$K139="b"),ROUND(VLOOKUP(FP$4,Preisindex,3,FALSE)/VLOOKUP(YEAR($F139),Preisindex,3,FALSE),2),IF(AND($E139&lt;&gt;0,$F139&gt;0,YEAR($F139)&gt;=Preisindex!$A$6,YEAR(FK$4)&gt;=YEAR($F139),$K139="g"),ROUND(VLOOKUP(FP$4,Preisindex,4,FALSE)/VLOOKUP(YEAR($F139),Preisindex,4,FALSE),2),IF(AND($E139&lt;&gt;0,$F139&gt;0,YEAR($F139)&gt;=Preisindex!$A$6,YEAR(FK$4)&gt;=YEAR($F139),$K139="k"),ROUND(VLOOKUP(FP$4,Preisindex,2,FALSE)/VLOOKUP(YEAR($F139),Preisindex,2,FALSE),2),0)))))</f>
        <v>0</v>
      </c>
      <c r="FQ139" s="56">
        <f>IF(AND($E139&lt;&gt;0,$F139&gt;0,YEAR($F139)&lt;Preisindex!$A$6,YEAR(FK$4)&gt;=YEAR($F139),AND($K139&lt;&gt;"a",$K139&lt;&gt;"b",$K139&lt;&gt;"g",$K139&lt;&gt;"k")),1,IF(AND($E139&lt;&gt;0,$F139&gt;0,YEAR($F139)&lt;Preisindex!$A$6,YEAR(FK$4)&gt;=YEAR($F139),$K139="a"),ROUND(VLOOKUP(FP$4,Preisindex,5,FALSE)/VLOOKUP(Preisindex!$A$6,Preisindex,5,FALSE),2),IF(AND($E139&lt;&gt;0,$F139&gt;0,YEAR($F139)&lt;Preisindex!$A$6,YEAR(FK$4)&gt;=YEAR($F139),$K139="b"),ROUND(VLOOKUP(FP$4,Preisindex,3,FALSE)/VLOOKUP(Preisindex!$A$6,Preisindex,3,FALSE),2),IF(AND($E139&lt;&gt;0,$F139&gt;0,YEAR($F139)&lt;Preisindex!$A$6,YEAR(FK$4)&gt;=YEAR($F139),$K139="g"),ROUND(VLOOKUP(FP$4,Preisindex,4,FALSE)/VLOOKUP(Preisindex!$A$6,Preisindex,4,FALSE),2),IF(AND($E139&lt;&gt;0,$F139&gt;0,YEAR($F139)&lt;Preisindex!$A$6,YEAR(FK$4)&gt;=YEAR($F139),$K139="k"),ROUND(VLOOKUP(FP$4,Preisindex,2,FALSE)/VLOOKUP(Preisindex!$A$6,Preisindex,2,FALSE),2),0)))))</f>
        <v>0</v>
      </c>
      <c r="FR139" s="51">
        <f>IF(AND($E139&lt;&gt;0,$F139&gt;0,YEAR($F139)&lt;=FP$4,YEAR($F139)&gt;=Preisindex!$A$6),ROUND($E139*FP139,2),IF(AND($E139&lt;&gt;0,$F139&gt;0,YEAR($F139)&lt;=FP$4,YEAR($F139)&lt;Preisindex!$A$6),ROUND($E139*FQ139,2),0))</f>
        <v>0</v>
      </c>
      <c r="FS139" s="53">
        <f t="shared" si="557"/>
        <v>0</v>
      </c>
    </row>
    <row r="140" spans="1:175" x14ac:dyDescent="0.3">
      <c r="A140" s="93"/>
      <c r="B140" s="94"/>
      <c r="C140" s="94"/>
      <c r="D140" s="95"/>
      <c r="E140" s="99"/>
      <c r="F140" s="97"/>
      <c r="G140" s="98"/>
      <c r="H140" s="620"/>
      <c r="I140" s="621"/>
      <c r="J140" s="194"/>
      <c r="K140" s="630"/>
      <c r="L140" s="49">
        <f t="shared" si="558"/>
        <v>0</v>
      </c>
      <c r="M140" s="50">
        <f t="shared" si="559"/>
        <v>0</v>
      </c>
      <c r="N140" s="51">
        <f t="shared" si="560"/>
        <v>0</v>
      </c>
      <c r="O140" s="51"/>
      <c r="P140" s="51">
        <f t="shared" si="561"/>
        <v>0</v>
      </c>
      <c r="Q140" s="52"/>
      <c r="R140" s="52"/>
      <c r="S140" s="52"/>
      <c r="T140" s="52"/>
      <c r="U140" s="52"/>
      <c r="V140" s="53">
        <f t="shared" si="562"/>
        <v>0</v>
      </c>
      <c r="W140" s="51">
        <f t="shared" si="563"/>
        <v>0</v>
      </c>
      <c r="X140" s="51">
        <f t="shared" si="564"/>
        <v>0</v>
      </c>
      <c r="Y140" s="51">
        <f t="shared" si="565"/>
        <v>0</v>
      </c>
      <c r="Z140" s="51">
        <f t="shared" si="566"/>
        <v>0</v>
      </c>
      <c r="AA140" s="51">
        <f t="shared" si="567"/>
        <v>0</v>
      </c>
      <c r="AB140" s="51">
        <f t="shared" si="568"/>
        <v>0</v>
      </c>
      <c r="AC140" s="51">
        <f t="shared" si="569"/>
        <v>0</v>
      </c>
      <c r="AD140" s="51">
        <f t="shared" si="570"/>
        <v>0</v>
      </c>
      <c r="AE140" s="51">
        <f t="shared" si="571"/>
        <v>0</v>
      </c>
      <c r="AF140" s="51">
        <f t="shared" si="572"/>
        <v>0</v>
      </c>
      <c r="AG140" s="51">
        <f t="shared" si="573"/>
        <v>0</v>
      </c>
      <c r="AH140" s="54">
        <f t="shared" si="574"/>
        <v>0</v>
      </c>
      <c r="AI140" s="55">
        <f t="shared" si="575"/>
        <v>0</v>
      </c>
      <c r="AJ140" s="56">
        <f>IF(AND($E140&lt;&gt;0,$F140&gt;0,YEAR($F140)&gt;=Preisindex!$A$6,YEAR(AE$4)&gt;=YEAR($F140),AND($K140&lt;&gt;"a",$K140&lt;&gt;"b",$K140&lt;&gt;"g",$K140&lt;&gt;"k")),1,IF(AND($E140&lt;&gt;0,$F140&gt;0,YEAR($F140)&gt;=Preisindex!$A$6,YEAR(AE$4)&gt;=YEAR($F140),$K140="a"),ROUND(VLOOKUP(AJ$4,Preisindex,5,FALSE)/VLOOKUP(YEAR($F140),Preisindex,5,FALSE),2),IF(AND($E140&lt;&gt;0,$F140&gt;0,YEAR($F140)&gt;=Preisindex!$A$6,YEAR(AE$4)&gt;=YEAR($F140),$K140="b"),ROUND(VLOOKUP(AJ$4,Preisindex,3,FALSE)/VLOOKUP(YEAR($F140),Preisindex,3,FALSE),2),IF(AND($E140&lt;&gt;0,$F140&gt;0,YEAR($F140)&gt;=Preisindex!$A$6,YEAR(AE$4)&gt;=YEAR($F140),$K140="g"),ROUND(VLOOKUP(AJ$4,Preisindex,4,FALSE)/VLOOKUP(YEAR($F140),Preisindex,4,FALSE),2),IF(AND($E140&lt;&gt;0,$F140&gt;0,YEAR($F140)&gt;=Preisindex!$A$6,YEAR(AE$4)&gt;=YEAR($F140),$K140="k"),ROUND(VLOOKUP(AJ$4,Preisindex,2,FALSE)/VLOOKUP(YEAR($F140),Preisindex,2,FALSE),2),0)))))</f>
        <v>0</v>
      </c>
      <c r="AK140" s="56">
        <f>IF(AND($E140&lt;&gt;0,$F140&gt;0,YEAR($F140)&lt;Preisindex!$A$6,YEAR(AE$4)&gt;=YEAR($F140),AND($K140&lt;&gt;"a",$K140&lt;&gt;"b",$K140&lt;&gt;"g",$K140&lt;&gt;"k")),1,IF(AND($E140&lt;&gt;0,$F140&gt;0,YEAR($F140)&lt;Preisindex!$A$6,YEAR(AE$4)&gt;=YEAR($F140),$K140="a"),ROUND(VLOOKUP(AJ$4,Preisindex,5,FALSE)/VLOOKUP(Preisindex!$A$6,Preisindex,5,FALSE),2),IF(AND($E140&lt;&gt;0,$F140&gt;0,YEAR($F140)&lt;Preisindex!$A$6,YEAR(AE$4)&gt;=YEAR($F140),$K140="b"),ROUND(VLOOKUP(AJ$4,Preisindex,3,FALSE)/VLOOKUP(Preisindex!$A$6,Preisindex,3,FALSE),2),IF(AND($E140&lt;&gt;0,$F140&gt;0,YEAR($F140)&lt;Preisindex!$A$6,YEAR(AE$4)&gt;=YEAR($F140),$K140="g"),ROUND(VLOOKUP(AJ$4,Preisindex,4,FALSE)/VLOOKUP(Preisindex!$A$6,Preisindex,4,FALSE),2),IF(AND($E140&lt;&gt;0,$F140&gt;0,YEAR($F140)&lt;Preisindex!$A$6,YEAR(AE$4)&gt;=YEAR($F140),$K140="k"),ROUND(VLOOKUP(AJ$4,Preisindex,2,FALSE)/VLOOKUP(Preisindex!$A$6,Preisindex,2,FALSE),2),0)))))</f>
        <v>0</v>
      </c>
      <c r="AL140" s="51">
        <f>IF(AND($E140&lt;&gt;0,$F140&gt;0,YEAR($F140)&lt;=AJ$4,YEAR($F140)&gt;=Preisindex!$A$6),ROUND($E140*AJ140,2),IF(AND($E140&lt;&gt;0,$F140&gt;0,YEAR($F140)&lt;=AJ$4,YEAR($F140)&lt;Preisindex!$A$6),ROUND($E140*AK140,2),0))</f>
        <v>0</v>
      </c>
      <c r="AM140" s="53">
        <f t="shared" si="576"/>
        <v>0</v>
      </c>
      <c r="AN140" s="51">
        <f t="shared" si="492"/>
        <v>0</v>
      </c>
      <c r="AO140" s="51">
        <f t="shared" si="448"/>
        <v>0</v>
      </c>
      <c r="AP140" s="51">
        <f t="shared" si="493"/>
        <v>0</v>
      </c>
      <c r="AQ140" s="51">
        <f t="shared" si="449"/>
        <v>0</v>
      </c>
      <c r="AR140" s="51">
        <f t="shared" si="494"/>
        <v>0</v>
      </c>
      <c r="AS140" s="51">
        <f t="shared" si="450"/>
        <v>0</v>
      </c>
      <c r="AT140" s="51">
        <f t="shared" si="495"/>
        <v>0</v>
      </c>
      <c r="AU140" s="51">
        <f t="shared" si="451"/>
        <v>0</v>
      </c>
      <c r="AV140" s="51">
        <f t="shared" si="496"/>
        <v>0</v>
      </c>
      <c r="AW140" s="51">
        <f t="shared" si="452"/>
        <v>0</v>
      </c>
      <c r="AX140" s="51">
        <f t="shared" si="497"/>
        <v>0</v>
      </c>
      <c r="AY140" s="54">
        <f t="shared" si="498"/>
        <v>0</v>
      </c>
      <c r="AZ140" s="55">
        <f t="shared" si="499"/>
        <v>0</v>
      </c>
      <c r="BA140" s="56">
        <f>IF(AND($E140&lt;&gt;0,$F140&gt;0,YEAR($F140)&gt;=Preisindex!$A$6,YEAR(AV$4)&gt;=YEAR($F140),AND($K140&lt;&gt;"a",$K140&lt;&gt;"b",$K140&lt;&gt;"g",$K140&lt;&gt;"k")),1,IF(AND($E140&lt;&gt;0,$F140&gt;0,YEAR($F140)&gt;=Preisindex!$A$6,YEAR(AV$4)&gt;=YEAR($F140),$K140="a"),ROUND(VLOOKUP(BA$4,Preisindex,5,FALSE)/VLOOKUP(YEAR($F140),Preisindex,5,FALSE),2),IF(AND($E140&lt;&gt;0,$F140&gt;0,YEAR($F140)&gt;=Preisindex!$A$6,YEAR(AV$4)&gt;=YEAR($F140),$K140="b"),ROUND(VLOOKUP(BA$4,Preisindex,3,FALSE)/VLOOKUP(YEAR($F140),Preisindex,3,FALSE),2),IF(AND($E140&lt;&gt;0,$F140&gt;0,YEAR($F140)&gt;=Preisindex!$A$6,YEAR(AV$4)&gt;=YEAR($F140),$K140="g"),ROUND(VLOOKUP(BA$4,Preisindex,4,FALSE)/VLOOKUP(YEAR($F140),Preisindex,4,FALSE),2),IF(AND($E140&lt;&gt;0,$F140&gt;0,YEAR($F140)&gt;=Preisindex!$A$6,YEAR(AV$4)&gt;=YEAR($F140),$K140="k"),ROUND(VLOOKUP(BA$4,Preisindex,2,FALSE)/VLOOKUP(YEAR($F140),Preisindex,2,FALSE),2),0)))))</f>
        <v>0</v>
      </c>
      <c r="BB140" s="56">
        <f>IF(AND($E140&lt;&gt;0,$F140&gt;0,YEAR($F140)&lt;Preisindex!$A$6,YEAR(AV$4)&gt;=YEAR($F140),AND($K140&lt;&gt;"a",$K140&lt;&gt;"b",$K140&lt;&gt;"g",$K140&lt;&gt;"k")),1,IF(AND($E140&lt;&gt;0,$F140&gt;0,YEAR($F140)&lt;Preisindex!$A$6,YEAR(AV$4)&gt;=YEAR($F140),$K140="a"),ROUND(VLOOKUP(BA$4,Preisindex,5,FALSE)/VLOOKUP(Preisindex!$A$6,Preisindex,5,FALSE),2),IF(AND($E140&lt;&gt;0,$F140&gt;0,YEAR($F140)&lt;Preisindex!$A$6,YEAR(AV$4)&gt;=YEAR($F140),$K140="b"),ROUND(VLOOKUP(BA$4,Preisindex,3,FALSE)/VLOOKUP(Preisindex!$A$6,Preisindex,3,FALSE),2),IF(AND($E140&lt;&gt;0,$F140&gt;0,YEAR($F140)&lt;Preisindex!$A$6,YEAR(AV$4)&gt;=YEAR($F140),$K140="g"),ROUND(VLOOKUP(BA$4,Preisindex,4,FALSE)/VLOOKUP(Preisindex!$A$6,Preisindex,4,FALSE),2),IF(AND($E140&lt;&gt;0,$F140&gt;0,YEAR($F140)&lt;Preisindex!$A$6,YEAR(AV$4)&gt;=YEAR($F140),$K140="k"),ROUND(VLOOKUP(BA$4,Preisindex,2,FALSE)/VLOOKUP(Preisindex!$A$6,Preisindex,2,FALSE),2),0)))))</f>
        <v>0</v>
      </c>
      <c r="BC140" s="51">
        <f>IF(AND($E140&lt;&gt;0,$F140&gt;0,YEAR($F140)&lt;=BA$4,YEAR($F140)&gt;=Preisindex!$A$6),ROUND($E140*BA140,2),IF(AND($E140&lt;&gt;0,$F140&gt;0,YEAR($F140)&lt;=BA$4,YEAR($F140)&lt;Preisindex!$A$6),ROUND($E140*BB140,2),0))</f>
        <v>0</v>
      </c>
      <c r="BD140" s="53">
        <f t="shared" si="500"/>
        <v>0</v>
      </c>
      <c r="BE140" s="51">
        <f t="shared" si="492"/>
        <v>0</v>
      </c>
      <c r="BF140" s="51">
        <f t="shared" si="453"/>
        <v>0</v>
      </c>
      <c r="BG140" s="51">
        <f t="shared" si="501"/>
        <v>0</v>
      </c>
      <c r="BH140" s="51">
        <f t="shared" si="454"/>
        <v>0</v>
      </c>
      <c r="BI140" s="51">
        <f t="shared" si="502"/>
        <v>0</v>
      </c>
      <c r="BJ140" s="51">
        <f t="shared" si="455"/>
        <v>0</v>
      </c>
      <c r="BK140" s="51">
        <f t="shared" si="503"/>
        <v>0</v>
      </c>
      <c r="BL140" s="51">
        <f t="shared" si="456"/>
        <v>0</v>
      </c>
      <c r="BM140" s="51">
        <f t="shared" si="504"/>
        <v>0</v>
      </c>
      <c r="BN140" s="51">
        <f t="shared" si="457"/>
        <v>0</v>
      </c>
      <c r="BO140" s="51">
        <f t="shared" si="505"/>
        <v>0</v>
      </c>
      <c r="BP140" s="54">
        <f t="shared" si="506"/>
        <v>0</v>
      </c>
      <c r="BQ140" s="55">
        <f t="shared" si="507"/>
        <v>0</v>
      </c>
      <c r="BR140" s="56">
        <f>IF(AND($E140&lt;&gt;0,$F140&gt;0,YEAR($F140)&gt;=Preisindex!$A$6,YEAR(BM$4)&gt;=YEAR($F140),AND($K140&lt;&gt;"a",$K140&lt;&gt;"b",$K140&lt;&gt;"g",$K140&lt;&gt;"k")),1,IF(AND($E140&lt;&gt;0,$F140&gt;0,YEAR($F140)&gt;=Preisindex!$A$6,YEAR(BM$4)&gt;=YEAR($F140),$K140="a"),ROUND(VLOOKUP(BR$4,Preisindex,5,FALSE)/VLOOKUP(YEAR($F140),Preisindex,5,FALSE),2),IF(AND($E140&lt;&gt;0,$F140&gt;0,YEAR($F140)&gt;=Preisindex!$A$6,YEAR(BM$4)&gt;=YEAR($F140),$K140="b"),ROUND(VLOOKUP(BR$4,Preisindex,3,FALSE)/VLOOKUP(YEAR($F140),Preisindex,3,FALSE),2),IF(AND($E140&lt;&gt;0,$F140&gt;0,YEAR($F140)&gt;=Preisindex!$A$6,YEAR(BM$4)&gt;=YEAR($F140),$K140="g"),ROUND(VLOOKUP(BR$4,Preisindex,4,FALSE)/VLOOKUP(YEAR($F140),Preisindex,4,FALSE),2),IF(AND($E140&lt;&gt;0,$F140&gt;0,YEAR($F140)&gt;=Preisindex!$A$6,YEAR(BM$4)&gt;=YEAR($F140),$K140="k"),ROUND(VLOOKUP(BR$4,Preisindex,2,FALSE)/VLOOKUP(YEAR($F140),Preisindex,2,FALSE),2),0)))))</f>
        <v>0</v>
      </c>
      <c r="BS140" s="56">
        <f>IF(AND($E140&lt;&gt;0,$F140&gt;0,YEAR($F140)&lt;Preisindex!$A$6,YEAR(BM$4)&gt;=YEAR($F140),AND($K140&lt;&gt;"a",$K140&lt;&gt;"b",$K140&lt;&gt;"g",$K140&lt;&gt;"k")),1,IF(AND($E140&lt;&gt;0,$F140&gt;0,YEAR($F140)&lt;Preisindex!$A$6,YEAR(BM$4)&gt;=YEAR($F140),$K140="a"),ROUND(VLOOKUP(BR$4,Preisindex,5,FALSE)/VLOOKUP(Preisindex!$A$6,Preisindex,5,FALSE),2),IF(AND($E140&lt;&gt;0,$F140&gt;0,YEAR($F140)&lt;Preisindex!$A$6,YEAR(BM$4)&gt;=YEAR($F140),$K140="b"),ROUND(VLOOKUP(BR$4,Preisindex,3,FALSE)/VLOOKUP(Preisindex!$A$6,Preisindex,3,FALSE),2),IF(AND($E140&lt;&gt;0,$F140&gt;0,YEAR($F140)&lt;Preisindex!$A$6,YEAR(BM$4)&gt;=YEAR($F140),$K140="g"),ROUND(VLOOKUP(BR$4,Preisindex,4,FALSE)/VLOOKUP(Preisindex!$A$6,Preisindex,4,FALSE),2),IF(AND($E140&lt;&gt;0,$F140&gt;0,YEAR($F140)&lt;Preisindex!$A$6,YEAR(BM$4)&gt;=YEAR($F140),$K140="k"),ROUND(VLOOKUP(BR$4,Preisindex,2,FALSE)/VLOOKUP(Preisindex!$A$6,Preisindex,2,FALSE),2),0)))))</f>
        <v>0</v>
      </c>
      <c r="BT140" s="51">
        <f>IF(AND($E140&lt;&gt;0,$F140&gt;0,YEAR($F140)&lt;=BR$4,YEAR($F140)&gt;=Preisindex!$A$6),ROUND($E140*BR140,2),IF(AND($E140&lt;&gt;0,$F140&gt;0,YEAR($F140)&lt;=BR$4,YEAR($F140)&lt;Preisindex!$A$6),ROUND($E140*BS140,2),0))</f>
        <v>0</v>
      </c>
      <c r="BU140" s="53">
        <f t="shared" si="508"/>
        <v>0</v>
      </c>
      <c r="BV140" s="51">
        <f t="shared" si="492"/>
        <v>0</v>
      </c>
      <c r="BW140" s="51">
        <f t="shared" si="458"/>
        <v>0</v>
      </c>
      <c r="BX140" s="51">
        <f t="shared" si="509"/>
        <v>0</v>
      </c>
      <c r="BY140" s="51">
        <f t="shared" si="459"/>
        <v>0</v>
      </c>
      <c r="BZ140" s="51">
        <f t="shared" si="510"/>
        <v>0</v>
      </c>
      <c r="CA140" s="51">
        <f t="shared" si="460"/>
        <v>0</v>
      </c>
      <c r="CB140" s="51">
        <f t="shared" si="511"/>
        <v>0</v>
      </c>
      <c r="CC140" s="51">
        <f t="shared" si="461"/>
        <v>0</v>
      </c>
      <c r="CD140" s="51">
        <f t="shared" si="512"/>
        <v>0</v>
      </c>
      <c r="CE140" s="51">
        <f t="shared" si="462"/>
        <v>0</v>
      </c>
      <c r="CF140" s="51">
        <f t="shared" si="513"/>
        <v>0</v>
      </c>
      <c r="CG140" s="54">
        <f t="shared" si="514"/>
        <v>0</v>
      </c>
      <c r="CH140" s="55">
        <f t="shared" si="515"/>
        <v>0</v>
      </c>
      <c r="CI140" s="56">
        <f>IF(AND($E140&lt;&gt;0,$F140&gt;0,YEAR($F140)&gt;=Preisindex!$A$6,YEAR(CD$4)&gt;=YEAR($F140),AND($K140&lt;&gt;"a",$K140&lt;&gt;"b",$K140&lt;&gt;"g",$K140&lt;&gt;"k")),1,IF(AND($E140&lt;&gt;0,$F140&gt;0,YEAR($F140)&gt;=Preisindex!$A$6,YEAR(CD$4)&gt;=YEAR($F140),$K140="a"),ROUND(VLOOKUP(CI$4,Preisindex,5,FALSE)/VLOOKUP(YEAR($F140),Preisindex,5,FALSE),2),IF(AND($E140&lt;&gt;0,$F140&gt;0,YEAR($F140)&gt;=Preisindex!$A$6,YEAR(CD$4)&gt;=YEAR($F140),$K140="b"),ROUND(VLOOKUP(CI$4,Preisindex,3,FALSE)/VLOOKUP(YEAR($F140),Preisindex,3,FALSE),2),IF(AND($E140&lt;&gt;0,$F140&gt;0,YEAR($F140)&gt;=Preisindex!$A$6,YEAR(CD$4)&gt;=YEAR($F140),$K140="g"),ROUND(VLOOKUP(CI$4,Preisindex,4,FALSE)/VLOOKUP(YEAR($F140),Preisindex,4,FALSE),2),IF(AND($E140&lt;&gt;0,$F140&gt;0,YEAR($F140)&gt;=Preisindex!$A$6,YEAR(CD$4)&gt;=YEAR($F140),$K140="k"),ROUND(VLOOKUP(CI$4,Preisindex,2,FALSE)/VLOOKUP(YEAR($F140),Preisindex,2,FALSE),2),0)))))</f>
        <v>0</v>
      </c>
      <c r="CJ140" s="56">
        <f>IF(AND($E140&lt;&gt;0,$F140&gt;0,YEAR($F140)&lt;Preisindex!$A$6,YEAR(CD$4)&gt;=YEAR($F140),AND($K140&lt;&gt;"a",$K140&lt;&gt;"b",$K140&lt;&gt;"g",$K140&lt;&gt;"k")),1,IF(AND($E140&lt;&gt;0,$F140&gt;0,YEAR($F140)&lt;Preisindex!$A$6,YEAR(CD$4)&gt;=YEAR($F140),$K140="a"),ROUND(VLOOKUP(CI$4,Preisindex,5,FALSE)/VLOOKUP(Preisindex!$A$6,Preisindex,5,FALSE),2),IF(AND($E140&lt;&gt;0,$F140&gt;0,YEAR($F140)&lt;Preisindex!$A$6,YEAR(CD$4)&gt;=YEAR($F140),$K140="b"),ROUND(VLOOKUP(CI$4,Preisindex,3,FALSE)/VLOOKUP(Preisindex!$A$6,Preisindex,3,FALSE),2),IF(AND($E140&lt;&gt;0,$F140&gt;0,YEAR($F140)&lt;Preisindex!$A$6,YEAR(CD$4)&gt;=YEAR($F140),$K140="g"),ROUND(VLOOKUP(CI$4,Preisindex,4,FALSE)/VLOOKUP(Preisindex!$A$6,Preisindex,4,FALSE),2),IF(AND($E140&lt;&gt;0,$F140&gt;0,YEAR($F140)&lt;Preisindex!$A$6,YEAR(CD$4)&gt;=YEAR($F140),$K140="k"),ROUND(VLOOKUP(CI$4,Preisindex,2,FALSE)/VLOOKUP(Preisindex!$A$6,Preisindex,2,FALSE),2),0)))))</f>
        <v>0</v>
      </c>
      <c r="CK140" s="51">
        <f>IF(AND($E140&lt;&gt;0,$F140&gt;0,YEAR($F140)&lt;=CI$4,YEAR($F140)&gt;=Preisindex!$A$6),ROUND($E140*CI140,2),IF(AND($E140&lt;&gt;0,$F140&gt;0,YEAR($F140)&lt;=CI$4,YEAR($F140)&lt;Preisindex!$A$6),ROUND($E140*CJ140,2),0))</f>
        <v>0</v>
      </c>
      <c r="CL140" s="53">
        <f t="shared" si="516"/>
        <v>0</v>
      </c>
      <c r="CM140" s="51">
        <f t="shared" si="492"/>
        <v>0</v>
      </c>
      <c r="CN140" s="51">
        <f t="shared" si="463"/>
        <v>0</v>
      </c>
      <c r="CO140" s="51">
        <f t="shared" si="517"/>
        <v>0</v>
      </c>
      <c r="CP140" s="51">
        <f t="shared" si="464"/>
        <v>0</v>
      </c>
      <c r="CQ140" s="51">
        <f t="shared" si="518"/>
        <v>0</v>
      </c>
      <c r="CR140" s="51">
        <f t="shared" si="465"/>
        <v>0</v>
      </c>
      <c r="CS140" s="51">
        <f t="shared" si="519"/>
        <v>0</v>
      </c>
      <c r="CT140" s="51">
        <f t="shared" si="466"/>
        <v>0</v>
      </c>
      <c r="CU140" s="51">
        <f t="shared" si="520"/>
        <v>0</v>
      </c>
      <c r="CV140" s="51">
        <f t="shared" si="467"/>
        <v>0</v>
      </c>
      <c r="CW140" s="51">
        <f t="shared" si="521"/>
        <v>0</v>
      </c>
      <c r="CX140" s="54">
        <f t="shared" si="522"/>
        <v>0</v>
      </c>
      <c r="CY140" s="55">
        <f t="shared" si="523"/>
        <v>0</v>
      </c>
      <c r="CZ140" s="56">
        <f>IF(AND($E140&lt;&gt;0,$F140&gt;0,YEAR($F140)&gt;=Preisindex!$A$6,YEAR(CU$4)&gt;=YEAR($F140),AND($K140&lt;&gt;"a",$K140&lt;&gt;"b",$K140&lt;&gt;"g",$K140&lt;&gt;"k")),1,IF(AND($E140&lt;&gt;0,$F140&gt;0,YEAR($F140)&gt;=Preisindex!$A$6,YEAR(CU$4)&gt;=YEAR($F140),$K140="a"),ROUND(VLOOKUP(CZ$4,Preisindex,5,FALSE)/VLOOKUP(YEAR($F140),Preisindex,5,FALSE),2),IF(AND($E140&lt;&gt;0,$F140&gt;0,YEAR($F140)&gt;=Preisindex!$A$6,YEAR(CU$4)&gt;=YEAR($F140),$K140="b"),ROUND(VLOOKUP(CZ$4,Preisindex,3,FALSE)/VLOOKUP(YEAR($F140),Preisindex,3,FALSE),2),IF(AND($E140&lt;&gt;0,$F140&gt;0,YEAR($F140)&gt;=Preisindex!$A$6,YEAR(CU$4)&gt;=YEAR($F140),$K140="g"),ROUND(VLOOKUP(CZ$4,Preisindex,4,FALSE)/VLOOKUP(YEAR($F140),Preisindex,4,FALSE),2),IF(AND($E140&lt;&gt;0,$F140&gt;0,YEAR($F140)&gt;=Preisindex!$A$6,YEAR(CU$4)&gt;=YEAR($F140),$K140="k"),ROUND(VLOOKUP(CZ$4,Preisindex,2,FALSE)/VLOOKUP(YEAR($F140),Preisindex,2,FALSE),2),0)))))</f>
        <v>0</v>
      </c>
      <c r="DA140" s="56">
        <f>IF(AND($E140&lt;&gt;0,$F140&gt;0,YEAR($F140)&lt;Preisindex!$A$6,YEAR(CU$4)&gt;=YEAR($F140),AND($K140&lt;&gt;"a",$K140&lt;&gt;"b",$K140&lt;&gt;"g",$K140&lt;&gt;"k")),1,IF(AND($E140&lt;&gt;0,$F140&gt;0,YEAR($F140)&lt;Preisindex!$A$6,YEAR(CU$4)&gt;=YEAR($F140),$K140="a"),ROUND(VLOOKUP(CZ$4,Preisindex,5,FALSE)/VLOOKUP(Preisindex!$A$6,Preisindex,5,FALSE),2),IF(AND($E140&lt;&gt;0,$F140&gt;0,YEAR($F140)&lt;Preisindex!$A$6,YEAR(CU$4)&gt;=YEAR($F140),$K140="b"),ROUND(VLOOKUP(CZ$4,Preisindex,3,FALSE)/VLOOKUP(Preisindex!$A$6,Preisindex,3,FALSE),2),IF(AND($E140&lt;&gt;0,$F140&gt;0,YEAR($F140)&lt;Preisindex!$A$6,YEAR(CU$4)&gt;=YEAR($F140),$K140="g"),ROUND(VLOOKUP(CZ$4,Preisindex,4,FALSE)/VLOOKUP(Preisindex!$A$6,Preisindex,4,FALSE),2),IF(AND($E140&lt;&gt;0,$F140&gt;0,YEAR($F140)&lt;Preisindex!$A$6,YEAR(CU$4)&gt;=YEAR($F140),$K140="k"),ROUND(VLOOKUP(CZ$4,Preisindex,2,FALSE)/VLOOKUP(Preisindex!$A$6,Preisindex,2,FALSE),2),0)))))</f>
        <v>0</v>
      </c>
      <c r="DB140" s="51">
        <f>IF(AND($E140&lt;&gt;0,$F140&gt;0,YEAR($F140)&lt;=CZ$4,YEAR($F140)&gt;=Preisindex!$A$6),ROUND($E140*CZ140,2),IF(AND($E140&lt;&gt;0,$F140&gt;0,YEAR($F140)&lt;=CZ$4,YEAR($F140)&lt;Preisindex!$A$6),ROUND($E140*DA140,2),0))</f>
        <v>0</v>
      </c>
      <c r="DC140" s="53">
        <f t="shared" si="524"/>
        <v>0</v>
      </c>
      <c r="DD140" s="51">
        <f t="shared" si="525"/>
        <v>0</v>
      </c>
      <c r="DE140" s="51">
        <f t="shared" si="468"/>
        <v>0</v>
      </c>
      <c r="DF140" s="51">
        <f t="shared" si="526"/>
        <v>0</v>
      </c>
      <c r="DG140" s="51">
        <f t="shared" si="469"/>
        <v>0</v>
      </c>
      <c r="DH140" s="51">
        <f t="shared" si="527"/>
        <v>0</v>
      </c>
      <c r="DI140" s="51">
        <f t="shared" si="470"/>
        <v>0</v>
      </c>
      <c r="DJ140" s="51">
        <f t="shared" si="528"/>
        <v>0</v>
      </c>
      <c r="DK140" s="51">
        <f t="shared" si="471"/>
        <v>0</v>
      </c>
      <c r="DL140" s="51">
        <f t="shared" si="529"/>
        <v>0</v>
      </c>
      <c r="DM140" s="51">
        <f t="shared" si="472"/>
        <v>0</v>
      </c>
      <c r="DN140" s="51">
        <f t="shared" si="530"/>
        <v>0</v>
      </c>
      <c r="DO140" s="54">
        <f t="shared" si="531"/>
        <v>0</v>
      </c>
      <c r="DP140" s="55">
        <f t="shared" si="532"/>
        <v>0</v>
      </c>
      <c r="DQ140" s="56">
        <f>IF(AND($E140&lt;&gt;0,$F140&gt;0,YEAR($F140)&gt;=Preisindex!$A$6,YEAR(DL$4)&gt;=YEAR($F140),AND($K140&lt;&gt;"a",$K140&lt;&gt;"b",$K140&lt;&gt;"g",$K140&lt;&gt;"k")),1,IF(AND($E140&lt;&gt;0,$F140&gt;0,YEAR($F140)&gt;=Preisindex!$A$6,YEAR(DL$4)&gt;=YEAR($F140),$K140="a"),ROUND(VLOOKUP(DQ$4,Preisindex,5,FALSE)/VLOOKUP(YEAR($F140),Preisindex,5,FALSE),2),IF(AND($E140&lt;&gt;0,$F140&gt;0,YEAR($F140)&gt;=Preisindex!$A$6,YEAR(DL$4)&gt;=YEAR($F140),$K140="b"),ROUND(VLOOKUP(DQ$4,Preisindex,3,FALSE)/VLOOKUP(YEAR($F140),Preisindex,3,FALSE),2),IF(AND($E140&lt;&gt;0,$F140&gt;0,YEAR($F140)&gt;=Preisindex!$A$6,YEAR(DL$4)&gt;=YEAR($F140),$K140="g"),ROUND(VLOOKUP(DQ$4,Preisindex,4,FALSE)/VLOOKUP(YEAR($F140),Preisindex,4,FALSE),2),IF(AND($E140&lt;&gt;0,$F140&gt;0,YEAR($F140)&gt;=Preisindex!$A$6,YEAR(DL$4)&gt;=YEAR($F140),$K140="k"),ROUND(VLOOKUP(DQ$4,Preisindex,2,FALSE)/VLOOKUP(YEAR($F140),Preisindex,2,FALSE),2),0)))))</f>
        <v>0</v>
      </c>
      <c r="DR140" s="56">
        <f>IF(AND($E140&lt;&gt;0,$F140&gt;0,YEAR($F140)&lt;Preisindex!$A$6,YEAR(DL$4)&gt;=YEAR($F140),AND($K140&lt;&gt;"a",$K140&lt;&gt;"b",$K140&lt;&gt;"g",$K140&lt;&gt;"k")),1,IF(AND($E140&lt;&gt;0,$F140&gt;0,YEAR($F140)&lt;Preisindex!$A$6,YEAR(DL$4)&gt;=YEAR($F140),$K140="a"),ROUND(VLOOKUP(DQ$4,Preisindex,5,FALSE)/VLOOKUP(Preisindex!$A$6,Preisindex,5,FALSE),2),IF(AND($E140&lt;&gt;0,$F140&gt;0,YEAR($F140)&lt;Preisindex!$A$6,YEAR(DL$4)&gt;=YEAR($F140),$K140="b"),ROUND(VLOOKUP(DQ$4,Preisindex,3,FALSE)/VLOOKUP(Preisindex!$A$6,Preisindex,3,FALSE),2),IF(AND($E140&lt;&gt;0,$F140&gt;0,YEAR($F140)&lt;Preisindex!$A$6,YEAR(DL$4)&gt;=YEAR($F140),$K140="g"),ROUND(VLOOKUP(DQ$4,Preisindex,4,FALSE)/VLOOKUP(Preisindex!$A$6,Preisindex,4,FALSE),2),IF(AND($E140&lt;&gt;0,$F140&gt;0,YEAR($F140)&lt;Preisindex!$A$6,YEAR(DL$4)&gt;=YEAR($F140),$K140="k"),ROUND(VLOOKUP(DQ$4,Preisindex,2,FALSE)/VLOOKUP(Preisindex!$A$6,Preisindex,2,FALSE),2),0)))))</f>
        <v>0</v>
      </c>
      <c r="DS140" s="51">
        <f>IF(AND($E140&lt;&gt;0,$F140&gt;0,YEAR($F140)&lt;=DQ$4,YEAR($F140)&gt;=Preisindex!$A$6),ROUND($E140*DQ140,2),IF(AND($E140&lt;&gt;0,$F140&gt;0,YEAR($F140)&lt;=DQ$4,YEAR($F140)&lt;Preisindex!$A$6),ROUND($E140*DR140,2),0))</f>
        <v>0</v>
      </c>
      <c r="DT140" s="53">
        <f t="shared" si="533"/>
        <v>0</v>
      </c>
      <c r="DU140" s="51">
        <f t="shared" si="525"/>
        <v>0</v>
      </c>
      <c r="DV140" s="51">
        <f t="shared" si="473"/>
        <v>0</v>
      </c>
      <c r="DW140" s="51">
        <f t="shared" si="534"/>
        <v>0</v>
      </c>
      <c r="DX140" s="51">
        <f t="shared" si="474"/>
        <v>0</v>
      </c>
      <c r="DY140" s="51">
        <f t="shared" si="535"/>
        <v>0</v>
      </c>
      <c r="DZ140" s="51">
        <f t="shared" si="475"/>
        <v>0</v>
      </c>
      <c r="EA140" s="51">
        <f t="shared" si="536"/>
        <v>0</v>
      </c>
      <c r="EB140" s="51">
        <f t="shared" si="476"/>
        <v>0</v>
      </c>
      <c r="EC140" s="51">
        <f t="shared" si="537"/>
        <v>0</v>
      </c>
      <c r="ED140" s="51">
        <f t="shared" si="477"/>
        <v>0</v>
      </c>
      <c r="EE140" s="51">
        <f t="shared" si="538"/>
        <v>0</v>
      </c>
      <c r="EF140" s="54">
        <f t="shared" si="539"/>
        <v>0</v>
      </c>
      <c r="EG140" s="55">
        <f t="shared" si="540"/>
        <v>0</v>
      </c>
      <c r="EH140" s="56">
        <f>IF(AND($E140&lt;&gt;0,$F140&gt;0,YEAR($F140)&gt;=Preisindex!$A$6,YEAR(EC$4)&gt;=YEAR($F140),AND($K140&lt;&gt;"a",$K140&lt;&gt;"b",$K140&lt;&gt;"g",$K140&lt;&gt;"k")),1,IF(AND($E140&lt;&gt;0,$F140&gt;0,YEAR($F140)&gt;=Preisindex!$A$6,YEAR(EC$4)&gt;=YEAR($F140),$K140="a"),ROUND(VLOOKUP(EH$4,Preisindex,5,FALSE)/VLOOKUP(YEAR($F140),Preisindex,5,FALSE),2),IF(AND($E140&lt;&gt;0,$F140&gt;0,YEAR($F140)&gt;=Preisindex!$A$6,YEAR(EC$4)&gt;=YEAR($F140),$K140="b"),ROUND(VLOOKUP(EH$4,Preisindex,3,FALSE)/VLOOKUP(YEAR($F140),Preisindex,3,FALSE),2),IF(AND($E140&lt;&gt;0,$F140&gt;0,YEAR($F140)&gt;=Preisindex!$A$6,YEAR(EC$4)&gt;=YEAR($F140),$K140="g"),ROUND(VLOOKUP(EH$4,Preisindex,4,FALSE)/VLOOKUP(YEAR($F140),Preisindex,4,FALSE),2),IF(AND($E140&lt;&gt;0,$F140&gt;0,YEAR($F140)&gt;=Preisindex!$A$6,YEAR(EC$4)&gt;=YEAR($F140),$K140="k"),ROUND(VLOOKUP(EH$4,Preisindex,2,FALSE)/VLOOKUP(YEAR($F140),Preisindex,2,FALSE),2),0)))))</f>
        <v>0</v>
      </c>
      <c r="EI140" s="56">
        <f>IF(AND($E140&lt;&gt;0,$F140&gt;0,YEAR($F140)&lt;Preisindex!$A$6,YEAR(EC$4)&gt;=YEAR($F140),AND($K140&lt;&gt;"a",$K140&lt;&gt;"b",$K140&lt;&gt;"g",$K140&lt;&gt;"k")),1,IF(AND($E140&lt;&gt;0,$F140&gt;0,YEAR($F140)&lt;Preisindex!$A$6,YEAR(EC$4)&gt;=YEAR($F140),$K140="a"),ROUND(VLOOKUP(EH$4,Preisindex,5,FALSE)/VLOOKUP(Preisindex!$A$6,Preisindex,5,FALSE),2),IF(AND($E140&lt;&gt;0,$F140&gt;0,YEAR($F140)&lt;Preisindex!$A$6,YEAR(EC$4)&gt;=YEAR($F140),$K140="b"),ROUND(VLOOKUP(EH$4,Preisindex,3,FALSE)/VLOOKUP(Preisindex!$A$6,Preisindex,3,FALSE),2),IF(AND($E140&lt;&gt;0,$F140&gt;0,YEAR($F140)&lt;Preisindex!$A$6,YEAR(EC$4)&gt;=YEAR($F140),$K140="g"),ROUND(VLOOKUP(EH$4,Preisindex,4,FALSE)/VLOOKUP(Preisindex!$A$6,Preisindex,4,FALSE),2),IF(AND($E140&lt;&gt;0,$F140&gt;0,YEAR($F140)&lt;Preisindex!$A$6,YEAR(EC$4)&gt;=YEAR($F140),$K140="k"),ROUND(VLOOKUP(EH$4,Preisindex,2,FALSE)/VLOOKUP(Preisindex!$A$6,Preisindex,2,FALSE),2),0)))))</f>
        <v>0</v>
      </c>
      <c r="EJ140" s="51">
        <f>IF(AND($E140&lt;&gt;0,$F140&gt;0,YEAR($F140)&lt;=EH$4,YEAR($F140)&gt;=Preisindex!$A$6),ROUND($E140*EH140,2),IF(AND($E140&lt;&gt;0,$F140&gt;0,YEAR($F140)&lt;=EH$4,YEAR($F140)&lt;Preisindex!$A$6),ROUND($E140*EI140,2),0))</f>
        <v>0</v>
      </c>
      <c r="EK140" s="53">
        <f t="shared" si="541"/>
        <v>0</v>
      </c>
      <c r="EL140" s="51">
        <f t="shared" si="525"/>
        <v>0</v>
      </c>
      <c r="EM140" s="51">
        <f t="shared" si="478"/>
        <v>0</v>
      </c>
      <c r="EN140" s="51">
        <f t="shared" si="542"/>
        <v>0</v>
      </c>
      <c r="EO140" s="51">
        <f t="shared" si="479"/>
        <v>0</v>
      </c>
      <c r="EP140" s="51">
        <f t="shared" si="543"/>
        <v>0</v>
      </c>
      <c r="EQ140" s="51">
        <f t="shared" si="480"/>
        <v>0</v>
      </c>
      <c r="ER140" s="51">
        <f t="shared" si="544"/>
        <v>0</v>
      </c>
      <c r="ES140" s="51">
        <f t="shared" si="481"/>
        <v>0</v>
      </c>
      <c r="ET140" s="51">
        <f t="shared" si="545"/>
        <v>0</v>
      </c>
      <c r="EU140" s="51">
        <f t="shared" si="482"/>
        <v>0</v>
      </c>
      <c r="EV140" s="51">
        <f t="shared" si="546"/>
        <v>0</v>
      </c>
      <c r="EW140" s="54">
        <f t="shared" si="547"/>
        <v>0</v>
      </c>
      <c r="EX140" s="55">
        <f t="shared" si="548"/>
        <v>0</v>
      </c>
      <c r="EY140" s="56">
        <f>IF(AND($E140&lt;&gt;0,$F140&gt;0,YEAR($F140)&gt;=Preisindex!$A$6,YEAR(ET$4)&gt;=YEAR($F140),AND($K140&lt;&gt;"a",$K140&lt;&gt;"b",$K140&lt;&gt;"g",$K140&lt;&gt;"k")),1,IF(AND($E140&lt;&gt;0,$F140&gt;0,YEAR($F140)&gt;=Preisindex!$A$6,YEAR(ET$4)&gt;=YEAR($F140),$K140="a"),ROUND(VLOOKUP(EY$4,Preisindex,5,FALSE)/VLOOKUP(YEAR($F140),Preisindex,5,FALSE),2),IF(AND($E140&lt;&gt;0,$F140&gt;0,YEAR($F140)&gt;=Preisindex!$A$6,YEAR(ET$4)&gt;=YEAR($F140),$K140="b"),ROUND(VLOOKUP(EY$4,Preisindex,3,FALSE)/VLOOKUP(YEAR($F140),Preisindex,3,FALSE),2),IF(AND($E140&lt;&gt;0,$F140&gt;0,YEAR($F140)&gt;=Preisindex!$A$6,YEAR(ET$4)&gt;=YEAR($F140),$K140="g"),ROUND(VLOOKUP(EY$4,Preisindex,4,FALSE)/VLOOKUP(YEAR($F140),Preisindex,4,FALSE),2),IF(AND($E140&lt;&gt;0,$F140&gt;0,YEAR($F140)&gt;=Preisindex!$A$6,YEAR(ET$4)&gt;=YEAR($F140),$K140="k"),ROUND(VLOOKUP(EY$4,Preisindex,2,FALSE)/VLOOKUP(YEAR($F140),Preisindex,2,FALSE),2),0)))))</f>
        <v>0</v>
      </c>
      <c r="EZ140" s="56">
        <f>IF(AND($E140&lt;&gt;0,$F140&gt;0,YEAR($F140)&lt;Preisindex!$A$6,YEAR(ET$4)&gt;=YEAR($F140),AND($K140&lt;&gt;"a",$K140&lt;&gt;"b",$K140&lt;&gt;"g",$K140&lt;&gt;"k")),1,IF(AND($E140&lt;&gt;0,$F140&gt;0,YEAR($F140)&lt;Preisindex!$A$6,YEAR(ET$4)&gt;=YEAR($F140),$K140="a"),ROUND(VLOOKUP(EY$4,Preisindex,5,FALSE)/VLOOKUP(Preisindex!$A$6,Preisindex,5,FALSE),2),IF(AND($E140&lt;&gt;0,$F140&gt;0,YEAR($F140)&lt;Preisindex!$A$6,YEAR(ET$4)&gt;=YEAR($F140),$K140="b"),ROUND(VLOOKUP(EY$4,Preisindex,3,FALSE)/VLOOKUP(Preisindex!$A$6,Preisindex,3,FALSE),2),IF(AND($E140&lt;&gt;0,$F140&gt;0,YEAR($F140)&lt;Preisindex!$A$6,YEAR(ET$4)&gt;=YEAR($F140),$K140="g"),ROUND(VLOOKUP(EY$4,Preisindex,4,FALSE)/VLOOKUP(Preisindex!$A$6,Preisindex,4,FALSE),2),IF(AND($E140&lt;&gt;0,$F140&gt;0,YEAR($F140)&lt;Preisindex!$A$6,YEAR(ET$4)&gt;=YEAR($F140),$K140="k"),ROUND(VLOOKUP(EY$4,Preisindex,2,FALSE)/VLOOKUP(Preisindex!$A$6,Preisindex,2,FALSE),2),0)))))</f>
        <v>0</v>
      </c>
      <c r="FA140" s="51">
        <f>IF(AND($E140&lt;&gt;0,$F140&gt;0,YEAR($F140)&lt;=EY$4,YEAR($F140)&gt;=Preisindex!$A$6),ROUND($E140*EY140,2),IF(AND($E140&lt;&gt;0,$F140&gt;0,YEAR($F140)&lt;=EY$4,YEAR($F140)&lt;Preisindex!$A$6),ROUND($E140*EZ140,2),0))</f>
        <v>0</v>
      </c>
      <c r="FB140" s="53">
        <f t="shared" si="549"/>
        <v>0</v>
      </c>
      <c r="FC140" s="51">
        <f t="shared" si="525"/>
        <v>0</v>
      </c>
      <c r="FD140" s="51">
        <f t="shared" si="483"/>
        <v>0</v>
      </c>
      <c r="FE140" s="51">
        <f t="shared" si="550"/>
        <v>0</v>
      </c>
      <c r="FF140" s="51">
        <f t="shared" si="484"/>
        <v>0</v>
      </c>
      <c r="FG140" s="51">
        <f t="shared" si="551"/>
        <v>0</v>
      </c>
      <c r="FH140" s="51">
        <f t="shared" si="485"/>
        <v>0</v>
      </c>
      <c r="FI140" s="51">
        <f t="shared" si="552"/>
        <v>0</v>
      </c>
      <c r="FJ140" s="51">
        <f t="shared" si="486"/>
        <v>0</v>
      </c>
      <c r="FK140" s="51">
        <f t="shared" si="553"/>
        <v>0</v>
      </c>
      <c r="FL140" s="51">
        <f t="shared" si="487"/>
        <v>0</v>
      </c>
      <c r="FM140" s="51">
        <f t="shared" si="554"/>
        <v>0</v>
      </c>
      <c r="FN140" s="54">
        <f t="shared" si="555"/>
        <v>0</v>
      </c>
      <c r="FO140" s="55">
        <f t="shared" si="556"/>
        <v>0</v>
      </c>
      <c r="FP140" s="56">
        <f>IF(AND($E140&lt;&gt;0,$F140&gt;0,YEAR($F140)&gt;=Preisindex!$A$6,YEAR(FK$4)&gt;=YEAR($F140),AND($K140&lt;&gt;"a",$K140&lt;&gt;"b",$K140&lt;&gt;"g",$K140&lt;&gt;"k")),1,IF(AND($E140&lt;&gt;0,$F140&gt;0,YEAR($F140)&gt;=Preisindex!$A$6,YEAR(FK$4)&gt;=YEAR($F140),$K140="a"),ROUND(VLOOKUP(FP$4,Preisindex,5,FALSE)/VLOOKUP(YEAR($F140),Preisindex,5,FALSE),2),IF(AND($E140&lt;&gt;0,$F140&gt;0,YEAR($F140)&gt;=Preisindex!$A$6,YEAR(FK$4)&gt;=YEAR($F140),$K140="b"),ROUND(VLOOKUP(FP$4,Preisindex,3,FALSE)/VLOOKUP(YEAR($F140),Preisindex,3,FALSE),2),IF(AND($E140&lt;&gt;0,$F140&gt;0,YEAR($F140)&gt;=Preisindex!$A$6,YEAR(FK$4)&gt;=YEAR($F140),$K140="g"),ROUND(VLOOKUP(FP$4,Preisindex,4,FALSE)/VLOOKUP(YEAR($F140),Preisindex,4,FALSE),2),IF(AND($E140&lt;&gt;0,$F140&gt;0,YEAR($F140)&gt;=Preisindex!$A$6,YEAR(FK$4)&gt;=YEAR($F140),$K140="k"),ROUND(VLOOKUP(FP$4,Preisindex,2,FALSE)/VLOOKUP(YEAR($F140),Preisindex,2,FALSE),2),0)))))</f>
        <v>0</v>
      </c>
      <c r="FQ140" s="56">
        <f>IF(AND($E140&lt;&gt;0,$F140&gt;0,YEAR($F140)&lt;Preisindex!$A$6,YEAR(FK$4)&gt;=YEAR($F140),AND($K140&lt;&gt;"a",$K140&lt;&gt;"b",$K140&lt;&gt;"g",$K140&lt;&gt;"k")),1,IF(AND($E140&lt;&gt;0,$F140&gt;0,YEAR($F140)&lt;Preisindex!$A$6,YEAR(FK$4)&gt;=YEAR($F140),$K140="a"),ROUND(VLOOKUP(FP$4,Preisindex,5,FALSE)/VLOOKUP(Preisindex!$A$6,Preisindex,5,FALSE),2),IF(AND($E140&lt;&gt;0,$F140&gt;0,YEAR($F140)&lt;Preisindex!$A$6,YEAR(FK$4)&gt;=YEAR($F140),$K140="b"),ROUND(VLOOKUP(FP$4,Preisindex,3,FALSE)/VLOOKUP(Preisindex!$A$6,Preisindex,3,FALSE),2),IF(AND($E140&lt;&gt;0,$F140&gt;0,YEAR($F140)&lt;Preisindex!$A$6,YEAR(FK$4)&gt;=YEAR($F140),$K140="g"),ROUND(VLOOKUP(FP$4,Preisindex,4,FALSE)/VLOOKUP(Preisindex!$A$6,Preisindex,4,FALSE),2),IF(AND($E140&lt;&gt;0,$F140&gt;0,YEAR($F140)&lt;Preisindex!$A$6,YEAR(FK$4)&gt;=YEAR($F140),$K140="k"),ROUND(VLOOKUP(FP$4,Preisindex,2,FALSE)/VLOOKUP(Preisindex!$A$6,Preisindex,2,FALSE),2),0)))))</f>
        <v>0</v>
      </c>
      <c r="FR140" s="51">
        <f>IF(AND($E140&lt;&gt;0,$F140&gt;0,YEAR($F140)&lt;=FP$4,YEAR($F140)&gt;=Preisindex!$A$6),ROUND($E140*FP140,2),IF(AND($E140&lt;&gt;0,$F140&gt;0,YEAR($F140)&lt;=FP$4,YEAR($F140)&lt;Preisindex!$A$6),ROUND($E140*FQ140,2),0))</f>
        <v>0</v>
      </c>
      <c r="FS140" s="53">
        <f t="shared" si="557"/>
        <v>0</v>
      </c>
    </row>
    <row r="141" spans="1:175" x14ac:dyDescent="0.3">
      <c r="A141" s="93"/>
      <c r="B141" s="94"/>
      <c r="C141" s="94"/>
      <c r="D141" s="95"/>
      <c r="E141" s="99"/>
      <c r="F141" s="97"/>
      <c r="G141" s="98"/>
      <c r="H141" s="620"/>
      <c r="I141" s="621"/>
      <c r="J141" s="194"/>
      <c r="K141" s="630"/>
      <c r="L141" s="49">
        <f t="shared" si="558"/>
        <v>0</v>
      </c>
      <c r="M141" s="50">
        <f t="shared" si="559"/>
        <v>0</v>
      </c>
      <c r="N141" s="51">
        <f t="shared" si="560"/>
        <v>0</v>
      </c>
      <c r="O141" s="51"/>
      <c r="P141" s="51">
        <f t="shared" si="561"/>
        <v>0</v>
      </c>
      <c r="Q141" s="52"/>
      <c r="R141" s="52"/>
      <c r="S141" s="52"/>
      <c r="T141" s="52"/>
      <c r="U141" s="52"/>
      <c r="V141" s="53">
        <f t="shared" si="562"/>
        <v>0</v>
      </c>
      <c r="W141" s="51">
        <f t="shared" si="563"/>
        <v>0</v>
      </c>
      <c r="X141" s="51">
        <f t="shared" si="564"/>
        <v>0</v>
      </c>
      <c r="Y141" s="51">
        <f t="shared" si="565"/>
        <v>0</v>
      </c>
      <c r="Z141" s="51">
        <f t="shared" si="566"/>
        <v>0</v>
      </c>
      <c r="AA141" s="51">
        <f t="shared" si="567"/>
        <v>0</v>
      </c>
      <c r="AB141" s="51">
        <f t="shared" si="568"/>
        <v>0</v>
      </c>
      <c r="AC141" s="51">
        <f t="shared" si="569"/>
        <v>0</v>
      </c>
      <c r="AD141" s="51">
        <f t="shared" si="570"/>
        <v>0</v>
      </c>
      <c r="AE141" s="51">
        <f t="shared" si="571"/>
        <v>0</v>
      </c>
      <c r="AF141" s="51">
        <f t="shared" si="572"/>
        <v>0</v>
      </c>
      <c r="AG141" s="51">
        <f t="shared" si="573"/>
        <v>0</v>
      </c>
      <c r="AH141" s="54">
        <f t="shared" si="574"/>
        <v>0</v>
      </c>
      <c r="AI141" s="55">
        <f t="shared" si="575"/>
        <v>0</v>
      </c>
      <c r="AJ141" s="56">
        <f>IF(AND($E141&lt;&gt;0,$F141&gt;0,YEAR($F141)&gt;=Preisindex!$A$6,YEAR(AE$4)&gt;=YEAR($F141),AND($K141&lt;&gt;"a",$K141&lt;&gt;"b",$K141&lt;&gt;"g",$K141&lt;&gt;"k")),1,IF(AND($E141&lt;&gt;0,$F141&gt;0,YEAR($F141)&gt;=Preisindex!$A$6,YEAR(AE$4)&gt;=YEAR($F141),$K141="a"),ROUND(VLOOKUP(AJ$4,Preisindex,5,FALSE)/VLOOKUP(YEAR($F141),Preisindex,5,FALSE),2),IF(AND($E141&lt;&gt;0,$F141&gt;0,YEAR($F141)&gt;=Preisindex!$A$6,YEAR(AE$4)&gt;=YEAR($F141),$K141="b"),ROUND(VLOOKUP(AJ$4,Preisindex,3,FALSE)/VLOOKUP(YEAR($F141),Preisindex,3,FALSE),2),IF(AND($E141&lt;&gt;0,$F141&gt;0,YEAR($F141)&gt;=Preisindex!$A$6,YEAR(AE$4)&gt;=YEAR($F141),$K141="g"),ROUND(VLOOKUP(AJ$4,Preisindex,4,FALSE)/VLOOKUP(YEAR($F141),Preisindex,4,FALSE),2),IF(AND($E141&lt;&gt;0,$F141&gt;0,YEAR($F141)&gt;=Preisindex!$A$6,YEAR(AE$4)&gt;=YEAR($F141),$K141="k"),ROUND(VLOOKUP(AJ$4,Preisindex,2,FALSE)/VLOOKUP(YEAR($F141),Preisindex,2,FALSE),2),0)))))</f>
        <v>0</v>
      </c>
      <c r="AK141" s="56">
        <f>IF(AND($E141&lt;&gt;0,$F141&gt;0,YEAR($F141)&lt;Preisindex!$A$6,YEAR(AE$4)&gt;=YEAR($F141),AND($K141&lt;&gt;"a",$K141&lt;&gt;"b",$K141&lt;&gt;"g",$K141&lt;&gt;"k")),1,IF(AND($E141&lt;&gt;0,$F141&gt;0,YEAR($F141)&lt;Preisindex!$A$6,YEAR(AE$4)&gt;=YEAR($F141),$K141="a"),ROUND(VLOOKUP(AJ$4,Preisindex,5,FALSE)/VLOOKUP(Preisindex!$A$6,Preisindex,5,FALSE),2),IF(AND($E141&lt;&gt;0,$F141&gt;0,YEAR($F141)&lt;Preisindex!$A$6,YEAR(AE$4)&gt;=YEAR($F141),$K141="b"),ROUND(VLOOKUP(AJ$4,Preisindex,3,FALSE)/VLOOKUP(Preisindex!$A$6,Preisindex,3,FALSE),2),IF(AND($E141&lt;&gt;0,$F141&gt;0,YEAR($F141)&lt;Preisindex!$A$6,YEAR(AE$4)&gt;=YEAR($F141),$K141="g"),ROUND(VLOOKUP(AJ$4,Preisindex,4,FALSE)/VLOOKUP(Preisindex!$A$6,Preisindex,4,FALSE),2),IF(AND($E141&lt;&gt;0,$F141&gt;0,YEAR($F141)&lt;Preisindex!$A$6,YEAR(AE$4)&gt;=YEAR($F141),$K141="k"),ROUND(VLOOKUP(AJ$4,Preisindex,2,FALSE)/VLOOKUP(Preisindex!$A$6,Preisindex,2,FALSE),2),0)))))</f>
        <v>0</v>
      </c>
      <c r="AL141" s="51">
        <f>IF(AND($E141&lt;&gt;0,$F141&gt;0,YEAR($F141)&lt;=AJ$4,YEAR($F141)&gt;=Preisindex!$A$6),ROUND($E141*AJ141,2),IF(AND($E141&lt;&gt;0,$F141&gt;0,YEAR($F141)&lt;=AJ$4,YEAR($F141)&lt;Preisindex!$A$6),ROUND($E141*AK141,2),0))</f>
        <v>0</v>
      </c>
      <c r="AM141" s="53">
        <f t="shared" si="576"/>
        <v>0</v>
      </c>
      <c r="AN141" s="51">
        <f t="shared" si="492"/>
        <v>0</v>
      </c>
      <c r="AO141" s="51">
        <f t="shared" si="448"/>
        <v>0</v>
      </c>
      <c r="AP141" s="51">
        <f t="shared" si="493"/>
        <v>0</v>
      </c>
      <c r="AQ141" s="51">
        <f t="shared" si="449"/>
        <v>0</v>
      </c>
      <c r="AR141" s="51">
        <f t="shared" si="494"/>
        <v>0</v>
      </c>
      <c r="AS141" s="51">
        <f t="shared" si="450"/>
        <v>0</v>
      </c>
      <c r="AT141" s="51">
        <f t="shared" si="495"/>
        <v>0</v>
      </c>
      <c r="AU141" s="51">
        <f t="shared" si="451"/>
        <v>0</v>
      </c>
      <c r="AV141" s="51">
        <f t="shared" si="496"/>
        <v>0</v>
      </c>
      <c r="AW141" s="51">
        <f t="shared" si="452"/>
        <v>0</v>
      </c>
      <c r="AX141" s="51">
        <f t="shared" si="497"/>
        <v>0</v>
      </c>
      <c r="AY141" s="54">
        <f t="shared" si="498"/>
        <v>0</v>
      </c>
      <c r="AZ141" s="55">
        <f t="shared" si="499"/>
        <v>0</v>
      </c>
      <c r="BA141" s="56">
        <f>IF(AND($E141&lt;&gt;0,$F141&gt;0,YEAR($F141)&gt;=Preisindex!$A$6,YEAR(AV$4)&gt;=YEAR($F141),AND($K141&lt;&gt;"a",$K141&lt;&gt;"b",$K141&lt;&gt;"g",$K141&lt;&gt;"k")),1,IF(AND($E141&lt;&gt;0,$F141&gt;0,YEAR($F141)&gt;=Preisindex!$A$6,YEAR(AV$4)&gt;=YEAR($F141),$K141="a"),ROUND(VLOOKUP(BA$4,Preisindex,5,FALSE)/VLOOKUP(YEAR($F141),Preisindex,5,FALSE),2),IF(AND($E141&lt;&gt;0,$F141&gt;0,YEAR($F141)&gt;=Preisindex!$A$6,YEAR(AV$4)&gt;=YEAR($F141),$K141="b"),ROUND(VLOOKUP(BA$4,Preisindex,3,FALSE)/VLOOKUP(YEAR($F141),Preisindex,3,FALSE),2),IF(AND($E141&lt;&gt;0,$F141&gt;0,YEAR($F141)&gt;=Preisindex!$A$6,YEAR(AV$4)&gt;=YEAR($F141),$K141="g"),ROUND(VLOOKUP(BA$4,Preisindex,4,FALSE)/VLOOKUP(YEAR($F141),Preisindex,4,FALSE),2),IF(AND($E141&lt;&gt;0,$F141&gt;0,YEAR($F141)&gt;=Preisindex!$A$6,YEAR(AV$4)&gt;=YEAR($F141),$K141="k"),ROUND(VLOOKUP(BA$4,Preisindex,2,FALSE)/VLOOKUP(YEAR($F141),Preisindex,2,FALSE),2),0)))))</f>
        <v>0</v>
      </c>
      <c r="BB141" s="56">
        <f>IF(AND($E141&lt;&gt;0,$F141&gt;0,YEAR($F141)&lt;Preisindex!$A$6,YEAR(AV$4)&gt;=YEAR($F141),AND($K141&lt;&gt;"a",$K141&lt;&gt;"b",$K141&lt;&gt;"g",$K141&lt;&gt;"k")),1,IF(AND($E141&lt;&gt;0,$F141&gt;0,YEAR($F141)&lt;Preisindex!$A$6,YEAR(AV$4)&gt;=YEAR($F141),$K141="a"),ROUND(VLOOKUP(BA$4,Preisindex,5,FALSE)/VLOOKUP(Preisindex!$A$6,Preisindex,5,FALSE),2),IF(AND($E141&lt;&gt;0,$F141&gt;0,YEAR($F141)&lt;Preisindex!$A$6,YEAR(AV$4)&gt;=YEAR($F141),$K141="b"),ROUND(VLOOKUP(BA$4,Preisindex,3,FALSE)/VLOOKUP(Preisindex!$A$6,Preisindex,3,FALSE),2),IF(AND($E141&lt;&gt;0,$F141&gt;0,YEAR($F141)&lt;Preisindex!$A$6,YEAR(AV$4)&gt;=YEAR($F141),$K141="g"),ROUND(VLOOKUP(BA$4,Preisindex,4,FALSE)/VLOOKUP(Preisindex!$A$6,Preisindex,4,FALSE),2),IF(AND($E141&lt;&gt;0,$F141&gt;0,YEAR($F141)&lt;Preisindex!$A$6,YEAR(AV$4)&gt;=YEAR($F141),$K141="k"),ROUND(VLOOKUP(BA$4,Preisindex,2,FALSE)/VLOOKUP(Preisindex!$A$6,Preisindex,2,FALSE),2),0)))))</f>
        <v>0</v>
      </c>
      <c r="BC141" s="51">
        <f>IF(AND($E141&lt;&gt;0,$F141&gt;0,YEAR($F141)&lt;=BA$4,YEAR($F141)&gt;=Preisindex!$A$6),ROUND($E141*BA141,2),IF(AND($E141&lt;&gt;0,$F141&gt;0,YEAR($F141)&lt;=BA$4,YEAR($F141)&lt;Preisindex!$A$6),ROUND($E141*BB141,2),0))</f>
        <v>0</v>
      </c>
      <c r="BD141" s="53">
        <f t="shared" si="500"/>
        <v>0</v>
      </c>
      <c r="BE141" s="51">
        <f t="shared" si="492"/>
        <v>0</v>
      </c>
      <c r="BF141" s="51">
        <f t="shared" si="453"/>
        <v>0</v>
      </c>
      <c r="BG141" s="51">
        <f t="shared" si="501"/>
        <v>0</v>
      </c>
      <c r="BH141" s="51">
        <f t="shared" si="454"/>
        <v>0</v>
      </c>
      <c r="BI141" s="51">
        <f t="shared" si="502"/>
        <v>0</v>
      </c>
      <c r="BJ141" s="51">
        <f t="shared" si="455"/>
        <v>0</v>
      </c>
      <c r="BK141" s="51">
        <f t="shared" si="503"/>
        <v>0</v>
      </c>
      <c r="BL141" s="51">
        <f t="shared" si="456"/>
        <v>0</v>
      </c>
      <c r="BM141" s="51">
        <f t="shared" si="504"/>
        <v>0</v>
      </c>
      <c r="BN141" s="51">
        <f t="shared" si="457"/>
        <v>0</v>
      </c>
      <c r="BO141" s="51">
        <f t="shared" si="505"/>
        <v>0</v>
      </c>
      <c r="BP141" s="54">
        <f t="shared" si="506"/>
        <v>0</v>
      </c>
      <c r="BQ141" s="55">
        <f t="shared" si="507"/>
        <v>0</v>
      </c>
      <c r="BR141" s="56">
        <f>IF(AND($E141&lt;&gt;0,$F141&gt;0,YEAR($F141)&gt;=Preisindex!$A$6,YEAR(BM$4)&gt;=YEAR($F141),AND($K141&lt;&gt;"a",$K141&lt;&gt;"b",$K141&lt;&gt;"g",$K141&lt;&gt;"k")),1,IF(AND($E141&lt;&gt;0,$F141&gt;0,YEAR($F141)&gt;=Preisindex!$A$6,YEAR(BM$4)&gt;=YEAR($F141),$K141="a"),ROUND(VLOOKUP(BR$4,Preisindex,5,FALSE)/VLOOKUP(YEAR($F141),Preisindex,5,FALSE),2),IF(AND($E141&lt;&gt;0,$F141&gt;0,YEAR($F141)&gt;=Preisindex!$A$6,YEAR(BM$4)&gt;=YEAR($F141),$K141="b"),ROUND(VLOOKUP(BR$4,Preisindex,3,FALSE)/VLOOKUP(YEAR($F141),Preisindex,3,FALSE),2),IF(AND($E141&lt;&gt;0,$F141&gt;0,YEAR($F141)&gt;=Preisindex!$A$6,YEAR(BM$4)&gt;=YEAR($F141),$K141="g"),ROUND(VLOOKUP(BR$4,Preisindex,4,FALSE)/VLOOKUP(YEAR($F141),Preisindex,4,FALSE),2),IF(AND($E141&lt;&gt;0,$F141&gt;0,YEAR($F141)&gt;=Preisindex!$A$6,YEAR(BM$4)&gt;=YEAR($F141),$K141="k"),ROUND(VLOOKUP(BR$4,Preisindex,2,FALSE)/VLOOKUP(YEAR($F141),Preisindex,2,FALSE),2),0)))))</f>
        <v>0</v>
      </c>
      <c r="BS141" s="56">
        <f>IF(AND($E141&lt;&gt;0,$F141&gt;0,YEAR($F141)&lt;Preisindex!$A$6,YEAR(BM$4)&gt;=YEAR($F141),AND($K141&lt;&gt;"a",$K141&lt;&gt;"b",$K141&lt;&gt;"g",$K141&lt;&gt;"k")),1,IF(AND($E141&lt;&gt;0,$F141&gt;0,YEAR($F141)&lt;Preisindex!$A$6,YEAR(BM$4)&gt;=YEAR($F141),$K141="a"),ROUND(VLOOKUP(BR$4,Preisindex,5,FALSE)/VLOOKUP(Preisindex!$A$6,Preisindex,5,FALSE),2),IF(AND($E141&lt;&gt;0,$F141&gt;0,YEAR($F141)&lt;Preisindex!$A$6,YEAR(BM$4)&gt;=YEAR($F141),$K141="b"),ROUND(VLOOKUP(BR$4,Preisindex,3,FALSE)/VLOOKUP(Preisindex!$A$6,Preisindex,3,FALSE),2),IF(AND($E141&lt;&gt;0,$F141&gt;0,YEAR($F141)&lt;Preisindex!$A$6,YEAR(BM$4)&gt;=YEAR($F141),$K141="g"),ROUND(VLOOKUP(BR$4,Preisindex,4,FALSE)/VLOOKUP(Preisindex!$A$6,Preisindex,4,FALSE),2),IF(AND($E141&lt;&gt;0,$F141&gt;0,YEAR($F141)&lt;Preisindex!$A$6,YEAR(BM$4)&gt;=YEAR($F141),$K141="k"),ROUND(VLOOKUP(BR$4,Preisindex,2,FALSE)/VLOOKUP(Preisindex!$A$6,Preisindex,2,FALSE),2),0)))))</f>
        <v>0</v>
      </c>
      <c r="BT141" s="51">
        <f>IF(AND($E141&lt;&gt;0,$F141&gt;0,YEAR($F141)&lt;=BR$4,YEAR($F141)&gt;=Preisindex!$A$6),ROUND($E141*BR141,2),IF(AND($E141&lt;&gt;0,$F141&gt;0,YEAR($F141)&lt;=BR$4,YEAR($F141)&lt;Preisindex!$A$6),ROUND($E141*BS141,2),0))</f>
        <v>0</v>
      </c>
      <c r="BU141" s="53">
        <f t="shared" si="508"/>
        <v>0</v>
      </c>
      <c r="BV141" s="51">
        <f t="shared" si="492"/>
        <v>0</v>
      </c>
      <c r="BW141" s="51">
        <f t="shared" si="458"/>
        <v>0</v>
      </c>
      <c r="BX141" s="51">
        <f t="shared" si="509"/>
        <v>0</v>
      </c>
      <c r="BY141" s="51">
        <f t="shared" si="459"/>
        <v>0</v>
      </c>
      <c r="BZ141" s="51">
        <f t="shared" si="510"/>
        <v>0</v>
      </c>
      <c r="CA141" s="51">
        <f t="shared" si="460"/>
        <v>0</v>
      </c>
      <c r="CB141" s="51">
        <f t="shared" si="511"/>
        <v>0</v>
      </c>
      <c r="CC141" s="51">
        <f t="shared" si="461"/>
        <v>0</v>
      </c>
      <c r="CD141" s="51">
        <f t="shared" si="512"/>
        <v>0</v>
      </c>
      <c r="CE141" s="51">
        <f t="shared" si="462"/>
        <v>0</v>
      </c>
      <c r="CF141" s="51">
        <f t="shared" si="513"/>
        <v>0</v>
      </c>
      <c r="CG141" s="54">
        <f t="shared" si="514"/>
        <v>0</v>
      </c>
      <c r="CH141" s="55">
        <f t="shared" si="515"/>
        <v>0</v>
      </c>
      <c r="CI141" s="56">
        <f>IF(AND($E141&lt;&gt;0,$F141&gt;0,YEAR($F141)&gt;=Preisindex!$A$6,YEAR(CD$4)&gt;=YEAR($F141),AND($K141&lt;&gt;"a",$K141&lt;&gt;"b",$K141&lt;&gt;"g",$K141&lt;&gt;"k")),1,IF(AND($E141&lt;&gt;0,$F141&gt;0,YEAR($F141)&gt;=Preisindex!$A$6,YEAR(CD$4)&gt;=YEAR($F141),$K141="a"),ROUND(VLOOKUP(CI$4,Preisindex,5,FALSE)/VLOOKUP(YEAR($F141),Preisindex,5,FALSE),2),IF(AND($E141&lt;&gt;0,$F141&gt;0,YEAR($F141)&gt;=Preisindex!$A$6,YEAR(CD$4)&gt;=YEAR($F141),$K141="b"),ROUND(VLOOKUP(CI$4,Preisindex,3,FALSE)/VLOOKUP(YEAR($F141),Preisindex,3,FALSE),2),IF(AND($E141&lt;&gt;0,$F141&gt;0,YEAR($F141)&gt;=Preisindex!$A$6,YEAR(CD$4)&gt;=YEAR($F141),$K141="g"),ROUND(VLOOKUP(CI$4,Preisindex,4,FALSE)/VLOOKUP(YEAR($F141),Preisindex,4,FALSE),2),IF(AND($E141&lt;&gt;0,$F141&gt;0,YEAR($F141)&gt;=Preisindex!$A$6,YEAR(CD$4)&gt;=YEAR($F141),$K141="k"),ROUND(VLOOKUP(CI$4,Preisindex,2,FALSE)/VLOOKUP(YEAR($F141),Preisindex,2,FALSE),2),0)))))</f>
        <v>0</v>
      </c>
      <c r="CJ141" s="56">
        <f>IF(AND($E141&lt;&gt;0,$F141&gt;0,YEAR($F141)&lt;Preisindex!$A$6,YEAR(CD$4)&gt;=YEAR($F141),AND($K141&lt;&gt;"a",$K141&lt;&gt;"b",$K141&lt;&gt;"g",$K141&lt;&gt;"k")),1,IF(AND($E141&lt;&gt;0,$F141&gt;0,YEAR($F141)&lt;Preisindex!$A$6,YEAR(CD$4)&gt;=YEAR($F141),$K141="a"),ROUND(VLOOKUP(CI$4,Preisindex,5,FALSE)/VLOOKUP(Preisindex!$A$6,Preisindex,5,FALSE),2),IF(AND($E141&lt;&gt;0,$F141&gt;0,YEAR($F141)&lt;Preisindex!$A$6,YEAR(CD$4)&gt;=YEAR($F141),$K141="b"),ROUND(VLOOKUP(CI$4,Preisindex,3,FALSE)/VLOOKUP(Preisindex!$A$6,Preisindex,3,FALSE),2),IF(AND($E141&lt;&gt;0,$F141&gt;0,YEAR($F141)&lt;Preisindex!$A$6,YEAR(CD$4)&gt;=YEAR($F141),$K141="g"),ROUND(VLOOKUP(CI$4,Preisindex,4,FALSE)/VLOOKUP(Preisindex!$A$6,Preisindex,4,FALSE),2),IF(AND($E141&lt;&gt;0,$F141&gt;0,YEAR($F141)&lt;Preisindex!$A$6,YEAR(CD$4)&gt;=YEAR($F141),$K141="k"),ROUND(VLOOKUP(CI$4,Preisindex,2,FALSE)/VLOOKUP(Preisindex!$A$6,Preisindex,2,FALSE),2),0)))))</f>
        <v>0</v>
      </c>
      <c r="CK141" s="51">
        <f>IF(AND($E141&lt;&gt;0,$F141&gt;0,YEAR($F141)&lt;=CI$4,YEAR($F141)&gt;=Preisindex!$A$6),ROUND($E141*CI141,2),IF(AND($E141&lt;&gt;0,$F141&gt;0,YEAR($F141)&lt;=CI$4,YEAR($F141)&lt;Preisindex!$A$6),ROUND($E141*CJ141,2),0))</f>
        <v>0</v>
      </c>
      <c r="CL141" s="53">
        <f t="shared" si="516"/>
        <v>0</v>
      </c>
      <c r="CM141" s="51">
        <f t="shared" si="492"/>
        <v>0</v>
      </c>
      <c r="CN141" s="51">
        <f t="shared" si="463"/>
        <v>0</v>
      </c>
      <c r="CO141" s="51">
        <f t="shared" si="517"/>
        <v>0</v>
      </c>
      <c r="CP141" s="51">
        <f t="shared" si="464"/>
        <v>0</v>
      </c>
      <c r="CQ141" s="51">
        <f t="shared" si="518"/>
        <v>0</v>
      </c>
      <c r="CR141" s="51">
        <f t="shared" si="465"/>
        <v>0</v>
      </c>
      <c r="CS141" s="51">
        <f t="shared" si="519"/>
        <v>0</v>
      </c>
      <c r="CT141" s="51">
        <f t="shared" si="466"/>
        <v>0</v>
      </c>
      <c r="CU141" s="51">
        <f t="shared" si="520"/>
        <v>0</v>
      </c>
      <c r="CV141" s="51">
        <f t="shared" si="467"/>
        <v>0</v>
      </c>
      <c r="CW141" s="51">
        <f t="shared" si="521"/>
        <v>0</v>
      </c>
      <c r="CX141" s="54">
        <f t="shared" si="522"/>
        <v>0</v>
      </c>
      <c r="CY141" s="55">
        <f t="shared" si="523"/>
        <v>0</v>
      </c>
      <c r="CZ141" s="56">
        <f>IF(AND($E141&lt;&gt;0,$F141&gt;0,YEAR($F141)&gt;=Preisindex!$A$6,YEAR(CU$4)&gt;=YEAR($F141),AND($K141&lt;&gt;"a",$K141&lt;&gt;"b",$K141&lt;&gt;"g",$K141&lt;&gt;"k")),1,IF(AND($E141&lt;&gt;0,$F141&gt;0,YEAR($F141)&gt;=Preisindex!$A$6,YEAR(CU$4)&gt;=YEAR($F141),$K141="a"),ROUND(VLOOKUP(CZ$4,Preisindex,5,FALSE)/VLOOKUP(YEAR($F141),Preisindex,5,FALSE),2),IF(AND($E141&lt;&gt;0,$F141&gt;0,YEAR($F141)&gt;=Preisindex!$A$6,YEAR(CU$4)&gt;=YEAR($F141),$K141="b"),ROUND(VLOOKUP(CZ$4,Preisindex,3,FALSE)/VLOOKUP(YEAR($F141),Preisindex,3,FALSE),2),IF(AND($E141&lt;&gt;0,$F141&gt;0,YEAR($F141)&gt;=Preisindex!$A$6,YEAR(CU$4)&gt;=YEAR($F141),$K141="g"),ROUND(VLOOKUP(CZ$4,Preisindex,4,FALSE)/VLOOKUP(YEAR($F141),Preisindex,4,FALSE),2),IF(AND($E141&lt;&gt;0,$F141&gt;0,YEAR($F141)&gt;=Preisindex!$A$6,YEAR(CU$4)&gt;=YEAR($F141),$K141="k"),ROUND(VLOOKUP(CZ$4,Preisindex,2,FALSE)/VLOOKUP(YEAR($F141),Preisindex,2,FALSE),2),0)))))</f>
        <v>0</v>
      </c>
      <c r="DA141" s="56">
        <f>IF(AND($E141&lt;&gt;0,$F141&gt;0,YEAR($F141)&lt;Preisindex!$A$6,YEAR(CU$4)&gt;=YEAR($F141),AND($K141&lt;&gt;"a",$K141&lt;&gt;"b",$K141&lt;&gt;"g",$K141&lt;&gt;"k")),1,IF(AND($E141&lt;&gt;0,$F141&gt;0,YEAR($F141)&lt;Preisindex!$A$6,YEAR(CU$4)&gt;=YEAR($F141),$K141="a"),ROUND(VLOOKUP(CZ$4,Preisindex,5,FALSE)/VLOOKUP(Preisindex!$A$6,Preisindex,5,FALSE),2),IF(AND($E141&lt;&gt;0,$F141&gt;0,YEAR($F141)&lt;Preisindex!$A$6,YEAR(CU$4)&gt;=YEAR($F141),$K141="b"),ROUND(VLOOKUP(CZ$4,Preisindex,3,FALSE)/VLOOKUP(Preisindex!$A$6,Preisindex,3,FALSE),2),IF(AND($E141&lt;&gt;0,$F141&gt;0,YEAR($F141)&lt;Preisindex!$A$6,YEAR(CU$4)&gt;=YEAR($F141),$K141="g"),ROUND(VLOOKUP(CZ$4,Preisindex,4,FALSE)/VLOOKUP(Preisindex!$A$6,Preisindex,4,FALSE),2),IF(AND($E141&lt;&gt;0,$F141&gt;0,YEAR($F141)&lt;Preisindex!$A$6,YEAR(CU$4)&gt;=YEAR($F141),$K141="k"),ROUND(VLOOKUP(CZ$4,Preisindex,2,FALSE)/VLOOKUP(Preisindex!$A$6,Preisindex,2,FALSE),2),0)))))</f>
        <v>0</v>
      </c>
      <c r="DB141" s="51">
        <f>IF(AND($E141&lt;&gt;0,$F141&gt;0,YEAR($F141)&lt;=CZ$4,YEAR($F141)&gt;=Preisindex!$A$6),ROUND($E141*CZ141,2),IF(AND($E141&lt;&gt;0,$F141&gt;0,YEAR($F141)&lt;=CZ$4,YEAR($F141)&lt;Preisindex!$A$6),ROUND($E141*DA141,2),0))</f>
        <v>0</v>
      </c>
      <c r="DC141" s="53">
        <f t="shared" si="524"/>
        <v>0</v>
      </c>
      <c r="DD141" s="51">
        <f t="shared" si="525"/>
        <v>0</v>
      </c>
      <c r="DE141" s="51">
        <f t="shared" si="468"/>
        <v>0</v>
      </c>
      <c r="DF141" s="51">
        <f t="shared" si="526"/>
        <v>0</v>
      </c>
      <c r="DG141" s="51">
        <f t="shared" si="469"/>
        <v>0</v>
      </c>
      <c r="DH141" s="51">
        <f t="shared" si="527"/>
        <v>0</v>
      </c>
      <c r="DI141" s="51">
        <f t="shared" si="470"/>
        <v>0</v>
      </c>
      <c r="DJ141" s="51">
        <f t="shared" si="528"/>
        <v>0</v>
      </c>
      <c r="DK141" s="51">
        <f t="shared" si="471"/>
        <v>0</v>
      </c>
      <c r="DL141" s="51">
        <f t="shared" si="529"/>
        <v>0</v>
      </c>
      <c r="DM141" s="51">
        <f t="shared" si="472"/>
        <v>0</v>
      </c>
      <c r="DN141" s="51">
        <f t="shared" si="530"/>
        <v>0</v>
      </c>
      <c r="DO141" s="54">
        <f t="shared" si="531"/>
        <v>0</v>
      </c>
      <c r="DP141" s="55">
        <f t="shared" si="532"/>
        <v>0</v>
      </c>
      <c r="DQ141" s="56">
        <f>IF(AND($E141&lt;&gt;0,$F141&gt;0,YEAR($F141)&gt;=Preisindex!$A$6,YEAR(DL$4)&gt;=YEAR($F141),AND($K141&lt;&gt;"a",$K141&lt;&gt;"b",$K141&lt;&gt;"g",$K141&lt;&gt;"k")),1,IF(AND($E141&lt;&gt;0,$F141&gt;0,YEAR($F141)&gt;=Preisindex!$A$6,YEAR(DL$4)&gt;=YEAR($F141),$K141="a"),ROUND(VLOOKUP(DQ$4,Preisindex,5,FALSE)/VLOOKUP(YEAR($F141),Preisindex,5,FALSE),2),IF(AND($E141&lt;&gt;0,$F141&gt;0,YEAR($F141)&gt;=Preisindex!$A$6,YEAR(DL$4)&gt;=YEAR($F141),$K141="b"),ROUND(VLOOKUP(DQ$4,Preisindex,3,FALSE)/VLOOKUP(YEAR($F141),Preisindex,3,FALSE),2),IF(AND($E141&lt;&gt;0,$F141&gt;0,YEAR($F141)&gt;=Preisindex!$A$6,YEAR(DL$4)&gt;=YEAR($F141),$K141="g"),ROUND(VLOOKUP(DQ$4,Preisindex,4,FALSE)/VLOOKUP(YEAR($F141),Preisindex,4,FALSE),2),IF(AND($E141&lt;&gt;0,$F141&gt;0,YEAR($F141)&gt;=Preisindex!$A$6,YEAR(DL$4)&gt;=YEAR($F141),$K141="k"),ROUND(VLOOKUP(DQ$4,Preisindex,2,FALSE)/VLOOKUP(YEAR($F141),Preisindex,2,FALSE),2),0)))))</f>
        <v>0</v>
      </c>
      <c r="DR141" s="56">
        <f>IF(AND($E141&lt;&gt;0,$F141&gt;0,YEAR($F141)&lt;Preisindex!$A$6,YEAR(DL$4)&gt;=YEAR($F141),AND($K141&lt;&gt;"a",$K141&lt;&gt;"b",$K141&lt;&gt;"g",$K141&lt;&gt;"k")),1,IF(AND($E141&lt;&gt;0,$F141&gt;0,YEAR($F141)&lt;Preisindex!$A$6,YEAR(DL$4)&gt;=YEAR($F141),$K141="a"),ROUND(VLOOKUP(DQ$4,Preisindex,5,FALSE)/VLOOKUP(Preisindex!$A$6,Preisindex,5,FALSE),2),IF(AND($E141&lt;&gt;0,$F141&gt;0,YEAR($F141)&lt;Preisindex!$A$6,YEAR(DL$4)&gt;=YEAR($F141),$K141="b"),ROUND(VLOOKUP(DQ$4,Preisindex,3,FALSE)/VLOOKUP(Preisindex!$A$6,Preisindex,3,FALSE),2),IF(AND($E141&lt;&gt;0,$F141&gt;0,YEAR($F141)&lt;Preisindex!$A$6,YEAR(DL$4)&gt;=YEAR($F141),$K141="g"),ROUND(VLOOKUP(DQ$4,Preisindex,4,FALSE)/VLOOKUP(Preisindex!$A$6,Preisindex,4,FALSE),2),IF(AND($E141&lt;&gt;0,$F141&gt;0,YEAR($F141)&lt;Preisindex!$A$6,YEAR(DL$4)&gt;=YEAR($F141),$K141="k"),ROUND(VLOOKUP(DQ$4,Preisindex,2,FALSE)/VLOOKUP(Preisindex!$A$6,Preisindex,2,FALSE),2),0)))))</f>
        <v>0</v>
      </c>
      <c r="DS141" s="51">
        <f>IF(AND($E141&lt;&gt;0,$F141&gt;0,YEAR($F141)&lt;=DQ$4,YEAR($F141)&gt;=Preisindex!$A$6),ROUND($E141*DQ141,2),IF(AND($E141&lt;&gt;0,$F141&gt;0,YEAR($F141)&lt;=DQ$4,YEAR($F141)&lt;Preisindex!$A$6),ROUND($E141*DR141,2),0))</f>
        <v>0</v>
      </c>
      <c r="DT141" s="53">
        <f t="shared" si="533"/>
        <v>0</v>
      </c>
      <c r="DU141" s="51">
        <f t="shared" si="525"/>
        <v>0</v>
      </c>
      <c r="DV141" s="51">
        <f t="shared" si="473"/>
        <v>0</v>
      </c>
      <c r="DW141" s="51">
        <f t="shared" si="534"/>
        <v>0</v>
      </c>
      <c r="DX141" s="51">
        <f t="shared" si="474"/>
        <v>0</v>
      </c>
      <c r="DY141" s="51">
        <f t="shared" si="535"/>
        <v>0</v>
      </c>
      <c r="DZ141" s="51">
        <f t="shared" si="475"/>
        <v>0</v>
      </c>
      <c r="EA141" s="51">
        <f t="shared" si="536"/>
        <v>0</v>
      </c>
      <c r="EB141" s="51">
        <f t="shared" si="476"/>
        <v>0</v>
      </c>
      <c r="EC141" s="51">
        <f t="shared" si="537"/>
        <v>0</v>
      </c>
      <c r="ED141" s="51">
        <f t="shared" si="477"/>
        <v>0</v>
      </c>
      <c r="EE141" s="51">
        <f t="shared" si="538"/>
        <v>0</v>
      </c>
      <c r="EF141" s="54">
        <f t="shared" si="539"/>
        <v>0</v>
      </c>
      <c r="EG141" s="55">
        <f t="shared" si="540"/>
        <v>0</v>
      </c>
      <c r="EH141" s="56">
        <f>IF(AND($E141&lt;&gt;0,$F141&gt;0,YEAR($F141)&gt;=Preisindex!$A$6,YEAR(EC$4)&gt;=YEAR($F141),AND($K141&lt;&gt;"a",$K141&lt;&gt;"b",$K141&lt;&gt;"g",$K141&lt;&gt;"k")),1,IF(AND($E141&lt;&gt;0,$F141&gt;0,YEAR($F141)&gt;=Preisindex!$A$6,YEAR(EC$4)&gt;=YEAR($F141),$K141="a"),ROUND(VLOOKUP(EH$4,Preisindex,5,FALSE)/VLOOKUP(YEAR($F141),Preisindex,5,FALSE),2),IF(AND($E141&lt;&gt;0,$F141&gt;0,YEAR($F141)&gt;=Preisindex!$A$6,YEAR(EC$4)&gt;=YEAR($F141),$K141="b"),ROUND(VLOOKUP(EH$4,Preisindex,3,FALSE)/VLOOKUP(YEAR($F141),Preisindex,3,FALSE),2),IF(AND($E141&lt;&gt;0,$F141&gt;0,YEAR($F141)&gt;=Preisindex!$A$6,YEAR(EC$4)&gt;=YEAR($F141),$K141="g"),ROUND(VLOOKUP(EH$4,Preisindex,4,FALSE)/VLOOKUP(YEAR($F141),Preisindex,4,FALSE),2),IF(AND($E141&lt;&gt;0,$F141&gt;0,YEAR($F141)&gt;=Preisindex!$A$6,YEAR(EC$4)&gt;=YEAR($F141),$K141="k"),ROUND(VLOOKUP(EH$4,Preisindex,2,FALSE)/VLOOKUP(YEAR($F141),Preisindex,2,FALSE),2),0)))))</f>
        <v>0</v>
      </c>
      <c r="EI141" s="56">
        <f>IF(AND($E141&lt;&gt;0,$F141&gt;0,YEAR($F141)&lt;Preisindex!$A$6,YEAR(EC$4)&gt;=YEAR($F141),AND($K141&lt;&gt;"a",$K141&lt;&gt;"b",$K141&lt;&gt;"g",$K141&lt;&gt;"k")),1,IF(AND($E141&lt;&gt;0,$F141&gt;0,YEAR($F141)&lt;Preisindex!$A$6,YEAR(EC$4)&gt;=YEAR($F141),$K141="a"),ROUND(VLOOKUP(EH$4,Preisindex,5,FALSE)/VLOOKUP(Preisindex!$A$6,Preisindex,5,FALSE),2),IF(AND($E141&lt;&gt;0,$F141&gt;0,YEAR($F141)&lt;Preisindex!$A$6,YEAR(EC$4)&gt;=YEAR($F141),$K141="b"),ROUND(VLOOKUP(EH$4,Preisindex,3,FALSE)/VLOOKUP(Preisindex!$A$6,Preisindex,3,FALSE),2),IF(AND($E141&lt;&gt;0,$F141&gt;0,YEAR($F141)&lt;Preisindex!$A$6,YEAR(EC$4)&gt;=YEAR($F141),$K141="g"),ROUND(VLOOKUP(EH$4,Preisindex,4,FALSE)/VLOOKUP(Preisindex!$A$6,Preisindex,4,FALSE),2),IF(AND($E141&lt;&gt;0,$F141&gt;0,YEAR($F141)&lt;Preisindex!$A$6,YEAR(EC$4)&gt;=YEAR($F141),$K141="k"),ROUND(VLOOKUP(EH$4,Preisindex,2,FALSE)/VLOOKUP(Preisindex!$A$6,Preisindex,2,FALSE),2),0)))))</f>
        <v>0</v>
      </c>
      <c r="EJ141" s="51">
        <f>IF(AND($E141&lt;&gt;0,$F141&gt;0,YEAR($F141)&lt;=EH$4,YEAR($F141)&gt;=Preisindex!$A$6),ROUND($E141*EH141,2),IF(AND($E141&lt;&gt;0,$F141&gt;0,YEAR($F141)&lt;=EH$4,YEAR($F141)&lt;Preisindex!$A$6),ROUND($E141*EI141,2),0))</f>
        <v>0</v>
      </c>
      <c r="EK141" s="53">
        <f t="shared" si="541"/>
        <v>0</v>
      </c>
      <c r="EL141" s="51">
        <f t="shared" si="525"/>
        <v>0</v>
      </c>
      <c r="EM141" s="51">
        <f t="shared" si="478"/>
        <v>0</v>
      </c>
      <c r="EN141" s="51">
        <f t="shared" si="542"/>
        <v>0</v>
      </c>
      <c r="EO141" s="51">
        <f t="shared" si="479"/>
        <v>0</v>
      </c>
      <c r="EP141" s="51">
        <f t="shared" si="543"/>
        <v>0</v>
      </c>
      <c r="EQ141" s="51">
        <f t="shared" si="480"/>
        <v>0</v>
      </c>
      <c r="ER141" s="51">
        <f t="shared" si="544"/>
        <v>0</v>
      </c>
      <c r="ES141" s="51">
        <f t="shared" si="481"/>
        <v>0</v>
      </c>
      <c r="ET141" s="51">
        <f t="shared" si="545"/>
        <v>0</v>
      </c>
      <c r="EU141" s="51">
        <f t="shared" si="482"/>
        <v>0</v>
      </c>
      <c r="EV141" s="51">
        <f t="shared" si="546"/>
        <v>0</v>
      </c>
      <c r="EW141" s="54">
        <f t="shared" si="547"/>
        <v>0</v>
      </c>
      <c r="EX141" s="55">
        <f t="shared" si="548"/>
        <v>0</v>
      </c>
      <c r="EY141" s="56">
        <f>IF(AND($E141&lt;&gt;0,$F141&gt;0,YEAR($F141)&gt;=Preisindex!$A$6,YEAR(ET$4)&gt;=YEAR($F141),AND($K141&lt;&gt;"a",$K141&lt;&gt;"b",$K141&lt;&gt;"g",$K141&lt;&gt;"k")),1,IF(AND($E141&lt;&gt;0,$F141&gt;0,YEAR($F141)&gt;=Preisindex!$A$6,YEAR(ET$4)&gt;=YEAR($F141),$K141="a"),ROUND(VLOOKUP(EY$4,Preisindex,5,FALSE)/VLOOKUP(YEAR($F141),Preisindex,5,FALSE),2),IF(AND($E141&lt;&gt;0,$F141&gt;0,YEAR($F141)&gt;=Preisindex!$A$6,YEAR(ET$4)&gt;=YEAR($F141),$K141="b"),ROUND(VLOOKUP(EY$4,Preisindex,3,FALSE)/VLOOKUP(YEAR($F141),Preisindex,3,FALSE),2),IF(AND($E141&lt;&gt;0,$F141&gt;0,YEAR($F141)&gt;=Preisindex!$A$6,YEAR(ET$4)&gt;=YEAR($F141),$K141="g"),ROUND(VLOOKUP(EY$4,Preisindex,4,FALSE)/VLOOKUP(YEAR($F141),Preisindex,4,FALSE),2),IF(AND($E141&lt;&gt;0,$F141&gt;0,YEAR($F141)&gt;=Preisindex!$A$6,YEAR(ET$4)&gt;=YEAR($F141),$K141="k"),ROUND(VLOOKUP(EY$4,Preisindex,2,FALSE)/VLOOKUP(YEAR($F141),Preisindex,2,FALSE),2),0)))))</f>
        <v>0</v>
      </c>
      <c r="EZ141" s="56">
        <f>IF(AND($E141&lt;&gt;0,$F141&gt;0,YEAR($F141)&lt;Preisindex!$A$6,YEAR(ET$4)&gt;=YEAR($F141),AND($K141&lt;&gt;"a",$K141&lt;&gt;"b",$K141&lt;&gt;"g",$K141&lt;&gt;"k")),1,IF(AND($E141&lt;&gt;0,$F141&gt;0,YEAR($F141)&lt;Preisindex!$A$6,YEAR(ET$4)&gt;=YEAR($F141),$K141="a"),ROUND(VLOOKUP(EY$4,Preisindex,5,FALSE)/VLOOKUP(Preisindex!$A$6,Preisindex,5,FALSE),2),IF(AND($E141&lt;&gt;0,$F141&gt;0,YEAR($F141)&lt;Preisindex!$A$6,YEAR(ET$4)&gt;=YEAR($F141),$K141="b"),ROUND(VLOOKUP(EY$4,Preisindex,3,FALSE)/VLOOKUP(Preisindex!$A$6,Preisindex,3,FALSE),2),IF(AND($E141&lt;&gt;0,$F141&gt;0,YEAR($F141)&lt;Preisindex!$A$6,YEAR(ET$4)&gt;=YEAR($F141),$K141="g"),ROUND(VLOOKUP(EY$4,Preisindex,4,FALSE)/VLOOKUP(Preisindex!$A$6,Preisindex,4,FALSE),2),IF(AND($E141&lt;&gt;0,$F141&gt;0,YEAR($F141)&lt;Preisindex!$A$6,YEAR(ET$4)&gt;=YEAR($F141),$K141="k"),ROUND(VLOOKUP(EY$4,Preisindex,2,FALSE)/VLOOKUP(Preisindex!$A$6,Preisindex,2,FALSE),2),0)))))</f>
        <v>0</v>
      </c>
      <c r="FA141" s="51">
        <f>IF(AND($E141&lt;&gt;0,$F141&gt;0,YEAR($F141)&lt;=EY$4,YEAR($F141)&gt;=Preisindex!$A$6),ROUND($E141*EY141,2),IF(AND($E141&lt;&gt;0,$F141&gt;0,YEAR($F141)&lt;=EY$4,YEAR($F141)&lt;Preisindex!$A$6),ROUND($E141*EZ141,2),0))</f>
        <v>0</v>
      </c>
      <c r="FB141" s="53">
        <f t="shared" si="549"/>
        <v>0</v>
      </c>
      <c r="FC141" s="51">
        <f t="shared" si="525"/>
        <v>0</v>
      </c>
      <c r="FD141" s="51">
        <f t="shared" si="483"/>
        <v>0</v>
      </c>
      <c r="FE141" s="51">
        <f t="shared" si="550"/>
        <v>0</v>
      </c>
      <c r="FF141" s="51">
        <f t="shared" si="484"/>
        <v>0</v>
      </c>
      <c r="FG141" s="51">
        <f t="shared" si="551"/>
        <v>0</v>
      </c>
      <c r="FH141" s="51">
        <f t="shared" si="485"/>
        <v>0</v>
      </c>
      <c r="FI141" s="51">
        <f t="shared" si="552"/>
        <v>0</v>
      </c>
      <c r="FJ141" s="51">
        <f t="shared" si="486"/>
        <v>0</v>
      </c>
      <c r="FK141" s="51">
        <f t="shared" si="553"/>
        <v>0</v>
      </c>
      <c r="FL141" s="51">
        <f t="shared" si="487"/>
        <v>0</v>
      </c>
      <c r="FM141" s="51">
        <f t="shared" si="554"/>
        <v>0</v>
      </c>
      <c r="FN141" s="54">
        <f t="shared" si="555"/>
        <v>0</v>
      </c>
      <c r="FO141" s="55">
        <f t="shared" si="556"/>
        <v>0</v>
      </c>
      <c r="FP141" s="56">
        <f>IF(AND($E141&lt;&gt;0,$F141&gt;0,YEAR($F141)&gt;=Preisindex!$A$6,YEAR(FK$4)&gt;=YEAR($F141),AND($K141&lt;&gt;"a",$K141&lt;&gt;"b",$K141&lt;&gt;"g",$K141&lt;&gt;"k")),1,IF(AND($E141&lt;&gt;0,$F141&gt;0,YEAR($F141)&gt;=Preisindex!$A$6,YEAR(FK$4)&gt;=YEAR($F141),$K141="a"),ROUND(VLOOKUP(FP$4,Preisindex,5,FALSE)/VLOOKUP(YEAR($F141),Preisindex,5,FALSE),2),IF(AND($E141&lt;&gt;0,$F141&gt;0,YEAR($F141)&gt;=Preisindex!$A$6,YEAR(FK$4)&gt;=YEAR($F141),$K141="b"),ROUND(VLOOKUP(FP$4,Preisindex,3,FALSE)/VLOOKUP(YEAR($F141),Preisindex,3,FALSE),2),IF(AND($E141&lt;&gt;0,$F141&gt;0,YEAR($F141)&gt;=Preisindex!$A$6,YEAR(FK$4)&gt;=YEAR($F141),$K141="g"),ROUND(VLOOKUP(FP$4,Preisindex,4,FALSE)/VLOOKUP(YEAR($F141),Preisindex,4,FALSE),2),IF(AND($E141&lt;&gt;0,$F141&gt;0,YEAR($F141)&gt;=Preisindex!$A$6,YEAR(FK$4)&gt;=YEAR($F141),$K141="k"),ROUND(VLOOKUP(FP$4,Preisindex,2,FALSE)/VLOOKUP(YEAR($F141),Preisindex,2,FALSE),2),0)))))</f>
        <v>0</v>
      </c>
      <c r="FQ141" s="56">
        <f>IF(AND($E141&lt;&gt;0,$F141&gt;0,YEAR($F141)&lt;Preisindex!$A$6,YEAR(FK$4)&gt;=YEAR($F141),AND($K141&lt;&gt;"a",$K141&lt;&gt;"b",$K141&lt;&gt;"g",$K141&lt;&gt;"k")),1,IF(AND($E141&lt;&gt;0,$F141&gt;0,YEAR($F141)&lt;Preisindex!$A$6,YEAR(FK$4)&gt;=YEAR($F141),$K141="a"),ROUND(VLOOKUP(FP$4,Preisindex,5,FALSE)/VLOOKUP(Preisindex!$A$6,Preisindex,5,FALSE),2),IF(AND($E141&lt;&gt;0,$F141&gt;0,YEAR($F141)&lt;Preisindex!$A$6,YEAR(FK$4)&gt;=YEAR($F141),$K141="b"),ROUND(VLOOKUP(FP$4,Preisindex,3,FALSE)/VLOOKUP(Preisindex!$A$6,Preisindex,3,FALSE),2),IF(AND($E141&lt;&gt;0,$F141&gt;0,YEAR($F141)&lt;Preisindex!$A$6,YEAR(FK$4)&gt;=YEAR($F141),$K141="g"),ROUND(VLOOKUP(FP$4,Preisindex,4,FALSE)/VLOOKUP(Preisindex!$A$6,Preisindex,4,FALSE),2),IF(AND($E141&lt;&gt;0,$F141&gt;0,YEAR($F141)&lt;Preisindex!$A$6,YEAR(FK$4)&gt;=YEAR($F141),$K141="k"),ROUND(VLOOKUP(FP$4,Preisindex,2,FALSE)/VLOOKUP(Preisindex!$A$6,Preisindex,2,FALSE),2),0)))))</f>
        <v>0</v>
      </c>
      <c r="FR141" s="51">
        <f>IF(AND($E141&lt;&gt;0,$F141&gt;0,YEAR($F141)&lt;=FP$4,YEAR($F141)&gt;=Preisindex!$A$6),ROUND($E141*FP141,2),IF(AND($E141&lt;&gt;0,$F141&gt;0,YEAR($F141)&lt;=FP$4,YEAR($F141)&lt;Preisindex!$A$6),ROUND($E141*FQ141,2),0))</f>
        <v>0</v>
      </c>
      <c r="FS141" s="53">
        <f t="shared" si="557"/>
        <v>0</v>
      </c>
    </row>
    <row r="142" spans="1:175" x14ac:dyDescent="0.3">
      <c r="A142" s="93"/>
      <c r="B142" s="94"/>
      <c r="C142" s="94"/>
      <c r="D142" s="95"/>
      <c r="E142" s="99"/>
      <c r="F142" s="97"/>
      <c r="G142" s="98"/>
      <c r="H142" s="620"/>
      <c r="I142" s="621"/>
      <c r="J142" s="194"/>
      <c r="K142" s="630"/>
      <c r="L142" s="49">
        <f t="shared" si="558"/>
        <v>0</v>
      </c>
      <c r="M142" s="50">
        <f t="shared" si="559"/>
        <v>0</v>
      </c>
      <c r="N142" s="51">
        <f t="shared" si="560"/>
        <v>0</v>
      </c>
      <c r="O142" s="51"/>
      <c r="P142" s="51">
        <f t="shared" si="561"/>
        <v>0</v>
      </c>
      <c r="Q142" s="52"/>
      <c r="R142" s="52"/>
      <c r="S142" s="52"/>
      <c r="T142" s="52"/>
      <c r="U142" s="52"/>
      <c r="V142" s="53">
        <f t="shared" si="562"/>
        <v>0</v>
      </c>
      <c r="W142" s="51">
        <f t="shared" si="563"/>
        <v>0</v>
      </c>
      <c r="X142" s="51">
        <f t="shared" si="564"/>
        <v>0</v>
      </c>
      <c r="Y142" s="51">
        <f t="shared" si="565"/>
        <v>0</v>
      </c>
      <c r="Z142" s="51">
        <f t="shared" si="566"/>
        <v>0</v>
      </c>
      <c r="AA142" s="51">
        <f t="shared" si="567"/>
        <v>0</v>
      </c>
      <c r="AB142" s="51">
        <f t="shared" si="568"/>
        <v>0</v>
      </c>
      <c r="AC142" s="51">
        <f t="shared" si="569"/>
        <v>0</v>
      </c>
      <c r="AD142" s="51">
        <f t="shared" si="570"/>
        <v>0</v>
      </c>
      <c r="AE142" s="51">
        <f t="shared" si="571"/>
        <v>0</v>
      </c>
      <c r="AF142" s="51">
        <f t="shared" si="572"/>
        <v>0</v>
      </c>
      <c r="AG142" s="51">
        <f t="shared" si="573"/>
        <v>0</v>
      </c>
      <c r="AH142" s="54">
        <f t="shared" si="574"/>
        <v>0</v>
      </c>
      <c r="AI142" s="55">
        <f t="shared" si="575"/>
        <v>0</v>
      </c>
      <c r="AJ142" s="56">
        <f>IF(AND($E142&lt;&gt;0,$F142&gt;0,YEAR($F142)&gt;=Preisindex!$A$6,YEAR(AE$4)&gt;=YEAR($F142),AND($K142&lt;&gt;"a",$K142&lt;&gt;"b",$K142&lt;&gt;"g",$K142&lt;&gt;"k")),1,IF(AND($E142&lt;&gt;0,$F142&gt;0,YEAR($F142)&gt;=Preisindex!$A$6,YEAR(AE$4)&gt;=YEAR($F142),$K142="a"),ROUND(VLOOKUP(AJ$4,Preisindex,5,FALSE)/VLOOKUP(YEAR($F142),Preisindex,5,FALSE),2),IF(AND($E142&lt;&gt;0,$F142&gt;0,YEAR($F142)&gt;=Preisindex!$A$6,YEAR(AE$4)&gt;=YEAR($F142),$K142="b"),ROUND(VLOOKUP(AJ$4,Preisindex,3,FALSE)/VLOOKUP(YEAR($F142),Preisindex,3,FALSE),2),IF(AND($E142&lt;&gt;0,$F142&gt;0,YEAR($F142)&gt;=Preisindex!$A$6,YEAR(AE$4)&gt;=YEAR($F142),$K142="g"),ROUND(VLOOKUP(AJ$4,Preisindex,4,FALSE)/VLOOKUP(YEAR($F142),Preisindex,4,FALSE),2),IF(AND($E142&lt;&gt;0,$F142&gt;0,YEAR($F142)&gt;=Preisindex!$A$6,YEAR(AE$4)&gt;=YEAR($F142),$K142="k"),ROUND(VLOOKUP(AJ$4,Preisindex,2,FALSE)/VLOOKUP(YEAR($F142),Preisindex,2,FALSE),2),0)))))</f>
        <v>0</v>
      </c>
      <c r="AK142" s="56">
        <f>IF(AND($E142&lt;&gt;0,$F142&gt;0,YEAR($F142)&lt;Preisindex!$A$6,YEAR(AE$4)&gt;=YEAR($F142),AND($K142&lt;&gt;"a",$K142&lt;&gt;"b",$K142&lt;&gt;"g",$K142&lt;&gt;"k")),1,IF(AND($E142&lt;&gt;0,$F142&gt;0,YEAR($F142)&lt;Preisindex!$A$6,YEAR(AE$4)&gt;=YEAR($F142),$K142="a"),ROUND(VLOOKUP(AJ$4,Preisindex,5,FALSE)/VLOOKUP(Preisindex!$A$6,Preisindex,5,FALSE),2),IF(AND($E142&lt;&gt;0,$F142&gt;0,YEAR($F142)&lt;Preisindex!$A$6,YEAR(AE$4)&gt;=YEAR($F142),$K142="b"),ROUND(VLOOKUP(AJ$4,Preisindex,3,FALSE)/VLOOKUP(Preisindex!$A$6,Preisindex,3,FALSE),2),IF(AND($E142&lt;&gt;0,$F142&gt;0,YEAR($F142)&lt;Preisindex!$A$6,YEAR(AE$4)&gt;=YEAR($F142),$K142="g"),ROUND(VLOOKUP(AJ$4,Preisindex,4,FALSE)/VLOOKUP(Preisindex!$A$6,Preisindex,4,FALSE),2),IF(AND($E142&lt;&gt;0,$F142&gt;0,YEAR($F142)&lt;Preisindex!$A$6,YEAR(AE$4)&gt;=YEAR($F142),$K142="k"),ROUND(VLOOKUP(AJ$4,Preisindex,2,FALSE)/VLOOKUP(Preisindex!$A$6,Preisindex,2,FALSE),2),0)))))</f>
        <v>0</v>
      </c>
      <c r="AL142" s="51">
        <f>IF(AND($E142&lt;&gt;0,$F142&gt;0,YEAR($F142)&lt;=AJ$4,YEAR($F142)&gt;=Preisindex!$A$6),ROUND($E142*AJ142,2),IF(AND($E142&lt;&gt;0,$F142&gt;0,YEAR($F142)&lt;=AJ$4,YEAR($F142)&lt;Preisindex!$A$6),ROUND($E142*AK142,2),0))</f>
        <v>0</v>
      </c>
      <c r="AM142" s="53">
        <f t="shared" si="576"/>
        <v>0</v>
      </c>
      <c r="AN142" s="51">
        <f t="shared" si="492"/>
        <v>0</v>
      </c>
      <c r="AO142" s="51">
        <f t="shared" si="448"/>
        <v>0</v>
      </c>
      <c r="AP142" s="51">
        <f t="shared" si="493"/>
        <v>0</v>
      </c>
      <c r="AQ142" s="51">
        <f t="shared" si="449"/>
        <v>0</v>
      </c>
      <c r="AR142" s="51">
        <f t="shared" si="494"/>
        <v>0</v>
      </c>
      <c r="AS142" s="51">
        <f t="shared" si="450"/>
        <v>0</v>
      </c>
      <c r="AT142" s="51">
        <f t="shared" si="495"/>
        <v>0</v>
      </c>
      <c r="AU142" s="51">
        <f t="shared" si="451"/>
        <v>0</v>
      </c>
      <c r="AV142" s="51">
        <f t="shared" si="496"/>
        <v>0</v>
      </c>
      <c r="AW142" s="51">
        <f t="shared" si="452"/>
        <v>0</v>
      </c>
      <c r="AX142" s="51">
        <f t="shared" si="497"/>
        <v>0</v>
      </c>
      <c r="AY142" s="54">
        <f t="shared" si="498"/>
        <v>0</v>
      </c>
      <c r="AZ142" s="55">
        <f t="shared" si="499"/>
        <v>0</v>
      </c>
      <c r="BA142" s="56">
        <f>IF(AND($E142&lt;&gt;0,$F142&gt;0,YEAR($F142)&gt;=Preisindex!$A$6,YEAR(AV$4)&gt;=YEAR($F142),AND($K142&lt;&gt;"a",$K142&lt;&gt;"b",$K142&lt;&gt;"g",$K142&lt;&gt;"k")),1,IF(AND($E142&lt;&gt;0,$F142&gt;0,YEAR($F142)&gt;=Preisindex!$A$6,YEAR(AV$4)&gt;=YEAR($F142),$K142="a"),ROUND(VLOOKUP(BA$4,Preisindex,5,FALSE)/VLOOKUP(YEAR($F142),Preisindex,5,FALSE),2),IF(AND($E142&lt;&gt;0,$F142&gt;0,YEAR($F142)&gt;=Preisindex!$A$6,YEAR(AV$4)&gt;=YEAR($F142),$K142="b"),ROUND(VLOOKUP(BA$4,Preisindex,3,FALSE)/VLOOKUP(YEAR($F142),Preisindex,3,FALSE),2),IF(AND($E142&lt;&gt;0,$F142&gt;0,YEAR($F142)&gt;=Preisindex!$A$6,YEAR(AV$4)&gt;=YEAR($F142),$K142="g"),ROUND(VLOOKUP(BA$4,Preisindex,4,FALSE)/VLOOKUP(YEAR($F142),Preisindex,4,FALSE),2),IF(AND($E142&lt;&gt;0,$F142&gt;0,YEAR($F142)&gt;=Preisindex!$A$6,YEAR(AV$4)&gt;=YEAR($F142),$K142="k"),ROUND(VLOOKUP(BA$4,Preisindex,2,FALSE)/VLOOKUP(YEAR($F142),Preisindex,2,FALSE),2),0)))))</f>
        <v>0</v>
      </c>
      <c r="BB142" s="56">
        <f>IF(AND($E142&lt;&gt;0,$F142&gt;0,YEAR($F142)&lt;Preisindex!$A$6,YEAR(AV$4)&gt;=YEAR($F142),AND($K142&lt;&gt;"a",$K142&lt;&gt;"b",$K142&lt;&gt;"g",$K142&lt;&gt;"k")),1,IF(AND($E142&lt;&gt;0,$F142&gt;0,YEAR($F142)&lt;Preisindex!$A$6,YEAR(AV$4)&gt;=YEAR($F142),$K142="a"),ROUND(VLOOKUP(BA$4,Preisindex,5,FALSE)/VLOOKUP(Preisindex!$A$6,Preisindex,5,FALSE),2),IF(AND($E142&lt;&gt;0,$F142&gt;0,YEAR($F142)&lt;Preisindex!$A$6,YEAR(AV$4)&gt;=YEAR($F142),$K142="b"),ROUND(VLOOKUP(BA$4,Preisindex,3,FALSE)/VLOOKUP(Preisindex!$A$6,Preisindex,3,FALSE),2),IF(AND($E142&lt;&gt;0,$F142&gt;0,YEAR($F142)&lt;Preisindex!$A$6,YEAR(AV$4)&gt;=YEAR($F142),$K142="g"),ROUND(VLOOKUP(BA$4,Preisindex,4,FALSE)/VLOOKUP(Preisindex!$A$6,Preisindex,4,FALSE),2),IF(AND($E142&lt;&gt;0,$F142&gt;0,YEAR($F142)&lt;Preisindex!$A$6,YEAR(AV$4)&gt;=YEAR($F142),$K142="k"),ROUND(VLOOKUP(BA$4,Preisindex,2,FALSE)/VLOOKUP(Preisindex!$A$6,Preisindex,2,FALSE),2),0)))))</f>
        <v>0</v>
      </c>
      <c r="BC142" s="51">
        <f>IF(AND($E142&lt;&gt;0,$F142&gt;0,YEAR($F142)&lt;=BA$4,YEAR($F142)&gt;=Preisindex!$A$6),ROUND($E142*BA142,2),IF(AND($E142&lt;&gt;0,$F142&gt;0,YEAR($F142)&lt;=BA$4,YEAR($F142)&lt;Preisindex!$A$6),ROUND($E142*BB142,2),0))</f>
        <v>0</v>
      </c>
      <c r="BD142" s="53">
        <f t="shared" si="500"/>
        <v>0</v>
      </c>
      <c r="BE142" s="51">
        <f t="shared" si="492"/>
        <v>0</v>
      </c>
      <c r="BF142" s="51">
        <f t="shared" si="453"/>
        <v>0</v>
      </c>
      <c r="BG142" s="51">
        <f t="shared" si="501"/>
        <v>0</v>
      </c>
      <c r="BH142" s="51">
        <f t="shared" si="454"/>
        <v>0</v>
      </c>
      <c r="BI142" s="51">
        <f t="shared" si="502"/>
        <v>0</v>
      </c>
      <c r="BJ142" s="51">
        <f t="shared" si="455"/>
        <v>0</v>
      </c>
      <c r="BK142" s="51">
        <f t="shared" si="503"/>
        <v>0</v>
      </c>
      <c r="BL142" s="51">
        <f t="shared" si="456"/>
        <v>0</v>
      </c>
      <c r="BM142" s="51">
        <f t="shared" si="504"/>
        <v>0</v>
      </c>
      <c r="BN142" s="51">
        <f t="shared" si="457"/>
        <v>0</v>
      </c>
      <c r="BO142" s="51">
        <f t="shared" si="505"/>
        <v>0</v>
      </c>
      <c r="BP142" s="54">
        <f t="shared" si="506"/>
        <v>0</v>
      </c>
      <c r="BQ142" s="55">
        <f t="shared" si="507"/>
        <v>0</v>
      </c>
      <c r="BR142" s="56">
        <f>IF(AND($E142&lt;&gt;0,$F142&gt;0,YEAR($F142)&gt;=Preisindex!$A$6,YEAR(BM$4)&gt;=YEAR($F142),AND($K142&lt;&gt;"a",$K142&lt;&gt;"b",$K142&lt;&gt;"g",$K142&lt;&gt;"k")),1,IF(AND($E142&lt;&gt;0,$F142&gt;0,YEAR($F142)&gt;=Preisindex!$A$6,YEAR(BM$4)&gt;=YEAR($F142),$K142="a"),ROUND(VLOOKUP(BR$4,Preisindex,5,FALSE)/VLOOKUP(YEAR($F142),Preisindex,5,FALSE),2),IF(AND($E142&lt;&gt;0,$F142&gt;0,YEAR($F142)&gt;=Preisindex!$A$6,YEAR(BM$4)&gt;=YEAR($F142),$K142="b"),ROUND(VLOOKUP(BR$4,Preisindex,3,FALSE)/VLOOKUP(YEAR($F142),Preisindex,3,FALSE),2),IF(AND($E142&lt;&gt;0,$F142&gt;0,YEAR($F142)&gt;=Preisindex!$A$6,YEAR(BM$4)&gt;=YEAR($F142),$K142="g"),ROUND(VLOOKUP(BR$4,Preisindex,4,FALSE)/VLOOKUP(YEAR($F142),Preisindex,4,FALSE),2),IF(AND($E142&lt;&gt;0,$F142&gt;0,YEAR($F142)&gt;=Preisindex!$A$6,YEAR(BM$4)&gt;=YEAR($F142),$K142="k"),ROUND(VLOOKUP(BR$4,Preisindex,2,FALSE)/VLOOKUP(YEAR($F142),Preisindex,2,FALSE),2),0)))))</f>
        <v>0</v>
      </c>
      <c r="BS142" s="56">
        <f>IF(AND($E142&lt;&gt;0,$F142&gt;0,YEAR($F142)&lt;Preisindex!$A$6,YEAR(BM$4)&gt;=YEAR($F142),AND($K142&lt;&gt;"a",$K142&lt;&gt;"b",$K142&lt;&gt;"g",$K142&lt;&gt;"k")),1,IF(AND($E142&lt;&gt;0,$F142&gt;0,YEAR($F142)&lt;Preisindex!$A$6,YEAR(BM$4)&gt;=YEAR($F142),$K142="a"),ROUND(VLOOKUP(BR$4,Preisindex,5,FALSE)/VLOOKUP(Preisindex!$A$6,Preisindex,5,FALSE),2),IF(AND($E142&lt;&gt;0,$F142&gt;0,YEAR($F142)&lt;Preisindex!$A$6,YEAR(BM$4)&gt;=YEAR($F142),$K142="b"),ROUND(VLOOKUP(BR$4,Preisindex,3,FALSE)/VLOOKUP(Preisindex!$A$6,Preisindex,3,FALSE),2),IF(AND($E142&lt;&gt;0,$F142&gt;0,YEAR($F142)&lt;Preisindex!$A$6,YEAR(BM$4)&gt;=YEAR($F142),$K142="g"),ROUND(VLOOKUP(BR$4,Preisindex,4,FALSE)/VLOOKUP(Preisindex!$A$6,Preisindex,4,FALSE),2),IF(AND($E142&lt;&gt;0,$F142&gt;0,YEAR($F142)&lt;Preisindex!$A$6,YEAR(BM$4)&gt;=YEAR($F142),$K142="k"),ROUND(VLOOKUP(BR$4,Preisindex,2,FALSE)/VLOOKUP(Preisindex!$A$6,Preisindex,2,FALSE),2),0)))))</f>
        <v>0</v>
      </c>
      <c r="BT142" s="51">
        <f>IF(AND($E142&lt;&gt;0,$F142&gt;0,YEAR($F142)&lt;=BR$4,YEAR($F142)&gt;=Preisindex!$A$6),ROUND($E142*BR142,2),IF(AND($E142&lt;&gt;0,$F142&gt;0,YEAR($F142)&lt;=BR$4,YEAR($F142)&lt;Preisindex!$A$6),ROUND($E142*BS142,2),0))</f>
        <v>0</v>
      </c>
      <c r="BU142" s="53">
        <f t="shared" si="508"/>
        <v>0</v>
      </c>
      <c r="BV142" s="51">
        <f t="shared" si="492"/>
        <v>0</v>
      </c>
      <c r="BW142" s="51">
        <f t="shared" si="458"/>
        <v>0</v>
      </c>
      <c r="BX142" s="51">
        <f t="shared" si="509"/>
        <v>0</v>
      </c>
      <c r="BY142" s="51">
        <f t="shared" si="459"/>
        <v>0</v>
      </c>
      <c r="BZ142" s="51">
        <f t="shared" si="510"/>
        <v>0</v>
      </c>
      <c r="CA142" s="51">
        <f t="shared" si="460"/>
        <v>0</v>
      </c>
      <c r="CB142" s="51">
        <f t="shared" si="511"/>
        <v>0</v>
      </c>
      <c r="CC142" s="51">
        <f t="shared" si="461"/>
        <v>0</v>
      </c>
      <c r="CD142" s="51">
        <f t="shared" si="512"/>
        <v>0</v>
      </c>
      <c r="CE142" s="51">
        <f t="shared" si="462"/>
        <v>0</v>
      </c>
      <c r="CF142" s="51">
        <f t="shared" si="513"/>
        <v>0</v>
      </c>
      <c r="CG142" s="54">
        <f t="shared" si="514"/>
        <v>0</v>
      </c>
      <c r="CH142" s="55">
        <f t="shared" si="515"/>
        <v>0</v>
      </c>
      <c r="CI142" s="56">
        <f>IF(AND($E142&lt;&gt;0,$F142&gt;0,YEAR($F142)&gt;=Preisindex!$A$6,YEAR(CD$4)&gt;=YEAR($F142),AND($K142&lt;&gt;"a",$K142&lt;&gt;"b",$K142&lt;&gt;"g",$K142&lt;&gt;"k")),1,IF(AND($E142&lt;&gt;0,$F142&gt;0,YEAR($F142)&gt;=Preisindex!$A$6,YEAR(CD$4)&gt;=YEAR($F142),$K142="a"),ROUND(VLOOKUP(CI$4,Preisindex,5,FALSE)/VLOOKUP(YEAR($F142),Preisindex,5,FALSE),2),IF(AND($E142&lt;&gt;0,$F142&gt;0,YEAR($F142)&gt;=Preisindex!$A$6,YEAR(CD$4)&gt;=YEAR($F142),$K142="b"),ROUND(VLOOKUP(CI$4,Preisindex,3,FALSE)/VLOOKUP(YEAR($F142),Preisindex,3,FALSE),2),IF(AND($E142&lt;&gt;0,$F142&gt;0,YEAR($F142)&gt;=Preisindex!$A$6,YEAR(CD$4)&gt;=YEAR($F142),$K142="g"),ROUND(VLOOKUP(CI$4,Preisindex,4,FALSE)/VLOOKUP(YEAR($F142),Preisindex,4,FALSE),2),IF(AND($E142&lt;&gt;0,$F142&gt;0,YEAR($F142)&gt;=Preisindex!$A$6,YEAR(CD$4)&gt;=YEAR($F142),$K142="k"),ROUND(VLOOKUP(CI$4,Preisindex,2,FALSE)/VLOOKUP(YEAR($F142),Preisindex,2,FALSE),2),0)))))</f>
        <v>0</v>
      </c>
      <c r="CJ142" s="56">
        <f>IF(AND($E142&lt;&gt;0,$F142&gt;0,YEAR($F142)&lt;Preisindex!$A$6,YEAR(CD$4)&gt;=YEAR($F142),AND($K142&lt;&gt;"a",$K142&lt;&gt;"b",$K142&lt;&gt;"g",$K142&lt;&gt;"k")),1,IF(AND($E142&lt;&gt;0,$F142&gt;0,YEAR($F142)&lt;Preisindex!$A$6,YEAR(CD$4)&gt;=YEAR($F142),$K142="a"),ROUND(VLOOKUP(CI$4,Preisindex,5,FALSE)/VLOOKUP(Preisindex!$A$6,Preisindex,5,FALSE),2),IF(AND($E142&lt;&gt;0,$F142&gt;0,YEAR($F142)&lt;Preisindex!$A$6,YEAR(CD$4)&gt;=YEAR($F142),$K142="b"),ROUND(VLOOKUP(CI$4,Preisindex,3,FALSE)/VLOOKUP(Preisindex!$A$6,Preisindex,3,FALSE),2),IF(AND($E142&lt;&gt;0,$F142&gt;0,YEAR($F142)&lt;Preisindex!$A$6,YEAR(CD$4)&gt;=YEAR($F142),$K142="g"),ROUND(VLOOKUP(CI$4,Preisindex,4,FALSE)/VLOOKUP(Preisindex!$A$6,Preisindex,4,FALSE),2),IF(AND($E142&lt;&gt;0,$F142&gt;0,YEAR($F142)&lt;Preisindex!$A$6,YEAR(CD$4)&gt;=YEAR($F142),$K142="k"),ROUND(VLOOKUP(CI$4,Preisindex,2,FALSE)/VLOOKUP(Preisindex!$A$6,Preisindex,2,FALSE),2),0)))))</f>
        <v>0</v>
      </c>
      <c r="CK142" s="51">
        <f>IF(AND($E142&lt;&gt;0,$F142&gt;0,YEAR($F142)&lt;=CI$4,YEAR($F142)&gt;=Preisindex!$A$6),ROUND($E142*CI142,2),IF(AND($E142&lt;&gt;0,$F142&gt;0,YEAR($F142)&lt;=CI$4,YEAR($F142)&lt;Preisindex!$A$6),ROUND($E142*CJ142,2),0))</f>
        <v>0</v>
      </c>
      <c r="CL142" s="53">
        <f t="shared" si="516"/>
        <v>0</v>
      </c>
      <c r="CM142" s="51">
        <f t="shared" si="492"/>
        <v>0</v>
      </c>
      <c r="CN142" s="51">
        <f t="shared" si="463"/>
        <v>0</v>
      </c>
      <c r="CO142" s="51">
        <f t="shared" si="517"/>
        <v>0</v>
      </c>
      <c r="CP142" s="51">
        <f t="shared" si="464"/>
        <v>0</v>
      </c>
      <c r="CQ142" s="51">
        <f t="shared" si="518"/>
        <v>0</v>
      </c>
      <c r="CR142" s="51">
        <f t="shared" si="465"/>
        <v>0</v>
      </c>
      <c r="CS142" s="51">
        <f t="shared" si="519"/>
        <v>0</v>
      </c>
      <c r="CT142" s="51">
        <f t="shared" si="466"/>
        <v>0</v>
      </c>
      <c r="CU142" s="51">
        <f t="shared" si="520"/>
        <v>0</v>
      </c>
      <c r="CV142" s="51">
        <f t="shared" si="467"/>
        <v>0</v>
      </c>
      <c r="CW142" s="51">
        <f t="shared" si="521"/>
        <v>0</v>
      </c>
      <c r="CX142" s="54">
        <f t="shared" si="522"/>
        <v>0</v>
      </c>
      <c r="CY142" s="55">
        <f t="shared" si="523"/>
        <v>0</v>
      </c>
      <c r="CZ142" s="56">
        <f>IF(AND($E142&lt;&gt;0,$F142&gt;0,YEAR($F142)&gt;=Preisindex!$A$6,YEAR(CU$4)&gt;=YEAR($F142),AND($K142&lt;&gt;"a",$K142&lt;&gt;"b",$K142&lt;&gt;"g",$K142&lt;&gt;"k")),1,IF(AND($E142&lt;&gt;0,$F142&gt;0,YEAR($F142)&gt;=Preisindex!$A$6,YEAR(CU$4)&gt;=YEAR($F142),$K142="a"),ROUND(VLOOKUP(CZ$4,Preisindex,5,FALSE)/VLOOKUP(YEAR($F142),Preisindex,5,FALSE),2),IF(AND($E142&lt;&gt;0,$F142&gt;0,YEAR($F142)&gt;=Preisindex!$A$6,YEAR(CU$4)&gt;=YEAR($F142),$K142="b"),ROUND(VLOOKUP(CZ$4,Preisindex,3,FALSE)/VLOOKUP(YEAR($F142),Preisindex,3,FALSE),2),IF(AND($E142&lt;&gt;0,$F142&gt;0,YEAR($F142)&gt;=Preisindex!$A$6,YEAR(CU$4)&gt;=YEAR($F142),$K142="g"),ROUND(VLOOKUP(CZ$4,Preisindex,4,FALSE)/VLOOKUP(YEAR($F142),Preisindex,4,FALSE),2),IF(AND($E142&lt;&gt;0,$F142&gt;0,YEAR($F142)&gt;=Preisindex!$A$6,YEAR(CU$4)&gt;=YEAR($F142),$K142="k"),ROUND(VLOOKUP(CZ$4,Preisindex,2,FALSE)/VLOOKUP(YEAR($F142),Preisindex,2,FALSE),2),0)))))</f>
        <v>0</v>
      </c>
      <c r="DA142" s="56">
        <f>IF(AND($E142&lt;&gt;0,$F142&gt;0,YEAR($F142)&lt;Preisindex!$A$6,YEAR(CU$4)&gt;=YEAR($F142),AND($K142&lt;&gt;"a",$K142&lt;&gt;"b",$K142&lt;&gt;"g",$K142&lt;&gt;"k")),1,IF(AND($E142&lt;&gt;0,$F142&gt;0,YEAR($F142)&lt;Preisindex!$A$6,YEAR(CU$4)&gt;=YEAR($F142),$K142="a"),ROUND(VLOOKUP(CZ$4,Preisindex,5,FALSE)/VLOOKUP(Preisindex!$A$6,Preisindex,5,FALSE),2),IF(AND($E142&lt;&gt;0,$F142&gt;0,YEAR($F142)&lt;Preisindex!$A$6,YEAR(CU$4)&gt;=YEAR($F142),$K142="b"),ROUND(VLOOKUP(CZ$4,Preisindex,3,FALSE)/VLOOKUP(Preisindex!$A$6,Preisindex,3,FALSE),2),IF(AND($E142&lt;&gt;0,$F142&gt;0,YEAR($F142)&lt;Preisindex!$A$6,YEAR(CU$4)&gt;=YEAR($F142),$K142="g"),ROUND(VLOOKUP(CZ$4,Preisindex,4,FALSE)/VLOOKUP(Preisindex!$A$6,Preisindex,4,FALSE),2),IF(AND($E142&lt;&gt;0,$F142&gt;0,YEAR($F142)&lt;Preisindex!$A$6,YEAR(CU$4)&gt;=YEAR($F142),$K142="k"),ROUND(VLOOKUP(CZ$4,Preisindex,2,FALSE)/VLOOKUP(Preisindex!$A$6,Preisindex,2,FALSE),2),0)))))</f>
        <v>0</v>
      </c>
      <c r="DB142" s="51">
        <f>IF(AND($E142&lt;&gt;0,$F142&gt;0,YEAR($F142)&lt;=CZ$4,YEAR($F142)&gt;=Preisindex!$A$6),ROUND($E142*CZ142,2),IF(AND($E142&lt;&gt;0,$F142&gt;0,YEAR($F142)&lt;=CZ$4,YEAR($F142)&lt;Preisindex!$A$6),ROUND($E142*DA142,2),0))</f>
        <v>0</v>
      </c>
      <c r="DC142" s="53">
        <f t="shared" si="524"/>
        <v>0</v>
      </c>
      <c r="DD142" s="51">
        <f t="shared" si="525"/>
        <v>0</v>
      </c>
      <c r="DE142" s="51">
        <f t="shared" si="468"/>
        <v>0</v>
      </c>
      <c r="DF142" s="51">
        <f t="shared" si="526"/>
        <v>0</v>
      </c>
      <c r="DG142" s="51">
        <f t="shared" si="469"/>
        <v>0</v>
      </c>
      <c r="DH142" s="51">
        <f t="shared" si="527"/>
        <v>0</v>
      </c>
      <c r="DI142" s="51">
        <f t="shared" si="470"/>
        <v>0</v>
      </c>
      <c r="DJ142" s="51">
        <f t="shared" si="528"/>
        <v>0</v>
      </c>
      <c r="DK142" s="51">
        <f t="shared" si="471"/>
        <v>0</v>
      </c>
      <c r="DL142" s="51">
        <f t="shared" si="529"/>
        <v>0</v>
      </c>
      <c r="DM142" s="51">
        <f t="shared" si="472"/>
        <v>0</v>
      </c>
      <c r="DN142" s="51">
        <f t="shared" si="530"/>
        <v>0</v>
      </c>
      <c r="DO142" s="54">
        <f t="shared" si="531"/>
        <v>0</v>
      </c>
      <c r="DP142" s="55">
        <f t="shared" si="532"/>
        <v>0</v>
      </c>
      <c r="DQ142" s="56">
        <f>IF(AND($E142&lt;&gt;0,$F142&gt;0,YEAR($F142)&gt;=Preisindex!$A$6,YEAR(DL$4)&gt;=YEAR($F142),AND($K142&lt;&gt;"a",$K142&lt;&gt;"b",$K142&lt;&gt;"g",$K142&lt;&gt;"k")),1,IF(AND($E142&lt;&gt;0,$F142&gt;0,YEAR($F142)&gt;=Preisindex!$A$6,YEAR(DL$4)&gt;=YEAR($F142),$K142="a"),ROUND(VLOOKUP(DQ$4,Preisindex,5,FALSE)/VLOOKUP(YEAR($F142),Preisindex,5,FALSE),2),IF(AND($E142&lt;&gt;0,$F142&gt;0,YEAR($F142)&gt;=Preisindex!$A$6,YEAR(DL$4)&gt;=YEAR($F142),$K142="b"),ROUND(VLOOKUP(DQ$4,Preisindex,3,FALSE)/VLOOKUP(YEAR($F142),Preisindex,3,FALSE),2),IF(AND($E142&lt;&gt;0,$F142&gt;0,YEAR($F142)&gt;=Preisindex!$A$6,YEAR(DL$4)&gt;=YEAR($F142),$K142="g"),ROUND(VLOOKUP(DQ$4,Preisindex,4,FALSE)/VLOOKUP(YEAR($F142),Preisindex,4,FALSE),2),IF(AND($E142&lt;&gt;0,$F142&gt;0,YEAR($F142)&gt;=Preisindex!$A$6,YEAR(DL$4)&gt;=YEAR($F142),$K142="k"),ROUND(VLOOKUP(DQ$4,Preisindex,2,FALSE)/VLOOKUP(YEAR($F142),Preisindex,2,FALSE),2),0)))))</f>
        <v>0</v>
      </c>
      <c r="DR142" s="56">
        <f>IF(AND($E142&lt;&gt;0,$F142&gt;0,YEAR($F142)&lt;Preisindex!$A$6,YEAR(DL$4)&gt;=YEAR($F142),AND($K142&lt;&gt;"a",$K142&lt;&gt;"b",$K142&lt;&gt;"g",$K142&lt;&gt;"k")),1,IF(AND($E142&lt;&gt;0,$F142&gt;0,YEAR($F142)&lt;Preisindex!$A$6,YEAR(DL$4)&gt;=YEAR($F142),$K142="a"),ROUND(VLOOKUP(DQ$4,Preisindex,5,FALSE)/VLOOKUP(Preisindex!$A$6,Preisindex,5,FALSE),2),IF(AND($E142&lt;&gt;0,$F142&gt;0,YEAR($F142)&lt;Preisindex!$A$6,YEAR(DL$4)&gt;=YEAR($F142),$K142="b"),ROUND(VLOOKUP(DQ$4,Preisindex,3,FALSE)/VLOOKUP(Preisindex!$A$6,Preisindex,3,FALSE),2),IF(AND($E142&lt;&gt;0,$F142&gt;0,YEAR($F142)&lt;Preisindex!$A$6,YEAR(DL$4)&gt;=YEAR($F142),$K142="g"),ROUND(VLOOKUP(DQ$4,Preisindex,4,FALSE)/VLOOKUP(Preisindex!$A$6,Preisindex,4,FALSE),2),IF(AND($E142&lt;&gt;0,$F142&gt;0,YEAR($F142)&lt;Preisindex!$A$6,YEAR(DL$4)&gt;=YEAR($F142),$K142="k"),ROUND(VLOOKUP(DQ$4,Preisindex,2,FALSE)/VLOOKUP(Preisindex!$A$6,Preisindex,2,FALSE),2),0)))))</f>
        <v>0</v>
      </c>
      <c r="DS142" s="51">
        <f>IF(AND($E142&lt;&gt;0,$F142&gt;0,YEAR($F142)&lt;=DQ$4,YEAR($F142)&gt;=Preisindex!$A$6),ROUND($E142*DQ142,2),IF(AND($E142&lt;&gt;0,$F142&gt;0,YEAR($F142)&lt;=DQ$4,YEAR($F142)&lt;Preisindex!$A$6),ROUND($E142*DR142,2),0))</f>
        <v>0</v>
      </c>
      <c r="DT142" s="53">
        <f t="shared" si="533"/>
        <v>0</v>
      </c>
      <c r="DU142" s="51">
        <f t="shared" si="525"/>
        <v>0</v>
      </c>
      <c r="DV142" s="51">
        <f t="shared" si="473"/>
        <v>0</v>
      </c>
      <c r="DW142" s="51">
        <f t="shared" si="534"/>
        <v>0</v>
      </c>
      <c r="DX142" s="51">
        <f t="shared" si="474"/>
        <v>0</v>
      </c>
      <c r="DY142" s="51">
        <f t="shared" si="535"/>
        <v>0</v>
      </c>
      <c r="DZ142" s="51">
        <f t="shared" si="475"/>
        <v>0</v>
      </c>
      <c r="EA142" s="51">
        <f t="shared" si="536"/>
        <v>0</v>
      </c>
      <c r="EB142" s="51">
        <f t="shared" si="476"/>
        <v>0</v>
      </c>
      <c r="EC142" s="51">
        <f t="shared" si="537"/>
        <v>0</v>
      </c>
      <c r="ED142" s="51">
        <f t="shared" si="477"/>
        <v>0</v>
      </c>
      <c r="EE142" s="51">
        <f t="shared" si="538"/>
        <v>0</v>
      </c>
      <c r="EF142" s="54">
        <f t="shared" si="539"/>
        <v>0</v>
      </c>
      <c r="EG142" s="55">
        <f t="shared" si="540"/>
        <v>0</v>
      </c>
      <c r="EH142" s="56">
        <f>IF(AND($E142&lt;&gt;0,$F142&gt;0,YEAR($F142)&gt;=Preisindex!$A$6,YEAR(EC$4)&gt;=YEAR($F142),AND($K142&lt;&gt;"a",$K142&lt;&gt;"b",$K142&lt;&gt;"g",$K142&lt;&gt;"k")),1,IF(AND($E142&lt;&gt;0,$F142&gt;0,YEAR($F142)&gt;=Preisindex!$A$6,YEAR(EC$4)&gt;=YEAR($F142),$K142="a"),ROUND(VLOOKUP(EH$4,Preisindex,5,FALSE)/VLOOKUP(YEAR($F142),Preisindex,5,FALSE),2),IF(AND($E142&lt;&gt;0,$F142&gt;0,YEAR($F142)&gt;=Preisindex!$A$6,YEAR(EC$4)&gt;=YEAR($F142),$K142="b"),ROUND(VLOOKUP(EH$4,Preisindex,3,FALSE)/VLOOKUP(YEAR($F142),Preisindex,3,FALSE),2),IF(AND($E142&lt;&gt;0,$F142&gt;0,YEAR($F142)&gt;=Preisindex!$A$6,YEAR(EC$4)&gt;=YEAR($F142),$K142="g"),ROUND(VLOOKUP(EH$4,Preisindex,4,FALSE)/VLOOKUP(YEAR($F142),Preisindex,4,FALSE),2),IF(AND($E142&lt;&gt;0,$F142&gt;0,YEAR($F142)&gt;=Preisindex!$A$6,YEAR(EC$4)&gt;=YEAR($F142),$K142="k"),ROUND(VLOOKUP(EH$4,Preisindex,2,FALSE)/VLOOKUP(YEAR($F142),Preisindex,2,FALSE),2),0)))))</f>
        <v>0</v>
      </c>
      <c r="EI142" s="56">
        <f>IF(AND($E142&lt;&gt;0,$F142&gt;0,YEAR($F142)&lt;Preisindex!$A$6,YEAR(EC$4)&gt;=YEAR($F142),AND($K142&lt;&gt;"a",$K142&lt;&gt;"b",$K142&lt;&gt;"g",$K142&lt;&gt;"k")),1,IF(AND($E142&lt;&gt;0,$F142&gt;0,YEAR($F142)&lt;Preisindex!$A$6,YEAR(EC$4)&gt;=YEAR($F142),$K142="a"),ROUND(VLOOKUP(EH$4,Preisindex,5,FALSE)/VLOOKUP(Preisindex!$A$6,Preisindex,5,FALSE),2),IF(AND($E142&lt;&gt;0,$F142&gt;0,YEAR($F142)&lt;Preisindex!$A$6,YEAR(EC$4)&gt;=YEAR($F142),$K142="b"),ROUND(VLOOKUP(EH$4,Preisindex,3,FALSE)/VLOOKUP(Preisindex!$A$6,Preisindex,3,FALSE),2),IF(AND($E142&lt;&gt;0,$F142&gt;0,YEAR($F142)&lt;Preisindex!$A$6,YEAR(EC$4)&gt;=YEAR($F142),$K142="g"),ROUND(VLOOKUP(EH$4,Preisindex,4,FALSE)/VLOOKUP(Preisindex!$A$6,Preisindex,4,FALSE),2),IF(AND($E142&lt;&gt;0,$F142&gt;0,YEAR($F142)&lt;Preisindex!$A$6,YEAR(EC$4)&gt;=YEAR($F142),$K142="k"),ROUND(VLOOKUP(EH$4,Preisindex,2,FALSE)/VLOOKUP(Preisindex!$A$6,Preisindex,2,FALSE),2),0)))))</f>
        <v>0</v>
      </c>
      <c r="EJ142" s="51">
        <f>IF(AND($E142&lt;&gt;0,$F142&gt;0,YEAR($F142)&lt;=EH$4,YEAR($F142)&gt;=Preisindex!$A$6),ROUND($E142*EH142,2),IF(AND($E142&lt;&gt;0,$F142&gt;0,YEAR($F142)&lt;=EH$4,YEAR($F142)&lt;Preisindex!$A$6),ROUND($E142*EI142,2),0))</f>
        <v>0</v>
      </c>
      <c r="EK142" s="53">
        <f t="shared" si="541"/>
        <v>0</v>
      </c>
      <c r="EL142" s="51">
        <f t="shared" si="525"/>
        <v>0</v>
      </c>
      <c r="EM142" s="51">
        <f t="shared" si="478"/>
        <v>0</v>
      </c>
      <c r="EN142" s="51">
        <f t="shared" si="542"/>
        <v>0</v>
      </c>
      <c r="EO142" s="51">
        <f t="shared" si="479"/>
        <v>0</v>
      </c>
      <c r="EP142" s="51">
        <f t="shared" si="543"/>
        <v>0</v>
      </c>
      <c r="EQ142" s="51">
        <f t="shared" si="480"/>
        <v>0</v>
      </c>
      <c r="ER142" s="51">
        <f t="shared" si="544"/>
        <v>0</v>
      </c>
      <c r="ES142" s="51">
        <f t="shared" si="481"/>
        <v>0</v>
      </c>
      <c r="ET142" s="51">
        <f t="shared" si="545"/>
        <v>0</v>
      </c>
      <c r="EU142" s="51">
        <f t="shared" si="482"/>
        <v>0</v>
      </c>
      <c r="EV142" s="51">
        <f t="shared" si="546"/>
        <v>0</v>
      </c>
      <c r="EW142" s="54">
        <f t="shared" si="547"/>
        <v>0</v>
      </c>
      <c r="EX142" s="55">
        <f t="shared" si="548"/>
        <v>0</v>
      </c>
      <c r="EY142" s="56">
        <f>IF(AND($E142&lt;&gt;0,$F142&gt;0,YEAR($F142)&gt;=Preisindex!$A$6,YEAR(ET$4)&gt;=YEAR($F142),AND($K142&lt;&gt;"a",$K142&lt;&gt;"b",$K142&lt;&gt;"g",$K142&lt;&gt;"k")),1,IF(AND($E142&lt;&gt;0,$F142&gt;0,YEAR($F142)&gt;=Preisindex!$A$6,YEAR(ET$4)&gt;=YEAR($F142),$K142="a"),ROUND(VLOOKUP(EY$4,Preisindex,5,FALSE)/VLOOKUP(YEAR($F142),Preisindex,5,FALSE),2),IF(AND($E142&lt;&gt;0,$F142&gt;0,YEAR($F142)&gt;=Preisindex!$A$6,YEAR(ET$4)&gt;=YEAR($F142),$K142="b"),ROUND(VLOOKUP(EY$4,Preisindex,3,FALSE)/VLOOKUP(YEAR($F142),Preisindex,3,FALSE),2),IF(AND($E142&lt;&gt;0,$F142&gt;0,YEAR($F142)&gt;=Preisindex!$A$6,YEAR(ET$4)&gt;=YEAR($F142),$K142="g"),ROUND(VLOOKUP(EY$4,Preisindex,4,FALSE)/VLOOKUP(YEAR($F142),Preisindex,4,FALSE),2),IF(AND($E142&lt;&gt;0,$F142&gt;0,YEAR($F142)&gt;=Preisindex!$A$6,YEAR(ET$4)&gt;=YEAR($F142),$K142="k"),ROUND(VLOOKUP(EY$4,Preisindex,2,FALSE)/VLOOKUP(YEAR($F142),Preisindex,2,FALSE),2),0)))))</f>
        <v>0</v>
      </c>
      <c r="EZ142" s="56">
        <f>IF(AND($E142&lt;&gt;0,$F142&gt;0,YEAR($F142)&lt;Preisindex!$A$6,YEAR(ET$4)&gt;=YEAR($F142),AND($K142&lt;&gt;"a",$K142&lt;&gt;"b",$K142&lt;&gt;"g",$K142&lt;&gt;"k")),1,IF(AND($E142&lt;&gt;0,$F142&gt;0,YEAR($F142)&lt;Preisindex!$A$6,YEAR(ET$4)&gt;=YEAR($F142),$K142="a"),ROUND(VLOOKUP(EY$4,Preisindex,5,FALSE)/VLOOKUP(Preisindex!$A$6,Preisindex,5,FALSE),2),IF(AND($E142&lt;&gt;0,$F142&gt;0,YEAR($F142)&lt;Preisindex!$A$6,YEAR(ET$4)&gt;=YEAR($F142),$K142="b"),ROUND(VLOOKUP(EY$4,Preisindex,3,FALSE)/VLOOKUP(Preisindex!$A$6,Preisindex,3,FALSE),2),IF(AND($E142&lt;&gt;0,$F142&gt;0,YEAR($F142)&lt;Preisindex!$A$6,YEAR(ET$4)&gt;=YEAR($F142),$K142="g"),ROUND(VLOOKUP(EY$4,Preisindex,4,FALSE)/VLOOKUP(Preisindex!$A$6,Preisindex,4,FALSE),2),IF(AND($E142&lt;&gt;0,$F142&gt;0,YEAR($F142)&lt;Preisindex!$A$6,YEAR(ET$4)&gt;=YEAR($F142),$K142="k"),ROUND(VLOOKUP(EY$4,Preisindex,2,FALSE)/VLOOKUP(Preisindex!$A$6,Preisindex,2,FALSE),2),0)))))</f>
        <v>0</v>
      </c>
      <c r="FA142" s="51">
        <f>IF(AND($E142&lt;&gt;0,$F142&gt;0,YEAR($F142)&lt;=EY$4,YEAR($F142)&gt;=Preisindex!$A$6),ROUND($E142*EY142,2),IF(AND($E142&lt;&gt;0,$F142&gt;0,YEAR($F142)&lt;=EY$4,YEAR($F142)&lt;Preisindex!$A$6),ROUND($E142*EZ142,2),0))</f>
        <v>0</v>
      </c>
      <c r="FB142" s="53">
        <f t="shared" si="549"/>
        <v>0</v>
      </c>
      <c r="FC142" s="51">
        <f t="shared" si="525"/>
        <v>0</v>
      </c>
      <c r="FD142" s="51">
        <f t="shared" si="483"/>
        <v>0</v>
      </c>
      <c r="FE142" s="51">
        <f t="shared" si="550"/>
        <v>0</v>
      </c>
      <c r="FF142" s="51">
        <f t="shared" si="484"/>
        <v>0</v>
      </c>
      <c r="FG142" s="51">
        <f t="shared" si="551"/>
        <v>0</v>
      </c>
      <c r="FH142" s="51">
        <f t="shared" si="485"/>
        <v>0</v>
      </c>
      <c r="FI142" s="51">
        <f t="shared" si="552"/>
        <v>0</v>
      </c>
      <c r="FJ142" s="51">
        <f t="shared" si="486"/>
        <v>0</v>
      </c>
      <c r="FK142" s="51">
        <f t="shared" si="553"/>
        <v>0</v>
      </c>
      <c r="FL142" s="51">
        <f t="shared" si="487"/>
        <v>0</v>
      </c>
      <c r="FM142" s="51">
        <f t="shared" si="554"/>
        <v>0</v>
      </c>
      <c r="FN142" s="54">
        <f t="shared" si="555"/>
        <v>0</v>
      </c>
      <c r="FO142" s="55">
        <f t="shared" si="556"/>
        <v>0</v>
      </c>
      <c r="FP142" s="56">
        <f>IF(AND($E142&lt;&gt;0,$F142&gt;0,YEAR($F142)&gt;=Preisindex!$A$6,YEAR(FK$4)&gt;=YEAR($F142),AND($K142&lt;&gt;"a",$K142&lt;&gt;"b",$K142&lt;&gt;"g",$K142&lt;&gt;"k")),1,IF(AND($E142&lt;&gt;0,$F142&gt;0,YEAR($F142)&gt;=Preisindex!$A$6,YEAR(FK$4)&gt;=YEAR($F142),$K142="a"),ROUND(VLOOKUP(FP$4,Preisindex,5,FALSE)/VLOOKUP(YEAR($F142),Preisindex,5,FALSE),2),IF(AND($E142&lt;&gt;0,$F142&gt;0,YEAR($F142)&gt;=Preisindex!$A$6,YEAR(FK$4)&gt;=YEAR($F142),$K142="b"),ROUND(VLOOKUP(FP$4,Preisindex,3,FALSE)/VLOOKUP(YEAR($F142),Preisindex,3,FALSE),2),IF(AND($E142&lt;&gt;0,$F142&gt;0,YEAR($F142)&gt;=Preisindex!$A$6,YEAR(FK$4)&gt;=YEAR($F142),$K142="g"),ROUND(VLOOKUP(FP$4,Preisindex,4,FALSE)/VLOOKUP(YEAR($F142),Preisindex,4,FALSE),2),IF(AND($E142&lt;&gt;0,$F142&gt;0,YEAR($F142)&gt;=Preisindex!$A$6,YEAR(FK$4)&gt;=YEAR($F142),$K142="k"),ROUND(VLOOKUP(FP$4,Preisindex,2,FALSE)/VLOOKUP(YEAR($F142),Preisindex,2,FALSE),2),0)))))</f>
        <v>0</v>
      </c>
      <c r="FQ142" s="56">
        <f>IF(AND($E142&lt;&gt;0,$F142&gt;0,YEAR($F142)&lt;Preisindex!$A$6,YEAR(FK$4)&gt;=YEAR($F142),AND($K142&lt;&gt;"a",$K142&lt;&gt;"b",$K142&lt;&gt;"g",$K142&lt;&gt;"k")),1,IF(AND($E142&lt;&gt;0,$F142&gt;0,YEAR($F142)&lt;Preisindex!$A$6,YEAR(FK$4)&gt;=YEAR($F142),$K142="a"),ROUND(VLOOKUP(FP$4,Preisindex,5,FALSE)/VLOOKUP(Preisindex!$A$6,Preisindex,5,FALSE),2),IF(AND($E142&lt;&gt;0,$F142&gt;0,YEAR($F142)&lt;Preisindex!$A$6,YEAR(FK$4)&gt;=YEAR($F142),$K142="b"),ROUND(VLOOKUP(FP$4,Preisindex,3,FALSE)/VLOOKUP(Preisindex!$A$6,Preisindex,3,FALSE),2),IF(AND($E142&lt;&gt;0,$F142&gt;0,YEAR($F142)&lt;Preisindex!$A$6,YEAR(FK$4)&gt;=YEAR($F142),$K142="g"),ROUND(VLOOKUP(FP$4,Preisindex,4,FALSE)/VLOOKUP(Preisindex!$A$6,Preisindex,4,FALSE),2),IF(AND($E142&lt;&gt;0,$F142&gt;0,YEAR($F142)&lt;Preisindex!$A$6,YEAR(FK$4)&gt;=YEAR($F142),$K142="k"),ROUND(VLOOKUP(FP$4,Preisindex,2,FALSE)/VLOOKUP(Preisindex!$A$6,Preisindex,2,FALSE),2),0)))))</f>
        <v>0</v>
      </c>
      <c r="FR142" s="51">
        <f>IF(AND($E142&lt;&gt;0,$F142&gt;0,YEAR($F142)&lt;=FP$4,YEAR($F142)&gt;=Preisindex!$A$6),ROUND($E142*FP142,2),IF(AND($E142&lt;&gt;0,$F142&gt;0,YEAR($F142)&lt;=FP$4,YEAR($F142)&lt;Preisindex!$A$6),ROUND($E142*FQ142,2),0))</f>
        <v>0</v>
      </c>
      <c r="FS142" s="53">
        <f t="shared" si="557"/>
        <v>0</v>
      </c>
    </row>
    <row r="143" spans="1:175" x14ac:dyDescent="0.3">
      <c r="A143" s="93"/>
      <c r="B143" s="94"/>
      <c r="C143" s="94"/>
      <c r="D143" s="95"/>
      <c r="E143" s="99"/>
      <c r="F143" s="97"/>
      <c r="G143" s="98"/>
      <c r="H143" s="620"/>
      <c r="I143" s="621"/>
      <c r="J143" s="194"/>
      <c r="K143" s="630"/>
      <c r="L143" s="49">
        <f t="shared" si="558"/>
        <v>0</v>
      </c>
      <c r="M143" s="50">
        <f t="shared" si="559"/>
        <v>0</v>
      </c>
      <c r="N143" s="51">
        <f t="shared" si="560"/>
        <v>0</v>
      </c>
      <c r="O143" s="51"/>
      <c r="P143" s="51">
        <f t="shared" si="561"/>
        <v>0</v>
      </c>
      <c r="Q143" s="52"/>
      <c r="R143" s="52"/>
      <c r="S143" s="52"/>
      <c r="T143" s="52"/>
      <c r="U143" s="52"/>
      <c r="V143" s="53">
        <f t="shared" si="562"/>
        <v>0</v>
      </c>
      <c r="W143" s="51">
        <f t="shared" si="563"/>
        <v>0</v>
      </c>
      <c r="X143" s="51">
        <f t="shared" si="564"/>
        <v>0</v>
      </c>
      <c r="Y143" s="51">
        <f t="shared" si="565"/>
        <v>0</v>
      </c>
      <c r="Z143" s="51">
        <f t="shared" si="566"/>
        <v>0</v>
      </c>
      <c r="AA143" s="51">
        <f t="shared" si="567"/>
        <v>0</v>
      </c>
      <c r="AB143" s="51">
        <f t="shared" si="568"/>
        <v>0</v>
      </c>
      <c r="AC143" s="51">
        <f t="shared" si="569"/>
        <v>0</v>
      </c>
      <c r="AD143" s="51">
        <f t="shared" si="570"/>
        <v>0</v>
      </c>
      <c r="AE143" s="51">
        <f t="shared" si="571"/>
        <v>0</v>
      </c>
      <c r="AF143" s="51">
        <f t="shared" si="572"/>
        <v>0</v>
      </c>
      <c r="AG143" s="51">
        <f t="shared" si="573"/>
        <v>0</v>
      </c>
      <c r="AH143" s="54">
        <f t="shared" si="574"/>
        <v>0</v>
      </c>
      <c r="AI143" s="55">
        <f t="shared" si="575"/>
        <v>0</v>
      </c>
      <c r="AJ143" s="56">
        <f>IF(AND($E143&lt;&gt;0,$F143&gt;0,YEAR($F143)&gt;=Preisindex!$A$6,YEAR(AE$4)&gt;=YEAR($F143),AND($K143&lt;&gt;"a",$K143&lt;&gt;"b",$K143&lt;&gt;"g",$K143&lt;&gt;"k")),1,IF(AND($E143&lt;&gt;0,$F143&gt;0,YEAR($F143)&gt;=Preisindex!$A$6,YEAR(AE$4)&gt;=YEAR($F143),$K143="a"),ROUND(VLOOKUP(AJ$4,Preisindex,5,FALSE)/VLOOKUP(YEAR($F143),Preisindex,5,FALSE),2),IF(AND($E143&lt;&gt;0,$F143&gt;0,YEAR($F143)&gt;=Preisindex!$A$6,YEAR(AE$4)&gt;=YEAR($F143),$K143="b"),ROUND(VLOOKUP(AJ$4,Preisindex,3,FALSE)/VLOOKUP(YEAR($F143),Preisindex,3,FALSE),2),IF(AND($E143&lt;&gt;0,$F143&gt;0,YEAR($F143)&gt;=Preisindex!$A$6,YEAR(AE$4)&gt;=YEAR($F143),$K143="g"),ROUND(VLOOKUP(AJ$4,Preisindex,4,FALSE)/VLOOKUP(YEAR($F143),Preisindex,4,FALSE),2),IF(AND($E143&lt;&gt;0,$F143&gt;0,YEAR($F143)&gt;=Preisindex!$A$6,YEAR(AE$4)&gt;=YEAR($F143),$K143="k"),ROUND(VLOOKUP(AJ$4,Preisindex,2,FALSE)/VLOOKUP(YEAR($F143),Preisindex,2,FALSE),2),0)))))</f>
        <v>0</v>
      </c>
      <c r="AK143" s="56">
        <f>IF(AND($E143&lt;&gt;0,$F143&gt;0,YEAR($F143)&lt;Preisindex!$A$6,YEAR(AE$4)&gt;=YEAR($F143),AND($K143&lt;&gt;"a",$K143&lt;&gt;"b",$K143&lt;&gt;"g",$K143&lt;&gt;"k")),1,IF(AND($E143&lt;&gt;0,$F143&gt;0,YEAR($F143)&lt;Preisindex!$A$6,YEAR(AE$4)&gt;=YEAR($F143),$K143="a"),ROUND(VLOOKUP(AJ$4,Preisindex,5,FALSE)/VLOOKUP(Preisindex!$A$6,Preisindex,5,FALSE),2),IF(AND($E143&lt;&gt;0,$F143&gt;0,YEAR($F143)&lt;Preisindex!$A$6,YEAR(AE$4)&gt;=YEAR($F143),$K143="b"),ROUND(VLOOKUP(AJ$4,Preisindex,3,FALSE)/VLOOKUP(Preisindex!$A$6,Preisindex,3,FALSE),2),IF(AND($E143&lt;&gt;0,$F143&gt;0,YEAR($F143)&lt;Preisindex!$A$6,YEAR(AE$4)&gt;=YEAR($F143),$K143="g"),ROUND(VLOOKUP(AJ$4,Preisindex,4,FALSE)/VLOOKUP(Preisindex!$A$6,Preisindex,4,FALSE),2),IF(AND($E143&lt;&gt;0,$F143&gt;0,YEAR($F143)&lt;Preisindex!$A$6,YEAR(AE$4)&gt;=YEAR($F143),$K143="k"),ROUND(VLOOKUP(AJ$4,Preisindex,2,FALSE)/VLOOKUP(Preisindex!$A$6,Preisindex,2,FALSE),2),0)))))</f>
        <v>0</v>
      </c>
      <c r="AL143" s="51">
        <f>IF(AND($E143&lt;&gt;0,$F143&gt;0,YEAR($F143)&lt;=AJ$4,YEAR($F143)&gt;=Preisindex!$A$6),ROUND($E143*AJ143,2),IF(AND($E143&lt;&gt;0,$F143&gt;0,YEAR($F143)&lt;=AJ$4,YEAR($F143)&lt;Preisindex!$A$6),ROUND($E143*AK143,2),0))</f>
        <v>0</v>
      </c>
      <c r="AM143" s="53">
        <f t="shared" si="576"/>
        <v>0</v>
      </c>
      <c r="AN143" s="51">
        <f t="shared" si="492"/>
        <v>0</v>
      </c>
      <c r="AO143" s="51">
        <f t="shared" si="448"/>
        <v>0</v>
      </c>
      <c r="AP143" s="51">
        <f t="shared" si="493"/>
        <v>0</v>
      </c>
      <c r="AQ143" s="51">
        <f t="shared" si="449"/>
        <v>0</v>
      </c>
      <c r="AR143" s="51">
        <f t="shared" si="494"/>
        <v>0</v>
      </c>
      <c r="AS143" s="51">
        <f t="shared" si="450"/>
        <v>0</v>
      </c>
      <c r="AT143" s="51">
        <f t="shared" si="495"/>
        <v>0</v>
      </c>
      <c r="AU143" s="51">
        <f t="shared" si="451"/>
        <v>0</v>
      </c>
      <c r="AV143" s="51">
        <f t="shared" si="496"/>
        <v>0</v>
      </c>
      <c r="AW143" s="51">
        <f t="shared" si="452"/>
        <v>0</v>
      </c>
      <c r="AX143" s="51">
        <f t="shared" si="497"/>
        <v>0</v>
      </c>
      <c r="AY143" s="54">
        <f t="shared" si="498"/>
        <v>0</v>
      </c>
      <c r="AZ143" s="55">
        <f t="shared" si="499"/>
        <v>0</v>
      </c>
      <c r="BA143" s="56">
        <f>IF(AND($E143&lt;&gt;0,$F143&gt;0,YEAR($F143)&gt;=Preisindex!$A$6,YEAR(AV$4)&gt;=YEAR($F143),AND($K143&lt;&gt;"a",$K143&lt;&gt;"b",$K143&lt;&gt;"g",$K143&lt;&gt;"k")),1,IF(AND($E143&lt;&gt;0,$F143&gt;0,YEAR($F143)&gt;=Preisindex!$A$6,YEAR(AV$4)&gt;=YEAR($F143),$K143="a"),ROUND(VLOOKUP(BA$4,Preisindex,5,FALSE)/VLOOKUP(YEAR($F143),Preisindex,5,FALSE),2),IF(AND($E143&lt;&gt;0,$F143&gt;0,YEAR($F143)&gt;=Preisindex!$A$6,YEAR(AV$4)&gt;=YEAR($F143),$K143="b"),ROUND(VLOOKUP(BA$4,Preisindex,3,FALSE)/VLOOKUP(YEAR($F143),Preisindex,3,FALSE),2),IF(AND($E143&lt;&gt;0,$F143&gt;0,YEAR($F143)&gt;=Preisindex!$A$6,YEAR(AV$4)&gt;=YEAR($F143),$K143="g"),ROUND(VLOOKUP(BA$4,Preisindex,4,FALSE)/VLOOKUP(YEAR($F143),Preisindex,4,FALSE),2),IF(AND($E143&lt;&gt;0,$F143&gt;0,YEAR($F143)&gt;=Preisindex!$A$6,YEAR(AV$4)&gt;=YEAR($F143),$K143="k"),ROUND(VLOOKUP(BA$4,Preisindex,2,FALSE)/VLOOKUP(YEAR($F143),Preisindex,2,FALSE),2),0)))))</f>
        <v>0</v>
      </c>
      <c r="BB143" s="56">
        <f>IF(AND($E143&lt;&gt;0,$F143&gt;0,YEAR($F143)&lt;Preisindex!$A$6,YEAR(AV$4)&gt;=YEAR($F143),AND($K143&lt;&gt;"a",$K143&lt;&gt;"b",$K143&lt;&gt;"g",$K143&lt;&gt;"k")),1,IF(AND($E143&lt;&gt;0,$F143&gt;0,YEAR($F143)&lt;Preisindex!$A$6,YEAR(AV$4)&gt;=YEAR($F143),$K143="a"),ROUND(VLOOKUP(BA$4,Preisindex,5,FALSE)/VLOOKUP(Preisindex!$A$6,Preisindex,5,FALSE),2),IF(AND($E143&lt;&gt;0,$F143&gt;0,YEAR($F143)&lt;Preisindex!$A$6,YEAR(AV$4)&gt;=YEAR($F143),$K143="b"),ROUND(VLOOKUP(BA$4,Preisindex,3,FALSE)/VLOOKUP(Preisindex!$A$6,Preisindex,3,FALSE),2),IF(AND($E143&lt;&gt;0,$F143&gt;0,YEAR($F143)&lt;Preisindex!$A$6,YEAR(AV$4)&gt;=YEAR($F143),$K143="g"),ROUND(VLOOKUP(BA$4,Preisindex,4,FALSE)/VLOOKUP(Preisindex!$A$6,Preisindex,4,FALSE),2),IF(AND($E143&lt;&gt;0,$F143&gt;0,YEAR($F143)&lt;Preisindex!$A$6,YEAR(AV$4)&gt;=YEAR($F143),$K143="k"),ROUND(VLOOKUP(BA$4,Preisindex,2,FALSE)/VLOOKUP(Preisindex!$A$6,Preisindex,2,FALSE),2),0)))))</f>
        <v>0</v>
      </c>
      <c r="BC143" s="51">
        <f>IF(AND($E143&lt;&gt;0,$F143&gt;0,YEAR($F143)&lt;=BA$4,YEAR($F143)&gt;=Preisindex!$A$6),ROUND($E143*BA143,2),IF(AND($E143&lt;&gt;0,$F143&gt;0,YEAR($F143)&lt;=BA$4,YEAR($F143)&lt;Preisindex!$A$6),ROUND($E143*BB143,2),0))</f>
        <v>0</v>
      </c>
      <c r="BD143" s="53">
        <f t="shared" si="500"/>
        <v>0</v>
      </c>
      <c r="BE143" s="51">
        <f t="shared" si="492"/>
        <v>0</v>
      </c>
      <c r="BF143" s="51">
        <f t="shared" si="453"/>
        <v>0</v>
      </c>
      <c r="BG143" s="51">
        <f t="shared" si="501"/>
        <v>0</v>
      </c>
      <c r="BH143" s="51">
        <f t="shared" si="454"/>
        <v>0</v>
      </c>
      <c r="BI143" s="51">
        <f t="shared" si="502"/>
        <v>0</v>
      </c>
      <c r="BJ143" s="51">
        <f t="shared" si="455"/>
        <v>0</v>
      </c>
      <c r="BK143" s="51">
        <f t="shared" si="503"/>
        <v>0</v>
      </c>
      <c r="BL143" s="51">
        <f t="shared" si="456"/>
        <v>0</v>
      </c>
      <c r="BM143" s="51">
        <f t="shared" si="504"/>
        <v>0</v>
      </c>
      <c r="BN143" s="51">
        <f t="shared" si="457"/>
        <v>0</v>
      </c>
      <c r="BO143" s="51">
        <f t="shared" si="505"/>
        <v>0</v>
      </c>
      <c r="BP143" s="54">
        <f t="shared" si="506"/>
        <v>0</v>
      </c>
      <c r="BQ143" s="55">
        <f t="shared" si="507"/>
        <v>0</v>
      </c>
      <c r="BR143" s="56">
        <f>IF(AND($E143&lt;&gt;0,$F143&gt;0,YEAR($F143)&gt;=Preisindex!$A$6,YEAR(BM$4)&gt;=YEAR($F143),AND($K143&lt;&gt;"a",$K143&lt;&gt;"b",$K143&lt;&gt;"g",$K143&lt;&gt;"k")),1,IF(AND($E143&lt;&gt;0,$F143&gt;0,YEAR($F143)&gt;=Preisindex!$A$6,YEAR(BM$4)&gt;=YEAR($F143),$K143="a"),ROUND(VLOOKUP(BR$4,Preisindex,5,FALSE)/VLOOKUP(YEAR($F143),Preisindex,5,FALSE),2),IF(AND($E143&lt;&gt;0,$F143&gt;0,YEAR($F143)&gt;=Preisindex!$A$6,YEAR(BM$4)&gt;=YEAR($F143),$K143="b"),ROUND(VLOOKUP(BR$4,Preisindex,3,FALSE)/VLOOKUP(YEAR($F143),Preisindex,3,FALSE),2),IF(AND($E143&lt;&gt;0,$F143&gt;0,YEAR($F143)&gt;=Preisindex!$A$6,YEAR(BM$4)&gt;=YEAR($F143),$K143="g"),ROUND(VLOOKUP(BR$4,Preisindex,4,FALSE)/VLOOKUP(YEAR($F143),Preisindex,4,FALSE),2),IF(AND($E143&lt;&gt;0,$F143&gt;0,YEAR($F143)&gt;=Preisindex!$A$6,YEAR(BM$4)&gt;=YEAR($F143),$K143="k"),ROUND(VLOOKUP(BR$4,Preisindex,2,FALSE)/VLOOKUP(YEAR($F143),Preisindex,2,FALSE),2),0)))))</f>
        <v>0</v>
      </c>
      <c r="BS143" s="56">
        <f>IF(AND($E143&lt;&gt;0,$F143&gt;0,YEAR($F143)&lt;Preisindex!$A$6,YEAR(BM$4)&gt;=YEAR($F143),AND($K143&lt;&gt;"a",$K143&lt;&gt;"b",$K143&lt;&gt;"g",$K143&lt;&gt;"k")),1,IF(AND($E143&lt;&gt;0,$F143&gt;0,YEAR($F143)&lt;Preisindex!$A$6,YEAR(BM$4)&gt;=YEAR($F143),$K143="a"),ROUND(VLOOKUP(BR$4,Preisindex,5,FALSE)/VLOOKUP(Preisindex!$A$6,Preisindex,5,FALSE),2),IF(AND($E143&lt;&gt;0,$F143&gt;0,YEAR($F143)&lt;Preisindex!$A$6,YEAR(BM$4)&gt;=YEAR($F143),$K143="b"),ROUND(VLOOKUP(BR$4,Preisindex,3,FALSE)/VLOOKUP(Preisindex!$A$6,Preisindex,3,FALSE),2),IF(AND($E143&lt;&gt;0,$F143&gt;0,YEAR($F143)&lt;Preisindex!$A$6,YEAR(BM$4)&gt;=YEAR($F143),$K143="g"),ROUND(VLOOKUP(BR$4,Preisindex,4,FALSE)/VLOOKUP(Preisindex!$A$6,Preisindex,4,FALSE),2),IF(AND($E143&lt;&gt;0,$F143&gt;0,YEAR($F143)&lt;Preisindex!$A$6,YEAR(BM$4)&gt;=YEAR($F143),$K143="k"),ROUND(VLOOKUP(BR$4,Preisindex,2,FALSE)/VLOOKUP(Preisindex!$A$6,Preisindex,2,FALSE),2),0)))))</f>
        <v>0</v>
      </c>
      <c r="BT143" s="51">
        <f>IF(AND($E143&lt;&gt;0,$F143&gt;0,YEAR($F143)&lt;=BR$4,YEAR($F143)&gt;=Preisindex!$A$6),ROUND($E143*BR143,2),IF(AND($E143&lt;&gt;0,$F143&gt;0,YEAR($F143)&lt;=BR$4,YEAR($F143)&lt;Preisindex!$A$6),ROUND($E143*BS143,2),0))</f>
        <v>0</v>
      </c>
      <c r="BU143" s="53">
        <f t="shared" si="508"/>
        <v>0</v>
      </c>
      <c r="BV143" s="51">
        <f t="shared" si="492"/>
        <v>0</v>
      </c>
      <c r="BW143" s="51">
        <f t="shared" si="458"/>
        <v>0</v>
      </c>
      <c r="BX143" s="51">
        <f t="shared" si="509"/>
        <v>0</v>
      </c>
      <c r="BY143" s="51">
        <f t="shared" si="459"/>
        <v>0</v>
      </c>
      <c r="BZ143" s="51">
        <f t="shared" si="510"/>
        <v>0</v>
      </c>
      <c r="CA143" s="51">
        <f t="shared" si="460"/>
        <v>0</v>
      </c>
      <c r="CB143" s="51">
        <f t="shared" si="511"/>
        <v>0</v>
      </c>
      <c r="CC143" s="51">
        <f t="shared" si="461"/>
        <v>0</v>
      </c>
      <c r="CD143" s="51">
        <f t="shared" si="512"/>
        <v>0</v>
      </c>
      <c r="CE143" s="51">
        <f t="shared" si="462"/>
        <v>0</v>
      </c>
      <c r="CF143" s="51">
        <f t="shared" si="513"/>
        <v>0</v>
      </c>
      <c r="CG143" s="54">
        <f t="shared" si="514"/>
        <v>0</v>
      </c>
      <c r="CH143" s="55">
        <f t="shared" si="515"/>
        <v>0</v>
      </c>
      <c r="CI143" s="56">
        <f>IF(AND($E143&lt;&gt;0,$F143&gt;0,YEAR($F143)&gt;=Preisindex!$A$6,YEAR(CD$4)&gt;=YEAR($F143),AND($K143&lt;&gt;"a",$K143&lt;&gt;"b",$K143&lt;&gt;"g",$K143&lt;&gt;"k")),1,IF(AND($E143&lt;&gt;0,$F143&gt;0,YEAR($F143)&gt;=Preisindex!$A$6,YEAR(CD$4)&gt;=YEAR($F143),$K143="a"),ROUND(VLOOKUP(CI$4,Preisindex,5,FALSE)/VLOOKUP(YEAR($F143),Preisindex,5,FALSE),2),IF(AND($E143&lt;&gt;0,$F143&gt;0,YEAR($F143)&gt;=Preisindex!$A$6,YEAR(CD$4)&gt;=YEAR($F143),$K143="b"),ROUND(VLOOKUP(CI$4,Preisindex,3,FALSE)/VLOOKUP(YEAR($F143),Preisindex,3,FALSE),2),IF(AND($E143&lt;&gt;0,$F143&gt;0,YEAR($F143)&gt;=Preisindex!$A$6,YEAR(CD$4)&gt;=YEAR($F143),$K143="g"),ROUND(VLOOKUP(CI$4,Preisindex,4,FALSE)/VLOOKUP(YEAR($F143),Preisindex,4,FALSE),2),IF(AND($E143&lt;&gt;0,$F143&gt;0,YEAR($F143)&gt;=Preisindex!$A$6,YEAR(CD$4)&gt;=YEAR($F143),$K143="k"),ROUND(VLOOKUP(CI$4,Preisindex,2,FALSE)/VLOOKUP(YEAR($F143),Preisindex,2,FALSE),2),0)))))</f>
        <v>0</v>
      </c>
      <c r="CJ143" s="56">
        <f>IF(AND($E143&lt;&gt;0,$F143&gt;0,YEAR($F143)&lt;Preisindex!$A$6,YEAR(CD$4)&gt;=YEAR($F143),AND($K143&lt;&gt;"a",$K143&lt;&gt;"b",$K143&lt;&gt;"g",$K143&lt;&gt;"k")),1,IF(AND($E143&lt;&gt;0,$F143&gt;0,YEAR($F143)&lt;Preisindex!$A$6,YEAR(CD$4)&gt;=YEAR($F143),$K143="a"),ROUND(VLOOKUP(CI$4,Preisindex,5,FALSE)/VLOOKUP(Preisindex!$A$6,Preisindex,5,FALSE),2),IF(AND($E143&lt;&gt;0,$F143&gt;0,YEAR($F143)&lt;Preisindex!$A$6,YEAR(CD$4)&gt;=YEAR($F143),$K143="b"),ROUND(VLOOKUP(CI$4,Preisindex,3,FALSE)/VLOOKUP(Preisindex!$A$6,Preisindex,3,FALSE),2),IF(AND($E143&lt;&gt;0,$F143&gt;0,YEAR($F143)&lt;Preisindex!$A$6,YEAR(CD$4)&gt;=YEAR($F143),$K143="g"),ROUND(VLOOKUP(CI$4,Preisindex,4,FALSE)/VLOOKUP(Preisindex!$A$6,Preisindex,4,FALSE),2),IF(AND($E143&lt;&gt;0,$F143&gt;0,YEAR($F143)&lt;Preisindex!$A$6,YEAR(CD$4)&gt;=YEAR($F143),$K143="k"),ROUND(VLOOKUP(CI$4,Preisindex,2,FALSE)/VLOOKUP(Preisindex!$A$6,Preisindex,2,FALSE),2),0)))))</f>
        <v>0</v>
      </c>
      <c r="CK143" s="51">
        <f>IF(AND($E143&lt;&gt;0,$F143&gt;0,YEAR($F143)&lt;=CI$4,YEAR($F143)&gt;=Preisindex!$A$6),ROUND($E143*CI143,2),IF(AND($E143&lt;&gt;0,$F143&gt;0,YEAR($F143)&lt;=CI$4,YEAR($F143)&lt;Preisindex!$A$6),ROUND($E143*CJ143,2),0))</f>
        <v>0</v>
      </c>
      <c r="CL143" s="53">
        <f t="shared" si="516"/>
        <v>0</v>
      </c>
      <c r="CM143" s="51">
        <f t="shared" si="492"/>
        <v>0</v>
      </c>
      <c r="CN143" s="51">
        <f t="shared" si="463"/>
        <v>0</v>
      </c>
      <c r="CO143" s="51">
        <f t="shared" si="517"/>
        <v>0</v>
      </c>
      <c r="CP143" s="51">
        <f t="shared" si="464"/>
        <v>0</v>
      </c>
      <c r="CQ143" s="51">
        <f t="shared" si="518"/>
        <v>0</v>
      </c>
      <c r="CR143" s="51">
        <f t="shared" si="465"/>
        <v>0</v>
      </c>
      <c r="CS143" s="51">
        <f t="shared" si="519"/>
        <v>0</v>
      </c>
      <c r="CT143" s="51">
        <f t="shared" si="466"/>
        <v>0</v>
      </c>
      <c r="CU143" s="51">
        <f t="shared" si="520"/>
        <v>0</v>
      </c>
      <c r="CV143" s="51">
        <f t="shared" si="467"/>
        <v>0</v>
      </c>
      <c r="CW143" s="51">
        <f t="shared" si="521"/>
        <v>0</v>
      </c>
      <c r="CX143" s="54">
        <f t="shared" si="522"/>
        <v>0</v>
      </c>
      <c r="CY143" s="55">
        <f t="shared" si="523"/>
        <v>0</v>
      </c>
      <c r="CZ143" s="56">
        <f>IF(AND($E143&lt;&gt;0,$F143&gt;0,YEAR($F143)&gt;=Preisindex!$A$6,YEAR(CU$4)&gt;=YEAR($F143),AND($K143&lt;&gt;"a",$K143&lt;&gt;"b",$K143&lt;&gt;"g",$K143&lt;&gt;"k")),1,IF(AND($E143&lt;&gt;0,$F143&gt;0,YEAR($F143)&gt;=Preisindex!$A$6,YEAR(CU$4)&gt;=YEAR($F143),$K143="a"),ROUND(VLOOKUP(CZ$4,Preisindex,5,FALSE)/VLOOKUP(YEAR($F143),Preisindex,5,FALSE),2),IF(AND($E143&lt;&gt;0,$F143&gt;0,YEAR($F143)&gt;=Preisindex!$A$6,YEAR(CU$4)&gt;=YEAR($F143),$K143="b"),ROUND(VLOOKUP(CZ$4,Preisindex,3,FALSE)/VLOOKUP(YEAR($F143),Preisindex,3,FALSE),2),IF(AND($E143&lt;&gt;0,$F143&gt;0,YEAR($F143)&gt;=Preisindex!$A$6,YEAR(CU$4)&gt;=YEAR($F143),$K143="g"),ROUND(VLOOKUP(CZ$4,Preisindex,4,FALSE)/VLOOKUP(YEAR($F143),Preisindex,4,FALSE),2),IF(AND($E143&lt;&gt;0,$F143&gt;0,YEAR($F143)&gt;=Preisindex!$A$6,YEAR(CU$4)&gt;=YEAR($F143),$K143="k"),ROUND(VLOOKUP(CZ$4,Preisindex,2,FALSE)/VLOOKUP(YEAR($F143),Preisindex,2,FALSE),2),0)))))</f>
        <v>0</v>
      </c>
      <c r="DA143" s="56">
        <f>IF(AND($E143&lt;&gt;0,$F143&gt;0,YEAR($F143)&lt;Preisindex!$A$6,YEAR(CU$4)&gt;=YEAR($F143),AND($K143&lt;&gt;"a",$K143&lt;&gt;"b",$K143&lt;&gt;"g",$K143&lt;&gt;"k")),1,IF(AND($E143&lt;&gt;0,$F143&gt;0,YEAR($F143)&lt;Preisindex!$A$6,YEAR(CU$4)&gt;=YEAR($F143),$K143="a"),ROUND(VLOOKUP(CZ$4,Preisindex,5,FALSE)/VLOOKUP(Preisindex!$A$6,Preisindex,5,FALSE),2),IF(AND($E143&lt;&gt;0,$F143&gt;0,YEAR($F143)&lt;Preisindex!$A$6,YEAR(CU$4)&gt;=YEAR($F143),$K143="b"),ROUND(VLOOKUP(CZ$4,Preisindex,3,FALSE)/VLOOKUP(Preisindex!$A$6,Preisindex,3,FALSE),2),IF(AND($E143&lt;&gt;0,$F143&gt;0,YEAR($F143)&lt;Preisindex!$A$6,YEAR(CU$4)&gt;=YEAR($F143),$K143="g"),ROUND(VLOOKUP(CZ$4,Preisindex,4,FALSE)/VLOOKUP(Preisindex!$A$6,Preisindex,4,FALSE),2),IF(AND($E143&lt;&gt;0,$F143&gt;0,YEAR($F143)&lt;Preisindex!$A$6,YEAR(CU$4)&gt;=YEAR($F143),$K143="k"),ROUND(VLOOKUP(CZ$4,Preisindex,2,FALSE)/VLOOKUP(Preisindex!$A$6,Preisindex,2,FALSE),2),0)))))</f>
        <v>0</v>
      </c>
      <c r="DB143" s="51">
        <f>IF(AND($E143&lt;&gt;0,$F143&gt;0,YEAR($F143)&lt;=CZ$4,YEAR($F143)&gt;=Preisindex!$A$6),ROUND($E143*CZ143,2),IF(AND($E143&lt;&gt;0,$F143&gt;0,YEAR($F143)&lt;=CZ$4,YEAR($F143)&lt;Preisindex!$A$6),ROUND($E143*DA143,2),0))</f>
        <v>0</v>
      </c>
      <c r="DC143" s="53">
        <f t="shared" si="524"/>
        <v>0</v>
      </c>
      <c r="DD143" s="51">
        <f t="shared" si="525"/>
        <v>0</v>
      </c>
      <c r="DE143" s="51">
        <f t="shared" si="468"/>
        <v>0</v>
      </c>
      <c r="DF143" s="51">
        <f t="shared" si="526"/>
        <v>0</v>
      </c>
      <c r="DG143" s="51">
        <f t="shared" si="469"/>
        <v>0</v>
      </c>
      <c r="DH143" s="51">
        <f t="shared" si="527"/>
        <v>0</v>
      </c>
      <c r="DI143" s="51">
        <f t="shared" si="470"/>
        <v>0</v>
      </c>
      <c r="DJ143" s="51">
        <f t="shared" si="528"/>
        <v>0</v>
      </c>
      <c r="DK143" s="51">
        <f t="shared" si="471"/>
        <v>0</v>
      </c>
      <c r="DL143" s="51">
        <f t="shared" si="529"/>
        <v>0</v>
      </c>
      <c r="DM143" s="51">
        <f t="shared" si="472"/>
        <v>0</v>
      </c>
      <c r="DN143" s="51">
        <f t="shared" si="530"/>
        <v>0</v>
      </c>
      <c r="DO143" s="54">
        <f t="shared" si="531"/>
        <v>0</v>
      </c>
      <c r="DP143" s="55">
        <f t="shared" si="532"/>
        <v>0</v>
      </c>
      <c r="DQ143" s="56">
        <f>IF(AND($E143&lt;&gt;0,$F143&gt;0,YEAR($F143)&gt;=Preisindex!$A$6,YEAR(DL$4)&gt;=YEAR($F143),AND($K143&lt;&gt;"a",$K143&lt;&gt;"b",$K143&lt;&gt;"g",$K143&lt;&gt;"k")),1,IF(AND($E143&lt;&gt;0,$F143&gt;0,YEAR($F143)&gt;=Preisindex!$A$6,YEAR(DL$4)&gt;=YEAR($F143),$K143="a"),ROUND(VLOOKUP(DQ$4,Preisindex,5,FALSE)/VLOOKUP(YEAR($F143),Preisindex,5,FALSE),2),IF(AND($E143&lt;&gt;0,$F143&gt;0,YEAR($F143)&gt;=Preisindex!$A$6,YEAR(DL$4)&gt;=YEAR($F143),$K143="b"),ROUND(VLOOKUP(DQ$4,Preisindex,3,FALSE)/VLOOKUP(YEAR($F143),Preisindex,3,FALSE),2),IF(AND($E143&lt;&gt;0,$F143&gt;0,YEAR($F143)&gt;=Preisindex!$A$6,YEAR(DL$4)&gt;=YEAR($F143),$K143="g"),ROUND(VLOOKUP(DQ$4,Preisindex,4,FALSE)/VLOOKUP(YEAR($F143),Preisindex,4,FALSE),2),IF(AND($E143&lt;&gt;0,$F143&gt;0,YEAR($F143)&gt;=Preisindex!$A$6,YEAR(DL$4)&gt;=YEAR($F143),$K143="k"),ROUND(VLOOKUP(DQ$4,Preisindex,2,FALSE)/VLOOKUP(YEAR($F143),Preisindex,2,FALSE),2),0)))))</f>
        <v>0</v>
      </c>
      <c r="DR143" s="56">
        <f>IF(AND($E143&lt;&gt;0,$F143&gt;0,YEAR($F143)&lt;Preisindex!$A$6,YEAR(DL$4)&gt;=YEAR($F143),AND($K143&lt;&gt;"a",$K143&lt;&gt;"b",$K143&lt;&gt;"g",$K143&lt;&gt;"k")),1,IF(AND($E143&lt;&gt;0,$F143&gt;0,YEAR($F143)&lt;Preisindex!$A$6,YEAR(DL$4)&gt;=YEAR($F143),$K143="a"),ROUND(VLOOKUP(DQ$4,Preisindex,5,FALSE)/VLOOKUP(Preisindex!$A$6,Preisindex,5,FALSE),2),IF(AND($E143&lt;&gt;0,$F143&gt;0,YEAR($F143)&lt;Preisindex!$A$6,YEAR(DL$4)&gt;=YEAR($F143),$K143="b"),ROUND(VLOOKUP(DQ$4,Preisindex,3,FALSE)/VLOOKUP(Preisindex!$A$6,Preisindex,3,FALSE),2),IF(AND($E143&lt;&gt;0,$F143&gt;0,YEAR($F143)&lt;Preisindex!$A$6,YEAR(DL$4)&gt;=YEAR($F143),$K143="g"),ROUND(VLOOKUP(DQ$4,Preisindex,4,FALSE)/VLOOKUP(Preisindex!$A$6,Preisindex,4,FALSE),2),IF(AND($E143&lt;&gt;0,$F143&gt;0,YEAR($F143)&lt;Preisindex!$A$6,YEAR(DL$4)&gt;=YEAR($F143),$K143="k"),ROUND(VLOOKUP(DQ$4,Preisindex,2,FALSE)/VLOOKUP(Preisindex!$A$6,Preisindex,2,FALSE),2),0)))))</f>
        <v>0</v>
      </c>
      <c r="DS143" s="51">
        <f>IF(AND($E143&lt;&gt;0,$F143&gt;0,YEAR($F143)&lt;=DQ$4,YEAR($F143)&gt;=Preisindex!$A$6),ROUND($E143*DQ143,2),IF(AND($E143&lt;&gt;0,$F143&gt;0,YEAR($F143)&lt;=DQ$4,YEAR($F143)&lt;Preisindex!$A$6),ROUND($E143*DR143,2),0))</f>
        <v>0</v>
      </c>
      <c r="DT143" s="53">
        <f t="shared" si="533"/>
        <v>0</v>
      </c>
      <c r="DU143" s="51">
        <f t="shared" si="525"/>
        <v>0</v>
      </c>
      <c r="DV143" s="51">
        <f t="shared" si="473"/>
        <v>0</v>
      </c>
      <c r="DW143" s="51">
        <f t="shared" si="534"/>
        <v>0</v>
      </c>
      <c r="DX143" s="51">
        <f t="shared" si="474"/>
        <v>0</v>
      </c>
      <c r="DY143" s="51">
        <f t="shared" si="535"/>
        <v>0</v>
      </c>
      <c r="DZ143" s="51">
        <f t="shared" si="475"/>
        <v>0</v>
      </c>
      <c r="EA143" s="51">
        <f t="shared" si="536"/>
        <v>0</v>
      </c>
      <c r="EB143" s="51">
        <f t="shared" si="476"/>
        <v>0</v>
      </c>
      <c r="EC143" s="51">
        <f t="shared" si="537"/>
        <v>0</v>
      </c>
      <c r="ED143" s="51">
        <f t="shared" si="477"/>
        <v>0</v>
      </c>
      <c r="EE143" s="51">
        <f t="shared" si="538"/>
        <v>0</v>
      </c>
      <c r="EF143" s="54">
        <f t="shared" si="539"/>
        <v>0</v>
      </c>
      <c r="EG143" s="55">
        <f t="shared" si="540"/>
        <v>0</v>
      </c>
      <c r="EH143" s="56">
        <f>IF(AND($E143&lt;&gt;0,$F143&gt;0,YEAR($F143)&gt;=Preisindex!$A$6,YEAR(EC$4)&gt;=YEAR($F143),AND($K143&lt;&gt;"a",$K143&lt;&gt;"b",$K143&lt;&gt;"g",$K143&lt;&gt;"k")),1,IF(AND($E143&lt;&gt;0,$F143&gt;0,YEAR($F143)&gt;=Preisindex!$A$6,YEAR(EC$4)&gt;=YEAR($F143),$K143="a"),ROUND(VLOOKUP(EH$4,Preisindex,5,FALSE)/VLOOKUP(YEAR($F143),Preisindex,5,FALSE),2),IF(AND($E143&lt;&gt;0,$F143&gt;0,YEAR($F143)&gt;=Preisindex!$A$6,YEAR(EC$4)&gt;=YEAR($F143),$K143="b"),ROUND(VLOOKUP(EH$4,Preisindex,3,FALSE)/VLOOKUP(YEAR($F143),Preisindex,3,FALSE),2),IF(AND($E143&lt;&gt;0,$F143&gt;0,YEAR($F143)&gt;=Preisindex!$A$6,YEAR(EC$4)&gt;=YEAR($F143),$K143="g"),ROUND(VLOOKUP(EH$4,Preisindex,4,FALSE)/VLOOKUP(YEAR($F143),Preisindex,4,FALSE),2),IF(AND($E143&lt;&gt;0,$F143&gt;0,YEAR($F143)&gt;=Preisindex!$A$6,YEAR(EC$4)&gt;=YEAR($F143),$K143="k"),ROUND(VLOOKUP(EH$4,Preisindex,2,FALSE)/VLOOKUP(YEAR($F143),Preisindex,2,FALSE),2),0)))))</f>
        <v>0</v>
      </c>
      <c r="EI143" s="56">
        <f>IF(AND($E143&lt;&gt;0,$F143&gt;0,YEAR($F143)&lt;Preisindex!$A$6,YEAR(EC$4)&gt;=YEAR($F143),AND($K143&lt;&gt;"a",$K143&lt;&gt;"b",$K143&lt;&gt;"g",$K143&lt;&gt;"k")),1,IF(AND($E143&lt;&gt;0,$F143&gt;0,YEAR($F143)&lt;Preisindex!$A$6,YEAR(EC$4)&gt;=YEAR($F143),$K143="a"),ROUND(VLOOKUP(EH$4,Preisindex,5,FALSE)/VLOOKUP(Preisindex!$A$6,Preisindex,5,FALSE),2),IF(AND($E143&lt;&gt;0,$F143&gt;0,YEAR($F143)&lt;Preisindex!$A$6,YEAR(EC$4)&gt;=YEAR($F143),$K143="b"),ROUND(VLOOKUP(EH$4,Preisindex,3,FALSE)/VLOOKUP(Preisindex!$A$6,Preisindex,3,FALSE),2),IF(AND($E143&lt;&gt;0,$F143&gt;0,YEAR($F143)&lt;Preisindex!$A$6,YEAR(EC$4)&gt;=YEAR($F143),$K143="g"),ROUND(VLOOKUP(EH$4,Preisindex,4,FALSE)/VLOOKUP(Preisindex!$A$6,Preisindex,4,FALSE),2),IF(AND($E143&lt;&gt;0,$F143&gt;0,YEAR($F143)&lt;Preisindex!$A$6,YEAR(EC$4)&gt;=YEAR($F143),$K143="k"),ROUND(VLOOKUP(EH$4,Preisindex,2,FALSE)/VLOOKUP(Preisindex!$A$6,Preisindex,2,FALSE),2),0)))))</f>
        <v>0</v>
      </c>
      <c r="EJ143" s="51">
        <f>IF(AND($E143&lt;&gt;0,$F143&gt;0,YEAR($F143)&lt;=EH$4,YEAR($F143)&gt;=Preisindex!$A$6),ROUND($E143*EH143,2),IF(AND($E143&lt;&gt;0,$F143&gt;0,YEAR($F143)&lt;=EH$4,YEAR($F143)&lt;Preisindex!$A$6),ROUND($E143*EI143,2),0))</f>
        <v>0</v>
      </c>
      <c r="EK143" s="53">
        <f t="shared" si="541"/>
        <v>0</v>
      </c>
      <c r="EL143" s="51">
        <f t="shared" si="525"/>
        <v>0</v>
      </c>
      <c r="EM143" s="51">
        <f t="shared" si="478"/>
        <v>0</v>
      </c>
      <c r="EN143" s="51">
        <f t="shared" si="542"/>
        <v>0</v>
      </c>
      <c r="EO143" s="51">
        <f t="shared" si="479"/>
        <v>0</v>
      </c>
      <c r="EP143" s="51">
        <f t="shared" si="543"/>
        <v>0</v>
      </c>
      <c r="EQ143" s="51">
        <f t="shared" si="480"/>
        <v>0</v>
      </c>
      <c r="ER143" s="51">
        <f t="shared" si="544"/>
        <v>0</v>
      </c>
      <c r="ES143" s="51">
        <f t="shared" si="481"/>
        <v>0</v>
      </c>
      <c r="ET143" s="51">
        <f t="shared" si="545"/>
        <v>0</v>
      </c>
      <c r="EU143" s="51">
        <f t="shared" si="482"/>
        <v>0</v>
      </c>
      <c r="EV143" s="51">
        <f t="shared" si="546"/>
        <v>0</v>
      </c>
      <c r="EW143" s="54">
        <f t="shared" si="547"/>
        <v>0</v>
      </c>
      <c r="EX143" s="55">
        <f t="shared" si="548"/>
        <v>0</v>
      </c>
      <c r="EY143" s="56">
        <f>IF(AND($E143&lt;&gt;0,$F143&gt;0,YEAR($F143)&gt;=Preisindex!$A$6,YEAR(ET$4)&gt;=YEAR($F143),AND($K143&lt;&gt;"a",$K143&lt;&gt;"b",$K143&lt;&gt;"g",$K143&lt;&gt;"k")),1,IF(AND($E143&lt;&gt;0,$F143&gt;0,YEAR($F143)&gt;=Preisindex!$A$6,YEAR(ET$4)&gt;=YEAR($F143),$K143="a"),ROUND(VLOOKUP(EY$4,Preisindex,5,FALSE)/VLOOKUP(YEAR($F143),Preisindex,5,FALSE),2),IF(AND($E143&lt;&gt;0,$F143&gt;0,YEAR($F143)&gt;=Preisindex!$A$6,YEAR(ET$4)&gt;=YEAR($F143),$K143="b"),ROUND(VLOOKUP(EY$4,Preisindex,3,FALSE)/VLOOKUP(YEAR($F143),Preisindex,3,FALSE),2),IF(AND($E143&lt;&gt;0,$F143&gt;0,YEAR($F143)&gt;=Preisindex!$A$6,YEAR(ET$4)&gt;=YEAR($F143),$K143="g"),ROUND(VLOOKUP(EY$4,Preisindex,4,FALSE)/VLOOKUP(YEAR($F143),Preisindex,4,FALSE),2),IF(AND($E143&lt;&gt;0,$F143&gt;0,YEAR($F143)&gt;=Preisindex!$A$6,YEAR(ET$4)&gt;=YEAR($F143),$K143="k"),ROUND(VLOOKUP(EY$4,Preisindex,2,FALSE)/VLOOKUP(YEAR($F143),Preisindex,2,FALSE),2),0)))))</f>
        <v>0</v>
      </c>
      <c r="EZ143" s="56">
        <f>IF(AND($E143&lt;&gt;0,$F143&gt;0,YEAR($F143)&lt;Preisindex!$A$6,YEAR(ET$4)&gt;=YEAR($F143),AND($K143&lt;&gt;"a",$K143&lt;&gt;"b",$K143&lt;&gt;"g",$K143&lt;&gt;"k")),1,IF(AND($E143&lt;&gt;0,$F143&gt;0,YEAR($F143)&lt;Preisindex!$A$6,YEAR(ET$4)&gt;=YEAR($F143),$K143="a"),ROUND(VLOOKUP(EY$4,Preisindex,5,FALSE)/VLOOKUP(Preisindex!$A$6,Preisindex,5,FALSE),2),IF(AND($E143&lt;&gt;0,$F143&gt;0,YEAR($F143)&lt;Preisindex!$A$6,YEAR(ET$4)&gt;=YEAR($F143),$K143="b"),ROUND(VLOOKUP(EY$4,Preisindex,3,FALSE)/VLOOKUP(Preisindex!$A$6,Preisindex,3,FALSE),2),IF(AND($E143&lt;&gt;0,$F143&gt;0,YEAR($F143)&lt;Preisindex!$A$6,YEAR(ET$4)&gt;=YEAR($F143),$K143="g"),ROUND(VLOOKUP(EY$4,Preisindex,4,FALSE)/VLOOKUP(Preisindex!$A$6,Preisindex,4,FALSE),2),IF(AND($E143&lt;&gt;0,$F143&gt;0,YEAR($F143)&lt;Preisindex!$A$6,YEAR(ET$4)&gt;=YEAR($F143),$K143="k"),ROUND(VLOOKUP(EY$4,Preisindex,2,FALSE)/VLOOKUP(Preisindex!$A$6,Preisindex,2,FALSE),2),0)))))</f>
        <v>0</v>
      </c>
      <c r="FA143" s="51">
        <f>IF(AND($E143&lt;&gt;0,$F143&gt;0,YEAR($F143)&lt;=EY$4,YEAR($F143)&gt;=Preisindex!$A$6),ROUND($E143*EY143,2),IF(AND($E143&lt;&gt;0,$F143&gt;0,YEAR($F143)&lt;=EY$4,YEAR($F143)&lt;Preisindex!$A$6),ROUND($E143*EZ143,2),0))</f>
        <v>0</v>
      </c>
      <c r="FB143" s="53">
        <f t="shared" si="549"/>
        <v>0</v>
      </c>
      <c r="FC143" s="51">
        <f t="shared" si="525"/>
        <v>0</v>
      </c>
      <c r="FD143" s="51">
        <f t="shared" si="483"/>
        <v>0</v>
      </c>
      <c r="FE143" s="51">
        <f t="shared" si="550"/>
        <v>0</v>
      </c>
      <c r="FF143" s="51">
        <f t="shared" si="484"/>
        <v>0</v>
      </c>
      <c r="FG143" s="51">
        <f t="shared" si="551"/>
        <v>0</v>
      </c>
      <c r="FH143" s="51">
        <f t="shared" si="485"/>
        <v>0</v>
      </c>
      <c r="FI143" s="51">
        <f t="shared" si="552"/>
        <v>0</v>
      </c>
      <c r="FJ143" s="51">
        <f t="shared" si="486"/>
        <v>0</v>
      </c>
      <c r="FK143" s="51">
        <f t="shared" si="553"/>
        <v>0</v>
      </c>
      <c r="FL143" s="51">
        <f t="shared" si="487"/>
        <v>0</v>
      </c>
      <c r="FM143" s="51">
        <f t="shared" si="554"/>
        <v>0</v>
      </c>
      <c r="FN143" s="54">
        <f t="shared" si="555"/>
        <v>0</v>
      </c>
      <c r="FO143" s="55">
        <f t="shared" si="556"/>
        <v>0</v>
      </c>
      <c r="FP143" s="56">
        <f>IF(AND($E143&lt;&gt;0,$F143&gt;0,YEAR($F143)&gt;=Preisindex!$A$6,YEAR(FK$4)&gt;=YEAR($F143),AND($K143&lt;&gt;"a",$K143&lt;&gt;"b",$K143&lt;&gt;"g",$K143&lt;&gt;"k")),1,IF(AND($E143&lt;&gt;0,$F143&gt;0,YEAR($F143)&gt;=Preisindex!$A$6,YEAR(FK$4)&gt;=YEAR($F143),$K143="a"),ROUND(VLOOKUP(FP$4,Preisindex,5,FALSE)/VLOOKUP(YEAR($F143),Preisindex,5,FALSE),2),IF(AND($E143&lt;&gt;0,$F143&gt;0,YEAR($F143)&gt;=Preisindex!$A$6,YEAR(FK$4)&gt;=YEAR($F143),$K143="b"),ROUND(VLOOKUP(FP$4,Preisindex,3,FALSE)/VLOOKUP(YEAR($F143),Preisindex,3,FALSE),2),IF(AND($E143&lt;&gt;0,$F143&gt;0,YEAR($F143)&gt;=Preisindex!$A$6,YEAR(FK$4)&gt;=YEAR($F143),$K143="g"),ROUND(VLOOKUP(FP$4,Preisindex,4,FALSE)/VLOOKUP(YEAR($F143),Preisindex,4,FALSE),2),IF(AND($E143&lt;&gt;0,$F143&gt;0,YEAR($F143)&gt;=Preisindex!$A$6,YEAR(FK$4)&gt;=YEAR($F143),$K143="k"),ROUND(VLOOKUP(FP$4,Preisindex,2,FALSE)/VLOOKUP(YEAR($F143),Preisindex,2,FALSE),2),0)))))</f>
        <v>0</v>
      </c>
      <c r="FQ143" s="56">
        <f>IF(AND($E143&lt;&gt;0,$F143&gt;0,YEAR($F143)&lt;Preisindex!$A$6,YEAR(FK$4)&gt;=YEAR($F143),AND($K143&lt;&gt;"a",$K143&lt;&gt;"b",$K143&lt;&gt;"g",$K143&lt;&gt;"k")),1,IF(AND($E143&lt;&gt;0,$F143&gt;0,YEAR($F143)&lt;Preisindex!$A$6,YEAR(FK$4)&gt;=YEAR($F143),$K143="a"),ROUND(VLOOKUP(FP$4,Preisindex,5,FALSE)/VLOOKUP(Preisindex!$A$6,Preisindex,5,FALSE),2),IF(AND($E143&lt;&gt;0,$F143&gt;0,YEAR($F143)&lt;Preisindex!$A$6,YEAR(FK$4)&gt;=YEAR($F143),$K143="b"),ROUND(VLOOKUP(FP$4,Preisindex,3,FALSE)/VLOOKUP(Preisindex!$A$6,Preisindex,3,FALSE),2),IF(AND($E143&lt;&gt;0,$F143&gt;0,YEAR($F143)&lt;Preisindex!$A$6,YEAR(FK$4)&gt;=YEAR($F143),$K143="g"),ROUND(VLOOKUP(FP$4,Preisindex,4,FALSE)/VLOOKUP(Preisindex!$A$6,Preisindex,4,FALSE),2),IF(AND($E143&lt;&gt;0,$F143&gt;0,YEAR($F143)&lt;Preisindex!$A$6,YEAR(FK$4)&gt;=YEAR($F143),$K143="k"),ROUND(VLOOKUP(FP$4,Preisindex,2,FALSE)/VLOOKUP(Preisindex!$A$6,Preisindex,2,FALSE),2),0)))))</f>
        <v>0</v>
      </c>
      <c r="FR143" s="51">
        <f>IF(AND($E143&lt;&gt;0,$F143&gt;0,YEAR($F143)&lt;=FP$4,YEAR($F143)&gt;=Preisindex!$A$6),ROUND($E143*FP143,2),IF(AND($E143&lt;&gt;0,$F143&gt;0,YEAR($F143)&lt;=FP$4,YEAR($F143)&lt;Preisindex!$A$6),ROUND($E143*FQ143,2),0))</f>
        <v>0</v>
      </c>
      <c r="FS143" s="53">
        <f t="shared" si="557"/>
        <v>0</v>
      </c>
    </row>
    <row r="144" spans="1:175" x14ac:dyDescent="0.3">
      <c r="A144" s="93"/>
      <c r="B144" s="94"/>
      <c r="C144" s="94"/>
      <c r="D144" s="95"/>
      <c r="E144" s="99"/>
      <c r="F144" s="97"/>
      <c r="G144" s="98"/>
      <c r="H144" s="620"/>
      <c r="I144" s="621"/>
      <c r="J144" s="194"/>
      <c r="K144" s="630"/>
      <c r="L144" s="49">
        <f t="shared" si="558"/>
        <v>0</v>
      </c>
      <c r="M144" s="50">
        <f t="shared" si="559"/>
        <v>0</v>
      </c>
      <c r="N144" s="51">
        <f t="shared" si="560"/>
        <v>0</v>
      </c>
      <c r="O144" s="51"/>
      <c r="P144" s="51">
        <f t="shared" si="561"/>
        <v>0</v>
      </c>
      <c r="Q144" s="52"/>
      <c r="R144" s="52"/>
      <c r="S144" s="52"/>
      <c r="T144" s="52"/>
      <c r="U144" s="52"/>
      <c r="V144" s="53">
        <f t="shared" si="562"/>
        <v>0</v>
      </c>
      <c r="W144" s="51">
        <f t="shared" si="563"/>
        <v>0</v>
      </c>
      <c r="X144" s="51">
        <f t="shared" si="564"/>
        <v>0</v>
      </c>
      <c r="Y144" s="51">
        <f t="shared" si="565"/>
        <v>0</v>
      </c>
      <c r="Z144" s="51">
        <f t="shared" si="566"/>
        <v>0</v>
      </c>
      <c r="AA144" s="51">
        <f t="shared" si="567"/>
        <v>0</v>
      </c>
      <c r="AB144" s="51">
        <f t="shared" si="568"/>
        <v>0</v>
      </c>
      <c r="AC144" s="51">
        <f t="shared" si="569"/>
        <v>0</v>
      </c>
      <c r="AD144" s="51">
        <f t="shared" si="570"/>
        <v>0</v>
      </c>
      <c r="AE144" s="51">
        <f t="shared" si="571"/>
        <v>0</v>
      </c>
      <c r="AF144" s="51">
        <f t="shared" si="572"/>
        <v>0</v>
      </c>
      <c r="AG144" s="51">
        <f t="shared" si="573"/>
        <v>0</v>
      </c>
      <c r="AH144" s="54">
        <f t="shared" si="574"/>
        <v>0</v>
      </c>
      <c r="AI144" s="55">
        <f t="shared" si="575"/>
        <v>0</v>
      </c>
      <c r="AJ144" s="56">
        <f>IF(AND($E144&lt;&gt;0,$F144&gt;0,YEAR($F144)&gt;=Preisindex!$A$6,YEAR(AE$4)&gt;=YEAR($F144),AND($K144&lt;&gt;"a",$K144&lt;&gt;"b",$K144&lt;&gt;"g",$K144&lt;&gt;"k")),1,IF(AND($E144&lt;&gt;0,$F144&gt;0,YEAR($F144)&gt;=Preisindex!$A$6,YEAR(AE$4)&gt;=YEAR($F144),$K144="a"),ROUND(VLOOKUP(AJ$4,Preisindex,5,FALSE)/VLOOKUP(YEAR($F144),Preisindex,5,FALSE),2),IF(AND($E144&lt;&gt;0,$F144&gt;0,YEAR($F144)&gt;=Preisindex!$A$6,YEAR(AE$4)&gt;=YEAR($F144),$K144="b"),ROUND(VLOOKUP(AJ$4,Preisindex,3,FALSE)/VLOOKUP(YEAR($F144),Preisindex,3,FALSE),2),IF(AND($E144&lt;&gt;0,$F144&gt;0,YEAR($F144)&gt;=Preisindex!$A$6,YEAR(AE$4)&gt;=YEAR($F144),$K144="g"),ROUND(VLOOKUP(AJ$4,Preisindex,4,FALSE)/VLOOKUP(YEAR($F144),Preisindex,4,FALSE),2),IF(AND($E144&lt;&gt;0,$F144&gt;0,YEAR($F144)&gt;=Preisindex!$A$6,YEAR(AE$4)&gt;=YEAR($F144),$K144="k"),ROUND(VLOOKUP(AJ$4,Preisindex,2,FALSE)/VLOOKUP(YEAR($F144),Preisindex,2,FALSE),2),0)))))</f>
        <v>0</v>
      </c>
      <c r="AK144" s="56">
        <f>IF(AND($E144&lt;&gt;0,$F144&gt;0,YEAR($F144)&lt;Preisindex!$A$6,YEAR(AE$4)&gt;=YEAR($F144),AND($K144&lt;&gt;"a",$K144&lt;&gt;"b",$K144&lt;&gt;"g",$K144&lt;&gt;"k")),1,IF(AND($E144&lt;&gt;0,$F144&gt;0,YEAR($F144)&lt;Preisindex!$A$6,YEAR(AE$4)&gt;=YEAR($F144),$K144="a"),ROUND(VLOOKUP(AJ$4,Preisindex,5,FALSE)/VLOOKUP(Preisindex!$A$6,Preisindex,5,FALSE),2),IF(AND($E144&lt;&gt;0,$F144&gt;0,YEAR($F144)&lt;Preisindex!$A$6,YEAR(AE$4)&gt;=YEAR($F144),$K144="b"),ROUND(VLOOKUP(AJ$4,Preisindex,3,FALSE)/VLOOKUP(Preisindex!$A$6,Preisindex,3,FALSE),2),IF(AND($E144&lt;&gt;0,$F144&gt;0,YEAR($F144)&lt;Preisindex!$A$6,YEAR(AE$4)&gt;=YEAR($F144),$K144="g"),ROUND(VLOOKUP(AJ$4,Preisindex,4,FALSE)/VLOOKUP(Preisindex!$A$6,Preisindex,4,FALSE),2),IF(AND($E144&lt;&gt;0,$F144&gt;0,YEAR($F144)&lt;Preisindex!$A$6,YEAR(AE$4)&gt;=YEAR($F144),$K144="k"),ROUND(VLOOKUP(AJ$4,Preisindex,2,FALSE)/VLOOKUP(Preisindex!$A$6,Preisindex,2,FALSE),2),0)))))</f>
        <v>0</v>
      </c>
      <c r="AL144" s="51">
        <f>IF(AND($E144&lt;&gt;0,$F144&gt;0,YEAR($F144)&lt;=AJ$4,YEAR($F144)&gt;=Preisindex!$A$6),ROUND($E144*AJ144,2),IF(AND($E144&lt;&gt;0,$F144&gt;0,YEAR($F144)&lt;=AJ$4,YEAR($F144)&lt;Preisindex!$A$6),ROUND($E144*AK144,2),0))</f>
        <v>0</v>
      </c>
      <c r="AM144" s="53">
        <f t="shared" si="576"/>
        <v>0</v>
      </c>
      <c r="AN144" s="51">
        <f t="shared" si="492"/>
        <v>0</v>
      </c>
      <c r="AO144" s="51">
        <f t="shared" si="448"/>
        <v>0</v>
      </c>
      <c r="AP144" s="51">
        <f t="shared" si="493"/>
        <v>0</v>
      </c>
      <c r="AQ144" s="51">
        <f t="shared" si="449"/>
        <v>0</v>
      </c>
      <c r="AR144" s="51">
        <f t="shared" si="494"/>
        <v>0</v>
      </c>
      <c r="AS144" s="51">
        <f t="shared" si="450"/>
        <v>0</v>
      </c>
      <c r="AT144" s="51">
        <f t="shared" si="495"/>
        <v>0</v>
      </c>
      <c r="AU144" s="51">
        <f t="shared" si="451"/>
        <v>0</v>
      </c>
      <c r="AV144" s="51">
        <f t="shared" si="496"/>
        <v>0</v>
      </c>
      <c r="AW144" s="51">
        <f t="shared" si="452"/>
        <v>0</v>
      </c>
      <c r="AX144" s="51">
        <f t="shared" si="497"/>
        <v>0</v>
      </c>
      <c r="AY144" s="54">
        <f t="shared" si="498"/>
        <v>0</v>
      </c>
      <c r="AZ144" s="55">
        <f t="shared" si="499"/>
        <v>0</v>
      </c>
      <c r="BA144" s="56">
        <f>IF(AND($E144&lt;&gt;0,$F144&gt;0,YEAR($F144)&gt;=Preisindex!$A$6,YEAR(AV$4)&gt;=YEAR($F144),AND($K144&lt;&gt;"a",$K144&lt;&gt;"b",$K144&lt;&gt;"g",$K144&lt;&gt;"k")),1,IF(AND($E144&lt;&gt;0,$F144&gt;0,YEAR($F144)&gt;=Preisindex!$A$6,YEAR(AV$4)&gt;=YEAR($F144),$K144="a"),ROUND(VLOOKUP(BA$4,Preisindex,5,FALSE)/VLOOKUP(YEAR($F144),Preisindex,5,FALSE),2),IF(AND($E144&lt;&gt;0,$F144&gt;0,YEAR($F144)&gt;=Preisindex!$A$6,YEAR(AV$4)&gt;=YEAR($F144),$K144="b"),ROUND(VLOOKUP(BA$4,Preisindex,3,FALSE)/VLOOKUP(YEAR($F144),Preisindex,3,FALSE),2),IF(AND($E144&lt;&gt;0,$F144&gt;0,YEAR($F144)&gt;=Preisindex!$A$6,YEAR(AV$4)&gt;=YEAR($F144),$K144="g"),ROUND(VLOOKUP(BA$4,Preisindex,4,FALSE)/VLOOKUP(YEAR($F144),Preisindex,4,FALSE),2),IF(AND($E144&lt;&gt;0,$F144&gt;0,YEAR($F144)&gt;=Preisindex!$A$6,YEAR(AV$4)&gt;=YEAR($F144),$K144="k"),ROUND(VLOOKUP(BA$4,Preisindex,2,FALSE)/VLOOKUP(YEAR($F144),Preisindex,2,FALSE),2),0)))))</f>
        <v>0</v>
      </c>
      <c r="BB144" s="56">
        <f>IF(AND($E144&lt;&gt;0,$F144&gt;0,YEAR($F144)&lt;Preisindex!$A$6,YEAR(AV$4)&gt;=YEAR($F144),AND($K144&lt;&gt;"a",$K144&lt;&gt;"b",$K144&lt;&gt;"g",$K144&lt;&gt;"k")),1,IF(AND($E144&lt;&gt;0,$F144&gt;0,YEAR($F144)&lt;Preisindex!$A$6,YEAR(AV$4)&gt;=YEAR($F144),$K144="a"),ROUND(VLOOKUP(BA$4,Preisindex,5,FALSE)/VLOOKUP(Preisindex!$A$6,Preisindex,5,FALSE),2),IF(AND($E144&lt;&gt;0,$F144&gt;0,YEAR($F144)&lt;Preisindex!$A$6,YEAR(AV$4)&gt;=YEAR($F144),$K144="b"),ROUND(VLOOKUP(BA$4,Preisindex,3,FALSE)/VLOOKUP(Preisindex!$A$6,Preisindex,3,FALSE),2),IF(AND($E144&lt;&gt;0,$F144&gt;0,YEAR($F144)&lt;Preisindex!$A$6,YEAR(AV$4)&gt;=YEAR($F144),$K144="g"),ROUND(VLOOKUP(BA$4,Preisindex,4,FALSE)/VLOOKUP(Preisindex!$A$6,Preisindex,4,FALSE),2),IF(AND($E144&lt;&gt;0,$F144&gt;0,YEAR($F144)&lt;Preisindex!$A$6,YEAR(AV$4)&gt;=YEAR($F144),$K144="k"),ROUND(VLOOKUP(BA$4,Preisindex,2,FALSE)/VLOOKUP(Preisindex!$A$6,Preisindex,2,FALSE),2),0)))))</f>
        <v>0</v>
      </c>
      <c r="BC144" s="51">
        <f>IF(AND($E144&lt;&gt;0,$F144&gt;0,YEAR($F144)&lt;=BA$4,YEAR($F144)&gt;=Preisindex!$A$6),ROUND($E144*BA144,2),IF(AND($E144&lt;&gt;0,$F144&gt;0,YEAR($F144)&lt;=BA$4,YEAR($F144)&lt;Preisindex!$A$6),ROUND($E144*BB144,2),0))</f>
        <v>0</v>
      </c>
      <c r="BD144" s="53">
        <f t="shared" si="500"/>
        <v>0</v>
      </c>
      <c r="BE144" s="51">
        <f t="shared" si="492"/>
        <v>0</v>
      </c>
      <c r="BF144" s="51">
        <f t="shared" si="453"/>
        <v>0</v>
      </c>
      <c r="BG144" s="51">
        <f t="shared" si="501"/>
        <v>0</v>
      </c>
      <c r="BH144" s="51">
        <f t="shared" si="454"/>
        <v>0</v>
      </c>
      <c r="BI144" s="51">
        <f t="shared" si="502"/>
        <v>0</v>
      </c>
      <c r="BJ144" s="51">
        <f t="shared" si="455"/>
        <v>0</v>
      </c>
      <c r="BK144" s="51">
        <f t="shared" si="503"/>
        <v>0</v>
      </c>
      <c r="BL144" s="51">
        <f t="shared" si="456"/>
        <v>0</v>
      </c>
      <c r="BM144" s="51">
        <f t="shared" si="504"/>
        <v>0</v>
      </c>
      <c r="BN144" s="51">
        <f t="shared" si="457"/>
        <v>0</v>
      </c>
      <c r="BO144" s="51">
        <f t="shared" si="505"/>
        <v>0</v>
      </c>
      <c r="BP144" s="54">
        <f t="shared" si="506"/>
        <v>0</v>
      </c>
      <c r="BQ144" s="55">
        <f t="shared" si="507"/>
        <v>0</v>
      </c>
      <c r="BR144" s="56">
        <f>IF(AND($E144&lt;&gt;0,$F144&gt;0,YEAR($F144)&gt;=Preisindex!$A$6,YEAR(BM$4)&gt;=YEAR($F144),AND($K144&lt;&gt;"a",$K144&lt;&gt;"b",$K144&lt;&gt;"g",$K144&lt;&gt;"k")),1,IF(AND($E144&lt;&gt;0,$F144&gt;0,YEAR($F144)&gt;=Preisindex!$A$6,YEAR(BM$4)&gt;=YEAR($F144),$K144="a"),ROUND(VLOOKUP(BR$4,Preisindex,5,FALSE)/VLOOKUP(YEAR($F144),Preisindex,5,FALSE),2),IF(AND($E144&lt;&gt;0,$F144&gt;0,YEAR($F144)&gt;=Preisindex!$A$6,YEAR(BM$4)&gt;=YEAR($F144),$K144="b"),ROUND(VLOOKUP(BR$4,Preisindex,3,FALSE)/VLOOKUP(YEAR($F144),Preisindex,3,FALSE),2),IF(AND($E144&lt;&gt;0,$F144&gt;0,YEAR($F144)&gt;=Preisindex!$A$6,YEAR(BM$4)&gt;=YEAR($F144),$K144="g"),ROUND(VLOOKUP(BR$4,Preisindex,4,FALSE)/VLOOKUP(YEAR($F144),Preisindex,4,FALSE),2),IF(AND($E144&lt;&gt;0,$F144&gt;0,YEAR($F144)&gt;=Preisindex!$A$6,YEAR(BM$4)&gt;=YEAR($F144),$K144="k"),ROUND(VLOOKUP(BR$4,Preisindex,2,FALSE)/VLOOKUP(YEAR($F144),Preisindex,2,FALSE),2),0)))))</f>
        <v>0</v>
      </c>
      <c r="BS144" s="56">
        <f>IF(AND($E144&lt;&gt;0,$F144&gt;0,YEAR($F144)&lt;Preisindex!$A$6,YEAR(BM$4)&gt;=YEAR($F144),AND($K144&lt;&gt;"a",$K144&lt;&gt;"b",$K144&lt;&gt;"g",$K144&lt;&gt;"k")),1,IF(AND($E144&lt;&gt;0,$F144&gt;0,YEAR($F144)&lt;Preisindex!$A$6,YEAR(BM$4)&gt;=YEAR($F144),$K144="a"),ROUND(VLOOKUP(BR$4,Preisindex,5,FALSE)/VLOOKUP(Preisindex!$A$6,Preisindex,5,FALSE),2),IF(AND($E144&lt;&gt;0,$F144&gt;0,YEAR($F144)&lt;Preisindex!$A$6,YEAR(BM$4)&gt;=YEAR($F144),$K144="b"),ROUND(VLOOKUP(BR$4,Preisindex,3,FALSE)/VLOOKUP(Preisindex!$A$6,Preisindex,3,FALSE),2),IF(AND($E144&lt;&gt;0,$F144&gt;0,YEAR($F144)&lt;Preisindex!$A$6,YEAR(BM$4)&gt;=YEAR($F144),$K144="g"),ROUND(VLOOKUP(BR$4,Preisindex,4,FALSE)/VLOOKUP(Preisindex!$A$6,Preisindex,4,FALSE),2),IF(AND($E144&lt;&gt;0,$F144&gt;0,YEAR($F144)&lt;Preisindex!$A$6,YEAR(BM$4)&gt;=YEAR($F144),$K144="k"),ROUND(VLOOKUP(BR$4,Preisindex,2,FALSE)/VLOOKUP(Preisindex!$A$6,Preisindex,2,FALSE),2),0)))))</f>
        <v>0</v>
      </c>
      <c r="BT144" s="51">
        <f>IF(AND($E144&lt;&gt;0,$F144&gt;0,YEAR($F144)&lt;=BR$4,YEAR($F144)&gt;=Preisindex!$A$6),ROUND($E144*BR144,2),IF(AND($E144&lt;&gt;0,$F144&gt;0,YEAR($F144)&lt;=BR$4,YEAR($F144)&lt;Preisindex!$A$6),ROUND($E144*BS144,2),0))</f>
        <v>0</v>
      </c>
      <c r="BU144" s="53">
        <f t="shared" si="508"/>
        <v>0</v>
      </c>
      <c r="BV144" s="51">
        <f t="shared" si="492"/>
        <v>0</v>
      </c>
      <c r="BW144" s="51">
        <f t="shared" si="458"/>
        <v>0</v>
      </c>
      <c r="BX144" s="51">
        <f t="shared" si="509"/>
        <v>0</v>
      </c>
      <c r="BY144" s="51">
        <f t="shared" si="459"/>
        <v>0</v>
      </c>
      <c r="BZ144" s="51">
        <f t="shared" si="510"/>
        <v>0</v>
      </c>
      <c r="CA144" s="51">
        <f t="shared" si="460"/>
        <v>0</v>
      </c>
      <c r="CB144" s="51">
        <f t="shared" si="511"/>
        <v>0</v>
      </c>
      <c r="CC144" s="51">
        <f t="shared" si="461"/>
        <v>0</v>
      </c>
      <c r="CD144" s="51">
        <f t="shared" si="512"/>
        <v>0</v>
      </c>
      <c r="CE144" s="51">
        <f t="shared" si="462"/>
        <v>0</v>
      </c>
      <c r="CF144" s="51">
        <f t="shared" si="513"/>
        <v>0</v>
      </c>
      <c r="CG144" s="54">
        <f t="shared" si="514"/>
        <v>0</v>
      </c>
      <c r="CH144" s="55">
        <f t="shared" si="515"/>
        <v>0</v>
      </c>
      <c r="CI144" s="56">
        <f>IF(AND($E144&lt;&gt;0,$F144&gt;0,YEAR($F144)&gt;=Preisindex!$A$6,YEAR(CD$4)&gt;=YEAR($F144),AND($K144&lt;&gt;"a",$K144&lt;&gt;"b",$K144&lt;&gt;"g",$K144&lt;&gt;"k")),1,IF(AND($E144&lt;&gt;0,$F144&gt;0,YEAR($F144)&gt;=Preisindex!$A$6,YEAR(CD$4)&gt;=YEAR($F144),$K144="a"),ROUND(VLOOKUP(CI$4,Preisindex,5,FALSE)/VLOOKUP(YEAR($F144),Preisindex,5,FALSE),2),IF(AND($E144&lt;&gt;0,$F144&gt;0,YEAR($F144)&gt;=Preisindex!$A$6,YEAR(CD$4)&gt;=YEAR($F144),$K144="b"),ROUND(VLOOKUP(CI$4,Preisindex,3,FALSE)/VLOOKUP(YEAR($F144),Preisindex,3,FALSE),2),IF(AND($E144&lt;&gt;0,$F144&gt;0,YEAR($F144)&gt;=Preisindex!$A$6,YEAR(CD$4)&gt;=YEAR($F144),$K144="g"),ROUND(VLOOKUP(CI$4,Preisindex,4,FALSE)/VLOOKUP(YEAR($F144),Preisindex,4,FALSE),2),IF(AND($E144&lt;&gt;0,$F144&gt;0,YEAR($F144)&gt;=Preisindex!$A$6,YEAR(CD$4)&gt;=YEAR($F144),$K144="k"),ROUND(VLOOKUP(CI$4,Preisindex,2,FALSE)/VLOOKUP(YEAR($F144),Preisindex,2,FALSE),2),0)))))</f>
        <v>0</v>
      </c>
      <c r="CJ144" s="56">
        <f>IF(AND($E144&lt;&gt;0,$F144&gt;0,YEAR($F144)&lt;Preisindex!$A$6,YEAR(CD$4)&gt;=YEAR($F144),AND($K144&lt;&gt;"a",$K144&lt;&gt;"b",$K144&lt;&gt;"g",$K144&lt;&gt;"k")),1,IF(AND($E144&lt;&gt;0,$F144&gt;0,YEAR($F144)&lt;Preisindex!$A$6,YEAR(CD$4)&gt;=YEAR($F144),$K144="a"),ROUND(VLOOKUP(CI$4,Preisindex,5,FALSE)/VLOOKUP(Preisindex!$A$6,Preisindex,5,FALSE),2),IF(AND($E144&lt;&gt;0,$F144&gt;0,YEAR($F144)&lt;Preisindex!$A$6,YEAR(CD$4)&gt;=YEAR($F144),$K144="b"),ROUND(VLOOKUP(CI$4,Preisindex,3,FALSE)/VLOOKUP(Preisindex!$A$6,Preisindex,3,FALSE),2),IF(AND($E144&lt;&gt;0,$F144&gt;0,YEAR($F144)&lt;Preisindex!$A$6,YEAR(CD$4)&gt;=YEAR($F144),$K144="g"),ROUND(VLOOKUP(CI$4,Preisindex,4,FALSE)/VLOOKUP(Preisindex!$A$6,Preisindex,4,FALSE),2),IF(AND($E144&lt;&gt;0,$F144&gt;0,YEAR($F144)&lt;Preisindex!$A$6,YEAR(CD$4)&gt;=YEAR($F144),$K144="k"),ROUND(VLOOKUP(CI$4,Preisindex,2,FALSE)/VLOOKUP(Preisindex!$A$6,Preisindex,2,FALSE),2),0)))))</f>
        <v>0</v>
      </c>
      <c r="CK144" s="51">
        <f>IF(AND($E144&lt;&gt;0,$F144&gt;0,YEAR($F144)&lt;=CI$4,YEAR($F144)&gt;=Preisindex!$A$6),ROUND($E144*CI144,2),IF(AND($E144&lt;&gt;0,$F144&gt;0,YEAR($F144)&lt;=CI$4,YEAR($F144)&lt;Preisindex!$A$6),ROUND($E144*CJ144,2),0))</f>
        <v>0</v>
      </c>
      <c r="CL144" s="53">
        <f t="shared" si="516"/>
        <v>0</v>
      </c>
      <c r="CM144" s="51">
        <f t="shared" si="492"/>
        <v>0</v>
      </c>
      <c r="CN144" s="51">
        <f t="shared" si="463"/>
        <v>0</v>
      </c>
      <c r="CO144" s="51">
        <f t="shared" si="517"/>
        <v>0</v>
      </c>
      <c r="CP144" s="51">
        <f t="shared" si="464"/>
        <v>0</v>
      </c>
      <c r="CQ144" s="51">
        <f t="shared" si="518"/>
        <v>0</v>
      </c>
      <c r="CR144" s="51">
        <f t="shared" si="465"/>
        <v>0</v>
      </c>
      <c r="CS144" s="51">
        <f t="shared" si="519"/>
        <v>0</v>
      </c>
      <c r="CT144" s="51">
        <f t="shared" si="466"/>
        <v>0</v>
      </c>
      <c r="CU144" s="51">
        <f t="shared" si="520"/>
        <v>0</v>
      </c>
      <c r="CV144" s="51">
        <f t="shared" si="467"/>
        <v>0</v>
      </c>
      <c r="CW144" s="51">
        <f t="shared" si="521"/>
        <v>0</v>
      </c>
      <c r="CX144" s="54">
        <f t="shared" si="522"/>
        <v>0</v>
      </c>
      <c r="CY144" s="55">
        <f t="shared" si="523"/>
        <v>0</v>
      </c>
      <c r="CZ144" s="56">
        <f>IF(AND($E144&lt;&gt;0,$F144&gt;0,YEAR($F144)&gt;=Preisindex!$A$6,YEAR(CU$4)&gt;=YEAR($F144),AND($K144&lt;&gt;"a",$K144&lt;&gt;"b",$K144&lt;&gt;"g",$K144&lt;&gt;"k")),1,IF(AND($E144&lt;&gt;0,$F144&gt;0,YEAR($F144)&gt;=Preisindex!$A$6,YEAR(CU$4)&gt;=YEAR($F144),$K144="a"),ROUND(VLOOKUP(CZ$4,Preisindex,5,FALSE)/VLOOKUP(YEAR($F144),Preisindex,5,FALSE),2),IF(AND($E144&lt;&gt;0,$F144&gt;0,YEAR($F144)&gt;=Preisindex!$A$6,YEAR(CU$4)&gt;=YEAR($F144),$K144="b"),ROUND(VLOOKUP(CZ$4,Preisindex,3,FALSE)/VLOOKUP(YEAR($F144),Preisindex,3,FALSE),2),IF(AND($E144&lt;&gt;0,$F144&gt;0,YEAR($F144)&gt;=Preisindex!$A$6,YEAR(CU$4)&gt;=YEAR($F144),$K144="g"),ROUND(VLOOKUP(CZ$4,Preisindex,4,FALSE)/VLOOKUP(YEAR($F144),Preisindex,4,FALSE),2),IF(AND($E144&lt;&gt;0,$F144&gt;0,YEAR($F144)&gt;=Preisindex!$A$6,YEAR(CU$4)&gt;=YEAR($F144),$K144="k"),ROUND(VLOOKUP(CZ$4,Preisindex,2,FALSE)/VLOOKUP(YEAR($F144),Preisindex,2,FALSE),2),0)))))</f>
        <v>0</v>
      </c>
      <c r="DA144" s="56">
        <f>IF(AND($E144&lt;&gt;0,$F144&gt;0,YEAR($F144)&lt;Preisindex!$A$6,YEAR(CU$4)&gt;=YEAR($F144),AND($K144&lt;&gt;"a",$K144&lt;&gt;"b",$K144&lt;&gt;"g",$K144&lt;&gt;"k")),1,IF(AND($E144&lt;&gt;0,$F144&gt;0,YEAR($F144)&lt;Preisindex!$A$6,YEAR(CU$4)&gt;=YEAR($F144),$K144="a"),ROUND(VLOOKUP(CZ$4,Preisindex,5,FALSE)/VLOOKUP(Preisindex!$A$6,Preisindex,5,FALSE),2),IF(AND($E144&lt;&gt;0,$F144&gt;0,YEAR($F144)&lt;Preisindex!$A$6,YEAR(CU$4)&gt;=YEAR($F144),$K144="b"),ROUND(VLOOKUP(CZ$4,Preisindex,3,FALSE)/VLOOKUP(Preisindex!$A$6,Preisindex,3,FALSE),2),IF(AND($E144&lt;&gt;0,$F144&gt;0,YEAR($F144)&lt;Preisindex!$A$6,YEAR(CU$4)&gt;=YEAR($F144),$K144="g"),ROUND(VLOOKUP(CZ$4,Preisindex,4,FALSE)/VLOOKUP(Preisindex!$A$6,Preisindex,4,FALSE),2),IF(AND($E144&lt;&gt;0,$F144&gt;0,YEAR($F144)&lt;Preisindex!$A$6,YEAR(CU$4)&gt;=YEAR($F144),$K144="k"),ROUND(VLOOKUP(CZ$4,Preisindex,2,FALSE)/VLOOKUP(Preisindex!$A$6,Preisindex,2,FALSE),2),0)))))</f>
        <v>0</v>
      </c>
      <c r="DB144" s="51">
        <f>IF(AND($E144&lt;&gt;0,$F144&gt;0,YEAR($F144)&lt;=CZ$4,YEAR($F144)&gt;=Preisindex!$A$6),ROUND($E144*CZ144,2),IF(AND($E144&lt;&gt;0,$F144&gt;0,YEAR($F144)&lt;=CZ$4,YEAR($F144)&lt;Preisindex!$A$6),ROUND($E144*DA144,2),0))</f>
        <v>0</v>
      </c>
      <c r="DC144" s="53">
        <f t="shared" si="524"/>
        <v>0</v>
      </c>
      <c r="DD144" s="51">
        <f t="shared" si="525"/>
        <v>0</v>
      </c>
      <c r="DE144" s="51">
        <f t="shared" si="468"/>
        <v>0</v>
      </c>
      <c r="DF144" s="51">
        <f t="shared" si="526"/>
        <v>0</v>
      </c>
      <c r="DG144" s="51">
        <f t="shared" si="469"/>
        <v>0</v>
      </c>
      <c r="DH144" s="51">
        <f t="shared" si="527"/>
        <v>0</v>
      </c>
      <c r="DI144" s="51">
        <f t="shared" si="470"/>
        <v>0</v>
      </c>
      <c r="DJ144" s="51">
        <f t="shared" si="528"/>
        <v>0</v>
      </c>
      <c r="DK144" s="51">
        <f t="shared" si="471"/>
        <v>0</v>
      </c>
      <c r="DL144" s="51">
        <f t="shared" si="529"/>
        <v>0</v>
      </c>
      <c r="DM144" s="51">
        <f t="shared" si="472"/>
        <v>0</v>
      </c>
      <c r="DN144" s="51">
        <f t="shared" si="530"/>
        <v>0</v>
      </c>
      <c r="DO144" s="54">
        <f t="shared" si="531"/>
        <v>0</v>
      </c>
      <c r="DP144" s="55">
        <f t="shared" si="532"/>
        <v>0</v>
      </c>
      <c r="DQ144" s="56">
        <f>IF(AND($E144&lt;&gt;0,$F144&gt;0,YEAR($F144)&gt;=Preisindex!$A$6,YEAR(DL$4)&gt;=YEAR($F144),AND($K144&lt;&gt;"a",$K144&lt;&gt;"b",$K144&lt;&gt;"g",$K144&lt;&gt;"k")),1,IF(AND($E144&lt;&gt;0,$F144&gt;0,YEAR($F144)&gt;=Preisindex!$A$6,YEAR(DL$4)&gt;=YEAR($F144),$K144="a"),ROUND(VLOOKUP(DQ$4,Preisindex,5,FALSE)/VLOOKUP(YEAR($F144),Preisindex,5,FALSE),2),IF(AND($E144&lt;&gt;0,$F144&gt;0,YEAR($F144)&gt;=Preisindex!$A$6,YEAR(DL$4)&gt;=YEAR($F144),$K144="b"),ROUND(VLOOKUP(DQ$4,Preisindex,3,FALSE)/VLOOKUP(YEAR($F144),Preisindex,3,FALSE),2),IF(AND($E144&lt;&gt;0,$F144&gt;0,YEAR($F144)&gt;=Preisindex!$A$6,YEAR(DL$4)&gt;=YEAR($F144),$K144="g"),ROUND(VLOOKUP(DQ$4,Preisindex,4,FALSE)/VLOOKUP(YEAR($F144),Preisindex,4,FALSE),2),IF(AND($E144&lt;&gt;0,$F144&gt;0,YEAR($F144)&gt;=Preisindex!$A$6,YEAR(DL$4)&gt;=YEAR($F144),$K144="k"),ROUND(VLOOKUP(DQ$4,Preisindex,2,FALSE)/VLOOKUP(YEAR($F144),Preisindex,2,FALSE),2),0)))))</f>
        <v>0</v>
      </c>
      <c r="DR144" s="56">
        <f>IF(AND($E144&lt;&gt;0,$F144&gt;0,YEAR($F144)&lt;Preisindex!$A$6,YEAR(DL$4)&gt;=YEAR($F144),AND($K144&lt;&gt;"a",$K144&lt;&gt;"b",$K144&lt;&gt;"g",$K144&lt;&gt;"k")),1,IF(AND($E144&lt;&gt;0,$F144&gt;0,YEAR($F144)&lt;Preisindex!$A$6,YEAR(DL$4)&gt;=YEAR($F144),$K144="a"),ROUND(VLOOKUP(DQ$4,Preisindex,5,FALSE)/VLOOKUP(Preisindex!$A$6,Preisindex,5,FALSE),2),IF(AND($E144&lt;&gt;0,$F144&gt;0,YEAR($F144)&lt;Preisindex!$A$6,YEAR(DL$4)&gt;=YEAR($F144),$K144="b"),ROUND(VLOOKUP(DQ$4,Preisindex,3,FALSE)/VLOOKUP(Preisindex!$A$6,Preisindex,3,FALSE),2),IF(AND($E144&lt;&gt;0,$F144&gt;0,YEAR($F144)&lt;Preisindex!$A$6,YEAR(DL$4)&gt;=YEAR($F144),$K144="g"),ROUND(VLOOKUP(DQ$4,Preisindex,4,FALSE)/VLOOKUP(Preisindex!$A$6,Preisindex,4,FALSE),2),IF(AND($E144&lt;&gt;0,$F144&gt;0,YEAR($F144)&lt;Preisindex!$A$6,YEAR(DL$4)&gt;=YEAR($F144),$K144="k"),ROUND(VLOOKUP(DQ$4,Preisindex,2,FALSE)/VLOOKUP(Preisindex!$A$6,Preisindex,2,FALSE),2),0)))))</f>
        <v>0</v>
      </c>
      <c r="DS144" s="51">
        <f>IF(AND($E144&lt;&gt;0,$F144&gt;0,YEAR($F144)&lt;=DQ$4,YEAR($F144)&gt;=Preisindex!$A$6),ROUND($E144*DQ144,2),IF(AND($E144&lt;&gt;0,$F144&gt;0,YEAR($F144)&lt;=DQ$4,YEAR($F144)&lt;Preisindex!$A$6),ROUND($E144*DR144,2),0))</f>
        <v>0</v>
      </c>
      <c r="DT144" s="53">
        <f t="shared" si="533"/>
        <v>0</v>
      </c>
      <c r="DU144" s="51">
        <f t="shared" si="525"/>
        <v>0</v>
      </c>
      <c r="DV144" s="51">
        <f t="shared" si="473"/>
        <v>0</v>
      </c>
      <c r="DW144" s="51">
        <f t="shared" si="534"/>
        <v>0</v>
      </c>
      <c r="DX144" s="51">
        <f t="shared" si="474"/>
        <v>0</v>
      </c>
      <c r="DY144" s="51">
        <f t="shared" si="535"/>
        <v>0</v>
      </c>
      <c r="DZ144" s="51">
        <f t="shared" si="475"/>
        <v>0</v>
      </c>
      <c r="EA144" s="51">
        <f t="shared" si="536"/>
        <v>0</v>
      </c>
      <c r="EB144" s="51">
        <f t="shared" si="476"/>
        <v>0</v>
      </c>
      <c r="EC144" s="51">
        <f t="shared" si="537"/>
        <v>0</v>
      </c>
      <c r="ED144" s="51">
        <f t="shared" si="477"/>
        <v>0</v>
      </c>
      <c r="EE144" s="51">
        <f t="shared" si="538"/>
        <v>0</v>
      </c>
      <c r="EF144" s="54">
        <f t="shared" si="539"/>
        <v>0</v>
      </c>
      <c r="EG144" s="55">
        <f t="shared" si="540"/>
        <v>0</v>
      </c>
      <c r="EH144" s="56">
        <f>IF(AND($E144&lt;&gt;0,$F144&gt;0,YEAR($F144)&gt;=Preisindex!$A$6,YEAR(EC$4)&gt;=YEAR($F144),AND($K144&lt;&gt;"a",$K144&lt;&gt;"b",$K144&lt;&gt;"g",$K144&lt;&gt;"k")),1,IF(AND($E144&lt;&gt;0,$F144&gt;0,YEAR($F144)&gt;=Preisindex!$A$6,YEAR(EC$4)&gt;=YEAR($F144),$K144="a"),ROUND(VLOOKUP(EH$4,Preisindex,5,FALSE)/VLOOKUP(YEAR($F144),Preisindex,5,FALSE),2),IF(AND($E144&lt;&gt;0,$F144&gt;0,YEAR($F144)&gt;=Preisindex!$A$6,YEAR(EC$4)&gt;=YEAR($F144),$K144="b"),ROUND(VLOOKUP(EH$4,Preisindex,3,FALSE)/VLOOKUP(YEAR($F144),Preisindex,3,FALSE),2),IF(AND($E144&lt;&gt;0,$F144&gt;0,YEAR($F144)&gt;=Preisindex!$A$6,YEAR(EC$4)&gt;=YEAR($F144),$K144="g"),ROUND(VLOOKUP(EH$4,Preisindex,4,FALSE)/VLOOKUP(YEAR($F144),Preisindex,4,FALSE),2),IF(AND($E144&lt;&gt;0,$F144&gt;0,YEAR($F144)&gt;=Preisindex!$A$6,YEAR(EC$4)&gt;=YEAR($F144),$K144="k"),ROUND(VLOOKUP(EH$4,Preisindex,2,FALSE)/VLOOKUP(YEAR($F144),Preisindex,2,FALSE),2),0)))))</f>
        <v>0</v>
      </c>
      <c r="EI144" s="56">
        <f>IF(AND($E144&lt;&gt;0,$F144&gt;0,YEAR($F144)&lt;Preisindex!$A$6,YEAR(EC$4)&gt;=YEAR($F144),AND($K144&lt;&gt;"a",$K144&lt;&gt;"b",$K144&lt;&gt;"g",$K144&lt;&gt;"k")),1,IF(AND($E144&lt;&gt;0,$F144&gt;0,YEAR($F144)&lt;Preisindex!$A$6,YEAR(EC$4)&gt;=YEAR($F144),$K144="a"),ROUND(VLOOKUP(EH$4,Preisindex,5,FALSE)/VLOOKUP(Preisindex!$A$6,Preisindex,5,FALSE),2),IF(AND($E144&lt;&gt;0,$F144&gt;0,YEAR($F144)&lt;Preisindex!$A$6,YEAR(EC$4)&gt;=YEAR($F144),$K144="b"),ROUND(VLOOKUP(EH$4,Preisindex,3,FALSE)/VLOOKUP(Preisindex!$A$6,Preisindex,3,FALSE),2),IF(AND($E144&lt;&gt;0,$F144&gt;0,YEAR($F144)&lt;Preisindex!$A$6,YEAR(EC$4)&gt;=YEAR($F144),$K144="g"),ROUND(VLOOKUP(EH$4,Preisindex,4,FALSE)/VLOOKUP(Preisindex!$A$6,Preisindex,4,FALSE),2),IF(AND($E144&lt;&gt;0,$F144&gt;0,YEAR($F144)&lt;Preisindex!$A$6,YEAR(EC$4)&gt;=YEAR($F144),$K144="k"),ROUND(VLOOKUP(EH$4,Preisindex,2,FALSE)/VLOOKUP(Preisindex!$A$6,Preisindex,2,FALSE),2),0)))))</f>
        <v>0</v>
      </c>
      <c r="EJ144" s="51">
        <f>IF(AND($E144&lt;&gt;0,$F144&gt;0,YEAR($F144)&lt;=EH$4,YEAR($F144)&gt;=Preisindex!$A$6),ROUND($E144*EH144,2),IF(AND($E144&lt;&gt;0,$F144&gt;0,YEAR($F144)&lt;=EH$4,YEAR($F144)&lt;Preisindex!$A$6),ROUND($E144*EI144,2),0))</f>
        <v>0</v>
      </c>
      <c r="EK144" s="53">
        <f t="shared" si="541"/>
        <v>0</v>
      </c>
      <c r="EL144" s="51">
        <f t="shared" si="525"/>
        <v>0</v>
      </c>
      <c r="EM144" s="51">
        <f t="shared" si="478"/>
        <v>0</v>
      </c>
      <c r="EN144" s="51">
        <f t="shared" si="542"/>
        <v>0</v>
      </c>
      <c r="EO144" s="51">
        <f t="shared" si="479"/>
        <v>0</v>
      </c>
      <c r="EP144" s="51">
        <f t="shared" si="543"/>
        <v>0</v>
      </c>
      <c r="EQ144" s="51">
        <f t="shared" si="480"/>
        <v>0</v>
      </c>
      <c r="ER144" s="51">
        <f t="shared" si="544"/>
        <v>0</v>
      </c>
      <c r="ES144" s="51">
        <f t="shared" si="481"/>
        <v>0</v>
      </c>
      <c r="ET144" s="51">
        <f t="shared" si="545"/>
        <v>0</v>
      </c>
      <c r="EU144" s="51">
        <f t="shared" si="482"/>
        <v>0</v>
      </c>
      <c r="EV144" s="51">
        <f t="shared" si="546"/>
        <v>0</v>
      </c>
      <c r="EW144" s="54">
        <f t="shared" si="547"/>
        <v>0</v>
      </c>
      <c r="EX144" s="55">
        <f t="shared" si="548"/>
        <v>0</v>
      </c>
      <c r="EY144" s="56">
        <f>IF(AND($E144&lt;&gt;0,$F144&gt;0,YEAR($F144)&gt;=Preisindex!$A$6,YEAR(ET$4)&gt;=YEAR($F144),AND($K144&lt;&gt;"a",$K144&lt;&gt;"b",$K144&lt;&gt;"g",$K144&lt;&gt;"k")),1,IF(AND($E144&lt;&gt;0,$F144&gt;0,YEAR($F144)&gt;=Preisindex!$A$6,YEAR(ET$4)&gt;=YEAR($F144),$K144="a"),ROUND(VLOOKUP(EY$4,Preisindex,5,FALSE)/VLOOKUP(YEAR($F144),Preisindex,5,FALSE),2),IF(AND($E144&lt;&gt;0,$F144&gt;0,YEAR($F144)&gt;=Preisindex!$A$6,YEAR(ET$4)&gt;=YEAR($F144),$K144="b"),ROUND(VLOOKUP(EY$4,Preisindex,3,FALSE)/VLOOKUP(YEAR($F144),Preisindex,3,FALSE),2),IF(AND($E144&lt;&gt;0,$F144&gt;0,YEAR($F144)&gt;=Preisindex!$A$6,YEAR(ET$4)&gt;=YEAR($F144),$K144="g"),ROUND(VLOOKUP(EY$4,Preisindex,4,FALSE)/VLOOKUP(YEAR($F144),Preisindex,4,FALSE),2),IF(AND($E144&lt;&gt;0,$F144&gt;0,YEAR($F144)&gt;=Preisindex!$A$6,YEAR(ET$4)&gt;=YEAR($F144),$K144="k"),ROUND(VLOOKUP(EY$4,Preisindex,2,FALSE)/VLOOKUP(YEAR($F144),Preisindex,2,FALSE),2),0)))))</f>
        <v>0</v>
      </c>
      <c r="EZ144" s="56">
        <f>IF(AND($E144&lt;&gt;0,$F144&gt;0,YEAR($F144)&lt;Preisindex!$A$6,YEAR(ET$4)&gt;=YEAR($F144),AND($K144&lt;&gt;"a",$K144&lt;&gt;"b",$K144&lt;&gt;"g",$K144&lt;&gt;"k")),1,IF(AND($E144&lt;&gt;0,$F144&gt;0,YEAR($F144)&lt;Preisindex!$A$6,YEAR(ET$4)&gt;=YEAR($F144),$K144="a"),ROUND(VLOOKUP(EY$4,Preisindex,5,FALSE)/VLOOKUP(Preisindex!$A$6,Preisindex,5,FALSE),2),IF(AND($E144&lt;&gt;0,$F144&gt;0,YEAR($F144)&lt;Preisindex!$A$6,YEAR(ET$4)&gt;=YEAR($F144),$K144="b"),ROUND(VLOOKUP(EY$4,Preisindex,3,FALSE)/VLOOKUP(Preisindex!$A$6,Preisindex,3,FALSE),2),IF(AND($E144&lt;&gt;0,$F144&gt;0,YEAR($F144)&lt;Preisindex!$A$6,YEAR(ET$4)&gt;=YEAR($F144),$K144="g"),ROUND(VLOOKUP(EY$4,Preisindex,4,FALSE)/VLOOKUP(Preisindex!$A$6,Preisindex,4,FALSE),2),IF(AND($E144&lt;&gt;0,$F144&gt;0,YEAR($F144)&lt;Preisindex!$A$6,YEAR(ET$4)&gt;=YEAR($F144),$K144="k"),ROUND(VLOOKUP(EY$4,Preisindex,2,FALSE)/VLOOKUP(Preisindex!$A$6,Preisindex,2,FALSE),2),0)))))</f>
        <v>0</v>
      </c>
      <c r="FA144" s="51">
        <f>IF(AND($E144&lt;&gt;0,$F144&gt;0,YEAR($F144)&lt;=EY$4,YEAR($F144)&gt;=Preisindex!$A$6),ROUND($E144*EY144,2),IF(AND($E144&lt;&gt;0,$F144&gt;0,YEAR($F144)&lt;=EY$4,YEAR($F144)&lt;Preisindex!$A$6),ROUND($E144*EZ144,2),0))</f>
        <v>0</v>
      </c>
      <c r="FB144" s="53">
        <f t="shared" si="549"/>
        <v>0</v>
      </c>
      <c r="FC144" s="51">
        <f t="shared" si="525"/>
        <v>0</v>
      </c>
      <c r="FD144" s="51">
        <f t="shared" si="483"/>
        <v>0</v>
      </c>
      <c r="FE144" s="51">
        <f t="shared" si="550"/>
        <v>0</v>
      </c>
      <c r="FF144" s="51">
        <f t="shared" si="484"/>
        <v>0</v>
      </c>
      <c r="FG144" s="51">
        <f t="shared" si="551"/>
        <v>0</v>
      </c>
      <c r="FH144" s="51">
        <f t="shared" si="485"/>
        <v>0</v>
      </c>
      <c r="FI144" s="51">
        <f t="shared" si="552"/>
        <v>0</v>
      </c>
      <c r="FJ144" s="51">
        <f t="shared" si="486"/>
        <v>0</v>
      </c>
      <c r="FK144" s="51">
        <f t="shared" si="553"/>
        <v>0</v>
      </c>
      <c r="FL144" s="51">
        <f t="shared" si="487"/>
        <v>0</v>
      </c>
      <c r="FM144" s="51">
        <f t="shared" si="554"/>
        <v>0</v>
      </c>
      <c r="FN144" s="54">
        <f t="shared" si="555"/>
        <v>0</v>
      </c>
      <c r="FO144" s="55">
        <f t="shared" si="556"/>
        <v>0</v>
      </c>
      <c r="FP144" s="56">
        <f>IF(AND($E144&lt;&gt;0,$F144&gt;0,YEAR($F144)&gt;=Preisindex!$A$6,YEAR(FK$4)&gt;=YEAR($F144),AND($K144&lt;&gt;"a",$K144&lt;&gt;"b",$K144&lt;&gt;"g",$K144&lt;&gt;"k")),1,IF(AND($E144&lt;&gt;0,$F144&gt;0,YEAR($F144)&gt;=Preisindex!$A$6,YEAR(FK$4)&gt;=YEAR($F144),$K144="a"),ROUND(VLOOKUP(FP$4,Preisindex,5,FALSE)/VLOOKUP(YEAR($F144),Preisindex,5,FALSE),2),IF(AND($E144&lt;&gt;0,$F144&gt;0,YEAR($F144)&gt;=Preisindex!$A$6,YEAR(FK$4)&gt;=YEAR($F144),$K144="b"),ROUND(VLOOKUP(FP$4,Preisindex,3,FALSE)/VLOOKUP(YEAR($F144),Preisindex,3,FALSE),2),IF(AND($E144&lt;&gt;0,$F144&gt;0,YEAR($F144)&gt;=Preisindex!$A$6,YEAR(FK$4)&gt;=YEAR($F144),$K144="g"),ROUND(VLOOKUP(FP$4,Preisindex,4,FALSE)/VLOOKUP(YEAR($F144),Preisindex,4,FALSE),2),IF(AND($E144&lt;&gt;0,$F144&gt;0,YEAR($F144)&gt;=Preisindex!$A$6,YEAR(FK$4)&gt;=YEAR($F144),$K144="k"),ROUND(VLOOKUP(FP$4,Preisindex,2,FALSE)/VLOOKUP(YEAR($F144),Preisindex,2,FALSE),2),0)))))</f>
        <v>0</v>
      </c>
      <c r="FQ144" s="56">
        <f>IF(AND($E144&lt;&gt;0,$F144&gt;0,YEAR($F144)&lt;Preisindex!$A$6,YEAR(FK$4)&gt;=YEAR($F144),AND($K144&lt;&gt;"a",$K144&lt;&gt;"b",$K144&lt;&gt;"g",$K144&lt;&gt;"k")),1,IF(AND($E144&lt;&gt;0,$F144&gt;0,YEAR($F144)&lt;Preisindex!$A$6,YEAR(FK$4)&gt;=YEAR($F144),$K144="a"),ROUND(VLOOKUP(FP$4,Preisindex,5,FALSE)/VLOOKUP(Preisindex!$A$6,Preisindex,5,FALSE),2),IF(AND($E144&lt;&gt;0,$F144&gt;0,YEAR($F144)&lt;Preisindex!$A$6,YEAR(FK$4)&gt;=YEAR($F144),$K144="b"),ROUND(VLOOKUP(FP$4,Preisindex,3,FALSE)/VLOOKUP(Preisindex!$A$6,Preisindex,3,FALSE),2),IF(AND($E144&lt;&gt;0,$F144&gt;0,YEAR($F144)&lt;Preisindex!$A$6,YEAR(FK$4)&gt;=YEAR($F144),$K144="g"),ROUND(VLOOKUP(FP$4,Preisindex,4,FALSE)/VLOOKUP(Preisindex!$A$6,Preisindex,4,FALSE),2),IF(AND($E144&lt;&gt;0,$F144&gt;0,YEAR($F144)&lt;Preisindex!$A$6,YEAR(FK$4)&gt;=YEAR($F144),$K144="k"),ROUND(VLOOKUP(FP$4,Preisindex,2,FALSE)/VLOOKUP(Preisindex!$A$6,Preisindex,2,FALSE),2),0)))))</f>
        <v>0</v>
      </c>
      <c r="FR144" s="51">
        <f>IF(AND($E144&lt;&gt;0,$F144&gt;0,YEAR($F144)&lt;=FP$4,YEAR($F144)&gt;=Preisindex!$A$6),ROUND($E144*FP144,2),IF(AND($E144&lt;&gt;0,$F144&gt;0,YEAR($F144)&lt;=FP$4,YEAR($F144)&lt;Preisindex!$A$6),ROUND($E144*FQ144,2),0))</f>
        <v>0</v>
      </c>
      <c r="FS144" s="53">
        <f t="shared" si="557"/>
        <v>0</v>
      </c>
    </row>
    <row r="145" spans="1:175" x14ac:dyDescent="0.3">
      <c r="A145" s="93"/>
      <c r="B145" s="94"/>
      <c r="C145" s="94"/>
      <c r="D145" s="95"/>
      <c r="E145" s="99"/>
      <c r="F145" s="97"/>
      <c r="G145" s="98"/>
      <c r="H145" s="620"/>
      <c r="I145" s="621"/>
      <c r="J145" s="194"/>
      <c r="K145" s="630"/>
      <c r="L145" s="49">
        <f t="shared" si="558"/>
        <v>0</v>
      </c>
      <c r="M145" s="50">
        <f t="shared" si="559"/>
        <v>0</v>
      </c>
      <c r="N145" s="51">
        <f t="shared" si="560"/>
        <v>0</v>
      </c>
      <c r="O145" s="51"/>
      <c r="P145" s="51">
        <f t="shared" si="561"/>
        <v>0</v>
      </c>
      <c r="Q145" s="52"/>
      <c r="R145" s="52"/>
      <c r="S145" s="52"/>
      <c r="T145" s="52"/>
      <c r="U145" s="52"/>
      <c r="V145" s="53">
        <f t="shared" si="562"/>
        <v>0</v>
      </c>
      <c r="W145" s="51">
        <f t="shared" si="563"/>
        <v>0</v>
      </c>
      <c r="X145" s="51">
        <f t="shared" si="564"/>
        <v>0</v>
      </c>
      <c r="Y145" s="51">
        <f t="shared" si="565"/>
        <v>0</v>
      </c>
      <c r="Z145" s="51">
        <f t="shared" si="566"/>
        <v>0</v>
      </c>
      <c r="AA145" s="51">
        <f t="shared" si="567"/>
        <v>0</v>
      </c>
      <c r="AB145" s="51">
        <f t="shared" si="568"/>
        <v>0</v>
      </c>
      <c r="AC145" s="51">
        <f t="shared" si="569"/>
        <v>0</v>
      </c>
      <c r="AD145" s="51">
        <f t="shared" si="570"/>
        <v>0</v>
      </c>
      <c r="AE145" s="51">
        <f t="shared" si="571"/>
        <v>0</v>
      </c>
      <c r="AF145" s="51">
        <f t="shared" si="572"/>
        <v>0</v>
      </c>
      <c r="AG145" s="51">
        <f t="shared" si="573"/>
        <v>0</v>
      </c>
      <c r="AH145" s="54">
        <f t="shared" si="574"/>
        <v>0</v>
      </c>
      <c r="AI145" s="55">
        <f t="shared" si="575"/>
        <v>0</v>
      </c>
      <c r="AJ145" s="56">
        <f>IF(AND($E145&lt;&gt;0,$F145&gt;0,YEAR($F145)&gt;=Preisindex!$A$6,YEAR(AE$4)&gt;=YEAR($F145),AND($K145&lt;&gt;"a",$K145&lt;&gt;"b",$K145&lt;&gt;"g",$K145&lt;&gt;"k")),1,IF(AND($E145&lt;&gt;0,$F145&gt;0,YEAR($F145)&gt;=Preisindex!$A$6,YEAR(AE$4)&gt;=YEAR($F145),$K145="a"),ROUND(VLOOKUP(AJ$4,Preisindex,5,FALSE)/VLOOKUP(YEAR($F145),Preisindex,5,FALSE),2),IF(AND($E145&lt;&gt;0,$F145&gt;0,YEAR($F145)&gt;=Preisindex!$A$6,YEAR(AE$4)&gt;=YEAR($F145),$K145="b"),ROUND(VLOOKUP(AJ$4,Preisindex,3,FALSE)/VLOOKUP(YEAR($F145),Preisindex,3,FALSE),2),IF(AND($E145&lt;&gt;0,$F145&gt;0,YEAR($F145)&gt;=Preisindex!$A$6,YEAR(AE$4)&gt;=YEAR($F145),$K145="g"),ROUND(VLOOKUP(AJ$4,Preisindex,4,FALSE)/VLOOKUP(YEAR($F145),Preisindex,4,FALSE),2),IF(AND($E145&lt;&gt;0,$F145&gt;0,YEAR($F145)&gt;=Preisindex!$A$6,YEAR(AE$4)&gt;=YEAR($F145),$K145="k"),ROUND(VLOOKUP(AJ$4,Preisindex,2,FALSE)/VLOOKUP(YEAR($F145),Preisindex,2,FALSE),2),0)))))</f>
        <v>0</v>
      </c>
      <c r="AK145" s="56">
        <f>IF(AND($E145&lt;&gt;0,$F145&gt;0,YEAR($F145)&lt;Preisindex!$A$6,YEAR(AE$4)&gt;=YEAR($F145),AND($K145&lt;&gt;"a",$K145&lt;&gt;"b",$K145&lt;&gt;"g",$K145&lt;&gt;"k")),1,IF(AND($E145&lt;&gt;0,$F145&gt;0,YEAR($F145)&lt;Preisindex!$A$6,YEAR(AE$4)&gt;=YEAR($F145),$K145="a"),ROUND(VLOOKUP(AJ$4,Preisindex,5,FALSE)/VLOOKUP(Preisindex!$A$6,Preisindex,5,FALSE),2),IF(AND($E145&lt;&gt;0,$F145&gt;0,YEAR($F145)&lt;Preisindex!$A$6,YEAR(AE$4)&gt;=YEAR($F145),$K145="b"),ROUND(VLOOKUP(AJ$4,Preisindex,3,FALSE)/VLOOKUP(Preisindex!$A$6,Preisindex,3,FALSE),2),IF(AND($E145&lt;&gt;0,$F145&gt;0,YEAR($F145)&lt;Preisindex!$A$6,YEAR(AE$4)&gt;=YEAR($F145),$K145="g"),ROUND(VLOOKUP(AJ$4,Preisindex,4,FALSE)/VLOOKUP(Preisindex!$A$6,Preisindex,4,FALSE),2),IF(AND($E145&lt;&gt;0,$F145&gt;0,YEAR($F145)&lt;Preisindex!$A$6,YEAR(AE$4)&gt;=YEAR($F145),$K145="k"),ROUND(VLOOKUP(AJ$4,Preisindex,2,FALSE)/VLOOKUP(Preisindex!$A$6,Preisindex,2,FALSE),2),0)))))</f>
        <v>0</v>
      </c>
      <c r="AL145" s="51">
        <f>IF(AND($E145&lt;&gt;0,$F145&gt;0,YEAR($F145)&lt;=AJ$4,YEAR($F145)&gt;=Preisindex!$A$6),ROUND($E145*AJ145,2),IF(AND($E145&lt;&gt;0,$F145&gt;0,YEAR($F145)&lt;=AJ$4,YEAR($F145)&lt;Preisindex!$A$6),ROUND($E145*AK145,2),0))</f>
        <v>0</v>
      </c>
      <c r="AM145" s="53">
        <f t="shared" si="576"/>
        <v>0</v>
      </c>
      <c r="AN145" s="51">
        <f t="shared" si="492"/>
        <v>0</v>
      </c>
      <c r="AO145" s="51">
        <f t="shared" si="448"/>
        <v>0</v>
      </c>
      <c r="AP145" s="51">
        <f t="shared" si="493"/>
        <v>0</v>
      </c>
      <c r="AQ145" s="51">
        <f t="shared" si="449"/>
        <v>0</v>
      </c>
      <c r="AR145" s="51">
        <f t="shared" si="494"/>
        <v>0</v>
      </c>
      <c r="AS145" s="51">
        <f t="shared" si="450"/>
        <v>0</v>
      </c>
      <c r="AT145" s="51">
        <f t="shared" si="495"/>
        <v>0</v>
      </c>
      <c r="AU145" s="51">
        <f t="shared" si="451"/>
        <v>0</v>
      </c>
      <c r="AV145" s="51">
        <f t="shared" si="496"/>
        <v>0</v>
      </c>
      <c r="AW145" s="51">
        <f t="shared" si="452"/>
        <v>0</v>
      </c>
      <c r="AX145" s="51">
        <f t="shared" si="497"/>
        <v>0</v>
      </c>
      <c r="AY145" s="54">
        <f t="shared" si="498"/>
        <v>0</v>
      </c>
      <c r="AZ145" s="55">
        <f t="shared" si="499"/>
        <v>0</v>
      </c>
      <c r="BA145" s="56">
        <f>IF(AND($E145&lt;&gt;0,$F145&gt;0,YEAR($F145)&gt;=Preisindex!$A$6,YEAR(AV$4)&gt;=YEAR($F145),AND($K145&lt;&gt;"a",$K145&lt;&gt;"b",$K145&lt;&gt;"g",$K145&lt;&gt;"k")),1,IF(AND($E145&lt;&gt;0,$F145&gt;0,YEAR($F145)&gt;=Preisindex!$A$6,YEAR(AV$4)&gt;=YEAR($F145),$K145="a"),ROUND(VLOOKUP(BA$4,Preisindex,5,FALSE)/VLOOKUP(YEAR($F145),Preisindex,5,FALSE),2),IF(AND($E145&lt;&gt;0,$F145&gt;0,YEAR($F145)&gt;=Preisindex!$A$6,YEAR(AV$4)&gt;=YEAR($F145),$K145="b"),ROUND(VLOOKUP(BA$4,Preisindex,3,FALSE)/VLOOKUP(YEAR($F145),Preisindex,3,FALSE),2),IF(AND($E145&lt;&gt;0,$F145&gt;0,YEAR($F145)&gt;=Preisindex!$A$6,YEAR(AV$4)&gt;=YEAR($F145),$K145="g"),ROUND(VLOOKUP(BA$4,Preisindex,4,FALSE)/VLOOKUP(YEAR($F145),Preisindex,4,FALSE),2),IF(AND($E145&lt;&gt;0,$F145&gt;0,YEAR($F145)&gt;=Preisindex!$A$6,YEAR(AV$4)&gt;=YEAR($F145),$K145="k"),ROUND(VLOOKUP(BA$4,Preisindex,2,FALSE)/VLOOKUP(YEAR($F145),Preisindex,2,FALSE),2),0)))))</f>
        <v>0</v>
      </c>
      <c r="BB145" s="56">
        <f>IF(AND($E145&lt;&gt;0,$F145&gt;0,YEAR($F145)&lt;Preisindex!$A$6,YEAR(AV$4)&gt;=YEAR($F145),AND($K145&lt;&gt;"a",$K145&lt;&gt;"b",$K145&lt;&gt;"g",$K145&lt;&gt;"k")),1,IF(AND($E145&lt;&gt;0,$F145&gt;0,YEAR($F145)&lt;Preisindex!$A$6,YEAR(AV$4)&gt;=YEAR($F145),$K145="a"),ROUND(VLOOKUP(BA$4,Preisindex,5,FALSE)/VLOOKUP(Preisindex!$A$6,Preisindex,5,FALSE),2),IF(AND($E145&lt;&gt;0,$F145&gt;0,YEAR($F145)&lt;Preisindex!$A$6,YEAR(AV$4)&gt;=YEAR($F145),$K145="b"),ROUND(VLOOKUP(BA$4,Preisindex,3,FALSE)/VLOOKUP(Preisindex!$A$6,Preisindex,3,FALSE),2),IF(AND($E145&lt;&gt;0,$F145&gt;0,YEAR($F145)&lt;Preisindex!$A$6,YEAR(AV$4)&gt;=YEAR($F145),$K145="g"),ROUND(VLOOKUP(BA$4,Preisindex,4,FALSE)/VLOOKUP(Preisindex!$A$6,Preisindex,4,FALSE),2),IF(AND($E145&lt;&gt;0,$F145&gt;0,YEAR($F145)&lt;Preisindex!$A$6,YEAR(AV$4)&gt;=YEAR($F145),$K145="k"),ROUND(VLOOKUP(BA$4,Preisindex,2,FALSE)/VLOOKUP(Preisindex!$A$6,Preisindex,2,FALSE),2),0)))))</f>
        <v>0</v>
      </c>
      <c r="BC145" s="51">
        <f>IF(AND($E145&lt;&gt;0,$F145&gt;0,YEAR($F145)&lt;=BA$4,YEAR($F145)&gt;=Preisindex!$A$6),ROUND($E145*BA145,2),IF(AND($E145&lt;&gt;0,$F145&gt;0,YEAR($F145)&lt;=BA$4,YEAR($F145)&lt;Preisindex!$A$6),ROUND($E145*BB145,2),0))</f>
        <v>0</v>
      </c>
      <c r="BD145" s="53">
        <f t="shared" si="500"/>
        <v>0</v>
      </c>
      <c r="BE145" s="51">
        <f t="shared" si="492"/>
        <v>0</v>
      </c>
      <c r="BF145" s="51">
        <f t="shared" si="453"/>
        <v>0</v>
      </c>
      <c r="BG145" s="51">
        <f t="shared" si="501"/>
        <v>0</v>
      </c>
      <c r="BH145" s="51">
        <f t="shared" si="454"/>
        <v>0</v>
      </c>
      <c r="BI145" s="51">
        <f t="shared" si="502"/>
        <v>0</v>
      </c>
      <c r="BJ145" s="51">
        <f t="shared" si="455"/>
        <v>0</v>
      </c>
      <c r="BK145" s="51">
        <f t="shared" si="503"/>
        <v>0</v>
      </c>
      <c r="BL145" s="51">
        <f t="shared" si="456"/>
        <v>0</v>
      </c>
      <c r="BM145" s="51">
        <f t="shared" si="504"/>
        <v>0</v>
      </c>
      <c r="BN145" s="51">
        <f t="shared" si="457"/>
        <v>0</v>
      </c>
      <c r="BO145" s="51">
        <f t="shared" si="505"/>
        <v>0</v>
      </c>
      <c r="BP145" s="54">
        <f t="shared" si="506"/>
        <v>0</v>
      </c>
      <c r="BQ145" s="55">
        <f t="shared" si="507"/>
        <v>0</v>
      </c>
      <c r="BR145" s="56">
        <f>IF(AND($E145&lt;&gt;0,$F145&gt;0,YEAR($F145)&gt;=Preisindex!$A$6,YEAR(BM$4)&gt;=YEAR($F145),AND($K145&lt;&gt;"a",$K145&lt;&gt;"b",$K145&lt;&gt;"g",$K145&lt;&gt;"k")),1,IF(AND($E145&lt;&gt;0,$F145&gt;0,YEAR($F145)&gt;=Preisindex!$A$6,YEAR(BM$4)&gt;=YEAR($F145),$K145="a"),ROUND(VLOOKUP(BR$4,Preisindex,5,FALSE)/VLOOKUP(YEAR($F145),Preisindex,5,FALSE),2),IF(AND($E145&lt;&gt;0,$F145&gt;0,YEAR($F145)&gt;=Preisindex!$A$6,YEAR(BM$4)&gt;=YEAR($F145),$K145="b"),ROUND(VLOOKUP(BR$4,Preisindex,3,FALSE)/VLOOKUP(YEAR($F145),Preisindex,3,FALSE),2),IF(AND($E145&lt;&gt;0,$F145&gt;0,YEAR($F145)&gt;=Preisindex!$A$6,YEAR(BM$4)&gt;=YEAR($F145),$K145="g"),ROUND(VLOOKUP(BR$4,Preisindex,4,FALSE)/VLOOKUP(YEAR($F145),Preisindex,4,FALSE),2),IF(AND($E145&lt;&gt;0,$F145&gt;0,YEAR($F145)&gt;=Preisindex!$A$6,YEAR(BM$4)&gt;=YEAR($F145),$K145="k"),ROUND(VLOOKUP(BR$4,Preisindex,2,FALSE)/VLOOKUP(YEAR($F145),Preisindex,2,FALSE),2),0)))))</f>
        <v>0</v>
      </c>
      <c r="BS145" s="56">
        <f>IF(AND($E145&lt;&gt;0,$F145&gt;0,YEAR($F145)&lt;Preisindex!$A$6,YEAR(BM$4)&gt;=YEAR($F145),AND($K145&lt;&gt;"a",$K145&lt;&gt;"b",$K145&lt;&gt;"g",$K145&lt;&gt;"k")),1,IF(AND($E145&lt;&gt;0,$F145&gt;0,YEAR($F145)&lt;Preisindex!$A$6,YEAR(BM$4)&gt;=YEAR($F145),$K145="a"),ROUND(VLOOKUP(BR$4,Preisindex,5,FALSE)/VLOOKUP(Preisindex!$A$6,Preisindex,5,FALSE),2),IF(AND($E145&lt;&gt;0,$F145&gt;0,YEAR($F145)&lt;Preisindex!$A$6,YEAR(BM$4)&gt;=YEAR($F145),$K145="b"),ROUND(VLOOKUP(BR$4,Preisindex,3,FALSE)/VLOOKUP(Preisindex!$A$6,Preisindex,3,FALSE),2),IF(AND($E145&lt;&gt;0,$F145&gt;0,YEAR($F145)&lt;Preisindex!$A$6,YEAR(BM$4)&gt;=YEAR($F145),$K145="g"),ROUND(VLOOKUP(BR$4,Preisindex,4,FALSE)/VLOOKUP(Preisindex!$A$6,Preisindex,4,FALSE),2),IF(AND($E145&lt;&gt;0,$F145&gt;0,YEAR($F145)&lt;Preisindex!$A$6,YEAR(BM$4)&gt;=YEAR($F145),$K145="k"),ROUND(VLOOKUP(BR$4,Preisindex,2,FALSE)/VLOOKUP(Preisindex!$A$6,Preisindex,2,FALSE),2),0)))))</f>
        <v>0</v>
      </c>
      <c r="BT145" s="51">
        <f>IF(AND($E145&lt;&gt;0,$F145&gt;0,YEAR($F145)&lt;=BR$4,YEAR($F145)&gt;=Preisindex!$A$6),ROUND($E145*BR145,2),IF(AND($E145&lt;&gt;0,$F145&gt;0,YEAR($F145)&lt;=BR$4,YEAR($F145)&lt;Preisindex!$A$6),ROUND($E145*BS145,2),0))</f>
        <v>0</v>
      </c>
      <c r="BU145" s="53">
        <f t="shared" si="508"/>
        <v>0</v>
      </c>
      <c r="BV145" s="51">
        <f t="shared" si="492"/>
        <v>0</v>
      </c>
      <c r="BW145" s="51">
        <f t="shared" si="458"/>
        <v>0</v>
      </c>
      <c r="BX145" s="51">
        <f t="shared" si="509"/>
        <v>0</v>
      </c>
      <c r="BY145" s="51">
        <f t="shared" si="459"/>
        <v>0</v>
      </c>
      <c r="BZ145" s="51">
        <f t="shared" si="510"/>
        <v>0</v>
      </c>
      <c r="CA145" s="51">
        <f t="shared" si="460"/>
        <v>0</v>
      </c>
      <c r="CB145" s="51">
        <f t="shared" si="511"/>
        <v>0</v>
      </c>
      <c r="CC145" s="51">
        <f t="shared" si="461"/>
        <v>0</v>
      </c>
      <c r="CD145" s="51">
        <f t="shared" si="512"/>
        <v>0</v>
      </c>
      <c r="CE145" s="51">
        <f t="shared" si="462"/>
        <v>0</v>
      </c>
      <c r="CF145" s="51">
        <f t="shared" si="513"/>
        <v>0</v>
      </c>
      <c r="CG145" s="54">
        <f t="shared" si="514"/>
        <v>0</v>
      </c>
      <c r="CH145" s="55">
        <f t="shared" si="515"/>
        <v>0</v>
      </c>
      <c r="CI145" s="56">
        <f>IF(AND($E145&lt;&gt;0,$F145&gt;0,YEAR($F145)&gt;=Preisindex!$A$6,YEAR(CD$4)&gt;=YEAR($F145),AND($K145&lt;&gt;"a",$K145&lt;&gt;"b",$K145&lt;&gt;"g",$K145&lt;&gt;"k")),1,IF(AND($E145&lt;&gt;0,$F145&gt;0,YEAR($F145)&gt;=Preisindex!$A$6,YEAR(CD$4)&gt;=YEAR($F145),$K145="a"),ROUND(VLOOKUP(CI$4,Preisindex,5,FALSE)/VLOOKUP(YEAR($F145),Preisindex,5,FALSE),2),IF(AND($E145&lt;&gt;0,$F145&gt;0,YEAR($F145)&gt;=Preisindex!$A$6,YEAR(CD$4)&gt;=YEAR($F145),$K145="b"),ROUND(VLOOKUP(CI$4,Preisindex,3,FALSE)/VLOOKUP(YEAR($F145),Preisindex,3,FALSE),2),IF(AND($E145&lt;&gt;0,$F145&gt;0,YEAR($F145)&gt;=Preisindex!$A$6,YEAR(CD$4)&gt;=YEAR($F145),$K145="g"),ROUND(VLOOKUP(CI$4,Preisindex,4,FALSE)/VLOOKUP(YEAR($F145),Preisindex,4,FALSE),2),IF(AND($E145&lt;&gt;0,$F145&gt;0,YEAR($F145)&gt;=Preisindex!$A$6,YEAR(CD$4)&gt;=YEAR($F145),$K145="k"),ROUND(VLOOKUP(CI$4,Preisindex,2,FALSE)/VLOOKUP(YEAR($F145),Preisindex,2,FALSE),2),0)))))</f>
        <v>0</v>
      </c>
      <c r="CJ145" s="56">
        <f>IF(AND($E145&lt;&gt;0,$F145&gt;0,YEAR($F145)&lt;Preisindex!$A$6,YEAR(CD$4)&gt;=YEAR($F145),AND($K145&lt;&gt;"a",$K145&lt;&gt;"b",$K145&lt;&gt;"g",$K145&lt;&gt;"k")),1,IF(AND($E145&lt;&gt;0,$F145&gt;0,YEAR($F145)&lt;Preisindex!$A$6,YEAR(CD$4)&gt;=YEAR($F145),$K145="a"),ROUND(VLOOKUP(CI$4,Preisindex,5,FALSE)/VLOOKUP(Preisindex!$A$6,Preisindex,5,FALSE),2),IF(AND($E145&lt;&gt;0,$F145&gt;0,YEAR($F145)&lt;Preisindex!$A$6,YEAR(CD$4)&gt;=YEAR($F145),$K145="b"),ROUND(VLOOKUP(CI$4,Preisindex,3,FALSE)/VLOOKUP(Preisindex!$A$6,Preisindex,3,FALSE),2),IF(AND($E145&lt;&gt;0,$F145&gt;0,YEAR($F145)&lt;Preisindex!$A$6,YEAR(CD$4)&gt;=YEAR($F145),$K145="g"),ROUND(VLOOKUP(CI$4,Preisindex,4,FALSE)/VLOOKUP(Preisindex!$A$6,Preisindex,4,FALSE),2),IF(AND($E145&lt;&gt;0,$F145&gt;0,YEAR($F145)&lt;Preisindex!$A$6,YEAR(CD$4)&gt;=YEAR($F145),$K145="k"),ROUND(VLOOKUP(CI$4,Preisindex,2,FALSE)/VLOOKUP(Preisindex!$A$6,Preisindex,2,FALSE),2),0)))))</f>
        <v>0</v>
      </c>
      <c r="CK145" s="51">
        <f>IF(AND($E145&lt;&gt;0,$F145&gt;0,YEAR($F145)&lt;=CI$4,YEAR($F145)&gt;=Preisindex!$A$6),ROUND($E145*CI145,2),IF(AND($E145&lt;&gt;0,$F145&gt;0,YEAR($F145)&lt;=CI$4,YEAR($F145)&lt;Preisindex!$A$6),ROUND($E145*CJ145,2),0))</f>
        <v>0</v>
      </c>
      <c r="CL145" s="53">
        <f t="shared" si="516"/>
        <v>0</v>
      </c>
      <c r="CM145" s="51">
        <f t="shared" si="492"/>
        <v>0</v>
      </c>
      <c r="CN145" s="51">
        <f t="shared" si="463"/>
        <v>0</v>
      </c>
      <c r="CO145" s="51">
        <f t="shared" si="517"/>
        <v>0</v>
      </c>
      <c r="CP145" s="51">
        <f t="shared" si="464"/>
        <v>0</v>
      </c>
      <c r="CQ145" s="51">
        <f t="shared" si="518"/>
        <v>0</v>
      </c>
      <c r="CR145" s="51">
        <f t="shared" si="465"/>
        <v>0</v>
      </c>
      <c r="CS145" s="51">
        <f t="shared" si="519"/>
        <v>0</v>
      </c>
      <c r="CT145" s="51">
        <f t="shared" si="466"/>
        <v>0</v>
      </c>
      <c r="CU145" s="51">
        <f t="shared" si="520"/>
        <v>0</v>
      </c>
      <c r="CV145" s="51">
        <f t="shared" si="467"/>
        <v>0</v>
      </c>
      <c r="CW145" s="51">
        <f t="shared" si="521"/>
        <v>0</v>
      </c>
      <c r="CX145" s="54">
        <f t="shared" si="522"/>
        <v>0</v>
      </c>
      <c r="CY145" s="55">
        <f t="shared" si="523"/>
        <v>0</v>
      </c>
      <c r="CZ145" s="56">
        <f>IF(AND($E145&lt;&gt;0,$F145&gt;0,YEAR($F145)&gt;=Preisindex!$A$6,YEAR(CU$4)&gt;=YEAR($F145),AND($K145&lt;&gt;"a",$K145&lt;&gt;"b",$K145&lt;&gt;"g",$K145&lt;&gt;"k")),1,IF(AND($E145&lt;&gt;0,$F145&gt;0,YEAR($F145)&gt;=Preisindex!$A$6,YEAR(CU$4)&gt;=YEAR($F145),$K145="a"),ROUND(VLOOKUP(CZ$4,Preisindex,5,FALSE)/VLOOKUP(YEAR($F145),Preisindex,5,FALSE),2),IF(AND($E145&lt;&gt;0,$F145&gt;0,YEAR($F145)&gt;=Preisindex!$A$6,YEAR(CU$4)&gt;=YEAR($F145),$K145="b"),ROUND(VLOOKUP(CZ$4,Preisindex,3,FALSE)/VLOOKUP(YEAR($F145),Preisindex,3,FALSE),2),IF(AND($E145&lt;&gt;0,$F145&gt;0,YEAR($F145)&gt;=Preisindex!$A$6,YEAR(CU$4)&gt;=YEAR($F145),$K145="g"),ROUND(VLOOKUP(CZ$4,Preisindex,4,FALSE)/VLOOKUP(YEAR($F145),Preisindex,4,FALSE),2),IF(AND($E145&lt;&gt;0,$F145&gt;0,YEAR($F145)&gt;=Preisindex!$A$6,YEAR(CU$4)&gt;=YEAR($F145),$K145="k"),ROUND(VLOOKUP(CZ$4,Preisindex,2,FALSE)/VLOOKUP(YEAR($F145),Preisindex,2,FALSE),2),0)))))</f>
        <v>0</v>
      </c>
      <c r="DA145" s="56">
        <f>IF(AND($E145&lt;&gt;0,$F145&gt;0,YEAR($F145)&lt;Preisindex!$A$6,YEAR(CU$4)&gt;=YEAR($F145),AND($K145&lt;&gt;"a",$K145&lt;&gt;"b",$K145&lt;&gt;"g",$K145&lt;&gt;"k")),1,IF(AND($E145&lt;&gt;0,$F145&gt;0,YEAR($F145)&lt;Preisindex!$A$6,YEAR(CU$4)&gt;=YEAR($F145),$K145="a"),ROUND(VLOOKUP(CZ$4,Preisindex,5,FALSE)/VLOOKUP(Preisindex!$A$6,Preisindex,5,FALSE),2),IF(AND($E145&lt;&gt;0,$F145&gt;0,YEAR($F145)&lt;Preisindex!$A$6,YEAR(CU$4)&gt;=YEAR($F145),$K145="b"),ROUND(VLOOKUP(CZ$4,Preisindex,3,FALSE)/VLOOKUP(Preisindex!$A$6,Preisindex,3,FALSE),2),IF(AND($E145&lt;&gt;0,$F145&gt;0,YEAR($F145)&lt;Preisindex!$A$6,YEAR(CU$4)&gt;=YEAR($F145),$K145="g"),ROUND(VLOOKUP(CZ$4,Preisindex,4,FALSE)/VLOOKUP(Preisindex!$A$6,Preisindex,4,FALSE),2),IF(AND($E145&lt;&gt;0,$F145&gt;0,YEAR($F145)&lt;Preisindex!$A$6,YEAR(CU$4)&gt;=YEAR($F145),$K145="k"),ROUND(VLOOKUP(CZ$4,Preisindex,2,FALSE)/VLOOKUP(Preisindex!$A$6,Preisindex,2,FALSE),2),0)))))</f>
        <v>0</v>
      </c>
      <c r="DB145" s="51">
        <f>IF(AND($E145&lt;&gt;0,$F145&gt;0,YEAR($F145)&lt;=CZ$4,YEAR($F145)&gt;=Preisindex!$A$6),ROUND($E145*CZ145,2),IF(AND($E145&lt;&gt;0,$F145&gt;0,YEAR($F145)&lt;=CZ$4,YEAR($F145)&lt;Preisindex!$A$6),ROUND($E145*DA145,2),0))</f>
        <v>0</v>
      </c>
      <c r="DC145" s="53">
        <f t="shared" si="524"/>
        <v>0</v>
      </c>
      <c r="DD145" s="51">
        <f t="shared" si="525"/>
        <v>0</v>
      </c>
      <c r="DE145" s="51">
        <f t="shared" si="468"/>
        <v>0</v>
      </c>
      <c r="DF145" s="51">
        <f t="shared" si="526"/>
        <v>0</v>
      </c>
      <c r="DG145" s="51">
        <f t="shared" si="469"/>
        <v>0</v>
      </c>
      <c r="DH145" s="51">
        <f t="shared" si="527"/>
        <v>0</v>
      </c>
      <c r="DI145" s="51">
        <f t="shared" si="470"/>
        <v>0</v>
      </c>
      <c r="DJ145" s="51">
        <f t="shared" si="528"/>
        <v>0</v>
      </c>
      <c r="DK145" s="51">
        <f t="shared" si="471"/>
        <v>0</v>
      </c>
      <c r="DL145" s="51">
        <f t="shared" si="529"/>
        <v>0</v>
      </c>
      <c r="DM145" s="51">
        <f t="shared" si="472"/>
        <v>0</v>
      </c>
      <c r="DN145" s="51">
        <f t="shared" si="530"/>
        <v>0</v>
      </c>
      <c r="DO145" s="54">
        <f t="shared" si="531"/>
        <v>0</v>
      </c>
      <c r="DP145" s="55">
        <f t="shared" si="532"/>
        <v>0</v>
      </c>
      <c r="DQ145" s="56">
        <f>IF(AND($E145&lt;&gt;0,$F145&gt;0,YEAR($F145)&gt;=Preisindex!$A$6,YEAR(DL$4)&gt;=YEAR($F145),AND($K145&lt;&gt;"a",$K145&lt;&gt;"b",$K145&lt;&gt;"g",$K145&lt;&gt;"k")),1,IF(AND($E145&lt;&gt;0,$F145&gt;0,YEAR($F145)&gt;=Preisindex!$A$6,YEAR(DL$4)&gt;=YEAR($F145),$K145="a"),ROUND(VLOOKUP(DQ$4,Preisindex,5,FALSE)/VLOOKUP(YEAR($F145),Preisindex,5,FALSE),2),IF(AND($E145&lt;&gt;0,$F145&gt;0,YEAR($F145)&gt;=Preisindex!$A$6,YEAR(DL$4)&gt;=YEAR($F145),$K145="b"),ROUND(VLOOKUP(DQ$4,Preisindex,3,FALSE)/VLOOKUP(YEAR($F145),Preisindex,3,FALSE),2),IF(AND($E145&lt;&gt;0,$F145&gt;0,YEAR($F145)&gt;=Preisindex!$A$6,YEAR(DL$4)&gt;=YEAR($F145),$K145="g"),ROUND(VLOOKUP(DQ$4,Preisindex,4,FALSE)/VLOOKUP(YEAR($F145),Preisindex,4,FALSE),2),IF(AND($E145&lt;&gt;0,$F145&gt;0,YEAR($F145)&gt;=Preisindex!$A$6,YEAR(DL$4)&gt;=YEAR($F145),$K145="k"),ROUND(VLOOKUP(DQ$4,Preisindex,2,FALSE)/VLOOKUP(YEAR($F145),Preisindex,2,FALSE),2),0)))))</f>
        <v>0</v>
      </c>
      <c r="DR145" s="56">
        <f>IF(AND($E145&lt;&gt;0,$F145&gt;0,YEAR($F145)&lt;Preisindex!$A$6,YEAR(DL$4)&gt;=YEAR($F145),AND($K145&lt;&gt;"a",$K145&lt;&gt;"b",$K145&lt;&gt;"g",$K145&lt;&gt;"k")),1,IF(AND($E145&lt;&gt;0,$F145&gt;0,YEAR($F145)&lt;Preisindex!$A$6,YEAR(DL$4)&gt;=YEAR($F145),$K145="a"),ROUND(VLOOKUP(DQ$4,Preisindex,5,FALSE)/VLOOKUP(Preisindex!$A$6,Preisindex,5,FALSE),2),IF(AND($E145&lt;&gt;0,$F145&gt;0,YEAR($F145)&lt;Preisindex!$A$6,YEAR(DL$4)&gt;=YEAR($F145),$K145="b"),ROUND(VLOOKUP(DQ$4,Preisindex,3,FALSE)/VLOOKUP(Preisindex!$A$6,Preisindex,3,FALSE),2),IF(AND($E145&lt;&gt;0,$F145&gt;0,YEAR($F145)&lt;Preisindex!$A$6,YEAR(DL$4)&gt;=YEAR($F145),$K145="g"),ROUND(VLOOKUP(DQ$4,Preisindex,4,FALSE)/VLOOKUP(Preisindex!$A$6,Preisindex,4,FALSE),2),IF(AND($E145&lt;&gt;0,$F145&gt;0,YEAR($F145)&lt;Preisindex!$A$6,YEAR(DL$4)&gt;=YEAR($F145),$K145="k"),ROUND(VLOOKUP(DQ$4,Preisindex,2,FALSE)/VLOOKUP(Preisindex!$A$6,Preisindex,2,FALSE),2),0)))))</f>
        <v>0</v>
      </c>
      <c r="DS145" s="51">
        <f>IF(AND($E145&lt;&gt;0,$F145&gt;0,YEAR($F145)&lt;=DQ$4,YEAR($F145)&gt;=Preisindex!$A$6),ROUND($E145*DQ145,2),IF(AND($E145&lt;&gt;0,$F145&gt;0,YEAR($F145)&lt;=DQ$4,YEAR($F145)&lt;Preisindex!$A$6),ROUND($E145*DR145,2),0))</f>
        <v>0</v>
      </c>
      <c r="DT145" s="53">
        <f t="shared" si="533"/>
        <v>0</v>
      </c>
      <c r="DU145" s="51">
        <f t="shared" si="525"/>
        <v>0</v>
      </c>
      <c r="DV145" s="51">
        <f t="shared" si="473"/>
        <v>0</v>
      </c>
      <c r="DW145" s="51">
        <f t="shared" si="534"/>
        <v>0</v>
      </c>
      <c r="DX145" s="51">
        <f t="shared" si="474"/>
        <v>0</v>
      </c>
      <c r="DY145" s="51">
        <f t="shared" si="535"/>
        <v>0</v>
      </c>
      <c r="DZ145" s="51">
        <f t="shared" si="475"/>
        <v>0</v>
      </c>
      <c r="EA145" s="51">
        <f t="shared" si="536"/>
        <v>0</v>
      </c>
      <c r="EB145" s="51">
        <f t="shared" si="476"/>
        <v>0</v>
      </c>
      <c r="EC145" s="51">
        <f t="shared" si="537"/>
        <v>0</v>
      </c>
      <c r="ED145" s="51">
        <f t="shared" si="477"/>
        <v>0</v>
      </c>
      <c r="EE145" s="51">
        <f t="shared" si="538"/>
        <v>0</v>
      </c>
      <c r="EF145" s="54">
        <f t="shared" si="539"/>
        <v>0</v>
      </c>
      <c r="EG145" s="55">
        <f t="shared" si="540"/>
        <v>0</v>
      </c>
      <c r="EH145" s="56">
        <f>IF(AND($E145&lt;&gt;0,$F145&gt;0,YEAR($F145)&gt;=Preisindex!$A$6,YEAR(EC$4)&gt;=YEAR($F145),AND($K145&lt;&gt;"a",$K145&lt;&gt;"b",$K145&lt;&gt;"g",$K145&lt;&gt;"k")),1,IF(AND($E145&lt;&gt;0,$F145&gt;0,YEAR($F145)&gt;=Preisindex!$A$6,YEAR(EC$4)&gt;=YEAR($F145),$K145="a"),ROUND(VLOOKUP(EH$4,Preisindex,5,FALSE)/VLOOKUP(YEAR($F145),Preisindex,5,FALSE),2),IF(AND($E145&lt;&gt;0,$F145&gt;0,YEAR($F145)&gt;=Preisindex!$A$6,YEAR(EC$4)&gt;=YEAR($F145),$K145="b"),ROUND(VLOOKUP(EH$4,Preisindex,3,FALSE)/VLOOKUP(YEAR($F145),Preisindex,3,FALSE),2),IF(AND($E145&lt;&gt;0,$F145&gt;0,YEAR($F145)&gt;=Preisindex!$A$6,YEAR(EC$4)&gt;=YEAR($F145),$K145="g"),ROUND(VLOOKUP(EH$4,Preisindex,4,FALSE)/VLOOKUP(YEAR($F145),Preisindex,4,FALSE),2),IF(AND($E145&lt;&gt;0,$F145&gt;0,YEAR($F145)&gt;=Preisindex!$A$6,YEAR(EC$4)&gt;=YEAR($F145),$K145="k"),ROUND(VLOOKUP(EH$4,Preisindex,2,FALSE)/VLOOKUP(YEAR($F145),Preisindex,2,FALSE),2),0)))))</f>
        <v>0</v>
      </c>
      <c r="EI145" s="56">
        <f>IF(AND($E145&lt;&gt;0,$F145&gt;0,YEAR($F145)&lt;Preisindex!$A$6,YEAR(EC$4)&gt;=YEAR($F145),AND($K145&lt;&gt;"a",$K145&lt;&gt;"b",$K145&lt;&gt;"g",$K145&lt;&gt;"k")),1,IF(AND($E145&lt;&gt;0,$F145&gt;0,YEAR($F145)&lt;Preisindex!$A$6,YEAR(EC$4)&gt;=YEAR($F145),$K145="a"),ROUND(VLOOKUP(EH$4,Preisindex,5,FALSE)/VLOOKUP(Preisindex!$A$6,Preisindex,5,FALSE),2),IF(AND($E145&lt;&gt;0,$F145&gt;0,YEAR($F145)&lt;Preisindex!$A$6,YEAR(EC$4)&gt;=YEAR($F145),$K145="b"),ROUND(VLOOKUP(EH$4,Preisindex,3,FALSE)/VLOOKUP(Preisindex!$A$6,Preisindex,3,FALSE),2),IF(AND($E145&lt;&gt;0,$F145&gt;0,YEAR($F145)&lt;Preisindex!$A$6,YEAR(EC$4)&gt;=YEAR($F145),$K145="g"),ROUND(VLOOKUP(EH$4,Preisindex,4,FALSE)/VLOOKUP(Preisindex!$A$6,Preisindex,4,FALSE),2),IF(AND($E145&lt;&gt;0,$F145&gt;0,YEAR($F145)&lt;Preisindex!$A$6,YEAR(EC$4)&gt;=YEAR($F145),$K145="k"),ROUND(VLOOKUP(EH$4,Preisindex,2,FALSE)/VLOOKUP(Preisindex!$A$6,Preisindex,2,FALSE),2),0)))))</f>
        <v>0</v>
      </c>
      <c r="EJ145" s="51">
        <f>IF(AND($E145&lt;&gt;0,$F145&gt;0,YEAR($F145)&lt;=EH$4,YEAR($F145)&gt;=Preisindex!$A$6),ROUND($E145*EH145,2),IF(AND($E145&lt;&gt;0,$F145&gt;0,YEAR($F145)&lt;=EH$4,YEAR($F145)&lt;Preisindex!$A$6),ROUND($E145*EI145,2),0))</f>
        <v>0</v>
      </c>
      <c r="EK145" s="53">
        <f t="shared" si="541"/>
        <v>0</v>
      </c>
      <c r="EL145" s="51">
        <f t="shared" si="525"/>
        <v>0</v>
      </c>
      <c r="EM145" s="51">
        <f t="shared" si="478"/>
        <v>0</v>
      </c>
      <c r="EN145" s="51">
        <f t="shared" si="542"/>
        <v>0</v>
      </c>
      <c r="EO145" s="51">
        <f t="shared" si="479"/>
        <v>0</v>
      </c>
      <c r="EP145" s="51">
        <f t="shared" si="543"/>
        <v>0</v>
      </c>
      <c r="EQ145" s="51">
        <f t="shared" si="480"/>
        <v>0</v>
      </c>
      <c r="ER145" s="51">
        <f t="shared" si="544"/>
        <v>0</v>
      </c>
      <c r="ES145" s="51">
        <f t="shared" si="481"/>
        <v>0</v>
      </c>
      <c r="ET145" s="51">
        <f t="shared" si="545"/>
        <v>0</v>
      </c>
      <c r="EU145" s="51">
        <f t="shared" si="482"/>
        <v>0</v>
      </c>
      <c r="EV145" s="51">
        <f t="shared" si="546"/>
        <v>0</v>
      </c>
      <c r="EW145" s="54">
        <f t="shared" si="547"/>
        <v>0</v>
      </c>
      <c r="EX145" s="55">
        <f t="shared" si="548"/>
        <v>0</v>
      </c>
      <c r="EY145" s="56">
        <f>IF(AND($E145&lt;&gt;0,$F145&gt;0,YEAR($F145)&gt;=Preisindex!$A$6,YEAR(ET$4)&gt;=YEAR($F145),AND($K145&lt;&gt;"a",$K145&lt;&gt;"b",$K145&lt;&gt;"g",$K145&lt;&gt;"k")),1,IF(AND($E145&lt;&gt;0,$F145&gt;0,YEAR($F145)&gt;=Preisindex!$A$6,YEAR(ET$4)&gt;=YEAR($F145),$K145="a"),ROUND(VLOOKUP(EY$4,Preisindex,5,FALSE)/VLOOKUP(YEAR($F145),Preisindex,5,FALSE),2),IF(AND($E145&lt;&gt;0,$F145&gt;0,YEAR($F145)&gt;=Preisindex!$A$6,YEAR(ET$4)&gt;=YEAR($F145),$K145="b"),ROUND(VLOOKUP(EY$4,Preisindex,3,FALSE)/VLOOKUP(YEAR($F145),Preisindex,3,FALSE),2),IF(AND($E145&lt;&gt;0,$F145&gt;0,YEAR($F145)&gt;=Preisindex!$A$6,YEAR(ET$4)&gt;=YEAR($F145),$K145="g"),ROUND(VLOOKUP(EY$4,Preisindex,4,FALSE)/VLOOKUP(YEAR($F145),Preisindex,4,FALSE),2),IF(AND($E145&lt;&gt;0,$F145&gt;0,YEAR($F145)&gt;=Preisindex!$A$6,YEAR(ET$4)&gt;=YEAR($F145),$K145="k"),ROUND(VLOOKUP(EY$4,Preisindex,2,FALSE)/VLOOKUP(YEAR($F145),Preisindex,2,FALSE),2),0)))))</f>
        <v>0</v>
      </c>
      <c r="EZ145" s="56">
        <f>IF(AND($E145&lt;&gt;0,$F145&gt;0,YEAR($F145)&lt;Preisindex!$A$6,YEAR(ET$4)&gt;=YEAR($F145),AND($K145&lt;&gt;"a",$K145&lt;&gt;"b",$K145&lt;&gt;"g",$K145&lt;&gt;"k")),1,IF(AND($E145&lt;&gt;0,$F145&gt;0,YEAR($F145)&lt;Preisindex!$A$6,YEAR(ET$4)&gt;=YEAR($F145),$K145="a"),ROUND(VLOOKUP(EY$4,Preisindex,5,FALSE)/VLOOKUP(Preisindex!$A$6,Preisindex,5,FALSE),2),IF(AND($E145&lt;&gt;0,$F145&gt;0,YEAR($F145)&lt;Preisindex!$A$6,YEAR(ET$4)&gt;=YEAR($F145),$K145="b"),ROUND(VLOOKUP(EY$4,Preisindex,3,FALSE)/VLOOKUP(Preisindex!$A$6,Preisindex,3,FALSE),2),IF(AND($E145&lt;&gt;0,$F145&gt;0,YEAR($F145)&lt;Preisindex!$A$6,YEAR(ET$4)&gt;=YEAR($F145),$K145="g"),ROUND(VLOOKUP(EY$4,Preisindex,4,FALSE)/VLOOKUP(Preisindex!$A$6,Preisindex,4,FALSE),2),IF(AND($E145&lt;&gt;0,$F145&gt;0,YEAR($F145)&lt;Preisindex!$A$6,YEAR(ET$4)&gt;=YEAR($F145),$K145="k"),ROUND(VLOOKUP(EY$4,Preisindex,2,FALSE)/VLOOKUP(Preisindex!$A$6,Preisindex,2,FALSE),2),0)))))</f>
        <v>0</v>
      </c>
      <c r="FA145" s="51">
        <f>IF(AND($E145&lt;&gt;0,$F145&gt;0,YEAR($F145)&lt;=EY$4,YEAR($F145)&gt;=Preisindex!$A$6),ROUND($E145*EY145,2),IF(AND($E145&lt;&gt;0,$F145&gt;0,YEAR($F145)&lt;=EY$4,YEAR($F145)&lt;Preisindex!$A$6),ROUND($E145*EZ145,2),0))</f>
        <v>0</v>
      </c>
      <c r="FB145" s="53">
        <f t="shared" si="549"/>
        <v>0</v>
      </c>
      <c r="FC145" s="51">
        <f t="shared" si="525"/>
        <v>0</v>
      </c>
      <c r="FD145" s="51">
        <f t="shared" si="483"/>
        <v>0</v>
      </c>
      <c r="FE145" s="51">
        <f t="shared" si="550"/>
        <v>0</v>
      </c>
      <c r="FF145" s="51">
        <f t="shared" si="484"/>
        <v>0</v>
      </c>
      <c r="FG145" s="51">
        <f t="shared" si="551"/>
        <v>0</v>
      </c>
      <c r="FH145" s="51">
        <f t="shared" si="485"/>
        <v>0</v>
      </c>
      <c r="FI145" s="51">
        <f t="shared" si="552"/>
        <v>0</v>
      </c>
      <c r="FJ145" s="51">
        <f t="shared" si="486"/>
        <v>0</v>
      </c>
      <c r="FK145" s="51">
        <f t="shared" si="553"/>
        <v>0</v>
      </c>
      <c r="FL145" s="51">
        <f t="shared" si="487"/>
        <v>0</v>
      </c>
      <c r="FM145" s="51">
        <f t="shared" si="554"/>
        <v>0</v>
      </c>
      <c r="FN145" s="54">
        <f t="shared" si="555"/>
        <v>0</v>
      </c>
      <c r="FO145" s="55">
        <f t="shared" si="556"/>
        <v>0</v>
      </c>
      <c r="FP145" s="56">
        <f>IF(AND($E145&lt;&gt;0,$F145&gt;0,YEAR($F145)&gt;=Preisindex!$A$6,YEAR(FK$4)&gt;=YEAR($F145),AND($K145&lt;&gt;"a",$K145&lt;&gt;"b",$K145&lt;&gt;"g",$K145&lt;&gt;"k")),1,IF(AND($E145&lt;&gt;0,$F145&gt;0,YEAR($F145)&gt;=Preisindex!$A$6,YEAR(FK$4)&gt;=YEAR($F145),$K145="a"),ROUND(VLOOKUP(FP$4,Preisindex,5,FALSE)/VLOOKUP(YEAR($F145),Preisindex,5,FALSE),2),IF(AND($E145&lt;&gt;0,$F145&gt;0,YEAR($F145)&gt;=Preisindex!$A$6,YEAR(FK$4)&gt;=YEAR($F145),$K145="b"),ROUND(VLOOKUP(FP$4,Preisindex,3,FALSE)/VLOOKUP(YEAR($F145),Preisindex,3,FALSE),2),IF(AND($E145&lt;&gt;0,$F145&gt;0,YEAR($F145)&gt;=Preisindex!$A$6,YEAR(FK$4)&gt;=YEAR($F145),$K145="g"),ROUND(VLOOKUP(FP$4,Preisindex,4,FALSE)/VLOOKUP(YEAR($F145),Preisindex,4,FALSE),2),IF(AND($E145&lt;&gt;0,$F145&gt;0,YEAR($F145)&gt;=Preisindex!$A$6,YEAR(FK$4)&gt;=YEAR($F145),$K145="k"),ROUND(VLOOKUP(FP$4,Preisindex,2,FALSE)/VLOOKUP(YEAR($F145),Preisindex,2,FALSE),2),0)))))</f>
        <v>0</v>
      </c>
      <c r="FQ145" s="56">
        <f>IF(AND($E145&lt;&gt;0,$F145&gt;0,YEAR($F145)&lt;Preisindex!$A$6,YEAR(FK$4)&gt;=YEAR($F145),AND($K145&lt;&gt;"a",$K145&lt;&gt;"b",$K145&lt;&gt;"g",$K145&lt;&gt;"k")),1,IF(AND($E145&lt;&gt;0,$F145&gt;0,YEAR($F145)&lt;Preisindex!$A$6,YEAR(FK$4)&gt;=YEAR($F145),$K145="a"),ROUND(VLOOKUP(FP$4,Preisindex,5,FALSE)/VLOOKUP(Preisindex!$A$6,Preisindex,5,FALSE),2),IF(AND($E145&lt;&gt;0,$F145&gt;0,YEAR($F145)&lt;Preisindex!$A$6,YEAR(FK$4)&gt;=YEAR($F145),$K145="b"),ROUND(VLOOKUP(FP$4,Preisindex,3,FALSE)/VLOOKUP(Preisindex!$A$6,Preisindex,3,FALSE),2),IF(AND($E145&lt;&gt;0,$F145&gt;0,YEAR($F145)&lt;Preisindex!$A$6,YEAR(FK$4)&gt;=YEAR($F145),$K145="g"),ROUND(VLOOKUP(FP$4,Preisindex,4,FALSE)/VLOOKUP(Preisindex!$A$6,Preisindex,4,FALSE),2),IF(AND($E145&lt;&gt;0,$F145&gt;0,YEAR($F145)&lt;Preisindex!$A$6,YEAR(FK$4)&gt;=YEAR($F145),$K145="k"),ROUND(VLOOKUP(FP$4,Preisindex,2,FALSE)/VLOOKUP(Preisindex!$A$6,Preisindex,2,FALSE),2),0)))))</f>
        <v>0</v>
      </c>
      <c r="FR145" s="51">
        <f>IF(AND($E145&lt;&gt;0,$F145&gt;0,YEAR($F145)&lt;=FP$4,YEAR($F145)&gt;=Preisindex!$A$6),ROUND($E145*FP145,2),IF(AND($E145&lt;&gt;0,$F145&gt;0,YEAR($F145)&lt;=FP$4,YEAR($F145)&lt;Preisindex!$A$6),ROUND($E145*FQ145,2),0))</f>
        <v>0</v>
      </c>
      <c r="FS145" s="53">
        <f t="shared" si="557"/>
        <v>0</v>
      </c>
    </row>
    <row r="146" spans="1:175" x14ac:dyDescent="0.3">
      <c r="A146" s="93"/>
      <c r="B146" s="94"/>
      <c r="C146" s="94"/>
      <c r="D146" s="95"/>
      <c r="E146" s="99"/>
      <c r="F146" s="97"/>
      <c r="G146" s="98"/>
      <c r="H146" s="620"/>
      <c r="I146" s="621"/>
      <c r="J146" s="194"/>
      <c r="K146" s="630"/>
      <c r="L146" s="49">
        <f t="shared" si="558"/>
        <v>0</v>
      </c>
      <c r="M146" s="50">
        <f t="shared" si="559"/>
        <v>0</v>
      </c>
      <c r="N146" s="51">
        <f t="shared" si="560"/>
        <v>0</v>
      </c>
      <c r="O146" s="51"/>
      <c r="P146" s="51">
        <f t="shared" si="561"/>
        <v>0</v>
      </c>
      <c r="Q146" s="52"/>
      <c r="R146" s="52"/>
      <c r="S146" s="52"/>
      <c r="T146" s="52"/>
      <c r="U146" s="52"/>
      <c r="V146" s="53">
        <f t="shared" si="562"/>
        <v>0</v>
      </c>
      <c r="W146" s="51">
        <f t="shared" si="563"/>
        <v>0</v>
      </c>
      <c r="X146" s="51">
        <f t="shared" si="564"/>
        <v>0</v>
      </c>
      <c r="Y146" s="51">
        <f t="shared" si="565"/>
        <v>0</v>
      </c>
      <c r="Z146" s="51">
        <f t="shared" si="566"/>
        <v>0</v>
      </c>
      <c r="AA146" s="51">
        <f t="shared" si="567"/>
        <v>0</v>
      </c>
      <c r="AB146" s="51">
        <f t="shared" si="568"/>
        <v>0</v>
      </c>
      <c r="AC146" s="51">
        <f t="shared" si="569"/>
        <v>0</v>
      </c>
      <c r="AD146" s="51">
        <f t="shared" si="570"/>
        <v>0</v>
      </c>
      <c r="AE146" s="51">
        <f t="shared" si="571"/>
        <v>0</v>
      </c>
      <c r="AF146" s="51">
        <f t="shared" si="572"/>
        <v>0</v>
      </c>
      <c r="AG146" s="51">
        <f t="shared" si="573"/>
        <v>0</v>
      </c>
      <c r="AH146" s="54">
        <f t="shared" si="574"/>
        <v>0</v>
      </c>
      <c r="AI146" s="55">
        <f t="shared" si="575"/>
        <v>0</v>
      </c>
      <c r="AJ146" s="56">
        <f>IF(AND($E146&lt;&gt;0,$F146&gt;0,YEAR($F146)&gt;=Preisindex!$A$6,YEAR(AE$4)&gt;=YEAR($F146),AND($K146&lt;&gt;"a",$K146&lt;&gt;"b",$K146&lt;&gt;"g",$K146&lt;&gt;"k")),1,IF(AND($E146&lt;&gt;0,$F146&gt;0,YEAR($F146)&gt;=Preisindex!$A$6,YEAR(AE$4)&gt;=YEAR($F146),$K146="a"),ROUND(VLOOKUP(AJ$4,Preisindex,5,FALSE)/VLOOKUP(YEAR($F146),Preisindex,5,FALSE),2),IF(AND($E146&lt;&gt;0,$F146&gt;0,YEAR($F146)&gt;=Preisindex!$A$6,YEAR(AE$4)&gt;=YEAR($F146),$K146="b"),ROUND(VLOOKUP(AJ$4,Preisindex,3,FALSE)/VLOOKUP(YEAR($F146),Preisindex,3,FALSE),2),IF(AND($E146&lt;&gt;0,$F146&gt;0,YEAR($F146)&gt;=Preisindex!$A$6,YEAR(AE$4)&gt;=YEAR($F146),$K146="g"),ROUND(VLOOKUP(AJ$4,Preisindex,4,FALSE)/VLOOKUP(YEAR($F146),Preisindex,4,FALSE),2),IF(AND($E146&lt;&gt;0,$F146&gt;0,YEAR($F146)&gt;=Preisindex!$A$6,YEAR(AE$4)&gt;=YEAR($F146),$K146="k"),ROUND(VLOOKUP(AJ$4,Preisindex,2,FALSE)/VLOOKUP(YEAR($F146),Preisindex,2,FALSE),2),0)))))</f>
        <v>0</v>
      </c>
      <c r="AK146" s="56">
        <f>IF(AND($E146&lt;&gt;0,$F146&gt;0,YEAR($F146)&lt;Preisindex!$A$6,YEAR(AE$4)&gt;=YEAR($F146),AND($K146&lt;&gt;"a",$K146&lt;&gt;"b",$K146&lt;&gt;"g",$K146&lt;&gt;"k")),1,IF(AND($E146&lt;&gt;0,$F146&gt;0,YEAR($F146)&lt;Preisindex!$A$6,YEAR(AE$4)&gt;=YEAR($F146),$K146="a"),ROUND(VLOOKUP(AJ$4,Preisindex,5,FALSE)/VLOOKUP(Preisindex!$A$6,Preisindex,5,FALSE),2),IF(AND($E146&lt;&gt;0,$F146&gt;0,YEAR($F146)&lt;Preisindex!$A$6,YEAR(AE$4)&gt;=YEAR($F146),$K146="b"),ROUND(VLOOKUP(AJ$4,Preisindex,3,FALSE)/VLOOKUP(Preisindex!$A$6,Preisindex,3,FALSE),2),IF(AND($E146&lt;&gt;0,$F146&gt;0,YEAR($F146)&lt;Preisindex!$A$6,YEAR(AE$4)&gt;=YEAR($F146),$K146="g"),ROUND(VLOOKUP(AJ$4,Preisindex,4,FALSE)/VLOOKUP(Preisindex!$A$6,Preisindex,4,FALSE),2),IF(AND($E146&lt;&gt;0,$F146&gt;0,YEAR($F146)&lt;Preisindex!$A$6,YEAR(AE$4)&gt;=YEAR($F146),$K146="k"),ROUND(VLOOKUP(AJ$4,Preisindex,2,FALSE)/VLOOKUP(Preisindex!$A$6,Preisindex,2,FALSE),2),0)))))</f>
        <v>0</v>
      </c>
      <c r="AL146" s="51">
        <f>IF(AND($E146&lt;&gt;0,$F146&gt;0,YEAR($F146)&lt;=AJ$4,YEAR($F146)&gt;=Preisindex!$A$6),ROUND($E146*AJ146,2),IF(AND($E146&lt;&gt;0,$F146&gt;0,YEAR($F146)&lt;=AJ$4,YEAR($F146)&lt;Preisindex!$A$6),ROUND($E146*AK146,2),0))</f>
        <v>0</v>
      </c>
      <c r="AM146" s="53">
        <f t="shared" si="576"/>
        <v>0</v>
      </c>
      <c r="AN146" s="51">
        <f t="shared" si="492"/>
        <v>0</v>
      </c>
      <c r="AO146" s="51">
        <f t="shared" si="448"/>
        <v>0</v>
      </c>
      <c r="AP146" s="51">
        <f t="shared" si="493"/>
        <v>0</v>
      </c>
      <c r="AQ146" s="51">
        <f t="shared" si="449"/>
        <v>0</v>
      </c>
      <c r="AR146" s="51">
        <f t="shared" si="494"/>
        <v>0</v>
      </c>
      <c r="AS146" s="51">
        <f t="shared" si="450"/>
        <v>0</v>
      </c>
      <c r="AT146" s="51">
        <f t="shared" si="495"/>
        <v>0</v>
      </c>
      <c r="AU146" s="51">
        <f t="shared" si="451"/>
        <v>0</v>
      </c>
      <c r="AV146" s="51">
        <f t="shared" si="496"/>
        <v>0</v>
      </c>
      <c r="AW146" s="51">
        <f t="shared" si="452"/>
        <v>0</v>
      </c>
      <c r="AX146" s="51">
        <f t="shared" si="497"/>
        <v>0</v>
      </c>
      <c r="AY146" s="54">
        <f t="shared" si="498"/>
        <v>0</v>
      </c>
      <c r="AZ146" s="55">
        <f t="shared" si="499"/>
        <v>0</v>
      </c>
      <c r="BA146" s="56">
        <f>IF(AND($E146&lt;&gt;0,$F146&gt;0,YEAR($F146)&gt;=Preisindex!$A$6,YEAR(AV$4)&gt;=YEAR($F146),AND($K146&lt;&gt;"a",$K146&lt;&gt;"b",$K146&lt;&gt;"g",$K146&lt;&gt;"k")),1,IF(AND($E146&lt;&gt;0,$F146&gt;0,YEAR($F146)&gt;=Preisindex!$A$6,YEAR(AV$4)&gt;=YEAR($F146),$K146="a"),ROUND(VLOOKUP(BA$4,Preisindex,5,FALSE)/VLOOKUP(YEAR($F146),Preisindex,5,FALSE),2),IF(AND($E146&lt;&gt;0,$F146&gt;0,YEAR($F146)&gt;=Preisindex!$A$6,YEAR(AV$4)&gt;=YEAR($F146),$K146="b"),ROUND(VLOOKUP(BA$4,Preisindex,3,FALSE)/VLOOKUP(YEAR($F146),Preisindex,3,FALSE),2),IF(AND($E146&lt;&gt;0,$F146&gt;0,YEAR($F146)&gt;=Preisindex!$A$6,YEAR(AV$4)&gt;=YEAR($F146),$K146="g"),ROUND(VLOOKUP(BA$4,Preisindex,4,FALSE)/VLOOKUP(YEAR($F146),Preisindex,4,FALSE),2),IF(AND($E146&lt;&gt;0,$F146&gt;0,YEAR($F146)&gt;=Preisindex!$A$6,YEAR(AV$4)&gt;=YEAR($F146),$K146="k"),ROUND(VLOOKUP(BA$4,Preisindex,2,FALSE)/VLOOKUP(YEAR($F146),Preisindex,2,FALSE),2),0)))))</f>
        <v>0</v>
      </c>
      <c r="BB146" s="56">
        <f>IF(AND($E146&lt;&gt;0,$F146&gt;0,YEAR($F146)&lt;Preisindex!$A$6,YEAR(AV$4)&gt;=YEAR($F146),AND($K146&lt;&gt;"a",$K146&lt;&gt;"b",$K146&lt;&gt;"g",$K146&lt;&gt;"k")),1,IF(AND($E146&lt;&gt;0,$F146&gt;0,YEAR($F146)&lt;Preisindex!$A$6,YEAR(AV$4)&gt;=YEAR($F146),$K146="a"),ROUND(VLOOKUP(BA$4,Preisindex,5,FALSE)/VLOOKUP(Preisindex!$A$6,Preisindex,5,FALSE),2),IF(AND($E146&lt;&gt;0,$F146&gt;0,YEAR($F146)&lt;Preisindex!$A$6,YEAR(AV$4)&gt;=YEAR($F146),$K146="b"),ROUND(VLOOKUP(BA$4,Preisindex,3,FALSE)/VLOOKUP(Preisindex!$A$6,Preisindex,3,FALSE),2),IF(AND($E146&lt;&gt;0,$F146&gt;0,YEAR($F146)&lt;Preisindex!$A$6,YEAR(AV$4)&gt;=YEAR($F146),$K146="g"),ROUND(VLOOKUP(BA$4,Preisindex,4,FALSE)/VLOOKUP(Preisindex!$A$6,Preisindex,4,FALSE),2),IF(AND($E146&lt;&gt;0,$F146&gt;0,YEAR($F146)&lt;Preisindex!$A$6,YEAR(AV$4)&gt;=YEAR($F146),$K146="k"),ROUND(VLOOKUP(BA$4,Preisindex,2,FALSE)/VLOOKUP(Preisindex!$A$6,Preisindex,2,FALSE),2),0)))))</f>
        <v>0</v>
      </c>
      <c r="BC146" s="51">
        <f>IF(AND($E146&lt;&gt;0,$F146&gt;0,YEAR($F146)&lt;=BA$4,YEAR($F146)&gt;=Preisindex!$A$6),ROUND($E146*BA146,2),IF(AND($E146&lt;&gt;0,$F146&gt;0,YEAR($F146)&lt;=BA$4,YEAR($F146)&lt;Preisindex!$A$6),ROUND($E146*BB146,2),0))</f>
        <v>0</v>
      </c>
      <c r="BD146" s="53">
        <f t="shared" si="500"/>
        <v>0</v>
      </c>
      <c r="BE146" s="51">
        <f t="shared" si="492"/>
        <v>0</v>
      </c>
      <c r="BF146" s="51">
        <f t="shared" si="453"/>
        <v>0</v>
      </c>
      <c r="BG146" s="51">
        <f t="shared" si="501"/>
        <v>0</v>
      </c>
      <c r="BH146" s="51">
        <f t="shared" si="454"/>
        <v>0</v>
      </c>
      <c r="BI146" s="51">
        <f t="shared" si="502"/>
        <v>0</v>
      </c>
      <c r="BJ146" s="51">
        <f t="shared" si="455"/>
        <v>0</v>
      </c>
      <c r="BK146" s="51">
        <f t="shared" si="503"/>
        <v>0</v>
      </c>
      <c r="BL146" s="51">
        <f t="shared" si="456"/>
        <v>0</v>
      </c>
      <c r="BM146" s="51">
        <f t="shared" si="504"/>
        <v>0</v>
      </c>
      <c r="BN146" s="51">
        <f t="shared" si="457"/>
        <v>0</v>
      </c>
      <c r="BO146" s="51">
        <f t="shared" si="505"/>
        <v>0</v>
      </c>
      <c r="BP146" s="54">
        <f t="shared" si="506"/>
        <v>0</v>
      </c>
      <c r="BQ146" s="55">
        <f t="shared" si="507"/>
        <v>0</v>
      </c>
      <c r="BR146" s="56">
        <f>IF(AND($E146&lt;&gt;0,$F146&gt;0,YEAR($F146)&gt;=Preisindex!$A$6,YEAR(BM$4)&gt;=YEAR($F146),AND($K146&lt;&gt;"a",$K146&lt;&gt;"b",$K146&lt;&gt;"g",$K146&lt;&gt;"k")),1,IF(AND($E146&lt;&gt;0,$F146&gt;0,YEAR($F146)&gt;=Preisindex!$A$6,YEAR(BM$4)&gt;=YEAR($F146),$K146="a"),ROUND(VLOOKUP(BR$4,Preisindex,5,FALSE)/VLOOKUP(YEAR($F146),Preisindex,5,FALSE),2),IF(AND($E146&lt;&gt;0,$F146&gt;0,YEAR($F146)&gt;=Preisindex!$A$6,YEAR(BM$4)&gt;=YEAR($F146),$K146="b"),ROUND(VLOOKUP(BR$4,Preisindex,3,FALSE)/VLOOKUP(YEAR($F146),Preisindex,3,FALSE),2),IF(AND($E146&lt;&gt;0,$F146&gt;0,YEAR($F146)&gt;=Preisindex!$A$6,YEAR(BM$4)&gt;=YEAR($F146),$K146="g"),ROUND(VLOOKUP(BR$4,Preisindex,4,FALSE)/VLOOKUP(YEAR($F146),Preisindex,4,FALSE),2),IF(AND($E146&lt;&gt;0,$F146&gt;0,YEAR($F146)&gt;=Preisindex!$A$6,YEAR(BM$4)&gt;=YEAR($F146),$K146="k"),ROUND(VLOOKUP(BR$4,Preisindex,2,FALSE)/VLOOKUP(YEAR($F146),Preisindex,2,FALSE),2),0)))))</f>
        <v>0</v>
      </c>
      <c r="BS146" s="56">
        <f>IF(AND($E146&lt;&gt;0,$F146&gt;0,YEAR($F146)&lt;Preisindex!$A$6,YEAR(BM$4)&gt;=YEAR($F146),AND($K146&lt;&gt;"a",$K146&lt;&gt;"b",$K146&lt;&gt;"g",$K146&lt;&gt;"k")),1,IF(AND($E146&lt;&gt;0,$F146&gt;0,YEAR($F146)&lt;Preisindex!$A$6,YEAR(BM$4)&gt;=YEAR($F146),$K146="a"),ROUND(VLOOKUP(BR$4,Preisindex,5,FALSE)/VLOOKUP(Preisindex!$A$6,Preisindex,5,FALSE),2),IF(AND($E146&lt;&gt;0,$F146&gt;0,YEAR($F146)&lt;Preisindex!$A$6,YEAR(BM$4)&gt;=YEAR($F146),$K146="b"),ROUND(VLOOKUP(BR$4,Preisindex,3,FALSE)/VLOOKUP(Preisindex!$A$6,Preisindex,3,FALSE),2),IF(AND($E146&lt;&gt;0,$F146&gt;0,YEAR($F146)&lt;Preisindex!$A$6,YEAR(BM$4)&gt;=YEAR($F146),$K146="g"),ROUND(VLOOKUP(BR$4,Preisindex,4,FALSE)/VLOOKUP(Preisindex!$A$6,Preisindex,4,FALSE),2),IF(AND($E146&lt;&gt;0,$F146&gt;0,YEAR($F146)&lt;Preisindex!$A$6,YEAR(BM$4)&gt;=YEAR($F146),$K146="k"),ROUND(VLOOKUP(BR$4,Preisindex,2,FALSE)/VLOOKUP(Preisindex!$A$6,Preisindex,2,FALSE),2),0)))))</f>
        <v>0</v>
      </c>
      <c r="BT146" s="51">
        <f>IF(AND($E146&lt;&gt;0,$F146&gt;0,YEAR($F146)&lt;=BR$4,YEAR($F146)&gt;=Preisindex!$A$6),ROUND($E146*BR146,2),IF(AND($E146&lt;&gt;0,$F146&gt;0,YEAR($F146)&lt;=BR$4,YEAR($F146)&lt;Preisindex!$A$6),ROUND($E146*BS146,2),0))</f>
        <v>0</v>
      </c>
      <c r="BU146" s="53">
        <f t="shared" si="508"/>
        <v>0</v>
      </c>
      <c r="BV146" s="51">
        <f t="shared" si="492"/>
        <v>0</v>
      </c>
      <c r="BW146" s="51">
        <f t="shared" si="458"/>
        <v>0</v>
      </c>
      <c r="BX146" s="51">
        <f t="shared" si="509"/>
        <v>0</v>
      </c>
      <c r="BY146" s="51">
        <f t="shared" si="459"/>
        <v>0</v>
      </c>
      <c r="BZ146" s="51">
        <f t="shared" si="510"/>
        <v>0</v>
      </c>
      <c r="CA146" s="51">
        <f t="shared" si="460"/>
        <v>0</v>
      </c>
      <c r="CB146" s="51">
        <f t="shared" si="511"/>
        <v>0</v>
      </c>
      <c r="CC146" s="51">
        <f t="shared" si="461"/>
        <v>0</v>
      </c>
      <c r="CD146" s="51">
        <f t="shared" si="512"/>
        <v>0</v>
      </c>
      <c r="CE146" s="51">
        <f t="shared" si="462"/>
        <v>0</v>
      </c>
      <c r="CF146" s="51">
        <f t="shared" si="513"/>
        <v>0</v>
      </c>
      <c r="CG146" s="54">
        <f t="shared" si="514"/>
        <v>0</v>
      </c>
      <c r="CH146" s="55">
        <f t="shared" si="515"/>
        <v>0</v>
      </c>
      <c r="CI146" s="56">
        <f>IF(AND($E146&lt;&gt;0,$F146&gt;0,YEAR($F146)&gt;=Preisindex!$A$6,YEAR(CD$4)&gt;=YEAR($F146),AND($K146&lt;&gt;"a",$K146&lt;&gt;"b",$K146&lt;&gt;"g",$K146&lt;&gt;"k")),1,IF(AND($E146&lt;&gt;0,$F146&gt;0,YEAR($F146)&gt;=Preisindex!$A$6,YEAR(CD$4)&gt;=YEAR($F146),$K146="a"),ROUND(VLOOKUP(CI$4,Preisindex,5,FALSE)/VLOOKUP(YEAR($F146),Preisindex,5,FALSE),2),IF(AND($E146&lt;&gt;0,$F146&gt;0,YEAR($F146)&gt;=Preisindex!$A$6,YEAR(CD$4)&gt;=YEAR($F146),$K146="b"),ROUND(VLOOKUP(CI$4,Preisindex,3,FALSE)/VLOOKUP(YEAR($F146),Preisindex,3,FALSE),2),IF(AND($E146&lt;&gt;0,$F146&gt;0,YEAR($F146)&gt;=Preisindex!$A$6,YEAR(CD$4)&gt;=YEAR($F146),$K146="g"),ROUND(VLOOKUP(CI$4,Preisindex,4,FALSE)/VLOOKUP(YEAR($F146),Preisindex,4,FALSE),2),IF(AND($E146&lt;&gt;0,$F146&gt;0,YEAR($F146)&gt;=Preisindex!$A$6,YEAR(CD$4)&gt;=YEAR($F146),$K146="k"),ROUND(VLOOKUP(CI$4,Preisindex,2,FALSE)/VLOOKUP(YEAR($F146),Preisindex,2,FALSE),2),0)))))</f>
        <v>0</v>
      </c>
      <c r="CJ146" s="56">
        <f>IF(AND($E146&lt;&gt;0,$F146&gt;0,YEAR($F146)&lt;Preisindex!$A$6,YEAR(CD$4)&gt;=YEAR($F146),AND($K146&lt;&gt;"a",$K146&lt;&gt;"b",$K146&lt;&gt;"g",$K146&lt;&gt;"k")),1,IF(AND($E146&lt;&gt;0,$F146&gt;0,YEAR($F146)&lt;Preisindex!$A$6,YEAR(CD$4)&gt;=YEAR($F146),$K146="a"),ROUND(VLOOKUP(CI$4,Preisindex,5,FALSE)/VLOOKUP(Preisindex!$A$6,Preisindex,5,FALSE),2),IF(AND($E146&lt;&gt;0,$F146&gt;0,YEAR($F146)&lt;Preisindex!$A$6,YEAR(CD$4)&gt;=YEAR($F146),$K146="b"),ROUND(VLOOKUP(CI$4,Preisindex,3,FALSE)/VLOOKUP(Preisindex!$A$6,Preisindex,3,FALSE),2),IF(AND($E146&lt;&gt;0,$F146&gt;0,YEAR($F146)&lt;Preisindex!$A$6,YEAR(CD$4)&gt;=YEAR($F146),$K146="g"),ROUND(VLOOKUP(CI$4,Preisindex,4,FALSE)/VLOOKUP(Preisindex!$A$6,Preisindex,4,FALSE),2),IF(AND($E146&lt;&gt;0,$F146&gt;0,YEAR($F146)&lt;Preisindex!$A$6,YEAR(CD$4)&gt;=YEAR($F146),$K146="k"),ROUND(VLOOKUP(CI$4,Preisindex,2,FALSE)/VLOOKUP(Preisindex!$A$6,Preisindex,2,FALSE),2),0)))))</f>
        <v>0</v>
      </c>
      <c r="CK146" s="51">
        <f>IF(AND($E146&lt;&gt;0,$F146&gt;0,YEAR($F146)&lt;=CI$4,YEAR($F146)&gt;=Preisindex!$A$6),ROUND($E146*CI146,2),IF(AND($E146&lt;&gt;0,$F146&gt;0,YEAR($F146)&lt;=CI$4,YEAR($F146)&lt;Preisindex!$A$6),ROUND($E146*CJ146,2),0))</f>
        <v>0</v>
      </c>
      <c r="CL146" s="53">
        <f t="shared" si="516"/>
        <v>0</v>
      </c>
      <c r="CM146" s="51">
        <f t="shared" si="492"/>
        <v>0</v>
      </c>
      <c r="CN146" s="51">
        <f t="shared" si="463"/>
        <v>0</v>
      </c>
      <c r="CO146" s="51">
        <f t="shared" si="517"/>
        <v>0</v>
      </c>
      <c r="CP146" s="51">
        <f t="shared" si="464"/>
        <v>0</v>
      </c>
      <c r="CQ146" s="51">
        <f t="shared" si="518"/>
        <v>0</v>
      </c>
      <c r="CR146" s="51">
        <f t="shared" si="465"/>
        <v>0</v>
      </c>
      <c r="CS146" s="51">
        <f t="shared" si="519"/>
        <v>0</v>
      </c>
      <c r="CT146" s="51">
        <f t="shared" si="466"/>
        <v>0</v>
      </c>
      <c r="CU146" s="51">
        <f t="shared" si="520"/>
        <v>0</v>
      </c>
      <c r="CV146" s="51">
        <f t="shared" si="467"/>
        <v>0</v>
      </c>
      <c r="CW146" s="51">
        <f t="shared" si="521"/>
        <v>0</v>
      </c>
      <c r="CX146" s="54">
        <f t="shared" si="522"/>
        <v>0</v>
      </c>
      <c r="CY146" s="55">
        <f t="shared" si="523"/>
        <v>0</v>
      </c>
      <c r="CZ146" s="56">
        <f>IF(AND($E146&lt;&gt;0,$F146&gt;0,YEAR($F146)&gt;=Preisindex!$A$6,YEAR(CU$4)&gt;=YEAR($F146),AND($K146&lt;&gt;"a",$K146&lt;&gt;"b",$K146&lt;&gt;"g",$K146&lt;&gt;"k")),1,IF(AND($E146&lt;&gt;0,$F146&gt;0,YEAR($F146)&gt;=Preisindex!$A$6,YEAR(CU$4)&gt;=YEAR($F146),$K146="a"),ROUND(VLOOKUP(CZ$4,Preisindex,5,FALSE)/VLOOKUP(YEAR($F146),Preisindex,5,FALSE),2),IF(AND($E146&lt;&gt;0,$F146&gt;0,YEAR($F146)&gt;=Preisindex!$A$6,YEAR(CU$4)&gt;=YEAR($F146),$K146="b"),ROUND(VLOOKUP(CZ$4,Preisindex,3,FALSE)/VLOOKUP(YEAR($F146),Preisindex,3,FALSE),2),IF(AND($E146&lt;&gt;0,$F146&gt;0,YEAR($F146)&gt;=Preisindex!$A$6,YEAR(CU$4)&gt;=YEAR($F146),$K146="g"),ROUND(VLOOKUP(CZ$4,Preisindex,4,FALSE)/VLOOKUP(YEAR($F146),Preisindex,4,FALSE),2),IF(AND($E146&lt;&gt;0,$F146&gt;0,YEAR($F146)&gt;=Preisindex!$A$6,YEAR(CU$4)&gt;=YEAR($F146),$K146="k"),ROUND(VLOOKUP(CZ$4,Preisindex,2,FALSE)/VLOOKUP(YEAR($F146),Preisindex,2,FALSE),2),0)))))</f>
        <v>0</v>
      </c>
      <c r="DA146" s="56">
        <f>IF(AND($E146&lt;&gt;0,$F146&gt;0,YEAR($F146)&lt;Preisindex!$A$6,YEAR(CU$4)&gt;=YEAR($F146),AND($K146&lt;&gt;"a",$K146&lt;&gt;"b",$K146&lt;&gt;"g",$K146&lt;&gt;"k")),1,IF(AND($E146&lt;&gt;0,$F146&gt;0,YEAR($F146)&lt;Preisindex!$A$6,YEAR(CU$4)&gt;=YEAR($F146),$K146="a"),ROUND(VLOOKUP(CZ$4,Preisindex,5,FALSE)/VLOOKUP(Preisindex!$A$6,Preisindex,5,FALSE),2),IF(AND($E146&lt;&gt;0,$F146&gt;0,YEAR($F146)&lt;Preisindex!$A$6,YEAR(CU$4)&gt;=YEAR($F146),$K146="b"),ROUND(VLOOKUP(CZ$4,Preisindex,3,FALSE)/VLOOKUP(Preisindex!$A$6,Preisindex,3,FALSE),2),IF(AND($E146&lt;&gt;0,$F146&gt;0,YEAR($F146)&lt;Preisindex!$A$6,YEAR(CU$4)&gt;=YEAR($F146),$K146="g"),ROUND(VLOOKUP(CZ$4,Preisindex,4,FALSE)/VLOOKUP(Preisindex!$A$6,Preisindex,4,FALSE),2),IF(AND($E146&lt;&gt;0,$F146&gt;0,YEAR($F146)&lt;Preisindex!$A$6,YEAR(CU$4)&gt;=YEAR($F146),$K146="k"),ROUND(VLOOKUP(CZ$4,Preisindex,2,FALSE)/VLOOKUP(Preisindex!$A$6,Preisindex,2,FALSE),2),0)))))</f>
        <v>0</v>
      </c>
      <c r="DB146" s="51">
        <f>IF(AND($E146&lt;&gt;0,$F146&gt;0,YEAR($F146)&lt;=CZ$4,YEAR($F146)&gt;=Preisindex!$A$6),ROUND($E146*CZ146,2),IF(AND($E146&lt;&gt;0,$F146&gt;0,YEAR($F146)&lt;=CZ$4,YEAR($F146)&lt;Preisindex!$A$6),ROUND($E146*DA146,2),0))</f>
        <v>0</v>
      </c>
      <c r="DC146" s="53">
        <f t="shared" si="524"/>
        <v>0</v>
      </c>
      <c r="DD146" s="51">
        <f t="shared" si="525"/>
        <v>0</v>
      </c>
      <c r="DE146" s="51">
        <f t="shared" si="468"/>
        <v>0</v>
      </c>
      <c r="DF146" s="51">
        <f t="shared" si="526"/>
        <v>0</v>
      </c>
      <c r="DG146" s="51">
        <f t="shared" si="469"/>
        <v>0</v>
      </c>
      <c r="DH146" s="51">
        <f t="shared" si="527"/>
        <v>0</v>
      </c>
      <c r="DI146" s="51">
        <f t="shared" si="470"/>
        <v>0</v>
      </c>
      <c r="DJ146" s="51">
        <f t="shared" si="528"/>
        <v>0</v>
      </c>
      <c r="DK146" s="51">
        <f t="shared" si="471"/>
        <v>0</v>
      </c>
      <c r="DL146" s="51">
        <f t="shared" si="529"/>
        <v>0</v>
      </c>
      <c r="DM146" s="51">
        <f t="shared" si="472"/>
        <v>0</v>
      </c>
      <c r="DN146" s="51">
        <f t="shared" si="530"/>
        <v>0</v>
      </c>
      <c r="DO146" s="54">
        <f t="shared" si="531"/>
        <v>0</v>
      </c>
      <c r="DP146" s="55">
        <f t="shared" si="532"/>
        <v>0</v>
      </c>
      <c r="DQ146" s="56">
        <f>IF(AND($E146&lt;&gt;0,$F146&gt;0,YEAR($F146)&gt;=Preisindex!$A$6,YEAR(DL$4)&gt;=YEAR($F146),AND($K146&lt;&gt;"a",$K146&lt;&gt;"b",$K146&lt;&gt;"g",$K146&lt;&gt;"k")),1,IF(AND($E146&lt;&gt;0,$F146&gt;0,YEAR($F146)&gt;=Preisindex!$A$6,YEAR(DL$4)&gt;=YEAR($F146),$K146="a"),ROUND(VLOOKUP(DQ$4,Preisindex,5,FALSE)/VLOOKUP(YEAR($F146),Preisindex,5,FALSE),2),IF(AND($E146&lt;&gt;0,$F146&gt;0,YEAR($F146)&gt;=Preisindex!$A$6,YEAR(DL$4)&gt;=YEAR($F146),$K146="b"),ROUND(VLOOKUP(DQ$4,Preisindex,3,FALSE)/VLOOKUP(YEAR($F146),Preisindex,3,FALSE),2),IF(AND($E146&lt;&gt;0,$F146&gt;0,YEAR($F146)&gt;=Preisindex!$A$6,YEAR(DL$4)&gt;=YEAR($F146),$K146="g"),ROUND(VLOOKUP(DQ$4,Preisindex,4,FALSE)/VLOOKUP(YEAR($F146),Preisindex,4,FALSE),2),IF(AND($E146&lt;&gt;0,$F146&gt;0,YEAR($F146)&gt;=Preisindex!$A$6,YEAR(DL$4)&gt;=YEAR($F146),$K146="k"),ROUND(VLOOKUP(DQ$4,Preisindex,2,FALSE)/VLOOKUP(YEAR($F146),Preisindex,2,FALSE),2),0)))))</f>
        <v>0</v>
      </c>
      <c r="DR146" s="56">
        <f>IF(AND($E146&lt;&gt;0,$F146&gt;0,YEAR($F146)&lt;Preisindex!$A$6,YEAR(DL$4)&gt;=YEAR($F146),AND($K146&lt;&gt;"a",$K146&lt;&gt;"b",$K146&lt;&gt;"g",$K146&lt;&gt;"k")),1,IF(AND($E146&lt;&gt;0,$F146&gt;0,YEAR($F146)&lt;Preisindex!$A$6,YEAR(DL$4)&gt;=YEAR($F146),$K146="a"),ROUND(VLOOKUP(DQ$4,Preisindex,5,FALSE)/VLOOKUP(Preisindex!$A$6,Preisindex,5,FALSE),2),IF(AND($E146&lt;&gt;0,$F146&gt;0,YEAR($F146)&lt;Preisindex!$A$6,YEAR(DL$4)&gt;=YEAR($F146),$K146="b"),ROUND(VLOOKUP(DQ$4,Preisindex,3,FALSE)/VLOOKUP(Preisindex!$A$6,Preisindex,3,FALSE),2),IF(AND($E146&lt;&gt;0,$F146&gt;0,YEAR($F146)&lt;Preisindex!$A$6,YEAR(DL$4)&gt;=YEAR($F146),$K146="g"),ROUND(VLOOKUP(DQ$4,Preisindex,4,FALSE)/VLOOKUP(Preisindex!$A$6,Preisindex,4,FALSE),2),IF(AND($E146&lt;&gt;0,$F146&gt;0,YEAR($F146)&lt;Preisindex!$A$6,YEAR(DL$4)&gt;=YEAR($F146),$K146="k"),ROUND(VLOOKUP(DQ$4,Preisindex,2,FALSE)/VLOOKUP(Preisindex!$A$6,Preisindex,2,FALSE),2),0)))))</f>
        <v>0</v>
      </c>
      <c r="DS146" s="51">
        <f>IF(AND($E146&lt;&gt;0,$F146&gt;0,YEAR($F146)&lt;=DQ$4,YEAR($F146)&gt;=Preisindex!$A$6),ROUND($E146*DQ146,2),IF(AND($E146&lt;&gt;0,$F146&gt;0,YEAR($F146)&lt;=DQ$4,YEAR($F146)&lt;Preisindex!$A$6),ROUND($E146*DR146,2),0))</f>
        <v>0</v>
      </c>
      <c r="DT146" s="53">
        <f t="shared" si="533"/>
        <v>0</v>
      </c>
      <c r="DU146" s="51">
        <f t="shared" si="525"/>
        <v>0</v>
      </c>
      <c r="DV146" s="51">
        <f t="shared" si="473"/>
        <v>0</v>
      </c>
      <c r="DW146" s="51">
        <f t="shared" si="534"/>
        <v>0</v>
      </c>
      <c r="DX146" s="51">
        <f t="shared" si="474"/>
        <v>0</v>
      </c>
      <c r="DY146" s="51">
        <f t="shared" si="535"/>
        <v>0</v>
      </c>
      <c r="DZ146" s="51">
        <f t="shared" si="475"/>
        <v>0</v>
      </c>
      <c r="EA146" s="51">
        <f t="shared" si="536"/>
        <v>0</v>
      </c>
      <c r="EB146" s="51">
        <f t="shared" si="476"/>
        <v>0</v>
      </c>
      <c r="EC146" s="51">
        <f t="shared" si="537"/>
        <v>0</v>
      </c>
      <c r="ED146" s="51">
        <f t="shared" si="477"/>
        <v>0</v>
      </c>
      <c r="EE146" s="51">
        <f t="shared" si="538"/>
        <v>0</v>
      </c>
      <c r="EF146" s="54">
        <f t="shared" si="539"/>
        <v>0</v>
      </c>
      <c r="EG146" s="55">
        <f t="shared" si="540"/>
        <v>0</v>
      </c>
      <c r="EH146" s="56">
        <f>IF(AND($E146&lt;&gt;0,$F146&gt;0,YEAR($F146)&gt;=Preisindex!$A$6,YEAR(EC$4)&gt;=YEAR($F146),AND($K146&lt;&gt;"a",$K146&lt;&gt;"b",$K146&lt;&gt;"g",$K146&lt;&gt;"k")),1,IF(AND($E146&lt;&gt;0,$F146&gt;0,YEAR($F146)&gt;=Preisindex!$A$6,YEAR(EC$4)&gt;=YEAR($F146),$K146="a"),ROUND(VLOOKUP(EH$4,Preisindex,5,FALSE)/VLOOKUP(YEAR($F146),Preisindex,5,FALSE),2),IF(AND($E146&lt;&gt;0,$F146&gt;0,YEAR($F146)&gt;=Preisindex!$A$6,YEAR(EC$4)&gt;=YEAR($F146),$K146="b"),ROUND(VLOOKUP(EH$4,Preisindex,3,FALSE)/VLOOKUP(YEAR($F146),Preisindex,3,FALSE),2),IF(AND($E146&lt;&gt;0,$F146&gt;0,YEAR($F146)&gt;=Preisindex!$A$6,YEAR(EC$4)&gt;=YEAR($F146),$K146="g"),ROUND(VLOOKUP(EH$4,Preisindex,4,FALSE)/VLOOKUP(YEAR($F146),Preisindex,4,FALSE),2),IF(AND($E146&lt;&gt;0,$F146&gt;0,YEAR($F146)&gt;=Preisindex!$A$6,YEAR(EC$4)&gt;=YEAR($F146),$K146="k"),ROUND(VLOOKUP(EH$4,Preisindex,2,FALSE)/VLOOKUP(YEAR($F146),Preisindex,2,FALSE),2),0)))))</f>
        <v>0</v>
      </c>
      <c r="EI146" s="56">
        <f>IF(AND($E146&lt;&gt;0,$F146&gt;0,YEAR($F146)&lt;Preisindex!$A$6,YEAR(EC$4)&gt;=YEAR($F146),AND($K146&lt;&gt;"a",$K146&lt;&gt;"b",$K146&lt;&gt;"g",$K146&lt;&gt;"k")),1,IF(AND($E146&lt;&gt;0,$F146&gt;0,YEAR($F146)&lt;Preisindex!$A$6,YEAR(EC$4)&gt;=YEAR($F146),$K146="a"),ROUND(VLOOKUP(EH$4,Preisindex,5,FALSE)/VLOOKUP(Preisindex!$A$6,Preisindex,5,FALSE),2),IF(AND($E146&lt;&gt;0,$F146&gt;0,YEAR($F146)&lt;Preisindex!$A$6,YEAR(EC$4)&gt;=YEAR($F146),$K146="b"),ROUND(VLOOKUP(EH$4,Preisindex,3,FALSE)/VLOOKUP(Preisindex!$A$6,Preisindex,3,FALSE),2),IF(AND($E146&lt;&gt;0,$F146&gt;0,YEAR($F146)&lt;Preisindex!$A$6,YEAR(EC$4)&gt;=YEAR($F146),$K146="g"),ROUND(VLOOKUP(EH$4,Preisindex,4,FALSE)/VLOOKUP(Preisindex!$A$6,Preisindex,4,FALSE),2),IF(AND($E146&lt;&gt;0,$F146&gt;0,YEAR($F146)&lt;Preisindex!$A$6,YEAR(EC$4)&gt;=YEAR($F146),$K146="k"),ROUND(VLOOKUP(EH$4,Preisindex,2,FALSE)/VLOOKUP(Preisindex!$A$6,Preisindex,2,FALSE),2),0)))))</f>
        <v>0</v>
      </c>
      <c r="EJ146" s="51">
        <f>IF(AND($E146&lt;&gt;0,$F146&gt;0,YEAR($F146)&lt;=EH$4,YEAR($F146)&gt;=Preisindex!$A$6),ROUND($E146*EH146,2),IF(AND($E146&lt;&gt;0,$F146&gt;0,YEAR($F146)&lt;=EH$4,YEAR($F146)&lt;Preisindex!$A$6),ROUND($E146*EI146,2),0))</f>
        <v>0</v>
      </c>
      <c r="EK146" s="53">
        <f t="shared" si="541"/>
        <v>0</v>
      </c>
      <c r="EL146" s="51">
        <f t="shared" si="525"/>
        <v>0</v>
      </c>
      <c r="EM146" s="51">
        <f t="shared" si="478"/>
        <v>0</v>
      </c>
      <c r="EN146" s="51">
        <f t="shared" si="542"/>
        <v>0</v>
      </c>
      <c r="EO146" s="51">
        <f t="shared" si="479"/>
        <v>0</v>
      </c>
      <c r="EP146" s="51">
        <f t="shared" si="543"/>
        <v>0</v>
      </c>
      <c r="EQ146" s="51">
        <f t="shared" si="480"/>
        <v>0</v>
      </c>
      <c r="ER146" s="51">
        <f t="shared" si="544"/>
        <v>0</v>
      </c>
      <c r="ES146" s="51">
        <f t="shared" si="481"/>
        <v>0</v>
      </c>
      <c r="ET146" s="51">
        <f t="shared" si="545"/>
        <v>0</v>
      </c>
      <c r="EU146" s="51">
        <f t="shared" si="482"/>
        <v>0</v>
      </c>
      <c r="EV146" s="51">
        <f t="shared" si="546"/>
        <v>0</v>
      </c>
      <c r="EW146" s="54">
        <f t="shared" si="547"/>
        <v>0</v>
      </c>
      <c r="EX146" s="55">
        <f t="shared" si="548"/>
        <v>0</v>
      </c>
      <c r="EY146" s="56">
        <f>IF(AND($E146&lt;&gt;0,$F146&gt;0,YEAR($F146)&gt;=Preisindex!$A$6,YEAR(ET$4)&gt;=YEAR($F146),AND($K146&lt;&gt;"a",$K146&lt;&gt;"b",$K146&lt;&gt;"g",$K146&lt;&gt;"k")),1,IF(AND($E146&lt;&gt;0,$F146&gt;0,YEAR($F146)&gt;=Preisindex!$A$6,YEAR(ET$4)&gt;=YEAR($F146),$K146="a"),ROUND(VLOOKUP(EY$4,Preisindex,5,FALSE)/VLOOKUP(YEAR($F146),Preisindex,5,FALSE),2),IF(AND($E146&lt;&gt;0,$F146&gt;0,YEAR($F146)&gt;=Preisindex!$A$6,YEAR(ET$4)&gt;=YEAR($F146),$K146="b"),ROUND(VLOOKUP(EY$4,Preisindex,3,FALSE)/VLOOKUP(YEAR($F146),Preisindex,3,FALSE),2),IF(AND($E146&lt;&gt;0,$F146&gt;0,YEAR($F146)&gt;=Preisindex!$A$6,YEAR(ET$4)&gt;=YEAR($F146),$K146="g"),ROUND(VLOOKUP(EY$4,Preisindex,4,FALSE)/VLOOKUP(YEAR($F146),Preisindex,4,FALSE),2),IF(AND($E146&lt;&gt;0,$F146&gt;0,YEAR($F146)&gt;=Preisindex!$A$6,YEAR(ET$4)&gt;=YEAR($F146),$K146="k"),ROUND(VLOOKUP(EY$4,Preisindex,2,FALSE)/VLOOKUP(YEAR($F146),Preisindex,2,FALSE),2),0)))))</f>
        <v>0</v>
      </c>
      <c r="EZ146" s="56">
        <f>IF(AND($E146&lt;&gt;0,$F146&gt;0,YEAR($F146)&lt;Preisindex!$A$6,YEAR(ET$4)&gt;=YEAR($F146),AND($K146&lt;&gt;"a",$K146&lt;&gt;"b",$K146&lt;&gt;"g",$K146&lt;&gt;"k")),1,IF(AND($E146&lt;&gt;0,$F146&gt;0,YEAR($F146)&lt;Preisindex!$A$6,YEAR(ET$4)&gt;=YEAR($F146),$K146="a"),ROUND(VLOOKUP(EY$4,Preisindex,5,FALSE)/VLOOKUP(Preisindex!$A$6,Preisindex,5,FALSE),2),IF(AND($E146&lt;&gt;0,$F146&gt;0,YEAR($F146)&lt;Preisindex!$A$6,YEAR(ET$4)&gt;=YEAR($F146),$K146="b"),ROUND(VLOOKUP(EY$4,Preisindex,3,FALSE)/VLOOKUP(Preisindex!$A$6,Preisindex,3,FALSE),2),IF(AND($E146&lt;&gt;0,$F146&gt;0,YEAR($F146)&lt;Preisindex!$A$6,YEAR(ET$4)&gt;=YEAR($F146),$K146="g"),ROUND(VLOOKUP(EY$4,Preisindex,4,FALSE)/VLOOKUP(Preisindex!$A$6,Preisindex,4,FALSE),2),IF(AND($E146&lt;&gt;0,$F146&gt;0,YEAR($F146)&lt;Preisindex!$A$6,YEAR(ET$4)&gt;=YEAR($F146),$K146="k"),ROUND(VLOOKUP(EY$4,Preisindex,2,FALSE)/VLOOKUP(Preisindex!$A$6,Preisindex,2,FALSE),2),0)))))</f>
        <v>0</v>
      </c>
      <c r="FA146" s="51">
        <f>IF(AND($E146&lt;&gt;0,$F146&gt;0,YEAR($F146)&lt;=EY$4,YEAR($F146)&gt;=Preisindex!$A$6),ROUND($E146*EY146,2),IF(AND($E146&lt;&gt;0,$F146&gt;0,YEAR($F146)&lt;=EY$4,YEAR($F146)&lt;Preisindex!$A$6),ROUND($E146*EZ146,2),0))</f>
        <v>0</v>
      </c>
      <c r="FB146" s="53">
        <f t="shared" si="549"/>
        <v>0</v>
      </c>
      <c r="FC146" s="51">
        <f t="shared" si="525"/>
        <v>0</v>
      </c>
      <c r="FD146" s="51">
        <f t="shared" si="483"/>
        <v>0</v>
      </c>
      <c r="FE146" s="51">
        <f t="shared" si="550"/>
        <v>0</v>
      </c>
      <c r="FF146" s="51">
        <f t="shared" si="484"/>
        <v>0</v>
      </c>
      <c r="FG146" s="51">
        <f t="shared" si="551"/>
        <v>0</v>
      </c>
      <c r="FH146" s="51">
        <f t="shared" si="485"/>
        <v>0</v>
      </c>
      <c r="FI146" s="51">
        <f t="shared" si="552"/>
        <v>0</v>
      </c>
      <c r="FJ146" s="51">
        <f t="shared" si="486"/>
        <v>0</v>
      </c>
      <c r="FK146" s="51">
        <f t="shared" si="553"/>
        <v>0</v>
      </c>
      <c r="FL146" s="51">
        <f t="shared" si="487"/>
        <v>0</v>
      </c>
      <c r="FM146" s="51">
        <f t="shared" si="554"/>
        <v>0</v>
      </c>
      <c r="FN146" s="54">
        <f t="shared" si="555"/>
        <v>0</v>
      </c>
      <c r="FO146" s="55">
        <f t="shared" si="556"/>
        <v>0</v>
      </c>
      <c r="FP146" s="56">
        <f>IF(AND($E146&lt;&gt;0,$F146&gt;0,YEAR($F146)&gt;=Preisindex!$A$6,YEAR(FK$4)&gt;=YEAR($F146),AND($K146&lt;&gt;"a",$K146&lt;&gt;"b",$K146&lt;&gt;"g",$K146&lt;&gt;"k")),1,IF(AND($E146&lt;&gt;0,$F146&gt;0,YEAR($F146)&gt;=Preisindex!$A$6,YEAR(FK$4)&gt;=YEAR($F146),$K146="a"),ROUND(VLOOKUP(FP$4,Preisindex,5,FALSE)/VLOOKUP(YEAR($F146),Preisindex,5,FALSE),2),IF(AND($E146&lt;&gt;0,$F146&gt;0,YEAR($F146)&gt;=Preisindex!$A$6,YEAR(FK$4)&gt;=YEAR($F146),$K146="b"),ROUND(VLOOKUP(FP$4,Preisindex,3,FALSE)/VLOOKUP(YEAR($F146),Preisindex,3,FALSE),2),IF(AND($E146&lt;&gt;0,$F146&gt;0,YEAR($F146)&gt;=Preisindex!$A$6,YEAR(FK$4)&gt;=YEAR($F146),$K146="g"),ROUND(VLOOKUP(FP$4,Preisindex,4,FALSE)/VLOOKUP(YEAR($F146),Preisindex,4,FALSE),2),IF(AND($E146&lt;&gt;0,$F146&gt;0,YEAR($F146)&gt;=Preisindex!$A$6,YEAR(FK$4)&gt;=YEAR($F146),$K146="k"),ROUND(VLOOKUP(FP$4,Preisindex,2,FALSE)/VLOOKUP(YEAR($F146),Preisindex,2,FALSE),2),0)))))</f>
        <v>0</v>
      </c>
      <c r="FQ146" s="56">
        <f>IF(AND($E146&lt;&gt;0,$F146&gt;0,YEAR($F146)&lt;Preisindex!$A$6,YEAR(FK$4)&gt;=YEAR($F146),AND($K146&lt;&gt;"a",$K146&lt;&gt;"b",$K146&lt;&gt;"g",$K146&lt;&gt;"k")),1,IF(AND($E146&lt;&gt;0,$F146&gt;0,YEAR($F146)&lt;Preisindex!$A$6,YEAR(FK$4)&gt;=YEAR($F146),$K146="a"),ROUND(VLOOKUP(FP$4,Preisindex,5,FALSE)/VLOOKUP(Preisindex!$A$6,Preisindex,5,FALSE),2),IF(AND($E146&lt;&gt;0,$F146&gt;0,YEAR($F146)&lt;Preisindex!$A$6,YEAR(FK$4)&gt;=YEAR($F146),$K146="b"),ROUND(VLOOKUP(FP$4,Preisindex,3,FALSE)/VLOOKUP(Preisindex!$A$6,Preisindex,3,FALSE),2),IF(AND($E146&lt;&gt;0,$F146&gt;0,YEAR($F146)&lt;Preisindex!$A$6,YEAR(FK$4)&gt;=YEAR($F146),$K146="g"),ROUND(VLOOKUP(FP$4,Preisindex,4,FALSE)/VLOOKUP(Preisindex!$A$6,Preisindex,4,FALSE),2),IF(AND($E146&lt;&gt;0,$F146&gt;0,YEAR($F146)&lt;Preisindex!$A$6,YEAR(FK$4)&gt;=YEAR($F146),$K146="k"),ROUND(VLOOKUP(FP$4,Preisindex,2,FALSE)/VLOOKUP(Preisindex!$A$6,Preisindex,2,FALSE),2),0)))))</f>
        <v>0</v>
      </c>
      <c r="FR146" s="51">
        <f>IF(AND($E146&lt;&gt;0,$F146&gt;0,YEAR($F146)&lt;=FP$4,YEAR($F146)&gt;=Preisindex!$A$6),ROUND($E146*FP146,2),IF(AND($E146&lt;&gt;0,$F146&gt;0,YEAR($F146)&lt;=FP$4,YEAR($F146)&lt;Preisindex!$A$6),ROUND($E146*FQ146,2),0))</f>
        <v>0</v>
      </c>
      <c r="FS146" s="53">
        <f t="shared" si="557"/>
        <v>0</v>
      </c>
    </row>
    <row r="147" spans="1:175" x14ac:dyDescent="0.3">
      <c r="A147" s="93"/>
      <c r="B147" s="94"/>
      <c r="C147" s="94"/>
      <c r="D147" s="95"/>
      <c r="E147" s="99"/>
      <c r="F147" s="97"/>
      <c r="G147" s="98"/>
      <c r="H147" s="620"/>
      <c r="I147" s="621"/>
      <c r="J147" s="194"/>
      <c r="K147" s="630"/>
      <c r="L147" s="49">
        <f t="shared" si="558"/>
        <v>0</v>
      </c>
      <c r="M147" s="50">
        <f t="shared" si="559"/>
        <v>0</v>
      </c>
      <c r="N147" s="51">
        <f t="shared" si="560"/>
        <v>0</v>
      </c>
      <c r="O147" s="51"/>
      <c r="P147" s="51">
        <f t="shared" si="561"/>
        <v>0</v>
      </c>
      <c r="Q147" s="52"/>
      <c r="R147" s="52"/>
      <c r="S147" s="52"/>
      <c r="T147" s="52"/>
      <c r="U147" s="52"/>
      <c r="V147" s="53">
        <f t="shared" si="562"/>
        <v>0</v>
      </c>
      <c r="W147" s="51">
        <f t="shared" si="563"/>
        <v>0</v>
      </c>
      <c r="X147" s="51">
        <f t="shared" si="564"/>
        <v>0</v>
      </c>
      <c r="Y147" s="51">
        <f t="shared" si="565"/>
        <v>0</v>
      </c>
      <c r="Z147" s="51">
        <f t="shared" si="566"/>
        <v>0</v>
      </c>
      <c r="AA147" s="51">
        <f t="shared" si="567"/>
        <v>0</v>
      </c>
      <c r="AB147" s="51">
        <f t="shared" si="568"/>
        <v>0</v>
      </c>
      <c r="AC147" s="51">
        <f t="shared" si="569"/>
        <v>0</v>
      </c>
      <c r="AD147" s="51">
        <f t="shared" si="570"/>
        <v>0</v>
      </c>
      <c r="AE147" s="51">
        <f t="shared" si="571"/>
        <v>0</v>
      </c>
      <c r="AF147" s="51">
        <f t="shared" si="572"/>
        <v>0</v>
      </c>
      <c r="AG147" s="51">
        <f t="shared" si="573"/>
        <v>0</v>
      </c>
      <c r="AH147" s="54">
        <f t="shared" si="574"/>
        <v>0</v>
      </c>
      <c r="AI147" s="55">
        <f t="shared" si="575"/>
        <v>0</v>
      </c>
      <c r="AJ147" s="56">
        <f>IF(AND($E147&lt;&gt;0,$F147&gt;0,YEAR($F147)&gt;=Preisindex!$A$6,YEAR(AE$4)&gt;=YEAR($F147),AND($K147&lt;&gt;"a",$K147&lt;&gt;"b",$K147&lt;&gt;"g",$K147&lt;&gt;"k")),1,IF(AND($E147&lt;&gt;0,$F147&gt;0,YEAR($F147)&gt;=Preisindex!$A$6,YEAR(AE$4)&gt;=YEAR($F147),$K147="a"),ROUND(VLOOKUP(AJ$4,Preisindex,5,FALSE)/VLOOKUP(YEAR($F147),Preisindex,5,FALSE),2),IF(AND($E147&lt;&gt;0,$F147&gt;0,YEAR($F147)&gt;=Preisindex!$A$6,YEAR(AE$4)&gt;=YEAR($F147),$K147="b"),ROUND(VLOOKUP(AJ$4,Preisindex,3,FALSE)/VLOOKUP(YEAR($F147),Preisindex,3,FALSE),2),IF(AND($E147&lt;&gt;0,$F147&gt;0,YEAR($F147)&gt;=Preisindex!$A$6,YEAR(AE$4)&gt;=YEAR($F147),$K147="g"),ROUND(VLOOKUP(AJ$4,Preisindex,4,FALSE)/VLOOKUP(YEAR($F147),Preisindex,4,FALSE),2),IF(AND($E147&lt;&gt;0,$F147&gt;0,YEAR($F147)&gt;=Preisindex!$A$6,YEAR(AE$4)&gt;=YEAR($F147),$K147="k"),ROUND(VLOOKUP(AJ$4,Preisindex,2,FALSE)/VLOOKUP(YEAR($F147),Preisindex,2,FALSE),2),0)))))</f>
        <v>0</v>
      </c>
      <c r="AK147" s="56">
        <f>IF(AND($E147&lt;&gt;0,$F147&gt;0,YEAR($F147)&lt;Preisindex!$A$6,YEAR(AE$4)&gt;=YEAR($F147),AND($K147&lt;&gt;"a",$K147&lt;&gt;"b",$K147&lt;&gt;"g",$K147&lt;&gt;"k")),1,IF(AND($E147&lt;&gt;0,$F147&gt;0,YEAR($F147)&lt;Preisindex!$A$6,YEAR(AE$4)&gt;=YEAR($F147),$K147="a"),ROUND(VLOOKUP(AJ$4,Preisindex,5,FALSE)/VLOOKUP(Preisindex!$A$6,Preisindex,5,FALSE),2),IF(AND($E147&lt;&gt;0,$F147&gt;0,YEAR($F147)&lt;Preisindex!$A$6,YEAR(AE$4)&gt;=YEAR($F147),$K147="b"),ROUND(VLOOKUP(AJ$4,Preisindex,3,FALSE)/VLOOKUP(Preisindex!$A$6,Preisindex,3,FALSE),2),IF(AND($E147&lt;&gt;0,$F147&gt;0,YEAR($F147)&lt;Preisindex!$A$6,YEAR(AE$4)&gt;=YEAR($F147),$K147="g"),ROUND(VLOOKUP(AJ$4,Preisindex,4,FALSE)/VLOOKUP(Preisindex!$A$6,Preisindex,4,FALSE),2),IF(AND($E147&lt;&gt;0,$F147&gt;0,YEAR($F147)&lt;Preisindex!$A$6,YEAR(AE$4)&gt;=YEAR($F147),$K147="k"),ROUND(VLOOKUP(AJ$4,Preisindex,2,FALSE)/VLOOKUP(Preisindex!$A$6,Preisindex,2,FALSE),2),0)))))</f>
        <v>0</v>
      </c>
      <c r="AL147" s="51">
        <f>IF(AND($E147&lt;&gt;0,$F147&gt;0,YEAR($F147)&lt;=AJ$4,YEAR($F147)&gt;=Preisindex!$A$6),ROUND($E147*AJ147,2),IF(AND($E147&lt;&gt;0,$F147&gt;0,YEAR($F147)&lt;=AJ$4,YEAR($F147)&lt;Preisindex!$A$6),ROUND($E147*AK147,2),0))</f>
        <v>0</v>
      </c>
      <c r="AM147" s="53">
        <f t="shared" si="576"/>
        <v>0</v>
      </c>
      <c r="AN147" s="51">
        <f t="shared" si="492"/>
        <v>0</v>
      </c>
      <c r="AO147" s="51">
        <f t="shared" si="448"/>
        <v>0</v>
      </c>
      <c r="AP147" s="51">
        <f t="shared" si="493"/>
        <v>0</v>
      </c>
      <c r="AQ147" s="51">
        <f t="shared" si="449"/>
        <v>0</v>
      </c>
      <c r="AR147" s="51">
        <f t="shared" si="494"/>
        <v>0</v>
      </c>
      <c r="AS147" s="51">
        <f t="shared" si="450"/>
        <v>0</v>
      </c>
      <c r="AT147" s="51">
        <f t="shared" si="495"/>
        <v>0</v>
      </c>
      <c r="AU147" s="51">
        <f t="shared" si="451"/>
        <v>0</v>
      </c>
      <c r="AV147" s="51">
        <f t="shared" si="496"/>
        <v>0</v>
      </c>
      <c r="AW147" s="51">
        <f t="shared" si="452"/>
        <v>0</v>
      </c>
      <c r="AX147" s="51">
        <f t="shared" si="497"/>
        <v>0</v>
      </c>
      <c r="AY147" s="54">
        <f t="shared" si="498"/>
        <v>0</v>
      </c>
      <c r="AZ147" s="55">
        <f t="shared" si="499"/>
        <v>0</v>
      </c>
      <c r="BA147" s="56">
        <f>IF(AND($E147&lt;&gt;0,$F147&gt;0,YEAR($F147)&gt;=Preisindex!$A$6,YEAR(AV$4)&gt;=YEAR($F147),AND($K147&lt;&gt;"a",$K147&lt;&gt;"b",$K147&lt;&gt;"g",$K147&lt;&gt;"k")),1,IF(AND($E147&lt;&gt;0,$F147&gt;0,YEAR($F147)&gt;=Preisindex!$A$6,YEAR(AV$4)&gt;=YEAR($F147),$K147="a"),ROUND(VLOOKUP(BA$4,Preisindex,5,FALSE)/VLOOKUP(YEAR($F147),Preisindex,5,FALSE),2),IF(AND($E147&lt;&gt;0,$F147&gt;0,YEAR($F147)&gt;=Preisindex!$A$6,YEAR(AV$4)&gt;=YEAR($F147),$K147="b"),ROUND(VLOOKUP(BA$4,Preisindex,3,FALSE)/VLOOKUP(YEAR($F147),Preisindex,3,FALSE),2),IF(AND($E147&lt;&gt;0,$F147&gt;0,YEAR($F147)&gt;=Preisindex!$A$6,YEAR(AV$4)&gt;=YEAR($F147),$K147="g"),ROUND(VLOOKUP(BA$4,Preisindex,4,FALSE)/VLOOKUP(YEAR($F147),Preisindex,4,FALSE),2),IF(AND($E147&lt;&gt;0,$F147&gt;0,YEAR($F147)&gt;=Preisindex!$A$6,YEAR(AV$4)&gt;=YEAR($F147),$K147="k"),ROUND(VLOOKUP(BA$4,Preisindex,2,FALSE)/VLOOKUP(YEAR($F147),Preisindex,2,FALSE),2),0)))))</f>
        <v>0</v>
      </c>
      <c r="BB147" s="56">
        <f>IF(AND($E147&lt;&gt;0,$F147&gt;0,YEAR($F147)&lt;Preisindex!$A$6,YEAR(AV$4)&gt;=YEAR($F147),AND($K147&lt;&gt;"a",$K147&lt;&gt;"b",$K147&lt;&gt;"g",$K147&lt;&gt;"k")),1,IF(AND($E147&lt;&gt;0,$F147&gt;0,YEAR($F147)&lt;Preisindex!$A$6,YEAR(AV$4)&gt;=YEAR($F147),$K147="a"),ROUND(VLOOKUP(BA$4,Preisindex,5,FALSE)/VLOOKUP(Preisindex!$A$6,Preisindex,5,FALSE),2),IF(AND($E147&lt;&gt;0,$F147&gt;0,YEAR($F147)&lt;Preisindex!$A$6,YEAR(AV$4)&gt;=YEAR($F147),$K147="b"),ROUND(VLOOKUP(BA$4,Preisindex,3,FALSE)/VLOOKUP(Preisindex!$A$6,Preisindex,3,FALSE),2),IF(AND($E147&lt;&gt;0,$F147&gt;0,YEAR($F147)&lt;Preisindex!$A$6,YEAR(AV$4)&gt;=YEAR($F147),$K147="g"),ROUND(VLOOKUP(BA$4,Preisindex,4,FALSE)/VLOOKUP(Preisindex!$A$6,Preisindex,4,FALSE),2),IF(AND($E147&lt;&gt;0,$F147&gt;0,YEAR($F147)&lt;Preisindex!$A$6,YEAR(AV$4)&gt;=YEAR($F147),$K147="k"),ROUND(VLOOKUP(BA$4,Preisindex,2,FALSE)/VLOOKUP(Preisindex!$A$6,Preisindex,2,FALSE),2),0)))))</f>
        <v>0</v>
      </c>
      <c r="BC147" s="51">
        <f>IF(AND($E147&lt;&gt;0,$F147&gt;0,YEAR($F147)&lt;=BA$4,YEAR($F147)&gt;=Preisindex!$A$6),ROUND($E147*BA147,2),IF(AND($E147&lt;&gt;0,$F147&gt;0,YEAR($F147)&lt;=BA$4,YEAR($F147)&lt;Preisindex!$A$6),ROUND($E147*BB147,2),0))</f>
        <v>0</v>
      </c>
      <c r="BD147" s="53">
        <f t="shared" si="500"/>
        <v>0</v>
      </c>
      <c r="BE147" s="51">
        <f t="shared" si="492"/>
        <v>0</v>
      </c>
      <c r="BF147" s="51">
        <f t="shared" si="453"/>
        <v>0</v>
      </c>
      <c r="BG147" s="51">
        <f t="shared" si="501"/>
        <v>0</v>
      </c>
      <c r="BH147" s="51">
        <f t="shared" si="454"/>
        <v>0</v>
      </c>
      <c r="BI147" s="51">
        <f t="shared" si="502"/>
        <v>0</v>
      </c>
      <c r="BJ147" s="51">
        <f t="shared" si="455"/>
        <v>0</v>
      </c>
      <c r="BK147" s="51">
        <f t="shared" si="503"/>
        <v>0</v>
      </c>
      <c r="BL147" s="51">
        <f t="shared" si="456"/>
        <v>0</v>
      </c>
      <c r="BM147" s="51">
        <f t="shared" si="504"/>
        <v>0</v>
      </c>
      <c r="BN147" s="51">
        <f t="shared" si="457"/>
        <v>0</v>
      </c>
      <c r="BO147" s="51">
        <f t="shared" si="505"/>
        <v>0</v>
      </c>
      <c r="BP147" s="54">
        <f t="shared" si="506"/>
        <v>0</v>
      </c>
      <c r="BQ147" s="55">
        <f t="shared" si="507"/>
        <v>0</v>
      </c>
      <c r="BR147" s="56">
        <f>IF(AND($E147&lt;&gt;0,$F147&gt;0,YEAR($F147)&gt;=Preisindex!$A$6,YEAR(BM$4)&gt;=YEAR($F147),AND($K147&lt;&gt;"a",$K147&lt;&gt;"b",$K147&lt;&gt;"g",$K147&lt;&gt;"k")),1,IF(AND($E147&lt;&gt;0,$F147&gt;0,YEAR($F147)&gt;=Preisindex!$A$6,YEAR(BM$4)&gt;=YEAR($F147),$K147="a"),ROUND(VLOOKUP(BR$4,Preisindex,5,FALSE)/VLOOKUP(YEAR($F147),Preisindex,5,FALSE),2),IF(AND($E147&lt;&gt;0,$F147&gt;0,YEAR($F147)&gt;=Preisindex!$A$6,YEAR(BM$4)&gt;=YEAR($F147),$K147="b"),ROUND(VLOOKUP(BR$4,Preisindex,3,FALSE)/VLOOKUP(YEAR($F147),Preisindex,3,FALSE),2),IF(AND($E147&lt;&gt;0,$F147&gt;0,YEAR($F147)&gt;=Preisindex!$A$6,YEAR(BM$4)&gt;=YEAR($F147),$K147="g"),ROUND(VLOOKUP(BR$4,Preisindex,4,FALSE)/VLOOKUP(YEAR($F147),Preisindex,4,FALSE),2),IF(AND($E147&lt;&gt;0,$F147&gt;0,YEAR($F147)&gt;=Preisindex!$A$6,YEAR(BM$4)&gt;=YEAR($F147),$K147="k"),ROUND(VLOOKUP(BR$4,Preisindex,2,FALSE)/VLOOKUP(YEAR($F147),Preisindex,2,FALSE),2),0)))))</f>
        <v>0</v>
      </c>
      <c r="BS147" s="56">
        <f>IF(AND($E147&lt;&gt;0,$F147&gt;0,YEAR($F147)&lt;Preisindex!$A$6,YEAR(BM$4)&gt;=YEAR($F147),AND($K147&lt;&gt;"a",$K147&lt;&gt;"b",$K147&lt;&gt;"g",$K147&lt;&gt;"k")),1,IF(AND($E147&lt;&gt;0,$F147&gt;0,YEAR($F147)&lt;Preisindex!$A$6,YEAR(BM$4)&gt;=YEAR($F147),$K147="a"),ROUND(VLOOKUP(BR$4,Preisindex,5,FALSE)/VLOOKUP(Preisindex!$A$6,Preisindex,5,FALSE),2),IF(AND($E147&lt;&gt;0,$F147&gt;0,YEAR($F147)&lt;Preisindex!$A$6,YEAR(BM$4)&gt;=YEAR($F147),$K147="b"),ROUND(VLOOKUP(BR$4,Preisindex,3,FALSE)/VLOOKUP(Preisindex!$A$6,Preisindex,3,FALSE),2),IF(AND($E147&lt;&gt;0,$F147&gt;0,YEAR($F147)&lt;Preisindex!$A$6,YEAR(BM$4)&gt;=YEAR($F147),$K147="g"),ROUND(VLOOKUP(BR$4,Preisindex,4,FALSE)/VLOOKUP(Preisindex!$A$6,Preisindex,4,FALSE),2),IF(AND($E147&lt;&gt;0,$F147&gt;0,YEAR($F147)&lt;Preisindex!$A$6,YEAR(BM$4)&gt;=YEAR($F147),$K147="k"),ROUND(VLOOKUP(BR$4,Preisindex,2,FALSE)/VLOOKUP(Preisindex!$A$6,Preisindex,2,FALSE),2),0)))))</f>
        <v>0</v>
      </c>
      <c r="BT147" s="51">
        <f>IF(AND($E147&lt;&gt;0,$F147&gt;0,YEAR($F147)&lt;=BR$4,YEAR($F147)&gt;=Preisindex!$A$6),ROUND($E147*BR147,2),IF(AND($E147&lt;&gt;0,$F147&gt;0,YEAR($F147)&lt;=BR$4,YEAR($F147)&lt;Preisindex!$A$6),ROUND($E147*BS147,2),0))</f>
        <v>0</v>
      </c>
      <c r="BU147" s="53">
        <f t="shared" si="508"/>
        <v>0</v>
      </c>
      <c r="BV147" s="51">
        <f t="shared" si="492"/>
        <v>0</v>
      </c>
      <c r="BW147" s="51">
        <f t="shared" si="458"/>
        <v>0</v>
      </c>
      <c r="BX147" s="51">
        <f t="shared" si="509"/>
        <v>0</v>
      </c>
      <c r="BY147" s="51">
        <f t="shared" si="459"/>
        <v>0</v>
      </c>
      <c r="BZ147" s="51">
        <f t="shared" si="510"/>
        <v>0</v>
      </c>
      <c r="CA147" s="51">
        <f t="shared" si="460"/>
        <v>0</v>
      </c>
      <c r="CB147" s="51">
        <f t="shared" si="511"/>
        <v>0</v>
      </c>
      <c r="CC147" s="51">
        <f t="shared" si="461"/>
        <v>0</v>
      </c>
      <c r="CD147" s="51">
        <f t="shared" si="512"/>
        <v>0</v>
      </c>
      <c r="CE147" s="51">
        <f t="shared" si="462"/>
        <v>0</v>
      </c>
      <c r="CF147" s="51">
        <f t="shared" si="513"/>
        <v>0</v>
      </c>
      <c r="CG147" s="54">
        <f t="shared" si="514"/>
        <v>0</v>
      </c>
      <c r="CH147" s="55">
        <f t="shared" si="515"/>
        <v>0</v>
      </c>
      <c r="CI147" s="56">
        <f>IF(AND($E147&lt;&gt;0,$F147&gt;0,YEAR($F147)&gt;=Preisindex!$A$6,YEAR(CD$4)&gt;=YEAR($F147),AND($K147&lt;&gt;"a",$K147&lt;&gt;"b",$K147&lt;&gt;"g",$K147&lt;&gt;"k")),1,IF(AND($E147&lt;&gt;0,$F147&gt;0,YEAR($F147)&gt;=Preisindex!$A$6,YEAR(CD$4)&gt;=YEAR($F147),$K147="a"),ROUND(VLOOKUP(CI$4,Preisindex,5,FALSE)/VLOOKUP(YEAR($F147),Preisindex,5,FALSE),2),IF(AND($E147&lt;&gt;0,$F147&gt;0,YEAR($F147)&gt;=Preisindex!$A$6,YEAR(CD$4)&gt;=YEAR($F147),$K147="b"),ROUND(VLOOKUP(CI$4,Preisindex,3,FALSE)/VLOOKUP(YEAR($F147),Preisindex,3,FALSE),2),IF(AND($E147&lt;&gt;0,$F147&gt;0,YEAR($F147)&gt;=Preisindex!$A$6,YEAR(CD$4)&gt;=YEAR($F147),$K147="g"),ROUND(VLOOKUP(CI$4,Preisindex,4,FALSE)/VLOOKUP(YEAR($F147),Preisindex,4,FALSE),2),IF(AND($E147&lt;&gt;0,$F147&gt;0,YEAR($F147)&gt;=Preisindex!$A$6,YEAR(CD$4)&gt;=YEAR($F147),$K147="k"),ROUND(VLOOKUP(CI$4,Preisindex,2,FALSE)/VLOOKUP(YEAR($F147),Preisindex,2,FALSE),2),0)))))</f>
        <v>0</v>
      </c>
      <c r="CJ147" s="56">
        <f>IF(AND($E147&lt;&gt;0,$F147&gt;0,YEAR($F147)&lt;Preisindex!$A$6,YEAR(CD$4)&gt;=YEAR($F147),AND($K147&lt;&gt;"a",$K147&lt;&gt;"b",$K147&lt;&gt;"g",$K147&lt;&gt;"k")),1,IF(AND($E147&lt;&gt;0,$F147&gt;0,YEAR($F147)&lt;Preisindex!$A$6,YEAR(CD$4)&gt;=YEAR($F147),$K147="a"),ROUND(VLOOKUP(CI$4,Preisindex,5,FALSE)/VLOOKUP(Preisindex!$A$6,Preisindex,5,FALSE),2),IF(AND($E147&lt;&gt;0,$F147&gt;0,YEAR($F147)&lt;Preisindex!$A$6,YEAR(CD$4)&gt;=YEAR($F147),$K147="b"),ROUND(VLOOKUP(CI$4,Preisindex,3,FALSE)/VLOOKUP(Preisindex!$A$6,Preisindex,3,FALSE),2),IF(AND($E147&lt;&gt;0,$F147&gt;0,YEAR($F147)&lt;Preisindex!$A$6,YEAR(CD$4)&gt;=YEAR($F147),$K147="g"),ROUND(VLOOKUP(CI$4,Preisindex,4,FALSE)/VLOOKUP(Preisindex!$A$6,Preisindex,4,FALSE),2),IF(AND($E147&lt;&gt;0,$F147&gt;0,YEAR($F147)&lt;Preisindex!$A$6,YEAR(CD$4)&gt;=YEAR($F147),$K147="k"),ROUND(VLOOKUP(CI$4,Preisindex,2,FALSE)/VLOOKUP(Preisindex!$A$6,Preisindex,2,FALSE),2),0)))))</f>
        <v>0</v>
      </c>
      <c r="CK147" s="51">
        <f>IF(AND($E147&lt;&gt;0,$F147&gt;0,YEAR($F147)&lt;=CI$4,YEAR($F147)&gt;=Preisindex!$A$6),ROUND($E147*CI147,2),IF(AND($E147&lt;&gt;0,$F147&gt;0,YEAR($F147)&lt;=CI$4,YEAR($F147)&lt;Preisindex!$A$6),ROUND($E147*CJ147,2),0))</f>
        <v>0</v>
      </c>
      <c r="CL147" s="53">
        <f t="shared" si="516"/>
        <v>0</v>
      </c>
      <c r="CM147" s="51">
        <f t="shared" si="492"/>
        <v>0</v>
      </c>
      <c r="CN147" s="51">
        <f t="shared" si="463"/>
        <v>0</v>
      </c>
      <c r="CO147" s="51">
        <f t="shared" si="517"/>
        <v>0</v>
      </c>
      <c r="CP147" s="51">
        <f t="shared" si="464"/>
        <v>0</v>
      </c>
      <c r="CQ147" s="51">
        <f t="shared" si="518"/>
        <v>0</v>
      </c>
      <c r="CR147" s="51">
        <f t="shared" si="465"/>
        <v>0</v>
      </c>
      <c r="CS147" s="51">
        <f t="shared" si="519"/>
        <v>0</v>
      </c>
      <c r="CT147" s="51">
        <f t="shared" si="466"/>
        <v>0</v>
      </c>
      <c r="CU147" s="51">
        <f t="shared" si="520"/>
        <v>0</v>
      </c>
      <c r="CV147" s="51">
        <f t="shared" si="467"/>
        <v>0</v>
      </c>
      <c r="CW147" s="51">
        <f t="shared" si="521"/>
        <v>0</v>
      </c>
      <c r="CX147" s="54">
        <f t="shared" si="522"/>
        <v>0</v>
      </c>
      <c r="CY147" s="55">
        <f t="shared" si="523"/>
        <v>0</v>
      </c>
      <c r="CZ147" s="56">
        <f>IF(AND($E147&lt;&gt;0,$F147&gt;0,YEAR($F147)&gt;=Preisindex!$A$6,YEAR(CU$4)&gt;=YEAR($F147),AND($K147&lt;&gt;"a",$K147&lt;&gt;"b",$K147&lt;&gt;"g",$K147&lt;&gt;"k")),1,IF(AND($E147&lt;&gt;0,$F147&gt;0,YEAR($F147)&gt;=Preisindex!$A$6,YEAR(CU$4)&gt;=YEAR($F147),$K147="a"),ROUND(VLOOKUP(CZ$4,Preisindex,5,FALSE)/VLOOKUP(YEAR($F147),Preisindex,5,FALSE),2),IF(AND($E147&lt;&gt;0,$F147&gt;0,YEAR($F147)&gt;=Preisindex!$A$6,YEAR(CU$4)&gt;=YEAR($F147),$K147="b"),ROUND(VLOOKUP(CZ$4,Preisindex,3,FALSE)/VLOOKUP(YEAR($F147),Preisindex,3,FALSE),2),IF(AND($E147&lt;&gt;0,$F147&gt;0,YEAR($F147)&gt;=Preisindex!$A$6,YEAR(CU$4)&gt;=YEAR($F147),$K147="g"),ROUND(VLOOKUP(CZ$4,Preisindex,4,FALSE)/VLOOKUP(YEAR($F147),Preisindex,4,FALSE),2),IF(AND($E147&lt;&gt;0,$F147&gt;0,YEAR($F147)&gt;=Preisindex!$A$6,YEAR(CU$4)&gt;=YEAR($F147),$K147="k"),ROUND(VLOOKUP(CZ$4,Preisindex,2,FALSE)/VLOOKUP(YEAR($F147),Preisindex,2,FALSE),2),0)))))</f>
        <v>0</v>
      </c>
      <c r="DA147" s="56">
        <f>IF(AND($E147&lt;&gt;0,$F147&gt;0,YEAR($F147)&lt;Preisindex!$A$6,YEAR(CU$4)&gt;=YEAR($F147),AND($K147&lt;&gt;"a",$K147&lt;&gt;"b",$K147&lt;&gt;"g",$K147&lt;&gt;"k")),1,IF(AND($E147&lt;&gt;0,$F147&gt;0,YEAR($F147)&lt;Preisindex!$A$6,YEAR(CU$4)&gt;=YEAR($F147),$K147="a"),ROUND(VLOOKUP(CZ$4,Preisindex,5,FALSE)/VLOOKUP(Preisindex!$A$6,Preisindex,5,FALSE),2),IF(AND($E147&lt;&gt;0,$F147&gt;0,YEAR($F147)&lt;Preisindex!$A$6,YEAR(CU$4)&gt;=YEAR($F147),$K147="b"),ROUND(VLOOKUP(CZ$4,Preisindex,3,FALSE)/VLOOKUP(Preisindex!$A$6,Preisindex,3,FALSE),2),IF(AND($E147&lt;&gt;0,$F147&gt;0,YEAR($F147)&lt;Preisindex!$A$6,YEAR(CU$4)&gt;=YEAR($F147),$K147="g"),ROUND(VLOOKUP(CZ$4,Preisindex,4,FALSE)/VLOOKUP(Preisindex!$A$6,Preisindex,4,FALSE),2),IF(AND($E147&lt;&gt;0,$F147&gt;0,YEAR($F147)&lt;Preisindex!$A$6,YEAR(CU$4)&gt;=YEAR($F147),$K147="k"),ROUND(VLOOKUP(CZ$4,Preisindex,2,FALSE)/VLOOKUP(Preisindex!$A$6,Preisindex,2,FALSE),2),0)))))</f>
        <v>0</v>
      </c>
      <c r="DB147" s="51">
        <f>IF(AND($E147&lt;&gt;0,$F147&gt;0,YEAR($F147)&lt;=CZ$4,YEAR($F147)&gt;=Preisindex!$A$6),ROUND($E147*CZ147,2),IF(AND($E147&lt;&gt;0,$F147&gt;0,YEAR($F147)&lt;=CZ$4,YEAR($F147)&lt;Preisindex!$A$6),ROUND($E147*DA147,2),0))</f>
        <v>0</v>
      </c>
      <c r="DC147" s="53">
        <f t="shared" si="524"/>
        <v>0</v>
      </c>
      <c r="DD147" s="51">
        <f t="shared" si="525"/>
        <v>0</v>
      </c>
      <c r="DE147" s="51">
        <f t="shared" si="468"/>
        <v>0</v>
      </c>
      <c r="DF147" s="51">
        <f t="shared" si="526"/>
        <v>0</v>
      </c>
      <c r="DG147" s="51">
        <f t="shared" si="469"/>
        <v>0</v>
      </c>
      <c r="DH147" s="51">
        <f t="shared" si="527"/>
        <v>0</v>
      </c>
      <c r="DI147" s="51">
        <f t="shared" si="470"/>
        <v>0</v>
      </c>
      <c r="DJ147" s="51">
        <f t="shared" si="528"/>
        <v>0</v>
      </c>
      <c r="DK147" s="51">
        <f t="shared" si="471"/>
        <v>0</v>
      </c>
      <c r="DL147" s="51">
        <f t="shared" si="529"/>
        <v>0</v>
      </c>
      <c r="DM147" s="51">
        <f t="shared" si="472"/>
        <v>0</v>
      </c>
      <c r="DN147" s="51">
        <f t="shared" si="530"/>
        <v>0</v>
      </c>
      <c r="DO147" s="54">
        <f t="shared" si="531"/>
        <v>0</v>
      </c>
      <c r="DP147" s="55">
        <f t="shared" si="532"/>
        <v>0</v>
      </c>
      <c r="DQ147" s="56">
        <f>IF(AND($E147&lt;&gt;0,$F147&gt;0,YEAR($F147)&gt;=Preisindex!$A$6,YEAR(DL$4)&gt;=YEAR($F147),AND($K147&lt;&gt;"a",$K147&lt;&gt;"b",$K147&lt;&gt;"g",$K147&lt;&gt;"k")),1,IF(AND($E147&lt;&gt;0,$F147&gt;0,YEAR($F147)&gt;=Preisindex!$A$6,YEAR(DL$4)&gt;=YEAR($F147),$K147="a"),ROUND(VLOOKUP(DQ$4,Preisindex,5,FALSE)/VLOOKUP(YEAR($F147),Preisindex,5,FALSE),2),IF(AND($E147&lt;&gt;0,$F147&gt;0,YEAR($F147)&gt;=Preisindex!$A$6,YEAR(DL$4)&gt;=YEAR($F147),$K147="b"),ROUND(VLOOKUP(DQ$4,Preisindex,3,FALSE)/VLOOKUP(YEAR($F147),Preisindex,3,FALSE),2),IF(AND($E147&lt;&gt;0,$F147&gt;0,YEAR($F147)&gt;=Preisindex!$A$6,YEAR(DL$4)&gt;=YEAR($F147),$K147="g"),ROUND(VLOOKUP(DQ$4,Preisindex,4,FALSE)/VLOOKUP(YEAR($F147),Preisindex,4,FALSE),2),IF(AND($E147&lt;&gt;0,$F147&gt;0,YEAR($F147)&gt;=Preisindex!$A$6,YEAR(DL$4)&gt;=YEAR($F147),$K147="k"),ROUND(VLOOKUP(DQ$4,Preisindex,2,FALSE)/VLOOKUP(YEAR($F147),Preisindex,2,FALSE),2),0)))))</f>
        <v>0</v>
      </c>
      <c r="DR147" s="56">
        <f>IF(AND($E147&lt;&gt;0,$F147&gt;0,YEAR($F147)&lt;Preisindex!$A$6,YEAR(DL$4)&gt;=YEAR($F147),AND($K147&lt;&gt;"a",$K147&lt;&gt;"b",$K147&lt;&gt;"g",$K147&lt;&gt;"k")),1,IF(AND($E147&lt;&gt;0,$F147&gt;0,YEAR($F147)&lt;Preisindex!$A$6,YEAR(DL$4)&gt;=YEAR($F147),$K147="a"),ROUND(VLOOKUP(DQ$4,Preisindex,5,FALSE)/VLOOKUP(Preisindex!$A$6,Preisindex,5,FALSE),2),IF(AND($E147&lt;&gt;0,$F147&gt;0,YEAR($F147)&lt;Preisindex!$A$6,YEAR(DL$4)&gt;=YEAR($F147),$K147="b"),ROUND(VLOOKUP(DQ$4,Preisindex,3,FALSE)/VLOOKUP(Preisindex!$A$6,Preisindex,3,FALSE),2),IF(AND($E147&lt;&gt;0,$F147&gt;0,YEAR($F147)&lt;Preisindex!$A$6,YEAR(DL$4)&gt;=YEAR($F147),$K147="g"),ROUND(VLOOKUP(DQ$4,Preisindex,4,FALSE)/VLOOKUP(Preisindex!$A$6,Preisindex,4,FALSE),2),IF(AND($E147&lt;&gt;0,$F147&gt;0,YEAR($F147)&lt;Preisindex!$A$6,YEAR(DL$4)&gt;=YEAR($F147),$K147="k"),ROUND(VLOOKUP(DQ$4,Preisindex,2,FALSE)/VLOOKUP(Preisindex!$A$6,Preisindex,2,FALSE),2),0)))))</f>
        <v>0</v>
      </c>
      <c r="DS147" s="51">
        <f>IF(AND($E147&lt;&gt;0,$F147&gt;0,YEAR($F147)&lt;=DQ$4,YEAR($F147)&gt;=Preisindex!$A$6),ROUND($E147*DQ147,2),IF(AND($E147&lt;&gt;0,$F147&gt;0,YEAR($F147)&lt;=DQ$4,YEAR($F147)&lt;Preisindex!$A$6),ROUND($E147*DR147,2),0))</f>
        <v>0</v>
      </c>
      <c r="DT147" s="53">
        <f t="shared" si="533"/>
        <v>0</v>
      </c>
      <c r="DU147" s="51">
        <f t="shared" si="525"/>
        <v>0</v>
      </c>
      <c r="DV147" s="51">
        <f t="shared" si="473"/>
        <v>0</v>
      </c>
      <c r="DW147" s="51">
        <f t="shared" si="534"/>
        <v>0</v>
      </c>
      <c r="DX147" s="51">
        <f t="shared" si="474"/>
        <v>0</v>
      </c>
      <c r="DY147" s="51">
        <f t="shared" si="535"/>
        <v>0</v>
      </c>
      <c r="DZ147" s="51">
        <f t="shared" si="475"/>
        <v>0</v>
      </c>
      <c r="EA147" s="51">
        <f t="shared" si="536"/>
        <v>0</v>
      </c>
      <c r="EB147" s="51">
        <f t="shared" si="476"/>
        <v>0</v>
      </c>
      <c r="EC147" s="51">
        <f t="shared" si="537"/>
        <v>0</v>
      </c>
      <c r="ED147" s="51">
        <f t="shared" si="477"/>
        <v>0</v>
      </c>
      <c r="EE147" s="51">
        <f t="shared" si="538"/>
        <v>0</v>
      </c>
      <c r="EF147" s="54">
        <f t="shared" si="539"/>
        <v>0</v>
      </c>
      <c r="EG147" s="55">
        <f t="shared" si="540"/>
        <v>0</v>
      </c>
      <c r="EH147" s="56">
        <f>IF(AND($E147&lt;&gt;0,$F147&gt;0,YEAR($F147)&gt;=Preisindex!$A$6,YEAR(EC$4)&gt;=YEAR($F147),AND($K147&lt;&gt;"a",$K147&lt;&gt;"b",$K147&lt;&gt;"g",$K147&lt;&gt;"k")),1,IF(AND($E147&lt;&gt;0,$F147&gt;0,YEAR($F147)&gt;=Preisindex!$A$6,YEAR(EC$4)&gt;=YEAR($F147),$K147="a"),ROUND(VLOOKUP(EH$4,Preisindex,5,FALSE)/VLOOKUP(YEAR($F147),Preisindex,5,FALSE),2),IF(AND($E147&lt;&gt;0,$F147&gt;0,YEAR($F147)&gt;=Preisindex!$A$6,YEAR(EC$4)&gt;=YEAR($F147),$K147="b"),ROUND(VLOOKUP(EH$4,Preisindex,3,FALSE)/VLOOKUP(YEAR($F147),Preisindex,3,FALSE),2),IF(AND($E147&lt;&gt;0,$F147&gt;0,YEAR($F147)&gt;=Preisindex!$A$6,YEAR(EC$4)&gt;=YEAR($F147),$K147="g"),ROUND(VLOOKUP(EH$4,Preisindex,4,FALSE)/VLOOKUP(YEAR($F147),Preisindex,4,FALSE),2),IF(AND($E147&lt;&gt;0,$F147&gt;0,YEAR($F147)&gt;=Preisindex!$A$6,YEAR(EC$4)&gt;=YEAR($F147),$K147="k"),ROUND(VLOOKUP(EH$4,Preisindex,2,FALSE)/VLOOKUP(YEAR($F147),Preisindex,2,FALSE),2),0)))))</f>
        <v>0</v>
      </c>
      <c r="EI147" s="56">
        <f>IF(AND($E147&lt;&gt;0,$F147&gt;0,YEAR($F147)&lt;Preisindex!$A$6,YEAR(EC$4)&gt;=YEAR($F147),AND($K147&lt;&gt;"a",$K147&lt;&gt;"b",$K147&lt;&gt;"g",$K147&lt;&gt;"k")),1,IF(AND($E147&lt;&gt;0,$F147&gt;0,YEAR($F147)&lt;Preisindex!$A$6,YEAR(EC$4)&gt;=YEAR($F147),$K147="a"),ROUND(VLOOKUP(EH$4,Preisindex,5,FALSE)/VLOOKUP(Preisindex!$A$6,Preisindex,5,FALSE),2),IF(AND($E147&lt;&gt;0,$F147&gt;0,YEAR($F147)&lt;Preisindex!$A$6,YEAR(EC$4)&gt;=YEAR($F147),$K147="b"),ROUND(VLOOKUP(EH$4,Preisindex,3,FALSE)/VLOOKUP(Preisindex!$A$6,Preisindex,3,FALSE),2),IF(AND($E147&lt;&gt;0,$F147&gt;0,YEAR($F147)&lt;Preisindex!$A$6,YEAR(EC$4)&gt;=YEAR($F147),$K147="g"),ROUND(VLOOKUP(EH$4,Preisindex,4,FALSE)/VLOOKUP(Preisindex!$A$6,Preisindex,4,FALSE),2),IF(AND($E147&lt;&gt;0,$F147&gt;0,YEAR($F147)&lt;Preisindex!$A$6,YEAR(EC$4)&gt;=YEAR($F147),$K147="k"),ROUND(VLOOKUP(EH$4,Preisindex,2,FALSE)/VLOOKUP(Preisindex!$A$6,Preisindex,2,FALSE),2),0)))))</f>
        <v>0</v>
      </c>
      <c r="EJ147" s="51">
        <f>IF(AND($E147&lt;&gt;0,$F147&gt;0,YEAR($F147)&lt;=EH$4,YEAR($F147)&gt;=Preisindex!$A$6),ROUND($E147*EH147,2),IF(AND($E147&lt;&gt;0,$F147&gt;0,YEAR($F147)&lt;=EH$4,YEAR($F147)&lt;Preisindex!$A$6),ROUND($E147*EI147,2),0))</f>
        <v>0</v>
      </c>
      <c r="EK147" s="53">
        <f t="shared" si="541"/>
        <v>0</v>
      </c>
      <c r="EL147" s="51">
        <f t="shared" si="525"/>
        <v>0</v>
      </c>
      <c r="EM147" s="51">
        <f t="shared" si="478"/>
        <v>0</v>
      </c>
      <c r="EN147" s="51">
        <f t="shared" si="542"/>
        <v>0</v>
      </c>
      <c r="EO147" s="51">
        <f t="shared" si="479"/>
        <v>0</v>
      </c>
      <c r="EP147" s="51">
        <f t="shared" si="543"/>
        <v>0</v>
      </c>
      <c r="EQ147" s="51">
        <f t="shared" si="480"/>
        <v>0</v>
      </c>
      <c r="ER147" s="51">
        <f t="shared" si="544"/>
        <v>0</v>
      </c>
      <c r="ES147" s="51">
        <f t="shared" si="481"/>
        <v>0</v>
      </c>
      <c r="ET147" s="51">
        <f t="shared" si="545"/>
        <v>0</v>
      </c>
      <c r="EU147" s="51">
        <f t="shared" si="482"/>
        <v>0</v>
      </c>
      <c r="EV147" s="51">
        <f t="shared" si="546"/>
        <v>0</v>
      </c>
      <c r="EW147" s="54">
        <f t="shared" si="547"/>
        <v>0</v>
      </c>
      <c r="EX147" s="55">
        <f t="shared" si="548"/>
        <v>0</v>
      </c>
      <c r="EY147" s="56">
        <f>IF(AND($E147&lt;&gt;0,$F147&gt;0,YEAR($F147)&gt;=Preisindex!$A$6,YEAR(ET$4)&gt;=YEAR($F147),AND($K147&lt;&gt;"a",$K147&lt;&gt;"b",$K147&lt;&gt;"g",$K147&lt;&gt;"k")),1,IF(AND($E147&lt;&gt;0,$F147&gt;0,YEAR($F147)&gt;=Preisindex!$A$6,YEAR(ET$4)&gt;=YEAR($F147),$K147="a"),ROUND(VLOOKUP(EY$4,Preisindex,5,FALSE)/VLOOKUP(YEAR($F147),Preisindex,5,FALSE),2),IF(AND($E147&lt;&gt;0,$F147&gt;0,YEAR($F147)&gt;=Preisindex!$A$6,YEAR(ET$4)&gt;=YEAR($F147),$K147="b"),ROUND(VLOOKUP(EY$4,Preisindex,3,FALSE)/VLOOKUP(YEAR($F147),Preisindex,3,FALSE),2),IF(AND($E147&lt;&gt;0,$F147&gt;0,YEAR($F147)&gt;=Preisindex!$A$6,YEAR(ET$4)&gt;=YEAR($F147),$K147="g"),ROUND(VLOOKUP(EY$4,Preisindex,4,FALSE)/VLOOKUP(YEAR($F147),Preisindex,4,FALSE),2),IF(AND($E147&lt;&gt;0,$F147&gt;0,YEAR($F147)&gt;=Preisindex!$A$6,YEAR(ET$4)&gt;=YEAR($F147),$K147="k"),ROUND(VLOOKUP(EY$4,Preisindex,2,FALSE)/VLOOKUP(YEAR($F147),Preisindex,2,FALSE),2),0)))))</f>
        <v>0</v>
      </c>
      <c r="EZ147" s="56">
        <f>IF(AND($E147&lt;&gt;0,$F147&gt;0,YEAR($F147)&lt;Preisindex!$A$6,YEAR(ET$4)&gt;=YEAR($F147),AND($K147&lt;&gt;"a",$K147&lt;&gt;"b",$K147&lt;&gt;"g",$K147&lt;&gt;"k")),1,IF(AND($E147&lt;&gt;0,$F147&gt;0,YEAR($F147)&lt;Preisindex!$A$6,YEAR(ET$4)&gt;=YEAR($F147),$K147="a"),ROUND(VLOOKUP(EY$4,Preisindex,5,FALSE)/VLOOKUP(Preisindex!$A$6,Preisindex,5,FALSE),2),IF(AND($E147&lt;&gt;0,$F147&gt;0,YEAR($F147)&lt;Preisindex!$A$6,YEAR(ET$4)&gt;=YEAR($F147),$K147="b"),ROUND(VLOOKUP(EY$4,Preisindex,3,FALSE)/VLOOKUP(Preisindex!$A$6,Preisindex,3,FALSE),2),IF(AND($E147&lt;&gt;0,$F147&gt;0,YEAR($F147)&lt;Preisindex!$A$6,YEAR(ET$4)&gt;=YEAR($F147),$K147="g"),ROUND(VLOOKUP(EY$4,Preisindex,4,FALSE)/VLOOKUP(Preisindex!$A$6,Preisindex,4,FALSE),2),IF(AND($E147&lt;&gt;0,$F147&gt;0,YEAR($F147)&lt;Preisindex!$A$6,YEAR(ET$4)&gt;=YEAR($F147),$K147="k"),ROUND(VLOOKUP(EY$4,Preisindex,2,FALSE)/VLOOKUP(Preisindex!$A$6,Preisindex,2,FALSE),2),0)))))</f>
        <v>0</v>
      </c>
      <c r="FA147" s="51">
        <f>IF(AND($E147&lt;&gt;0,$F147&gt;0,YEAR($F147)&lt;=EY$4,YEAR($F147)&gt;=Preisindex!$A$6),ROUND($E147*EY147,2),IF(AND($E147&lt;&gt;0,$F147&gt;0,YEAR($F147)&lt;=EY$4,YEAR($F147)&lt;Preisindex!$A$6),ROUND($E147*EZ147,2),0))</f>
        <v>0</v>
      </c>
      <c r="FB147" s="53">
        <f t="shared" si="549"/>
        <v>0</v>
      </c>
      <c r="FC147" s="51">
        <f t="shared" si="525"/>
        <v>0</v>
      </c>
      <c r="FD147" s="51">
        <f t="shared" si="483"/>
        <v>0</v>
      </c>
      <c r="FE147" s="51">
        <f t="shared" si="550"/>
        <v>0</v>
      </c>
      <c r="FF147" s="51">
        <f t="shared" si="484"/>
        <v>0</v>
      </c>
      <c r="FG147" s="51">
        <f t="shared" si="551"/>
        <v>0</v>
      </c>
      <c r="FH147" s="51">
        <f t="shared" si="485"/>
        <v>0</v>
      </c>
      <c r="FI147" s="51">
        <f t="shared" si="552"/>
        <v>0</v>
      </c>
      <c r="FJ147" s="51">
        <f t="shared" si="486"/>
        <v>0</v>
      </c>
      <c r="FK147" s="51">
        <f t="shared" si="553"/>
        <v>0</v>
      </c>
      <c r="FL147" s="51">
        <f t="shared" si="487"/>
        <v>0</v>
      </c>
      <c r="FM147" s="51">
        <f t="shared" si="554"/>
        <v>0</v>
      </c>
      <c r="FN147" s="54">
        <f t="shared" si="555"/>
        <v>0</v>
      </c>
      <c r="FO147" s="55">
        <f t="shared" si="556"/>
        <v>0</v>
      </c>
      <c r="FP147" s="56">
        <f>IF(AND($E147&lt;&gt;0,$F147&gt;0,YEAR($F147)&gt;=Preisindex!$A$6,YEAR(FK$4)&gt;=YEAR($F147),AND($K147&lt;&gt;"a",$K147&lt;&gt;"b",$K147&lt;&gt;"g",$K147&lt;&gt;"k")),1,IF(AND($E147&lt;&gt;0,$F147&gt;0,YEAR($F147)&gt;=Preisindex!$A$6,YEAR(FK$4)&gt;=YEAR($F147),$K147="a"),ROUND(VLOOKUP(FP$4,Preisindex,5,FALSE)/VLOOKUP(YEAR($F147),Preisindex,5,FALSE),2),IF(AND($E147&lt;&gt;0,$F147&gt;0,YEAR($F147)&gt;=Preisindex!$A$6,YEAR(FK$4)&gt;=YEAR($F147),$K147="b"),ROUND(VLOOKUP(FP$4,Preisindex,3,FALSE)/VLOOKUP(YEAR($F147),Preisindex,3,FALSE),2),IF(AND($E147&lt;&gt;0,$F147&gt;0,YEAR($F147)&gt;=Preisindex!$A$6,YEAR(FK$4)&gt;=YEAR($F147),$K147="g"),ROUND(VLOOKUP(FP$4,Preisindex,4,FALSE)/VLOOKUP(YEAR($F147),Preisindex,4,FALSE),2),IF(AND($E147&lt;&gt;0,$F147&gt;0,YEAR($F147)&gt;=Preisindex!$A$6,YEAR(FK$4)&gt;=YEAR($F147),$K147="k"),ROUND(VLOOKUP(FP$4,Preisindex,2,FALSE)/VLOOKUP(YEAR($F147),Preisindex,2,FALSE),2),0)))))</f>
        <v>0</v>
      </c>
      <c r="FQ147" s="56">
        <f>IF(AND($E147&lt;&gt;0,$F147&gt;0,YEAR($F147)&lt;Preisindex!$A$6,YEAR(FK$4)&gt;=YEAR($F147),AND($K147&lt;&gt;"a",$K147&lt;&gt;"b",$K147&lt;&gt;"g",$K147&lt;&gt;"k")),1,IF(AND($E147&lt;&gt;0,$F147&gt;0,YEAR($F147)&lt;Preisindex!$A$6,YEAR(FK$4)&gt;=YEAR($F147),$K147="a"),ROUND(VLOOKUP(FP$4,Preisindex,5,FALSE)/VLOOKUP(Preisindex!$A$6,Preisindex,5,FALSE),2),IF(AND($E147&lt;&gt;0,$F147&gt;0,YEAR($F147)&lt;Preisindex!$A$6,YEAR(FK$4)&gt;=YEAR($F147),$K147="b"),ROUND(VLOOKUP(FP$4,Preisindex,3,FALSE)/VLOOKUP(Preisindex!$A$6,Preisindex,3,FALSE),2),IF(AND($E147&lt;&gt;0,$F147&gt;0,YEAR($F147)&lt;Preisindex!$A$6,YEAR(FK$4)&gt;=YEAR($F147),$K147="g"),ROUND(VLOOKUP(FP$4,Preisindex,4,FALSE)/VLOOKUP(Preisindex!$A$6,Preisindex,4,FALSE),2),IF(AND($E147&lt;&gt;0,$F147&gt;0,YEAR($F147)&lt;Preisindex!$A$6,YEAR(FK$4)&gt;=YEAR($F147),$K147="k"),ROUND(VLOOKUP(FP$4,Preisindex,2,FALSE)/VLOOKUP(Preisindex!$A$6,Preisindex,2,FALSE),2),0)))))</f>
        <v>0</v>
      </c>
      <c r="FR147" s="51">
        <f>IF(AND($E147&lt;&gt;0,$F147&gt;0,YEAR($F147)&lt;=FP$4,YEAR($F147)&gt;=Preisindex!$A$6),ROUND($E147*FP147,2),IF(AND($E147&lt;&gt;0,$F147&gt;0,YEAR($F147)&lt;=FP$4,YEAR($F147)&lt;Preisindex!$A$6),ROUND($E147*FQ147,2),0))</f>
        <v>0</v>
      </c>
      <c r="FS147" s="53">
        <f t="shared" si="557"/>
        <v>0</v>
      </c>
    </row>
    <row r="148" spans="1:175" x14ac:dyDescent="0.3">
      <c r="A148" s="93"/>
      <c r="B148" s="94"/>
      <c r="C148" s="94"/>
      <c r="D148" s="95"/>
      <c r="E148" s="99"/>
      <c r="F148" s="97"/>
      <c r="G148" s="98"/>
      <c r="H148" s="620"/>
      <c r="I148" s="621"/>
      <c r="J148" s="194"/>
      <c r="K148" s="630"/>
      <c r="L148" s="49">
        <f t="shared" si="558"/>
        <v>0</v>
      </c>
      <c r="M148" s="50">
        <f t="shared" si="559"/>
        <v>0</v>
      </c>
      <c r="N148" s="51">
        <f t="shared" si="560"/>
        <v>0</v>
      </c>
      <c r="O148" s="51"/>
      <c r="P148" s="51">
        <f t="shared" si="561"/>
        <v>0</v>
      </c>
      <c r="Q148" s="52"/>
      <c r="R148" s="52"/>
      <c r="S148" s="52"/>
      <c r="T148" s="52"/>
      <c r="U148" s="52"/>
      <c r="V148" s="53">
        <f t="shared" si="562"/>
        <v>0</v>
      </c>
      <c r="W148" s="51">
        <f t="shared" si="563"/>
        <v>0</v>
      </c>
      <c r="X148" s="51">
        <f t="shared" si="564"/>
        <v>0</v>
      </c>
      <c r="Y148" s="51">
        <f t="shared" si="565"/>
        <v>0</v>
      </c>
      <c r="Z148" s="51">
        <f t="shared" si="566"/>
        <v>0</v>
      </c>
      <c r="AA148" s="51">
        <f t="shared" si="567"/>
        <v>0</v>
      </c>
      <c r="AB148" s="51">
        <f t="shared" si="568"/>
        <v>0</v>
      </c>
      <c r="AC148" s="51">
        <f t="shared" si="569"/>
        <v>0</v>
      </c>
      <c r="AD148" s="51">
        <f t="shared" si="570"/>
        <v>0</v>
      </c>
      <c r="AE148" s="51">
        <f t="shared" si="571"/>
        <v>0</v>
      </c>
      <c r="AF148" s="51">
        <f t="shared" si="572"/>
        <v>0</v>
      </c>
      <c r="AG148" s="51">
        <f t="shared" si="573"/>
        <v>0</v>
      </c>
      <c r="AH148" s="54">
        <f t="shared" si="574"/>
        <v>0</v>
      </c>
      <c r="AI148" s="55">
        <f t="shared" si="575"/>
        <v>0</v>
      </c>
      <c r="AJ148" s="56">
        <f>IF(AND($E148&lt;&gt;0,$F148&gt;0,YEAR($F148)&gt;=Preisindex!$A$6,YEAR(AE$4)&gt;=YEAR($F148),AND($K148&lt;&gt;"a",$K148&lt;&gt;"b",$K148&lt;&gt;"g",$K148&lt;&gt;"k")),1,IF(AND($E148&lt;&gt;0,$F148&gt;0,YEAR($F148)&gt;=Preisindex!$A$6,YEAR(AE$4)&gt;=YEAR($F148),$K148="a"),ROUND(VLOOKUP(AJ$4,Preisindex,5,FALSE)/VLOOKUP(YEAR($F148),Preisindex,5,FALSE),2),IF(AND($E148&lt;&gt;0,$F148&gt;0,YEAR($F148)&gt;=Preisindex!$A$6,YEAR(AE$4)&gt;=YEAR($F148),$K148="b"),ROUND(VLOOKUP(AJ$4,Preisindex,3,FALSE)/VLOOKUP(YEAR($F148),Preisindex,3,FALSE),2),IF(AND($E148&lt;&gt;0,$F148&gt;0,YEAR($F148)&gt;=Preisindex!$A$6,YEAR(AE$4)&gt;=YEAR($F148),$K148="g"),ROUND(VLOOKUP(AJ$4,Preisindex,4,FALSE)/VLOOKUP(YEAR($F148),Preisindex,4,FALSE),2),IF(AND($E148&lt;&gt;0,$F148&gt;0,YEAR($F148)&gt;=Preisindex!$A$6,YEAR(AE$4)&gt;=YEAR($F148),$K148="k"),ROUND(VLOOKUP(AJ$4,Preisindex,2,FALSE)/VLOOKUP(YEAR($F148),Preisindex,2,FALSE),2),0)))))</f>
        <v>0</v>
      </c>
      <c r="AK148" s="56">
        <f>IF(AND($E148&lt;&gt;0,$F148&gt;0,YEAR($F148)&lt;Preisindex!$A$6,YEAR(AE$4)&gt;=YEAR($F148),AND($K148&lt;&gt;"a",$K148&lt;&gt;"b",$K148&lt;&gt;"g",$K148&lt;&gt;"k")),1,IF(AND($E148&lt;&gt;0,$F148&gt;0,YEAR($F148)&lt;Preisindex!$A$6,YEAR(AE$4)&gt;=YEAR($F148),$K148="a"),ROUND(VLOOKUP(AJ$4,Preisindex,5,FALSE)/VLOOKUP(Preisindex!$A$6,Preisindex,5,FALSE),2),IF(AND($E148&lt;&gt;0,$F148&gt;0,YEAR($F148)&lt;Preisindex!$A$6,YEAR(AE$4)&gt;=YEAR($F148),$K148="b"),ROUND(VLOOKUP(AJ$4,Preisindex,3,FALSE)/VLOOKUP(Preisindex!$A$6,Preisindex,3,FALSE),2),IF(AND($E148&lt;&gt;0,$F148&gt;0,YEAR($F148)&lt;Preisindex!$A$6,YEAR(AE$4)&gt;=YEAR($F148),$K148="g"),ROUND(VLOOKUP(AJ$4,Preisindex,4,FALSE)/VLOOKUP(Preisindex!$A$6,Preisindex,4,FALSE),2),IF(AND($E148&lt;&gt;0,$F148&gt;0,YEAR($F148)&lt;Preisindex!$A$6,YEAR(AE$4)&gt;=YEAR($F148),$K148="k"),ROUND(VLOOKUP(AJ$4,Preisindex,2,FALSE)/VLOOKUP(Preisindex!$A$6,Preisindex,2,FALSE),2),0)))))</f>
        <v>0</v>
      </c>
      <c r="AL148" s="51">
        <f>IF(AND($E148&lt;&gt;0,$F148&gt;0,YEAR($F148)&lt;=AJ$4,YEAR($F148)&gt;=Preisindex!$A$6),ROUND($E148*AJ148,2),IF(AND($E148&lt;&gt;0,$F148&gt;0,YEAR($F148)&lt;=AJ$4,YEAR($F148)&lt;Preisindex!$A$6),ROUND($E148*AK148,2),0))</f>
        <v>0</v>
      </c>
      <c r="AM148" s="53">
        <f t="shared" si="576"/>
        <v>0</v>
      </c>
      <c r="AN148" s="51">
        <f t="shared" si="492"/>
        <v>0</v>
      </c>
      <c r="AO148" s="51">
        <f t="shared" si="448"/>
        <v>0</v>
      </c>
      <c r="AP148" s="51">
        <f t="shared" si="493"/>
        <v>0</v>
      </c>
      <c r="AQ148" s="51">
        <f t="shared" si="449"/>
        <v>0</v>
      </c>
      <c r="AR148" s="51">
        <f t="shared" si="494"/>
        <v>0</v>
      </c>
      <c r="AS148" s="51">
        <f t="shared" si="450"/>
        <v>0</v>
      </c>
      <c r="AT148" s="51">
        <f t="shared" si="495"/>
        <v>0</v>
      </c>
      <c r="AU148" s="51">
        <f t="shared" si="451"/>
        <v>0</v>
      </c>
      <c r="AV148" s="51">
        <f t="shared" si="496"/>
        <v>0</v>
      </c>
      <c r="AW148" s="51">
        <f t="shared" si="452"/>
        <v>0</v>
      </c>
      <c r="AX148" s="51">
        <f t="shared" si="497"/>
        <v>0</v>
      </c>
      <c r="AY148" s="54">
        <f t="shared" si="498"/>
        <v>0</v>
      </c>
      <c r="AZ148" s="55">
        <f t="shared" si="499"/>
        <v>0</v>
      </c>
      <c r="BA148" s="56">
        <f>IF(AND($E148&lt;&gt;0,$F148&gt;0,YEAR($F148)&gt;=Preisindex!$A$6,YEAR(AV$4)&gt;=YEAR($F148),AND($K148&lt;&gt;"a",$K148&lt;&gt;"b",$K148&lt;&gt;"g",$K148&lt;&gt;"k")),1,IF(AND($E148&lt;&gt;0,$F148&gt;0,YEAR($F148)&gt;=Preisindex!$A$6,YEAR(AV$4)&gt;=YEAR($F148),$K148="a"),ROUND(VLOOKUP(BA$4,Preisindex,5,FALSE)/VLOOKUP(YEAR($F148),Preisindex,5,FALSE),2),IF(AND($E148&lt;&gt;0,$F148&gt;0,YEAR($F148)&gt;=Preisindex!$A$6,YEAR(AV$4)&gt;=YEAR($F148),$K148="b"),ROUND(VLOOKUP(BA$4,Preisindex,3,FALSE)/VLOOKUP(YEAR($F148),Preisindex,3,FALSE),2),IF(AND($E148&lt;&gt;0,$F148&gt;0,YEAR($F148)&gt;=Preisindex!$A$6,YEAR(AV$4)&gt;=YEAR($F148),$K148="g"),ROUND(VLOOKUP(BA$4,Preisindex,4,FALSE)/VLOOKUP(YEAR($F148),Preisindex,4,FALSE),2),IF(AND($E148&lt;&gt;0,$F148&gt;0,YEAR($F148)&gt;=Preisindex!$A$6,YEAR(AV$4)&gt;=YEAR($F148),$K148="k"),ROUND(VLOOKUP(BA$4,Preisindex,2,FALSE)/VLOOKUP(YEAR($F148),Preisindex,2,FALSE),2),0)))))</f>
        <v>0</v>
      </c>
      <c r="BB148" s="56">
        <f>IF(AND($E148&lt;&gt;0,$F148&gt;0,YEAR($F148)&lt;Preisindex!$A$6,YEAR(AV$4)&gt;=YEAR($F148),AND($K148&lt;&gt;"a",$K148&lt;&gt;"b",$K148&lt;&gt;"g",$K148&lt;&gt;"k")),1,IF(AND($E148&lt;&gt;0,$F148&gt;0,YEAR($F148)&lt;Preisindex!$A$6,YEAR(AV$4)&gt;=YEAR($F148),$K148="a"),ROUND(VLOOKUP(BA$4,Preisindex,5,FALSE)/VLOOKUP(Preisindex!$A$6,Preisindex,5,FALSE),2),IF(AND($E148&lt;&gt;0,$F148&gt;0,YEAR($F148)&lt;Preisindex!$A$6,YEAR(AV$4)&gt;=YEAR($F148),$K148="b"),ROUND(VLOOKUP(BA$4,Preisindex,3,FALSE)/VLOOKUP(Preisindex!$A$6,Preisindex,3,FALSE),2),IF(AND($E148&lt;&gt;0,$F148&gt;0,YEAR($F148)&lt;Preisindex!$A$6,YEAR(AV$4)&gt;=YEAR($F148),$K148="g"),ROUND(VLOOKUP(BA$4,Preisindex,4,FALSE)/VLOOKUP(Preisindex!$A$6,Preisindex,4,FALSE),2),IF(AND($E148&lt;&gt;0,$F148&gt;0,YEAR($F148)&lt;Preisindex!$A$6,YEAR(AV$4)&gt;=YEAR($F148),$K148="k"),ROUND(VLOOKUP(BA$4,Preisindex,2,FALSE)/VLOOKUP(Preisindex!$A$6,Preisindex,2,FALSE),2),0)))))</f>
        <v>0</v>
      </c>
      <c r="BC148" s="51">
        <f>IF(AND($E148&lt;&gt;0,$F148&gt;0,YEAR($F148)&lt;=BA$4,YEAR($F148)&gt;=Preisindex!$A$6),ROUND($E148*BA148,2),IF(AND($E148&lt;&gt;0,$F148&gt;0,YEAR($F148)&lt;=BA$4,YEAR($F148)&lt;Preisindex!$A$6),ROUND($E148*BB148,2),0))</f>
        <v>0</v>
      </c>
      <c r="BD148" s="53">
        <f t="shared" si="500"/>
        <v>0</v>
      </c>
      <c r="BE148" s="51">
        <f t="shared" si="492"/>
        <v>0</v>
      </c>
      <c r="BF148" s="51">
        <f t="shared" si="453"/>
        <v>0</v>
      </c>
      <c r="BG148" s="51">
        <f t="shared" si="501"/>
        <v>0</v>
      </c>
      <c r="BH148" s="51">
        <f t="shared" si="454"/>
        <v>0</v>
      </c>
      <c r="BI148" s="51">
        <f t="shared" si="502"/>
        <v>0</v>
      </c>
      <c r="BJ148" s="51">
        <f t="shared" si="455"/>
        <v>0</v>
      </c>
      <c r="BK148" s="51">
        <f t="shared" si="503"/>
        <v>0</v>
      </c>
      <c r="BL148" s="51">
        <f t="shared" si="456"/>
        <v>0</v>
      </c>
      <c r="BM148" s="51">
        <f t="shared" si="504"/>
        <v>0</v>
      </c>
      <c r="BN148" s="51">
        <f t="shared" si="457"/>
        <v>0</v>
      </c>
      <c r="BO148" s="51">
        <f t="shared" si="505"/>
        <v>0</v>
      </c>
      <c r="BP148" s="54">
        <f t="shared" si="506"/>
        <v>0</v>
      </c>
      <c r="BQ148" s="55">
        <f t="shared" si="507"/>
        <v>0</v>
      </c>
      <c r="BR148" s="56">
        <f>IF(AND($E148&lt;&gt;0,$F148&gt;0,YEAR($F148)&gt;=Preisindex!$A$6,YEAR(BM$4)&gt;=YEAR($F148),AND($K148&lt;&gt;"a",$K148&lt;&gt;"b",$K148&lt;&gt;"g",$K148&lt;&gt;"k")),1,IF(AND($E148&lt;&gt;0,$F148&gt;0,YEAR($F148)&gt;=Preisindex!$A$6,YEAR(BM$4)&gt;=YEAR($F148),$K148="a"),ROUND(VLOOKUP(BR$4,Preisindex,5,FALSE)/VLOOKUP(YEAR($F148),Preisindex,5,FALSE),2),IF(AND($E148&lt;&gt;0,$F148&gt;0,YEAR($F148)&gt;=Preisindex!$A$6,YEAR(BM$4)&gt;=YEAR($F148),$K148="b"),ROUND(VLOOKUP(BR$4,Preisindex,3,FALSE)/VLOOKUP(YEAR($F148),Preisindex,3,FALSE),2),IF(AND($E148&lt;&gt;0,$F148&gt;0,YEAR($F148)&gt;=Preisindex!$A$6,YEAR(BM$4)&gt;=YEAR($F148),$K148="g"),ROUND(VLOOKUP(BR$4,Preisindex,4,FALSE)/VLOOKUP(YEAR($F148),Preisindex,4,FALSE),2),IF(AND($E148&lt;&gt;0,$F148&gt;0,YEAR($F148)&gt;=Preisindex!$A$6,YEAR(BM$4)&gt;=YEAR($F148),$K148="k"),ROUND(VLOOKUP(BR$4,Preisindex,2,FALSE)/VLOOKUP(YEAR($F148),Preisindex,2,FALSE),2),0)))))</f>
        <v>0</v>
      </c>
      <c r="BS148" s="56">
        <f>IF(AND($E148&lt;&gt;0,$F148&gt;0,YEAR($F148)&lt;Preisindex!$A$6,YEAR(BM$4)&gt;=YEAR($F148),AND($K148&lt;&gt;"a",$K148&lt;&gt;"b",$K148&lt;&gt;"g",$K148&lt;&gt;"k")),1,IF(AND($E148&lt;&gt;0,$F148&gt;0,YEAR($F148)&lt;Preisindex!$A$6,YEAR(BM$4)&gt;=YEAR($F148),$K148="a"),ROUND(VLOOKUP(BR$4,Preisindex,5,FALSE)/VLOOKUP(Preisindex!$A$6,Preisindex,5,FALSE),2),IF(AND($E148&lt;&gt;0,$F148&gt;0,YEAR($F148)&lt;Preisindex!$A$6,YEAR(BM$4)&gt;=YEAR($F148),$K148="b"),ROUND(VLOOKUP(BR$4,Preisindex,3,FALSE)/VLOOKUP(Preisindex!$A$6,Preisindex,3,FALSE),2),IF(AND($E148&lt;&gt;0,$F148&gt;0,YEAR($F148)&lt;Preisindex!$A$6,YEAR(BM$4)&gt;=YEAR($F148),$K148="g"),ROUND(VLOOKUP(BR$4,Preisindex,4,FALSE)/VLOOKUP(Preisindex!$A$6,Preisindex,4,FALSE),2),IF(AND($E148&lt;&gt;0,$F148&gt;0,YEAR($F148)&lt;Preisindex!$A$6,YEAR(BM$4)&gt;=YEAR($F148),$K148="k"),ROUND(VLOOKUP(BR$4,Preisindex,2,FALSE)/VLOOKUP(Preisindex!$A$6,Preisindex,2,FALSE),2),0)))))</f>
        <v>0</v>
      </c>
      <c r="BT148" s="51">
        <f>IF(AND($E148&lt;&gt;0,$F148&gt;0,YEAR($F148)&lt;=BR$4,YEAR($F148)&gt;=Preisindex!$A$6),ROUND($E148*BR148,2),IF(AND($E148&lt;&gt;0,$F148&gt;0,YEAR($F148)&lt;=BR$4,YEAR($F148)&lt;Preisindex!$A$6),ROUND($E148*BS148,2),0))</f>
        <v>0</v>
      </c>
      <c r="BU148" s="53">
        <f t="shared" si="508"/>
        <v>0</v>
      </c>
      <c r="BV148" s="51">
        <f t="shared" si="492"/>
        <v>0</v>
      </c>
      <c r="BW148" s="51">
        <f t="shared" si="458"/>
        <v>0</v>
      </c>
      <c r="BX148" s="51">
        <f t="shared" si="509"/>
        <v>0</v>
      </c>
      <c r="BY148" s="51">
        <f t="shared" si="459"/>
        <v>0</v>
      </c>
      <c r="BZ148" s="51">
        <f t="shared" si="510"/>
        <v>0</v>
      </c>
      <c r="CA148" s="51">
        <f t="shared" si="460"/>
        <v>0</v>
      </c>
      <c r="CB148" s="51">
        <f t="shared" si="511"/>
        <v>0</v>
      </c>
      <c r="CC148" s="51">
        <f t="shared" si="461"/>
        <v>0</v>
      </c>
      <c r="CD148" s="51">
        <f t="shared" si="512"/>
        <v>0</v>
      </c>
      <c r="CE148" s="51">
        <f t="shared" si="462"/>
        <v>0</v>
      </c>
      <c r="CF148" s="51">
        <f t="shared" si="513"/>
        <v>0</v>
      </c>
      <c r="CG148" s="54">
        <f t="shared" si="514"/>
        <v>0</v>
      </c>
      <c r="CH148" s="55">
        <f t="shared" si="515"/>
        <v>0</v>
      </c>
      <c r="CI148" s="56">
        <f>IF(AND($E148&lt;&gt;0,$F148&gt;0,YEAR($F148)&gt;=Preisindex!$A$6,YEAR(CD$4)&gt;=YEAR($F148),AND($K148&lt;&gt;"a",$K148&lt;&gt;"b",$K148&lt;&gt;"g",$K148&lt;&gt;"k")),1,IF(AND($E148&lt;&gt;0,$F148&gt;0,YEAR($F148)&gt;=Preisindex!$A$6,YEAR(CD$4)&gt;=YEAR($F148),$K148="a"),ROUND(VLOOKUP(CI$4,Preisindex,5,FALSE)/VLOOKUP(YEAR($F148),Preisindex,5,FALSE),2),IF(AND($E148&lt;&gt;0,$F148&gt;0,YEAR($F148)&gt;=Preisindex!$A$6,YEAR(CD$4)&gt;=YEAR($F148),$K148="b"),ROUND(VLOOKUP(CI$4,Preisindex,3,FALSE)/VLOOKUP(YEAR($F148),Preisindex,3,FALSE),2),IF(AND($E148&lt;&gt;0,$F148&gt;0,YEAR($F148)&gt;=Preisindex!$A$6,YEAR(CD$4)&gt;=YEAR($F148),$K148="g"),ROUND(VLOOKUP(CI$4,Preisindex,4,FALSE)/VLOOKUP(YEAR($F148),Preisindex,4,FALSE),2),IF(AND($E148&lt;&gt;0,$F148&gt;0,YEAR($F148)&gt;=Preisindex!$A$6,YEAR(CD$4)&gt;=YEAR($F148),$K148="k"),ROUND(VLOOKUP(CI$4,Preisindex,2,FALSE)/VLOOKUP(YEAR($F148),Preisindex,2,FALSE),2),0)))))</f>
        <v>0</v>
      </c>
      <c r="CJ148" s="56">
        <f>IF(AND($E148&lt;&gt;0,$F148&gt;0,YEAR($F148)&lt;Preisindex!$A$6,YEAR(CD$4)&gt;=YEAR($F148),AND($K148&lt;&gt;"a",$K148&lt;&gt;"b",$K148&lt;&gt;"g",$K148&lt;&gt;"k")),1,IF(AND($E148&lt;&gt;0,$F148&gt;0,YEAR($F148)&lt;Preisindex!$A$6,YEAR(CD$4)&gt;=YEAR($F148),$K148="a"),ROUND(VLOOKUP(CI$4,Preisindex,5,FALSE)/VLOOKUP(Preisindex!$A$6,Preisindex,5,FALSE),2),IF(AND($E148&lt;&gt;0,$F148&gt;0,YEAR($F148)&lt;Preisindex!$A$6,YEAR(CD$4)&gt;=YEAR($F148),$K148="b"),ROUND(VLOOKUP(CI$4,Preisindex,3,FALSE)/VLOOKUP(Preisindex!$A$6,Preisindex,3,FALSE),2),IF(AND($E148&lt;&gt;0,$F148&gt;0,YEAR($F148)&lt;Preisindex!$A$6,YEAR(CD$4)&gt;=YEAR($F148),$K148="g"),ROUND(VLOOKUP(CI$4,Preisindex,4,FALSE)/VLOOKUP(Preisindex!$A$6,Preisindex,4,FALSE),2),IF(AND($E148&lt;&gt;0,$F148&gt;0,YEAR($F148)&lt;Preisindex!$A$6,YEAR(CD$4)&gt;=YEAR($F148),$K148="k"),ROUND(VLOOKUP(CI$4,Preisindex,2,FALSE)/VLOOKUP(Preisindex!$A$6,Preisindex,2,FALSE),2),0)))))</f>
        <v>0</v>
      </c>
      <c r="CK148" s="51">
        <f>IF(AND($E148&lt;&gt;0,$F148&gt;0,YEAR($F148)&lt;=CI$4,YEAR($F148)&gt;=Preisindex!$A$6),ROUND($E148*CI148,2),IF(AND($E148&lt;&gt;0,$F148&gt;0,YEAR($F148)&lt;=CI$4,YEAR($F148)&lt;Preisindex!$A$6),ROUND($E148*CJ148,2),0))</f>
        <v>0</v>
      </c>
      <c r="CL148" s="53">
        <f t="shared" si="516"/>
        <v>0</v>
      </c>
      <c r="CM148" s="51">
        <f t="shared" si="492"/>
        <v>0</v>
      </c>
      <c r="CN148" s="51">
        <f t="shared" si="463"/>
        <v>0</v>
      </c>
      <c r="CO148" s="51">
        <f t="shared" si="517"/>
        <v>0</v>
      </c>
      <c r="CP148" s="51">
        <f t="shared" si="464"/>
        <v>0</v>
      </c>
      <c r="CQ148" s="51">
        <f t="shared" si="518"/>
        <v>0</v>
      </c>
      <c r="CR148" s="51">
        <f t="shared" si="465"/>
        <v>0</v>
      </c>
      <c r="CS148" s="51">
        <f t="shared" si="519"/>
        <v>0</v>
      </c>
      <c r="CT148" s="51">
        <f t="shared" si="466"/>
        <v>0</v>
      </c>
      <c r="CU148" s="51">
        <f t="shared" si="520"/>
        <v>0</v>
      </c>
      <c r="CV148" s="51">
        <f t="shared" si="467"/>
        <v>0</v>
      </c>
      <c r="CW148" s="51">
        <f t="shared" si="521"/>
        <v>0</v>
      </c>
      <c r="CX148" s="54">
        <f t="shared" si="522"/>
        <v>0</v>
      </c>
      <c r="CY148" s="55">
        <f t="shared" si="523"/>
        <v>0</v>
      </c>
      <c r="CZ148" s="56">
        <f>IF(AND($E148&lt;&gt;0,$F148&gt;0,YEAR($F148)&gt;=Preisindex!$A$6,YEAR(CU$4)&gt;=YEAR($F148),AND($K148&lt;&gt;"a",$K148&lt;&gt;"b",$K148&lt;&gt;"g",$K148&lt;&gt;"k")),1,IF(AND($E148&lt;&gt;0,$F148&gt;0,YEAR($F148)&gt;=Preisindex!$A$6,YEAR(CU$4)&gt;=YEAR($F148),$K148="a"),ROUND(VLOOKUP(CZ$4,Preisindex,5,FALSE)/VLOOKUP(YEAR($F148),Preisindex,5,FALSE),2),IF(AND($E148&lt;&gt;0,$F148&gt;0,YEAR($F148)&gt;=Preisindex!$A$6,YEAR(CU$4)&gt;=YEAR($F148),$K148="b"),ROUND(VLOOKUP(CZ$4,Preisindex,3,FALSE)/VLOOKUP(YEAR($F148),Preisindex,3,FALSE),2),IF(AND($E148&lt;&gt;0,$F148&gt;0,YEAR($F148)&gt;=Preisindex!$A$6,YEAR(CU$4)&gt;=YEAR($F148),$K148="g"),ROUND(VLOOKUP(CZ$4,Preisindex,4,FALSE)/VLOOKUP(YEAR($F148),Preisindex,4,FALSE),2),IF(AND($E148&lt;&gt;0,$F148&gt;0,YEAR($F148)&gt;=Preisindex!$A$6,YEAR(CU$4)&gt;=YEAR($F148),$K148="k"),ROUND(VLOOKUP(CZ$4,Preisindex,2,FALSE)/VLOOKUP(YEAR($F148),Preisindex,2,FALSE),2),0)))))</f>
        <v>0</v>
      </c>
      <c r="DA148" s="56">
        <f>IF(AND($E148&lt;&gt;0,$F148&gt;0,YEAR($F148)&lt;Preisindex!$A$6,YEAR(CU$4)&gt;=YEAR($F148),AND($K148&lt;&gt;"a",$K148&lt;&gt;"b",$K148&lt;&gt;"g",$K148&lt;&gt;"k")),1,IF(AND($E148&lt;&gt;0,$F148&gt;0,YEAR($F148)&lt;Preisindex!$A$6,YEAR(CU$4)&gt;=YEAR($F148),$K148="a"),ROUND(VLOOKUP(CZ$4,Preisindex,5,FALSE)/VLOOKUP(Preisindex!$A$6,Preisindex,5,FALSE),2),IF(AND($E148&lt;&gt;0,$F148&gt;0,YEAR($F148)&lt;Preisindex!$A$6,YEAR(CU$4)&gt;=YEAR($F148),$K148="b"),ROUND(VLOOKUP(CZ$4,Preisindex,3,FALSE)/VLOOKUP(Preisindex!$A$6,Preisindex,3,FALSE),2),IF(AND($E148&lt;&gt;0,$F148&gt;0,YEAR($F148)&lt;Preisindex!$A$6,YEAR(CU$4)&gt;=YEAR($F148),$K148="g"),ROUND(VLOOKUP(CZ$4,Preisindex,4,FALSE)/VLOOKUP(Preisindex!$A$6,Preisindex,4,FALSE),2),IF(AND($E148&lt;&gt;0,$F148&gt;0,YEAR($F148)&lt;Preisindex!$A$6,YEAR(CU$4)&gt;=YEAR($F148),$K148="k"),ROUND(VLOOKUP(CZ$4,Preisindex,2,FALSE)/VLOOKUP(Preisindex!$A$6,Preisindex,2,FALSE),2),0)))))</f>
        <v>0</v>
      </c>
      <c r="DB148" s="51">
        <f>IF(AND($E148&lt;&gt;0,$F148&gt;0,YEAR($F148)&lt;=CZ$4,YEAR($F148)&gt;=Preisindex!$A$6),ROUND($E148*CZ148,2),IF(AND($E148&lt;&gt;0,$F148&gt;0,YEAR($F148)&lt;=CZ$4,YEAR($F148)&lt;Preisindex!$A$6),ROUND($E148*DA148,2),0))</f>
        <v>0</v>
      </c>
      <c r="DC148" s="53">
        <f t="shared" si="524"/>
        <v>0</v>
      </c>
      <c r="DD148" s="51">
        <f t="shared" si="525"/>
        <v>0</v>
      </c>
      <c r="DE148" s="51">
        <f t="shared" si="468"/>
        <v>0</v>
      </c>
      <c r="DF148" s="51">
        <f t="shared" si="526"/>
        <v>0</v>
      </c>
      <c r="DG148" s="51">
        <f t="shared" si="469"/>
        <v>0</v>
      </c>
      <c r="DH148" s="51">
        <f t="shared" si="527"/>
        <v>0</v>
      </c>
      <c r="DI148" s="51">
        <f t="shared" si="470"/>
        <v>0</v>
      </c>
      <c r="DJ148" s="51">
        <f t="shared" si="528"/>
        <v>0</v>
      </c>
      <c r="DK148" s="51">
        <f t="shared" si="471"/>
        <v>0</v>
      </c>
      <c r="DL148" s="51">
        <f t="shared" si="529"/>
        <v>0</v>
      </c>
      <c r="DM148" s="51">
        <f t="shared" si="472"/>
        <v>0</v>
      </c>
      <c r="DN148" s="51">
        <f t="shared" si="530"/>
        <v>0</v>
      </c>
      <c r="DO148" s="54">
        <f t="shared" si="531"/>
        <v>0</v>
      </c>
      <c r="DP148" s="55">
        <f t="shared" si="532"/>
        <v>0</v>
      </c>
      <c r="DQ148" s="56">
        <f>IF(AND($E148&lt;&gt;0,$F148&gt;0,YEAR($F148)&gt;=Preisindex!$A$6,YEAR(DL$4)&gt;=YEAR($F148),AND($K148&lt;&gt;"a",$K148&lt;&gt;"b",$K148&lt;&gt;"g",$K148&lt;&gt;"k")),1,IF(AND($E148&lt;&gt;0,$F148&gt;0,YEAR($F148)&gt;=Preisindex!$A$6,YEAR(DL$4)&gt;=YEAR($F148),$K148="a"),ROUND(VLOOKUP(DQ$4,Preisindex,5,FALSE)/VLOOKUP(YEAR($F148),Preisindex,5,FALSE),2),IF(AND($E148&lt;&gt;0,$F148&gt;0,YEAR($F148)&gt;=Preisindex!$A$6,YEAR(DL$4)&gt;=YEAR($F148),$K148="b"),ROUND(VLOOKUP(DQ$4,Preisindex,3,FALSE)/VLOOKUP(YEAR($F148),Preisindex,3,FALSE),2),IF(AND($E148&lt;&gt;0,$F148&gt;0,YEAR($F148)&gt;=Preisindex!$A$6,YEAR(DL$4)&gt;=YEAR($F148),$K148="g"),ROUND(VLOOKUP(DQ$4,Preisindex,4,FALSE)/VLOOKUP(YEAR($F148),Preisindex,4,FALSE),2),IF(AND($E148&lt;&gt;0,$F148&gt;0,YEAR($F148)&gt;=Preisindex!$A$6,YEAR(DL$4)&gt;=YEAR($F148),$K148="k"),ROUND(VLOOKUP(DQ$4,Preisindex,2,FALSE)/VLOOKUP(YEAR($F148),Preisindex,2,FALSE),2),0)))))</f>
        <v>0</v>
      </c>
      <c r="DR148" s="56">
        <f>IF(AND($E148&lt;&gt;0,$F148&gt;0,YEAR($F148)&lt;Preisindex!$A$6,YEAR(DL$4)&gt;=YEAR($F148),AND($K148&lt;&gt;"a",$K148&lt;&gt;"b",$K148&lt;&gt;"g",$K148&lt;&gt;"k")),1,IF(AND($E148&lt;&gt;0,$F148&gt;0,YEAR($F148)&lt;Preisindex!$A$6,YEAR(DL$4)&gt;=YEAR($F148),$K148="a"),ROUND(VLOOKUP(DQ$4,Preisindex,5,FALSE)/VLOOKUP(Preisindex!$A$6,Preisindex,5,FALSE),2),IF(AND($E148&lt;&gt;0,$F148&gt;0,YEAR($F148)&lt;Preisindex!$A$6,YEAR(DL$4)&gt;=YEAR($F148),$K148="b"),ROUND(VLOOKUP(DQ$4,Preisindex,3,FALSE)/VLOOKUP(Preisindex!$A$6,Preisindex,3,FALSE),2),IF(AND($E148&lt;&gt;0,$F148&gt;0,YEAR($F148)&lt;Preisindex!$A$6,YEAR(DL$4)&gt;=YEAR($F148),$K148="g"),ROUND(VLOOKUP(DQ$4,Preisindex,4,FALSE)/VLOOKUP(Preisindex!$A$6,Preisindex,4,FALSE),2),IF(AND($E148&lt;&gt;0,$F148&gt;0,YEAR($F148)&lt;Preisindex!$A$6,YEAR(DL$4)&gt;=YEAR($F148),$K148="k"),ROUND(VLOOKUP(DQ$4,Preisindex,2,FALSE)/VLOOKUP(Preisindex!$A$6,Preisindex,2,FALSE),2),0)))))</f>
        <v>0</v>
      </c>
      <c r="DS148" s="51">
        <f>IF(AND($E148&lt;&gt;0,$F148&gt;0,YEAR($F148)&lt;=DQ$4,YEAR($F148)&gt;=Preisindex!$A$6),ROUND($E148*DQ148,2),IF(AND($E148&lt;&gt;0,$F148&gt;0,YEAR($F148)&lt;=DQ$4,YEAR($F148)&lt;Preisindex!$A$6),ROUND($E148*DR148,2),0))</f>
        <v>0</v>
      </c>
      <c r="DT148" s="53">
        <f t="shared" si="533"/>
        <v>0</v>
      </c>
      <c r="DU148" s="51">
        <f t="shared" si="525"/>
        <v>0</v>
      </c>
      <c r="DV148" s="51">
        <f t="shared" si="473"/>
        <v>0</v>
      </c>
      <c r="DW148" s="51">
        <f t="shared" si="534"/>
        <v>0</v>
      </c>
      <c r="DX148" s="51">
        <f t="shared" si="474"/>
        <v>0</v>
      </c>
      <c r="DY148" s="51">
        <f t="shared" si="535"/>
        <v>0</v>
      </c>
      <c r="DZ148" s="51">
        <f t="shared" si="475"/>
        <v>0</v>
      </c>
      <c r="EA148" s="51">
        <f t="shared" si="536"/>
        <v>0</v>
      </c>
      <c r="EB148" s="51">
        <f t="shared" si="476"/>
        <v>0</v>
      </c>
      <c r="EC148" s="51">
        <f t="shared" si="537"/>
        <v>0</v>
      </c>
      <c r="ED148" s="51">
        <f t="shared" si="477"/>
        <v>0</v>
      </c>
      <c r="EE148" s="51">
        <f t="shared" si="538"/>
        <v>0</v>
      </c>
      <c r="EF148" s="54">
        <f t="shared" si="539"/>
        <v>0</v>
      </c>
      <c r="EG148" s="55">
        <f t="shared" si="540"/>
        <v>0</v>
      </c>
      <c r="EH148" s="56">
        <f>IF(AND($E148&lt;&gt;0,$F148&gt;0,YEAR($F148)&gt;=Preisindex!$A$6,YEAR(EC$4)&gt;=YEAR($F148),AND($K148&lt;&gt;"a",$K148&lt;&gt;"b",$K148&lt;&gt;"g",$K148&lt;&gt;"k")),1,IF(AND($E148&lt;&gt;0,$F148&gt;0,YEAR($F148)&gt;=Preisindex!$A$6,YEAR(EC$4)&gt;=YEAR($F148),$K148="a"),ROUND(VLOOKUP(EH$4,Preisindex,5,FALSE)/VLOOKUP(YEAR($F148),Preisindex,5,FALSE),2),IF(AND($E148&lt;&gt;0,$F148&gt;0,YEAR($F148)&gt;=Preisindex!$A$6,YEAR(EC$4)&gt;=YEAR($F148),$K148="b"),ROUND(VLOOKUP(EH$4,Preisindex,3,FALSE)/VLOOKUP(YEAR($F148),Preisindex,3,FALSE),2),IF(AND($E148&lt;&gt;0,$F148&gt;0,YEAR($F148)&gt;=Preisindex!$A$6,YEAR(EC$4)&gt;=YEAR($F148),$K148="g"),ROUND(VLOOKUP(EH$4,Preisindex,4,FALSE)/VLOOKUP(YEAR($F148),Preisindex,4,FALSE),2),IF(AND($E148&lt;&gt;0,$F148&gt;0,YEAR($F148)&gt;=Preisindex!$A$6,YEAR(EC$4)&gt;=YEAR($F148),$K148="k"),ROUND(VLOOKUP(EH$4,Preisindex,2,FALSE)/VLOOKUP(YEAR($F148),Preisindex,2,FALSE),2),0)))))</f>
        <v>0</v>
      </c>
      <c r="EI148" s="56">
        <f>IF(AND($E148&lt;&gt;0,$F148&gt;0,YEAR($F148)&lt;Preisindex!$A$6,YEAR(EC$4)&gt;=YEAR($F148),AND($K148&lt;&gt;"a",$K148&lt;&gt;"b",$K148&lt;&gt;"g",$K148&lt;&gt;"k")),1,IF(AND($E148&lt;&gt;0,$F148&gt;0,YEAR($F148)&lt;Preisindex!$A$6,YEAR(EC$4)&gt;=YEAR($F148),$K148="a"),ROUND(VLOOKUP(EH$4,Preisindex,5,FALSE)/VLOOKUP(Preisindex!$A$6,Preisindex,5,FALSE),2),IF(AND($E148&lt;&gt;0,$F148&gt;0,YEAR($F148)&lt;Preisindex!$A$6,YEAR(EC$4)&gt;=YEAR($F148),$K148="b"),ROUND(VLOOKUP(EH$4,Preisindex,3,FALSE)/VLOOKUP(Preisindex!$A$6,Preisindex,3,FALSE),2),IF(AND($E148&lt;&gt;0,$F148&gt;0,YEAR($F148)&lt;Preisindex!$A$6,YEAR(EC$4)&gt;=YEAR($F148),$K148="g"),ROUND(VLOOKUP(EH$4,Preisindex,4,FALSE)/VLOOKUP(Preisindex!$A$6,Preisindex,4,FALSE),2),IF(AND($E148&lt;&gt;0,$F148&gt;0,YEAR($F148)&lt;Preisindex!$A$6,YEAR(EC$4)&gt;=YEAR($F148),$K148="k"),ROUND(VLOOKUP(EH$4,Preisindex,2,FALSE)/VLOOKUP(Preisindex!$A$6,Preisindex,2,FALSE),2),0)))))</f>
        <v>0</v>
      </c>
      <c r="EJ148" s="51">
        <f>IF(AND($E148&lt;&gt;0,$F148&gt;0,YEAR($F148)&lt;=EH$4,YEAR($F148)&gt;=Preisindex!$A$6),ROUND($E148*EH148,2),IF(AND($E148&lt;&gt;0,$F148&gt;0,YEAR($F148)&lt;=EH$4,YEAR($F148)&lt;Preisindex!$A$6),ROUND($E148*EI148,2),0))</f>
        <v>0</v>
      </c>
      <c r="EK148" s="53">
        <f t="shared" si="541"/>
        <v>0</v>
      </c>
      <c r="EL148" s="51">
        <f t="shared" si="525"/>
        <v>0</v>
      </c>
      <c r="EM148" s="51">
        <f t="shared" si="478"/>
        <v>0</v>
      </c>
      <c r="EN148" s="51">
        <f t="shared" si="542"/>
        <v>0</v>
      </c>
      <c r="EO148" s="51">
        <f t="shared" si="479"/>
        <v>0</v>
      </c>
      <c r="EP148" s="51">
        <f t="shared" si="543"/>
        <v>0</v>
      </c>
      <c r="EQ148" s="51">
        <f t="shared" si="480"/>
        <v>0</v>
      </c>
      <c r="ER148" s="51">
        <f t="shared" si="544"/>
        <v>0</v>
      </c>
      <c r="ES148" s="51">
        <f t="shared" si="481"/>
        <v>0</v>
      </c>
      <c r="ET148" s="51">
        <f t="shared" si="545"/>
        <v>0</v>
      </c>
      <c r="EU148" s="51">
        <f t="shared" si="482"/>
        <v>0</v>
      </c>
      <c r="EV148" s="51">
        <f t="shared" si="546"/>
        <v>0</v>
      </c>
      <c r="EW148" s="54">
        <f t="shared" si="547"/>
        <v>0</v>
      </c>
      <c r="EX148" s="55">
        <f t="shared" si="548"/>
        <v>0</v>
      </c>
      <c r="EY148" s="56">
        <f>IF(AND($E148&lt;&gt;0,$F148&gt;0,YEAR($F148)&gt;=Preisindex!$A$6,YEAR(ET$4)&gt;=YEAR($F148),AND($K148&lt;&gt;"a",$K148&lt;&gt;"b",$K148&lt;&gt;"g",$K148&lt;&gt;"k")),1,IF(AND($E148&lt;&gt;0,$F148&gt;0,YEAR($F148)&gt;=Preisindex!$A$6,YEAR(ET$4)&gt;=YEAR($F148),$K148="a"),ROUND(VLOOKUP(EY$4,Preisindex,5,FALSE)/VLOOKUP(YEAR($F148),Preisindex,5,FALSE),2),IF(AND($E148&lt;&gt;0,$F148&gt;0,YEAR($F148)&gt;=Preisindex!$A$6,YEAR(ET$4)&gt;=YEAR($F148),$K148="b"),ROUND(VLOOKUP(EY$4,Preisindex,3,FALSE)/VLOOKUP(YEAR($F148),Preisindex,3,FALSE),2),IF(AND($E148&lt;&gt;0,$F148&gt;0,YEAR($F148)&gt;=Preisindex!$A$6,YEAR(ET$4)&gt;=YEAR($F148),$K148="g"),ROUND(VLOOKUP(EY$4,Preisindex,4,FALSE)/VLOOKUP(YEAR($F148),Preisindex,4,FALSE),2),IF(AND($E148&lt;&gt;0,$F148&gt;0,YEAR($F148)&gt;=Preisindex!$A$6,YEAR(ET$4)&gt;=YEAR($F148),$K148="k"),ROUND(VLOOKUP(EY$4,Preisindex,2,FALSE)/VLOOKUP(YEAR($F148),Preisindex,2,FALSE),2),0)))))</f>
        <v>0</v>
      </c>
      <c r="EZ148" s="56">
        <f>IF(AND($E148&lt;&gt;0,$F148&gt;0,YEAR($F148)&lt;Preisindex!$A$6,YEAR(ET$4)&gt;=YEAR($F148),AND($K148&lt;&gt;"a",$K148&lt;&gt;"b",$K148&lt;&gt;"g",$K148&lt;&gt;"k")),1,IF(AND($E148&lt;&gt;0,$F148&gt;0,YEAR($F148)&lt;Preisindex!$A$6,YEAR(ET$4)&gt;=YEAR($F148),$K148="a"),ROUND(VLOOKUP(EY$4,Preisindex,5,FALSE)/VLOOKUP(Preisindex!$A$6,Preisindex,5,FALSE),2),IF(AND($E148&lt;&gt;0,$F148&gt;0,YEAR($F148)&lt;Preisindex!$A$6,YEAR(ET$4)&gt;=YEAR($F148),$K148="b"),ROUND(VLOOKUP(EY$4,Preisindex,3,FALSE)/VLOOKUP(Preisindex!$A$6,Preisindex,3,FALSE),2),IF(AND($E148&lt;&gt;0,$F148&gt;0,YEAR($F148)&lt;Preisindex!$A$6,YEAR(ET$4)&gt;=YEAR($F148),$K148="g"),ROUND(VLOOKUP(EY$4,Preisindex,4,FALSE)/VLOOKUP(Preisindex!$A$6,Preisindex,4,FALSE),2),IF(AND($E148&lt;&gt;0,$F148&gt;0,YEAR($F148)&lt;Preisindex!$A$6,YEAR(ET$4)&gt;=YEAR($F148),$K148="k"),ROUND(VLOOKUP(EY$4,Preisindex,2,FALSE)/VLOOKUP(Preisindex!$A$6,Preisindex,2,FALSE),2),0)))))</f>
        <v>0</v>
      </c>
      <c r="FA148" s="51">
        <f>IF(AND($E148&lt;&gt;0,$F148&gt;0,YEAR($F148)&lt;=EY$4,YEAR($F148)&gt;=Preisindex!$A$6),ROUND($E148*EY148,2),IF(AND($E148&lt;&gt;0,$F148&gt;0,YEAR($F148)&lt;=EY$4,YEAR($F148)&lt;Preisindex!$A$6),ROUND($E148*EZ148,2),0))</f>
        <v>0</v>
      </c>
      <c r="FB148" s="53">
        <f t="shared" si="549"/>
        <v>0</v>
      </c>
      <c r="FC148" s="51">
        <f t="shared" si="525"/>
        <v>0</v>
      </c>
      <c r="FD148" s="51">
        <f t="shared" si="483"/>
        <v>0</v>
      </c>
      <c r="FE148" s="51">
        <f t="shared" si="550"/>
        <v>0</v>
      </c>
      <c r="FF148" s="51">
        <f t="shared" si="484"/>
        <v>0</v>
      </c>
      <c r="FG148" s="51">
        <f t="shared" si="551"/>
        <v>0</v>
      </c>
      <c r="FH148" s="51">
        <f t="shared" si="485"/>
        <v>0</v>
      </c>
      <c r="FI148" s="51">
        <f t="shared" si="552"/>
        <v>0</v>
      </c>
      <c r="FJ148" s="51">
        <f t="shared" si="486"/>
        <v>0</v>
      </c>
      <c r="FK148" s="51">
        <f t="shared" si="553"/>
        <v>0</v>
      </c>
      <c r="FL148" s="51">
        <f t="shared" si="487"/>
        <v>0</v>
      </c>
      <c r="FM148" s="51">
        <f t="shared" si="554"/>
        <v>0</v>
      </c>
      <c r="FN148" s="54">
        <f t="shared" si="555"/>
        <v>0</v>
      </c>
      <c r="FO148" s="55">
        <f t="shared" si="556"/>
        <v>0</v>
      </c>
      <c r="FP148" s="56">
        <f>IF(AND($E148&lt;&gt;0,$F148&gt;0,YEAR($F148)&gt;=Preisindex!$A$6,YEAR(FK$4)&gt;=YEAR($F148),AND($K148&lt;&gt;"a",$K148&lt;&gt;"b",$K148&lt;&gt;"g",$K148&lt;&gt;"k")),1,IF(AND($E148&lt;&gt;0,$F148&gt;0,YEAR($F148)&gt;=Preisindex!$A$6,YEAR(FK$4)&gt;=YEAR($F148),$K148="a"),ROUND(VLOOKUP(FP$4,Preisindex,5,FALSE)/VLOOKUP(YEAR($F148),Preisindex,5,FALSE),2),IF(AND($E148&lt;&gt;0,$F148&gt;0,YEAR($F148)&gt;=Preisindex!$A$6,YEAR(FK$4)&gt;=YEAR($F148),$K148="b"),ROUND(VLOOKUP(FP$4,Preisindex,3,FALSE)/VLOOKUP(YEAR($F148),Preisindex,3,FALSE),2),IF(AND($E148&lt;&gt;0,$F148&gt;0,YEAR($F148)&gt;=Preisindex!$A$6,YEAR(FK$4)&gt;=YEAR($F148),$K148="g"),ROUND(VLOOKUP(FP$4,Preisindex,4,FALSE)/VLOOKUP(YEAR($F148),Preisindex,4,FALSE),2),IF(AND($E148&lt;&gt;0,$F148&gt;0,YEAR($F148)&gt;=Preisindex!$A$6,YEAR(FK$4)&gt;=YEAR($F148),$K148="k"),ROUND(VLOOKUP(FP$4,Preisindex,2,FALSE)/VLOOKUP(YEAR($F148),Preisindex,2,FALSE),2),0)))))</f>
        <v>0</v>
      </c>
      <c r="FQ148" s="56">
        <f>IF(AND($E148&lt;&gt;0,$F148&gt;0,YEAR($F148)&lt;Preisindex!$A$6,YEAR(FK$4)&gt;=YEAR($F148),AND($K148&lt;&gt;"a",$K148&lt;&gt;"b",$K148&lt;&gt;"g",$K148&lt;&gt;"k")),1,IF(AND($E148&lt;&gt;0,$F148&gt;0,YEAR($F148)&lt;Preisindex!$A$6,YEAR(FK$4)&gt;=YEAR($F148),$K148="a"),ROUND(VLOOKUP(FP$4,Preisindex,5,FALSE)/VLOOKUP(Preisindex!$A$6,Preisindex,5,FALSE),2),IF(AND($E148&lt;&gt;0,$F148&gt;0,YEAR($F148)&lt;Preisindex!$A$6,YEAR(FK$4)&gt;=YEAR($F148),$K148="b"),ROUND(VLOOKUP(FP$4,Preisindex,3,FALSE)/VLOOKUP(Preisindex!$A$6,Preisindex,3,FALSE),2),IF(AND($E148&lt;&gt;0,$F148&gt;0,YEAR($F148)&lt;Preisindex!$A$6,YEAR(FK$4)&gt;=YEAR($F148),$K148="g"),ROUND(VLOOKUP(FP$4,Preisindex,4,FALSE)/VLOOKUP(Preisindex!$A$6,Preisindex,4,FALSE),2),IF(AND($E148&lt;&gt;0,$F148&gt;0,YEAR($F148)&lt;Preisindex!$A$6,YEAR(FK$4)&gt;=YEAR($F148),$K148="k"),ROUND(VLOOKUP(FP$4,Preisindex,2,FALSE)/VLOOKUP(Preisindex!$A$6,Preisindex,2,FALSE),2),0)))))</f>
        <v>0</v>
      </c>
      <c r="FR148" s="51">
        <f>IF(AND($E148&lt;&gt;0,$F148&gt;0,YEAR($F148)&lt;=FP$4,YEAR($F148)&gt;=Preisindex!$A$6),ROUND($E148*FP148,2),IF(AND($E148&lt;&gt;0,$F148&gt;0,YEAR($F148)&lt;=FP$4,YEAR($F148)&lt;Preisindex!$A$6),ROUND($E148*FQ148,2),0))</f>
        <v>0</v>
      </c>
      <c r="FS148" s="53">
        <f t="shared" si="557"/>
        <v>0</v>
      </c>
    </row>
    <row r="149" spans="1:175" x14ac:dyDescent="0.3">
      <c r="A149" s="93"/>
      <c r="B149" s="94"/>
      <c r="C149" s="94"/>
      <c r="D149" s="95"/>
      <c r="E149" s="99"/>
      <c r="F149" s="97"/>
      <c r="G149" s="98"/>
      <c r="H149" s="620"/>
      <c r="I149" s="621"/>
      <c r="J149" s="194"/>
      <c r="K149" s="630"/>
      <c r="L149" s="49">
        <f t="shared" si="558"/>
        <v>0</v>
      </c>
      <c r="M149" s="50">
        <f t="shared" si="559"/>
        <v>0</v>
      </c>
      <c r="N149" s="51">
        <f t="shared" si="560"/>
        <v>0</v>
      </c>
      <c r="O149" s="51"/>
      <c r="P149" s="51">
        <f t="shared" si="561"/>
        <v>0</v>
      </c>
      <c r="Q149" s="52"/>
      <c r="R149" s="52"/>
      <c r="S149" s="52"/>
      <c r="T149" s="52"/>
      <c r="U149" s="52"/>
      <c r="V149" s="53">
        <f t="shared" si="562"/>
        <v>0</v>
      </c>
      <c r="W149" s="51">
        <f t="shared" si="563"/>
        <v>0</v>
      </c>
      <c r="X149" s="51">
        <f t="shared" si="564"/>
        <v>0</v>
      </c>
      <c r="Y149" s="51">
        <f t="shared" si="565"/>
        <v>0</v>
      </c>
      <c r="Z149" s="51">
        <f t="shared" si="566"/>
        <v>0</v>
      </c>
      <c r="AA149" s="51">
        <f t="shared" si="567"/>
        <v>0</v>
      </c>
      <c r="AB149" s="51">
        <f t="shared" si="568"/>
        <v>0</v>
      </c>
      <c r="AC149" s="51">
        <f t="shared" si="569"/>
        <v>0</v>
      </c>
      <c r="AD149" s="51">
        <f t="shared" si="570"/>
        <v>0</v>
      </c>
      <c r="AE149" s="51">
        <f t="shared" si="571"/>
        <v>0</v>
      </c>
      <c r="AF149" s="51">
        <f t="shared" si="572"/>
        <v>0</v>
      </c>
      <c r="AG149" s="51">
        <f t="shared" si="573"/>
        <v>0</v>
      </c>
      <c r="AH149" s="54">
        <f t="shared" si="574"/>
        <v>0</v>
      </c>
      <c r="AI149" s="55">
        <f t="shared" si="575"/>
        <v>0</v>
      </c>
      <c r="AJ149" s="56">
        <f>IF(AND($E149&lt;&gt;0,$F149&gt;0,YEAR($F149)&gt;=Preisindex!$A$6,YEAR(AE$4)&gt;=YEAR($F149),AND($K149&lt;&gt;"a",$K149&lt;&gt;"b",$K149&lt;&gt;"g",$K149&lt;&gt;"k")),1,IF(AND($E149&lt;&gt;0,$F149&gt;0,YEAR($F149)&gt;=Preisindex!$A$6,YEAR(AE$4)&gt;=YEAR($F149),$K149="a"),ROUND(VLOOKUP(AJ$4,Preisindex,5,FALSE)/VLOOKUP(YEAR($F149),Preisindex,5,FALSE),2),IF(AND($E149&lt;&gt;0,$F149&gt;0,YEAR($F149)&gt;=Preisindex!$A$6,YEAR(AE$4)&gt;=YEAR($F149),$K149="b"),ROUND(VLOOKUP(AJ$4,Preisindex,3,FALSE)/VLOOKUP(YEAR($F149),Preisindex,3,FALSE),2),IF(AND($E149&lt;&gt;0,$F149&gt;0,YEAR($F149)&gt;=Preisindex!$A$6,YEAR(AE$4)&gt;=YEAR($F149),$K149="g"),ROUND(VLOOKUP(AJ$4,Preisindex,4,FALSE)/VLOOKUP(YEAR($F149),Preisindex,4,FALSE),2),IF(AND($E149&lt;&gt;0,$F149&gt;0,YEAR($F149)&gt;=Preisindex!$A$6,YEAR(AE$4)&gt;=YEAR($F149),$K149="k"),ROUND(VLOOKUP(AJ$4,Preisindex,2,FALSE)/VLOOKUP(YEAR($F149),Preisindex,2,FALSE),2),0)))))</f>
        <v>0</v>
      </c>
      <c r="AK149" s="56">
        <f>IF(AND($E149&lt;&gt;0,$F149&gt;0,YEAR($F149)&lt;Preisindex!$A$6,YEAR(AE$4)&gt;=YEAR($F149),AND($K149&lt;&gt;"a",$K149&lt;&gt;"b",$K149&lt;&gt;"g",$K149&lt;&gt;"k")),1,IF(AND($E149&lt;&gt;0,$F149&gt;0,YEAR($F149)&lt;Preisindex!$A$6,YEAR(AE$4)&gt;=YEAR($F149),$K149="a"),ROUND(VLOOKUP(AJ$4,Preisindex,5,FALSE)/VLOOKUP(Preisindex!$A$6,Preisindex,5,FALSE),2),IF(AND($E149&lt;&gt;0,$F149&gt;0,YEAR($F149)&lt;Preisindex!$A$6,YEAR(AE$4)&gt;=YEAR($F149),$K149="b"),ROUND(VLOOKUP(AJ$4,Preisindex,3,FALSE)/VLOOKUP(Preisindex!$A$6,Preisindex,3,FALSE),2),IF(AND($E149&lt;&gt;0,$F149&gt;0,YEAR($F149)&lt;Preisindex!$A$6,YEAR(AE$4)&gt;=YEAR($F149),$K149="g"),ROUND(VLOOKUP(AJ$4,Preisindex,4,FALSE)/VLOOKUP(Preisindex!$A$6,Preisindex,4,FALSE),2),IF(AND($E149&lt;&gt;0,$F149&gt;0,YEAR($F149)&lt;Preisindex!$A$6,YEAR(AE$4)&gt;=YEAR($F149),$K149="k"),ROUND(VLOOKUP(AJ$4,Preisindex,2,FALSE)/VLOOKUP(Preisindex!$A$6,Preisindex,2,FALSE),2),0)))))</f>
        <v>0</v>
      </c>
      <c r="AL149" s="51">
        <f>IF(AND($E149&lt;&gt;0,$F149&gt;0,YEAR($F149)&lt;=AJ$4,YEAR($F149)&gt;=Preisindex!$A$6),ROUND($E149*AJ149,2),IF(AND($E149&lt;&gt;0,$F149&gt;0,YEAR($F149)&lt;=AJ$4,YEAR($F149)&lt;Preisindex!$A$6),ROUND($E149*AK149,2),0))</f>
        <v>0</v>
      </c>
      <c r="AM149" s="53">
        <f t="shared" si="576"/>
        <v>0</v>
      </c>
      <c r="AN149" s="51">
        <f t="shared" ref="AN149:CM164" si="577">IF(YEAR($F149)=AN$4,$E149,0)</f>
        <v>0</v>
      </c>
      <c r="AO149" s="51">
        <f t="shared" si="448"/>
        <v>0</v>
      </c>
      <c r="AP149" s="51">
        <f t="shared" si="493"/>
        <v>0</v>
      </c>
      <c r="AQ149" s="51">
        <f t="shared" si="449"/>
        <v>0</v>
      </c>
      <c r="AR149" s="51">
        <f t="shared" si="494"/>
        <v>0</v>
      </c>
      <c r="AS149" s="51">
        <f t="shared" si="450"/>
        <v>0</v>
      </c>
      <c r="AT149" s="51">
        <f t="shared" si="495"/>
        <v>0</v>
      </c>
      <c r="AU149" s="51">
        <f t="shared" si="451"/>
        <v>0</v>
      </c>
      <c r="AV149" s="51">
        <f t="shared" si="496"/>
        <v>0</v>
      </c>
      <c r="AW149" s="51">
        <f t="shared" si="452"/>
        <v>0</v>
      </c>
      <c r="AX149" s="51">
        <f t="shared" si="497"/>
        <v>0</v>
      </c>
      <c r="AY149" s="54">
        <f t="shared" si="498"/>
        <v>0</v>
      </c>
      <c r="AZ149" s="55">
        <f t="shared" si="499"/>
        <v>0</v>
      </c>
      <c r="BA149" s="56">
        <f>IF(AND($E149&lt;&gt;0,$F149&gt;0,YEAR($F149)&gt;=Preisindex!$A$6,YEAR(AV$4)&gt;=YEAR($F149),AND($K149&lt;&gt;"a",$K149&lt;&gt;"b",$K149&lt;&gt;"g",$K149&lt;&gt;"k")),1,IF(AND($E149&lt;&gt;0,$F149&gt;0,YEAR($F149)&gt;=Preisindex!$A$6,YEAR(AV$4)&gt;=YEAR($F149),$K149="a"),ROUND(VLOOKUP(BA$4,Preisindex,5,FALSE)/VLOOKUP(YEAR($F149),Preisindex,5,FALSE),2),IF(AND($E149&lt;&gt;0,$F149&gt;0,YEAR($F149)&gt;=Preisindex!$A$6,YEAR(AV$4)&gt;=YEAR($F149),$K149="b"),ROUND(VLOOKUP(BA$4,Preisindex,3,FALSE)/VLOOKUP(YEAR($F149),Preisindex,3,FALSE),2),IF(AND($E149&lt;&gt;0,$F149&gt;0,YEAR($F149)&gt;=Preisindex!$A$6,YEAR(AV$4)&gt;=YEAR($F149),$K149="g"),ROUND(VLOOKUP(BA$4,Preisindex,4,FALSE)/VLOOKUP(YEAR($F149),Preisindex,4,FALSE),2),IF(AND($E149&lt;&gt;0,$F149&gt;0,YEAR($F149)&gt;=Preisindex!$A$6,YEAR(AV$4)&gt;=YEAR($F149),$K149="k"),ROUND(VLOOKUP(BA$4,Preisindex,2,FALSE)/VLOOKUP(YEAR($F149),Preisindex,2,FALSE),2),0)))))</f>
        <v>0</v>
      </c>
      <c r="BB149" s="56">
        <f>IF(AND($E149&lt;&gt;0,$F149&gt;0,YEAR($F149)&lt;Preisindex!$A$6,YEAR(AV$4)&gt;=YEAR($F149),AND($K149&lt;&gt;"a",$K149&lt;&gt;"b",$K149&lt;&gt;"g",$K149&lt;&gt;"k")),1,IF(AND($E149&lt;&gt;0,$F149&gt;0,YEAR($F149)&lt;Preisindex!$A$6,YEAR(AV$4)&gt;=YEAR($F149),$K149="a"),ROUND(VLOOKUP(BA$4,Preisindex,5,FALSE)/VLOOKUP(Preisindex!$A$6,Preisindex,5,FALSE),2),IF(AND($E149&lt;&gt;0,$F149&gt;0,YEAR($F149)&lt;Preisindex!$A$6,YEAR(AV$4)&gt;=YEAR($F149),$K149="b"),ROUND(VLOOKUP(BA$4,Preisindex,3,FALSE)/VLOOKUP(Preisindex!$A$6,Preisindex,3,FALSE),2),IF(AND($E149&lt;&gt;0,$F149&gt;0,YEAR($F149)&lt;Preisindex!$A$6,YEAR(AV$4)&gt;=YEAR($F149),$K149="g"),ROUND(VLOOKUP(BA$4,Preisindex,4,FALSE)/VLOOKUP(Preisindex!$A$6,Preisindex,4,FALSE),2),IF(AND($E149&lt;&gt;0,$F149&gt;0,YEAR($F149)&lt;Preisindex!$A$6,YEAR(AV$4)&gt;=YEAR($F149),$K149="k"),ROUND(VLOOKUP(BA$4,Preisindex,2,FALSE)/VLOOKUP(Preisindex!$A$6,Preisindex,2,FALSE),2),0)))))</f>
        <v>0</v>
      </c>
      <c r="BC149" s="51">
        <f>IF(AND($E149&lt;&gt;0,$F149&gt;0,YEAR($F149)&lt;=BA$4,YEAR($F149)&gt;=Preisindex!$A$6),ROUND($E149*BA149,2),IF(AND($E149&lt;&gt;0,$F149&gt;0,YEAR($F149)&lt;=BA$4,YEAR($F149)&lt;Preisindex!$A$6),ROUND($E149*BB149,2),0))</f>
        <v>0</v>
      </c>
      <c r="BD149" s="53">
        <f t="shared" si="500"/>
        <v>0</v>
      </c>
      <c r="BE149" s="51">
        <f t="shared" si="577"/>
        <v>0</v>
      </c>
      <c r="BF149" s="51">
        <f t="shared" si="453"/>
        <v>0</v>
      </c>
      <c r="BG149" s="51">
        <f t="shared" si="501"/>
        <v>0</v>
      </c>
      <c r="BH149" s="51">
        <f t="shared" si="454"/>
        <v>0</v>
      </c>
      <c r="BI149" s="51">
        <f t="shared" si="502"/>
        <v>0</v>
      </c>
      <c r="BJ149" s="51">
        <f t="shared" si="455"/>
        <v>0</v>
      </c>
      <c r="BK149" s="51">
        <f t="shared" si="503"/>
        <v>0</v>
      </c>
      <c r="BL149" s="51">
        <f t="shared" si="456"/>
        <v>0</v>
      </c>
      <c r="BM149" s="51">
        <f t="shared" si="504"/>
        <v>0</v>
      </c>
      <c r="BN149" s="51">
        <f t="shared" si="457"/>
        <v>0</v>
      </c>
      <c r="BO149" s="51">
        <f t="shared" si="505"/>
        <v>0</v>
      </c>
      <c r="BP149" s="54">
        <f t="shared" si="506"/>
        <v>0</v>
      </c>
      <c r="BQ149" s="55">
        <f t="shared" si="507"/>
        <v>0</v>
      </c>
      <c r="BR149" s="56">
        <f>IF(AND($E149&lt;&gt;0,$F149&gt;0,YEAR($F149)&gt;=Preisindex!$A$6,YEAR(BM$4)&gt;=YEAR($F149),AND($K149&lt;&gt;"a",$K149&lt;&gt;"b",$K149&lt;&gt;"g",$K149&lt;&gt;"k")),1,IF(AND($E149&lt;&gt;0,$F149&gt;0,YEAR($F149)&gt;=Preisindex!$A$6,YEAR(BM$4)&gt;=YEAR($F149),$K149="a"),ROUND(VLOOKUP(BR$4,Preisindex,5,FALSE)/VLOOKUP(YEAR($F149),Preisindex,5,FALSE),2),IF(AND($E149&lt;&gt;0,$F149&gt;0,YEAR($F149)&gt;=Preisindex!$A$6,YEAR(BM$4)&gt;=YEAR($F149),$K149="b"),ROUND(VLOOKUP(BR$4,Preisindex,3,FALSE)/VLOOKUP(YEAR($F149),Preisindex,3,FALSE),2),IF(AND($E149&lt;&gt;0,$F149&gt;0,YEAR($F149)&gt;=Preisindex!$A$6,YEAR(BM$4)&gt;=YEAR($F149),$K149="g"),ROUND(VLOOKUP(BR$4,Preisindex,4,FALSE)/VLOOKUP(YEAR($F149),Preisindex,4,FALSE),2),IF(AND($E149&lt;&gt;0,$F149&gt;0,YEAR($F149)&gt;=Preisindex!$A$6,YEAR(BM$4)&gt;=YEAR($F149),$K149="k"),ROUND(VLOOKUP(BR$4,Preisindex,2,FALSE)/VLOOKUP(YEAR($F149),Preisindex,2,FALSE),2),0)))))</f>
        <v>0</v>
      </c>
      <c r="BS149" s="56">
        <f>IF(AND($E149&lt;&gt;0,$F149&gt;0,YEAR($F149)&lt;Preisindex!$A$6,YEAR(BM$4)&gt;=YEAR($F149),AND($K149&lt;&gt;"a",$K149&lt;&gt;"b",$K149&lt;&gt;"g",$K149&lt;&gt;"k")),1,IF(AND($E149&lt;&gt;0,$F149&gt;0,YEAR($F149)&lt;Preisindex!$A$6,YEAR(BM$4)&gt;=YEAR($F149),$K149="a"),ROUND(VLOOKUP(BR$4,Preisindex,5,FALSE)/VLOOKUP(Preisindex!$A$6,Preisindex,5,FALSE),2),IF(AND($E149&lt;&gt;0,$F149&gt;0,YEAR($F149)&lt;Preisindex!$A$6,YEAR(BM$4)&gt;=YEAR($F149),$K149="b"),ROUND(VLOOKUP(BR$4,Preisindex,3,FALSE)/VLOOKUP(Preisindex!$A$6,Preisindex,3,FALSE),2),IF(AND($E149&lt;&gt;0,$F149&gt;0,YEAR($F149)&lt;Preisindex!$A$6,YEAR(BM$4)&gt;=YEAR($F149),$K149="g"),ROUND(VLOOKUP(BR$4,Preisindex,4,FALSE)/VLOOKUP(Preisindex!$A$6,Preisindex,4,FALSE),2),IF(AND($E149&lt;&gt;0,$F149&gt;0,YEAR($F149)&lt;Preisindex!$A$6,YEAR(BM$4)&gt;=YEAR($F149),$K149="k"),ROUND(VLOOKUP(BR$4,Preisindex,2,FALSE)/VLOOKUP(Preisindex!$A$6,Preisindex,2,FALSE),2),0)))))</f>
        <v>0</v>
      </c>
      <c r="BT149" s="51">
        <f>IF(AND($E149&lt;&gt;0,$F149&gt;0,YEAR($F149)&lt;=BR$4,YEAR($F149)&gt;=Preisindex!$A$6),ROUND($E149*BR149,2),IF(AND($E149&lt;&gt;0,$F149&gt;0,YEAR($F149)&lt;=BR$4,YEAR($F149)&lt;Preisindex!$A$6),ROUND($E149*BS149,2),0))</f>
        <v>0</v>
      </c>
      <c r="BU149" s="53">
        <f t="shared" si="508"/>
        <v>0</v>
      </c>
      <c r="BV149" s="51">
        <f t="shared" si="577"/>
        <v>0</v>
      </c>
      <c r="BW149" s="51">
        <f t="shared" si="458"/>
        <v>0</v>
      </c>
      <c r="BX149" s="51">
        <f t="shared" si="509"/>
        <v>0</v>
      </c>
      <c r="BY149" s="51">
        <f t="shared" si="459"/>
        <v>0</v>
      </c>
      <c r="BZ149" s="51">
        <f t="shared" si="510"/>
        <v>0</v>
      </c>
      <c r="CA149" s="51">
        <f t="shared" si="460"/>
        <v>0</v>
      </c>
      <c r="CB149" s="51">
        <f t="shared" si="511"/>
        <v>0</v>
      </c>
      <c r="CC149" s="51">
        <f t="shared" si="461"/>
        <v>0</v>
      </c>
      <c r="CD149" s="51">
        <f t="shared" si="512"/>
        <v>0</v>
      </c>
      <c r="CE149" s="51">
        <f t="shared" si="462"/>
        <v>0</v>
      </c>
      <c r="CF149" s="51">
        <f t="shared" si="513"/>
        <v>0</v>
      </c>
      <c r="CG149" s="54">
        <f t="shared" si="514"/>
        <v>0</v>
      </c>
      <c r="CH149" s="55">
        <f t="shared" si="515"/>
        <v>0</v>
      </c>
      <c r="CI149" s="56">
        <f>IF(AND($E149&lt;&gt;0,$F149&gt;0,YEAR($F149)&gt;=Preisindex!$A$6,YEAR(CD$4)&gt;=YEAR($F149),AND($K149&lt;&gt;"a",$K149&lt;&gt;"b",$K149&lt;&gt;"g",$K149&lt;&gt;"k")),1,IF(AND($E149&lt;&gt;0,$F149&gt;0,YEAR($F149)&gt;=Preisindex!$A$6,YEAR(CD$4)&gt;=YEAR($F149),$K149="a"),ROUND(VLOOKUP(CI$4,Preisindex,5,FALSE)/VLOOKUP(YEAR($F149),Preisindex,5,FALSE),2),IF(AND($E149&lt;&gt;0,$F149&gt;0,YEAR($F149)&gt;=Preisindex!$A$6,YEAR(CD$4)&gt;=YEAR($F149),$K149="b"),ROUND(VLOOKUP(CI$4,Preisindex,3,FALSE)/VLOOKUP(YEAR($F149),Preisindex,3,FALSE),2),IF(AND($E149&lt;&gt;0,$F149&gt;0,YEAR($F149)&gt;=Preisindex!$A$6,YEAR(CD$4)&gt;=YEAR($F149),$K149="g"),ROUND(VLOOKUP(CI$4,Preisindex,4,FALSE)/VLOOKUP(YEAR($F149),Preisindex,4,FALSE),2),IF(AND($E149&lt;&gt;0,$F149&gt;0,YEAR($F149)&gt;=Preisindex!$A$6,YEAR(CD$4)&gt;=YEAR($F149),$K149="k"),ROUND(VLOOKUP(CI$4,Preisindex,2,FALSE)/VLOOKUP(YEAR($F149),Preisindex,2,FALSE),2),0)))))</f>
        <v>0</v>
      </c>
      <c r="CJ149" s="56">
        <f>IF(AND($E149&lt;&gt;0,$F149&gt;0,YEAR($F149)&lt;Preisindex!$A$6,YEAR(CD$4)&gt;=YEAR($F149),AND($K149&lt;&gt;"a",$K149&lt;&gt;"b",$K149&lt;&gt;"g",$K149&lt;&gt;"k")),1,IF(AND($E149&lt;&gt;0,$F149&gt;0,YEAR($F149)&lt;Preisindex!$A$6,YEAR(CD$4)&gt;=YEAR($F149),$K149="a"),ROUND(VLOOKUP(CI$4,Preisindex,5,FALSE)/VLOOKUP(Preisindex!$A$6,Preisindex,5,FALSE),2),IF(AND($E149&lt;&gt;0,$F149&gt;0,YEAR($F149)&lt;Preisindex!$A$6,YEAR(CD$4)&gt;=YEAR($F149),$K149="b"),ROUND(VLOOKUP(CI$4,Preisindex,3,FALSE)/VLOOKUP(Preisindex!$A$6,Preisindex,3,FALSE),2),IF(AND($E149&lt;&gt;0,$F149&gt;0,YEAR($F149)&lt;Preisindex!$A$6,YEAR(CD$4)&gt;=YEAR($F149),$K149="g"),ROUND(VLOOKUP(CI$4,Preisindex,4,FALSE)/VLOOKUP(Preisindex!$A$6,Preisindex,4,FALSE),2),IF(AND($E149&lt;&gt;0,$F149&gt;0,YEAR($F149)&lt;Preisindex!$A$6,YEAR(CD$4)&gt;=YEAR($F149),$K149="k"),ROUND(VLOOKUP(CI$4,Preisindex,2,FALSE)/VLOOKUP(Preisindex!$A$6,Preisindex,2,FALSE),2),0)))))</f>
        <v>0</v>
      </c>
      <c r="CK149" s="51">
        <f>IF(AND($E149&lt;&gt;0,$F149&gt;0,YEAR($F149)&lt;=CI$4,YEAR($F149)&gt;=Preisindex!$A$6),ROUND($E149*CI149,2),IF(AND($E149&lt;&gt;0,$F149&gt;0,YEAR($F149)&lt;=CI$4,YEAR($F149)&lt;Preisindex!$A$6),ROUND($E149*CJ149,2),0))</f>
        <v>0</v>
      </c>
      <c r="CL149" s="53">
        <f t="shared" si="516"/>
        <v>0</v>
      </c>
      <c r="CM149" s="51">
        <f t="shared" si="577"/>
        <v>0</v>
      </c>
      <c r="CN149" s="51">
        <f t="shared" si="463"/>
        <v>0</v>
      </c>
      <c r="CO149" s="51">
        <f t="shared" si="517"/>
        <v>0</v>
      </c>
      <c r="CP149" s="51">
        <f t="shared" si="464"/>
        <v>0</v>
      </c>
      <c r="CQ149" s="51">
        <f t="shared" si="518"/>
        <v>0</v>
      </c>
      <c r="CR149" s="51">
        <f t="shared" si="465"/>
        <v>0</v>
      </c>
      <c r="CS149" s="51">
        <f t="shared" si="519"/>
        <v>0</v>
      </c>
      <c r="CT149" s="51">
        <f t="shared" si="466"/>
        <v>0</v>
      </c>
      <c r="CU149" s="51">
        <f t="shared" si="520"/>
        <v>0</v>
      </c>
      <c r="CV149" s="51">
        <f t="shared" si="467"/>
        <v>0</v>
      </c>
      <c r="CW149" s="51">
        <f t="shared" si="521"/>
        <v>0</v>
      </c>
      <c r="CX149" s="54">
        <f t="shared" si="522"/>
        <v>0</v>
      </c>
      <c r="CY149" s="55">
        <f t="shared" si="523"/>
        <v>0</v>
      </c>
      <c r="CZ149" s="56">
        <f>IF(AND($E149&lt;&gt;0,$F149&gt;0,YEAR($F149)&gt;=Preisindex!$A$6,YEAR(CU$4)&gt;=YEAR($F149),AND($K149&lt;&gt;"a",$K149&lt;&gt;"b",$K149&lt;&gt;"g",$K149&lt;&gt;"k")),1,IF(AND($E149&lt;&gt;0,$F149&gt;0,YEAR($F149)&gt;=Preisindex!$A$6,YEAR(CU$4)&gt;=YEAR($F149),$K149="a"),ROUND(VLOOKUP(CZ$4,Preisindex,5,FALSE)/VLOOKUP(YEAR($F149),Preisindex,5,FALSE),2),IF(AND($E149&lt;&gt;0,$F149&gt;0,YEAR($F149)&gt;=Preisindex!$A$6,YEAR(CU$4)&gt;=YEAR($F149),$K149="b"),ROUND(VLOOKUP(CZ$4,Preisindex,3,FALSE)/VLOOKUP(YEAR($F149),Preisindex,3,FALSE),2),IF(AND($E149&lt;&gt;0,$F149&gt;0,YEAR($F149)&gt;=Preisindex!$A$6,YEAR(CU$4)&gt;=YEAR($F149),$K149="g"),ROUND(VLOOKUP(CZ$4,Preisindex,4,FALSE)/VLOOKUP(YEAR($F149),Preisindex,4,FALSE),2),IF(AND($E149&lt;&gt;0,$F149&gt;0,YEAR($F149)&gt;=Preisindex!$A$6,YEAR(CU$4)&gt;=YEAR($F149),$K149="k"),ROUND(VLOOKUP(CZ$4,Preisindex,2,FALSE)/VLOOKUP(YEAR($F149),Preisindex,2,FALSE),2),0)))))</f>
        <v>0</v>
      </c>
      <c r="DA149" s="56">
        <f>IF(AND($E149&lt;&gt;0,$F149&gt;0,YEAR($F149)&lt;Preisindex!$A$6,YEAR(CU$4)&gt;=YEAR($F149),AND($K149&lt;&gt;"a",$K149&lt;&gt;"b",$K149&lt;&gt;"g",$K149&lt;&gt;"k")),1,IF(AND($E149&lt;&gt;0,$F149&gt;0,YEAR($F149)&lt;Preisindex!$A$6,YEAR(CU$4)&gt;=YEAR($F149),$K149="a"),ROUND(VLOOKUP(CZ$4,Preisindex,5,FALSE)/VLOOKUP(Preisindex!$A$6,Preisindex,5,FALSE),2),IF(AND($E149&lt;&gt;0,$F149&gt;0,YEAR($F149)&lt;Preisindex!$A$6,YEAR(CU$4)&gt;=YEAR($F149),$K149="b"),ROUND(VLOOKUP(CZ$4,Preisindex,3,FALSE)/VLOOKUP(Preisindex!$A$6,Preisindex,3,FALSE),2),IF(AND($E149&lt;&gt;0,$F149&gt;0,YEAR($F149)&lt;Preisindex!$A$6,YEAR(CU$4)&gt;=YEAR($F149),$K149="g"),ROUND(VLOOKUP(CZ$4,Preisindex,4,FALSE)/VLOOKUP(Preisindex!$A$6,Preisindex,4,FALSE),2),IF(AND($E149&lt;&gt;0,$F149&gt;0,YEAR($F149)&lt;Preisindex!$A$6,YEAR(CU$4)&gt;=YEAR($F149),$K149="k"),ROUND(VLOOKUP(CZ$4,Preisindex,2,FALSE)/VLOOKUP(Preisindex!$A$6,Preisindex,2,FALSE),2),0)))))</f>
        <v>0</v>
      </c>
      <c r="DB149" s="51">
        <f>IF(AND($E149&lt;&gt;0,$F149&gt;0,YEAR($F149)&lt;=CZ$4,YEAR($F149)&gt;=Preisindex!$A$6),ROUND($E149*CZ149,2),IF(AND($E149&lt;&gt;0,$F149&gt;0,YEAR($F149)&lt;=CZ$4,YEAR($F149)&lt;Preisindex!$A$6),ROUND($E149*DA149,2),0))</f>
        <v>0</v>
      </c>
      <c r="DC149" s="53">
        <f t="shared" si="524"/>
        <v>0</v>
      </c>
      <c r="DD149" s="51">
        <f t="shared" ref="DD149:FC164" si="578">IF(YEAR($F149)=DD$4,$E149,0)</f>
        <v>0</v>
      </c>
      <c r="DE149" s="51">
        <f t="shared" si="468"/>
        <v>0</v>
      </c>
      <c r="DF149" s="51">
        <f t="shared" si="526"/>
        <v>0</v>
      </c>
      <c r="DG149" s="51">
        <f t="shared" si="469"/>
        <v>0</v>
      </c>
      <c r="DH149" s="51">
        <f t="shared" si="527"/>
        <v>0</v>
      </c>
      <c r="DI149" s="51">
        <f t="shared" si="470"/>
        <v>0</v>
      </c>
      <c r="DJ149" s="51">
        <f t="shared" si="528"/>
        <v>0</v>
      </c>
      <c r="DK149" s="51">
        <f t="shared" si="471"/>
        <v>0</v>
      </c>
      <c r="DL149" s="51">
        <f t="shared" si="529"/>
        <v>0</v>
      </c>
      <c r="DM149" s="51">
        <f t="shared" si="472"/>
        <v>0</v>
      </c>
      <c r="DN149" s="51">
        <f t="shared" si="530"/>
        <v>0</v>
      </c>
      <c r="DO149" s="54">
        <f t="shared" si="531"/>
        <v>0</v>
      </c>
      <c r="DP149" s="55">
        <f t="shared" si="532"/>
        <v>0</v>
      </c>
      <c r="DQ149" s="56">
        <f>IF(AND($E149&lt;&gt;0,$F149&gt;0,YEAR($F149)&gt;=Preisindex!$A$6,YEAR(DL$4)&gt;=YEAR($F149),AND($K149&lt;&gt;"a",$K149&lt;&gt;"b",$K149&lt;&gt;"g",$K149&lt;&gt;"k")),1,IF(AND($E149&lt;&gt;0,$F149&gt;0,YEAR($F149)&gt;=Preisindex!$A$6,YEAR(DL$4)&gt;=YEAR($F149),$K149="a"),ROUND(VLOOKUP(DQ$4,Preisindex,5,FALSE)/VLOOKUP(YEAR($F149),Preisindex,5,FALSE),2),IF(AND($E149&lt;&gt;0,$F149&gt;0,YEAR($F149)&gt;=Preisindex!$A$6,YEAR(DL$4)&gt;=YEAR($F149),$K149="b"),ROUND(VLOOKUP(DQ$4,Preisindex,3,FALSE)/VLOOKUP(YEAR($F149),Preisindex,3,FALSE),2),IF(AND($E149&lt;&gt;0,$F149&gt;0,YEAR($F149)&gt;=Preisindex!$A$6,YEAR(DL$4)&gt;=YEAR($F149),$K149="g"),ROUND(VLOOKUP(DQ$4,Preisindex,4,FALSE)/VLOOKUP(YEAR($F149),Preisindex,4,FALSE),2),IF(AND($E149&lt;&gt;0,$F149&gt;0,YEAR($F149)&gt;=Preisindex!$A$6,YEAR(DL$4)&gt;=YEAR($F149),$K149="k"),ROUND(VLOOKUP(DQ$4,Preisindex,2,FALSE)/VLOOKUP(YEAR($F149),Preisindex,2,FALSE),2),0)))))</f>
        <v>0</v>
      </c>
      <c r="DR149" s="56">
        <f>IF(AND($E149&lt;&gt;0,$F149&gt;0,YEAR($F149)&lt;Preisindex!$A$6,YEAR(DL$4)&gt;=YEAR($F149),AND($K149&lt;&gt;"a",$K149&lt;&gt;"b",$K149&lt;&gt;"g",$K149&lt;&gt;"k")),1,IF(AND($E149&lt;&gt;0,$F149&gt;0,YEAR($F149)&lt;Preisindex!$A$6,YEAR(DL$4)&gt;=YEAR($F149),$K149="a"),ROUND(VLOOKUP(DQ$4,Preisindex,5,FALSE)/VLOOKUP(Preisindex!$A$6,Preisindex,5,FALSE),2),IF(AND($E149&lt;&gt;0,$F149&gt;0,YEAR($F149)&lt;Preisindex!$A$6,YEAR(DL$4)&gt;=YEAR($F149),$K149="b"),ROUND(VLOOKUP(DQ$4,Preisindex,3,FALSE)/VLOOKUP(Preisindex!$A$6,Preisindex,3,FALSE),2),IF(AND($E149&lt;&gt;0,$F149&gt;0,YEAR($F149)&lt;Preisindex!$A$6,YEAR(DL$4)&gt;=YEAR($F149),$K149="g"),ROUND(VLOOKUP(DQ$4,Preisindex,4,FALSE)/VLOOKUP(Preisindex!$A$6,Preisindex,4,FALSE),2),IF(AND($E149&lt;&gt;0,$F149&gt;0,YEAR($F149)&lt;Preisindex!$A$6,YEAR(DL$4)&gt;=YEAR($F149),$K149="k"),ROUND(VLOOKUP(DQ$4,Preisindex,2,FALSE)/VLOOKUP(Preisindex!$A$6,Preisindex,2,FALSE),2),0)))))</f>
        <v>0</v>
      </c>
      <c r="DS149" s="51">
        <f>IF(AND($E149&lt;&gt;0,$F149&gt;0,YEAR($F149)&lt;=DQ$4,YEAR($F149)&gt;=Preisindex!$A$6),ROUND($E149*DQ149,2),IF(AND($E149&lt;&gt;0,$F149&gt;0,YEAR($F149)&lt;=DQ$4,YEAR($F149)&lt;Preisindex!$A$6),ROUND($E149*DR149,2),0))</f>
        <v>0</v>
      </c>
      <c r="DT149" s="53">
        <f t="shared" si="533"/>
        <v>0</v>
      </c>
      <c r="DU149" s="51">
        <f t="shared" si="578"/>
        <v>0</v>
      </c>
      <c r="DV149" s="51">
        <f t="shared" si="473"/>
        <v>0</v>
      </c>
      <c r="DW149" s="51">
        <f t="shared" si="534"/>
        <v>0</v>
      </c>
      <c r="DX149" s="51">
        <f t="shared" si="474"/>
        <v>0</v>
      </c>
      <c r="DY149" s="51">
        <f t="shared" si="535"/>
        <v>0</v>
      </c>
      <c r="DZ149" s="51">
        <f t="shared" si="475"/>
        <v>0</v>
      </c>
      <c r="EA149" s="51">
        <f t="shared" si="536"/>
        <v>0</v>
      </c>
      <c r="EB149" s="51">
        <f t="shared" si="476"/>
        <v>0</v>
      </c>
      <c r="EC149" s="51">
        <f t="shared" si="537"/>
        <v>0</v>
      </c>
      <c r="ED149" s="51">
        <f t="shared" si="477"/>
        <v>0</v>
      </c>
      <c r="EE149" s="51">
        <f t="shared" si="538"/>
        <v>0</v>
      </c>
      <c r="EF149" s="54">
        <f t="shared" si="539"/>
        <v>0</v>
      </c>
      <c r="EG149" s="55">
        <f t="shared" si="540"/>
        <v>0</v>
      </c>
      <c r="EH149" s="56">
        <f>IF(AND($E149&lt;&gt;0,$F149&gt;0,YEAR($F149)&gt;=Preisindex!$A$6,YEAR(EC$4)&gt;=YEAR($F149),AND($K149&lt;&gt;"a",$K149&lt;&gt;"b",$K149&lt;&gt;"g",$K149&lt;&gt;"k")),1,IF(AND($E149&lt;&gt;0,$F149&gt;0,YEAR($F149)&gt;=Preisindex!$A$6,YEAR(EC$4)&gt;=YEAR($F149),$K149="a"),ROUND(VLOOKUP(EH$4,Preisindex,5,FALSE)/VLOOKUP(YEAR($F149),Preisindex,5,FALSE),2),IF(AND($E149&lt;&gt;0,$F149&gt;0,YEAR($F149)&gt;=Preisindex!$A$6,YEAR(EC$4)&gt;=YEAR($F149),$K149="b"),ROUND(VLOOKUP(EH$4,Preisindex,3,FALSE)/VLOOKUP(YEAR($F149),Preisindex,3,FALSE),2),IF(AND($E149&lt;&gt;0,$F149&gt;0,YEAR($F149)&gt;=Preisindex!$A$6,YEAR(EC$4)&gt;=YEAR($F149),$K149="g"),ROUND(VLOOKUP(EH$4,Preisindex,4,FALSE)/VLOOKUP(YEAR($F149),Preisindex,4,FALSE),2),IF(AND($E149&lt;&gt;0,$F149&gt;0,YEAR($F149)&gt;=Preisindex!$A$6,YEAR(EC$4)&gt;=YEAR($F149),$K149="k"),ROUND(VLOOKUP(EH$4,Preisindex,2,FALSE)/VLOOKUP(YEAR($F149),Preisindex,2,FALSE),2),0)))))</f>
        <v>0</v>
      </c>
      <c r="EI149" s="56">
        <f>IF(AND($E149&lt;&gt;0,$F149&gt;0,YEAR($F149)&lt;Preisindex!$A$6,YEAR(EC$4)&gt;=YEAR($F149),AND($K149&lt;&gt;"a",$K149&lt;&gt;"b",$K149&lt;&gt;"g",$K149&lt;&gt;"k")),1,IF(AND($E149&lt;&gt;0,$F149&gt;0,YEAR($F149)&lt;Preisindex!$A$6,YEAR(EC$4)&gt;=YEAR($F149),$K149="a"),ROUND(VLOOKUP(EH$4,Preisindex,5,FALSE)/VLOOKUP(Preisindex!$A$6,Preisindex,5,FALSE),2),IF(AND($E149&lt;&gt;0,$F149&gt;0,YEAR($F149)&lt;Preisindex!$A$6,YEAR(EC$4)&gt;=YEAR($F149),$K149="b"),ROUND(VLOOKUP(EH$4,Preisindex,3,FALSE)/VLOOKUP(Preisindex!$A$6,Preisindex,3,FALSE),2),IF(AND($E149&lt;&gt;0,$F149&gt;0,YEAR($F149)&lt;Preisindex!$A$6,YEAR(EC$4)&gt;=YEAR($F149),$K149="g"),ROUND(VLOOKUP(EH$4,Preisindex,4,FALSE)/VLOOKUP(Preisindex!$A$6,Preisindex,4,FALSE),2),IF(AND($E149&lt;&gt;0,$F149&gt;0,YEAR($F149)&lt;Preisindex!$A$6,YEAR(EC$4)&gt;=YEAR($F149),$K149="k"),ROUND(VLOOKUP(EH$4,Preisindex,2,FALSE)/VLOOKUP(Preisindex!$A$6,Preisindex,2,FALSE),2),0)))))</f>
        <v>0</v>
      </c>
      <c r="EJ149" s="51">
        <f>IF(AND($E149&lt;&gt;0,$F149&gt;0,YEAR($F149)&lt;=EH$4,YEAR($F149)&gt;=Preisindex!$A$6),ROUND($E149*EH149,2),IF(AND($E149&lt;&gt;0,$F149&gt;0,YEAR($F149)&lt;=EH$4,YEAR($F149)&lt;Preisindex!$A$6),ROUND($E149*EI149,2),0))</f>
        <v>0</v>
      </c>
      <c r="EK149" s="53">
        <f t="shared" si="541"/>
        <v>0</v>
      </c>
      <c r="EL149" s="51">
        <f t="shared" si="578"/>
        <v>0</v>
      </c>
      <c r="EM149" s="51">
        <f t="shared" si="478"/>
        <v>0</v>
      </c>
      <c r="EN149" s="51">
        <f t="shared" si="542"/>
        <v>0</v>
      </c>
      <c r="EO149" s="51">
        <f t="shared" si="479"/>
        <v>0</v>
      </c>
      <c r="EP149" s="51">
        <f t="shared" si="543"/>
        <v>0</v>
      </c>
      <c r="EQ149" s="51">
        <f t="shared" si="480"/>
        <v>0</v>
      </c>
      <c r="ER149" s="51">
        <f t="shared" si="544"/>
        <v>0</v>
      </c>
      <c r="ES149" s="51">
        <f t="shared" si="481"/>
        <v>0</v>
      </c>
      <c r="ET149" s="51">
        <f t="shared" si="545"/>
        <v>0</v>
      </c>
      <c r="EU149" s="51">
        <f t="shared" si="482"/>
        <v>0</v>
      </c>
      <c r="EV149" s="51">
        <f t="shared" si="546"/>
        <v>0</v>
      </c>
      <c r="EW149" s="54">
        <f t="shared" si="547"/>
        <v>0</v>
      </c>
      <c r="EX149" s="55">
        <f t="shared" si="548"/>
        <v>0</v>
      </c>
      <c r="EY149" s="56">
        <f>IF(AND($E149&lt;&gt;0,$F149&gt;0,YEAR($F149)&gt;=Preisindex!$A$6,YEAR(ET$4)&gt;=YEAR($F149),AND($K149&lt;&gt;"a",$K149&lt;&gt;"b",$K149&lt;&gt;"g",$K149&lt;&gt;"k")),1,IF(AND($E149&lt;&gt;0,$F149&gt;0,YEAR($F149)&gt;=Preisindex!$A$6,YEAR(ET$4)&gt;=YEAR($F149),$K149="a"),ROUND(VLOOKUP(EY$4,Preisindex,5,FALSE)/VLOOKUP(YEAR($F149),Preisindex,5,FALSE),2),IF(AND($E149&lt;&gt;0,$F149&gt;0,YEAR($F149)&gt;=Preisindex!$A$6,YEAR(ET$4)&gt;=YEAR($F149),$K149="b"),ROUND(VLOOKUP(EY$4,Preisindex,3,FALSE)/VLOOKUP(YEAR($F149),Preisindex,3,FALSE),2),IF(AND($E149&lt;&gt;0,$F149&gt;0,YEAR($F149)&gt;=Preisindex!$A$6,YEAR(ET$4)&gt;=YEAR($F149),$K149="g"),ROUND(VLOOKUP(EY$4,Preisindex,4,FALSE)/VLOOKUP(YEAR($F149),Preisindex,4,FALSE),2),IF(AND($E149&lt;&gt;0,$F149&gt;0,YEAR($F149)&gt;=Preisindex!$A$6,YEAR(ET$4)&gt;=YEAR($F149),$K149="k"),ROUND(VLOOKUP(EY$4,Preisindex,2,FALSE)/VLOOKUP(YEAR($F149),Preisindex,2,FALSE),2),0)))))</f>
        <v>0</v>
      </c>
      <c r="EZ149" s="56">
        <f>IF(AND($E149&lt;&gt;0,$F149&gt;0,YEAR($F149)&lt;Preisindex!$A$6,YEAR(ET$4)&gt;=YEAR($F149),AND($K149&lt;&gt;"a",$K149&lt;&gt;"b",$K149&lt;&gt;"g",$K149&lt;&gt;"k")),1,IF(AND($E149&lt;&gt;0,$F149&gt;0,YEAR($F149)&lt;Preisindex!$A$6,YEAR(ET$4)&gt;=YEAR($F149),$K149="a"),ROUND(VLOOKUP(EY$4,Preisindex,5,FALSE)/VLOOKUP(Preisindex!$A$6,Preisindex,5,FALSE),2),IF(AND($E149&lt;&gt;0,$F149&gt;0,YEAR($F149)&lt;Preisindex!$A$6,YEAR(ET$4)&gt;=YEAR($F149),$K149="b"),ROUND(VLOOKUP(EY$4,Preisindex,3,FALSE)/VLOOKUP(Preisindex!$A$6,Preisindex,3,FALSE),2),IF(AND($E149&lt;&gt;0,$F149&gt;0,YEAR($F149)&lt;Preisindex!$A$6,YEAR(ET$4)&gt;=YEAR($F149),$K149="g"),ROUND(VLOOKUP(EY$4,Preisindex,4,FALSE)/VLOOKUP(Preisindex!$A$6,Preisindex,4,FALSE),2),IF(AND($E149&lt;&gt;0,$F149&gt;0,YEAR($F149)&lt;Preisindex!$A$6,YEAR(ET$4)&gt;=YEAR($F149),$K149="k"),ROUND(VLOOKUP(EY$4,Preisindex,2,FALSE)/VLOOKUP(Preisindex!$A$6,Preisindex,2,FALSE),2),0)))))</f>
        <v>0</v>
      </c>
      <c r="FA149" s="51">
        <f>IF(AND($E149&lt;&gt;0,$F149&gt;0,YEAR($F149)&lt;=EY$4,YEAR($F149)&gt;=Preisindex!$A$6),ROUND($E149*EY149,2),IF(AND($E149&lt;&gt;0,$F149&gt;0,YEAR($F149)&lt;=EY$4,YEAR($F149)&lt;Preisindex!$A$6),ROUND($E149*EZ149,2),0))</f>
        <v>0</v>
      </c>
      <c r="FB149" s="53">
        <f t="shared" si="549"/>
        <v>0</v>
      </c>
      <c r="FC149" s="51">
        <f t="shared" si="578"/>
        <v>0</v>
      </c>
      <c r="FD149" s="51">
        <f t="shared" si="483"/>
        <v>0</v>
      </c>
      <c r="FE149" s="51">
        <f t="shared" si="550"/>
        <v>0</v>
      </c>
      <c r="FF149" s="51">
        <f t="shared" si="484"/>
        <v>0</v>
      </c>
      <c r="FG149" s="51">
        <f t="shared" si="551"/>
        <v>0</v>
      </c>
      <c r="FH149" s="51">
        <f t="shared" si="485"/>
        <v>0</v>
      </c>
      <c r="FI149" s="51">
        <f t="shared" si="552"/>
        <v>0</v>
      </c>
      <c r="FJ149" s="51">
        <f t="shared" si="486"/>
        <v>0</v>
      </c>
      <c r="FK149" s="51">
        <f t="shared" si="553"/>
        <v>0</v>
      </c>
      <c r="FL149" s="51">
        <f t="shared" si="487"/>
        <v>0</v>
      </c>
      <c r="FM149" s="51">
        <f t="shared" si="554"/>
        <v>0</v>
      </c>
      <c r="FN149" s="54">
        <f t="shared" si="555"/>
        <v>0</v>
      </c>
      <c r="FO149" s="55">
        <f t="shared" si="556"/>
        <v>0</v>
      </c>
      <c r="FP149" s="56">
        <f>IF(AND($E149&lt;&gt;0,$F149&gt;0,YEAR($F149)&gt;=Preisindex!$A$6,YEAR(FK$4)&gt;=YEAR($F149),AND($K149&lt;&gt;"a",$K149&lt;&gt;"b",$K149&lt;&gt;"g",$K149&lt;&gt;"k")),1,IF(AND($E149&lt;&gt;0,$F149&gt;0,YEAR($F149)&gt;=Preisindex!$A$6,YEAR(FK$4)&gt;=YEAR($F149),$K149="a"),ROUND(VLOOKUP(FP$4,Preisindex,5,FALSE)/VLOOKUP(YEAR($F149),Preisindex,5,FALSE),2),IF(AND($E149&lt;&gt;0,$F149&gt;0,YEAR($F149)&gt;=Preisindex!$A$6,YEAR(FK$4)&gt;=YEAR($F149),$K149="b"),ROUND(VLOOKUP(FP$4,Preisindex,3,FALSE)/VLOOKUP(YEAR($F149),Preisindex,3,FALSE),2),IF(AND($E149&lt;&gt;0,$F149&gt;0,YEAR($F149)&gt;=Preisindex!$A$6,YEAR(FK$4)&gt;=YEAR($F149),$K149="g"),ROUND(VLOOKUP(FP$4,Preisindex,4,FALSE)/VLOOKUP(YEAR($F149),Preisindex,4,FALSE),2),IF(AND($E149&lt;&gt;0,$F149&gt;0,YEAR($F149)&gt;=Preisindex!$A$6,YEAR(FK$4)&gt;=YEAR($F149),$K149="k"),ROUND(VLOOKUP(FP$4,Preisindex,2,FALSE)/VLOOKUP(YEAR($F149),Preisindex,2,FALSE),2),0)))))</f>
        <v>0</v>
      </c>
      <c r="FQ149" s="56">
        <f>IF(AND($E149&lt;&gt;0,$F149&gt;0,YEAR($F149)&lt;Preisindex!$A$6,YEAR(FK$4)&gt;=YEAR($F149),AND($K149&lt;&gt;"a",$K149&lt;&gt;"b",$K149&lt;&gt;"g",$K149&lt;&gt;"k")),1,IF(AND($E149&lt;&gt;0,$F149&gt;0,YEAR($F149)&lt;Preisindex!$A$6,YEAR(FK$4)&gt;=YEAR($F149),$K149="a"),ROUND(VLOOKUP(FP$4,Preisindex,5,FALSE)/VLOOKUP(Preisindex!$A$6,Preisindex,5,FALSE),2),IF(AND($E149&lt;&gt;0,$F149&gt;0,YEAR($F149)&lt;Preisindex!$A$6,YEAR(FK$4)&gt;=YEAR($F149),$K149="b"),ROUND(VLOOKUP(FP$4,Preisindex,3,FALSE)/VLOOKUP(Preisindex!$A$6,Preisindex,3,FALSE),2),IF(AND($E149&lt;&gt;0,$F149&gt;0,YEAR($F149)&lt;Preisindex!$A$6,YEAR(FK$4)&gt;=YEAR($F149),$K149="g"),ROUND(VLOOKUP(FP$4,Preisindex,4,FALSE)/VLOOKUP(Preisindex!$A$6,Preisindex,4,FALSE),2),IF(AND($E149&lt;&gt;0,$F149&gt;0,YEAR($F149)&lt;Preisindex!$A$6,YEAR(FK$4)&gt;=YEAR($F149),$K149="k"),ROUND(VLOOKUP(FP$4,Preisindex,2,FALSE)/VLOOKUP(Preisindex!$A$6,Preisindex,2,FALSE),2),0)))))</f>
        <v>0</v>
      </c>
      <c r="FR149" s="51">
        <f>IF(AND($E149&lt;&gt;0,$F149&gt;0,YEAR($F149)&lt;=FP$4,YEAR($F149)&gt;=Preisindex!$A$6),ROUND($E149*FP149,2),IF(AND($E149&lt;&gt;0,$F149&gt;0,YEAR($F149)&lt;=FP$4,YEAR($F149)&lt;Preisindex!$A$6),ROUND($E149*FQ149,2),0))</f>
        <v>0</v>
      </c>
      <c r="FS149" s="53">
        <f t="shared" si="557"/>
        <v>0</v>
      </c>
    </row>
    <row r="150" spans="1:175" x14ac:dyDescent="0.3">
      <c r="A150" s="93"/>
      <c r="B150" s="94"/>
      <c r="C150" s="94"/>
      <c r="D150" s="95"/>
      <c r="E150" s="99"/>
      <c r="F150" s="97"/>
      <c r="G150" s="98"/>
      <c r="H150" s="620"/>
      <c r="I150" s="621"/>
      <c r="J150" s="194"/>
      <c r="K150" s="630"/>
      <c r="L150" s="49">
        <f t="shared" si="558"/>
        <v>0</v>
      </c>
      <c r="M150" s="50">
        <f t="shared" si="559"/>
        <v>0</v>
      </c>
      <c r="N150" s="51">
        <f t="shared" si="560"/>
        <v>0</v>
      </c>
      <c r="O150" s="51"/>
      <c r="P150" s="51">
        <f t="shared" si="561"/>
        <v>0</v>
      </c>
      <c r="Q150" s="52"/>
      <c r="R150" s="52"/>
      <c r="S150" s="52"/>
      <c r="T150" s="52"/>
      <c r="U150" s="52"/>
      <c r="V150" s="53">
        <f t="shared" si="562"/>
        <v>0</v>
      </c>
      <c r="W150" s="51">
        <f t="shared" si="563"/>
        <v>0</v>
      </c>
      <c r="X150" s="51">
        <f t="shared" si="564"/>
        <v>0</v>
      </c>
      <c r="Y150" s="51">
        <f t="shared" si="565"/>
        <v>0</v>
      </c>
      <c r="Z150" s="51">
        <f t="shared" si="566"/>
        <v>0</v>
      </c>
      <c r="AA150" s="51">
        <f t="shared" si="567"/>
        <v>0</v>
      </c>
      <c r="AB150" s="51">
        <f t="shared" si="568"/>
        <v>0</v>
      </c>
      <c r="AC150" s="51">
        <f t="shared" si="569"/>
        <v>0</v>
      </c>
      <c r="AD150" s="51">
        <f t="shared" si="570"/>
        <v>0</v>
      </c>
      <c r="AE150" s="51">
        <f t="shared" si="571"/>
        <v>0</v>
      </c>
      <c r="AF150" s="51">
        <f t="shared" si="572"/>
        <v>0</v>
      </c>
      <c r="AG150" s="51">
        <f t="shared" si="573"/>
        <v>0</v>
      </c>
      <c r="AH150" s="54">
        <f t="shared" si="574"/>
        <v>0</v>
      </c>
      <c r="AI150" s="55">
        <f t="shared" si="575"/>
        <v>0</v>
      </c>
      <c r="AJ150" s="56">
        <f>IF(AND($E150&lt;&gt;0,$F150&gt;0,YEAR($F150)&gt;=Preisindex!$A$6,YEAR(AE$4)&gt;=YEAR($F150),AND($K150&lt;&gt;"a",$K150&lt;&gt;"b",$K150&lt;&gt;"g",$K150&lt;&gt;"k")),1,IF(AND($E150&lt;&gt;0,$F150&gt;0,YEAR($F150)&gt;=Preisindex!$A$6,YEAR(AE$4)&gt;=YEAR($F150),$K150="a"),ROUND(VLOOKUP(AJ$4,Preisindex,5,FALSE)/VLOOKUP(YEAR($F150),Preisindex,5,FALSE),2),IF(AND($E150&lt;&gt;0,$F150&gt;0,YEAR($F150)&gt;=Preisindex!$A$6,YEAR(AE$4)&gt;=YEAR($F150),$K150="b"),ROUND(VLOOKUP(AJ$4,Preisindex,3,FALSE)/VLOOKUP(YEAR($F150),Preisindex,3,FALSE),2),IF(AND($E150&lt;&gt;0,$F150&gt;0,YEAR($F150)&gt;=Preisindex!$A$6,YEAR(AE$4)&gt;=YEAR($F150),$K150="g"),ROUND(VLOOKUP(AJ$4,Preisindex,4,FALSE)/VLOOKUP(YEAR($F150),Preisindex,4,FALSE),2),IF(AND($E150&lt;&gt;0,$F150&gt;0,YEAR($F150)&gt;=Preisindex!$A$6,YEAR(AE$4)&gt;=YEAR($F150),$K150="k"),ROUND(VLOOKUP(AJ$4,Preisindex,2,FALSE)/VLOOKUP(YEAR($F150),Preisindex,2,FALSE),2),0)))))</f>
        <v>0</v>
      </c>
      <c r="AK150" s="56">
        <f>IF(AND($E150&lt;&gt;0,$F150&gt;0,YEAR($F150)&lt;Preisindex!$A$6,YEAR(AE$4)&gt;=YEAR($F150),AND($K150&lt;&gt;"a",$K150&lt;&gt;"b",$K150&lt;&gt;"g",$K150&lt;&gt;"k")),1,IF(AND($E150&lt;&gt;0,$F150&gt;0,YEAR($F150)&lt;Preisindex!$A$6,YEAR(AE$4)&gt;=YEAR($F150),$K150="a"),ROUND(VLOOKUP(AJ$4,Preisindex,5,FALSE)/VLOOKUP(Preisindex!$A$6,Preisindex,5,FALSE),2),IF(AND($E150&lt;&gt;0,$F150&gt;0,YEAR($F150)&lt;Preisindex!$A$6,YEAR(AE$4)&gt;=YEAR($F150),$K150="b"),ROUND(VLOOKUP(AJ$4,Preisindex,3,FALSE)/VLOOKUP(Preisindex!$A$6,Preisindex,3,FALSE),2),IF(AND($E150&lt;&gt;0,$F150&gt;0,YEAR($F150)&lt;Preisindex!$A$6,YEAR(AE$4)&gt;=YEAR($F150),$K150="g"),ROUND(VLOOKUP(AJ$4,Preisindex,4,FALSE)/VLOOKUP(Preisindex!$A$6,Preisindex,4,FALSE),2),IF(AND($E150&lt;&gt;0,$F150&gt;0,YEAR($F150)&lt;Preisindex!$A$6,YEAR(AE$4)&gt;=YEAR($F150),$K150="k"),ROUND(VLOOKUP(AJ$4,Preisindex,2,FALSE)/VLOOKUP(Preisindex!$A$6,Preisindex,2,FALSE),2),0)))))</f>
        <v>0</v>
      </c>
      <c r="AL150" s="51">
        <f>IF(AND($E150&lt;&gt;0,$F150&gt;0,YEAR($F150)&lt;=AJ$4,YEAR($F150)&gt;=Preisindex!$A$6),ROUND($E150*AJ150,2),IF(AND($E150&lt;&gt;0,$F150&gt;0,YEAR($F150)&lt;=AJ$4,YEAR($F150)&lt;Preisindex!$A$6),ROUND($E150*AK150,2),0))</f>
        <v>0</v>
      </c>
      <c r="AM150" s="53">
        <f t="shared" si="576"/>
        <v>0</v>
      </c>
      <c r="AN150" s="51">
        <f t="shared" si="577"/>
        <v>0</v>
      </c>
      <c r="AO150" s="51">
        <f t="shared" ref="AO150:AO213" si="579">IF($J150&lt;&gt;"H",AN150,0)</f>
        <v>0</v>
      </c>
      <c r="AP150" s="51">
        <f t="shared" si="493"/>
        <v>0</v>
      </c>
      <c r="AQ150" s="51">
        <f t="shared" ref="AQ150:AQ213" si="580">IF($J150&lt;&gt;"H",AP150,0)</f>
        <v>0</v>
      </c>
      <c r="AR150" s="51">
        <f t="shared" si="494"/>
        <v>0</v>
      </c>
      <c r="AS150" s="51">
        <f t="shared" ref="AS150:AS213" si="581">IF(AT150&lt;&gt;0,ROUND(AT150/$M150*AR150,2),0)</f>
        <v>0</v>
      </c>
      <c r="AT150" s="51">
        <f t="shared" si="495"/>
        <v>0</v>
      </c>
      <c r="AU150" s="51">
        <f t="shared" ref="AU150:AU213" si="582">IF($J150&lt;&gt;"H",AT150,0)</f>
        <v>0</v>
      </c>
      <c r="AV150" s="51">
        <f t="shared" si="496"/>
        <v>0</v>
      </c>
      <c r="AW150" s="51">
        <f t="shared" ref="AW150:AW213" si="583">IF($J150&lt;&gt;"H",AV150,0)</f>
        <v>0</v>
      </c>
      <c r="AX150" s="51">
        <f t="shared" si="497"/>
        <v>0</v>
      </c>
      <c r="AY150" s="54">
        <f t="shared" si="498"/>
        <v>0</v>
      </c>
      <c r="AZ150" s="55">
        <f t="shared" si="499"/>
        <v>0</v>
      </c>
      <c r="BA150" s="56">
        <f>IF(AND($E150&lt;&gt;0,$F150&gt;0,YEAR($F150)&gt;=Preisindex!$A$6,YEAR(AV$4)&gt;=YEAR($F150),AND($K150&lt;&gt;"a",$K150&lt;&gt;"b",$K150&lt;&gt;"g",$K150&lt;&gt;"k")),1,IF(AND($E150&lt;&gt;0,$F150&gt;0,YEAR($F150)&gt;=Preisindex!$A$6,YEAR(AV$4)&gt;=YEAR($F150),$K150="a"),ROUND(VLOOKUP(BA$4,Preisindex,5,FALSE)/VLOOKUP(YEAR($F150),Preisindex,5,FALSE),2),IF(AND($E150&lt;&gt;0,$F150&gt;0,YEAR($F150)&gt;=Preisindex!$A$6,YEAR(AV$4)&gt;=YEAR($F150),$K150="b"),ROUND(VLOOKUP(BA$4,Preisindex,3,FALSE)/VLOOKUP(YEAR($F150),Preisindex,3,FALSE),2),IF(AND($E150&lt;&gt;0,$F150&gt;0,YEAR($F150)&gt;=Preisindex!$A$6,YEAR(AV$4)&gt;=YEAR($F150),$K150="g"),ROUND(VLOOKUP(BA$4,Preisindex,4,FALSE)/VLOOKUP(YEAR($F150),Preisindex,4,FALSE),2),IF(AND($E150&lt;&gt;0,$F150&gt;0,YEAR($F150)&gt;=Preisindex!$A$6,YEAR(AV$4)&gt;=YEAR($F150),$K150="k"),ROUND(VLOOKUP(BA$4,Preisindex,2,FALSE)/VLOOKUP(YEAR($F150),Preisindex,2,FALSE),2),0)))))</f>
        <v>0</v>
      </c>
      <c r="BB150" s="56">
        <f>IF(AND($E150&lt;&gt;0,$F150&gt;0,YEAR($F150)&lt;Preisindex!$A$6,YEAR(AV$4)&gt;=YEAR($F150),AND($K150&lt;&gt;"a",$K150&lt;&gt;"b",$K150&lt;&gt;"g",$K150&lt;&gt;"k")),1,IF(AND($E150&lt;&gt;0,$F150&gt;0,YEAR($F150)&lt;Preisindex!$A$6,YEAR(AV$4)&gt;=YEAR($F150),$K150="a"),ROUND(VLOOKUP(BA$4,Preisindex,5,FALSE)/VLOOKUP(Preisindex!$A$6,Preisindex,5,FALSE),2),IF(AND($E150&lt;&gt;0,$F150&gt;0,YEAR($F150)&lt;Preisindex!$A$6,YEAR(AV$4)&gt;=YEAR($F150),$K150="b"),ROUND(VLOOKUP(BA$4,Preisindex,3,FALSE)/VLOOKUP(Preisindex!$A$6,Preisindex,3,FALSE),2),IF(AND($E150&lt;&gt;0,$F150&gt;0,YEAR($F150)&lt;Preisindex!$A$6,YEAR(AV$4)&gt;=YEAR($F150),$K150="g"),ROUND(VLOOKUP(BA$4,Preisindex,4,FALSE)/VLOOKUP(Preisindex!$A$6,Preisindex,4,FALSE),2),IF(AND($E150&lt;&gt;0,$F150&gt;0,YEAR($F150)&lt;Preisindex!$A$6,YEAR(AV$4)&gt;=YEAR($F150),$K150="k"),ROUND(VLOOKUP(BA$4,Preisindex,2,FALSE)/VLOOKUP(Preisindex!$A$6,Preisindex,2,FALSE),2),0)))))</f>
        <v>0</v>
      </c>
      <c r="BC150" s="51">
        <f>IF(AND($E150&lt;&gt;0,$F150&gt;0,YEAR($F150)&lt;=BA$4,YEAR($F150)&gt;=Preisindex!$A$6),ROUND($E150*BA150,2),IF(AND($E150&lt;&gt;0,$F150&gt;0,YEAR($F150)&lt;=BA$4,YEAR($F150)&lt;Preisindex!$A$6),ROUND($E150*BB150,2),0))</f>
        <v>0</v>
      </c>
      <c r="BD150" s="53">
        <f t="shared" si="500"/>
        <v>0</v>
      </c>
      <c r="BE150" s="51">
        <f t="shared" si="577"/>
        <v>0</v>
      </c>
      <c r="BF150" s="51">
        <f t="shared" ref="BF150:BF213" si="584">IF($J150&lt;&gt;"H",BE150,0)</f>
        <v>0</v>
      </c>
      <c r="BG150" s="51">
        <f t="shared" si="501"/>
        <v>0</v>
      </c>
      <c r="BH150" s="51">
        <f t="shared" ref="BH150:BH213" si="585">IF($J150&lt;&gt;"H",BG150,0)</f>
        <v>0</v>
      </c>
      <c r="BI150" s="51">
        <f t="shared" si="502"/>
        <v>0</v>
      </c>
      <c r="BJ150" s="51">
        <f t="shared" ref="BJ150:BJ213" si="586">IF(BK150&lt;&gt;0,ROUND(BK150/$M150*BI150,2),0)</f>
        <v>0</v>
      </c>
      <c r="BK150" s="51">
        <f t="shared" si="503"/>
        <v>0</v>
      </c>
      <c r="BL150" s="51">
        <f t="shared" ref="BL150:BL213" si="587">IF($J150&lt;&gt;"H",BK150,0)</f>
        <v>0</v>
      </c>
      <c r="BM150" s="51">
        <f t="shared" si="504"/>
        <v>0</v>
      </c>
      <c r="BN150" s="51">
        <f t="shared" ref="BN150:BN213" si="588">IF($J150&lt;&gt;"H",BM150,0)</f>
        <v>0</v>
      </c>
      <c r="BO150" s="51">
        <f t="shared" si="505"/>
        <v>0</v>
      </c>
      <c r="BP150" s="54">
        <f t="shared" si="506"/>
        <v>0</v>
      </c>
      <c r="BQ150" s="55">
        <f t="shared" si="507"/>
        <v>0</v>
      </c>
      <c r="BR150" s="56">
        <f>IF(AND($E150&lt;&gt;0,$F150&gt;0,YEAR($F150)&gt;=Preisindex!$A$6,YEAR(BM$4)&gt;=YEAR($F150),AND($K150&lt;&gt;"a",$K150&lt;&gt;"b",$K150&lt;&gt;"g",$K150&lt;&gt;"k")),1,IF(AND($E150&lt;&gt;0,$F150&gt;0,YEAR($F150)&gt;=Preisindex!$A$6,YEAR(BM$4)&gt;=YEAR($F150),$K150="a"),ROUND(VLOOKUP(BR$4,Preisindex,5,FALSE)/VLOOKUP(YEAR($F150),Preisindex,5,FALSE),2),IF(AND($E150&lt;&gt;0,$F150&gt;0,YEAR($F150)&gt;=Preisindex!$A$6,YEAR(BM$4)&gt;=YEAR($F150),$K150="b"),ROUND(VLOOKUP(BR$4,Preisindex,3,FALSE)/VLOOKUP(YEAR($F150),Preisindex,3,FALSE),2),IF(AND($E150&lt;&gt;0,$F150&gt;0,YEAR($F150)&gt;=Preisindex!$A$6,YEAR(BM$4)&gt;=YEAR($F150),$K150="g"),ROUND(VLOOKUP(BR$4,Preisindex,4,FALSE)/VLOOKUP(YEAR($F150),Preisindex,4,FALSE),2),IF(AND($E150&lt;&gt;0,$F150&gt;0,YEAR($F150)&gt;=Preisindex!$A$6,YEAR(BM$4)&gt;=YEAR($F150),$K150="k"),ROUND(VLOOKUP(BR$4,Preisindex,2,FALSE)/VLOOKUP(YEAR($F150),Preisindex,2,FALSE),2),0)))))</f>
        <v>0</v>
      </c>
      <c r="BS150" s="56">
        <f>IF(AND($E150&lt;&gt;0,$F150&gt;0,YEAR($F150)&lt;Preisindex!$A$6,YEAR(BM$4)&gt;=YEAR($F150),AND($K150&lt;&gt;"a",$K150&lt;&gt;"b",$K150&lt;&gt;"g",$K150&lt;&gt;"k")),1,IF(AND($E150&lt;&gt;0,$F150&gt;0,YEAR($F150)&lt;Preisindex!$A$6,YEAR(BM$4)&gt;=YEAR($F150),$K150="a"),ROUND(VLOOKUP(BR$4,Preisindex,5,FALSE)/VLOOKUP(Preisindex!$A$6,Preisindex,5,FALSE),2),IF(AND($E150&lt;&gt;0,$F150&gt;0,YEAR($F150)&lt;Preisindex!$A$6,YEAR(BM$4)&gt;=YEAR($F150),$K150="b"),ROUND(VLOOKUP(BR$4,Preisindex,3,FALSE)/VLOOKUP(Preisindex!$A$6,Preisindex,3,FALSE),2),IF(AND($E150&lt;&gt;0,$F150&gt;0,YEAR($F150)&lt;Preisindex!$A$6,YEAR(BM$4)&gt;=YEAR($F150),$K150="g"),ROUND(VLOOKUP(BR$4,Preisindex,4,FALSE)/VLOOKUP(Preisindex!$A$6,Preisindex,4,FALSE),2),IF(AND($E150&lt;&gt;0,$F150&gt;0,YEAR($F150)&lt;Preisindex!$A$6,YEAR(BM$4)&gt;=YEAR($F150),$K150="k"),ROUND(VLOOKUP(BR$4,Preisindex,2,FALSE)/VLOOKUP(Preisindex!$A$6,Preisindex,2,FALSE),2),0)))))</f>
        <v>0</v>
      </c>
      <c r="BT150" s="51">
        <f>IF(AND($E150&lt;&gt;0,$F150&gt;0,YEAR($F150)&lt;=BR$4,YEAR($F150)&gt;=Preisindex!$A$6),ROUND($E150*BR150,2),IF(AND($E150&lt;&gt;0,$F150&gt;0,YEAR($F150)&lt;=BR$4,YEAR($F150)&lt;Preisindex!$A$6),ROUND($E150*BS150,2),0))</f>
        <v>0</v>
      </c>
      <c r="BU150" s="53">
        <f t="shared" si="508"/>
        <v>0</v>
      </c>
      <c r="BV150" s="51">
        <f t="shared" si="577"/>
        <v>0</v>
      </c>
      <c r="BW150" s="51">
        <f t="shared" ref="BW150:BW213" si="589">IF($J150&lt;&gt;"H",BV150,0)</f>
        <v>0</v>
      </c>
      <c r="BX150" s="51">
        <f t="shared" si="509"/>
        <v>0</v>
      </c>
      <c r="BY150" s="51">
        <f t="shared" ref="BY150:BY213" si="590">IF($J150&lt;&gt;"H",BX150,0)</f>
        <v>0</v>
      </c>
      <c r="BZ150" s="51">
        <f t="shared" si="510"/>
        <v>0</v>
      </c>
      <c r="CA150" s="51">
        <f t="shared" ref="CA150:CA213" si="591">IF(CB150&lt;&gt;0,ROUND(CB150/$M150*BZ150,2),0)</f>
        <v>0</v>
      </c>
      <c r="CB150" s="51">
        <f t="shared" si="511"/>
        <v>0</v>
      </c>
      <c r="CC150" s="51">
        <f t="shared" ref="CC150:CC213" si="592">IF($J150&lt;&gt;"H",CB150,0)</f>
        <v>0</v>
      </c>
      <c r="CD150" s="51">
        <f t="shared" si="512"/>
        <v>0</v>
      </c>
      <c r="CE150" s="51">
        <f t="shared" ref="CE150:CE213" si="593">IF($J150&lt;&gt;"H",CD150,0)</f>
        <v>0</v>
      </c>
      <c r="CF150" s="51">
        <f t="shared" si="513"/>
        <v>0</v>
      </c>
      <c r="CG150" s="54">
        <f t="shared" si="514"/>
        <v>0</v>
      </c>
      <c r="CH150" s="55">
        <f t="shared" si="515"/>
        <v>0</v>
      </c>
      <c r="CI150" s="56">
        <f>IF(AND($E150&lt;&gt;0,$F150&gt;0,YEAR($F150)&gt;=Preisindex!$A$6,YEAR(CD$4)&gt;=YEAR($F150),AND($K150&lt;&gt;"a",$K150&lt;&gt;"b",$K150&lt;&gt;"g",$K150&lt;&gt;"k")),1,IF(AND($E150&lt;&gt;0,$F150&gt;0,YEAR($F150)&gt;=Preisindex!$A$6,YEAR(CD$4)&gt;=YEAR($F150),$K150="a"),ROUND(VLOOKUP(CI$4,Preisindex,5,FALSE)/VLOOKUP(YEAR($F150),Preisindex,5,FALSE),2),IF(AND($E150&lt;&gt;0,$F150&gt;0,YEAR($F150)&gt;=Preisindex!$A$6,YEAR(CD$4)&gt;=YEAR($F150),$K150="b"),ROUND(VLOOKUP(CI$4,Preisindex,3,FALSE)/VLOOKUP(YEAR($F150),Preisindex,3,FALSE),2),IF(AND($E150&lt;&gt;0,$F150&gt;0,YEAR($F150)&gt;=Preisindex!$A$6,YEAR(CD$4)&gt;=YEAR($F150),$K150="g"),ROUND(VLOOKUP(CI$4,Preisindex,4,FALSE)/VLOOKUP(YEAR($F150),Preisindex,4,FALSE),2),IF(AND($E150&lt;&gt;0,$F150&gt;0,YEAR($F150)&gt;=Preisindex!$A$6,YEAR(CD$4)&gt;=YEAR($F150),$K150="k"),ROUND(VLOOKUP(CI$4,Preisindex,2,FALSE)/VLOOKUP(YEAR($F150),Preisindex,2,FALSE),2),0)))))</f>
        <v>0</v>
      </c>
      <c r="CJ150" s="56">
        <f>IF(AND($E150&lt;&gt;0,$F150&gt;0,YEAR($F150)&lt;Preisindex!$A$6,YEAR(CD$4)&gt;=YEAR($F150),AND($K150&lt;&gt;"a",$K150&lt;&gt;"b",$K150&lt;&gt;"g",$K150&lt;&gt;"k")),1,IF(AND($E150&lt;&gt;0,$F150&gt;0,YEAR($F150)&lt;Preisindex!$A$6,YEAR(CD$4)&gt;=YEAR($F150),$K150="a"),ROUND(VLOOKUP(CI$4,Preisindex,5,FALSE)/VLOOKUP(Preisindex!$A$6,Preisindex,5,FALSE),2),IF(AND($E150&lt;&gt;0,$F150&gt;0,YEAR($F150)&lt;Preisindex!$A$6,YEAR(CD$4)&gt;=YEAR($F150),$K150="b"),ROUND(VLOOKUP(CI$4,Preisindex,3,FALSE)/VLOOKUP(Preisindex!$A$6,Preisindex,3,FALSE),2),IF(AND($E150&lt;&gt;0,$F150&gt;0,YEAR($F150)&lt;Preisindex!$A$6,YEAR(CD$4)&gt;=YEAR($F150),$K150="g"),ROUND(VLOOKUP(CI$4,Preisindex,4,FALSE)/VLOOKUP(Preisindex!$A$6,Preisindex,4,FALSE),2),IF(AND($E150&lt;&gt;0,$F150&gt;0,YEAR($F150)&lt;Preisindex!$A$6,YEAR(CD$4)&gt;=YEAR($F150),$K150="k"),ROUND(VLOOKUP(CI$4,Preisindex,2,FALSE)/VLOOKUP(Preisindex!$A$6,Preisindex,2,FALSE),2),0)))))</f>
        <v>0</v>
      </c>
      <c r="CK150" s="51">
        <f>IF(AND($E150&lt;&gt;0,$F150&gt;0,YEAR($F150)&lt;=CI$4,YEAR($F150)&gt;=Preisindex!$A$6),ROUND($E150*CI150,2),IF(AND($E150&lt;&gt;0,$F150&gt;0,YEAR($F150)&lt;=CI$4,YEAR($F150)&lt;Preisindex!$A$6),ROUND($E150*CJ150,2),0))</f>
        <v>0</v>
      </c>
      <c r="CL150" s="53">
        <f t="shared" si="516"/>
        <v>0</v>
      </c>
      <c r="CM150" s="51">
        <f t="shared" si="577"/>
        <v>0</v>
      </c>
      <c r="CN150" s="51">
        <f t="shared" ref="CN150:CN213" si="594">IF($J150&lt;&gt;"H",CM150,0)</f>
        <v>0</v>
      </c>
      <c r="CO150" s="51">
        <f t="shared" si="517"/>
        <v>0</v>
      </c>
      <c r="CP150" s="51">
        <f t="shared" ref="CP150:CP213" si="595">IF($J150&lt;&gt;"H",CO150,0)</f>
        <v>0</v>
      </c>
      <c r="CQ150" s="51">
        <f t="shared" si="518"/>
        <v>0</v>
      </c>
      <c r="CR150" s="51">
        <f t="shared" ref="CR150:CR213" si="596">IF(CS150&lt;&gt;0,ROUND(CS150/$M150*CQ150,2),0)</f>
        <v>0</v>
      </c>
      <c r="CS150" s="51">
        <f t="shared" si="519"/>
        <v>0</v>
      </c>
      <c r="CT150" s="51">
        <f t="shared" ref="CT150:CT213" si="597">IF($J150&lt;&gt;"H",CS150,0)</f>
        <v>0</v>
      </c>
      <c r="CU150" s="51">
        <f t="shared" si="520"/>
        <v>0</v>
      </c>
      <c r="CV150" s="51">
        <f t="shared" ref="CV150:CV213" si="598">IF($J150&lt;&gt;"H",CU150,0)</f>
        <v>0</v>
      </c>
      <c r="CW150" s="51">
        <f t="shared" si="521"/>
        <v>0</v>
      </c>
      <c r="CX150" s="54">
        <f t="shared" si="522"/>
        <v>0</v>
      </c>
      <c r="CY150" s="55">
        <f t="shared" si="523"/>
        <v>0</v>
      </c>
      <c r="CZ150" s="56">
        <f>IF(AND($E150&lt;&gt;0,$F150&gt;0,YEAR($F150)&gt;=Preisindex!$A$6,YEAR(CU$4)&gt;=YEAR($F150),AND($K150&lt;&gt;"a",$K150&lt;&gt;"b",$K150&lt;&gt;"g",$K150&lt;&gt;"k")),1,IF(AND($E150&lt;&gt;0,$F150&gt;0,YEAR($F150)&gt;=Preisindex!$A$6,YEAR(CU$4)&gt;=YEAR($F150),$K150="a"),ROUND(VLOOKUP(CZ$4,Preisindex,5,FALSE)/VLOOKUP(YEAR($F150),Preisindex,5,FALSE),2),IF(AND($E150&lt;&gt;0,$F150&gt;0,YEAR($F150)&gt;=Preisindex!$A$6,YEAR(CU$4)&gt;=YEAR($F150),$K150="b"),ROUND(VLOOKUP(CZ$4,Preisindex,3,FALSE)/VLOOKUP(YEAR($F150),Preisindex,3,FALSE),2),IF(AND($E150&lt;&gt;0,$F150&gt;0,YEAR($F150)&gt;=Preisindex!$A$6,YEAR(CU$4)&gt;=YEAR($F150),$K150="g"),ROUND(VLOOKUP(CZ$4,Preisindex,4,FALSE)/VLOOKUP(YEAR($F150),Preisindex,4,FALSE),2),IF(AND($E150&lt;&gt;0,$F150&gt;0,YEAR($F150)&gt;=Preisindex!$A$6,YEAR(CU$4)&gt;=YEAR($F150),$K150="k"),ROUND(VLOOKUP(CZ$4,Preisindex,2,FALSE)/VLOOKUP(YEAR($F150),Preisindex,2,FALSE),2),0)))))</f>
        <v>0</v>
      </c>
      <c r="DA150" s="56">
        <f>IF(AND($E150&lt;&gt;0,$F150&gt;0,YEAR($F150)&lt;Preisindex!$A$6,YEAR(CU$4)&gt;=YEAR($F150),AND($K150&lt;&gt;"a",$K150&lt;&gt;"b",$K150&lt;&gt;"g",$K150&lt;&gt;"k")),1,IF(AND($E150&lt;&gt;0,$F150&gt;0,YEAR($F150)&lt;Preisindex!$A$6,YEAR(CU$4)&gt;=YEAR($F150),$K150="a"),ROUND(VLOOKUP(CZ$4,Preisindex,5,FALSE)/VLOOKUP(Preisindex!$A$6,Preisindex,5,FALSE),2),IF(AND($E150&lt;&gt;0,$F150&gt;0,YEAR($F150)&lt;Preisindex!$A$6,YEAR(CU$4)&gt;=YEAR($F150),$K150="b"),ROUND(VLOOKUP(CZ$4,Preisindex,3,FALSE)/VLOOKUP(Preisindex!$A$6,Preisindex,3,FALSE),2),IF(AND($E150&lt;&gt;0,$F150&gt;0,YEAR($F150)&lt;Preisindex!$A$6,YEAR(CU$4)&gt;=YEAR($F150),$K150="g"),ROUND(VLOOKUP(CZ$4,Preisindex,4,FALSE)/VLOOKUP(Preisindex!$A$6,Preisindex,4,FALSE),2),IF(AND($E150&lt;&gt;0,$F150&gt;0,YEAR($F150)&lt;Preisindex!$A$6,YEAR(CU$4)&gt;=YEAR($F150),$K150="k"),ROUND(VLOOKUP(CZ$4,Preisindex,2,FALSE)/VLOOKUP(Preisindex!$A$6,Preisindex,2,FALSE),2),0)))))</f>
        <v>0</v>
      </c>
      <c r="DB150" s="51">
        <f>IF(AND($E150&lt;&gt;0,$F150&gt;0,YEAR($F150)&lt;=CZ$4,YEAR($F150)&gt;=Preisindex!$A$6),ROUND($E150*CZ150,2),IF(AND($E150&lt;&gt;0,$F150&gt;0,YEAR($F150)&lt;=CZ$4,YEAR($F150)&lt;Preisindex!$A$6),ROUND($E150*DA150,2),0))</f>
        <v>0</v>
      </c>
      <c r="DC150" s="53">
        <f t="shared" si="524"/>
        <v>0</v>
      </c>
      <c r="DD150" s="51">
        <f t="shared" si="578"/>
        <v>0</v>
      </c>
      <c r="DE150" s="51">
        <f t="shared" ref="DE150:DE213" si="599">IF($J150&lt;&gt;"H",DD150,0)</f>
        <v>0</v>
      </c>
      <c r="DF150" s="51">
        <f t="shared" si="526"/>
        <v>0</v>
      </c>
      <c r="DG150" s="51">
        <f t="shared" ref="DG150:DG213" si="600">IF($J150&lt;&gt;"H",DF150,0)</f>
        <v>0</v>
      </c>
      <c r="DH150" s="51">
        <f t="shared" si="527"/>
        <v>0</v>
      </c>
      <c r="DI150" s="51">
        <f t="shared" ref="DI150:DI213" si="601">IF(DJ150&lt;&gt;0,ROUND(DJ150/$M150*DH150,2),0)</f>
        <v>0</v>
      </c>
      <c r="DJ150" s="51">
        <f t="shared" si="528"/>
        <v>0</v>
      </c>
      <c r="DK150" s="51">
        <f t="shared" ref="DK150:DK213" si="602">IF($J150&lt;&gt;"H",DJ150,0)</f>
        <v>0</v>
      </c>
      <c r="DL150" s="51">
        <f t="shared" si="529"/>
        <v>0</v>
      </c>
      <c r="DM150" s="51">
        <f t="shared" ref="DM150:DM213" si="603">IF($J150&lt;&gt;"H",DL150,0)</f>
        <v>0</v>
      </c>
      <c r="DN150" s="51">
        <f t="shared" si="530"/>
        <v>0</v>
      </c>
      <c r="DO150" s="54">
        <f t="shared" si="531"/>
        <v>0</v>
      </c>
      <c r="DP150" s="55">
        <f t="shared" si="532"/>
        <v>0</v>
      </c>
      <c r="DQ150" s="56">
        <f>IF(AND($E150&lt;&gt;0,$F150&gt;0,YEAR($F150)&gt;=Preisindex!$A$6,YEAR(DL$4)&gt;=YEAR($F150),AND($K150&lt;&gt;"a",$K150&lt;&gt;"b",$K150&lt;&gt;"g",$K150&lt;&gt;"k")),1,IF(AND($E150&lt;&gt;0,$F150&gt;0,YEAR($F150)&gt;=Preisindex!$A$6,YEAR(DL$4)&gt;=YEAR($F150),$K150="a"),ROUND(VLOOKUP(DQ$4,Preisindex,5,FALSE)/VLOOKUP(YEAR($F150),Preisindex,5,FALSE),2),IF(AND($E150&lt;&gt;0,$F150&gt;0,YEAR($F150)&gt;=Preisindex!$A$6,YEAR(DL$4)&gt;=YEAR($F150),$K150="b"),ROUND(VLOOKUP(DQ$4,Preisindex,3,FALSE)/VLOOKUP(YEAR($F150),Preisindex,3,FALSE),2),IF(AND($E150&lt;&gt;0,$F150&gt;0,YEAR($F150)&gt;=Preisindex!$A$6,YEAR(DL$4)&gt;=YEAR($F150),$K150="g"),ROUND(VLOOKUP(DQ$4,Preisindex,4,FALSE)/VLOOKUP(YEAR($F150),Preisindex,4,FALSE),2),IF(AND($E150&lt;&gt;0,$F150&gt;0,YEAR($F150)&gt;=Preisindex!$A$6,YEAR(DL$4)&gt;=YEAR($F150),$K150="k"),ROUND(VLOOKUP(DQ$4,Preisindex,2,FALSE)/VLOOKUP(YEAR($F150),Preisindex,2,FALSE),2),0)))))</f>
        <v>0</v>
      </c>
      <c r="DR150" s="56">
        <f>IF(AND($E150&lt;&gt;0,$F150&gt;0,YEAR($F150)&lt;Preisindex!$A$6,YEAR(DL$4)&gt;=YEAR($F150),AND($K150&lt;&gt;"a",$K150&lt;&gt;"b",$K150&lt;&gt;"g",$K150&lt;&gt;"k")),1,IF(AND($E150&lt;&gt;0,$F150&gt;0,YEAR($F150)&lt;Preisindex!$A$6,YEAR(DL$4)&gt;=YEAR($F150),$K150="a"),ROUND(VLOOKUP(DQ$4,Preisindex,5,FALSE)/VLOOKUP(Preisindex!$A$6,Preisindex,5,FALSE),2),IF(AND($E150&lt;&gt;0,$F150&gt;0,YEAR($F150)&lt;Preisindex!$A$6,YEAR(DL$4)&gt;=YEAR($F150),$K150="b"),ROUND(VLOOKUP(DQ$4,Preisindex,3,FALSE)/VLOOKUP(Preisindex!$A$6,Preisindex,3,FALSE),2),IF(AND($E150&lt;&gt;0,$F150&gt;0,YEAR($F150)&lt;Preisindex!$A$6,YEAR(DL$4)&gt;=YEAR($F150),$K150="g"),ROUND(VLOOKUP(DQ$4,Preisindex,4,FALSE)/VLOOKUP(Preisindex!$A$6,Preisindex,4,FALSE),2),IF(AND($E150&lt;&gt;0,$F150&gt;0,YEAR($F150)&lt;Preisindex!$A$6,YEAR(DL$4)&gt;=YEAR($F150),$K150="k"),ROUND(VLOOKUP(DQ$4,Preisindex,2,FALSE)/VLOOKUP(Preisindex!$A$6,Preisindex,2,FALSE),2),0)))))</f>
        <v>0</v>
      </c>
      <c r="DS150" s="51">
        <f>IF(AND($E150&lt;&gt;0,$F150&gt;0,YEAR($F150)&lt;=DQ$4,YEAR($F150)&gt;=Preisindex!$A$6),ROUND($E150*DQ150,2),IF(AND($E150&lt;&gt;0,$F150&gt;0,YEAR($F150)&lt;=DQ$4,YEAR($F150)&lt;Preisindex!$A$6),ROUND($E150*DR150,2),0))</f>
        <v>0</v>
      </c>
      <c r="DT150" s="53">
        <f t="shared" si="533"/>
        <v>0</v>
      </c>
      <c r="DU150" s="51">
        <f t="shared" si="578"/>
        <v>0</v>
      </c>
      <c r="DV150" s="51">
        <f t="shared" ref="DV150:DV213" si="604">IF($J150&lt;&gt;"H",DU150,0)</f>
        <v>0</v>
      </c>
      <c r="DW150" s="51">
        <f t="shared" si="534"/>
        <v>0</v>
      </c>
      <c r="DX150" s="51">
        <f t="shared" ref="DX150:DX213" si="605">IF($J150&lt;&gt;"H",DW150,0)</f>
        <v>0</v>
      </c>
      <c r="DY150" s="51">
        <f t="shared" si="535"/>
        <v>0</v>
      </c>
      <c r="DZ150" s="51">
        <f t="shared" ref="DZ150:DZ213" si="606">IF(EA150&lt;&gt;0,ROUND(EA150/$M150*DY150,2),0)</f>
        <v>0</v>
      </c>
      <c r="EA150" s="51">
        <f t="shared" si="536"/>
        <v>0</v>
      </c>
      <c r="EB150" s="51">
        <f t="shared" ref="EB150:EB213" si="607">IF($J150&lt;&gt;"H",EA150,0)</f>
        <v>0</v>
      </c>
      <c r="EC150" s="51">
        <f t="shared" si="537"/>
        <v>0</v>
      </c>
      <c r="ED150" s="51">
        <f t="shared" ref="ED150:ED213" si="608">IF($J150&lt;&gt;"H",EC150,0)</f>
        <v>0</v>
      </c>
      <c r="EE150" s="51">
        <f t="shared" si="538"/>
        <v>0</v>
      </c>
      <c r="EF150" s="54">
        <f t="shared" si="539"/>
        <v>0</v>
      </c>
      <c r="EG150" s="55">
        <f t="shared" si="540"/>
        <v>0</v>
      </c>
      <c r="EH150" s="56">
        <f>IF(AND($E150&lt;&gt;0,$F150&gt;0,YEAR($F150)&gt;=Preisindex!$A$6,YEAR(EC$4)&gt;=YEAR($F150),AND($K150&lt;&gt;"a",$K150&lt;&gt;"b",$K150&lt;&gt;"g",$K150&lt;&gt;"k")),1,IF(AND($E150&lt;&gt;0,$F150&gt;0,YEAR($F150)&gt;=Preisindex!$A$6,YEAR(EC$4)&gt;=YEAR($F150),$K150="a"),ROUND(VLOOKUP(EH$4,Preisindex,5,FALSE)/VLOOKUP(YEAR($F150),Preisindex,5,FALSE),2),IF(AND($E150&lt;&gt;0,$F150&gt;0,YEAR($F150)&gt;=Preisindex!$A$6,YEAR(EC$4)&gt;=YEAR($F150),$K150="b"),ROUND(VLOOKUP(EH$4,Preisindex,3,FALSE)/VLOOKUP(YEAR($F150),Preisindex,3,FALSE),2),IF(AND($E150&lt;&gt;0,$F150&gt;0,YEAR($F150)&gt;=Preisindex!$A$6,YEAR(EC$4)&gt;=YEAR($F150),$K150="g"),ROUND(VLOOKUP(EH$4,Preisindex,4,FALSE)/VLOOKUP(YEAR($F150),Preisindex,4,FALSE),2),IF(AND($E150&lt;&gt;0,$F150&gt;0,YEAR($F150)&gt;=Preisindex!$A$6,YEAR(EC$4)&gt;=YEAR($F150),$K150="k"),ROUND(VLOOKUP(EH$4,Preisindex,2,FALSE)/VLOOKUP(YEAR($F150),Preisindex,2,FALSE),2),0)))))</f>
        <v>0</v>
      </c>
      <c r="EI150" s="56">
        <f>IF(AND($E150&lt;&gt;0,$F150&gt;0,YEAR($F150)&lt;Preisindex!$A$6,YEAR(EC$4)&gt;=YEAR($F150),AND($K150&lt;&gt;"a",$K150&lt;&gt;"b",$K150&lt;&gt;"g",$K150&lt;&gt;"k")),1,IF(AND($E150&lt;&gt;0,$F150&gt;0,YEAR($F150)&lt;Preisindex!$A$6,YEAR(EC$4)&gt;=YEAR($F150),$K150="a"),ROUND(VLOOKUP(EH$4,Preisindex,5,FALSE)/VLOOKUP(Preisindex!$A$6,Preisindex,5,FALSE),2),IF(AND($E150&lt;&gt;0,$F150&gt;0,YEAR($F150)&lt;Preisindex!$A$6,YEAR(EC$4)&gt;=YEAR($F150),$K150="b"),ROUND(VLOOKUP(EH$4,Preisindex,3,FALSE)/VLOOKUP(Preisindex!$A$6,Preisindex,3,FALSE),2),IF(AND($E150&lt;&gt;0,$F150&gt;0,YEAR($F150)&lt;Preisindex!$A$6,YEAR(EC$4)&gt;=YEAR($F150),$K150="g"),ROUND(VLOOKUP(EH$4,Preisindex,4,FALSE)/VLOOKUP(Preisindex!$A$6,Preisindex,4,FALSE),2),IF(AND($E150&lt;&gt;0,$F150&gt;0,YEAR($F150)&lt;Preisindex!$A$6,YEAR(EC$4)&gt;=YEAR($F150),$K150="k"),ROUND(VLOOKUP(EH$4,Preisindex,2,FALSE)/VLOOKUP(Preisindex!$A$6,Preisindex,2,FALSE),2),0)))))</f>
        <v>0</v>
      </c>
      <c r="EJ150" s="51">
        <f>IF(AND($E150&lt;&gt;0,$F150&gt;0,YEAR($F150)&lt;=EH$4,YEAR($F150)&gt;=Preisindex!$A$6),ROUND($E150*EH150,2),IF(AND($E150&lt;&gt;0,$F150&gt;0,YEAR($F150)&lt;=EH$4,YEAR($F150)&lt;Preisindex!$A$6),ROUND($E150*EI150,2),0))</f>
        <v>0</v>
      </c>
      <c r="EK150" s="53">
        <f t="shared" si="541"/>
        <v>0</v>
      </c>
      <c r="EL150" s="51">
        <f t="shared" si="578"/>
        <v>0</v>
      </c>
      <c r="EM150" s="51">
        <f t="shared" ref="EM150:EM213" si="609">IF($J150&lt;&gt;"H",EL150,0)</f>
        <v>0</v>
      </c>
      <c r="EN150" s="51">
        <f t="shared" si="542"/>
        <v>0</v>
      </c>
      <c r="EO150" s="51">
        <f t="shared" ref="EO150:EO213" si="610">IF($J150&lt;&gt;"H",EN150,0)</f>
        <v>0</v>
      </c>
      <c r="EP150" s="51">
        <f t="shared" si="543"/>
        <v>0</v>
      </c>
      <c r="EQ150" s="51">
        <f t="shared" ref="EQ150:EQ213" si="611">IF(ER150&lt;&gt;0,ROUND(ER150/$M150*EP150,2),0)</f>
        <v>0</v>
      </c>
      <c r="ER150" s="51">
        <f t="shared" si="544"/>
        <v>0</v>
      </c>
      <c r="ES150" s="51">
        <f t="shared" ref="ES150:ES213" si="612">IF($J150&lt;&gt;"H",ER150,0)</f>
        <v>0</v>
      </c>
      <c r="ET150" s="51">
        <f t="shared" si="545"/>
        <v>0</v>
      </c>
      <c r="EU150" s="51">
        <f t="shared" ref="EU150:EU213" si="613">IF($J150&lt;&gt;"H",ET150,0)</f>
        <v>0</v>
      </c>
      <c r="EV150" s="51">
        <f t="shared" si="546"/>
        <v>0</v>
      </c>
      <c r="EW150" s="54">
        <f t="shared" si="547"/>
        <v>0</v>
      </c>
      <c r="EX150" s="55">
        <f t="shared" si="548"/>
        <v>0</v>
      </c>
      <c r="EY150" s="56">
        <f>IF(AND($E150&lt;&gt;0,$F150&gt;0,YEAR($F150)&gt;=Preisindex!$A$6,YEAR(ET$4)&gt;=YEAR($F150),AND($K150&lt;&gt;"a",$K150&lt;&gt;"b",$K150&lt;&gt;"g",$K150&lt;&gt;"k")),1,IF(AND($E150&lt;&gt;0,$F150&gt;0,YEAR($F150)&gt;=Preisindex!$A$6,YEAR(ET$4)&gt;=YEAR($F150),$K150="a"),ROUND(VLOOKUP(EY$4,Preisindex,5,FALSE)/VLOOKUP(YEAR($F150),Preisindex,5,FALSE),2),IF(AND($E150&lt;&gt;0,$F150&gt;0,YEAR($F150)&gt;=Preisindex!$A$6,YEAR(ET$4)&gt;=YEAR($F150),$K150="b"),ROUND(VLOOKUP(EY$4,Preisindex,3,FALSE)/VLOOKUP(YEAR($F150),Preisindex,3,FALSE),2),IF(AND($E150&lt;&gt;0,$F150&gt;0,YEAR($F150)&gt;=Preisindex!$A$6,YEAR(ET$4)&gt;=YEAR($F150),$K150="g"),ROUND(VLOOKUP(EY$4,Preisindex,4,FALSE)/VLOOKUP(YEAR($F150),Preisindex,4,FALSE),2),IF(AND($E150&lt;&gt;0,$F150&gt;0,YEAR($F150)&gt;=Preisindex!$A$6,YEAR(ET$4)&gt;=YEAR($F150),$K150="k"),ROUND(VLOOKUP(EY$4,Preisindex,2,FALSE)/VLOOKUP(YEAR($F150),Preisindex,2,FALSE),2),0)))))</f>
        <v>0</v>
      </c>
      <c r="EZ150" s="56">
        <f>IF(AND($E150&lt;&gt;0,$F150&gt;0,YEAR($F150)&lt;Preisindex!$A$6,YEAR(ET$4)&gt;=YEAR($F150),AND($K150&lt;&gt;"a",$K150&lt;&gt;"b",$K150&lt;&gt;"g",$K150&lt;&gt;"k")),1,IF(AND($E150&lt;&gt;0,$F150&gt;0,YEAR($F150)&lt;Preisindex!$A$6,YEAR(ET$4)&gt;=YEAR($F150),$K150="a"),ROUND(VLOOKUP(EY$4,Preisindex,5,FALSE)/VLOOKUP(Preisindex!$A$6,Preisindex,5,FALSE),2),IF(AND($E150&lt;&gt;0,$F150&gt;0,YEAR($F150)&lt;Preisindex!$A$6,YEAR(ET$4)&gt;=YEAR($F150),$K150="b"),ROUND(VLOOKUP(EY$4,Preisindex,3,FALSE)/VLOOKUP(Preisindex!$A$6,Preisindex,3,FALSE),2),IF(AND($E150&lt;&gt;0,$F150&gt;0,YEAR($F150)&lt;Preisindex!$A$6,YEAR(ET$4)&gt;=YEAR($F150),$K150="g"),ROUND(VLOOKUP(EY$4,Preisindex,4,FALSE)/VLOOKUP(Preisindex!$A$6,Preisindex,4,FALSE),2),IF(AND($E150&lt;&gt;0,$F150&gt;0,YEAR($F150)&lt;Preisindex!$A$6,YEAR(ET$4)&gt;=YEAR($F150),$K150="k"),ROUND(VLOOKUP(EY$4,Preisindex,2,FALSE)/VLOOKUP(Preisindex!$A$6,Preisindex,2,FALSE),2),0)))))</f>
        <v>0</v>
      </c>
      <c r="FA150" s="51">
        <f>IF(AND($E150&lt;&gt;0,$F150&gt;0,YEAR($F150)&lt;=EY$4,YEAR($F150)&gt;=Preisindex!$A$6),ROUND($E150*EY150,2),IF(AND($E150&lt;&gt;0,$F150&gt;0,YEAR($F150)&lt;=EY$4,YEAR($F150)&lt;Preisindex!$A$6),ROUND($E150*EZ150,2),0))</f>
        <v>0</v>
      </c>
      <c r="FB150" s="53">
        <f t="shared" si="549"/>
        <v>0</v>
      </c>
      <c r="FC150" s="51">
        <f t="shared" si="578"/>
        <v>0</v>
      </c>
      <c r="FD150" s="51">
        <f t="shared" ref="FD150:FD213" si="614">IF($J150&lt;&gt;"H",FC150,0)</f>
        <v>0</v>
      </c>
      <c r="FE150" s="51">
        <f t="shared" si="550"/>
        <v>0</v>
      </c>
      <c r="FF150" s="51">
        <f t="shared" ref="FF150:FF213" si="615">IF($J150&lt;&gt;"H",FE150,0)</f>
        <v>0</v>
      </c>
      <c r="FG150" s="51">
        <f t="shared" si="551"/>
        <v>0</v>
      </c>
      <c r="FH150" s="51">
        <f t="shared" ref="FH150:FH213" si="616">IF(FI150&lt;&gt;0,ROUND(FI150/$M150*FG150,2),0)</f>
        <v>0</v>
      </c>
      <c r="FI150" s="51">
        <f t="shared" si="552"/>
        <v>0</v>
      </c>
      <c r="FJ150" s="51">
        <f t="shared" ref="FJ150:FJ213" si="617">IF($J150&lt;&gt;"H",FI150,0)</f>
        <v>0</v>
      </c>
      <c r="FK150" s="51">
        <f t="shared" si="553"/>
        <v>0</v>
      </c>
      <c r="FL150" s="51">
        <f t="shared" ref="FL150:FL213" si="618">IF($J150&lt;&gt;"H",FK150,0)</f>
        <v>0</v>
      </c>
      <c r="FM150" s="51">
        <f t="shared" si="554"/>
        <v>0</v>
      </c>
      <c r="FN150" s="54">
        <f t="shared" si="555"/>
        <v>0</v>
      </c>
      <c r="FO150" s="55">
        <f t="shared" si="556"/>
        <v>0</v>
      </c>
      <c r="FP150" s="56">
        <f>IF(AND($E150&lt;&gt;0,$F150&gt;0,YEAR($F150)&gt;=Preisindex!$A$6,YEAR(FK$4)&gt;=YEAR($F150),AND($K150&lt;&gt;"a",$K150&lt;&gt;"b",$K150&lt;&gt;"g",$K150&lt;&gt;"k")),1,IF(AND($E150&lt;&gt;0,$F150&gt;0,YEAR($F150)&gt;=Preisindex!$A$6,YEAR(FK$4)&gt;=YEAR($F150),$K150="a"),ROUND(VLOOKUP(FP$4,Preisindex,5,FALSE)/VLOOKUP(YEAR($F150),Preisindex,5,FALSE),2),IF(AND($E150&lt;&gt;0,$F150&gt;0,YEAR($F150)&gt;=Preisindex!$A$6,YEAR(FK$4)&gt;=YEAR($F150),$K150="b"),ROUND(VLOOKUP(FP$4,Preisindex,3,FALSE)/VLOOKUP(YEAR($F150),Preisindex,3,FALSE),2),IF(AND($E150&lt;&gt;0,$F150&gt;0,YEAR($F150)&gt;=Preisindex!$A$6,YEAR(FK$4)&gt;=YEAR($F150),$K150="g"),ROUND(VLOOKUP(FP$4,Preisindex,4,FALSE)/VLOOKUP(YEAR($F150),Preisindex,4,FALSE),2),IF(AND($E150&lt;&gt;0,$F150&gt;0,YEAR($F150)&gt;=Preisindex!$A$6,YEAR(FK$4)&gt;=YEAR($F150),$K150="k"),ROUND(VLOOKUP(FP$4,Preisindex,2,FALSE)/VLOOKUP(YEAR($F150),Preisindex,2,FALSE),2),0)))))</f>
        <v>0</v>
      </c>
      <c r="FQ150" s="56">
        <f>IF(AND($E150&lt;&gt;0,$F150&gt;0,YEAR($F150)&lt;Preisindex!$A$6,YEAR(FK$4)&gt;=YEAR($F150),AND($K150&lt;&gt;"a",$K150&lt;&gt;"b",$K150&lt;&gt;"g",$K150&lt;&gt;"k")),1,IF(AND($E150&lt;&gt;0,$F150&gt;0,YEAR($F150)&lt;Preisindex!$A$6,YEAR(FK$4)&gt;=YEAR($F150),$K150="a"),ROUND(VLOOKUP(FP$4,Preisindex,5,FALSE)/VLOOKUP(Preisindex!$A$6,Preisindex,5,FALSE),2),IF(AND($E150&lt;&gt;0,$F150&gt;0,YEAR($F150)&lt;Preisindex!$A$6,YEAR(FK$4)&gt;=YEAR($F150),$K150="b"),ROUND(VLOOKUP(FP$4,Preisindex,3,FALSE)/VLOOKUP(Preisindex!$A$6,Preisindex,3,FALSE),2),IF(AND($E150&lt;&gt;0,$F150&gt;0,YEAR($F150)&lt;Preisindex!$A$6,YEAR(FK$4)&gt;=YEAR($F150),$K150="g"),ROUND(VLOOKUP(FP$4,Preisindex,4,FALSE)/VLOOKUP(Preisindex!$A$6,Preisindex,4,FALSE),2),IF(AND($E150&lt;&gt;0,$F150&gt;0,YEAR($F150)&lt;Preisindex!$A$6,YEAR(FK$4)&gt;=YEAR($F150),$K150="k"),ROUND(VLOOKUP(FP$4,Preisindex,2,FALSE)/VLOOKUP(Preisindex!$A$6,Preisindex,2,FALSE),2),0)))))</f>
        <v>0</v>
      </c>
      <c r="FR150" s="51">
        <f>IF(AND($E150&lt;&gt;0,$F150&gt;0,YEAR($F150)&lt;=FP$4,YEAR($F150)&gt;=Preisindex!$A$6),ROUND($E150*FP150,2),IF(AND($E150&lt;&gt;0,$F150&gt;0,YEAR($F150)&lt;=FP$4,YEAR($F150)&lt;Preisindex!$A$6),ROUND($E150*FQ150,2),0))</f>
        <v>0</v>
      </c>
      <c r="FS150" s="53">
        <f t="shared" si="557"/>
        <v>0</v>
      </c>
    </row>
    <row r="151" spans="1:175" x14ac:dyDescent="0.3">
      <c r="A151" s="93"/>
      <c r="B151" s="94"/>
      <c r="C151" s="94"/>
      <c r="D151" s="95"/>
      <c r="E151" s="99"/>
      <c r="F151" s="97"/>
      <c r="G151" s="98"/>
      <c r="H151" s="620"/>
      <c r="I151" s="621"/>
      <c r="J151" s="194"/>
      <c r="K151" s="630"/>
      <c r="L151" s="49">
        <f t="shared" si="558"/>
        <v>0</v>
      </c>
      <c r="M151" s="50">
        <f t="shared" si="559"/>
        <v>0</v>
      </c>
      <c r="N151" s="51">
        <f t="shared" si="560"/>
        <v>0</v>
      </c>
      <c r="O151" s="51"/>
      <c r="P151" s="51">
        <f t="shared" si="561"/>
        <v>0</v>
      </c>
      <c r="Q151" s="52"/>
      <c r="R151" s="52"/>
      <c r="S151" s="52"/>
      <c r="T151" s="52"/>
      <c r="U151" s="52"/>
      <c r="V151" s="53">
        <f t="shared" si="562"/>
        <v>0</v>
      </c>
      <c r="W151" s="51">
        <f t="shared" si="563"/>
        <v>0</v>
      </c>
      <c r="X151" s="51">
        <f t="shared" si="564"/>
        <v>0</v>
      </c>
      <c r="Y151" s="51">
        <f t="shared" si="565"/>
        <v>0</v>
      </c>
      <c r="Z151" s="51">
        <f t="shared" si="566"/>
        <v>0</v>
      </c>
      <c r="AA151" s="51">
        <f t="shared" si="567"/>
        <v>0</v>
      </c>
      <c r="AB151" s="51">
        <f t="shared" si="568"/>
        <v>0</v>
      </c>
      <c r="AC151" s="51">
        <f t="shared" si="569"/>
        <v>0</v>
      </c>
      <c r="AD151" s="51">
        <f t="shared" si="570"/>
        <v>0</v>
      </c>
      <c r="AE151" s="51">
        <f t="shared" si="571"/>
        <v>0</v>
      </c>
      <c r="AF151" s="51">
        <f t="shared" si="572"/>
        <v>0</v>
      </c>
      <c r="AG151" s="51">
        <f t="shared" si="573"/>
        <v>0</v>
      </c>
      <c r="AH151" s="54">
        <f t="shared" si="574"/>
        <v>0</v>
      </c>
      <c r="AI151" s="55">
        <f t="shared" si="575"/>
        <v>0</v>
      </c>
      <c r="AJ151" s="56">
        <f>IF(AND($E151&lt;&gt;0,$F151&gt;0,YEAR($F151)&gt;=Preisindex!$A$6,YEAR(AE$4)&gt;=YEAR($F151),AND($K151&lt;&gt;"a",$K151&lt;&gt;"b",$K151&lt;&gt;"g",$K151&lt;&gt;"k")),1,IF(AND($E151&lt;&gt;0,$F151&gt;0,YEAR($F151)&gt;=Preisindex!$A$6,YEAR(AE$4)&gt;=YEAR($F151),$K151="a"),ROUND(VLOOKUP(AJ$4,Preisindex,5,FALSE)/VLOOKUP(YEAR($F151),Preisindex,5,FALSE),2),IF(AND($E151&lt;&gt;0,$F151&gt;0,YEAR($F151)&gt;=Preisindex!$A$6,YEAR(AE$4)&gt;=YEAR($F151),$K151="b"),ROUND(VLOOKUP(AJ$4,Preisindex,3,FALSE)/VLOOKUP(YEAR($F151),Preisindex,3,FALSE),2),IF(AND($E151&lt;&gt;0,$F151&gt;0,YEAR($F151)&gt;=Preisindex!$A$6,YEAR(AE$4)&gt;=YEAR($F151),$K151="g"),ROUND(VLOOKUP(AJ$4,Preisindex,4,FALSE)/VLOOKUP(YEAR($F151),Preisindex,4,FALSE),2),IF(AND($E151&lt;&gt;0,$F151&gt;0,YEAR($F151)&gt;=Preisindex!$A$6,YEAR(AE$4)&gt;=YEAR($F151),$K151="k"),ROUND(VLOOKUP(AJ$4,Preisindex,2,FALSE)/VLOOKUP(YEAR($F151),Preisindex,2,FALSE),2),0)))))</f>
        <v>0</v>
      </c>
      <c r="AK151" s="56">
        <f>IF(AND($E151&lt;&gt;0,$F151&gt;0,YEAR($F151)&lt;Preisindex!$A$6,YEAR(AE$4)&gt;=YEAR($F151),AND($K151&lt;&gt;"a",$K151&lt;&gt;"b",$K151&lt;&gt;"g",$K151&lt;&gt;"k")),1,IF(AND($E151&lt;&gt;0,$F151&gt;0,YEAR($F151)&lt;Preisindex!$A$6,YEAR(AE$4)&gt;=YEAR($F151),$K151="a"),ROUND(VLOOKUP(AJ$4,Preisindex,5,FALSE)/VLOOKUP(Preisindex!$A$6,Preisindex,5,FALSE),2),IF(AND($E151&lt;&gt;0,$F151&gt;0,YEAR($F151)&lt;Preisindex!$A$6,YEAR(AE$4)&gt;=YEAR($F151),$K151="b"),ROUND(VLOOKUP(AJ$4,Preisindex,3,FALSE)/VLOOKUP(Preisindex!$A$6,Preisindex,3,FALSE),2),IF(AND($E151&lt;&gt;0,$F151&gt;0,YEAR($F151)&lt;Preisindex!$A$6,YEAR(AE$4)&gt;=YEAR($F151),$K151="g"),ROUND(VLOOKUP(AJ$4,Preisindex,4,FALSE)/VLOOKUP(Preisindex!$A$6,Preisindex,4,FALSE),2),IF(AND($E151&lt;&gt;0,$F151&gt;0,YEAR($F151)&lt;Preisindex!$A$6,YEAR(AE$4)&gt;=YEAR($F151),$K151="k"),ROUND(VLOOKUP(AJ$4,Preisindex,2,FALSE)/VLOOKUP(Preisindex!$A$6,Preisindex,2,FALSE),2),0)))))</f>
        <v>0</v>
      </c>
      <c r="AL151" s="51">
        <f>IF(AND($E151&lt;&gt;0,$F151&gt;0,YEAR($F151)&lt;=AJ$4,YEAR($F151)&gt;=Preisindex!$A$6),ROUND($E151*AJ151,2),IF(AND($E151&lt;&gt;0,$F151&gt;0,YEAR($F151)&lt;=AJ$4,YEAR($F151)&lt;Preisindex!$A$6),ROUND($E151*AK151,2),0))</f>
        <v>0</v>
      </c>
      <c r="AM151" s="53">
        <f t="shared" si="576"/>
        <v>0</v>
      </c>
      <c r="AN151" s="51">
        <f t="shared" si="577"/>
        <v>0</v>
      </c>
      <c r="AO151" s="51">
        <f t="shared" si="579"/>
        <v>0</v>
      </c>
      <c r="AP151" s="51">
        <f t="shared" si="493"/>
        <v>0</v>
      </c>
      <c r="AQ151" s="51">
        <f t="shared" si="580"/>
        <v>0</v>
      </c>
      <c r="AR151" s="51">
        <f t="shared" si="494"/>
        <v>0</v>
      </c>
      <c r="AS151" s="51">
        <f t="shared" si="581"/>
        <v>0</v>
      </c>
      <c r="AT151" s="51">
        <f t="shared" si="495"/>
        <v>0</v>
      </c>
      <c r="AU151" s="51">
        <f t="shared" si="582"/>
        <v>0</v>
      </c>
      <c r="AV151" s="51">
        <f t="shared" si="496"/>
        <v>0</v>
      </c>
      <c r="AW151" s="51">
        <f t="shared" si="583"/>
        <v>0</v>
      </c>
      <c r="AX151" s="51">
        <f t="shared" si="497"/>
        <v>0</v>
      </c>
      <c r="AY151" s="54">
        <f t="shared" si="498"/>
        <v>0</v>
      </c>
      <c r="AZ151" s="55">
        <f t="shared" si="499"/>
        <v>0</v>
      </c>
      <c r="BA151" s="56">
        <f>IF(AND($E151&lt;&gt;0,$F151&gt;0,YEAR($F151)&gt;=Preisindex!$A$6,YEAR(AV$4)&gt;=YEAR($F151),AND($K151&lt;&gt;"a",$K151&lt;&gt;"b",$K151&lt;&gt;"g",$K151&lt;&gt;"k")),1,IF(AND($E151&lt;&gt;0,$F151&gt;0,YEAR($F151)&gt;=Preisindex!$A$6,YEAR(AV$4)&gt;=YEAR($F151),$K151="a"),ROUND(VLOOKUP(BA$4,Preisindex,5,FALSE)/VLOOKUP(YEAR($F151),Preisindex,5,FALSE),2),IF(AND($E151&lt;&gt;0,$F151&gt;0,YEAR($F151)&gt;=Preisindex!$A$6,YEAR(AV$4)&gt;=YEAR($F151),$K151="b"),ROUND(VLOOKUP(BA$4,Preisindex,3,FALSE)/VLOOKUP(YEAR($F151),Preisindex,3,FALSE),2),IF(AND($E151&lt;&gt;0,$F151&gt;0,YEAR($F151)&gt;=Preisindex!$A$6,YEAR(AV$4)&gt;=YEAR($F151),$K151="g"),ROUND(VLOOKUP(BA$4,Preisindex,4,FALSE)/VLOOKUP(YEAR($F151),Preisindex,4,FALSE),2),IF(AND($E151&lt;&gt;0,$F151&gt;0,YEAR($F151)&gt;=Preisindex!$A$6,YEAR(AV$4)&gt;=YEAR($F151),$K151="k"),ROUND(VLOOKUP(BA$4,Preisindex,2,FALSE)/VLOOKUP(YEAR($F151),Preisindex,2,FALSE),2),0)))))</f>
        <v>0</v>
      </c>
      <c r="BB151" s="56">
        <f>IF(AND($E151&lt;&gt;0,$F151&gt;0,YEAR($F151)&lt;Preisindex!$A$6,YEAR(AV$4)&gt;=YEAR($F151),AND($K151&lt;&gt;"a",$K151&lt;&gt;"b",$K151&lt;&gt;"g",$K151&lt;&gt;"k")),1,IF(AND($E151&lt;&gt;0,$F151&gt;0,YEAR($F151)&lt;Preisindex!$A$6,YEAR(AV$4)&gt;=YEAR($F151),$K151="a"),ROUND(VLOOKUP(BA$4,Preisindex,5,FALSE)/VLOOKUP(Preisindex!$A$6,Preisindex,5,FALSE),2),IF(AND($E151&lt;&gt;0,$F151&gt;0,YEAR($F151)&lt;Preisindex!$A$6,YEAR(AV$4)&gt;=YEAR($F151),$K151="b"),ROUND(VLOOKUP(BA$4,Preisindex,3,FALSE)/VLOOKUP(Preisindex!$A$6,Preisindex,3,FALSE),2),IF(AND($E151&lt;&gt;0,$F151&gt;0,YEAR($F151)&lt;Preisindex!$A$6,YEAR(AV$4)&gt;=YEAR($F151),$K151="g"),ROUND(VLOOKUP(BA$4,Preisindex,4,FALSE)/VLOOKUP(Preisindex!$A$6,Preisindex,4,FALSE),2),IF(AND($E151&lt;&gt;0,$F151&gt;0,YEAR($F151)&lt;Preisindex!$A$6,YEAR(AV$4)&gt;=YEAR($F151),$K151="k"),ROUND(VLOOKUP(BA$4,Preisindex,2,FALSE)/VLOOKUP(Preisindex!$A$6,Preisindex,2,FALSE),2),0)))))</f>
        <v>0</v>
      </c>
      <c r="BC151" s="51">
        <f>IF(AND($E151&lt;&gt;0,$F151&gt;0,YEAR($F151)&lt;=BA$4,YEAR($F151)&gt;=Preisindex!$A$6),ROUND($E151*BA151,2),IF(AND($E151&lt;&gt;0,$F151&gt;0,YEAR($F151)&lt;=BA$4,YEAR($F151)&lt;Preisindex!$A$6),ROUND($E151*BB151,2),0))</f>
        <v>0</v>
      </c>
      <c r="BD151" s="53">
        <f t="shared" si="500"/>
        <v>0</v>
      </c>
      <c r="BE151" s="51">
        <f t="shared" si="577"/>
        <v>0</v>
      </c>
      <c r="BF151" s="51">
        <f t="shared" si="584"/>
        <v>0</v>
      </c>
      <c r="BG151" s="51">
        <f t="shared" si="501"/>
        <v>0</v>
      </c>
      <c r="BH151" s="51">
        <f t="shared" si="585"/>
        <v>0</v>
      </c>
      <c r="BI151" s="51">
        <f t="shared" si="502"/>
        <v>0</v>
      </c>
      <c r="BJ151" s="51">
        <f t="shared" si="586"/>
        <v>0</v>
      </c>
      <c r="BK151" s="51">
        <f t="shared" si="503"/>
        <v>0</v>
      </c>
      <c r="BL151" s="51">
        <f t="shared" si="587"/>
        <v>0</v>
      </c>
      <c r="BM151" s="51">
        <f t="shared" si="504"/>
        <v>0</v>
      </c>
      <c r="BN151" s="51">
        <f t="shared" si="588"/>
        <v>0</v>
      </c>
      <c r="BO151" s="51">
        <f t="shared" si="505"/>
        <v>0</v>
      </c>
      <c r="BP151" s="54">
        <f t="shared" si="506"/>
        <v>0</v>
      </c>
      <c r="BQ151" s="55">
        <f t="shared" si="507"/>
        <v>0</v>
      </c>
      <c r="BR151" s="56">
        <f>IF(AND($E151&lt;&gt;0,$F151&gt;0,YEAR($F151)&gt;=Preisindex!$A$6,YEAR(BM$4)&gt;=YEAR($F151),AND($K151&lt;&gt;"a",$K151&lt;&gt;"b",$K151&lt;&gt;"g",$K151&lt;&gt;"k")),1,IF(AND($E151&lt;&gt;0,$F151&gt;0,YEAR($F151)&gt;=Preisindex!$A$6,YEAR(BM$4)&gt;=YEAR($F151),$K151="a"),ROUND(VLOOKUP(BR$4,Preisindex,5,FALSE)/VLOOKUP(YEAR($F151),Preisindex,5,FALSE),2),IF(AND($E151&lt;&gt;0,$F151&gt;0,YEAR($F151)&gt;=Preisindex!$A$6,YEAR(BM$4)&gt;=YEAR($F151),$K151="b"),ROUND(VLOOKUP(BR$4,Preisindex,3,FALSE)/VLOOKUP(YEAR($F151),Preisindex,3,FALSE),2),IF(AND($E151&lt;&gt;0,$F151&gt;0,YEAR($F151)&gt;=Preisindex!$A$6,YEAR(BM$4)&gt;=YEAR($F151),$K151="g"),ROUND(VLOOKUP(BR$4,Preisindex,4,FALSE)/VLOOKUP(YEAR($F151),Preisindex,4,FALSE),2),IF(AND($E151&lt;&gt;0,$F151&gt;0,YEAR($F151)&gt;=Preisindex!$A$6,YEAR(BM$4)&gt;=YEAR($F151),$K151="k"),ROUND(VLOOKUP(BR$4,Preisindex,2,FALSE)/VLOOKUP(YEAR($F151),Preisindex,2,FALSE),2),0)))))</f>
        <v>0</v>
      </c>
      <c r="BS151" s="56">
        <f>IF(AND($E151&lt;&gt;0,$F151&gt;0,YEAR($F151)&lt;Preisindex!$A$6,YEAR(BM$4)&gt;=YEAR($F151),AND($K151&lt;&gt;"a",$K151&lt;&gt;"b",$K151&lt;&gt;"g",$K151&lt;&gt;"k")),1,IF(AND($E151&lt;&gt;0,$F151&gt;0,YEAR($F151)&lt;Preisindex!$A$6,YEAR(BM$4)&gt;=YEAR($F151),$K151="a"),ROUND(VLOOKUP(BR$4,Preisindex,5,FALSE)/VLOOKUP(Preisindex!$A$6,Preisindex,5,FALSE),2),IF(AND($E151&lt;&gt;0,$F151&gt;0,YEAR($F151)&lt;Preisindex!$A$6,YEAR(BM$4)&gt;=YEAR($F151),$K151="b"),ROUND(VLOOKUP(BR$4,Preisindex,3,FALSE)/VLOOKUP(Preisindex!$A$6,Preisindex,3,FALSE),2),IF(AND($E151&lt;&gt;0,$F151&gt;0,YEAR($F151)&lt;Preisindex!$A$6,YEAR(BM$4)&gt;=YEAR($F151),$K151="g"),ROUND(VLOOKUP(BR$4,Preisindex,4,FALSE)/VLOOKUP(Preisindex!$A$6,Preisindex,4,FALSE),2),IF(AND($E151&lt;&gt;0,$F151&gt;0,YEAR($F151)&lt;Preisindex!$A$6,YEAR(BM$4)&gt;=YEAR($F151),$K151="k"),ROUND(VLOOKUP(BR$4,Preisindex,2,FALSE)/VLOOKUP(Preisindex!$A$6,Preisindex,2,FALSE),2),0)))))</f>
        <v>0</v>
      </c>
      <c r="BT151" s="51">
        <f>IF(AND($E151&lt;&gt;0,$F151&gt;0,YEAR($F151)&lt;=BR$4,YEAR($F151)&gt;=Preisindex!$A$6),ROUND($E151*BR151,2),IF(AND($E151&lt;&gt;0,$F151&gt;0,YEAR($F151)&lt;=BR$4,YEAR($F151)&lt;Preisindex!$A$6),ROUND($E151*BS151,2),0))</f>
        <v>0</v>
      </c>
      <c r="BU151" s="53">
        <f t="shared" si="508"/>
        <v>0</v>
      </c>
      <c r="BV151" s="51">
        <f t="shared" si="577"/>
        <v>0</v>
      </c>
      <c r="BW151" s="51">
        <f t="shared" si="589"/>
        <v>0</v>
      </c>
      <c r="BX151" s="51">
        <f t="shared" si="509"/>
        <v>0</v>
      </c>
      <c r="BY151" s="51">
        <f t="shared" si="590"/>
        <v>0</v>
      </c>
      <c r="BZ151" s="51">
        <f t="shared" si="510"/>
        <v>0</v>
      </c>
      <c r="CA151" s="51">
        <f t="shared" si="591"/>
        <v>0</v>
      </c>
      <c r="CB151" s="51">
        <f t="shared" si="511"/>
        <v>0</v>
      </c>
      <c r="CC151" s="51">
        <f t="shared" si="592"/>
        <v>0</v>
      </c>
      <c r="CD151" s="51">
        <f t="shared" si="512"/>
        <v>0</v>
      </c>
      <c r="CE151" s="51">
        <f t="shared" si="593"/>
        <v>0</v>
      </c>
      <c r="CF151" s="51">
        <f t="shared" si="513"/>
        <v>0</v>
      </c>
      <c r="CG151" s="54">
        <f t="shared" si="514"/>
        <v>0</v>
      </c>
      <c r="CH151" s="55">
        <f t="shared" si="515"/>
        <v>0</v>
      </c>
      <c r="CI151" s="56">
        <f>IF(AND($E151&lt;&gt;0,$F151&gt;0,YEAR($F151)&gt;=Preisindex!$A$6,YEAR(CD$4)&gt;=YEAR($F151),AND($K151&lt;&gt;"a",$K151&lt;&gt;"b",$K151&lt;&gt;"g",$K151&lt;&gt;"k")),1,IF(AND($E151&lt;&gt;0,$F151&gt;0,YEAR($F151)&gt;=Preisindex!$A$6,YEAR(CD$4)&gt;=YEAR($F151),$K151="a"),ROUND(VLOOKUP(CI$4,Preisindex,5,FALSE)/VLOOKUP(YEAR($F151),Preisindex,5,FALSE),2),IF(AND($E151&lt;&gt;0,$F151&gt;0,YEAR($F151)&gt;=Preisindex!$A$6,YEAR(CD$4)&gt;=YEAR($F151),$K151="b"),ROUND(VLOOKUP(CI$4,Preisindex,3,FALSE)/VLOOKUP(YEAR($F151),Preisindex,3,FALSE),2),IF(AND($E151&lt;&gt;0,$F151&gt;0,YEAR($F151)&gt;=Preisindex!$A$6,YEAR(CD$4)&gt;=YEAR($F151),$K151="g"),ROUND(VLOOKUP(CI$4,Preisindex,4,FALSE)/VLOOKUP(YEAR($F151),Preisindex,4,FALSE),2),IF(AND($E151&lt;&gt;0,$F151&gt;0,YEAR($F151)&gt;=Preisindex!$A$6,YEAR(CD$4)&gt;=YEAR($F151),$K151="k"),ROUND(VLOOKUP(CI$4,Preisindex,2,FALSE)/VLOOKUP(YEAR($F151),Preisindex,2,FALSE),2),0)))))</f>
        <v>0</v>
      </c>
      <c r="CJ151" s="56">
        <f>IF(AND($E151&lt;&gt;0,$F151&gt;0,YEAR($F151)&lt;Preisindex!$A$6,YEAR(CD$4)&gt;=YEAR($F151),AND($K151&lt;&gt;"a",$K151&lt;&gt;"b",$K151&lt;&gt;"g",$K151&lt;&gt;"k")),1,IF(AND($E151&lt;&gt;0,$F151&gt;0,YEAR($F151)&lt;Preisindex!$A$6,YEAR(CD$4)&gt;=YEAR($F151),$K151="a"),ROUND(VLOOKUP(CI$4,Preisindex,5,FALSE)/VLOOKUP(Preisindex!$A$6,Preisindex,5,FALSE),2),IF(AND($E151&lt;&gt;0,$F151&gt;0,YEAR($F151)&lt;Preisindex!$A$6,YEAR(CD$4)&gt;=YEAR($F151),$K151="b"),ROUND(VLOOKUP(CI$4,Preisindex,3,FALSE)/VLOOKUP(Preisindex!$A$6,Preisindex,3,FALSE),2),IF(AND($E151&lt;&gt;0,$F151&gt;0,YEAR($F151)&lt;Preisindex!$A$6,YEAR(CD$4)&gt;=YEAR($F151),$K151="g"),ROUND(VLOOKUP(CI$4,Preisindex,4,FALSE)/VLOOKUP(Preisindex!$A$6,Preisindex,4,FALSE),2),IF(AND($E151&lt;&gt;0,$F151&gt;0,YEAR($F151)&lt;Preisindex!$A$6,YEAR(CD$4)&gt;=YEAR($F151),$K151="k"),ROUND(VLOOKUP(CI$4,Preisindex,2,FALSE)/VLOOKUP(Preisindex!$A$6,Preisindex,2,FALSE),2),0)))))</f>
        <v>0</v>
      </c>
      <c r="CK151" s="51">
        <f>IF(AND($E151&lt;&gt;0,$F151&gt;0,YEAR($F151)&lt;=CI$4,YEAR($F151)&gt;=Preisindex!$A$6),ROUND($E151*CI151,2),IF(AND($E151&lt;&gt;0,$F151&gt;0,YEAR($F151)&lt;=CI$4,YEAR($F151)&lt;Preisindex!$A$6),ROUND($E151*CJ151,2),0))</f>
        <v>0</v>
      </c>
      <c r="CL151" s="53">
        <f t="shared" si="516"/>
        <v>0</v>
      </c>
      <c r="CM151" s="51">
        <f t="shared" si="577"/>
        <v>0</v>
      </c>
      <c r="CN151" s="51">
        <f t="shared" si="594"/>
        <v>0</v>
      </c>
      <c r="CO151" s="51">
        <f t="shared" si="517"/>
        <v>0</v>
      </c>
      <c r="CP151" s="51">
        <f t="shared" si="595"/>
        <v>0</v>
      </c>
      <c r="CQ151" s="51">
        <f t="shared" si="518"/>
        <v>0</v>
      </c>
      <c r="CR151" s="51">
        <f t="shared" si="596"/>
        <v>0</v>
      </c>
      <c r="CS151" s="51">
        <f t="shared" si="519"/>
        <v>0</v>
      </c>
      <c r="CT151" s="51">
        <f t="shared" si="597"/>
        <v>0</v>
      </c>
      <c r="CU151" s="51">
        <f t="shared" si="520"/>
        <v>0</v>
      </c>
      <c r="CV151" s="51">
        <f t="shared" si="598"/>
        <v>0</v>
      </c>
      <c r="CW151" s="51">
        <f t="shared" si="521"/>
        <v>0</v>
      </c>
      <c r="CX151" s="54">
        <f t="shared" si="522"/>
        <v>0</v>
      </c>
      <c r="CY151" s="55">
        <f t="shared" si="523"/>
        <v>0</v>
      </c>
      <c r="CZ151" s="56">
        <f>IF(AND($E151&lt;&gt;0,$F151&gt;0,YEAR($F151)&gt;=Preisindex!$A$6,YEAR(CU$4)&gt;=YEAR($F151),AND($K151&lt;&gt;"a",$K151&lt;&gt;"b",$K151&lt;&gt;"g",$K151&lt;&gt;"k")),1,IF(AND($E151&lt;&gt;0,$F151&gt;0,YEAR($F151)&gt;=Preisindex!$A$6,YEAR(CU$4)&gt;=YEAR($F151),$K151="a"),ROUND(VLOOKUP(CZ$4,Preisindex,5,FALSE)/VLOOKUP(YEAR($F151),Preisindex,5,FALSE),2),IF(AND($E151&lt;&gt;0,$F151&gt;0,YEAR($F151)&gt;=Preisindex!$A$6,YEAR(CU$4)&gt;=YEAR($F151),$K151="b"),ROUND(VLOOKUP(CZ$4,Preisindex,3,FALSE)/VLOOKUP(YEAR($F151),Preisindex,3,FALSE),2),IF(AND($E151&lt;&gt;0,$F151&gt;0,YEAR($F151)&gt;=Preisindex!$A$6,YEAR(CU$4)&gt;=YEAR($F151),$K151="g"),ROUND(VLOOKUP(CZ$4,Preisindex,4,FALSE)/VLOOKUP(YEAR($F151),Preisindex,4,FALSE),2),IF(AND($E151&lt;&gt;0,$F151&gt;0,YEAR($F151)&gt;=Preisindex!$A$6,YEAR(CU$4)&gt;=YEAR($F151),$K151="k"),ROUND(VLOOKUP(CZ$4,Preisindex,2,FALSE)/VLOOKUP(YEAR($F151),Preisindex,2,FALSE),2),0)))))</f>
        <v>0</v>
      </c>
      <c r="DA151" s="56">
        <f>IF(AND($E151&lt;&gt;0,$F151&gt;0,YEAR($F151)&lt;Preisindex!$A$6,YEAR(CU$4)&gt;=YEAR($F151),AND($K151&lt;&gt;"a",$K151&lt;&gt;"b",$K151&lt;&gt;"g",$K151&lt;&gt;"k")),1,IF(AND($E151&lt;&gt;0,$F151&gt;0,YEAR($F151)&lt;Preisindex!$A$6,YEAR(CU$4)&gt;=YEAR($F151),$K151="a"),ROUND(VLOOKUP(CZ$4,Preisindex,5,FALSE)/VLOOKUP(Preisindex!$A$6,Preisindex,5,FALSE),2),IF(AND($E151&lt;&gt;0,$F151&gt;0,YEAR($F151)&lt;Preisindex!$A$6,YEAR(CU$4)&gt;=YEAR($F151),$K151="b"),ROUND(VLOOKUP(CZ$4,Preisindex,3,FALSE)/VLOOKUP(Preisindex!$A$6,Preisindex,3,FALSE),2),IF(AND($E151&lt;&gt;0,$F151&gt;0,YEAR($F151)&lt;Preisindex!$A$6,YEAR(CU$4)&gt;=YEAR($F151),$K151="g"),ROUND(VLOOKUP(CZ$4,Preisindex,4,FALSE)/VLOOKUP(Preisindex!$A$6,Preisindex,4,FALSE),2),IF(AND($E151&lt;&gt;0,$F151&gt;0,YEAR($F151)&lt;Preisindex!$A$6,YEAR(CU$4)&gt;=YEAR($F151),$K151="k"),ROUND(VLOOKUP(CZ$4,Preisindex,2,FALSE)/VLOOKUP(Preisindex!$A$6,Preisindex,2,FALSE),2),0)))))</f>
        <v>0</v>
      </c>
      <c r="DB151" s="51">
        <f>IF(AND($E151&lt;&gt;0,$F151&gt;0,YEAR($F151)&lt;=CZ$4,YEAR($F151)&gt;=Preisindex!$A$6),ROUND($E151*CZ151,2),IF(AND($E151&lt;&gt;0,$F151&gt;0,YEAR($F151)&lt;=CZ$4,YEAR($F151)&lt;Preisindex!$A$6),ROUND($E151*DA151,2),0))</f>
        <v>0</v>
      </c>
      <c r="DC151" s="53">
        <f t="shared" si="524"/>
        <v>0</v>
      </c>
      <c r="DD151" s="51">
        <f t="shared" si="578"/>
        <v>0</v>
      </c>
      <c r="DE151" s="51">
        <f t="shared" si="599"/>
        <v>0</v>
      </c>
      <c r="DF151" s="51">
        <f t="shared" si="526"/>
        <v>0</v>
      </c>
      <c r="DG151" s="51">
        <f t="shared" si="600"/>
        <v>0</v>
      </c>
      <c r="DH151" s="51">
        <f t="shared" si="527"/>
        <v>0</v>
      </c>
      <c r="DI151" s="51">
        <f t="shared" si="601"/>
        <v>0</v>
      </c>
      <c r="DJ151" s="51">
        <f t="shared" si="528"/>
        <v>0</v>
      </c>
      <c r="DK151" s="51">
        <f t="shared" si="602"/>
        <v>0</v>
      </c>
      <c r="DL151" s="51">
        <f t="shared" si="529"/>
        <v>0</v>
      </c>
      <c r="DM151" s="51">
        <f t="shared" si="603"/>
        <v>0</v>
      </c>
      <c r="DN151" s="51">
        <f t="shared" si="530"/>
        <v>0</v>
      </c>
      <c r="DO151" s="54">
        <f t="shared" si="531"/>
        <v>0</v>
      </c>
      <c r="DP151" s="55">
        <f t="shared" si="532"/>
        <v>0</v>
      </c>
      <c r="DQ151" s="56">
        <f>IF(AND($E151&lt;&gt;0,$F151&gt;0,YEAR($F151)&gt;=Preisindex!$A$6,YEAR(DL$4)&gt;=YEAR($F151),AND($K151&lt;&gt;"a",$K151&lt;&gt;"b",$K151&lt;&gt;"g",$K151&lt;&gt;"k")),1,IF(AND($E151&lt;&gt;0,$F151&gt;0,YEAR($F151)&gt;=Preisindex!$A$6,YEAR(DL$4)&gt;=YEAR($F151),$K151="a"),ROUND(VLOOKUP(DQ$4,Preisindex,5,FALSE)/VLOOKUP(YEAR($F151),Preisindex,5,FALSE),2),IF(AND($E151&lt;&gt;0,$F151&gt;0,YEAR($F151)&gt;=Preisindex!$A$6,YEAR(DL$4)&gt;=YEAR($F151),$K151="b"),ROUND(VLOOKUP(DQ$4,Preisindex,3,FALSE)/VLOOKUP(YEAR($F151),Preisindex,3,FALSE),2),IF(AND($E151&lt;&gt;0,$F151&gt;0,YEAR($F151)&gt;=Preisindex!$A$6,YEAR(DL$4)&gt;=YEAR($F151),$K151="g"),ROUND(VLOOKUP(DQ$4,Preisindex,4,FALSE)/VLOOKUP(YEAR($F151),Preisindex,4,FALSE),2),IF(AND($E151&lt;&gt;0,$F151&gt;0,YEAR($F151)&gt;=Preisindex!$A$6,YEAR(DL$4)&gt;=YEAR($F151),$K151="k"),ROUND(VLOOKUP(DQ$4,Preisindex,2,FALSE)/VLOOKUP(YEAR($F151),Preisindex,2,FALSE),2),0)))))</f>
        <v>0</v>
      </c>
      <c r="DR151" s="56">
        <f>IF(AND($E151&lt;&gt;0,$F151&gt;0,YEAR($F151)&lt;Preisindex!$A$6,YEAR(DL$4)&gt;=YEAR($F151),AND($K151&lt;&gt;"a",$K151&lt;&gt;"b",$K151&lt;&gt;"g",$K151&lt;&gt;"k")),1,IF(AND($E151&lt;&gt;0,$F151&gt;0,YEAR($F151)&lt;Preisindex!$A$6,YEAR(DL$4)&gt;=YEAR($F151),$K151="a"),ROUND(VLOOKUP(DQ$4,Preisindex,5,FALSE)/VLOOKUP(Preisindex!$A$6,Preisindex,5,FALSE),2),IF(AND($E151&lt;&gt;0,$F151&gt;0,YEAR($F151)&lt;Preisindex!$A$6,YEAR(DL$4)&gt;=YEAR($F151),$K151="b"),ROUND(VLOOKUP(DQ$4,Preisindex,3,FALSE)/VLOOKUP(Preisindex!$A$6,Preisindex,3,FALSE),2),IF(AND($E151&lt;&gt;0,$F151&gt;0,YEAR($F151)&lt;Preisindex!$A$6,YEAR(DL$4)&gt;=YEAR($F151),$K151="g"),ROUND(VLOOKUP(DQ$4,Preisindex,4,FALSE)/VLOOKUP(Preisindex!$A$6,Preisindex,4,FALSE),2),IF(AND($E151&lt;&gt;0,$F151&gt;0,YEAR($F151)&lt;Preisindex!$A$6,YEAR(DL$4)&gt;=YEAR($F151),$K151="k"),ROUND(VLOOKUP(DQ$4,Preisindex,2,FALSE)/VLOOKUP(Preisindex!$A$6,Preisindex,2,FALSE),2),0)))))</f>
        <v>0</v>
      </c>
      <c r="DS151" s="51">
        <f>IF(AND($E151&lt;&gt;0,$F151&gt;0,YEAR($F151)&lt;=DQ$4,YEAR($F151)&gt;=Preisindex!$A$6),ROUND($E151*DQ151,2),IF(AND($E151&lt;&gt;0,$F151&gt;0,YEAR($F151)&lt;=DQ$4,YEAR($F151)&lt;Preisindex!$A$6),ROUND($E151*DR151,2),0))</f>
        <v>0</v>
      </c>
      <c r="DT151" s="53">
        <f t="shared" si="533"/>
        <v>0</v>
      </c>
      <c r="DU151" s="51">
        <f t="shared" si="578"/>
        <v>0</v>
      </c>
      <c r="DV151" s="51">
        <f t="shared" si="604"/>
        <v>0</v>
      </c>
      <c r="DW151" s="51">
        <f t="shared" si="534"/>
        <v>0</v>
      </c>
      <c r="DX151" s="51">
        <f t="shared" si="605"/>
        <v>0</v>
      </c>
      <c r="DY151" s="51">
        <f t="shared" si="535"/>
        <v>0</v>
      </c>
      <c r="DZ151" s="51">
        <f t="shared" si="606"/>
        <v>0</v>
      </c>
      <c r="EA151" s="51">
        <f t="shared" si="536"/>
        <v>0</v>
      </c>
      <c r="EB151" s="51">
        <f t="shared" si="607"/>
        <v>0</v>
      </c>
      <c r="EC151" s="51">
        <f t="shared" si="537"/>
        <v>0</v>
      </c>
      <c r="ED151" s="51">
        <f t="shared" si="608"/>
        <v>0</v>
      </c>
      <c r="EE151" s="51">
        <f t="shared" si="538"/>
        <v>0</v>
      </c>
      <c r="EF151" s="54">
        <f t="shared" si="539"/>
        <v>0</v>
      </c>
      <c r="EG151" s="55">
        <f t="shared" si="540"/>
        <v>0</v>
      </c>
      <c r="EH151" s="56">
        <f>IF(AND($E151&lt;&gt;0,$F151&gt;0,YEAR($F151)&gt;=Preisindex!$A$6,YEAR(EC$4)&gt;=YEAR($F151),AND($K151&lt;&gt;"a",$K151&lt;&gt;"b",$K151&lt;&gt;"g",$K151&lt;&gt;"k")),1,IF(AND($E151&lt;&gt;0,$F151&gt;0,YEAR($F151)&gt;=Preisindex!$A$6,YEAR(EC$4)&gt;=YEAR($F151),$K151="a"),ROUND(VLOOKUP(EH$4,Preisindex,5,FALSE)/VLOOKUP(YEAR($F151),Preisindex,5,FALSE),2),IF(AND($E151&lt;&gt;0,$F151&gt;0,YEAR($F151)&gt;=Preisindex!$A$6,YEAR(EC$4)&gt;=YEAR($F151),$K151="b"),ROUND(VLOOKUP(EH$4,Preisindex,3,FALSE)/VLOOKUP(YEAR($F151),Preisindex,3,FALSE),2),IF(AND($E151&lt;&gt;0,$F151&gt;0,YEAR($F151)&gt;=Preisindex!$A$6,YEAR(EC$4)&gt;=YEAR($F151),$K151="g"),ROUND(VLOOKUP(EH$4,Preisindex,4,FALSE)/VLOOKUP(YEAR($F151),Preisindex,4,FALSE),2),IF(AND($E151&lt;&gt;0,$F151&gt;0,YEAR($F151)&gt;=Preisindex!$A$6,YEAR(EC$4)&gt;=YEAR($F151),$K151="k"),ROUND(VLOOKUP(EH$4,Preisindex,2,FALSE)/VLOOKUP(YEAR($F151),Preisindex,2,FALSE),2),0)))))</f>
        <v>0</v>
      </c>
      <c r="EI151" s="56">
        <f>IF(AND($E151&lt;&gt;0,$F151&gt;0,YEAR($F151)&lt;Preisindex!$A$6,YEAR(EC$4)&gt;=YEAR($F151),AND($K151&lt;&gt;"a",$K151&lt;&gt;"b",$K151&lt;&gt;"g",$K151&lt;&gt;"k")),1,IF(AND($E151&lt;&gt;0,$F151&gt;0,YEAR($F151)&lt;Preisindex!$A$6,YEAR(EC$4)&gt;=YEAR($F151),$K151="a"),ROUND(VLOOKUP(EH$4,Preisindex,5,FALSE)/VLOOKUP(Preisindex!$A$6,Preisindex,5,FALSE),2),IF(AND($E151&lt;&gt;0,$F151&gt;0,YEAR($F151)&lt;Preisindex!$A$6,YEAR(EC$4)&gt;=YEAR($F151),$K151="b"),ROUND(VLOOKUP(EH$4,Preisindex,3,FALSE)/VLOOKUP(Preisindex!$A$6,Preisindex,3,FALSE),2),IF(AND($E151&lt;&gt;0,$F151&gt;0,YEAR($F151)&lt;Preisindex!$A$6,YEAR(EC$4)&gt;=YEAR($F151),$K151="g"),ROUND(VLOOKUP(EH$4,Preisindex,4,FALSE)/VLOOKUP(Preisindex!$A$6,Preisindex,4,FALSE),2),IF(AND($E151&lt;&gt;0,$F151&gt;0,YEAR($F151)&lt;Preisindex!$A$6,YEAR(EC$4)&gt;=YEAR($F151),$K151="k"),ROUND(VLOOKUP(EH$4,Preisindex,2,FALSE)/VLOOKUP(Preisindex!$A$6,Preisindex,2,FALSE),2),0)))))</f>
        <v>0</v>
      </c>
      <c r="EJ151" s="51">
        <f>IF(AND($E151&lt;&gt;0,$F151&gt;0,YEAR($F151)&lt;=EH$4,YEAR($F151)&gt;=Preisindex!$A$6),ROUND($E151*EH151,2),IF(AND($E151&lt;&gt;0,$F151&gt;0,YEAR($F151)&lt;=EH$4,YEAR($F151)&lt;Preisindex!$A$6),ROUND($E151*EI151,2),0))</f>
        <v>0</v>
      </c>
      <c r="EK151" s="53">
        <f t="shared" si="541"/>
        <v>0</v>
      </c>
      <c r="EL151" s="51">
        <f t="shared" si="578"/>
        <v>0</v>
      </c>
      <c r="EM151" s="51">
        <f t="shared" si="609"/>
        <v>0</v>
      </c>
      <c r="EN151" s="51">
        <f t="shared" si="542"/>
        <v>0</v>
      </c>
      <c r="EO151" s="51">
        <f t="shared" si="610"/>
        <v>0</v>
      </c>
      <c r="EP151" s="51">
        <f t="shared" si="543"/>
        <v>0</v>
      </c>
      <c r="EQ151" s="51">
        <f t="shared" si="611"/>
        <v>0</v>
      </c>
      <c r="ER151" s="51">
        <f t="shared" si="544"/>
        <v>0</v>
      </c>
      <c r="ES151" s="51">
        <f t="shared" si="612"/>
        <v>0</v>
      </c>
      <c r="ET151" s="51">
        <f t="shared" si="545"/>
        <v>0</v>
      </c>
      <c r="EU151" s="51">
        <f t="shared" si="613"/>
        <v>0</v>
      </c>
      <c r="EV151" s="51">
        <f t="shared" si="546"/>
        <v>0</v>
      </c>
      <c r="EW151" s="54">
        <f t="shared" si="547"/>
        <v>0</v>
      </c>
      <c r="EX151" s="55">
        <f t="shared" si="548"/>
        <v>0</v>
      </c>
      <c r="EY151" s="56">
        <f>IF(AND($E151&lt;&gt;0,$F151&gt;0,YEAR($F151)&gt;=Preisindex!$A$6,YEAR(ET$4)&gt;=YEAR($F151),AND($K151&lt;&gt;"a",$K151&lt;&gt;"b",$K151&lt;&gt;"g",$K151&lt;&gt;"k")),1,IF(AND($E151&lt;&gt;0,$F151&gt;0,YEAR($F151)&gt;=Preisindex!$A$6,YEAR(ET$4)&gt;=YEAR($F151),$K151="a"),ROUND(VLOOKUP(EY$4,Preisindex,5,FALSE)/VLOOKUP(YEAR($F151),Preisindex,5,FALSE),2),IF(AND($E151&lt;&gt;0,$F151&gt;0,YEAR($F151)&gt;=Preisindex!$A$6,YEAR(ET$4)&gt;=YEAR($F151),$K151="b"),ROUND(VLOOKUP(EY$4,Preisindex,3,FALSE)/VLOOKUP(YEAR($F151),Preisindex,3,FALSE),2),IF(AND($E151&lt;&gt;0,$F151&gt;0,YEAR($F151)&gt;=Preisindex!$A$6,YEAR(ET$4)&gt;=YEAR($F151),$K151="g"),ROUND(VLOOKUP(EY$4,Preisindex,4,FALSE)/VLOOKUP(YEAR($F151),Preisindex,4,FALSE),2),IF(AND($E151&lt;&gt;0,$F151&gt;0,YEAR($F151)&gt;=Preisindex!$A$6,YEAR(ET$4)&gt;=YEAR($F151),$K151="k"),ROUND(VLOOKUP(EY$4,Preisindex,2,FALSE)/VLOOKUP(YEAR($F151),Preisindex,2,FALSE),2),0)))))</f>
        <v>0</v>
      </c>
      <c r="EZ151" s="56">
        <f>IF(AND($E151&lt;&gt;0,$F151&gt;0,YEAR($F151)&lt;Preisindex!$A$6,YEAR(ET$4)&gt;=YEAR($F151),AND($K151&lt;&gt;"a",$K151&lt;&gt;"b",$K151&lt;&gt;"g",$K151&lt;&gt;"k")),1,IF(AND($E151&lt;&gt;0,$F151&gt;0,YEAR($F151)&lt;Preisindex!$A$6,YEAR(ET$4)&gt;=YEAR($F151),$K151="a"),ROUND(VLOOKUP(EY$4,Preisindex,5,FALSE)/VLOOKUP(Preisindex!$A$6,Preisindex,5,FALSE),2),IF(AND($E151&lt;&gt;0,$F151&gt;0,YEAR($F151)&lt;Preisindex!$A$6,YEAR(ET$4)&gt;=YEAR($F151),$K151="b"),ROUND(VLOOKUP(EY$4,Preisindex,3,FALSE)/VLOOKUP(Preisindex!$A$6,Preisindex,3,FALSE),2),IF(AND($E151&lt;&gt;0,$F151&gt;0,YEAR($F151)&lt;Preisindex!$A$6,YEAR(ET$4)&gt;=YEAR($F151),$K151="g"),ROUND(VLOOKUP(EY$4,Preisindex,4,FALSE)/VLOOKUP(Preisindex!$A$6,Preisindex,4,FALSE),2),IF(AND($E151&lt;&gt;0,$F151&gt;0,YEAR($F151)&lt;Preisindex!$A$6,YEAR(ET$4)&gt;=YEAR($F151),$K151="k"),ROUND(VLOOKUP(EY$4,Preisindex,2,FALSE)/VLOOKUP(Preisindex!$A$6,Preisindex,2,FALSE),2),0)))))</f>
        <v>0</v>
      </c>
      <c r="FA151" s="51">
        <f>IF(AND($E151&lt;&gt;0,$F151&gt;0,YEAR($F151)&lt;=EY$4,YEAR($F151)&gt;=Preisindex!$A$6),ROUND($E151*EY151,2),IF(AND($E151&lt;&gt;0,$F151&gt;0,YEAR($F151)&lt;=EY$4,YEAR($F151)&lt;Preisindex!$A$6),ROUND($E151*EZ151,2),0))</f>
        <v>0</v>
      </c>
      <c r="FB151" s="53">
        <f t="shared" si="549"/>
        <v>0</v>
      </c>
      <c r="FC151" s="51">
        <f t="shared" si="578"/>
        <v>0</v>
      </c>
      <c r="FD151" s="51">
        <f t="shared" si="614"/>
        <v>0</v>
      </c>
      <c r="FE151" s="51">
        <f t="shared" si="550"/>
        <v>0</v>
      </c>
      <c r="FF151" s="51">
        <f t="shared" si="615"/>
        <v>0</v>
      </c>
      <c r="FG151" s="51">
        <f t="shared" si="551"/>
        <v>0</v>
      </c>
      <c r="FH151" s="51">
        <f t="shared" si="616"/>
        <v>0</v>
      </c>
      <c r="FI151" s="51">
        <f t="shared" si="552"/>
        <v>0</v>
      </c>
      <c r="FJ151" s="51">
        <f t="shared" si="617"/>
        <v>0</v>
      </c>
      <c r="FK151" s="51">
        <f t="shared" si="553"/>
        <v>0</v>
      </c>
      <c r="FL151" s="51">
        <f t="shared" si="618"/>
        <v>0</v>
      </c>
      <c r="FM151" s="51">
        <f t="shared" si="554"/>
        <v>0</v>
      </c>
      <c r="FN151" s="54">
        <f t="shared" si="555"/>
        <v>0</v>
      </c>
      <c r="FO151" s="55">
        <f t="shared" si="556"/>
        <v>0</v>
      </c>
      <c r="FP151" s="56">
        <f>IF(AND($E151&lt;&gt;0,$F151&gt;0,YEAR($F151)&gt;=Preisindex!$A$6,YEAR(FK$4)&gt;=YEAR($F151),AND($K151&lt;&gt;"a",$K151&lt;&gt;"b",$K151&lt;&gt;"g",$K151&lt;&gt;"k")),1,IF(AND($E151&lt;&gt;0,$F151&gt;0,YEAR($F151)&gt;=Preisindex!$A$6,YEAR(FK$4)&gt;=YEAR($F151),$K151="a"),ROUND(VLOOKUP(FP$4,Preisindex,5,FALSE)/VLOOKUP(YEAR($F151),Preisindex,5,FALSE),2),IF(AND($E151&lt;&gt;0,$F151&gt;0,YEAR($F151)&gt;=Preisindex!$A$6,YEAR(FK$4)&gt;=YEAR($F151),$K151="b"),ROUND(VLOOKUP(FP$4,Preisindex,3,FALSE)/VLOOKUP(YEAR($F151),Preisindex,3,FALSE),2),IF(AND($E151&lt;&gt;0,$F151&gt;0,YEAR($F151)&gt;=Preisindex!$A$6,YEAR(FK$4)&gt;=YEAR($F151),$K151="g"),ROUND(VLOOKUP(FP$4,Preisindex,4,FALSE)/VLOOKUP(YEAR($F151),Preisindex,4,FALSE),2),IF(AND($E151&lt;&gt;0,$F151&gt;0,YEAR($F151)&gt;=Preisindex!$A$6,YEAR(FK$4)&gt;=YEAR($F151),$K151="k"),ROUND(VLOOKUP(FP$4,Preisindex,2,FALSE)/VLOOKUP(YEAR($F151),Preisindex,2,FALSE),2),0)))))</f>
        <v>0</v>
      </c>
      <c r="FQ151" s="56">
        <f>IF(AND($E151&lt;&gt;0,$F151&gt;0,YEAR($F151)&lt;Preisindex!$A$6,YEAR(FK$4)&gt;=YEAR($F151),AND($K151&lt;&gt;"a",$K151&lt;&gt;"b",$K151&lt;&gt;"g",$K151&lt;&gt;"k")),1,IF(AND($E151&lt;&gt;0,$F151&gt;0,YEAR($F151)&lt;Preisindex!$A$6,YEAR(FK$4)&gt;=YEAR($F151),$K151="a"),ROUND(VLOOKUP(FP$4,Preisindex,5,FALSE)/VLOOKUP(Preisindex!$A$6,Preisindex,5,FALSE),2),IF(AND($E151&lt;&gt;0,$F151&gt;0,YEAR($F151)&lt;Preisindex!$A$6,YEAR(FK$4)&gt;=YEAR($F151),$K151="b"),ROUND(VLOOKUP(FP$4,Preisindex,3,FALSE)/VLOOKUP(Preisindex!$A$6,Preisindex,3,FALSE),2),IF(AND($E151&lt;&gt;0,$F151&gt;0,YEAR($F151)&lt;Preisindex!$A$6,YEAR(FK$4)&gt;=YEAR($F151),$K151="g"),ROUND(VLOOKUP(FP$4,Preisindex,4,FALSE)/VLOOKUP(Preisindex!$A$6,Preisindex,4,FALSE),2),IF(AND($E151&lt;&gt;0,$F151&gt;0,YEAR($F151)&lt;Preisindex!$A$6,YEAR(FK$4)&gt;=YEAR($F151),$K151="k"),ROUND(VLOOKUP(FP$4,Preisindex,2,FALSE)/VLOOKUP(Preisindex!$A$6,Preisindex,2,FALSE),2),0)))))</f>
        <v>0</v>
      </c>
      <c r="FR151" s="51">
        <f>IF(AND($E151&lt;&gt;0,$F151&gt;0,YEAR($F151)&lt;=FP$4,YEAR($F151)&gt;=Preisindex!$A$6),ROUND($E151*FP151,2),IF(AND($E151&lt;&gt;0,$F151&gt;0,YEAR($F151)&lt;=FP$4,YEAR($F151)&lt;Preisindex!$A$6),ROUND($E151*FQ151,2),0))</f>
        <v>0</v>
      </c>
      <c r="FS151" s="53">
        <f t="shared" si="557"/>
        <v>0</v>
      </c>
    </row>
    <row r="152" spans="1:175" x14ac:dyDescent="0.3">
      <c r="A152" s="93"/>
      <c r="B152" s="94"/>
      <c r="C152" s="94"/>
      <c r="D152" s="95"/>
      <c r="E152" s="99"/>
      <c r="F152" s="97"/>
      <c r="G152" s="98"/>
      <c r="H152" s="620"/>
      <c r="I152" s="621"/>
      <c r="J152" s="194"/>
      <c r="K152" s="630"/>
      <c r="L152" s="49">
        <f t="shared" si="558"/>
        <v>0</v>
      </c>
      <c r="M152" s="50">
        <f t="shared" si="559"/>
        <v>0</v>
      </c>
      <c r="N152" s="51">
        <f t="shared" si="560"/>
        <v>0</v>
      </c>
      <c r="O152" s="51"/>
      <c r="P152" s="51">
        <f t="shared" si="561"/>
        <v>0</v>
      </c>
      <c r="Q152" s="52"/>
      <c r="R152" s="52"/>
      <c r="S152" s="52"/>
      <c r="T152" s="52"/>
      <c r="U152" s="52"/>
      <c r="V152" s="53">
        <f t="shared" si="562"/>
        <v>0</v>
      </c>
      <c r="W152" s="51">
        <f t="shared" si="563"/>
        <v>0</v>
      </c>
      <c r="X152" s="51">
        <f t="shared" si="564"/>
        <v>0</v>
      </c>
      <c r="Y152" s="51">
        <f t="shared" si="565"/>
        <v>0</v>
      </c>
      <c r="Z152" s="51">
        <f t="shared" si="566"/>
        <v>0</v>
      </c>
      <c r="AA152" s="51">
        <f t="shared" si="567"/>
        <v>0</v>
      </c>
      <c r="AB152" s="51">
        <f t="shared" si="568"/>
        <v>0</v>
      </c>
      <c r="AC152" s="51">
        <f t="shared" si="569"/>
        <v>0</v>
      </c>
      <c r="AD152" s="51">
        <f t="shared" si="570"/>
        <v>0</v>
      </c>
      <c r="AE152" s="51">
        <f t="shared" si="571"/>
        <v>0</v>
      </c>
      <c r="AF152" s="51">
        <f t="shared" si="572"/>
        <v>0</v>
      </c>
      <c r="AG152" s="51">
        <f t="shared" si="573"/>
        <v>0</v>
      </c>
      <c r="AH152" s="54">
        <f t="shared" si="574"/>
        <v>0</v>
      </c>
      <c r="AI152" s="55">
        <f t="shared" si="575"/>
        <v>0</v>
      </c>
      <c r="AJ152" s="56">
        <f>IF(AND($E152&lt;&gt;0,$F152&gt;0,YEAR($F152)&gt;=Preisindex!$A$6,YEAR(AE$4)&gt;=YEAR($F152),AND($K152&lt;&gt;"a",$K152&lt;&gt;"b",$K152&lt;&gt;"g",$K152&lt;&gt;"k")),1,IF(AND($E152&lt;&gt;0,$F152&gt;0,YEAR($F152)&gt;=Preisindex!$A$6,YEAR(AE$4)&gt;=YEAR($F152),$K152="a"),ROUND(VLOOKUP(AJ$4,Preisindex,5,FALSE)/VLOOKUP(YEAR($F152),Preisindex,5,FALSE),2),IF(AND($E152&lt;&gt;0,$F152&gt;0,YEAR($F152)&gt;=Preisindex!$A$6,YEAR(AE$4)&gt;=YEAR($F152),$K152="b"),ROUND(VLOOKUP(AJ$4,Preisindex,3,FALSE)/VLOOKUP(YEAR($F152),Preisindex,3,FALSE),2),IF(AND($E152&lt;&gt;0,$F152&gt;0,YEAR($F152)&gt;=Preisindex!$A$6,YEAR(AE$4)&gt;=YEAR($F152),$K152="g"),ROUND(VLOOKUP(AJ$4,Preisindex,4,FALSE)/VLOOKUP(YEAR($F152),Preisindex,4,FALSE),2),IF(AND($E152&lt;&gt;0,$F152&gt;0,YEAR($F152)&gt;=Preisindex!$A$6,YEAR(AE$4)&gt;=YEAR($F152),$K152="k"),ROUND(VLOOKUP(AJ$4,Preisindex,2,FALSE)/VLOOKUP(YEAR($F152),Preisindex,2,FALSE),2),0)))))</f>
        <v>0</v>
      </c>
      <c r="AK152" s="56">
        <f>IF(AND($E152&lt;&gt;0,$F152&gt;0,YEAR($F152)&lt;Preisindex!$A$6,YEAR(AE$4)&gt;=YEAR($F152),AND($K152&lt;&gt;"a",$K152&lt;&gt;"b",$K152&lt;&gt;"g",$K152&lt;&gt;"k")),1,IF(AND($E152&lt;&gt;0,$F152&gt;0,YEAR($F152)&lt;Preisindex!$A$6,YEAR(AE$4)&gt;=YEAR($F152),$K152="a"),ROUND(VLOOKUP(AJ$4,Preisindex,5,FALSE)/VLOOKUP(Preisindex!$A$6,Preisindex,5,FALSE),2),IF(AND($E152&lt;&gt;0,$F152&gt;0,YEAR($F152)&lt;Preisindex!$A$6,YEAR(AE$4)&gt;=YEAR($F152),$K152="b"),ROUND(VLOOKUP(AJ$4,Preisindex,3,FALSE)/VLOOKUP(Preisindex!$A$6,Preisindex,3,FALSE),2),IF(AND($E152&lt;&gt;0,$F152&gt;0,YEAR($F152)&lt;Preisindex!$A$6,YEAR(AE$4)&gt;=YEAR($F152),$K152="g"),ROUND(VLOOKUP(AJ$4,Preisindex,4,FALSE)/VLOOKUP(Preisindex!$A$6,Preisindex,4,FALSE),2),IF(AND($E152&lt;&gt;0,$F152&gt;0,YEAR($F152)&lt;Preisindex!$A$6,YEAR(AE$4)&gt;=YEAR($F152),$K152="k"),ROUND(VLOOKUP(AJ$4,Preisindex,2,FALSE)/VLOOKUP(Preisindex!$A$6,Preisindex,2,FALSE),2),0)))))</f>
        <v>0</v>
      </c>
      <c r="AL152" s="51">
        <f>IF(AND($E152&lt;&gt;0,$F152&gt;0,YEAR($F152)&lt;=AJ$4,YEAR($F152)&gt;=Preisindex!$A$6),ROUND($E152*AJ152,2),IF(AND($E152&lt;&gt;0,$F152&gt;0,YEAR($F152)&lt;=AJ$4,YEAR($F152)&lt;Preisindex!$A$6),ROUND($E152*AK152,2),0))</f>
        <v>0</v>
      </c>
      <c r="AM152" s="53">
        <f t="shared" si="576"/>
        <v>0</v>
      </c>
      <c r="AN152" s="51">
        <f t="shared" si="577"/>
        <v>0</v>
      </c>
      <c r="AO152" s="51">
        <f t="shared" si="579"/>
        <v>0</v>
      </c>
      <c r="AP152" s="51">
        <f t="shared" si="493"/>
        <v>0</v>
      </c>
      <c r="AQ152" s="51">
        <f t="shared" si="580"/>
        <v>0</v>
      </c>
      <c r="AR152" s="51">
        <f t="shared" si="494"/>
        <v>0</v>
      </c>
      <c r="AS152" s="51">
        <f t="shared" si="581"/>
        <v>0</v>
      </c>
      <c r="AT152" s="51">
        <f t="shared" si="495"/>
        <v>0</v>
      </c>
      <c r="AU152" s="51">
        <f t="shared" si="582"/>
        <v>0</v>
      </c>
      <c r="AV152" s="51">
        <f t="shared" si="496"/>
        <v>0</v>
      </c>
      <c r="AW152" s="51">
        <f t="shared" si="583"/>
        <v>0</v>
      </c>
      <c r="AX152" s="51">
        <f t="shared" si="497"/>
        <v>0</v>
      </c>
      <c r="AY152" s="54">
        <f t="shared" si="498"/>
        <v>0</v>
      </c>
      <c r="AZ152" s="55">
        <f t="shared" si="499"/>
        <v>0</v>
      </c>
      <c r="BA152" s="56">
        <f>IF(AND($E152&lt;&gt;0,$F152&gt;0,YEAR($F152)&gt;=Preisindex!$A$6,YEAR(AV$4)&gt;=YEAR($F152),AND($K152&lt;&gt;"a",$K152&lt;&gt;"b",$K152&lt;&gt;"g",$K152&lt;&gt;"k")),1,IF(AND($E152&lt;&gt;0,$F152&gt;0,YEAR($F152)&gt;=Preisindex!$A$6,YEAR(AV$4)&gt;=YEAR($F152),$K152="a"),ROUND(VLOOKUP(BA$4,Preisindex,5,FALSE)/VLOOKUP(YEAR($F152),Preisindex,5,FALSE),2),IF(AND($E152&lt;&gt;0,$F152&gt;0,YEAR($F152)&gt;=Preisindex!$A$6,YEAR(AV$4)&gt;=YEAR($F152),$K152="b"),ROUND(VLOOKUP(BA$4,Preisindex,3,FALSE)/VLOOKUP(YEAR($F152),Preisindex,3,FALSE),2),IF(AND($E152&lt;&gt;0,$F152&gt;0,YEAR($F152)&gt;=Preisindex!$A$6,YEAR(AV$4)&gt;=YEAR($F152),$K152="g"),ROUND(VLOOKUP(BA$4,Preisindex,4,FALSE)/VLOOKUP(YEAR($F152),Preisindex,4,FALSE),2),IF(AND($E152&lt;&gt;0,$F152&gt;0,YEAR($F152)&gt;=Preisindex!$A$6,YEAR(AV$4)&gt;=YEAR($F152),$K152="k"),ROUND(VLOOKUP(BA$4,Preisindex,2,FALSE)/VLOOKUP(YEAR($F152),Preisindex,2,FALSE),2),0)))))</f>
        <v>0</v>
      </c>
      <c r="BB152" s="56">
        <f>IF(AND($E152&lt;&gt;0,$F152&gt;0,YEAR($F152)&lt;Preisindex!$A$6,YEAR(AV$4)&gt;=YEAR($F152),AND($K152&lt;&gt;"a",$K152&lt;&gt;"b",$K152&lt;&gt;"g",$K152&lt;&gt;"k")),1,IF(AND($E152&lt;&gt;0,$F152&gt;0,YEAR($F152)&lt;Preisindex!$A$6,YEAR(AV$4)&gt;=YEAR($F152),$K152="a"),ROUND(VLOOKUP(BA$4,Preisindex,5,FALSE)/VLOOKUP(Preisindex!$A$6,Preisindex,5,FALSE),2),IF(AND($E152&lt;&gt;0,$F152&gt;0,YEAR($F152)&lt;Preisindex!$A$6,YEAR(AV$4)&gt;=YEAR($F152),$K152="b"),ROUND(VLOOKUP(BA$4,Preisindex,3,FALSE)/VLOOKUP(Preisindex!$A$6,Preisindex,3,FALSE),2),IF(AND($E152&lt;&gt;0,$F152&gt;0,YEAR($F152)&lt;Preisindex!$A$6,YEAR(AV$4)&gt;=YEAR($F152),$K152="g"),ROUND(VLOOKUP(BA$4,Preisindex,4,FALSE)/VLOOKUP(Preisindex!$A$6,Preisindex,4,FALSE),2),IF(AND($E152&lt;&gt;0,$F152&gt;0,YEAR($F152)&lt;Preisindex!$A$6,YEAR(AV$4)&gt;=YEAR($F152),$K152="k"),ROUND(VLOOKUP(BA$4,Preisindex,2,FALSE)/VLOOKUP(Preisindex!$A$6,Preisindex,2,FALSE),2),0)))))</f>
        <v>0</v>
      </c>
      <c r="BC152" s="51">
        <f>IF(AND($E152&lt;&gt;0,$F152&gt;0,YEAR($F152)&lt;=BA$4,YEAR($F152)&gt;=Preisindex!$A$6),ROUND($E152*BA152,2),IF(AND($E152&lt;&gt;0,$F152&gt;0,YEAR($F152)&lt;=BA$4,YEAR($F152)&lt;Preisindex!$A$6),ROUND($E152*BB152,2),0))</f>
        <v>0</v>
      </c>
      <c r="BD152" s="53">
        <f t="shared" si="500"/>
        <v>0</v>
      </c>
      <c r="BE152" s="51">
        <f t="shared" si="577"/>
        <v>0</v>
      </c>
      <c r="BF152" s="51">
        <f t="shared" si="584"/>
        <v>0</v>
      </c>
      <c r="BG152" s="51">
        <f t="shared" si="501"/>
        <v>0</v>
      </c>
      <c r="BH152" s="51">
        <f t="shared" si="585"/>
        <v>0</v>
      </c>
      <c r="BI152" s="51">
        <f t="shared" si="502"/>
        <v>0</v>
      </c>
      <c r="BJ152" s="51">
        <f t="shared" si="586"/>
        <v>0</v>
      </c>
      <c r="BK152" s="51">
        <f t="shared" si="503"/>
        <v>0</v>
      </c>
      <c r="BL152" s="51">
        <f t="shared" si="587"/>
        <v>0</v>
      </c>
      <c r="BM152" s="51">
        <f t="shared" si="504"/>
        <v>0</v>
      </c>
      <c r="BN152" s="51">
        <f t="shared" si="588"/>
        <v>0</v>
      </c>
      <c r="BO152" s="51">
        <f t="shared" si="505"/>
        <v>0</v>
      </c>
      <c r="BP152" s="54">
        <f t="shared" si="506"/>
        <v>0</v>
      </c>
      <c r="BQ152" s="55">
        <f t="shared" si="507"/>
        <v>0</v>
      </c>
      <c r="BR152" s="56">
        <f>IF(AND($E152&lt;&gt;0,$F152&gt;0,YEAR($F152)&gt;=Preisindex!$A$6,YEAR(BM$4)&gt;=YEAR($F152),AND($K152&lt;&gt;"a",$K152&lt;&gt;"b",$K152&lt;&gt;"g",$K152&lt;&gt;"k")),1,IF(AND($E152&lt;&gt;0,$F152&gt;0,YEAR($F152)&gt;=Preisindex!$A$6,YEAR(BM$4)&gt;=YEAR($F152),$K152="a"),ROUND(VLOOKUP(BR$4,Preisindex,5,FALSE)/VLOOKUP(YEAR($F152),Preisindex,5,FALSE),2),IF(AND($E152&lt;&gt;0,$F152&gt;0,YEAR($F152)&gt;=Preisindex!$A$6,YEAR(BM$4)&gt;=YEAR($F152),$K152="b"),ROUND(VLOOKUP(BR$4,Preisindex,3,FALSE)/VLOOKUP(YEAR($F152),Preisindex,3,FALSE),2),IF(AND($E152&lt;&gt;0,$F152&gt;0,YEAR($F152)&gt;=Preisindex!$A$6,YEAR(BM$4)&gt;=YEAR($F152),$K152="g"),ROUND(VLOOKUP(BR$4,Preisindex,4,FALSE)/VLOOKUP(YEAR($F152),Preisindex,4,FALSE),2),IF(AND($E152&lt;&gt;0,$F152&gt;0,YEAR($F152)&gt;=Preisindex!$A$6,YEAR(BM$4)&gt;=YEAR($F152),$K152="k"),ROUND(VLOOKUP(BR$4,Preisindex,2,FALSE)/VLOOKUP(YEAR($F152),Preisindex,2,FALSE),2),0)))))</f>
        <v>0</v>
      </c>
      <c r="BS152" s="56">
        <f>IF(AND($E152&lt;&gt;0,$F152&gt;0,YEAR($F152)&lt;Preisindex!$A$6,YEAR(BM$4)&gt;=YEAR($F152),AND($K152&lt;&gt;"a",$K152&lt;&gt;"b",$K152&lt;&gt;"g",$K152&lt;&gt;"k")),1,IF(AND($E152&lt;&gt;0,$F152&gt;0,YEAR($F152)&lt;Preisindex!$A$6,YEAR(BM$4)&gt;=YEAR($F152),$K152="a"),ROUND(VLOOKUP(BR$4,Preisindex,5,FALSE)/VLOOKUP(Preisindex!$A$6,Preisindex,5,FALSE),2),IF(AND($E152&lt;&gt;0,$F152&gt;0,YEAR($F152)&lt;Preisindex!$A$6,YEAR(BM$4)&gt;=YEAR($F152),$K152="b"),ROUND(VLOOKUP(BR$4,Preisindex,3,FALSE)/VLOOKUP(Preisindex!$A$6,Preisindex,3,FALSE),2),IF(AND($E152&lt;&gt;0,$F152&gt;0,YEAR($F152)&lt;Preisindex!$A$6,YEAR(BM$4)&gt;=YEAR($F152),$K152="g"),ROUND(VLOOKUP(BR$4,Preisindex,4,FALSE)/VLOOKUP(Preisindex!$A$6,Preisindex,4,FALSE),2),IF(AND($E152&lt;&gt;0,$F152&gt;0,YEAR($F152)&lt;Preisindex!$A$6,YEAR(BM$4)&gt;=YEAR($F152),$K152="k"),ROUND(VLOOKUP(BR$4,Preisindex,2,FALSE)/VLOOKUP(Preisindex!$A$6,Preisindex,2,FALSE),2),0)))))</f>
        <v>0</v>
      </c>
      <c r="BT152" s="51">
        <f>IF(AND($E152&lt;&gt;0,$F152&gt;0,YEAR($F152)&lt;=BR$4,YEAR($F152)&gt;=Preisindex!$A$6),ROUND($E152*BR152,2),IF(AND($E152&lt;&gt;0,$F152&gt;0,YEAR($F152)&lt;=BR$4,YEAR($F152)&lt;Preisindex!$A$6),ROUND($E152*BS152,2),0))</f>
        <v>0</v>
      </c>
      <c r="BU152" s="53">
        <f t="shared" si="508"/>
        <v>0</v>
      </c>
      <c r="BV152" s="51">
        <f t="shared" si="577"/>
        <v>0</v>
      </c>
      <c r="BW152" s="51">
        <f t="shared" si="589"/>
        <v>0</v>
      </c>
      <c r="BX152" s="51">
        <f t="shared" si="509"/>
        <v>0</v>
      </c>
      <c r="BY152" s="51">
        <f t="shared" si="590"/>
        <v>0</v>
      </c>
      <c r="BZ152" s="51">
        <f t="shared" si="510"/>
        <v>0</v>
      </c>
      <c r="CA152" s="51">
        <f t="shared" si="591"/>
        <v>0</v>
      </c>
      <c r="CB152" s="51">
        <f t="shared" si="511"/>
        <v>0</v>
      </c>
      <c r="CC152" s="51">
        <f t="shared" si="592"/>
        <v>0</v>
      </c>
      <c r="CD152" s="51">
        <f t="shared" si="512"/>
        <v>0</v>
      </c>
      <c r="CE152" s="51">
        <f t="shared" si="593"/>
        <v>0</v>
      </c>
      <c r="CF152" s="51">
        <f t="shared" si="513"/>
        <v>0</v>
      </c>
      <c r="CG152" s="54">
        <f t="shared" si="514"/>
        <v>0</v>
      </c>
      <c r="CH152" s="55">
        <f t="shared" si="515"/>
        <v>0</v>
      </c>
      <c r="CI152" s="56">
        <f>IF(AND($E152&lt;&gt;0,$F152&gt;0,YEAR($F152)&gt;=Preisindex!$A$6,YEAR(CD$4)&gt;=YEAR($F152),AND($K152&lt;&gt;"a",$K152&lt;&gt;"b",$K152&lt;&gt;"g",$K152&lt;&gt;"k")),1,IF(AND($E152&lt;&gt;0,$F152&gt;0,YEAR($F152)&gt;=Preisindex!$A$6,YEAR(CD$4)&gt;=YEAR($F152),$K152="a"),ROUND(VLOOKUP(CI$4,Preisindex,5,FALSE)/VLOOKUP(YEAR($F152),Preisindex,5,FALSE),2),IF(AND($E152&lt;&gt;0,$F152&gt;0,YEAR($F152)&gt;=Preisindex!$A$6,YEAR(CD$4)&gt;=YEAR($F152),$K152="b"),ROUND(VLOOKUP(CI$4,Preisindex,3,FALSE)/VLOOKUP(YEAR($F152),Preisindex,3,FALSE),2),IF(AND($E152&lt;&gt;0,$F152&gt;0,YEAR($F152)&gt;=Preisindex!$A$6,YEAR(CD$4)&gt;=YEAR($F152),$K152="g"),ROUND(VLOOKUP(CI$4,Preisindex,4,FALSE)/VLOOKUP(YEAR($F152),Preisindex,4,FALSE),2),IF(AND($E152&lt;&gt;0,$F152&gt;0,YEAR($F152)&gt;=Preisindex!$A$6,YEAR(CD$4)&gt;=YEAR($F152),$K152="k"),ROUND(VLOOKUP(CI$4,Preisindex,2,FALSE)/VLOOKUP(YEAR($F152),Preisindex,2,FALSE),2),0)))))</f>
        <v>0</v>
      </c>
      <c r="CJ152" s="56">
        <f>IF(AND($E152&lt;&gt;0,$F152&gt;0,YEAR($F152)&lt;Preisindex!$A$6,YEAR(CD$4)&gt;=YEAR($F152),AND($K152&lt;&gt;"a",$K152&lt;&gt;"b",$K152&lt;&gt;"g",$K152&lt;&gt;"k")),1,IF(AND($E152&lt;&gt;0,$F152&gt;0,YEAR($F152)&lt;Preisindex!$A$6,YEAR(CD$4)&gt;=YEAR($F152),$K152="a"),ROUND(VLOOKUP(CI$4,Preisindex,5,FALSE)/VLOOKUP(Preisindex!$A$6,Preisindex,5,FALSE),2),IF(AND($E152&lt;&gt;0,$F152&gt;0,YEAR($F152)&lt;Preisindex!$A$6,YEAR(CD$4)&gt;=YEAR($F152),$K152="b"),ROUND(VLOOKUP(CI$4,Preisindex,3,FALSE)/VLOOKUP(Preisindex!$A$6,Preisindex,3,FALSE),2),IF(AND($E152&lt;&gt;0,$F152&gt;0,YEAR($F152)&lt;Preisindex!$A$6,YEAR(CD$4)&gt;=YEAR($F152),$K152="g"),ROUND(VLOOKUP(CI$4,Preisindex,4,FALSE)/VLOOKUP(Preisindex!$A$6,Preisindex,4,FALSE),2),IF(AND($E152&lt;&gt;0,$F152&gt;0,YEAR($F152)&lt;Preisindex!$A$6,YEAR(CD$4)&gt;=YEAR($F152),$K152="k"),ROUND(VLOOKUP(CI$4,Preisindex,2,FALSE)/VLOOKUP(Preisindex!$A$6,Preisindex,2,FALSE),2),0)))))</f>
        <v>0</v>
      </c>
      <c r="CK152" s="51">
        <f>IF(AND($E152&lt;&gt;0,$F152&gt;0,YEAR($F152)&lt;=CI$4,YEAR($F152)&gt;=Preisindex!$A$6),ROUND($E152*CI152,2),IF(AND($E152&lt;&gt;0,$F152&gt;0,YEAR($F152)&lt;=CI$4,YEAR($F152)&lt;Preisindex!$A$6),ROUND($E152*CJ152,2),0))</f>
        <v>0</v>
      </c>
      <c r="CL152" s="53">
        <f t="shared" si="516"/>
        <v>0</v>
      </c>
      <c r="CM152" s="51">
        <f t="shared" si="577"/>
        <v>0</v>
      </c>
      <c r="CN152" s="51">
        <f t="shared" si="594"/>
        <v>0</v>
      </c>
      <c r="CO152" s="51">
        <f t="shared" si="517"/>
        <v>0</v>
      </c>
      <c r="CP152" s="51">
        <f t="shared" si="595"/>
        <v>0</v>
      </c>
      <c r="CQ152" s="51">
        <f t="shared" si="518"/>
        <v>0</v>
      </c>
      <c r="CR152" s="51">
        <f t="shared" si="596"/>
        <v>0</v>
      </c>
      <c r="CS152" s="51">
        <f t="shared" si="519"/>
        <v>0</v>
      </c>
      <c r="CT152" s="51">
        <f t="shared" si="597"/>
        <v>0</v>
      </c>
      <c r="CU152" s="51">
        <f t="shared" si="520"/>
        <v>0</v>
      </c>
      <c r="CV152" s="51">
        <f t="shared" si="598"/>
        <v>0</v>
      </c>
      <c r="CW152" s="51">
        <f t="shared" si="521"/>
        <v>0</v>
      </c>
      <c r="CX152" s="54">
        <f t="shared" si="522"/>
        <v>0</v>
      </c>
      <c r="CY152" s="55">
        <f t="shared" si="523"/>
        <v>0</v>
      </c>
      <c r="CZ152" s="56">
        <f>IF(AND($E152&lt;&gt;0,$F152&gt;0,YEAR($F152)&gt;=Preisindex!$A$6,YEAR(CU$4)&gt;=YEAR($F152),AND($K152&lt;&gt;"a",$K152&lt;&gt;"b",$K152&lt;&gt;"g",$K152&lt;&gt;"k")),1,IF(AND($E152&lt;&gt;0,$F152&gt;0,YEAR($F152)&gt;=Preisindex!$A$6,YEAR(CU$4)&gt;=YEAR($F152),$K152="a"),ROUND(VLOOKUP(CZ$4,Preisindex,5,FALSE)/VLOOKUP(YEAR($F152),Preisindex,5,FALSE),2),IF(AND($E152&lt;&gt;0,$F152&gt;0,YEAR($F152)&gt;=Preisindex!$A$6,YEAR(CU$4)&gt;=YEAR($F152),$K152="b"),ROUND(VLOOKUP(CZ$4,Preisindex,3,FALSE)/VLOOKUP(YEAR($F152),Preisindex,3,FALSE),2),IF(AND($E152&lt;&gt;0,$F152&gt;0,YEAR($F152)&gt;=Preisindex!$A$6,YEAR(CU$4)&gt;=YEAR($F152),$K152="g"),ROUND(VLOOKUP(CZ$4,Preisindex,4,FALSE)/VLOOKUP(YEAR($F152),Preisindex,4,FALSE),2),IF(AND($E152&lt;&gt;0,$F152&gt;0,YEAR($F152)&gt;=Preisindex!$A$6,YEAR(CU$4)&gt;=YEAR($F152),$K152="k"),ROUND(VLOOKUP(CZ$4,Preisindex,2,FALSE)/VLOOKUP(YEAR($F152),Preisindex,2,FALSE),2),0)))))</f>
        <v>0</v>
      </c>
      <c r="DA152" s="56">
        <f>IF(AND($E152&lt;&gt;0,$F152&gt;0,YEAR($F152)&lt;Preisindex!$A$6,YEAR(CU$4)&gt;=YEAR($F152),AND($K152&lt;&gt;"a",$K152&lt;&gt;"b",$K152&lt;&gt;"g",$K152&lt;&gt;"k")),1,IF(AND($E152&lt;&gt;0,$F152&gt;0,YEAR($F152)&lt;Preisindex!$A$6,YEAR(CU$4)&gt;=YEAR($F152),$K152="a"),ROUND(VLOOKUP(CZ$4,Preisindex,5,FALSE)/VLOOKUP(Preisindex!$A$6,Preisindex,5,FALSE),2),IF(AND($E152&lt;&gt;0,$F152&gt;0,YEAR($F152)&lt;Preisindex!$A$6,YEAR(CU$4)&gt;=YEAR($F152),$K152="b"),ROUND(VLOOKUP(CZ$4,Preisindex,3,FALSE)/VLOOKUP(Preisindex!$A$6,Preisindex,3,FALSE),2),IF(AND($E152&lt;&gt;0,$F152&gt;0,YEAR($F152)&lt;Preisindex!$A$6,YEAR(CU$4)&gt;=YEAR($F152),$K152="g"),ROUND(VLOOKUP(CZ$4,Preisindex,4,FALSE)/VLOOKUP(Preisindex!$A$6,Preisindex,4,FALSE),2),IF(AND($E152&lt;&gt;0,$F152&gt;0,YEAR($F152)&lt;Preisindex!$A$6,YEAR(CU$4)&gt;=YEAR($F152),$K152="k"),ROUND(VLOOKUP(CZ$4,Preisindex,2,FALSE)/VLOOKUP(Preisindex!$A$6,Preisindex,2,FALSE),2),0)))))</f>
        <v>0</v>
      </c>
      <c r="DB152" s="51">
        <f>IF(AND($E152&lt;&gt;0,$F152&gt;0,YEAR($F152)&lt;=CZ$4,YEAR($F152)&gt;=Preisindex!$A$6),ROUND($E152*CZ152,2),IF(AND($E152&lt;&gt;0,$F152&gt;0,YEAR($F152)&lt;=CZ$4,YEAR($F152)&lt;Preisindex!$A$6),ROUND($E152*DA152,2),0))</f>
        <v>0</v>
      </c>
      <c r="DC152" s="53">
        <f t="shared" si="524"/>
        <v>0</v>
      </c>
      <c r="DD152" s="51">
        <f t="shared" si="578"/>
        <v>0</v>
      </c>
      <c r="DE152" s="51">
        <f t="shared" si="599"/>
        <v>0</v>
      </c>
      <c r="DF152" s="51">
        <f t="shared" si="526"/>
        <v>0</v>
      </c>
      <c r="DG152" s="51">
        <f t="shared" si="600"/>
        <v>0</v>
      </c>
      <c r="DH152" s="51">
        <f t="shared" si="527"/>
        <v>0</v>
      </c>
      <c r="DI152" s="51">
        <f t="shared" si="601"/>
        <v>0</v>
      </c>
      <c r="DJ152" s="51">
        <f t="shared" si="528"/>
        <v>0</v>
      </c>
      <c r="DK152" s="51">
        <f t="shared" si="602"/>
        <v>0</v>
      </c>
      <c r="DL152" s="51">
        <f t="shared" si="529"/>
        <v>0</v>
      </c>
      <c r="DM152" s="51">
        <f t="shared" si="603"/>
        <v>0</v>
      </c>
      <c r="DN152" s="51">
        <f t="shared" si="530"/>
        <v>0</v>
      </c>
      <c r="DO152" s="54">
        <f t="shared" si="531"/>
        <v>0</v>
      </c>
      <c r="DP152" s="55">
        <f t="shared" si="532"/>
        <v>0</v>
      </c>
      <c r="DQ152" s="56">
        <f>IF(AND($E152&lt;&gt;0,$F152&gt;0,YEAR($F152)&gt;=Preisindex!$A$6,YEAR(DL$4)&gt;=YEAR($F152),AND($K152&lt;&gt;"a",$K152&lt;&gt;"b",$K152&lt;&gt;"g",$K152&lt;&gt;"k")),1,IF(AND($E152&lt;&gt;0,$F152&gt;0,YEAR($F152)&gt;=Preisindex!$A$6,YEAR(DL$4)&gt;=YEAR($F152),$K152="a"),ROUND(VLOOKUP(DQ$4,Preisindex,5,FALSE)/VLOOKUP(YEAR($F152),Preisindex,5,FALSE),2),IF(AND($E152&lt;&gt;0,$F152&gt;0,YEAR($F152)&gt;=Preisindex!$A$6,YEAR(DL$4)&gt;=YEAR($F152),$K152="b"),ROUND(VLOOKUP(DQ$4,Preisindex,3,FALSE)/VLOOKUP(YEAR($F152),Preisindex,3,FALSE),2),IF(AND($E152&lt;&gt;0,$F152&gt;0,YEAR($F152)&gt;=Preisindex!$A$6,YEAR(DL$4)&gt;=YEAR($F152),$K152="g"),ROUND(VLOOKUP(DQ$4,Preisindex,4,FALSE)/VLOOKUP(YEAR($F152),Preisindex,4,FALSE),2),IF(AND($E152&lt;&gt;0,$F152&gt;0,YEAR($F152)&gt;=Preisindex!$A$6,YEAR(DL$4)&gt;=YEAR($F152),$K152="k"),ROUND(VLOOKUP(DQ$4,Preisindex,2,FALSE)/VLOOKUP(YEAR($F152),Preisindex,2,FALSE),2),0)))))</f>
        <v>0</v>
      </c>
      <c r="DR152" s="56">
        <f>IF(AND($E152&lt;&gt;0,$F152&gt;0,YEAR($F152)&lt;Preisindex!$A$6,YEAR(DL$4)&gt;=YEAR($F152),AND($K152&lt;&gt;"a",$K152&lt;&gt;"b",$K152&lt;&gt;"g",$K152&lt;&gt;"k")),1,IF(AND($E152&lt;&gt;0,$F152&gt;0,YEAR($F152)&lt;Preisindex!$A$6,YEAR(DL$4)&gt;=YEAR($F152),$K152="a"),ROUND(VLOOKUP(DQ$4,Preisindex,5,FALSE)/VLOOKUP(Preisindex!$A$6,Preisindex,5,FALSE),2),IF(AND($E152&lt;&gt;0,$F152&gt;0,YEAR($F152)&lt;Preisindex!$A$6,YEAR(DL$4)&gt;=YEAR($F152),$K152="b"),ROUND(VLOOKUP(DQ$4,Preisindex,3,FALSE)/VLOOKUP(Preisindex!$A$6,Preisindex,3,FALSE),2),IF(AND($E152&lt;&gt;0,$F152&gt;0,YEAR($F152)&lt;Preisindex!$A$6,YEAR(DL$4)&gt;=YEAR($F152),$K152="g"),ROUND(VLOOKUP(DQ$4,Preisindex,4,FALSE)/VLOOKUP(Preisindex!$A$6,Preisindex,4,FALSE),2),IF(AND($E152&lt;&gt;0,$F152&gt;0,YEAR($F152)&lt;Preisindex!$A$6,YEAR(DL$4)&gt;=YEAR($F152),$K152="k"),ROUND(VLOOKUP(DQ$4,Preisindex,2,FALSE)/VLOOKUP(Preisindex!$A$6,Preisindex,2,FALSE),2),0)))))</f>
        <v>0</v>
      </c>
      <c r="DS152" s="51">
        <f>IF(AND($E152&lt;&gt;0,$F152&gt;0,YEAR($F152)&lt;=DQ$4,YEAR($F152)&gt;=Preisindex!$A$6),ROUND($E152*DQ152,2),IF(AND($E152&lt;&gt;0,$F152&gt;0,YEAR($F152)&lt;=DQ$4,YEAR($F152)&lt;Preisindex!$A$6),ROUND($E152*DR152,2),0))</f>
        <v>0</v>
      </c>
      <c r="DT152" s="53">
        <f t="shared" si="533"/>
        <v>0</v>
      </c>
      <c r="DU152" s="51">
        <f t="shared" si="578"/>
        <v>0</v>
      </c>
      <c r="DV152" s="51">
        <f t="shared" si="604"/>
        <v>0</v>
      </c>
      <c r="DW152" s="51">
        <f t="shared" si="534"/>
        <v>0</v>
      </c>
      <c r="DX152" s="51">
        <f t="shared" si="605"/>
        <v>0</v>
      </c>
      <c r="DY152" s="51">
        <f t="shared" si="535"/>
        <v>0</v>
      </c>
      <c r="DZ152" s="51">
        <f t="shared" si="606"/>
        <v>0</v>
      </c>
      <c r="EA152" s="51">
        <f t="shared" si="536"/>
        <v>0</v>
      </c>
      <c r="EB152" s="51">
        <f t="shared" si="607"/>
        <v>0</v>
      </c>
      <c r="EC152" s="51">
        <f t="shared" si="537"/>
        <v>0</v>
      </c>
      <c r="ED152" s="51">
        <f t="shared" si="608"/>
        <v>0</v>
      </c>
      <c r="EE152" s="51">
        <f t="shared" si="538"/>
        <v>0</v>
      </c>
      <c r="EF152" s="54">
        <f t="shared" si="539"/>
        <v>0</v>
      </c>
      <c r="EG152" s="55">
        <f t="shared" si="540"/>
        <v>0</v>
      </c>
      <c r="EH152" s="56">
        <f>IF(AND($E152&lt;&gt;0,$F152&gt;0,YEAR($F152)&gt;=Preisindex!$A$6,YEAR(EC$4)&gt;=YEAR($F152),AND($K152&lt;&gt;"a",$K152&lt;&gt;"b",$K152&lt;&gt;"g",$K152&lt;&gt;"k")),1,IF(AND($E152&lt;&gt;0,$F152&gt;0,YEAR($F152)&gt;=Preisindex!$A$6,YEAR(EC$4)&gt;=YEAR($F152),$K152="a"),ROUND(VLOOKUP(EH$4,Preisindex,5,FALSE)/VLOOKUP(YEAR($F152),Preisindex,5,FALSE),2),IF(AND($E152&lt;&gt;0,$F152&gt;0,YEAR($F152)&gt;=Preisindex!$A$6,YEAR(EC$4)&gt;=YEAR($F152),$K152="b"),ROUND(VLOOKUP(EH$4,Preisindex,3,FALSE)/VLOOKUP(YEAR($F152),Preisindex,3,FALSE),2),IF(AND($E152&lt;&gt;0,$F152&gt;0,YEAR($F152)&gt;=Preisindex!$A$6,YEAR(EC$4)&gt;=YEAR($F152),$K152="g"),ROUND(VLOOKUP(EH$4,Preisindex,4,FALSE)/VLOOKUP(YEAR($F152),Preisindex,4,FALSE),2),IF(AND($E152&lt;&gt;0,$F152&gt;0,YEAR($F152)&gt;=Preisindex!$A$6,YEAR(EC$4)&gt;=YEAR($F152),$K152="k"),ROUND(VLOOKUP(EH$4,Preisindex,2,FALSE)/VLOOKUP(YEAR($F152),Preisindex,2,FALSE),2),0)))))</f>
        <v>0</v>
      </c>
      <c r="EI152" s="56">
        <f>IF(AND($E152&lt;&gt;0,$F152&gt;0,YEAR($F152)&lt;Preisindex!$A$6,YEAR(EC$4)&gt;=YEAR($F152),AND($K152&lt;&gt;"a",$K152&lt;&gt;"b",$K152&lt;&gt;"g",$K152&lt;&gt;"k")),1,IF(AND($E152&lt;&gt;0,$F152&gt;0,YEAR($F152)&lt;Preisindex!$A$6,YEAR(EC$4)&gt;=YEAR($F152),$K152="a"),ROUND(VLOOKUP(EH$4,Preisindex,5,FALSE)/VLOOKUP(Preisindex!$A$6,Preisindex,5,FALSE),2),IF(AND($E152&lt;&gt;0,$F152&gt;0,YEAR($F152)&lt;Preisindex!$A$6,YEAR(EC$4)&gt;=YEAR($F152),$K152="b"),ROUND(VLOOKUP(EH$4,Preisindex,3,FALSE)/VLOOKUP(Preisindex!$A$6,Preisindex,3,FALSE),2),IF(AND($E152&lt;&gt;0,$F152&gt;0,YEAR($F152)&lt;Preisindex!$A$6,YEAR(EC$4)&gt;=YEAR($F152),$K152="g"),ROUND(VLOOKUP(EH$4,Preisindex,4,FALSE)/VLOOKUP(Preisindex!$A$6,Preisindex,4,FALSE),2),IF(AND($E152&lt;&gt;0,$F152&gt;0,YEAR($F152)&lt;Preisindex!$A$6,YEAR(EC$4)&gt;=YEAR($F152),$K152="k"),ROUND(VLOOKUP(EH$4,Preisindex,2,FALSE)/VLOOKUP(Preisindex!$A$6,Preisindex,2,FALSE),2),0)))))</f>
        <v>0</v>
      </c>
      <c r="EJ152" s="51">
        <f>IF(AND($E152&lt;&gt;0,$F152&gt;0,YEAR($F152)&lt;=EH$4,YEAR($F152)&gt;=Preisindex!$A$6),ROUND($E152*EH152,2),IF(AND($E152&lt;&gt;0,$F152&gt;0,YEAR($F152)&lt;=EH$4,YEAR($F152)&lt;Preisindex!$A$6),ROUND($E152*EI152,2),0))</f>
        <v>0</v>
      </c>
      <c r="EK152" s="53">
        <f t="shared" si="541"/>
        <v>0</v>
      </c>
      <c r="EL152" s="51">
        <f t="shared" si="578"/>
        <v>0</v>
      </c>
      <c r="EM152" s="51">
        <f t="shared" si="609"/>
        <v>0</v>
      </c>
      <c r="EN152" s="51">
        <f t="shared" si="542"/>
        <v>0</v>
      </c>
      <c r="EO152" s="51">
        <f t="shared" si="610"/>
        <v>0</v>
      </c>
      <c r="EP152" s="51">
        <f t="shared" si="543"/>
        <v>0</v>
      </c>
      <c r="EQ152" s="51">
        <f t="shared" si="611"/>
        <v>0</v>
      </c>
      <c r="ER152" s="51">
        <f t="shared" si="544"/>
        <v>0</v>
      </c>
      <c r="ES152" s="51">
        <f t="shared" si="612"/>
        <v>0</v>
      </c>
      <c r="ET152" s="51">
        <f t="shared" si="545"/>
        <v>0</v>
      </c>
      <c r="EU152" s="51">
        <f t="shared" si="613"/>
        <v>0</v>
      </c>
      <c r="EV152" s="51">
        <f t="shared" si="546"/>
        <v>0</v>
      </c>
      <c r="EW152" s="54">
        <f t="shared" si="547"/>
        <v>0</v>
      </c>
      <c r="EX152" s="55">
        <f t="shared" si="548"/>
        <v>0</v>
      </c>
      <c r="EY152" s="56">
        <f>IF(AND($E152&lt;&gt;0,$F152&gt;0,YEAR($F152)&gt;=Preisindex!$A$6,YEAR(ET$4)&gt;=YEAR($F152),AND($K152&lt;&gt;"a",$K152&lt;&gt;"b",$K152&lt;&gt;"g",$K152&lt;&gt;"k")),1,IF(AND($E152&lt;&gt;0,$F152&gt;0,YEAR($F152)&gt;=Preisindex!$A$6,YEAR(ET$4)&gt;=YEAR($F152),$K152="a"),ROUND(VLOOKUP(EY$4,Preisindex,5,FALSE)/VLOOKUP(YEAR($F152),Preisindex,5,FALSE),2),IF(AND($E152&lt;&gt;0,$F152&gt;0,YEAR($F152)&gt;=Preisindex!$A$6,YEAR(ET$4)&gt;=YEAR($F152),$K152="b"),ROUND(VLOOKUP(EY$4,Preisindex,3,FALSE)/VLOOKUP(YEAR($F152),Preisindex,3,FALSE),2),IF(AND($E152&lt;&gt;0,$F152&gt;0,YEAR($F152)&gt;=Preisindex!$A$6,YEAR(ET$4)&gt;=YEAR($F152),$K152="g"),ROUND(VLOOKUP(EY$4,Preisindex,4,FALSE)/VLOOKUP(YEAR($F152),Preisindex,4,FALSE),2),IF(AND($E152&lt;&gt;0,$F152&gt;0,YEAR($F152)&gt;=Preisindex!$A$6,YEAR(ET$4)&gt;=YEAR($F152),$K152="k"),ROUND(VLOOKUP(EY$4,Preisindex,2,FALSE)/VLOOKUP(YEAR($F152),Preisindex,2,FALSE),2),0)))))</f>
        <v>0</v>
      </c>
      <c r="EZ152" s="56">
        <f>IF(AND($E152&lt;&gt;0,$F152&gt;0,YEAR($F152)&lt;Preisindex!$A$6,YEAR(ET$4)&gt;=YEAR($F152),AND($K152&lt;&gt;"a",$K152&lt;&gt;"b",$K152&lt;&gt;"g",$K152&lt;&gt;"k")),1,IF(AND($E152&lt;&gt;0,$F152&gt;0,YEAR($F152)&lt;Preisindex!$A$6,YEAR(ET$4)&gt;=YEAR($F152),$K152="a"),ROUND(VLOOKUP(EY$4,Preisindex,5,FALSE)/VLOOKUP(Preisindex!$A$6,Preisindex,5,FALSE),2),IF(AND($E152&lt;&gt;0,$F152&gt;0,YEAR($F152)&lt;Preisindex!$A$6,YEAR(ET$4)&gt;=YEAR($F152),$K152="b"),ROUND(VLOOKUP(EY$4,Preisindex,3,FALSE)/VLOOKUP(Preisindex!$A$6,Preisindex,3,FALSE),2),IF(AND($E152&lt;&gt;0,$F152&gt;0,YEAR($F152)&lt;Preisindex!$A$6,YEAR(ET$4)&gt;=YEAR($F152),$K152="g"),ROUND(VLOOKUP(EY$4,Preisindex,4,FALSE)/VLOOKUP(Preisindex!$A$6,Preisindex,4,FALSE),2),IF(AND($E152&lt;&gt;0,$F152&gt;0,YEAR($F152)&lt;Preisindex!$A$6,YEAR(ET$4)&gt;=YEAR($F152),$K152="k"),ROUND(VLOOKUP(EY$4,Preisindex,2,FALSE)/VLOOKUP(Preisindex!$A$6,Preisindex,2,FALSE),2),0)))))</f>
        <v>0</v>
      </c>
      <c r="FA152" s="51">
        <f>IF(AND($E152&lt;&gt;0,$F152&gt;0,YEAR($F152)&lt;=EY$4,YEAR($F152)&gt;=Preisindex!$A$6),ROUND($E152*EY152,2),IF(AND($E152&lt;&gt;0,$F152&gt;0,YEAR($F152)&lt;=EY$4,YEAR($F152)&lt;Preisindex!$A$6),ROUND($E152*EZ152,2),0))</f>
        <v>0</v>
      </c>
      <c r="FB152" s="53">
        <f t="shared" si="549"/>
        <v>0</v>
      </c>
      <c r="FC152" s="51">
        <f t="shared" si="578"/>
        <v>0</v>
      </c>
      <c r="FD152" s="51">
        <f t="shared" si="614"/>
        <v>0</v>
      </c>
      <c r="FE152" s="51">
        <f t="shared" si="550"/>
        <v>0</v>
      </c>
      <c r="FF152" s="51">
        <f t="shared" si="615"/>
        <v>0</v>
      </c>
      <c r="FG152" s="51">
        <f t="shared" si="551"/>
        <v>0</v>
      </c>
      <c r="FH152" s="51">
        <f t="shared" si="616"/>
        <v>0</v>
      </c>
      <c r="FI152" s="51">
        <f t="shared" si="552"/>
        <v>0</v>
      </c>
      <c r="FJ152" s="51">
        <f t="shared" si="617"/>
        <v>0</v>
      </c>
      <c r="FK152" s="51">
        <f t="shared" si="553"/>
        <v>0</v>
      </c>
      <c r="FL152" s="51">
        <f t="shared" si="618"/>
        <v>0</v>
      </c>
      <c r="FM152" s="51">
        <f t="shared" si="554"/>
        <v>0</v>
      </c>
      <c r="FN152" s="54">
        <f t="shared" si="555"/>
        <v>0</v>
      </c>
      <c r="FO152" s="55">
        <f t="shared" si="556"/>
        <v>0</v>
      </c>
      <c r="FP152" s="56">
        <f>IF(AND($E152&lt;&gt;0,$F152&gt;0,YEAR($F152)&gt;=Preisindex!$A$6,YEAR(FK$4)&gt;=YEAR($F152),AND($K152&lt;&gt;"a",$K152&lt;&gt;"b",$K152&lt;&gt;"g",$K152&lt;&gt;"k")),1,IF(AND($E152&lt;&gt;0,$F152&gt;0,YEAR($F152)&gt;=Preisindex!$A$6,YEAR(FK$4)&gt;=YEAR($F152),$K152="a"),ROUND(VLOOKUP(FP$4,Preisindex,5,FALSE)/VLOOKUP(YEAR($F152),Preisindex,5,FALSE),2),IF(AND($E152&lt;&gt;0,$F152&gt;0,YEAR($F152)&gt;=Preisindex!$A$6,YEAR(FK$4)&gt;=YEAR($F152),$K152="b"),ROUND(VLOOKUP(FP$4,Preisindex,3,FALSE)/VLOOKUP(YEAR($F152),Preisindex,3,FALSE),2),IF(AND($E152&lt;&gt;0,$F152&gt;0,YEAR($F152)&gt;=Preisindex!$A$6,YEAR(FK$4)&gt;=YEAR($F152),$K152="g"),ROUND(VLOOKUP(FP$4,Preisindex,4,FALSE)/VLOOKUP(YEAR($F152),Preisindex,4,FALSE),2),IF(AND($E152&lt;&gt;0,$F152&gt;0,YEAR($F152)&gt;=Preisindex!$A$6,YEAR(FK$4)&gt;=YEAR($F152),$K152="k"),ROUND(VLOOKUP(FP$4,Preisindex,2,FALSE)/VLOOKUP(YEAR($F152),Preisindex,2,FALSE),2),0)))))</f>
        <v>0</v>
      </c>
      <c r="FQ152" s="56">
        <f>IF(AND($E152&lt;&gt;0,$F152&gt;0,YEAR($F152)&lt;Preisindex!$A$6,YEAR(FK$4)&gt;=YEAR($F152),AND($K152&lt;&gt;"a",$K152&lt;&gt;"b",$K152&lt;&gt;"g",$K152&lt;&gt;"k")),1,IF(AND($E152&lt;&gt;0,$F152&gt;0,YEAR($F152)&lt;Preisindex!$A$6,YEAR(FK$4)&gt;=YEAR($F152),$K152="a"),ROUND(VLOOKUP(FP$4,Preisindex,5,FALSE)/VLOOKUP(Preisindex!$A$6,Preisindex,5,FALSE),2),IF(AND($E152&lt;&gt;0,$F152&gt;0,YEAR($F152)&lt;Preisindex!$A$6,YEAR(FK$4)&gt;=YEAR($F152),$K152="b"),ROUND(VLOOKUP(FP$4,Preisindex,3,FALSE)/VLOOKUP(Preisindex!$A$6,Preisindex,3,FALSE),2),IF(AND($E152&lt;&gt;0,$F152&gt;0,YEAR($F152)&lt;Preisindex!$A$6,YEAR(FK$4)&gt;=YEAR($F152),$K152="g"),ROUND(VLOOKUP(FP$4,Preisindex,4,FALSE)/VLOOKUP(Preisindex!$A$6,Preisindex,4,FALSE),2),IF(AND($E152&lt;&gt;0,$F152&gt;0,YEAR($F152)&lt;Preisindex!$A$6,YEAR(FK$4)&gt;=YEAR($F152),$K152="k"),ROUND(VLOOKUP(FP$4,Preisindex,2,FALSE)/VLOOKUP(Preisindex!$A$6,Preisindex,2,FALSE),2),0)))))</f>
        <v>0</v>
      </c>
      <c r="FR152" s="51">
        <f>IF(AND($E152&lt;&gt;0,$F152&gt;0,YEAR($F152)&lt;=FP$4,YEAR($F152)&gt;=Preisindex!$A$6),ROUND($E152*FP152,2),IF(AND($E152&lt;&gt;0,$F152&gt;0,YEAR($F152)&lt;=FP$4,YEAR($F152)&lt;Preisindex!$A$6),ROUND($E152*FQ152,2),0))</f>
        <v>0</v>
      </c>
      <c r="FS152" s="53">
        <f t="shared" si="557"/>
        <v>0</v>
      </c>
    </row>
    <row r="153" spans="1:175" x14ac:dyDescent="0.3">
      <c r="A153" s="93"/>
      <c r="B153" s="94"/>
      <c r="C153" s="94"/>
      <c r="D153" s="95"/>
      <c r="E153" s="99"/>
      <c r="F153" s="97"/>
      <c r="G153" s="98"/>
      <c r="H153" s="620"/>
      <c r="I153" s="621"/>
      <c r="J153" s="194"/>
      <c r="K153" s="630"/>
      <c r="L153" s="49">
        <f t="shared" si="558"/>
        <v>0</v>
      </c>
      <c r="M153" s="50">
        <f t="shared" si="559"/>
        <v>0</v>
      </c>
      <c r="N153" s="51">
        <f t="shared" si="560"/>
        <v>0</v>
      </c>
      <c r="O153" s="51"/>
      <c r="P153" s="51">
        <f t="shared" si="561"/>
        <v>0</v>
      </c>
      <c r="Q153" s="52"/>
      <c r="R153" s="52"/>
      <c r="S153" s="52"/>
      <c r="T153" s="52"/>
      <c r="U153" s="52"/>
      <c r="V153" s="53">
        <f t="shared" si="562"/>
        <v>0</v>
      </c>
      <c r="W153" s="51">
        <f t="shared" si="563"/>
        <v>0</v>
      </c>
      <c r="X153" s="51">
        <f t="shared" si="564"/>
        <v>0</v>
      </c>
      <c r="Y153" s="51">
        <f t="shared" si="565"/>
        <v>0</v>
      </c>
      <c r="Z153" s="51">
        <f t="shared" si="566"/>
        <v>0</v>
      </c>
      <c r="AA153" s="51">
        <f t="shared" si="567"/>
        <v>0</v>
      </c>
      <c r="AB153" s="51">
        <f t="shared" si="568"/>
        <v>0</v>
      </c>
      <c r="AC153" s="51">
        <f t="shared" si="569"/>
        <v>0</v>
      </c>
      <c r="AD153" s="51">
        <f t="shared" si="570"/>
        <v>0</v>
      </c>
      <c r="AE153" s="51">
        <f t="shared" si="571"/>
        <v>0</v>
      </c>
      <c r="AF153" s="51">
        <f t="shared" si="572"/>
        <v>0</v>
      </c>
      <c r="AG153" s="51">
        <f t="shared" si="573"/>
        <v>0</v>
      </c>
      <c r="AH153" s="54">
        <f t="shared" si="574"/>
        <v>0</v>
      </c>
      <c r="AI153" s="55">
        <f t="shared" si="575"/>
        <v>0</v>
      </c>
      <c r="AJ153" s="56">
        <f>IF(AND($E153&lt;&gt;0,$F153&gt;0,YEAR($F153)&gt;=Preisindex!$A$6,YEAR(AE$4)&gt;=YEAR($F153),AND($K153&lt;&gt;"a",$K153&lt;&gt;"b",$K153&lt;&gt;"g",$K153&lt;&gt;"k")),1,IF(AND($E153&lt;&gt;0,$F153&gt;0,YEAR($F153)&gt;=Preisindex!$A$6,YEAR(AE$4)&gt;=YEAR($F153),$K153="a"),ROUND(VLOOKUP(AJ$4,Preisindex,5,FALSE)/VLOOKUP(YEAR($F153),Preisindex,5,FALSE),2),IF(AND($E153&lt;&gt;0,$F153&gt;0,YEAR($F153)&gt;=Preisindex!$A$6,YEAR(AE$4)&gt;=YEAR($F153),$K153="b"),ROUND(VLOOKUP(AJ$4,Preisindex,3,FALSE)/VLOOKUP(YEAR($F153),Preisindex,3,FALSE),2),IF(AND($E153&lt;&gt;0,$F153&gt;0,YEAR($F153)&gt;=Preisindex!$A$6,YEAR(AE$4)&gt;=YEAR($F153),$K153="g"),ROUND(VLOOKUP(AJ$4,Preisindex,4,FALSE)/VLOOKUP(YEAR($F153),Preisindex,4,FALSE),2),IF(AND($E153&lt;&gt;0,$F153&gt;0,YEAR($F153)&gt;=Preisindex!$A$6,YEAR(AE$4)&gt;=YEAR($F153),$K153="k"),ROUND(VLOOKUP(AJ$4,Preisindex,2,FALSE)/VLOOKUP(YEAR($F153),Preisindex,2,FALSE),2),0)))))</f>
        <v>0</v>
      </c>
      <c r="AK153" s="56">
        <f>IF(AND($E153&lt;&gt;0,$F153&gt;0,YEAR($F153)&lt;Preisindex!$A$6,YEAR(AE$4)&gt;=YEAR($F153),AND($K153&lt;&gt;"a",$K153&lt;&gt;"b",$K153&lt;&gt;"g",$K153&lt;&gt;"k")),1,IF(AND($E153&lt;&gt;0,$F153&gt;0,YEAR($F153)&lt;Preisindex!$A$6,YEAR(AE$4)&gt;=YEAR($F153),$K153="a"),ROUND(VLOOKUP(AJ$4,Preisindex,5,FALSE)/VLOOKUP(Preisindex!$A$6,Preisindex,5,FALSE),2),IF(AND($E153&lt;&gt;0,$F153&gt;0,YEAR($F153)&lt;Preisindex!$A$6,YEAR(AE$4)&gt;=YEAR($F153),$K153="b"),ROUND(VLOOKUP(AJ$4,Preisindex,3,FALSE)/VLOOKUP(Preisindex!$A$6,Preisindex,3,FALSE),2),IF(AND($E153&lt;&gt;0,$F153&gt;0,YEAR($F153)&lt;Preisindex!$A$6,YEAR(AE$4)&gt;=YEAR($F153),$K153="g"),ROUND(VLOOKUP(AJ$4,Preisindex,4,FALSE)/VLOOKUP(Preisindex!$A$6,Preisindex,4,FALSE),2),IF(AND($E153&lt;&gt;0,$F153&gt;0,YEAR($F153)&lt;Preisindex!$A$6,YEAR(AE$4)&gt;=YEAR($F153),$K153="k"),ROUND(VLOOKUP(AJ$4,Preisindex,2,FALSE)/VLOOKUP(Preisindex!$A$6,Preisindex,2,FALSE),2),0)))))</f>
        <v>0</v>
      </c>
      <c r="AL153" s="51">
        <f>IF(AND($E153&lt;&gt;0,$F153&gt;0,YEAR($F153)&lt;=AJ$4,YEAR($F153)&gt;=Preisindex!$A$6),ROUND($E153*AJ153,2),IF(AND($E153&lt;&gt;0,$F153&gt;0,YEAR($F153)&lt;=AJ$4,YEAR($F153)&lt;Preisindex!$A$6),ROUND($E153*AK153,2),0))</f>
        <v>0</v>
      </c>
      <c r="AM153" s="53">
        <f t="shared" si="576"/>
        <v>0</v>
      </c>
      <c r="AN153" s="51">
        <f t="shared" si="577"/>
        <v>0</v>
      </c>
      <c r="AO153" s="51">
        <f t="shared" si="579"/>
        <v>0</v>
      </c>
      <c r="AP153" s="51">
        <f t="shared" si="493"/>
        <v>0</v>
      </c>
      <c r="AQ153" s="51">
        <f t="shared" si="580"/>
        <v>0</v>
      </c>
      <c r="AR153" s="51">
        <f t="shared" si="494"/>
        <v>0</v>
      </c>
      <c r="AS153" s="51">
        <f t="shared" si="581"/>
        <v>0</v>
      </c>
      <c r="AT153" s="51">
        <f t="shared" si="495"/>
        <v>0</v>
      </c>
      <c r="AU153" s="51">
        <f t="shared" si="582"/>
        <v>0</v>
      </c>
      <c r="AV153" s="51">
        <f t="shared" si="496"/>
        <v>0</v>
      </c>
      <c r="AW153" s="51">
        <f t="shared" si="583"/>
        <v>0</v>
      </c>
      <c r="AX153" s="51">
        <f t="shared" si="497"/>
        <v>0</v>
      </c>
      <c r="AY153" s="54">
        <f t="shared" si="498"/>
        <v>0</v>
      </c>
      <c r="AZ153" s="55">
        <f t="shared" si="499"/>
        <v>0</v>
      </c>
      <c r="BA153" s="56">
        <f>IF(AND($E153&lt;&gt;0,$F153&gt;0,YEAR($F153)&gt;=Preisindex!$A$6,YEAR(AV$4)&gt;=YEAR($F153),AND($K153&lt;&gt;"a",$K153&lt;&gt;"b",$K153&lt;&gt;"g",$K153&lt;&gt;"k")),1,IF(AND($E153&lt;&gt;0,$F153&gt;0,YEAR($F153)&gt;=Preisindex!$A$6,YEAR(AV$4)&gt;=YEAR($F153),$K153="a"),ROUND(VLOOKUP(BA$4,Preisindex,5,FALSE)/VLOOKUP(YEAR($F153),Preisindex,5,FALSE),2),IF(AND($E153&lt;&gt;0,$F153&gt;0,YEAR($F153)&gt;=Preisindex!$A$6,YEAR(AV$4)&gt;=YEAR($F153),$K153="b"),ROUND(VLOOKUP(BA$4,Preisindex,3,FALSE)/VLOOKUP(YEAR($F153),Preisindex,3,FALSE),2),IF(AND($E153&lt;&gt;0,$F153&gt;0,YEAR($F153)&gt;=Preisindex!$A$6,YEAR(AV$4)&gt;=YEAR($F153),$K153="g"),ROUND(VLOOKUP(BA$4,Preisindex,4,FALSE)/VLOOKUP(YEAR($F153),Preisindex,4,FALSE),2),IF(AND($E153&lt;&gt;0,$F153&gt;0,YEAR($F153)&gt;=Preisindex!$A$6,YEAR(AV$4)&gt;=YEAR($F153),$K153="k"),ROUND(VLOOKUP(BA$4,Preisindex,2,FALSE)/VLOOKUP(YEAR($F153),Preisindex,2,FALSE),2),0)))))</f>
        <v>0</v>
      </c>
      <c r="BB153" s="56">
        <f>IF(AND($E153&lt;&gt;0,$F153&gt;0,YEAR($F153)&lt;Preisindex!$A$6,YEAR(AV$4)&gt;=YEAR($F153),AND($K153&lt;&gt;"a",$K153&lt;&gt;"b",$K153&lt;&gt;"g",$K153&lt;&gt;"k")),1,IF(AND($E153&lt;&gt;0,$F153&gt;0,YEAR($F153)&lt;Preisindex!$A$6,YEAR(AV$4)&gt;=YEAR($F153),$K153="a"),ROUND(VLOOKUP(BA$4,Preisindex,5,FALSE)/VLOOKUP(Preisindex!$A$6,Preisindex,5,FALSE),2),IF(AND($E153&lt;&gt;0,$F153&gt;0,YEAR($F153)&lt;Preisindex!$A$6,YEAR(AV$4)&gt;=YEAR($F153),$K153="b"),ROUND(VLOOKUP(BA$4,Preisindex,3,FALSE)/VLOOKUP(Preisindex!$A$6,Preisindex,3,FALSE),2),IF(AND($E153&lt;&gt;0,$F153&gt;0,YEAR($F153)&lt;Preisindex!$A$6,YEAR(AV$4)&gt;=YEAR($F153),$K153="g"),ROUND(VLOOKUP(BA$4,Preisindex,4,FALSE)/VLOOKUP(Preisindex!$A$6,Preisindex,4,FALSE),2),IF(AND($E153&lt;&gt;0,$F153&gt;0,YEAR($F153)&lt;Preisindex!$A$6,YEAR(AV$4)&gt;=YEAR($F153),$K153="k"),ROUND(VLOOKUP(BA$4,Preisindex,2,FALSE)/VLOOKUP(Preisindex!$A$6,Preisindex,2,FALSE),2),0)))))</f>
        <v>0</v>
      </c>
      <c r="BC153" s="51">
        <f>IF(AND($E153&lt;&gt;0,$F153&gt;0,YEAR($F153)&lt;=BA$4,YEAR($F153)&gt;=Preisindex!$A$6),ROUND($E153*BA153,2),IF(AND($E153&lt;&gt;0,$F153&gt;0,YEAR($F153)&lt;=BA$4,YEAR($F153)&lt;Preisindex!$A$6),ROUND($E153*BB153,2),0))</f>
        <v>0</v>
      </c>
      <c r="BD153" s="53">
        <f t="shared" si="500"/>
        <v>0</v>
      </c>
      <c r="BE153" s="51">
        <f t="shared" si="577"/>
        <v>0</v>
      </c>
      <c r="BF153" s="51">
        <f t="shared" si="584"/>
        <v>0</v>
      </c>
      <c r="BG153" s="51">
        <f t="shared" si="501"/>
        <v>0</v>
      </c>
      <c r="BH153" s="51">
        <f t="shared" si="585"/>
        <v>0</v>
      </c>
      <c r="BI153" s="51">
        <f t="shared" si="502"/>
        <v>0</v>
      </c>
      <c r="BJ153" s="51">
        <f t="shared" si="586"/>
        <v>0</v>
      </c>
      <c r="BK153" s="51">
        <f t="shared" si="503"/>
        <v>0</v>
      </c>
      <c r="BL153" s="51">
        <f t="shared" si="587"/>
        <v>0</v>
      </c>
      <c r="BM153" s="51">
        <f t="shared" si="504"/>
        <v>0</v>
      </c>
      <c r="BN153" s="51">
        <f t="shared" si="588"/>
        <v>0</v>
      </c>
      <c r="BO153" s="51">
        <f t="shared" si="505"/>
        <v>0</v>
      </c>
      <c r="BP153" s="54">
        <f t="shared" si="506"/>
        <v>0</v>
      </c>
      <c r="BQ153" s="55">
        <f t="shared" si="507"/>
        <v>0</v>
      </c>
      <c r="BR153" s="56">
        <f>IF(AND($E153&lt;&gt;0,$F153&gt;0,YEAR($F153)&gt;=Preisindex!$A$6,YEAR(BM$4)&gt;=YEAR($F153),AND($K153&lt;&gt;"a",$K153&lt;&gt;"b",$K153&lt;&gt;"g",$K153&lt;&gt;"k")),1,IF(AND($E153&lt;&gt;0,$F153&gt;0,YEAR($F153)&gt;=Preisindex!$A$6,YEAR(BM$4)&gt;=YEAR($F153),$K153="a"),ROUND(VLOOKUP(BR$4,Preisindex,5,FALSE)/VLOOKUP(YEAR($F153),Preisindex,5,FALSE),2),IF(AND($E153&lt;&gt;0,$F153&gt;0,YEAR($F153)&gt;=Preisindex!$A$6,YEAR(BM$4)&gt;=YEAR($F153),$K153="b"),ROUND(VLOOKUP(BR$4,Preisindex,3,FALSE)/VLOOKUP(YEAR($F153),Preisindex,3,FALSE),2),IF(AND($E153&lt;&gt;0,$F153&gt;0,YEAR($F153)&gt;=Preisindex!$A$6,YEAR(BM$4)&gt;=YEAR($F153),$K153="g"),ROUND(VLOOKUP(BR$4,Preisindex,4,FALSE)/VLOOKUP(YEAR($F153),Preisindex,4,FALSE),2),IF(AND($E153&lt;&gt;0,$F153&gt;0,YEAR($F153)&gt;=Preisindex!$A$6,YEAR(BM$4)&gt;=YEAR($F153),$K153="k"),ROUND(VLOOKUP(BR$4,Preisindex,2,FALSE)/VLOOKUP(YEAR($F153),Preisindex,2,FALSE),2),0)))))</f>
        <v>0</v>
      </c>
      <c r="BS153" s="56">
        <f>IF(AND($E153&lt;&gt;0,$F153&gt;0,YEAR($F153)&lt;Preisindex!$A$6,YEAR(BM$4)&gt;=YEAR($F153),AND($K153&lt;&gt;"a",$K153&lt;&gt;"b",$K153&lt;&gt;"g",$K153&lt;&gt;"k")),1,IF(AND($E153&lt;&gt;0,$F153&gt;0,YEAR($F153)&lt;Preisindex!$A$6,YEAR(BM$4)&gt;=YEAR($F153),$K153="a"),ROUND(VLOOKUP(BR$4,Preisindex,5,FALSE)/VLOOKUP(Preisindex!$A$6,Preisindex,5,FALSE),2),IF(AND($E153&lt;&gt;0,$F153&gt;0,YEAR($F153)&lt;Preisindex!$A$6,YEAR(BM$4)&gt;=YEAR($F153),$K153="b"),ROUND(VLOOKUP(BR$4,Preisindex,3,FALSE)/VLOOKUP(Preisindex!$A$6,Preisindex,3,FALSE),2),IF(AND($E153&lt;&gt;0,$F153&gt;0,YEAR($F153)&lt;Preisindex!$A$6,YEAR(BM$4)&gt;=YEAR($F153),$K153="g"),ROUND(VLOOKUP(BR$4,Preisindex,4,FALSE)/VLOOKUP(Preisindex!$A$6,Preisindex,4,FALSE),2),IF(AND($E153&lt;&gt;0,$F153&gt;0,YEAR($F153)&lt;Preisindex!$A$6,YEAR(BM$4)&gt;=YEAR($F153),$K153="k"),ROUND(VLOOKUP(BR$4,Preisindex,2,FALSE)/VLOOKUP(Preisindex!$A$6,Preisindex,2,FALSE),2),0)))))</f>
        <v>0</v>
      </c>
      <c r="BT153" s="51">
        <f>IF(AND($E153&lt;&gt;0,$F153&gt;0,YEAR($F153)&lt;=BR$4,YEAR($F153)&gt;=Preisindex!$A$6),ROUND($E153*BR153,2),IF(AND($E153&lt;&gt;0,$F153&gt;0,YEAR($F153)&lt;=BR$4,YEAR($F153)&lt;Preisindex!$A$6),ROUND($E153*BS153,2),0))</f>
        <v>0</v>
      </c>
      <c r="BU153" s="53">
        <f t="shared" si="508"/>
        <v>0</v>
      </c>
      <c r="BV153" s="51">
        <f t="shared" si="577"/>
        <v>0</v>
      </c>
      <c r="BW153" s="51">
        <f t="shared" si="589"/>
        <v>0</v>
      </c>
      <c r="BX153" s="51">
        <f t="shared" si="509"/>
        <v>0</v>
      </c>
      <c r="BY153" s="51">
        <f t="shared" si="590"/>
        <v>0</v>
      </c>
      <c r="BZ153" s="51">
        <f t="shared" si="510"/>
        <v>0</v>
      </c>
      <c r="CA153" s="51">
        <f t="shared" si="591"/>
        <v>0</v>
      </c>
      <c r="CB153" s="51">
        <f t="shared" si="511"/>
        <v>0</v>
      </c>
      <c r="CC153" s="51">
        <f t="shared" si="592"/>
        <v>0</v>
      </c>
      <c r="CD153" s="51">
        <f t="shared" si="512"/>
        <v>0</v>
      </c>
      <c r="CE153" s="51">
        <f t="shared" si="593"/>
        <v>0</v>
      </c>
      <c r="CF153" s="51">
        <f t="shared" si="513"/>
        <v>0</v>
      </c>
      <c r="CG153" s="54">
        <f t="shared" si="514"/>
        <v>0</v>
      </c>
      <c r="CH153" s="55">
        <f t="shared" si="515"/>
        <v>0</v>
      </c>
      <c r="CI153" s="56">
        <f>IF(AND($E153&lt;&gt;0,$F153&gt;0,YEAR($F153)&gt;=Preisindex!$A$6,YEAR(CD$4)&gt;=YEAR($F153),AND($K153&lt;&gt;"a",$K153&lt;&gt;"b",$K153&lt;&gt;"g",$K153&lt;&gt;"k")),1,IF(AND($E153&lt;&gt;0,$F153&gt;0,YEAR($F153)&gt;=Preisindex!$A$6,YEAR(CD$4)&gt;=YEAR($F153),$K153="a"),ROUND(VLOOKUP(CI$4,Preisindex,5,FALSE)/VLOOKUP(YEAR($F153),Preisindex,5,FALSE),2),IF(AND($E153&lt;&gt;0,$F153&gt;0,YEAR($F153)&gt;=Preisindex!$A$6,YEAR(CD$4)&gt;=YEAR($F153),$K153="b"),ROUND(VLOOKUP(CI$4,Preisindex,3,FALSE)/VLOOKUP(YEAR($F153),Preisindex,3,FALSE),2),IF(AND($E153&lt;&gt;0,$F153&gt;0,YEAR($F153)&gt;=Preisindex!$A$6,YEAR(CD$4)&gt;=YEAR($F153),$K153="g"),ROUND(VLOOKUP(CI$4,Preisindex,4,FALSE)/VLOOKUP(YEAR($F153),Preisindex,4,FALSE),2),IF(AND($E153&lt;&gt;0,$F153&gt;0,YEAR($F153)&gt;=Preisindex!$A$6,YEAR(CD$4)&gt;=YEAR($F153),$K153="k"),ROUND(VLOOKUP(CI$4,Preisindex,2,FALSE)/VLOOKUP(YEAR($F153),Preisindex,2,FALSE),2),0)))))</f>
        <v>0</v>
      </c>
      <c r="CJ153" s="56">
        <f>IF(AND($E153&lt;&gt;0,$F153&gt;0,YEAR($F153)&lt;Preisindex!$A$6,YEAR(CD$4)&gt;=YEAR($F153),AND($K153&lt;&gt;"a",$K153&lt;&gt;"b",$K153&lt;&gt;"g",$K153&lt;&gt;"k")),1,IF(AND($E153&lt;&gt;0,$F153&gt;0,YEAR($F153)&lt;Preisindex!$A$6,YEAR(CD$4)&gt;=YEAR($F153),$K153="a"),ROUND(VLOOKUP(CI$4,Preisindex,5,FALSE)/VLOOKUP(Preisindex!$A$6,Preisindex,5,FALSE),2),IF(AND($E153&lt;&gt;0,$F153&gt;0,YEAR($F153)&lt;Preisindex!$A$6,YEAR(CD$4)&gt;=YEAR($F153),$K153="b"),ROUND(VLOOKUP(CI$4,Preisindex,3,FALSE)/VLOOKUP(Preisindex!$A$6,Preisindex,3,FALSE),2),IF(AND($E153&lt;&gt;0,$F153&gt;0,YEAR($F153)&lt;Preisindex!$A$6,YEAR(CD$4)&gt;=YEAR($F153),$K153="g"),ROUND(VLOOKUP(CI$4,Preisindex,4,FALSE)/VLOOKUP(Preisindex!$A$6,Preisindex,4,FALSE),2),IF(AND($E153&lt;&gt;0,$F153&gt;0,YEAR($F153)&lt;Preisindex!$A$6,YEAR(CD$4)&gt;=YEAR($F153),$K153="k"),ROUND(VLOOKUP(CI$4,Preisindex,2,FALSE)/VLOOKUP(Preisindex!$A$6,Preisindex,2,FALSE),2),0)))))</f>
        <v>0</v>
      </c>
      <c r="CK153" s="51">
        <f>IF(AND($E153&lt;&gt;0,$F153&gt;0,YEAR($F153)&lt;=CI$4,YEAR($F153)&gt;=Preisindex!$A$6),ROUND($E153*CI153,2),IF(AND($E153&lt;&gt;0,$F153&gt;0,YEAR($F153)&lt;=CI$4,YEAR($F153)&lt;Preisindex!$A$6),ROUND($E153*CJ153,2),0))</f>
        <v>0</v>
      </c>
      <c r="CL153" s="53">
        <f t="shared" si="516"/>
        <v>0</v>
      </c>
      <c r="CM153" s="51">
        <f t="shared" si="577"/>
        <v>0</v>
      </c>
      <c r="CN153" s="51">
        <f t="shared" si="594"/>
        <v>0</v>
      </c>
      <c r="CO153" s="51">
        <f t="shared" si="517"/>
        <v>0</v>
      </c>
      <c r="CP153" s="51">
        <f t="shared" si="595"/>
        <v>0</v>
      </c>
      <c r="CQ153" s="51">
        <f t="shared" si="518"/>
        <v>0</v>
      </c>
      <c r="CR153" s="51">
        <f t="shared" si="596"/>
        <v>0</v>
      </c>
      <c r="CS153" s="51">
        <f t="shared" si="519"/>
        <v>0</v>
      </c>
      <c r="CT153" s="51">
        <f t="shared" si="597"/>
        <v>0</v>
      </c>
      <c r="CU153" s="51">
        <f t="shared" si="520"/>
        <v>0</v>
      </c>
      <c r="CV153" s="51">
        <f t="shared" si="598"/>
        <v>0</v>
      </c>
      <c r="CW153" s="51">
        <f t="shared" si="521"/>
        <v>0</v>
      </c>
      <c r="CX153" s="54">
        <f t="shared" si="522"/>
        <v>0</v>
      </c>
      <c r="CY153" s="55">
        <f t="shared" si="523"/>
        <v>0</v>
      </c>
      <c r="CZ153" s="56">
        <f>IF(AND($E153&lt;&gt;0,$F153&gt;0,YEAR($F153)&gt;=Preisindex!$A$6,YEAR(CU$4)&gt;=YEAR($F153),AND($K153&lt;&gt;"a",$K153&lt;&gt;"b",$K153&lt;&gt;"g",$K153&lt;&gt;"k")),1,IF(AND($E153&lt;&gt;0,$F153&gt;0,YEAR($F153)&gt;=Preisindex!$A$6,YEAR(CU$4)&gt;=YEAR($F153),$K153="a"),ROUND(VLOOKUP(CZ$4,Preisindex,5,FALSE)/VLOOKUP(YEAR($F153),Preisindex,5,FALSE),2),IF(AND($E153&lt;&gt;0,$F153&gt;0,YEAR($F153)&gt;=Preisindex!$A$6,YEAR(CU$4)&gt;=YEAR($F153),$K153="b"),ROUND(VLOOKUP(CZ$4,Preisindex,3,FALSE)/VLOOKUP(YEAR($F153),Preisindex,3,FALSE),2),IF(AND($E153&lt;&gt;0,$F153&gt;0,YEAR($F153)&gt;=Preisindex!$A$6,YEAR(CU$4)&gt;=YEAR($F153),$K153="g"),ROUND(VLOOKUP(CZ$4,Preisindex,4,FALSE)/VLOOKUP(YEAR($F153),Preisindex,4,FALSE),2),IF(AND($E153&lt;&gt;0,$F153&gt;0,YEAR($F153)&gt;=Preisindex!$A$6,YEAR(CU$4)&gt;=YEAR($F153),$K153="k"),ROUND(VLOOKUP(CZ$4,Preisindex,2,FALSE)/VLOOKUP(YEAR($F153),Preisindex,2,FALSE),2),0)))))</f>
        <v>0</v>
      </c>
      <c r="DA153" s="56">
        <f>IF(AND($E153&lt;&gt;0,$F153&gt;0,YEAR($F153)&lt;Preisindex!$A$6,YEAR(CU$4)&gt;=YEAR($F153),AND($K153&lt;&gt;"a",$K153&lt;&gt;"b",$K153&lt;&gt;"g",$K153&lt;&gt;"k")),1,IF(AND($E153&lt;&gt;0,$F153&gt;0,YEAR($F153)&lt;Preisindex!$A$6,YEAR(CU$4)&gt;=YEAR($F153),$K153="a"),ROUND(VLOOKUP(CZ$4,Preisindex,5,FALSE)/VLOOKUP(Preisindex!$A$6,Preisindex,5,FALSE),2),IF(AND($E153&lt;&gt;0,$F153&gt;0,YEAR($F153)&lt;Preisindex!$A$6,YEAR(CU$4)&gt;=YEAR($F153),$K153="b"),ROUND(VLOOKUP(CZ$4,Preisindex,3,FALSE)/VLOOKUP(Preisindex!$A$6,Preisindex,3,FALSE),2),IF(AND($E153&lt;&gt;0,$F153&gt;0,YEAR($F153)&lt;Preisindex!$A$6,YEAR(CU$4)&gt;=YEAR($F153),$K153="g"),ROUND(VLOOKUP(CZ$4,Preisindex,4,FALSE)/VLOOKUP(Preisindex!$A$6,Preisindex,4,FALSE),2),IF(AND($E153&lt;&gt;0,$F153&gt;0,YEAR($F153)&lt;Preisindex!$A$6,YEAR(CU$4)&gt;=YEAR($F153),$K153="k"),ROUND(VLOOKUP(CZ$4,Preisindex,2,FALSE)/VLOOKUP(Preisindex!$A$6,Preisindex,2,FALSE),2),0)))))</f>
        <v>0</v>
      </c>
      <c r="DB153" s="51">
        <f>IF(AND($E153&lt;&gt;0,$F153&gt;0,YEAR($F153)&lt;=CZ$4,YEAR($F153)&gt;=Preisindex!$A$6),ROUND($E153*CZ153,2),IF(AND($E153&lt;&gt;0,$F153&gt;0,YEAR($F153)&lt;=CZ$4,YEAR($F153)&lt;Preisindex!$A$6),ROUND($E153*DA153,2),0))</f>
        <v>0</v>
      </c>
      <c r="DC153" s="53">
        <f t="shared" si="524"/>
        <v>0</v>
      </c>
      <c r="DD153" s="51">
        <f t="shared" si="578"/>
        <v>0</v>
      </c>
      <c r="DE153" s="51">
        <f t="shared" si="599"/>
        <v>0</v>
      </c>
      <c r="DF153" s="51">
        <f t="shared" si="526"/>
        <v>0</v>
      </c>
      <c r="DG153" s="51">
        <f t="shared" si="600"/>
        <v>0</v>
      </c>
      <c r="DH153" s="51">
        <f t="shared" si="527"/>
        <v>0</v>
      </c>
      <c r="DI153" s="51">
        <f t="shared" si="601"/>
        <v>0</v>
      </c>
      <c r="DJ153" s="51">
        <f t="shared" si="528"/>
        <v>0</v>
      </c>
      <c r="DK153" s="51">
        <f t="shared" si="602"/>
        <v>0</v>
      </c>
      <c r="DL153" s="51">
        <f t="shared" si="529"/>
        <v>0</v>
      </c>
      <c r="DM153" s="51">
        <f t="shared" si="603"/>
        <v>0</v>
      </c>
      <c r="DN153" s="51">
        <f t="shared" si="530"/>
        <v>0</v>
      </c>
      <c r="DO153" s="54">
        <f t="shared" si="531"/>
        <v>0</v>
      </c>
      <c r="DP153" s="55">
        <f t="shared" si="532"/>
        <v>0</v>
      </c>
      <c r="DQ153" s="56">
        <f>IF(AND($E153&lt;&gt;0,$F153&gt;0,YEAR($F153)&gt;=Preisindex!$A$6,YEAR(DL$4)&gt;=YEAR($F153),AND($K153&lt;&gt;"a",$K153&lt;&gt;"b",$K153&lt;&gt;"g",$K153&lt;&gt;"k")),1,IF(AND($E153&lt;&gt;0,$F153&gt;0,YEAR($F153)&gt;=Preisindex!$A$6,YEAR(DL$4)&gt;=YEAR($F153),$K153="a"),ROUND(VLOOKUP(DQ$4,Preisindex,5,FALSE)/VLOOKUP(YEAR($F153),Preisindex,5,FALSE),2),IF(AND($E153&lt;&gt;0,$F153&gt;0,YEAR($F153)&gt;=Preisindex!$A$6,YEAR(DL$4)&gt;=YEAR($F153),$K153="b"),ROUND(VLOOKUP(DQ$4,Preisindex,3,FALSE)/VLOOKUP(YEAR($F153),Preisindex,3,FALSE),2),IF(AND($E153&lt;&gt;0,$F153&gt;0,YEAR($F153)&gt;=Preisindex!$A$6,YEAR(DL$4)&gt;=YEAR($F153),$K153="g"),ROUND(VLOOKUP(DQ$4,Preisindex,4,FALSE)/VLOOKUP(YEAR($F153),Preisindex,4,FALSE),2),IF(AND($E153&lt;&gt;0,$F153&gt;0,YEAR($F153)&gt;=Preisindex!$A$6,YEAR(DL$4)&gt;=YEAR($F153),$K153="k"),ROUND(VLOOKUP(DQ$4,Preisindex,2,FALSE)/VLOOKUP(YEAR($F153),Preisindex,2,FALSE),2),0)))))</f>
        <v>0</v>
      </c>
      <c r="DR153" s="56">
        <f>IF(AND($E153&lt;&gt;0,$F153&gt;0,YEAR($F153)&lt;Preisindex!$A$6,YEAR(DL$4)&gt;=YEAR($F153),AND($K153&lt;&gt;"a",$K153&lt;&gt;"b",$K153&lt;&gt;"g",$K153&lt;&gt;"k")),1,IF(AND($E153&lt;&gt;0,$F153&gt;0,YEAR($F153)&lt;Preisindex!$A$6,YEAR(DL$4)&gt;=YEAR($F153),$K153="a"),ROUND(VLOOKUP(DQ$4,Preisindex,5,FALSE)/VLOOKUP(Preisindex!$A$6,Preisindex,5,FALSE),2),IF(AND($E153&lt;&gt;0,$F153&gt;0,YEAR($F153)&lt;Preisindex!$A$6,YEAR(DL$4)&gt;=YEAR($F153),$K153="b"),ROUND(VLOOKUP(DQ$4,Preisindex,3,FALSE)/VLOOKUP(Preisindex!$A$6,Preisindex,3,FALSE),2),IF(AND($E153&lt;&gt;0,$F153&gt;0,YEAR($F153)&lt;Preisindex!$A$6,YEAR(DL$4)&gt;=YEAR($F153),$K153="g"),ROUND(VLOOKUP(DQ$4,Preisindex,4,FALSE)/VLOOKUP(Preisindex!$A$6,Preisindex,4,FALSE),2),IF(AND($E153&lt;&gt;0,$F153&gt;0,YEAR($F153)&lt;Preisindex!$A$6,YEAR(DL$4)&gt;=YEAR($F153),$K153="k"),ROUND(VLOOKUP(DQ$4,Preisindex,2,FALSE)/VLOOKUP(Preisindex!$A$6,Preisindex,2,FALSE),2),0)))))</f>
        <v>0</v>
      </c>
      <c r="DS153" s="51">
        <f>IF(AND($E153&lt;&gt;0,$F153&gt;0,YEAR($F153)&lt;=DQ$4,YEAR($F153)&gt;=Preisindex!$A$6),ROUND($E153*DQ153,2),IF(AND($E153&lt;&gt;0,$F153&gt;0,YEAR($F153)&lt;=DQ$4,YEAR($F153)&lt;Preisindex!$A$6),ROUND($E153*DR153,2),0))</f>
        <v>0</v>
      </c>
      <c r="DT153" s="53">
        <f t="shared" si="533"/>
        <v>0</v>
      </c>
      <c r="DU153" s="51">
        <f t="shared" si="578"/>
        <v>0</v>
      </c>
      <c r="DV153" s="51">
        <f t="shared" si="604"/>
        <v>0</v>
      </c>
      <c r="DW153" s="51">
        <f t="shared" si="534"/>
        <v>0</v>
      </c>
      <c r="DX153" s="51">
        <f t="shared" si="605"/>
        <v>0</v>
      </c>
      <c r="DY153" s="51">
        <f t="shared" si="535"/>
        <v>0</v>
      </c>
      <c r="DZ153" s="51">
        <f t="shared" si="606"/>
        <v>0</v>
      </c>
      <c r="EA153" s="51">
        <f t="shared" si="536"/>
        <v>0</v>
      </c>
      <c r="EB153" s="51">
        <f t="shared" si="607"/>
        <v>0</v>
      </c>
      <c r="EC153" s="51">
        <f t="shared" si="537"/>
        <v>0</v>
      </c>
      <c r="ED153" s="51">
        <f t="shared" si="608"/>
        <v>0</v>
      </c>
      <c r="EE153" s="51">
        <f t="shared" si="538"/>
        <v>0</v>
      </c>
      <c r="EF153" s="54">
        <f t="shared" si="539"/>
        <v>0</v>
      </c>
      <c r="EG153" s="55">
        <f t="shared" si="540"/>
        <v>0</v>
      </c>
      <c r="EH153" s="56">
        <f>IF(AND($E153&lt;&gt;0,$F153&gt;0,YEAR($F153)&gt;=Preisindex!$A$6,YEAR(EC$4)&gt;=YEAR($F153),AND($K153&lt;&gt;"a",$K153&lt;&gt;"b",$K153&lt;&gt;"g",$K153&lt;&gt;"k")),1,IF(AND($E153&lt;&gt;0,$F153&gt;0,YEAR($F153)&gt;=Preisindex!$A$6,YEAR(EC$4)&gt;=YEAR($F153),$K153="a"),ROUND(VLOOKUP(EH$4,Preisindex,5,FALSE)/VLOOKUP(YEAR($F153),Preisindex,5,FALSE),2),IF(AND($E153&lt;&gt;0,$F153&gt;0,YEAR($F153)&gt;=Preisindex!$A$6,YEAR(EC$4)&gt;=YEAR($F153),$K153="b"),ROUND(VLOOKUP(EH$4,Preisindex,3,FALSE)/VLOOKUP(YEAR($F153),Preisindex,3,FALSE),2),IF(AND($E153&lt;&gt;0,$F153&gt;0,YEAR($F153)&gt;=Preisindex!$A$6,YEAR(EC$4)&gt;=YEAR($F153),$K153="g"),ROUND(VLOOKUP(EH$4,Preisindex,4,FALSE)/VLOOKUP(YEAR($F153),Preisindex,4,FALSE),2),IF(AND($E153&lt;&gt;0,$F153&gt;0,YEAR($F153)&gt;=Preisindex!$A$6,YEAR(EC$4)&gt;=YEAR($F153),$K153="k"),ROUND(VLOOKUP(EH$4,Preisindex,2,FALSE)/VLOOKUP(YEAR($F153),Preisindex,2,FALSE),2),0)))))</f>
        <v>0</v>
      </c>
      <c r="EI153" s="56">
        <f>IF(AND($E153&lt;&gt;0,$F153&gt;0,YEAR($F153)&lt;Preisindex!$A$6,YEAR(EC$4)&gt;=YEAR($F153),AND($K153&lt;&gt;"a",$K153&lt;&gt;"b",$K153&lt;&gt;"g",$K153&lt;&gt;"k")),1,IF(AND($E153&lt;&gt;0,$F153&gt;0,YEAR($F153)&lt;Preisindex!$A$6,YEAR(EC$4)&gt;=YEAR($F153),$K153="a"),ROUND(VLOOKUP(EH$4,Preisindex,5,FALSE)/VLOOKUP(Preisindex!$A$6,Preisindex,5,FALSE),2),IF(AND($E153&lt;&gt;0,$F153&gt;0,YEAR($F153)&lt;Preisindex!$A$6,YEAR(EC$4)&gt;=YEAR($F153),$K153="b"),ROUND(VLOOKUP(EH$4,Preisindex,3,FALSE)/VLOOKUP(Preisindex!$A$6,Preisindex,3,FALSE),2),IF(AND($E153&lt;&gt;0,$F153&gt;0,YEAR($F153)&lt;Preisindex!$A$6,YEAR(EC$4)&gt;=YEAR($F153),$K153="g"),ROUND(VLOOKUP(EH$4,Preisindex,4,FALSE)/VLOOKUP(Preisindex!$A$6,Preisindex,4,FALSE),2),IF(AND($E153&lt;&gt;0,$F153&gt;0,YEAR($F153)&lt;Preisindex!$A$6,YEAR(EC$4)&gt;=YEAR($F153),$K153="k"),ROUND(VLOOKUP(EH$4,Preisindex,2,FALSE)/VLOOKUP(Preisindex!$A$6,Preisindex,2,FALSE),2),0)))))</f>
        <v>0</v>
      </c>
      <c r="EJ153" s="51">
        <f>IF(AND($E153&lt;&gt;0,$F153&gt;0,YEAR($F153)&lt;=EH$4,YEAR($F153)&gt;=Preisindex!$A$6),ROUND($E153*EH153,2),IF(AND($E153&lt;&gt;0,$F153&gt;0,YEAR($F153)&lt;=EH$4,YEAR($F153)&lt;Preisindex!$A$6),ROUND($E153*EI153,2),0))</f>
        <v>0</v>
      </c>
      <c r="EK153" s="53">
        <f t="shared" si="541"/>
        <v>0</v>
      </c>
      <c r="EL153" s="51">
        <f t="shared" si="578"/>
        <v>0</v>
      </c>
      <c r="EM153" s="51">
        <f t="shared" si="609"/>
        <v>0</v>
      </c>
      <c r="EN153" s="51">
        <f t="shared" si="542"/>
        <v>0</v>
      </c>
      <c r="EO153" s="51">
        <f t="shared" si="610"/>
        <v>0</v>
      </c>
      <c r="EP153" s="51">
        <f t="shared" si="543"/>
        <v>0</v>
      </c>
      <c r="EQ153" s="51">
        <f t="shared" si="611"/>
        <v>0</v>
      </c>
      <c r="ER153" s="51">
        <f t="shared" si="544"/>
        <v>0</v>
      </c>
      <c r="ES153" s="51">
        <f t="shared" si="612"/>
        <v>0</v>
      </c>
      <c r="ET153" s="51">
        <f t="shared" si="545"/>
        <v>0</v>
      </c>
      <c r="EU153" s="51">
        <f t="shared" si="613"/>
        <v>0</v>
      </c>
      <c r="EV153" s="51">
        <f t="shared" si="546"/>
        <v>0</v>
      </c>
      <c r="EW153" s="54">
        <f t="shared" si="547"/>
        <v>0</v>
      </c>
      <c r="EX153" s="55">
        <f t="shared" si="548"/>
        <v>0</v>
      </c>
      <c r="EY153" s="56">
        <f>IF(AND($E153&lt;&gt;0,$F153&gt;0,YEAR($F153)&gt;=Preisindex!$A$6,YEAR(ET$4)&gt;=YEAR($F153),AND($K153&lt;&gt;"a",$K153&lt;&gt;"b",$K153&lt;&gt;"g",$K153&lt;&gt;"k")),1,IF(AND($E153&lt;&gt;0,$F153&gt;0,YEAR($F153)&gt;=Preisindex!$A$6,YEAR(ET$4)&gt;=YEAR($F153),$K153="a"),ROUND(VLOOKUP(EY$4,Preisindex,5,FALSE)/VLOOKUP(YEAR($F153),Preisindex,5,FALSE),2),IF(AND($E153&lt;&gt;0,$F153&gt;0,YEAR($F153)&gt;=Preisindex!$A$6,YEAR(ET$4)&gt;=YEAR($F153),$K153="b"),ROUND(VLOOKUP(EY$4,Preisindex,3,FALSE)/VLOOKUP(YEAR($F153),Preisindex,3,FALSE),2),IF(AND($E153&lt;&gt;0,$F153&gt;0,YEAR($F153)&gt;=Preisindex!$A$6,YEAR(ET$4)&gt;=YEAR($F153),$K153="g"),ROUND(VLOOKUP(EY$4,Preisindex,4,FALSE)/VLOOKUP(YEAR($F153),Preisindex,4,FALSE),2),IF(AND($E153&lt;&gt;0,$F153&gt;0,YEAR($F153)&gt;=Preisindex!$A$6,YEAR(ET$4)&gt;=YEAR($F153),$K153="k"),ROUND(VLOOKUP(EY$4,Preisindex,2,FALSE)/VLOOKUP(YEAR($F153),Preisindex,2,FALSE),2),0)))))</f>
        <v>0</v>
      </c>
      <c r="EZ153" s="56">
        <f>IF(AND($E153&lt;&gt;0,$F153&gt;0,YEAR($F153)&lt;Preisindex!$A$6,YEAR(ET$4)&gt;=YEAR($F153),AND($K153&lt;&gt;"a",$K153&lt;&gt;"b",$K153&lt;&gt;"g",$K153&lt;&gt;"k")),1,IF(AND($E153&lt;&gt;0,$F153&gt;0,YEAR($F153)&lt;Preisindex!$A$6,YEAR(ET$4)&gt;=YEAR($F153),$K153="a"),ROUND(VLOOKUP(EY$4,Preisindex,5,FALSE)/VLOOKUP(Preisindex!$A$6,Preisindex,5,FALSE),2),IF(AND($E153&lt;&gt;0,$F153&gt;0,YEAR($F153)&lt;Preisindex!$A$6,YEAR(ET$4)&gt;=YEAR($F153),$K153="b"),ROUND(VLOOKUP(EY$4,Preisindex,3,FALSE)/VLOOKUP(Preisindex!$A$6,Preisindex,3,FALSE),2),IF(AND($E153&lt;&gt;0,$F153&gt;0,YEAR($F153)&lt;Preisindex!$A$6,YEAR(ET$4)&gt;=YEAR($F153),$K153="g"),ROUND(VLOOKUP(EY$4,Preisindex,4,FALSE)/VLOOKUP(Preisindex!$A$6,Preisindex,4,FALSE),2),IF(AND($E153&lt;&gt;0,$F153&gt;0,YEAR($F153)&lt;Preisindex!$A$6,YEAR(ET$4)&gt;=YEAR($F153),$K153="k"),ROUND(VLOOKUP(EY$4,Preisindex,2,FALSE)/VLOOKUP(Preisindex!$A$6,Preisindex,2,FALSE),2),0)))))</f>
        <v>0</v>
      </c>
      <c r="FA153" s="51">
        <f>IF(AND($E153&lt;&gt;0,$F153&gt;0,YEAR($F153)&lt;=EY$4,YEAR($F153)&gt;=Preisindex!$A$6),ROUND($E153*EY153,2),IF(AND($E153&lt;&gt;0,$F153&gt;0,YEAR($F153)&lt;=EY$4,YEAR($F153)&lt;Preisindex!$A$6),ROUND($E153*EZ153,2),0))</f>
        <v>0</v>
      </c>
      <c r="FB153" s="53">
        <f t="shared" si="549"/>
        <v>0</v>
      </c>
      <c r="FC153" s="51">
        <f t="shared" si="578"/>
        <v>0</v>
      </c>
      <c r="FD153" s="51">
        <f t="shared" si="614"/>
        <v>0</v>
      </c>
      <c r="FE153" s="51">
        <f t="shared" si="550"/>
        <v>0</v>
      </c>
      <c r="FF153" s="51">
        <f t="shared" si="615"/>
        <v>0</v>
      </c>
      <c r="FG153" s="51">
        <f t="shared" si="551"/>
        <v>0</v>
      </c>
      <c r="FH153" s="51">
        <f t="shared" si="616"/>
        <v>0</v>
      </c>
      <c r="FI153" s="51">
        <f t="shared" si="552"/>
        <v>0</v>
      </c>
      <c r="FJ153" s="51">
        <f t="shared" si="617"/>
        <v>0</v>
      </c>
      <c r="FK153" s="51">
        <f t="shared" si="553"/>
        <v>0</v>
      </c>
      <c r="FL153" s="51">
        <f t="shared" si="618"/>
        <v>0</v>
      </c>
      <c r="FM153" s="51">
        <f t="shared" si="554"/>
        <v>0</v>
      </c>
      <c r="FN153" s="54">
        <f t="shared" si="555"/>
        <v>0</v>
      </c>
      <c r="FO153" s="55">
        <f t="shared" si="556"/>
        <v>0</v>
      </c>
      <c r="FP153" s="56">
        <f>IF(AND($E153&lt;&gt;0,$F153&gt;0,YEAR($F153)&gt;=Preisindex!$A$6,YEAR(FK$4)&gt;=YEAR($F153),AND($K153&lt;&gt;"a",$K153&lt;&gt;"b",$K153&lt;&gt;"g",$K153&lt;&gt;"k")),1,IF(AND($E153&lt;&gt;0,$F153&gt;0,YEAR($F153)&gt;=Preisindex!$A$6,YEAR(FK$4)&gt;=YEAR($F153),$K153="a"),ROUND(VLOOKUP(FP$4,Preisindex,5,FALSE)/VLOOKUP(YEAR($F153),Preisindex,5,FALSE),2),IF(AND($E153&lt;&gt;0,$F153&gt;0,YEAR($F153)&gt;=Preisindex!$A$6,YEAR(FK$4)&gt;=YEAR($F153),$K153="b"),ROUND(VLOOKUP(FP$4,Preisindex,3,FALSE)/VLOOKUP(YEAR($F153),Preisindex,3,FALSE),2),IF(AND($E153&lt;&gt;0,$F153&gt;0,YEAR($F153)&gt;=Preisindex!$A$6,YEAR(FK$4)&gt;=YEAR($F153),$K153="g"),ROUND(VLOOKUP(FP$4,Preisindex,4,FALSE)/VLOOKUP(YEAR($F153),Preisindex,4,FALSE),2),IF(AND($E153&lt;&gt;0,$F153&gt;0,YEAR($F153)&gt;=Preisindex!$A$6,YEAR(FK$4)&gt;=YEAR($F153),$K153="k"),ROUND(VLOOKUP(FP$4,Preisindex,2,FALSE)/VLOOKUP(YEAR($F153),Preisindex,2,FALSE),2),0)))))</f>
        <v>0</v>
      </c>
      <c r="FQ153" s="56">
        <f>IF(AND($E153&lt;&gt;0,$F153&gt;0,YEAR($F153)&lt;Preisindex!$A$6,YEAR(FK$4)&gt;=YEAR($F153),AND($K153&lt;&gt;"a",$K153&lt;&gt;"b",$K153&lt;&gt;"g",$K153&lt;&gt;"k")),1,IF(AND($E153&lt;&gt;0,$F153&gt;0,YEAR($F153)&lt;Preisindex!$A$6,YEAR(FK$4)&gt;=YEAR($F153),$K153="a"),ROUND(VLOOKUP(FP$4,Preisindex,5,FALSE)/VLOOKUP(Preisindex!$A$6,Preisindex,5,FALSE),2),IF(AND($E153&lt;&gt;0,$F153&gt;0,YEAR($F153)&lt;Preisindex!$A$6,YEAR(FK$4)&gt;=YEAR($F153),$K153="b"),ROUND(VLOOKUP(FP$4,Preisindex,3,FALSE)/VLOOKUP(Preisindex!$A$6,Preisindex,3,FALSE),2),IF(AND($E153&lt;&gt;0,$F153&gt;0,YEAR($F153)&lt;Preisindex!$A$6,YEAR(FK$4)&gt;=YEAR($F153),$K153="g"),ROUND(VLOOKUP(FP$4,Preisindex,4,FALSE)/VLOOKUP(Preisindex!$A$6,Preisindex,4,FALSE),2),IF(AND($E153&lt;&gt;0,$F153&gt;0,YEAR($F153)&lt;Preisindex!$A$6,YEAR(FK$4)&gt;=YEAR($F153),$K153="k"),ROUND(VLOOKUP(FP$4,Preisindex,2,FALSE)/VLOOKUP(Preisindex!$A$6,Preisindex,2,FALSE),2),0)))))</f>
        <v>0</v>
      </c>
      <c r="FR153" s="51">
        <f>IF(AND($E153&lt;&gt;0,$F153&gt;0,YEAR($F153)&lt;=FP$4,YEAR($F153)&gt;=Preisindex!$A$6),ROUND($E153*FP153,2),IF(AND($E153&lt;&gt;0,$F153&gt;0,YEAR($F153)&lt;=FP$4,YEAR($F153)&lt;Preisindex!$A$6),ROUND($E153*FQ153,2),0))</f>
        <v>0</v>
      </c>
      <c r="FS153" s="53">
        <f t="shared" si="557"/>
        <v>0</v>
      </c>
    </row>
    <row r="154" spans="1:175" x14ac:dyDescent="0.3">
      <c r="A154" s="93"/>
      <c r="B154" s="94"/>
      <c r="C154" s="94"/>
      <c r="D154" s="95"/>
      <c r="E154" s="99"/>
      <c r="F154" s="97"/>
      <c r="G154" s="98"/>
      <c r="H154" s="620"/>
      <c r="I154" s="621"/>
      <c r="J154" s="194"/>
      <c r="K154" s="630"/>
      <c r="L154" s="49">
        <f t="shared" si="558"/>
        <v>0</v>
      </c>
      <c r="M154" s="50">
        <f t="shared" si="559"/>
        <v>0</v>
      </c>
      <c r="N154" s="51">
        <f t="shared" si="560"/>
        <v>0</v>
      </c>
      <c r="O154" s="51"/>
      <c r="P154" s="51">
        <f t="shared" si="561"/>
        <v>0</v>
      </c>
      <c r="Q154" s="52"/>
      <c r="R154" s="52"/>
      <c r="S154" s="52"/>
      <c r="T154" s="52"/>
      <c r="U154" s="52"/>
      <c r="V154" s="53">
        <f t="shared" si="562"/>
        <v>0</v>
      </c>
      <c r="W154" s="51">
        <f t="shared" si="563"/>
        <v>0</v>
      </c>
      <c r="X154" s="51">
        <f t="shared" si="564"/>
        <v>0</v>
      </c>
      <c r="Y154" s="51">
        <f t="shared" si="565"/>
        <v>0</v>
      </c>
      <c r="Z154" s="51">
        <f t="shared" si="566"/>
        <v>0</v>
      </c>
      <c r="AA154" s="51">
        <f t="shared" si="567"/>
        <v>0</v>
      </c>
      <c r="AB154" s="51">
        <f t="shared" si="568"/>
        <v>0</v>
      </c>
      <c r="AC154" s="51">
        <f t="shared" si="569"/>
        <v>0</v>
      </c>
      <c r="AD154" s="51">
        <f t="shared" si="570"/>
        <v>0</v>
      </c>
      <c r="AE154" s="51">
        <f t="shared" si="571"/>
        <v>0</v>
      </c>
      <c r="AF154" s="51">
        <f t="shared" si="572"/>
        <v>0</v>
      </c>
      <c r="AG154" s="51">
        <f t="shared" si="573"/>
        <v>0</v>
      </c>
      <c r="AH154" s="54">
        <f t="shared" si="574"/>
        <v>0</v>
      </c>
      <c r="AI154" s="55">
        <f t="shared" si="575"/>
        <v>0</v>
      </c>
      <c r="AJ154" s="56">
        <f>IF(AND($E154&lt;&gt;0,$F154&gt;0,YEAR($F154)&gt;=Preisindex!$A$6,YEAR(AE$4)&gt;=YEAR($F154),AND($K154&lt;&gt;"a",$K154&lt;&gt;"b",$K154&lt;&gt;"g",$K154&lt;&gt;"k")),1,IF(AND($E154&lt;&gt;0,$F154&gt;0,YEAR($F154)&gt;=Preisindex!$A$6,YEAR(AE$4)&gt;=YEAR($F154),$K154="a"),ROUND(VLOOKUP(AJ$4,Preisindex,5,FALSE)/VLOOKUP(YEAR($F154),Preisindex,5,FALSE),2),IF(AND($E154&lt;&gt;0,$F154&gt;0,YEAR($F154)&gt;=Preisindex!$A$6,YEAR(AE$4)&gt;=YEAR($F154),$K154="b"),ROUND(VLOOKUP(AJ$4,Preisindex,3,FALSE)/VLOOKUP(YEAR($F154),Preisindex,3,FALSE),2),IF(AND($E154&lt;&gt;0,$F154&gt;0,YEAR($F154)&gt;=Preisindex!$A$6,YEAR(AE$4)&gt;=YEAR($F154),$K154="g"),ROUND(VLOOKUP(AJ$4,Preisindex,4,FALSE)/VLOOKUP(YEAR($F154),Preisindex,4,FALSE),2),IF(AND($E154&lt;&gt;0,$F154&gt;0,YEAR($F154)&gt;=Preisindex!$A$6,YEAR(AE$4)&gt;=YEAR($F154),$K154="k"),ROUND(VLOOKUP(AJ$4,Preisindex,2,FALSE)/VLOOKUP(YEAR($F154),Preisindex,2,FALSE),2),0)))))</f>
        <v>0</v>
      </c>
      <c r="AK154" s="56">
        <f>IF(AND($E154&lt;&gt;0,$F154&gt;0,YEAR($F154)&lt;Preisindex!$A$6,YEAR(AE$4)&gt;=YEAR($F154),AND($K154&lt;&gt;"a",$K154&lt;&gt;"b",$K154&lt;&gt;"g",$K154&lt;&gt;"k")),1,IF(AND($E154&lt;&gt;0,$F154&gt;0,YEAR($F154)&lt;Preisindex!$A$6,YEAR(AE$4)&gt;=YEAR($F154),$K154="a"),ROUND(VLOOKUP(AJ$4,Preisindex,5,FALSE)/VLOOKUP(Preisindex!$A$6,Preisindex,5,FALSE),2),IF(AND($E154&lt;&gt;0,$F154&gt;0,YEAR($F154)&lt;Preisindex!$A$6,YEAR(AE$4)&gt;=YEAR($F154),$K154="b"),ROUND(VLOOKUP(AJ$4,Preisindex,3,FALSE)/VLOOKUP(Preisindex!$A$6,Preisindex,3,FALSE),2),IF(AND($E154&lt;&gt;0,$F154&gt;0,YEAR($F154)&lt;Preisindex!$A$6,YEAR(AE$4)&gt;=YEAR($F154),$K154="g"),ROUND(VLOOKUP(AJ$4,Preisindex,4,FALSE)/VLOOKUP(Preisindex!$A$6,Preisindex,4,FALSE),2),IF(AND($E154&lt;&gt;0,$F154&gt;0,YEAR($F154)&lt;Preisindex!$A$6,YEAR(AE$4)&gt;=YEAR($F154),$K154="k"),ROUND(VLOOKUP(AJ$4,Preisindex,2,FALSE)/VLOOKUP(Preisindex!$A$6,Preisindex,2,FALSE),2),0)))))</f>
        <v>0</v>
      </c>
      <c r="AL154" s="51">
        <f>IF(AND($E154&lt;&gt;0,$F154&gt;0,YEAR($F154)&lt;=AJ$4,YEAR($F154)&gt;=Preisindex!$A$6),ROUND($E154*AJ154,2),IF(AND($E154&lt;&gt;0,$F154&gt;0,YEAR($F154)&lt;=AJ$4,YEAR($F154)&lt;Preisindex!$A$6),ROUND($E154*AK154,2),0))</f>
        <v>0</v>
      </c>
      <c r="AM154" s="53">
        <f t="shared" si="576"/>
        <v>0</v>
      </c>
      <c r="AN154" s="51">
        <f t="shared" si="577"/>
        <v>0</v>
      </c>
      <c r="AO154" s="51">
        <f t="shared" si="579"/>
        <v>0</v>
      </c>
      <c r="AP154" s="51">
        <f t="shared" si="493"/>
        <v>0</v>
      </c>
      <c r="AQ154" s="51">
        <f t="shared" si="580"/>
        <v>0</v>
      </c>
      <c r="AR154" s="51">
        <f t="shared" si="494"/>
        <v>0</v>
      </c>
      <c r="AS154" s="51">
        <f t="shared" si="581"/>
        <v>0</v>
      </c>
      <c r="AT154" s="51">
        <f t="shared" si="495"/>
        <v>0</v>
      </c>
      <c r="AU154" s="51">
        <f t="shared" si="582"/>
        <v>0</v>
      </c>
      <c r="AV154" s="51">
        <f t="shared" si="496"/>
        <v>0</v>
      </c>
      <c r="AW154" s="51">
        <f t="shared" si="583"/>
        <v>0</v>
      </c>
      <c r="AX154" s="51">
        <f t="shared" si="497"/>
        <v>0</v>
      </c>
      <c r="AY154" s="54">
        <f t="shared" si="498"/>
        <v>0</v>
      </c>
      <c r="AZ154" s="55">
        <f t="shared" si="499"/>
        <v>0</v>
      </c>
      <c r="BA154" s="56">
        <f>IF(AND($E154&lt;&gt;0,$F154&gt;0,YEAR($F154)&gt;=Preisindex!$A$6,YEAR(AV$4)&gt;=YEAR($F154),AND($K154&lt;&gt;"a",$K154&lt;&gt;"b",$K154&lt;&gt;"g",$K154&lt;&gt;"k")),1,IF(AND($E154&lt;&gt;0,$F154&gt;0,YEAR($F154)&gt;=Preisindex!$A$6,YEAR(AV$4)&gt;=YEAR($F154),$K154="a"),ROUND(VLOOKUP(BA$4,Preisindex,5,FALSE)/VLOOKUP(YEAR($F154),Preisindex,5,FALSE),2),IF(AND($E154&lt;&gt;0,$F154&gt;0,YEAR($F154)&gt;=Preisindex!$A$6,YEAR(AV$4)&gt;=YEAR($F154),$K154="b"),ROUND(VLOOKUP(BA$4,Preisindex,3,FALSE)/VLOOKUP(YEAR($F154),Preisindex,3,FALSE),2),IF(AND($E154&lt;&gt;0,$F154&gt;0,YEAR($F154)&gt;=Preisindex!$A$6,YEAR(AV$4)&gt;=YEAR($F154),$K154="g"),ROUND(VLOOKUP(BA$4,Preisindex,4,FALSE)/VLOOKUP(YEAR($F154),Preisindex,4,FALSE),2),IF(AND($E154&lt;&gt;0,$F154&gt;0,YEAR($F154)&gt;=Preisindex!$A$6,YEAR(AV$4)&gt;=YEAR($F154),$K154="k"),ROUND(VLOOKUP(BA$4,Preisindex,2,FALSE)/VLOOKUP(YEAR($F154),Preisindex,2,FALSE),2),0)))))</f>
        <v>0</v>
      </c>
      <c r="BB154" s="56">
        <f>IF(AND($E154&lt;&gt;0,$F154&gt;0,YEAR($F154)&lt;Preisindex!$A$6,YEAR(AV$4)&gt;=YEAR($F154),AND($K154&lt;&gt;"a",$K154&lt;&gt;"b",$K154&lt;&gt;"g",$K154&lt;&gt;"k")),1,IF(AND($E154&lt;&gt;0,$F154&gt;0,YEAR($F154)&lt;Preisindex!$A$6,YEAR(AV$4)&gt;=YEAR($F154),$K154="a"),ROUND(VLOOKUP(BA$4,Preisindex,5,FALSE)/VLOOKUP(Preisindex!$A$6,Preisindex,5,FALSE),2),IF(AND($E154&lt;&gt;0,$F154&gt;0,YEAR($F154)&lt;Preisindex!$A$6,YEAR(AV$4)&gt;=YEAR($F154),$K154="b"),ROUND(VLOOKUP(BA$4,Preisindex,3,FALSE)/VLOOKUP(Preisindex!$A$6,Preisindex,3,FALSE),2),IF(AND($E154&lt;&gt;0,$F154&gt;0,YEAR($F154)&lt;Preisindex!$A$6,YEAR(AV$4)&gt;=YEAR($F154),$K154="g"),ROUND(VLOOKUP(BA$4,Preisindex,4,FALSE)/VLOOKUP(Preisindex!$A$6,Preisindex,4,FALSE),2),IF(AND($E154&lt;&gt;0,$F154&gt;0,YEAR($F154)&lt;Preisindex!$A$6,YEAR(AV$4)&gt;=YEAR($F154),$K154="k"),ROUND(VLOOKUP(BA$4,Preisindex,2,FALSE)/VLOOKUP(Preisindex!$A$6,Preisindex,2,FALSE),2),0)))))</f>
        <v>0</v>
      </c>
      <c r="BC154" s="51">
        <f>IF(AND($E154&lt;&gt;0,$F154&gt;0,YEAR($F154)&lt;=BA$4,YEAR($F154)&gt;=Preisindex!$A$6),ROUND($E154*BA154,2),IF(AND($E154&lt;&gt;0,$F154&gt;0,YEAR($F154)&lt;=BA$4,YEAR($F154)&lt;Preisindex!$A$6),ROUND($E154*BB154,2),0))</f>
        <v>0</v>
      </c>
      <c r="BD154" s="53">
        <f t="shared" si="500"/>
        <v>0</v>
      </c>
      <c r="BE154" s="51">
        <f t="shared" si="577"/>
        <v>0</v>
      </c>
      <c r="BF154" s="51">
        <f t="shared" si="584"/>
        <v>0</v>
      </c>
      <c r="BG154" s="51">
        <f t="shared" si="501"/>
        <v>0</v>
      </c>
      <c r="BH154" s="51">
        <f t="shared" si="585"/>
        <v>0</v>
      </c>
      <c r="BI154" s="51">
        <f t="shared" si="502"/>
        <v>0</v>
      </c>
      <c r="BJ154" s="51">
        <f t="shared" si="586"/>
        <v>0</v>
      </c>
      <c r="BK154" s="51">
        <f t="shared" si="503"/>
        <v>0</v>
      </c>
      <c r="BL154" s="51">
        <f t="shared" si="587"/>
        <v>0</v>
      </c>
      <c r="BM154" s="51">
        <f t="shared" si="504"/>
        <v>0</v>
      </c>
      <c r="BN154" s="51">
        <f t="shared" si="588"/>
        <v>0</v>
      </c>
      <c r="BO154" s="51">
        <f t="shared" si="505"/>
        <v>0</v>
      </c>
      <c r="BP154" s="54">
        <f t="shared" si="506"/>
        <v>0</v>
      </c>
      <c r="BQ154" s="55">
        <f t="shared" si="507"/>
        <v>0</v>
      </c>
      <c r="BR154" s="56">
        <f>IF(AND($E154&lt;&gt;0,$F154&gt;0,YEAR($F154)&gt;=Preisindex!$A$6,YEAR(BM$4)&gt;=YEAR($F154),AND($K154&lt;&gt;"a",$K154&lt;&gt;"b",$K154&lt;&gt;"g",$K154&lt;&gt;"k")),1,IF(AND($E154&lt;&gt;0,$F154&gt;0,YEAR($F154)&gt;=Preisindex!$A$6,YEAR(BM$4)&gt;=YEAR($F154),$K154="a"),ROUND(VLOOKUP(BR$4,Preisindex,5,FALSE)/VLOOKUP(YEAR($F154),Preisindex,5,FALSE),2),IF(AND($E154&lt;&gt;0,$F154&gt;0,YEAR($F154)&gt;=Preisindex!$A$6,YEAR(BM$4)&gt;=YEAR($F154),$K154="b"),ROUND(VLOOKUP(BR$4,Preisindex,3,FALSE)/VLOOKUP(YEAR($F154),Preisindex,3,FALSE),2),IF(AND($E154&lt;&gt;0,$F154&gt;0,YEAR($F154)&gt;=Preisindex!$A$6,YEAR(BM$4)&gt;=YEAR($F154),$K154="g"),ROUND(VLOOKUP(BR$4,Preisindex,4,FALSE)/VLOOKUP(YEAR($F154),Preisindex,4,FALSE),2),IF(AND($E154&lt;&gt;0,$F154&gt;0,YEAR($F154)&gt;=Preisindex!$A$6,YEAR(BM$4)&gt;=YEAR($F154),$K154="k"),ROUND(VLOOKUP(BR$4,Preisindex,2,FALSE)/VLOOKUP(YEAR($F154),Preisindex,2,FALSE),2),0)))))</f>
        <v>0</v>
      </c>
      <c r="BS154" s="56">
        <f>IF(AND($E154&lt;&gt;0,$F154&gt;0,YEAR($F154)&lt;Preisindex!$A$6,YEAR(BM$4)&gt;=YEAR($F154),AND($K154&lt;&gt;"a",$K154&lt;&gt;"b",$K154&lt;&gt;"g",$K154&lt;&gt;"k")),1,IF(AND($E154&lt;&gt;0,$F154&gt;0,YEAR($F154)&lt;Preisindex!$A$6,YEAR(BM$4)&gt;=YEAR($F154),$K154="a"),ROUND(VLOOKUP(BR$4,Preisindex,5,FALSE)/VLOOKUP(Preisindex!$A$6,Preisindex,5,FALSE),2),IF(AND($E154&lt;&gt;0,$F154&gt;0,YEAR($F154)&lt;Preisindex!$A$6,YEAR(BM$4)&gt;=YEAR($F154),$K154="b"),ROUND(VLOOKUP(BR$4,Preisindex,3,FALSE)/VLOOKUP(Preisindex!$A$6,Preisindex,3,FALSE),2),IF(AND($E154&lt;&gt;0,$F154&gt;0,YEAR($F154)&lt;Preisindex!$A$6,YEAR(BM$4)&gt;=YEAR($F154),$K154="g"),ROUND(VLOOKUP(BR$4,Preisindex,4,FALSE)/VLOOKUP(Preisindex!$A$6,Preisindex,4,FALSE),2),IF(AND($E154&lt;&gt;0,$F154&gt;0,YEAR($F154)&lt;Preisindex!$A$6,YEAR(BM$4)&gt;=YEAR($F154),$K154="k"),ROUND(VLOOKUP(BR$4,Preisindex,2,FALSE)/VLOOKUP(Preisindex!$A$6,Preisindex,2,FALSE),2),0)))))</f>
        <v>0</v>
      </c>
      <c r="BT154" s="51">
        <f>IF(AND($E154&lt;&gt;0,$F154&gt;0,YEAR($F154)&lt;=BR$4,YEAR($F154)&gt;=Preisindex!$A$6),ROUND($E154*BR154,2),IF(AND($E154&lt;&gt;0,$F154&gt;0,YEAR($F154)&lt;=BR$4,YEAR($F154)&lt;Preisindex!$A$6),ROUND($E154*BS154,2),0))</f>
        <v>0</v>
      </c>
      <c r="BU154" s="53">
        <f t="shared" si="508"/>
        <v>0</v>
      </c>
      <c r="BV154" s="51">
        <f t="shared" si="577"/>
        <v>0</v>
      </c>
      <c r="BW154" s="51">
        <f t="shared" si="589"/>
        <v>0</v>
      </c>
      <c r="BX154" s="51">
        <f t="shared" si="509"/>
        <v>0</v>
      </c>
      <c r="BY154" s="51">
        <f t="shared" si="590"/>
        <v>0</v>
      </c>
      <c r="BZ154" s="51">
        <f t="shared" si="510"/>
        <v>0</v>
      </c>
      <c r="CA154" s="51">
        <f t="shared" si="591"/>
        <v>0</v>
      </c>
      <c r="CB154" s="51">
        <f t="shared" si="511"/>
        <v>0</v>
      </c>
      <c r="CC154" s="51">
        <f t="shared" si="592"/>
        <v>0</v>
      </c>
      <c r="CD154" s="51">
        <f t="shared" si="512"/>
        <v>0</v>
      </c>
      <c r="CE154" s="51">
        <f t="shared" si="593"/>
        <v>0</v>
      </c>
      <c r="CF154" s="51">
        <f t="shared" si="513"/>
        <v>0</v>
      </c>
      <c r="CG154" s="54">
        <f t="shared" si="514"/>
        <v>0</v>
      </c>
      <c r="CH154" s="55">
        <f t="shared" si="515"/>
        <v>0</v>
      </c>
      <c r="CI154" s="56">
        <f>IF(AND($E154&lt;&gt;0,$F154&gt;0,YEAR($F154)&gt;=Preisindex!$A$6,YEAR(CD$4)&gt;=YEAR($F154),AND($K154&lt;&gt;"a",$K154&lt;&gt;"b",$K154&lt;&gt;"g",$K154&lt;&gt;"k")),1,IF(AND($E154&lt;&gt;0,$F154&gt;0,YEAR($F154)&gt;=Preisindex!$A$6,YEAR(CD$4)&gt;=YEAR($F154),$K154="a"),ROUND(VLOOKUP(CI$4,Preisindex,5,FALSE)/VLOOKUP(YEAR($F154),Preisindex,5,FALSE),2),IF(AND($E154&lt;&gt;0,$F154&gt;0,YEAR($F154)&gt;=Preisindex!$A$6,YEAR(CD$4)&gt;=YEAR($F154),$K154="b"),ROUND(VLOOKUP(CI$4,Preisindex,3,FALSE)/VLOOKUP(YEAR($F154),Preisindex,3,FALSE),2),IF(AND($E154&lt;&gt;0,$F154&gt;0,YEAR($F154)&gt;=Preisindex!$A$6,YEAR(CD$4)&gt;=YEAR($F154),$K154="g"),ROUND(VLOOKUP(CI$4,Preisindex,4,FALSE)/VLOOKUP(YEAR($F154),Preisindex,4,FALSE),2),IF(AND($E154&lt;&gt;0,$F154&gt;0,YEAR($F154)&gt;=Preisindex!$A$6,YEAR(CD$4)&gt;=YEAR($F154),$K154="k"),ROUND(VLOOKUP(CI$4,Preisindex,2,FALSE)/VLOOKUP(YEAR($F154),Preisindex,2,FALSE),2),0)))))</f>
        <v>0</v>
      </c>
      <c r="CJ154" s="56">
        <f>IF(AND($E154&lt;&gt;0,$F154&gt;0,YEAR($F154)&lt;Preisindex!$A$6,YEAR(CD$4)&gt;=YEAR($F154),AND($K154&lt;&gt;"a",$K154&lt;&gt;"b",$K154&lt;&gt;"g",$K154&lt;&gt;"k")),1,IF(AND($E154&lt;&gt;0,$F154&gt;0,YEAR($F154)&lt;Preisindex!$A$6,YEAR(CD$4)&gt;=YEAR($F154),$K154="a"),ROUND(VLOOKUP(CI$4,Preisindex,5,FALSE)/VLOOKUP(Preisindex!$A$6,Preisindex,5,FALSE),2),IF(AND($E154&lt;&gt;0,$F154&gt;0,YEAR($F154)&lt;Preisindex!$A$6,YEAR(CD$4)&gt;=YEAR($F154),$K154="b"),ROUND(VLOOKUP(CI$4,Preisindex,3,FALSE)/VLOOKUP(Preisindex!$A$6,Preisindex,3,FALSE),2),IF(AND($E154&lt;&gt;0,$F154&gt;0,YEAR($F154)&lt;Preisindex!$A$6,YEAR(CD$4)&gt;=YEAR($F154),$K154="g"),ROUND(VLOOKUP(CI$4,Preisindex,4,FALSE)/VLOOKUP(Preisindex!$A$6,Preisindex,4,FALSE),2),IF(AND($E154&lt;&gt;0,$F154&gt;0,YEAR($F154)&lt;Preisindex!$A$6,YEAR(CD$4)&gt;=YEAR($F154),$K154="k"),ROUND(VLOOKUP(CI$4,Preisindex,2,FALSE)/VLOOKUP(Preisindex!$A$6,Preisindex,2,FALSE),2),0)))))</f>
        <v>0</v>
      </c>
      <c r="CK154" s="51">
        <f>IF(AND($E154&lt;&gt;0,$F154&gt;0,YEAR($F154)&lt;=CI$4,YEAR($F154)&gt;=Preisindex!$A$6),ROUND($E154*CI154,2),IF(AND($E154&lt;&gt;0,$F154&gt;0,YEAR($F154)&lt;=CI$4,YEAR($F154)&lt;Preisindex!$A$6),ROUND($E154*CJ154,2),0))</f>
        <v>0</v>
      </c>
      <c r="CL154" s="53">
        <f t="shared" si="516"/>
        <v>0</v>
      </c>
      <c r="CM154" s="51">
        <f t="shared" si="577"/>
        <v>0</v>
      </c>
      <c r="CN154" s="51">
        <f t="shared" si="594"/>
        <v>0</v>
      </c>
      <c r="CO154" s="51">
        <f t="shared" si="517"/>
        <v>0</v>
      </c>
      <c r="CP154" s="51">
        <f t="shared" si="595"/>
        <v>0</v>
      </c>
      <c r="CQ154" s="51">
        <f t="shared" si="518"/>
        <v>0</v>
      </c>
      <c r="CR154" s="51">
        <f t="shared" si="596"/>
        <v>0</v>
      </c>
      <c r="CS154" s="51">
        <f t="shared" si="519"/>
        <v>0</v>
      </c>
      <c r="CT154" s="51">
        <f t="shared" si="597"/>
        <v>0</v>
      </c>
      <c r="CU154" s="51">
        <f t="shared" si="520"/>
        <v>0</v>
      </c>
      <c r="CV154" s="51">
        <f t="shared" si="598"/>
        <v>0</v>
      </c>
      <c r="CW154" s="51">
        <f t="shared" si="521"/>
        <v>0</v>
      </c>
      <c r="CX154" s="54">
        <f t="shared" si="522"/>
        <v>0</v>
      </c>
      <c r="CY154" s="55">
        <f t="shared" si="523"/>
        <v>0</v>
      </c>
      <c r="CZ154" s="56">
        <f>IF(AND($E154&lt;&gt;0,$F154&gt;0,YEAR($F154)&gt;=Preisindex!$A$6,YEAR(CU$4)&gt;=YEAR($F154),AND($K154&lt;&gt;"a",$K154&lt;&gt;"b",$K154&lt;&gt;"g",$K154&lt;&gt;"k")),1,IF(AND($E154&lt;&gt;0,$F154&gt;0,YEAR($F154)&gt;=Preisindex!$A$6,YEAR(CU$4)&gt;=YEAR($F154),$K154="a"),ROUND(VLOOKUP(CZ$4,Preisindex,5,FALSE)/VLOOKUP(YEAR($F154),Preisindex,5,FALSE),2),IF(AND($E154&lt;&gt;0,$F154&gt;0,YEAR($F154)&gt;=Preisindex!$A$6,YEAR(CU$4)&gt;=YEAR($F154),$K154="b"),ROUND(VLOOKUP(CZ$4,Preisindex,3,FALSE)/VLOOKUP(YEAR($F154),Preisindex,3,FALSE),2),IF(AND($E154&lt;&gt;0,$F154&gt;0,YEAR($F154)&gt;=Preisindex!$A$6,YEAR(CU$4)&gt;=YEAR($F154),$K154="g"),ROUND(VLOOKUP(CZ$4,Preisindex,4,FALSE)/VLOOKUP(YEAR($F154),Preisindex,4,FALSE),2),IF(AND($E154&lt;&gt;0,$F154&gt;0,YEAR($F154)&gt;=Preisindex!$A$6,YEAR(CU$4)&gt;=YEAR($F154),$K154="k"),ROUND(VLOOKUP(CZ$4,Preisindex,2,FALSE)/VLOOKUP(YEAR($F154),Preisindex,2,FALSE),2),0)))))</f>
        <v>0</v>
      </c>
      <c r="DA154" s="56">
        <f>IF(AND($E154&lt;&gt;0,$F154&gt;0,YEAR($F154)&lt;Preisindex!$A$6,YEAR(CU$4)&gt;=YEAR($F154),AND($K154&lt;&gt;"a",$K154&lt;&gt;"b",$K154&lt;&gt;"g",$K154&lt;&gt;"k")),1,IF(AND($E154&lt;&gt;0,$F154&gt;0,YEAR($F154)&lt;Preisindex!$A$6,YEAR(CU$4)&gt;=YEAR($F154),$K154="a"),ROUND(VLOOKUP(CZ$4,Preisindex,5,FALSE)/VLOOKUP(Preisindex!$A$6,Preisindex,5,FALSE),2),IF(AND($E154&lt;&gt;0,$F154&gt;0,YEAR($F154)&lt;Preisindex!$A$6,YEAR(CU$4)&gt;=YEAR($F154),$K154="b"),ROUND(VLOOKUP(CZ$4,Preisindex,3,FALSE)/VLOOKUP(Preisindex!$A$6,Preisindex,3,FALSE),2),IF(AND($E154&lt;&gt;0,$F154&gt;0,YEAR($F154)&lt;Preisindex!$A$6,YEAR(CU$4)&gt;=YEAR($F154),$K154="g"),ROUND(VLOOKUP(CZ$4,Preisindex,4,FALSE)/VLOOKUP(Preisindex!$A$6,Preisindex,4,FALSE),2),IF(AND($E154&lt;&gt;0,$F154&gt;0,YEAR($F154)&lt;Preisindex!$A$6,YEAR(CU$4)&gt;=YEAR($F154),$K154="k"),ROUND(VLOOKUP(CZ$4,Preisindex,2,FALSE)/VLOOKUP(Preisindex!$A$6,Preisindex,2,FALSE),2),0)))))</f>
        <v>0</v>
      </c>
      <c r="DB154" s="51">
        <f>IF(AND($E154&lt;&gt;0,$F154&gt;0,YEAR($F154)&lt;=CZ$4,YEAR($F154)&gt;=Preisindex!$A$6),ROUND($E154*CZ154,2),IF(AND($E154&lt;&gt;0,$F154&gt;0,YEAR($F154)&lt;=CZ$4,YEAR($F154)&lt;Preisindex!$A$6),ROUND($E154*DA154,2),0))</f>
        <v>0</v>
      </c>
      <c r="DC154" s="53">
        <f t="shared" si="524"/>
        <v>0</v>
      </c>
      <c r="DD154" s="51">
        <f t="shared" si="578"/>
        <v>0</v>
      </c>
      <c r="DE154" s="51">
        <f t="shared" si="599"/>
        <v>0</v>
      </c>
      <c r="DF154" s="51">
        <f t="shared" si="526"/>
        <v>0</v>
      </c>
      <c r="DG154" s="51">
        <f t="shared" si="600"/>
        <v>0</v>
      </c>
      <c r="DH154" s="51">
        <f t="shared" si="527"/>
        <v>0</v>
      </c>
      <c r="DI154" s="51">
        <f t="shared" si="601"/>
        <v>0</v>
      </c>
      <c r="DJ154" s="51">
        <f t="shared" si="528"/>
        <v>0</v>
      </c>
      <c r="DK154" s="51">
        <f t="shared" si="602"/>
        <v>0</v>
      </c>
      <c r="DL154" s="51">
        <f t="shared" si="529"/>
        <v>0</v>
      </c>
      <c r="DM154" s="51">
        <f t="shared" si="603"/>
        <v>0</v>
      </c>
      <c r="DN154" s="51">
        <f t="shared" si="530"/>
        <v>0</v>
      </c>
      <c r="DO154" s="54">
        <f t="shared" si="531"/>
        <v>0</v>
      </c>
      <c r="DP154" s="55">
        <f t="shared" si="532"/>
        <v>0</v>
      </c>
      <c r="DQ154" s="56">
        <f>IF(AND($E154&lt;&gt;0,$F154&gt;0,YEAR($F154)&gt;=Preisindex!$A$6,YEAR(DL$4)&gt;=YEAR($F154),AND($K154&lt;&gt;"a",$K154&lt;&gt;"b",$K154&lt;&gt;"g",$K154&lt;&gt;"k")),1,IF(AND($E154&lt;&gt;0,$F154&gt;0,YEAR($F154)&gt;=Preisindex!$A$6,YEAR(DL$4)&gt;=YEAR($F154),$K154="a"),ROUND(VLOOKUP(DQ$4,Preisindex,5,FALSE)/VLOOKUP(YEAR($F154),Preisindex,5,FALSE),2),IF(AND($E154&lt;&gt;0,$F154&gt;0,YEAR($F154)&gt;=Preisindex!$A$6,YEAR(DL$4)&gt;=YEAR($F154),$K154="b"),ROUND(VLOOKUP(DQ$4,Preisindex,3,FALSE)/VLOOKUP(YEAR($F154),Preisindex,3,FALSE),2),IF(AND($E154&lt;&gt;0,$F154&gt;0,YEAR($F154)&gt;=Preisindex!$A$6,YEAR(DL$4)&gt;=YEAR($F154),$K154="g"),ROUND(VLOOKUP(DQ$4,Preisindex,4,FALSE)/VLOOKUP(YEAR($F154),Preisindex,4,FALSE),2),IF(AND($E154&lt;&gt;0,$F154&gt;0,YEAR($F154)&gt;=Preisindex!$A$6,YEAR(DL$4)&gt;=YEAR($F154),$K154="k"),ROUND(VLOOKUP(DQ$4,Preisindex,2,FALSE)/VLOOKUP(YEAR($F154),Preisindex,2,FALSE),2),0)))))</f>
        <v>0</v>
      </c>
      <c r="DR154" s="56">
        <f>IF(AND($E154&lt;&gt;0,$F154&gt;0,YEAR($F154)&lt;Preisindex!$A$6,YEAR(DL$4)&gt;=YEAR($F154),AND($K154&lt;&gt;"a",$K154&lt;&gt;"b",$K154&lt;&gt;"g",$K154&lt;&gt;"k")),1,IF(AND($E154&lt;&gt;0,$F154&gt;0,YEAR($F154)&lt;Preisindex!$A$6,YEAR(DL$4)&gt;=YEAR($F154),$K154="a"),ROUND(VLOOKUP(DQ$4,Preisindex,5,FALSE)/VLOOKUP(Preisindex!$A$6,Preisindex,5,FALSE),2),IF(AND($E154&lt;&gt;0,$F154&gt;0,YEAR($F154)&lt;Preisindex!$A$6,YEAR(DL$4)&gt;=YEAR($F154),$K154="b"),ROUND(VLOOKUP(DQ$4,Preisindex,3,FALSE)/VLOOKUP(Preisindex!$A$6,Preisindex,3,FALSE),2),IF(AND($E154&lt;&gt;0,$F154&gt;0,YEAR($F154)&lt;Preisindex!$A$6,YEAR(DL$4)&gt;=YEAR($F154),$K154="g"),ROUND(VLOOKUP(DQ$4,Preisindex,4,FALSE)/VLOOKUP(Preisindex!$A$6,Preisindex,4,FALSE),2),IF(AND($E154&lt;&gt;0,$F154&gt;0,YEAR($F154)&lt;Preisindex!$A$6,YEAR(DL$4)&gt;=YEAR($F154),$K154="k"),ROUND(VLOOKUP(DQ$4,Preisindex,2,FALSE)/VLOOKUP(Preisindex!$A$6,Preisindex,2,FALSE),2),0)))))</f>
        <v>0</v>
      </c>
      <c r="DS154" s="51">
        <f>IF(AND($E154&lt;&gt;0,$F154&gt;0,YEAR($F154)&lt;=DQ$4,YEAR($F154)&gt;=Preisindex!$A$6),ROUND($E154*DQ154,2),IF(AND($E154&lt;&gt;0,$F154&gt;0,YEAR($F154)&lt;=DQ$4,YEAR($F154)&lt;Preisindex!$A$6),ROUND($E154*DR154,2),0))</f>
        <v>0</v>
      </c>
      <c r="DT154" s="53">
        <f t="shared" si="533"/>
        <v>0</v>
      </c>
      <c r="DU154" s="51">
        <f t="shared" si="578"/>
        <v>0</v>
      </c>
      <c r="DV154" s="51">
        <f t="shared" si="604"/>
        <v>0</v>
      </c>
      <c r="DW154" s="51">
        <f t="shared" si="534"/>
        <v>0</v>
      </c>
      <c r="DX154" s="51">
        <f t="shared" si="605"/>
        <v>0</v>
      </c>
      <c r="DY154" s="51">
        <f t="shared" si="535"/>
        <v>0</v>
      </c>
      <c r="DZ154" s="51">
        <f t="shared" si="606"/>
        <v>0</v>
      </c>
      <c r="EA154" s="51">
        <f t="shared" si="536"/>
        <v>0</v>
      </c>
      <c r="EB154" s="51">
        <f t="shared" si="607"/>
        <v>0</v>
      </c>
      <c r="EC154" s="51">
        <f t="shared" si="537"/>
        <v>0</v>
      </c>
      <c r="ED154" s="51">
        <f t="shared" si="608"/>
        <v>0</v>
      </c>
      <c r="EE154" s="51">
        <f t="shared" si="538"/>
        <v>0</v>
      </c>
      <c r="EF154" s="54">
        <f t="shared" si="539"/>
        <v>0</v>
      </c>
      <c r="EG154" s="55">
        <f t="shared" si="540"/>
        <v>0</v>
      </c>
      <c r="EH154" s="56">
        <f>IF(AND($E154&lt;&gt;0,$F154&gt;0,YEAR($F154)&gt;=Preisindex!$A$6,YEAR(EC$4)&gt;=YEAR($F154),AND($K154&lt;&gt;"a",$K154&lt;&gt;"b",$K154&lt;&gt;"g",$K154&lt;&gt;"k")),1,IF(AND($E154&lt;&gt;0,$F154&gt;0,YEAR($F154)&gt;=Preisindex!$A$6,YEAR(EC$4)&gt;=YEAR($F154),$K154="a"),ROUND(VLOOKUP(EH$4,Preisindex,5,FALSE)/VLOOKUP(YEAR($F154),Preisindex,5,FALSE),2),IF(AND($E154&lt;&gt;0,$F154&gt;0,YEAR($F154)&gt;=Preisindex!$A$6,YEAR(EC$4)&gt;=YEAR($F154),$K154="b"),ROUND(VLOOKUP(EH$4,Preisindex,3,FALSE)/VLOOKUP(YEAR($F154),Preisindex,3,FALSE),2),IF(AND($E154&lt;&gt;0,$F154&gt;0,YEAR($F154)&gt;=Preisindex!$A$6,YEAR(EC$4)&gt;=YEAR($F154),$K154="g"),ROUND(VLOOKUP(EH$4,Preisindex,4,FALSE)/VLOOKUP(YEAR($F154),Preisindex,4,FALSE),2),IF(AND($E154&lt;&gt;0,$F154&gt;0,YEAR($F154)&gt;=Preisindex!$A$6,YEAR(EC$4)&gt;=YEAR($F154),$K154="k"),ROUND(VLOOKUP(EH$4,Preisindex,2,FALSE)/VLOOKUP(YEAR($F154),Preisindex,2,FALSE),2),0)))))</f>
        <v>0</v>
      </c>
      <c r="EI154" s="56">
        <f>IF(AND($E154&lt;&gt;0,$F154&gt;0,YEAR($F154)&lt;Preisindex!$A$6,YEAR(EC$4)&gt;=YEAR($F154),AND($K154&lt;&gt;"a",$K154&lt;&gt;"b",$K154&lt;&gt;"g",$K154&lt;&gt;"k")),1,IF(AND($E154&lt;&gt;0,$F154&gt;0,YEAR($F154)&lt;Preisindex!$A$6,YEAR(EC$4)&gt;=YEAR($F154),$K154="a"),ROUND(VLOOKUP(EH$4,Preisindex,5,FALSE)/VLOOKUP(Preisindex!$A$6,Preisindex,5,FALSE),2),IF(AND($E154&lt;&gt;0,$F154&gt;0,YEAR($F154)&lt;Preisindex!$A$6,YEAR(EC$4)&gt;=YEAR($F154),$K154="b"),ROUND(VLOOKUP(EH$4,Preisindex,3,FALSE)/VLOOKUP(Preisindex!$A$6,Preisindex,3,FALSE),2),IF(AND($E154&lt;&gt;0,$F154&gt;0,YEAR($F154)&lt;Preisindex!$A$6,YEAR(EC$4)&gt;=YEAR($F154),$K154="g"),ROUND(VLOOKUP(EH$4,Preisindex,4,FALSE)/VLOOKUP(Preisindex!$A$6,Preisindex,4,FALSE),2),IF(AND($E154&lt;&gt;0,$F154&gt;0,YEAR($F154)&lt;Preisindex!$A$6,YEAR(EC$4)&gt;=YEAR($F154),$K154="k"),ROUND(VLOOKUP(EH$4,Preisindex,2,FALSE)/VLOOKUP(Preisindex!$A$6,Preisindex,2,FALSE),2),0)))))</f>
        <v>0</v>
      </c>
      <c r="EJ154" s="51">
        <f>IF(AND($E154&lt;&gt;0,$F154&gt;0,YEAR($F154)&lt;=EH$4,YEAR($F154)&gt;=Preisindex!$A$6),ROUND($E154*EH154,2),IF(AND($E154&lt;&gt;0,$F154&gt;0,YEAR($F154)&lt;=EH$4,YEAR($F154)&lt;Preisindex!$A$6),ROUND($E154*EI154,2),0))</f>
        <v>0</v>
      </c>
      <c r="EK154" s="53">
        <f t="shared" si="541"/>
        <v>0</v>
      </c>
      <c r="EL154" s="51">
        <f t="shared" si="578"/>
        <v>0</v>
      </c>
      <c r="EM154" s="51">
        <f t="shared" si="609"/>
        <v>0</v>
      </c>
      <c r="EN154" s="51">
        <f t="shared" si="542"/>
        <v>0</v>
      </c>
      <c r="EO154" s="51">
        <f t="shared" si="610"/>
        <v>0</v>
      </c>
      <c r="EP154" s="51">
        <f t="shared" si="543"/>
        <v>0</v>
      </c>
      <c r="EQ154" s="51">
        <f t="shared" si="611"/>
        <v>0</v>
      </c>
      <c r="ER154" s="51">
        <f t="shared" si="544"/>
        <v>0</v>
      </c>
      <c r="ES154" s="51">
        <f t="shared" si="612"/>
        <v>0</v>
      </c>
      <c r="ET154" s="51">
        <f t="shared" si="545"/>
        <v>0</v>
      </c>
      <c r="EU154" s="51">
        <f t="shared" si="613"/>
        <v>0</v>
      </c>
      <c r="EV154" s="51">
        <f t="shared" si="546"/>
        <v>0</v>
      </c>
      <c r="EW154" s="54">
        <f t="shared" si="547"/>
        <v>0</v>
      </c>
      <c r="EX154" s="55">
        <f t="shared" si="548"/>
        <v>0</v>
      </c>
      <c r="EY154" s="56">
        <f>IF(AND($E154&lt;&gt;0,$F154&gt;0,YEAR($F154)&gt;=Preisindex!$A$6,YEAR(ET$4)&gt;=YEAR($F154),AND($K154&lt;&gt;"a",$K154&lt;&gt;"b",$K154&lt;&gt;"g",$K154&lt;&gt;"k")),1,IF(AND($E154&lt;&gt;0,$F154&gt;0,YEAR($F154)&gt;=Preisindex!$A$6,YEAR(ET$4)&gt;=YEAR($F154),$K154="a"),ROUND(VLOOKUP(EY$4,Preisindex,5,FALSE)/VLOOKUP(YEAR($F154),Preisindex,5,FALSE),2),IF(AND($E154&lt;&gt;0,$F154&gt;0,YEAR($F154)&gt;=Preisindex!$A$6,YEAR(ET$4)&gt;=YEAR($F154),$K154="b"),ROUND(VLOOKUP(EY$4,Preisindex,3,FALSE)/VLOOKUP(YEAR($F154),Preisindex,3,FALSE),2),IF(AND($E154&lt;&gt;0,$F154&gt;0,YEAR($F154)&gt;=Preisindex!$A$6,YEAR(ET$4)&gt;=YEAR($F154),$K154="g"),ROUND(VLOOKUP(EY$4,Preisindex,4,FALSE)/VLOOKUP(YEAR($F154),Preisindex,4,FALSE),2),IF(AND($E154&lt;&gt;0,$F154&gt;0,YEAR($F154)&gt;=Preisindex!$A$6,YEAR(ET$4)&gt;=YEAR($F154),$K154="k"),ROUND(VLOOKUP(EY$4,Preisindex,2,FALSE)/VLOOKUP(YEAR($F154),Preisindex,2,FALSE),2),0)))))</f>
        <v>0</v>
      </c>
      <c r="EZ154" s="56">
        <f>IF(AND($E154&lt;&gt;0,$F154&gt;0,YEAR($F154)&lt;Preisindex!$A$6,YEAR(ET$4)&gt;=YEAR($F154),AND($K154&lt;&gt;"a",$K154&lt;&gt;"b",$K154&lt;&gt;"g",$K154&lt;&gt;"k")),1,IF(AND($E154&lt;&gt;0,$F154&gt;0,YEAR($F154)&lt;Preisindex!$A$6,YEAR(ET$4)&gt;=YEAR($F154),$K154="a"),ROUND(VLOOKUP(EY$4,Preisindex,5,FALSE)/VLOOKUP(Preisindex!$A$6,Preisindex,5,FALSE),2),IF(AND($E154&lt;&gt;0,$F154&gt;0,YEAR($F154)&lt;Preisindex!$A$6,YEAR(ET$4)&gt;=YEAR($F154),$K154="b"),ROUND(VLOOKUP(EY$4,Preisindex,3,FALSE)/VLOOKUP(Preisindex!$A$6,Preisindex,3,FALSE),2),IF(AND($E154&lt;&gt;0,$F154&gt;0,YEAR($F154)&lt;Preisindex!$A$6,YEAR(ET$4)&gt;=YEAR($F154),$K154="g"),ROUND(VLOOKUP(EY$4,Preisindex,4,FALSE)/VLOOKUP(Preisindex!$A$6,Preisindex,4,FALSE),2),IF(AND($E154&lt;&gt;0,$F154&gt;0,YEAR($F154)&lt;Preisindex!$A$6,YEAR(ET$4)&gt;=YEAR($F154),$K154="k"),ROUND(VLOOKUP(EY$4,Preisindex,2,FALSE)/VLOOKUP(Preisindex!$A$6,Preisindex,2,FALSE),2),0)))))</f>
        <v>0</v>
      </c>
      <c r="FA154" s="51">
        <f>IF(AND($E154&lt;&gt;0,$F154&gt;0,YEAR($F154)&lt;=EY$4,YEAR($F154)&gt;=Preisindex!$A$6),ROUND($E154*EY154,2),IF(AND($E154&lt;&gt;0,$F154&gt;0,YEAR($F154)&lt;=EY$4,YEAR($F154)&lt;Preisindex!$A$6),ROUND($E154*EZ154,2),0))</f>
        <v>0</v>
      </c>
      <c r="FB154" s="53">
        <f t="shared" si="549"/>
        <v>0</v>
      </c>
      <c r="FC154" s="51">
        <f t="shared" si="578"/>
        <v>0</v>
      </c>
      <c r="FD154" s="51">
        <f t="shared" si="614"/>
        <v>0</v>
      </c>
      <c r="FE154" s="51">
        <f t="shared" si="550"/>
        <v>0</v>
      </c>
      <c r="FF154" s="51">
        <f t="shared" si="615"/>
        <v>0</v>
      </c>
      <c r="FG154" s="51">
        <f t="shared" si="551"/>
        <v>0</v>
      </c>
      <c r="FH154" s="51">
        <f t="shared" si="616"/>
        <v>0</v>
      </c>
      <c r="FI154" s="51">
        <f t="shared" si="552"/>
        <v>0</v>
      </c>
      <c r="FJ154" s="51">
        <f t="shared" si="617"/>
        <v>0</v>
      </c>
      <c r="FK154" s="51">
        <f t="shared" si="553"/>
        <v>0</v>
      </c>
      <c r="FL154" s="51">
        <f t="shared" si="618"/>
        <v>0</v>
      </c>
      <c r="FM154" s="51">
        <f t="shared" si="554"/>
        <v>0</v>
      </c>
      <c r="FN154" s="54">
        <f t="shared" si="555"/>
        <v>0</v>
      </c>
      <c r="FO154" s="55">
        <f t="shared" si="556"/>
        <v>0</v>
      </c>
      <c r="FP154" s="56">
        <f>IF(AND($E154&lt;&gt;0,$F154&gt;0,YEAR($F154)&gt;=Preisindex!$A$6,YEAR(FK$4)&gt;=YEAR($F154),AND($K154&lt;&gt;"a",$K154&lt;&gt;"b",$K154&lt;&gt;"g",$K154&lt;&gt;"k")),1,IF(AND($E154&lt;&gt;0,$F154&gt;0,YEAR($F154)&gt;=Preisindex!$A$6,YEAR(FK$4)&gt;=YEAR($F154),$K154="a"),ROUND(VLOOKUP(FP$4,Preisindex,5,FALSE)/VLOOKUP(YEAR($F154),Preisindex,5,FALSE),2),IF(AND($E154&lt;&gt;0,$F154&gt;0,YEAR($F154)&gt;=Preisindex!$A$6,YEAR(FK$4)&gt;=YEAR($F154),$K154="b"),ROUND(VLOOKUP(FP$4,Preisindex,3,FALSE)/VLOOKUP(YEAR($F154),Preisindex,3,FALSE),2),IF(AND($E154&lt;&gt;0,$F154&gt;0,YEAR($F154)&gt;=Preisindex!$A$6,YEAR(FK$4)&gt;=YEAR($F154),$K154="g"),ROUND(VLOOKUP(FP$4,Preisindex,4,FALSE)/VLOOKUP(YEAR($F154),Preisindex,4,FALSE),2),IF(AND($E154&lt;&gt;0,$F154&gt;0,YEAR($F154)&gt;=Preisindex!$A$6,YEAR(FK$4)&gt;=YEAR($F154),$K154="k"),ROUND(VLOOKUP(FP$4,Preisindex,2,FALSE)/VLOOKUP(YEAR($F154),Preisindex,2,FALSE),2),0)))))</f>
        <v>0</v>
      </c>
      <c r="FQ154" s="56">
        <f>IF(AND($E154&lt;&gt;0,$F154&gt;0,YEAR($F154)&lt;Preisindex!$A$6,YEAR(FK$4)&gt;=YEAR($F154),AND($K154&lt;&gt;"a",$K154&lt;&gt;"b",$K154&lt;&gt;"g",$K154&lt;&gt;"k")),1,IF(AND($E154&lt;&gt;0,$F154&gt;0,YEAR($F154)&lt;Preisindex!$A$6,YEAR(FK$4)&gt;=YEAR($F154),$K154="a"),ROUND(VLOOKUP(FP$4,Preisindex,5,FALSE)/VLOOKUP(Preisindex!$A$6,Preisindex,5,FALSE),2),IF(AND($E154&lt;&gt;0,$F154&gt;0,YEAR($F154)&lt;Preisindex!$A$6,YEAR(FK$4)&gt;=YEAR($F154),$K154="b"),ROUND(VLOOKUP(FP$4,Preisindex,3,FALSE)/VLOOKUP(Preisindex!$A$6,Preisindex,3,FALSE),2),IF(AND($E154&lt;&gt;0,$F154&gt;0,YEAR($F154)&lt;Preisindex!$A$6,YEAR(FK$4)&gt;=YEAR($F154),$K154="g"),ROUND(VLOOKUP(FP$4,Preisindex,4,FALSE)/VLOOKUP(Preisindex!$A$6,Preisindex,4,FALSE),2),IF(AND($E154&lt;&gt;0,$F154&gt;0,YEAR($F154)&lt;Preisindex!$A$6,YEAR(FK$4)&gt;=YEAR($F154),$K154="k"),ROUND(VLOOKUP(FP$4,Preisindex,2,FALSE)/VLOOKUP(Preisindex!$A$6,Preisindex,2,FALSE),2),0)))))</f>
        <v>0</v>
      </c>
      <c r="FR154" s="51">
        <f>IF(AND($E154&lt;&gt;0,$F154&gt;0,YEAR($F154)&lt;=FP$4,YEAR($F154)&gt;=Preisindex!$A$6),ROUND($E154*FP154,2),IF(AND($E154&lt;&gt;0,$F154&gt;0,YEAR($F154)&lt;=FP$4,YEAR($F154)&lt;Preisindex!$A$6),ROUND($E154*FQ154,2),0))</f>
        <v>0</v>
      </c>
      <c r="FS154" s="53">
        <f t="shared" si="557"/>
        <v>0</v>
      </c>
    </row>
    <row r="155" spans="1:175" x14ac:dyDescent="0.3">
      <c r="A155" s="93"/>
      <c r="B155" s="94"/>
      <c r="C155" s="94"/>
      <c r="D155" s="95"/>
      <c r="E155" s="99"/>
      <c r="F155" s="97"/>
      <c r="G155" s="98"/>
      <c r="H155" s="620"/>
      <c r="I155" s="621"/>
      <c r="J155" s="194"/>
      <c r="K155" s="630"/>
      <c r="L155" s="49">
        <f t="shared" si="558"/>
        <v>0</v>
      </c>
      <c r="M155" s="50">
        <f t="shared" si="559"/>
        <v>0</v>
      </c>
      <c r="N155" s="51">
        <f t="shared" si="560"/>
        <v>0</v>
      </c>
      <c r="O155" s="51"/>
      <c r="P155" s="51">
        <f t="shared" si="561"/>
        <v>0</v>
      </c>
      <c r="Q155" s="52"/>
      <c r="R155" s="52"/>
      <c r="S155" s="52"/>
      <c r="T155" s="52"/>
      <c r="U155" s="52"/>
      <c r="V155" s="53">
        <f t="shared" si="562"/>
        <v>0</v>
      </c>
      <c r="W155" s="51">
        <f t="shared" si="563"/>
        <v>0</v>
      </c>
      <c r="X155" s="51">
        <f t="shared" si="564"/>
        <v>0</v>
      </c>
      <c r="Y155" s="51">
        <f t="shared" si="565"/>
        <v>0</v>
      </c>
      <c r="Z155" s="51">
        <f t="shared" si="566"/>
        <v>0</v>
      </c>
      <c r="AA155" s="51">
        <f t="shared" si="567"/>
        <v>0</v>
      </c>
      <c r="AB155" s="51">
        <f t="shared" si="568"/>
        <v>0</v>
      </c>
      <c r="AC155" s="51">
        <f t="shared" si="569"/>
        <v>0</v>
      </c>
      <c r="AD155" s="51">
        <f t="shared" si="570"/>
        <v>0</v>
      </c>
      <c r="AE155" s="51">
        <f t="shared" si="571"/>
        <v>0</v>
      </c>
      <c r="AF155" s="51">
        <f t="shared" si="572"/>
        <v>0</v>
      </c>
      <c r="AG155" s="51">
        <f t="shared" si="573"/>
        <v>0</v>
      </c>
      <c r="AH155" s="54">
        <f t="shared" si="574"/>
        <v>0</v>
      </c>
      <c r="AI155" s="55">
        <f t="shared" si="575"/>
        <v>0</v>
      </c>
      <c r="AJ155" s="56">
        <f>IF(AND($E155&lt;&gt;0,$F155&gt;0,YEAR($F155)&gt;=Preisindex!$A$6,YEAR(AE$4)&gt;=YEAR($F155),AND($K155&lt;&gt;"a",$K155&lt;&gt;"b",$K155&lt;&gt;"g",$K155&lt;&gt;"k")),1,IF(AND($E155&lt;&gt;0,$F155&gt;0,YEAR($F155)&gt;=Preisindex!$A$6,YEAR(AE$4)&gt;=YEAR($F155),$K155="a"),ROUND(VLOOKUP(AJ$4,Preisindex,5,FALSE)/VLOOKUP(YEAR($F155),Preisindex,5,FALSE),2),IF(AND($E155&lt;&gt;0,$F155&gt;0,YEAR($F155)&gt;=Preisindex!$A$6,YEAR(AE$4)&gt;=YEAR($F155),$K155="b"),ROUND(VLOOKUP(AJ$4,Preisindex,3,FALSE)/VLOOKUP(YEAR($F155),Preisindex,3,FALSE),2),IF(AND($E155&lt;&gt;0,$F155&gt;0,YEAR($F155)&gt;=Preisindex!$A$6,YEAR(AE$4)&gt;=YEAR($F155),$K155="g"),ROUND(VLOOKUP(AJ$4,Preisindex,4,FALSE)/VLOOKUP(YEAR($F155),Preisindex,4,FALSE),2),IF(AND($E155&lt;&gt;0,$F155&gt;0,YEAR($F155)&gt;=Preisindex!$A$6,YEAR(AE$4)&gt;=YEAR($F155),$K155="k"),ROUND(VLOOKUP(AJ$4,Preisindex,2,FALSE)/VLOOKUP(YEAR($F155),Preisindex,2,FALSE),2),0)))))</f>
        <v>0</v>
      </c>
      <c r="AK155" s="56">
        <f>IF(AND($E155&lt;&gt;0,$F155&gt;0,YEAR($F155)&lt;Preisindex!$A$6,YEAR(AE$4)&gt;=YEAR($F155),AND($K155&lt;&gt;"a",$K155&lt;&gt;"b",$K155&lt;&gt;"g",$K155&lt;&gt;"k")),1,IF(AND($E155&lt;&gt;0,$F155&gt;0,YEAR($F155)&lt;Preisindex!$A$6,YEAR(AE$4)&gt;=YEAR($F155),$K155="a"),ROUND(VLOOKUP(AJ$4,Preisindex,5,FALSE)/VLOOKUP(Preisindex!$A$6,Preisindex,5,FALSE),2),IF(AND($E155&lt;&gt;0,$F155&gt;0,YEAR($F155)&lt;Preisindex!$A$6,YEAR(AE$4)&gt;=YEAR($F155),$K155="b"),ROUND(VLOOKUP(AJ$4,Preisindex,3,FALSE)/VLOOKUP(Preisindex!$A$6,Preisindex,3,FALSE),2),IF(AND($E155&lt;&gt;0,$F155&gt;0,YEAR($F155)&lt;Preisindex!$A$6,YEAR(AE$4)&gt;=YEAR($F155),$K155="g"),ROUND(VLOOKUP(AJ$4,Preisindex,4,FALSE)/VLOOKUP(Preisindex!$A$6,Preisindex,4,FALSE),2),IF(AND($E155&lt;&gt;0,$F155&gt;0,YEAR($F155)&lt;Preisindex!$A$6,YEAR(AE$4)&gt;=YEAR($F155),$K155="k"),ROUND(VLOOKUP(AJ$4,Preisindex,2,FALSE)/VLOOKUP(Preisindex!$A$6,Preisindex,2,FALSE),2),0)))))</f>
        <v>0</v>
      </c>
      <c r="AL155" s="51">
        <f>IF(AND($E155&lt;&gt;0,$F155&gt;0,YEAR($F155)&lt;=AJ$4,YEAR($F155)&gt;=Preisindex!$A$6),ROUND($E155*AJ155,2),IF(AND($E155&lt;&gt;0,$F155&gt;0,YEAR($F155)&lt;=AJ$4,YEAR($F155)&lt;Preisindex!$A$6),ROUND($E155*AK155,2),0))</f>
        <v>0</v>
      </c>
      <c r="AM155" s="53">
        <f t="shared" si="576"/>
        <v>0</v>
      </c>
      <c r="AN155" s="51">
        <f t="shared" si="577"/>
        <v>0</v>
      </c>
      <c r="AO155" s="51">
        <f t="shared" si="579"/>
        <v>0</v>
      </c>
      <c r="AP155" s="51">
        <f t="shared" si="493"/>
        <v>0</v>
      </c>
      <c r="AQ155" s="51">
        <f t="shared" si="580"/>
        <v>0</v>
      </c>
      <c r="AR155" s="51">
        <f t="shared" si="494"/>
        <v>0</v>
      </c>
      <c r="AS155" s="51">
        <f t="shared" si="581"/>
        <v>0</v>
      </c>
      <c r="AT155" s="51">
        <f t="shared" si="495"/>
        <v>0</v>
      </c>
      <c r="AU155" s="51">
        <f t="shared" si="582"/>
        <v>0</v>
      </c>
      <c r="AV155" s="51">
        <f t="shared" si="496"/>
        <v>0</v>
      </c>
      <c r="AW155" s="51">
        <f t="shared" si="583"/>
        <v>0</v>
      </c>
      <c r="AX155" s="51">
        <f t="shared" si="497"/>
        <v>0</v>
      </c>
      <c r="AY155" s="54">
        <f t="shared" si="498"/>
        <v>0</v>
      </c>
      <c r="AZ155" s="55">
        <f t="shared" si="499"/>
        <v>0</v>
      </c>
      <c r="BA155" s="56">
        <f>IF(AND($E155&lt;&gt;0,$F155&gt;0,YEAR($F155)&gt;=Preisindex!$A$6,YEAR(AV$4)&gt;=YEAR($F155),AND($K155&lt;&gt;"a",$K155&lt;&gt;"b",$K155&lt;&gt;"g",$K155&lt;&gt;"k")),1,IF(AND($E155&lt;&gt;0,$F155&gt;0,YEAR($F155)&gt;=Preisindex!$A$6,YEAR(AV$4)&gt;=YEAR($F155),$K155="a"),ROUND(VLOOKUP(BA$4,Preisindex,5,FALSE)/VLOOKUP(YEAR($F155),Preisindex,5,FALSE),2),IF(AND($E155&lt;&gt;0,$F155&gt;0,YEAR($F155)&gt;=Preisindex!$A$6,YEAR(AV$4)&gt;=YEAR($F155),$K155="b"),ROUND(VLOOKUP(BA$4,Preisindex,3,FALSE)/VLOOKUP(YEAR($F155),Preisindex,3,FALSE),2),IF(AND($E155&lt;&gt;0,$F155&gt;0,YEAR($F155)&gt;=Preisindex!$A$6,YEAR(AV$4)&gt;=YEAR($F155),$K155="g"),ROUND(VLOOKUP(BA$4,Preisindex,4,FALSE)/VLOOKUP(YEAR($F155),Preisindex,4,FALSE),2),IF(AND($E155&lt;&gt;0,$F155&gt;0,YEAR($F155)&gt;=Preisindex!$A$6,YEAR(AV$4)&gt;=YEAR($F155),$K155="k"),ROUND(VLOOKUP(BA$4,Preisindex,2,FALSE)/VLOOKUP(YEAR($F155),Preisindex,2,FALSE),2),0)))))</f>
        <v>0</v>
      </c>
      <c r="BB155" s="56">
        <f>IF(AND($E155&lt;&gt;0,$F155&gt;0,YEAR($F155)&lt;Preisindex!$A$6,YEAR(AV$4)&gt;=YEAR($F155),AND($K155&lt;&gt;"a",$K155&lt;&gt;"b",$K155&lt;&gt;"g",$K155&lt;&gt;"k")),1,IF(AND($E155&lt;&gt;0,$F155&gt;0,YEAR($F155)&lt;Preisindex!$A$6,YEAR(AV$4)&gt;=YEAR($F155),$K155="a"),ROUND(VLOOKUP(BA$4,Preisindex,5,FALSE)/VLOOKUP(Preisindex!$A$6,Preisindex,5,FALSE),2),IF(AND($E155&lt;&gt;0,$F155&gt;0,YEAR($F155)&lt;Preisindex!$A$6,YEAR(AV$4)&gt;=YEAR($F155),$K155="b"),ROUND(VLOOKUP(BA$4,Preisindex,3,FALSE)/VLOOKUP(Preisindex!$A$6,Preisindex,3,FALSE),2),IF(AND($E155&lt;&gt;0,$F155&gt;0,YEAR($F155)&lt;Preisindex!$A$6,YEAR(AV$4)&gt;=YEAR($F155),$K155="g"),ROUND(VLOOKUP(BA$4,Preisindex,4,FALSE)/VLOOKUP(Preisindex!$A$6,Preisindex,4,FALSE),2),IF(AND($E155&lt;&gt;0,$F155&gt;0,YEAR($F155)&lt;Preisindex!$A$6,YEAR(AV$4)&gt;=YEAR($F155),$K155="k"),ROUND(VLOOKUP(BA$4,Preisindex,2,FALSE)/VLOOKUP(Preisindex!$A$6,Preisindex,2,FALSE),2),0)))))</f>
        <v>0</v>
      </c>
      <c r="BC155" s="51">
        <f>IF(AND($E155&lt;&gt;0,$F155&gt;0,YEAR($F155)&lt;=BA$4,YEAR($F155)&gt;=Preisindex!$A$6),ROUND($E155*BA155,2),IF(AND($E155&lt;&gt;0,$F155&gt;0,YEAR($F155)&lt;=BA$4,YEAR($F155)&lt;Preisindex!$A$6),ROUND($E155*BB155,2),0))</f>
        <v>0</v>
      </c>
      <c r="BD155" s="53">
        <f t="shared" si="500"/>
        <v>0</v>
      </c>
      <c r="BE155" s="51">
        <f t="shared" si="577"/>
        <v>0</v>
      </c>
      <c r="BF155" s="51">
        <f t="shared" si="584"/>
        <v>0</v>
      </c>
      <c r="BG155" s="51">
        <f t="shared" si="501"/>
        <v>0</v>
      </c>
      <c r="BH155" s="51">
        <f t="shared" si="585"/>
        <v>0</v>
      </c>
      <c r="BI155" s="51">
        <f t="shared" si="502"/>
        <v>0</v>
      </c>
      <c r="BJ155" s="51">
        <f t="shared" si="586"/>
        <v>0</v>
      </c>
      <c r="BK155" s="51">
        <f t="shared" si="503"/>
        <v>0</v>
      </c>
      <c r="BL155" s="51">
        <f t="shared" si="587"/>
        <v>0</v>
      </c>
      <c r="BM155" s="51">
        <f t="shared" si="504"/>
        <v>0</v>
      </c>
      <c r="BN155" s="51">
        <f t="shared" si="588"/>
        <v>0</v>
      </c>
      <c r="BO155" s="51">
        <f t="shared" si="505"/>
        <v>0</v>
      </c>
      <c r="BP155" s="54">
        <f t="shared" si="506"/>
        <v>0</v>
      </c>
      <c r="BQ155" s="55">
        <f t="shared" si="507"/>
        <v>0</v>
      </c>
      <c r="BR155" s="56">
        <f>IF(AND($E155&lt;&gt;0,$F155&gt;0,YEAR($F155)&gt;=Preisindex!$A$6,YEAR(BM$4)&gt;=YEAR($F155),AND($K155&lt;&gt;"a",$K155&lt;&gt;"b",$K155&lt;&gt;"g",$K155&lt;&gt;"k")),1,IF(AND($E155&lt;&gt;0,$F155&gt;0,YEAR($F155)&gt;=Preisindex!$A$6,YEAR(BM$4)&gt;=YEAR($F155),$K155="a"),ROUND(VLOOKUP(BR$4,Preisindex,5,FALSE)/VLOOKUP(YEAR($F155),Preisindex,5,FALSE),2),IF(AND($E155&lt;&gt;0,$F155&gt;0,YEAR($F155)&gt;=Preisindex!$A$6,YEAR(BM$4)&gt;=YEAR($F155),$K155="b"),ROUND(VLOOKUP(BR$4,Preisindex,3,FALSE)/VLOOKUP(YEAR($F155),Preisindex,3,FALSE),2),IF(AND($E155&lt;&gt;0,$F155&gt;0,YEAR($F155)&gt;=Preisindex!$A$6,YEAR(BM$4)&gt;=YEAR($F155),$K155="g"),ROUND(VLOOKUP(BR$4,Preisindex,4,FALSE)/VLOOKUP(YEAR($F155),Preisindex,4,FALSE),2),IF(AND($E155&lt;&gt;0,$F155&gt;0,YEAR($F155)&gt;=Preisindex!$A$6,YEAR(BM$4)&gt;=YEAR($F155),$K155="k"),ROUND(VLOOKUP(BR$4,Preisindex,2,FALSE)/VLOOKUP(YEAR($F155),Preisindex,2,FALSE),2),0)))))</f>
        <v>0</v>
      </c>
      <c r="BS155" s="56">
        <f>IF(AND($E155&lt;&gt;0,$F155&gt;0,YEAR($F155)&lt;Preisindex!$A$6,YEAR(BM$4)&gt;=YEAR($F155),AND($K155&lt;&gt;"a",$K155&lt;&gt;"b",$K155&lt;&gt;"g",$K155&lt;&gt;"k")),1,IF(AND($E155&lt;&gt;0,$F155&gt;0,YEAR($F155)&lt;Preisindex!$A$6,YEAR(BM$4)&gt;=YEAR($F155),$K155="a"),ROUND(VLOOKUP(BR$4,Preisindex,5,FALSE)/VLOOKUP(Preisindex!$A$6,Preisindex,5,FALSE),2),IF(AND($E155&lt;&gt;0,$F155&gt;0,YEAR($F155)&lt;Preisindex!$A$6,YEAR(BM$4)&gt;=YEAR($F155),$K155="b"),ROUND(VLOOKUP(BR$4,Preisindex,3,FALSE)/VLOOKUP(Preisindex!$A$6,Preisindex,3,FALSE),2),IF(AND($E155&lt;&gt;0,$F155&gt;0,YEAR($F155)&lt;Preisindex!$A$6,YEAR(BM$4)&gt;=YEAR($F155),$K155="g"),ROUND(VLOOKUP(BR$4,Preisindex,4,FALSE)/VLOOKUP(Preisindex!$A$6,Preisindex,4,FALSE),2),IF(AND($E155&lt;&gt;0,$F155&gt;0,YEAR($F155)&lt;Preisindex!$A$6,YEAR(BM$4)&gt;=YEAR($F155),$K155="k"),ROUND(VLOOKUP(BR$4,Preisindex,2,FALSE)/VLOOKUP(Preisindex!$A$6,Preisindex,2,FALSE),2),0)))))</f>
        <v>0</v>
      </c>
      <c r="BT155" s="51">
        <f>IF(AND($E155&lt;&gt;0,$F155&gt;0,YEAR($F155)&lt;=BR$4,YEAR($F155)&gt;=Preisindex!$A$6),ROUND($E155*BR155,2),IF(AND($E155&lt;&gt;0,$F155&gt;0,YEAR($F155)&lt;=BR$4,YEAR($F155)&lt;Preisindex!$A$6),ROUND($E155*BS155,2),0))</f>
        <v>0</v>
      </c>
      <c r="BU155" s="53">
        <f t="shared" si="508"/>
        <v>0</v>
      </c>
      <c r="BV155" s="51">
        <f t="shared" si="577"/>
        <v>0</v>
      </c>
      <c r="BW155" s="51">
        <f t="shared" si="589"/>
        <v>0</v>
      </c>
      <c r="BX155" s="51">
        <f t="shared" si="509"/>
        <v>0</v>
      </c>
      <c r="BY155" s="51">
        <f t="shared" si="590"/>
        <v>0</v>
      </c>
      <c r="BZ155" s="51">
        <f t="shared" si="510"/>
        <v>0</v>
      </c>
      <c r="CA155" s="51">
        <f t="shared" si="591"/>
        <v>0</v>
      </c>
      <c r="CB155" s="51">
        <f t="shared" si="511"/>
        <v>0</v>
      </c>
      <c r="CC155" s="51">
        <f t="shared" si="592"/>
        <v>0</v>
      </c>
      <c r="CD155" s="51">
        <f t="shared" si="512"/>
        <v>0</v>
      </c>
      <c r="CE155" s="51">
        <f t="shared" si="593"/>
        <v>0</v>
      </c>
      <c r="CF155" s="51">
        <f t="shared" si="513"/>
        <v>0</v>
      </c>
      <c r="CG155" s="54">
        <f t="shared" si="514"/>
        <v>0</v>
      </c>
      <c r="CH155" s="55">
        <f t="shared" si="515"/>
        <v>0</v>
      </c>
      <c r="CI155" s="56">
        <f>IF(AND($E155&lt;&gt;0,$F155&gt;0,YEAR($F155)&gt;=Preisindex!$A$6,YEAR(CD$4)&gt;=YEAR($F155),AND($K155&lt;&gt;"a",$K155&lt;&gt;"b",$K155&lt;&gt;"g",$K155&lt;&gt;"k")),1,IF(AND($E155&lt;&gt;0,$F155&gt;0,YEAR($F155)&gt;=Preisindex!$A$6,YEAR(CD$4)&gt;=YEAR($F155),$K155="a"),ROUND(VLOOKUP(CI$4,Preisindex,5,FALSE)/VLOOKUP(YEAR($F155),Preisindex,5,FALSE),2),IF(AND($E155&lt;&gt;0,$F155&gt;0,YEAR($F155)&gt;=Preisindex!$A$6,YEAR(CD$4)&gt;=YEAR($F155),$K155="b"),ROUND(VLOOKUP(CI$4,Preisindex,3,FALSE)/VLOOKUP(YEAR($F155),Preisindex,3,FALSE),2),IF(AND($E155&lt;&gt;0,$F155&gt;0,YEAR($F155)&gt;=Preisindex!$A$6,YEAR(CD$4)&gt;=YEAR($F155),$K155="g"),ROUND(VLOOKUP(CI$4,Preisindex,4,FALSE)/VLOOKUP(YEAR($F155),Preisindex,4,FALSE),2),IF(AND($E155&lt;&gt;0,$F155&gt;0,YEAR($F155)&gt;=Preisindex!$A$6,YEAR(CD$4)&gt;=YEAR($F155),$K155="k"),ROUND(VLOOKUP(CI$4,Preisindex,2,FALSE)/VLOOKUP(YEAR($F155),Preisindex,2,FALSE),2),0)))))</f>
        <v>0</v>
      </c>
      <c r="CJ155" s="56">
        <f>IF(AND($E155&lt;&gt;0,$F155&gt;0,YEAR($F155)&lt;Preisindex!$A$6,YEAR(CD$4)&gt;=YEAR($F155),AND($K155&lt;&gt;"a",$K155&lt;&gt;"b",$K155&lt;&gt;"g",$K155&lt;&gt;"k")),1,IF(AND($E155&lt;&gt;0,$F155&gt;0,YEAR($F155)&lt;Preisindex!$A$6,YEAR(CD$4)&gt;=YEAR($F155),$K155="a"),ROUND(VLOOKUP(CI$4,Preisindex,5,FALSE)/VLOOKUP(Preisindex!$A$6,Preisindex,5,FALSE),2),IF(AND($E155&lt;&gt;0,$F155&gt;0,YEAR($F155)&lt;Preisindex!$A$6,YEAR(CD$4)&gt;=YEAR($F155),$K155="b"),ROUND(VLOOKUP(CI$4,Preisindex,3,FALSE)/VLOOKUP(Preisindex!$A$6,Preisindex,3,FALSE),2),IF(AND($E155&lt;&gt;0,$F155&gt;0,YEAR($F155)&lt;Preisindex!$A$6,YEAR(CD$4)&gt;=YEAR($F155),$K155="g"),ROUND(VLOOKUP(CI$4,Preisindex,4,FALSE)/VLOOKUP(Preisindex!$A$6,Preisindex,4,FALSE),2),IF(AND($E155&lt;&gt;0,$F155&gt;0,YEAR($F155)&lt;Preisindex!$A$6,YEAR(CD$4)&gt;=YEAR($F155),$K155="k"),ROUND(VLOOKUP(CI$4,Preisindex,2,FALSE)/VLOOKUP(Preisindex!$A$6,Preisindex,2,FALSE),2),0)))))</f>
        <v>0</v>
      </c>
      <c r="CK155" s="51">
        <f>IF(AND($E155&lt;&gt;0,$F155&gt;0,YEAR($F155)&lt;=CI$4,YEAR($F155)&gt;=Preisindex!$A$6),ROUND($E155*CI155,2),IF(AND($E155&lt;&gt;0,$F155&gt;0,YEAR($F155)&lt;=CI$4,YEAR($F155)&lt;Preisindex!$A$6),ROUND($E155*CJ155,2),0))</f>
        <v>0</v>
      </c>
      <c r="CL155" s="53">
        <f t="shared" si="516"/>
        <v>0</v>
      </c>
      <c r="CM155" s="51">
        <f t="shared" si="577"/>
        <v>0</v>
      </c>
      <c r="CN155" s="51">
        <f t="shared" si="594"/>
        <v>0</v>
      </c>
      <c r="CO155" s="51">
        <f t="shared" si="517"/>
        <v>0</v>
      </c>
      <c r="CP155" s="51">
        <f t="shared" si="595"/>
        <v>0</v>
      </c>
      <c r="CQ155" s="51">
        <f t="shared" si="518"/>
        <v>0</v>
      </c>
      <c r="CR155" s="51">
        <f t="shared" si="596"/>
        <v>0</v>
      </c>
      <c r="CS155" s="51">
        <f t="shared" si="519"/>
        <v>0</v>
      </c>
      <c r="CT155" s="51">
        <f t="shared" si="597"/>
        <v>0</v>
      </c>
      <c r="CU155" s="51">
        <f t="shared" si="520"/>
        <v>0</v>
      </c>
      <c r="CV155" s="51">
        <f t="shared" si="598"/>
        <v>0</v>
      </c>
      <c r="CW155" s="51">
        <f t="shared" si="521"/>
        <v>0</v>
      </c>
      <c r="CX155" s="54">
        <f t="shared" si="522"/>
        <v>0</v>
      </c>
      <c r="CY155" s="55">
        <f t="shared" si="523"/>
        <v>0</v>
      </c>
      <c r="CZ155" s="56">
        <f>IF(AND($E155&lt;&gt;0,$F155&gt;0,YEAR($F155)&gt;=Preisindex!$A$6,YEAR(CU$4)&gt;=YEAR($F155),AND($K155&lt;&gt;"a",$K155&lt;&gt;"b",$K155&lt;&gt;"g",$K155&lt;&gt;"k")),1,IF(AND($E155&lt;&gt;0,$F155&gt;0,YEAR($F155)&gt;=Preisindex!$A$6,YEAR(CU$4)&gt;=YEAR($F155),$K155="a"),ROUND(VLOOKUP(CZ$4,Preisindex,5,FALSE)/VLOOKUP(YEAR($F155),Preisindex,5,FALSE),2),IF(AND($E155&lt;&gt;0,$F155&gt;0,YEAR($F155)&gt;=Preisindex!$A$6,YEAR(CU$4)&gt;=YEAR($F155),$K155="b"),ROUND(VLOOKUP(CZ$4,Preisindex,3,FALSE)/VLOOKUP(YEAR($F155),Preisindex,3,FALSE),2),IF(AND($E155&lt;&gt;0,$F155&gt;0,YEAR($F155)&gt;=Preisindex!$A$6,YEAR(CU$4)&gt;=YEAR($F155),$K155="g"),ROUND(VLOOKUP(CZ$4,Preisindex,4,FALSE)/VLOOKUP(YEAR($F155),Preisindex,4,FALSE),2),IF(AND($E155&lt;&gt;0,$F155&gt;0,YEAR($F155)&gt;=Preisindex!$A$6,YEAR(CU$4)&gt;=YEAR($F155),$K155="k"),ROUND(VLOOKUP(CZ$4,Preisindex,2,FALSE)/VLOOKUP(YEAR($F155),Preisindex,2,FALSE),2),0)))))</f>
        <v>0</v>
      </c>
      <c r="DA155" s="56">
        <f>IF(AND($E155&lt;&gt;0,$F155&gt;0,YEAR($F155)&lt;Preisindex!$A$6,YEAR(CU$4)&gt;=YEAR($F155),AND($K155&lt;&gt;"a",$K155&lt;&gt;"b",$K155&lt;&gt;"g",$K155&lt;&gt;"k")),1,IF(AND($E155&lt;&gt;0,$F155&gt;0,YEAR($F155)&lt;Preisindex!$A$6,YEAR(CU$4)&gt;=YEAR($F155),$K155="a"),ROUND(VLOOKUP(CZ$4,Preisindex,5,FALSE)/VLOOKUP(Preisindex!$A$6,Preisindex,5,FALSE),2),IF(AND($E155&lt;&gt;0,$F155&gt;0,YEAR($F155)&lt;Preisindex!$A$6,YEAR(CU$4)&gt;=YEAR($F155),$K155="b"),ROUND(VLOOKUP(CZ$4,Preisindex,3,FALSE)/VLOOKUP(Preisindex!$A$6,Preisindex,3,FALSE),2),IF(AND($E155&lt;&gt;0,$F155&gt;0,YEAR($F155)&lt;Preisindex!$A$6,YEAR(CU$4)&gt;=YEAR($F155),$K155="g"),ROUND(VLOOKUP(CZ$4,Preisindex,4,FALSE)/VLOOKUP(Preisindex!$A$6,Preisindex,4,FALSE),2),IF(AND($E155&lt;&gt;0,$F155&gt;0,YEAR($F155)&lt;Preisindex!$A$6,YEAR(CU$4)&gt;=YEAR($F155),$K155="k"),ROUND(VLOOKUP(CZ$4,Preisindex,2,FALSE)/VLOOKUP(Preisindex!$A$6,Preisindex,2,FALSE),2),0)))))</f>
        <v>0</v>
      </c>
      <c r="DB155" s="51">
        <f>IF(AND($E155&lt;&gt;0,$F155&gt;0,YEAR($F155)&lt;=CZ$4,YEAR($F155)&gt;=Preisindex!$A$6),ROUND($E155*CZ155,2),IF(AND($E155&lt;&gt;0,$F155&gt;0,YEAR($F155)&lt;=CZ$4,YEAR($F155)&lt;Preisindex!$A$6),ROUND($E155*DA155,2),0))</f>
        <v>0</v>
      </c>
      <c r="DC155" s="53">
        <f t="shared" si="524"/>
        <v>0</v>
      </c>
      <c r="DD155" s="51">
        <f t="shared" si="578"/>
        <v>0</v>
      </c>
      <c r="DE155" s="51">
        <f t="shared" si="599"/>
        <v>0</v>
      </c>
      <c r="DF155" s="51">
        <f t="shared" si="526"/>
        <v>0</v>
      </c>
      <c r="DG155" s="51">
        <f t="shared" si="600"/>
        <v>0</v>
      </c>
      <c r="DH155" s="51">
        <f t="shared" si="527"/>
        <v>0</v>
      </c>
      <c r="DI155" s="51">
        <f t="shared" si="601"/>
        <v>0</v>
      </c>
      <c r="DJ155" s="51">
        <f t="shared" si="528"/>
        <v>0</v>
      </c>
      <c r="DK155" s="51">
        <f t="shared" si="602"/>
        <v>0</v>
      </c>
      <c r="DL155" s="51">
        <f t="shared" si="529"/>
        <v>0</v>
      </c>
      <c r="DM155" s="51">
        <f t="shared" si="603"/>
        <v>0</v>
      </c>
      <c r="DN155" s="51">
        <f t="shared" si="530"/>
        <v>0</v>
      </c>
      <c r="DO155" s="54">
        <f t="shared" si="531"/>
        <v>0</v>
      </c>
      <c r="DP155" s="55">
        <f t="shared" si="532"/>
        <v>0</v>
      </c>
      <c r="DQ155" s="56">
        <f>IF(AND($E155&lt;&gt;0,$F155&gt;0,YEAR($F155)&gt;=Preisindex!$A$6,YEAR(DL$4)&gt;=YEAR($F155),AND($K155&lt;&gt;"a",$K155&lt;&gt;"b",$K155&lt;&gt;"g",$K155&lt;&gt;"k")),1,IF(AND($E155&lt;&gt;0,$F155&gt;0,YEAR($F155)&gt;=Preisindex!$A$6,YEAR(DL$4)&gt;=YEAR($F155),$K155="a"),ROUND(VLOOKUP(DQ$4,Preisindex,5,FALSE)/VLOOKUP(YEAR($F155),Preisindex,5,FALSE),2),IF(AND($E155&lt;&gt;0,$F155&gt;0,YEAR($F155)&gt;=Preisindex!$A$6,YEAR(DL$4)&gt;=YEAR($F155),$K155="b"),ROUND(VLOOKUP(DQ$4,Preisindex,3,FALSE)/VLOOKUP(YEAR($F155),Preisindex,3,FALSE),2),IF(AND($E155&lt;&gt;0,$F155&gt;0,YEAR($F155)&gt;=Preisindex!$A$6,YEAR(DL$4)&gt;=YEAR($F155),$K155="g"),ROUND(VLOOKUP(DQ$4,Preisindex,4,FALSE)/VLOOKUP(YEAR($F155),Preisindex,4,FALSE),2),IF(AND($E155&lt;&gt;0,$F155&gt;0,YEAR($F155)&gt;=Preisindex!$A$6,YEAR(DL$4)&gt;=YEAR($F155),$K155="k"),ROUND(VLOOKUP(DQ$4,Preisindex,2,FALSE)/VLOOKUP(YEAR($F155),Preisindex,2,FALSE),2),0)))))</f>
        <v>0</v>
      </c>
      <c r="DR155" s="56">
        <f>IF(AND($E155&lt;&gt;0,$F155&gt;0,YEAR($F155)&lt;Preisindex!$A$6,YEAR(DL$4)&gt;=YEAR($F155),AND($K155&lt;&gt;"a",$K155&lt;&gt;"b",$K155&lt;&gt;"g",$K155&lt;&gt;"k")),1,IF(AND($E155&lt;&gt;0,$F155&gt;0,YEAR($F155)&lt;Preisindex!$A$6,YEAR(DL$4)&gt;=YEAR($F155),$K155="a"),ROUND(VLOOKUP(DQ$4,Preisindex,5,FALSE)/VLOOKUP(Preisindex!$A$6,Preisindex,5,FALSE),2),IF(AND($E155&lt;&gt;0,$F155&gt;0,YEAR($F155)&lt;Preisindex!$A$6,YEAR(DL$4)&gt;=YEAR($F155),$K155="b"),ROUND(VLOOKUP(DQ$4,Preisindex,3,FALSE)/VLOOKUP(Preisindex!$A$6,Preisindex,3,FALSE),2),IF(AND($E155&lt;&gt;0,$F155&gt;0,YEAR($F155)&lt;Preisindex!$A$6,YEAR(DL$4)&gt;=YEAR($F155),$K155="g"),ROUND(VLOOKUP(DQ$4,Preisindex,4,FALSE)/VLOOKUP(Preisindex!$A$6,Preisindex,4,FALSE),2),IF(AND($E155&lt;&gt;0,$F155&gt;0,YEAR($F155)&lt;Preisindex!$A$6,YEAR(DL$4)&gt;=YEAR($F155),$K155="k"),ROUND(VLOOKUP(DQ$4,Preisindex,2,FALSE)/VLOOKUP(Preisindex!$A$6,Preisindex,2,FALSE),2),0)))))</f>
        <v>0</v>
      </c>
      <c r="DS155" s="51">
        <f>IF(AND($E155&lt;&gt;0,$F155&gt;0,YEAR($F155)&lt;=DQ$4,YEAR($F155)&gt;=Preisindex!$A$6),ROUND($E155*DQ155,2),IF(AND($E155&lt;&gt;0,$F155&gt;0,YEAR($F155)&lt;=DQ$4,YEAR($F155)&lt;Preisindex!$A$6),ROUND($E155*DR155,2),0))</f>
        <v>0</v>
      </c>
      <c r="DT155" s="53">
        <f t="shared" si="533"/>
        <v>0</v>
      </c>
      <c r="DU155" s="51">
        <f t="shared" si="578"/>
        <v>0</v>
      </c>
      <c r="DV155" s="51">
        <f t="shared" si="604"/>
        <v>0</v>
      </c>
      <c r="DW155" s="51">
        <f t="shared" si="534"/>
        <v>0</v>
      </c>
      <c r="DX155" s="51">
        <f t="shared" si="605"/>
        <v>0</v>
      </c>
      <c r="DY155" s="51">
        <f t="shared" si="535"/>
        <v>0</v>
      </c>
      <c r="DZ155" s="51">
        <f t="shared" si="606"/>
        <v>0</v>
      </c>
      <c r="EA155" s="51">
        <f t="shared" si="536"/>
        <v>0</v>
      </c>
      <c r="EB155" s="51">
        <f t="shared" si="607"/>
        <v>0</v>
      </c>
      <c r="EC155" s="51">
        <f t="shared" si="537"/>
        <v>0</v>
      </c>
      <c r="ED155" s="51">
        <f t="shared" si="608"/>
        <v>0</v>
      </c>
      <c r="EE155" s="51">
        <f t="shared" si="538"/>
        <v>0</v>
      </c>
      <c r="EF155" s="54">
        <f t="shared" si="539"/>
        <v>0</v>
      </c>
      <c r="EG155" s="55">
        <f t="shared" si="540"/>
        <v>0</v>
      </c>
      <c r="EH155" s="56">
        <f>IF(AND($E155&lt;&gt;0,$F155&gt;0,YEAR($F155)&gt;=Preisindex!$A$6,YEAR(EC$4)&gt;=YEAR($F155),AND($K155&lt;&gt;"a",$K155&lt;&gt;"b",$K155&lt;&gt;"g",$K155&lt;&gt;"k")),1,IF(AND($E155&lt;&gt;0,$F155&gt;0,YEAR($F155)&gt;=Preisindex!$A$6,YEAR(EC$4)&gt;=YEAR($F155),$K155="a"),ROUND(VLOOKUP(EH$4,Preisindex,5,FALSE)/VLOOKUP(YEAR($F155),Preisindex,5,FALSE),2),IF(AND($E155&lt;&gt;0,$F155&gt;0,YEAR($F155)&gt;=Preisindex!$A$6,YEAR(EC$4)&gt;=YEAR($F155),$K155="b"),ROUND(VLOOKUP(EH$4,Preisindex,3,FALSE)/VLOOKUP(YEAR($F155),Preisindex,3,FALSE),2),IF(AND($E155&lt;&gt;0,$F155&gt;0,YEAR($F155)&gt;=Preisindex!$A$6,YEAR(EC$4)&gt;=YEAR($F155),$K155="g"),ROUND(VLOOKUP(EH$4,Preisindex,4,FALSE)/VLOOKUP(YEAR($F155),Preisindex,4,FALSE),2),IF(AND($E155&lt;&gt;0,$F155&gt;0,YEAR($F155)&gt;=Preisindex!$A$6,YEAR(EC$4)&gt;=YEAR($F155),$K155="k"),ROUND(VLOOKUP(EH$4,Preisindex,2,FALSE)/VLOOKUP(YEAR($F155),Preisindex,2,FALSE),2),0)))))</f>
        <v>0</v>
      </c>
      <c r="EI155" s="56">
        <f>IF(AND($E155&lt;&gt;0,$F155&gt;0,YEAR($F155)&lt;Preisindex!$A$6,YEAR(EC$4)&gt;=YEAR($F155),AND($K155&lt;&gt;"a",$K155&lt;&gt;"b",$K155&lt;&gt;"g",$K155&lt;&gt;"k")),1,IF(AND($E155&lt;&gt;0,$F155&gt;0,YEAR($F155)&lt;Preisindex!$A$6,YEAR(EC$4)&gt;=YEAR($F155),$K155="a"),ROUND(VLOOKUP(EH$4,Preisindex,5,FALSE)/VLOOKUP(Preisindex!$A$6,Preisindex,5,FALSE),2),IF(AND($E155&lt;&gt;0,$F155&gt;0,YEAR($F155)&lt;Preisindex!$A$6,YEAR(EC$4)&gt;=YEAR($F155),$K155="b"),ROUND(VLOOKUP(EH$4,Preisindex,3,FALSE)/VLOOKUP(Preisindex!$A$6,Preisindex,3,FALSE),2),IF(AND($E155&lt;&gt;0,$F155&gt;0,YEAR($F155)&lt;Preisindex!$A$6,YEAR(EC$4)&gt;=YEAR($F155),$K155="g"),ROUND(VLOOKUP(EH$4,Preisindex,4,FALSE)/VLOOKUP(Preisindex!$A$6,Preisindex,4,FALSE),2),IF(AND($E155&lt;&gt;0,$F155&gt;0,YEAR($F155)&lt;Preisindex!$A$6,YEAR(EC$4)&gt;=YEAR($F155),$K155="k"),ROUND(VLOOKUP(EH$4,Preisindex,2,FALSE)/VLOOKUP(Preisindex!$A$6,Preisindex,2,FALSE),2),0)))))</f>
        <v>0</v>
      </c>
      <c r="EJ155" s="51">
        <f>IF(AND($E155&lt;&gt;0,$F155&gt;0,YEAR($F155)&lt;=EH$4,YEAR($F155)&gt;=Preisindex!$A$6),ROUND($E155*EH155,2),IF(AND($E155&lt;&gt;0,$F155&gt;0,YEAR($F155)&lt;=EH$4,YEAR($F155)&lt;Preisindex!$A$6),ROUND($E155*EI155,2),0))</f>
        <v>0</v>
      </c>
      <c r="EK155" s="53">
        <f t="shared" si="541"/>
        <v>0</v>
      </c>
      <c r="EL155" s="51">
        <f t="shared" si="578"/>
        <v>0</v>
      </c>
      <c r="EM155" s="51">
        <f t="shared" si="609"/>
        <v>0</v>
      </c>
      <c r="EN155" s="51">
        <f t="shared" si="542"/>
        <v>0</v>
      </c>
      <c r="EO155" s="51">
        <f t="shared" si="610"/>
        <v>0</v>
      </c>
      <c r="EP155" s="51">
        <f t="shared" si="543"/>
        <v>0</v>
      </c>
      <c r="EQ155" s="51">
        <f t="shared" si="611"/>
        <v>0</v>
      </c>
      <c r="ER155" s="51">
        <f t="shared" si="544"/>
        <v>0</v>
      </c>
      <c r="ES155" s="51">
        <f t="shared" si="612"/>
        <v>0</v>
      </c>
      <c r="ET155" s="51">
        <f t="shared" si="545"/>
        <v>0</v>
      </c>
      <c r="EU155" s="51">
        <f t="shared" si="613"/>
        <v>0</v>
      </c>
      <c r="EV155" s="51">
        <f t="shared" si="546"/>
        <v>0</v>
      </c>
      <c r="EW155" s="54">
        <f t="shared" si="547"/>
        <v>0</v>
      </c>
      <c r="EX155" s="55">
        <f t="shared" si="548"/>
        <v>0</v>
      </c>
      <c r="EY155" s="56">
        <f>IF(AND($E155&lt;&gt;0,$F155&gt;0,YEAR($F155)&gt;=Preisindex!$A$6,YEAR(ET$4)&gt;=YEAR($F155),AND($K155&lt;&gt;"a",$K155&lt;&gt;"b",$K155&lt;&gt;"g",$K155&lt;&gt;"k")),1,IF(AND($E155&lt;&gt;0,$F155&gt;0,YEAR($F155)&gt;=Preisindex!$A$6,YEAR(ET$4)&gt;=YEAR($F155),$K155="a"),ROUND(VLOOKUP(EY$4,Preisindex,5,FALSE)/VLOOKUP(YEAR($F155),Preisindex,5,FALSE),2),IF(AND($E155&lt;&gt;0,$F155&gt;0,YEAR($F155)&gt;=Preisindex!$A$6,YEAR(ET$4)&gt;=YEAR($F155),$K155="b"),ROUND(VLOOKUP(EY$4,Preisindex,3,FALSE)/VLOOKUP(YEAR($F155),Preisindex,3,FALSE),2),IF(AND($E155&lt;&gt;0,$F155&gt;0,YEAR($F155)&gt;=Preisindex!$A$6,YEAR(ET$4)&gt;=YEAR($F155),$K155="g"),ROUND(VLOOKUP(EY$4,Preisindex,4,FALSE)/VLOOKUP(YEAR($F155),Preisindex,4,FALSE),2),IF(AND($E155&lt;&gt;0,$F155&gt;0,YEAR($F155)&gt;=Preisindex!$A$6,YEAR(ET$4)&gt;=YEAR($F155),$K155="k"),ROUND(VLOOKUP(EY$4,Preisindex,2,FALSE)/VLOOKUP(YEAR($F155),Preisindex,2,FALSE),2),0)))))</f>
        <v>0</v>
      </c>
      <c r="EZ155" s="56">
        <f>IF(AND($E155&lt;&gt;0,$F155&gt;0,YEAR($F155)&lt;Preisindex!$A$6,YEAR(ET$4)&gt;=YEAR($F155),AND($K155&lt;&gt;"a",$K155&lt;&gt;"b",$K155&lt;&gt;"g",$K155&lt;&gt;"k")),1,IF(AND($E155&lt;&gt;0,$F155&gt;0,YEAR($F155)&lt;Preisindex!$A$6,YEAR(ET$4)&gt;=YEAR($F155),$K155="a"),ROUND(VLOOKUP(EY$4,Preisindex,5,FALSE)/VLOOKUP(Preisindex!$A$6,Preisindex,5,FALSE),2),IF(AND($E155&lt;&gt;0,$F155&gt;0,YEAR($F155)&lt;Preisindex!$A$6,YEAR(ET$4)&gt;=YEAR($F155),$K155="b"),ROUND(VLOOKUP(EY$4,Preisindex,3,FALSE)/VLOOKUP(Preisindex!$A$6,Preisindex,3,FALSE),2),IF(AND($E155&lt;&gt;0,$F155&gt;0,YEAR($F155)&lt;Preisindex!$A$6,YEAR(ET$4)&gt;=YEAR($F155),$K155="g"),ROUND(VLOOKUP(EY$4,Preisindex,4,FALSE)/VLOOKUP(Preisindex!$A$6,Preisindex,4,FALSE),2),IF(AND($E155&lt;&gt;0,$F155&gt;0,YEAR($F155)&lt;Preisindex!$A$6,YEAR(ET$4)&gt;=YEAR($F155),$K155="k"),ROUND(VLOOKUP(EY$4,Preisindex,2,FALSE)/VLOOKUP(Preisindex!$A$6,Preisindex,2,FALSE),2),0)))))</f>
        <v>0</v>
      </c>
      <c r="FA155" s="51">
        <f>IF(AND($E155&lt;&gt;0,$F155&gt;0,YEAR($F155)&lt;=EY$4,YEAR($F155)&gt;=Preisindex!$A$6),ROUND($E155*EY155,2),IF(AND($E155&lt;&gt;0,$F155&gt;0,YEAR($F155)&lt;=EY$4,YEAR($F155)&lt;Preisindex!$A$6),ROUND($E155*EZ155,2),0))</f>
        <v>0</v>
      </c>
      <c r="FB155" s="53">
        <f t="shared" si="549"/>
        <v>0</v>
      </c>
      <c r="FC155" s="51">
        <f t="shared" si="578"/>
        <v>0</v>
      </c>
      <c r="FD155" s="51">
        <f t="shared" si="614"/>
        <v>0</v>
      </c>
      <c r="FE155" s="51">
        <f t="shared" si="550"/>
        <v>0</v>
      </c>
      <c r="FF155" s="51">
        <f t="shared" si="615"/>
        <v>0</v>
      </c>
      <c r="FG155" s="51">
        <f t="shared" si="551"/>
        <v>0</v>
      </c>
      <c r="FH155" s="51">
        <f t="shared" si="616"/>
        <v>0</v>
      </c>
      <c r="FI155" s="51">
        <f t="shared" si="552"/>
        <v>0</v>
      </c>
      <c r="FJ155" s="51">
        <f t="shared" si="617"/>
        <v>0</v>
      </c>
      <c r="FK155" s="51">
        <f t="shared" si="553"/>
        <v>0</v>
      </c>
      <c r="FL155" s="51">
        <f t="shared" si="618"/>
        <v>0</v>
      </c>
      <c r="FM155" s="51">
        <f t="shared" si="554"/>
        <v>0</v>
      </c>
      <c r="FN155" s="54">
        <f t="shared" si="555"/>
        <v>0</v>
      </c>
      <c r="FO155" s="55">
        <f t="shared" si="556"/>
        <v>0</v>
      </c>
      <c r="FP155" s="56">
        <f>IF(AND($E155&lt;&gt;0,$F155&gt;0,YEAR($F155)&gt;=Preisindex!$A$6,YEAR(FK$4)&gt;=YEAR($F155),AND($K155&lt;&gt;"a",$K155&lt;&gt;"b",$K155&lt;&gt;"g",$K155&lt;&gt;"k")),1,IF(AND($E155&lt;&gt;0,$F155&gt;0,YEAR($F155)&gt;=Preisindex!$A$6,YEAR(FK$4)&gt;=YEAR($F155),$K155="a"),ROUND(VLOOKUP(FP$4,Preisindex,5,FALSE)/VLOOKUP(YEAR($F155),Preisindex,5,FALSE),2),IF(AND($E155&lt;&gt;0,$F155&gt;0,YEAR($F155)&gt;=Preisindex!$A$6,YEAR(FK$4)&gt;=YEAR($F155),$K155="b"),ROUND(VLOOKUP(FP$4,Preisindex,3,FALSE)/VLOOKUP(YEAR($F155),Preisindex,3,FALSE),2),IF(AND($E155&lt;&gt;0,$F155&gt;0,YEAR($F155)&gt;=Preisindex!$A$6,YEAR(FK$4)&gt;=YEAR($F155),$K155="g"),ROUND(VLOOKUP(FP$4,Preisindex,4,FALSE)/VLOOKUP(YEAR($F155),Preisindex,4,FALSE),2),IF(AND($E155&lt;&gt;0,$F155&gt;0,YEAR($F155)&gt;=Preisindex!$A$6,YEAR(FK$4)&gt;=YEAR($F155),$K155="k"),ROUND(VLOOKUP(FP$4,Preisindex,2,FALSE)/VLOOKUP(YEAR($F155),Preisindex,2,FALSE),2),0)))))</f>
        <v>0</v>
      </c>
      <c r="FQ155" s="56">
        <f>IF(AND($E155&lt;&gt;0,$F155&gt;0,YEAR($F155)&lt;Preisindex!$A$6,YEAR(FK$4)&gt;=YEAR($F155),AND($K155&lt;&gt;"a",$K155&lt;&gt;"b",$K155&lt;&gt;"g",$K155&lt;&gt;"k")),1,IF(AND($E155&lt;&gt;0,$F155&gt;0,YEAR($F155)&lt;Preisindex!$A$6,YEAR(FK$4)&gt;=YEAR($F155),$K155="a"),ROUND(VLOOKUP(FP$4,Preisindex,5,FALSE)/VLOOKUP(Preisindex!$A$6,Preisindex,5,FALSE),2),IF(AND($E155&lt;&gt;0,$F155&gt;0,YEAR($F155)&lt;Preisindex!$A$6,YEAR(FK$4)&gt;=YEAR($F155),$K155="b"),ROUND(VLOOKUP(FP$4,Preisindex,3,FALSE)/VLOOKUP(Preisindex!$A$6,Preisindex,3,FALSE),2),IF(AND($E155&lt;&gt;0,$F155&gt;0,YEAR($F155)&lt;Preisindex!$A$6,YEAR(FK$4)&gt;=YEAR($F155),$K155="g"),ROUND(VLOOKUP(FP$4,Preisindex,4,FALSE)/VLOOKUP(Preisindex!$A$6,Preisindex,4,FALSE),2),IF(AND($E155&lt;&gt;0,$F155&gt;0,YEAR($F155)&lt;Preisindex!$A$6,YEAR(FK$4)&gt;=YEAR($F155),$K155="k"),ROUND(VLOOKUP(FP$4,Preisindex,2,FALSE)/VLOOKUP(Preisindex!$A$6,Preisindex,2,FALSE),2),0)))))</f>
        <v>0</v>
      </c>
      <c r="FR155" s="51">
        <f>IF(AND($E155&lt;&gt;0,$F155&gt;0,YEAR($F155)&lt;=FP$4,YEAR($F155)&gt;=Preisindex!$A$6),ROUND($E155*FP155,2),IF(AND($E155&lt;&gt;0,$F155&gt;0,YEAR($F155)&lt;=FP$4,YEAR($F155)&lt;Preisindex!$A$6),ROUND($E155*FQ155,2),0))</f>
        <v>0</v>
      </c>
      <c r="FS155" s="53">
        <f t="shared" si="557"/>
        <v>0</v>
      </c>
    </row>
    <row r="156" spans="1:175" x14ac:dyDescent="0.3">
      <c r="A156" s="93"/>
      <c r="B156" s="94"/>
      <c r="C156" s="94"/>
      <c r="D156" s="95"/>
      <c r="E156" s="99"/>
      <c r="F156" s="97"/>
      <c r="G156" s="98"/>
      <c r="H156" s="620"/>
      <c r="I156" s="621"/>
      <c r="J156" s="194"/>
      <c r="K156" s="630"/>
      <c r="L156" s="49">
        <f t="shared" si="558"/>
        <v>0</v>
      </c>
      <c r="M156" s="50">
        <f t="shared" si="559"/>
        <v>0</v>
      </c>
      <c r="N156" s="51">
        <f t="shared" si="560"/>
        <v>0</v>
      </c>
      <c r="O156" s="51"/>
      <c r="P156" s="51">
        <f t="shared" si="561"/>
        <v>0</v>
      </c>
      <c r="Q156" s="52"/>
      <c r="R156" s="52"/>
      <c r="S156" s="52"/>
      <c r="T156" s="52"/>
      <c r="U156" s="52"/>
      <c r="V156" s="53">
        <f t="shared" si="562"/>
        <v>0</v>
      </c>
      <c r="W156" s="51">
        <f t="shared" si="563"/>
        <v>0</v>
      </c>
      <c r="X156" s="51">
        <f t="shared" si="564"/>
        <v>0</v>
      </c>
      <c r="Y156" s="51">
        <f t="shared" si="565"/>
        <v>0</v>
      </c>
      <c r="Z156" s="51">
        <f t="shared" si="566"/>
        <v>0</v>
      </c>
      <c r="AA156" s="51">
        <f t="shared" si="567"/>
        <v>0</v>
      </c>
      <c r="AB156" s="51">
        <f t="shared" si="568"/>
        <v>0</v>
      </c>
      <c r="AC156" s="51">
        <f t="shared" si="569"/>
        <v>0</v>
      </c>
      <c r="AD156" s="51">
        <f t="shared" si="570"/>
        <v>0</v>
      </c>
      <c r="AE156" s="51">
        <f t="shared" si="571"/>
        <v>0</v>
      </c>
      <c r="AF156" s="51">
        <f t="shared" si="572"/>
        <v>0</v>
      </c>
      <c r="AG156" s="51">
        <f t="shared" si="573"/>
        <v>0</v>
      </c>
      <c r="AH156" s="54">
        <f t="shared" si="574"/>
        <v>0</v>
      </c>
      <c r="AI156" s="55">
        <f t="shared" si="575"/>
        <v>0</v>
      </c>
      <c r="AJ156" s="56">
        <f>IF(AND($E156&lt;&gt;0,$F156&gt;0,YEAR($F156)&gt;=Preisindex!$A$6,YEAR(AE$4)&gt;=YEAR($F156),AND($K156&lt;&gt;"a",$K156&lt;&gt;"b",$K156&lt;&gt;"g",$K156&lt;&gt;"k")),1,IF(AND($E156&lt;&gt;0,$F156&gt;0,YEAR($F156)&gt;=Preisindex!$A$6,YEAR(AE$4)&gt;=YEAR($F156),$K156="a"),ROUND(VLOOKUP(AJ$4,Preisindex,5,FALSE)/VLOOKUP(YEAR($F156),Preisindex,5,FALSE),2),IF(AND($E156&lt;&gt;0,$F156&gt;0,YEAR($F156)&gt;=Preisindex!$A$6,YEAR(AE$4)&gt;=YEAR($F156),$K156="b"),ROUND(VLOOKUP(AJ$4,Preisindex,3,FALSE)/VLOOKUP(YEAR($F156),Preisindex,3,FALSE),2),IF(AND($E156&lt;&gt;0,$F156&gt;0,YEAR($F156)&gt;=Preisindex!$A$6,YEAR(AE$4)&gt;=YEAR($F156),$K156="g"),ROUND(VLOOKUP(AJ$4,Preisindex,4,FALSE)/VLOOKUP(YEAR($F156),Preisindex,4,FALSE),2),IF(AND($E156&lt;&gt;0,$F156&gt;0,YEAR($F156)&gt;=Preisindex!$A$6,YEAR(AE$4)&gt;=YEAR($F156),$K156="k"),ROUND(VLOOKUP(AJ$4,Preisindex,2,FALSE)/VLOOKUP(YEAR($F156),Preisindex,2,FALSE),2),0)))))</f>
        <v>0</v>
      </c>
      <c r="AK156" s="56">
        <f>IF(AND($E156&lt;&gt;0,$F156&gt;0,YEAR($F156)&lt;Preisindex!$A$6,YEAR(AE$4)&gt;=YEAR($F156),AND($K156&lt;&gt;"a",$K156&lt;&gt;"b",$K156&lt;&gt;"g",$K156&lt;&gt;"k")),1,IF(AND($E156&lt;&gt;0,$F156&gt;0,YEAR($F156)&lt;Preisindex!$A$6,YEAR(AE$4)&gt;=YEAR($F156),$K156="a"),ROUND(VLOOKUP(AJ$4,Preisindex,5,FALSE)/VLOOKUP(Preisindex!$A$6,Preisindex,5,FALSE),2),IF(AND($E156&lt;&gt;0,$F156&gt;0,YEAR($F156)&lt;Preisindex!$A$6,YEAR(AE$4)&gt;=YEAR($F156),$K156="b"),ROUND(VLOOKUP(AJ$4,Preisindex,3,FALSE)/VLOOKUP(Preisindex!$A$6,Preisindex,3,FALSE),2),IF(AND($E156&lt;&gt;0,$F156&gt;0,YEAR($F156)&lt;Preisindex!$A$6,YEAR(AE$4)&gt;=YEAR($F156),$K156="g"),ROUND(VLOOKUP(AJ$4,Preisindex,4,FALSE)/VLOOKUP(Preisindex!$A$6,Preisindex,4,FALSE),2),IF(AND($E156&lt;&gt;0,$F156&gt;0,YEAR($F156)&lt;Preisindex!$A$6,YEAR(AE$4)&gt;=YEAR($F156),$K156="k"),ROUND(VLOOKUP(AJ$4,Preisindex,2,FALSE)/VLOOKUP(Preisindex!$A$6,Preisindex,2,FALSE),2),0)))))</f>
        <v>0</v>
      </c>
      <c r="AL156" s="51">
        <f>IF(AND($E156&lt;&gt;0,$F156&gt;0,YEAR($F156)&lt;=AJ$4,YEAR($F156)&gt;=Preisindex!$A$6),ROUND($E156*AJ156,2),IF(AND($E156&lt;&gt;0,$F156&gt;0,YEAR($F156)&lt;=AJ$4,YEAR($F156)&lt;Preisindex!$A$6),ROUND($E156*AK156,2),0))</f>
        <v>0</v>
      </c>
      <c r="AM156" s="53">
        <f t="shared" si="576"/>
        <v>0</v>
      </c>
      <c r="AN156" s="51">
        <f t="shared" si="577"/>
        <v>0</v>
      </c>
      <c r="AO156" s="51">
        <f t="shared" si="579"/>
        <v>0</v>
      </c>
      <c r="AP156" s="51">
        <f t="shared" si="493"/>
        <v>0</v>
      </c>
      <c r="AQ156" s="51">
        <f t="shared" si="580"/>
        <v>0</v>
      </c>
      <c r="AR156" s="51">
        <f t="shared" si="494"/>
        <v>0</v>
      </c>
      <c r="AS156" s="51">
        <f t="shared" si="581"/>
        <v>0</v>
      </c>
      <c r="AT156" s="51">
        <f t="shared" si="495"/>
        <v>0</v>
      </c>
      <c r="AU156" s="51">
        <f t="shared" si="582"/>
        <v>0</v>
      </c>
      <c r="AV156" s="51">
        <f t="shared" si="496"/>
        <v>0</v>
      </c>
      <c r="AW156" s="51">
        <f t="shared" si="583"/>
        <v>0</v>
      </c>
      <c r="AX156" s="51">
        <f t="shared" si="497"/>
        <v>0</v>
      </c>
      <c r="AY156" s="54">
        <f t="shared" si="498"/>
        <v>0</v>
      </c>
      <c r="AZ156" s="55">
        <f t="shared" si="499"/>
        <v>0</v>
      </c>
      <c r="BA156" s="56">
        <f>IF(AND($E156&lt;&gt;0,$F156&gt;0,YEAR($F156)&gt;=Preisindex!$A$6,YEAR(AV$4)&gt;=YEAR($F156),AND($K156&lt;&gt;"a",$K156&lt;&gt;"b",$K156&lt;&gt;"g",$K156&lt;&gt;"k")),1,IF(AND($E156&lt;&gt;0,$F156&gt;0,YEAR($F156)&gt;=Preisindex!$A$6,YEAR(AV$4)&gt;=YEAR($F156),$K156="a"),ROUND(VLOOKUP(BA$4,Preisindex,5,FALSE)/VLOOKUP(YEAR($F156),Preisindex,5,FALSE),2),IF(AND($E156&lt;&gt;0,$F156&gt;0,YEAR($F156)&gt;=Preisindex!$A$6,YEAR(AV$4)&gt;=YEAR($F156),$K156="b"),ROUND(VLOOKUP(BA$4,Preisindex,3,FALSE)/VLOOKUP(YEAR($F156),Preisindex,3,FALSE),2),IF(AND($E156&lt;&gt;0,$F156&gt;0,YEAR($F156)&gt;=Preisindex!$A$6,YEAR(AV$4)&gt;=YEAR($F156),$K156="g"),ROUND(VLOOKUP(BA$4,Preisindex,4,FALSE)/VLOOKUP(YEAR($F156),Preisindex,4,FALSE),2),IF(AND($E156&lt;&gt;0,$F156&gt;0,YEAR($F156)&gt;=Preisindex!$A$6,YEAR(AV$4)&gt;=YEAR($F156),$K156="k"),ROUND(VLOOKUP(BA$4,Preisindex,2,FALSE)/VLOOKUP(YEAR($F156),Preisindex,2,FALSE),2),0)))))</f>
        <v>0</v>
      </c>
      <c r="BB156" s="56">
        <f>IF(AND($E156&lt;&gt;0,$F156&gt;0,YEAR($F156)&lt;Preisindex!$A$6,YEAR(AV$4)&gt;=YEAR($F156),AND($K156&lt;&gt;"a",$K156&lt;&gt;"b",$K156&lt;&gt;"g",$K156&lt;&gt;"k")),1,IF(AND($E156&lt;&gt;0,$F156&gt;0,YEAR($F156)&lt;Preisindex!$A$6,YEAR(AV$4)&gt;=YEAR($F156),$K156="a"),ROUND(VLOOKUP(BA$4,Preisindex,5,FALSE)/VLOOKUP(Preisindex!$A$6,Preisindex,5,FALSE),2),IF(AND($E156&lt;&gt;0,$F156&gt;0,YEAR($F156)&lt;Preisindex!$A$6,YEAR(AV$4)&gt;=YEAR($F156),$K156="b"),ROUND(VLOOKUP(BA$4,Preisindex,3,FALSE)/VLOOKUP(Preisindex!$A$6,Preisindex,3,FALSE),2),IF(AND($E156&lt;&gt;0,$F156&gt;0,YEAR($F156)&lt;Preisindex!$A$6,YEAR(AV$4)&gt;=YEAR($F156),$K156="g"),ROUND(VLOOKUP(BA$4,Preisindex,4,FALSE)/VLOOKUP(Preisindex!$A$6,Preisindex,4,FALSE),2),IF(AND($E156&lt;&gt;0,$F156&gt;0,YEAR($F156)&lt;Preisindex!$A$6,YEAR(AV$4)&gt;=YEAR($F156),$K156="k"),ROUND(VLOOKUP(BA$4,Preisindex,2,FALSE)/VLOOKUP(Preisindex!$A$6,Preisindex,2,FALSE),2),0)))))</f>
        <v>0</v>
      </c>
      <c r="BC156" s="51">
        <f>IF(AND($E156&lt;&gt;0,$F156&gt;0,YEAR($F156)&lt;=BA$4,YEAR($F156)&gt;=Preisindex!$A$6),ROUND($E156*BA156,2),IF(AND($E156&lt;&gt;0,$F156&gt;0,YEAR($F156)&lt;=BA$4,YEAR($F156)&lt;Preisindex!$A$6),ROUND($E156*BB156,2),0))</f>
        <v>0</v>
      </c>
      <c r="BD156" s="53">
        <f t="shared" si="500"/>
        <v>0</v>
      </c>
      <c r="BE156" s="51">
        <f t="shared" si="577"/>
        <v>0</v>
      </c>
      <c r="BF156" s="51">
        <f t="shared" si="584"/>
        <v>0</v>
      </c>
      <c r="BG156" s="51">
        <f t="shared" si="501"/>
        <v>0</v>
      </c>
      <c r="BH156" s="51">
        <f t="shared" si="585"/>
        <v>0</v>
      </c>
      <c r="BI156" s="51">
        <f t="shared" si="502"/>
        <v>0</v>
      </c>
      <c r="BJ156" s="51">
        <f t="shared" si="586"/>
        <v>0</v>
      </c>
      <c r="BK156" s="51">
        <f t="shared" si="503"/>
        <v>0</v>
      </c>
      <c r="BL156" s="51">
        <f t="shared" si="587"/>
        <v>0</v>
      </c>
      <c r="BM156" s="51">
        <f t="shared" si="504"/>
        <v>0</v>
      </c>
      <c r="BN156" s="51">
        <f t="shared" si="588"/>
        <v>0</v>
      </c>
      <c r="BO156" s="51">
        <f t="shared" si="505"/>
        <v>0</v>
      </c>
      <c r="BP156" s="54">
        <f t="shared" si="506"/>
        <v>0</v>
      </c>
      <c r="BQ156" s="55">
        <f t="shared" si="507"/>
        <v>0</v>
      </c>
      <c r="BR156" s="56">
        <f>IF(AND($E156&lt;&gt;0,$F156&gt;0,YEAR($F156)&gt;=Preisindex!$A$6,YEAR(BM$4)&gt;=YEAR($F156),AND($K156&lt;&gt;"a",$K156&lt;&gt;"b",$K156&lt;&gt;"g",$K156&lt;&gt;"k")),1,IF(AND($E156&lt;&gt;0,$F156&gt;0,YEAR($F156)&gt;=Preisindex!$A$6,YEAR(BM$4)&gt;=YEAR($F156),$K156="a"),ROUND(VLOOKUP(BR$4,Preisindex,5,FALSE)/VLOOKUP(YEAR($F156),Preisindex,5,FALSE),2),IF(AND($E156&lt;&gt;0,$F156&gt;0,YEAR($F156)&gt;=Preisindex!$A$6,YEAR(BM$4)&gt;=YEAR($F156),$K156="b"),ROUND(VLOOKUP(BR$4,Preisindex,3,FALSE)/VLOOKUP(YEAR($F156),Preisindex,3,FALSE),2),IF(AND($E156&lt;&gt;0,$F156&gt;0,YEAR($F156)&gt;=Preisindex!$A$6,YEAR(BM$4)&gt;=YEAR($F156),$K156="g"),ROUND(VLOOKUP(BR$4,Preisindex,4,FALSE)/VLOOKUP(YEAR($F156),Preisindex,4,FALSE),2),IF(AND($E156&lt;&gt;0,$F156&gt;0,YEAR($F156)&gt;=Preisindex!$A$6,YEAR(BM$4)&gt;=YEAR($F156),$K156="k"),ROUND(VLOOKUP(BR$4,Preisindex,2,FALSE)/VLOOKUP(YEAR($F156),Preisindex,2,FALSE),2),0)))))</f>
        <v>0</v>
      </c>
      <c r="BS156" s="56">
        <f>IF(AND($E156&lt;&gt;0,$F156&gt;0,YEAR($F156)&lt;Preisindex!$A$6,YEAR(BM$4)&gt;=YEAR($F156),AND($K156&lt;&gt;"a",$K156&lt;&gt;"b",$K156&lt;&gt;"g",$K156&lt;&gt;"k")),1,IF(AND($E156&lt;&gt;0,$F156&gt;0,YEAR($F156)&lt;Preisindex!$A$6,YEAR(BM$4)&gt;=YEAR($F156),$K156="a"),ROUND(VLOOKUP(BR$4,Preisindex,5,FALSE)/VLOOKUP(Preisindex!$A$6,Preisindex,5,FALSE),2),IF(AND($E156&lt;&gt;0,$F156&gt;0,YEAR($F156)&lt;Preisindex!$A$6,YEAR(BM$4)&gt;=YEAR($F156),$K156="b"),ROUND(VLOOKUP(BR$4,Preisindex,3,FALSE)/VLOOKUP(Preisindex!$A$6,Preisindex,3,FALSE),2),IF(AND($E156&lt;&gt;0,$F156&gt;0,YEAR($F156)&lt;Preisindex!$A$6,YEAR(BM$4)&gt;=YEAR($F156),$K156="g"),ROUND(VLOOKUP(BR$4,Preisindex,4,FALSE)/VLOOKUP(Preisindex!$A$6,Preisindex,4,FALSE),2),IF(AND($E156&lt;&gt;0,$F156&gt;0,YEAR($F156)&lt;Preisindex!$A$6,YEAR(BM$4)&gt;=YEAR($F156),$K156="k"),ROUND(VLOOKUP(BR$4,Preisindex,2,FALSE)/VLOOKUP(Preisindex!$A$6,Preisindex,2,FALSE),2),0)))))</f>
        <v>0</v>
      </c>
      <c r="BT156" s="51">
        <f>IF(AND($E156&lt;&gt;0,$F156&gt;0,YEAR($F156)&lt;=BR$4,YEAR($F156)&gt;=Preisindex!$A$6),ROUND($E156*BR156,2),IF(AND($E156&lt;&gt;0,$F156&gt;0,YEAR($F156)&lt;=BR$4,YEAR($F156)&lt;Preisindex!$A$6),ROUND($E156*BS156,2),0))</f>
        <v>0</v>
      </c>
      <c r="BU156" s="53">
        <f t="shared" si="508"/>
        <v>0</v>
      </c>
      <c r="BV156" s="51">
        <f t="shared" si="577"/>
        <v>0</v>
      </c>
      <c r="BW156" s="51">
        <f t="shared" si="589"/>
        <v>0</v>
      </c>
      <c r="BX156" s="51">
        <f t="shared" si="509"/>
        <v>0</v>
      </c>
      <c r="BY156" s="51">
        <f t="shared" si="590"/>
        <v>0</v>
      </c>
      <c r="BZ156" s="51">
        <f t="shared" si="510"/>
        <v>0</v>
      </c>
      <c r="CA156" s="51">
        <f t="shared" si="591"/>
        <v>0</v>
      </c>
      <c r="CB156" s="51">
        <f t="shared" si="511"/>
        <v>0</v>
      </c>
      <c r="CC156" s="51">
        <f t="shared" si="592"/>
        <v>0</v>
      </c>
      <c r="CD156" s="51">
        <f t="shared" si="512"/>
        <v>0</v>
      </c>
      <c r="CE156" s="51">
        <f t="shared" si="593"/>
        <v>0</v>
      </c>
      <c r="CF156" s="51">
        <f t="shared" si="513"/>
        <v>0</v>
      </c>
      <c r="CG156" s="54">
        <f t="shared" si="514"/>
        <v>0</v>
      </c>
      <c r="CH156" s="55">
        <f t="shared" si="515"/>
        <v>0</v>
      </c>
      <c r="CI156" s="56">
        <f>IF(AND($E156&lt;&gt;0,$F156&gt;0,YEAR($F156)&gt;=Preisindex!$A$6,YEAR(CD$4)&gt;=YEAR($F156),AND($K156&lt;&gt;"a",$K156&lt;&gt;"b",$K156&lt;&gt;"g",$K156&lt;&gt;"k")),1,IF(AND($E156&lt;&gt;0,$F156&gt;0,YEAR($F156)&gt;=Preisindex!$A$6,YEAR(CD$4)&gt;=YEAR($F156),$K156="a"),ROUND(VLOOKUP(CI$4,Preisindex,5,FALSE)/VLOOKUP(YEAR($F156),Preisindex,5,FALSE),2),IF(AND($E156&lt;&gt;0,$F156&gt;0,YEAR($F156)&gt;=Preisindex!$A$6,YEAR(CD$4)&gt;=YEAR($F156),$K156="b"),ROUND(VLOOKUP(CI$4,Preisindex,3,FALSE)/VLOOKUP(YEAR($F156),Preisindex,3,FALSE),2),IF(AND($E156&lt;&gt;0,$F156&gt;0,YEAR($F156)&gt;=Preisindex!$A$6,YEAR(CD$4)&gt;=YEAR($F156),$K156="g"),ROUND(VLOOKUP(CI$4,Preisindex,4,FALSE)/VLOOKUP(YEAR($F156),Preisindex,4,FALSE),2),IF(AND($E156&lt;&gt;0,$F156&gt;0,YEAR($F156)&gt;=Preisindex!$A$6,YEAR(CD$4)&gt;=YEAR($F156),$K156="k"),ROUND(VLOOKUP(CI$4,Preisindex,2,FALSE)/VLOOKUP(YEAR($F156),Preisindex,2,FALSE),2),0)))))</f>
        <v>0</v>
      </c>
      <c r="CJ156" s="56">
        <f>IF(AND($E156&lt;&gt;0,$F156&gt;0,YEAR($F156)&lt;Preisindex!$A$6,YEAR(CD$4)&gt;=YEAR($F156),AND($K156&lt;&gt;"a",$K156&lt;&gt;"b",$K156&lt;&gt;"g",$K156&lt;&gt;"k")),1,IF(AND($E156&lt;&gt;0,$F156&gt;0,YEAR($F156)&lt;Preisindex!$A$6,YEAR(CD$4)&gt;=YEAR($F156),$K156="a"),ROUND(VLOOKUP(CI$4,Preisindex,5,FALSE)/VLOOKUP(Preisindex!$A$6,Preisindex,5,FALSE),2),IF(AND($E156&lt;&gt;0,$F156&gt;0,YEAR($F156)&lt;Preisindex!$A$6,YEAR(CD$4)&gt;=YEAR($F156),$K156="b"),ROUND(VLOOKUP(CI$4,Preisindex,3,FALSE)/VLOOKUP(Preisindex!$A$6,Preisindex,3,FALSE),2),IF(AND($E156&lt;&gt;0,$F156&gt;0,YEAR($F156)&lt;Preisindex!$A$6,YEAR(CD$4)&gt;=YEAR($F156),$K156="g"),ROUND(VLOOKUP(CI$4,Preisindex,4,FALSE)/VLOOKUP(Preisindex!$A$6,Preisindex,4,FALSE),2),IF(AND($E156&lt;&gt;0,$F156&gt;0,YEAR($F156)&lt;Preisindex!$A$6,YEAR(CD$4)&gt;=YEAR($F156),$K156="k"),ROUND(VLOOKUP(CI$4,Preisindex,2,FALSE)/VLOOKUP(Preisindex!$A$6,Preisindex,2,FALSE),2),0)))))</f>
        <v>0</v>
      </c>
      <c r="CK156" s="51">
        <f>IF(AND($E156&lt;&gt;0,$F156&gt;0,YEAR($F156)&lt;=CI$4,YEAR($F156)&gt;=Preisindex!$A$6),ROUND($E156*CI156,2),IF(AND($E156&lt;&gt;0,$F156&gt;0,YEAR($F156)&lt;=CI$4,YEAR($F156)&lt;Preisindex!$A$6),ROUND($E156*CJ156,2),0))</f>
        <v>0</v>
      </c>
      <c r="CL156" s="53">
        <f t="shared" si="516"/>
        <v>0</v>
      </c>
      <c r="CM156" s="51">
        <f t="shared" si="577"/>
        <v>0</v>
      </c>
      <c r="CN156" s="51">
        <f t="shared" si="594"/>
        <v>0</v>
      </c>
      <c r="CO156" s="51">
        <f t="shared" si="517"/>
        <v>0</v>
      </c>
      <c r="CP156" s="51">
        <f t="shared" si="595"/>
        <v>0</v>
      </c>
      <c r="CQ156" s="51">
        <f t="shared" si="518"/>
        <v>0</v>
      </c>
      <c r="CR156" s="51">
        <f t="shared" si="596"/>
        <v>0</v>
      </c>
      <c r="CS156" s="51">
        <f t="shared" si="519"/>
        <v>0</v>
      </c>
      <c r="CT156" s="51">
        <f t="shared" si="597"/>
        <v>0</v>
      </c>
      <c r="CU156" s="51">
        <f t="shared" si="520"/>
        <v>0</v>
      </c>
      <c r="CV156" s="51">
        <f t="shared" si="598"/>
        <v>0</v>
      </c>
      <c r="CW156" s="51">
        <f t="shared" si="521"/>
        <v>0</v>
      </c>
      <c r="CX156" s="54">
        <f t="shared" si="522"/>
        <v>0</v>
      </c>
      <c r="CY156" s="55">
        <f t="shared" si="523"/>
        <v>0</v>
      </c>
      <c r="CZ156" s="56">
        <f>IF(AND($E156&lt;&gt;0,$F156&gt;0,YEAR($F156)&gt;=Preisindex!$A$6,YEAR(CU$4)&gt;=YEAR($F156),AND($K156&lt;&gt;"a",$K156&lt;&gt;"b",$K156&lt;&gt;"g",$K156&lt;&gt;"k")),1,IF(AND($E156&lt;&gt;0,$F156&gt;0,YEAR($F156)&gt;=Preisindex!$A$6,YEAR(CU$4)&gt;=YEAR($F156),$K156="a"),ROUND(VLOOKUP(CZ$4,Preisindex,5,FALSE)/VLOOKUP(YEAR($F156),Preisindex,5,FALSE),2),IF(AND($E156&lt;&gt;0,$F156&gt;0,YEAR($F156)&gt;=Preisindex!$A$6,YEAR(CU$4)&gt;=YEAR($F156),$K156="b"),ROUND(VLOOKUP(CZ$4,Preisindex,3,FALSE)/VLOOKUP(YEAR($F156),Preisindex,3,FALSE),2),IF(AND($E156&lt;&gt;0,$F156&gt;0,YEAR($F156)&gt;=Preisindex!$A$6,YEAR(CU$4)&gt;=YEAR($F156),$K156="g"),ROUND(VLOOKUP(CZ$4,Preisindex,4,FALSE)/VLOOKUP(YEAR($F156),Preisindex,4,FALSE),2),IF(AND($E156&lt;&gt;0,$F156&gt;0,YEAR($F156)&gt;=Preisindex!$A$6,YEAR(CU$4)&gt;=YEAR($F156),$K156="k"),ROUND(VLOOKUP(CZ$4,Preisindex,2,FALSE)/VLOOKUP(YEAR($F156),Preisindex,2,FALSE),2),0)))))</f>
        <v>0</v>
      </c>
      <c r="DA156" s="56">
        <f>IF(AND($E156&lt;&gt;0,$F156&gt;0,YEAR($F156)&lt;Preisindex!$A$6,YEAR(CU$4)&gt;=YEAR($F156),AND($K156&lt;&gt;"a",$K156&lt;&gt;"b",$K156&lt;&gt;"g",$K156&lt;&gt;"k")),1,IF(AND($E156&lt;&gt;0,$F156&gt;0,YEAR($F156)&lt;Preisindex!$A$6,YEAR(CU$4)&gt;=YEAR($F156),$K156="a"),ROUND(VLOOKUP(CZ$4,Preisindex,5,FALSE)/VLOOKUP(Preisindex!$A$6,Preisindex,5,FALSE),2),IF(AND($E156&lt;&gt;0,$F156&gt;0,YEAR($F156)&lt;Preisindex!$A$6,YEAR(CU$4)&gt;=YEAR($F156),$K156="b"),ROUND(VLOOKUP(CZ$4,Preisindex,3,FALSE)/VLOOKUP(Preisindex!$A$6,Preisindex,3,FALSE),2),IF(AND($E156&lt;&gt;0,$F156&gt;0,YEAR($F156)&lt;Preisindex!$A$6,YEAR(CU$4)&gt;=YEAR($F156),$K156="g"),ROUND(VLOOKUP(CZ$4,Preisindex,4,FALSE)/VLOOKUP(Preisindex!$A$6,Preisindex,4,FALSE),2),IF(AND($E156&lt;&gt;0,$F156&gt;0,YEAR($F156)&lt;Preisindex!$A$6,YEAR(CU$4)&gt;=YEAR($F156),$K156="k"),ROUND(VLOOKUP(CZ$4,Preisindex,2,FALSE)/VLOOKUP(Preisindex!$A$6,Preisindex,2,FALSE),2),0)))))</f>
        <v>0</v>
      </c>
      <c r="DB156" s="51">
        <f>IF(AND($E156&lt;&gt;0,$F156&gt;0,YEAR($F156)&lt;=CZ$4,YEAR($F156)&gt;=Preisindex!$A$6),ROUND($E156*CZ156,2),IF(AND($E156&lt;&gt;0,$F156&gt;0,YEAR($F156)&lt;=CZ$4,YEAR($F156)&lt;Preisindex!$A$6),ROUND($E156*DA156,2),0))</f>
        <v>0</v>
      </c>
      <c r="DC156" s="53">
        <f t="shared" si="524"/>
        <v>0</v>
      </c>
      <c r="DD156" s="51">
        <f t="shared" si="578"/>
        <v>0</v>
      </c>
      <c r="DE156" s="51">
        <f t="shared" si="599"/>
        <v>0</v>
      </c>
      <c r="DF156" s="51">
        <f t="shared" si="526"/>
        <v>0</v>
      </c>
      <c r="DG156" s="51">
        <f t="shared" si="600"/>
        <v>0</v>
      </c>
      <c r="DH156" s="51">
        <f t="shared" si="527"/>
        <v>0</v>
      </c>
      <c r="DI156" s="51">
        <f t="shared" si="601"/>
        <v>0</v>
      </c>
      <c r="DJ156" s="51">
        <f t="shared" si="528"/>
        <v>0</v>
      </c>
      <c r="DK156" s="51">
        <f t="shared" si="602"/>
        <v>0</v>
      </c>
      <c r="DL156" s="51">
        <f t="shared" si="529"/>
        <v>0</v>
      </c>
      <c r="DM156" s="51">
        <f t="shared" si="603"/>
        <v>0</v>
      </c>
      <c r="DN156" s="51">
        <f t="shared" si="530"/>
        <v>0</v>
      </c>
      <c r="DO156" s="54">
        <f t="shared" si="531"/>
        <v>0</v>
      </c>
      <c r="DP156" s="55">
        <f t="shared" si="532"/>
        <v>0</v>
      </c>
      <c r="DQ156" s="56">
        <f>IF(AND($E156&lt;&gt;0,$F156&gt;0,YEAR($F156)&gt;=Preisindex!$A$6,YEAR(DL$4)&gt;=YEAR($F156),AND($K156&lt;&gt;"a",$K156&lt;&gt;"b",$K156&lt;&gt;"g",$K156&lt;&gt;"k")),1,IF(AND($E156&lt;&gt;0,$F156&gt;0,YEAR($F156)&gt;=Preisindex!$A$6,YEAR(DL$4)&gt;=YEAR($F156),$K156="a"),ROUND(VLOOKUP(DQ$4,Preisindex,5,FALSE)/VLOOKUP(YEAR($F156),Preisindex,5,FALSE),2),IF(AND($E156&lt;&gt;0,$F156&gt;0,YEAR($F156)&gt;=Preisindex!$A$6,YEAR(DL$4)&gt;=YEAR($F156),$K156="b"),ROUND(VLOOKUP(DQ$4,Preisindex,3,FALSE)/VLOOKUP(YEAR($F156),Preisindex,3,FALSE),2),IF(AND($E156&lt;&gt;0,$F156&gt;0,YEAR($F156)&gt;=Preisindex!$A$6,YEAR(DL$4)&gt;=YEAR($F156),$K156="g"),ROUND(VLOOKUP(DQ$4,Preisindex,4,FALSE)/VLOOKUP(YEAR($F156),Preisindex,4,FALSE),2),IF(AND($E156&lt;&gt;0,$F156&gt;0,YEAR($F156)&gt;=Preisindex!$A$6,YEAR(DL$4)&gt;=YEAR($F156),$K156="k"),ROUND(VLOOKUP(DQ$4,Preisindex,2,FALSE)/VLOOKUP(YEAR($F156),Preisindex,2,FALSE),2),0)))))</f>
        <v>0</v>
      </c>
      <c r="DR156" s="56">
        <f>IF(AND($E156&lt;&gt;0,$F156&gt;0,YEAR($F156)&lt;Preisindex!$A$6,YEAR(DL$4)&gt;=YEAR($F156),AND($K156&lt;&gt;"a",$K156&lt;&gt;"b",$K156&lt;&gt;"g",$K156&lt;&gt;"k")),1,IF(AND($E156&lt;&gt;0,$F156&gt;0,YEAR($F156)&lt;Preisindex!$A$6,YEAR(DL$4)&gt;=YEAR($F156),$K156="a"),ROUND(VLOOKUP(DQ$4,Preisindex,5,FALSE)/VLOOKUP(Preisindex!$A$6,Preisindex,5,FALSE),2),IF(AND($E156&lt;&gt;0,$F156&gt;0,YEAR($F156)&lt;Preisindex!$A$6,YEAR(DL$4)&gt;=YEAR($F156),$K156="b"),ROUND(VLOOKUP(DQ$4,Preisindex,3,FALSE)/VLOOKUP(Preisindex!$A$6,Preisindex,3,FALSE),2),IF(AND($E156&lt;&gt;0,$F156&gt;0,YEAR($F156)&lt;Preisindex!$A$6,YEAR(DL$4)&gt;=YEAR($F156),$K156="g"),ROUND(VLOOKUP(DQ$4,Preisindex,4,FALSE)/VLOOKUP(Preisindex!$A$6,Preisindex,4,FALSE),2),IF(AND($E156&lt;&gt;0,$F156&gt;0,YEAR($F156)&lt;Preisindex!$A$6,YEAR(DL$4)&gt;=YEAR($F156),$K156="k"),ROUND(VLOOKUP(DQ$4,Preisindex,2,FALSE)/VLOOKUP(Preisindex!$A$6,Preisindex,2,FALSE),2),0)))))</f>
        <v>0</v>
      </c>
      <c r="DS156" s="51">
        <f>IF(AND($E156&lt;&gt;0,$F156&gt;0,YEAR($F156)&lt;=DQ$4,YEAR($F156)&gt;=Preisindex!$A$6),ROUND($E156*DQ156,2),IF(AND($E156&lt;&gt;0,$F156&gt;0,YEAR($F156)&lt;=DQ$4,YEAR($F156)&lt;Preisindex!$A$6),ROUND($E156*DR156,2),0))</f>
        <v>0</v>
      </c>
      <c r="DT156" s="53">
        <f t="shared" si="533"/>
        <v>0</v>
      </c>
      <c r="DU156" s="51">
        <f t="shared" si="578"/>
        <v>0</v>
      </c>
      <c r="DV156" s="51">
        <f t="shared" si="604"/>
        <v>0</v>
      </c>
      <c r="DW156" s="51">
        <f t="shared" si="534"/>
        <v>0</v>
      </c>
      <c r="DX156" s="51">
        <f t="shared" si="605"/>
        <v>0</v>
      </c>
      <c r="DY156" s="51">
        <f t="shared" si="535"/>
        <v>0</v>
      </c>
      <c r="DZ156" s="51">
        <f t="shared" si="606"/>
        <v>0</v>
      </c>
      <c r="EA156" s="51">
        <f t="shared" si="536"/>
        <v>0</v>
      </c>
      <c r="EB156" s="51">
        <f t="shared" si="607"/>
        <v>0</v>
      </c>
      <c r="EC156" s="51">
        <f t="shared" si="537"/>
        <v>0</v>
      </c>
      <c r="ED156" s="51">
        <f t="shared" si="608"/>
        <v>0</v>
      </c>
      <c r="EE156" s="51">
        <f t="shared" si="538"/>
        <v>0</v>
      </c>
      <c r="EF156" s="54">
        <f t="shared" si="539"/>
        <v>0</v>
      </c>
      <c r="EG156" s="55">
        <f t="shared" si="540"/>
        <v>0</v>
      </c>
      <c r="EH156" s="56">
        <f>IF(AND($E156&lt;&gt;0,$F156&gt;0,YEAR($F156)&gt;=Preisindex!$A$6,YEAR(EC$4)&gt;=YEAR($F156),AND($K156&lt;&gt;"a",$K156&lt;&gt;"b",$K156&lt;&gt;"g",$K156&lt;&gt;"k")),1,IF(AND($E156&lt;&gt;0,$F156&gt;0,YEAR($F156)&gt;=Preisindex!$A$6,YEAR(EC$4)&gt;=YEAR($F156),$K156="a"),ROUND(VLOOKUP(EH$4,Preisindex,5,FALSE)/VLOOKUP(YEAR($F156),Preisindex,5,FALSE),2),IF(AND($E156&lt;&gt;0,$F156&gt;0,YEAR($F156)&gt;=Preisindex!$A$6,YEAR(EC$4)&gt;=YEAR($F156),$K156="b"),ROUND(VLOOKUP(EH$4,Preisindex,3,FALSE)/VLOOKUP(YEAR($F156),Preisindex,3,FALSE),2),IF(AND($E156&lt;&gt;0,$F156&gt;0,YEAR($F156)&gt;=Preisindex!$A$6,YEAR(EC$4)&gt;=YEAR($F156),$K156="g"),ROUND(VLOOKUP(EH$4,Preisindex,4,FALSE)/VLOOKUP(YEAR($F156),Preisindex,4,FALSE),2),IF(AND($E156&lt;&gt;0,$F156&gt;0,YEAR($F156)&gt;=Preisindex!$A$6,YEAR(EC$4)&gt;=YEAR($F156),$K156="k"),ROUND(VLOOKUP(EH$4,Preisindex,2,FALSE)/VLOOKUP(YEAR($F156),Preisindex,2,FALSE),2),0)))))</f>
        <v>0</v>
      </c>
      <c r="EI156" s="56">
        <f>IF(AND($E156&lt;&gt;0,$F156&gt;0,YEAR($F156)&lt;Preisindex!$A$6,YEAR(EC$4)&gt;=YEAR($F156),AND($K156&lt;&gt;"a",$K156&lt;&gt;"b",$K156&lt;&gt;"g",$K156&lt;&gt;"k")),1,IF(AND($E156&lt;&gt;0,$F156&gt;0,YEAR($F156)&lt;Preisindex!$A$6,YEAR(EC$4)&gt;=YEAR($F156),$K156="a"),ROUND(VLOOKUP(EH$4,Preisindex,5,FALSE)/VLOOKUP(Preisindex!$A$6,Preisindex,5,FALSE),2),IF(AND($E156&lt;&gt;0,$F156&gt;0,YEAR($F156)&lt;Preisindex!$A$6,YEAR(EC$4)&gt;=YEAR($F156),$K156="b"),ROUND(VLOOKUP(EH$4,Preisindex,3,FALSE)/VLOOKUP(Preisindex!$A$6,Preisindex,3,FALSE),2),IF(AND($E156&lt;&gt;0,$F156&gt;0,YEAR($F156)&lt;Preisindex!$A$6,YEAR(EC$4)&gt;=YEAR($F156),$K156="g"),ROUND(VLOOKUP(EH$4,Preisindex,4,FALSE)/VLOOKUP(Preisindex!$A$6,Preisindex,4,FALSE),2),IF(AND($E156&lt;&gt;0,$F156&gt;0,YEAR($F156)&lt;Preisindex!$A$6,YEAR(EC$4)&gt;=YEAR($F156),$K156="k"),ROUND(VLOOKUP(EH$4,Preisindex,2,FALSE)/VLOOKUP(Preisindex!$A$6,Preisindex,2,FALSE),2),0)))))</f>
        <v>0</v>
      </c>
      <c r="EJ156" s="51">
        <f>IF(AND($E156&lt;&gt;0,$F156&gt;0,YEAR($F156)&lt;=EH$4,YEAR($F156)&gt;=Preisindex!$A$6),ROUND($E156*EH156,2),IF(AND($E156&lt;&gt;0,$F156&gt;0,YEAR($F156)&lt;=EH$4,YEAR($F156)&lt;Preisindex!$A$6),ROUND($E156*EI156,2),0))</f>
        <v>0</v>
      </c>
      <c r="EK156" s="53">
        <f t="shared" si="541"/>
        <v>0</v>
      </c>
      <c r="EL156" s="51">
        <f t="shared" si="578"/>
        <v>0</v>
      </c>
      <c r="EM156" s="51">
        <f t="shared" si="609"/>
        <v>0</v>
      </c>
      <c r="EN156" s="51">
        <f t="shared" si="542"/>
        <v>0</v>
      </c>
      <c r="EO156" s="51">
        <f t="shared" si="610"/>
        <v>0</v>
      </c>
      <c r="EP156" s="51">
        <f t="shared" si="543"/>
        <v>0</v>
      </c>
      <c r="EQ156" s="51">
        <f t="shared" si="611"/>
        <v>0</v>
      </c>
      <c r="ER156" s="51">
        <f t="shared" si="544"/>
        <v>0</v>
      </c>
      <c r="ES156" s="51">
        <f t="shared" si="612"/>
        <v>0</v>
      </c>
      <c r="ET156" s="51">
        <f t="shared" si="545"/>
        <v>0</v>
      </c>
      <c r="EU156" s="51">
        <f t="shared" si="613"/>
        <v>0</v>
      </c>
      <c r="EV156" s="51">
        <f t="shared" si="546"/>
        <v>0</v>
      </c>
      <c r="EW156" s="54">
        <f t="shared" si="547"/>
        <v>0</v>
      </c>
      <c r="EX156" s="55">
        <f t="shared" si="548"/>
        <v>0</v>
      </c>
      <c r="EY156" s="56">
        <f>IF(AND($E156&lt;&gt;0,$F156&gt;0,YEAR($F156)&gt;=Preisindex!$A$6,YEAR(ET$4)&gt;=YEAR($F156),AND($K156&lt;&gt;"a",$K156&lt;&gt;"b",$K156&lt;&gt;"g",$K156&lt;&gt;"k")),1,IF(AND($E156&lt;&gt;0,$F156&gt;0,YEAR($F156)&gt;=Preisindex!$A$6,YEAR(ET$4)&gt;=YEAR($F156),$K156="a"),ROUND(VLOOKUP(EY$4,Preisindex,5,FALSE)/VLOOKUP(YEAR($F156),Preisindex,5,FALSE),2),IF(AND($E156&lt;&gt;0,$F156&gt;0,YEAR($F156)&gt;=Preisindex!$A$6,YEAR(ET$4)&gt;=YEAR($F156),$K156="b"),ROUND(VLOOKUP(EY$4,Preisindex,3,FALSE)/VLOOKUP(YEAR($F156),Preisindex,3,FALSE),2),IF(AND($E156&lt;&gt;0,$F156&gt;0,YEAR($F156)&gt;=Preisindex!$A$6,YEAR(ET$4)&gt;=YEAR($F156),$K156="g"),ROUND(VLOOKUP(EY$4,Preisindex,4,FALSE)/VLOOKUP(YEAR($F156),Preisindex,4,FALSE),2),IF(AND($E156&lt;&gt;0,$F156&gt;0,YEAR($F156)&gt;=Preisindex!$A$6,YEAR(ET$4)&gt;=YEAR($F156),$K156="k"),ROUND(VLOOKUP(EY$4,Preisindex,2,FALSE)/VLOOKUP(YEAR($F156),Preisindex,2,FALSE),2),0)))))</f>
        <v>0</v>
      </c>
      <c r="EZ156" s="56">
        <f>IF(AND($E156&lt;&gt;0,$F156&gt;0,YEAR($F156)&lt;Preisindex!$A$6,YEAR(ET$4)&gt;=YEAR($F156),AND($K156&lt;&gt;"a",$K156&lt;&gt;"b",$K156&lt;&gt;"g",$K156&lt;&gt;"k")),1,IF(AND($E156&lt;&gt;0,$F156&gt;0,YEAR($F156)&lt;Preisindex!$A$6,YEAR(ET$4)&gt;=YEAR($F156),$K156="a"),ROUND(VLOOKUP(EY$4,Preisindex,5,FALSE)/VLOOKUP(Preisindex!$A$6,Preisindex,5,FALSE),2),IF(AND($E156&lt;&gt;0,$F156&gt;0,YEAR($F156)&lt;Preisindex!$A$6,YEAR(ET$4)&gt;=YEAR($F156),$K156="b"),ROUND(VLOOKUP(EY$4,Preisindex,3,FALSE)/VLOOKUP(Preisindex!$A$6,Preisindex,3,FALSE),2),IF(AND($E156&lt;&gt;0,$F156&gt;0,YEAR($F156)&lt;Preisindex!$A$6,YEAR(ET$4)&gt;=YEAR($F156),$K156="g"),ROUND(VLOOKUP(EY$4,Preisindex,4,FALSE)/VLOOKUP(Preisindex!$A$6,Preisindex,4,FALSE),2),IF(AND($E156&lt;&gt;0,$F156&gt;0,YEAR($F156)&lt;Preisindex!$A$6,YEAR(ET$4)&gt;=YEAR($F156),$K156="k"),ROUND(VLOOKUP(EY$4,Preisindex,2,FALSE)/VLOOKUP(Preisindex!$A$6,Preisindex,2,FALSE),2),0)))))</f>
        <v>0</v>
      </c>
      <c r="FA156" s="51">
        <f>IF(AND($E156&lt;&gt;0,$F156&gt;0,YEAR($F156)&lt;=EY$4,YEAR($F156)&gt;=Preisindex!$A$6),ROUND($E156*EY156,2),IF(AND($E156&lt;&gt;0,$F156&gt;0,YEAR($F156)&lt;=EY$4,YEAR($F156)&lt;Preisindex!$A$6),ROUND($E156*EZ156,2),0))</f>
        <v>0</v>
      </c>
      <c r="FB156" s="53">
        <f t="shared" si="549"/>
        <v>0</v>
      </c>
      <c r="FC156" s="51">
        <f t="shared" si="578"/>
        <v>0</v>
      </c>
      <c r="FD156" s="51">
        <f t="shared" si="614"/>
        <v>0</v>
      </c>
      <c r="FE156" s="51">
        <f t="shared" si="550"/>
        <v>0</v>
      </c>
      <c r="FF156" s="51">
        <f t="shared" si="615"/>
        <v>0</v>
      </c>
      <c r="FG156" s="51">
        <f t="shared" si="551"/>
        <v>0</v>
      </c>
      <c r="FH156" s="51">
        <f t="shared" si="616"/>
        <v>0</v>
      </c>
      <c r="FI156" s="51">
        <f t="shared" si="552"/>
        <v>0</v>
      </c>
      <c r="FJ156" s="51">
        <f t="shared" si="617"/>
        <v>0</v>
      </c>
      <c r="FK156" s="51">
        <f t="shared" si="553"/>
        <v>0</v>
      </c>
      <c r="FL156" s="51">
        <f t="shared" si="618"/>
        <v>0</v>
      </c>
      <c r="FM156" s="51">
        <f t="shared" si="554"/>
        <v>0</v>
      </c>
      <c r="FN156" s="54">
        <f t="shared" si="555"/>
        <v>0</v>
      </c>
      <c r="FO156" s="55">
        <f t="shared" si="556"/>
        <v>0</v>
      </c>
      <c r="FP156" s="56">
        <f>IF(AND($E156&lt;&gt;0,$F156&gt;0,YEAR($F156)&gt;=Preisindex!$A$6,YEAR(FK$4)&gt;=YEAR($F156),AND($K156&lt;&gt;"a",$K156&lt;&gt;"b",$K156&lt;&gt;"g",$K156&lt;&gt;"k")),1,IF(AND($E156&lt;&gt;0,$F156&gt;0,YEAR($F156)&gt;=Preisindex!$A$6,YEAR(FK$4)&gt;=YEAR($F156),$K156="a"),ROUND(VLOOKUP(FP$4,Preisindex,5,FALSE)/VLOOKUP(YEAR($F156),Preisindex,5,FALSE),2),IF(AND($E156&lt;&gt;0,$F156&gt;0,YEAR($F156)&gt;=Preisindex!$A$6,YEAR(FK$4)&gt;=YEAR($F156),$K156="b"),ROUND(VLOOKUP(FP$4,Preisindex,3,FALSE)/VLOOKUP(YEAR($F156),Preisindex,3,FALSE),2),IF(AND($E156&lt;&gt;0,$F156&gt;0,YEAR($F156)&gt;=Preisindex!$A$6,YEAR(FK$4)&gt;=YEAR($F156),$K156="g"),ROUND(VLOOKUP(FP$4,Preisindex,4,FALSE)/VLOOKUP(YEAR($F156),Preisindex,4,FALSE),2),IF(AND($E156&lt;&gt;0,$F156&gt;0,YEAR($F156)&gt;=Preisindex!$A$6,YEAR(FK$4)&gt;=YEAR($F156),$K156="k"),ROUND(VLOOKUP(FP$4,Preisindex,2,FALSE)/VLOOKUP(YEAR($F156),Preisindex,2,FALSE),2),0)))))</f>
        <v>0</v>
      </c>
      <c r="FQ156" s="56">
        <f>IF(AND($E156&lt;&gt;0,$F156&gt;0,YEAR($F156)&lt;Preisindex!$A$6,YEAR(FK$4)&gt;=YEAR($F156),AND($K156&lt;&gt;"a",$K156&lt;&gt;"b",$K156&lt;&gt;"g",$K156&lt;&gt;"k")),1,IF(AND($E156&lt;&gt;0,$F156&gt;0,YEAR($F156)&lt;Preisindex!$A$6,YEAR(FK$4)&gt;=YEAR($F156),$K156="a"),ROUND(VLOOKUP(FP$4,Preisindex,5,FALSE)/VLOOKUP(Preisindex!$A$6,Preisindex,5,FALSE),2),IF(AND($E156&lt;&gt;0,$F156&gt;0,YEAR($F156)&lt;Preisindex!$A$6,YEAR(FK$4)&gt;=YEAR($F156),$K156="b"),ROUND(VLOOKUP(FP$4,Preisindex,3,FALSE)/VLOOKUP(Preisindex!$A$6,Preisindex,3,FALSE),2),IF(AND($E156&lt;&gt;0,$F156&gt;0,YEAR($F156)&lt;Preisindex!$A$6,YEAR(FK$4)&gt;=YEAR($F156),$K156="g"),ROUND(VLOOKUP(FP$4,Preisindex,4,FALSE)/VLOOKUP(Preisindex!$A$6,Preisindex,4,FALSE),2),IF(AND($E156&lt;&gt;0,$F156&gt;0,YEAR($F156)&lt;Preisindex!$A$6,YEAR(FK$4)&gt;=YEAR($F156),$K156="k"),ROUND(VLOOKUP(FP$4,Preisindex,2,FALSE)/VLOOKUP(Preisindex!$A$6,Preisindex,2,FALSE),2),0)))))</f>
        <v>0</v>
      </c>
      <c r="FR156" s="51">
        <f>IF(AND($E156&lt;&gt;0,$F156&gt;0,YEAR($F156)&lt;=FP$4,YEAR($F156)&gt;=Preisindex!$A$6),ROUND($E156*FP156,2),IF(AND($E156&lt;&gt;0,$F156&gt;0,YEAR($F156)&lt;=FP$4,YEAR($F156)&lt;Preisindex!$A$6),ROUND($E156*FQ156,2),0))</f>
        <v>0</v>
      </c>
      <c r="FS156" s="53">
        <f t="shared" si="557"/>
        <v>0</v>
      </c>
    </row>
    <row r="157" spans="1:175" x14ac:dyDescent="0.3">
      <c r="A157" s="93"/>
      <c r="B157" s="94"/>
      <c r="C157" s="94"/>
      <c r="D157" s="95"/>
      <c r="E157" s="99"/>
      <c r="F157" s="97"/>
      <c r="G157" s="98"/>
      <c r="H157" s="620"/>
      <c r="I157" s="621"/>
      <c r="J157" s="194"/>
      <c r="K157" s="630"/>
      <c r="L157" s="49">
        <f t="shared" si="558"/>
        <v>0</v>
      </c>
      <c r="M157" s="50">
        <f t="shared" si="559"/>
        <v>0</v>
      </c>
      <c r="N157" s="51">
        <f t="shared" si="560"/>
        <v>0</v>
      </c>
      <c r="O157" s="51"/>
      <c r="P157" s="51">
        <f t="shared" si="561"/>
        <v>0</v>
      </c>
      <c r="Q157" s="52"/>
      <c r="R157" s="52"/>
      <c r="S157" s="52"/>
      <c r="T157" s="52"/>
      <c r="U157" s="52"/>
      <c r="V157" s="53">
        <f t="shared" si="562"/>
        <v>0</v>
      </c>
      <c r="W157" s="51">
        <f t="shared" si="563"/>
        <v>0</v>
      </c>
      <c r="X157" s="51">
        <f t="shared" si="564"/>
        <v>0</v>
      </c>
      <c r="Y157" s="51">
        <f t="shared" si="565"/>
        <v>0</v>
      </c>
      <c r="Z157" s="51">
        <f t="shared" si="566"/>
        <v>0</v>
      </c>
      <c r="AA157" s="51">
        <f t="shared" si="567"/>
        <v>0</v>
      </c>
      <c r="AB157" s="51">
        <f t="shared" si="568"/>
        <v>0</v>
      </c>
      <c r="AC157" s="51">
        <f t="shared" si="569"/>
        <v>0</v>
      </c>
      <c r="AD157" s="51">
        <f t="shared" si="570"/>
        <v>0</v>
      </c>
      <c r="AE157" s="51">
        <f t="shared" si="571"/>
        <v>0</v>
      </c>
      <c r="AF157" s="51">
        <f t="shared" si="572"/>
        <v>0</v>
      </c>
      <c r="AG157" s="51">
        <f t="shared" si="573"/>
        <v>0</v>
      </c>
      <c r="AH157" s="54">
        <f t="shared" si="574"/>
        <v>0</v>
      </c>
      <c r="AI157" s="55">
        <f t="shared" si="575"/>
        <v>0</v>
      </c>
      <c r="AJ157" s="56">
        <f>IF(AND($E157&lt;&gt;0,$F157&gt;0,YEAR($F157)&gt;=Preisindex!$A$6,YEAR(AE$4)&gt;=YEAR($F157),AND($K157&lt;&gt;"a",$K157&lt;&gt;"b",$K157&lt;&gt;"g",$K157&lt;&gt;"k")),1,IF(AND($E157&lt;&gt;0,$F157&gt;0,YEAR($F157)&gt;=Preisindex!$A$6,YEAR(AE$4)&gt;=YEAR($F157),$K157="a"),ROUND(VLOOKUP(AJ$4,Preisindex,5,FALSE)/VLOOKUP(YEAR($F157),Preisindex,5,FALSE),2),IF(AND($E157&lt;&gt;0,$F157&gt;0,YEAR($F157)&gt;=Preisindex!$A$6,YEAR(AE$4)&gt;=YEAR($F157),$K157="b"),ROUND(VLOOKUP(AJ$4,Preisindex,3,FALSE)/VLOOKUP(YEAR($F157),Preisindex,3,FALSE),2),IF(AND($E157&lt;&gt;0,$F157&gt;0,YEAR($F157)&gt;=Preisindex!$A$6,YEAR(AE$4)&gt;=YEAR($F157),$K157="g"),ROUND(VLOOKUP(AJ$4,Preisindex,4,FALSE)/VLOOKUP(YEAR($F157),Preisindex,4,FALSE),2),IF(AND($E157&lt;&gt;0,$F157&gt;0,YEAR($F157)&gt;=Preisindex!$A$6,YEAR(AE$4)&gt;=YEAR($F157),$K157="k"),ROUND(VLOOKUP(AJ$4,Preisindex,2,FALSE)/VLOOKUP(YEAR($F157),Preisindex,2,FALSE),2),0)))))</f>
        <v>0</v>
      </c>
      <c r="AK157" s="56">
        <f>IF(AND($E157&lt;&gt;0,$F157&gt;0,YEAR($F157)&lt;Preisindex!$A$6,YEAR(AE$4)&gt;=YEAR($F157),AND($K157&lt;&gt;"a",$K157&lt;&gt;"b",$K157&lt;&gt;"g",$K157&lt;&gt;"k")),1,IF(AND($E157&lt;&gt;0,$F157&gt;0,YEAR($F157)&lt;Preisindex!$A$6,YEAR(AE$4)&gt;=YEAR($F157),$K157="a"),ROUND(VLOOKUP(AJ$4,Preisindex,5,FALSE)/VLOOKUP(Preisindex!$A$6,Preisindex,5,FALSE),2),IF(AND($E157&lt;&gt;0,$F157&gt;0,YEAR($F157)&lt;Preisindex!$A$6,YEAR(AE$4)&gt;=YEAR($F157),$K157="b"),ROUND(VLOOKUP(AJ$4,Preisindex,3,FALSE)/VLOOKUP(Preisindex!$A$6,Preisindex,3,FALSE),2),IF(AND($E157&lt;&gt;0,$F157&gt;0,YEAR($F157)&lt;Preisindex!$A$6,YEAR(AE$4)&gt;=YEAR($F157),$K157="g"),ROUND(VLOOKUP(AJ$4,Preisindex,4,FALSE)/VLOOKUP(Preisindex!$A$6,Preisindex,4,FALSE),2),IF(AND($E157&lt;&gt;0,$F157&gt;0,YEAR($F157)&lt;Preisindex!$A$6,YEAR(AE$4)&gt;=YEAR($F157),$K157="k"),ROUND(VLOOKUP(AJ$4,Preisindex,2,FALSE)/VLOOKUP(Preisindex!$A$6,Preisindex,2,FALSE),2),0)))))</f>
        <v>0</v>
      </c>
      <c r="AL157" s="51">
        <f>IF(AND($E157&lt;&gt;0,$F157&gt;0,YEAR($F157)&lt;=AJ$4,YEAR($F157)&gt;=Preisindex!$A$6),ROUND($E157*AJ157,2),IF(AND($E157&lt;&gt;0,$F157&gt;0,YEAR($F157)&lt;=AJ$4,YEAR($F157)&lt;Preisindex!$A$6),ROUND($E157*AK157,2),0))</f>
        <v>0</v>
      </c>
      <c r="AM157" s="53">
        <f t="shared" si="576"/>
        <v>0</v>
      </c>
      <c r="AN157" s="51">
        <f t="shared" si="577"/>
        <v>0</v>
      </c>
      <c r="AO157" s="51">
        <f t="shared" si="579"/>
        <v>0</v>
      </c>
      <c r="AP157" s="51">
        <f t="shared" si="493"/>
        <v>0</v>
      </c>
      <c r="AQ157" s="51">
        <f t="shared" si="580"/>
        <v>0</v>
      </c>
      <c r="AR157" s="51">
        <f t="shared" si="494"/>
        <v>0</v>
      </c>
      <c r="AS157" s="51">
        <f t="shared" si="581"/>
        <v>0</v>
      </c>
      <c r="AT157" s="51">
        <f t="shared" si="495"/>
        <v>0</v>
      </c>
      <c r="AU157" s="51">
        <f t="shared" si="582"/>
        <v>0</v>
      </c>
      <c r="AV157" s="51">
        <f t="shared" si="496"/>
        <v>0</v>
      </c>
      <c r="AW157" s="51">
        <f t="shared" si="583"/>
        <v>0</v>
      </c>
      <c r="AX157" s="51">
        <f t="shared" si="497"/>
        <v>0</v>
      </c>
      <c r="AY157" s="54">
        <f t="shared" si="498"/>
        <v>0</v>
      </c>
      <c r="AZ157" s="55">
        <f t="shared" si="499"/>
        <v>0</v>
      </c>
      <c r="BA157" s="56">
        <f>IF(AND($E157&lt;&gt;0,$F157&gt;0,YEAR($F157)&gt;=Preisindex!$A$6,YEAR(AV$4)&gt;=YEAR($F157),AND($K157&lt;&gt;"a",$K157&lt;&gt;"b",$K157&lt;&gt;"g",$K157&lt;&gt;"k")),1,IF(AND($E157&lt;&gt;0,$F157&gt;0,YEAR($F157)&gt;=Preisindex!$A$6,YEAR(AV$4)&gt;=YEAR($F157),$K157="a"),ROUND(VLOOKUP(BA$4,Preisindex,5,FALSE)/VLOOKUP(YEAR($F157),Preisindex,5,FALSE),2),IF(AND($E157&lt;&gt;0,$F157&gt;0,YEAR($F157)&gt;=Preisindex!$A$6,YEAR(AV$4)&gt;=YEAR($F157),$K157="b"),ROUND(VLOOKUP(BA$4,Preisindex,3,FALSE)/VLOOKUP(YEAR($F157),Preisindex,3,FALSE),2),IF(AND($E157&lt;&gt;0,$F157&gt;0,YEAR($F157)&gt;=Preisindex!$A$6,YEAR(AV$4)&gt;=YEAR($F157),$K157="g"),ROUND(VLOOKUP(BA$4,Preisindex,4,FALSE)/VLOOKUP(YEAR($F157),Preisindex,4,FALSE),2),IF(AND($E157&lt;&gt;0,$F157&gt;0,YEAR($F157)&gt;=Preisindex!$A$6,YEAR(AV$4)&gt;=YEAR($F157),$K157="k"),ROUND(VLOOKUP(BA$4,Preisindex,2,FALSE)/VLOOKUP(YEAR($F157),Preisindex,2,FALSE),2),0)))))</f>
        <v>0</v>
      </c>
      <c r="BB157" s="56">
        <f>IF(AND($E157&lt;&gt;0,$F157&gt;0,YEAR($F157)&lt;Preisindex!$A$6,YEAR(AV$4)&gt;=YEAR($F157),AND($K157&lt;&gt;"a",$K157&lt;&gt;"b",$K157&lt;&gt;"g",$K157&lt;&gt;"k")),1,IF(AND($E157&lt;&gt;0,$F157&gt;0,YEAR($F157)&lt;Preisindex!$A$6,YEAR(AV$4)&gt;=YEAR($F157),$K157="a"),ROUND(VLOOKUP(BA$4,Preisindex,5,FALSE)/VLOOKUP(Preisindex!$A$6,Preisindex,5,FALSE),2),IF(AND($E157&lt;&gt;0,$F157&gt;0,YEAR($F157)&lt;Preisindex!$A$6,YEAR(AV$4)&gt;=YEAR($F157),$K157="b"),ROUND(VLOOKUP(BA$4,Preisindex,3,FALSE)/VLOOKUP(Preisindex!$A$6,Preisindex,3,FALSE),2),IF(AND($E157&lt;&gt;0,$F157&gt;0,YEAR($F157)&lt;Preisindex!$A$6,YEAR(AV$4)&gt;=YEAR($F157),$K157="g"),ROUND(VLOOKUP(BA$4,Preisindex,4,FALSE)/VLOOKUP(Preisindex!$A$6,Preisindex,4,FALSE),2),IF(AND($E157&lt;&gt;0,$F157&gt;0,YEAR($F157)&lt;Preisindex!$A$6,YEAR(AV$4)&gt;=YEAR($F157),$K157="k"),ROUND(VLOOKUP(BA$4,Preisindex,2,FALSE)/VLOOKUP(Preisindex!$A$6,Preisindex,2,FALSE),2),0)))))</f>
        <v>0</v>
      </c>
      <c r="BC157" s="51">
        <f>IF(AND($E157&lt;&gt;0,$F157&gt;0,YEAR($F157)&lt;=BA$4,YEAR($F157)&gt;=Preisindex!$A$6),ROUND($E157*BA157,2),IF(AND($E157&lt;&gt;0,$F157&gt;0,YEAR($F157)&lt;=BA$4,YEAR($F157)&lt;Preisindex!$A$6),ROUND($E157*BB157,2),0))</f>
        <v>0</v>
      </c>
      <c r="BD157" s="53">
        <f t="shared" si="500"/>
        <v>0</v>
      </c>
      <c r="BE157" s="51">
        <f t="shared" si="577"/>
        <v>0</v>
      </c>
      <c r="BF157" s="51">
        <f t="shared" si="584"/>
        <v>0</v>
      </c>
      <c r="BG157" s="51">
        <f t="shared" si="501"/>
        <v>0</v>
      </c>
      <c r="BH157" s="51">
        <f t="shared" si="585"/>
        <v>0</v>
      </c>
      <c r="BI157" s="51">
        <f t="shared" si="502"/>
        <v>0</v>
      </c>
      <c r="BJ157" s="51">
        <f t="shared" si="586"/>
        <v>0</v>
      </c>
      <c r="BK157" s="51">
        <f t="shared" si="503"/>
        <v>0</v>
      </c>
      <c r="BL157" s="51">
        <f t="shared" si="587"/>
        <v>0</v>
      </c>
      <c r="BM157" s="51">
        <f t="shared" si="504"/>
        <v>0</v>
      </c>
      <c r="BN157" s="51">
        <f t="shared" si="588"/>
        <v>0</v>
      </c>
      <c r="BO157" s="51">
        <f t="shared" si="505"/>
        <v>0</v>
      </c>
      <c r="BP157" s="54">
        <f t="shared" si="506"/>
        <v>0</v>
      </c>
      <c r="BQ157" s="55">
        <f t="shared" si="507"/>
        <v>0</v>
      </c>
      <c r="BR157" s="56">
        <f>IF(AND($E157&lt;&gt;0,$F157&gt;0,YEAR($F157)&gt;=Preisindex!$A$6,YEAR(BM$4)&gt;=YEAR($F157),AND($K157&lt;&gt;"a",$K157&lt;&gt;"b",$K157&lt;&gt;"g",$K157&lt;&gt;"k")),1,IF(AND($E157&lt;&gt;0,$F157&gt;0,YEAR($F157)&gt;=Preisindex!$A$6,YEAR(BM$4)&gt;=YEAR($F157),$K157="a"),ROUND(VLOOKUP(BR$4,Preisindex,5,FALSE)/VLOOKUP(YEAR($F157),Preisindex,5,FALSE),2),IF(AND($E157&lt;&gt;0,$F157&gt;0,YEAR($F157)&gt;=Preisindex!$A$6,YEAR(BM$4)&gt;=YEAR($F157),$K157="b"),ROUND(VLOOKUP(BR$4,Preisindex,3,FALSE)/VLOOKUP(YEAR($F157),Preisindex,3,FALSE),2),IF(AND($E157&lt;&gt;0,$F157&gt;0,YEAR($F157)&gt;=Preisindex!$A$6,YEAR(BM$4)&gt;=YEAR($F157),$K157="g"),ROUND(VLOOKUP(BR$4,Preisindex,4,FALSE)/VLOOKUP(YEAR($F157),Preisindex,4,FALSE),2),IF(AND($E157&lt;&gt;0,$F157&gt;0,YEAR($F157)&gt;=Preisindex!$A$6,YEAR(BM$4)&gt;=YEAR($F157),$K157="k"),ROUND(VLOOKUP(BR$4,Preisindex,2,FALSE)/VLOOKUP(YEAR($F157),Preisindex,2,FALSE),2),0)))))</f>
        <v>0</v>
      </c>
      <c r="BS157" s="56">
        <f>IF(AND($E157&lt;&gt;0,$F157&gt;0,YEAR($F157)&lt;Preisindex!$A$6,YEAR(BM$4)&gt;=YEAR($F157),AND($K157&lt;&gt;"a",$K157&lt;&gt;"b",$K157&lt;&gt;"g",$K157&lt;&gt;"k")),1,IF(AND($E157&lt;&gt;0,$F157&gt;0,YEAR($F157)&lt;Preisindex!$A$6,YEAR(BM$4)&gt;=YEAR($F157),$K157="a"),ROUND(VLOOKUP(BR$4,Preisindex,5,FALSE)/VLOOKUP(Preisindex!$A$6,Preisindex,5,FALSE),2),IF(AND($E157&lt;&gt;0,$F157&gt;0,YEAR($F157)&lt;Preisindex!$A$6,YEAR(BM$4)&gt;=YEAR($F157),$K157="b"),ROUND(VLOOKUP(BR$4,Preisindex,3,FALSE)/VLOOKUP(Preisindex!$A$6,Preisindex,3,FALSE),2),IF(AND($E157&lt;&gt;0,$F157&gt;0,YEAR($F157)&lt;Preisindex!$A$6,YEAR(BM$4)&gt;=YEAR($F157),$K157="g"),ROUND(VLOOKUP(BR$4,Preisindex,4,FALSE)/VLOOKUP(Preisindex!$A$6,Preisindex,4,FALSE),2),IF(AND($E157&lt;&gt;0,$F157&gt;0,YEAR($F157)&lt;Preisindex!$A$6,YEAR(BM$4)&gt;=YEAR($F157),$K157="k"),ROUND(VLOOKUP(BR$4,Preisindex,2,FALSE)/VLOOKUP(Preisindex!$A$6,Preisindex,2,FALSE),2),0)))))</f>
        <v>0</v>
      </c>
      <c r="BT157" s="51">
        <f>IF(AND($E157&lt;&gt;0,$F157&gt;0,YEAR($F157)&lt;=BR$4,YEAR($F157)&gt;=Preisindex!$A$6),ROUND($E157*BR157,2),IF(AND($E157&lt;&gt;0,$F157&gt;0,YEAR($F157)&lt;=BR$4,YEAR($F157)&lt;Preisindex!$A$6),ROUND($E157*BS157,2),0))</f>
        <v>0</v>
      </c>
      <c r="BU157" s="53">
        <f t="shared" si="508"/>
        <v>0</v>
      </c>
      <c r="BV157" s="51">
        <f t="shared" si="577"/>
        <v>0</v>
      </c>
      <c r="BW157" s="51">
        <f t="shared" si="589"/>
        <v>0</v>
      </c>
      <c r="BX157" s="51">
        <f t="shared" si="509"/>
        <v>0</v>
      </c>
      <c r="BY157" s="51">
        <f t="shared" si="590"/>
        <v>0</v>
      </c>
      <c r="BZ157" s="51">
        <f t="shared" si="510"/>
        <v>0</v>
      </c>
      <c r="CA157" s="51">
        <f t="shared" si="591"/>
        <v>0</v>
      </c>
      <c r="CB157" s="51">
        <f t="shared" si="511"/>
        <v>0</v>
      </c>
      <c r="CC157" s="51">
        <f t="shared" si="592"/>
        <v>0</v>
      </c>
      <c r="CD157" s="51">
        <f t="shared" si="512"/>
        <v>0</v>
      </c>
      <c r="CE157" s="51">
        <f t="shared" si="593"/>
        <v>0</v>
      </c>
      <c r="CF157" s="51">
        <f t="shared" si="513"/>
        <v>0</v>
      </c>
      <c r="CG157" s="54">
        <f t="shared" si="514"/>
        <v>0</v>
      </c>
      <c r="CH157" s="55">
        <f t="shared" si="515"/>
        <v>0</v>
      </c>
      <c r="CI157" s="56">
        <f>IF(AND($E157&lt;&gt;0,$F157&gt;0,YEAR($F157)&gt;=Preisindex!$A$6,YEAR(CD$4)&gt;=YEAR($F157),AND($K157&lt;&gt;"a",$K157&lt;&gt;"b",$K157&lt;&gt;"g",$K157&lt;&gt;"k")),1,IF(AND($E157&lt;&gt;0,$F157&gt;0,YEAR($F157)&gt;=Preisindex!$A$6,YEAR(CD$4)&gt;=YEAR($F157),$K157="a"),ROUND(VLOOKUP(CI$4,Preisindex,5,FALSE)/VLOOKUP(YEAR($F157),Preisindex,5,FALSE),2),IF(AND($E157&lt;&gt;0,$F157&gt;0,YEAR($F157)&gt;=Preisindex!$A$6,YEAR(CD$4)&gt;=YEAR($F157),$K157="b"),ROUND(VLOOKUP(CI$4,Preisindex,3,FALSE)/VLOOKUP(YEAR($F157),Preisindex,3,FALSE),2),IF(AND($E157&lt;&gt;0,$F157&gt;0,YEAR($F157)&gt;=Preisindex!$A$6,YEAR(CD$4)&gt;=YEAR($F157),$K157="g"),ROUND(VLOOKUP(CI$4,Preisindex,4,FALSE)/VLOOKUP(YEAR($F157),Preisindex,4,FALSE),2),IF(AND($E157&lt;&gt;0,$F157&gt;0,YEAR($F157)&gt;=Preisindex!$A$6,YEAR(CD$4)&gt;=YEAR($F157),$K157="k"),ROUND(VLOOKUP(CI$4,Preisindex,2,FALSE)/VLOOKUP(YEAR($F157),Preisindex,2,FALSE),2),0)))))</f>
        <v>0</v>
      </c>
      <c r="CJ157" s="56">
        <f>IF(AND($E157&lt;&gt;0,$F157&gt;0,YEAR($F157)&lt;Preisindex!$A$6,YEAR(CD$4)&gt;=YEAR($F157),AND($K157&lt;&gt;"a",$K157&lt;&gt;"b",$K157&lt;&gt;"g",$K157&lt;&gt;"k")),1,IF(AND($E157&lt;&gt;0,$F157&gt;0,YEAR($F157)&lt;Preisindex!$A$6,YEAR(CD$4)&gt;=YEAR($F157),$K157="a"),ROUND(VLOOKUP(CI$4,Preisindex,5,FALSE)/VLOOKUP(Preisindex!$A$6,Preisindex,5,FALSE),2),IF(AND($E157&lt;&gt;0,$F157&gt;0,YEAR($F157)&lt;Preisindex!$A$6,YEAR(CD$4)&gt;=YEAR($F157),$K157="b"),ROUND(VLOOKUP(CI$4,Preisindex,3,FALSE)/VLOOKUP(Preisindex!$A$6,Preisindex,3,FALSE),2),IF(AND($E157&lt;&gt;0,$F157&gt;0,YEAR($F157)&lt;Preisindex!$A$6,YEAR(CD$4)&gt;=YEAR($F157),$K157="g"),ROUND(VLOOKUP(CI$4,Preisindex,4,FALSE)/VLOOKUP(Preisindex!$A$6,Preisindex,4,FALSE),2),IF(AND($E157&lt;&gt;0,$F157&gt;0,YEAR($F157)&lt;Preisindex!$A$6,YEAR(CD$4)&gt;=YEAR($F157),$K157="k"),ROUND(VLOOKUP(CI$4,Preisindex,2,FALSE)/VLOOKUP(Preisindex!$A$6,Preisindex,2,FALSE),2),0)))))</f>
        <v>0</v>
      </c>
      <c r="CK157" s="51">
        <f>IF(AND($E157&lt;&gt;0,$F157&gt;0,YEAR($F157)&lt;=CI$4,YEAR($F157)&gt;=Preisindex!$A$6),ROUND($E157*CI157,2),IF(AND($E157&lt;&gt;0,$F157&gt;0,YEAR($F157)&lt;=CI$4,YEAR($F157)&lt;Preisindex!$A$6),ROUND($E157*CJ157,2),0))</f>
        <v>0</v>
      </c>
      <c r="CL157" s="53">
        <f t="shared" si="516"/>
        <v>0</v>
      </c>
      <c r="CM157" s="51">
        <f t="shared" si="577"/>
        <v>0</v>
      </c>
      <c r="CN157" s="51">
        <f t="shared" si="594"/>
        <v>0</v>
      </c>
      <c r="CO157" s="51">
        <f t="shared" si="517"/>
        <v>0</v>
      </c>
      <c r="CP157" s="51">
        <f t="shared" si="595"/>
        <v>0</v>
      </c>
      <c r="CQ157" s="51">
        <f t="shared" si="518"/>
        <v>0</v>
      </c>
      <c r="CR157" s="51">
        <f t="shared" si="596"/>
        <v>0</v>
      </c>
      <c r="CS157" s="51">
        <f t="shared" si="519"/>
        <v>0</v>
      </c>
      <c r="CT157" s="51">
        <f t="shared" si="597"/>
        <v>0</v>
      </c>
      <c r="CU157" s="51">
        <f t="shared" si="520"/>
        <v>0</v>
      </c>
      <c r="CV157" s="51">
        <f t="shared" si="598"/>
        <v>0</v>
      </c>
      <c r="CW157" s="51">
        <f t="shared" si="521"/>
        <v>0</v>
      </c>
      <c r="CX157" s="54">
        <f t="shared" si="522"/>
        <v>0</v>
      </c>
      <c r="CY157" s="55">
        <f t="shared" si="523"/>
        <v>0</v>
      </c>
      <c r="CZ157" s="56">
        <f>IF(AND($E157&lt;&gt;0,$F157&gt;0,YEAR($F157)&gt;=Preisindex!$A$6,YEAR(CU$4)&gt;=YEAR($F157),AND($K157&lt;&gt;"a",$K157&lt;&gt;"b",$K157&lt;&gt;"g",$K157&lt;&gt;"k")),1,IF(AND($E157&lt;&gt;0,$F157&gt;0,YEAR($F157)&gt;=Preisindex!$A$6,YEAR(CU$4)&gt;=YEAR($F157),$K157="a"),ROUND(VLOOKUP(CZ$4,Preisindex,5,FALSE)/VLOOKUP(YEAR($F157),Preisindex,5,FALSE),2),IF(AND($E157&lt;&gt;0,$F157&gt;0,YEAR($F157)&gt;=Preisindex!$A$6,YEAR(CU$4)&gt;=YEAR($F157),$K157="b"),ROUND(VLOOKUP(CZ$4,Preisindex,3,FALSE)/VLOOKUP(YEAR($F157),Preisindex,3,FALSE),2),IF(AND($E157&lt;&gt;0,$F157&gt;0,YEAR($F157)&gt;=Preisindex!$A$6,YEAR(CU$4)&gt;=YEAR($F157),$K157="g"),ROUND(VLOOKUP(CZ$4,Preisindex,4,FALSE)/VLOOKUP(YEAR($F157),Preisindex,4,FALSE),2),IF(AND($E157&lt;&gt;0,$F157&gt;0,YEAR($F157)&gt;=Preisindex!$A$6,YEAR(CU$4)&gt;=YEAR($F157),$K157="k"),ROUND(VLOOKUP(CZ$4,Preisindex,2,FALSE)/VLOOKUP(YEAR($F157),Preisindex,2,FALSE),2),0)))))</f>
        <v>0</v>
      </c>
      <c r="DA157" s="56">
        <f>IF(AND($E157&lt;&gt;0,$F157&gt;0,YEAR($F157)&lt;Preisindex!$A$6,YEAR(CU$4)&gt;=YEAR($F157),AND($K157&lt;&gt;"a",$K157&lt;&gt;"b",$K157&lt;&gt;"g",$K157&lt;&gt;"k")),1,IF(AND($E157&lt;&gt;0,$F157&gt;0,YEAR($F157)&lt;Preisindex!$A$6,YEAR(CU$4)&gt;=YEAR($F157),$K157="a"),ROUND(VLOOKUP(CZ$4,Preisindex,5,FALSE)/VLOOKUP(Preisindex!$A$6,Preisindex,5,FALSE),2),IF(AND($E157&lt;&gt;0,$F157&gt;0,YEAR($F157)&lt;Preisindex!$A$6,YEAR(CU$4)&gt;=YEAR($F157),$K157="b"),ROUND(VLOOKUP(CZ$4,Preisindex,3,FALSE)/VLOOKUP(Preisindex!$A$6,Preisindex,3,FALSE),2),IF(AND($E157&lt;&gt;0,$F157&gt;0,YEAR($F157)&lt;Preisindex!$A$6,YEAR(CU$4)&gt;=YEAR($F157),$K157="g"),ROUND(VLOOKUP(CZ$4,Preisindex,4,FALSE)/VLOOKUP(Preisindex!$A$6,Preisindex,4,FALSE),2),IF(AND($E157&lt;&gt;0,$F157&gt;0,YEAR($F157)&lt;Preisindex!$A$6,YEAR(CU$4)&gt;=YEAR($F157),$K157="k"),ROUND(VLOOKUP(CZ$4,Preisindex,2,FALSE)/VLOOKUP(Preisindex!$A$6,Preisindex,2,FALSE),2),0)))))</f>
        <v>0</v>
      </c>
      <c r="DB157" s="51">
        <f>IF(AND($E157&lt;&gt;0,$F157&gt;0,YEAR($F157)&lt;=CZ$4,YEAR($F157)&gt;=Preisindex!$A$6),ROUND($E157*CZ157,2),IF(AND($E157&lt;&gt;0,$F157&gt;0,YEAR($F157)&lt;=CZ$4,YEAR($F157)&lt;Preisindex!$A$6),ROUND($E157*DA157,2),0))</f>
        <v>0</v>
      </c>
      <c r="DC157" s="53">
        <f t="shared" si="524"/>
        <v>0</v>
      </c>
      <c r="DD157" s="51">
        <f t="shared" si="578"/>
        <v>0</v>
      </c>
      <c r="DE157" s="51">
        <f t="shared" si="599"/>
        <v>0</v>
      </c>
      <c r="DF157" s="51">
        <f t="shared" si="526"/>
        <v>0</v>
      </c>
      <c r="DG157" s="51">
        <f t="shared" si="600"/>
        <v>0</v>
      </c>
      <c r="DH157" s="51">
        <f t="shared" si="527"/>
        <v>0</v>
      </c>
      <c r="DI157" s="51">
        <f t="shared" si="601"/>
        <v>0</v>
      </c>
      <c r="DJ157" s="51">
        <f t="shared" si="528"/>
        <v>0</v>
      </c>
      <c r="DK157" s="51">
        <f t="shared" si="602"/>
        <v>0</v>
      </c>
      <c r="DL157" s="51">
        <f t="shared" si="529"/>
        <v>0</v>
      </c>
      <c r="DM157" s="51">
        <f t="shared" si="603"/>
        <v>0</v>
      </c>
      <c r="DN157" s="51">
        <f t="shared" si="530"/>
        <v>0</v>
      </c>
      <c r="DO157" s="54">
        <f t="shared" si="531"/>
        <v>0</v>
      </c>
      <c r="DP157" s="55">
        <f t="shared" si="532"/>
        <v>0</v>
      </c>
      <c r="DQ157" s="56">
        <f>IF(AND($E157&lt;&gt;0,$F157&gt;0,YEAR($F157)&gt;=Preisindex!$A$6,YEAR(DL$4)&gt;=YEAR($F157),AND($K157&lt;&gt;"a",$K157&lt;&gt;"b",$K157&lt;&gt;"g",$K157&lt;&gt;"k")),1,IF(AND($E157&lt;&gt;0,$F157&gt;0,YEAR($F157)&gt;=Preisindex!$A$6,YEAR(DL$4)&gt;=YEAR($F157),$K157="a"),ROUND(VLOOKUP(DQ$4,Preisindex,5,FALSE)/VLOOKUP(YEAR($F157),Preisindex,5,FALSE),2),IF(AND($E157&lt;&gt;0,$F157&gt;0,YEAR($F157)&gt;=Preisindex!$A$6,YEAR(DL$4)&gt;=YEAR($F157),$K157="b"),ROUND(VLOOKUP(DQ$4,Preisindex,3,FALSE)/VLOOKUP(YEAR($F157),Preisindex,3,FALSE),2),IF(AND($E157&lt;&gt;0,$F157&gt;0,YEAR($F157)&gt;=Preisindex!$A$6,YEAR(DL$4)&gt;=YEAR($F157),$K157="g"),ROUND(VLOOKUP(DQ$4,Preisindex,4,FALSE)/VLOOKUP(YEAR($F157),Preisindex,4,FALSE),2),IF(AND($E157&lt;&gt;0,$F157&gt;0,YEAR($F157)&gt;=Preisindex!$A$6,YEAR(DL$4)&gt;=YEAR($F157),$K157="k"),ROUND(VLOOKUP(DQ$4,Preisindex,2,FALSE)/VLOOKUP(YEAR($F157),Preisindex,2,FALSE),2),0)))))</f>
        <v>0</v>
      </c>
      <c r="DR157" s="56">
        <f>IF(AND($E157&lt;&gt;0,$F157&gt;0,YEAR($F157)&lt;Preisindex!$A$6,YEAR(DL$4)&gt;=YEAR($F157),AND($K157&lt;&gt;"a",$K157&lt;&gt;"b",$K157&lt;&gt;"g",$K157&lt;&gt;"k")),1,IF(AND($E157&lt;&gt;0,$F157&gt;0,YEAR($F157)&lt;Preisindex!$A$6,YEAR(DL$4)&gt;=YEAR($F157),$K157="a"),ROUND(VLOOKUP(DQ$4,Preisindex,5,FALSE)/VLOOKUP(Preisindex!$A$6,Preisindex,5,FALSE),2),IF(AND($E157&lt;&gt;0,$F157&gt;0,YEAR($F157)&lt;Preisindex!$A$6,YEAR(DL$4)&gt;=YEAR($F157),$K157="b"),ROUND(VLOOKUP(DQ$4,Preisindex,3,FALSE)/VLOOKUP(Preisindex!$A$6,Preisindex,3,FALSE),2),IF(AND($E157&lt;&gt;0,$F157&gt;0,YEAR($F157)&lt;Preisindex!$A$6,YEAR(DL$4)&gt;=YEAR($F157),$K157="g"),ROUND(VLOOKUP(DQ$4,Preisindex,4,FALSE)/VLOOKUP(Preisindex!$A$6,Preisindex,4,FALSE),2),IF(AND($E157&lt;&gt;0,$F157&gt;0,YEAR($F157)&lt;Preisindex!$A$6,YEAR(DL$4)&gt;=YEAR($F157),$K157="k"),ROUND(VLOOKUP(DQ$4,Preisindex,2,FALSE)/VLOOKUP(Preisindex!$A$6,Preisindex,2,FALSE),2),0)))))</f>
        <v>0</v>
      </c>
      <c r="DS157" s="51">
        <f>IF(AND($E157&lt;&gt;0,$F157&gt;0,YEAR($F157)&lt;=DQ$4,YEAR($F157)&gt;=Preisindex!$A$6),ROUND($E157*DQ157,2),IF(AND($E157&lt;&gt;0,$F157&gt;0,YEAR($F157)&lt;=DQ$4,YEAR($F157)&lt;Preisindex!$A$6),ROUND($E157*DR157,2),0))</f>
        <v>0</v>
      </c>
      <c r="DT157" s="53">
        <f t="shared" si="533"/>
        <v>0</v>
      </c>
      <c r="DU157" s="51">
        <f t="shared" si="578"/>
        <v>0</v>
      </c>
      <c r="DV157" s="51">
        <f t="shared" si="604"/>
        <v>0</v>
      </c>
      <c r="DW157" s="51">
        <f t="shared" si="534"/>
        <v>0</v>
      </c>
      <c r="DX157" s="51">
        <f t="shared" si="605"/>
        <v>0</v>
      </c>
      <c r="DY157" s="51">
        <f t="shared" si="535"/>
        <v>0</v>
      </c>
      <c r="DZ157" s="51">
        <f t="shared" si="606"/>
        <v>0</v>
      </c>
      <c r="EA157" s="51">
        <f t="shared" si="536"/>
        <v>0</v>
      </c>
      <c r="EB157" s="51">
        <f t="shared" si="607"/>
        <v>0</v>
      </c>
      <c r="EC157" s="51">
        <f t="shared" si="537"/>
        <v>0</v>
      </c>
      <c r="ED157" s="51">
        <f t="shared" si="608"/>
        <v>0</v>
      </c>
      <c r="EE157" s="51">
        <f t="shared" si="538"/>
        <v>0</v>
      </c>
      <c r="EF157" s="54">
        <f t="shared" si="539"/>
        <v>0</v>
      </c>
      <c r="EG157" s="55">
        <f t="shared" si="540"/>
        <v>0</v>
      </c>
      <c r="EH157" s="56">
        <f>IF(AND($E157&lt;&gt;0,$F157&gt;0,YEAR($F157)&gt;=Preisindex!$A$6,YEAR(EC$4)&gt;=YEAR($F157),AND($K157&lt;&gt;"a",$K157&lt;&gt;"b",$K157&lt;&gt;"g",$K157&lt;&gt;"k")),1,IF(AND($E157&lt;&gt;0,$F157&gt;0,YEAR($F157)&gt;=Preisindex!$A$6,YEAR(EC$4)&gt;=YEAR($F157),$K157="a"),ROUND(VLOOKUP(EH$4,Preisindex,5,FALSE)/VLOOKUP(YEAR($F157),Preisindex,5,FALSE),2),IF(AND($E157&lt;&gt;0,$F157&gt;0,YEAR($F157)&gt;=Preisindex!$A$6,YEAR(EC$4)&gt;=YEAR($F157),$K157="b"),ROUND(VLOOKUP(EH$4,Preisindex,3,FALSE)/VLOOKUP(YEAR($F157),Preisindex,3,FALSE),2),IF(AND($E157&lt;&gt;0,$F157&gt;0,YEAR($F157)&gt;=Preisindex!$A$6,YEAR(EC$4)&gt;=YEAR($F157),$K157="g"),ROUND(VLOOKUP(EH$4,Preisindex,4,FALSE)/VLOOKUP(YEAR($F157),Preisindex,4,FALSE),2),IF(AND($E157&lt;&gt;0,$F157&gt;0,YEAR($F157)&gt;=Preisindex!$A$6,YEAR(EC$4)&gt;=YEAR($F157),$K157="k"),ROUND(VLOOKUP(EH$4,Preisindex,2,FALSE)/VLOOKUP(YEAR($F157),Preisindex,2,FALSE),2),0)))))</f>
        <v>0</v>
      </c>
      <c r="EI157" s="56">
        <f>IF(AND($E157&lt;&gt;0,$F157&gt;0,YEAR($F157)&lt;Preisindex!$A$6,YEAR(EC$4)&gt;=YEAR($F157),AND($K157&lt;&gt;"a",$K157&lt;&gt;"b",$K157&lt;&gt;"g",$K157&lt;&gt;"k")),1,IF(AND($E157&lt;&gt;0,$F157&gt;0,YEAR($F157)&lt;Preisindex!$A$6,YEAR(EC$4)&gt;=YEAR($F157),$K157="a"),ROUND(VLOOKUP(EH$4,Preisindex,5,FALSE)/VLOOKUP(Preisindex!$A$6,Preisindex,5,FALSE),2),IF(AND($E157&lt;&gt;0,$F157&gt;0,YEAR($F157)&lt;Preisindex!$A$6,YEAR(EC$4)&gt;=YEAR($F157),$K157="b"),ROUND(VLOOKUP(EH$4,Preisindex,3,FALSE)/VLOOKUP(Preisindex!$A$6,Preisindex,3,FALSE),2),IF(AND($E157&lt;&gt;0,$F157&gt;0,YEAR($F157)&lt;Preisindex!$A$6,YEAR(EC$4)&gt;=YEAR($F157),$K157="g"),ROUND(VLOOKUP(EH$4,Preisindex,4,FALSE)/VLOOKUP(Preisindex!$A$6,Preisindex,4,FALSE),2),IF(AND($E157&lt;&gt;0,$F157&gt;0,YEAR($F157)&lt;Preisindex!$A$6,YEAR(EC$4)&gt;=YEAR($F157),$K157="k"),ROUND(VLOOKUP(EH$4,Preisindex,2,FALSE)/VLOOKUP(Preisindex!$A$6,Preisindex,2,FALSE),2),0)))))</f>
        <v>0</v>
      </c>
      <c r="EJ157" s="51">
        <f>IF(AND($E157&lt;&gt;0,$F157&gt;0,YEAR($F157)&lt;=EH$4,YEAR($F157)&gt;=Preisindex!$A$6),ROUND($E157*EH157,2),IF(AND($E157&lt;&gt;0,$F157&gt;0,YEAR($F157)&lt;=EH$4,YEAR($F157)&lt;Preisindex!$A$6),ROUND($E157*EI157,2),0))</f>
        <v>0</v>
      </c>
      <c r="EK157" s="53">
        <f t="shared" si="541"/>
        <v>0</v>
      </c>
      <c r="EL157" s="51">
        <f t="shared" si="578"/>
        <v>0</v>
      </c>
      <c r="EM157" s="51">
        <f t="shared" si="609"/>
        <v>0</v>
      </c>
      <c r="EN157" s="51">
        <f t="shared" si="542"/>
        <v>0</v>
      </c>
      <c r="EO157" s="51">
        <f t="shared" si="610"/>
        <v>0</v>
      </c>
      <c r="EP157" s="51">
        <f t="shared" si="543"/>
        <v>0</v>
      </c>
      <c r="EQ157" s="51">
        <f t="shared" si="611"/>
        <v>0</v>
      </c>
      <c r="ER157" s="51">
        <f t="shared" si="544"/>
        <v>0</v>
      </c>
      <c r="ES157" s="51">
        <f t="shared" si="612"/>
        <v>0</v>
      </c>
      <c r="ET157" s="51">
        <f t="shared" si="545"/>
        <v>0</v>
      </c>
      <c r="EU157" s="51">
        <f t="shared" si="613"/>
        <v>0</v>
      </c>
      <c r="EV157" s="51">
        <f t="shared" si="546"/>
        <v>0</v>
      </c>
      <c r="EW157" s="54">
        <f t="shared" si="547"/>
        <v>0</v>
      </c>
      <c r="EX157" s="55">
        <f t="shared" si="548"/>
        <v>0</v>
      </c>
      <c r="EY157" s="56">
        <f>IF(AND($E157&lt;&gt;0,$F157&gt;0,YEAR($F157)&gt;=Preisindex!$A$6,YEAR(ET$4)&gt;=YEAR($F157),AND($K157&lt;&gt;"a",$K157&lt;&gt;"b",$K157&lt;&gt;"g",$K157&lt;&gt;"k")),1,IF(AND($E157&lt;&gt;0,$F157&gt;0,YEAR($F157)&gt;=Preisindex!$A$6,YEAR(ET$4)&gt;=YEAR($F157),$K157="a"),ROUND(VLOOKUP(EY$4,Preisindex,5,FALSE)/VLOOKUP(YEAR($F157),Preisindex,5,FALSE),2),IF(AND($E157&lt;&gt;0,$F157&gt;0,YEAR($F157)&gt;=Preisindex!$A$6,YEAR(ET$4)&gt;=YEAR($F157),$K157="b"),ROUND(VLOOKUP(EY$4,Preisindex,3,FALSE)/VLOOKUP(YEAR($F157),Preisindex,3,FALSE),2),IF(AND($E157&lt;&gt;0,$F157&gt;0,YEAR($F157)&gt;=Preisindex!$A$6,YEAR(ET$4)&gt;=YEAR($F157),$K157="g"),ROUND(VLOOKUP(EY$4,Preisindex,4,FALSE)/VLOOKUP(YEAR($F157),Preisindex,4,FALSE),2),IF(AND($E157&lt;&gt;0,$F157&gt;0,YEAR($F157)&gt;=Preisindex!$A$6,YEAR(ET$4)&gt;=YEAR($F157),$K157="k"),ROUND(VLOOKUP(EY$4,Preisindex,2,FALSE)/VLOOKUP(YEAR($F157),Preisindex,2,FALSE),2),0)))))</f>
        <v>0</v>
      </c>
      <c r="EZ157" s="56">
        <f>IF(AND($E157&lt;&gt;0,$F157&gt;0,YEAR($F157)&lt;Preisindex!$A$6,YEAR(ET$4)&gt;=YEAR($F157),AND($K157&lt;&gt;"a",$K157&lt;&gt;"b",$K157&lt;&gt;"g",$K157&lt;&gt;"k")),1,IF(AND($E157&lt;&gt;0,$F157&gt;0,YEAR($F157)&lt;Preisindex!$A$6,YEAR(ET$4)&gt;=YEAR($F157),$K157="a"),ROUND(VLOOKUP(EY$4,Preisindex,5,FALSE)/VLOOKUP(Preisindex!$A$6,Preisindex,5,FALSE),2),IF(AND($E157&lt;&gt;0,$F157&gt;0,YEAR($F157)&lt;Preisindex!$A$6,YEAR(ET$4)&gt;=YEAR($F157),$K157="b"),ROUND(VLOOKUP(EY$4,Preisindex,3,FALSE)/VLOOKUP(Preisindex!$A$6,Preisindex,3,FALSE),2),IF(AND($E157&lt;&gt;0,$F157&gt;0,YEAR($F157)&lt;Preisindex!$A$6,YEAR(ET$4)&gt;=YEAR($F157),$K157="g"),ROUND(VLOOKUP(EY$4,Preisindex,4,FALSE)/VLOOKUP(Preisindex!$A$6,Preisindex,4,FALSE),2),IF(AND($E157&lt;&gt;0,$F157&gt;0,YEAR($F157)&lt;Preisindex!$A$6,YEAR(ET$4)&gt;=YEAR($F157),$K157="k"),ROUND(VLOOKUP(EY$4,Preisindex,2,FALSE)/VLOOKUP(Preisindex!$A$6,Preisindex,2,FALSE),2),0)))))</f>
        <v>0</v>
      </c>
      <c r="FA157" s="51">
        <f>IF(AND($E157&lt;&gt;0,$F157&gt;0,YEAR($F157)&lt;=EY$4,YEAR($F157)&gt;=Preisindex!$A$6),ROUND($E157*EY157,2),IF(AND($E157&lt;&gt;0,$F157&gt;0,YEAR($F157)&lt;=EY$4,YEAR($F157)&lt;Preisindex!$A$6),ROUND($E157*EZ157,2),0))</f>
        <v>0</v>
      </c>
      <c r="FB157" s="53">
        <f t="shared" si="549"/>
        <v>0</v>
      </c>
      <c r="FC157" s="51">
        <f t="shared" si="578"/>
        <v>0</v>
      </c>
      <c r="FD157" s="51">
        <f t="shared" si="614"/>
        <v>0</v>
      </c>
      <c r="FE157" s="51">
        <f t="shared" si="550"/>
        <v>0</v>
      </c>
      <c r="FF157" s="51">
        <f t="shared" si="615"/>
        <v>0</v>
      </c>
      <c r="FG157" s="51">
        <f t="shared" si="551"/>
        <v>0</v>
      </c>
      <c r="FH157" s="51">
        <f t="shared" si="616"/>
        <v>0</v>
      </c>
      <c r="FI157" s="51">
        <f t="shared" si="552"/>
        <v>0</v>
      </c>
      <c r="FJ157" s="51">
        <f t="shared" si="617"/>
        <v>0</v>
      </c>
      <c r="FK157" s="51">
        <f t="shared" si="553"/>
        <v>0</v>
      </c>
      <c r="FL157" s="51">
        <f t="shared" si="618"/>
        <v>0</v>
      </c>
      <c r="FM157" s="51">
        <f t="shared" si="554"/>
        <v>0</v>
      </c>
      <c r="FN157" s="54">
        <f t="shared" si="555"/>
        <v>0</v>
      </c>
      <c r="FO157" s="55">
        <f t="shared" si="556"/>
        <v>0</v>
      </c>
      <c r="FP157" s="56">
        <f>IF(AND($E157&lt;&gt;0,$F157&gt;0,YEAR($F157)&gt;=Preisindex!$A$6,YEAR(FK$4)&gt;=YEAR($F157),AND($K157&lt;&gt;"a",$K157&lt;&gt;"b",$K157&lt;&gt;"g",$K157&lt;&gt;"k")),1,IF(AND($E157&lt;&gt;0,$F157&gt;0,YEAR($F157)&gt;=Preisindex!$A$6,YEAR(FK$4)&gt;=YEAR($F157),$K157="a"),ROUND(VLOOKUP(FP$4,Preisindex,5,FALSE)/VLOOKUP(YEAR($F157),Preisindex,5,FALSE),2),IF(AND($E157&lt;&gt;0,$F157&gt;0,YEAR($F157)&gt;=Preisindex!$A$6,YEAR(FK$4)&gt;=YEAR($F157),$K157="b"),ROUND(VLOOKUP(FP$4,Preisindex,3,FALSE)/VLOOKUP(YEAR($F157),Preisindex,3,FALSE),2),IF(AND($E157&lt;&gt;0,$F157&gt;0,YEAR($F157)&gt;=Preisindex!$A$6,YEAR(FK$4)&gt;=YEAR($F157),$K157="g"),ROUND(VLOOKUP(FP$4,Preisindex,4,FALSE)/VLOOKUP(YEAR($F157),Preisindex,4,FALSE),2),IF(AND($E157&lt;&gt;0,$F157&gt;0,YEAR($F157)&gt;=Preisindex!$A$6,YEAR(FK$4)&gt;=YEAR($F157),$K157="k"),ROUND(VLOOKUP(FP$4,Preisindex,2,FALSE)/VLOOKUP(YEAR($F157),Preisindex,2,FALSE),2),0)))))</f>
        <v>0</v>
      </c>
      <c r="FQ157" s="56">
        <f>IF(AND($E157&lt;&gt;0,$F157&gt;0,YEAR($F157)&lt;Preisindex!$A$6,YEAR(FK$4)&gt;=YEAR($F157),AND($K157&lt;&gt;"a",$K157&lt;&gt;"b",$K157&lt;&gt;"g",$K157&lt;&gt;"k")),1,IF(AND($E157&lt;&gt;0,$F157&gt;0,YEAR($F157)&lt;Preisindex!$A$6,YEAR(FK$4)&gt;=YEAR($F157),$K157="a"),ROUND(VLOOKUP(FP$4,Preisindex,5,FALSE)/VLOOKUP(Preisindex!$A$6,Preisindex,5,FALSE),2),IF(AND($E157&lt;&gt;0,$F157&gt;0,YEAR($F157)&lt;Preisindex!$A$6,YEAR(FK$4)&gt;=YEAR($F157),$K157="b"),ROUND(VLOOKUP(FP$4,Preisindex,3,FALSE)/VLOOKUP(Preisindex!$A$6,Preisindex,3,FALSE),2),IF(AND($E157&lt;&gt;0,$F157&gt;0,YEAR($F157)&lt;Preisindex!$A$6,YEAR(FK$4)&gt;=YEAR($F157),$K157="g"),ROUND(VLOOKUP(FP$4,Preisindex,4,FALSE)/VLOOKUP(Preisindex!$A$6,Preisindex,4,FALSE),2),IF(AND($E157&lt;&gt;0,$F157&gt;0,YEAR($F157)&lt;Preisindex!$A$6,YEAR(FK$4)&gt;=YEAR($F157),$K157="k"),ROUND(VLOOKUP(FP$4,Preisindex,2,FALSE)/VLOOKUP(Preisindex!$A$6,Preisindex,2,FALSE),2),0)))))</f>
        <v>0</v>
      </c>
      <c r="FR157" s="51">
        <f>IF(AND($E157&lt;&gt;0,$F157&gt;0,YEAR($F157)&lt;=FP$4,YEAR($F157)&gt;=Preisindex!$A$6),ROUND($E157*FP157,2),IF(AND($E157&lt;&gt;0,$F157&gt;0,YEAR($F157)&lt;=FP$4,YEAR($F157)&lt;Preisindex!$A$6),ROUND($E157*FQ157,2),0))</f>
        <v>0</v>
      </c>
      <c r="FS157" s="53">
        <f t="shared" si="557"/>
        <v>0</v>
      </c>
    </row>
    <row r="158" spans="1:175" x14ac:dyDescent="0.3">
      <c r="A158" s="93"/>
      <c r="B158" s="94"/>
      <c r="C158" s="94"/>
      <c r="D158" s="95"/>
      <c r="E158" s="99"/>
      <c r="F158" s="97"/>
      <c r="G158" s="98"/>
      <c r="H158" s="620"/>
      <c r="I158" s="621"/>
      <c r="J158" s="194"/>
      <c r="K158" s="630"/>
      <c r="L158" s="49">
        <f t="shared" si="558"/>
        <v>0</v>
      </c>
      <c r="M158" s="50">
        <f t="shared" si="559"/>
        <v>0</v>
      </c>
      <c r="N158" s="51">
        <f t="shared" si="560"/>
        <v>0</v>
      </c>
      <c r="O158" s="51"/>
      <c r="P158" s="51">
        <f t="shared" si="561"/>
        <v>0</v>
      </c>
      <c r="Q158" s="52"/>
      <c r="R158" s="52"/>
      <c r="S158" s="52"/>
      <c r="T158" s="52"/>
      <c r="U158" s="52"/>
      <c r="V158" s="53">
        <f t="shared" si="562"/>
        <v>0</v>
      </c>
      <c r="W158" s="51">
        <f t="shared" si="563"/>
        <v>0</v>
      </c>
      <c r="X158" s="51">
        <f t="shared" si="564"/>
        <v>0</v>
      </c>
      <c r="Y158" s="51">
        <f t="shared" si="565"/>
        <v>0</v>
      </c>
      <c r="Z158" s="51">
        <f t="shared" si="566"/>
        <v>0</v>
      </c>
      <c r="AA158" s="51">
        <f t="shared" si="567"/>
        <v>0</v>
      </c>
      <c r="AB158" s="51">
        <f t="shared" si="568"/>
        <v>0</v>
      </c>
      <c r="AC158" s="51">
        <f t="shared" si="569"/>
        <v>0</v>
      </c>
      <c r="AD158" s="51">
        <f t="shared" si="570"/>
        <v>0</v>
      </c>
      <c r="AE158" s="51">
        <f t="shared" si="571"/>
        <v>0</v>
      </c>
      <c r="AF158" s="51">
        <f t="shared" si="572"/>
        <v>0</v>
      </c>
      <c r="AG158" s="51">
        <f t="shared" si="573"/>
        <v>0</v>
      </c>
      <c r="AH158" s="54">
        <f t="shared" si="574"/>
        <v>0</v>
      </c>
      <c r="AI158" s="55">
        <f t="shared" si="575"/>
        <v>0</v>
      </c>
      <c r="AJ158" s="56">
        <f>IF(AND($E158&lt;&gt;0,$F158&gt;0,YEAR($F158)&gt;=Preisindex!$A$6,YEAR(AE$4)&gt;=YEAR($F158),AND($K158&lt;&gt;"a",$K158&lt;&gt;"b",$K158&lt;&gt;"g",$K158&lt;&gt;"k")),1,IF(AND($E158&lt;&gt;0,$F158&gt;0,YEAR($F158)&gt;=Preisindex!$A$6,YEAR(AE$4)&gt;=YEAR($F158),$K158="a"),ROUND(VLOOKUP(AJ$4,Preisindex,5,FALSE)/VLOOKUP(YEAR($F158),Preisindex,5,FALSE),2),IF(AND($E158&lt;&gt;0,$F158&gt;0,YEAR($F158)&gt;=Preisindex!$A$6,YEAR(AE$4)&gt;=YEAR($F158),$K158="b"),ROUND(VLOOKUP(AJ$4,Preisindex,3,FALSE)/VLOOKUP(YEAR($F158),Preisindex,3,FALSE),2),IF(AND($E158&lt;&gt;0,$F158&gt;0,YEAR($F158)&gt;=Preisindex!$A$6,YEAR(AE$4)&gt;=YEAR($F158),$K158="g"),ROUND(VLOOKUP(AJ$4,Preisindex,4,FALSE)/VLOOKUP(YEAR($F158),Preisindex,4,FALSE),2),IF(AND($E158&lt;&gt;0,$F158&gt;0,YEAR($F158)&gt;=Preisindex!$A$6,YEAR(AE$4)&gt;=YEAR($F158),$K158="k"),ROUND(VLOOKUP(AJ$4,Preisindex,2,FALSE)/VLOOKUP(YEAR($F158),Preisindex,2,FALSE),2),0)))))</f>
        <v>0</v>
      </c>
      <c r="AK158" s="56">
        <f>IF(AND($E158&lt;&gt;0,$F158&gt;0,YEAR($F158)&lt;Preisindex!$A$6,YEAR(AE$4)&gt;=YEAR($F158),AND($K158&lt;&gt;"a",$K158&lt;&gt;"b",$K158&lt;&gt;"g",$K158&lt;&gt;"k")),1,IF(AND($E158&lt;&gt;0,$F158&gt;0,YEAR($F158)&lt;Preisindex!$A$6,YEAR(AE$4)&gt;=YEAR($F158),$K158="a"),ROUND(VLOOKUP(AJ$4,Preisindex,5,FALSE)/VLOOKUP(Preisindex!$A$6,Preisindex,5,FALSE),2),IF(AND($E158&lt;&gt;0,$F158&gt;0,YEAR($F158)&lt;Preisindex!$A$6,YEAR(AE$4)&gt;=YEAR($F158),$K158="b"),ROUND(VLOOKUP(AJ$4,Preisindex,3,FALSE)/VLOOKUP(Preisindex!$A$6,Preisindex,3,FALSE),2),IF(AND($E158&lt;&gt;0,$F158&gt;0,YEAR($F158)&lt;Preisindex!$A$6,YEAR(AE$4)&gt;=YEAR($F158),$K158="g"),ROUND(VLOOKUP(AJ$4,Preisindex,4,FALSE)/VLOOKUP(Preisindex!$A$6,Preisindex,4,FALSE),2),IF(AND($E158&lt;&gt;0,$F158&gt;0,YEAR($F158)&lt;Preisindex!$A$6,YEAR(AE$4)&gt;=YEAR($F158),$K158="k"),ROUND(VLOOKUP(AJ$4,Preisindex,2,FALSE)/VLOOKUP(Preisindex!$A$6,Preisindex,2,FALSE),2),0)))))</f>
        <v>0</v>
      </c>
      <c r="AL158" s="51">
        <f>IF(AND($E158&lt;&gt;0,$F158&gt;0,YEAR($F158)&lt;=AJ$4,YEAR($F158)&gt;=Preisindex!$A$6),ROUND($E158*AJ158,2),IF(AND($E158&lt;&gt;0,$F158&gt;0,YEAR($F158)&lt;=AJ$4,YEAR($F158)&lt;Preisindex!$A$6),ROUND($E158*AK158,2),0))</f>
        <v>0</v>
      </c>
      <c r="AM158" s="53">
        <f t="shared" si="576"/>
        <v>0</v>
      </c>
      <c r="AN158" s="51">
        <f t="shared" si="577"/>
        <v>0</v>
      </c>
      <c r="AO158" s="51">
        <f t="shared" si="579"/>
        <v>0</v>
      </c>
      <c r="AP158" s="51">
        <f t="shared" si="493"/>
        <v>0</v>
      </c>
      <c r="AQ158" s="51">
        <f t="shared" si="580"/>
        <v>0</v>
      </c>
      <c r="AR158" s="51">
        <f t="shared" si="494"/>
        <v>0</v>
      </c>
      <c r="AS158" s="51">
        <f t="shared" si="581"/>
        <v>0</v>
      </c>
      <c r="AT158" s="51">
        <f t="shared" si="495"/>
        <v>0</v>
      </c>
      <c r="AU158" s="51">
        <f t="shared" si="582"/>
        <v>0</v>
      </c>
      <c r="AV158" s="51">
        <f t="shared" si="496"/>
        <v>0</v>
      </c>
      <c r="AW158" s="51">
        <f t="shared" si="583"/>
        <v>0</v>
      </c>
      <c r="AX158" s="51">
        <f t="shared" si="497"/>
        <v>0</v>
      </c>
      <c r="AY158" s="54">
        <f t="shared" si="498"/>
        <v>0</v>
      </c>
      <c r="AZ158" s="55">
        <f t="shared" si="499"/>
        <v>0</v>
      </c>
      <c r="BA158" s="56">
        <f>IF(AND($E158&lt;&gt;0,$F158&gt;0,YEAR($F158)&gt;=Preisindex!$A$6,YEAR(AV$4)&gt;=YEAR($F158),AND($K158&lt;&gt;"a",$K158&lt;&gt;"b",$K158&lt;&gt;"g",$K158&lt;&gt;"k")),1,IF(AND($E158&lt;&gt;0,$F158&gt;0,YEAR($F158)&gt;=Preisindex!$A$6,YEAR(AV$4)&gt;=YEAR($F158),$K158="a"),ROUND(VLOOKUP(BA$4,Preisindex,5,FALSE)/VLOOKUP(YEAR($F158),Preisindex,5,FALSE),2),IF(AND($E158&lt;&gt;0,$F158&gt;0,YEAR($F158)&gt;=Preisindex!$A$6,YEAR(AV$4)&gt;=YEAR($F158),$K158="b"),ROUND(VLOOKUP(BA$4,Preisindex,3,FALSE)/VLOOKUP(YEAR($F158),Preisindex,3,FALSE),2),IF(AND($E158&lt;&gt;0,$F158&gt;0,YEAR($F158)&gt;=Preisindex!$A$6,YEAR(AV$4)&gt;=YEAR($F158),$K158="g"),ROUND(VLOOKUP(BA$4,Preisindex,4,FALSE)/VLOOKUP(YEAR($F158),Preisindex,4,FALSE),2),IF(AND($E158&lt;&gt;0,$F158&gt;0,YEAR($F158)&gt;=Preisindex!$A$6,YEAR(AV$4)&gt;=YEAR($F158),$K158="k"),ROUND(VLOOKUP(BA$4,Preisindex,2,FALSE)/VLOOKUP(YEAR($F158),Preisindex,2,FALSE),2),0)))))</f>
        <v>0</v>
      </c>
      <c r="BB158" s="56">
        <f>IF(AND($E158&lt;&gt;0,$F158&gt;0,YEAR($F158)&lt;Preisindex!$A$6,YEAR(AV$4)&gt;=YEAR($F158),AND($K158&lt;&gt;"a",$K158&lt;&gt;"b",$K158&lt;&gt;"g",$K158&lt;&gt;"k")),1,IF(AND($E158&lt;&gt;0,$F158&gt;0,YEAR($F158)&lt;Preisindex!$A$6,YEAR(AV$4)&gt;=YEAR($F158),$K158="a"),ROUND(VLOOKUP(BA$4,Preisindex,5,FALSE)/VLOOKUP(Preisindex!$A$6,Preisindex,5,FALSE),2),IF(AND($E158&lt;&gt;0,$F158&gt;0,YEAR($F158)&lt;Preisindex!$A$6,YEAR(AV$4)&gt;=YEAR($F158),$K158="b"),ROUND(VLOOKUP(BA$4,Preisindex,3,FALSE)/VLOOKUP(Preisindex!$A$6,Preisindex,3,FALSE),2),IF(AND($E158&lt;&gt;0,$F158&gt;0,YEAR($F158)&lt;Preisindex!$A$6,YEAR(AV$4)&gt;=YEAR($F158),$K158="g"),ROUND(VLOOKUP(BA$4,Preisindex,4,FALSE)/VLOOKUP(Preisindex!$A$6,Preisindex,4,FALSE),2),IF(AND($E158&lt;&gt;0,$F158&gt;0,YEAR($F158)&lt;Preisindex!$A$6,YEAR(AV$4)&gt;=YEAR($F158),$K158="k"),ROUND(VLOOKUP(BA$4,Preisindex,2,FALSE)/VLOOKUP(Preisindex!$A$6,Preisindex,2,FALSE),2),0)))))</f>
        <v>0</v>
      </c>
      <c r="BC158" s="51">
        <f>IF(AND($E158&lt;&gt;0,$F158&gt;0,YEAR($F158)&lt;=BA$4,YEAR($F158)&gt;=Preisindex!$A$6),ROUND($E158*BA158,2),IF(AND($E158&lt;&gt;0,$F158&gt;0,YEAR($F158)&lt;=BA$4,YEAR($F158)&lt;Preisindex!$A$6),ROUND($E158*BB158,2),0))</f>
        <v>0</v>
      </c>
      <c r="BD158" s="53">
        <f t="shared" si="500"/>
        <v>0</v>
      </c>
      <c r="BE158" s="51">
        <f t="shared" si="577"/>
        <v>0</v>
      </c>
      <c r="BF158" s="51">
        <f t="shared" si="584"/>
        <v>0</v>
      </c>
      <c r="BG158" s="51">
        <f t="shared" si="501"/>
        <v>0</v>
      </c>
      <c r="BH158" s="51">
        <f t="shared" si="585"/>
        <v>0</v>
      </c>
      <c r="BI158" s="51">
        <f t="shared" si="502"/>
        <v>0</v>
      </c>
      <c r="BJ158" s="51">
        <f t="shared" si="586"/>
        <v>0</v>
      </c>
      <c r="BK158" s="51">
        <f t="shared" si="503"/>
        <v>0</v>
      </c>
      <c r="BL158" s="51">
        <f t="shared" si="587"/>
        <v>0</v>
      </c>
      <c r="BM158" s="51">
        <f t="shared" si="504"/>
        <v>0</v>
      </c>
      <c r="BN158" s="51">
        <f t="shared" si="588"/>
        <v>0</v>
      </c>
      <c r="BO158" s="51">
        <f t="shared" si="505"/>
        <v>0</v>
      </c>
      <c r="BP158" s="54">
        <f t="shared" si="506"/>
        <v>0</v>
      </c>
      <c r="BQ158" s="55">
        <f t="shared" si="507"/>
        <v>0</v>
      </c>
      <c r="BR158" s="56">
        <f>IF(AND($E158&lt;&gt;0,$F158&gt;0,YEAR($F158)&gt;=Preisindex!$A$6,YEAR(BM$4)&gt;=YEAR($F158),AND($K158&lt;&gt;"a",$K158&lt;&gt;"b",$K158&lt;&gt;"g",$K158&lt;&gt;"k")),1,IF(AND($E158&lt;&gt;0,$F158&gt;0,YEAR($F158)&gt;=Preisindex!$A$6,YEAR(BM$4)&gt;=YEAR($F158),$K158="a"),ROUND(VLOOKUP(BR$4,Preisindex,5,FALSE)/VLOOKUP(YEAR($F158),Preisindex,5,FALSE),2),IF(AND($E158&lt;&gt;0,$F158&gt;0,YEAR($F158)&gt;=Preisindex!$A$6,YEAR(BM$4)&gt;=YEAR($F158),$K158="b"),ROUND(VLOOKUP(BR$4,Preisindex,3,FALSE)/VLOOKUP(YEAR($F158),Preisindex,3,FALSE),2),IF(AND($E158&lt;&gt;0,$F158&gt;0,YEAR($F158)&gt;=Preisindex!$A$6,YEAR(BM$4)&gt;=YEAR($F158),$K158="g"),ROUND(VLOOKUP(BR$4,Preisindex,4,FALSE)/VLOOKUP(YEAR($F158),Preisindex,4,FALSE),2),IF(AND($E158&lt;&gt;0,$F158&gt;0,YEAR($F158)&gt;=Preisindex!$A$6,YEAR(BM$4)&gt;=YEAR($F158),$K158="k"),ROUND(VLOOKUP(BR$4,Preisindex,2,FALSE)/VLOOKUP(YEAR($F158),Preisindex,2,FALSE),2),0)))))</f>
        <v>0</v>
      </c>
      <c r="BS158" s="56">
        <f>IF(AND($E158&lt;&gt;0,$F158&gt;0,YEAR($F158)&lt;Preisindex!$A$6,YEAR(BM$4)&gt;=YEAR($F158),AND($K158&lt;&gt;"a",$K158&lt;&gt;"b",$K158&lt;&gt;"g",$K158&lt;&gt;"k")),1,IF(AND($E158&lt;&gt;0,$F158&gt;0,YEAR($F158)&lt;Preisindex!$A$6,YEAR(BM$4)&gt;=YEAR($F158),$K158="a"),ROUND(VLOOKUP(BR$4,Preisindex,5,FALSE)/VLOOKUP(Preisindex!$A$6,Preisindex,5,FALSE),2),IF(AND($E158&lt;&gt;0,$F158&gt;0,YEAR($F158)&lt;Preisindex!$A$6,YEAR(BM$4)&gt;=YEAR($F158),$K158="b"),ROUND(VLOOKUP(BR$4,Preisindex,3,FALSE)/VLOOKUP(Preisindex!$A$6,Preisindex,3,FALSE),2),IF(AND($E158&lt;&gt;0,$F158&gt;0,YEAR($F158)&lt;Preisindex!$A$6,YEAR(BM$4)&gt;=YEAR($F158),$K158="g"),ROUND(VLOOKUP(BR$4,Preisindex,4,FALSE)/VLOOKUP(Preisindex!$A$6,Preisindex,4,FALSE),2),IF(AND($E158&lt;&gt;0,$F158&gt;0,YEAR($F158)&lt;Preisindex!$A$6,YEAR(BM$4)&gt;=YEAR($F158),$K158="k"),ROUND(VLOOKUP(BR$4,Preisindex,2,FALSE)/VLOOKUP(Preisindex!$A$6,Preisindex,2,FALSE),2),0)))))</f>
        <v>0</v>
      </c>
      <c r="BT158" s="51">
        <f>IF(AND($E158&lt;&gt;0,$F158&gt;0,YEAR($F158)&lt;=BR$4,YEAR($F158)&gt;=Preisindex!$A$6),ROUND($E158*BR158,2),IF(AND($E158&lt;&gt;0,$F158&gt;0,YEAR($F158)&lt;=BR$4,YEAR($F158)&lt;Preisindex!$A$6),ROUND($E158*BS158,2),0))</f>
        <v>0</v>
      </c>
      <c r="BU158" s="53">
        <f t="shared" si="508"/>
        <v>0</v>
      </c>
      <c r="BV158" s="51">
        <f t="shared" si="577"/>
        <v>0</v>
      </c>
      <c r="BW158" s="51">
        <f t="shared" si="589"/>
        <v>0</v>
      </c>
      <c r="BX158" s="51">
        <f t="shared" si="509"/>
        <v>0</v>
      </c>
      <c r="BY158" s="51">
        <f t="shared" si="590"/>
        <v>0</v>
      </c>
      <c r="BZ158" s="51">
        <f t="shared" si="510"/>
        <v>0</v>
      </c>
      <c r="CA158" s="51">
        <f t="shared" si="591"/>
        <v>0</v>
      </c>
      <c r="CB158" s="51">
        <f t="shared" si="511"/>
        <v>0</v>
      </c>
      <c r="CC158" s="51">
        <f t="shared" si="592"/>
        <v>0</v>
      </c>
      <c r="CD158" s="51">
        <f t="shared" si="512"/>
        <v>0</v>
      </c>
      <c r="CE158" s="51">
        <f t="shared" si="593"/>
        <v>0</v>
      </c>
      <c r="CF158" s="51">
        <f t="shared" si="513"/>
        <v>0</v>
      </c>
      <c r="CG158" s="54">
        <f t="shared" si="514"/>
        <v>0</v>
      </c>
      <c r="CH158" s="55">
        <f t="shared" si="515"/>
        <v>0</v>
      </c>
      <c r="CI158" s="56">
        <f>IF(AND($E158&lt;&gt;0,$F158&gt;0,YEAR($F158)&gt;=Preisindex!$A$6,YEAR(CD$4)&gt;=YEAR($F158),AND($K158&lt;&gt;"a",$K158&lt;&gt;"b",$K158&lt;&gt;"g",$K158&lt;&gt;"k")),1,IF(AND($E158&lt;&gt;0,$F158&gt;0,YEAR($F158)&gt;=Preisindex!$A$6,YEAR(CD$4)&gt;=YEAR($F158),$K158="a"),ROUND(VLOOKUP(CI$4,Preisindex,5,FALSE)/VLOOKUP(YEAR($F158),Preisindex,5,FALSE),2),IF(AND($E158&lt;&gt;0,$F158&gt;0,YEAR($F158)&gt;=Preisindex!$A$6,YEAR(CD$4)&gt;=YEAR($F158),$K158="b"),ROUND(VLOOKUP(CI$4,Preisindex,3,FALSE)/VLOOKUP(YEAR($F158),Preisindex,3,FALSE),2),IF(AND($E158&lt;&gt;0,$F158&gt;0,YEAR($F158)&gt;=Preisindex!$A$6,YEAR(CD$4)&gt;=YEAR($F158),$K158="g"),ROUND(VLOOKUP(CI$4,Preisindex,4,FALSE)/VLOOKUP(YEAR($F158),Preisindex,4,FALSE),2),IF(AND($E158&lt;&gt;0,$F158&gt;0,YEAR($F158)&gt;=Preisindex!$A$6,YEAR(CD$4)&gt;=YEAR($F158),$K158="k"),ROUND(VLOOKUP(CI$4,Preisindex,2,FALSE)/VLOOKUP(YEAR($F158),Preisindex,2,FALSE),2),0)))))</f>
        <v>0</v>
      </c>
      <c r="CJ158" s="56">
        <f>IF(AND($E158&lt;&gt;0,$F158&gt;0,YEAR($F158)&lt;Preisindex!$A$6,YEAR(CD$4)&gt;=YEAR($F158),AND($K158&lt;&gt;"a",$K158&lt;&gt;"b",$K158&lt;&gt;"g",$K158&lt;&gt;"k")),1,IF(AND($E158&lt;&gt;0,$F158&gt;0,YEAR($F158)&lt;Preisindex!$A$6,YEAR(CD$4)&gt;=YEAR($F158),$K158="a"),ROUND(VLOOKUP(CI$4,Preisindex,5,FALSE)/VLOOKUP(Preisindex!$A$6,Preisindex,5,FALSE),2),IF(AND($E158&lt;&gt;0,$F158&gt;0,YEAR($F158)&lt;Preisindex!$A$6,YEAR(CD$4)&gt;=YEAR($F158),$K158="b"),ROUND(VLOOKUP(CI$4,Preisindex,3,FALSE)/VLOOKUP(Preisindex!$A$6,Preisindex,3,FALSE),2),IF(AND($E158&lt;&gt;0,$F158&gt;0,YEAR($F158)&lt;Preisindex!$A$6,YEAR(CD$4)&gt;=YEAR($F158),$K158="g"),ROUND(VLOOKUP(CI$4,Preisindex,4,FALSE)/VLOOKUP(Preisindex!$A$6,Preisindex,4,FALSE),2),IF(AND($E158&lt;&gt;0,$F158&gt;0,YEAR($F158)&lt;Preisindex!$A$6,YEAR(CD$4)&gt;=YEAR($F158),$K158="k"),ROUND(VLOOKUP(CI$4,Preisindex,2,FALSE)/VLOOKUP(Preisindex!$A$6,Preisindex,2,FALSE),2),0)))))</f>
        <v>0</v>
      </c>
      <c r="CK158" s="51">
        <f>IF(AND($E158&lt;&gt;0,$F158&gt;0,YEAR($F158)&lt;=CI$4,YEAR($F158)&gt;=Preisindex!$A$6),ROUND($E158*CI158,2),IF(AND($E158&lt;&gt;0,$F158&gt;0,YEAR($F158)&lt;=CI$4,YEAR($F158)&lt;Preisindex!$A$6),ROUND($E158*CJ158,2),0))</f>
        <v>0</v>
      </c>
      <c r="CL158" s="53">
        <f t="shared" si="516"/>
        <v>0</v>
      </c>
      <c r="CM158" s="51">
        <f t="shared" si="577"/>
        <v>0</v>
      </c>
      <c r="CN158" s="51">
        <f t="shared" si="594"/>
        <v>0</v>
      </c>
      <c r="CO158" s="51">
        <f t="shared" si="517"/>
        <v>0</v>
      </c>
      <c r="CP158" s="51">
        <f t="shared" si="595"/>
        <v>0</v>
      </c>
      <c r="CQ158" s="51">
        <f t="shared" si="518"/>
        <v>0</v>
      </c>
      <c r="CR158" s="51">
        <f t="shared" si="596"/>
        <v>0</v>
      </c>
      <c r="CS158" s="51">
        <f t="shared" si="519"/>
        <v>0</v>
      </c>
      <c r="CT158" s="51">
        <f t="shared" si="597"/>
        <v>0</v>
      </c>
      <c r="CU158" s="51">
        <f t="shared" si="520"/>
        <v>0</v>
      </c>
      <c r="CV158" s="51">
        <f t="shared" si="598"/>
        <v>0</v>
      </c>
      <c r="CW158" s="51">
        <f t="shared" si="521"/>
        <v>0</v>
      </c>
      <c r="CX158" s="54">
        <f t="shared" si="522"/>
        <v>0</v>
      </c>
      <c r="CY158" s="55">
        <f t="shared" si="523"/>
        <v>0</v>
      </c>
      <c r="CZ158" s="56">
        <f>IF(AND($E158&lt;&gt;0,$F158&gt;0,YEAR($F158)&gt;=Preisindex!$A$6,YEAR(CU$4)&gt;=YEAR($F158),AND($K158&lt;&gt;"a",$K158&lt;&gt;"b",$K158&lt;&gt;"g",$K158&lt;&gt;"k")),1,IF(AND($E158&lt;&gt;0,$F158&gt;0,YEAR($F158)&gt;=Preisindex!$A$6,YEAR(CU$4)&gt;=YEAR($F158),$K158="a"),ROUND(VLOOKUP(CZ$4,Preisindex,5,FALSE)/VLOOKUP(YEAR($F158),Preisindex,5,FALSE),2),IF(AND($E158&lt;&gt;0,$F158&gt;0,YEAR($F158)&gt;=Preisindex!$A$6,YEAR(CU$4)&gt;=YEAR($F158),$K158="b"),ROUND(VLOOKUP(CZ$4,Preisindex,3,FALSE)/VLOOKUP(YEAR($F158),Preisindex,3,FALSE),2),IF(AND($E158&lt;&gt;0,$F158&gt;0,YEAR($F158)&gt;=Preisindex!$A$6,YEAR(CU$4)&gt;=YEAR($F158),$K158="g"),ROUND(VLOOKUP(CZ$4,Preisindex,4,FALSE)/VLOOKUP(YEAR($F158),Preisindex,4,FALSE),2),IF(AND($E158&lt;&gt;0,$F158&gt;0,YEAR($F158)&gt;=Preisindex!$A$6,YEAR(CU$4)&gt;=YEAR($F158),$K158="k"),ROUND(VLOOKUP(CZ$4,Preisindex,2,FALSE)/VLOOKUP(YEAR($F158),Preisindex,2,FALSE),2),0)))))</f>
        <v>0</v>
      </c>
      <c r="DA158" s="56">
        <f>IF(AND($E158&lt;&gt;0,$F158&gt;0,YEAR($F158)&lt;Preisindex!$A$6,YEAR(CU$4)&gt;=YEAR($F158),AND($K158&lt;&gt;"a",$K158&lt;&gt;"b",$K158&lt;&gt;"g",$K158&lt;&gt;"k")),1,IF(AND($E158&lt;&gt;0,$F158&gt;0,YEAR($F158)&lt;Preisindex!$A$6,YEAR(CU$4)&gt;=YEAR($F158),$K158="a"),ROUND(VLOOKUP(CZ$4,Preisindex,5,FALSE)/VLOOKUP(Preisindex!$A$6,Preisindex,5,FALSE),2),IF(AND($E158&lt;&gt;0,$F158&gt;0,YEAR($F158)&lt;Preisindex!$A$6,YEAR(CU$4)&gt;=YEAR($F158),$K158="b"),ROUND(VLOOKUP(CZ$4,Preisindex,3,FALSE)/VLOOKUP(Preisindex!$A$6,Preisindex,3,FALSE),2),IF(AND($E158&lt;&gt;0,$F158&gt;0,YEAR($F158)&lt;Preisindex!$A$6,YEAR(CU$4)&gt;=YEAR($F158),$K158="g"),ROUND(VLOOKUP(CZ$4,Preisindex,4,FALSE)/VLOOKUP(Preisindex!$A$6,Preisindex,4,FALSE),2),IF(AND($E158&lt;&gt;0,$F158&gt;0,YEAR($F158)&lt;Preisindex!$A$6,YEAR(CU$4)&gt;=YEAR($F158),$K158="k"),ROUND(VLOOKUP(CZ$4,Preisindex,2,FALSE)/VLOOKUP(Preisindex!$A$6,Preisindex,2,FALSE),2),0)))))</f>
        <v>0</v>
      </c>
      <c r="DB158" s="51">
        <f>IF(AND($E158&lt;&gt;0,$F158&gt;0,YEAR($F158)&lt;=CZ$4,YEAR($F158)&gt;=Preisindex!$A$6),ROUND($E158*CZ158,2),IF(AND($E158&lt;&gt;0,$F158&gt;0,YEAR($F158)&lt;=CZ$4,YEAR($F158)&lt;Preisindex!$A$6),ROUND($E158*DA158,2),0))</f>
        <v>0</v>
      </c>
      <c r="DC158" s="53">
        <f t="shared" si="524"/>
        <v>0</v>
      </c>
      <c r="DD158" s="51">
        <f t="shared" si="578"/>
        <v>0</v>
      </c>
      <c r="DE158" s="51">
        <f t="shared" si="599"/>
        <v>0</v>
      </c>
      <c r="DF158" s="51">
        <f t="shared" si="526"/>
        <v>0</v>
      </c>
      <c r="DG158" s="51">
        <f t="shared" si="600"/>
        <v>0</v>
      </c>
      <c r="DH158" s="51">
        <f t="shared" si="527"/>
        <v>0</v>
      </c>
      <c r="DI158" s="51">
        <f t="shared" si="601"/>
        <v>0</v>
      </c>
      <c r="DJ158" s="51">
        <f t="shared" si="528"/>
        <v>0</v>
      </c>
      <c r="DK158" s="51">
        <f t="shared" si="602"/>
        <v>0</v>
      </c>
      <c r="DL158" s="51">
        <f t="shared" si="529"/>
        <v>0</v>
      </c>
      <c r="DM158" s="51">
        <f t="shared" si="603"/>
        <v>0</v>
      </c>
      <c r="DN158" s="51">
        <f t="shared" si="530"/>
        <v>0</v>
      </c>
      <c r="DO158" s="54">
        <f t="shared" si="531"/>
        <v>0</v>
      </c>
      <c r="DP158" s="55">
        <f t="shared" si="532"/>
        <v>0</v>
      </c>
      <c r="DQ158" s="56">
        <f>IF(AND($E158&lt;&gt;0,$F158&gt;0,YEAR($F158)&gt;=Preisindex!$A$6,YEAR(DL$4)&gt;=YEAR($F158),AND($K158&lt;&gt;"a",$K158&lt;&gt;"b",$K158&lt;&gt;"g",$K158&lt;&gt;"k")),1,IF(AND($E158&lt;&gt;0,$F158&gt;0,YEAR($F158)&gt;=Preisindex!$A$6,YEAR(DL$4)&gt;=YEAR($F158),$K158="a"),ROUND(VLOOKUP(DQ$4,Preisindex,5,FALSE)/VLOOKUP(YEAR($F158),Preisindex,5,FALSE),2),IF(AND($E158&lt;&gt;0,$F158&gt;0,YEAR($F158)&gt;=Preisindex!$A$6,YEAR(DL$4)&gt;=YEAR($F158),$K158="b"),ROUND(VLOOKUP(DQ$4,Preisindex,3,FALSE)/VLOOKUP(YEAR($F158),Preisindex,3,FALSE),2),IF(AND($E158&lt;&gt;0,$F158&gt;0,YEAR($F158)&gt;=Preisindex!$A$6,YEAR(DL$4)&gt;=YEAR($F158),$K158="g"),ROUND(VLOOKUP(DQ$4,Preisindex,4,FALSE)/VLOOKUP(YEAR($F158),Preisindex,4,FALSE),2),IF(AND($E158&lt;&gt;0,$F158&gt;0,YEAR($F158)&gt;=Preisindex!$A$6,YEAR(DL$4)&gt;=YEAR($F158),$K158="k"),ROUND(VLOOKUP(DQ$4,Preisindex,2,FALSE)/VLOOKUP(YEAR($F158),Preisindex,2,FALSE),2),0)))))</f>
        <v>0</v>
      </c>
      <c r="DR158" s="56">
        <f>IF(AND($E158&lt;&gt;0,$F158&gt;0,YEAR($F158)&lt;Preisindex!$A$6,YEAR(DL$4)&gt;=YEAR($F158),AND($K158&lt;&gt;"a",$K158&lt;&gt;"b",$K158&lt;&gt;"g",$K158&lt;&gt;"k")),1,IF(AND($E158&lt;&gt;0,$F158&gt;0,YEAR($F158)&lt;Preisindex!$A$6,YEAR(DL$4)&gt;=YEAR($F158),$K158="a"),ROUND(VLOOKUP(DQ$4,Preisindex,5,FALSE)/VLOOKUP(Preisindex!$A$6,Preisindex,5,FALSE),2),IF(AND($E158&lt;&gt;0,$F158&gt;0,YEAR($F158)&lt;Preisindex!$A$6,YEAR(DL$4)&gt;=YEAR($F158),$K158="b"),ROUND(VLOOKUP(DQ$4,Preisindex,3,FALSE)/VLOOKUP(Preisindex!$A$6,Preisindex,3,FALSE),2),IF(AND($E158&lt;&gt;0,$F158&gt;0,YEAR($F158)&lt;Preisindex!$A$6,YEAR(DL$4)&gt;=YEAR($F158),$K158="g"),ROUND(VLOOKUP(DQ$4,Preisindex,4,FALSE)/VLOOKUP(Preisindex!$A$6,Preisindex,4,FALSE),2),IF(AND($E158&lt;&gt;0,$F158&gt;0,YEAR($F158)&lt;Preisindex!$A$6,YEAR(DL$4)&gt;=YEAR($F158),$K158="k"),ROUND(VLOOKUP(DQ$4,Preisindex,2,FALSE)/VLOOKUP(Preisindex!$A$6,Preisindex,2,FALSE),2),0)))))</f>
        <v>0</v>
      </c>
      <c r="DS158" s="51">
        <f>IF(AND($E158&lt;&gt;0,$F158&gt;0,YEAR($F158)&lt;=DQ$4,YEAR($F158)&gt;=Preisindex!$A$6),ROUND($E158*DQ158,2),IF(AND($E158&lt;&gt;0,$F158&gt;0,YEAR($F158)&lt;=DQ$4,YEAR($F158)&lt;Preisindex!$A$6),ROUND($E158*DR158,2),0))</f>
        <v>0</v>
      </c>
      <c r="DT158" s="53">
        <f t="shared" si="533"/>
        <v>0</v>
      </c>
      <c r="DU158" s="51">
        <f t="shared" si="578"/>
        <v>0</v>
      </c>
      <c r="DV158" s="51">
        <f t="shared" si="604"/>
        <v>0</v>
      </c>
      <c r="DW158" s="51">
        <f t="shared" si="534"/>
        <v>0</v>
      </c>
      <c r="DX158" s="51">
        <f t="shared" si="605"/>
        <v>0</v>
      </c>
      <c r="DY158" s="51">
        <f t="shared" si="535"/>
        <v>0</v>
      </c>
      <c r="DZ158" s="51">
        <f t="shared" si="606"/>
        <v>0</v>
      </c>
      <c r="EA158" s="51">
        <f t="shared" si="536"/>
        <v>0</v>
      </c>
      <c r="EB158" s="51">
        <f t="shared" si="607"/>
        <v>0</v>
      </c>
      <c r="EC158" s="51">
        <f t="shared" si="537"/>
        <v>0</v>
      </c>
      <c r="ED158" s="51">
        <f t="shared" si="608"/>
        <v>0</v>
      </c>
      <c r="EE158" s="51">
        <f t="shared" si="538"/>
        <v>0</v>
      </c>
      <c r="EF158" s="54">
        <f t="shared" si="539"/>
        <v>0</v>
      </c>
      <c r="EG158" s="55">
        <f t="shared" si="540"/>
        <v>0</v>
      </c>
      <c r="EH158" s="56">
        <f>IF(AND($E158&lt;&gt;0,$F158&gt;0,YEAR($F158)&gt;=Preisindex!$A$6,YEAR(EC$4)&gt;=YEAR($F158),AND($K158&lt;&gt;"a",$K158&lt;&gt;"b",$K158&lt;&gt;"g",$K158&lt;&gt;"k")),1,IF(AND($E158&lt;&gt;0,$F158&gt;0,YEAR($F158)&gt;=Preisindex!$A$6,YEAR(EC$4)&gt;=YEAR($F158),$K158="a"),ROUND(VLOOKUP(EH$4,Preisindex,5,FALSE)/VLOOKUP(YEAR($F158),Preisindex,5,FALSE),2),IF(AND($E158&lt;&gt;0,$F158&gt;0,YEAR($F158)&gt;=Preisindex!$A$6,YEAR(EC$4)&gt;=YEAR($F158),$K158="b"),ROUND(VLOOKUP(EH$4,Preisindex,3,FALSE)/VLOOKUP(YEAR($F158),Preisindex,3,FALSE),2),IF(AND($E158&lt;&gt;0,$F158&gt;0,YEAR($F158)&gt;=Preisindex!$A$6,YEAR(EC$4)&gt;=YEAR($F158),$K158="g"),ROUND(VLOOKUP(EH$4,Preisindex,4,FALSE)/VLOOKUP(YEAR($F158),Preisindex,4,FALSE),2),IF(AND($E158&lt;&gt;0,$F158&gt;0,YEAR($F158)&gt;=Preisindex!$A$6,YEAR(EC$4)&gt;=YEAR($F158),$K158="k"),ROUND(VLOOKUP(EH$4,Preisindex,2,FALSE)/VLOOKUP(YEAR($F158),Preisindex,2,FALSE),2),0)))))</f>
        <v>0</v>
      </c>
      <c r="EI158" s="56">
        <f>IF(AND($E158&lt;&gt;0,$F158&gt;0,YEAR($F158)&lt;Preisindex!$A$6,YEAR(EC$4)&gt;=YEAR($F158),AND($K158&lt;&gt;"a",$K158&lt;&gt;"b",$K158&lt;&gt;"g",$K158&lt;&gt;"k")),1,IF(AND($E158&lt;&gt;0,$F158&gt;0,YEAR($F158)&lt;Preisindex!$A$6,YEAR(EC$4)&gt;=YEAR($F158),$K158="a"),ROUND(VLOOKUP(EH$4,Preisindex,5,FALSE)/VLOOKUP(Preisindex!$A$6,Preisindex,5,FALSE),2),IF(AND($E158&lt;&gt;0,$F158&gt;0,YEAR($F158)&lt;Preisindex!$A$6,YEAR(EC$4)&gt;=YEAR($F158),$K158="b"),ROUND(VLOOKUP(EH$4,Preisindex,3,FALSE)/VLOOKUP(Preisindex!$A$6,Preisindex,3,FALSE),2),IF(AND($E158&lt;&gt;0,$F158&gt;0,YEAR($F158)&lt;Preisindex!$A$6,YEAR(EC$4)&gt;=YEAR($F158),$K158="g"),ROUND(VLOOKUP(EH$4,Preisindex,4,FALSE)/VLOOKUP(Preisindex!$A$6,Preisindex,4,FALSE),2),IF(AND($E158&lt;&gt;0,$F158&gt;0,YEAR($F158)&lt;Preisindex!$A$6,YEAR(EC$4)&gt;=YEAR($F158),$K158="k"),ROUND(VLOOKUP(EH$4,Preisindex,2,FALSE)/VLOOKUP(Preisindex!$A$6,Preisindex,2,FALSE),2),0)))))</f>
        <v>0</v>
      </c>
      <c r="EJ158" s="51">
        <f>IF(AND($E158&lt;&gt;0,$F158&gt;0,YEAR($F158)&lt;=EH$4,YEAR($F158)&gt;=Preisindex!$A$6),ROUND($E158*EH158,2),IF(AND($E158&lt;&gt;0,$F158&gt;0,YEAR($F158)&lt;=EH$4,YEAR($F158)&lt;Preisindex!$A$6),ROUND($E158*EI158,2),0))</f>
        <v>0</v>
      </c>
      <c r="EK158" s="53">
        <f t="shared" si="541"/>
        <v>0</v>
      </c>
      <c r="EL158" s="51">
        <f t="shared" si="578"/>
        <v>0</v>
      </c>
      <c r="EM158" s="51">
        <f t="shared" si="609"/>
        <v>0</v>
      </c>
      <c r="EN158" s="51">
        <f t="shared" si="542"/>
        <v>0</v>
      </c>
      <c r="EO158" s="51">
        <f t="shared" si="610"/>
        <v>0</v>
      </c>
      <c r="EP158" s="51">
        <f t="shared" si="543"/>
        <v>0</v>
      </c>
      <c r="EQ158" s="51">
        <f t="shared" si="611"/>
        <v>0</v>
      </c>
      <c r="ER158" s="51">
        <f t="shared" si="544"/>
        <v>0</v>
      </c>
      <c r="ES158" s="51">
        <f t="shared" si="612"/>
        <v>0</v>
      </c>
      <c r="ET158" s="51">
        <f t="shared" si="545"/>
        <v>0</v>
      </c>
      <c r="EU158" s="51">
        <f t="shared" si="613"/>
        <v>0</v>
      </c>
      <c r="EV158" s="51">
        <f t="shared" si="546"/>
        <v>0</v>
      </c>
      <c r="EW158" s="54">
        <f t="shared" si="547"/>
        <v>0</v>
      </c>
      <c r="EX158" s="55">
        <f t="shared" si="548"/>
        <v>0</v>
      </c>
      <c r="EY158" s="56">
        <f>IF(AND($E158&lt;&gt;0,$F158&gt;0,YEAR($F158)&gt;=Preisindex!$A$6,YEAR(ET$4)&gt;=YEAR($F158),AND($K158&lt;&gt;"a",$K158&lt;&gt;"b",$K158&lt;&gt;"g",$K158&lt;&gt;"k")),1,IF(AND($E158&lt;&gt;0,$F158&gt;0,YEAR($F158)&gt;=Preisindex!$A$6,YEAR(ET$4)&gt;=YEAR($F158),$K158="a"),ROUND(VLOOKUP(EY$4,Preisindex,5,FALSE)/VLOOKUP(YEAR($F158),Preisindex,5,FALSE),2),IF(AND($E158&lt;&gt;0,$F158&gt;0,YEAR($F158)&gt;=Preisindex!$A$6,YEAR(ET$4)&gt;=YEAR($F158),$K158="b"),ROUND(VLOOKUP(EY$4,Preisindex,3,FALSE)/VLOOKUP(YEAR($F158),Preisindex,3,FALSE),2),IF(AND($E158&lt;&gt;0,$F158&gt;0,YEAR($F158)&gt;=Preisindex!$A$6,YEAR(ET$4)&gt;=YEAR($F158),$K158="g"),ROUND(VLOOKUP(EY$4,Preisindex,4,FALSE)/VLOOKUP(YEAR($F158),Preisindex,4,FALSE),2),IF(AND($E158&lt;&gt;0,$F158&gt;0,YEAR($F158)&gt;=Preisindex!$A$6,YEAR(ET$4)&gt;=YEAR($F158),$K158="k"),ROUND(VLOOKUP(EY$4,Preisindex,2,FALSE)/VLOOKUP(YEAR($F158),Preisindex,2,FALSE),2),0)))))</f>
        <v>0</v>
      </c>
      <c r="EZ158" s="56">
        <f>IF(AND($E158&lt;&gt;0,$F158&gt;0,YEAR($F158)&lt;Preisindex!$A$6,YEAR(ET$4)&gt;=YEAR($F158),AND($K158&lt;&gt;"a",$K158&lt;&gt;"b",$K158&lt;&gt;"g",$K158&lt;&gt;"k")),1,IF(AND($E158&lt;&gt;0,$F158&gt;0,YEAR($F158)&lt;Preisindex!$A$6,YEAR(ET$4)&gt;=YEAR($F158),$K158="a"),ROUND(VLOOKUP(EY$4,Preisindex,5,FALSE)/VLOOKUP(Preisindex!$A$6,Preisindex,5,FALSE),2),IF(AND($E158&lt;&gt;0,$F158&gt;0,YEAR($F158)&lt;Preisindex!$A$6,YEAR(ET$4)&gt;=YEAR($F158),$K158="b"),ROUND(VLOOKUP(EY$4,Preisindex,3,FALSE)/VLOOKUP(Preisindex!$A$6,Preisindex,3,FALSE),2),IF(AND($E158&lt;&gt;0,$F158&gt;0,YEAR($F158)&lt;Preisindex!$A$6,YEAR(ET$4)&gt;=YEAR($F158),$K158="g"),ROUND(VLOOKUP(EY$4,Preisindex,4,FALSE)/VLOOKUP(Preisindex!$A$6,Preisindex,4,FALSE),2),IF(AND($E158&lt;&gt;0,$F158&gt;0,YEAR($F158)&lt;Preisindex!$A$6,YEAR(ET$4)&gt;=YEAR($F158),$K158="k"),ROUND(VLOOKUP(EY$4,Preisindex,2,FALSE)/VLOOKUP(Preisindex!$A$6,Preisindex,2,FALSE),2),0)))))</f>
        <v>0</v>
      </c>
      <c r="FA158" s="51">
        <f>IF(AND($E158&lt;&gt;0,$F158&gt;0,YEAR($F158)&lt;=EY$4,YEAR($F158)&gt;=Preisindex!$A$6),ROUND($E158*EY158,2),IF(AND($E158&lt;&gt;0,$F158&gt;0,YEAR($F158)&lt;=EY$4,YEAR($F158)&lt;Preisindex!$A$6),ROUND($E158*EZ158,2),0))</f>
        <v>0</v>
      </c>
      <c r="FB158" s="53">
        <f t="shared" si="549"/>
        <v>0</v>
      </c>
      <c r="FC158" s="51">
        <f t="shared" si="578"/>
        <v>0</v>
      </c>
      <c r="FD158" s="51">
        <f t="shared" si="614"/>
        <v>0</v>
      </c>
      <c r="FE158" s="51">
        <f t="shared" si="550"/>
        <v>0</v>
      </c>
      <c r="FF158" s="51">
        <f t="shared" si="615"/>
        <v>0</v>
      </c>
      <c r="FG158" s="51">
        <f t="shared" si="551"/>
        <v>0</v>
      </c>
      <c r="FH158" s="51">
        <f t="shared" si="616"/>
        <v>0</v>
      </c>
      <c r="FI158" s="51">
        <f t="shared" si="552"/>
        <v>0</v>
      </c>
      <c r="FJ158" s="51">
        <f t="shared" si="617"/>
        <v>0</v>
      </c>
      <c r="FK158" s="51">
        <f t="shared" si="553"/>
        <v>0</v>
      </c>
      <c r="FL158" s="51">
        <f t="shared" si="618"/>
        <v>0</v>
      </c>
      <c r="FM158" s="51">
        <f t="shared" si="554"/>
        <v>0</v>
      </c>
      <c r="FN158" s="54">
        <f t="shared" si="555"/>
        <v>0</v>
      </c>
      <c r="FO158" s="55">
        <f t="shared" si="556"/>
        <v>0</v>
      </c>
      <c r="FP158" s="56">
        <f>IF(AND($E158&lt;&gt;0,$F158&gt;0,YEAR($F158)&gt;=Preisindex!$A$6,YEAR(FK$4)&gt;=YEAR($F158),AND($K158&lt;&gt;"a",$K158&lt;&gt;"b",$K158&lt;&gt;"g",$K158&lt;&gt;"k")),1,IF(AND($E158&lt;&gt;0,$F158&gt;0,YEAR($F158)&gt;=Preisindex!$A$6,YEAR(FK$4)&gt;=YEAR($F158),$K158="a"),ROUND(VLOOKUP(FP$4,Preisindex,5,FALSE)/VLOOKUP(YEAR($F158),Preisindex,5,FALSE),2),IF(AND($E158&lt;&gt;0,$F158&gt;0,YEAR($F158)&gt;=Preisindex!$A$6,YEAR(FK$4)&gt;=YEAR($F158),$K158="b"),ROUND(VLOOKUP(FP$4,Preisindex,3,FALSE)/VLOOKUP(YEAR($F158),Preisindex,3,FALSE),2),IF(AND($E158&lt;&gt;0,$F158&gt;0,YEAR($F158)&gt;=Preisindex!$A$6,YEAR(FK$4)&gt;=YEAR($F158),$K158="g"),ROUND(VLOOKUP(FP$4,Preisindex,4,FALSE)/VLOOKUP(YEAR($F158),Preisindex,4,FALSE),2),IF(AND($E158&lt;&gt;0,$F158&gt;0,YEAR($F158)&gt;=Preisindex!$A$6,YEAR(FK$4)&gt;=YEAR($F158),$K158="k"),ROUND(VLOOKUP(FP$4,Preisindex,2,FALSE)/VLOOKUP(YEAR($F158),Preisindex,2,FALSE),2),0)))))</f>
        <v>0</v>
      </c>
      <c r="FQ158" s="56">
        <f>IF(AND($E158&lt;&gt;0,$F158&gt;0,YEAR($F158)&lt;Preisindex!$A$6,YEAR(FK$4)&gt;=YEAR($F158),AND($K158&lt;&gt;"a",$K158&lt;&gt;"b",$K158&lt;&gt;"g",$K158&lt;&gt;"k")),1,IF(AND($E158&lt;&gt;0,$F158&gt;0,YEAR($F158)&lt;Preisindex!$A$6,YEAR(FK$4)&gt;=YEAR($F158),$K158="a"),ROUND(VLOOKUP(FP$4,Preisindex,5,FALSE)/VLOOKUP(Preisindex!$A$6,Preisindex,5,FALSE),2),IF(AND($E158&lt;&gt;0,$F158&gt;0,YEAR($F158)&lt;Preisindex!$A$6,YEAR(FK$4)&gt;=YEAR($F158),$K158="b"),ROUND(VLOOKUP(FP$4,Preisindex,3,FALSE)/VLOOKUP(Preisindex!$A$6,Preisindex,3,FALSE),2),IF(AND($E158&lt;&gt;0,$F158&gt;0,YEAR($F158)&lt;Preisindex!$A$6,YEAR(FK$4)&gt;=YEAR($F158),$K158="g"),ROUND(VLOOKUP(FP$4,Preisindex,4,FALSE)/VLOOKUP(Preisindex!$A$6,Preisindex,4,FALSE),2),IF(AND($E158&lt;&gt;0,$F158&gt;0,YEAR($F158)&lt;Preisindex!$A$6,YEAR(FK$4)&gt;=YEAR($F158),$K158="k"),ROUND(VLOOKUP(FP$4,Preisindex,2,FALSE)/VLOOKUP(Preisindex!$A$6,Preisindex,2,FALSE),2),0)))))</f>
        <v>0</v>
      </c>
      <c r="FR158" s="51">
        <f>IF(AND($E158&lt;&gt;0,$F158&gt;0,YEAR($F158)&lt;=FP$4,YEAR($F158)&gt;=Preisindex!$A$6),ROUND($E158*FP158,2),IF(AND($E158&lt;&gt;0,$F158&gt;0,YEAR($F158)&lt;=FP$4,YEAR($F158)&lt;Preisindex!$A$6),ROUND($E158*FQ158,2),0))</f>
        <v>0</v>
      </c>
      <c r="FS158" s="53">
        <f t="shared" si="557"/>
        <v>0</v>
      </c>
    </row>
    <row r="159" spans="1:175" x14ac:dyDescent="0.3">
      <c r="A159" s="93"/>
      <c r="B159" s="94"/>
      <c r="C159" s="94"/>
      <c r="D159" s="95"/>
      <c r="E159" s="99"/>
      <c r="F159" s="97"/>
      <c r="G159" s="98"/>
      <c r="H159" s="620"/>
      <c r="I159" s="621"/>
      <c r="J159" s="194"/>
      <c r="K159" s="630"/>
      <c r="L159" s="49">
        <f t="shared" si="558"/>
        <v>0</v>
      </c>
      <c r="M159" s="50">
        <f t="shared" si="559"/>
        <v>0</v>
      </c>
      <c r="N159" s="51">
        <f t="shared" si="560"/>
        <v>0</v>
      </c>
      <c r="O159" s="51"/>
      <c r="P159" s="51">
        <f t="shared" si="561"/>
        <v>0</v>
      </c>
      <c r="Q159" s="52"/>
      <c r="R159" s="52"/>
      <c r="S159" s="52"/>
      <c r="T159" s="52"/>
      <c r="U159" s="52"/>
      <c r="V159" s="53">
        <f t="shared" si="562"/>
        <v>0</v>
      </c>
      <c r="W159" s="51">
        <f t="shared" si="563"/>
        <v>0</v>
      </c>
      <c r="X159" s="51">
        <f t="shared" si="564"/>
        <v>0</v>
      </c>
      <c r="Y159" s="51">
        <f t="shared" si="565"/>
        <v>0</v>
      </c>
      <c r="Z159" s="51">
        <f t="shared" si="566"/>
        <v>0</v>
      </c>
      <c r="AA159" s="51">
        <f t="shared" si="567"/>
        <v>0</v>
      </c>
      <c r="AB159" s="51">
        <f t="shared" si="568"/>
        <v>0</v>
      </c>
      <c r="AC159" s="51">
        <f t="shared" si="569"/>
        <v>0</v>
      </c>
      <c r="AD159" s="51">
        <f t="shared" si="570"/>
        <v>0</v>
      </c>
      <c r="AE159" s="51">
        <f t="shared" si="571"/>
        <v>0</v>
      </c>
      <c r="AF159" s="51">
        <f t="shared" si="572"/>
        <v>0</v>
      </c>
      <c r="AG159" s="51">
        <f t="shared" si="573"/>
        <v>0</v>
      </c>
      <c r="AH159" s="54">
        <f t="shared" si="574"/>
        <v>0</v>
      </c>
      <c r="AI159" s="55">
        <f t="shared" si="575"/>
        <v>0</v>
      </c>
      <c r="AJ159" s="56">
        <f>IF(AND($E159&lt;&gt;0,$F159&gt;0,YEAR($F159)&gt;=Preisindex!$A$6,YEAR(AE$4)&gt;=YEAR($F159),AND($K159&lt;&gt;"a",$K159&lt;&gt;"b",$K159&lt;&gt;"g",$K159&lt;&gt;"k")),1,IF(AND($E159&lt;&gt;0,$F159&gt;0,YEAR($F159)&gt;=Preisindex!$A$6,YEAR(AE$4)&gt;=YEAR($F159),$K159="a"),ROUND(VLOOKUP(AJ$4,Preisindex,5,FALSE)/VLOOKUP(YEAR($F159),Preisindex,5,FALSE),2),IF(AND($E159&lt;&gt;0,$F159&gt;0,YEAR($F159)&gt;=Preisindex!$A$6,YEAR(AE$4)&gt;=YEAR($F159),$K159="b"),ROUND(VLOOKUP(AJ$4,Preisindex,3,FALSE)/VLOOKUP(YEAR($F159),Preisindex,3,FALSE),2),IF(AND($E159&lt;&gt;0,$F159&gt;0,YEAR($F159)&gt;=Preisindex!$A$6,YEAR(AE$4)&gt;=YEAR($F159),$K159="g"),ROUND(VLOOKUP(AJ$4,Preisindex,4,FALSE)/VLOOKUP(YEAR($F159),Preisindex,4,FALSE),2),IF(AND($E159&lt;&gt;0,$F159&gt;0,YEAR($F159)&gt;=Preisindex!$A$6,YEAR(AE$4)&gt;=YEAR($F159),$K159="k"),ROUND(VLOOKUP(AJ$4,Preisindex,2,FALSE)/VLOOKUP(YEAR($F159),Preisindex,2,FALSE),2),0)))))</f>
        <v>0</v>
      </c>
      <c r="AK159" s="56">
        <f>IF(AND($E159&lt;&gt;0,$F159&gt;0,YEAR($F159)&lt;Preisindex!$A$6,YEAR(AE$4)&gt;=YEAR($F159),AND($K159&lt;&gt;"a",$K159&lt;&gt;"b",$K159&lt;&gt;"g",$K159&lt;&gt;"k")),1,IF(AND($E159&lt;&gt;0,$F159&gt;0,YEAR($F159)&lt;Preisindex!$A$6,YEAR(AE$4)&gt;=YEAR($F159),$K159="a"),ROUND(VLOOKUP(AJ$4,Preisindex,5,FALSE)/VLOOKUP(Preisindex!$A$6,Preisindex,5,FALSE),2),IF(AND($E159&lt;&gt;0,$F159&gt;0,YEAR($F159)&lt;Preisindex!$A$6,YEAR(AE$4)&gt;=YEAR($F159),$K159="b"),ROUND(VLOOKUP(AJ$4,Preisindex,3,FALSE)/VLOOKUP(Preisindex!$A$6,Preisindex,3,FALSE),2),IF(AND($E159&lt;&gt;0,$F159&gt;0,YEAR($F159)&lt;Preisindex!$A$6,YEAR(AE$4)&gt;=YEAR($F159),$K159="g"),ROUND(VLOOKUP(AJ$4,Preisindex,4,FALSE)/VLOOKUP(Preisindex!$A$6,Preisindex,4,FALSE),2),IF(AND($E159&lt;&gt;0,$F159&gt;0,YEAR($F159)&lt;Preisindex!$A$6,YEAR(AE$4)&gt;=YEAR($F159),$K159="k"),ROUND(VLOOKUP(AJ$4,Preisindex,2,FALSE)/VLOOKUP(Preisindex!$A$6,Preisindex,2,FALSE),2),0)))))</f>
        <v>0</v>
      </c>
      <c r="AL159" s="51">
        <f>IF(AND($E159&lt;&gt;0,$F159&gt;0,YEAR($F159)&lt;=AJ$4,YEAR($F159)&gt;=Preisindex!$A$6),ROUND($E159*AJ159,2),IF(AND($E159&lt;&gt;0,$F159&gt;0,YEAR($F159)&lt;=AJ$4,YEAR($F159)&lt;Preisindex!$A$6),ROUND($E159*AK159,2),0))</f>
        <v>0</v>
      </c>
      <c r="AM159" s="53">
        <f t="shared" si="576"/>
        <v>0</v>
      </c>
      <c r="AN159" s="51">
        <f t="shared" si="577"/>
        <v>0</v>
      </c>
      <c r="AO159" s="51">
        <f t="shared" si="579"/>
        <v>0</v>
      </c>
      <c r="AP159" s="51">
        <f t="shared" si="493"/>
        <v>0</v>
      </c>
      <c r="AQ159" s="51">
        <f t="shared" si="580"/>
        <v>0</v>
      </c>
      <c r="AR159" s="51">
        <f t="shared" si="494"/>
        <v>0</v>
      </c>
      <c r="AS159" s="51">
        <f t="shared" si="581"/>
        <v>0</v>
      </c>
      <c r="AT159" s="51">
        <f t="shared" si="495"/>
        <v>0</v>
      </c>
      <c r="AU159" s="51">
        <f t="shared" si="582"/>
        <v>0</v>
      </c>
      <c r="AV159" s="51">
        <f t="shared" si="496"/>
        <v>0</v>
      </c>
      <c r="AW159" s="51">
        <f t="shared" si="583"/>
        <v>0</v>
      </c>
      <c r="AX159" s="51">
        <f t="shared" si="497"/>
        <v>0</v>
      </c>
      <c r="AY159" s="54">
        <f t="shared" si="498"/>
        <v>0</v>
      </c>
      <c r="AZ159" s="55">
        <f t="shared" si="499"/>
        <v>0</v>
      </c>
      <c r="BA159" s="56">
        <f>IF(AND($E159&lt;&gt;0,$F159&gt;0,YEAR($F159)&gt;=Preisindex!$A$6,YEAR(AV$4)&gt;=YEAR($F159),AND($K159&lt;&gt;"a",$K159&lt;&gt;"b",$K159&lt;&gt;"g",$K159&lt;&gt;"k")),1,IF(AND($E159&lt;&gt;0,$F159&gt;0,YEAR($F159)&gt;=Preisindex!$A$6,YEAR(AV$4)&gt;=YEAR($F159),$K159="a"),ROUND(VLOOKUP(BA$4,Preisindex,5,FALSE)/VLOOKUP(YEAR($F159),Preisindex,5,FALSE),2),IF(AND($E159&lt;&gt;0,$F159&gt;0,YEAR($F159)&gt;=Preisindex!$A$6,YEAR(AV$4)&gt;=YEAR($F159),$K159="b"),ROUND(VLOOKUP(BA$4,Preisindex,3,FALSE)/VLOOKUP(YEAR($F159),Preisindex,3,FALSE),2),IF(AND($E159&lt;&gt;0,$F159&gt;0,YEAR($F159)&gt;=Preisindex!$A$6,YEAR(AV$4)&gt;=YEAR($F159),$K159="g"),ROUND(VLOOKUP(BA$4,Preisindex,4,FALSE)/VLOOKUP(YEAR($F159),Preisindex,4,FALSE),2),IF(AND($E159&lt;&gt;0,$F159&gt;0,YEAR($F159)&gt;=Preisindex!$A$6,YEAR(AV$4)&gt;=YEAR($F159),$K159="k"),ROUND(VLOOKUP(BA$4,Preisindex,2,FALSE)/VLOOKUP(YEAR($F159),Preisindex,2,FALSE),2),0)))))</f>
        <v>0</v>
      </c>
      <c r="BB159" s="56">
        <f>IF(AND($E159&lt;&gt;0,$F159&gt;0,YEAR($F159)&lt;Preisindex!$A$6,YEAR(AV$4)&gt;=YEAR($F159),AND($K159&lt;&gt;"a",$K159&lt;&gt;"b",$K159&lt;&gt;"g",$K159&lt;&gt;"k")),1,IF(AND($E159&lt;&gt;0,$F159&gt;0,YEAR($F159)&lt;Preisindex!$A$6,YEAR(AV$4)&gt;=YEAR($F159),$K159="a"),ROUND(VLOOKUP(BA$4,Preisindex,5,FALSE)/VLOOKUP(Preisindex!$A$6,Preisindex,5,FALSE),2),IF(AND($E159&lt;&gt;0,$F159&gt;0,YEAR($F159)&lt;Preisindex!$A$6,YEAR(AV$4)&gt;=YEAR($F159),$K159="b"),ROUND(VLOOKUP(BA$4,Preisindex,3,FALSE)/VLOOKUP(Preisindex!$A$6,Preisindex,3,FALSE),2),IF(AND($E159&lt;&gt;0,$F159&gt;0,YEAR($F159)&lt;Preisindex!$A$6,YEAR(AV$4)&gt;=YEAR($F159),$K159="g"),ROUND(VLOOKUP(BA$4,Preisindex,4,FALSE)/VLOOKUP(Preisindex!$A$6,Preisindex,4,FALSE),2),IF(AND($E159&lt;&gt;0,$F159&gt;0,YEAR($F159)&lt;Preisindex!$A$6,YEAR(AV$4)&gt;=YEAR($F159),$K159="k"),ROUND(VLOOKUP(BA$4,Preisindex,2,FALSE)/VLOOKUP(Preisindex!$A$6,Preisindex,2,FALSE),2),0)))))</f>
        <v>0</v>
      </c>
      <c r="BC159" s="51">
        <f>IF(AND($E159&lt;&gt;0,$F159&gt;0,YEAR($F159)&lt;=BA$4,YEAR($F159)&gt;=Preisindex!$A$6),ROUND($E159*BA159,2),IF(AND($E159&lt;&gt;0,$F159&gt;0,YEAR($F159)&lt;=BA$4,YEAR($F159)&lt;Preisindex!$A$6),ROUND($E159*BB159,2),0))</f>
        <v>0</v>
      </c>
      <c r="BD159" s="53">
        <f t="shared" si="500"/>
        <v>0</v>
      </c>
      <c r="BE159" s="51">
        <f t="shared" si="577"/>
        <v>0</v>
      </c>
      <c r="BF159" s="51">
        <f t="shared" si="584"/>
        <v>0</v>
      </c>
      <c r="BG159" s="51">
        <f t="shared" si="501"/>
        <v>0</v>
      </c>
      <c r="BH159" s="51">
        <f t="shared" si="585"/>
        <v>0</v>
      </c>
      <c r="BI159" s="51">
        <f t="shared" si="502"/>
        <v>0</v>
      </c>
      <c r="BJ159" s="51">
        <f t="shared" si="586"/>
        <v>0</v>
      </c>
      <c r="BK159" s="51">
        <f t="shared" si="503"/>
        <v>0</v>
      </c>
      <c r="BL159" s="51">
        <f t="shared" si="587"/>
        <v>0</v>
      </c>
      <c r="BM159" s="51">
        <f t="shared" si="504"/>
        <v>0</v>
      </c>
      <c r="BN159" s="51">
        <f t="shared" si="588"/>
        <v>0</v>
      </c>
      <c r="BO159" s="51">
        <f t="shared" si="505"/>
        <v>0</v>
      </c>
      <c r="BP159" s="54">
        <f t="shared" si="506"/>
        <v>0</v>
      </c>
      <c r="BQ159" s="55">
        <f t="shared" si="507"/>
        <v>0</v>
      </c>
      <c r="BR159" s="56">
        <f>IF(AND($E159&lt;&gt;0,$F159&gt;0,YEAR($F159)&gt;=Preisindex!$A$6,YEAR(BM$4)&gt;=YEAR($F159),AND($K159&lt;&gt;"a",$K159&lt;&gt;"b",$K159&lt;&gt;"g",$K159&lt;&gt;"k")),1,IF(AND($E159&lt;&gt;0,$F159&gt;0,YEAR($F159)&gt;=Preisindex!$A$6,YEAR(BM$4)&gt;=YEAR($F159),$K159="a"),ROUND(VLOOKUP(BR$4,Preisindex,5,FALSE)/VLOOKUP(YEAR($F159),Preisindex,5,FALSE),2),IF(AND($E159&lt;&gt;0,$F159&gt;0,YEAR($F159)&gt;=Preisindex!$A$6,YEAR(BM$4)&gt;=YEAR($F159),$K159="b"),ROUND(VLOOKUP(BR$4,Preisindex,3,FALSE)/VLOOKUP(YEAR($F159),Preisindex,3,FALSE),2),IF(AND($E159&lt;&gt;0,$F159&gt;0,YEAR($F159)&gt;=Preisindex!$A$6,YEAR(BM$4)&gt;=YEAR($F159),$K159="g"),ROUND(VLOOKUP(BR$4,Preisindex,4,FALSE)/VLOOKUP(YEAR($F159),Preisindex,4,FALSE),2),IF(AND($E159&lt;&gt;0,$F159&gt;0,YEAR($F159)&gt;=Preisindex!$A$6,YEAR(BM$4)&gt;=YEAR($F159),$K159="k"),ROUND(VLOOKUP(BR$4,Preisindex,2,FALSE)/VLOOKUP(YEAR($F159),Preisindex,2,FALSE),2),0)))))</f>
        <v>0</v>
      </c>
      <c r="BS159" s="56">
        <f>IF(AND($E159&lt;&gt;0,$F159&gt;0,YEAR($F159)&lt;Preisindex!$A$6,YEAR(BM$4)&gt;=YEAR($F159),AND($K159&lt;&gt;"a",$K159&lt;&gt;"b",$K159&lt;&gt;"g",$K159&lt;&gt;"k")),1,IF(AND($E159&lt;&gt;0,$F159&gt;0,YEAR($F159)&lt;Preisindex!$A$6,YEAR(BM$4)&gt;=YEAR($F159),$K159="a"),ROUND(VLOOKUP(BR$4,Preisindex,5,FALSE)/VLOOKUP(Preisindex!$A$6,Preisindex,5,FALSE),2),IF(AND($E159&lt;&gt;0,$F159&gt;0,YEAR($F159)&lt;Preisindex!$A$6,YEAR(BM$4)&gt;=YEAR($F159),$K159="b"),ROUND(VLOOKUP(BR$4,Preisindex,3,FALSE)/VLOOKUP(Preisindex!$A$6,Preisindex,3,FALSE),2),IF(AND($E159&lt;&gt;0,$F159&gt;0,YEAR($F159)&lt;Preisindex!$A$6,YEAR(BM$4)&gt;=YEAR($F159),$K159="g"),ROUND(VLOOKUP(BR$4,Preisindex,4,FALSE)/VLOOKUP(Preisindex!$A$6,Preisindex,4,FALSE),2),IF(AND($E159&lt;&gt;0,$F159&gt;0,YEAR($F159)&lt;Preisindex!$A$6,YEAR(BM$4)&gt;=YEAR($F159),$K159="k"),ROUND(VLOOKUP(BR$4,Preisindex,2,FALSE)/VLOOKUP(Preisindex!$A$6,Preisindex,2,FALSE),2),0)))))</f>
        <v>0</v>
      </c>
      <c r="BT159" s="51">
        <f>IF(AND($E159&lt;&gt;0,$F159&gt;0,YEAR($F159)&lt;=BR$4,YEAR($F159)&gt;=Preisindex!$A$6),ROUND($E159*BR159,2),IF(AND($E159&lt;&gt;0,$F159&gt;0,YEAR($F159)&lt;=BR$4,YEAR($F159)&lt;Preisindex!$A$6),ROUND($E159*BS159,2),0))</f>
        <v>0</v>
      </c>
      <c r="BU159" s="53">
        <f t="shared" si="508"/>
        <v>0</v>
      </c>
      <c r="BV159" s="51">
        <f t="shared" si="577"/>
        <v>0</v>
      </c>
      <c r="BW159" s="51">
        <f t="shared" si="589"/>
        <v>0</v>
      </c>
      <c r="BX159" s="51">
        <f t="shared" si="509"/>
        <v>0</v>
      </c>
      <c r="BY159" s="51">
        <f t="shared" si="590"/>
        <v>0</v>
      </c>
      <c r="BZ159" s="51">
        <f t="shared" si="510"/>
        <v>0</v>
      </c>
      <c r="CA159" s="51">
        <f t="shared" si="591"/>
        <v>0</v>
      </c>
      <c r="CB159" s="51">
        <f t="shared" si="511"/>
        <v>0</v>
      </c>
      <c r="CC159" s="51">
        <f t="shared" si="592"/>
        <v>0</v>
      </c>
      <c r="CD159" s="51">
        <f t="shared" si="512"/>
        <v>0</v>
      </c>
      <c r="CE159" s="51">
        <f t="shared" si="593"/>
        <v>0</v>
      </c>
      <c r="CF159" s="51">
        <f t="shared" si="513"/>
        <v>0</v>
      </c>
      <c r="CG159" s="54">
        <f t="shared" si="514"/>
        <v>0</v>
      </c>
      <c r="CH159" s="55">
        <f t="shared" si="515"/>
        <v>0</v>
      </c>
      <c r="CI159" s="56">
        <f>IF(AND($E159&lt;&gt;0,$F159&gt;0,YEAR($F159)&gt;=Preisindex!$A$6,YEAR(CD$4)&gt;=YEAR($F159),AND($K159&lt;&gt;"a",$K159&lt;&gt;"b",$K159&lt;&gt;"g",$K159&lt;&gt;"k")),1,IF(AND($E159&lt;&gt;0,$F159&gt;0,YEAR($F159)&gt;=Preisindex!$A$6,YEAR(CD$4)&gt;=YEAR($F159),$K159="a"),ROUND(VLOOKUP(CI$4,Preisindex,5,FALSE)/VLOOKUP(YEAR($F159),Preisindex,5,FALSE),2),IF(AND($E159&lt;&gt;0,$F159&gt;0,YEAR($F159)&gt;=Preisindex!$A$6,YEAR(CD$4)&gt;=YEAR($F159),$K159="b"),ROUND(VLOOKUP(CI$4,Preisindex,3,FALSE)/VLOOKUP(YEAR($F159),Preisindex,3,FALSE),2),IF(AND($E159&lt;&gt;0,$F159&gt;0,YEAR($F159)&gt;=Preisindex!$A$6,YEAR(CD$4)&gt;=YEAR($F159),$K159="g"),ROUND(VLOOKUP(CI$4,Preisindex,4,FALSE)/VLOOKUP(YEAR($F159),Preisindex,4,FALSE),2),IF(AND($E159&lt;&gt;0,$F159&gt;0,YEAR($F159)&gt;=Preisindex!$A$6,YEAR(CD$4)&gt;=YEAR($F159),$K159="k"),ROUND(VLOOKUP(CI$4,Preisindex,2,FALSE)/VLOOKUP(YEAR($F159),Preisindex,2,FALSE),2),0)))))</f>
        <v>0</v>
      </c>
      <c r="CJ159" s="56">
        <f>IF(AND($E159&lt;&gt;0,$F159&gt;0,YEAR($F159)&lt;Preisindex!$A$6,YEAR(CD$4)&gt;=YEAR($F159),AND($K159&lt;&gt;"a",$K159&lt;&gt;"b",$K159&lt;&gt;"g",$K159&lt;&gt;"k")),1,IF(AND($E159&lt;&gt;0,$F159&gt;0,YEAR($F159)&lt;Preisindex!$A$6,YEAR(CD$4)&gt;=YEAR($F159),$K159="a"),ROUND(VLOOKUP(CI$4,Preisindex,5,FALSE)/VLOOKUP(Preisindex!$A$6,Preisindex,5,FALSE),2),IF(AND($E159&lt;&gt;0,$F159&gt;0,YEAR($F159)&lt;Preisindex!$A$6,YEAR(CD$4)&gt;=YEAR($F159),$K159="b"),ROUND(VLOOKUP(CI$4,Preisindex,3,FALSE)/VLOOKUP(Preisindex!$A$6,Preisindex,3,FALSE),2),IF(AND($E159&lt;&gt;0,$F159&gt;0,YEAR($F159)&lt;Preisindex!$A$6,YEAR(CD$4)&gt;=YEAR($F159),$K159="g"),ROUND(VLOOKUP(CI$4,Preisindex,4,FALSE)/VLOOKUP(Preisindex!$A$6,Preisindex,4,FALSE),2),IF(AND($E159&lt;&gt;0,$F159&gt;0,YEAR($F159)&lt;Preisindex!$A$6,YEAR(CD$4)&gt;=YEAR($F159),$K159="k"),ROUND(VLOOKUP(CI$4,Preisindex,2,FALSE)/VLOOKUP(Preisindex!$A$6,Preisindex,2,FALSE),2),0)))))</f>
        <v>0</v>
      </c>
      <c r="CK159" s="51">
        <f>IF(AND($E159&lt;&gt;0,$F159&gt;0,YEAR($F159)&lt;=CI$4,YEAR($F159)&gt;=Preisindex!$A$6),ROUND($E159*CI159,2),IF(AND($E159&lt;&gt;0,$F159&gt;0,YEAR($F159)&lt;=CI$4,YEAR($F159)&lt;Preisindex!$A$6),ROUND($E159*CJ159,2),0))</f>
        <v>0</v>
      </c>
      <c r="CL159" s="53">
        <f t="shared" si="516"/>
        <v>0</v>
      </c>
      <c r="CM159" s="51">
        <f t="shared" si="577"/>
        <v>0</v>
      </c>
      <c r="CN159" s="51">
        <f t="shared" si="594"/>
        <v>0</v>
      </c>
      <c r="CO159" s="51">
        <f t="shared" si="517"/>
        <v>0</v>
      </c>
      <c r="CP159" s="51">
        <f t="shared" si="595"/>
        <v>0</v>
      </c>
      <c r="CQ159" s="51">
        <f t="shared" si="518"/>
        <v>0</v>
      </c>
      <c r="CR159" s="51">
        <f t="shared" si="596"/>
        <v>0</v>
      </c>
      <c r="CS159" s="51">
        <f t="shared" si="519"/>
        <v>0</v>
      </c>
      <c r="CT159" s="51">
        <f t="shared" si="597"/>
        <v>0</v>
      </c>
      <c r="CU159" s="51">
        <f t="shared" si="520"/>
        <v>0</v>
      </c>
      <c r="CV159" s="51">
        <f t="shared" si="598"/>
        <v>0</v>
      </c>
      <c r="CW159" s="51">
        <f t="shared" si="521"/>
        <v>0</v>
      </c>
      <c r="CX159" s="54">
        <f t="shared" si="522"/>
        <v>0</v>
      </c>
      <c r="CY159" s="55">
        <f t="shared" si="523"/>
        <v>0</v>
      </c>
      <c r="CZ159" s="56">
        <f>IF(AND($E159&lt;&gt;0,$F159&gt;0,YEAR($F159)&gt;=Preisindex!$A$6,YEAR(CU$4)&gt;=YEAR($F159),AND($K159&lt;&gt;"a",$K159&lt;&gt;"b",$K159&lt;&gt;"g",$K159&lt;&gt;"k")),1,IF(AND($E159&lt;&gt;0,$F159&gt;0,YEAR($F159)&gt;=Preisindex!$A$6,YEAR(CU$4)&gt;=YEAR($F159),$K159="a"),ROUND(VLOOKUP(CZ$4,Preisindex,5,FALSE)/VLOOKUP(YEAR($F159),Preisindex,5,FALSE),2),IF(AND($E159&lt;&gt;0,$F159&gt;0,YEAR($F159)&gt;=Preisindex!$A$6,YEAR(CU$4)&gt;=YEAR($F159),$K159="b"),ROUND(VLOOKUP(CZ$4,Preisindex,3,FALSE)/VLOOKUP(YEAR($F159),Preisindex,3,FALSE),2),IF(AND($E159&lt;&gt;0,$F159&gt;0,YEAR($F159)&gt;=Preisindex!$A$6,YEAR(CU$4)&gt;=YEAR($F159),$K159="g"),ROUND(VLOOKUP(CZ$4,Preisindex,4,FALSE)/VLOOKUP(YEAR($F159),Preisindex,4,FALSE),2),IF(AND($E159&lt;&gt;0,$F159&gt;0,YEAR($F159)&gt;=Preisindex!$A$6,YEAR(CU$4)&gt;=YEAR($F159),$K159="k"),ROUND(VLOOKUP(CZ$4,Preisindex,2,FALSE)/VLOOKUP(YEAR($F159),Preisindex,2,FALSE),2),0)))))</f>
        <v>0</v>
      </c>
      <c r="DA159" s="56">
        <f>IF(AND($E159&lt;&gt;0,$F159&gt;0,YEAR($F159)&lt;Preisindex!$A$6,YEAR(CU$4)&gt;=YEAR($F159),AND($K159&lt;&gt;"a",$K159&lt;&gt;"b",$K159&lt;&gt;"g",$K159&lt;&gt;"k")),1,IF(AND($E159&lt;&gt;0,$F159&gt;0,YEAR($F159)&lt;Preisindex!$A$6,YEAR(CU$4)&gt;=YEAR($F159),$K159="a"),ROUND(VLOOKUP(CZ$4,Preisindex,5,FALSE)/VLOOKUP(Preisindex!$A$6,Preisindex,5,FALSE),2),IF(AND($E159&lt;&gt;0,$F159&gt;0,YEAR($F159)&lt;Preisindex!$A$6,YEAR(CU$4)&gt;=YEAR($F159),$K159="b"),ROUND(VLOOKUP(CZ$4,Preisindex,3,FALSE)/VLOOKUP(Preisindex!$A$6,Preisindex,3,FALSE),2),IF(AND($E159&lt;&gt;0,$F159&gt;0,YEAR($F159)&lt;Preisindex!$A$6,YEAR(CU$4)&gt;=YEAR($F159),$K159="g"),ROUND(VLOOKUP(CZ$4,Preisindex,4,FALSE)/VLOOKUP(Preisindex!$A$6,Preisindex,4,FALSE),2),IF(AND($E159&lt;&gt;0,$F159&gt;0,YEAR($F159)&lt;Preisindex!$A$6,YEAR(CU$4)&gt;=YEAR($F159),$K159="k"),ROUND(VLOOKUP(CZ$4,Preisindex,2,FALSE)/VLOOKUP(Preisindex!$A$6,Preisindex,2,FALSE),2),0)))))</f>
        <v>0</v>
      </c>
      <c r="DB159" s="51">
        <f>IF(AND($E159&lt;&gt;0,$F159&gt;0,YEAR($F159)&lt;=CZ$4,YEAR($F159)&gt;=Preisindex!$A$6),ROUND($E159*CZ159,2),IF(AND($E159&lt;&gt;0,$F159&gt;0,YEAR($F159)&lt;=CZ$4,YEAR($F159)&lt;Preisindex!$A$6),ROUND($E159*DA159,2),0))</f>
        <v>0</v>
      </c>
      <c r="DC159" s="53">
        <f t="shared" si="524"/>
        <v>0</v>
      </c>
      <c r="DD159" s="51">
        <f t="shared" si="578"/>
        <v>0</v>
      </c>
      <c r="DE159" s="51">
        <f t="shared" si="599"/>
        <v>0</v>
      </c>
      <c r="DF159" s="51">
        <f t="shared" si="526"/>
        <v>0</v>
      </c>
      <c r="DG159" s="51">
        <f t="shared" si="600"/>
        <v>0</v>
      </c>
      <c r="DH159" s="51">
        <f t="shared" si="527"/>
        <v>0</v>
      </c>
      <c r="DI159" s="51">
        <f t="shared" si="601"/>
        <v>0</v>
      </c>
      <c r="DJ159" s="51">
        <f t="shared" si="528"/>
        <v>0</v>
      </c>
      <c r="DK159" s="51">
        <f t="shared" si="602"/>
        <v>0</v>
      </c>
      <c r="DL159" s="51">
        <f t="shared" si="529"/>
        <v>0</v>
      </c>
      <c r="DM159" s="51">
        <f t="shared" si="603"/>
        <v>0</v>
      </c>
      <c r="DN159" s="51">
        <f t="shared" si="530"/>
        <v>0</v>
      </c>
      <c r="DO159" s="54">
        <f t="shared" si="531"/>
        <v>0</v>
      </c>
      <c r="DP159" s="55">
        <f t="shared" si="532"/>
        <v>0</v>
      </c>
      <c r="DQ159" s="56">
        <f>IF(AND($E159&lt;&gt;0,$F159&gt;0,YEAR($F159)&gt;=Preisindex!$A$6,YEAR(DL$4)&gt;=YEAR($F159),AND($K159&lt;&gt;"a",$K159&lt;&gt;"b",$K159&lt;&gt;"g",$K159&lt;&gt;"k")),1,IF(AND($E159&lt;&gt;0,$F159&gt;0,YEAR($F159)&gt;=Preisindex!$A$6,YEAR(DL$4)&gt;=YEAR($F159),$K159="a"),ROUND(VLOOKUP(DQ$4,Preisindex,5,FALSE)/VLOOKUP(YEAR($F159),Preisindex,5,FALSE),2),IF(AND($E159&lt;&gt;0,$F159&gt;0,YEAR($F159)&gt;=Preisindex!$A$6,YEAR(DL$4)&gt;=YEAR($F159),$K159="b"),ROUND(VLOOKUP(DQ$4,Preisindex,3,FALSE)/VLOOKUP(YEAR($F159),Preisindex,3,FALSE),2),IF(AND($E159&lt;&gt;0,$F159&gt;0,YEAR($F159)&gt;=Preisindex!$A$6,YEAR(DL$4)&gt;=YEAR($F159),$K159="g"),ROUND(VLOOKUP(DQ$4,Preisindex,4,FALSE)/VLOOKUP(YEAR($F159),Preisindex,4,FALSE),2),IF(AND($E159&lt;&gt;0,$F159&gt;0,YEAR($F159)&gt;=Preisindex!$A$6,YEAR(DL$4)&gt;=YEAR($F159),$K159="k"),ROUND(VLOOKUP(DQ$4,Preisindex,2,FALSE)/VLOOKUP(YEAR($F159),Preisindex,2,FALSE),2),0)))))</f>
        <v>0</v>
      </c>
      <c r="DR159" s="56">
        <f>IF(AND($E159&lt;&gt;0,$F159&gt;0,YEAR($F159)&lt;Preisindex!$A$6,YEAR(DL$4)&gt;=YEAR($F159),AND($K159&lt;&gt;"a",$K159&lt;&gt;"b",$K159&lt;&gt;"g",$K159&lt;&gt;"k")),1,IF(AND($E159&lt;&gt;0,$F159&gt;0,YEAR($F159)&lt;Preisindex!$A$6,YEAR(DL$4)&gt;=YEAR($F159),$K159="a"),ROUND(VLOOKUP(DQ$4,Preisindex,5,FALSE)/VLOOKUP(Preisindex!$A$6,Preisindex,5,FALSE),2),IF(AND($E159&lt;&gt;0,$F159&gt;0,YEAR($F159)&lt;Preisindex!$A$6,YEAR(DL$4)&gt;=YEAR($F159),$K159="b"),ROUND(VLOOKUP(DQ$4,Preisindex,3,FALSE)/VLOOKUP(Preisindex!$A$6,Preisindex,3,FALSE),2),IF(AND($E159&lt;&gt;0,$F159&gt;0,YEAR($F159)&lt;Preisindex!$A$6,YEAR(DL$4)&gt;=YEAR($F159),$K159="g"),ROUND(VLOOKUP(DQ$4,Preisindex,4,FALSE)/VLOOKUP(Preisindex!$A$6,Preisindex,4,FALSE),2),IF(AND($E159&lt;&gt;0,$F159&gt;0,YEAR($F159)&lt;Preisindex!$A$6,YEAR(DL$4)&gt;=YEAR($F159),$K159="k"),ROUND(VLOOKUP(DQ$4,Preisindex,2,FALSE)/VLOOKUP(Preisindex!$A$6,Preisindex,2,FALSE),2),0)))))</f>
        <v>0</v>
      </c>
      <c r="DS159" s="51">
        <f>IF(AND($E159&lt;&gt;0,$F159&gt;0,YEAR($F159)&lt;=DQ$4,YEAR($F159)&gt;=Preisindex!$A$6),ROUND($E159*DQ159,2),IF(AND($E159&lt;&gt;0,$F159&gt;0,YEAR($F159)&lt;=DQ$4,YEAR($F159)&lt;Preisindex!$A$6),ROUND($E159*DR159,2),0))</f>
        <v>0</v>
      </c>
      <c r="DT159" s="53">
        <f t="shared" si="533"/>
        <v>0</v>
      </c>
      <c r="DU159" s="51">
        <f t="shared" si="578"/>
        <v>0</v>
      </c>
      <c r="DV159" s="51">
        <f t="shared" si="604"/>
        <v>0</v>
      </c>
      <c r="DW159" s="51">
        <f t="shared" si="534"/>
        <v>0</v>
      </c>
      <c r="DX159" s="51">
        <f t="shared" si="605"/>
        <v>0</v>
      </c>
      <c r="DY159" s="51">
        <f t="shared" si="535"/>
        <v>0</v>
      </c>
      <c r="DZ159" s="51">
        <f t="shared" si="606"/>
        <v>0</v>
      </c>
      <c r="EA159" s="51">
        <f t="shared" si="536"/>
        <v>0</v>
      </c>
      <c r="EB159" s="51">
        <f t="shared" si="607"/>
        <v>0</v>
      </c>
      <c r="EC159" s="51">
        <f t="shared" si="537"/>
        <v>0</v>
      </c>
      <c r="ED159" s="51">
        <f t="shared" si="608"/>
        <v>0</v>
      </c>
      <c r="EE159" s="51">
        <f t="shared" si="538"/>
        <v>0</v>
      </c>
      <c r="EF159" s="54">
        <f t="shared" si="539"/>
        <v>0</v>
      </c>
      <c r="EG159" s="55">
        <f t="shared" si="540"/>
        <v>0</v>
      </c>
      <c r="EH159" s="56">
        <f>IF(AND($E159&lt;&gt;0,$F159&gt;0,YEAR($F159)&gt;=Preisindex!$A$6,YEAR(EC$4)&gt;=YEAR($F159),AND($K159&lt;&gt;"a",$K159&lt;&gt;"b",$K159&lt;&gt;"g",$K159&lt;&gt;"k")),1,IF(AND($E159&lt;&gt;0,$F159&gt;0,YEAR($F159)&gt;=Preisindex!$A$6,YEAR(EC$4)&gt;=YEAR($F159),$K159="a"),ROUND(VLOOKUP(EH$4,Preisindex,5,FALSE)/VLOOKUP(YEAR($F159),Preisindex,5,FALSE),2),IF(AND($E159&lt;&gt;0,$F159&gt;0,YEAR($F159)&gt;=Preisindex!$A$6,YEAR(EC$4)&gt;=YEAR($F159),$K159="b"),ROUND(VLOOKUP(EH$4,Preisindex,3,FALSE)/VLOOKUP(YEAR($F159),Preisindex,3,FALSE),2),IF(AND($E159&lt;&gt;0,$F159&gt;0,YEAR($F159)&gt;=Preisindex!$A$6,YEAR(EC$4)&gt;=YEAR($F159),$K159="g"),ROUND(VLOOKUP(EH$4,Preisindex,4,FALSE)/VLOOKUP(YEAR($F159),Preisindex,4,FALSE),2),IF(AND($E159&lt;&gt;0,$F159&gt;0,YEAR($F159)&gt;=Preisindex!$A$6,YEAR(EC$4)&gt;=YEAR($F159),$K159="k"),ROUND(VLOOKUP(EH$4,Preisindex,2,FALSE)/VLOOKUP(YEAR($F159),Preisindex,2,FALSE),2),0)))))</f>
        <v>0</v>
      </c>
      <c r="EI159" s="56">
        <f>IF(AND($E159&lt;&gt;0,$F159&gt;0,YEAR($F159)&lt;Preisindex!$A$6,YEAR(EC$4)&gt;=YEAR($F159),AND($K159&lt;&gt;"a",$K159&lt;&gt;"b",$K159&lt;&gt;"g",$K159&lt;&gt;"k")),1,IF(AND($E159&lt;&gt;0,$F159&gt;0,YEAR($F159)&lt;Preisindex!$A$6,YEAR(EC$4)&gt;=YEAR($F159),$K159="a"),ROUND(VLOOKUP(EH$4,Preisindex,5,FALSE)/VLOOKUP(Preisindex!$A$6,Preisindex,5,FALSE),2),IF(AND($E159&lt;&gt;0,$F159&gt;0,YEAR($F159)&lt;Preisindex!$A$6,YEAR(EC$4)&gt;=YEAR($F159),$K159="b"),ROUND(VLOOKUP(EH$4,Preisindex,3,FALSE)/VLOOKUP(Preisindex!$A$6,Preisindex,3,FALSE),2),IF(AND($E159&lt;&gt;0,$F159&gt;0,YEAR($F159)&lt;Preisindex!$A$6,YEAR(EC$4)&gt;=YEAR($F159),$K159="g"),ROUND(VLOOKUP(EH$4,Preisindex,4,FALSE)/VLOOKUP(Preisindex!$A$6,Preisindex,4,FALSE),2),IF(AND($E159&lt;&gt;0,$F159&gt;0,YEAR($F159)&lt;Preisindex!$A$6,YEAR(EC$4)&gt;=YEAR($F159),$K159="k"),ROUND(VLOOKUP(EH$4,Preisindex,2,FALSE)/VLOOKUP(Preisindex!$A$6,Preisindex,2,FALSE),2),0)))))</f>
        <v>0</v>
      </c>
      <c r="EJ159" s="51">
        <f>IF(AND($E159&lt;&gt;0,$F159&gt;0,YEAR($F159)&lt;=EH$4,YEAR($F159)&gt;=Preisindex!$A$6),ROUND($E159*EH159,2),IF(AND($E159&lt;&gt;0,$F159&gt;0,YEAR($F159)&lt;=EH$4,YEAR($F159)&lt;Preisindex!$A$6),ROUND($E159*EI159,2),0))</f>
        <v>0</v>
      </c>
      <c r="EK159" s="53">
        <f t="shared" si="541"/>
        <v>0</v>
      </c>
      <c r="EL159" s="51">
        <f t="shared" si="578"/>
        <v>0</v>
      </c>
      <c r="EM159" s="51">
        <f t="shared" si="609"/>
        <v>0</v>
      </c>
      <c r="EN159" s="51">
        <f t="shared" si="542"/>
        <v>0</v>
      </c>
      <c r="EO159" s="51">
        <f t="shared" si="610"/>
        <v>0</v>
      </c>
      <c r="EP159" s="51">
        <f t="shared" si="543"/>
        <v>0</v>
      </c>
      <c r="EQ159" s="51">
        <f t="shared" si="611"/>
        <v>0</v>
      </c>
      <c r="ER159" s="51">
        <f t="shared" si="544"/>
        <v>0</v>
      </c>
      <c r="ES159" s="51">
        <f t="shared" si="612"/>
        <v>0</v>
      </c>
      <c r="ET159" s="51">
        <f t="shared" si="545"/>
        <v>0</v>
      </c>
      <c r="EU159" s="51">
        <f t="shared" si="613"/>
        <v>0</v>
      </c>
      <c r="EV159" s="51">
        <f t="shared" si="546"/>
        <v>0</v>
      </c>
      <c r="EW159" s="54">
        <f t="shared" si="547"/>
        <v>0</v>
      </c>
      <c r="EX159" s="55">
        <f t="shared" si="548"/>
        <v>0</v>
      </c>
      <c r="EY159" s="56">
        <f>IF(AND($E159&lt;&gt;0,$F159&gt;0,YEAR($F159)&gt;=Preisindex!$A$6,YEAR(ET$4)&gt;=YEAR($F159),AND($K159&lt;&gt;"a",$K159&lt;&gt;"b",$K159&lt;&gt;"g",$K159&lt;&gt;"k")),1,IF(AND($E159&lt;&gt;0,$F159&gt;0,YEAR($F159)&gt;=Preisindex!$A$6,YEAR(ET$4)&gt;=YEAR($F159),$K159="a"),ROUND(VLOOKUP(EY$4,Preisindex,5,FALSE)/VLOOKUP(YEAR($F159),Preisindex,5,FALSE),2),IF(AND($E159&lt;&gt;0,$F159&gt;0,YEAR($F159)&gt;=Preisindex!$A$6,YEAR(ET$4)&gt;=YEAR($F159),$K159="b"),ROUND(VLOOKUP(EY$4,Preisindex,3,FALSE)/VLOOKUP(YEAR($F159),Preisindex,3,FALSE),2),IF(AND($E159&lt;&gt;0,$F159&gt;0,YEAR($F159)&gt;=Preisindex!$A$6,YEAR(ET$4)&gt;=YEAR($F159),$K159="g"),ROUND(VLOOKUP(EY$4,Preisindex,4,FALSE)/VLOOKUP(YEAR($F159),Preisindex,4,FALSE),2),IF(AND($E159&lt;&gt;0,$F159&gt;0,YEAR($F159)&gt;=Preisindex!$A$6,YEAR(ET$4)&gt;=YEAR($F159),$K159="k"),ROUND(VLOOKUP(EY$4,Preisindex,2,FALSE)/VLOOKUP(YEAR($F159),Preisindex,2,FALSE),2),0)))))</f>
        <v>0</v>
      </c>
      <c r="EZ159" s="56">
        <f>IF(AND($E159&lt;&gt;0,$F159&gt;0,YEAR($F159)&lt;Preisindex!$A$6,YEAR(ET$4)&gt;=YEAR($F159),AND($K159&lt;&gt;"a",$K159&lt;&gt;"b",$K159&lt;&gt;"g",$K159&lt;&gt;"k")),1,IF(AND($E159&lt;&gt;0,$F159&gt;0,YEAR($F159)&lt;Preisindex!$A$6,YEAR(ET$4)&gt;=YEAR($F159),$K159="a"),ROUND(VLOOKUP(EY$4,Preisindex,5,FALSE)/VLOOKUP(Preisindex!$A$6,Preisindex,5,FALSE),2),IF(AND($E159&lt;&gt;0,$F159&gt;0,YEAR($F159)&lt;Preisindex!$A$6,YEAR(ET$4)&gt;=YEAR($F159),$K159="b"),ROUND(VLOOKUP(EY$4,Preisindex,3,FALSE)/VLOOKUP(Preisindex!$A$6,Preisindex,3,FALSE),2),IF(AND($E159&lt;&gt;0,$F159&gt;0,YEAR($F159)&lt;Preisindex!$A$6,YEAR(ET$4)&gt;=YEAR($F159),$K159="g"),ROUND(VLOOKUP(EY$4,Preisindex,4,FALSE)/VLOOKUP(Preisindex!$A$6,Preisindex,4,FALSE),2),IF(AND($E159&lt;&gt;0,$F159&gt;0,YEAR($F159)&lt;Preisindex!$A$6,YEAR(ET$4)&gt;=YEAR($F159),$K159="k"),ROUND(VLOOKUP(EY$4,Preisindex,2,FALSE)/VLOOKUP(Preisindex!$A$6,Preisindex,2,FALSE),2),0)))))</f>
        <v>0</v>
      </c>
      <c r="FA159" s="51">
        <f>IF(AND($E159&lt;&gt;0,$F159&gt;0,YEAR($F159)&lt;=EY$4,YEAR($F159)&gt;=Preisindex!$A$6),ROUND($E159*EY159,2),IF(AND($E159&lt;&gt;0,$F159&gt;0,YEAR($F159)&lt;=EY$4,YEAR($F159)&lt;Preisindex!$A$6),ROUND($E159*EZ159,2),0))</f>
        <v>0</v>
      </c>
      <c r="FB159" s="53">
        <f t="shared" si="549"/>
        <v>0</v>
      </c>
      <c r="FC159" s="51">
        <f t="shared" si="578"/>
        <v>0</v>
      </c>
      <c r="FD159" s="51">
        <f t="shared" si="614"/>
        <v>0</v>
      </c>
      <c r="FE159" s="51">
        <f t="shared" si="550"/>
        <v>0</v>
      </c>
      <c r="FF159" s="51">
        <f t="shared" si="615"/>
        <v>0</v>
      </c>
      <c r="FG159" s="51">
        <f t="shared" si="551"/>
        <v>0</v>
      </c>
      <c r="FH159" s="51">
        <f t="shared" si="616"/>
        <v>0</v>
      </c>
      <c r="FI159" s="51">
        <f t="shared" si="552"/>
        <v>0</v>
      </c>
      <c r="FJ159" s="51">
        <f t="shared" si="617"/>
        <v>0</v>
      </c>
      <c r="FK159" s="51">
        <f t="shared" si="553"/>
        <v>0</v>
      </c>
      <c r="FL159" s="51">
        <f t="shared" si="618"/>
        <v>0</v>
      </c>
      <c r="FM159" s="51">
        <f t="shared" si="554"/>
        <v>0</v>
      </c>
      <c r="FN159" s="54">
        <f t="shared" si="555"/>
        <v>0</v>
      </c>
      <c r="FO159" s="55">
        <f t="shared" si="556"/>
        <v>0</v>
      </c>
      <c r="FP159" s="56">
        <f>IF(AND($E159&lt;&gt;0,$F159&gt;0,YEAR($F159)&gt;=Preisindex!$A$6,YEAR(FK$4)&gt;=YEAR($F159),AND($K159&lt;&gt;"a",$K159&lt;&gt;"b",$K159&lt;&gt;"g",$K159&lt;&gt;"k")),1,IF(AND($E159&lt;&gt;0,$F159&gt;0,YEAR($F159)&gt;=Preisindex!$A$6,YEAR(FK$4)&gt;=YEAR($F159),$K159="a"),ROUND(VLOOKUP(FP$4,Preisindex,5,FALSE)/VLOOKUP(YEAR($F159),Preisindex,5,FALSE),2),IF(AND($E159&lt;&gt;0,$F159&gt;0,YEAR($F159)&gt;=Preisindex!$A$6,YEAR(FK$4)&gt;=YEAR($F159),$K159="b"),ROUND(VLOOKUP(FP$4,Preisindex,3,FALSE)/VLOOKUP(YEAR($F159),Preisindex,3,FALSE),2),IF(AND($E159&lt;&gt;0,$F159&gt;0,YEAR($F159)&gt;=Preisindex!$A$6,YEAR(FK$4)&gt;=YEAR($F159),$K159="g"),ROUND(VLOOKUP(FP$4,Preisindex,4,FALSE)/VLOOKUP(YEAR($F159),Preisindex,4,FALSE),2),IF(AND($E159&lt;&gt;0,$F159&gt;0,YEAR($F159)&gt;=Preisindex!$A$6,YEAR(FK$4)&gt;=YEAR($F159),$K159="k"),ROUND(VLOOKUP(FP$4,Preisindex,2,FALSE)/VLOOKUP(YEAR($F159),Preisindex,2,FALSE),2),0)))))</f>
        <v>0</v>
      </c>
      <c r="FQ159" s="56">
        <f>IF(AND($E159&lt;&gt;0,$F159&gt;0,YEAR($F159)&lt;Preisindex!$A$6,YEAR(FK$4)&gt;=YEAR($F159),AND($K159&lt;&gt;"a",$K159&lt;&gt;"b",$K159&lt;&gt;"g",$K159&lt;&gt;"k")),1,IF(AND($E159&lt;&gt;0,$F159&gt;0,YEAR($F159)&lt;Preisindex!$A$6,YEAR(FK$4)&gt;=YEAR($F159),$K159="a"),ROUND(VLOOKUP(FP$4,Preisindex,5,FALSE)/VLOOKUP(Preisindex!$A$6,Preisindex,5,FALSE),2),IF(AND($E159&lt;&gt;0,$F159&gt;0,YEAR($F159)&lt;Preisindex!$A$6,YEAR(FK$4)&gt;=YEAR($F159),$K159="b"),ROUND(VLOOKUP(FP$4,Preisindex,3,FALSE)/VLOOKUP(Preisindex!$A$6,Preisindex,3,FALSE),2),IF(AND($E159&lt;&gt;0,$F159&gt;0,YEAR($F159)&lt;Preisindex!$A$6,YEAR(FK$4)&gt;=YEAR($F159),$K159="g"),ROUND(VLOOKUP(FP$4,Preisindex,4,FALSE)/VLOOKUP(Preisindex!$A$6,Preisindex,4,FALSE),2),IF(AND($E159&lt;&gt;0,$F159&gt;0,YEAR($F159)&lt;Preisindex!$A$6,YEAR(FK$4)&gt;=YEAR($F159),$K159="k"),ROUND(VLOOKUP(FP$4,Preisindex,2,FALSE)/VLOOKUP(Preisindex!$A$6,Preisindex,2,FALSE),2),0)))))</f>
        <v>0</v>
      </c>
      <c r="FR159" s="51">
        <f>IF(AND($E159&lt;&gt;0,$F159&gt;0,YEAR($F159)&lt;=FP$4,YEAR($F159)&gt;=Preisindex!$A$6),ROUND($E159*FP159,2),IF(AND($E159&lt;&gt;0,$F159&gt;0,YEAR($F159)&lt;=FP$4,YEAR($F159)&lt;Preisindex!$A$6),ROUND($E159*FQ159,2),0))</f>
        <v>0</v>
      </c>
      <c r="FS159" s="53">
        <f t="shared" si="557"/>
        <v>0</v>
      </c>
    </row>
    <row r="160" spans="1:175" x14ac:dyDescent="0.3">
      <c r="A160" s="93"/>
      <c r="B160" s="94"/>
      <c r="C160" s="94"/>
      <c r="D160" s="95"/>
      <c r="E160" s="99"/>
      <c r="F160" s="97"/>
      <c r="G160" s="98"/>
      <c r="H160" s="620"/>
      <c r="I160" s="621"/>
      <c r="J160" s="194"/>
      <c r="K160" s="630"/>
      <c r="L160" s="49">
        <f t="shared" si="558"/>
        <v>0</v>
      </c>
      <c r="M160" s="50">
        <f t="shared" si="559"/>
        <v>0</v>
      </c>
      <c r="N160" s="51">
        <f t="shared" si="560"/>
        <v>0</v>
      </c>
      <c r="O160" s="51"/>
      <c r="P160" s="51">
        <f t="shared" si="561"/>
        <v>0</v>
      </c>
      <c r="Q160" s="52"/>
      <c r="R160" s="52"/>
      <c r="S160" s="52"/>
      <c r="T160" s="52"/>
      <c r="U160" s="52"/>
      <c r="V160" s="53">
        <f t="shared" si="562"/>
        <v>0</v>
      </c>
      <c r="W160" s="51">
        <f t="shared" si="563"/>
        <v>0</v>
      </c>
      <c r="X160" s="51">
        <f t="shared" si="564"/>
        <v>0</v>
      </c>
      <c r="Y160" s="51">
        <f t="shared" si="565"/>
        <v>0</v>
      </c>
      <c r="Z160" s="51">
        <f t="shared" si="566"/>
        <v>0</v>
      </c>
      <c r="AA160" s="51">
        <f t="shared" si="567"/>
        <v>0</v>
      </c>
      <c r="AB160" s="51">
        <f t="shared" si="568"/>
        <v>0</v>
      </c>
      <c r="AC160" s="51">
        <f t="shared" si="569"/>
        <v>0</v>
      </c>
      <c r="AD160" s="51">
        <f t="shared" si="570"/>
        <v>0</v>
      </c>
      <c r="AE160" s="51">
        <f t="shared" si="571"/>
        <v>0</v>
      </c>
      <c r="AF160" s="51">
        <f t="shared" si="572"/>
        <v>0</v>
      </c>
      <c r="AG160" s="51">
        <f t="shared" si="573"/>
        <v>0</v>
      </c>
      <c r="AH160" s="54">
        <f t="shared" si="574"/>
        <v>0</v>
      </c>
      <c r="AI160" s="55">
        <f t="shared" si="575"/>
        <v>0</v>
      </c>
      <c r="AJ160" s="56">
        <f>IF(AND($E160&lt;&gt;0,$F160&gt;0,YEAR($F160)&gt;=Preisindex!$A$6,YEAR(AE$4)&gt;=YEAR($F160),AND($K160&lt;&gt;"a",$K160&lt;&gt;"b",$K160&lt;&gt;"g",$K160&lt;&gt;"k")),1,IF(AND($E160&lt;&gt;0,$F160&gt;0,YEAR($F160)&gt;=Preisindex!$A$6,YEAR(AE$4)&gt;=YEAR($F160),$K160="a"),ROUND(VLOOKUP(AJ$4,Preisindex,5,FALSE)/VLOOKUP(YEAR($F160),Preisindex,5,FALSE),2),IF(AND($E160&lt;&gt;0,$F160&gt;0,YEAR($F160)&gt;=Preisindex!$A$6,YEAR(AE$4)&gt;=YEAR($F160),$K160="b"),ROUND(VLOOKUP(AJ$4,Preisindex,3,FALSE)/VLOOKUP(YEAR($F160),Preisindex,3,FALSE),2),IF(AND($E160&lt;&gt;0,$F160&gt;0,YEAR($F160)&gt;=Preisindex!$A$6,YEAR(AE$4)&gt;=YEAR($F160),$K160="g"),ROUND(VLOOKUP(AJ$4,Preisindex,4,FALSE)/VLOOKUP(YEAR($F160),Preisindex,4,FALSE),2),IF(AND($E160&lt;&gt;0,$F160&gt;0,YEAR($F160)&gt;=Preisindex!$A$6,YEAR(AE$4)&gt;=YEAR($F160),$K160="k"),ROUND(VLOOKUP(AJ$4,Preisindex,2,FALSE)/VLOOKUP(YEAR($F160),Preisindex,2,FALSE),2),0)))))</f>
        <v>0</v>
      </c>
      <c r="AK160" s="56">
        <f>IF(AND($E160&lt;&gt;0,$F160&gt;0,YEAR($F160)&lt;Preisindex!$A$6,YEAR(AE$4)&gt;=YEAR($F160),AND($K160&lt;&gt;"a",$K160&lt;&gt;"b",$K160&lt;&gt;"g",$K160&lt;&gt;"k")),1,IF(AND($E160&lt;&gt;0,$F160&gt;0,YEAR($F160)&lt;Preisindex!$A$6,YEAR(AE$4)&gt;=YEAR($F160),$K160="a"),ROUND(VLOOKUP(AJ$4,Preisindex,5,FALSE)/VLOOKUP(Preisindex!$A$6,Preisindex,5,FALSE),2),IF(AND($E160&lt;&gt;0,$F160&gt;0,YEAR($F160)&lt;Preisindex!$A$6,YEAR(AE$4)&gt;=YEAR($F160),$K160="b"),ROUND(VLOOKUP(AJ$4,Preisindex,3,FALSE)/VLOOKUP(Preisindex!$A$6,Preisindex,3,FALSE),2),IF(AND($E160&lt;&gt;0,$F160&gt;0,YEAR($F160)&lt;Preisindex!$A$6,YEAR(AE$4)&gt;=YEAR($F160),$K160="g"),ROUND(VLOOKUP(AJ$4,Preisindex,4,FALSE)/VLOOKUP(Preisindex!$A$6,Preisindex,4,FALSE),2),IF(AND($E160&lt;&gt;0,$F160&gt;0,YEAR($F160)&lt;Preisindex!$A$6,YEAR(AE$4)&gt;=YEAR($F160),$K160="k"),ROUND(VLOOKUP(AJ$4,Preisindex,2,FALSE)/VLOOKUP(Preisindex!$A$6,Preisindex,2,FALSE),2),0)))))</f>
        <v>0</v>
      </c>
      <c r="AL160" s="51">
        <f>IF(AND($E160&lt;&gt;0,$F160&gt;0,YEAR($F160)&lt;=AJ$4,YEAR($F160)&gt;=Preisindex!$A$6),ROUND($E160*AJ160,2),IF(AND($E160&lt;&gt;0,$F160&gt;0,YEAR($F160)&lt;=AJ$4,YEAR($F160)&lt;Preisindex!$A$6),ROUND($E160*AK160,2),0))</f>
        <v>0</v>
      </c>
      <c r="AM160" s="53">
        <f t="shared" si="576"/>
        <v>0</v>
      </c>
      <c r="AN160" s="51">
        <f t="shared" si="577"/>
        <v>0</v>
      </c>
      <c r="AO160" s="51">
        <f t="shared" si="579"/>
        <v>0</v>
      </c>
      <c r="AP160" s="51">
        <f t="shared" si="493"/>
        <v>0</v>
      </c>
      <c r="AQ160" s="51">
        <f t="shared" si="580"/>
        <v>0</v>
      </c>
      <c r="AR160" s="51">
        <f t="shared" si="494"/>
        <v>0</v>
      </c>
      <c r="AS160" s="51">
        <f t="shared" si="581"/>
        <v>0</v>
      </c>
      <c r="AT160" s="51">
        <f t="shared" si="495"/>
        <v>0</v>
      </c>
      <c r="AU160" s="51">
        <f t="shared" si="582"/>
        <v>0</v>
      </c>
      <c r="AV160" s="51">
        <f t="shared" si="496"/>
        <v>0</v>
      </c>
      <c r="AW160" s="51">
        <f t="shared" si="583"/>
        <v>0</v>
      </c>
      <c r="AX160" s="51">
        <f t="shared" si="497"/>
        <v>0</v>
      </c>
      <c r="AY160" s="54">
        <f t="shared" si="498"/>
        <v>0</v>
      </c>
      <c r="AZ160" s="55">
        <f t="shared" si="499"/>
        <v>0</v>
      </c>
      <c r="BA160" s="56">
        <f>IF(AND($E160&lt;&gt;0,$F160&gt;0,YEAR($F160)&gt;=Preisindex!$A$6,YEAR(AV$4)&gt;=YEAR($F160),AND($K160&lt;&gt;"a",$K160&lt;&gt;"b",$K160&lt;&gt;"g",$K160&lt;&gt;"k")),1,IF(AND($E160&lt;&gt;0,$F160&gt;0,YEAR($F160)&gt;=Preisindex!$A$6,YEAR(AV$4)&gt;=YEAR($F160),$K160="a"),ROUND(VLOOKUP(BA$4,Preisindex,5,FALSE)/VLOOKUP(YEAR($F160),Preisindex,5,FALSE),2),IF(AND($E160&lt;&gt;0,$F160&gt;0,YEAR($F160)&gt;=Preisindex!$A$6,YEAR(AV$4)&gt;=YEAR($F160),$K160="b"),ROUND(VLOOKUP(BA$4,Preisindex,3,FALSE)/VLOOKUP(YEAR($F160),Preisindex,3,FALSE),2),IF(AND($E160&lt;&gt;0,$F160&gt;0,YEAR($F160)&gt;=Preisindex!$A$6,YEAR(AV$4)&gt;=YEAR($F160),$K160="g"),ROUND(VLOOKUP(BA$4,Preisindex,4,FALSE)/VLOOKUP(YEAR($F160),Preisindex,4,FALSE),2),IF(AND($E160&lt;&gt;0,$F160&gt;0,YEAR($F160)&gt;=Preisindex!$A$6,YEAR(AV$4)&gt;=YEAR($F160),$K160="k"),ROUND(VLOOKUP(BA$4,Preisindex,2,FALSE)/VLOOKUP(YEAR($F160),Preisindex,2,FALSE),2),0)))))</f>
        <v>0</v>
      </c>
      <c r="BB160" s="56">
        <f>IF(AND($E160&lt;&gt;0,$F160&gt;0,YEAR($F160)&lt;Preisindex!$A$6,YEAR(AV$4)&gt;=YEAR($F160),AND($K160&lt;&gt;"a",$K160&lt;&gt;"b",$K160&lt;&gt;"g",$K160&lt;&gt;"k")),1,IF(AND($E160&lt;&gt;0,$F160&gt;0,YEAR($F160)&lt;Preisindex!$A$6,YEAR(AV$4)&gt;=YEAR($F160),$K160="a"),ROUND(VLOOKUP(BA$4,Preisindex,5,FALSE)/VLOOKUP(Preisindex!$A$6,Preisindex,5,FALSE),2),IF(AND($E160&lt;&gt;0,$F160&gt;0,YEAR($F160)&lt;Preisindex!$A$6,YEAR(AV$4)&gt;=YEAR($F160),$K160="b"),ROUND(VLOOKUP(BA$4,Preisindex,3,FALSE)/VLOOKUP(Preisindex!$A$6,Preisindex,3,FALSE),2),IF(AND($E160&lt;&gt;0,$F160&gt;0,YEAR($F160)&lt;Preisindex!$A$6,YEAR(AV$4)&gt;=YEAR($F160),$K160="g"),ROUND(VLOOKUP(BA$4,Preisindex,4,FALSE)/VLOOKUP(Preisindex!$A$6,Preisindex,4,FALSE),2),IF(AND($E160&lt;&gt;0,$F160&gt;0,YEAR($F160)&lt;Preisindex!$A$6,YEAR(AV$4)&gt;=YEAR($F160),$K160="k"),ROUND(VLOOKUP(BA$4,Preisindex,2,FALSE)/VLOOKUP(Preisindex!$A$6,Preisindex,2,FALSE),2),0)))))</f>
        <v>0</v>
      </c>
      <c r="BC160" s="51">
        <f>IF(AND($E160&lt;&gt;0,$F160&gt;0,YEAR($F160)&lt;=BA$4,YEAR($F160)&gt;=Preisindex!$A$6),ROUND($E160*BA160,2),IF(AND($E160&lt;&gt;0,$F160&gt;0,YEAR($F160)&lt;=BA$4,YEAR($F160)&lt;Preisindex!$A$6),ROUND($E160*BB160,2),0))</f>
        <v>0</v>
      </c>
      <c r="BD160" s="53">
        <f t="shared" si="500"/>
        <v>0</v>
      </c>
      <c r="BE160" s="51">
        <f t="shared" si="577"/>
        <v>0</v>
      </c>
      <c r="BF160" s="51">
        <f t="shared" si="584"/>
        <v>0</v>
      </c>
      <c r="BG160" s="51">
        <f t="shared" si="501"/>
        <v>0</v>
      </c>
      <c r="BH160" s="51">
        <f t="shared" si="585"/>
        <v>0</v>
      </c>
      <c r="BI160" s="51">
        <f t="shared" si="502"/>
        <v>0</v>
      </c>
      <c r="BJ160" s="51">
        <f t="shared" si="586"/>
        <v>0</v>
      </c>
      <c r="BK160" s="51">
        <f t="shared" si="503"/>
        <v>0</v>
      </c>
      <c r="BL160" s="51">
        <f t="shared" si="587"/>
        <v>0</v>
      </c>
      <c r="BM160" s="51">
        <f t="shared" si="504"/>
        <v>0</v>
      </c>
      <c r="BN160" s="51">
        <f t="shared" si="588"/>
        <v>0</v>
      </c>
      <c r="BO160" s="51">
        <f t="shared" si="505"/>
        <v>0</v>
      </c>
      <c r="BP160" s="54">
        <f t="shared" si="506"/>
        <v>0</v>
      </c>
      <c r="BQ160" s="55">
        <f t="shared" si="507"/>
        <v>0</v>
      </c>
      <c r="BR160" s="56">
        <f>IF(AND($E160&lt;&gt;0,$F160&gt;0,YEAR($F160)&gt;=Preisindex!$A$6,YEAR(BM$4)&gt;=YEAR($F160),AND($K160&lt;&gt;"a",$K160&lt;&gt;"b",$K160&lt;&gt;"g",$K160&lt;&gt;"k")),1,IF(AND($E160&lt;&gt;0,$F160&gt;0,YEAR($F160)&gt;=Preisindex!$A$6,YEAR(BM$4)&gt;=YEAR($F160),$K160="a"),ROUND(VLOOKUP(BR$4,Preisindex,5,FALSE)/VLOOKUP(YEAR($F160),Preisindex,5,FALSE),2),IF(AND($E160&lt;&gt;0,$F160&gt;0,YEAR($F160)&gt;=Preisindex!$A$6,YEAR(BM$4)&gt;=YEAR($F160),$K160="b"),ROUND(VLOOKUP(BR$4,Preisindex,3,FALSE)/VLOOKUP(YEAR($F160),Preisindex,3,FALSE),2),IF(AND($E160&lt;&gt;0,$F160&gt;0,YEAR($F160)&gt;=Preisindex!$A$6,YEAR(BM$4)&gt;=YEAR($F160),$K160="g"),ROUND(VLOOKUP(BR$4,Preisindex,4,FALSE)/VLOOKUP(YEAR($F160),Preisindex,4,FALSE),2),IF(AND($E160&lt;&gt;0,$F160&gt;0,YEAR($F160)&gt;=Preisindex!$A$6,YEAR(BM$4)&gt;=YEAR($F160),$K160="k"),ROUND(VLOOKUP(BR$4,Preisindex,2,FALSE)/VLOOKUP(YEAR($F160),Preisindex,2,FALSE),2),0)))))</f>
        <v>0</v>
      </c>
      <c r="BS160" s="56">
        <f>IF(AND($E160&lt;&gt;0,$F160&gt;0,YEAR($F160)&lt;Preisindex!$A$6,YEAR(BM$4)&gt;=YEAR($F160),AND($K160&lt;&gt;"a",$K160&lt;&gt;"b",$K160&lt;&gt;"g",$K160&lt;&gt;"k")),1,IF(AND($E160&lt;&gt;0,$F160&gt;0,YEAR($F160)&lt;Preisindex!$A$6,YEAR(BM$4)&gt;=YEAR($F160),$K160="a"),ROUND(VLOOKUP(BR$4,Preisindex,5,FALSE)/VLOOKUP(Preisindex!$A$6,Preisindex,5,FALSE),2),IF(AND($E160&lt;&gt;0,$F160&gt;0,YEAR($F160)&lt;Preisindex!$A$6,YEAR(BM$4)&gt;=YEAR($F160),$K160="b"),ROUND(VLOOKUP(BR$4,Preisindex,3,FALSE)/VLOOKUP(Preisindex!$A$6,Preisindex,3,FALSE),2),IF(AND($E160&lt;&gt;0,$F160&gt;0,YEAR($F160)&lt;Preisindex!$A$6,YEAR(BM$4)&gt;=YEAR($F160),$K160="g"),ROUND(VLOOKUP(BR$4,Preisindex,4,FALSE)/VLOOKUP(Preisindex!$A$6,Preisindex,4,FALSE),2),IF(AND($E160&lt;&gt;0,$F160&gt;0,YEAR($F160)&lt;Preisindex!$A$6,YEAR(BM$4)&gt;=YEAR($F160),$K160="k"),ROUND(VLOOKUP(BR$4,Preisindex,2,FALSE)/VLOOKUP(Preisindex!$A$6,Preisindex,2,FALSE),2),0)))))</f>
        <v>0</v>
      </c>
      <c r="BT160" s="51">
        <f>IF(AND($E160&lt;&gt;0,$F160&gt;0,YEAR($F160)&lt;=BR$4,YEAR($F160)&gt;=Preisindex!$A$6),ROUND($E160*BR160,2),IF(AND($E160&lt;&gt;0,$F160&gt;0,YEAR($F160)&lt;=BR$4,YEAR($F160)&lt;Preisindex!$A$6),ROUND($E160*BS160,2),0))</f>
        <v>0</v>
      </c>
      <c r="BU160" s="53">
        <f t="shared" si="508"/>
        <v>0</v>
      </c>
      <c r="BV160" s="51">
        <f t="shared" si="577"/>
        <v>0</v>
      </c>
      <c r="BW160" s="51">
        <f t="shared" si="589"/>
        <v>0</v>
      </c>
      <c r="BX160" s="51">
        <f t="shared" si="509"/>
        <v>0</v>
      </c>
      <c r="BY160" s="51">
        <f t="shared" si="590"/>
        <v>0</v>
      </c>
      <c r="BZ160" s="51">
        <f t="shared" si="510"/>
        <v>0</v>
      </c>
      <c r="CA160" s="51">
        <f t="shared" si="591"/>
        <v>0</v>
      </c>
      <c r="CB160" s="51">
        <f t="shared" si="511"/>
        <v>0</v>
      </c>
      <c r="CC160" s="51">
        <f t="shared" si="592"/>
        <v>0</v>
      </c>
      <c r="CD160" s="51">
        <f t="shared" si="512"/>
        <v>0</v>
      </c>
      <c r="CE160" s="51">
        <f t="shared" si="593"/>
        <v>0</v>
      </c>
      <c r="CF160" s="51">
        <f t="shared" si="513"/>
        <v>0</v>
      </c>
      <c r="CG160" s="54">
        <f t="shared" si="514"/>
        <v>0</v>
      </c>
      <c r="CH160" s="55">
        <f t="shared" si="515"/>
        <v>0</v>
      </c>
      <c r="CI160" s="56">
        <f>IF(AND($E160&lt;&gt;0,$F160&gt;0,YEAR($F160)&gt;=Preisindex!$A$6,YEAR(CD$4)&gt;=YEAR($F160),AND($K160&lt;&gt;"a",$K160&lt;&gt;"b",$K160&lt;&gt;"g",$K160&lt;&gt;"k")),1,IF(AND($E160&lt;&gt;0,$F160&gt;0,YEAR($F160)&gt;=Preisindex!$A$6,YEAR(CD$4)&gt;=YEAR($F160),$K160="a"),ROUND(VLOOKUP(CI$4,Preisindex,5,FALSE)/VLOOKUP(YEAR($F160),Preisindex,5,FALSE),2),IF(AND($E160&lt;&gt;0,$F160&gt;0,YEAR($F160)&gt;=Preisindex!$A$6,YEAR(CD$4)&gt;=YEAR($F160),$K160="b"),ROUND(VLOOKUP(CI$4,Preisindex,3,FALSE)/VLOOKUP(YEAR($F160),Preisindex,3,FALSE),2),IF(AND($E160&lt;&gt;0,$F160&gt;0,YEAR($F160)&gt;=Preisindex!$A$6,YEAR(CD$4)&gt;=YEAR($F160),$K160="g"),ROUND(VLOOKUP(CI$4,Preisindex,4,FALSE)/VLOOKUP(YEAR($F160),Preisindex,4,FALSE),2),IF(AND($E160&lt;&gt;0,$F160&gt;0,YEAR($F160)&gt;=Preisindex!$A$6,YEAR(CD$4)&gt;=YEAR($F160),$K160="k"),ROUND(VLOOKUP(CI$4,Preisindex,2,FALSE)/VLOOKUP(YEAR($F160),Preisindex,2,FALSE),2),0)))))</f>
        <v>0</v>
      </c>
      <c r="CJ160" s="56">
        <f>IF(AND($E160&lt;&gt;0,$F160&gt;0,YEAR($F160)&lt;Preisindex!$A$6,YEAR(CD$4)&gt;=YEAR($F160),AND($K160&lt;&gt;"a",$K160&lt;&gt;"b",$K160&lt;&gt;"g",$K160&lt;&gt;"k")),1,IF(AND($E160&lt;&gt;0,$F160&gt;0,YEAR($F160)&lt;Preisindex!$A$6,YEAR(CD$4)&gt;=YEAR($F160),$K160="a"),ROUND(VLOOKUP(CI$4,Preisindex,5,FALSE)/VLOOKUP(Preisindex!$A$6,Preisindex,5,FALSE),2),IF(AND($E160&lt;&gt;0,$F160&gt;0,YEAR($F160)&lt;Preisindex!$A$6,YEAR(CD$4)&gt;=YEAR($F160),$K160="b"),ROUND(VLOOKUP(CI$4,Preisindex,3,FALSE)/VLOOKUP(Preisindex!$A$6,Preisindex,3,FALSE),2),IF(AND($E160&lt;&gt;0,$F160&gt;0,YEAR($F160)&lt;Preisindex!$A$6,YEAR(CD$4)&gt;=YEAR($F160),$K160="g"),ROUND(VLOOKUP(CI$4,Preisindex,4,FALSE)/VLOOKUP(Preisindex!$A$6,Preisindex,4,FALSE),2),IF(AND($E160&lt;&gt;0,$F160&gt;0,YEAR($F160)&lt;Preisindex!$A$6,YEAR(CD$4)&gt;=YEAR($F160),$K160="k"),ROUND(VLOOKUP(CI$4,Preisindex,2,FALSE)/VLOOKUP(Preisindex!$A$6,Preisindex,2,FALSE),2),0)))))</f>
        <v>0</v>
      </c>
      <c r="CK160" s="51">
        <f>IF(AND($E160&lt;&gt;0,$F160&gt;0,YEAR($F160)&lt;=CI$4,YEAR($F160)&gt;=Preisindex!$A$6),ROUND($E160*CI160,2),IF(AND($E160&lt;&gt;0,$F160&gt;0,YEAR($F160)&lt;=CI$4,YEAR($F160)&lt;Preisindex!$A$6),ROUND($E160*CJ160,2),0))</f>
        <v>0</v>
      </c>
      <c r="CL160" s="53">
        <f t="shared" si="516"/>
        <v>0</v>
      </c>
      <c r="CM160" s="51">
        <f t="shared" si="577"/>
        <v>0</v>
      </c>
      <c r="CN160" s="51">
        <f t="shared" si="594"/>
        <v>0</v>
      </c>
      <c r="CO160" s="51">
        <f t="shared" si="517"/>
        <v>0</v>
      </c>
      <c r="CP160" s="51">
        <f t="shared" si="595"/>
        <v>0</v>
      </c>
      <c r="CQ160" s="51">
        <f t="shared" si="518"/>
        <v>0</v>
      </c>
      <c r="CR160" s="51">
        <f t="shared" si="596"/>
        <v>0</v>
      </c>
      <c r="CS160" s="51">
        <f t="shared" si="519"/>
        <v>0</v>
      </c>
      <c r="CT160" s="51">
        <f t="shared" si="597"/>
        <v>0</v>
      </c>
      <c r="CU160" s="51">
        <f t="shared" si="520"/>
        <v>0</v>
      </c>
      <c r="CV160" s="51">
        <f t="shared" si="598"/>
        <v>0</v>
      </c>
      <c r="CW160" s="51">
        <f t="shared" si="521"/>
        <v>0</v>
      </c>
      <c r="CX160" s="54">
        <f t="shared" si="522"/>
        <v>0</v>
      </c>
      <c r="CY160" s="55">
        <f t="shared" si="523"/>
        <v>0</v>
      </c>
      <c r="CZ160" s="56">
        <f>IF(AND($E160&lt;&gt;0,$F160&gt;0,YEAR($F160)&gt;=Preisindex!$A$6,YEAR(CU$4)&gt;=YEAR($F160),AND($K160&lt;&gt;"a",$K160&lt;&gt;"b",$K160&lt;&gt;"g",$K160&lt;&gt;"k")),1,IF(AND($E160&lt;&gt;0,$F160&gt;0,YEAR($F160)&gt;=Preisindex!$A$6,YEAR(CU$4)&gt;=YEAR($F160),$K160="a"),ROUND(VLOOKUP(CZ$4,Preisindex,5,FALSE)/VLOOKUP(YEAR($F160),Preisindex,5,FALSE),2),IF(AND($E160&lt;&gt;0,$F160&gt;0,YEAR($F160)&gt;=Preisindex!$A$6,YEAR(CU$4)&gt;=YEAR($F160),$K160="b"),ROUND(VLOOKUP(CZ$4,Preisindex,3,FALSE)/VLOOKUP(YEAR($F160),Preisindex,3,FALSE),2),IF(AND($E160&lt;&gt;0,$F160&gt;0,YEAR($F160)&gt;=Preisindex!$A$6,YEAR(CU$4)&gt;=YEAR($F160),$K160="g"),ROUND(VLOOKUP(CZ$4,Preisindex,4,FALSE)/VLOOKUP(YEAR($F160),Preisindex,4,FALSE),2),IF(AND($E160&lt;&gt;0,$F160&gt;0,YEAR($F160)&gt;=Preisindex!$A$6,YEAR(CU$4)&gt;=YEAR($F160),$K160="k"),ROUND(VLOOKUP(CZ$4,Preisindex,2,FALSE)/VLOOKUP(YEAR($F160),Preisindex,2,FALSE),2),0)))))</f>
        <v>0</v>
      </c>
      <c r="DA160" s="56">
        <f>IF(AND($E160&lt;&gt;0,$F160&gt;0,YEAR($F160)&lt;Preisindex!$A$6,YEAR(CU$4)&gt;=YEAR($F160),AND($K160&lt;&gt;"a",$K160&lt;&gt;"b",$K160&lt;&gt;"g",$K160&lt;&gt;"k")),1,IF(AND($E160&lt;&gt;0,$F160&gt;0,YEAR($F160)&lt;Preisindex!$A$6,YEAR(CU$4)&gt;=YEAR($F160),$K160="a"),ROUND(VLOOKUP(CZ$4,Preisindex,5,FALSE)/VLOOKUP(Preisindex!$A$6,Preisindex,5,FALSE),2),IF(AND($E160&lt;&gt;0,$F160&gt;0,YEAR($F160)&lt;Preisindex!$A$6,YEAR(CU$4)&gt;=YEAR($F160),$K160="b"),ROUND(VLOOKUP(CZ$4,Preisindex,3,FALSE)/VLOOKUP(Preisindex!$A$6,Preisindex,3,FALSE),2),IF(AND($E160&lt;&gt;0,$F160&gt;0,YEAR($F160)&lt;Preisindex!$A$6,YEAR(CU$4)&gt;=YEAR($F160),$K160="g"),ROUND(VLOOKUP(CZ$4,Preisindex,4,FALSE)/VLOOKUP(Preisindex!$A$6,Preisindex,4,FALSE),2),IF(AND($E160&lt;&gt;0,$F160&gt;0,YEAR($F160)&lt;Preisindex!$A$6,YEAR(CU$4)&gt;=YEAR($F160),$K160="k"),ROUND(VLOOKUP(CZ$4,Preisindex,2,FALSE)/VLOOKUP(Preisindex!$A$6,Preisindex,2,FALSE),2),0)))))</f>
        <v>0</v>
      </c>
      <c r="DB160" s="51">
        <f>IF(AND($E160&lt;&gt;0,$F160&gt;0,YEAR($F160)&lt;=CZ$4,YEAR($F160)&gt;=Preisindex!$A$6),ROUND($E160*CZ160,2),IF(AND($E160&lt;&gt;0,$F160&gt;0,YEAR($F160)&lt;=CZ$4,YEAR($F160)&lt;Preisindex!$A$6),ROUND($E160*DA160,2),0))</f>
        <v>0</v>
      </c>
      <c r="DC160" s="53">
        <f t="shared" si="524"/>
        <v>0</v>
      </c>
      <c r="DD160" s="51">
        <f t="shared" si="578"/>
        <v>0</v>
      </c>
      <c r="DE160" s="51">
        <f t="shared" si="599"/>
        <v>0</v>
      </c>
      <c r="DF160" s="51">
        <f t="shared" si="526"/>
        <v>0</v>
      </c>
      <c r="DG160" s="51">
        <f t="shared" si="600"/>
        <v>0</v>
      </c>
      <c r="DH160" s="51">
        <f t="shared" si="527"/>
        <v>0</v>
      </c>
      <c r="DI160" s="51">
        <f t="shared" si="601"/>
        <v>0</v>
      </c>
      <c r="DJ160" s="51">
        <f t="shared" si="528"/>
        <v>0</v>
      </c>
      <c r="DK160" s="51">
        <f t="shared" si="602"/>
        <v>0</v>
      </c>
      <c r="DL160" s="51">
        <f t="shared" si="529"/>
        <v>0</v>
      </c>
      <c r="DM160" s="51">
        <f t="shared" si="603"/>
        <v>0</v>
      </c>
      <c r="DN160" s="51">
        <f t="shared" si="530"/>
        <v>0</v>
      </c>
      <c r="DO160" s="54">
        <f t="shared" si="531"/>
        <v>0</v>
      </c>
      <c r="DP160" s="55">
        <f t="shared" si="532"/>
        <v>0</v>
      </c>
      <c r="DQ160" s="56">
        <f>IF(AND($E160&lt;&gt;0,$F160&gt;0,YEAR($F160)&gt;=Preisindex!$A$6,YEAR(DL$4)&gt;=YEAR($F160),AND($K160&lt;&gt;"a",$K160&lt;&gt;"b",$K160&lt;&gt;"g",$K160&lt;&gt;"k")),1,IF(AND($E160&lt;&gt;0,$F160&gt;0,YEAR($F160)&gt;=Preisindex!$A$6,YEAR(DL$4)&gt;=YEAR($F160),$K160="a"),ROUND(VLOOKUP(DQ$4,Preisindex,5,FALSE)/VLOOKUP(YEAR($F160),Preisindex,5,FALSE),2),IF(AND($E160&lt;&gt;0,$F160&gt;0,YEAR($F160)&gt;=Preisindex!$A$6,YEAR(DL$4)&gt;=YEAR($F160),$K160="b"),ROUND(VLOOKUP(DQ$4,Preisindex,3,FALSE)/VLOOKUP(YEAR($F160),Preisindex,3,FALSE),2),IF(AND($E160&lt;&gt;0,$F160&gt;0,YEAR($F160)&gt;=Preisindex!$A$6,YEAR(DL$4)&gt;=YEAR($F160),$K160="g"),ROUND(VLOOKUP(DQ$4,Preisindex,4,FALSE)/VLOOKUP(YEAR($F160),Preisindex,4,FALSE),2),IF(AND($E160&lt;&gt;0,$F160&gt;0,YEAR($F160)&gt;=Preisindex!$A$6,YEAR(DL$4)&gt;=YEAR($F160),$K160="k"),ROUND(VLOOKUP(DQ$4,Preisindex,2,FALSE)/VLOOKUP(YEAR($F160),Preisindex,2,FALSE),2),0)))))</f>
        <v>0</v>
      </c>
      <c r="DR160" s="56">
        <f>IF(AND($E160&lt;&gt;0,$F160&gt;0,YEAR($F160)&lt;Preisindex!$A$6,YEAR(DL$4)&gt;=YEAR($F160),AND($K160&lt;&gt;"a",$K160&lt;&gt;"b",$K160&lt;&gt;"g",$K160&lt;&gt;"k")),1,IF(AND($E160&lt;&gt;0,$F160&gt;0,YEAR($F160)&lt;Preisindex!$A$6,YEAR(DL$4)&gt;=YEAR($F160),$K160="a"),ROUND(VLOOKUP(DQ$4,Preisindex,5,FALSE)/VLOOKUP(Preisindex!$A$6,Preisindex,5,FALSE),2),IF(AND($E160&lt;&gt;0,$F160&gt;0,YEAR($F160)&lt;Preisindex!$A$6,YEAR(DL$4)&gt;=YEAR($F160),$K160="b"),ROUND(VLOOKUP(DQ$4,Preisindex,3,FALSE)/VLOOKUP(Preisindex!$A$6,Preisindex,3,FALSE),2),IF(AND($E160&lt;&gt;0,$F160&gt;0,YEAR($F160)&lt;Preisindex!$A$6,YEAR(DL$4)&gt;=YEAR($F160),$K160="g"),ROUND(VLOOKUP(DQ$4,Preisindex,4,FALSE)/VLOOKUP(Preisindex!$A$6,Preisindex,4,FALSE),2),IF(AND($E160&lt;&gt;0,$F160&gt;0,YEAR($F160)&lt;Preisindex!$A$6,YEAR(DL$4)&gt;=YEAR($F160),$K160="k"),ROUND(VLOOKUP(DQ$4,Preisindex,2,FALSE)/VLOOKUP(Preisindex!$A$6,Preisindex,2,FALSE),2),0)))))</f>
        <v>0</v>
      </c>
      <c r="DS160" s="51">
        <f>IF(AND($E160&lt;&gt;0,$F160&gt;0,YEAR($F160)&lt;=DQ$4,YEAR($F160)&gt;=Preisindex!$A$6),ROUND($E160*DQ160,2),IF(AND($E160&lt;&gt;0,$F160&gt;0,YEAR($F160)&lt;=DQ$4,YEAR($F160)&lt;Preisindex!$A$6),ROUND($E160*DR160,2),0))</f>
        <v>0</v>
      </c>
      <c r="DT160" s="53">
        <f t="shared" si="533"/>
        <v>0</v>
      </c>
      <c r="DU160" s="51">
        <f t="shared" si="578"/>
        <v>0</v>
      </c>
      <c r="DV160" s="51">
        <f t="shared" si="604"/>
        <v>0</v>
      </c>
      <c r="DW160" s="51">
        <f t="shared" si="534"/>
        <v>0</v>
      </c>
      <c r="DX160" s="51">
        <f t="shared" si="605"/>
        <v>0</v>
      </c>
      <c r="DY160" s="51">
        <f t="shared" si="535"/>
        <v>0</v>
      </c>
      <c r="DZ160" s="51">
        <f t="shared" si="606"/>
        <v>0</v>
      </c>
      <c r="EA160" s="51">
        <f t="shared" si="536"/>
        <v>0</v>
      </c>
      <c r="EB160" s="51">
        <f t="shared" si="607"/>
        <v>0</v>
      </c>
      <c r="EC160" s="51">
        <f t="shared" si="537"/>
        <v>0</v>
      </c>
      <c r="ED160" s="51">
        <f t="shared" si="608"/>
        <v>0</v>
      </c>
      <c r="EE160" s="51">
        <f t="shared" si="538"/>
        <v>0</v>
      </c>
      <c r="EF160" s="54">
        <f t="shared" si="539"/>
        <v>0</v>
      </c>
      <c r="EG160" s="55">
        <f t="shared" si="540"/>
        <v>0</v>
      </c>
      <c r="EH160" s="56">
        <f>IF(AND($E160&lt;&gt;0,$F160&gt;0,YEAR($F160)&gt;=Preisindex!$A$6,YEAR(EC$4)&gt;=YEAR($F160),AND($K160&lt;&gt;"a",$K160&lt;&gt;"b",$K160&lt;&gt;"g",$K160&lt;&gt;"k")),1,IF(AND($E160&lt;&gt;0,$F160&gt;0,YEAR($F160)&gt;=Preisindex!$A$6,YEAR(EC$4)&gt;=YEAR($F160),$K160="a"),ROUND(VLOOKUP(EH$4,Preisindex,5,FALSE)/VLOOKUP(YEAR($F160),Preisindex,5,FALSE),2),IF(AND($E160&lt;&gt;0,$F160&gt;0,YEAR($F160)&gt;=Preisindex!$A$6,YEAR(EC$4)&gt;=YEAR($F160),$K160="b"),ROUND(VLOOKUP(EH$4,Preisindex,3,FALSE)/VLOOKUP(YEAR($F160),Preisindex,3,FALSE),2),IF(AND($E160&lt;&gt;0,$F160&gt;0,YEAR($F160)&gt;=Preisindex!$A$6,YEAR(EC$4)&gt;=YEAR($F160),$K160="g"),ROUND(VLOOKUP(EH$4,Preisindex,4,FALSE)/VLOOKUP(YEAR($F160),Preisindex,4,FALSE),2),IF(AND($E160&lt;&gt;0,$F160&gt;0,YEAR($F160)&gt;=Preisindex!$A$6,YEAR(EC$4)&gt;=YEAR($F160),$K160="k"),ROUND(VLOOKUP(EH$4,Preisindex,2,FALSE)/VLOOKUP(YEAR($F160),Preisindex,2,FALSE),2),0)))))</f>
        <v>0</v>
      </c>
      <c r="EI160" s="56">
        <f>IF(AND($E160&lt;&gt;0,$F160&gt;0,YEAR($F160)&lt;Preisindex!$A$6,YEAR(EC$4)&gt;=YEAR($F160),AND($K160&lt;&gt;"a",$K160&lt;&gt;"b",$K160&lt;&gt;"g",$K160&lt;&gt;"k")),1,IF(AND($E160&lt;&gt;0,$F160&gt;0,YEAR($F160)&lt;Preisindex!$A$6,YEAR(EC$4)&gt;=YEAR($F160),$K160="a"),ROUND(VLOOKUP(EH$4,Preisindex,5,FALSE)/VLOOKUP(Preisindex!$A$6,Preisindex,5,FALSE),2),IF(AND($E160&lt;&gt;0,$F160&gt;0,YEAR($F160)&lt;Preisindex!$A$6,YEAR(EC$4)&gt;=YEAR($F160),$K160="b"),ROUND(VLOOKUP(EH$4,Preisindex,3,FALSE)/VLOOKUP(Preisindex!$A$6,Preisindex,3,FALSE),2),IF(AND($E160&lt;&gt;0,$F160&gt;0,YEAR($F160)&lt;Preisindex!$A$6,YEAR(EC$4)&gt;=YEAR($F160),$K160="g"),ROUND(VLOOKUP(EH$4,Preisindex,4,FALSE)/VLOOKUP(Preisindex!$A$6,Preisindex,4,FALSE),2),IF(AND($E160&lt;&gt;0,$F160&gt;0,YEAR($F160)&lt;Preisindex!$A$6,YEAR(EC$4)&gt;=YEAR($F160),$K160="k"),ROUND(VLOOKUP(EH$4,Preisindex,2,FALSE)/VLOOKUP(Preisindex!$A$6,Preisindex,2,FALSE),2),0)))))</f>
        <v>0</v>
      </c>
      <c r="EJ160" s="51">
        <f>IF(AND($E160&lt;&gt;0,$F160&gt;0,YEAR($F160)&lt;=EH$4,YEAR($F160)&gt;=Preisindex!$A$6),ROUND($E160*EH160,2),IF(AND($E160&lt;&gt;0,$F160&gt;0,YEAR($F160)&lt;=EH$4,YEAR($F160)&lt;Preisindex!$A$6),ROUND($E160*EI160,2),0))</f>
        <v>0</v>
      </c>
      <c r="EK160" s="53">
        <f t="shared" si="541"/>
        <v>0</v>
      </c>
      <c r="EL160" s="51">
        <f t="shared" si="578"/>
        <v>0</v>
      </c>
      <c r="EM160" s="51">
        <f t="shared" si="609"/>
        <v>0</v>
      </c>
      <c r="EN160" s="51">
        <f t="shared" si="542"/>
        <v>0</v>
      </c>
      <c r="EO160" s="51">
        <f t="shared" si="610"/>
        <v>0</v>
      </c>
      <c r="EP160" s="51">
        <f t="shared" si="543"/>
        <v>0</v>
      </c>
      <c r="EQ160" s="51">
        <f t="shared" si="611"/>
        <v>0</v>
      </c>
      <c r="ER160" s="51">
        <f t="shared" si="544"/>
        <v>0</v>
      </c>
      <c r="ES160" s="51">
        <f t="shared" si="612"/>
        <v>0</v>
      </c>
      <c r="ET160" s="51">
        <f t="shared" si="545"/>
        <v>0</v>
      </c>
      <c r="EU160" s="51">
        <f t="shared" si="613"/>
        <v>0</v>
      </c>
      <c r="EV160" s="51">
        <f t="shared" si="546"/>
        <v>0</v>
      </c>
      <c r="EW160" s="54">
        <f t="shared" si="547"/>
        <v>0</v>
      </c>
      <c r="EX160" s="55">
        <f t="shared" si="548"/>
        <v>0</v>
      </c>
      <c r="EY160" s="56">
        <f>IF(AND($E160&lt;&gt;0,$F160&gt;0,YEAR($F160)&gt;=Preisindex!$A$6,YEAR(ET$4)&gt;=YEAR($F160),AND($K160&lt;&gt;"a",$K160&lt;&gt;"b",$K160&lt;&gt;"g",$K160&lt;&gt;"k")),1,IF(AND($E160&lt;&gt;0,$F160&gt;0,YEAR($F160)&gt;=Preisindex!$A$6,YEAR(ET$4)&gt;=YEAR($F160),$K160="a"),ROUND(VLOOKUP(EY$4,Preisindex,5,FALSE)/VLOOKUP(YEAR($F160),Preisindex,5,FALSE),2),IF(AND($E160&lt;&gt;0,$F160&gt;0,YEAR($F160)&gt;=Preisindex!$A$6,YEAR(ET$4)&gt;=YEAR($F160),$K160="b"),ROUND(VLOOKUP(EY$4,Preisindex,3,FALSE)/VLOOKUP(YEAR($F160),Preisindex,3,FALSE),2),IF(AND($E160&lt;&gt;0,$F160&gt;0,YEAR($F160)&gt;=Preisindex!$A$6,YEAR(ET$4)&gt;=YEAR($F160),$K160="g"),ROUND(VLOOKUP(EY$4,Preisindex,4,FALSE)/VLOOKUP(YEAR($F160),Preisindex,4,FALSE),2),IF(AND($E160&lt;&gt;0,$F160&gt;0,YEAR($F160)&gt;=Preisindex!$A$6,YEAR(ET$4)&gt;=YEAR($F160),$K160="k"),ROUND(VLOOKUP(EY$4,Preisindex,2,FALSE)/VLOOKUP(YEAR($F160),Preisindex,2,FALSE),2),0)))))</f>
        <v>0</v>
      </c>
      <c r="EZ160" s="56">
        <f>IF(AND($E160&lt;&gt;0,$F160&gt;0,YEAR($F160)&lt;Preisindex!$A$6,YEAR(ET$4)&gt;=YEAR($F160),AND($K160&lt;&gt;"a",$K160&lt;&gt;"b",$K160&lt;&gt;"g",$K160&lt;&gt;"k")),1,IF(AND($E160&lt;&gt;0,$F160&gt;0,YEAR($F160)&lt;Preisindex!$A$6,YEAR(ET$4)&gt;=YEAR($F160),$K160="a"),ROUND(VLOOKUP(EY$4,Preisindex,5,FALSE)/VLOOKUP(Preisindex!$A$6,Preisindex,5,FALSE),2),IF(AND($E160&lt;&gt;0,$F160&gt;0,YEAR($F160)&lt;Preisindex!$A$6,YEAR(ET$4)&gt;=YEAR($F160),$K160="b"),ROUND(VLOOKUP(EY$4,Preisindex,3,FALSE)/VLOOKUP(Preisindex!$A$6,Preisindex,3,FALSE),2),IF(AND($E160&lt;&gt;0,$F160&gt;0,YEAR($F160)&lt;Preisindex!$A$6,YEAR(ET$4)&gt;=YEAR($F160),$K160="g"),ROUND(VLOOKUP(EY$4,Preisindex,4,FALSE)/VLOOKUP(Preisindex!$A$6,Preisindex,4,FALSE),2),IF(AND($E160&lt;&gt;0,$F160&gt;0,YEAR($F160)&lt;Preisindex!$A$6,YEAR(ET$4)&gt;=YEAR($F160),$K160="k"),ROUND(VLOOKUP(EY$4,Preisindex,2,FALSE)/VLOOKUP(Preisindex!$A$6,Preisindex,2,FALSE),2),0)))))</f>
        <v>0</v>
      </c>
      <c r="FA160" s="51">
        <f>IF(AND($E160&lt;&gt;0,$F160&gt;0,YEAR($F160)&lt;=EY$4,YEAR($F160)&gt;=Preisindex!$A$6),ROUND($E160*EY160,2),IF(AND($E160&lt;&gt;0,$F160&gt;0,YEAR($F160)&lt;=EY$4,YEAR($F160)&lt;Preisindex!$A$6),ROUND($E160*EZ160,2),0))</f>
        <v>0</v>
      </c>
      <c r="FB160" s="53">
        <f t="shared" si="549"/>
        <v>0</v>
      </c>
      <c r="FC160" s="51">
        <f t="shared" si="578"/>
        <v>0</v>
      </c>
      <c r="FD160" s="51">
        <f t="shared" si="614"/>
        <v>0</v>
      </c>
      <c r="FE160" s="51">
        <f t="shared" si="550"/>
        <v>0</v>
      </c>
      <c r="FF160" s="51">
        <f t="shared" si="615"/>
        <v>0</v>
      </c>
      <c r="FG160" s="51">
        <f t="shared" si="551"/>
        <v>0</v>
      </c>
      <c r="FH160" s="51">
        <f t="shared" si="616"/>
        <v>0</v>
      </c>
      <c r="FI160" s="51">
        <f t="shared" si="552"/>
        <v>0</v>
      </c>
      <c r="FJ160" s="51">
        <f t="shared" si="617"/>
        <v>0</v>
      </c>
      <c r="FK160" s="51">
        <f t="shared" si="553"/>
        <v>0</v>
      </c>
      <c r="FL160" s="51">
        <f t="shared" si="618"/>
        <v>0</v>
      </c>
      <c r="FM160" s="51">
        <f t="shared" si="554"/>
        <v>0</v>
      </c>
      <c r="FN160" s="54">
        <f t="shared" si="555"/>
        <v>0</v>
      </c>
      <c r="FO160" s="55">
        <f t="shared" si="556"/>
        <v>0</v>
      </c>
      <c r="FP160" s="56">
        <f>IF(AND($E160&lt;&gt;0,$F160&gt;0,YEAR($F160)&gt;=Preisindex!$A$6,YEAR(FK$4)&gt;=YEAR($F160),AND($K160&lt;&gt;"a",$K160&lt;&gt;"b",$K160&lt;&gt;"g",$K160&lt;&gt;"k")),1,IF(AND($E160&lt;&gt;0,$F160&gt;0,YEAR($F160)&gt;=Preisindex!$A$6,YEAR(FK$4)&gt;=YEAR($F160),$K160="a"),ROUND(VLOOKUP(FP$4,Preisindex,5,FALSE)/VLOOKUP(YEAR($F160),Preisindex,5,FALSE),2),IF(AND($E160&lt;&gt;0,$F160&gt;0,YEAR($F160)&gt;=Preisindex!$A$6,YEAR(FK$4)&gt;=YEAR($F160),$K160="b"),ROUND(VLOOKUP(FP$4,Preisindex,3,FALSE)/VLOOKUP(YEAR($F160),Preisindex,3,FALSE),2),IF(AND($E160&lt;&gt;0,$F160&gt;0,YEAR($F160)&gt;=Preisindex!$A$6,YEAR(FK$4)&gt;=YEAR($F160),$K160="g"),ROUND(VLOOKUP(FP$4,Preisindex,4,FALSE)/VLOOKUP(YEAR($F160),Preisindex,4,FALSE),2),IF(AND($E160&lt;&gt;0,$F160&gt;0,YEAR($F160)&gt;=Preisindex!$A$6,YEAR(FK$4)&gt;=YEAR($F160),$K160="k"),ROUND(VLOOKUP(FP$4,Preisindex,2,FALSE)/VLOOKUP(YEAR($F160),Preisindex,2,FALSE),2),0)))))</f>
        <v>0</v>
      </c>
      <c r="FQ160" s="56">
        <f>IF(AND($E160&lt;&gt;0,$F160&gt;0,YEAR($F160)&lt;Preisindex!$A$6,YEAR(FK$4)&gt;=YEAR($F160),AND($K160&lt;&gt;"a",$K160&lt;&gt;"b",$K160&lt;&gt;"g",$K160&lt;&gt;"k")),1,IF(AND($E160&lt;&gt;0,$F160&gt;0,YEAR($F160)&lt;Preisindex!$A$6,YEAR(FK$4)&gt;=YEAR($F160),$K160="a"),ROUND(VLOOKUP(FP$4,Preisindex,5,FALSE)/VLOOKUP(Preisindex!$A$6,Preisindex,5,FALSE),2),IF(AND($E160&lt;&gt;0,$F160&gt;0,YEAR($F160)&lt;Preisindex!$A$6,YEAR(FK$4)&gt;=YEAR($F160),$K160="b"),ROUND(VLOOKUP(FP$4,Preisindex,3,FALSE)/VLOOKUP(Preisindex!$A$6,Preisindex,3,FALSE),2),IF(AND($E160&lt;&gt;0,$F160&gt;0,YEAR($F160)&lt;Preisindex!$A$6,YEAR(FK$4)&gt;=YEAR($F160),$K160="g"),ROUND(VLOOKUP(FP$4,Preisindex,4,FALSE)/VLOOKUP(Preisindex!$A$6,Preisindex,4,FALSE),2),IF(AND($E160&lt;&gt;0,$F160&gt;0,YEAR($F160)&lt;Preisindex!$A$6,YEAR(FK$4)&gt;=YEAR($F160),$K160="k"),ROUND(VLOOKUP(FP$4,Preisindex,2,FALSE)/VLOOKUP(Preisindex!$A$6,Preisindex,2,FALSE),2),0)))))</f>
        <v>0</v>
      </c>
      <c r="FR160" s="51">
        <f>IF(AND($E160&lt;&gt;0,$F160&gt;0,YEAR($F160)&lt;=FP$4,YEAR($F160)&gt;=Preisindex!$A$6),ROUND($E160*FP160,2),IF(AND($E160&lt;&gt;0,$F160&gt;0,YEAR($F160)&lt;=FP$4,YEAR($F160)&lt;Preisindex!$A$6),ROUND($E160*FQ160,2),0))</f>
        <v>0</v>
      </c>
      <c r="FS160" s="53">
        <f t="shared" si="557"/>
        <v>0</v>
      </c>
    </row>
    <row r="161" spans="1:175" x14ac:dyDescent="0.3">
      <c r="A161" s="93"/>
      <c r="B161" s="94"/>
      <c r="C161" s="94"/>
      <c r="D161" s="95"/>
      <c r="E161" s="99"/>
      <c r="F161" s="97"/>
      <c r="G161" s="98"/>
      <c r="H161" s="620"/>
      <c r="I161" s="621"/>
      <c r="J161" s="194"/>
      <c r="K161" s="630"/>
      <c r="L161" s="49">
        <f t="shared" si="558"/>
        <v>0</v>
      </c>
      <c r="M161" s="50">
        <f t="shared" si="559"/>
        <v>0</v>
      </c>
      <c r="N161" s="51">
        <f t="shared" si="560"/>
        <v>0</v>
      </c>
      <c r="O161" s="51"/>
      <c r="P161" s="51">
        <f t="shared" si="561"/>
        <v>0</v>
      </c>
      <c r="Q161" s="52"/>
      <c r="R161" s="52"/>
      <c r="S161" s="52"/>
      <c r="T161" s="52"/>
      <c r="U161" s="52"/>
      <c r="V161" s="53">
        <f t="shared" si="562"/>
        <v>0</v>
      </c>
      <c r="W161" s="51">
        <f t="shared" si="563"/>
        <v>0</v>
      </c>
      <c r="X161" s="51">
        <f t="shared" si="564"/>
        <v>0</v>
      </c>
      <c r="Y161" s="51">
        <f t="shared" si="565"/>
        <v>0</v>
      </c>
      <c r="Z161" s="51">
        <f t="shared" si="566"/>
        <v>0</v>
      </c>
      <c r="AA161" s="51">
        <f t="shared" si="567"/>
        <v>0</v>
      </c>
      <c r="AB161" s="51">
        <f t="shared" si="568"/>
        <v>0</v>
      </c>
      <c r="AC161" s="51">
        <f t="shared" si="569"/>
        <v>0</v>
      </c>
      <c r="AD161" s="51">
        <f t="shared" si="570"/>
        <v>0</v>
      </c>
      <c r="AE161" s="51">
        <f t="shared" si="571"/>
        <v>0</v>
      </c>
      <c r="AF161" s="51">
        <f t="shared" si="572"/>
        <v>0</v>
      </c>
      <c r="AG161" s="51">
        <f t="shared" si="573"/>
        <v>0</v>
      </c>
      <c r="AH161" s="54">
        <f t="shared" si="574"/>
        <v>0</v>
      </c>
      <c r="AI161" s="55">
        <f t="shared" si="575"/>
        <v>0</v>
      </c>
      <c r="AJ161" s="56">
        <f>IF(AND($E161&lt;&gt;0,$F161&gt;0,YEAR($F161)&gt;=Preisindex!$A$6,YEAR(AE$4)&gt;=YEAR($F161),AND($K161&lt;&gt;"a",$K161&lt;&gt;"b",$K161&lt;&gt;"g",$K161&lt;&gt;"k")),1,IF(AND($E161&lt;&gt;0,$F161&gt;0,YEAR($F161)&gt;=Preisindex!$A$6,YEAR(AE$4)&gt;=YEAR($F161),$K161="a"),ROUND(VLOOKUP(AJ$4,Preisindex,5,FALSE)/VLOOKUP(YEAR($F161),Preisindex,5,FALSE),2),IF(AND($E161&lt;&gt;0,$F161&gt;0,YEAR($F161)&gt;=Preisindex!$A$6,YEAR(AE$4)&gt;=YEAR($F161),$K161="b"),ROUND(VLOOKUP(AJ$4,Preisindex,3,FALSE)/VLOOKUP(YEAR($F161),Preisindex,3,FALSE),2),IF(AND($E161&lt;&gt;0,$F161&gt;0,YEAR($F161)&gt;=Preisindex!$A$6,YEAR(AE$4)&gt;=YEAR($F161),$K161="g"),ROUND(VLOOKUP(AJ$4,Preisindex,4,FALSE)/VLOOKUP(YEAR($F161),Preisindex,4,FALSE),2),IF(AND($E161&lt;&gt;0,$F161&gt;0,YEAR($F161)&gt;=Preisindex!$A$6,YEAR(AE$4)&gt;=YEAR($F161),$K161="k"),ROUND(VLOOKUP(AJ$4,Preisindex,2,FALSE)/VLOOKUP(YEAR($F161),Preisindex,2,FALSE),2),0)))))</f>
        <v>0</v>
      </c>
      <c r="AK161" s="56">
        <f>IF(AND($E161&lt;&gt;0,$F161&gt;0,YEAR($F161)&lt;Preisindex!$A$6,YEAR(AE$4)&gt;=YEAR($F161),AND($K161&lt;&gt;"a",$K161&lt;&gt;"b",$K161&lt;&gt;"g",$K161&lt;&gt;"k")),1,IF(AND($E161&lt;&gt;0,$F161&gt;0,YEAR($F161)&lt;Preisindex!$A$6,YEAR(AE$4)&gt;=YEAR($F161),$K161="a"),ROUND(VLOOKUP(AJ$4,Preisindex,5,FALSE)/VLOOKUP(Preisindex!$A$6,Preisindex,5,FALSE),2),IF(AND($E161&lt;&gt;0,$F161&gt;0,YEAR($F161)&lt;Preisindex!$A$6,YEAR(AE$4)&gt;=YEAR($F161),$K161="b"),ROUND(VLOOKUP(AJ$4,Preisindex,3,FALSE)/VLOOKUP(Preisindex!$A$6,Preisindex,3,FALSE),2),IF(AND($E161&lt;&gt;0,$F161&gt;0,YEAR($F161)&lt;Preisindex!$A$6,YEAR(AE$4)&gt;=YEAR($F161),$K161="g"),ROUND(VLOOKUP(AJ$4,Preisindex,4,FALSE)/VLOOKUP(Preisindex!$A$6,Preisindex,4,FALSE),2),IF(AND($E161&lt;&gt;0,$F161&gt;0,YEAR($F161)&lt;Preisindex!$A$6,YEAR(AE$4)&gt;=YEAR($F161),$K161="k"),ROUND(VLOOKUP(AJ$4,Preisindex,2,FALSE)/VLOOKUP(Preisindex!$A$6,Preisindex,2,FALSE),2),0)))))</f>
        <v>0</v>
      </c>
      <c r="AL161" s="51">
        <f>IF(AND($E161&lt;&gt;0,$F161&gt;0,YEAR($F161)&lt;=AJ$4,YEAR($F161)&gt;=Preisindex!$A$6),ROUND($E161*AJ161,2),IF(AND($E161&lt;&gt;0,$F161&gt;0,YEAR($F161)&lt;=AJ$4,YEAR($F161)&lt;Preisindex!$A$6),ROUND($E161*AK161,2),0))</f>
        <v>0</v>
      </c>
      <c r="AM161" s="53">
        <f t="shared" si="576"/>
        <v>0</v>
      </c>
      <c r="AN161" s="51">
        <f t="shared" si="577"/>
        <v>0</v>
      </c>
      <c r="AO161" s="51">
        <f t="shared" si="579"/>
        <v>0</v>
      </c>
      <c r="AP161" s="51">
        <f t="shared" si="493"/>
        <v>0</v>
      </c>
      <c r="AQ161" s="51">
        <f t="shared" si="580"/>
        <v>0</v>
      </c>
      <c r="AR161" s="51">
        <f t="shared" si="494"/>
        <v>0</v>
      </c>
      <c r="AS161" s="51">
        <f t="shared" si="581"/>
        <v>0</v>
      </c>
      <c r="AT161" s="51">
        <f t="shared" si="495"/>
        <v>0</v>
      </c>
      <c r="AU161" s="51">
        <f t="shared" si="582"/>
        <v>0</v>
      </c>
      <c r="AV161" s="51">
        <f t="shared" si="496"/>
        <v>0</v>
      </c>
      <c r="AW161" s="51">
        <f t="shared" si="583"/>
        <v>0</v>
      </c>
      <c r="AX161" s="51">
        <f t="shared" si="497"/>
        <v>0</v>
      </c>
      <c r="AY161" s="54">
        <f t="shared" si="498"/>
        <v>0</v>
      </c>
      <c r="AZ161" s="55">
        <f t="shared" si="499"/>
        <v>0</v>
      </c>
      <c r="BA161" s="56">
        <f>IF(AND($E161&lt;&gt;0,$F161&gt;0,YEAR($F161)&gt;=Preisindex!$A$6,YEAR(AV$4)&gt;=YEAR($F161),AND($K161&lt;&gt;"a",$K161&lt;&gt;"b",$K161&lt;&gt;"g",$K161&lt;&gt;"k")),1,IF(AND($E161&lt;&gt;0,$F161&gt;0,YEAR($F161)&gt;=Preisindex!$A$6,YEAR(AV$4)&gt;=YEAR($F161),$K161="a"),ROUND(VLOOKUP(BA$4,Preisindex,5,FALSE)/VLOOKUP(YEAR($F161),Preisindex,5,FALSE),2),IF(AND($E161&lt;&gt;0,$F161&gt;0,YEAR($F161)&gt;=Preisindex!$A$6,YEAR(AV$4)&gt;=YEAR($F161),$K161="b"),ROUND(VLOOKUP(BA$4,Preisindex,3,FALSE)/VLOOKUP(YEAR($F161),Preisindex,3,FALSE),2),IF(AND($E161&lt;&gt;0,$F161&gt;0,YEAR($F161)&gt;=Preisindex!$A$6,YEAR(AV$4)&gt;=YEAR($F161),$K161="g"),ROUND(VLOOKUP(BA$4,Preisindex,4,FALSE)/VLOOKUP(YEAR($F161),Preisindex,4,FALSE),2),IF(AND($E161&lt;&gt;0,$F161&gt;0,YEAR($F161)&gt;=Preisindex!$A$6,YEAR(AV$4)&gt;=YEAR($F161),$K161="k"),ROUND(VLOOKUP(BA$4,Preisindex,2,FALSE)/VLOOKUP(YEAR($F161),Preisindex,2,FALSE),2),0)))))</f>
        <v>0</v>
      </c>
      <c r="BB161" s="56">
        <f>IF(AND($E161&lt;&gt;0,$F161&gt;0,YEAR($F161)&lt;Preisindex!$A$6,YEAR(AV$4)&gt;=YEAR($F161),AND($K161&lt;&gt;"a",$K161&lt;&gt;"b",$K161&lt;&gt;"g",$K161&lt;&gt;"k")),1,IF(AND($E161&lt;&gt;0,$F161&gt;0,YEAR($F161)&lt;Preisindex!$A$6,YEAR(AV$4)&gt;=YEAR($F161),$K161="a"),ROUND(VLOOKUP(BA$4,Preisindex,5,FALSE)/VLOOKUP(Preisindex!$A$6,Preisindex,5,FALSE),2),IF(AND($E161&lt;&gt;0,$F161&gt;0,YEAR($F161)&lt;Preisindex!$A$6,YEAR(AV$4)&gt;=YEAR($F161),$K161="b"),ROUND(VLOOKUP(BA$4,Preisindex,3,FALSE)/VLOOKUP(Preisindex!$A$6,Preisindex,3,FALSE),2),IF(AND($E161&lt;&gt;0,$F161&gt;0,YEAR($F161)&lt;Preisindex!$A$6,YEAR(AV$4)&gt;=YEAR($F161),$K161="g"),ROUND(VLOOKUP(BA$4,Preisindex,4,FALSE)/VLOOKUP(Preisindex!$A$6,Preisindex,4,FALSE),2),IF(AND($E161&lt;&gt;0,$F161&gt;0,YEAR($F161)&lt;Preisindex!$A$6,YEAR(AV$4)&gt;=YEAR($F161),$K161="k"),ROUND(VLOOKUP(BA$4,Preisindex,2,FALSE)/VLOOKUP(Preisindex!$A$6,Preisindex,2,FALSE),2),0)))))</f>
        <v>0</v>
      </c>
      <c r="BC161" s="51">
        <f>IF(AND($E161&lt;&gt;0,$F161&gt;0,YEAR($F161)&lt;=BA$4,YEAR($F161)&gt;=Preisindex!$A$6),ROUND($E161*BA161,2),IF(AND($E161&lt;&gt;0,$F161&gt;0,YEAR($F161)&lt;=BA$4,YEAR($F161)&lt;Preisindex!$A$6),ROUND($E161*BB161,2),0))</f>
        <v>0</v>
      </c>
      <c r="BD161" s="53">
        <f t="shared" si="500"/>
        <v>0</v>
      </c>
      <c r="BE161" s="51">
        <f t="shared" si="577"/>
        <v>0</v>
      </c>
      <c r="BF161" s="51">
        <f t="shared" si="584"/>
        <v>0</v>
      </c>
      <c r="BG161" s="51">
        <f t="shared" si="501"/>
        <v>0</v>
      </c>
      <c r="BH161" s="51">
        <f t="shared" si="585"/>
        <v>0</v>
      </c>
      <c r="BI161" s="51">
        <f t="shared" si="502"/>
        <v>0</v>
      </c>
      <c r="BJ161" s="51">
        <f t="shared" si="586"/>
        <v>0</v>
      </c>
      <c r="BK161" s="51">
        <f t="shared" si="503"/>
        <v>0</v>
      </c>
      <c r="BL161" s="51">
        <f t="shared" si="587"/>
        <v>0</v>
      </c>
      <c r="BM161" s="51">
        <f t="shared" si="504"/>
        <v>0</v>
      </c>
      <c r="BN161" s="51">
        <f t="shared" si="588"/>
        <v>0</v>
      </c>
      <c r="BO161" s="51">
        <f t="shared" si="505"/>
        <v>0</v>
      </c>
      <c r="BP161" s="54">
        <f t="shared" si="506"/>
        <v>0</v>
      </c>
      <c r="BQ161" s="55">
        <f t="shared" si="507"/>
        <v>0</v>
      </c>
      <c r="BR161" s="56">
        <f>IF(AND($E161&lt;&gt;0,$F161&gt;0,YEAR($F161)&gt;=Preisindex!$A$6,YEAR(BM$4)&gt;=YEAR($F161),AND($K161&lt;&gt;"a",$K161&lt;&gt;"b",$K161&lt;&gt;"g",$K161&lt;&gt;"k")),1,IF(AND($E161&lt;&gt;0,$F161&gt;0,YEAR($F161)&gt;=Preisindex!$A$6,YEAR(BM$4)&gt;=YEAR($F161),$K161="a"),ROUND(VLOOKUP(BR$4,Preisindex,5,FALSE)/VLOOKUP(YEAR($F161),Preisindex,5,FALSE),2),IF(AND($E161&lt;&gt;0,$F161&gt;0,YEAR($F161)&gt;=Preisindex!$A$6,YEAR(BM$4)&gt;=YEAR($F161),$K161="b"),ROUND(VLOOKUP(BR$4,Preisindex,3,FALSE)/VLOOKUP(YEAR($F161),Preisindex,3,FALSE),2),IF(AND($E161&lt;&gt;0,$F161&gt;0,YEAR($F161)&gt;=Preisindex!$A$6,YEAR(BM$4)&gt;=YEAR($F161),$K161="g"),ROUND(VLOOKUP(BR$4,Preisindex,4,FALSE)/VLOOKUP(YEAR($F161),Preisindex,4,FALSE),2),IF(AND($E161&lt;&gt;0,$F161&gt;0,YEAR($F161)&gt;=Preisindex!$A$6,YEAR(BM$4)&gt;=YEAR($F161),$K161="k"),ROUND(VLOOKUP(BR$4,Preisindex,2,FALSE)/VLOOKUP(YEAR($F161),Preisindex,2,FALSE),2),0)))))</f>
        <v>0</v>
      </c>
      <c r="BS161" s="56">
        <f>IF(AND($E161&lt;&gt;0,$F161&gt;0,YEAR($F161)&lt;Preisindex!$A$6,YEAR(BM$4)&gt;=YEAR($F161),AND($K161&lt;&gt;"a",$K161&lt;&gt;"b",$K161&lt;&gt;"g",$K161&lt;&gt;"k")),1,IF(AND($E161&lt;&gt;0,$F161&gt;0,YEAR($F161)&lt;Preisindex!$A$6,YEAR(BM$4)&gt;=YEAR($F161),$K161="a"),ROUND(VLOOKUP(BR$4,Preisindex,5,FALSE)/VLOOKUP(Preisindex!$A$6,Preisindex,5,FALSE),2),IF(AND($E161&lt;&gt;0,$F161&gt;0,YEAR($F161)&lt;Preisindex!$A$6,YEAR(BM$4)&gt;=YEAR($F161),$K161="b"),ROUND(VLOOKUP(BR$4,Preisindex,3,FALSE)/VLOOKUP(Preisindex!$A$6,Preisindex,3,FALSE),2),IF(AND($E161&lt;&gt;0,$F161&gt;0,YEAR($F161)&lt;Preisindex!$A$6,YEAR(BM$4)&gt;=YEAR($F161),$K161="g"),ROUND(VLOOKUP(BR$4,Preisindex,4,FALSE)/VLOOKUP(Preisindex!$A$6,Preisindex,4,FALSE),2),IF(AND($E161&lt;&gt;0,$F161&gt;0,YEAR($F161)&lt;Preisindex!$A$6,YEAR(BM$4)&gt;=YEAR($F161),$K161="k"),ROUND(VLOOKUP(BR$4,Preisindex,2,FALSE)/VLOOKUP(Preisindex!$A$6,Preisindex,2,FALSE),2),0)))))</f>
        <v>0</v>
      </c>
      <c r="BT161" s="51">
        <f>IF(AND($E161&lt;&gt;0,$F161&gt;0,YEAR($F161)&lt;=BR$4,YEAR($F161)&gt;=Preisindex!$A$6),ROUND($E161*BR161,2),IF(AND($E161&lt;&gt;0,$F161&gt;0,YEAR($F161)&lt;=BR$4,YEAR($F161)&lt;Preisindex!$A$6),ROUND($E161*BS161,2),0))</f>
        <v>0</v>
      </c>
      <c r="BU161" s="53">
        <f t="shared" si="508"/>
        <v>0</v>
      </c>
      <c r="BV161" s="51">
        <f t="shared" si="577"/>
        <v>0</v>
      </c>
      <c r="BW161" s="51">
        <f t="shared" si="589"/>
        <v>0</v>
      </c>
      <c r="BX161" s="51">
        <f t="shared" si="509"/>
        <v>0</v>
      </c>
      <c r="BY161" s="51">
        <f t="shared" si="590"/>
        <v>0</v>
      </c>
      <c r="BZ161" s="51">
        <f t="shared" si="510"/>
        <v>0</v>
      </c>
      <c r="CA161" s="51">
        <f t="shared" si="591"/>
        <v>0</v>
      </c>
      <c r="CB161" s="51">
        <f t="shared" si="511"/>
        <v>0</v>
      </c>
      <c r="CC161" s="51">
        <f t="shared" si="592"/>
        <v>0</v>
      </c>
      <c r="CD161" s="51">
        <f t="shared" si="512"/>
        <v>0</v>
      </c>
      <c r="CE161" s="51">
        <f t="shared" si="593"/>
        <v>0</v>
      </c>
      <c r="CF161" s="51">
        <f t="shared" si="513"/>
        <v>0</v>
      </c>
      <c r="CG161" s="54">
        <f t="shared" si="514"/>
        <v>0</v>
      </c>
      <c r="CH161" s="55">
        <f t="shared" si="515"/>
        <v>0</v>
      </c>
      <c r="CI161" s="56">
        <f>IF(AND($E161&lt;&gt;0,$F161&gt;0,YEAR($F161)&gt;=Preisindex!$A$6,YEAR(CD$4)&gt;=YEAR($F161),AND($K161&lt;&gt;"a",$K161&lt;&gt;"b",$K161&lt;&gt;"g",$K161&lt;&gt;"k")),1,IF(AND($E161&lt;&gt;0,$F161&gt;0,YEAR($F161)&gt;=Preisindex!$A$6,YEAR(CD$4)&gt;=YEAR($F161),$K161="a"),ROUND(VLOOKUP(CI$4,Preisindex,5,FALSE)/VLOOKUP(YEAR($F161),Preisindex,5,FALSE),2),IF(AND($E161&lt;&gt;0,$F161&gt;0,YEAR($F161)&gt;=Preisindex!$A$6,YEAR(CD$4)&gt;=YEAR($F161),$K161="b"),ROUND(VLOOKUP(CI$4,Preisindex,3,FALSE)/VLOOKUP(YEAR($F161),Preisindex,3,FALSE),2),IF(AND($E161&lt;&gt;0,$F161&gt;0,YEAR($F161)&gt;=Preisindex!$A$6,YEAR(CD$4)&gt;=YEAR($F161),$K161="g"),ROUND(VLOOKUP(CI$4,Preisindex,4,FALSE)/VLOOKUP(YEAR($F161),Preisindex,4,FALSE),2),IF(AND($E161&lt;&gt;0,$F161&gt;0,YEAR($F161)&gt;=Preisindex!$A$6,YEAR(CD$4)&gt;=YEAR($F161),$K161="k"),ROUND(VLOOKUP(CI$4,Preisindex,2,FALSE)/VLOOKUP(YEAR($F161),Preisindex,2,FALSE),2),0)))))</f>
        <v>0</v>
      </c>
      <c r="CJ161" s="56">
        <f>IF(AND($E161&lt;&gt;0,$F161&gt;0,YEAR($F161)&lt;Preisindex!$A$6,YEAR(CD$4)&gt;=YEAR($F161),AND($K161&lt;&gt;"a",$K161&lt;&gt;"b",$K161&lt;&gt;"g",$K161&lt;&gt;"k")),1,IF(AND($E161&lt;&gt;0,$F161&gt;0,YEAR($F161)&lt;Preisindex!$A$6,YEAR(CD$4)&gt;=YEAR($F161),$K161="a"),ROUND(VLOOKUP(CI$4,Preisindex,5,FALSE)/VLOOKUP(Preisindex!$A$6,Preisindex,5,FALSE),2),IF(AND($E161&lt;&gt;0,$F161&gt;0,YEAR($F161)&lt;Preisindex!$A$6,YEAR(CD$4)&gt;=YEAR($F161),$K161="b"),ROUND(VLOOKUP(CI$4,Preisindex,3,FALSE)/VLOOKUP(Preisindex!$A$6,Preisindex,3,FALSE),2),IF(AND($E161&lt;&gt;0,$F161&gt;0,YEAR($F161)&lt;Preisindex!$A$6,YEAR(CD$4)&gt;=YEAR($F161),$K161="g"),ROUND(VLOOKUP(CI$4,Preisindex,4,FALSE)/VLOOKUP(Preisindex!$A$6,Preisindex,4,FALSE),2),IF(AND($E161&lt;&gt;0,$F161&gt;0,YEAR($F161)&lt;Preisindex!$A$6,YEAR(CD$4)&gt;=YEAR($F161),$K161="k"),ROUND(VLOOKUP(CI$4,Preisindex,2,FALSE)/VLOOKUP(Preisindex!$A$6,Preisindex,2,FALSE),2),0)))))</f>
        <v>0</v>
      </c>
      <c r="CK161" s="51">
        <f>IF(AND($E161&lt;&gt;0,$F161&gt;0,YEAR($F161)&lt;=CI$4,YEAR($F161)&gt;=Preisindex!$A$6),ROUND($E161*CI161,2),IF(AND($E161&lt;&gt;0,$F161&gt;0,YEAR($F161)&lt;=CI$4,YEAR($F161)&lt;Preisindex!$A$6),ROUND($E161*CJ161,2),0))</f>
        <v>0</v>
      </c>
      <c r="CL161" s="53">
        <f t="shared" si="516"/>
        <v>0</v>
      </c>
      <c r="CM161" s="51">
        <f t="shared" si="577"/>
        <v>0</v>
      </c>
      <c r="CN161" s="51">
        <f t="shared" si="594"/>
        <v>0</v>
      </c>
      <c r="CO161" s="51">
        <f t="shared" si="517"/>
        <v>0</v>
      </c>
      <c r="CP161" s="51">
        <f t="shared" si="595"/>
        <v>0</v>
      </c>
      <c r="CQ161" s="51">
        <f t="shared" si="518"/>
        <v>0</v>
      </c>
      <c r="CR161" s="51">
        <f t="shared" si="596"/>
        <v>0</v>
      </c>
      <c r="CS161" s="51">
        <f t="shared" si="519"/>
        <v>0</v>
      </c>
      <c r="CT161" s="51">
        <f t="shared" si="597"/>
        <v>0</v>
      </c>
      <c r="CU161" s="51">
        <f t="shared" si="520"/>
        <v>0</v>
      </c>
      <c r="CV161" s="51">
        <f t="shared" si="598"/>
        <v>0</v>
      </c>
      <c r="CW161" s="51">
        <f t="shared" si="521"/>
        <v>0</v>
      </c>
      <c r="CX161" s="54">
        <f t="shared" si="522"/>
        <v>0</v>
      </c>
      <c r="CY161" s="55">
        <f t="shared" si="523"/>
        <v>0</v>
      </c>
      <c r="CZ161" s="56">
        <f>IF(AND($E161&lt;&gt;0,$F161&gt;0,YEAR($F161)&gt;=Preisindex!$A$6,YEAR(CU$4)&gt;=YEAR($F161),AND($K161&lt;&gt;"a",$K161&lt;&gt;"b",$K161&lt;&gt;"g",$K161&lt;&gt;"k")),1,IF(AND($E161&lt;&gt;0,$F161&gt;0,YEAR($F161)&gt;=Preisindex!$A$6,YEAR(CU$4)&gt;=YEAR($F161),$K161="a"),ROUND(VLOOKUP(CZ$4,Preisindex,5,FALSE)/VLOOKUP(YEAR($F161),Preisindex,5,FALSE),2),IF(AND($E161&lt;&gt;0,$F161&gt;0,YEAR($F161)&gt;=Preisindex!$A$6,YEAR(CU$4)&gt;=YEAR($F161),$K161="b"),ROUND(VLOOKUP(CZ$4,Preisindex,3,FALSE)/VLOOKUP(YEAR($F161),Preisindex,3,FALSE),2),IF(AND($E161&lt;&gt;0,$F161&gt;0,YEAR($F161)&gt;=Preisindex!$A$6,YEAR(CU$4)&gt;=YEAR($F161),$K161="g"),ROUND(VLOOKUP(CZ$4,Preisindex,4,FALSE)/VLOOKUP(YEAR($F161),Preisindex,4,FALSE),2),IF(AND($E161&lt;&gt;0,$F161&gt;0,YEAR($F161)&gt;=Preisindex!$A$6,YEAR(CU$4)&gt;=YEAR($F161),$K161="k"),ROUND(VLOOKUP(CZ$4,Preisindex,2,FALSE)/VLOOKUP(YEAR($F161),Preisindex,2,FALSE),2),0)))))</f>
        <v>0</v>
      </c>
      <c r="DA161" s="56">
        <f>IF(AND($E161&lt;&gt;0,$F161&gt;0,YEAR($F161)&lt;Preisindex!$A$6,YEAR(CU$4)&gt;=YEAR($F161),AND($K161&lt;&gt;"a",$K161&lt;&gt;"b",$K161&lt;&gt;"g",$K161&lt;&gt;"k")),1,IF(AND($E161&lt;&gt;0,$F161&gt;0,YEAR($F161)&lt;Preisindex!$A$6,YEAR(CU$4)&gt;=YEAR($F161),$K161="a"),ROUND(VLOOKUP(CZ$4,Preisindex,5,FALSE)/VLOOKUP(Preisindex!$A$6,Preisindex,5,FALSE),2),IF(AND($E161&lt;&gt;0,$F161&gt;0,YEAR($F161)&lt;Preisindex!$A$6,YEAR(CU$4)&gt;=YEAR($F161),$K161="b"),ROUND(VLOOKUP(CZ$4,Preisindex,3,FALSE)/VLOOKUP(Preisindex!$A$6,Preisindex,3,FALSE),2),IF(AND($E161&lt;&gt;0,$F161&gt;0,YEAR($F161)&lt;Preisindex!$A$6,YEAR(CU$4)&gt;=YEAR($F161),$K161="g"),ROUND(VLOOKUP(CZ$4,Preisindex,4,FALSE)/VLOOKUP(Preisindex!$A$6,Preisindex,4,FALSE),2),IF(AND($E161&lt;&gt;0,$F161&gt;0,YEAR($F161)&lt;Preisindex!$A$6,YEAR(CU$4)&gt;=YEAR($F161),$K161="k"),ROUND(VLOOKUP(CZ$4,Preisindex,2,FALSE)/VLOOKUP(Preisindex!$A$6,Preisindex,2,FALSE),2),0)))))</f>
        <v>0</v>
      </c>
      <c r="DB161" s="51">
        <f>IF(AND($E161&lt;&gt;0,$F161&gt;0,YEAR($F161)&lt;=CZ$4,YEAR($F161)&gt;=Preisindex!$A$6),ROUND($E161*CZ161,2),IF(AND($E161&lt;&gt;0,$F161&gt;0,YEAR($F161)&lt;=CZ$4,YEAR($F161)&lt;Preisindex!$A$6),ROUND($E161*DA161,2),0))</f>
        <v>0</v>
      </c>
      <c r="DC161" s="53">
        <f t="shared" si="524"/>
        <v>0</v>
      </c>
      <c r="DD161" s="51">
        <f t="shared" si="578"/>
        <v>0</v>
      </c>
      <c r="DE161" s="51">
        <f t="shared" si="599"/>
        <v>0</v>
      </c>
      <c r="DF161" s="51">
        <f t="shared" si="526"/>
        <v>0</v>
      </c>
      <c r="DG161" s="51">
        <f t="shared" si="600"/>
        <v>0</v>
      </c>
      <c r="DH161" s="51">
        <f t="shared" si="527"/>
        <v>0</v>
      </c>
      <c r="DI161" s="51">
        <f t="shared" si="601"/>
        <v>0</v>
      </c>
      <c r="DJ161" s="51">
        <f t="shared" si="528"/>
        <v>0</v>
      </c>
      <c r="DK161" s="51">
        <f t="shared" si="602"/>
        <v>0</v>
      </c>
      <c r="DL161" s="51">
        <f t="shared" si="529"/>
        <v>0</v>
      </c>
      <c r="DM161" s="51">
        <f t="shared" si="603"/>
        <v>0</v>
      </c>
      <c r="DN161" s="51">
        <f t="shared" si="530"/>
        <v>0</v>
      </c>
      <c r="DO161" s="54">
        <f t="shared" si="531"/>
        <v>0</v>
      </c>
      <c r="DP161" s="55">
        <f t="shared" si="532"/>
        <v>0</v>
      </c>
      <c r="DQ161" s="56">
        <f>IF(AND($E161&lt;&gt;0,$F161&gt;0,YEAR($F161)&gt;=Preisindex!$A$6,YEAR(DL$4)&gt;=YEAR($F161),AND($K161&lt;&gt;"a",$K161&lt;&gt;"b",$K161&lt;&gt;"g",$K161&lt;&gt;"k")),1,IF(AND($E161&lt;&gt;0,$F161&gt;0,YEAR($F161)&gt;=Preisindex!$A$6,YEAR(DL$4)&gt;=YEAR($F161),$K161="a"),ROUND(VLOOKUP(DQ$4,Preisindex,5,FALSE)/VLOOKUP(YEAR($F161),Preisindex,5,FALSE),2),IF(AND($E161&lt;&gt;0,$F161&gt;0,YEAR($F161)&gt;=Preisindex!$A$6,YEAR(DL$4)&gt;=YEAR($F161),$K161="b"),ROUND(VLOOKUP(DQ$4,Preisindex,3,FALSE)/VLOOKUP(YEAR($F161),Preisindex,3,FALSE),2),IF(AND($E161&lt;&gt;0,$F161&gt;0,YEAR($F161)&gt;=Preisindex!$A$6,YEAR(DL$4)&gt;=YEAR($F161),$K161="g"),ROUND(VLOOKUP(DQ$4,Preisindex,4,FALSE)/VLOOKUP(YEAR($F161),Preisindex,4,FALSE),2),IF(AND($E161&lt;&gt;0,$F161&gt;0,YEAR($F161)&gt;=Preisindex!$A$6,YEAR(DL$4)&gt;=YEAR($F161),$K161="k"),ROUND(VLOOKUP(DQ$4,Preisindex,2,FALSE)/VLOOKUP(YEAR($F161),Preisindex,2,FALSE),2),0)))))</f>
        <v>0</v>
      </c>
      <c r="DR161" s="56">
        <f>IF(AND($E161&lt;&gt;0,$F161&gt;0,YEAR($F161)&lt;Preisindex!$A$6,YEAR(DL$4)&gt;=YEAR($F161),AND($K161&lt;&gt;"a",$K161&lt;&gt;"b",$K161&lt;&gt;"g",$K161&lt;&gt;"k")),1,IF(AND($E161&lt;&gt;0,$F161&gt;0,YEAR($F161)&lt;Preisindex!$A$6,YEAR(DL$4)&gt;=YEAR($F161),$K161="a"),ROUND(VLOOKUP(DQ$4,Preisindex,5,FALSE)/VLOOKUP(Preisindex!$A$6,Preisindex,5,FALSE),2),IF(AND($E161&lt;&gt;0,$F161&gt;0,YEAR($F161)&lt;Preisindex!$A$6,YEAR(DL$4)&gt;=YEAR($F161),$K161="b"),ROUND(VLOOKUP(DQ$4,Preisindex,3,FALSE)/VLOOKUP(Preisindex!$A$6,Preisindex,3,FALSE),2),IF(AND($E161&lt;&gt;0,$F161&gt;0,YEAR($F161)&lt;Preisindex!$A$6,YEAR(DL$4)&gt;=YEAR($F161),$K161="g"),ROUND(VLOOKUP(DQ$4,Preisindex,4,FALSE)/VLOOKUP(Preisindex!$A$6,Preisindex,4,FALSE),2),IF(AND($E161&lt;&gt;0,$F161&gt;0,YEAR($F161)&lt;Preisindex!$A$6,YEAR(DL$4)&gt;=YEAR($F161),$K161="k"),ROUND(VLOOKUP(DQ$4,Preisindex,2,FALSE)/VLOOKUP(Preisindex!$A$6,Preisindex,2,FALSE),2),0)))))</f>
        <v>0</v>
      </c>
      <c r="DS161" s="51">
        <f>IF(AND($E161&lt;&gt;0,$F161&gt;0,YEAR($F161)&lt;=DQ$4,YEAR($F161)&gt;=Preisindex!$A$6),ROUND($E161*DQ161,2),IF(AND($E161&lt;&gt;0,$F161&gt;0,YEAR($F161)&lt;=DQ$4,YEAR($F161)&lt;Preisindex!$A$6),ROUND($E161*DR161,2),0))</f>
        <v>0</v>
      </c>
      <c r="DT161" s="53">
        <f t="shared" si="533"/>
        <v>0</v>
      </c>
      <c r="DU161" s="51">
        <f t="shared" si="578"/>
        <v>0</v>
      </c>
      <c r="DV161" s="51">
        <f t="shared" si="604"/>
        <v>0</v>
      </c>
      <c r="DW161" s="51">
        <f t="shared" si="534"/>
        <v>0</v>
      </c>
      <c r="DX161" s="51">
        <f t="shared" si="605"/>
        <v>0</v>
      </c>
      <c r="DY161" s="51">
        <f t="shared" si="535"/>
        <v>0</v>
      </c>
      <c r="DZ161" s="51">
        <f t="shared" si="606"/>
        <v>0</v>
      </c>
      <c r="EA161" s="51">
        <f t="shared" si="536"/>
        <v>0</v>
      </c>
      <c r="EB161" s="51">
        <f t="shared" si="607"/>
        <v>0</v>
      </c>
      <c r="EC161" s="51">
        <f t="shared" si="537"/>
        <v>0</v>
      </c>
      <c r="ED161" s="51">
        <f t="shared" si="608"/>
        <v>0</v>
      </c>
      <c r="EE161" s="51">
        <f t="shared" si="538"/>
        <v>0</v>
      </c>
      <c r="EF161" s="54">
        <f t="shared" si="539"/>
        <v>0</v>
      </c>
      <c r="EG161" s="55">
        <f t="shared" si="540"/>
        <v>0</v>
      </c>
      <c r="EH161" s="56">
        <f>IF(AND($E161&lt;&gt;0,$F161&gt;0,YEAR($F161)&gt;=Preisindex!$A$6,YEAR(EC$4)&gt;=YEAR($F161),AND($K161&lt;&gt;"a",$K161&lt;&gt;"b",$K161&lt;&gt;"g",$K161&lt;&gt;"k")),1,IF(AND($E161&lt;&gt;0,$F161&gt;0,YEAR($F161)&gt;=Preisindex!$A$6,YEAR(EC$4)&gt;=YEAR($F161),$K161="a"),ROUND(VLOOKUP(EH$4,Preisindex,5,FALSE)/VLOOKUP(YEAR($F161),Preisindex,5,FALSE),2),IF(AND($E161&lt;&gt;0,$F161&gt;0,YEAR($F161)&gt;=Preisindex!$A$6,YEAR(EC$4)&gt;=YEAR($F161),$K161="b"),ROUND(VLOOKUP(EH$4,Preisindex,3,FALSE)/VLOOKUP(YEAR($F161),Preisindex,3,FALSE),2),IF(AND($E161&lt;&gt;0,$F161&gt;0,YEAR($F161)&gt;=Preisindex!$A$6,YEAR(EC$4)&gt;=YEAR($F161),$K161="g"),ROUND(VLOOKUP(EH$4,Preisindex,4,FALSE)/VLOOKUP(YEAR($F161),Preisindex,4,FALSE),2),IF(AND($E161&lt;&gt;0,$F161&gt;0,YEAR($F161)&gt;=Preisindex!$A$6,YEAR(EC$4)&gt;=YEAR($F161),$K161="k"),ROUND(VLOOKUP(EH$4,Preisindex,2,FALSE)/VLOOKUP(YEAR($F161),Preisindex,2,FALSE),2),0)))))</f>
        <v>0</v>
      </c>
      <c r="EI161" s="56">
        <f>IF(AND($E161&lt;&gt;0,$F161&gt;0,YEAR($F161)&lt;Preisindex!$A$6,YEAR(EC$4)&gt;=YEAR($F161),AND($K161&lt;&gt;"a",$K161&lt;&gt;"b",$K161&lt;&gt;"g",$K161&lt;&gt;"k")),1,IF(AND($E161&lt;&gt;0,$F161&gt;0,YEAR($F161)&lt;Preisindex!$A$6,YEAR(EC$4)&gt;=YEAR($F161),$K161="a"),ROUND(VLOOKUP(EH$4,Preisindex,5,FALSE)/VLOOKUP(Preisindex!$A$6,Preisindex,5,FALSE),2),IF(AND($E161&lt;&gt;0,$F161&gt;0,YEAR($F161)&lt;Preisindex!$A$6,YEAR(EC$4)&gt;=YEAR($F161),$K161="b"),ROUND(VLOOKUP(EH$4,Preisindex,3,FALSE)/VLOOKUP(Preisindex!$A$6,Preisindex,3,FALSE),2),IF(AND($E161&lt;&gt;0,$F161&gt;0,YEAR($F161)&lt;Preisindex!$A$6,YEAR(EC$4)&gt;=YEAR($F161),$K161="g"),ROUND(VLOOKUP(EH$4,Preisindex,4,FALSE)/VLOOKUP(Preisindex!$A$6,Preisindex,4,FALSE),2),IF(AND($E161&lt;&gt;0,$F161&gt;0,YEAR($F161)&lt;Preisindex!$A$6,YEAR(EC$4)&gt;=YEAR($F161),$K161="k"),ROUND(VLOOKUP(EH$4,Preisindex,2,FALSE)/VLOOKUP(Preisindex!$A$6,Preisindex,2,FALSE),2),0)))))</f>
        <v>0</v>
      </c>
      <c r="EJ161" s="51">
        <f>IF(AND($E161&lt;&gt;0,$F161&gt;0,YEAR($F161)&lt;=EH$4,YEAR($F161)&gt;=Preisindex!$A$6),ROUND($E161*EH161,2),IF(AND($E161&lt;&gt;0,$F161&gt;0,YEAR($F161)&lt;=EH$4,YEAR($F161)&lt;Preisindex!$A$6),ROUND($E161*EI161,2),0))</f>
        <v>0</v>
      </c>
      <c r="EK161" s="53">
        <f t="shared" si="541"/>
        <v>0</v>
      </c>
      <c r="EL161" s="51">
        <f t="shared" si="578"/>
        <v>0</v>
      </c>
      <c r="EM161" s="51">
        <f t="shared" si="609"/>
        <v>0</v>
      </c>
      <c r="EN161" s="51">
        <f t="shared" si="542"/>
        <v>0</v>
      </c>
      <c r="EO161" s="51">
        <f t="shared" si="610"/>
        <v>0</v>
      </c>
      <c r="EP161" s="51">
        <f t="shared" si="543"/>
        <v>0</v>
      </c>
      <c r="EQ161" s="51">
        <f t="shared" si="611"/>
        <v>0</v>
      </c>
      <c r="ER161" s="51">
        <f t="shared" si="544"/>
        <v>0</v>
      </c>
      <c r="ES161" s="51">
        <f t="shared" si="612"/>
        <v>0</v>
      </c>
      <c r="ET161" s="51">
        <f t="shared" si="545"/>
        <v>0</v>
      </c>
      <c r="EU161" s="51">
        <f t="shared" si="613"/>
        <v>0</v>
      </c>
      <c r="EV161" s="51">
        <f t="shared" si="546"/>
        <v>0</v>
      </c>
      <c r="EW161" s="54">
        <f t="shared" si="547"/>
        <v>0</v>
      </c>
      <c r="EX161" s="55">
        <f t="shared" si="548"/>
        <v>0</v>
      </c>
      <c r="EY161" s="56">
        <f>IF(AND($E161&lt;&gt;0,$F161&gt;0,YEAR($F161)&gt;=Preisindex!$A$6,YEAR(ET$4)&gt;=YEAR($F161),AND($K161&lt;&gt;"a",$K161&lt;&gt;"b",$K161&lt;&gt;"g",$K161&lt;&gt;"k")),1,IF(AND($E161&lt;&gt;0,$F161&gt;0,YEAR($F161)&gt;=Preisindex!$A$6,YEAR(ET$4)&gt;=YEAR($F161),$K161="a"),ROUND(VLOOKUP(EY$4,Preisindex,5,FALSE)/VLOOKUP(YEAR($F161),Preisindex,5,FALSE),2),IF(AND($E161&lt;&gt;0,$F161&gt;0,YEAR($F161)&gt;=Preisindex!$A$6,YEAR(ET$4)&gt;=YEAR($F161),$K161="b"),ROUND(VLOOKUP(EY$4,Preisindex,3,FALSE)/VLOOKUP(YEAR($F161),Preisindex,3,FALSE),2),IF(AND($E161&lt;&gt;0,$F161&gt;0,YEAR($F161)&gt;=Preisindex!$A$6,YEAR(ET$4)&gt;=YEAR($F161),$K161="g"),ROUND(VLOOKUP(EY$4,Preisindex,4,FALSE)/VLOOKUP(YEAR($F161),Preisindex,4,FALSE),2),IF(AND($E161&lt;&gt;0,$F161&gt;0,YEAR($F161)&gt;=Preisindex!$A$6,YEAR(ET$4)&gt;=YEAR($F161),$K161="k"),ROUND(VLOOKUP(EY$4,Preisindex,2,FALSE)/VLOOKUP(YEAR($F161),Preisindex,2,FALSE),2),0)))))</f>
        <v>0</v>
      </c>
      <c r="EZ161" s="56">
        <f>IF(AND($E161&lt;&gt;0,$F161&gt;0,YEAR($F161)&lt;Preisindex!$A$6,YEAR(ET$4)&gt;=YEAR($F161),AND($K161&lt;&gt;"a",$K161&lt;&gt;"b",$K161&lt;&gt;"g",$K161&lt;&gt;"k")),1,IF(AND($E161&lt;&gt;0,$F161&gt;0,YEAR($F161)&lt;Preisindex!$A$6,YEAR(ET$4)&gt;=YEAR($F161),$K161="a"),ROUND(VLOOKUP(EY$4,Preisindex,5,FALSE)/VLOOKUP(Preisindex!$A$6,Preisindex,5,FALSE),2),IF(AND($E161&lt;&gt;0,$F161&gt;0,YEAR($F161)&lt;Preisindex!$A$6,YEAR(ET$4)&gt;=YEAR($F161),$K161="b"),ROUND(VLOOKUP(EY$4,Preisindex,3,FALSE)/VLOOKUP(Preisindex!$A$6,Preisindex,3,FALSE),2),IF(AND($E161&lt;&gt;0,$F161&gt;0,YEAR($F161)&lt;Preisindex!$A$6,YEAR(ET$4)&gt;=YEAR($F161),$K161="g"),ROUND(VLOOKUP(EY$4,Preisindex,4,FALSE)/VLOOKUP(Preisindex!$A$6,Preisindex,4,FALSE),2),IF(AND($E161&lt;&gt;0,$F161&gt;0,YEAR($F161)&lt;Preisindex!$A$6,YEAR(ET$4)&gt;=YEAR($F161),$K161="k"),ROUND(VLOOKUP(EY$4,Preisindex,2,FALSE)/VLOOKUP(Preisindex!$A$6,Preisindex,2,FALSE),2),0)))))</f>
        <v>0</v>
      </c>
      <c r="FA161" s="51">
        <f>IF(AND($E161&lt;&gt;0,$F161&gt;0,YEAR($F161)&lt;=EY$4,YEAR($F161)&gt;=Preisindex!$A$6),ROUND($E161*EY161,2),IF(AND($E161&lt;&gt;0,$F161&gt;0,YEAR($F161)&lt;=EY$4,YEAR($F161)&lt;Preisindex!$A$6),ROUND($E161*EZ161,2),0))</f>
        <v>0</v>
      </c>
      <c r="FB161" s="53">
        <f t="shared" si="549"/>
        <v>0</v>
      </c>
      <c r="FC161" s="51">
        <f t="shared" si="578"/>
        <v>0</v>
      </c>
      <c r="FD161" s="51">
        <f t="shared" si="614"/>
        <v>0</v>
      </c>
      <c r="FE161" s="51">
        <f t="shared" si="550"/>
        <v>0</v>
      </c>
      <c r="FF161" s="51">
        <f t="shared" si="615"/>
        <v>0</v>
      </c>
      <c r="FG161" s="51">
        <f t="shared" si="551"/>
        <v>0</v>
      </c>
      <c r="FH161" s="51">
        <f t="shared" si="616"/>
        <v>0</v>
      </c>
      <c r="FI161" s="51">
        <f t="shared" si="552"/>
        <v>0</v>
      </c>
      <c r="FJ161" s="51">
        <f t="shared" si="617"/>
        <v>0</v>
      </c>
      <c r="FK161" s="51">
        <f t="shared" si="553"/>
        <v>0</v>
      </c>
      <c r="FL161" s="51">
        <f t="shared" si="618"/>
        <v>0</v>
      </c>
      <c r="FM161" s="51">
        <f t="shared" si="554"/>
        <v>0</v>
      </c>
      <c r="FN161" s="54">
        <f t="shared" si="555"/>
        <v>0</v>
      </c>
      <c r="FO161" s="55">
        <f t="shared" si="556"/>
        <v>0</v>
      </c>
      <c r="FP161" s="56">
        <f>IF(AND($E161&lt;&gt;0,$F161&gt;0,YEAR($F161)&gt;=Preisindex!$A$6,YEAR(FK$4)&gt;=YEAR($F161),AND($K161&lt;&gt;"a",$K161&lt;&gt;"b",$K161&lt;&gt;"g",$K161&lt;&gt;"k")),1,IF(AND($E161&lt;&gt;0,$F161&gt;0,YEAR($F161)&gt;=Preisindex!$A$6,YEAR(FK$4)&gt;=YEAR($F161),$K161="a"),ROUND(VLOOKUP(FP$4,Preisindex,5,FALSE)/VLOOKUP(YEAR($F161),Preisindex,5,FALSE),2),IF(AND($E161&lt;&gt;0,$F161&gt;0,YEAR($F161)&gt;=Preisindex!$A$6,YEAR(FK$4)&gt;=YEAR($F161),$K161="b"),ROUND(VLOOKUP(FP$4,Preisindex,3,FALSE)/VLOOKUP(YEAR($F161),Preisindex,3,FALSE),2),IF(AND($E161&lt;&gt;0,$F161&gt;0,YEAR($F161)&gt;=Preisindex!$A$6,YEAR(FK$4)&gt;=YEAR($F161),$K161="g"),ROUND(VLOOKUP(FP$4,Preisindex,4,FALSE)/VLOOKUP(YEAR($F161),Preisindex,4,FALSE),2),IF(AND($E161&lt;&gt;0,$F161&gt;0,YEAR($F161)&gt;=Preisindex!$A$6,YEAR(FK$4)&gt;=YEAR($F161),$K161="k"),ROUND(VLOOKUP(FP$4,Preisindex,2,FALSE)/VLOOKUP(YEAR($F161),Preisindex,2,FALSE),2),0)))))</f>
        <v>0</v>
      </c>
      <c r="FQ161" s="56">
        <f>IF(AND($E161&lt;&gt;0,$F161&gt;0,YEAR($F161)&lt;Preisindex!$A$6,YEAR(FK$4)&gt;=YEAR($F161),AND($K161&lt;&gt;"a",$K161&lt;&gt;"b",$K161&lt;&gt;"g",$K161&lt;&gt;"k")),1,IF(AND($E161&lt;&gt;0,$F161&gt;0,YEAR($F161)&lt;Preisindex!$A$6,YEAR(FK$4)&gt;=YEAR($F161),$K161="a"),ROUND(VLOOKUP(FP$4,Preisindex,5,FALSE)/VLOOKUP(Preisindex!$A$6,Preisindex,5,FALSE),2),IF(AND($E161&lt;&gt;0,$F161&gt;0,YEAR($F161)&lt;Preisindex!$A$6,YEAR(FK$4)&gt;=YEAR($F161),$K161="b"),ROUND(VLOOKUP(FP$4,Preisindex,3,FALSE)/VLOOKUP(Preisindex!$A$6,Preisindex,3,FALSE),2),IF(AND($E161&lt;&gt;0,$F161&gt;0,YEAR($F161)&lt;Preisindex!$A$6,YEAR(FK$4)&gt;=YEAR($F161),$K161="g"),ROUND(VLOOKUP(FP$4,Preisindex,4,FALSE)/VLOOKUP(Preisindex!$A$6,Preisindex,4,FALSE),2),IF(AND($E161&lt;&gt;0,$F161&gt;0,YEAR($F161)&lt;Preisindex!$A$6,YEAR(FK$4)&gt;=YEAR($F161),$K161="k"),ROUND(VLOOKUP(FP$4,Preisindex,2,FALSE)/VLOOKUP(Preisindex!$A$6,Preisindex,2,FALSE),2),0)))))</f>
        <v>0</v>
      </c>
      <c r="FR161" s="51">
        <f>IF(AND($E161&lt;&gt;0,$F161&gt;0,YEAR($F161)&lt;=FP$4,YEAR($F161)&gt;=Preisindex!$A$6),ROUND($E161*FP161,2),IF(AND($E161&lt;&gt;0,$F161&gt;0,YEAR($F161)&lt;=FP$4,YEAR($F161)&lt;Preisindex!$A$6),ROUND($E161*FQ161,2),0))</f>
        <v>0</v>
      </c>
      <c r="FS161" s="53">
        <f t="shared" si="557"/>
        <v>0</v>
      </c>
    </row>
    <row r="162" spans="1:175" x14ac:dyDescent="0.3">
      <c r="A162" s="93"/>
      <c r="B162" s="94"/>
      <c r="C162" s="94"/>
      <c r="D162" s="95"/>
      <c r="E162" s="99"/>
      <c r="F162" s="97"/>
      <c r="G162" s="98"/>
      <c r="H162" s="620"/>
      <c r="I162" s="621"/>
      <c r="J162" s="194"/>
      <c r="K162" s="630"/>
      <c r="L162" s="49">
        <f t="shared" si="558"/>
        <v>0</v>
      </c>
      <c r="M162" s="50">
        <f t="shared" si="559"/>
        <v>0</v>
      </c>
      <c r="N162" s="51">
        <f t="shared" si="560"/>
        <v>0</v>
      </c>
      <c r="O162" s="51"/>
      <c r="P162" s="51">
        <f t="shared" si="561"/>
        <v>0</v>
      </c>
      <c r="Q162" s="52"/>
      <c r="R162" s="52"/>
      <c r="S162" s="52"/>
      <c r="T162" s="52"/>
      <c r="U162" s="52"/>
      <c r="V162" s="53">
        <f t="shared" si="562"/>
        <v>0</v>
      </c>
      <c r="W162" s="51">
        <f t="shared" si="563"/>
        <v>0</v>
      </c>
      <c r="X162" s="51">
        <f t="shared" si="564"/>
        <v>0</v>
      </c>
      <c r="Y162" s="51">
        <f t="shared" si="565"/>
        <v>0</v>
      </c>
      <c r="Z162" s="51">
        <f t="shared" si="566"/>
        <v>0</v>
      </c>
      <c r="AA162" s="51">
        <f t="shared" si="567"/>
        <v>0</v>
      </c>
      <c r="AB162" s="51">
        <f t="shared" si="568"/>
        <v>0</v>
      </c>
      <c r="AC162" s="51">
        <f t="shared" si="569"/>
        <v>0</v>
      </c>
      <c r="AD162" s="51">
        <f t="shared" si="570"/>
        <v>0</v>
      </c>
      <c r="AE162" s="51">
        <f t="shared" si="571"/>
        <v>0</v>
      </c>
      <c r="AF162" s="51">
        <f t="shared" si="572"/>
        <v>0</v>
      </c>
      <c r="AG162" s="51">
        <f t="shared" si="573"/>
        <v>0</v>
      </c>
      <c r="AH162" s="54">
        <f t="shared" si="574"/>
        <v>0</v>
      </c>
      <c r="AI162" s="55">
        <f t="shared" si="575"/>
        <v>0</v>
      </c>
      <c r="AJ162" s="56">
        <f>IF(AND($E162&lt;&gt;0,$F162&gt;0,YEAR($F162)&gt;=Preisindex!$A$6,YEAR(AE$4)&gt;=YEAR($F162),AND($K162&lt;&gt;"a",$K162&lt;&gt;"b",$K162&lt;&gt;"g",$K162&lt;&gt;"k")),1,IF(AND($E162&lt;&gt;0,$F162&gt;0,YEAR($F162)&gt;=Preisindex!$A$6,YEAR(AE$4)&gt;=YEAR($F162),$K162="a"),ROUND(VLOOKUP(AJ$4,Preisindex,5,FALSE)/VLOOKUP(YEAR($F162),Preisindex,5,FALSE),2),IF(AND($E162&lt;&gt;0,$F162&gt;0,YEAR($F162)&gt;=Preisindex!$A$6,YEAR(AE$4)&gt;=YEAR($F162),$K162="b"),ROUND(VLOOKUP(AJ$4,Preisindex,3,FALSE)/VLOOKUP(YEAR($F162),Preisindex,3,FALSE),2),IF(AND($E162&lt;&gt;0,$F162&gt;0,YEAR($F162)&gt;=Preisindex!$A$6,YEAR(AE$4)&gt;=YEAR($F162),$K162="g"),ROUND(VLOOKUP(AJ$4,Preisindex,4,FALSE)/VLOOKUP(YEAR($F162),Preisindex,4,FALSE),2),IF(AND($E162&lt;&gt;0,$F162&gt;0,YEAR($F162)&gt;=Preisindex!$A$6,YEAR(AE$4)&gt;=YEAR($F162),$K162="k"),ROUND(VLOOKUP(AJ$4,Preisindex,2,FALSE)/VLOOKUP(YEAR($F162),Preisindex,2,FALSE),2),0)))))</f>
        <v>0</v>
      </c>
      <c r="AK162" s="56">
        <f>IF(AND($E162&lt;&gt;0,$F162&gt;0,YEAR($F162)&lt;Preisindex!$A$6,YEAR(AE$4)&gt;=YEAR($F162),AND($K162&lt;&gt;"a",$K162&lt;&gt;"b",$K162&lt;&gt;"g",$K162&lt;&gt;"k")),1,IF(AND($E162&lt;&gt;0,$F162&gt;0,YEAR($F162)&lt;Preisindex!$A$6,YEAR(AE$4)&gt;=YEAR($F162),$K162="a"),ROUND(VLOOKUP(AJ$4,Preisindex,5,FALSE)/VLOOKUP(Preisindex!$A$6,Preisindex,5,FALSE),2),IF(AND($E162&lt;&gt;0,$F162&gt;0,YEAR($F162)&lt;Preisindex!$A$6,YEAR(AE$4)&gt;=YEAR($F162),$K162="b"),ROUND(VLOOKUP(AJ$4,Preisindex,3,FALSE)/VLOOKUP(Preisindex!$A$6,Preisindex,3,FALSE),2),IF(AND($E162&lt;&gt;0,$F162&gt;0,YEAR($F162)&lt;Preisindex!$A$6,YEAR(AE$4)&gt;=YEAR($F162),$K162="g"),ROUND(VLOOKUP(AJ$4,Preisindex,4,FALSE)/VLOOKUP(Preisindex!$A$6,Preisindex,4,FALSE),2),IF(AND($E162&lt;&gt;0,$F162&gt;0,YEAR($F162)&lt;Preisindex!$A$6,YEAR(AE$4)&gt;=YEAR($F162),$K162="k"),ROUND(VLOOKUP(AJ$4,Preisindex,2,FALSE)/VLOOKUP(Preisindex!$A$6,Preisindex,2,FALSE),2),0)))))</f>
        <v>0</v>
      </c>
      <c r="AL162" s="51">
        <f>IF(AND($E162&lt;&gt;0,$F162&gt;0,YEAR($F162)&lt;=AJ$4,YEAR($F162)&gt;=Preisindex!$A$6),ROUND($E162*AJ162,2),IF(AND($E162&lt;&gt;0,$F162&gt;0,YEAR($F162)&lt;=AJ$4,YEAR($F162)&lt;Preisindex!$A$6),ROUND($E162*AK162,2),0))</f>
        <v>0</v>
      </c>
      <c r="AM162" s="53">
        <f t="shared" si="576"/>
        <v>0</v>
      </c>
      <c r="AN162" s="51">
        <f t="shared" si="577"/>
        <v>0</v>
      </c>
      <c r="AO162" s="51">
        <f t="shared" si="579"/>
        <v>0</v>
      </c>
      <c r="AP162" s="51">
        <f t="shared" si="493"/>
        <v>0</v>
      </c>
      <c r="AQ162" s="51">
        <f t="shared" si="580"/>
        <v>0</v>
      </c>
      <c r="AR162" s="51">
        <f t="shared" si="494"/>
        <v>0</v>
      </c>
      <c r="AS162" s="51">
        <f t="shared" si="581"/>
        <v>0</v>
      </c>
      <c r="AT162" s="51">
        <f t="shared" si="495"/>
        <v>0</v>
      </c>
      <c r="AU162" s="51">
        <f t="shared" si="582"/>
        <v>0</v>
      </c>
      <c r="AV162" s="51">
        <f t="shared" si="496"/>
        <v>0</v>
      </c>
      <c r="AW162" s="51">
        <f t="shared" si="583"/>
        <v>0</v>
      </c>
      <c r="AX162" s="51">
        <f t="shared" si="497"/>
        <v>0</v>
      </c>
      <c r="AY162" s="54">
        <f t="shared" si="498"/>
        <v>0</v>
      </c>
      <c r="AZ162" s="55">
        <f t="shared" si="499"/>
        <v>0</v>
      </c>
      <c r="BA162" s="56">
        <f>IF(AND($E162&lt;&gt;0,$F162&gt;0,YEAR($F162)&gt;=Preisindex!$A$6,YEAR(AV$4)&gt;=YEAR($F162),AND($K162&lt;&gt;"a",$K162&lt;&gt;"b",$K162&lt;&gt;"g",$K162&lt;&gt;"k")),1,IF(AND($E162&lt;&gt;0,$F162&gt;0,YEAR($F162)&gt;=Preisindex!$A$6,YEAR(AV$4)&gt;=YEAR($F162),$K162="a"),ROUND(VLOOKUP(BA$4,Preisindex,5,FALSE)/VLOOKUP(YEAR($F162),Preisindex,5,FALSE),2),IF(AND($E162&lt;&gt;0,$F162&gt;0,YEAR($F162)&gt;=Preisindex!$A$6,YEAR(AV$4)&gt;=YEAR($F162),$K162="b"),ROUND(VLOOKUP(BA$4,Preisindex,3,FALSE)/VLOOKUP(YEAR($F162),Preisindex,3,FALSE),2),IF(AND($E162&lt;&gt;0,$F162&gt;0,YEAR($F162)&gt;=Preisindex!$A$6,YEAR(AV$4)&gt;=YEAR($F162),$K162="g"),ROUND(VLOOKUP(BA$4,Preisindex,4,FALSE)/VLOOKUP(YEAR($F162),Preisindex,4,FALSE),2),IF(AND($E162&lt;&gt;0,$F162&gt;0,YEAR($F162)&gt;=Preisindex!$A$6,YEAR(AV$4)&gt;=YEAR($F162),$K162="k"),ROUND(VLOOKUP(BA$4,Preisindex,2,FALSE)/VLOOKUP(YEAR($F162),Preisindex,2,FALSE),2),0)))))</f>
        <v>0</v>
      </c>
      <c r="BB162" s="56">
        <f>IF(AND($E162&lt;&gt;0,$F162&gt;0,YEAR($F162)&lt;Preisindex!$A$6,YEAR(AV$4)&gt;=YEAR($F162),AND($K162&lt;&gt;"a",$K162&lt;&gt;"b",$K162&lt;&gt;"g",$K162&lt;&gt;"k")),1,IF(AND($E162&lt;&gt;0,$F162&gt;0,YEAR($F162)&lt;Preisindex!$A$6,YEAR(AV$4)&gt;=YEAR($F162),$K162="a"),ROUND(VLOOKUP(BA$4,Preisindex,5,FALSE)/VLOOKUP(Preisindex!$A$6,Preisindex,5,FALSE),2),IF(AND($E162&lt;&gt;0,$F162&gt;0,YEAR($F162)&lt;Preisindex!$A$6,YEAR(AV$4)&gt;=YEAR($F162),$K162="b"),ROUND(VLOOKUP(BA$4,Preisindex,3,FALSE)/VLOOKUP(Preisindex!$A$6,Preisindex,3,FALSE),2),IF(AND($E162&lt;&gt;0,$F162&gt;0,YEAR($F162)&lt;Preisindex!$A$6,YEAR(AV$4)&gt;=YEAR($F162),$K162="g"),ROUND(VLOOKUP(BA$4,Preisindex,4,FALSE)/VLOOKUP(Preisindex!$A$6,Preisindex,4,FALSE),2),IF(AND($E162&lt;&gt;0,$F162&gt;0,YEAR($F162)&lt;Preisindex!$A$6,YEAR(AV$4)&gt;=YEAR($F162),$K162="k"),ROUND(VLOOKUP(BA$4,Preisindex,2,FALSE)/VLOOKUP(Preisindex!$A$6,Preisindex,2,FALSE),2),0)))))</f>
        <v>0</v>
      </c>
      <c r="BC162" s="51">
        <f>IF(AND($E162&lt;&gt;0,$F162&gt;0,YEAR($F162)&lt;=BA$4,YEAR($F162)&gt;=Preisindex!$A$6),ROUND($E162*BA162,2),IF(AND($E162&lt;&gt;0,$F162&gt;0,YEAR($F162)&lt;=BA$4,YEAR($F162)&lt;Preisindex!$A$6),ROUND($E162*BB162,2),0))</f>
        <v>0</v>
      </c>
      <c r="BD162" s="53">
        <f t="shared" si="500"/>
        <v>0</v>
      </c>
      <c r="BE162" s="51">
        <f t="shared" si="577"/>
        <v>0</v>
      </c>
      <c r="BF162" s="51">
        <f t="shared" si="584"/>
        <v>0</v>
      </c>
      <c r="BG162" s="51">
        <f t="shared" si="501"/>
        <v>0</v>
      </c>
      <c r="BH162" s="51">
        <f t="shared" si="585"/>
        <v>0</v>
      </c>
      <c r="BI162" s="51">
        <f t="shared" si="502"/>
        <v>0</v>
      </c>
      <c r="BJ162" s="51">
        <f t="shared" si="586"/>
        <v>0</v>
      </c>
      <c r="BK162" s="51">
        <f t="shared" si="503"/>
        <v>0</v>
      </c>
      <c r="BL162" s="51">
        <f t="shared" si="587"/>
        <v>0</v>
      </c>
      <c r="BM162" s="51">
        <f t="shared" si="504"/>
        <v>0</v>
      </c>
      <c r="BN162" s="51">
        <f t="shared" si="588"/>
        <v>0</v>
      </c>
      <c r="BO162" s="51">
        <f t="shared" si="505"/>
        <v>0</v>
      </c>
      <c r="BP162" s="54">
        <f t="shared" si="506"/>
        <v>0</v>
      </c>
      <c r="BQ162" s="55">
        <f t="shared" si="507"/>
        <v>0</v>
      </c>
      <c r="BR162" s="56">
        <f>IF(AND($E162&lt;&gt;0,$F162&gt;0,YEAR($F162)&gt;=Preisindex!$A$6,YEAR(BM$4)&gt;=YEAR($F162),AND($K162&lt;&gt;"a",$K162&lt;&gt;"b",$K162&lt;&gt;"g",$K162&lt;&gt;"k")),1,IF(AND($E162&lt;&gt;0,$F162&gt;0,YEAR($F162)&gt;=Preisindex!$A$6,YEAR(BM$4)&gt;=YEAR($F162),$K162="a"),ROUND(VLOOKUP(BR$4,Preisindex,5,FALSE)/VLOOKUP(YEAR($F162),Preisindex,5,FALSE),2),IF(AND($E162&lt;&gt;0,$F162&gt;0,YEAR($F162)&gt;=Preisindex!$A$6,YEAR(BM$4)&gt;=YEAR($F162),$K162="b"),ROUND(VLOOKUP(BR$4,Preisindex,3,FALSE)/VLOOKUP(YEAR($F162),Preisindex,3,FALSE),2),IF(AND($E162&lt;&gt;0,$F162&gt;0,YEAR($F162)&gt;=Preisindex!$A$6,YEAR(BM$4)&gt;=YEAR($F162),$K162="g"),ROUND(VLOOKUP(BR$4,Preisindex,4,FALSE)/VLOOKUP(YEAR($F162),Preisindex,4,FALSE),2),IF(AND($E162&lt;&gt;0,$F162&gt;0,YEAR($F162)&gt;=Preisindex!$A$6,YEAR(BM$4)&gt;=YEAR($F162),$K162="k"),ROUND(VLOOKUP(BR$4,Preisindex,2,FALSE)/VLOOKUP(YEAR($F162),Preisindex,2,FALSE),2),0)))))</f>
        <v>0</v>
      </c>
      <c r="BS162" s="56">
        <f>IF(AND($E162&lt;&gt;0,$F162&gt;0,YEAR($F162)&lt;Preisindex!$A$6,YEAR(BM$4)&gt;=YEAR($F162),AND($K162&lt;&gt;"a",$K162&lt;&gt;"b",$K162&lt;&gt;"g",$K162&lt;&gt;"k")),1,IF(AND($E162&lt;&gt;0,$F162&gt;0,YEAR($F162)&lt;Preisindex!$A$6,YEAR(BM$4)&gt;=YEAR($F162),$K162="a"),ROUND(VLOOKUP(BR$4,Preisindex,5,FALSE)/VLOOKUP(Preisindex!$A$6,Preisindex,5,FALSE),2),IF(AND($E162&lt;&gt;0,$F162&gt;0,YEAR($F162)&lt;Preisindex!$A$6,YEAR(BM$4)&gt;=YEAR($F162),$K162="b"),ROUND(VLOOKUP(BR$4,Preisindex,3,FALSE)/VLOOKUP(Preisindex!$A$6,Preisindex,3,FALSE),2),IF(AND($E162&lt;&gt;0,$F162&gt;0,YEAR($F162)&lt;Preisindex!$A$6,YEAR(BM$4)&gt;=YEAR($F162),$K162="g"),ROUND(VLOOKUP(BR$4,Preisindex,4,FALSE)/VLOOKUP(Preisindex!$A$6,Preisindex,4,FALSE),2),IF(AND($E162&lt;&gt;0,$F162&gt;0,YEAR($F162)&lt;Preisindex!$A$6,YEAR(BM$4)&gt;=YEAR($F162),$K162="k"),ROUND(VLOOKUP(BR$4,Preisindex,2,FALSE)/VLOOKUP(Preisindex!$A$6,Preisindex,2,FALSE),2),0)))))</f>
        <v>0</v>
      </c>
      <c r="BT162" s="51">
        <f>IF(AND($E162&lt;&gt;0,$F162&gt;0,YEAR($F162)&lt;=BR$4,YEAR($F162)&gt;=Preisindex!$A$6),ROUND($E162*BR162,2),IF(AND($E162&lt;&gt;0,$F162&gt;0,YEAR($F162)&lt;=BR$4,YEAR($F162)&lt;Preisindex!$A$6),ROUND($E162*BS162,2),0))</f>
        <v>0</v>
      </c>
      <c r="BU162" s="53">
        <f t="shared" si="508"/>
        <v>0</v>
      </c>
      <c r="BV162" s="51">
        <f t="shared" si="577"/>
        <v>0</v>
      </c>
      <c r="BW162" s="51">
        <f t="shared" si="589"/>
        <v>0</v>
      </c>
      <c r="BX162" s="51">
        <f t="shared" si="509"/>
        <v>0</v>
      </c>
      <c r="BY162" s="51">
        <f t="shared" si="590"/>
        <v>0</v>
      </c>
      <c r="BZ162" s="51">
        <f t="shared" si="510"/>
        <v>0</v>
      </c>
      <c r="CA162" s="51">
        <f t="shared" si="591"/>
        <v>0</v>
      </c>
      <c r="CB162" s="51">
        <f t="shared" si="511"/>
        <v>0</v>
      </c>
      <c r="CC162" s="51">
        <f t="shared" si="592"/>
        <v>0</v>
      </c>
      <c r="CD162" s="51">
        <f t="shared" si="512"/>
        <v>0</v>
      </c>
      <c r="CE162" s="51">
        <f t="shared" si="593"/>
        <v>0</v>
      </c>
      <c r="CF162" s="51">
        <f t="shared" si="513"/>
        <v>0</v>
      </c>
      <c r="CG162" s="54">
        <f t="shared" si="514"/>
        <v>0</v>
      </c>
      <c r="CH162" s="55">
        <f t="shared" si="515"/>
        <v>0</v>
      </c>
      <c r="CI162" s="56">
        <f>IF(AND($E162&lt;&gt;0,$F162&gt;0,YEAR($F162)&gt;=Preisindex!$A$6,YEAR(CD$4)&gt;=YEAR($F162),AND($K162&lt;&gt;"a",$K162&lt;&gt;"b",$K162&lt;&gt;"g",$K162&lt;&gt;"k")),1,IF(AND($E162&lt;&gt;0,$F162&gt;0,YEAR($F162)&gt;=Preisindex!$A$6,YEAR(CD$4)&gt;=YEAR($F162),$K162="a"),ROUND(VLOOKUP(CI$4,Preisindex,5,FALSE)/VLOOKUP(YEAR($F162),Preisindex,5,FALSE),2),IF(AND($E162&lt;&gt;0,$F162&gt;0,YEAR($F162)&gt;=Preisindex!$A$6,YEAR(CD$4)&gt;=YEAR($F162),$K162="b"),ROUND(VLOOKUP(CI$4,Preisindex,3,FALSE)/VLOOKUP(YEAR($F162),Preisindex,3,FALSE),2),IF(AND($E162&lt;&gt;0,$F162&gt;0,YEAR($F162)&gt;=Preisindex!$A$6,YEAR(CD$4)&gt;=YEAR($F162),$K162="g"),ROUND(VLOOKUP(CI$4,Preisindex,4,FALSE)/VLOOKUP(YEAR($F162),Preisindex,4,FALSE),2),IF(AND($E162&lt;&gt;0,$F162&gt;0,YEAR($F162)&gt;=Preisindex!$A$6,YEAR(CD$4)&gt;=YEAR($F162),$K162="k"),ROUND(VLOOKUP(CI$4,Preisindex,2,FALSE)/VLOOKUP(YEAR($F162),Preisindex,2,FALSE),2),0)))))</f>
        <v>0</v>
      </c>
      <c r="CJ162" s="56">
        <f>IF(AND($E162&lt;&gt;0,$F162&gt;0,YEAR($F162)&lt;Preisindex!$A$6,YEAR(CD$4)&gt;=YEAR($F162),AND($K162&lt;&gt;"a",$K162&lt;&gt;"b",$K162&lt;&gt;"g",$K162&lt;&gt;"k")),1,IF(AND($E162&lt;&gt;0,$F162&gt;0,YEAR($F162)&lt;Preisindex!$A$6,YEAR(CD$4)&gt;=YEAR($F162),$K162="a"),ROUND(VLOOKUP(CI$4,Preisindex,5,FALSE)/VLOOKUP(Preisindex!$A$6,Preisindex,5,FALSE),2),IF(AND($E162&lt;&gt;0,$F162&gt;0,YEAR($F162)&lt;Preisindex!$A$6,YEAR(CD$4)&gt;=YEAR($F162),$K162="b"),ROUND(VLOOKUP(CI$4,Preisindex,3,FALSE)/VLOOKUP(Preisindex!$A$6,Preisindex,3,FALSE),2),IF(AND($E162&lt;&gt;0,$F162&gt;0,YEAR($F162)&lt;Preisindex!$A$6,YEAR(CD$4)&gt;=YEAR($F162),$K162="g"),ROUND(VLOOKUP(CI$4,Preisindex,4,FALSE)/VLOOKUP(Preisindex!$A$6,Preisindex,4,FALSE),2),IF(AND($E162&lt;&gt;0,$F162&gt;0,YEAR($F162)&lt;Preisindex!$A$6,YEAR(CD$4)&gt;=YEAR($F162),$K162="k"),ROUND(VLOOKUP(CI$4,Preisindex,2,FALSE)/VLOOKUP(Preisindex!$A$6,Preisindex,2,FALSE),2),0)))))</f>
        <v>0</v>
      </c>
      <c r="CK162" s="51">
        <f>IF(AND($E162&lt;&gt;0,$F162&gt;0,YEAR($F162)&lt;=CI$4,YEAR($F162)&gt;=Preisindex!$A$6),ROUND($E162*CI162,2),IF(AND($E162&lt;&gt;0,$F162&gt;0,YEAR($F162)&lt;=CI$4,YEAR($F162)&lt;Preisindex!$A$6),ROUND($E162*CJ162,2),0))</f>
        <v>0</v>
      </c>
      <c r="CL162" s="53">
        <f t="shared" si="516"/>
        <v>0</v>
      </c>
      <c r="CM162" s="51">
        <f t="shared" si="577"/>
        <v>0</v>
      </c>
      <c r="CN162" s="51">
        <f t="shared" si="594"/>
        <v>0</v>
      </c>
      <c r="CO162" s="51">
        <f t="shared" si="517"/>
        <v>0</v>
      </c>
      <c r="CP162" s="51">
        <f t="shared" si="595"/>
        <v>0</v>
      </c>
      <c r="CQ162" s="51">
        <f t="shared" si="518"/>
        <v>0</v>
      </c>
      <c r="CR162" s="51">
        <f t="shared" si="596"/>
        <v>0</v>
      </c>
      <c r="CS162" s="51">
        <f t="shared" si="519"/>
        <v>0</v>
      </c>
      <c r="CT162" s="51">
        <f t="shared" si="597"/>
        <v>0</v>
      </c>
      <c r="CU162" s="51">
        <f t="shared" si="520"/>
        <v>0</v>
      </c>
      <c r="CV162" s="51">
        <f t="shared" si="598"/>
        <v>0</v>
      </c>
      <c r="CW162" s="51">
        <f t="shared" si="521"/>
        <v>0</v>
      </c>
      <c r="CX162" s="54">
        <f t="shared" si="522"/>
        <v>0</v>
      </c>
      <c r="CY162" s="55">
        <f t="shared" si="523"/>
        <v>0</v>
      </c>
      <c r="CZ162" s="56">
        <f>IF(AND($E162&lt;&gt;0,$F162&gt;0,YEAR($F162)&gt;=Preisindex!$A$6,YEAR(CU$4)&gt;=YEAR($F162),AND($K162&lt;&gt;"a",$K162&lt;&gt;"b",$K162&lt;&gt;"g",$K162&lt;&gt;"k")),1,IF(AND($E162&lt;&gt;0,$F162&gt;0,YEAR($F162)&gt;=Preisindex!$A$6,YEAR(CU$4)&gt;=YEAR($F162),$K162="a"),ROUND(VLOOKUP(CZ$4,Preisindex,5,FALSE)/VLOOKUP(YEAR($F162),Preisindex,5,FALSE),2),IF(AND($E162&lt;&gt;0,$F162&gt;0,YEAR($F162)&gt;=Preisindex!$A$6,YEAR(CU$4)&gt;=YEAR($F162),$K162="b"),ROUND(VLOOKUP(CZ$4,Preisindex,3,FALSE)/VLOOKUP(YEAR($F162),Preisindex,3,FALSE),2),IF(AND($E162&lt;&gt;0,$F162&gt;0,YEAR($F162)&gt;=Preisindex!$A$6,YEAR(CU$4)&gt;=YEAR($F162),$K162="g"),ROUND(VLOOKUP(CZ$4,Preisindex,4,FALSE)/VLOOKUP(YEAR($F162),Preisindex,4,FALSE),2),IF(AND($E162&lt;&gt;0,$F162&gt;0,YEAR($F162)&gt;=Preisindex!$A$6,YEAR(CU$4)&gt;=YEAR($F162),$K162="k"),ROUND(VLOOKUP(CZ$4,Preisindex,2,FALSE)/VLOOKUP(YEAR($F162),Preisindex,2,FALSE),2),0)))))</f>
        <v>0</v>
      </c>
      <c r="DA162" s="56">
        <f>IF(AND($E162&lt;&gt;0,$F162&gt;0,YEAR($F162)&lt;Preisindex!$A$6,YEAR(CU$4)&gt;=YEAR($F162),AND($K162&lt;&gt;"a",$K162&lt;&gt;"b",$K162&lt;&gt;"g",$K162&lt;&gt;"k")),1,IF(AND($E162&lt;&gt;0,$F162&gt;0,YEAR($F162)&lt;Preisindex!$A$6,YEAR(CU$4)&gt;=YEAR($F162),$K162="a"),ROUND(VLOOKUP(CZ$4,Preisindex,5,FALSE)/VLOOKUP(Preisindex!$A$6,Preisindex,5,FALSE),2),IF(AND($E162&lt;&gt;0,$F162&gt;0,YEAR($F162)&lt;Preisindex!$A$6,YEAR(CU$4)&gt;=YEAR($F162),$K162="b"),ROUND(VLOOKUP(CZ$4,Preisindex,3,FALSE)/VLOOKUP(Preisindex!$A$6,Preisindex,3,FALSE),2),IF(AND($E162&lt;&gt;0,$F162&gt;0,YEAR($F162)&lt;Preisindex!$A$6,YEAR(CU$4)&gt;=YEAR($F162),$K162="g"),ROUND(VLOOKUP(CZ$4,Preisindex,4,FALSE)/VLOOKUP(Preisindex!$A$6,Preisindex,4,FALSE),2),IF(AND($E162&lt;&gt;0,$F162&gt;0,YEAR($F162)&lt;Preisindex!$A$6,YEAR(CU$4)&gt;=YEAR($F162),$K162="k"),ROUND(VLOOKUP(CZ$4,Preisindex,2,FALSE)/VLOOKUP(Preisindex!$A$6,Preisindex,2,FALSE),2),0)))))</f>
        <v>0</v>
      </c>
      <c r="DB162" s="51">
        <f>IF(AND($E162&lt;&gt;0,$F162&gt;0,YEAR($F162)&lt;=CZ$4,YEAR($F162)&gt;=Preisindex!$A$6),ROUND($E162*CZ162,2),IF(AND($E162&lt;&gt;0,$F162&gt;0,YEAR($F162)&lt;=CZ$4,YEAR($F162)&lt;Preisindex!$A$6),ROUND($E162*DA162,2),0))</f>
        <v>0</v>
      </c>
      <c r="DC162" s="53">
        <f t="shared" si="524"/>
        <v>0</v>
      </c>
      <c r="DD162" s="51">
        <f t="shared" si="578"/>
        <v>0</v>
      </c>
      <c r="DE162" s="51">
        <f t="shared" si="599"/>
        <v>0</v>
      </c>
      <c r="DF162" s="51">
        <f t="shared" si="526"/>
        <v>0</v>
      </c>
      <c r="DG162" s="51">
        <f t="shared" si="600"/>
        <v>0</v>
      </c>
      <c r="DH162" s="51">
        <f t="shared" si="527"/>
        <v>0</v>
      </c>
      <c r="DI162" s="51">
        <f t="shared" si="601"/>
        <v>0</v>
      </c>
      <c r="DJ162" s="51">
        <f t="shared" si="528"/>
        <v>0</v>
      </c>
      <c r="DK162" s="51">
        <f t="shared" si="602"/>
        <v>0</v>
      </c>
      <c r="DL162" s="51">
        <f t="shared" si="529"/>
        <v>0</v>
      </c>
      <c r="DM162" s="51">
        <f t="shared" si="603"/>
        <v>0</v>
      </c>
      <c r="DN162" s="51">
        <f t="shared" si="530"/>
        <v>0</v>
      </c>
      <c r="DO162" s="54">
        <f t="shared" si="531"/>
        <v>0</v>
      </c>
      <c r="DP162" s="55">
        <f t="shared" si="532"/>
        <v>0</v>
      </c>
      <c r="DQ162" s="56">
        <f>IF(AND($E162&lt;&gt;0,$F162&gt;0,YEAR($F162)&gt;=Preisindex!$A$6,YEAR(DL$4)&gt;=YEAR($F162),AND($K162&lt;&gt;"a",$K162&lt;&gt;"b",$K162&lt;&gt;"g",$K162&lt;&gt;"k")),1,IF(AND($E162&lt;&gt;0,$F162&gt;0,YEAR($F162)&gt;=Preisindex!$A$6,YEAR(DL$4)&gt;=YEAR($F162),$K162="a"),ROUND(VLOOKUP(DQ$4,Preisindex,5,FALSE)/VLOOKUP(YEAR($F162),Preisindex,5,FALSE),2),IF(AND($E162&lt;&gt;0,$F162&gt;0,YEAR($F162)&gt;=Preisindex!$A$6,YEAR(DL$4)&gt;=YEAR($F162),$K162="b"),ROUND(VLOOKUP(DQ$4,Preisindex,3,FALSE)/VLOOKUP(YEAR($F162),Preisindex,3,FALSE),2),IF(AND($E162&lt;&gt;0,$F162&gt;0,YEAR($F162)&gt;=Preisindex!$A$6,YEAR(DL$4)&gt;=YEAR($F162),$K162="g"),ROUND(VLOOKUP(DQ$4,Preisindex,4,FALSE)/VLOOKUP(YEAR($F162),Preisindex,4,FALSE),2),IF(AND($E162&lt;&gt;0,$F162&gt;0,YEAR($F162)&gt;=Preisindex!$A$6,YEAR(DL$4)&gt;=YEAR($F162),$K162="k"),ROUND(VLOOKUP(DQ$4,Preisindex,2,FALSE)/VLOOKUP(YEAR($F162),Preisindex,2,FALSE),2),0)))))</f>
        <v>0</v>
      </c>
      <c r="DR162" s="56">
        <f>IF(AND($E162&lt;&gt;0,$F162&gt;0,YEAR($F162)&lt;Preisindex!$A$6,YEAR(DL$4)&gt;=YEAR($F162),AND($K162&lt;&gt;"a",$K162&lt;&gt;"b",$K162&lt;&gt;"g",$K162&lt;&gt;"k")),1,IF(AND($E162&lt;&gt;0,$F162&gt;0,YEAR($F162)&lt;Preisindex!$A$6,YEAR(DL$4)&gt;=YEAR($F162),$K162="a"),ROUND(VLOOKUP(DQ$4,Preisindex,5,FALSE)/VLOOKUP(Preisindex!$A$6,Preisindex,5,FALSE),2),IF(AND($E162&lt;&gt;0,$F162&gt;0,YEAR($F162)&lt;Preisindex!$A$6,YEAR(DL$4)&gt;=YEAR($F162),$K162="b"),ROUND(VLOOKUP(DQ$4,Preisindex,3,FALSE)/VLOOKUP(Preisindex!$A$6,Preisindex,3,FALSE),2),IF(AND($E162&lt;&gt;0,$F162&gt;0,YEAR($F162)&lt;Preisindex!$A$6,YEAR(DL$4)&gt;=YEAR($F162),$K162="g"),ROUND(VLOOKUP(DQ$4,Preisindex,4,FALSE)/VLOOKUP(Preisindex!$A$6,Preisindex,4,FALSE),2),IF(AND($E162&lt;&gt;0,$F162&gt;0,YEAR($F162)&lt;Preisindex!$A$6,YEAR(DL$4)&gt;=YEAR($F162),$K162="k"),ROUND(VLOOKUP(DQ$4,Preisindex,2,FALSE)/VLOOKUP(Preisindex!$A$6,Preisindex,2,FALSE),2),0)))))</f>
        <v>0</v>
      </c>
      <c r="DS162" s="51">
        <f>IF(AND($E162&lt;&gt;0,$F162&gt;0,YEAR($F162)&lt;=DQ$4,YEAR($F162)&gt;=Preisindex!$A$6),ROUND($E162*DQ162,2),IF(AND($E162&lt;&gt;0,$F162&gt;0,YEAR($F162)&lt;=DQ$4,YEAR($F162)&lt;Preisindex!$A$6),ROUND($E162*DR162,2),0))</f>
        <v>0</v>
      </c>
      <c r="DT162" s="53">
        <f t="shared" si="533"/>
        <v>0</v>
      </c>
      <c r="DU162" s="51">
        <f t="shared" si="578"/>
        <v>0</v>
      </c>
      <c r="DV162" s="51">
        <f t="shared" si="604"/>
        <v>0</v>
      </c>
      <c r="DW162" s="51">
        <f t="shared" si="534"/>
        <v>0</v>
      </c>
      <c r="DX162" s="51">
        <f t="shared" si="605"/>
        <v>0</v>
      </c>
      <c r="DY162" s="51">
        <f t="shared" si="535"/>
        <v>0</v>
      </c>
      <c r="DZ162" s="51">
        <f t="shared" si="606"/>
        <v>0</v>
      </c>
      <c r="EA162" s="51">
        <f t="shared" si="536"/>
        <v>0</v>
      </c>
      <c r="EB162" s="51">
        <f t="shared" si="607"/>
        <v>0</v>
      </c>
      <c r="EC162" s="51">
        <f t="shared" si="537"/>
        <v>0</v>
      </c>
      <c r="ED162" s="51">
        <f t="shared" si="608"/>
        <v>0</v>
      </c>
      <c r="EE162" s="51">
        <f t="shared" si="538"/>
        <v>0</v>
      </c>
      <c r="EF162" s="54">
        <f t="shared" si="539"/>
        <v>0</v>
      </c>
      <c r="EG162" s="55">
        <f t="shared" si="540"/>
        <v>0</v>
      </c>
      <c r="EH162" s="56">
        <f>IF(AND($E162&lt;&gt;0,$F162&gt;0,YEAR($F162)&gt;=Preisindex!$A$6,YEAR(EC$4)&gt;=YEAR($F162),AND($K162&lt;&gt;"a",$K162&lt;&gt;"b",$K162&lt;&gt;"g",$K162&lt;&gt;"k")),1,IF(AND($E162&lt;&gt;0,$F162&gt;0,YEAR($F162)&gt;=Preisindex!$A$6,YEAR(EC$4)&gt;=YEAR($F162),$K162="a"),ROUND(VLOOKUP(EH$4,Preisindex,5,FALSE)/VLOOKUP(YEAR($F162),Preisindex,5,FALSE),2),IF(AND($E162&lt;&gt;0,$F162&gt;0,YEAR($F162)&gt;=Preisindex!$A$6,YEAR(EC$4)&gt;=YEAR($F162),$K162="b"),ROUND(VLOOKUP(EH$4,Preisindex,3,FALSE)/VLOOKUP(YEAR($F162),Preisindex,3,FALSE),2),IF(AND($E162&lt;&gt;0,$F162&gt;0,YEAR($F162)&gt;=Preisindex!$A$6,YEAR(EC$4)&gt;=YEAR($F162),$K162="g"),ROUND(VLOOKUP(EH$4,Preisindex,4,FALSE)/VLOOKUP(YEAR($F162),Preisindex,4,FALSE),2),IF(AND($E162&lt;&gt;0,$F162&gt;0,YEAR($F162)&gt;=Preisindex!$A$6,YEAR(EC$4)&gt;=YEAR($F162),$K162="k"),ROUND(VLOOKUP(EH$4,Preisindex,2,FALSE)/VLOOKUP(YEAR($F162),Preisindex,2,FALSE),2),0)))))</f>
        <v>0</v>
      </c>
      <c r="EI162" s="56">
        <f>IF(AND($E162&lt;&gt;0,$F162&gt;0,YEAR($F162)&lt;Preisindex!$A$6,YEAR(EC$4)&gt;=YEAR($F162),AND($K162&lt;&gt;"a",$K162&lt;&gt;"b",$K162&lt;&gt;"g",$K162&lt;&gt;"k")),1,IF(AND($E162&lt;&gt;0,$F162&gt;0,YEAR($F162)&lt;Preisindex!$A$6,YEAR(EC$4)&gt;=YEAR($F162),$K162="a"),ROUND(VLOOKUP(EH$4,Preisindex,5,FALSE)/VLOOKUP(Preisindex!$A$6,Preisindex,5,FALSE),2),IF(AND($E162&lt;&gt;0,$F162&gt;0,YEAR($F162)&lt;Preisindex!$A$6,YEAR(EC$4)&gt;=YEAR($F162),$K162="b"),ROUND(VLOOKUP(EH$4,Preisindex,3,FALSE)/VLOOKUP(Preisindex!$A$6,Preisindex,3,FALSE),2),IF(AND($E162&lt;&gt;0,$F162&gt;0,YEAR($F162)&lt;Preisindex!$A$6,YEAR(EC$4)&gt;=YEAR($F162),$K162="g"),ROUND(VLOOKUP(EH$4,Preisindex,4,FALSE)/VLOOKUP(Preisindex!$A$6,Preisindex,4,FALSE),2),IF(AND($E162&lt;&gt;0,$F162&gt;0,YEAR($F162)&lt;Preisindex!$A$6,YEAR(EC$4)&gt;=YEAR($F162),$K162="k"),ROUND(VLOOKUP(EH$4,Preisindex,2,FALSE)/VLOOKUP(Preisindex!$A$6,Preisindex,2,FALSE),2),0)))))</f>
        <v>0</v>
      </c>
      <c r="EJ162" s="51">
        <f>IF(AND($E162&lt;&gt;0,$F162&gt;0,YEAR($F162)&lt;=EH$4,YEAR($F162)&gt;=Preisindex!$A$6),ROUND($E162*EH162,2),IF(AND($E162&lt;&gt;0,$F162&gt;0,YEAR($F162)&lt;=EH$4,YEAR($F162)&lt;Preisindex!$A$6),ROUND($E162*EI162,2),0))</f>
        <v>0</v>
      </c>
      <c r="EK162" s="53">
        <f t="shared" si="541"/>
        <v>0</v>
      </c>
      <c r="EL162" s="51">
        <f t="shared" si="578"/>
        <v>0</v>
      </c>
      <c r="EM162" s="51">
        <f t="shared" si="609"/>
        <v>0</v>
      </c>
      <c r="EN162" s="51">
        <f t="shared" si="542"/>
        <v>0</v>
      </c>
      <c r="EO162" s="51">
        <f t="shared" si="610"/>
        <v>0</v>
      </c>
      <c r="EP162" s="51">
        <f t="shared" si="543"/>
        <v>0</v>
      </c>
      <c r="EQ162" s="51">
        <f t="shared" si="611"/>
        <v>0</v>
      </c>
      <c r="ER162" s="51">
        <f t="shared" si="544"/>
        <v>0</v>
      </c>
      <c r="ES162" s="51">
        <f t="shared" si="612"/>
        <v>0</v>
      </c>
      <c r="ET162" s="51">
        <f t="shared" si="545"/>
        <v>0</v>
      </c>
      <c r="EU162" s="51">
        <f t="shared" si="613"/>
        <v>0</v>
      </c>
      <c r="EV162" s="51">
        <f t="shared" si="546"/>
        <v>0</v>
      </c>
      <c r="EW162" s="54">
        <f t="shared" si="547"/>
        <v>0</v>
      </c>
      <c r="EX162" s="55">
        <f t="shared" si="548"/>
        <v>0</v>
      </c>
      <c r="EY162" s="56">
        <f>IF(AND($E162&lt;&gt;0,$F162&gt;0,YEAR($F162)&gt;=Preisindex!$A$6,YEAR(ET$4)&gt;=YEAR($F162),AND($K162&lt;&gt;"a",$K162&lt;&gt;"b",$K162&lt;&gt;"g",$K162&lt;&gt;"k")),1,IF(AND($E162&lt;&gt;0,$F162&gt;0,YEAR($F162)&gt;=Preisindex!$A$6,YEAR(ET$4)&gt;=YEAR($F162),$K162="a"),ROUND(VLOOKUP(EY$4,Preisindex,5,FALSE)/VLOOKUP(YEAR($F162),Preisindex,5,FALSE),2),IF(AND($E162&lt;&gt;0,$F162&gt;0,YEAR($F162)&gt;=Preisindex!$A$6,YEAR(ET$4)&gt;=YEAR($F162),$K162="b"),ROUND(VLOOKUP(EY$4,Preisindex,3,FALSE)/VLOOKUP(YEAR($F162),Preisindex,3,FALSE),2),IF(AND($E162&lt;&gt;0,$F162&gt;0,YEAR($F162)&gt;=Preisindex!$A$6,YEAR(ET$4)&gt;=YEAR($F162),$K162="g"),ROUND(VLOOKUP(EY$4,Preisindex,4,FALSE)/VLOOKUP(YEAR($F162),Preisindex,4,FALSE),2),IF(AND($E162&lt;&gt;0,$F162&gt;0,YEAR($F162)&gt;=Preisindex!$A$6,YEAR(ET$4)&gt;=YEAR($F162),$K162="k"),ROUND(VLOOKUP(EY$4,Preisindex,2,FALSE)/VLOOKUP(YEAR($F162),Preisindex,2,FALSE),2),0)))))</f>
        <v>0</v>
      </c>
      <c r="EZ162" s="56">
        <f>IF(AND($E162&lt;&gt;0,$F162&gt;0,YEAR($F162)&lt;Preisindex!$A$6,YEAR(ET$4)&gt;=YEAR($F162),AND($K162&lt;&gt;"a",$K162&lt;&gt;"b",$K162&lt;&gt;"g",$K162&lt;&gt;"k")),1,IF(AND($E162&lt;&gt;0,$F162&gt;0,YEAR($F162)&lt;Preisindex!$A$6,YEAR(ET$4)&gt;=YEAR($F162),$K162="a"),ROUND(VLOOKUP(EY$4,Preisindex,5,FALSE)/VLOOKUP(Preisindex!$A$6,Preisindex,5,FALSE),2),IF(AND($E162&lt;&gt;0,$F162&gt;0,YEAR($F162)&lt;Preisindex!$A$6,YEAR(ET$4)&gt;=YEAR($F162),$K162="b"),ROUND(VLOOKUP(EY$4,Preisindex,3,FALSE)/VLOOKUP(Preisindex!$A$6,Preisindex,3,FALSE),2),IF(AND($E162&lt;&gt;0,$F162&gt;0,YEAR($F162)&lt;Preisindex!$A$6,YEAR(ET$4)&gt;=YEAR($F162),$K162="g"),ROUND(VLOOKUP(EY$4,Preisindex,4,FALSE)/VLOOKUP(Preisindex!$A$6,Preisindex,4,FALSE),2),IF(AND($E162&lt;&gt;0,$F162&gt;0,YEAR($F162)&lt;Preisindex!$A$6,YEAR(ET$4)&gt;=YEAR($F162),$K162="k"),ROUND(VLOOKUP(EY$4,Preisindex,2,FALSE)/VLOOKUP(Preisindex!$A$6,Preisindex,2,FALSE),2),0)))))</f>
        <v>0</v>
      </c>
      <c r="FA162" s="51">
        <f>IF(AND($E162&lt;&gt;0,$F162&gt;0,YEAR($F162)&lt;=EY$4,YEAR($F162)&gt;=Preisindex!$A$6),ROUND($E162*EY162,2),IF(AND($E162&lt;&gt;0,$F162&gt;0,YEAR($F162)&lt;=EY$4,YEAR($F162)&lt;Preisindex!$A$6),ROUND($E162*EZ162,2),0))</f>
        <v>0</v>
      </c>
      <c r="FB162" s="53">
        <f t="shared" si="549"/>
        <v>0</v>
      </c>
      <c r="FC162" s="51">
        <f t="shared" si="578"/>
        <v>0</v>
      </c>
      <c r="FD162" s="51">
        <f t="shared" si="614"/>
        <v>0</v>
      </c>
      <c r="FE162" s="51">
        <f t="shared" si="550"/>
        <v>0</v>
      </c>
      <c r="FF162" s="51">
        <f t="shared" si="615"/>
        <v>0</v>
      </c>
      <c r="FG162" s="51">
        <f t="shared" si="551"/>
        <v>0</v>
      </c>
      <c r="FH162" s="51">
        <f t="shared" si="616"/>
        <v>0</v>
      </c>
      <c r="FI162" s="51">
        <f t="shared" si="552"/>
        <v>0</v>
      </c>
      <c r="FJ162" s="51">
        <f t="shared" si="617"/>
        <v>0</v>
      </c>
      <c r="FK162" s="51">
        <f t="shared" si="553"/>
        <v>0</v>
      </c>
      <c r="FL162" s="51">
        <f t="shared" si="618"/>
        <v>0</v>
      </c>
      <c r="FM162" s="51">
        <f t="shared" si="554"/>
        <v>0</v>
      </c>
      <c r="FN162" s="54">
        <f t="shared" si="555"/>
        <v>0</v>
      </c>
      <c r="FO162" s="55">
        <f t="shared" si="556"/>
        <v>0</v>
      </c>
      <c r="FP162" s="56">
        <f>IF(AND($E162&lt;&gt;0,$F162&gt;0,YEAR($F162)&gt;=Preisindex!$A$6,YEAR(FK$4)&gt;=YEAR($F162),AND($K162&lt;&gt;"a",$K162&lt;&gt;"b",$K162&lt;&gt;"g",$K162&lt;&gt;"k")),1,IF(AND($E162&lt;&gt;0,$F162&gt;0,YEAR($F162)&gt;=Preisindex!$A$6,YEAR(FK$4)&gt;=YEAR($F162),$K162="a"),ROUND(VLOOKUP(FP$4,Preisindex,5,FALSE)/VLOOKUP(YEAR($F162),Preisindex,5,FALSE),2),IF(AND($E162&lt;&gt;0,$F162&gt;0,YEAR($F162)&gt;=Preisindex!$A$6,YEAR(FK$4)&gt;=YEAR($F162),$K162="b"),ROUND(VLOOKUP(FP$4,Preisindex,3,FALSE)/VLOOKUP(YEAR($F162),Preisindex,3,FALSE),2),IF(AND($E162&lt;&gt;0,$F162&gt;0,YEAR($F162)&gt;=Preisindex!$A$6,YEAR(FK$4)&gt;=YEAR($F162),$K162="g"),ROUND(VLOOKUP(FP$4,Preisindex,4,FALSE)/VLOOKUP(YEAR($F162),Preisindex,4,FALSE),2),IF(AND($E162&lt;&gt;0,$F162&gt;0,YEAR($F162)&gt;=Preisindex!$A$6,YEAR(FK$4)&gt;=YEAR($F162),$K162="k"),ROUND(VLOOKUP(FP$4,Preisindex,2,FALSE)/VLOOKUP(YEAR($F162),Preisindex,2,FALSE),2),0)))))</f>
        <v>0</v>
      </c>
      <c r="FQ162" s="56">
        <f>IF(AND($E162&lt;&gt;0,$F162&gt;0,YEAR($F162)&lt;Preisindex!$A$6,YEAR(FK$4)&gt;=YEAR($F162),AND($K162&lt;&gt;"a",$K162&lt;&gt;"b",$K162&lt;&gt;"g",$K162&lt;&gt;"k")),1,IF(AND($E162&lt;&gt;0,$F162&gt;0,YEAR($F162)&lt;Preisindex!$A$6,YEAR(FK$4)&gt;=YEAR($F162),$K162="a"),ROUND(VLOOKUP(FP$4,Preisindex,5,FALSE)/VLOOKUP(Preisindex!$A$6,Preisindex,5,FALSE),2),IF(AND($E162&lt;&gt;0,$F162&gt;0,YEAR($F162)&lt;Preisindex!$A$6,YEAR(FK$4)&gt;=YEAR($F162),$K162="b"),ROUND(VLOOKUP(FP$4,Preisindex,3,FALSE)/VLOOKUP(Preisindex!$A$6,Preisindex,3,FALSE),2),IF(AND($E162&lt;&gt;0,$F162&gt;0,YEAR($F162)&lt;Preisindex!$A$6,YEAR(FK$4)&gt;=YEAR($F162),$K162="g"),ROUND(VLOOKUP(FP$4,Preisindex,4,FALSE)/VLOOKUP(Preisindex!$A$6,Preisindex,4,FALSE),2),IF(AND($E162&lt;&gt;0,$F162&gt;0,YEAR($F162)&lt;Preisindex!$A$6,YEAR(FK$4)&gt;=YEAR($F162),$K162="k"),ROUND(VLOOKUP(FP$4,Preisindex,2,FALSE)/VLOOKUP(Preisindex!$A$6,Preisindex,2,FALSE),2),0)))))</f>
        <v>0</v>
      </c>
      <c r="FR162" s="51">
        <f>IF(AND($E162&lt;&gt;0,$F162&gt;0,YEAR($F162)&lt;=FP$4,YEAR($F162)&gt;=Preisindex!$A$6),ROUND($E162*FP162,2),IF(AND($E162&lt;&gt;0,$F162&gt;0,YEAR($F162)&lt;=FP$4,YEAR($F162)&lt;Preisindex!$A$6),ROUND($E162*FQ162,2),0))</f>
        <v>0</v>
      </c>
      <c r="FS162" s="53">
        <f t="shared" si="557"/>
        <v>0</v>
      </c>
    </row>
    <row r="163" spans="1:175" x14ac:dyDescent="0.3">
      <c r="A163" s="93"/>
      <c r="B163" s="94"/>
      <c r="C163" s="94"/>
      <c r="D163" s="95"/>
      <c r="E163" s="99"/>
      <c r="F163" s="97"/>
      <c r="G163" s="98"/>
      <c r="H163" s="620"/>
      <c r="I163" s="621"/>
      <c r="J163" s="194"/>
      <c r="K163" s="630"/>
      <c r="L163" s="49">
        <f t="shared" si="558"/>
        <v>0</v>
      </c>
      <c r="M163" s="50">
        <f t="shared" si="559"/>
        <v>0</v>
      </c>
      <c r="N163" s="51">
        <f t="shared" si="560"/>
        <v>0</v>
      </c>
      <c r="O163" s="51"/>
      <c r="P163" s="51">
        <f t="shared" si="561"/>
        <v>0</v>
      </c>
      <c r="Q163" s="52"/>
      <c r="R163" s="52"/>
      <c r="S163" s="52"/>
      <c r="T163" s="52"/>
      <c r="U163" s="52"/>
      <c r="V163" s="53">
        <f t="shared" si="562"/>
        <v>0</v>
      </c>
      <c r="W163" s="51">
        <f t="shared" si="563"/>
        <v>0</v>
      </c>
      <c r="X163" s="51">
        <f t="shared" si="564"/>
        <v>0</v>
      </c>
      <c r="Y163" s="51">
        <f t="shared" si="565"/>
        <v>0</v>
      </c>
      <c r="Z163" s="51">
        <f t="shared" si="566"/>
        <v>0</v>
      </c>
      <c r="AA163" s="51">
        <f t="shared" si="567"/>
        <v>0</v>
      </c>
      <c r="AB163" s="51">
        <f t="shared" si="568"/>
        <v>0</v>
      </c>
      <c r="AC163" s="51">
        <f t="shared" si="569"/>
        <v>0</v>
      </c>
      <c r="AD163" s="51">
        <f t="shared" si="570"/>
        <v>0</v>
      </c>
      <c r="AE163" s="51">
        <f t="shared" si="571"/>
        <v>0</v>
      </c>
      <c r="AF163" s="51">
        <f t="shared" si="572"/>
        <v>0</v>
      </c>
      <c r="AG163" s="51">
        <f t="shared" si="573"/>
        <v>0</v>
      </c>
      <c r="AH163" s="54">
        <f t="shared" si="574"/>
        <v>0</v>
      </c>
      <c r="AI163" s="55">
        <f t="shared" si="575"/>
        <v>0</v>
      </c>
      <c r="AJ163" s="56">
        <f>IF(AND($E163&lt;&gt;0,$F163&gt;0,YEAR($F163)&gt;=Preisindex!$A$6,YEAR(AE$4)&gt;=YEAR($F163),AND($K163&lt;&gt;"a",$K163&lt;&gt;"b",$K163&lt;&gt;"g",$K163&lt;&gt;"k")),1,IF(AND($E163&lt;&gt;0,$F163&gt;0,YEAR($F163)&gt;=Preisindex!$A$6,YEAR(AE$4)&gt;=YEAR($F163),$K163="a"),ROUND(VLOOKUP(AJ$4,Preisindex,5,FALSE)/VLOOKUP(YEAR($F163),Preisindex,5,FALSE),2),IF(AND($E163&lt;&gt;0,$F163&gt;0,YEAR($F163)&gt;=Preisindex!$A$6,YEAR(AE$4)&gt;=YEAR($F163),$K163="b"),ROUND(VLOOKUP(AJ$4,Preisindex,3,FALSE)/VLOOKUP(YEAR($F163),Preisindex,3,FALSE),2),IF(AND($E163&lt;&gt;0,$F163&gt;0,YEAR($F163)&gt;=Preisindex!$A$6,YEAR(AE$4)&gt;=YEAR($F163),$K163="g"),ROUND(VLOOKUP(AJ$4,Preisindex,4,FALSE)/VLOOKUP(YEAR($F163),Preisindex,4,FALSE),2),IF(AND($E163&lt;&gt;0,$F163&gt;0,YEAR($F163)&gt;=Preisindex!$A$6,YEAR(AE$4)&gt;=YEAR($F163),$K163="k"),ROUND(VLOOKUP(AJ$4,Preisindex,2,FALSE)/VLOOKUP(YEAR($F163),Preisindex,2,FALSE),2),0)))))</f>
        <v>0</v>
      </c>
      <c r="AK163" s="56">
        <f>IF(AND($E163&lt;&gt;0,$F163&gt;0,YEAR($F163)&lt;Preisindex!$A$6,YEAR(AE$4)&gt;=YEAR($F163),AND($K163&lt;&gt;"a",$K163&lt;&gt;"b",$K163&lt;&gt;"g",$K163&lt;&gt;"k")),1,IF(AND($E163&lt;&gt;0,$F163&gt;0,YEAR($F163)&lt;Preisindex!$A$6,YEAR(AE$4)&gt;=YEAR($F163),$K163="a"),ROUND(VLOOKUP(AJ$4,Preisindex,5,FALSE)/VLOOKUP(Preisindex!$A$6,Preisindex,5,FALSE),2),IF(AND($E163&lt;&gt;0,$F163&gt;0,YEAR($F163)&lt;Preisindex!$A$6,YEAR(AE$4)&gt;=YEAR($F163),$K163="b"),ROUND(VLOOKUP(AJ$4,Preisindex,3,FALSE)/VLOOKUP(Preisindex!$A$6,Preisindex,3,FALSE),2),IF(AND($E163&lt;&gt;0,$F163&gt;0,YEAR($F163)&lt;Preisindex!$A$6,YEAR(AE$4)&gt;=YEAR($F163),$K163="g"),ROUND(VLOOKUP(AJ$4,Preisindex,4,FALSE)/VLOOKUP(Preisindex!$A$6,Preisindex,4,FALSE),2),IF(AND($E163&lt;&gt;0,$F163&gt;0,YEAR($F163)&lt;Preisindex!$A$6,YEAR(AE$4)&gt;=YEAR($F163),$K163="k"),ROUND(VLOOKUP(AJ$4,Preisindex,2,FALSE)/VLOOKUP(Preisindex!$A$6,Preisindex,2,FALSE),2),0)))))</f>
        <v>0</v>
      </c>
      <c r="AL163" s="51">
        <f>IF(AND($E163&lt;&gt;0,$F163&gt;0,YEAR($F163)&lt;=AJ$4,YEAR($F163)&gt;=Preisindex!$A$6),ROUND($E163*AJ163,2),IF(AND($E163&lt;&gt;0,$F163&gt;0,YEAR($F163)&lt;=AJ$4,YEAR($F163)&lt;Preisindex!$A$6),ROUND($E163*AK163,2),0))</f>
        <v>0</v>
      </c>
      <c r="AM163" s="53">
        <f t="shared" si="576"/>
        <v>0</v>
      </c>
      <c r="AN163" s="51">
        <f t="shared" si="577"/>
        <v>0</v>
      </c>
      <c r="AO163" s="51">
        <f t="shared" si="579"/>
        <v>0</v>
      </c>
      <c r="AP163" s="51">
        <f t="shared" si="493"/>
        <v>0</v>
      </c>
      <c r="AQ163" s="51">
        <f t="shared" si="580"/>
        <v>0</v>
      </c>
      <c r="AR163" s="51">
        <f t="shared" si="494"/>
        <v>0</v>
      </c>
      <c r="AS163" s="51">
        <f t="shared" si="581"/>
        <v>0</v>
      </c>
      <c r="AT163" s="51">
        <f t="shared" si="495"/>
        <v>0</v>
      </c>
      <c r="AU163" s="51">
        <f t="shared" si="582"/>
        <v>0</v>
      </c>
      <c r="AV163" s="51">
        <f t="shared" si="496"/>
        <v>0</v>
      </c>
      <c r="AW163" s="51">
        <f t="shared" si="583"/>
        <v>0</v>
      </c>
      <c r="AX163" s="51">
        <f t="shared" si="497"/>
        <v>0</v>
      </c>
      <c r="AY163" s="54">
        <f t="shared" si="498"/>
        <v>0</v>
      </c>
      <c r="AZ163" s="55">
        <f t="shared" si="499"/>
        <v>0</v>
      </c>
      <c r="BA163" s="56">
        <f>IF(AND($E163&lt;&gt;0,$F163&gt;0,YEAR($F163)&gt;=Preisindex!$A$6,YEAR(AV$4)&gt;=YEAR($F163),AND($K163&lt;&gt;"a",$K163&lt;&gt;"b",$K163&lt;&gt;"g",$K163&lt;&gt;"k")),1,IF(AND($E163&lt;&gt;0,$F163&gt;0,YEAR($F163)&gt;=Preisindex!$A$6,YEAR(AV$4)&gt;=YEAR($F163),$K163="a"),ROUND(VLOOKUP(BA$4,Preisindex,5,FALSE)/VLOOKUP(YEAR($F163),Preisindex,5,FALSE),2),IF(AND($E163&lt;&gt;0,$F163&gt;0,YEAR($F163)&gt;=Preisindex!$A$6,YEAR(AV$4)&gt;=YEAR($F163),$K163="b"),ROUND(VLOOKUP(BA$4,Preisindex,3,FALSE)/VLOOKUP(YEAR($F163),Preisindex,3,FALSE),2),IF(AND($E163&lt;&gt;0,$F163&gt;0,YEAR($F163)&gt;=Preisindex!$A$6,YEAR(AV$4)&gt;=YEAR($F163),$K163="g"),ROUND(VLOOKUP(BA$4,Preisindex,4,FALSE)/VLOOKUP(YEAR($F163),Preisindex,4,FALSE),2),IF(AND($E163&lt;&gt;0,$F163&gt;0,YEAR($F163)&gt;=Preisindex!$A$6,YEAR(AV$4)&gt;=YEAR($F163),$K163="k"),ROUND(VLOOKUP(BA$4,Preisindex,2,FALSE)/VLOOKUP(YEAR($F163),Preisindex,2,FALSE),2),0)))))</f>
        <v>0</v>
      </c>
      <c r="BB163" s="56">
        <f>IF(AND($E163&lt;&gt;0,$F163&gt;0,YEAR($F163)&lt;Preisindex!$A$6,YEAR(AV$4)&gt;=YEAR($F163),AND($K163&lt;&gt;"a",$K163&lt;&gt;"b",$K163&lt;&gt;"g",$K163&lt;&gt;"k")),1,IF(AND($E163&lt;&gt;0,$F163&gt;0,YEAR($F163)&lt;Preisindex!$A$6,YEAR(AV$4)&gt;=YEAR($F163),$K163="a"),ROUND(VLOOKUP(BA$4,Preisindex,5,FALSE)/VLOOKUP(Preisindex!$A$6,Preisindex,5,FALSE),2),IF(AND($E163&lt;&gt;0,$F163&gt;0,YEAR($F163)&lt;Preisindex!$A$6,YEAR(AV$4)&gt;=YEAR($F163),$K163="b"),ROUND(VLOOKUP(BA$4,Preisindex,3,FALSE)/VLOOKUP(Preisindex!$A$6,Preisindex,3,FALSE),2),IF(AND($E163&lt;&gt;0,$F163&gt;0,YEAR($F163)&lt;Preisindex!$A$6,YEAR(AV$4)&gt;=YEAR($F163),$K163="g"),ROUND(VLOOKUP(BA$4,Preisindex,4,FALSE)/VLOOKUP(Preisindex!$A$6,Preisindex,4,FALSE),2),IF(AND($E163&lt;&gt;0,$F163&gt;0,YEAR($F163)&lt;Preisindex!$A$6,YEAR(AV$4)&gt;=YEAR($F163),$K163="k"),ROUND(VLOOKUP(BA$4,Preisindex,2,FALSE)/VLOOKUP(Preisindex!$A$6,Preisindex,2,FALSE),2),0)))))</f>
        <v>0</v>
      </c>
      <c r="BC163" s="51">
        <f>IF(AND($E163&lt;&gt;0,$F163&gt;0,YEAR($F163)&lt;=BA$4,YEAR($F163)&gt;=Preisindex!$A$6),ROUND($E163*BA163,2),IF(AND($E163&lt;&gt;0,$F163&gt;0,YEAR($F163)&lt;=BA$4,YEAR($F163)&lt;Preisindex!$A$6),ROUND($E163*BB163,2),0))</f>
        <v>0</v>
      </c>
      <c r="BD163" s="53">
        <f t="shared" si="500"/>
        <v>0</v>
      </c>
      <c r="BE163" s="51">
        <f t="shared" si="577"/>
        <v>0</v>
      </c>
      <c r="BF163" s="51">
        <f t="shared" si="584"/>
        <v>0</v>
      </c>
      <c r="BG163" s="51">
        <f t="shared" si="501"/>
        <v>0</v>
      </c>
      <c r="BH163" s="51">
        <f t="shared" si="585"/>
        <v>0</v>
      </c>
      <c r="BI163" s="51">
        <f t="shared" si="502"/>
        <v>0</v>
      </c>
      <c r="BJ163" s="51">
        <f t="shared" si="586"/>
        <v>0</v>
      </c>
      <c r="BK163" s="51">
        <f t="shared" si="503"/>
        <v>0</v>
      </c>
      <c r="BL163" s="51">
        <f t="shared" si="587"/>
        <v>0</v>
      </c>
      <c r="BM163" s="51">
        <f t="shared" si="504"/>
        <v>0</v>
      </c>
      <c r="BN163" s="51">
        <f t="shared" si="588"/>
        <v>0</v>
      </c>
      <c r="BO163" s="51">
        <f t="shared" si="505"/>
        <v>0</v>
      </c>
      <c r="BP163" s="54">
        <f t="shared" si="506"/>
        <v>0</v>
      </c>
      <c r="BQ163" s="55">
        <f t="shared" si="507"/>
        <v>0</v>
      </c>
      <c r="BR163" s="56">
        <f>IF(AND($E163&lt;&gt;0,$F163&gt;0,YEAR($F163)&gt;=Preisindex!$A$6,YEAR(BM$4)&gt;=YEAR($F163),AND($K163&lt;&gt;"a",$K163&lt;&gt;"b",$K163&lt;&gt;"g",$K163&lt;&gt;"k")),1,IF(AND($E163&lt;&gt;0,$F163&gt;0,YEAR($F163)&gt;=Preisindex!$A$6,YEAR(BM$4)&gt;=YEAR($F163),$K163="a"),ROUND(VLOOKUP(BR$4,Preisindex,5,FALSE)/VLOOKUP(YEAR($F163),Preisindex,5,FALSE),2),IF(AND($E163&lt;&gt;0,$F163&gt;0,YEAR($F163)&gt;=Preisindex!$A$6,YEAR(BM$4)&gt;=YEAR($F163),$K163="b"),ROUND(VLOOKUP(BR$4,Preisindex,3,FALSE)/VLOOKUP(YEAR($F163),Preisindex,3,FALSE),2),IF(AND($E163&lt;&gt;0,$F163&gt;0,YEAR($F163)&gt;=Preisindex!$A$6,YEAR(BM$4)&gt;=YEAR($F163),$K163="g"),ROUND(VLOOKUP(BR$4,Preisindex,4,FALSE)/VLOOKUP(YEAR($F163),Preisindex,4,FALSE),2),IF(AND($E163&lt;&gt;0,$F163&gt;0,YEAR($F163)&gt;=Preisindex!$A$6,YEAR(BM$4)&gt;=YEAR($F163),$K163="k"),ROUND(VLOOKUP(BR$4,Preisindex,2,FALSE)/VLOOKUP(YEAR($F163),Preisindex,2,FALSE),2),0)))))</f>
        <v>0</v>
      </c>
      <c r="BS163" s="56">
        <f>IF(AND($E163&lt;&gt;0,$F163&gt;0,YEAR($F163)&lt;Preisindex!$A$6,YEAR(BM$4)&gt;=YEAR($F163),AND($K163&lt;&gt;"a",$K163&lt;&gt;"b",$K163&lt;&gt;"g",$K163&lt;&gt;"k")),1,IF(AND($E163&lt;&gt;0,$F163&gt;0,YEAR($F163)&lt;Preisindex!$A$6,YEAR(BM$4)&gt;=YEAR($F163),$K163="a"),ROUND(VLOOKUP(BR$4,Preisindex,5,FALSE)/VLOOKUP(Preisindex!$A$6,Preisindex,5,FALSE),2),IF(AND($E163&lt;&gt;0,$F163&gt;0,YEAR($F163)&lt;Preisindex!$A$6,YEAR(BM$4)&gt;=YEAR($F163),$K163="b"),ROUND(VLOOKUP(BR$4,Preisindex,3,FALSE)/VLOOKUP(Preisindex!$A$6,Preisindex,3,FALSE),2),IF(AND($E163&lt;&gt;0,$F163&gt;0,YEAR($F163)&lt;Preisindex!$A$6,YEAR(BM$4)&gt;=YEAR($F163),$K163="g"),ROUND(VLOOKUP(BR$4,Preisindex,4,FALSE)/VLOOKUP(Preisindex!$A$6,Preisindex,4,FALSE),2),IF(AND($E163&lt;&gt;0,$F163&gt;0,YEAR($F163)&lt;Preisindex!$A$6,YEAR(BM$4)&gt;=YEAR($F163),$K163="k"),ROUND(VLOOKUP(BR$4,Preisindex,2,FALSE)/VLOOKUP(Preisindex!$A$6,Preisindex,2,FALSE),2),0)))))</f>
        <v>0</v>
      </c>
      <c r="BT163" s="51">
        <f>IF(AND($E163&lt;&gt;0,$F163&gt;0,YEAR($F163)&lt;=BR$4,YEAR($F163)&gt;=Preisindex!$A$6),ROUND($E163*BR163,2),IF(AND($E163&lt;&gt;0,$F163&gt;0,YEAR($F163)&lt;=BR$4,YEAR($F163)&lt;Preisindex!$A$6),ROUND($E163*BS163,2),0))</f>
        <v>0</v>
      </c>
      <c r="BU163" s="53">
        <f t="shared" si="508"/>
        <v>0</v>
      </c>
      <c r="BV163" s="51">
        <f t="shared" si="577"/>
        <v>0</v>
      </c>
      <c r="BW163" s="51">
        <f t="shared" si="589"/>
        <v>0</v>
      </c>
      <c r="BX163" s="51">
        <f t="shared" si="509"/>
        <v>0</v>
      </c>
      <c r="BY163" s="51">
        <f t="shared" si="590"/>
        <v>0</v>
      </c>
      <c r="BZ163" s="51">
        <f t="shared" si="510"/>
        <v>0</v>
      </c>
      <c r="CA163" s="51">
        <f t="shared" si="591"/>
        <v>0</v>
      </c>
      <c r="CB163" s="51">
        <f t="shared" si="511"/>
        <v>0</v>
      </c>
      <c r="CC163" s="51">
        <f t="shared" si="592"/>
        <v>0</v>
      </c>
      <c r="CD163" s="51">
        <f t="shared" si="512"/>
        <v>0</v>
      </c>
      <c r="CE163" s="51">
        <f t="shared" si="593"/>
        <v>0</v>
      </c>
      <c r="CF163" s="51">
        <f t="shared" si="513"/>
        <v>0</v>
      </c>
      <c r="CG163" s="54">
        <f t="shared" si="514"/>
        <v>0</v>
      </c>
      <c r="CH163" s="55">
        <f t="shared" si="515"/>
        <v>0</v>
      </c>
      <c r="CI163" s="56">
        <f>IF(AND($E163&lt;&gt;0,$F163&gt;0,YEAR($F163)&gt;=Preisindex!$A$6,YEAR(CD$4)&gt;=YEAR($F163),AND($K163&lt;&gt;"a",$K163&lt;&gt;"b",$K163&lt;&gt;"g",$K163&lt;&gt;"k")),1,IF(AND($E163&lt;&gt;0,$F163&gt;0,YEAR($F163)&gt;=Preisindex!$A$6,YEAR(CD$4)&gt;=YEAR($F163),$K163="a"),ROUND(VLOOKUP(CI$4,Preisindex,5,FALSE)/VLOOKUP(YEAR($F163),Preisindex,5,FALSE),2),IF(AND($E163&lt;&gt;0,$F163&gt;0,YEAR($F163)&gt;=Preisindex!$A$6,YEAR(CD$4)&gt;=YEAR($F163),$K163="b"),ROUND(VLOOKUP(CI$4,Preisindex,3,FALSE)/VLOOKUP(YEAR($F163),Preisindex,3,FALSE),2),IF(AND($E163&lt;&gt;0,$F163&gt;0,YEAR($F163)&gt;=Preisindex!$A$6,YEAR(CD$4)&gt;=YEAR($F163),$K163="g"),ROUND(VLOOKUP(CI$4,Preisindex,4,FALSE)/VLOOKUP(YEAR($F163),Preisindex,4,FALSE),2),IF(AND($E163&lt;&gt;0,$F163&gt;0,YEAR($F163)&gt;=Preisindex!$A$6,YEAR(CD$4)&gt;=YEAR($F163),$K163="k"),ROUND(VLOOKUP(CI$4,Preisindex,2,FALSE)/VLOOKUP(YEAR($F163),Preisindex,2,FALSE),2),0)))))</f>
        <v>0</v>
      </c>
      <c r="CJ163" s="56">
        <f>IF(AND($E163&lt;&gt;0,$F163&gt;0,YEAR($F163)&lt;Preisindex!$A$6,YEAR(CD$4)&gt;=YEAR($F163),AND($K163&lt;&gt;"a",$K163&lt;&gt;"b",$K163&lt;&gt;"g",$K163&lt;&gt;"k")),1,IF(AND($E163&lt;&gt;0,$F163&gt;0,YEAR($F163)&lt;Preisindex!$A$6,YEAR(CD$4)&gt;=YEAR($F163),$K163="a"),ROUND(VLOOKUP(CI$4,Preisindex,5,FALSE)/VLOOKUP(Preisindex!$A$6,Preisindex,5,FALSE),2),IF(AND($E163&lt;&gt;0,$F163&gt;0,YEAR($F163)&lt;Preisindex!$A$6,YEAR(CD$4)&gt;=YEAR($F163),$K163="b"),ROUND(VLOOKUP(CI$4,Preisindex,3,FALSE)/VLOOKUP(Preisindex!$A$6,Preisindex,3,FALSE),2),IF(AND($E163&lt;&gt;0,$F163&gt;0,YEAR($F163)&lt;Preisindex!$A$6,YEAR(CD$4)&gt;=YEAR($F163),$K163="g"),ROUND(VLOOKUP(CI$4,Preisindex,4,FALSE)/VLOOKUP(Preisindex!$A$6,Preisindex,4,FALSE),2),IF(AND($E163&lt;&gt;0,$F163&gt;0,YEAR($F163)&lt;Preisindex!$A$6,YEAR(CD$4)&gt;=YEAR($F163),$K163="k"),ROUND(VLOOKUP(CI$4,Preisindex,2,FALSE)/VLOOKUP(Preisindex!$A$6,Preisindex,2,FALSE),2),0)))))</f>
        <v>0</v>
      </c>
      <c r="CK163" s="51">
        <f>IF(AND($E163&lt;&gt;0,$F163&gt;0,YEAR($F163)&lt;=CI$4,YEAR($F163)&gt;=Preisindex!$A$6),ROUND($E163*CI163,2),IF(AND($E163&lt;&gt;0,$F163&gt;0,YEAR($F163)&lt;=CI$4,YEAR($F163)&lt;Preisindex!$A$6),ROUND($E163*CJ163,2),0))</f>
        <v>0</v>
      </c>
      <c r="CL163" s="53">
        <f t="shared" si="516"/>
        <v>0</v>
      </c>
      <c r="CM163" s="51">
        <f t="shared" si="577"/>
        <v>0</v>
      </c>
      <c r="CN163" s="51">
        <f t="shared" si="594"/>
        <v>0</v>
      </c>
      <c r="CO163" s="51">
        <f t="shared" si="517"/>
        <v>0</v>
      </c>
      <c r="CP163" s="51">
        <f t="shared" si="595"/>
        <v>0</v>
      </c>
      <c r="CQ163" s="51">
        <f t="shared" si="518"/>
        <v>0</v>
      </c>
      <c r="CR163" s="51">
        <f t="shared" si="596"/>
        <v>0</v>
      </c>
      <c r="CS163" s="51">
        <f t="shared" si="519"/>
        <v>0</v>
      </c>
      <c r="CT163" s="51">
        <f t="shared" si="597"/>
        <v>0</v>
      </c>
      <c r="CU163" s="51">
        <f t="shared" si="520"/>
        <v>0</v>
      </c>
      <c r="CV163" s="51">
        <f t="shared" si="598"/>
        <v>0</v>
      </c>
      <c r="CW163" s="51">
        <f t="shared" si="521"/>
        <v>0</v>
      </c>
      <c r="CX163" s="54">
        <f t="shared" si="522"/>
        <v>0</v>
      </c>
      <c r="CY163" s="55">
        <f t="shared" si="523"/>
        <v>0</v>
      </c>
      <c r="CZ163" s="56">
        <f>IF(AND($E163&lt;&gt;0,$F163&gt;0,YEAR($F163)&gt;=Preisindex!$A$6,YEAR(CU$4)&gt;=YEAR($F163),AND($K163&lt;&gt;"a",$K163&lt;&gt;"b",$K163&lt;&gt;"g",$K163&lt;&gt;"k")),1,IF(AND($E163&lt;&gt;0,$F163&gt;0,YEAR($F163)&gt;=Preisindex!$A$6,YEAR(CU$4)&gt;=YEAR($F163),$K163="a"),ROUND(VLOOKUP(CZ$4,Preisindex,5,FALSE)/VLOOKUP(YEAR($F163),Preisindex,5,FALSE),2),IF(AND($E163&lt;&gt;0,$F163&gt;0,YEAR($F163)&gt;=Preisindex!$A$6,YEAR(CU$4)&gt;=YEAR($F163),$K163="b"),ROUND(VLOOKUP(CZ$4,Preisindex,3,FALSE)/VLOOKUP(YEAR($F163),Preisindex,3,FALSE),2),IF(AND($E163&lt;&gt;0,$F163&gt;0,YEAR($F163)&gt;=Preisindex!$A$6,YEAR(CU$4)&gt;=YEAR($F163),$K163="g"),ROUND(VLOOKUP(CZ$4,Preisindex,4,FALSE)/VLOOKUP(YEAR($F163),Preisindex,4,FALSE),2),IF(AND($E163&lt;&gt;0,$F163&gt;0,YEAR($F163)&gt;=Preisindex!$A$6,YEAR(CU$4)&gt;=YEAR($F163),$K163="k"),ROUND(VLOOKUP(CZ$4,Preisindex,2,FALSE)/VLOOKUP(YEAR($F163),Preisindex,2,FALSE),2),0)))))</f>
        <v>0</v>
      </c>
      <c r="DA163" s="56">
        <f>IF(AND($E163&lt;&gt;0,$F163&gt;0,YEAR($F163)&lt;Preisindex!$A$6,YEAR(CU$4)&gt;=YEAR($F163),AND($K163&lt;&gt;"a",$K163&lt;&gt;"b",$K163&lt;&gt;"g",$K163&lt;&gt;"k")),1,IF(AND($E163&lt;&gt;0,$F163&gt;0,YEAR($F163)&lt;Preisindex!$A$6,YEAR(CU$4)&gt;=YEAR($F163),$K163="a"),ROUND(VLOOKUP(CZ$4,Preisindex,5,FALSE)/VLOOKUP(Preisindex!$A$6,Preisindex,5,FALSE),2),IF(AND($E163&lt;&gt;0,$F163&gt;0,YEAR($F163)&lt;Preisindex!$A$6,YEAR(CU$4)&gt;=YEAR($F163),$K163="b"),ROUND(VLOOKUP(CZ$4,Preisindex,3,FALSE)/VLOOKUP(Preisindex!$A$6,Preisindex,3,FALSE),2),IF(AND($E163&lt;&gt;0,$F163&gt;0,YEAR($F163)&lt;Preisindex!$A$6,YEAR(CU$4)&gt;=YEAR($F163),$K163="g"),ROUND(VLOOKUP(CZ$4,Preisindex,4,FALSE)/VLOOKUP(Preisindex!$A$6,Preisindex,4,FALSE),2),IF(AND($E163&lt;&gt;0,$F163&gt;0,YEAR($F163)&lt;Preisindex!$A$6,YEAR(CU$4)&gt;=YEAR($F163),$K163="k"),ROUND(VLOOKUP(CZ$4,Preisindex,2,FALSE)/VLOOKUP(Preisindex!$A$6,Preisindex,2,FALSE),2),0)))))</f>
        <v>0</v>
      </c>
      <c r="DB163" s="51">
        <f>IF(AND($E163&lt;&gt;0,$F163&gt;0,YEAR($F163)&lt;=CZ$4,YEAR($F163)&gt;=Preisindex!$A$6),ROUND($E163*CZ163,2),IF(AND($E163&lt;&gt;0,$F163&gt;0,YEAR($F163)&lt;=CZ$4,YEAR($F163)&lt;Preisindex!$A$6),ROUND($E163*DA163,2),0))</f>
        <v>0</v>
      </c>
      <c r="DC163" s="53">
        <f t="shared" si="524"/>
        <v>0</v>
      </c>
      <c r="DD163" s="51">
        <f t="shared" si="578"/>
        <v>0</v>
      </c>
      <c r="DE163" s="51">
        <f t="shared" si="599"/>
        <v>0</v>
      </c>
      <c r="DF163" s="51">
        <f t="shared" si="526"/>
        <v>0</v>
      </c>
      <c r="DG163" s="51">
        <f t="shared" si="600"/>
        <v>0</v>
      </c>
      <c r="DH163" s="51">
        <f t="shared" si="527"/>
        <v>0</v>
      </c>
      <c r="DI163" s="51">
        <f t="shared" si="601"/>
        <v>0</v>
      </c>
      <c r="DJ163" s="51">
        <f t="shared" si="528"/>
        <v>0</v>
      </c>
      <c r="DK163" s="51">
        <f t="shared" si="602"/>
        <v>0</v>
      </c>
      <c r="DL163" s="51">
        <f t="shared" si="529"/>
        <v>0</v>
      </c>
      <c r="DM163" s="51">
        <f t="shared" si="603"/>
        <v>0</v>
      </c>
      <c r="DN163" s="51">
        <f t="shared" si="530"/>
        <v>0</v>
      </c>
      <c r="DO163" s="54">
        <f t="shared" si="531"/>
        <v>0</v>
      </c>
      <c r="DP163" s="55">
        <f t="shared" si="532"/>
        <v>0</v>
      </c>
      <c r="DQ163" s="56">
        <f>IF(AND($E163&lt;&gt;0,$F163&gt;0,YEAR($F163)&gt;=Preisindex!$A$6,YEAR(DL$4)&gt;=YEAR($F163),AND($K163&lt;&gt;"a",$K163&lt;&gt;"b",$K163&lt;&gt;"g",$K163&lt;&gt;"k")),1,IF(AND($E163&lt;&gt;0,$F163&gt;0,YEAR($F163)&gt;=Preisindex!$A$6,YEAR(DL$4)&gt;=YEAR($F163),$K163="a"),ROUND(VLOOKUP(DQ$4,Preisindex,5,FALSE)/VLOOKUP(YEAR($F163),Preisindex,5,FALSE),2),IF(AND($E163&lt;&gt;0,$F163&gt;0,YEAR($F163)&gt;=Preisindex!$A$6,YEAR(DL$4)&gt;=YEAR($F163),$K163="b"),ROUND(VLOOKUP(DQ$4,Preisindex,3,FALSE)/VLOOKUP(YEAR($F163),Preisindex,3,FALSE),2),IF(AND($E163&lt;&gt;0,$F163&gt;0,YEAR($F163)&gt;=Preisindex!$A$6,YEAR(DL$4)&gt;=YEAR($F163),$K163="g"),ROUND(VLOOKUP(DQ$4,Preisindex,4,FALSE)/VLOOKUP(YEAR($F163),Preisindex,4,FALSE),2),IF(AND($E163&lt;&gt;0,$F163&gt;0,YEAR($F163)&gt;=Preisindex!$A$6,YEAR(DL$4)&gt;=YEAR($F163),$K163="k"),ROUND(VLOOKUP(DQ$4,Preisindex,2,FALSE)/VLOOKUP(YEAR($F163),Preisindex,2,FALSE),2),0)))))</f>
        <v>0</v>
      </c>
      <c r="DR163" s="56">
        <f>IF(AND($E163&lt;&gt;0,$F163&gt;0,YEAR($F163)&lt;Preisindex!$A$6,YEAR(DL$4)&gt;=YEAR($F163),AND($K163&lt;&gt;"a",$K163&lt;&gt;"b",$K163&lt;&gt;"g",$K163&lt;&gt;"k")),1,IF(AND($E163&lt;&gt;0,$F163&gt;0,YEAR($F163)&lt;Preisindex!$A$6,YEAR(DL$4)&gt;=YEAR($F163),$K163="a"),ROUND(VLOOKUP(DQ$4,Preisindex,5,FALSE)/VLOOKUP(Preisindex!$A$6,Preisindex,5,FALSE),2),IF(AND($E163&lt;&gt;0,$F163&gt;0,YEAR($F163)&lt;Preisindex!$A$6,YEAR(DL$4)&gt;=YEAR($F163),$K163="b"),ROUND(VLOOKUP(DQ$4,Preisindex,3,FALSE)/VLOOKUP(Preisindex!$A$6,Preisindex,3,FALSE),2),IF(AND($E163&lt;&gt;0,$F163&gt;0,YEAR($F163)&lt;Preisindex!$A$6,YEAR(DL$4)&gt;=YEAR($F163),$K163="g"),ROUND(VLOOKUP(DQ$4,Preisindex,4,FALSE)/VLOOKUP(Preisindex!$A$6,Preisindex,4,FALSE),2),IF(AND($E163&lt;&gt;0,$F163&gt;0,YEAR($F163)&lt;Preisindex!$A$6,YEAR(DL$4)&gt;=YEAR($F163),$K163="k"),ROUND(VLOOKUP(DQ$4,Preisindex,2,FALSE)/VLOOKUP(Preisindex!$A$6,Preisindex,2,FALSE),2),0)))))</f>
        <v>0</v>
      </c>
      <c r="DS163" s="51">
        <f>IF(AND($E163&lt;&gt;0,$F163&gt;0,YEAR($F163)&lt;=DQ$4,YEAR($F163)&gt;=Preisindex!$A$6),ROUND($E163*DQ163,2),IF(AND($E163&lt;&gt;0,$F163&gt;0,YEAR($F163)&lt;=DQ$4,YEAR($F163)&lt;Preisindex!$A$6),ROUND($E163*DR163,2),0))</f>
        <v>0</v>
      </c>
      <c r="DT163" s="53">
        <f t="shared" si="533"/>
        <v>0</v>
      </c>
      <c r="DU163" s="51">
        <f t="shared" si="578"/>
        <v>0</v>
      </c>
      <c r="DV163" s="51">
        <f t="shared" si="604"/>
        <v>0</v>
      </c>
      <c r="DW163" s="51">
        <f t="shared" si="534"/>
        <v>0</v>
      </c>
      <c r="DX163" s="51">
        <f t="shared" si="605"/>
        <v>0</v>
      </c>
      <c r="DY163" s="51">
        <f t="shared" si="535"/>
        <v>0</v>
      </c>
      <c r="DZ163" s="51">
        <f t="shared" si="606"/>
        <v>0</v>
      </c>
      <c r="EA163" s="51">
        <f t="shared" si="536"/>
        <v>0</v>
      </c>
      <c r="EB163" s="51">
        <f t="shared" si="607"/>
        <v>0</v>
      </c>
      <c r="EC163" s="51">
        <f t="shared" si="537"/>
        <v>0</v>
      </c>
      <c r="ED163" s="51">
        <f t="shared" si="608"/>
        <v>0</v>
      </c>
      <c r="EE163" s="51">
        <f t="shared" si="538"/>
        <v>0</v>
      </c>
      <c r="EF163" s="54">
        <f t="shared" si="539"/>
        <v>0</v>
      </c>
      <c r="EG163" s="55">
        <f t="shared" si="540"/>
        <v>0</v>
      </c>
      <c r="EH163" s="56">
        <f>IF(AND($E163&lt;&gt;0,$F163&gt;0,YEAR($F163)&gt;=Preisindex!$A$6,YEAR(EC$4)&gt;=YEAR($F163),AND($K163&lt;&gt;"a",$K163&lt;&gt;"b",$K163&lt;&gt;"g",$K163&lt;&gt;"k")),1,IF(AND($E163&lt;&gt;0,$F163&gt;0,YEAR($F163)&gt;=Preisindex!$A$6,YEAR(EC$4)&gt;=YEAR($F163),$K163="a"),ROUND(VLOOKUP(EH$4,Preisindex,5,FALSE)/VLOOKUP(YEAR($F163),Preisindex,5,FALSE),2),IF(AND($E163&lt;&gt;0,$F163&gt;0,YEAR($F163)&gt;=Preisindex!$A$6,YEAR(EC$4)&gt;=YEAR($F163),$K163="b"),ROUND(VLOOKUP(EH$4,Preisindex,3,FALSE)/VLOOKUP(YEAR($F163),Preisindex,3,FALSE),2),IF(AND($E163&lt;&gt;0,$F163&gt;0,YEAR($F163)&gt;=Preisindex!$A$6,YEAR(EC$4)&gt;=YEAR($F163),$K163="g"),ROUND(VLOOKUP(EH$4,Preisindex,4,FALSE)/VLOOKUP(YEAR($F163),Preisindex,4,FALSE),2),IF(AND($E163&lt;&gt;0,$F163&gt;0,YEAR($F163)&gt;=Preisindex!$A$6,YEAR(EC$4)&gt;=YEAR($F163),$K163="k"),ROUND(VLOOKUP(EH$4,Preisindex,2,FALSE)/VLOOKUP(YEAR($F163),Preisindex,2,FALSE),2),0)))))</f>
        <v>0</v>
      </c>
      <c r="EI163" s="56">
        <f>IF(AND($E163&lt;&gt;0,$F163&gt;0,YEAR($F163)&lt;Preisindex!$A$6,YEAR(EC$4)&gt;=YEAR($F163),AND($K163&lt;&gt;"a",$K163&lt;&gt;"b",$K163&lt;&gt;"g",$K163&lt;&gt;"k")),1,IF(AND($E163&lt;&gt;0,$F163&gt;0,YEAR($F163)&lt;Preisindex!$A$6,YEAR(EC$4)&gt;=YEAR($F163),$K163="a"),ROUND(VLOOKUP(EH$4,Preisindex,5,FALSE)/VLOOKUP(Preisindex!$A$6,Preisindex,5,FALSE),2),IF(AND($E163&lt;&gt;0,$F163&gt;0,YEAR($F163)&lt;Preisindex!$A$6,YEAR(EC$4)&gt;=YEAR($F163),$K163="b"),ROUND(VLOOKUP(EH$4,Preisindex,3,FALSE)/VLOOKUP(Preisindex!$A$6,Preisindex,3,FALSE),2),IF(AND($E163&lt;&gt;0,$F163&gt;0,YEAR($F163)&lt;Preisindex!$A$6,YEAR(EC$4)&gt;=YEAR($F163),$K163="g"),ROUND(VLOOKUP(EH$4,Preisindex,4,FALSE)/VLOOKUP(Preisindex!$A$6,Preisindex,4,FALSE),2),IF(AND($E163&lt;&gt;0,$F163&gt;0,YEAR($F163)&lt;Preisindex!$A$6,YEAR(EC$4)&gt;=YEAR($F163),$K163="k"),ROUND(VLOOKUP(EH$4,Preisindex,2,FALSE)/VLOOKUP(Preisindex!$A$6,Preisindex,2,FALSE),2),0)))))</f>
        <v>0</v>
      </c>
      <c r="EJ163" s="51">
        <f>IF(AND($E163&lt;&gt;0,$F163&gt;0,YEAR($F163)&lt;=EH$4,YEAR($F163)&gt;=Preisindex!$A$6),ROUND($E163*EH163,2),IF(AND($E163&lt;&gt;0,$F163&gt;0,YEAR($F163)&lt;=EH$4,YEAR($F163)&lt;Preisindex!$A$6),ROUND($E163*EI163,2),0))</f>
        <v>0</v>
      </c>
      <c r="EK163" s="53">
        <f t="shared" si="541"/>
        <v>0</v>
      </c>
      <c r="EL163" s="51">
        <f t="shared" si="578"/>
        <v>0</v>
      </c>
      <c r="EM163" s="51">
        <f t="shared" si="609"/>
        <v>0</v>
      </c>
      <c r="EN163" s="51">
        <f t="shared" si="542"/>
        <v>0</v>
      </c>
      <c r="EO163" s="51">
        <f t="shared" si="610"/>
        <v>0</v>
      </c>
      <c r="EP163" s="51">
        <f t="shared" si="543"/>
        <v>0</v>
      </c>
      <c r="EQ163" s="51">
        <f t="shared" si="611"/>
        <v>0</v>
      </c>
      <c r="ER163" s="51">
        <f t="shared" si="544"/>
        <v>0</v>
      </c>
      <c r="ES163" s="51">
        <f t="shared" si="612"/>
        <v>0</v>
      </c>
      <c r="ET163" s="51">
        <f t="shared" si="545"/>
        <v>0</v>
      </c>
      <c r="EU163" s="51">
        <f t="shared" si="613"/>
        <v>0</v>
      </c>
      <c r="EV163" s="51">
        <f t="shared" si="546"/>
        <v>0</v>
      </c>
      <c r="EW163" s="54">
        <f t="shared" si="547"/>
        <v>0</v>
      </c>
      <c r="EX163" s="55">
        <f t="shared" si="548"/>
        <v>0</v>
      </c>
      <c r="EY163" s="56">
        <f>IF(AND($E163&lt;&gt;0,$F163&gt;0,YEAR($F163)&gt;=Preisindex!$A$6,YEAR(ET$4)&gt;=YEAR($F163),AND($K163&lt;&gt;"a",$K163&lt;&gt;"b",$K163&lt;&gt;"g",$K163&lt;&gt;"k")),1,IF(AND($E163&lt;&gt;0,$F163&gt;0,YEAR($F163)&gt;=Preisindex!$A$6,YEAR(ET$4)&gt;=YEAR($F163),$K163="a"),ROUND(VLOOKUP(EY$4,Preisindex,5,FALSE)/VLOOKUP(YEAR($F163),Preisindex,5,FALSE),2),IF(AND($E163&lt;&gt;0,$F163&gt;0,YEAR($F163)&gt;=Preisindex!$A$6,YEAR(ET$4)&gt;=YEAR($F163),$K163="b"),ROUND(VLOOKUP(EY$4,Preisindex,3,FALSE)/VLOOKUP(YEAR($F163),Preisindex,3,FALSE),2),IF(AND($E163&lt;&gt;0,$F163&gt;0,YEAR($F163)&gt;=Preisindex!$A$6,YEAR(ET$4)&gt;=YEAR($F163),$K163="g"),ROUND(VLOOKUP(EY$4,Preisindex,4,FALSE)/VLOOKUP(YEAR($F163),Preisindex,4,FALSE),2),IF(AND($E163&lt;&gt;0,$F163&gt;0,YEAR($F163)&gt;=Preisindex!$A$6,YEAR(ET$4)&gt;=YEAR($F163),$K163="k"),ROUND(VLOOKUP(EY$4,Preisindex,2,FALSE)/VLOOKUP(YEAR($F163),Preisindex,2,FALSE),2),0)))))</f>
        <v>0</v>
      </c>
      <c r="EZ163" s="56">
        <f>IF(AND($E163&lt;&gt;0,$F163&gt;0,YEAR($F163)&lt;Preisindex!$A$6,YEAR(ET$4)&gt;=YEAR($F163),AND($K163&lt;&gt;"a",$K163&lt;&gt;"b",$K163&lt;&gt;"g",$K163&lt;&gt;"k")),1,IF(AND($E163&lt;&gt;0,$F163&gt;0,YEAR($F163)&lt;Preisindex!$A$6,YEAR(ET$4)&gt;=YEAR($F163),$K163="a"),ROUND(VLOOKUP(EY$4,Preisindex,5,FALSE)/VLOOKUP(Preisindex!$A$6,Preisindex,5,FALSE),2),IF(AND($E163&lt;&gt;0,$F163&gt;0,YEAR($F163)&lt;Preisindex!$A$6,YEAR(ET$4)&gt;=YEAR($F163),$K163="b"),ROUND(VLOOKUP(EY$4,Preisindex,3,FALSE)/VLOOKUP(Preisindex!$A$6,Preisindex,3,FALSE),2),IF(AND($E163&lt;&gt;0,$F163&gt;0,YEAR($F163)&lt;Preisindex!$A$6,YEAR(ET$4)&gt;=YEAR($F163),$K163="g"),ROUND(VLOOKUP(EY$4,Preisindex,4,FALSE)/VLOOKUP(Preisindex!$A$6,Preisindex,4,FALSE),2),IF(AND($E163&lt;&gt;0,$F163&gt;0,YEAR($F163)&lt;Preisindex!$A$6,YEAR(ET$4)&gt;=YEAR($F163),$K163="k"),ROUND(VLOOKUP(EY$4,Preisindex,2,FALSE)/VLOOKUP(Preisindex!$A$6,Preisindex,2,FALSE),2),0)))))</f>
        <v>0</v>
      </c>
      <c r="FA163" s="51">
        <f>IF(AND($E163&lt;&gt;0,$F163&gt;0,YEAR($F163)&lt;=EY$4,YEAR($F163)&gt;=Preisindex!$A$6),ROUND($E163*EY163,2),IF(AND($E163&lt;&gt;0,$F163&gt;0,YEAR($F163)&lt;=EY$4,YEAR($F163)&lt;Preisindex!$A$6),ROUND($E163*EZ163,2),0))</f>
        <v>0</v>
      </c>
      <c r="FB163" s="53">
        <f t="shared" si="549"/>
        <v>0</v>
      </c>
      <c r="FC163" s="51">
        <f t="shared" si="578"/>
        <v>0</v>
      </c>
      <c r="FD163" s="51">
        <f t="shared" si="614"/>
        <v>0</v>
      </c>
      <c r="FE163" s="51">
        <f t="shared" si="550"/>
        <v>0</v>
      </c>
      <c r="FF163" s="51">
        <f t="shared" si="615"/>
        <v>0</v>
      </c>
      <c r="FG163" s="51">
        <f t="shared" si="551"/>
        <v>0</v>
      </c>
      <c r="FH163" s="51">
        <f t="shared" si="616"/>
        <v>0</v>
      </c>
      <c r="FI163" s="51">
        <f t="shared" si="552"/>
        <v>0</v>
      </c>
      <c r="FJ163" s="51">
        <f t="shared" si="617"/>
        <v>0</v>
      </c>
      <c r="FK163" s="51">
        <f t="shared" si="553"/>
        <v>0</v>
      </c>
      <c r="FL163" s="51">
        <f t="shared" si="618"/>
        <v>0</v>
      </c>
      <c r="FM163" s="51">
        <f t="shared" si="554"/>
        <v>0</v>
      </c>
      <c r="FN163" s="54">
        <f t="shared" si="555"/>
        <v>0</v>
      </c>
      <c r="FO163" s="55">
        <f t="shared" si="556"/>
        <v>0</v>
      </c>
      <c r="FP163" s="56">
        <f>IF(AND($E163&lt;&gt;0,$F163&gt;0,YEAR($F163)&gt;=Preisindex!$A$6,YEAR(FK$4)&gt;=YEAR($F163),AND($K163&lt;&gt;"a",$K163&lt;&gt;"b",$K163&lt;&gt;"g",$K163&lt;&gt;"k")),1,IF(AND($E163&lt;&gt;0,$F163&gt;0,YEAR($F163)&gt;=Preisindex!$A$6,YEAR(FK$4)&gt;=YEAR($F163),$K163="a"),ROUND(VLOOKUP(FP$4,Preisindex,5,FALSE)/VLOOKUP(YEAR($F163),Preisindex,5,FALSE),2),IF(AND($E163&lt;&gt;0,$F163&gt;0,YEAR($F163)&gt;=Preisindex!$A$6,YEAR(FK$4)&gt;=YEAR($F163),$K163="b"),ROUND(VLOOKUP(FP$4,Preisindex,3,FALSE)/VLOOKUP(YEAR($F163),Preisindex,3,FALSE),2),IF(AND($E163&lt;&gt;0,$F163&gt;0,YEAR($F163)&gt;=Preisindex!$A$6,YEAR(FK$4)&gt;=YEAR($F163),$K163="g"),ROUND(VLOOKUP(FP$4,Preisindex,4,FALSE)/VLOOKUP(YEAR($F163),Preisindex,4,FALSE),2),IF(AND($E163&lt;&gt;0,$F163&gt;0,YEAR($F163)&gt;=Preisindex!$A$6,YEAR(FK$4)&gt;=YEAR($F163),$K163="k"),ROUND(VLOOKUP(FP$4,Preisindex,2,FALSE)/VLOOKUP(YEAR($F163),Preisindex,2,FALSE),2),0)))))</f>
        <v>0</v>
      </c>
      <c r="FQ163" s="56">
        <f>IF(AND($E163&lt;&gt;0,$F163&gt;0,YEAR($F163)&lt;Preisindex!$A$6,YEAR(FK$4)&gt;=YEAR($F163),AND($K163&lt;&gt;"a",$K163&lt;&gt;"b",$K163&lt;&gt;"g",$K163&lt;&gt;"k")),1,IF(AND($E163&lt;&gt;0,$F163&gt;0,YEAR($F163)&lt;Preisindex!$A$6,YEAR(FK$4)&gt;=YEAR($F163),$K163="a"),ROUND(VLOOKUP(FP$4,Preisindex,5,FALSE)/VLOOKUP(Preisindex!$A$6,Preisindex,5,FALSE),2),IF(AND($E163&lt;&gt;0,$F163&gt;0,YEAR($F163)&lt;Preisindex!$A$6,YEAR(FK$4)&gt;=YEAR($F163),$K163="b"),ROUND(VLOOKUP(FP$4,Preisindex,3,FALSE)/VLOOKUP(Preisindex!$A$6,Preisindex,3,FALSE),2),IF(AND($E163&lt;&gt;0,$F163&gt;0,YEAR($F163)&lt;Preisindex!$A$6,YEAR(FK$4)&gt;=YEAR($F163),$K163="g"),ROUND(VLOOKUP(FP$4,Preisindex,4,FALSE)/VLOOKUP(Preisindex!$A$6,Preisindex,4,FALSE),2),IF(AND($E163&lt;&gt;0,$F163&gt;0,YEAR($F163)&lt;Preisindex!$A$6,YEAR(FK$4)&gt;=YEAR($F163),$K163="k"),ROUND(VLOOKUP(FP$4,Preisindex,2,FALSE)/VLOOKUP(Preisindex!$A$6,Preisindex,2,FALSE),2),0)))))</f>
        <v>0</v>
      </c>
      <c r="FR163" s="51">
        <f>IF(AND($E163&lt;&gt;0,$F163&gt;0,YEAR($F163)&lt;=FP$4,YEAR($F163)&gt;=Preisindex!$A$6),ROUND($E163*FP163,2),IF(AND($E163&lt;&gt;0,$F163&gt;0,YEAR($F163)&lt;=FP$4,YEAR($F163)&lt;Preisindex!$A$6),ROUND($E163*FQ163,2),0))</f>
        <v>0</v>
      </c>
      <c r="FS163" s="53">
        <f t="shared" si="557"/>
        <v>0</v>
      </c>
    </row>
    <row r="164" spans="1:175" x14ac:dyDescent="0.3">
      <c r="A164" s="93"/>
      <c r="B164" s="94"/>
      <c r="C164" s="94"/>
      <c r="D164" s="95"/>
      <c r="E164" s="99"/>
      <c r="F164" s="97"/>
      <c r="G164" s="98"/>
      <c r="H164" s="620"/>
      <c r="I164" s="621"/>
      <c r="J164" s="194"/>
      <c r="K164" s="630"/>
      <c r="L164" s="49">
        <f t="shared" si="558"/>
        <v>0</v>
      </c>
      <c r="M164" s="50">
        <f t="shared" si="559"/>
        <v>0</v>
      </c>
      <c r="N164" s="51">
        <f t="shared" si="560"/>
        <v>0</v>
      </c>
      <c r="O164" s="51"/>
      <c r="P164" s="51">
        <f t="shared" si="561"/>
        <v>0</v>
      </c>
      <c r="Q164" s="52"/>
      <c r="R164" s="52"/>
      <c r="S164" s="52"/>
      <c r="T164" s="52"/>
      <c r="U164" s="52"/>
      <c r="V164" s="53">
        <f t="shared" si="562"/>
        <v>0</v>
      </c>
      <c r="W164" s="51">
        <f t="shared" si="563"/>
        <v>0</v>
      </c>
      <c r="X164" s="51">
        <f t="shared" si="564"/>
        <v>0</v>
      </c>
      <c r="Y164" s="51">
        <f t="shared" si="565"/>
        <v>0</v>
      </c>
      <c r="Z164" s="51">
        <f t="shared" si="566"/>
        <v>0</v>
      </c>
      <c r="AA164" s="51">
        <f t="shared" si="567"/>
        <v>0</v>
      </c>
      <c r="AB164" s="51">
        <f t="shared" si="568"/>
        <v>0</v>
      </c>
      <c r="AC164" s="51">
        <f t="shared" si="569"/>
        <v>0</v>
      </c>
      <c r="AD164" s="51">
        <f t="shared" si="570"/>
        <v>0</v>
      </c>
      <c r="AE164" s="51">
        <f t="shared" si="571"/>
        <v>0</v>
      </c>
      <c r="AF164" s="51">
        <f t="shared" si="572"/>
        <v>0</v>
      </c>
      <c r="AG164" s="51">
        <f t="shared" si="573"/>
        <v>0</v>
      </c>
      <c r="AH164" s="54">
        <f t="shared" si="574"/>
        <v>0</v>
      </c>
      <c r="AI164" s="55">
        <f t="shared" si="575"/>
        <v>0</v>
      </c>
      <c r="AJ164" s="56">
        <f>IF(AND($E164&lt;&gt;0,$F164&gt;0,YEAR($F164)&gt;=Preisindex!$A$6,YEAR(AE$4)&gt;=YEAR($F164),AND($K164&lt;&gt;"a",$K164&lt;&gt;"b",$K164&lt;&gt;"g",$K164&lt;&gt;"k")),1,IF(AND($E164&lt;&gt;0,$F164&gt;0,YEAR($F164)&gt;=Preisindex!$A$6,YEAR(AE$4)&gt;=YEAR($F164),$K164="a"),ROUND(VLOOKUP(AJ$4,Preisindex,5,FALSE)/VLOOKUP(YEAR($F164),Preisindex,5,FALSE),2),IF(AND($E164&lt;&gt;0,$F164&gt;0,YEAR($F164)&gt;=Preisindex!$A$6,YEAR(AE$4)&gt;=YEAR($F164),$K164="b"),ROUND(VLOOKUP(AJ$4,Preisindex,3,FALSE)/VLOOKUP(YEAR($F164),Preisindex,3,FALSE),2),IF(AND($E164&lt;&gt;0,$F164&gt;0,YEAR($F164)&gt;=Preisindex!$A$6,YEAR(AE$4)&gt;=YEAR($F164),$K164="g"),ROUND(VLOOKUP(AJ$4,Preisindex,4,FALSE)/VLOOKUP(YEAR($F164),Preisindex,4,FALSE),2),IF(AND($E164&lt;&gt;0,$F164&gt;0,YEAR($F164)&gt;=Preisindex!$A$6,YEAR(AE$4)&gt;=YEAR($F164),$K164="k"),ROUND(VLOOKUP(AJ$4,Preisindex,2,FALSE)/VLOOKUP(YEAR($F164),Preisindex,2,FALSE),2),0)))))</f>
        <v>0</v>
      </c>
      <c r="AK164" s="56">
        <f>IF(AND($E164&lt;&gt;0,$F164&gt;0,YEAR($F164)&lt;Preisindex!$A$6,YEAR(AE$4)&gt;=YEAR($F164),AND($K164&lt;&gt;"a",$K164&lt;&gt;"b",$K164&lt;&gt;"g",$K164&lt;&gt;"k")),1,IF(AND($E164&lt;&gt;0,$F164&gt;0,YEAR($F164)&lt;Preisindex!$A$6,YEAR(AE$4)&gt;=YEAR($F164),$K164="a"),ROUND(VLOOKUP(AJ$4,Preisindex,5,FALSE)/VLOOKUP(Preisindex!$A$6,Preisindex,5,FALSE),2),IF(AND($E164&lt;&gt;0,$F164&gt;0,YEAR($F164)&lt;Preisindex!$A$6,YEAR(AE$4)&gt;=YEAR($F164),$K164="b"),ROUND(VLOOKUP(AJ$4,Preisindex,3,FALSE)/VLOOKUP(Preisindex!$A$6,Preisindex,3,FALSE),2),IF(AND($E164&lt;&gt;0,$F164&gt;0,YEAR($F164)&lt;Preisindex!$A$6,YEAR(AE$4)&gt;=YEAR($F164),$K164="g"),ROUND(VLOOKUP(AJ$4,Preisindex,4,FALSE)/VLOOKUP(Preisindex!$A$6,Preisindex,4,FALSE),2),IF(AND($E164&lt;&gt;0,$F164&gt;0,YEAR($F164)&lt;Preisindex!$A$6,YEAR(AE$4)&gt;=YEAR($F164),$K164="k"),ROUND(VLOOKUP(AJ$4,Preisindex,2,FALSE)/VLOOKUP(Preisindex!$A$6,Preisindex,2,FALSE),2),0)))))</f>
        <v>0</v>
      </c>
      <c r="AL164" s="51">
        <f>IF(AND($E164&lt;&gt;0,$F164&gt;0,YEAR($F164)&lt;=AJ$4,YEAR($F164)&gt;=Preisindex!$A$6),ROUND($E164*AJ164,2),IF(AND($E164&lt;&gt;0,$F164&gt;0,YEAR($F164)&lt;=AJ$4,YEAR($F164)&lt;Preisindex!$A$6),ROUND($E164*AK164,2),0))</f>
        <v>0</v>
      </c>
      <c r="AM164" s="53">
        <f t="shared" si="576"/>
        <v>0</v>
      </c>
      <c r="AN164" s="51">
        <f t="shared" si="577"/>
        <v>0</v>
      </c>
      <c r="AO164" s="51">
        <f t="shared" si="579"/>
        <v>0</v>
      </c>
      <c r="AP164" s="51">
        <f t="shared" si="493"/>
        <v>0</v>
      </c>
      <c r="AQ164" s="51">
        <f t="shared" si="580"/>
        <v>0</v>
      </c>
      <c r="AR164" s="51">
        <f t="shared" si="494"/>
        <v>0</v>
      </c>
      <c r="AS164" s="51">
        <f t="shared" si="581"/>
        <v>0</v>
      </c>
      <c r="AT164" s="51">
        <f t="shared" si="495"/>
        <v>0</v>
      </c>
      <c r="AU164" s="51">
        <f t="shared" si="582"/>
        <v>0</v>
      </c>
      <c r="AV164" s="51">
        <f t="shared" si="496"/>
        <v>0</v>
      </c>
      <c r="AW164" s="51">
        <f t="shared" si="583"/>
        <v>0</v>
      </c>
      <c r="AX164" s="51">
        <f t="shared" si="497"/>
        <v>0</v>
      </c>
      <c r="AY164" s="54">
        <f t="shared" si="498"/>
        <v>0</v>
      </c>
      <c r="AZ164" s="55">
        <f t="shared" si="499"/>
        <v>0</v>
      </c>
      <c r="BA164" s="56">
        <f>IF(AND($E164&lt;&gt;0,$F164&gt;0,YEAR($F164)&gt;=Preisindex!$A$6,YEAR(AV$4)&gt;=YEAR($F164),AND($K164&lt;&gt;"a",$K164&lt;&gt;"b",$K164&lt;&gt;"g",$K164&lt;&gt;"k")),1,IF(AND($E164&lt;&gt;0,$F164&gt;0,YEAR($F164)&gt;=Preisindex!$A$6,YEAR(AV$4)&gt;=YEAR($F164),$K164="a"),ROUND(VLOOKUP(BA$4,Preisindex,5,FALSE)/VLOOKUP(YEAR($F164),Preisindex,5,FALSE),2),IF(AND($E164&lt;&gt;0,$F164&gt;0,YEAR($F164)&gt;=Preisindex!$A$6,YEAR(AV$4)&gt;=YEAR($F164),$K164="b"),ROUND(VLOOKUP(BA$4,Preisindex,3,FALSE)/VLOOKUP(YEAR($F164),Preisindex,3,FALSE),2),IF(AND($E164&lt;&gt;0,$F164&gt;0,YEAR($F164)&gt;=Preisindex!$A$6,YEAR(AV$4)&gt;=YEAR($F164),$K164="g"),ROUND(VLOOKUP(BA$4,Preisindex,4,FALSE)/VLOOKUP(YEAR($F164),Preisindex,4,FALSE),2),IF(AND($E164&lt;&gt;0,$F164&gt;0,YEAR($F164)&gt;=Preisindex!$A$6,YEAR(AV$4)&gt;=YEAR($F164),$K164="k"),ROUND(VLOOKUP(BA$4,Preisindex,2,FALSE)/VLOOKUP(YEAR($F164),Preisindex,2,FALSE),2),0)))))</f>
        <v>0</v>
      </c>
      <c r="BB164" s="56">
        <f>IF(AND($E164&lt;&gt;0,$F164&gt;0,YEAR($F164)&lt;Preisindex!$A$6,YEAR(AV$4)&gt;=YEAR($F164),AND($K164&lt;&gt;"a",$K164&lt;&gt;"b",$K164&lt;&gt;"g",$K164&lt;&gt;"k")),1,IF(AND($E164&lt;&gt;0,$F164&gt;0,YEAR($F164)&lt;Preisindex!$A$6,YEAR(AV$4)&gt;=YEAR($F164),$K164="a"),ROUND(VLOOKUP(BA$4,Preisindex,5,FALSE)/VLOOKUP(Preisindex!$A$6,Preisindex,5,FALSE),2),IF(AND($E164&lt;&gt;0,$F164&gt;0,YEAR($F164)&lt;Preisindex!$A$6,YEAR(AV$4)&gt;=YEAR($F164),$K164="b"),ROUND(VLOOKUP(BA$4,Preisindex,3,FALSE)/VLOOKUP(Preisindex!$A$6,Preisindex,3,FALSE),2),IF(AND($E164&lt;&gt;0,$F164&gt;0,YEAR($F164)&lt;Preisindex!$A$6,YEAR(AV$4)&gt;=YEAR($F164),$K164="g"),ROUND(VLOOKUP(BA$4,Preisindex,4,FALSE)/VLOOKUP(Preisindex!$A$6,Preisindex,4,FALSE),2),IF(AND($E164&lt;&gt;0,$F164&gt;0,YEAR($F164)&lt;Preisindex!$A$6,YEAR(AV$4)&gt;=YEAR($F164),$K164="k"),ROUND(VLOOKUP(BA$4,Preisindex,2,FALSE)/VLOOKUP(Preisindex!$A$6,Preisindex,2,FALSE),2),0)))))</f>
        <v>0</v>
      </c>
      <c r="BC164" s="51">
        <f>IF(AND($E164&lt;&gt;0,$F164&gt;0,YEAR($F164)&lt;=BA$4,YEAR($F164)&gt;=Preisindex!$A$6),ROUND($E164*BA164,2),IF(AND($E164&lt;&gt;0,$F164&gt;0,YEAR($F164)&lt;=BA$4,YEAR($F164)&lt;Preisindex!$A$6),ROUND($E164*BB164,2),0))</f>
        <v>0</v>
      </c>
      <c r="BD164" s="53">
        <f t="shared" si="500"/>
        <v>0</v>
      </c>
      <c r="BE164" s="51">
        <f t="shared" si="577"/>
        <v>0</v>
      </c>
      <c r="BF164" s="51">
        <f t="shared" si="584"/>
        <v>0</v>
      </c>
      <c r="BG164" s="51">
        <f t="shared" si="501"/>
        <v>0</v>
      </c>
      <c r="BH164" s="51">
        <f t="shared" si="585"/>
        <v>0</v>
      </c>
      <c r="BI164" s="51">
        <f t="shared" si="502"/>
        <v>0</v>
      </c>
      <c r="BJ164" s="51">
        <f t="shared" si="586"/>
        <v>0</v>
      </c>
      <c r="BK164" s="51">
        <f t="shared" si="503"/>
        <v>0</v>
      </c>
      <c r="BL164" s="51">
        <f t="shared" si="587"/>
        <v>0</v>
      </c>
      <c r="BM164" s="51">
        <f t="shared" si="504"/>
        <v>0</v>
      </c>
      <c r="BN164" s="51">
        <f t="shared" si="588"/>
        <v>0</v>
      </c>
      <c r="BO164" s="51">
        <f t="shared" si="505"/>
        <v>0</v>
      </c>
      <c r="BP164" s="54">
        <f t="shared" si="506"/>
        <v>0</v>
      </c>
      <c r="BQ164" s="55">
        <f t="shared" si="507"/>
        <v>0</v>
      </c>
      <c r="BR164" s="56">
        <f>IF(AND($E164&lt;&gt;0,$F164&gt;0,YEAR($F164)&gt;=Preisindex!$A$6,YEAR(BM$4)&gt;=YEAR($F164),AND($K164&lt;&gt;"a",$K164&lt;&gt;"b",$K164&lt;&gt;"g",$K164&lt;&gt;"k")),1,IF(AND($E164&lt;&gt;0,$F164&gt;0,YEAR($F164)&gt;=Preisindex!$A$6,YEAR(BM$4)&gt;=YEAR($F164),$K164="a"),ROUND(VLOOKUP(BR$4,Preisindex,5,FALSE)/VLOOKUP(YEAR($F164),Preisindex,5,FALSE),2),IF(AND($E164&lt;&gt;0,$F164&gt;0,YEAR($F164)&gt;=Preisindex!$A$6,YEAR(BM$4)&gt;=YEAR($F164),$K164="b"),ROUND(VLOOKUP(BR$4,Preisindex,3,FALSE)/VLOOKUP(YEAR($F164),Preisindex,3,FALSE),2),IF(AND($E164&lt;&gt;0,$F164&gt;0,YEAR($F164)&gt;=Preisindex!$A$6,YEAR(BM$4)&gt;=YEAR($F164),$K164="g"),ROUND(VLOOKUP(BR$4,Preisindex,4,FALSE)/VLOOKUP(YEAR($F164),Preisindex,4,FALSE),2),IF(AND($E164&lt;&gt;0,$F164&gt;0,YEAR($F164)&gt;=Preisindex!$A$6,YEAR(BM$4)&gt;=YEAR($F164),$K164="k"),ROUND(VLOOKUP(BR$4,Preisindex,2,FALSE)/VLOOKUP(YEAR($F164),Preisindex,2,FALSE),2),0)))))</f>
        <v>0</v>
      </c>
      <c r="BS164" s="56">
        <f>IF(AND($E164&lt;&gt;0,$F164&gt;0,YEAR($F164)&lt;Preisindex!$A$6,YEAR(BM$4)&gt;=YEAR($F164),AND($K164&lt;&gt;"a",$K164&lt;&gt;"b",$K164&lt;&gt;"g",$K164&lt;&gt;"k")),1,IF(AND($E164&lt;&gt;0,$F164&gt;0,YEAR($F164)&lt;Preisindex!$A$6,YEAR(BM$4)&gt;=YEAR($F164),$K164="a"),ROUND(VLOOKUP(BR$4,Preisindex,5,FALSE)/VLOOKUP(Preisindex!$A$6,Preisindex,5,FALSE),2),IF(AND($E164&lt;&gt;0,$F164&gt;0,YEAR($F164)&lt;Preisindex!$A$6,YEAR(BM$4)&gt;=YEAR($F164),$K164="b"),ROUND(VLOOKUP(BR$4,Preisindex,3,FALSE)/VLOOKUP(Preisindex!$A$6,Preisindex,3,FALSE),2),IF(AND($E164&lt;&gt;0,$F164&gt;0,YEAR($F164)&lt;Preisindex!$A$6,YEAR(BM$4)&gt;=YEAR($F164),$K164="g"),ROUND(VLOOKUP(BR$4,Preisindex,4,FALSE)/VLOOKUP(Preisindex!$A$6,Preisindex,4,FALSE),2),IF(AND($E164&lt;&gt;0,$F164&gt;0,YEAR($F164)&lt;Preisindex!$A$6,YEAR(BM$4)&gt;=YEAR($F164),$K164="k"),ROUND(VLOOKUP(BR$4,Preisindex,2,FALSE)/VLOOKUP(Preisindex!$A$6,Preisindex,2,FALSE),2),0)))))</f>
        <v>0</v>
      </c>
      <c r="BT164" s="51">
        <f>IF(AND($E164&lt;&gt;0,$F164&gt;0,YEAR($F164)&lt;=BR$4,YEAR($F164)&gt;=Preisindex!$A$6),ROUND($E164*BR164,2),IF(AND($E164&lt;&gt;0,$F164&gt;0,YEAR($F164)&lt;=BR$4,YEAR($F164)&lt;Preisindex!$A$6),ROUND($E164*BS164,2),0))</f>
        <v>0</v>
      </c>
      <c r="BU164" s="53">
        <f t="shared" si="508"/>
        <v>0</v>
      </c>
      <c r="BV164" s="51">
        <f t="shared" si="577"/>
        <v>0</v>
      </c>
      <c r="BW164" s="51">
        <f t="shared" si="589"/>
        <v>0</v>
      </c>
      <c r="BX164" s="51">
        <f t="shared" si="509"/>
        <v>0</v>
      </c>
      <c r="BY164" s="51">
        <f t="shared" si="590"/>
        <v>0</v>
      </c>
      <c r="BZ164" s="51">
        <f t="shared" si="510"/>
        <v>0</v>
      </c>
      <c r="CA164" s="51">
        <f t="shared" si="591"/>
        <v>0</v>
      </c>
      <c r="CB164" s="51">
        <f t="shared" si="511"/>
        <v>0</v>
      </c>
      <c r="CC164" s="51">
        <f t="shared" si="592"/>
        <v>0</v>
      </c>
      <c r="CD164" s="51">
        <f t="shared" si="512"/>
        <v>0</v>
      </c>
      <c r="CE164" s="51">
        <f t="shared" si="593"/>
        <v>0</v>
      </c>
      <c r="CF164" s="51">
        <f t="shared" si="513"/>
        <v>0</v>
      </c>
      <c r="CG164" s="54">
        <f t="shared" si="514"/>
        <v>0</v>
      </c>
      <c r="CH164" s="55">
        <f t="shared" si="515"/>
        <v>0</v>
      </c>
      <c r="CI164" s="56">
        <f>IF(AND($E164&lt;&gt;0,$F164&gt;0,YEAR($F164)&gt;=Preisindex!$A$6,YEAR(CD$4)&gt;=YEAR($F164),AND($K164&lt;&gt;"a",$K164&lt;&gt;"b",$K164&lt;&gt;"g",$K164&lt;&gt;"k")),1,IF(AND($E164&lt;&gt;0,$F164&gt;0,YEAR($F164)&gt;=Preisindex!$A$6,YEAR(CD$4)&gt;=YEAR($F164),$K164="a"),ROUND(VLOOKUP(CI$4,Preisindex,5,FALSE)/VLOOKUP(YEAR($F164),Preisindex,5,FALSE),2),IF(AND($E164&lt;&gt;0,$F164&gt;0,YEAR($F164)&gt;=Preisindex!$A$6,YEAR(CD$4)&gt;=YEAR($F164),$K164="b"),ROUND(VLOOKUP(CI$4,Preisindex,3,FALSE)/VLOOKUP(YEAR($F164),Preisindex,3,FALSE),2),IF(AND($E164&lt;&gt;0,$F164&gt;0,YEAR($F164)&gt;=Preisindex!$A$6,YEAR(CD$4)&gt;=YEAR($F164),$K164="g"),ROUND(VLOOKUP(CI$4,Preisindex,4,FALSE)/VLOOKUP(YEAR($F164),Preisindex,4,FALSE),2),IF(AND($E164&lt;&gt;0,$F164&gt;0,YEAR($F164)&gt;=Preisindex!$A$6,YEAR(CD$4)&gt;=YEAR($F164),$K164="k"),ROUND(VLOOKUP(CI$4,Preisindex,2,FALSE)/VLOOKUP(YEAR($F164),Preisindex,2,FALSE),2),0)))))</f>
        <v>0</v>
      </c>
      <c r="CJ164" s="56">
        <f>IF(AND($E164&lt;&gt;0,$F164&gt;0,YEAR($F164)&lt;Preisindex!$A$6,YEAR(CD$4)&gt;=YEAR($F164),AND($K164&lt;&gt;"a",$K164&lt;&gt;"b",$K164&lt;&gt;"g",$K164&lt;&gt;"k")),1,IF(AND($E164&lt;&gt;0,$F164&gt;0,YEAR($F164)&lt;Preisindex!$A$6,YEAR(CD$4)&gt;=YEAR($F164),$K164="a"),ROUND(VLOOKUP(CI$4,Preisindex,5,FALSE)/VLOOKUP(Preisindex!$A$6,Preisindex,5,FALSE),2),IF(AND($E164&lt;&gt;0,$F164&gt;0,YEAR($F164)&lt;Preisindex!$A$6,YEAR(CD$4)&gt;=YEAR($F164),$K164="b"),ROUND(VLOOKUP(CI$4,Preisindex,3,FALSE)/VLOOKUP(Preisindex!$A$6,Preisindex,3,FALSE),2),IF(AND($E164&lt;&gt;0,$F164&gt;0,YEAR($F164)&lt;Preisindex!$A$6,YEAR(CD$4)&gt;=YEAR($F164),$K164="g"),ROUND(VLOOKUP(CI$4,Preisindex,4,FALSE)/VLOOKUP(Preisindex!$A$6,Preisindex,4,FALSE),2),IF(AND($E164&lt;&gt;0,$F164&gt;0,YEAR($F164)&lt;Preisindex!$A$6,YEAR(CD$4)&gt;=YEAR($F164),$K164="k"),ROUND(VLOOKUP(CI$4,Preisindex,2,FALSE)/VLOOKUP(Preisindex!$A$6,Preisindex,2,FALSE),2),0)))))</f>
        <v>0</v>
      </c>
      <c r="CK164" s="51">
        <f>IF(AND($E164&lt;&gt;0,$F164&gt;0,YEAR($F164)&lt;=CI$4,YEAR($F164)&gt;=Preisindex!$A$6),ROUND($E164*CI164,2),IF(AND($E164&lt;&gt;0,$F164&gt;0,YEAR($F164)&lt;=CI$4,YEAR($F164)&lt;Preisindex!$A$6),ROUND($E164*CJ164,2),0))</f>
        <v>0</v>
      </c>
      <c r="CL164" s="53">
        <f t="shared" si="516"/>
        <v>0</v>
      </c>
      <c r="CM164" s="51">
        <f t="shared" si="577"/>
        <v>0</v>
      </c>
      <c r="CN164" s="51">
        <f t="shared" si="594"/>
        <v>0</v>
      </c>
      <c r="CO164" s="51">
        <f t="shared" si="517"/>
        <v>0</v>
      </c>
      <c r="CP164" s="51">
        <f t="shared" si="595"/>
        <v>0</v>
      </c>
      <c r="CQ164" s="51">
        <f t="shared" si="518"/>
        <v>0</v>
      </c>
      <c r="CR164" s="51">
        <f t="shared" si="596"/>
        <v>0</v>
      </c>
      <c r="CS164" s="51">
        <f t="shared" si="519"/>
        <v>0</v>
      </c>
      <c r="CT164" s="51">
        <f t="shared" si="597"/>
        <v>0</v>
      </c>
      <c r="CU164" s="51">
        <f t="shared" si="520"/>
        <v>0</v>
      </c>
      <c r="CV164" s="51">
        <f t="shared" si="598"/>
        <v>0</v>
      </c>
      <c r="CW164" s="51">
        <f t="shared" si="521"/>
        <v>0</v>
      </c>
      <c r="CX164" s="54">
        <f t="shared" si="522"/>
        <v>0</v>
      </c>
      <c r="CY164" s="55">
        <f t="shared" si="523"/>
        <v>0</v>
      </c>
      <c r="CZ164" s="56">
        <f>IF(AND($E164&lt;&gt;0,$F164&gt;0,YEAR($F164)&gt;=Preisindex!$A$6,YEAR(CU$4)&gt;=YEAR($F164),AND($K164&lt;&gt;"a",$K164&lt;&gt;"b",$K164&lt;&gt;"g",$K164&lt;&gt;"k")),1,IF(AND($E164&lt;&gt;0,$F164&gt;0,YEAR($F164)&gt;=Preisindex!$A$6,YEAR(CU$4)&gt;=YEAR($F164),$K164="a"),ROUND(VLOOKUP(CZ$4,Preisindex,5,FALSE)/VLOOKUP(YEAR($F164),Preisindex,5,FALSE),2),IF(AND($E164&lt;&gt;0,$F164&gt;0,YEAR($F164)&gt;=Preisindex!$A$6,YEAR(CU$4)&gt;=YEAR($F164),$K164="b"),ROUND(VLOOKUP(CZ$4,Preisindex,3,FALSE)/VLOOKUP(YEAR($F164),Preisindex,3,FALSE),2),IF(AND($E164&lt;&gt;0,$F164&gt;0,YEAR($F164)&gt;=Preisindex!$A$6,YEAR(CU$4)&gt;=YEAR($F164),$K164="g"),ROUND(VLOOKUP(CZ$4,Preisindex,4,FALSE)/VLOOKUP(YEAR($F164),Preisindex,4,FALSE),2),IF(AND($E164&lt;&gt;0,$F164&gt;0,YEAR($F164)&gt;=Preisindex!$A$6,YEAR(CU$4)&gt;=YEAR($F164),$K164="k"),ROUND(VLOOKUP(CZ$4,Preisindex,2,FALSE)/VLOOKUP(YEAR($F164),Preisindex,2,FALSE),2),0)))))</f>
        <v>0</v>
      </c>
      <c r="DA164" s="56">
        <f>IF(AND($E164&lt;&gt;0,$F164&gt;0,YEAR($F164)&lt;Preisindex!$A$6,YEAR(CU$4)&gt;=YEAR($F164),AND($K164&lt;&gt;"a",$K164&lt;&gt;"b",$K164&lt;&gt;"g",$K164&lt;&gt;"k")),1,IF(AND($E164&lt;&gt;0,$F164&gt;0,YEAR($F164)&lt;Preisindex!$A$6,YEAR(CU$4)&gt;=YEAR($F164),$K164="a"),ROUND(VLOOKUP(CZ$4,Preisindex,5,FALSE)/VLOOKUP(Preisindex!$A$6,Preisindex,5,FALSE),2),IF(AND($E164&lt;&gt;0,$F164&gt;0,YEAR($F164)&lt;Preisindex!$A$6,YEAR(CU$4)&gt;=YEAR($F164),$K164="b"),ROUND(VLOOKUP(CZ$4,Preisindex,3,FALSE)/VLOOKUP(Preisindex!$A$6,Preisindex,3,FALSE),2),IF(AND($E164&lt;&gt;0,$F164&gt;0,YEAR($F164)&lt;Preisindex!$A$6,YEAR(CU$4)&gt;=YEAR($F164),$K164="g"),ROUND(VLOOKUP(CZ$4,Preisindex,4,FALSE)/VLOOKUP(Preisindex!$A$6,Preisindex,4,FALSE),2),IF(AND($E164&lt;&gt;0,$F164&gt;0,YEAR($F164)&lt;Preisindex!$A$6,YEAR(CU$4)&gt;=YEAR($F164),$K164="k"),ROUND(VLOOKUP(CZ$4,Preisindex,2,FALSE)/VLOOKUP(Preisindex!$A$6,Preisindex,2,FALSE),2),0)))))</f>
        <v>0</v>
      </c>
      <c r="DB164" s="51">
        <f>IF(AND($E164&lt;&gt;0,$F164&gt;0,YEAR($F164)&lt;=CZ$4,YEAR($F164)&gt;=Preisindex!$A$6),ROUND($E164*CZ164,2),IF(AND($E164&lt;&gt;0,$F164&gt;0,YEAR($F164)&lt;=CZ$4,YEAR($F164)&lt;Preisindex!$A$6),ROUND($E164*DA164,2),0))</f>
        <v>0</v>
      </c>
      <c r="DC164" s="53">
        <f t="shared" si="524"/>
        <v>0</v>
      </c>
      <c r="DD164" s="51">
        <f t="shared" si="578"/>
        <v>0</v>
      </c>
      <c r="DE164" s="51">
        <f t="shared" si="599"/>
        <v>0</v>
      </c>
      <c r="DF164" s="51">
        <f t="shared" si="526"/>
        <v>0</v>
      </c>
      <c r="DG164" s="51">
        <f t="shared" si="600"/>
        <v>0</v>
      </c>
      <c r="DH164" s="51">
        <f t="shared" si="527"/>
        <v>0</v>
      </c>
      <c r="DI164" s="51">
        <f t="shared" si="601"/>
        <v>0</v>
      </c>
      <c r="DJ164" s="51">
        <f t="shared" si="528"/>
        <v>0</v>
      </c>
      <c r="DK164" s="51">
        <f t="shared" si="602"/>
        <v>0</v>
      </c>
      <c r="DL164" s="51">
        <f t="shared" si="529"/>
        <v>0</v>
      </c>
      <c r="DM164" s="51">
        <f t="shared" si="603"/>
        <v>0</v>
      </c>
      <c r="DN164" s="51">
        <f t="shared" si="530"/>
        <v>0</v>
      </c>
      <c r="DO164" s="54">
        <f t="shared" si="531"/>
        <v>0</v>
      </c>
      <c r="DP164" s="55">
        <f t="shared" si="532"/>
        <v>0</v>
      </c>
      <c r="DQ164" s="56">
        <f>IF(AND($E164&lt;&gt;0,$F164&gt;0,YEAR($F164)&gt;=Preisindex!$A$6,YEAR(DL$4)&gt;=YEAR($F164),AND($K164&lt;&gt;"a",$K164&lt;&gt;"b",$K164&lt;&gt;"g",$K164&lt;&gt;"k")),1,IF(AND($E164&lt;&gt;0,$F164&gt;0,YEAR($F164)&gt;=Preisindex!$A$6,YEAR(DL$4)&gt;=YEAR($F164),$K164="a"),ROUND(VLOOKUP(DQ$4,Preisindex,5,FALSE)/VLOOKUP(YEAR($F164),Preisindex,5,FALSE),2),IF(AND($E164&lt;&gt;0,$F164&gt;0,YEAR($F164)&gt;=Preisindex!$A$6,YEAR(DL$4)&gt;=YEAR($F164),$K164="b"),ROUND(VLOOKUP(DQ$4,Preisindex,3,FALSE)/VLOOKUP(YEAR($F164),Preisindex,3,FALSE),2),IF(AND($E164&lt;&gt;0,$F164&gt;0,YEAR($F164)&gt;=Preisindex!$A$6,YEAR(DL$4)&gt;=YEAR($F164),$K164="g"),ROUND(VLOOKUP(DQ$4,Preisindex,4,FALSE)/VLOOKUP(YEAR($F164),Preisindex,4,FALSE),2),IF(AND($E164&lt;&gt;0,$F164&gt;0,YEAR($F164)&gt;=Preisindex!$A$6,YEAR(DL$4)&gt;=YEAR($F164),$K164="k"),ROUND(VLOOKUP(DQ$4,Preisindex,2,FALSE)/VLOOKUP(YEAR($F164),Preisindex,2,FALSE),2),0)))))</f>
        <v>0</v>
      </c>
      <c r="DR164" s="56">
        <f>IF(AND($E164&lt;&gt;0,$F164&gt;0,YEAR($F164)&lt;Preisindex!$A$6,YEAR(DL$4)&gt;=YEAR($F164),AND($K164&lt;&gt;"a",$K164&lt;&gt;"b",$K164&lt;&gt;"g",$K164&lt;&gt;"k")),1,IF(AND($E164&lt;&gt;0,$F164&gt;0,YEAR($F164)&lt;Preisindex!$A$6,YEAR(DL$4)&gt;=YEAR($F164),$K164="a"),ROUND(VLOOKUP(DQ$4,Preisindex,5,FALSE)/VLOOKUP(Preisindex!$A$6,Preisindex,5,FALSE),2),IF(AND($E164&lt;&gt;0,$F164&gt;0,YEAR($F164)&lt;Preisindex!$A$6,YEAR(DL$4)&gt;=YEAR($F164),$K164="b"),ROUND(VLOOKUP(DQ$4,Preisindex,3,FALSE)/VLOOKUP(Preisindex!$A$6,Preisindex,3,FALSE),2),IF(AND($E164&lt;&gt;0,$F164&gt;0,YEAR($F164)&lt;Preisindex!$A$6,YEAR(DL$4)&gt;=YEAR($F164),$K164="g"),ROUND(VLOOKUP(DQ$4,Preisindex,4,FALSE)/VLOOKUP(Preisindex!$A$6,Preisindex,4,FALSE),2),IF(AND($E164&lt;&gt;0,$F164&gt;0,YEAR($F164)&lt;Preisindex!$A$6,YEAR(DL$4)&gt;=YEAR($F164),$K164="k"),ROUND(VLOOKUP(DQ$4,Preisindex,2,FALSE)/VLOOKUP(Preisindex!$A$6,Preisindex,2,FALSE),2),0)))))</f>
        <v>0</v>
      </c>
      <c r="DS164" s="51">
        <f>IF(AND($E164&lt;&gt;0,$F164&gt;0,YEAR($F164)&lt;=DQ$4,YEAR($F164)&gt;=Preisindex!$A$6),ROUND($E164*DQ164,2),IF(AND($E164&lt;&gt;0,$F164&gt;0,YEAR($F164)&lt;=DQ$4,YEAR($F164)&lt;Preisindex!$A$6),ROUND($E164*DR164,2),0))</f>
        <v>0</v>
      </c>
      <c r="DT164" s="53">
        <f t="shared" si="533"/>
        <v>0</v>
      </c>
      <c r="DU164" s="51">
        <f t="shared" si="578"/>
        <v>0</v>
      </c>
      <c r="DV164" s="51">
        <f t="shared" si="604"/>
        <v>0</v>
      </c>
      <c r="DW164" s="51">
        <f t="shared" si="534"/>
        <v>0</v>
      </c>
      <c r="DX164" s="51">
        <f t="shared" si="605"/>
        <v>0</v>
      </c>
      <c r="DY164" s="51">
        <f t="shared" si="535"/>
        <v>0</v>
      </c>
      <c r="DZ164" s="51">
        <f t="shared" si="606"/>
        <v>0</v>
      </c>
      <c r="EA164" s="51">
        <f t="shared" si="536"/>
        <v>0</v>
      </c>
      <c r="EB164" s="51">
        <f t="shared" si="607"/>
        <v>0</v>
      </c>
      <c r="EC164" s="51">
        <f t="shared" si="537"/>
        <v>0</v>
      </c>
      <c r="ED164" s="51">
        <f t="shared" si="608"/>
        <v>0</v>
      </c>
      <c r="EE164" s="51">
        <f t="shared" si="538"/>
        <v>0</v>
      </c>
      <c r="EF164" s="54">
        <f t="shared" si="539"/>
        <v>0</v>
      </c>
      <c r="EG164" s="55">
        <f t="shared" si="540"/>
        <v>0</v>
      </c>
      <c r="EH164" s="56">
        <f>IF(AND($E164&lt;&gt;0,$F164&gt;0,YEAR($F164)&gt;=Preisindex!$A$6,YEAR(EC$4)&gt;=YEAR($F164),AND($K164&lt;&gt;"a",$K164&lt;&gt;"b",$K164&lt;&gt;"g",$K164&lt;&gt;"k")),1,IF(AND($E164&lt;&gt;0,$F164&gt;0,YEAR($F164)&gt;=Preisindex!$A$6,YEAR(EC$4)&gt;=YEAR($F164),$K164="a"),ROUND(VLOOKUP(EH$4,Preisindex,5,FALSE)/VLOOKUP(YEAR($F164),Preisindex,5,FALSE),2),IF(AND($E164&lt;&gt;0,$F164&gt;0,YEAR($F164)&gt;=Preisindex!$A$6,YEAR(EC$4)&gt;=YEAR($F164),$K164="b"),ROUND(VLOOKUP(EH$4,Preisindex,3,FALSE)/VLOOKUP(YEAR($F164),Preisindex,3,FALSE),2),IF(AND($E164&lt;&gt;0,$F164&gt;0,YEAR($F164)&gt;=Preisindex!$A$6,YEAR(EC$4)&gt;=YEAR($F164),$K164="g"),ROUND(VLOOKUP(EH$4,Preisindex,4,FALSE)/VLOOKUP(YEAR($F164),Preisindex,4,FALSE),2),IF(AND($E164&lt;&gt;0,$F164&gt;0,YEAR($F164)&gt;=Preisindex!$A$6,YEAR(EC$4)&gt;=YEAR($F164),$K164="k"),ROUND(VLOOKUP(EH$4,Preisindex,2,FALSE)/VLOOKUP(YEAR($F164),Preisindex,2,FALSE),2),0)))))</f>
        <v>0</v>
      </c>
      <c r="EI164" s="56">
        <f>IF(AND($E164&lt;&gt;0,$F164&gt;0,YEAR($F164)&lt;Preisindex!$A$6,YEAR(EC$4)&gt;=YEAR($F164),AND($K164&lt;&gt;"a",$K164&lt;&gt;"b",$K164&lt;&gt;"g",$K164&lt;&gt;"k")),1,IF(AND($E164&lt;&gt;0,$F164&gt;0,YEAR($F164)&lt;Preisindex!$A$6,YEAR(EC$4)&gt;=YEAR($F164),$K164="a"),ROUND(VLOOKUP(EH$4,Preisindex,5,FALSE)/VLOOKUP(Preisindex!$A$6,Preisindex,5,FALSE),2),IF(AND($E164&lt;&gt;0,$F164&gt;0,YEAR($F164)&lt;Preisindex!$A$6,YEAR(EC$4)&gt;=YEAR($F164),$K164="b"),ROUND(VLOOKUP(EH$4,Preisindex,3,FALSE)/VLOOKUP(Preisindex!$A$6,Preisindex,3,FALSE),2),IF(AND($E164&lt;&gt;0,$F164&gt;0,YEAR($F164)&lt;Preisindex!$A$6,YEAR(EC$4)&gt;=YEAR($F164),$K164="g"),ROUND(VLOOKUP(EH$4,Preisindex,4,FALSE)/VLOOKUP(Preisindex!$A$6,Preisindex,4,FALSE),2),IF(AND($E164&lt;&gt;0,$F164&gt;0,YEAR($F164)&lt;Preisindex!$A$6,YEAR(EC$4)&gt;=YEAR($F164),$K164="k"),ROUND(VLOOKUP(EH$4,Preisindex,2,FALSE)/VLOOKUP(Preisindex!$A$6,Preisindex,2,FALSE),2),0)))))</f>
        <v>0</v>
      </c>
      <c r="EJ164" s="51">
        <f>IF(AND($E164&lt;&gt;0,$F164&gt;0,YEAR($F164)&lt;=EH$4,YEAR($F164)&gt;=Preisindex!$A$6),ROUND($E164*EH164,2),IF(AND($E164&lt;&gt;0,$F164&gt;0,YEAR($F164)&lt;=EH$4,YEAR($F164)&lt;Preisindex!$A$6),ROUND($E164*EI164,2),0))</f>
        <v>0</v>
      </c>
      <c r="EK164" s="53">
        <f t="shared" si="541"/>
        <v>0</v>
      </c>
      <c r="EL164" s="51">
        <f t="shared" si="578"/>
        <v>0</v>
      </c>
      <c r="EM164" s="51">
        <f t="shared" si="609"/>
        <v>0</v>
      </c>
      <c r="EN164" s="51">
        <f t="shared" si="542"/>
        <v>0</v>
      </c>
      <c r="EO164" s="51">
        <f t="shared" si="610"/>
        <v>0</v>
      </c>
      <c r="EP164" s="51">
        <f t="shared" si="543"/>
        <v>0</v>
      </c>
      <c r="EQ164" s="51">
        <f t="shared" si="611"/>
        <v>0</v>
      </c>
      <c r="ER164" s="51">
        <f t="shared" si="544"/>
        <v>0</v>
      </c>
      <c r="ES164" s="51">
        <f t="shared" si="612"/>
        <v>0</v>
      </c>
      <c r="ET164" s="51">
        <f t="shared" si="545"/>
        <v>0</v>
      </c>
      <c r="EU164" s="51">
        <f t="shared" si="613"/>
        <v>0</v>
      </c>
      <c r="EV164" s="51">
        <f t="shared" si="546"/>
        <v>0</v>
      </c>
      <c r="EW164" s="54">
        <f t="shared" si="547"/>
        <v>0</v>
      </c>
      <c r="EX164" s="55">
        <f t="shared" si="548"/>
        <v>0</v>
      </c>
      <c r="EY164" s="56">
        <f>IF(AND($E164&lt;&gt;0,$F164&gt;0,YEAR($F164)&gt;=Preisindex!$A$6,YEAR(ET$4)&gt;=YEAR($F164),AND($K164&lt;&gt;"a",$K164&lt;&gt;"b",$K164&lt;&gt;"g",$K164&lt;&gt;"k")),1,IF(AND($E164&lt;&gt;0,$F164&gt;0,YEAR($F164)&gt;=Preisindex!$A$6,YEAR(ET$4)&gt;=YEAR($F164),$K164="a"),ROUND(VLOOKUP(EY$4,Preisindex,5,FALSE)/VLOOKUP(YEAR($F164),Preisindex,5,FALSE),2),IF(AND($E164&lt;&gt;0,$F164&gt;0,YEAR($F164)&gt;=Preisindex!$A$6,YEAR(ET$4)&gt;=YEAR($F164),$K164="b"),ROUND(VLOOKUP(EY$4,Preisindex,3,FALSE)/VLOOKUP(YEAR($F164),Preisindex,3,FALSE),2),IF(AND($E164&lt;&gt;0,$F164&gt;0,YEAR($F164)&gt;=Preisindex!$A$6,YEAR(ET$4)&gt;=YEAR($F164),$K164="g"),ROUND(VLOOKUP(EY$4,Preisindex,4,FALSE)/VLOOKUP(YEAR($F164),Preisindex,4,FALSE),2),IF(AND($E164&lt;&gt;0,$F164&gt;0,YEAR($F164)&gt;=Preisindex!$A$6,YEAR(ET$4)&gt;=YEAR($F164),$K164="k"),ROUND(VLOOKUP(EY$4,Preisindex,2,FALSE)/VLOOKUP(YEAR($F164),Preisindex,2,FALSE),2),0)))))</f>
        <v>0</v>
      </c>
      <c r="EZ164" s="56">
        <f>IF(AND($E164&lt;&gt;0,$F164&gt;0,YEAR($F164)&lt;Preisindex!$A$6,YEAR(ET$4)&gt;=YEAR($F164),AND($K164&lt;&gt;"a",$K164&lt;&gt;"b",$K164&lt;&gt;"g",$K164&lt;&gt;"k")),1,IF(AND($E164&lt;&gt;0,$F164&gt;0,YEAR($F164)&lt;Preisindex!$A$6,YEAR(ET$4)&gt;=YEAR($F164),$K164="a"),ROUND(VLOOKUP(EY$4,Preisindex,5,FALSE)/VLOOKUP(Preisindex!$A$6,Preisindex,5,FALSE),2),IF(AND($E164&lt;&gt;0,$F164&gt;0,YEAR($F164)&lt;Preisindex!$A$6,YEAR(ET$4)&gt;=YEAR($F164),$K164="b"),ROUND(VLOOKUP(EY$4,Preisindex,3,FALSE)/VLOOKUP(Preisindex!$A$6,Preisindex,3,FALSE),2),IF(AND($E164&lt;&gt;0,$F164&gt;0,YEAR($F164)&lt;Preisindex!$A$6,YEAR(ET$4)&gt;=YEAR($F164),$K164="g"),ROUND(VLOOKUP(EY$4,Preisindex,4,FALSE)/VLOOKUP(Preisindex!$A$6,Preisindex,4,FALSE),2),IF(AND($E164&lt;&gt;0,$F164&gt;0,YEAR($F164)&lt;Preisindex!$A$6,YEAR(ET$4)&gt;=YEAR($F164),$K164="k"),ROUND(VLOOKUP(EY$4,Preisindex,2,FALSE)/VLOOKUP(Preisindex!$A$6,Preisindex,2,FALSE),2),0)))))</f>
        <v>0</v>
      </c>
      <c r="FA164" s="51">
        <f>IF(AND($E164&lt;&gt;0,$F164&gt;0,YEAR($F164)&lt;=EY$4,YEAR($F164)&gt;=Preisindex!$A$6),ROUND($E164*EY164,2),IF(AND($E164&lt;&gt;0,$F164&gt;0,YEAR($F164)&lt;=EY$4,YEAR($F164)&lt;Preisindex!$A$6),ROUND($E164*EZ164,2),0))</f>
        <v>0</v>
      </c>
      <c r="FB164" s="53">
        <f t="shared" si="549"/>
        <v>0</v>
      </c>
      <c r="FC164" s="51">
        <f t="shared" si="578"/>
        <v>0</v>
      </c>
      <c r="FD164" s="51">
        <f t="shared" si="614"/>
        <v>0</v>
      </c>
      <c r="FE164" s="51">
        <f t="shared" si="550"/>
        <v>0</v>
      </c>
      <c r="FF164" s="51">
        <f t="shared" si="615"/>
        <v>0</v>
      </c>
      <c r="FG164" s="51">
        <f t="shared" si="551"/>
        <v>0</v>
      </c>
      <c r="FH164" s="51">
        <f t="shared" si="616"/>
        <v>0</v>
      </c>
      <c r="FI164" s="51">
        <f t="shared" si="552"/>
        <v>0</v>
      </c>
      <c r="FJ164" s="51">
        <f t="shared" si="617"/>
        <v>0</v>
      </c>
      <c r="FK164" s="51">
        <f t="shared" si="553"/>
        <v>0</v>
      </c>
      <c r="FL164" s="51">
        <f t="shared" si="618"/>
        <v>0</v>
      </c>
      <c r="FM164" s="51">
        <f t="shared" si="554"/>
        <v>0</v>
      </c>
      <c r="FN164" s="54">
        <f t="shared" si="555"/>
        <v>0</v>
      </c>
      <c r="FO164" s="55">
        <f t="shared" si="556"/>
        <v>0</v>
      </c>
      <c r="FP164" s="56">
        <f>IF(AND($E164&lt;&gt;0,$F164&gt;0,YEAR($F164)&gt;=Preisindex!$A$6,YEAR(FK$4)&gt;=YEAR($F164),AND($K164&lt;&gt;"a",$K164&lt;&gt;"b",$K164&lt;&gt;"g",$K164&lt;&gt;"k")),1,IF(AND($E164&lt;&gt;0,$F164&gt;0,YEAR($F164)&gt;=Preisindex!$A$6,YEAR(FK$4)&gt;=YEAR($F164),$K164="a"),ROUND(VLOOKUP(FP$4,Preisindex,5,FALSE)/VLOOKUP(YEAR($F164),Preisindex,5,FALSE),2),IF(AND($E164&lt;&gt;0,$F164&gt;0,YEAR($F164)&gt;=Preisindex!$A$6,YEAR(FK$4)&gt;=YEAR($F164),$K164="b"),ROUND(VLOOKUP(FP$4,Preisindex,3,FALSE)/VLOOKUP(YEAR($F164),Preisindex,3,FALSE),2),IF(AND($E164&lt;&gt;0,$F164&gt;0,YEAR($F164)&gt;=Preisindex!$A$6,YEAR(FK$4)&gt;=YEAR($F164),$K164="g"),ROUND(VLOOKUP(FP$4,Preisindex,4,FALSE)/VLOOKUP(YEAR($F164),Preisindex,4,FALSE),2),IF(AND($E164&lt;&gt;0,$F164&gt;0,YEAR($F164)&gt;=Preisindex!$A$6,YEAR(FK$4)&gt;=YEAR($F164),$K164="k"),ROUND(VLOOKUP(FP$4,Preisindex,2,FALSE)/VLOOKUP(YEAR($F164),Preisindex,2,FALSE),2),0)))))</f>
        <v>0</v>
      </c>
      <c r="FQ164" s="56">
        <f>IF(AND($E164&lt;&gt;0,$F164&gt;0,YEAR($F164)&lt;Preisindex!$A$6,YEAR(FK$4)&gt;=YEAR($F164),AND($K164&lt;&gt;"a",$K164&lt;&gt;"b",$K164&lt;&gt;"g",$K164&lt;&gt;"k")),1,IF(AND($E164&lt;&gt;0,$F164&gt;0,YEAR($F164)&lt;Preisindex!$A$6,YEAR(FK$4)&gt;=YEAR($F164),$K164="a"),ROUND(VLOOKUP(FP$4,Preisindex,5,FALSE)/VLOOKUP(Preisindex!$A$6,Preisindex,5,FALSE),2),IF(AND($E164&lt;&gt;0,$F164&gt;0,YEAR($F164)&lt;Preisindex!$A$6,YEAR(FK$4)&gt;=YEAR($F164),$K164="b"),ROUND(VLOOKUP(FP$4,Preisindex,3,FALSE)/VLOOKUP(Preisindex!$A$6,Preisindex,3,FALSE),2),IF(AND($E164&lt;&gt;0,$F164&gt;0,YEAR($F164)&lt;Preisindex!$A$6,YEAR(FK$4)&gt;=YEAR($F164),$K164="g"),ROUND(VLOOKUP(FP$4,Preisindex,4,FALSE)/VLOOKUP(Preisindex!$A$6,Preisindex,4,FALSE),2),IF(AND($E164&lt;&gt;0,$F164&gt;0,YEAR($F164)&lt;Preisindex!$A$6,YEAR(FK$4)&gt;=YEAR($F164),$K164="k"),ROUND(VLOOKUP(FP$4,Preisindex,2,FALSE)/VLOOKUP(Preisindex!$A$6,Preisindex,2,FALSE),2),0)))))</f>
        <v>0</v>
      </c>
      <c r="FR164" s="51">
        <f>IF(AND($E164&lt;&gt;0,$F164&gt;0,YEAR($F164)&lt;=FP$4,YEAR($F164)&gt;=Preisindex!$A$6),ROUND($E164*FP164,2),IF(AND($E164&lt;&gt;0,$F164&gt;0,YEAR($F164)&lt;=FP$4,YEAR($F164)&lt;Preisindex!$A$6),ROUND($E164*FQ164,2),0))</f>
        <v>0</v>
      </c>
      <c r="FS164" s="53">
        <f t="shared" si="557"/>
        <v>0</v>
      </c>
    </row>
    <row r="165" spans="1:175" x14ac:dyDescent="0.3">
      <c r="A165" s="93"/>
      <c r="B165" s="94"/>
      <c r="C165" s="94"/>
      <c r="D165" s="95"/>
      <c r="E165" s="99"/>
      <c r="F165" s="97"/>
      <c r="G165" s="98"/>
      <c r="H165" s="620"/>
      <c r="I165" s="621"/>
      <c r="J165" s="194"/>
      <c r="K165" s="630"/>
      <c r="L165" s="49">
        <f t="shared" si="558"/>
        <v>0</v>
      </c>
      <c r="M165" s="50">
        <f t="shared" si="559"/>
        <v>0</v>
      </c>
      <c r="N165" s="51">
        <f t="shared" si="560"/>
        <v>0</v>
      </c>
      <c r="O165" s="51"/>
      <c r="P165" s="51">
        <f t="shared" si="561"/>
        <v>0</v>
      </c>
      <c r="Q165" s="52"/>
      <c r="R165" s="52"/>
      <c r="S165" s="52"/>
      <c r="T165" s="52"/>
      <c r="U165" s="52"/>
      <c r="V165" s="53">
        <f t="shared" si="562"/>
        <v>0</v>
      </c>
      <c r="W165" s="51">
        <f t="shared" si="563"/>
        <v>0</v>
      </c>
      <c r="X165" s="51">
        <f t="shared" si="564"/>
        <v>0</v>
      </c>
      <c r="Y165" s="51">
        <f t="shared" si="565"/>
        <v>0</v>
      </c>
      <c r="Z165" s="51">
        <f t="shared" si="566"/>
        <v>0</v>
      </c>
      <c r="AA165" s="51">
        <f t="shared" si="567"/>
        <v>0</v>
      </c>
      <c r="AB165" s="51">
        <f t="shared" si="568"/>
        <v>0</v>
      </c>
      <c r="AC165" s="51">
        <f t="shared" si="569"/>
        <v>0</v>
      </c>
      <c r="AD165" s="51">
        <f t="shared" si="570"/>
        <v>0</v>
      </c>
      <c r="AE165" s="51">
        <f t="shared" si="571"/>
        <v>0</v>
      </c>
      <c r="AF165" s="51">
        <f t="shared" si="572"/>
        <v>0</v>
      </c>
      <c r="AG165" s="51">
        <f t="shared" si="573"/>
        <v>0</v>
      </c>
      <c r="AH165" s="54">
        <f t="shared" si="574"/>
        <v>0</v>
      </c>
      <c r="AI165" s="55">
        <f t="shared" si="575"/>
        <v>0</v>
      </c>
      <c r="AJ165" s="56">
        <f>IF(AND($E165&lt;&gt;0,$F165&gt;0,YEAR($F165)&gt;=Preisindex!$A$6,YEAR(AE$4)&gt;=YEAR($F165),AND($K165&lt;&gt;"a",$K165&lt;&gt;"b",$K165&lt;&gt;"g",$K165&lt;&gt;"k")),1,IF(AND($E165&lt;&gt;0,$F165&gt;0,YEAR($F165)&gt;=Preisindex!$A$6,YEAR(AE$4)&gt;=YEAR($F165),$K165="a"),ROUND(VLOOKUP(AJ$4,Preisindex,5,FALSE)/VLOOKUP(YEAR($F165),Preisindex,5,FALSE),2),IF(AND($E165&lt;&gt;0,$F165&gt;0,YEAR($F165)&gt;=Preisindex!$A$6,YEAR(AE$4)&gt;=YEAR($F165),$K165="b"),ROUND(VLOOKUP(AJ$4,Preisindex,3,FALSE)/VLOOKUP(YEAR($F165),Preisindex,3,FALSE),2),IF(AND($E165&lt;&gt;0,$F165&gt;0,YEAR($F165)&gt;=Preisindex!$A$6,YEAR(AE$4)&gt;=YEAR($F165),$K165="g"),ROUND(VLOOKUP(AJ$4,Preisindex,4,FALSE)/VLOOKUP(YEAR($F165),Preisindex,4,FALSE),2),IF(AND($E165&lt;&gt;0,$F165&gt;0,YEAR($F165)&gt;=Preisindex!$A$6,YEAR(AE$4)&gt;=YEAR($F165),$K165="k"),ROUND(VLOOKUP(AJ$4,Preisindex,2,FALSE)/VLOOKUP(YEAR($F165),Preisindex,2,FALSE),2),0)))))</f>
        <v>0</v>
      </c>
      <c r="AK165" s="56">
        <f>IF(AND($E165&lt;&gt;0,$F165&gt;0,YEAR($F165)&lt;Preisindex!$A$6,YEAR(AE$4)&gt;=YEAR($F165),AND($K165&lt;&gt;"a",$K165&lt;&gt;"b",$K165&lt;&gt;"g",$K165&lt;&gt;"k")),1,IF(AND($E165&lt;&gt;0,$F165&gt;0,YEAR($F165)&lt;Preisindex!$A$6,YEAR(AE$4)&gt;=YEAR($F165),$K165="a"),ROUND(VLOOKUP(AJ$4,Preisindex,5,FALSE)/VLOOKUP(Preisindex!$A$6,Preisindex,5,FALSE),2),IF(AND($E165&lt;&gt;0,$F165&gt;0,YEAR($F165)&lt;Preisindex!$A$6,YEAR(AE$4)&gt;=YEAR($F165),$K165="b"),ROUND(VLOOKUP(AJ$4,Preisindex,3,FALSE)/VLOOKUP(Preisindex!$A$6,Preisindex,3,FALSE),2),IF(AND($E165&lt;&gt;0,$F165&gt;0,YEAR($F165)&lt;Preisindex!$A$6,YEAR(AE$4)&gt;=YEAR($F165),$K165="g"),ROUND(VLOOKUP(AJ$4,Preisindex,4,FALSE)/VLOOKUP(Preisindex!$A$6,Preisindex,4,FALSE),2),IF(AND($E165&lt;&gt;0,$F165&gt;0,YEAR($F165)&lt;Preisindex!$A$6,YEAR(AE$4)&gt;=YEAR($F165),$K165="k"),ROUND(VLOOKUP(AJ$4,Preisindex,2,FALSE)/VLOOKUP(Preisindex!$A$6,Preisindex,2,FALSE),2),0)))))</f>
        <v>0</v>
      </c>
      <c r="AL165" s="51">
        <f>IF(AND($E165&lt;&gt;0,$F165&gt;0,YEAR($F165)&lt;=AJ$4,YEAR($F165)&gt;=Preisindex!$A$6),ROUND($E165*AJ165,2),IF(AND($E165&lt;&gt;0,$F165&gt;0,YEAR($F165)&lt;=AJ$4,YEAR($F165)&lt;Preisindex!$A$6),ROUND($E165*AK165,2),0))</f>
        <v>0</v>
      </c>
      <c r="AM165" s="53">
        <f t="shared" si="576"/>
        <v>0</v>
      </c>
      <c r="AN165" s="51">
        <f t="shared" ref="AN165:CM180" si="619">IF(YEAR($F165)=AN$4,$E165,0)</f>
        <v>0</v>
      </c>
      <c r="AO165" s="51">
        <f t="shared" si="579"/>
        <v>0</v>
      </c>
      <c r="AP165" s="51">
        <f t="shared" si="493"/>
        <v>0</v>
      </c>
      <c r="AQ165" s="51">
        <f t="shared" si="580"/>
        <v>0</v>
      </c>
      <c r="AR165" s="51">
        <f t="shared" si="494"/>
        <v>0</v>
      </c>
      <c r="AS165" s="51">
        <f t="shared" si="581"/>
        <v>0</v>
      </c>
      <c r="AT165" s="51">
        <f t="shared" si="495"/>
        <v>0</v>
      </c>
      <c r="AU165" s="51">
        <f t="shared" si="582"/>
        <v>0</v>
      </c>
      <c r="AV165" s="51">
        <f t="shared" si="496"/>
        <v>0</v>
      </c>
      <c r="AW165" s="51">
        <f t="shared" si="583"/>
        <v>0</v>
      </c>
      <c r="AX165" s="51">
        <f t="shared" si="497"/>
        <v>0</v>
      </c>
      <c r="AY165" s="54">
        <f t="shared" si="498"/>
        <v>0</v>
      </c>
      <c r="AZ165" s="55">
        <f t="shared" si="499"/>
        <v>0</v>
      </c>
      <c r="BA165" s="56">
        <f>IF(AND($E165&lt;&gt;0,$F165&gt;0,YEAR($F165)&gt;=Preisindex!$A$6,YEAR(AV$4)&gt;=YEAR($F165),AND($K165&lt;&gt;"a",$K165&lt;&gt;"b",$K165&lt;&gt;"g",$K165&lt;&gt;"k")),1,IF(AND($E165&lt;&gt;0,$F165&gt;0,YEAR($F165)&gt;=Preisindex!$A$6,YEAR(AV$4)&gt;=YEAR($F165),$K165="a"),ROUND(VLOOKUP(BA$4,Preisindex,5,FALSE)/VLOOKUP(YEAR($F165),Preisindex,5,FALSE),2),IF(AND($E165&lt;&gt;0,$F165&gt;0,YEAR($F165)&gt;=Preisindex!$A$6,YEAR(AV$4)&gt;=YEAR($F165),$K165="b"),ROUND(VLOOKUP(BA$4,Preisindex,3,FALSE)/VLOOKUP(YEAR($F165),Preisindex,3,FALSE),2),IF(AND($E165&lt;&gt;0,$F165&gt;0,YEAR($F165)&gt;=Preisindex!$A$6,YEAR(AV$4)&gt;=YEAR($F165),$K165="g"),ROUND(VLOOKUP(BA$4,Preisindex,4,FALSE)/VLOOKUP(YEAR($F165),Preisindex,4,FALSE),2),IF(AND($E165&lt;&gt;0,$F165&gt;0,YEAR($F165)&gt;=Preisindex!$A$6,YEAR(AV$4)&gt;=YEAR($F165),$K165="k"),ROUND(VLOOKUP(BA$4,Preisindex,2,FALSE)/VLOOKUP(YEAR($F165),Preisindex,2,FALSE),2),0)))))</f>
        <v>0</v>
      </c>
      <c r="BB165" s="56">
        <f>IF(AND($E165&lt;&gt;0,$F165&gt;0,YEAR($F165)&lt;Preisindex!$A$6,YEAR(AV$4)&gt;=YEAR($F165),AND($K165&lt;&gt;"a",$K165&lt;&gt;"b",$K165&lt;&gt;"g",$K165&lt;&gt;"k")),1,IF(AND($E165&lt;&gt;0,$F165&gt;0,YEAR($F165)&lt;Preisindex!$A$6,YEAR(AV$4)&gt;=YEAR($F165),$K165="a"),ROUND(VLOOKUP(BA$4,Preisindex,5,FALSE)/VLOOKUP(Preisindex!$A$6,Preisindex,5,FALSE),2),IF(AND($E165&lt;&gt;0,$F165&gt;0,YEAR($F165)&lt;Preisindex!$A$6,YEAR(AV$4)&gt;=YEAR($F165),$K165="b"),ROUND(VLOOKUP(BA$4,Preisindex,3,FALSE)/VLOOKUP(Preisindex!$A$6,Preisindex,3,FALSE),2),IF(AND($E165&lt;&gt;0,$F165&gt;0,YEAR($F165)&lt;Preisindex!$A$6,YEAR(AV$4)&gt;=YEAR($F165),$K165="g"),ROUND(VLOOKUP(BA$4,Preisindex,4,FALSE)/VLOOKUP(Preisindex!$A$6,Preisindex,4,FALSE),2),IF(AND($E165&lt;&gt;0,$F165&gt;0,YEAR($F165)&lt;Preisindex!$A$6,YEAR(AV$4)&gt;=YEAR($F165),$K165="k"),ROUND(VLOOKUP(BA$4,Preisindex,2,FALSE)/VLOOKUP(Preisindex!$A$6,Preisindex,2,FALSE),2),0)))))</f>
        <v>0</v>
      </c>
      <c r="BC165" s="51">
        <f>IF(AND($E165&lt;&gt;0,$F165&gt;0,YEAR($F165)&lt;=BA$4,YEAR($F165)&gt;=Preisindex!$A$6),ROUND($E165*BA165,2),IF(AND($E165&lt;&gt;0,$F165&gt;0,YEAR($F165)&lt;=BA$4,YEAR($F165)&lt;Preisindex!$A$6),ROUND($E165*BB165,2),0))</f>
        <v>0</v>
      </c>
      <c r="BD165" s="53">
        <f t="shared" si="500"/>
        <v>0</v>
      </c>
      <c r="BE165" s="51">
        <f t="shared" si="619"/>
        <v>0</v>
      </c>
      <c r="BF165" s="51">
        <f t="shared" si="584"/>
        <v>0</v>
      </c>
      <c r="BG165" s="51">
        <f t="shared" si="501"/>
        <v>0</v>
      </c>
      <c r="BH165" s="51">
        <f t="shared" si="585"/>
        <v>0</v>
      </c>
      <c r="BI165" s="51">
        <f t="shared" si="502"/>
        <v>0</v>
      </c>
      <c r="BJ165" s="51">
        <f t="shared" si="586"/>
        <v>0</v>
      </c>
      <c r="BK165" s="51">
        <f t="shared" si="503"/>
        <v>0</v>
      </c>
      <c r="BL165" s="51">
        <f t="shared" si="587"/>
        <v>0</v>
      </c>
      <c r="BM165" s="51">
        <f t="shared" si="504"/>
        <v>0</v>
      </c>
      <c r="BN165" s="51">
        <f t="shared" si="588"/>
        <v>0</v>
      </c>
      <c r="BO165" s="51">
        <f t="shared" si="505"/>
        <v>0</v>
      </c>
      <c r="BP165" s="54">
        <f t="shared" si="506"/>
        <v>0</v>
      </c>
      <c r="BQ165" s="55">
        <f t="shared" si="507"/>
        <v>0</v>
      </c>
      <c r="BR165" s="56">
        <f>IF(AND($E165&lt;&gt;0,$F165&gt;0,YEAR($F165)&gt;=Preisindex!$A$6,YEAR(BM$4)&gt;=YEAR($F165),AND($K165&lt;&gt;"a",$K165&lt;&gt;"b",$K165&lt;&gt;"g",$K165&lt;&gt;"k")),1,IF(AND($E165&lt;&gt;0,$F165&gt;0,YEAR($F165)&gt;=Preisindex!$A$6,YEAR(BM$4)&gt;=YEAR($F165),$K165="a"),ROUND(VLOOKUP(BR$4,Preisindex,5,FALSE)/VLOOKUP(YEAR($F165),Preisindex,5,FALSE),2),IF(AND($E165&lt;&gt;0,$F165&gt;0,YEAR($F165)&gt;=Preisindex!$A$6,YEAR(BM$4)&gt;=YEAR($F165),$K165="b"),ROUND(VLOOKUP(BR$4,Preisindex,3,FALSE)/VLOOKUP(YEAR($F165),Preisindex,3,FALSE),2),IF(AND($E165&lt;&gt;0,$F165&gt;0,YEAR($F165)&gt;=Preisindex!$A$6,YEAR(BM$4)&gt;=YEAR($F165),$K165="g"),ROUND(VLOOKUP(BR$4,Preisindex,4,FALSE)/VLOOKUP(YEAR($F165),Preisindex,4,FALSE),2),IF(AND($E165&lt;&gt;0,$F165&gt;0,YEAR($F165)&gt;=Preisindex!$A$6,YEAR(BM$4)&gt;=YEAR($F165),$K165="k"),ROUND(VLOOKUP(BR$4,Preisindex,2,FALSE)/VLOOKUP(YEAR($F165),Preisindex,2,FALSE),2),0)))))</f>
        <v>0</v>
      </c>
      <c r="BS165" s="56">
        <f>IF(AND($E165&lt;&gt;0,$F165&gt;0,YEAR($F165)&lt;Preisindex!$A$6,YEAR(BM$4)&gt;=YEAR($F165),AND($K165&lt;&gt;"a",$K165&lt;&gt;"b",$K165&lt;&gt;"g",$K165&lt;&gt;"k")),1,IF(AND($E165&lt;&gt;0,$F165&gt;0,YEAR($F165)&lt;Preisindex!$A$6,YEAR(BM$4)&gt;=YEAR($F165),$K165="a"),ROUND(VLOOKUP(BR$4,Preisindex,5,FALSE)/VLOOKUP(Preisindex!$A$6,Preisindex,5,FALSE),2),IF(AND($E165&lt;&gt;0,$F165&gt;0,YEAR($F165)&lt;Preisindex!$A$6,YEAR(BM$4)&gt;=YEAR($F165),$K165="b"),ROUND(VLOOKUP(BR$4,Preisindex,3,FALSE)/VLOOKUP(Preisindex!$A$6,Preisindex,3,FALSE),2),IF(AND($E165&lt;&gt;0,$F165&gt;0,YEAR($F165)&lt;Preisindex!$A$6,YEAR(BM$4)&gt;=YEAR($F165),$K165="g"),ROUND(VLOOKUP(BR$4,Preisindex,4,FALSE)/VLOOKUP(Preisindex!$A$6,Preisindex,4,FALSE),2),IF(AND($E165&lt;&gt;0,$F165&gt;0,YEAR($F165)&lt;Preisindex!$A$6,YEAR(BM$4)&gt;=YEAR($F165),$K165="k"),ROUND(VLOOKUP(BR$4,Preisindex,2,FALSE)/VLOOKUP(Preisindex!$A$6,Preisindex,2,FALSE),2),0)))))</f>
        <v>0</v>
      </c>
      <c r="BT165" s="51">
        <f>IF(AND($E165&lt;&gt;0,$F165&gt;0,YEAR($F165)&lt;=BR$4,YEAR($F165)&gt;=Preisindex!$A$6),ROUND($E165*BR165,2),IF(AND($E165&lt;&gt;0,$F165&gt;0,YEAR($F165)&lt;=BR$4,YEAR($F165)&lt;Preisindex!$A$6),ROUND($E165*BS165,2),0))</f>
        <v>0</v>
      </c>
      <c r="BU165" s="53">
        <f t="shared" si="508"/>
        <v>0</v>
      </c>
      <c r="BV165" s="51">
        <f t="shared" si="619"/>
        <v>0</v>
      </c>
      <c r="BW165" s="51">
        <f t="shared" si="589"/>
        <v>0</v>
      </c>
      <c r="BX165" s="51">
        <f t="shared" si="509"/>
        <v>0</v>
      </c>
      <c r="BY165" s="51">
        <f t="shared" si="590"/>
        <v>0</v>
      </c>
      <c r="BZ165" s="51">
        <f t="shared" si="510"/>
        <v>0</v>
      </c>
      <c r="CA165" s="51">
        <f t="shared" si="591"/>
        <v>0</v>
      </c>
      <c r="CB165" s="51">
        <f t="shared" si="511"/>
        <v>0</v>
      </c>
      <c r="CC165" s="51">
        <f t="shared" si="592"/>
        <v>0</v>
      </c>
      <c r="CD165" s="51">
        <f t="shared" si="512"/>
        <v>0</v>
      </c>
      <c r="CE165" s="51">
        <f t="shared" si="593"/>
        <v>0</v>
      </c>
      <c r="CF165" s="51">
        <f t="shared" si="513"/>
        <v>0</v>
      </c>
      <c r="CG165" s="54">
        <f t="shared" si="514"/>
        <v>0</v>
      </c>
      <c r="CH165" s="55">
        <f t="shared" si="515"/>
        <v>0</v>
      </c>
      <c r="CI165" s="56">
        <f>IF(AND($E165&lt;&gt;0,$F165&gt;0,YEAR($F165)&gt;=Preisindex!$A$6,YEAR(CD$4)&gt;=YEAR($F165),AND($K165&lt;&gt;"a",$K165&lt;&gt;"b",$K165&lt;&gt;"g",$K165&lt;&gt;"k")),1,IF(AND($E165&lt;&gt;0,$F165&gt;0,YEAR($F165)&gt;=Preisindex!$A$6,YEAR(CD$4)&gt;=YEAR($F165),$K165="a"),ROUND(VLOOKUP(CI$4,Preisindex,5,FALSE)/VLOOKUP(YEAR($F165),Preisindex,5,FALSE),2),IF(AND($E165&lt;&gt;0,$F165&gt;0,YEAR($F165)&gt;=Preisindex!$A$6,YEAR(CD$4)&gt;=YEAR($F165),$K165="b"),ROUND(VLOOKUP(CI$4,Preisindex,3,FALSE)/VLOOKUP(YEAR($F165),Preisindex,3,FALSE),2),IF(AND($E165&lt;&gt;0,$F165&gt;0,YEAR($F165)&gt;=Preisindex!$A$6,YEAR(CD$4)&gt;=YEAR($F165),$K165="g"),ROUND(VLOOKUP(CI$4,Preisindex,4,FALSE)/VLOOKUP(YEAR($F165),Preisindex,4,FALSE),2),IF(AND($E165&lt;&gt;0,$F165&gt;0,YEAR($F165)&gt;=Preisindex!$A$6,YEAR(CD$4)&gt;=YEAR($F165),$K165="k"),ROUND(VLOOKUP(CI$4,Preisindex,2,FALSE)/VLOOKUP(YEAR($F165),Preisindex,2,FALSE),2),0)))))</f>
        <v>0</v>
      </c>
      <c r="CJ165" s="56">
        <f>IF(AND($E165&lt;&gt;0,$F165&gt;0,YEAR($F165)&lt;Preisindex!$A$6,YEAR(CD$4)&gt;=YEAR($F165),AND($K165&lt;&gt;"a",$K165&lt;&gt;"b",$K165&lt;&gt;"g",$K165&lt;&gt;"k")),1,IF(AND($E165&lt;&gt;0,$F165&gt;0,YEAR($F165)&lt;Preisindex!$A$6,YEAR(CD$4)&gt;=YEAR($F165),$K165="a"),ROUND(VLOOKUP(CI$4,Preisindex,5,FALSE)/VLOOKUP(Preisindex!$A$6,Preisindex,5,FALSE),2),IF(AND($E165&lt;&gt;0,$F165&gt;0,YEAR($F165)&lt;Preisindex!$A$6,YEAR(CD$4)&gt;=YEAR($F165),$K165="b"),ROUND(VLOOKUP(CI$4,Preisindex,3,FALSE)/VLOOKUP(Preisindex!$A$6,Preisindex,3,FALSE),2),IF(AND($E165&lt;&gt;0,$F165&gt;0,YEAR($F165)&lt;Preisindex!$A$6,YEAR(CD$4)&gt;=YEAR($F165),$K165="g"),ROUND(VLOOKUP(CI$4,Preisindex,4,FALSE)/VLOOKUP(Preisindex!$A$6,Preisindex,4,FALSE),2),IF(AND($E165&lt;&gt;0,$F165&gt;0,YEAR($F165)&lt;Preisindex!$A$6,YEAR(CD$4)&gt;=YEAR($F165),$K165="k"),ROUND(VLOOKUP(CI$4,Preisindex,2,FALSE)/VLOOKUP(Preisindex!$A$6,Preisindex,2,FALSE),2),0)))))</f>
        <v>0</v>
      </c>
      <c r="CK165" s="51">
        <f>IF(AND($E165&lt;&gt;0,$F165&gt;0,YEAR($F165)&lt;=CI$4,YEAR($F165)&gt;=Preisindex!$A$6),ROUND($E165*CI165,2),IF(AND($E165&lt;&gt;0,$F165&gt;0,YEAR($F165)&lt;=CI$4,YEAR($F165)&lt;Preisindex!$A$6),ROUND($E165*CJ165,2),0))</f>
        <v>0</v>
      </c>
      <c r="CL165" s="53">
        <f t="shared" si="516"/>
        <v>0</v>
      </c>
      <c r="CM165" s="51">
        <f t="shared" si="619"/>
        <v>0</v>
      </c>
      <c r="CN165" s="51">
        <f t="shared" si="594"/>
        <v>0</v>
      </c>
      <c r="CO165" s="51">
        <f t="shared" si="517"/>
        <v>0</v>
      </c>
      <c r="CP165" s="51">
        <f t="shared" si="595"/>
        <v>0</v>
      </c>
      <c r="CQ165" s="51">
        <f t="shared" si="518"/>
        <v>0</v>
      </c>
      <c r="CR165" s="51">
        <f t="shared" si="596"/>
        <v>0</v>
      </c>
      <c r="CS165" s="51">
        <f t="shared" si="519"/>
        <v>0</v>
      </c>
      <c r="CT165" s="51">
        <f t="shared" si="597"/>
        <v>0</v>
      </c>
      <c r="CU165" s="51">
        <f t="shared" si="520"/>
        <v>0</v>
      </c>
      <c r="CV165" s="51">
        <f t="shared" si="598"/>
        <v>0</v>
      </c>
      <c r="CW165" s="51">
        <f t="shared" si="521"/>
        <v>0</v>
      </c>
      <c r="CX165" s="54">
        <f t="shared" si="522"/>
        <v>0</v>
      </c>
      <c r="CY165" s="55">
        <f t="shared" si="523"/>
        <v>0</v>
      </c>
      <c r="CZ165" s="56">
        <f>IF(AND($E165&lt;&gt;0,$F165&gt;0,YEAR($F165)&gt;=Preisindex!$A$6,YEAR(CU$4)&gt;=YEAR($F165),AND($K165&lt;&gt;"a",$K165&lt;&gt;"b",$K165&lt;&gt;"g",$K165&lt;&gt;"k")),1,IF(AND($E165&lt;&gt;0,$F165&gt;0,YEAR($F165)&gt;=Preisindex!$A$6,YEAR(CU$4)&gt;=YEAR($F165),$K165="a"),ROUND(VLOOKUP(CZ$4,Preisindex,5,FALSE)/VLOOKUP(YEAR($F165),Preisindex,5,FALSE),2),IF(AND($E165&lt;&gt;0,$F165&gt;0,YEAR($F165)&gt;=Preisindex!$A$6,YEAR(CU$4)&gt;=YEAR($F165),$K165="b"),ROUND(VLOOKUP(CZ$4,Preisindex,3,FALSE)/VLOOKUP(YEAR($F165),Preisindex,3,FALSE),2),IF(AND($E165&lt;&gt;0,$F165&gt;0,YEAR($F165)&gt;=Preisindex!$A$6,YEAR(CU$4)&gt;=YEAR($F165),$K165="g"),ROUND(VLOOKUP(CZ$4,Preisindex,4,FALSE)/VLOOKUP(YEAR($F165),Preisindex,4,FALSE),2),IF(AND($E165&lt;&gt;0,$F165&gt;0,YEAR($F165)&gt;=Preisindex!$A$6,YEAR(CU$4)&gt;=YEAR($F165),$K165="k"),ROUND(VLOOKUP(CZ$4,Preisindex,2,FALSE)/VLOOKUP(YEAR($F165),Preisindex,2,FALSE),2),0)))))</f>
        <v>0</v>
      </c>
      <c r="DA165" s="56">
        <f>IF(AND($E165&lt;&gt;0,$F165&gt;0,YEAR($F165)&lt;Preisindex!$A$6,YEAR(CU$4)&gt;=YEAR($F165),AND($K165&lt;&gt;"a",$K165&lt;&gt;"b",$K165&lt;&gt;"g",$K165&lt;&gt;"k")),1,IF(AND($E165&lt;&gt;0,$F165&gt;0,YEAR($F165)&lt;Preisindex!$A$6,YEAR(CU$4)&gt;=YEAR($F165),$K165="a"),ROUND(VLOOKUP(CZ$4,Preisindex,5,FALSE)/VLOOKUP(Preisindex!$A$6,Preisindex,5,FALSE),2),IF(AND($E165&lt;&gt;0,$F165&gt;0,YEAR($F165)&lt;Preisindex!$A$6,YEAR(CU$4)&gt;=YEAR($F165),$K165="b"),ROUND(VLOOKUP(CZ$4,Preisindex,3,FALSE)/VLOOKUP(Preisindex!$A$6,Preisindex,3,FALSE),2),IF(AND($E165&lt;&gt;0,$F165&gt;0,YEAR($F165)&lt;Preisindex!$A$6,YEAR(CU$4)&gt;=YEAR($F165),$K165="g"),ROUND(VLOOKUP(CZ$4,Preisindex,4,FALSE)/VLOOKUP(Preisindex!$A$6,Preisindex,4,FALSE),2),IF(AND($E165&lt;&gt;0,$F165&gt;0,YEAR($F165)&lt;Preisindex!$A$6,YEAR(CU$4)&gt;=YEAR($F165),$K165="k"),ROUND(VLOOKUP(CZ$4,Preisindex,2,FALSE)/VLOOKUP(Preisindex!$A$6,Preisindex,2,FALSE),2),0)))))</f>
        <v>0</v>
      </c>
      <c r="DB165" s="51">
        <f>IF(AND($E165&lt;&gt;0,$F165&gt;0,YEAR($F165)&lt;=CZ$4,YEAR($F165)&gt;=Preisindex!$A$6),ROUND($E165*CZ165,2),IF(AND($E165&lt;&gt;0,$F165&gt;0,YEAR($F165)&lt;=CZ$4,YEAR($F165)&lt;Preisindex!$A$6),ROUND($E165*DA165,2),0))</f>
        <v>0</v>
      </c>
      <c r="DC165" s="53">
        <f t="shared" si="524"/>
        <v>0</v>
      </c>
      <c r="DD165" s="51">
        <f t="shared" ref="DD165:FC180" si="620">IF(YEAR($F165)=DD$4,$E165,0)</f>
        <v>0</v>
      </c>
      <c r="DE165" s="51">
        <f t="shared" si="599"/>
        <v>0</v>
      </c>
      <c r="DF165" s="51">
        <f t="shared" si="526"/>
        <v>0</v>
      </c>
      <c r="DG165" s="51">
        <f t="shared" si="600"/>
        <v>0</v>
      </c>
      <c r="DH165" s="51">
        <f t="shared" si="527"/>
        <v>0</v>
      </c>
      <c r="DI165" s="51">
        <f t="shared" si="601"/>
        <v>0</v>
      </c>
      <c r="DJ165" s="51">
        <f t="shared" si="528"/>
        <v>0</v>
      </c>
      <c r="DK165" s="51">
        <f t="shared" si="602"/>
        <v>0</v>
      </c>
      <c r="DL165" s="51">
        <f t="shared" si="529"/>
        <v>0</v>
      </c>
      <c r="DM165" s="51">
        <f t="shared" si="603"/>
        <v>0</v>
      </c>
      <c r="DN165" s="51">
        <f t="shared" si="530"/>
        <v>0</v>
      </c>
      <c r="DO165" s="54">
        <f t="shared" si="531"/>
        <v>0</v>
      </c>
      <c r="DP165" s="55">
        <f t="shared" si="532"/>
        <v>0</v>
      </c>
      <c r="DQ165" s="56">
        <f>IF(AND($E165&lt;&gt;0,$F165&gt;0,YEAR($F165)&gt;=Preisindex!$A$6,YEAR(DL$4)&gt;=YEAR($F165),AND($K165&lt;&gt;"a",$K165&lt;&gt;"b",$K165&lt;&gt;"g",$K165&lt;&gt;"k")),1,IF(AND($E165&lt;&gt;0,$F165&gt;0,YEAR($F165)&gt;=Preisindex!$A$6,YEAR(DL$4)&gt;=YEAR($F165),$K165="a"),ROUND(VLOOKUP(DQ$4,Preisindex,5,FALSE)/VLOOKUP(YEAR($F165),Preisindex,5,FALSE),2),IF(AND($E165&lt;&gt;0,$F165&gt;0,YEAR($F165)&gt;=Preisindex!$A$6,YEAR(DL$4)&gt;=YEAR($F165),$K165="b"),ROUND(VLOOKUP(DQ$4,Preisindex,3,FALSE)/VLOOKUP(YEAR($F165),Preisindex,3,FALSE),2),IF(AND($E165&lt;&gt;0,$F165&gt;0,YEAR($F165)&gt;=Preisindex!$A$6,YEAR(DL$4)&gt;=YEAR($F165),$K165="g"),ROUND(VLOOKUP(DQ$4,Preisindex,4,FALSE)/VLOOKUP(YEAR($F165),Preisindex,4,FALSE),2),IF(AND($E165&lt;&gt;0,$F165&gt;0,YEAR($F165)&gt;=Preisindex!$A$6,YEAR(DL$4)&gt;=YEAR($F165),$K165="k"),ROUND(VLOOKUP(DQ$4,Preisindex,2,FALSE)/VLOOKUP(YEAR($F165),Preisindex,2,FALSE),2),0)))))</f>
        <v>0</v>
      </c>
      <c r="DR165" s="56">
        <f>IF(AND($E165&lt;&gt;0,$F165&gt;0,YEAR($F165)&lt;Preisindex!$A$6,YEAR(DL$4)&gt;=YEAR($F165),AND($K165&lt;&gt;"a",$K165&lt;&gt;"b",$K165&lt;&gt;"g",$K165&lt;&gt;"k")),1,IF(AND($E165&lt;&gt;0,$F165&gt;0,YEAR($F165)&lt;Preisindex!$A$6,YEAR(DL$4)&gt;=YEAR($F165),$K165="a"),ROUND(VLOOKUP(DQ$4,Preisindex,5,FALSE)/VLOOKUP(Preisindex!$A$6,Preisindex,5,FALSE),2),IF(AND($E165&lt;&gt;0,$F165&gt;0,YEAR($F165)&lt;Preisindex!$A$6,YEAR(DL$4)&gt;=YEAR($F165),$K165="b"),ROUND(VLOOKUP(DQ$4,Preisindex,3,FALSE)/VLOOKUP(Preisindex!$A$6,Preisindex,3,FALSE),2),IF(AND($E165&lt;&gt;0,$F165&gt;0,YEAR($F165)&lt;Preisindex!$A$6,YEAR(DL$4)&gt;=YEAR($F165),$K165="g"),ROUND(VLOOKUP(DQ$4,Preisindex,4,FALSE)/VLOOKUP(Preisindex!$A$6,Preisindex,4,FALSE),2),IF(AND($E165&lt;&gt;0,$F165&gt;0,YEAR($F165)&lt;Preisindex!$A$6,YEAR(DL$4)&gt;=YEAR($F165),$K165="k"),ROUND(VLOOKUP(DQ$4,Preisindex,2,FALSE)/VLOOKUP(Preisindex!$A$6,Preisindex,2,FALSE),2),0)))))</f>
        <v>0</v>
      </c>
      <c r="DS165" s="51">
        <f>IF(AND($E165&lt;&gt;0,$F165&gt;0,YEAR($F165)&lt;=DQ$4,YEAR($F165)&gt;=Preisindex!$A$6),ROUND($E165*DQ165,2),IF(AND($E165&lt;&gt;0,$F165&gt;0,YEAR($F165)&lt;=DQ$4,YEAR($F165)&lt;Preisindex!$A$6),ROUND($E165*DR165,2),0))</f>
        <v>0</v>
      </c>
      <c r="DT165" s="53">
        <f t="shared" si="533"/>
        <v>0</v>
      </c>
      <c r="DU165" s="51">
        <f t="shared" si="620"/>
        <v>0</v>
      </c>
      <c r="DV165" s="51">
        <f t="shared" si="604"/>
        <v>0</v>
      </c>
      <c r="DW165" s="51">
        <f t="shared" si="534"/>
        <v>0</v>
      </c>
      <c r="DX165" s="51">
        <f t="shared" si="605"/>
        <v>0</v>
      </c>
      <c r="DY165" s="51">
        <f t="shared" si="535"/>
        <v>0</v>
      </c>
      <c r="DZ165" s="51">
        <f t="shared" si="606"/>
        <v>0</v>
      </c>
      <c r="EA165" s="51">
        <f t="shared" si="536"/>
        <v>0</v>
      </c>
      <c r="EB165" s="51">
        <f t="shared" si="607"/>
        <v>0</v>
      </c>
      <c r="EC165" s="51">
        <f t="shared" si="537"/>
        <v>0</v>
      </c>
      <c r="ED165" s="51">
        <f t="shared" si="608"/>
        <v>0</v>
      </c>
      <c r="EE165" s="51">
        <f t="shared" si="538"/>
        <v>0</v>
      </c>
      <c r="EF165" s="54">
        <f t="shared" si="539"/>
        <v>0</v>
      </c>
      <c r="EG165" s="55">
        <f t="shared" si="540"/>
        <v>0</v>
      </c>
      <c r="EH165" s="56">
        <f>IF(AND($E165&lt;&gt;0,$F165&gt;0,YEAR($F165)&gt;=Preisindex!$A$6,YEAR(EC$4)&gt;=YEAR($F165),AND($K165&lt;&gt;"a",$K165&lt;&gt;"b",$K165&lt;&gt;"g",$K165&lt;&gt;"k")),1,IF(AND($E165&lt;&gt;0,$F165&gt;0,YEAR($F165)&gt;=Preisindex!$A$6,YEAR(EC$4)&gt;=YEAR($F165),$K165="a"),ROUND(VLOOKUP(EH$4,Preisindex,5,FALSE)/VLOOKUP(YEAR($F165),Preisindex,5,FALSE),2),IF(AND($E165&lt;&gt;0,$F165&gt;0,YEAR($F165)&gt;=Preisindex!$A$6,YEAR(EC$4)&gt;=YEAR($F165),$K165="b"),ROUND(VLOOKUP(EH$4,Preisindex,3,FALSE)/VLOOKUP(YEAR($F165),Preisindex,3,FALSE),2),IF(AND($E165&lt;&gt;0,$F165&gt;0,YEAR($F165)&gt;=Preisindex!$A$6,YEAR(EC$4)&gt;=YEAR($F165),$K165="g"),ROUND(VLOOKUP(EH$4,Preisindex,4,FALSE)/VLOOKUP(YEAR($F165),Preisindex,4,FALSE),2),IF(AND($E165&lt;&gt;0,$F165&gt;0,YEAR($F165)&gt;=Preisindex!$A$6,YEAR(EC$4)&gt;=YEAR($F165),$K165="k"),ROUND(VLOOKUP(EH$4,Preisindex,2,FALSE)/VLOOKUP(YEAR($F165),Preisindex,2,FALSE),2),0)))))</f>
        <v>0</v>
      </c>
      <c r="EI165" s="56">
        <f>IF(AND($E165&lt;&gt;0,$F165&gt;0,YEAR($F165)&lt;Preisindex!$A$6,YEAR(EC$4)&gt;=YEAR($F165),AND($K165&lt;&gt;"a",$K165&lt;&gt;"b",$K165&lt;&gt;"g",$K165&lt;&gt;"k")),1,IF(AND($E165&lt;&gt;0,$F165&gt;0,YEAR($F165)&lt;Preisindex!$A$6,YEAR(EC$4)&gt;=YEAR($F165),$K165="a"),ROUND(VLOOKUP(EH$4,Preisindex,5,FALSE)/VLOOKUP(Preisindex!$A$6,Preisindex,5,FALSE),2),IF(AND($E165&lt;&gt;0,$F165&gt;0,YEAR($F165)&lt;Preisindex!$A$6,YEAR(EC$4)&gt;=YEAR($F165),$K165="b"),ROUND(VLOOKUP(EH$4,Preisindex,3,FALSE)/VLOOKUP(Preisindex!$A$6,Preisindex,3,FALSE),2),IF(AND($E165&lt;&gt;0,$F165&gt;0,YEAR($F165)&lt;Preisindex!$A$6,YEAR(EC$4)&gt;=YEAR($F165),$K165="g"),ROUND(VLOOKUP(EH$4,Preisindex,4,FALSE)/VLOOKUP(Preisindex!$A$6,Preisindex,4,FALSE),2),IF(AND($E165&lt;&gt;0,$F165&gt;0,YEAR($F165)&lt;Preisindex!$A$6,YEAR(EC$4)&gt;=YEAR($F165),$K165="k"),ROUND(VLOOKUP(EH$4,Preisindex,2,FALSE)/VLOOKUP(Preisindex!$A$6,Preisindex,2,FALSE),2),0)))))</f>
        <v>0</v>
      </c>
      <c r="EJ165" s="51">
        <f>IF(AND($E165&lt;&gt;0,$F165&gt;0,YEAR($F165)&lt;=EH$4,YEAR($F165)&gt;=Preisindex!$A$6),ROUND($E165*EH165,2),IF(AND($E165&lt;&gt;0,$F165&gt;0,YEAR($F165)&lt;=EH$4,YEAR($F165)&lt;Preisindex!$A$6),ROUND($E165*EI165,2),0))</f>
        <v>0</v>
      </c>
      <c r="EK165" s="53">
        <f t="shared" si="541"/>
        <v>0</v>
      </c>
      <c r="EL165" s="51">
        <f t="shared" si="620"/>
        <v>0</v>
      </c>
      <c r="EM165" s="51">
        <f t="shared" si="609"/>
        <v>0</v>
      </c>
      <c r="EN165" s="51">
        <f t="shared" si="542"/>
        <v>0</v>
      </c>
      <c r="EO165" s="51">
        <f t="shared" si="610"/>
        <v>0</v>
      </c>
      <c r="EP165" s="51">
        <f t="shared" si="543"/>
        <v>0</v>
      </c>
      <c r="EQ165" s="51">
        <f t="shared" si="611"/>
        <v>0</v>
      </c>
      <c r="ER165" s="51">
        <f t="shared" si="544"/>
        <v>0</v>
      </c>
      <c r="ES165" s="51">
        <f t="shared" si="612"/>
        <v>0</v>
      </c>
      <c r="ET165" s="51">
        <f t="shared" si="545"/>
        <v>0</v>
      </c>
      <c r="EU165" s="51">
        <f t="shared" si="613"/>
        <v>0</v>
      </c>
      <c r="EV165" s="51">
        <f t="shared" si="546"/>
        <v>0</v>
      </c>
      <c r="EW165" s="54">
        <f t="shared" si="547"/>
        <v>0</v>
      </c>
      <c r="EX165" s="55">
        <f t="shared" si="548"/>
        <v>0</v>
      </c>
      <c r="EY165" s="56">
        <f>IF(AND($E165&lt;&gt;0,$F165&gt;0,YEAR($F165)&gt;=Preisindex!$A$6,YEAR(ET$4)&gt;=YEAR($F165),AND($K165&lt;&gt;"a",$K165&lt;&gt;"b",$K165&lt;&gt;"g",$K165&lt;&gt;"k")),1,IF(AND($E165&lt;&gt;0,$F165&gt;0,YEAR($F165)&gt;=Preisindex!$A$6,YEAR(ET$4)&gt;=YEAR($F165),$K165="a"),ROUND(VLOOKUP(EY$4,Preisindex,5,FALSE)/VLOOKUP(YEAR($F165),Preisindex,5,FALSE),2),IF(AND($E165&lt;&gt;0,$F165&gt;0,YEAR($F165)&gt;=Preisindex!$A$6,YEAR(ET$4)&gt;=YEAR($F165),$K165="b"),ROUND(VLOOKUP(EY$4,Preisindex,3,FALSE)/VLOOKUP(YEAR($F165),Preisindex,3,FALSE),2),IF(AND($E165&lt;&gt;0,$F165&gt;0,YEAR($F165)&gt;=Preisindex!$A$6,YEAR(ET$4)&gt;=YEAR($F165),$K165="g"),ROUND(VLOOKUP(EY$4,Preisindex,4,FALSE)/VLOOKUP(YEAR($F165),Preisindex,4,FALSE),2),IF(AND($E165&lt;&gt;0,$F165&gt;0,YEAR($F165)&gt;=Preisindex!$A$6,YEAR(ET$4)&gt;=YEAR($F165),$K165="k"),ROUND(VLOOKUP(EY$4,Preisindex,2,FALSE)/VLOOKUP(YEAR($F165),Preisindex,2,FALSE),2),0)))))</f>
        <v>0</v>
      </c>
      <c r="EZ165" s="56">
        <f>IF(AND($E165&lt;&gt;0,$F165&gt;0,YEAR($F165)&lt;Preisindex!$A$6,YEAR(ET$4)&gt;=YEAR($F165),AND($K165&lt;&gt;"a",$K165&lt;&gt;"b",$K165&lt;&gt;"g",$K165&lt;&gt;"k")),1,IF(AND($E165&lt;&gt;0,$F165&gt;0,YEAR($F165)&lt;Preisindex!$A$6,YEAR(ET$4)&gt;=YEAR($F165),$K165="a"),ROUND(VLOOKUP(EY$4,Preisindex,5,FALSE)/VLOOKUP(Preisindex!$A$6,Preisindex,5,FALSE),2),IF(AND($E165&lt;&gt;0,$F165&gt;0,YEAR($F165)&lt;Preisindex!$A$6,YEAR(ET$4)&gt;=YEAR($F165),$K165="b"),ROUND(VLOOKUP(EY$4,Preisindex,3,FALSE)/VLOOKUP(Preisindex!$A$6,Preisindex,3,FALSE),2),IF(AND($E165&lt;&gt;0,$F165&gt;0,YEAR($F165)&lt;Preisindex!$A$6,YEAR(ET$4)&gt;=YEAR($F165),$K165="g"),ROUND(VLOOKUP(EY$4,Preisindex,4,FALSE)/VLOOKUP(Preisindex!$A$6,Preisindex,4,FALSE),2),IF(AND($E165&lt;&gt;0,$F165&gt;0,YEAR($F165)&lt;Preisindex!$A$6,YEAR(ET$4)&gt;=YEAR($F165),$K165="k"),ROUND(VLOOKUP(EY$4,Preisindex,2,FALSE)/VLOOKUP(Preisindex!$A$6,Preisindex,2,FALSE),2),0)))))</f>
        <v>0</v>
      </c>
      <c r="FA165" s="51">
        <f>IF(AND($E165&lt;&gt;0,$F165&gt;0,YEAR($F165)&lt;=EY$4,YEAR($F165)&gt;=Preisindex!$A$6),ROUND($E165*EY165,2),IF(AND($E165&lt;&gt;0,$F165&gt;0,YEAR($F165)&lt;=EY$4,YEAR($F165)&lt;Preisindex!$A$6),ROUND($E165*EZ165,2),0))</f>
        <v>0</v>
      </c>
      <c r="FB165" s="53">
        <f t="shared" si="549"/>
        <v>0</v>
      </c>
      <c r="FC165" s="51">
        <f t="shared" si="620"/>
        <v>0</v>
      </c>
      <c r="FD165" s="51">
        <f t="shared" si="614"/>
        <v>0</v>
      </c>
      <c r="FE165" s="51">
        <f t="shared" si="550"/>
        <v>0</v>
      </c>
      <c r="FF165" s="51">
        <f t="shared" si="615"/>
        <v>0</v>
      </c>
      <c r="FG165" s="51">
        <f t="shared" si="551"/>
        <v>0</v>
      </c>
      <c r="FH165" s="51">
        <f t="shared" si="616"/>
        <v>0</v>
      </c>
      <c r="FI165" s="51">
        <f t="shared" si="552"/>
        <v>0</v>
      </c>
      <c r="FJ165" s="51">
        <f t="shared" si="617"/>
        <v>0</v>
      </c>
      <c r="FK165" s="51">
        <f t="shared" si="553"/>
        <v>0</v>
      </c>
      <c r="FL165" s="51">
        <f t="shared" si="618"/>
        <v>0</v>
      </c>
      <c r="FM165" s="51">
        <f t="shared" si="554"/>
        <v>0</v>
      </c>
      <c r="FN165" s="54">
        <f t="shared" si="555"/>
        <v>0</v>
      </c>
      <c r="FO165" s="55">
        <f t="shared" si="556"/>
        <v>0</v>
      </c>
      <c r="FP165" s="56">
        <f>IF(AND($E165&lt;&gt;0,$F165&gt;0,YEAR($F165)&gt;=Preisindex!$A$6,YEAR(FK$4)&gt;=YEAR($F165),AND($K165&lt;&gt;"a",$K165&lt;&gt;"b",$K165&lt;&gt;"g",$K165&lt;&gt;"k")),1,IF(AND($E165&lt;&gt;0,$F165&gt;0,YEAR($F165)&gt;=Preisindex!$A$6,YEAR(FK$4)&gt;=YEAR($F165),$K165="a"),ROUND(VLOOKUP(FP$4,Preisindex,5,FALSE)/VLOOKUP(YEAR($F165),Preisindex,5,FALSE),2),IF(AND($E165&lt;&gt;0,$F165&gt;0,YEAR($F165)&gt;=Preisindex!$A$6,YEAR(FK$4)&gt;=YEAR($F165),$K165="b"),ROUND(VLOOKUP(FP$4,Preisindex,3,FALSE)/VLOOKUP(YEAR($F165),Preisindex,3,FALSE),2),IF(AND($E165&lt;&gt;0,$F165&gt;0,YEAR($F165)&gt;=Preisindex!$A$6,YEAR(FK$4)&gt;=YEAR($F165),$K165="g"),ROUND(VLOOKUP(FP$4,Preisindex,4,FALSE)/VLOOKUP(YEAR($F165),Preisindex,4,FALSE),2),IF(AND($E165&lt;&gt;0,$F165&gt;0,YEAR($F165)&gt;=Preisindex!$A$6,YEAR(FK$4)&gt;=YEAR($F165),$K165="k"),ROUND(VLOOKUP(FP$4,Preisindex,2,FALSE)/VLOOKUP(YEAR($F165),Preisindex,2,FALSE),2),0)))))</f>
        <v>0</v>
      </c>
      <c r="FQ165" s="56">
        <f>IF(AND($E165&lt;&gt;0,$F165&gt;0,YEAR($F165)&lt;Preisindex!$A$6,YEAR(FK$4)&gt;=YEAR($F165),AND($K165&lt;&gt;"a",$K165&lt;&gt;"b",$K165&lt;&gt;"g",$K165&lt;&gt;"k")),1,IF(AND($E165&lt;&gt;0,$F165&gt;0,YEAR($F165)&lt;Preisindex!$A$6,YEAR(FK$4)&gt;=YEAR($F165),$K165="a"),ROUND(VLOOKUP(FP$4,Preisindex,5,FALSE)/VLOOKUP(Preisindex!$A$6,Preisindex,5,FALSE),2),IF(AND($E165&lt;&gt;0,$F165&gt;0,YEAR($F165)&lt;Preisindex!$A$6,YEAR(FK$4)&gt;=YEAR($F165),$K165="b"),ROUND(VLOOKUP(FP$4,Preisindex,3,FALSE)/VLOOKUP(Preisindex!$A$6,Preisindex,3,FALSE),2),IF(AND($E165&lt;&gt;0,$F165&gt;0,YEAR($F165)&lt;Preisindex!$A$6,YEAR(FK$4)&gt;=YEAR($F165),$K165="g"),ROUND(VLOOKUP(FP$4,Preisindex,4,FALSE)/VLOOKUP(Preisindex!$A$6,Preisindex,4,FALSE),2),IF(AND($E165&lt;&gt;0,$F165&gt;0,YEAR($F165)&lt;Preisindex!$A$6,YEAR(FK$4)&gt;=YEAR($F165),$K165="k"),ROUND(VLOOKUP(FP$4,Preisindex,2,FALSE)/VLOOKUP(Preisindex!$A$6,Preisindex,2,FALSE),2),0)))))</f>
        <v>0</v>
      </c>
      <c r="FR165" s="51">
        <f>IF(AND($E165&lt;&gt;0,$F165&gt;0,YEAR($F165)&lt;=FP$4,YEAR($F165)&gt;=Preisindex!$A$6),ROUND($E165*FP165,2),IF(AND($E165&lt;&gt;0,$F165&gt;0,YEAR($F165)&lt;=FP$4,YEAR($F165)&lt;Preisindex!$A$6),ROUND($E165*FQ165,2),0))</f>
        <v>0</v>
      </c>
      <c r="FS165" s="53">
        <f t="shared" si="557"/>
        <v>0</v>
      </c>
    </row>
    <row r="166" spans="1:175" x14ac:dyDescent="0.3">
      <c r="A166" s="93"/>
      <c r="B166" s="94"/>
      <c r="C166" s="94"/>
      <c r="D166" s="95"/>
      <c r="E166" s="99"/>
      <c r="F166" s="97"/>
      <c r="G166" s="98"/>
      <c r="H166" s="620"/>
      <c r="I166" s="621"/>
      <c r="J166" s="194"/>
      <c r="K166" s="630"/>
      <c r="L166" s="49">
        <f t="shared" si="558"/>
        <v>0</v>
      </c>
      <c r="M166" s="50">
        <f t="shared" si="559"/>
        <v>0</v>
      </c>
      <c r="N166" s="51">
        <f t="shared" si="560"/>
        <v>0</v>
      </c>
      <c r="O166" s="51"/>
      <c r="P166" s="51">
        <f t="shared" si="561"/>
        <v>0</v>
      </c>
      <c r="Q166" s="52"/>
      <c r="R166" s="52"/>
      <c r="S166" s="52"/>
      <c r="T166" s="52"/>
      <c r="U166" s="52"/>
      <c r="V166" s="53">
        <f t="shared" si="562"/>
        <v>0</v>
      </c>
      <c r="W166" s="51">
        <f t="shared" si="563"/>
        <v>0</v>
      </c>
      <c r="X166" s="51">
        <f t="shared" si="564"/>
        <v>0</v>
      </c>
      <c r="Y166" s="51">
        <f t="shared" si="565"/>
        <v>0</v>
      </c>
      <c r="Z166" s="51">
        <f t="shared" si="566"/>
        <v>0</v>
      </c>
      <c r="AA166" s="51">
        <f t="shared" si="567"/>
        <v>0</v>
      </c>
      <c r="AB166" s="51">
        <f t="shared" si="568"/>
        <v>0</v>
      </c>
      <c r="AC166" s="51">
        <f t="shared" si="569"/>
        <v>0</v>
      </c>
      <c r="AD166" s="51">
        <f t="shared" si="570"/>
        <v>0</v>
      </c>
      <c r="AE166" s="51">
        <f t="shared" si="571"/>
        <v>0</v>
      </c>
      <c r="AF166" s="51">
        <f t="shared" si="572"/>
        <v>0</v>
      </c>
      <c r="AG166" s="51">
        <f t="shared" si="573"/>
        <v>0</v>
      </c>
      <c r="AH166" s="54">
        <f t="shared" si="574"/>
        <v>0</v>
      </c>
      <c r="AI166" s="55">
        <f t="shared" si="575"/>
        <v>0</v>
      </c>
      <c r="AJ166" s="56">
        <f>IF(AND($E166&lt;&gt;0,$F166&gt;0,YEAR($F166)&gt;=Preisindex!$A$6,YEAR(AE$4)&gt;=YEAR($F166),AND($K166&lt;&gt;"a",$K166&lt;&gt;"b",$K166&lt;&gt;"g",$K166&lt;&gt;"k")),1,IF(AND($E166&lt;&gt;0,$F166&gt;0,YEAR($F166)&gt;=Preisindex!$A$6,YEAR(AE$4)&gt;=YEAR($F166),$K166="a"),ROUND(VLOOKUP(AJ$4,Preisindex,5,FALSE)/VLOOKUP(YEAR($F166),Preisindex,5,FALSE),2),IF(AND($E166&lt;&gt;0,$F166&gt;0,YEAR($F166)&gt;=Preisindex!$A$6,YEAR(AE$4)&gt;=YEAR($F166),$K166="b"),ROUND(VLOOKUP(AJ$4,Preisindex,3,FALSE)/VLOOKUP(YEAR($F166),Preisindex,3,FALSE),2),IF(AND($E166&lt;&gt;0,$F166&gt;0,YEAR($F166)&gt;=Preisindex!$A$6,YEAR(AE$4)&gt;=YEAR($F166),$K166="g"),ROUND(VLOOKUP(AJ$4,Preisindex,4,FALSE)/VLOOKUP(YEAR($F166),Preisindex,4,FALSE),2),IF(AND($E166&lt;&gt;0,$F166&gt;0,YEAR($F166)&gt;=Preisindex!$A$6,YEAR(AE$4)&gt;=YEAR($F166),$K166="k"),ROUND(VLOOKUP(AJ$4,Preisindex,2,FALSE)/VLOOKUP(YEAR($F166),Preisindex,2,FALSE),2),0)))))</f>
        <v>0</v>
      </c>
      <c r="AK166" s="56">
        <f>IF(AND($E166&lt;&gt;0,$F166&gt;0,YEAR($F166)&lt;Preisindex!$A$6,YEAR(AE$4)&gt;=YEAR($F166),AND($K166&lt;&gt;"a",$K166&lt;&gt;"b",$K166&lt;&gt;"g",$K166&lt;&gt;"k")),1,IF(AND($E166&lt;&gt;0,$F166&gt;0,YEAR($F166)&lt;Preisindex!$A$6,YEAR(AE$4)&gt;=YEAR($F166),$K166="a"),ROUND(VLOOKUP(AJ$4,Preisindex,5,FALSE)/VLOOKUP(Preisindex!$A$6,Preisindex,5,FALSE),2),IF(AND($E166&lt;&gt;0,$F166&gt;0,YEAR($F166)&lt;Preisindex!$A$6,YEAR(AE$4)&gt;=YEAR($F166),$K166="b"),ROUND(VLOOKUP(AJ$4,Preisindex,3,FALSE)/VLOOKUP(Preisindex!$A$6,Preisindex,3,FALSE),2),IF(AND($E166&lt;&gt;0,$F166&gt;0,YEAR($F166)&lt;Preisindex!$A$6,YEAR(AE$4)&gt;=YEAR($F166),$K166="g"),ROUND(VLOOKUP(AJ$4,Preisindex,4,FALSE)/VLOOKUP(Preisindex!$A$6,Preisindex,4,FALSE),2),IF(AND($E166&lt;&gt;0,$F166&gt;0,YEAR($F166)&lt;Preisindex!$A$6,YEAR(AE$4)&gt;=YEAR($F166),$K166="k"),ROUND(VLOOKUP(AJ$4,Preisindex,2,FALSE)/VLOOKUP(Preisindex!$A$6,Preisindex,2,FALSE),2),0)))))</f>
        <v>0</v>
      </c>
      <c r="AL166" s="51">
        <f>IF(AND($E166&lt;&gt;0,$F166&gt;0,YEAR($F166)&lt;=AJ$4,YEAR($F166)&gt;=Preisindex!$A$6),ROUND($E166*AJ166,2),IF(AND($E166&lt;&gt;0,$F166&gt;0,YEAR($F166)&lt;=AJ$4,YEAR($F166)&lt;Preisindex!$A$6),ROUND($E166*AK166,2),0))</f>
        <v>0</v>
      </c>
      <c r="AM166" s="53">
        <f t="shared" si="576"/>
        <v>0</v>
      </c>
      <c r="AN166" s="51">
        <f t="shared" si="619"/>
        <v>0</v>
      </c>
      <c r="AO166" s="51">
        <f t="shared" si="579"/>
        <v>0</v>
      </c>
      <c r="AP166" s="51">
        <f t="shared" si="493"/>
        <v>0</v>
      </c>
      <c r="AQ166" s="51">
        <f t="shared" si="580"/>
        <v>0</v>
      </c>
      <c r="AR166" s="51">
        <f t="shared" si="494"/>
        <v>0</v>
      </c>
      <c r="AS166" s="51">
        <f t="shared" si="581"/>
        <v>0</v>
      </c>
      <c r="AT166" s="51">
        <f t="shared" si="495"/>
        <v>0</v>
      </c>
      <c r="AU166" s="51">
        <f t="shared" si="582"/>
        <v>0</v>
      </c>
      <c r="AV166" s="51">
        <f t="shared" si="496"/>
        <v>0</v>
      </c>
      <c r="AW166" s="51">
        <f t="shared" si="583"/>
        <v>0</v>
      </c>
      <c r="AX166" s="51">
        <f t="shared" si="497"/>
        <v>0</v>
      </c>
      <c r="AY166" s="54">
        <f t="shared" si="498"/>
        <v>0</v>
      </c>
      <c r="AZ166" s="55">
        <f t="shared" si="499"/>
        <v>0</v>
      </c>
      <c r="BA166" s="56">
        <f>IF(AND($E166&lt;&gt;0,$F166&gt;0,YEAR($F166)&gt;=Preisindex!$A$6,YEAR(AV$4)&gt;=YEAR($F166),AND($K166&lt;&gt;"a",$K166&lt;&gt;"b",$K166&lt;&gt;"g",$K166&lt;&gt;"k")),1,IF(AND($E166&lt;&gt;0,$F166&gt;0,YEAR($F166)&gt;=Preisindex!$A$6,YEAR(AV$4)&gt;=YEAR($F166),$K166="a"),ROUND(VLOOKUP(BA$4,Preisindex,5,FALSE)/VLOOKUP(YEAR($F166),Preisindex,5,FALSE),2),IF(AND($E166&lt;&gt;0,$F166&gt;0,YEAR($F166)&gt;=Preisindex!$A$6,YEAR(AV$4)&gt;=YEAR($F166),$K166="b"),ROUND(VLOOKUP(BA$4,Preisindex,3,FALSE)/VLOOKUP(YEAR($F166),Preisindex,3,FALSE),2),IF(AND($E166&lt;&gt;0,$F166&gt;0,YEAR($F166)&gt;=Preisindex!$A$6,YEAR(AV$4)&gt;=YEAR($F166),$K166="g"),ROUND(VLOOKUP(BA$4,Preisindex,4,FALSE)/VLOOKUP(YEAR($F166),Preisindex,4,FALSE),2),IF(AND($E166&lt;&gt;0,$F166&gt;0,YEAR($F166)&gt;=Preisindex!$A$6,YEAR(AV$4)&gt;=YEAR($F166),$K166="k"),ROUND(VLOOKUP(BA$4,Preisindex,2,FALSE)/VLOOKUP(YEAR($F166),Preisindex,2,FALSE),2),0)))))</f>
        <v>0</v>
      </c>
      <c r="BB166" s="56">
        <f>IF(AND($E166&lt;&gt;0,$F166&gt;0,YEAR($F166)&lt;Preisindex!$A$6,YEAR(AV$4)&gt;=YEAR($F166),AND($K166&lt;&gt;"a",$K166&lt;&gt;"b",$K166&lt;&gt;"g",$K166&lt;&gt;"k")),1,IF(AND($E166&lt;&gt;0,$F166&gt;0,YEAR($F166)&lt;Preisindex!$A$6,YEAR(AV$4)&gt;=YEAR($F166),$K166="a"),ROUND(VLOOKUP(BA$4,Preisindex,5,FALSE)/VLOOKUP(Preisindex!$A$6,Preisindex,5,FALSE),2),IF(AND($E166&lt;&gt;0,$F166&gt;0,YEAR($F166)&lt;Preisindex!$A$6,YEAR(AV$4)&gt;=YEAR($F166),$K166="b"),ROUND(VLOOKUP(BA$4,Preisindex,3,FALSE)/VLOOKUP(Preisindex!$A$6,Preisindex,3,FALSE),2),IF(AND($E166&lt;&gt;0,$F166&gt;0,YEAR($F166)&lt;Preisindex!$A$6,YEAR(AV$4)&gt;=YEAR($F166),$K166="g"),ROUND(VLOOKUP(BA$4,Preisindex,4,FALSE)/VLOOKUP(Preisindex!$A$6,Preisindex,4,FALSE),2),IF(AND($E166&lt;&gt;0,$F166&gt;0,YEAR($F166)&lt;Preisindex!$A$6,YEAR(AV$4)&gt;=YEAR($F166),$K166="k"),ROUND(VLOOKUP(BA$4,Preisindex,2,FALSE)/VLOOKUP(Preisindex!$A$6,Preisindex,2,FALSE),2),0)))))</f>
        <v>0</v>
      </c>
      <c r="BC166" s="51">
        <f>IF(AND($E166&lt;&gt;0,$F166&gt;0,YEAR($F166)&lt;=BA$4,YEAR($F166)&gt;=Preisindex!$A$6),ROUND($E166*BA166,2),IF(AND($E166&lt;&gt;0,$F166&gt;0,YEAR($F166)&lt;=BA$4,YEAR($F166)&lt;Preisindex!$A$6),ROUND($E166*BB166,2),0))</f>
        <v>0</v>
      </c>
      <c r="BD166" s="53">
        <f t="shared" si="500"/>
        <v>0</v>
      </c>
      <c r="BE166" s="51">
        <f t="shared" si="619"/>
        <v>0</v>
      </c>
      <c r="BF166" s="51">
        <f t="shared" si="584"/>
        <v>0</v>
      </c>
      <c r="BG166" s="51">
        <f t="shared" si="501"/>
        <v>0</v>
      </c>
      <c r="BH166" s="51">
        <f t="shared" si="585"/>
        <v>0</v>
      </c>
      <c r="BI166" s="51">
        <f t="shared" si="502"/>
        <v>0</v>
      </c>
      <c r="BJ166" s="51">
        <f t="shared" si="586"/>
        <v>0</v>
      </c>
      <c r="BK166" s="51">
        <f t="shared" si="503"/>
        <v>0</v>
      </c>
      <c r="BL166" s="51">
        <f t="shared" si="587"/>
        <v>0</v>
      </c>
      <c r="BM166" s="51">
        <f t="shared" si="504"/>
        <v>0</v>
      </c>
      <c r="BN166" s="51">
        <f t="shared" si="588"/>
        <v>0</v>
      </c>
      <c r="BO166" s="51">
        <f t="shared" si="505"/>
        <v>0</v>
      </c>
      <c r="BP166" s="54">
        <f t="shared" si="506"/>
        <v>0</v>
      </c>
      <c r="BQ166" s="55">
        <f t="shared" si="507"/>
        <v>0</v>
      </c>
      <c r="BR166" s="56">
        <f>IF(AND($E166&lt;&gt;0,$F166&gt;0,YEAR($F166)&gt;=Preisindex!$A$6,YEAR(BM$4)&gt;=YEAR($F166),AND($K166&lt;&gt;"a",$K166&lt;&gt;"b",$K166&lt;&gt;"g",$K166&lt;&gt;"k")),1,IF(AND($E166&lt;&gt;0,$F166&gt;0,YEAR($F166)&gt;=Preisindex!$A$6,YEAR(BM$4)&gt;=YEAR($F166),$K166="a"),ROUND(VLOOKUP(BR$4,Preisindex,5,FALSE)/VLOOKUP(YEAR($F166),Preisindex,5,FALSE),2),IF(AND($E166&lt;&gt;0,$F166&gt;0,YEAR($F166)&gt;=Preisindex!$A$6,YEAR(BM$4)&gt;=YEAR($F166),$K166="b"),ROUND(VLOOKUP(BR$4,Preisindex,3,FALSE)/VLOOKUP(YEAR($F166),Preisindex,3,FALSE),2),IF(AND($E166&lt;&gt;0,$F166&gt;0,YEAR($F166)&gt;=Preisindex!$A$6,YEAR(BM$4)&gt;=YEAR($F166),$K166="g"),ROUND(VLOOKUP(BR$4,Preisindex,4,FALSE)/VLOOKUP(YEAR($F166),Preisindex,4,FALSE),2),IF(AND($E166&lt;&gt;0,$F166&gt;0,YEAR($F166)&gt;=Preisindex!$A$6,YEAR(BM$4)&gt;=YEAR($F166),$K166="k"),ROUND(VLOOKUP(BR$4,Preisindex,2,FALSE)/VLOOKUP(YEAR($F166),Preisindex,2,FALSE),2),0)))))</f>
        <v>0</v>
      </c>
      <c r="BS166" s="56">
        <f>IF(AND($E166&lt;&gt;0,$F166&gt;0,YEAR($F166)&lt;Preisindex!$A$6,YEAR(BM$4)&gt;=YEAR($F166),AND($K166&lt;&gt;"a",$K166&lt;&gt;"b",$K166&lt;&gt;"g",$K166&lt;&gt;"k")),1,IF(AND($E166&lt;&gt;0,$F166&gt;0,YEAR($F166)&lt;Preisindex!$A$6,YEAR(BM$4)&gt;=YEAR($F166),$K166="a"),ROUND(VLOOKUP(BR$4,Preisindex,5,FALSE)/VLOOKUP(Preisindex!$A$6,Preisindex,5,FALSE),2),IF(AND($E166&lt;&gt;0,$F166&gt;0,YEAR($F166)&lt;Preisindex!$A$6,YEAR(BM$4)&gt;=YEAR($F166),$K166="b"),ROUND(VLOOKUP(BR$4,Preisindex,3,FALSE)/VLOOKUP(Preisindex!$A$6,Preisindex,3,FALSE),2),IF(AND($E166&lt;&gt;0,$F166&gt;0,YEAR($F166)&lt;Preisindex!$A$6,YEAR(BM$4)&gt;=YEAR($F166),$K166="g"),ROUND(VLOOKUP(BR$4,Preisindex,4,FALSE)/VLOOKUP(Preisindex!$A$6,Preisindex,4,FALSE),2),IF(AND($E166&lt;&gt;0,$F166&gt;0,YEAR($F166)&lt;Preisindex!$A$6,YEAR(BM$4)&gt;=YEAR($F166),$K166="k"),ROUND(VLOOKUP(BR$4,Preisindex,2,FALSE)/VLOOKUP(Preisindex!$A$6,Preisindex,2,FALSE),2),0)))))</f>
        <v>0</v>
      </c>
      <c r="BT166" s="51">
        <f>IF(AND($E166&lt;&gt;0,$F166&gt;0,YEAR($F166)&lt;=BR$4,YEAR($F166)&gt;=Preisindex!$A$6),ROUND($E166*BR166,2),IF(AND($E166&lt;&gt;0,$F166&gt;0,YEAR($F166)&lt;=BR$4,YEAR($F166)&lt;Preisindex!$A$6),ROUND($E166*BS166,2),0))</f>
        <v>0</v>
      </c>
      <c r="BU166" s="53">
        <f t="shared" si="508"/>
        <v>0</v>
      </c>
      <c r="BV166" s="51">
        <f t="shared" si="619"/>
        <v>0</v>
      </c>
      <c r="BW166" s="51">
        <f t="shared" si="589"/>
        <v>0</v>
      </c>
      <c r="BX166" s="51">
        <f t="shared" si="509"/>
        <v>0</v>
      </c>
      <c r="BY166" s="51">
        <f t="shared" si="590"/>
        <v>0</v>
      </c>
      <c r="BZ166" s="51">
        <f t="shared" si="510"/>
        <v>0</v>
      </c>
      <c r="CA166" s="51">
        <f t="shared" si="591"/>
        <v>0</v>
      </c>
      <c r="CB166" s="51">
        <f t="shared" si="511"/>
        <v>0</v>
      </c>
      <c r="CC166" s="51">
        <f t="shared" si="592"/>
        <v>0</v>
      </c>
      <c r="CD166" s="51">
        <f t="shared" si="512"/>
        <v>0</v>
      </c>
      <c r="CE166" s="51">
        <f t="shared" si="593"/>
        <v>0</v>
      </c>
      <c r="CF166" s="51">
        <f t="shared" si="513"/>
        <v>0</v>
      </c>
      <c r="CG166" s="54">
        <f t="shared" si="514"/>
        <v>0</v>
      </c>
      <c r="CH166" s="55">
        <f t="shared" si="515"/>
        <v>0</v>
      </c>
      <c r="CI166" s="56">
        <f>IF(AND($E166&lt;&gt;0,$F166&gt;0,YEAR($F166)&gt;=Preisindex!$A$6,YEAR(CD$4)&gt;=YEAR($F166),AND($K166&lt;&gt;"a",$K166&lt;&gt;"b",$K166&lt;&gt;"g",$K166&lt;&gt;"k")),1,IF(AND($E166&lt;&gt;0,$F166&gt;0,YEAR($F166)&gt;=Preisindex!$A$6,YEAR(CD$4)&gt;=YEAR($F166),$K166="a"),ROUND(VLOOKUP(CI$4,Preisindex,5,FALSE)/VLOOKUP(YEAR($F166),Preisindex,5,FALSE),2),IF(AND($E166&lt;&gt;0,$F166&gt;0,YEAR($F166)&gt;=Preisindex!$A$6,YEAR(CD$4)&gt;=YEAR($F166),$K166="b"),ROUND(VLOOKUP(CI$4,Preisindex,3,FALSE)/VLOOKUP(YEAR($F166),Preisindex,3,FALSE),2),IF(AND($E166&lt;&gt;0,$F166&gt;0,YEAR($F166)&gt;=Preisindex!$A$6,YEAR(CD$4)&gt;=YEAR($F166),$K166="g"),ROUND(VLOOKUP(CI$4,Preisindex,4,FALSE)/VLOOKUP(YEAR($F166),Preisindex,4,FALSE),2),IF(AND($E166&lt;&gt;0,$F166&gt;0,YEAR($F166)&gt;=Preisindex!$A$6,YEAR(CD$4)&gt;=YEAR($F166),$K166="k"),ROUND(VLOOKUP(CI$4,Preisindex,2,FALSE)/VLOOKUP(YEAR($F166),Preisindex,2,FALSE),2),0)))))</f>
        <v>0</v>
      </c>
      <c r="CJ166" s="56">
        <f>IF(AND($E166&lt;&gt;0,$F166&gt;0,YEAR($F166)&lt;Preisindex!$A$6,YEAR(CD$4)&gt;=YEAR($F166),AND($K166&lt;&gt;"a",$K166&lt;&gt;"b",$K166&lt;&gt;"g",$K166&lt;&gt;"k")),1,IF(AND($E166&lt;&gt;0,$F166&gt;0,YEAR($F166)&lt;Preisindex!$A$6,YEAR(CD$4)&gt;=YEAR($F166),$K166="a"),ROUND(VLOOKUP(CI$4,Preisindex,5,FALSE)/VLOOKUP(Preisindex!$A$6,Preisindex,5,FALSE),2),IF(AND($E166&lt;&gt;0,$F166&gt;0,YEAR($F166)&lt;Preisindex!$A$6,YEAR(CD$4)&gt;=YEAR($F166),$K166="b"),ROUND(VLOOKUP(CI$4,Preisindex,3,FALSE)/VLOOKUP(Preisindex!$A$6,Preisindex,3,FALSE),2),IF(AND($E166&lt;&gt;0,$F166&gt;0,YEAR($F166)&lt;Preisindex!$A$6,YEAR(CD$4)&gt;=YEAR($F166),$K166="g"),ROUND(VLOOKUP(CI$4,Preisindex,4,FALSE)/VLOOKUP(Preisindex!$A$6,Preisindex,4,FALSE),2),IF(AND($E166&lt;&gt;0,$F166&gt;0,YEAR($F166)&lt;Preisindex!$A$6,YEAR(CD$4)&gt;=YEAR($F166),$K166="k"),ROUND(VLOOKUP(CI$4,Preisindex,2,FALSE)/VLOOKUP(Preisindex!$A$6,Preisindex,2,FALSE),2),0)))))</f>
        <v>0</v>
      </c>
      <c r="CK166" s="51">
        <f>IF(AND($E166&lt;&gt;0,$F166&gt;0,YEAR($F166)&lt;=CI$4,YEAR($F166)&gt;=Preisindex!$A$6),ROUND($E166*CI166,2),IF(AND($E166&lt;&gt;0,$F166&gt;0,YEAR($F166)&lt;=CI$4,YEAR($F166)&lt;Preisindex!$A$6),ROUND($E166*CJ166,2),0))</f>
        <v>0</v>
      </c>
      <c r="CL166" s="53">
        <f t="shared" si="516"/>
        <v>0</v>
      </c>
      <c r="CM166" s="51">
        <f t="shared" si="619"/>
        <v>0</v>
      </c>
      <c r="CN166" s="51">
        <f t="shared" si="594"/>
        <v>0</v>
      </c>
      <c r="CO166" s="51">
        <f t="shared" si="517"/>
        <v>0</v>
      </c>
      <c r="CP166" s="51">
        <f t="shared" si="595"/>
        <v>0</v>
      </c>
      <c r="CQ166" s="51">
        <f t="shared" si="518"/>
        <v>0</v>
      </c>
      <c r="CR166" s="51">
        <f t="shared" si="596"/>
        <v>0</v>
      </c>
      <c r="CS166" s="51">
        <f t="shared" si="519"/>
        <v>0</v>
      </c>
      <c r="CT166" s="51">
        <f t="shared" si="597"/>
        <v>0</v>
      </c>
      <c r="CU166" s="51">
        <f t="shared" si="520"/>
        <v>0</v>
      </c>
      <c r="CV166" s="51">
        <f t="shared" si="598"/>
        <v>0</v>
      </c>
      <c r="CW166" s="51">
        <f t="shared" si="521"/>
        <v>0</v>
      </c>
      <c r="CX166" s="54">
        <f t="shared" si="522"/>
        <v>0</v>
      </c>
      <c r="CY166" s="55">
        <f t="shared" si="523"/>
        <v>0</v>
      </c>
      <c r="CZ166" s="56">
        <f>IF(AND($E166&lt;&gt;0,$F166&gt;0,YEAR($F166)&gt;=Preisindex!$A$6,YEAR(CU$4)&gt;=YEAR($F166),AND($K166&lt;&gt;"a",$K166&lt;&gt;"b",$K166&lt;&gt;"g",$K166&lt;&gt;"k")),1,IF(AND($E166&lt;&gt;0,$F166&gt;0,YEAR($F166)&gt;=Preisindex!$A$6,YEAR(CU$4)&gt;=YEAR($F166),$K166="a"),ROUND(VLOOKUP(CZ$4,Preisindex,5,FALSE)/VLOOKUP(YEAR($F166),Preisindex,5,FALSE),2),IF(AND($E166&lt;&gt;0,$F166&gt;0,YEAR($F166)&gt;=Preisindex!$A$6,YEAR(CU$4)&gt;=YEAR($F166),$K166="b"),ROUND(VLOOKUP(CZ$4,Preisindex,3,FALSE)/VLOOKUP(YEAR($F166),Preisindex,3,FALSE),2),IF(AND($E166&lt;&gt;0,$F166&gt;0,YEAR($F166)&gt;=Preisindex!$A$6,YEAR(CU$4)&gt;=YEAR($F166),$K166="g"),ROUND(VLOOKUP(CZ$4,Preisindex,4,FALSE)/VLOOKUP(YEAR($F166),Preisindex,4,FALSE),2),IF(AND($E166&lt;&gt;0,$F166&gt;0,YEAR($F166)&gt;=Preisindex!$A$6,YEAR(CU$4)&gt;=YEAR($F166),$K166="k"),ROUND(VLOOKUP(CZ$4,Preisindex,2,FALSE)/VLOOKUP(YEAR($F166),Preisindex,2,FALSE),2),0)))))</f>
        <v>0</v>
      </c>
      <c r="DA166" s="56">
        <f>IF(AND($E166&lt;&gt;0,$F166&gt;0,YEAR($F166)&lt;Preisindex!$A$6,YEAR(CU$4)&gt;=YEAR($F166),AND($K166&lt;&gt;"a",$K166&lt;&gt;"b",$K166&lt;&gt;"g",$K166&lt;&gt;"k")),1,IF(AND($E166&lt;&gt;0,$F166&gt;0,YEAR($F166)&lt;Preisindex!$A$6,YEAR(CU$4)&gt;=YEAR($F166),$K166="a"),ROUND(VLOOKUP(CZ$4,Preisindex,5,FALSE)/VLOOKUP(Preisindex!$A$6,Preisindex,5,FALSE),2),IF(AND($E166&lt;&gt;0,$F166&gt;0,YEAR($F166)&lt;Preisindex!$A$6,YEAR(CU$4)&gt;=YEAR($F166),$K166="b"),ROUND(VLOOKUP(CZ$4,Preisindex,3,FALSE)/VLOOKUP(Preisindex!$A$6,Preisindex,3,FALSE),2),IF(AND($E166&lt;&gt;0,$F166&gt;0,YEAR($F166)&lt;Preisindex!$A$6,YEAR(CU$4)&gt;=YEAR($F166),$K166="g"),ROUND(VLOOKUP(CZ$4,Preisindex,4,FALSE)/VLOOKUP(Preisindex!$A$6,Preisindex,4,FALSE),2),IF(AND($E166&lt;&gt;0,$F166&gt;0,YEAR($F166)&lt;Preisindex!$A$6,YEAR(CU$4)&gt;=YEAR($F166),$K166="k"),ROUND(VLOOKUP(CZ$4,Preisindex,2,FALSE)/VLOOKUP(Preisindex!$A$6,Preisindex,2,FALSE),2),0)))))</f>
        <v>0</v>
      </c>
      <c r="DB166" s="51">
        <f>IF(AND($E166&lt;&gt;0,$F166&gt;0,YEAR($F166)&lt;=CZ$4,YEAR($F166)&gt;=Preisindex!$A$6),ROUND($E166*CZ166,2),IF(AND($E166&lt;&gt;0,$F166&gt;0,YEAR($F166)&lt;=CZ$4,YEAR($F166)&lt;Preisindex!$A$6),ROUND($E166*DA166,2),0))</f>
        <v>0</v>
      </c>
      <c r="DC166" s="53">
        <f t="shared" si="524"/>
        <v>0</v>
      </c>
      <c r="DD166" s="51">
        <f t="shared" si="620"/>
        <v>0</v>
      </c>
      <c r="DE166" s="51">
        <f t="shared" si="599"/>
        <v>0</v>
      </c>
      <c r="DF166" s="51">
        <f t="shared" si="526"/>
        <v>0</v>
      </c>
      <c r="DG166" s="51">
        <f t="shared" si="600"/>
        <v>0</v>
      </c>
      <c r="DH166" s="51">
        <f t="shared" si="527"/>
        <v>0</v>
      </c>
      <c r="DI166" s="51">
        <f t="shared" si="601"/>
        <v>0</v>
      </c>
      <c r="DJ166" s="51">
        <f t="shared" si="528"/>
        <v>0</v>
      </c>
      <c r="DK166" s="51">
        <f t="shared" si="602"/>
        <v>0</v>
      </c>
      <c r="DL166" s="51">
        <f t="shared" si="529"/>
        <v>0</v>
      </c>
      <c r="DM166" s="51">
        <f t="shared" si="603"/>
        <v>0</v>
      </c>
      <c r="DN166" s="51">
        <f t="shared" si="530"/>
        <v>0</v>
      </c>
      <c r="DO166" s="54">
        <f t="shared" si="531"/>
        <v>0</v>
      </c>
      <c r="DP166" s="55">
        <f t="shared" si="532"/>
        <v>0</v>
      </c>
      <c r="DQ166" s="56">
        <f>IF(AND($E166&lt;&gt;0,$F166&gt;0,YEAR($F166)&gt;=Preisindex!$A$6,YEAR(DL$4)&gt;=YEAR($F166),AND($K166&lt;&gt;"a",$K166&lt;&gt;"b",$K166&lt;&gt;"g",$K166&lt;&gt;"k")),1,IF(AND($E166&lt;&gt;0,$F166&gt;0,YEAR($F166)&gt;=Preisindex!$A$6,YEAR(DL$4)&gt;=YEAR($F166),$K166="a"),ROUND(VLOOKUP(DQ$4,Preisindex,5,FALSE)/VLOOKUP(YEAR($F166),Preisindex,5,FALSE),2),IF(AND($E166&lt;&gt;0,$F166&gt;0,YEAR($F166)&gt;=Preisindex!$A$6,YEAR(DL$4)&gt;=YEAR($F166),$K166="b"),ROUND(VLOOKUP(DQ$4,Preisindex,3,FALSE)/VLOOKUP(YEAR($F166),Preisindex,3,FALSE),2),IF(AND($E166&lt;&gt;0,$F166&gt;0,YEAR($F166)&gt;=Preisindex!$A$6,YEAR(DL$4)&gt;=YEAR($F166),$K166="g"),ROUND(VLOOKUP(DQ$4,Preisindex,4,FALSE)/VLOOKUP(YEAR($F166),Preisindex,4,FALSE),2),IF(AND($E166&lt;&gt;0,$F166&gt;0,YEAR($F166)&gt;=Preisindex!$A$6,YEAR(DL$4)&gt;=YEAR($F166),$K166="k"),ROUND(VLOOKUP(DQ$4,Preisindex,2,FALSE)/VLOOKUP(YEAR($F166),Preisindex,2,FALSE),2),0)))))</f>
        <v>0</v>
      </c>
      <c r="DR166" s="56">
        <f>IF(AND($E166&lt;&gt;0,$F166&gt;0,YEAR($F166)&lt;Preisindex!$A$6,YEAR(DL$4)&gt;=YEAR($F166),AND($K166&lt;&gt;"a",$K166&lt;&gt;"b",$K166&lt;&gt;"g",$K166&lt;&gt;"k")),1,IF(AND($E166&lt;&gt;0,$F166&gt;0,YEAR($F166)&lt;Preisindex!$A$6,YEAR(DL$4)&gt;=YEAR($F166),$K166="a"),ROUND(VLOOKUP(DQ$4,Preisindex,5,FALSE)/VLOOKUP(Preisindex!$A$6,Preisindex,5,FALSE),2),IF(AND($E166&lt;&gt;0,$F166&gt;0,YEAR($F166)&lt;Preisindex!$A$6,YEAR(DL$4)&gt;=YEAR($F166),$K166="b"),ROUND(VLOOKUP(DQ$4,Preisindex,3,FALSE)/VLOOKUP(Preisindex!$A$6,Preisindex,3,FALSE),2),IF(AND($E166&lt;&gt;0,$F166&gt;0,YEAR($F166)&lt;Preisindex!$A$6,YEAR(DL$4)&gt;=YEAR($F166),$K166="g"),ROUND(VLOOKUP(DQ$4,Preisindex,4,FALSE)/VLOOKUP(Preisindex!$A$6,Preisindex,4,FALSE),2),IF(AND($E166&lt;&gt;0,$F166&gt;0,YEAR($F166)&lt;Preisindex!$A$6,YEAR(DL$4)&gt;=YEAR($F166),$K166="k"),ROUND(VLOOKUP(DQ$4,Preisindex,2,FALSE)/VLOOKUP(Preisindex!$A$6,Preisindex,2,FALSE),2),0)))))</f>
        <v>0</v>
      </c>
      <c r="DS166" s="51">
        <f>IF(AND($E166&lt;&gt;0,$F166&gt;0,YEAR($F166)&lt;=DQ$4,YEAR($F166)&gt;=Preisindex!$A$6),ROUND($E166*DQ166,2),IF(AND($E166&lt;&gt;0,$F166&gt;0,YEAR($F166)&lt;=DQ$4,YEAR($F166)&lt;Preisindex!$A$6),ROUND($E166*DR166,2),0))</f>
        <v>0</v>
      </c>
      <c r="DT166" s="53">
        <f t="shared" si="533"/>
        <v>0</v>
      </c>
      <c r="DU166" s="51">
        <f t="shared" si="620"/>
        <v>0</v>
      </c>
      <c r="DV166" s="51">
        <f t="shared" si="604"/>
        <v>0</v>
      </c>
      <c r="DW166" s="51">
        <f t="shared" si="534"/>
        <v>0</v>
      </c>
      <c r="DX166" s="51">
        <f t="shared" si="605"/>
        <v>0</v>
      </c>
      <c r="DY166" s="51">
        <f t="shared" si="535"/>
        <v>0</v>
      </c>
      <c r="DZ166" s="51">
        <f t="shared" si="606"/>
        <v>0</v>
      </c>
      <c r="EA166" s="51">
        <f t="shared" si="536"/>
        <v>0</v>
      </c>
      <c r="EB166" s="51">
        <f t="shared" si="607"/>
        <v>0</v>
      </c>
      <c r="EC166" s="51">
        <f t="shared" si="537"/>
        <v>0</v>
      </c>
      <c r="ED166" s="51">
        <f t="shared" si="608"/>
        <v>0</v>
      </c>
      <c r="EE166" s="51">
        <f t="shared" si="538"/>
        <v>0</v>
      </c>
      <c r="EF166" s="54">
        <f t="shared" si="539"/>
        <v>0</v>
      </c>
      <c r="EG166" s="55">
        <f t="shared" si="540"/>
        <v>0</v>
      </c>
      <c r="EH166" s="56">
        <f>IF(AND($E166&lt;&gt;0,$F166&gt;0,YEAR($F166)&gt;=Preisindex!$A$6,YEAR(EC$4)&gt;=YEAR($F166),AND($K166&lt;&gt;"a",$K166&lt;&gt;"b",$K166&lt;&gt;"g",$K166&lt;&gt;"k")),1,IF(AND($E166&lt;&gt;0,$F166&gt;0,YEAR($F166)&gt;=Preisindex!$A$6,YEAR(EC$4)&gt;=YEAR($F166),$K166="a"),ROUND(VLOOKUP(EH$4,Preisindex,5,FALSE)/VLOOKUP(YEAR($F166),Preisindex,5,FALSE),2),IF(AND($E166&lt;&gt;0,$F166&gt;0,YEAR($F166)&gt;=Preisindex!$A$6,YEAR(EC$4)&gt;=YEAR($F166),$K166="b"),ROUND(VLOOKUP(EH$4,Preisindex,3,FALSE)/VLOOKUP(YEAR($F166),Preisindex,3,FALSE),2),IF(AND($E166&lt;&gt;0,$F166&gt;0,YEAR($F166)&gt;=Preisindex!$A$6,YEAR(EC$4)&gt;=YEAR($F166),$K166="g"),ROUND(VLOOKUP(EH$4,Preisindex,4,FALSE)/VLOOKUP(YEAR($F166),Preisindex,4,FALSE),2),IF(AND($E166&lt;&gt;0,$F166&gt;0,YEAR($F166)&gt;=Preisindex!$A$6,YEAR(EC$4)&gt;=YEAR($F166),$K166="k"),ROUND(VLOOKUP(EH$4,Preisindex,2,FALSE)/VLOOKUP(YEAR($F166),Preisindex,2,FALSE),2),0)))))</f>
        <v>0</v>
      </c>
      <c r="EI166" s="56">
        <f>IF(AND($E166&lt;&gt;0,$F166&gt;0,YEAR($F166)&lt;Preisindex!$A$6,YEAR(EC$4)&gt;=YEAR($F166),AND($K166&lt;&gt;"a",$K166&lt;&gt;"b",$K166&lt;&gt;"g",$K166&lt;&gt;"k")),1,IF(AND($E166&lt;&gt;0,$F166&gt;0,YEAR($F166)&lt;Preisindex!$A$6,YEAR(EC$4)&gt;=YEAR($F166),$K166="a"),ROUND(VLOOKUP(EH$4,Preisindex,5,FALSE)/VLOOKUP(Preisindex!$A$6,Preisindex,5,FALSE),2),IF(AND($E166&lt;&gt;0,$F166&gt;0,YEAR($F166)&lt;Preisindex!$A$6,YEAR(EC$4)&gt;=YEAR($F166),$K166="b"),ROUND(VLOOKUP(EH$4,Preisindex,3,FALSE)/VLOOKUP(Preisindex!$A$6,Preisindex,3,FALSE),2),IF(AND($E166&lt;&gt;0,$F166&gt;0,YEAR($F166)&lt;Preisindex!$A$6,YEAR(EC$4)&gt;=YEAR($F166),$K166="g"),ROUND(VLOOKUP(EH$4,Preisindex,4,FALSE)/VLOOKUP(Preisindex!$A$6,Preisindex,4,FALSE),2),IF(AND($E166&lt;&gt;0,$F166&gt;0,YEAR($F166)&lt;Preisindex!$A$6,YEAR(EC$4)&gt;=YEAR($F166),$K166="k"),ROUND(VLOOKUP(EH$4,Preisindex,2,FALSE)/VLOOKUP(Preisindex!$A$6,Preisindex,2,FALSE),2),0)))))</f>
        <v>0</v>
      </c>
      <c r="EJ166" s="51">
        <f>IF(AND($E166&lt;&gt;0,$F166&gt;0,YEAR($F166)&lt;=EH$4,YEAR($F166)&gt;=Preisindex!$A$6),ROUND($E166*EH166,2),IF(AND($E166&lt;&gt;0,$F166&gt;0,YEAR($F166)&lt;=EH$4,YEAR($F166)&lt;Preisindex!$A$6),ROUND($E166*EI166,2),0))</f>
        <v>0</v>
      </c>
      <c r="EK166" s="53">
        <f t="shared" si="541"/>
        <v>0</v>
      </c>
      <c r="EL166" s="51">
        <f t="shared" si="620"/>
        <v>0</v>
      </c>
      <c r="EM166" s="51">
        <f t="shared" si="609"/>
        <v>0</v>
      </c>
      <c r="EN166" s="51">
        <f t="shared" si="542"/>
        <v>0</v>
      </c>
      <c r="EO166" s="51">
        <f t="shared" si="610"/>
        <v>0</v>
      </c>
      <c r="EP166" s="51">
        <f t="shared" si="543"/>
        <v>0</v>
      </c>
      <c r="EQ166" s="51">
        <f t="shared" si="611"/>
        <v>0</v>
      </c>
      <c r="ER166" s="51">
        <f t="shared" si="544"/>
        <v>0</v>
      </c>
      <c r="ES166" s="51">
        <f t="shared" si="612"/>
        <v>0</v>
      </c>
      <c r="ET166" s="51">
        <f t="shared" si="545"/>
        <v>0</v>
      </c>
      <c r="EU166" s="51">
        <f t="shared" si="613"/>
        <v>0</v>
      </c>
      <c r="EV166" s="51">
        <f t="shared" si="546"/>
        <v>0</v>
      </c>
      <c r="EW166" s="54">
        <f t="shared" si="547"/>
        <v>0</v>
      </c>
      <c r="EX166" s="55">
        <f t="shared" si="548"/>
        <v>0</v>
      </c>
      <c r="EY166" s="56">
        <f>IF(AND($E166&lt;&gt;0,$F166&gt;0,YEAR($F166)&gt;=Preisindex!$A$6,YEAR(ET$4)&gt;=YEAR($F166),AND($K166&lt;&gt;"a",$K166&lt;&gt;"b",$K166&lt;&gt;"g",$K166&lt;&gt;"k")),1,IF(AND($E166&lt;&gt;0,$F166&gt;0,YEAR($F166)&gt;=Preisindex!$A$6,YEAR(ET$4)&gt;=YEAR($F166),$K166="a"),ROUND(VLOOKUP(EY$4,Preisindex,5,FALSE)/VLOOKUP(YEAR($F166),Preisindex,5,FALSE),2),IF(AND($E166&lt;&gt;0,$F166&gt;0,YEAR($F166)&gt;=Preisindex!$A$6,YEAR(ET$4)&gt;=YEAR($F166),$K166="b"),ROUND(VLOOKUP(EY$4,Preisindex,3,FALSE)/VLOOKUP(YEAR($F166),Preisindex,3,FALSE),2),IF(AND($E166&lt;&gt;0,$F166&gt;0,YEAR($F166)&gt;=Preisindex!$A$6,YEAR(ET$4)&gt;=YEAR($F166),$K166="g"),ROUND(VLOOKUP(EY$4,Preisindex,4,FALSE)/VLOOKUP(YEAR($F166),Preisindex,4,FALSE),2),IF(AND($E166&lt;&gt;0,$F166&gt;0,YEAR($F166)&gt;=Preisindex!$A$6,YEAR(ET$4)&gt;=YEAR($F166),$K166="k"),ROUND(VLOOKUP(EY$4,Preisindex,2,FALSE)/VLOOKUP(YEAR($F166),Preisindex,2,FALSE),2),0)))))</f>
        <v>0</v>
      </c>
      <c r="EZ166" s="56">
        <f>IF(AND($E166&lt;&gt;0,$F166&gt;0,YEAR($F166)&lt;Preisindex!$A$6,YEAR(ET$4)&gt;=YEAR($F166),AND($K166&lt;&gt;"a",$K166&lt;&gt;"b",$K166&lt;&gt;"g",$K166&lt;&gt;"k")),1,IF(AND($E166&lt;&gt;0,$F166&gt;0,YEAR($F166)&lt;Preisindex!$A$6,YEAR(ET$4)&gt;=YEAR($F166),$K166="a"),ROUND(VLOOKUP(EY$4,Preisindex,5,FALSE)/VLOOKUP(Preisindex!$A$6,Preisindex,5,FALSE),2),IF(AND($E166&lt;&gt;0,$F166&gt;0,YEAR($F166)&lt;Preisindex!$A$6,YEAR(ET$4)&gt;=YEAR($F166),$K166="b"),ROUND(VLOOKUP(EY$4,Preisindex,3,FALSE)/VLOOKUP(Preisindex!$A$6,Preisindex,3,FALSE),2),IF(AND($E166&lt;&gt;0,$F166&gt;0,YEAR($F166)&lt;Preisindex!$A$6,YEAR(ET$4)&gt;=YEAR($F166),$K166="g"),ROUND(VLOOKUP(EY$4,Preisindex,4,FALSE)/VLOOKUP(Preisindex!$A$6,Preisindex,4,FALSE),2),IF(AND($E166&lt;&gt;0,$F166&gt;0,YEAR($F166)&lt;Preisindex!$A$6,YEAR(ET$4)&gt;=YEAR($F166),$K166="k"),ROUND(VLOOKUP(EY$4,Preisindex,2,FALSE)/VLOOKUP(Preisindex!$A$6,Preisindex,2,FALSE),2),0)))))</f>
        <v>0</v>
      </c>
      <c r="FA166" s="51">
        <f>IF(AND($E166&lt;&gt;0,$F166&gt;0,YEAR($F166)&lt;=EY$4,YEAR($F166)&gt;=Preisindex!$A$6),ROUND($E166*EY166,2),IF(AND($E166&lt;&gt;0,$F166&gt;0,YEAR($F166)&lt;=EY$4,YEAR($F166)&lt;Preisindex!$A$6),ROUND($E166*EZ166,2),0))</f>
        <v>0</v>
      </c>
      <c r="FB166" s="53">
        <f t="shared" si="549"/>
        <v>0</v>
      </c>
      <c r="FC166" s="51">
        <f t="shared" si="620"/>
        <v>0</v>
      </c>
      <c r="FD166" s="51">
        <f t="shared" si="614"/>
        <v>0</v>
      </c>
      <c r="FE166" s="51">
        <f t="shared" si="550"/>
        <v>0</v>
      </c>
      <c r="FF166" s="51">
        <f t="shared" si="615"/>
        <v>0</v>
      </c>
      <c r="FG166" s="51">
        <f t="shared" si="551"/>
        <v>0</v>
      </c>
      <c r="FH166" s="51">
        <f t="shared" si="616"/>
        <v>0</v>
      </c>
      <c r="FI166" s="51">
        <f t="shared" si="552"/>
        <v>0</v>
      </c>
      <c r="FJ166" s="51">
        <f t="shared" si="617"/>
        <v>0</v>
      </c>
      <c r="FK166" s="51">
        <f t="shared" si="553"/>
        <v>0</v>
      </c>
      <c r="FL166" s="51">
        <f t="shared" si="618"/>
        <v>0</v>
      </c>
      <c r="FM166" s="51">
        <f t="shared" si="554"/>
        <v>0</v>
      </c>
      <c r="FN166" s="54">
        <f t="shared" si="555"/>
        <v>0</v>
      </c>
      <c r="FO166" s="55">
        <f t="shared" si="556"/>
        <v>0</v>
      </c>
      <c r="FP166" s="56">
        <f>IF(AND($E166&lt;&gt;0,$F166&gt;0,YEAR($F166)&gt;=Preisindex!$A$6,YEAR(FK$4)&gt;=YEAR($F166),AND($K166&lt;&gt;"a",$K166&lt;&gt;"b",$K166&lt;&gt;"g",$K166&lt;&gt;"k")),1,IF(AND($E166&lt;&gt;0,$F166&gt;0,YEAR($F166)&gt;=Preisindex!$A$6,YEAR(FK$4)&gt;=YEAR($F166),$K166="a"),ROUND(VLOOKUP(FP$4,Preisindex,5,FALSE)/VLOOKUP(YEAR($F166),Preisindex,5,FALSE),2),IF(AND($E166&lt;&gt;0,$F166&gt;0,YEAR($F166)&gt;=Preisindex!$A$6,YEAR(FK$4)&gt;=YEAR($F166),$K166="b"),ROUND(VLOOKUP(FP$4,Preisindex,3,FALSE)/VLOOKUP(YEAR($F166),Preisindex,3,FALSE),2),IF(AND($E166&lt;&gt;0,$F166&gt;0,YEAR($F166)&gt;=Preisindex!$A$6,YEAR(FK$4)&gt;=YEAR($F166),$K166="g"),ROUND(VLOOKUP(FP$4,Preisindex,4,FALSE)/VLOOKUP(YEAR($F166),Preisindex,4,FALSE),2),IF(AND($E166&lt;&gt;0,$F166&gt;0,YEAR($F166)&gt;=Preisindex!$A$6,YEAR(FK$4)&gt;=YEAR($F166),$K166="k"),ROUND(VLOOKUP(FP$4,Preisindex,2,FALSE)/VLOOKUP(YEAR($F166),Preisindex,2,FALSE),2),0)))))</f>
        <v>0</v>
      </c>
      <c r="FQ166" s="56">
        <f>IF(AND($E166&lt;&gt;0,$F166&gt;0,YEAR($F166)&lt;Preisindex!$A$6,YEAR(FK$4)&gt;=YEAR($F166),AND($K166&lt;&gt;"a",$K166&lt;&gt;"b",$K166&lt;&gt;"g",$K166&lt;&gt;"k")),1,IF(AND($E166&lt;&gt;0,$F166&gt;0,YEAR($F166)&lt;Preisindex!$A$6,YEAR(FK$4)&gt;=YEAR($F166),$K166="a"),ROUND(VLOOKUP(FP$4,Preisindex,5,FALSE)/VLOOKUP(Preisindex!$A$6,Preisindex,5,FALSE),2),IF(AND($E166&lt;&gt;0,$F166&gt;0,YEAR($F166)&lt;Preisindex!$A$6,YEAR(FK$4)&gt;=YEAR($F166),$K166="b"),ROUND(VLOOKUP(FP$4,Preisindex,3,FALSE)/VLOOKUP(Preisindex!$A$6,Preisindex,3,FALSE),2),IF(AND($E166&lt;&gt;0,$F166&gt;0,YEAR($F166)&lt;Preisindex!$A$6,YEAR(FK$4)&gt;=YEAR($F166),$K166="g"),ROUND(VLOOKUP(FP$4,Preisindex,4,FALSE)/VLOOKUP(Preisindex!$A$6,Preisindex,4,FALSE),2),IF(AND($E166&lt;&gt;0,$F166&gt;0,YEAR($F166)&lt;Preisindex!$A$6,YEAR(FK$4)&gt;=YEAR($F166),$K166="k"),ROUND(VLOOKUP(FP$4,Preisindex,2,FALSE)/VLOOKUP(Preisindex!$A$6,Preisindex,2,FALSE),2),0)))))</f>
        <v>0</v>
      </c>
      <c r="FR166" s="51">
        <f>IF(AND($E166&lt;&gt;0,$F166&gt;0,YEAR($F166)&lt;=FP$4,YEAR($F166)&gt;=Preisindex!$A$6),ROUND($E166*FP166,2),IF(AND($E166&lt;&gt;0,$F166&gt;0,YEAR($F166)&lt;=FP$4,YEAR($F166)&lt;Preisindex!$A$6),ROUND($E166*FQ166,2),0))</f>
        <v>0</v>
      </c>
      <c r="FS166" s="53">
        <f t="shared" si="557"/>
        <v>0</v>
      </c>
    </row>
    <row r="167" spans="1:175" x14ac:dyDescent="0.3">
      <c r="A167" s="93"/>
      <c r="B167" s="94"/>
      <c r="C167" s="94"/>
      <c r="D167" s="95"/>
      <c r="E167" s="99"/>
      <c r="F167" s="97"/>
      <c r="G167" s="98"/>
      <c r="H167" s="620"/>
      <c r="I167" s="621"/>
      <c r="J167" s="194"/>
      <c r="K167" s="630"/>
      <c r="L167" s="49">
        <f t="shared" si="558"/>
        <v>0</v>
      </c>
      <c r="M167" s="50">
        <f t="shared" si="559"/>
        <v>0</v>
      </c>
      <c r="N167" s="51">
        <f t="shared" si="560"/>
        <v>0</v>
      </c>
      <c r="O167" s="51"/>
      <c r="P167" s="51">
        <f t="shared" si="561"/>
        <v>0</v>
      </c>
      <c r="Q167" s="52"/>
      <c r="R167" s="52"/>
      <c r="S167" s="52"/>
      <c r="T167" s="52"/>
      <c r="U167" s="52"/>
      <c r="V167" s="53">
        <f t="shared" si="562"/>
        <v>0</v>
      </c>
      <c r="W167" s="51">
        <f t="shared" si="563"/>
        <v>0</v>
      </c>
      <c r="X167" s="51">
        <f t="shared" si="564"/>
        <v>0</v>
      </c>
      <c r="Y167" s="51">
        <f t="shared" si="565"/>
        <v>0</v>
      </c>
      <c r="Z167" s="51">
        <f t="shared" si="566"/>
        <v>0</v>
      </c>
      <c r="AA167" s="51">
        <f t="shared" si="567"/>
        <v>0</v>
      </c>
      <c r="AB167" s="51">
        <f t="shared" si="568"/>
        <v>0</v>
      </c>
      <c r="AC167" s="51">
        <f t="shared" si="569"/>
        <v>0</v>
      </c>
      <c r="AD167" s="51">
        <f t="shared" si="570"/>
        <v>0</v>
      </c>
      <c r="AE167" s="51">
        <f t="shared" si="571"/>
        <v>0</v>
      </c>
      <c r="AF167" s="51">
        <f t="shared" si="572"/>
        <v>0</v>
      </c>
      <c r="AG167" s="51">
        <f t="shared" si="573"/>
        <v>0</v>
      </c>
      <c r="AH167" s="54">
        <f t="shared" si="574"/>
        <v>0</v>
      </c>
      <c r="AI167" s="55">
        <f t="shared" si="575"/>
        <v>0</v>
      </c>
      <c r="AJ167" s="56">
        <f>IF(AND($E167&lt;&gt;0,$F167&gt;0,YEAR($F167)&gt;=Preisindex!$A$6,YEAR(AE$4)&gt;=YEAR($F167),AND($K167&lt;&gt;"a",$K167&lt;&gt;"b",$K167&lt;&gt;"g",$K167&lt;&gt;"k")),1,IF(AND($E167&lt;&gt;0,$F167&gt;0,YEAR($F167)&gt;=Preisindex!$A$6,YEAR(AE$4)&gt;=YEAR($F167),$K167="a"),ROUND(VLOOKUP(AJ$4,Preisindex,5,FALSE)/VLOOKUP(YEAR($F167),Preisindex,5,FALSE),2),IF(AND($E167&lt;&gt;0,$F167&gt;0,YEAR($F167)&gt;=Preisindex!$A$6,YEAR(AE$4)&gt;=YEAR($F167),$K167="b"),ROUND(VLOOKUP(AJ$4,Preisindex,3,FALSE)/VLOOKUP(YEAR($F167),Preisindex,3,FALSE),2),IF(AND($E167&lt;&gt;0,$F167&gt;0,YEAR($F167)&gt;=Preisindex!$A$6,YEAR(AE$4)&gt;=YEAR($F167),$K167="g"),ROUND(VLOOKUP(AJ$4,Preisindex,4,FALSE)/VLOOKUP(YEAR($F167),Preisindex,4,FALSE),2),IF(AND($E167&lt;&gt;0,$F167&gt;0,YEAR($F167)&gt;=Preisindex!$A$6,YEAR(AE$4)&gt;=YEAR($F167),$K167="k"),ROUND(VLOOKUP(AJ$4,Preisindex,2,FALSE)/VLOOKUP(YEAR($F167),Preisindex,2,FALSE),2),0)))))</f>
        <v>0</v>
      </c>
      <c r="AK167" s="56">
        <f>IF(AND($E167&lt;&gt;0,$F167&gt;0,YEAR($F167)&lt;Preisindex!$A$6,YEAR(AE$4)&gt;=YEAR($F167),AND($K167&lt;&gt;"a",$K167&lt;&gt;"b",$K167&lt;&gt;"g",$K167&lt;&gt;"k")),1,IF(AND($E167&lt;&gt;0,$F167&gt;0,YEAR($F167)&lt;Preisindex!$A$6,YEAR(AE$4)&gt;=YEAR($F167),$K167="a"),ROUND(VLOOKUP(AJ$4,Preisindex,5,FALSE)/VLOOKUP(Preisindex!$A$6,Preisindex,5,FALSE),2),IF(AND($E167&lt;&gt;0,$F167&gt;0,YEAR($F167)&lt;Preisindex!$A$6,YEAR(AE$4)&gt;=YEAR($F167),$K167="b"),ROUND(VLOOKUP(AJ$4,Preisindex,3,FALSE)/VLOOKUP(Preisindex!$A$6,Preisindex,3,FALSE),2),IF(AND($E167&lt;&gt;0,$F167&gt;0,YEAR($F167)&lt;Preisindex!$A$6,YEAR(AE$4)&gt;=YEAR($F167),$K167="g"),ROUND(VLOOKUP(AJ$4,Preisindex,4,FALSE)/VLOOKUP(Preisindex!$A$6,Preisindex,4,FALSE),2),IF(AND($E167&lt;&gt;0,$F167&gt;0,YEAR($F167)&lt;Preisindex!$A$6,YEAR(AE$4)&gt;=YEAR($F167),$K167="k"),ROUND(VLOOKUP(AJ$4,Preisindex,2,FALSE)/VLOOKUP(Preisindex!$A$6,Preisindex,2,FALSE),2),0)))))</f>
        <v>0</v>
      </c>
      <c r="AL167" s="51">
        <f>IF(AND($E167&lt;&gt;0,$F167&gt;0,YEAR($F167)&lt;=AJ$4,YEAR($F167)&gt;=Preisindex!$A$6),ROUND($E167*AJ167,2),IF(AND($E167&lt;&gt;0,$F167&gt;0,YEAR($F167)&lt;=AJ$4,YEAR($F167)&lt;Preisindex!$A$6),ROUND($E167*AK167,2),0))</f>
        <v>0</v>
      </c>
      <c r="AM167" s="53">
        <f t="shared" si="576"/>
        <v>0</v>
      </c>
      <c r="AN167" s="51">
        <f t="shared" si="619"/>
        <v>0</v>
      </c>
      <c r="AO167" s="51">
        <f t="shared" si="579"/>
        <v>0</v>
      </c>
      <c r="AP167" s="51">
        <f t="shared" si="493"/>
        <v>0</v>
      </c>
      <c r="AQ167" s="51">
        <f t="shared" si="580"/>
        <v>0</v>
      </c>
      <c r="AR167" s="51">
        <f t="shared" si="494"/>
        <v>0</v>
      </c>
      <c r="AS167" s="51">
        <f t="shared" si="581"/>
        <v>0</v>
      </c>
      <c r="AT167" s="51">
        <f t="shared" si="495"/>
        <v>0</v>
      </c>
      <c r="AU167" s="51">
        <f t="shared" si="582"/>
        <v>0</v>
      </c>
      <c r="AV167" s="51">
        <f t="shared" si="496"/>
        <v>0</v>
      </c>
      <c r="AW167" s="51">
        <f t="shared" si="583"/>
        <v>0</v>
      </c>
      <c r="AX167" s="51">
        <f t="shared" si="497"/>
        <v>0</v>
      </c>
      <c r="AY167" s="54">
        <f t="shared" si="498"/>
        <v>0</v>
      </c>
      <c r="AZ167" s="55">
        <f t="shared" si="499"/>
        <v>0</v>
      </c>
      <c r="BA167" s="56">
        <f>IF(AND($E167&lt;&gt;0,$F167&gt;0,YEAR($F167)&gt;=Preisindex!$A$6,YEAR(AV$4)&gt;=YEAR($F167),AND($K167&lt;&gt;"a",$K167&lt;&gt;"b",$K167&lt;&gt;"g",$K167&lt;&gt;"k")),1,IF(AND($E167&lt;&gt;0,$F167&gt;0,YEAR($F167)&gt;=Preisindex!$A$6,YEAR(AV$4)&gt;=YEAR($F167),$K167="a"),ROUND(VLOOKUP(BA$4,Preisindex,5,FALSE)/VLOOKUP(YEAR($F167),Preisindex,5,FALSE),2),IF(AND($E167&lt;&gt;0,$F167&gt;0,YEAR($F167)&gt;=Preisindex!$A$6,YEAR(AV$4)&gt;=YEAR($F167),$K167="b"),ROUND(VLOOKUP(BA$4,Preisindex,3,FALSE)/VLOOKUP(YEAR($F167),Preisindex,3,FALSE),2),IF(AND($E167&lt;&gt;0,$F167&gt;0,YEAR($F167)&gt;=Preisindex!$A$6,YEAR(AV$4)&gt;=YEAR($F167),$K167="g"),ROUND(VLOOKUP(BA$4,Preisindex,4,FALSE)/VLOOKUP(YEAR($F167),Preisindex,4,FALSE),2),IF(AND($E167&lt;&gt;0,$F167&gt;0,YEAR($F167)&gt;=Preisindex!$A$6,YEAR(AV$4)&gt;=YEAR($F167),$K167="k"),ROUND(VLOOKUP(BA$4,Preisindex,2,FALSE)/VLOOKUP(YEAR($F167),Preisindex,2,FALSE),2),0)))))</f>
        <v>0</v>
      </c>
      <c r="BB167" s="56">
        <f>IF(AND($E167&lt;&gt;0,$F167&gt;0,YEAR($F167)&lt;Preisindex!$A$6,YEAR(AV$4)&gt;=YEAR($F167),AND($K167&lt;&gt;"a",$K167&lt;&gt;"b",$K167&lt;&gt;"g",$K167&lt;&gt;"k")),1,IF(AND($E167&lt;&gt;0,$F167&gt;0,YEAR($F167)&lt;Preisindex!$A$6,YEAR(AV$4)&gt;=YEAR($F167),$K167="a"),ROUND(VLOOKUP(BA$4,Preisindex,5,FALSE)/VLOOKUP(Preisindex!$A$6,Preisindex,5,FALSE),2),IF(AND($E167&lt;&gt;0,$F167&gt;0,YEAR($F167)&lt;Preisindex!$A$6,YEAR(AV$4)&gt;=YEAR($F167),$K167="b"),ROUND(VLOOKUP(BA$4,Preisindex,3,FALSE)/VLOOKUP(Preisindex!$A$6,Preisindex,3,FALSE),2),IF(AND($E167&lt;&gt;0,$F167&gt;0,YEAR($F167)&lt;Preisindex!$A$6,YEAR(AV$4)&gt;=YEAR($F167),$K167="g"),ROUND(VLOOKUP(BA$4,Preisindex,4,FALSE)/VLOOKUP(Preisindex!$A$6,Preisindex,4,FALSE),2),IF(AND($E167&lt;&gt;0,$F167&gt;0,YEAR($F167)&lt;Preisindex!$A$6,YEAR(AV$4)&gt;=YEAR($F167),$K167="k"),ROUND(VLOOKUP(BA$4,Preisindex,2,FALSE)/VLOOKUP(Preisindex!$A$6,Preisindex,2,FALSE),2),0)))))</f>
        <v>0</v>
      </c>
      <c r="BC167" s="51">
        <f>IF(AND($E167&lt;&gt;0,$F167&gt;0,YEAR($F167)&lt;=BA$4,YEAR($F167)&gt;=Preisindex!$A$6),ROUND($E167*BA167,2),IF(AND($E167&lt;&gt;0,$F167&gt;0,YEAR($F167)&lt;=BA$4,YEAR($F167)&lt;Preisindex!$A$6),ROUND($E167*BB167,2),0))</f>
        <v>0</v>
      </c>
      <c r="BD167" s="53">
        <f t="shared" si="500"/>
        <v>0</v>
      </c>
      <c r="BE167" s="51">
        <f t="shared" si="619"/>
        <v>0</v>
      </c>
      <c r="BF167" s="51">
        <f t="shared" si="584"/>
        <v>0</v>
      </c>
      <c r="BG167" s="51">
        <f t="shared" si="501"/>
        <v>0</v>
      </c>
      <c r="BH167" s="51">
        <f t="shared" si="585"/>
        <v>0</v>
      </c>
      <c r="BI167" s="51">
        <f t="shared" si="502"/>
        <v>0</v>
      </c>
      <c r="BJ167" s="51">
        <f t="shared" si="586"/>
        <v>0</v>
      </c>
      <c r="BK167" s="51">
        <f t="shared" si="503"/>
        <v>0</v>
      </c>
      <c r="BL167" s="51">
        <f t="shared" si="587"/>
        <v>0</v>
      </c>
      <c r="BM167" s="51">
        <f t="shared" si="504"/>
        <v>0</v>
      </c>
      <c r="BN167" s="51">
        <f t="shared" si="588"/>
        <v>0</v>
      </c>
      <c r="BO167" s="51">
        <f t="shared" si="505"/>
        <v>0</v>
      </c>
      <c r="BP167" s="54">
        <f t="shared" si="506"/>
        <v>0</v>
      </c>
      <c r="BQ167" s="55">
        <f t="shared" si="507"/>
        <v>0</v>
      </c>
      <c r="BR167" s="56">
        <f>IF(AND($E167&lt;&gt;0,$F167&gt;0,YEAR($F167)&gt;=Preisindex!$A$6,YEAR(BM$4)&gt;=YEAR($F167),AND($K167&lt;&gt;"a",$K167&lt;&gt;"b",$K167&lt;&gt;"g",$K167&lt;&gt;"k")),1,IF(AND($E167&lt;&gt;0,$F167&gt;0,YEAR($F167)&gt;=Preisindex!$A$6,YEAR(BM$4)&gt;=YEAR($F167),$K167="a"),ROUND(VLOOKUP(BR$4,Preisindex,5,FALSE)/VLOOKUP(YEAR($F167),Preisindex,5,FALSE),2),IF(AND($E167&lt;&gt;0,$F167&gt;0,YEAR($F167)&gt;=Preisindex!$A$6,YEAR(BM$4)&gt;=YEAR($F167),$K167="b"),ROUND(VLOOKUP(BR$4,Preisindex,3,FALSE)/VLOOKUP(YEAR($F167),Preisindex,3,FALSE),2),IF(AND($E167&lt;&gt;0,$F167&gt;0,YEAR($F167)&gt;=Preisindex!$A$6,YEAR(BM$4)&gt;=YEAR($F167),$K167="g"),ROUND(VLOOKUP(BR$4,Preisindex,4,FALSE)/VLOOKUP(YEAR($F167),Preisindex,4,FALSE),2),IF(AND($E167&lt;&gt;0,$F167&gt;0,YEAR($F167)&gt;=Preisindex!$A$6,YEAR(BM$4)&gt;=YEAR($F167),$K167="k"),ROUND(VLOOKUP(BR$4,Preisindex,2,FALSE)/VLOOKUP(YEAR($F167),Preisindex,2,FALSE),2),0)))))</f>
        <v>0</v>
      </c>
      <c r="BS167" s="56">
        <f>IF(AND($E167&lt;&gt;0,$F167&gt;0,YEAR($F167)&lt;Preisindex!$A$6,YEAR(BM$4)&gt;=YEAR($F167),AND($K167&lt;&gt;"a",$K167&lt;&gt;"b",$K167&lt;&gt;"g",$K167&lt;&gt;"k")),1,IF(AND($E167&lt;&gt;0,$F167&gt;0,YEAR($F167)&lt;Preisindex!$A$6,YEAR(BM$4)&gt;=YEAR($F167),$K167="a"),ROUND(VLOOKUP(BR$4,Preisindex,5,FALSE)/VLOOKUP(Preisindex!$A$6,Preisindex,5,FALSE),2),IF(AND($E167&lt;&gt;0,$F167&gt;0,YEAR($F167)&lt;Preisindex!$A$6,YEAR(BM$4)&gt;=YEAR($F167),$K167="b"),ROUND(VLOOKUP(BR$4,Preisindex,3,FALSE)/VLOOKUP(Preisindex!$A$6,Preisindex,3,FALSE),2),IF(AND($E167&lt;&gt;0,$F167&gt;0,YEAR($F167)&lt;Preisindex!$A$6,YEAR(BM$4)&gt;=YEAR($F167),$K167="g"),ROUND(VLOOKUP(BR$4,Preisindex,4,FALSE)/VLOOKUP(Preisindex!$A$6,Preisindex,4,FALSE),2),IF(AND($E167&lt;&gt;0,$F167&gt;0,YEAR($F167)&lt;Preisindex!$A$6,YEAR(BM$4)&gt;=YEAR($F167),$K167="k"),ROUND(VLOOKUP(BR$4,Preisindex,2,FALSE)/VLOOKUP(Preisindex!$A$6,Preisindex,2,FALSE),2),0)))))</f>
        <v>0</v>
      </c>
      <c r="BT167" s="51">
        <f>IF(AND($E167&lt;&gt;0,$F167&gt;0,YEAR($F167)&lt;=BR$4,YEAR($F167)&gt;=Preisindex!$A$6),ROUND($E167*BR167,2),IF(AND($E167&lt;&gt;0,$F167&gt;0,YEAR($F167)&lt;=BR$4,YEAR($F167)&lt;Preisindex!$A$6),ROUND($E167*BS167,2),0))</f>
        <v>0</v>
      </c>
      <c r="BU167" s="53">
        <f t="shared" si="508"/>
        <v>0</v>
      </c>
      <c r="BV167" s="51">
        <f t="shared" si="619"/>
        <v>0</v>
      </c>
      <c r="BW167" s="51">
        <f t="shared" si="589"/>
        <v>0</v>
      </c>
      <c r="BX167" s="51">
        <f t="shared" si="509"/>
        <v>0</v>
      </c>
      <c r="BY167" s="51">
        <f t="shared" si="590"/>
        <v>0</v>
      </c>
      <c r="BZ167" s="51">
        <f t="shared" si="510"/>
        <v>0</v>
      </c>
      <c r="CA167" s="51">
        <f t="shared" si="591"/>
        <v>0</v>
      </c>
      <c r="CB167" s="51">
        <f t="shared" si="511"/>
        <v>0</v>
      </c>
      <c r="CC167" s="51">
        <f t="shared" si="592"/>
        <v>0</v>
      </c>
      <c r="CD167" s="51">
        <f t="shared" si="512"/>
        <v>0</v>
      </c>
      <c r="CE167" s="51">
        <f t="shared" si="593"/>
        <v>0</v>
      </c>
      <c r="CF167" s="51">
        <f t="shared" si="513"/>
        <v>0</v>
      </c>
      <c r="CG167" s="54">
        <f t="shared" si="514"/>
        <v>0</v>
      </c>
      <c r="CH167" s="55">
        <f t="shared" si="515"/>
        <v>0</v>
      </c>
      <c r="CI167" s="56">
        <f>IF(AND($E167&lt;&gt;0,$F167&gt;0,YEAR($F167)&gt;=Preisindex!$A$6,YEAR(CD$4)&gt;=YEAR($F167),AND($K167&lt;&gt;"a",$K167&lt;&gt;"b",$K167&lt;&gt;"g",$K167&lt;&gt;"k")),1,IF(AND($E167&lt;&gt;0,$F167&gt;0,YEAR($F167)&gt;=Preisindex!$A$6,YEAR(CD$4)&gt;=YEAR($F167),$K167="a"),ROUND(VLOOKUP(CI$4,Preisindex,5,FALSE)/VLOOKUP(YEAR($F167),Preisindex,5,FALSE),2),IF(AND($E167&lt;&gt;0,$F167&gt;0,YEAR($F167)&gt;=Preisindex!$A$6,YEAR(CD$4)&gt;=YEAR($F167),$K167="b"),ROUND(VLOOKUP(CI$4,Preisindex,3,FALSE)/VLOOKUP(YEAR($F167),Preisindex,3,FALSE),2),IF(AND($E167&lt;&gt;0,$F167&gt;0,YEAR($F167)&gt;=Preisindex!$A$6,YEAR(CD$4)&gt;=YEAR($F167),$K167="g"),ROUND(VLOOKUP(CI$4,Preisindex,4,FALSE)/VLOOKUP(YEAR($F167),Preisindex,4,FALSE),2),IF(AND($E167&lt;&gt;0,$F167&gt;0,YEAR($F167)&gt;=Preisindex!$A$6,YEAR(CD$4)&gt;=YEAR($F167),$K167="k"),ROUND(VLOOKUP(CI$4,Preisindex,2,FALSE)/VLOOKUP(YEAR($F167),Preisindex,2,FALSE),2),0)))))</f>
        <v>0</v>
      </c>
      <c r="CJ167" s="56">
        <f>IF(AND($E167&lt;&gt;0,$F167&gt;0,YEAR($F167)&lt;Preisindex!$A$6,YEAR(CD$4)&gt;=YEAR($F167),AND($K167&lt;&gt;"a",$K167&lt;&gt;"b",$K167&lt;&gt;"g",$K167&lt;&gt;"k")),1,IF(AND($E167&lt;&gt;0,$F167&gt;0,YEAR($F167)&lt;Preisindex!$A$6,YEAR(CD$4)&gt;=YEAR($F167),$K167="a"),ROUND(VLOOKUP(CI$4,Preisindex,5,FALSE)/VLOOKUP(Preisindex!$A$6,Preisindex,5,FALSE),2),IF(AND($E167&lt;&gt;0,$F167&gt;0,YEAR($F167)&lt;Preisindex!$A$6,YEAR(CD$4)&gt;=YEAR($F167),$K167="b"),ROUND(VLOOKUP(CI$4,Preisindex,3,FALSE)/VLOOKUP(Preisindex!$A$6,Preisindex,3,FALSE),2),IF(AND($E167&lt;&gt;0,$F167&gt;0,YEAR($F167)&lt;Preisindex!$A$6,YEAR(CD$4)&gt;=YEAR($F167),$K167="g"),ROUND(VLOOKUP(CI$4,Preisindex,4,FALSE)/VLOOKUP(Preisindex!$A$6,Preisindex,4,FALSE),2),IF(AND($E167&lt;&gt;0,$F167&gt;0,YEAR($F167)&lt;Preisindex!$A$6,YEAR(CD$4)&gt;=YEAR($F167),$K167="k"),ROUND(VLOOKUP(CI$4,Preisindex,2,FALSE)/VLOOKUP(Preisindex!$A$6,Preisindex,2,FALSE),2),0)))))</f>
        <v>0</v>
      </c>
      <c r="CK167" s="51">
        <f>IF(AND($E167&lt;&gt;0,$F167&gt;0,YEAR($F167)&lt;=CI$4,YEAR($F167)&gt;=Preisindex!$A$6),ROUND($E167*CI167,2),IF(AND($E167&lt;&gt;0,$F167&gt;0,YEAR($F167)&lt;=CI$4,YEAR($F167)&lt;Preisindex!$A$6),ROUND($E167*CJ167,2),0))</f>
        <v>0</v>
      </c>
      <c r="CL167" s="53">
        <f t="shared" si="516"/>
        <v>0</v>
      </c>
      <c r="CM167" s="51">
        <f t="shared" si="619"/>
        <v>0</v>
      </c>
      <c r="CN167" s="51">
        <f t="shared" si="594"/>
        <v>0</v>
      </c>
      <c r="CO167" s="51">
        <f t="shared" si="517"/>
        <v>0</v>
      </c>
      <c r="CP167" s="51">
        <f t="shared" si="595"/>
        <v>0</v>
      </c>
      <c r="CQ167" s="51">
        <f t="shared" si="518"/>
        <v>0</v>
      </c>
      <c r="CR167" s="51">
        <f t="shared" si="596"/>
        <v>0</v>
      </c>
      <c r="CS167" s="51">
        <f t="shared" si="519"/>
        <v>0</v>
      </c>
      <c r="CT167" s="51">
        <f t="shared" si="597"/>
        <v>0</v>
      </c>
      <c r="CU167" s="51">
        <f t="shared" si="520"/>
        <v>0</v>
      </c>
      <c r="CV167" s="51">
        <f t="shared" si="598"/>
        <v>0</v>
      </c>
      <c r="CW167" s="51">
        <f t="shared" si="521"/>
        <v>0</v>
      </c>
      <c r="CX167" s="54">
        <f t="shared" si="522"/>
        <v>0</v>
      </c>
      <c r="CY167" s="55">
        <f t="shared" si="523"/>
        <v>0</v>
      </c>
      <c r="CZ167" s="56">
        <f>IF(AND($E167&lt;&gt;0,$F167&gt;0,YEAR($F167)&gt;=Preisindex!$A$6,YEAR(CU$4)&gt;=YEAR($F167),AND($K167&lt;&gt;"a",$K167&lt;&gt;"b",$K167&lt;&gt;"g",$K167&lt;&gt;"k")),1,IF(AND($E167&lt;&gt;0,$F167&gt;0,YEAR($F167)&gt;=Preisindex!$A$6,YEAR(CU$4)&gt;=YEAR($F167),$K167="a"),ROUND(VLOOKUP(CZ$4,Preisindex,5,FALSE)/VLOOKUP(YEAR($F167),Preisindex,5,FALSE),2),IF(AND($E167&lt;&gt;0,$F167&gt;0,YEAR($F167)&gt;=Preisindex!$A$6,YEAR(CU$4)&gt;=YEAR($F167),$K167="b"),ROUND(VLOOKUP(CZ$4,Preisindex,3,FALSE)/VLOOKUP(YEAR($F167),Preisindex,3,FALSE),2),IF(AND($E167&lt;&gt;0,$F167&gt;0,YEAR($F167)&gt;=Preisindex!$A$6,YEAR(CU$4)&gt;=YEAR($F167),$K167="g"),ROUND(VLOOKUP(CZ$4,Preisindex,4,FALSE)/VLOOKUP(YEAR($F167),Preisindex,4,FALSE),2),IF(AND($E167&lt;&gt;0,$F167&gt;0,YEAR($F167)&gt;=Preisindex!$A$6,YEAR(CU$4)&gt;=YEAR($F167),$K167="k"),ROUND(VLOOKUP(CZ$4,Preisindex,2,FALSE)/VLOOKUP(YEAR($F167),Preisindex,2,FALSE),2),0)))))</f>
        <v>0</v>
      </c>
      <c r="DA167" s="56">
        <f>IF(AND($E167&lt;&gt;0,$F167&gt;0,YEAR($F167)&lt;Preisindex!$A$6,YEAR(CU$4)&gt;=YEAR($F167),AND($K167&lt;&gt;"a",$K167&lt;&gt;"b",$K167&lt;&gt;"g",$K167&lt;&gt;"k")),1,IF(AND($E167&lt;&gt;0,$F167&gt;0,YEAR($F167)&lt;Preisindex!$A$6,YEAR(CU$4)&gt;=YEAR($F167),$K167="a"),ROUND(VLOOKUP(CZ$4,Preisindex,5,FALSE)/VLOOKUP(Preisindex!$A$6,Preisindex,5,FALSE),2),IF(AND($E167&lt;&gt;0,$F167&gt;0,YEAR($F167)&lt;Preisindex!$A$6,YEAR(CU$4)&gt;=YEAR($F167),$K167="b"),ROUND(VLOOKUP(CZ$4,Preisindex,3,FALSE)/VLOOKUP(Preisindex!$A$6,Preisindex,3,FALSE),2),IF(AND($E167&lt;&gt;0,$F167&gt;0,YEAR($F167)&lt;Preisindex!$A$6,YEAR(CU$4)&gt;=YEAR($F167),$K167="g"),ROUND(VLOOKUP(CZ$4,Preisindex,4,FALSE)/VLOOKUP(Preisindex!$A$6,Preisindex,4,FALSE),2),IF(AND($E167&lt;&gt;0,$F167&gt;0,YEAR($F167)&lt;Preisindex!$A$6,YEAR(CU$4)&gt;=YEAR($F167),$K167="k"),ROUND(VLOOKUP(CZ$4,Preisindex,2,FALSE)/VLOOKUP(Preisindex!$A$6,Preisindex,2,FALSE),2),0)))))</f>
        <v>0</v>
      </c>
      <c r="DB167" s="51">
        <f>IF(AND($E167&lt;&gt;0,$F167&gt;0,YEAR($F167)&lt;=CZ$4,YEAR($F167)&gt;=Preisindex!$A$6),ROUND($E167*CZ167,2),IF(AND($E167&lt;&gt;0,$F167&gt;0,YEAR($F167)&lt;=CZ$4,YEAR($F167)&lt;Preisindex!$A$6),ROUND($E167*DA167,2),0))</f>
        <v>0</v>
      </c>
      <c r="DC167" s="53">
        <f t="shared" si="524"/>
        <v>0</v>
      </c>
      <c r="DD167" s="51">
        <f t="shared" si="620"/>
        <v>0</v>
      </c>
      <c r="DE167" s="51">
        <f t="shared" si="599"/>
        <v>0</v>
      </c>
      <c r="DF167" s="51">
        <f t="shared" si="526"/>
        <v>0</v>
      </c>
      <c r="DG167" s="51">
        <f t="shared" si="600"/>
        <v>0</v>
      </c>
      <c r="DH167" s="51">
        <f t="shared" si="527"/>
        <v>0</v>
      </c>
      <c r="DI167" s="51">
        <f t="shared" si="601"/>
        <v>0</v>
      </c>
      <c r="DJ167" s="51">
        <f t="shared" si="528"/>
        <v>0</v>
      </c>
      <c r="DK167" s="51">
        <f t="shared" si="602"/>
        <v>0</v>
      </c>
      <c r="DL167" s="51">
        <f t="shared" si="529"/>
        <v>0</v>
      </c>
      <c r="DM167" s="51">
        <f t="shared" si="603"/>
        <v>0</v>
      </c>
      <c r="DN167" s="51">
        <f t="shared" si="530"/>
        <v>0</v>
      </c>
      <c r="DO167" s="54">
        <f t="shared" si="531"/>
        <v>0</v>
      </c>
      <c r="DP167" s="55">
        <f t="shared" si="532"/>
        <v>0</v>
      </c>
      <c r="DQ167" s="56">
        <f>IF(AND($E167&lt;&gt;0,$F167&gt;0,YEAR($F167)&gt;=Preisindex!$A$6,YEAR(DL$4)&gt;=YEAR($F167),AND($K167&lt;&gt;"a",$K167&lt;&gt;"b",$K167&lt;&gt;"g",$K167&lt;&gt;"k")),1,IF(AND($E167&lt;&gt;0,$F167&gt;0,YEAR($F167)&gt;=Preisindex!$A$6,YEAR(DL$4)&gt;=YEAR($F167),$K167="a"),ROUND(VLOOKUP(DQ$4,Preisindex,5,FALSE)/VLOOKUP(YEAR($F167),Preisindex,5,FALSE),2),IF(AND($E167&lt;&gt;0,$F167&gt;0,YEAR($F167)&gt;=Preisindex!$A$6,YEAR(DL$4)&gt;=YEAR($F167),$K167="b"),ROUND(VLOOKUP(DQ$4,Preisindex,3,FALSE)/VLOOKUP(YEAR($F167),Preisindex,3,FALSE),2),IF(AND($E167&lt;&gt;0,$F167&gt;0,YEAR($F167)&gt;=Preisindex!$A$6,YEAR(DL$4)&gt;=YEAR($F167),$K167="g"),ROUND(VLOOKUP(DQ$4,Preisindex,4,FALSE)/VLOOKUP(YEAR($F167),Preisindex,4,FALSE),2),IF(AND($E167&lt;&gt;0,$F167&gt;0,YEAR($F167)&gt;=Preisindex!$A$6,YEAR(DL$4)&gt;=YEAR($F167),$K167="k"),ROUND(VLOOKUP(DQ$4,Preisindex,2,FALSE)/VLOOKUP(YEAR($F167),Preisindex,2,FALSE),2),0)))))</f>
        <v>0</v>
      </c>
      <c r="DR167" s="56">
        <f>IF(AND($E167&lt;&gt;0,$F167&gt;0,YEAR($F167)&lt;Preisindex!$A$6,YEAR(DL$4)&gt;=YEAR($F167),AND($K167&lt;&gt;"a",$K167&lt;&gt;"b",$K167&lt;&gt;"g",$K167&lt;&gt;"k")),1,IF(AND($E167&lt;&gt;0,$F167&gt;0,YEAR($F167)&lt;Preisindex!$A$6,YEAR(DL$4)&gt;=YEAR($F167),$K167="a"),ROUND(VLOOKUP(DQ$4,Preisindex,5,FALSE)/VLOOKUP(Preisindex!$A$6,Preisindex,5,FALSE),2),IF(AND($E167&lt;&gt;0,$F167&gt;0,YEAR($F167)&lt;Preisindex!$A$6,YEAR(DL$4)&gt;=YEAR($F167),$K167="b"),ROUND(VLOOKUP(DQ$4,Preisindex,3,FALSE)/VLOOKUP(Preisindex!$A$6,Preisindex,3,FALSE),2),IF(AND($E167&lt;&gt;0,$F167&gt;0,YEAR($F167)&lt;Preisindex!$A$6,YEAR(DL$4)&gt;=YEAR($F167),$K167="g"),ROUND(VLOOKUP(DQ$4,Preisindex,4,FALSE)/VLOOKUP(Preisindex!$A$6,Preisindex,4,FALSE),2),IF(AND($E167&lt;&gt;0,$F167&gt;0,YEAR($F167)&lt;Preisindex!$A$6,YEAR(DL$4)&gt;=YEAR($F167),$K167="k"),ROUND(VLOOKUP(DQ$4,Preisindex,2,FALSE)/VLOOKUP(Preisindex!$A$6,Preisindex,2,FALSE),2),0)))))</f>
        <v>0</v>
      </c>
      <c r="DS167" s="51">
        <f>IF(AND($E167&lt;&gt;0,$F167&gt;0,YEAR($F167)&lt;=DQ$4,YEAR($F167)&gt;=Preisindex!$A$6),ROUND($E167*DQ167,2),IF(AND($E167&lt;&gt;0,$F167&gt;0,YEAR($F167)&lt;=DQ$4,YEAR($F167)&lt;Preisindex!$A$6),ROUND($E167*DR167,2),0))</f>
        <v>0</v>
      </c>
      <c r="DT167" s="53">
        <f t="shared" si="533"/>
        <v>0</v>
      </c>
      <c r="DU167" s="51">
        <f t="shared" si="620"/>
        <v>0</v>
      </c>
      <c r="DV167" s="51">
        <f t="shared" si="604"/>
        <v>0</v>
      </c>
      <c r="DW167" s="51">
        <f t="shared" si="534"/>
        <v>0</v>
      </c>
      <c r="DX167" s="51">
        <f t="shared" si="605"/>
        <v>0</v>
      </c>
      <c r="DY167" s="51">
        <f t="shared" si="535"/>
        <v>0</v>
      </c>
      <c r="DZ167" s="51">
        <f t="shared" si="606"/>
        <v>0</v>
      </c>
      <c r="EA167" s="51">
        <f t="shared" si="536"/>
        <v>0</v>
      </c>
      <c r="EB167" s="51">
        <f t="shared" si="607"/>
        <v>0</v>
      </c>
      <c r="EC167" s="51">
        <f t="shared" si="537"/>
        <v>0</v>
      </c>
      <c r="ED167" s="51">
        <f t="shared" si="608"/>
        <v>0</v>
      </c>
      <c r="EE167" s="51">
        <f t="shared" si="538"/>
        <v>0</v>
      </c>
      <c r="EF167" s="54">
        <f t="shared" si="539"/>
        <v>0</v>
      </c>
      <c r="EG167" s="55">
        <f t="shared" si="540"/>
        <v>0</v>
      </c>
      <c r="EH167" s="56">
        <f>IF(AND($E167&lt;&gt;0,$F167&gt;0,YEAR($F167)&gt;=Preisindex!$A$6,YEAR(EC$4)&gt;=YEAR($F167),AND($K167&lt;&gt;"a",$K167&lt;&gt;"b",$K167&lt;&gt;"g",$K167&lt;&gt;"k")),1,IF(AND($E167&lt;&gt;0,$F167&gt;0,YEAR($F167)&gt;=Preisindex!$A$6,YEAR(EC$4)&gt;=YEAR($F167),$K167="a"),ROUND(VLOOKUP(EH$4,Preisindex,5,FALSE)/VLOOKUP(YEAR($F167),Preisindex,5,FALSE),2),IF(AND($E167&lt;&gt;0,$F167&gt;0,YEAR($F167)&gt;=Preisindex!$A$6,YEAR(EC$4)&gt;=YEAR($F167),$K167="b"),ROUND(VLOOKUP(EH$4,Preisindex,3,FALSE)/VLOOKUP(YEAR($F167),Preisindex,3,FALSE),2),IF(AND($E167&lt;&gt;0,$F167&gt;0,YEAR($F167)&gt;=Preisindex!$A$6,YEAR(EC$4)&gt;=YEAR($F167),$K167="g"),ROUND(VLOOKUP(EH$4,Preisindex,4,FALSE)/VLOOKUP(YEAR($F167),Preisindex,4,FALSE),2),IF(AND($E167&lt;&gt;0,$F167&gt;0,YEAR($F167)&gt;=Preisindex!$A$6,YEAR(EC$4)&gt;=YEAR($F167),$K167="k"),ROUND(VLOOKUP(EH$4,Preisindex,2,FALSE)/VLOOKUP(YEAR($F167),Preisindex,2,FALSE),2),0)))))</f>
        <v>0</v>
      </c>
      <c r="EI167" s="56">
        <f>IF(AND($E167&lt;&gt;0,$F167&gt;0,YEAR($F167)&lt;Preisindex!$A$6,YEAR(EC$4)&gt;=YEAR($F167),AND($K167&lt;&gt;"a",$K167&lt;&gt;"b",$K167&lt;&gt;"g",$K167&lt;&gt;"k")),1,IF(AND($E167&lt;&gt;0,$F167&gt;0,YEAR($F167)&lt;Preisindex!$A$6,YEAR(EC$4)&gt;=YEAR($F167),$K167="a"),ROUND(VLOOKUP(EH$4,Preisindex,5,FALSE)/VLOOKUP(Preisindex!$A$6,Preisindex,5,FALSE),2),IF(AND($E167&lt;&gt;0,$F167&gt;0,YEAR($F167)&lt;Preisindex!$A$6,YEAR(EC$4)&gt;=YEAR($F167),$K167="b"),ROUND(VLOOKUP(EH$4,Preisindex,3,FALSE)/VLOOKUP(Preisindex!$A$6,Preisindex,3,FALSE),2),IF(AND($E167&lt;&gt;0,$F167&gt;0,YEAR($F167)&lt;Preisindex!$A$6,YEAR(EC$4)&gt;=YEAR($F167),$K167="g"),ROUND(VLOOKUP(EH$4,Preisindex,4,FALSE)/VLOOKUP(Preisindex!$A$6,Preisindex,4,FALSE),2),IF(AND($E167&lt;&gt;0,$F167&gt;0,YEAR($F167)&lt;Preisindex!$A$6,YEAR(EC$4)&gt;=YEAR($F167),$K167="k"),ROUND(VLOOKUP(EH$4,Preisindex,2,FALSE)/VLOOKUP(Preisindex!$A$6,Preisindex,2,FALSE),2),0)))))</f>
        <v>0</v>
      </c>
      <c r="EJ167" s="51">
        <f>IF(AND($E167&lt;&gt;0,$F167&gt;0,YEAR($F167)&lt;=EH$4,YEAR($F167)&gt;=Preisindex!$A$6),ROUND($E167*EH167,2),IF(AND($E167&lt;&gt;0,$F167&gt;0,YEAR($F167)&lt;=EH$4,YEAR($F167)&lt;Preisindex!$A$6),ROUND($E167*EI167,2),0))</f>
        <v>0</v>
      </c>
      <c r="EK167" s="53">
        <f t="shared" si="541"/>
        <v>0</v>
      </c>
      <c r="EL167" s="51">
        <f t="shared" si="620"/>
        <v>0</v>
      </c>
      <c r="EM167" s="51">
        <f t="shared" si="609"/>
        <v>0</v>
      </c>
      <c r="EN167" s="51">
        <f t="shared" si="542"/>
        <v>0</v>
      </c>
      <c r="EO167" s="51">
        <f t="shared" si="610"/>
        <v>0</v>
      </c>
      <c r="EP167" s="51">
        <f t="shared" si="543"/>
        <v>0</v>
      </c>
      <c r="EQ167" s="51">
        <f t="shared" si="611"/>
        <v>0</v>
      </c>
      <c r="ER167" s="51">
        <f t="shared" si="544"/>
        <v>0</v>
      </c>
      <c r="ES167" s="51">
        <f t="shared" si="612"/>
        <v>0</v>
      </c>
      <c r="ET167" s="51">
        <f t="shared" si="545"/>
        <v>0</v>
      </c>
      <c r="EU167" s="51">
        <f t="shared" si="613"/>
        <v>0</v>
      </c>
      <c r="EV167" s="51">
        <f t="shared" si="546"/>
        <v>0</v>
      </c>
      <c r="EW167" s="54">
        <f t="shared" si="547"/>
        <v>0</v>
      </c>
      <c r="EX167" s="55">
        <f t="shared" si="548"/>
        <v>0</v>
      </c>
      <c r="EY167" s="56">
        <f>IF(AND($E167&lt;&gt;0,$F167&gt;0,YEAR($F167)&gt;=Preisindex!$A$6,YEAR(ET$4)&gt;=YEAR($F167),AND($K167&lt;&gt;"a",$K167&lt;&gt;"b",$K167&lt;&gt;"g",$K167&lt;&gt;"k")),1,IF(AND($E167&lt;&gt;0,$F167&gt;0,YEAR($F167)&gt;=Preisindex!$A$6,YEAR(ET$4)&gt;=YEAR($F167),$K167="a"),ROUND(VLOOKUP(EY$4,Preisindex,5,FALSE)/VLOOKUP(YEAR($F167),Preisindex,5,FALSE),2),IF(AND($E167&lt;&gt;0,$F167&gt;0,YEAR($F167)&gt;=Preisindex!$A$6,YEAR(ET$4)&gt;=YEAR($F167),$K167="b"),ROUND(VLOOKUP(EY$4,Preisindex,3,FALSE)/VLOOKUP(YEAR($F167),Preisindex,3,FALSE),2),IF(AND($E167&lt;&gt;0,$F167&gt;0,YEAR($F167)&gt;=Preisindex!$A$6,YEAR(ET$4)&gt;=YEAR($F167),$K167="g"),ROUND(VLOOKUP(EY$4,Preisindex,4,FALSE)/VLOOKUP(YEAR($F167),Preisindex,4,FALSE),2),IF(AND($E167&lt;&gt;0,$F167&gt;0,YEAR($F167)&gt;=Preisindex!$A$6,YEAR(ET$4)&gt;=YEAR($F167),$K167="k"),ROUND(VLOOKUP(EY$4,Preisindex,2,FALSE)/VLOOKUP(YEAR($F167),Preisindex,2,FALSE),2),0)))))</f>
        <v>0</v>
      </c>
      <c r="EZ167" s="56">
        <f>IF(AND($E167&lt;&gt;0,$F167&gt;0,YEAR($F167)&lt;Preisindex!$A$6,YEAR(ET$4)&gt;=YEAR($F167),AND($K167&lt;&gt;"a",$K167&lt;&gt;"b",$K167&lt;&gt;"g",$K167&lt;&gt;"k")),1,IF(AND($E167&lt;&gt;0,$F167&gt;0,YEAR($F167)&lt;Preisindex!$A$6,YEAR(ET$4)&gt;=YEAR($F167),$K167="a"),ROUND(VLOOKUP(EY$4,Preisindex,5,FALSE)/VLOOKUP(Preisindex!$A$6,Preisindex,5,FALSE),2),IF(AND($E167&lt;&gt;0,$F167&gt;0,YEAR($F167)&lt;Preisindex!$A$6,YEAR(ET$4)&gt;=YEAR($F167),$K167="b"),ROUND(VLOOKUP(EY$4,Preisindex,3,FALSE)/VLOOKUP(Preisindex!$A$6,Preisindex,3,FALSE),2),IF(AND($E167&lt;&gt;0,$F167&gt;0,YEAR($F167)&lt;Preisindex!$A$6,YEAR(ET$4)&gt;=YEAR($F167),$K167="g"),ROUND(VLOOKUP(EY$4,Preisindex,4,FALSE)/VLOOKUP(Preisindex!$A$6,Preisindex,4,FALSE),2),IF(AND($E167&lt;&gt;0,$F167&gt;0,YEAR($F167)&lt;Preisindex!$A$6,YEAR(ET$4)&gt;=YEAR($F167),$K167="k"),ROUND(VLOOKUP(EY$4,Preisindex,2,FALSE)/VLOOKUP(Preisindex!$A$6,Preisindex,2,FALSE),2),0)))))</f>
        <v>0</v>
      </c>
      <c r="FA167" s="51">
        <f>IF(AND($E167&lt;&gt;0,$F167&gt;0,YEAR($F167)&lt;=EY$4,YEAR($F167)&gt;=Preisindex!$A$6),ROUND($E167*EY167,2),IF(AND($E167&lt;&gt;0,$F167&gt;0,YEAR($F167)&lt;=EY$4,YEAR($F167)&lt;Preisindex!$A$6),ROUND($E167*EZ167,2),0))</f>
        <v>0</v>
      </c>
      <c r="FB167" s="53">
        <f t="shared" si="549"/>
        <v>0</v>
      </c>
      <c r="FC167" s="51">
        <f t="shared" si="620"/>
        <v>0</v>
      </c>
      <c r="FD167" s="51">
        <f t="shared" si="614"/>
        <v>0</v>
      </c>
      <c r="FE167" s="51">
        <f t="shared" si="550"/>
        <v>0</v>
      </c>
      <c r="FF167" s="51">
        <f t="shared" si="615"/>
        <v>0</v>
      </c>
      <c r="FG167" s="51">
        <f t="shared" si="551"/>
        <v>0</v>
      </c>
      <c r="FH167" s="51">
        <f t="shared" si="616"/>
        <v>0</v>
      </c>
      <c r="FI167" s="51">
        <f t="shared" si="552"/>
        <v>0</v>
      </c>
      <c r="FJ167" s="51">
        <f t="shared" si="617"/>
        <v>0</v>
      </c>
      <c r="FK167" s="51">
        <f t="shared" si="553"/>
        <v>0</v>
      </c>
      <c r="FL167" s="51">
        <f t="shared" si="618"/>
        <v>0</v>
      </c>
      <c r="FM167" s="51">
        <f t="shared" si="554"/>
        <v>0</v>
      </c>
      <c r="FN167" s="54">
        <f t="shared" si="555"/>
        <v>0</v>
      </c>
      <c r="FO167" s="55">
        <f t="shared" si="556"/>
        <v>0</v>
      </c>
      <c r="FP167" s="56">
        <f>IF(AND($E167&lt;&gt;0,$F167&gt;0,YEAR($F167)&gt;=Preisindex!$A$6,YEAR(FK$4)&gt;=YEAR($F167),AND($K167&lt;&gt;"a",$K167&lt;&gt;"b",$K167&lt;&gt;"g",$K167&lt;&gt;"k")),1,IF(AND($E167&lt;&gt;0,$F167&gt;0,YEAR($F167)&gt;=Preisindex!$A$6,YEAR(FK$4)&gt;=YEAR($F167),$K167="a"),ROUND(VLOOKUP(FP$4,Preisindex,5,FALSE)/VLOOKUP(YEAR($F167),Preisindex,5,FALSE),2),IF(AND($E167&lt;&gt;0,$F167&gt;0,YEAR($F167)&gt;=Preisindex!$A$6,YEAR(FK$4)&gt;=YEAR($F167),$K167="b"),ROUND(VLOOKUP(FP$4,Preisindex,3,FALSE)/VLOOKUP(YEAR($F167),Preisindex,3,FALSE),2),IF(AND($E167&lt;&gt;0,$F167&gt;0,YEAR($F167)&gt;=Preisindex!$A$6,YEAR(FK$4)&gt;=YEAR($F167),$K167="g"),ROUND(VLOOKUP(FP$4,Preisindex,4,FALSE)/VLOOKUP(YEAR($F167),Preisindex,4,FALSE),2),IF(AND($E167&lt;&gt;0,$F167&gt;0,YEAR($F167)&gt;=Preisindex!$A$6,YEAR(FK$4)&gt;=YEAR($F167),$K167="k"),ROUND(VLOOKUP(FP$4,Preisindex,2,FALSE)/VLOOKUP(YEAR($F167),Preisindex,2,FALSE),2),0)))))</f>
        <v>0</v>
      </c>
      <c r="FQ167" s="56">
        <f>IF(AND($E167&lt;&gt;0,$F167&gt;0,YEAR($F167)&lt;Preisindex!$A$6,YEAR(FK$4)&gt;=YEAR($F167),AND($K167&lt;&gt;"a",$K167&lt;&gt;"b",$K167&lt;&gt;"g",$K167&lt;&gt;"k")),1,IF(AND($E167&lt;&gt;0,$F167&gt;0,YEAR($F167)&lt;Preisindex!$A$6,YEAR(FK$4)&gt;=YEAR($F167),$K167="a"),ROUND(VLOOKUP(FP$4,Preisindex,5,FALSE)/VLOOKUP(Preisindex!$A$6,Preisindex,5,FALSE),2),IF(AND($E167&lt;&gt;0,$F167&gt;0,YEAR($F167)&lt;Preisindex!$A$6,YEAR(FK$4)&gt;=YEAR($F167),$K167="b"),ROUND(VLOOKUP(FP$4,Preisindex,3,FALSE)/VLOOKUP(Preisindex!$A$6,Preisindex,3,FALSE),2),IF(AND($E167&lt;&gt;0,$F167&gt;0,YEAR($F167)&lt;Preisindex!$A$6,YEAR(FK$4)&gt;=YEAR($F167),$K167="g"),ROUND(VLOOKUP(FP$4,Preisindex,4,FALSE)/VLOOKUP(Preisindex!$A$6,Preisindex,4,FALSE),2),IF(AND($E167&lt;&gt;0,$F167&gt;0,YEAR($F167)&lt;Preisindex!$A$6,YEAR(FK$4)&gt;=YEAR($F167),$K167="k"),ROUND(VLOOKUP(FP$4,Preisindex,2,FALSE)/VLOOKUP(Preisindex!$A$6,Preisindex,2,FALSE),2),0)))))</f>
        <v>0</v>
      </c>
      <c r="FR167" s="51">
        <f>IF(AND($E167&lt;&gt;0,$F167&gt;0,YEAR($F167)&lt;=FP$4,YEAR($F167)&gt;=Preisindex!$A$6),ROUND($E167*FP167,2),IF(AND($E167&lt;&gt;0,$F167&gt;0,YEAR($F167)&lt;=FP$4,YEAR($F167)&lt;Preisindex!$A$6),ROUND($E167*FQ167,2),0))</f>
        <v>0</v>
      </c>
      <c r="FS167" s="53">
        <f t="shared" si="557"/>
        <v>0</v>
      </c>
    </row>
    <row r="168" spans="1:175" x14ac:dyDescent="0.3">
      <c r="A168" s="93"/>
      <c r="B168" s="94"/>
      <c r="C168" s="94"/>
      <c r="D168" s="95"/>
      <c r="E168" s="99"/>
      <c r="F168" s="97"/>
      <c r="G168" s="98"/>
      <c r="H168" s="620"/>
      <c r="I168" s="621"/>
      <c r="J168" s="194"/>
      <c r="K168" s="630"/>
      <c r="L168" s="49">
        <f t="shared" si="558"/>
        <v>0</v>
      </c>
      <c r="M168" s="50">
        <f t="shared" si="559"/>
        <v>0</v>
      </c>
      <c r="N168" s="51">
        <f t="shared" si="560"/>
        <v>0</v>
      </c>
      <c r="O168" s="51"/>
      <c r="P168" s="51">
        <f t="shared" si="561"/>
        <v>0</v>
      </c>
      <c r="Q168" s="52"/>
      <c r="R168" s="52"/>
      <c r="S168" s="52"/>
      <c r="T168" s="52"/>
      <c r="U168" s="52"/>
      <c r="V168" s="53">
        <f t="shared" si="562"/>
        <v>0</v>
      </c>
      <c r="W168" s="51">
        <f t="shared" si="563"/>
        <v>0</v>
      </c>
      <c r="X168" s="51">
        <f t="shared" si="564"/>
        <v>0</v>
      </c>
      <c r="Y168" s="51">
        <f t="shared" si="565"/>
        <v>0</v>
      </c>
      <c r="Z168" s="51">
        <f t="shared" si="566"/>
        <v>0</v>
      </c>
      <c r="AA168" s="51">
        <f t="shared" si="567"/>
        <v>0</v>
      </c>
      <c r="AB168" s="51">
        <f t="shared" si="568"/>
        <v>0</v>
      </c>
      <c r="AC168" s="51">
        <f t="shared" si="569"/>
        <v>0</v>
      </c>
      <c r="AD168" s="51">
        <f t="shared" si="570"/>
        <v>0</v>
      </c>
      <c r="AE168" s="51">
        <f t="shared" si="571"/>
        <v>0</v>
      </c>
      <c r="AF168" s="51">
        <f t="shared" si="572"/>
        <v>0</v>
      </c>
      <c r="AG168" s="51">
        <f t="shared" si="573"/>
        <v>0</v>
      </c>
      <c r="AH168" s="54">
        <f t="shared" si="574"/>
        <v>0</v>
      </c>
      <c r="AI168" s="55">
        <f t="shared" si="575"/>
        <v>0</v>
      </c>
      <c r="AJ168" s="56">
        <f>IF(AND($E168&lt;&gt;0,$F168&gt;0,YEAR($F168)&gt;=Preisindex!$A$6,YEAR(AE$4)&gt;=YEAR($F168),AND($K168&lt;&gt;"a",$K168&lt;&gt;"b",$K168&lt;&gt;"g",$K168&lt;&gt;"k")),1,IF(AND($E168&lt;&gt;0,$F168&gt;0,YEAR($F168)&gt;=Preisindex!$A$6,YEAR(AE$4)&gt;=YEAR($F168),$K168="a"),ROUND(VLOOKUP(AJ$4,Preisindex,5,FALSE)/VLOOKUP(YEAR($F168),Preisindex,5,FALSE),2),IF(AND($E168&lt;&gt;0,$F168&gt;0,YEAR($F168)&gt;=Preisindex!$A$6,YEAR(AE$4)&gt;=YEAR($F168),$K168="b"),ROUND(VLOOKUP(AJ$4,Preisindex,3,FALSE)/VLOOKUP(YEAR($F168),Preisindex,3,FALSE),2),IF(AND($E168&lt;&gt;0,$F168&gt;0,YEAR($F168)&gt;=Preisindex!$A$6,YEAR(AE$4)&gt;=YEAR($F168),$K168="g"),ROUND(VLOOKUP(AJ$4,Preisindex,4,FALSE)/VLOOKUP(YEAR($F168),Preisindex,4,FALSE),2),IF(AND($E168&lt;&gt;0,$F168&gt;0,YEAR($F168)&gt;=Preisindex!$A$6,YEAR(AE$4)&gt;=YEAR($F168),$K168="k"),ROUND(VLOOKUP(AJ$4,Preisindex,2,FALSE)/VLOOKUP(YEAR($F168),Preisindex,2,FALSE),2),0)))))</f>
        <v>0</v>
      </c>
      <c r="AK168" s="56">
        <f>IF(AND($E168&lt;&gt;0,$F168&gt;0,YEAR($F168)&lt;Preisindex!$A$6,YEAR(AE$4)&gt;=YEAR($F168),AND($K168&lt;&gt;"a",$K168&lt;&gt;"b",$K168&lt;&gt;"g",$K168&lt;&gt;"k")),1,IF(AND($E168&lt;&gt;0,$F168&gt;0,YEAR($F168)&lt;Preisindex!$A$6,YEAR(AE$4)&gt;=YEAR($F168),$K168="a"),ROUND(VLOOKUP(AJ$4,Preisindex,5,FALSE)/VLOOKUP(Preisindex!$A$6,Preisindex,5,FALSE),2),IF(AND($E168&lt;&gt;0,$F168&gt;0,YEAR($F168)&lt;Preisindex!$A$6,YEAR(AE$4)&gt;=YEAR($F168),$K168="b"),ROUND(VLOOKUP(AJ$4,Preisindex,3,FALSE)/VLOOKUP(Preisindex!$A$6,Preisindex,3,FALSE),2),IF(AND($E168&lt;&gt;0,$F168&gt;0,YEAR($F168)&lt;Preisindex!$A$6,YEAR(AE$4)&gt;=YEAR($F168),$K168="g"),ROUND(VLOOKUP(AJ$4,Preisindex,4,FALSE)/VLOOKUP(Preisindex!$A$6,Preisindex,4,FALSE),2),IF(AND($E168&lt;&gt;0,$F168&gt;0,YEAR($F168)&lt;Preisindex!$A$6,YEAR(AE$4)&gt;=YEAR($F168),$K168="k"),ROUND(VLOOKUP(AJ$4,Preisindex,2,FALSE)/VLOOKUP(Preisindex!$A$6,Preisindex,2,FALSE),2),0)))))</f>
        <v>0</v>
      </c>
      <c r="AL168" s="51">
        <f>IF(AND($E168&lt;&gt;0,$F168&gt;0,YEAR($F168)&lt;=AJ$4,YEAR($F168)&gt;=Preisindex!$A$6),ROUND($E168*AJ168,2),IF(AND($E168&lt;&gt;0,$F168&gt;0,YEAR($F168)&lt;=AJ$4,YEAR($F168)&lt;Preisindex!$A$6),ROUND($E168*AK168,2),0))</f>
        <v>0</v>
      </c>
      <c r="AM168" s="53">
        <f t="shared" si="576"/>
        <v>0</v>
      </c>
      <c r="AN168" s="51">
        <f t="shared" si="619"/>
        <v>0</v>
      </c>
      <c r="AO168" s="51">
        <f t="shared" si="579"/>
        <v>0</v>
      </c>
      <c r="AP168" s="51">
        <f t="shared" si="493"/>
        <v>0</v>
      </c>
      <c r="AQ168" s="51">
        <f t="shared" si="580"/>
        <v>0</v>
      </c>
      <c r="AR168" s="51">
        <f t="shared" si="494"/>
        <v>0</v>
      </c>
      <c r="AS168" s="51">
        <f t="shared" si="581"/>
        <v>0</v>
      </c>
      <c r="AT168" s="51">
        <f t="shared" si="495"/>
        <v>0</v>
      </c>
      <c r="AU168" s="51">
        <f t="shared" si="582"/>
        <v>0</v>
      </c>
      <c r="AV168" s="51">
        <f t="shared" si="496"/>
        <v>0</v>
      </c>
      <c r="AW168" s="51">
        <f t="shared" si="583"/>
        <v>0</v>
      </c>
      <c r="AX168" s="51">
        <f t="shared" si="497"/>
        <v>0</v>
      </c>
      <c r="AY168" s="54">
        <f t="shared" si="498"/>
        <v>0</v>
      </c>
      <c r="AZ168" s="55">
        <f t="shared" si="499"/>
        <v>0</v>
      </c>
      <c r="BA168" s="56">
        <f>IF(AND($E168&lt;&gt;0,$F168&gt;0,YEAR($F168)&gt;=Preisindex!$A$6,YEAR(AV$4)&gt;=YEAR($F168),AND($K168&lt;&gt;"a",$K168&lt;&gt;"b",$K168&lt;&gt;"g",$K168&lt;&gt;"k")),1,IF(AND($E168&lt;&gt;0,$F168&gt;0,YEAR($F168)&gt;=Preisindex!$A$6,YEAR(AV$4)&gt;=YEAR($F168),$K168="a"),ROUND(VLOOKUP(BA$4,Preisindex,5,FALSE)/VLOOKUP(YEAR($F168),Preisindex,5,FALSE),2),IF(AND($E168&lt;&gt;0,$F168&gt;0,YEAR($F168)&gt;=Preisindex!$A$6,YEAR(AV$4)&gt;=YEAR($F168),$K168="b"),ROUND(VLOOKUP(BA$4,Preisindex,3,FALSE)/VLOOKUP(YEAR($F168),Preisindex,3,FALSE),2),IF(AND($E168&lt;&gt;0,$F168&gt;0,YEAR($F168)&gt;=Preisindex!$A$6,YEAR(AV$4)&gt;=YEAR($F168),$K168="g"),ROUND(VLOOKUP(BA$4,Preisindex,4,FALSE)/VLOOKUP(YEAR($F168),Preisindex,4,FALSE),2),IF(AND($E168&lt;&gt;0,$F168&gt;0,YEAR($F168)&gt;=Preisindex!$A$6,YEAR(AV$4)&gt;=YEAR($F168),$K168="k"),ROUND(VLOOKUP(BA$4,Preisindex,2,FALSE)/VLOOKUP(YEAR($F168),Preisindex,2,FALSE),2),0)))))</f>
        <v>0</v>
      </c>
      <c r="BB168" s="56">
        <f>IF(AND($E168&lt;&gt;0,$F168&gt;0,YEAR($F168)&lt;Preisindex!$A$6,YEAR(AV$4)&gt;=YEAR($F168),AND($K168&lt;&gt;"a",$K168&lt;&gt;"b",$K168&lt;&gt;"g",$K168&lt;&gt;"k")),1,IF(AND($E168&lt;&gt;0,$F168&gt;0,YEAR($F168)&lt;Preisindex!$A$6,YEAR(AV$4)&gt;=YEAR($F168),$K168="a"),ROUND(VLOOKUP(BA$4,Preisindex,5,FALSE)/VLOOKUP(Preisindex!$A$6,Preisindex,5,FALSE),2),IF(AND($E168&lt;&gt;0,$F168&gt;0,YEAR($F168)&lt;Preisindex!$A$6,YEAR(AV$4)&gt;=YEAR($F168),$K168="b"),ROUND(VLOOKUP(BA$4,Preisindex,3,FALSE)/VLOOKUP(Preisindex!$A$6,Preisindex,3,FALSE),2),IF(AND($E168&lt;&gt;0,$F168&gt;0,YEAR($F168)&lt;Preisindex!$A$6,YEAR(AV$4)&gt;=YEAR($F168),$K168="g"),ROUND(VLOOKUP(BA$4,Preisindex,4,FALSE)/VLOOKUP(Preisindex!$A$6,Preisindex,4,FALSE),2),IF(AND($E168&lt;&gt;0,$F168&gt;0,YEAR($F168)&lt;Preisindex!$A$6,YEAR(AV$4)&gt;=YEAR($F168),$K168="k"),ROUND(VLOOKUP(BA$4,Preisindex,2,FALSE)/VLOOKUP(Preisindex!$A$6,Preisindex,2,FALSE),2),0)))))</f>
        <v>0</v>
      </c>
      <c r="BC168" s="51">
        <f>IF(AND($E168&lt;&gt;0,$F168&gt;0,YEAR($F168)&lt;=BA$4,YEAR($F168)&gt;=Preisindex!$A$6),ROUND($E168*BA168,2),IF(AND($E168&lt;&gt;0,$F168&gt;0,YEAR($F168)&lt;=BA$4,YEAR($F168)&lt;Preisindex!$A$6),ROUND($E168*BB168,2),0))</f>
        <v>0</v>
      </c>
      <c r="BD168" s="53">
        <f t="shared" si="500"/>
        <v>0</v>
      </c>
      <c r="BE168" s="51">
        <f t="shared" si="619"/>
        <v>0</v>
      </c>
      <c r="BF168" s="51">
        <f t="shared" si="584"/>
        <v>0</v>
      </c>
      <c r="BG168" s="51">
        <f t="shared" si="501"/>
        <v>0</v>
      </c>
      <c r="BH168" s="51">
        <f t="shared" si="585"/>
        <v>0</v>
      </c>
      <c r="BI168" s="51">
        <f t="shared" si="502"/>
        <v>0</v>
      </c>
      <c r="BJ168" s="51">
        <f t="shared" si="586"/>
        <v>0</v>
      </c>
      <c r="BK168" s="51">
        <f t="shared" si="503"/>
        <v>0</v>
      </c>
      <c r="BL168" s="51">
        <f t="shared" si="587"/>
        <v>0</v>
      </c>
      <c r="BM168" s="51">
        <f t="shared" si="504"/>
        <v>0</v>
      </c>
      <c r="BN168" s="51">
        <f t="shared" si="588"/>
        <v>0</v>
      </c>
      <c r="BO168" s="51">
        <f t="shared" si="505"/>
        <v>0</v>
      </c>
      <c r="BP168" s="54">
        <f t="shared" si="506"/>
        <v>0</v>
      </c>
      <c r="BQ168" s="55">
        <f t="shared" si="507"/>
        <v>0</v>
      </c>
      <c r="BR168" s="56">
        <f>IF(AND($E168&lt;&gt;0,$F168&gt;0,YEAR($F168)&gt;=Preisindex!$A$6,YEAR(BM$4)&gt;=YEAR($F168),AND($K168&lt;&gt;"a",$K168&lt;&gt;"b",$K168&lt;&gt;"g",$K168&lt;&gt;"k")),1,IF(AND($E168&lt;&gt;0,$F168&gt;0,YEAR($F168)&gt;=Preisindex!$A$6,YEAR(BM$4)&gt;=YEAR($F168),$K168="a"),ROUND(VLOOKUP(BR$4,Preisindex,5,FALSE)/VLOOKUP(YEAR($F168),Preisindex,5,FALSE),2),IF(AND($E168&lt;&gt;0,$F168&gt;0,YEAR($F168)&gt;=Preisindex!$A$6,YEAR(BM$4)&gt;=YEAR($F168),$K168="b"),ROUND(VLOOKUP(BR$4,Preisindex,3,FALSE)/VLOOKUP(YEAR($F168),Preisindex,3,FALSE),2),IF(AND($E168&lt;&gt;0,$F168&gt;0,YEAR($F168)&gt;=Preisindex!$A$6,YEAR(BM$4)&gt;=YEAR($F168),$K168="g"),ROUND(VLOOKUP(BR$4,Preisindex,4,FALSE)/VLOOKUP(YEAR($F168),Preisindex,4,FALSE),2),IF(AND($E168&lt;&gt;0,$F168&gt;0,YEAR($F168)&gt;=Preisindex!$A$6,YEAR(BM$4)&gt;=YEAR($F168),$K168="k"),ROUND(VLOOKUP(BR$4,Preisindex,2,FALSE)/VLOOKUP(YEAR($F168),Preisindex,2,FALSE),2),0)))))</f>
        <v>0</v>
      </c>
      <c r="BS168" s="56">
        <f>IF(AND($E168&lt;&gt;0,$F168&gt;0,YEAR($F168)&lt;Preisindex!$A$6,YEAR(BM$4)&gt;=YEAR($F168),AND($K168&lt;&gt;"a",$K168&lt;&gt;"b",$K168&lt;&gt;"g",$K168&lt;&gt;"k")),1,IF(AND($E168&lt;&gt;0,$F168&gt;0,YEAR($F168)&lt;Preisindex!$A$6,YEAR(BM$4)&gt;=YEAR($F168),$K168="a"),ROUND(VLOOKUP(BR$4,Preisindex,5,FALSE)/VLOOKUP(Preisindex!$A$6,Preisindex,5,FALSE),2),IF(AND($E168&lt;&gt;0,$F168&gt;0,YEAR($F168)&lt;Preisindex!$A$6,YEAR(BM$4)&gt;=YEAR($F168),$K168="b"),ROUND(VLOOKUP(BR$4,Preisindex,3,FALSE)/VLOOKUP(Preisindex!$A$6,Preisindex,3,FALSE),2),IF(AND($E168&lt;&gt;0,$F168&gt;0,YEAR($F168)&lt;Preisindex!$A$6,YEAR(BM$4)&gt;=YEAR($F168),$K168="g"),ROUND(VLOOKUP(BR$4,Preisindex,4,FALSE)/VLOOKUP(Preisindex!$A$6,Preisindex,4,FALSE),2),IF(AND($E168&lt;&gt;0,$F168&gt;0,YEAR($F168)&lt;Preisindex!$A$6,YEAR(BM$4)&gt;=YEAR($F168),$K168="k"),ROUND(VLOOKUP(BR$4,Preisindex,2,FALSE)/VLOOKUP(Preisindex!$A$6,Preisindex,2,FALSE),2),0)))))</f>
        <v>0</v>
      </c>
      <c r="BT168" s="51">
        <f>IF(AND($E168&lt;&gt;0,$F168&gt;0,YEAR($F168)&lt;=BR$4,YEAR($F168)&gt;=Preisindex!$A$6),ROUND($E168*BR168,2),IF(AND($E168&lt;&gt;0,$F168&gt;0,YEAR($F168)&lt;=BR$4,YEAR($F168)&lt;Preisindex!$A$6),ROUND($E168*BS168,2),0))</f>
        <v>0</v>
      </c>
      <c r="BU168" s="53">
        <f t="shared" si="508"/>
        <v>0</v>
      </c>
      <c r="BV168" s="51">
        <f t="shared" si="619"/>
        <v>0</v>
      </c>
      <c r="BW168" s="51">
        <f t="shared" si="589"/>
        <v>0</v>
      </c>
      <c r="BX168" s="51">
        <f t="shared" si="509"/>
        <v>0</v>
      </c>
      <c r="BY168" s="51">
        <f t="shared" si="590"/>
        <v>0</v>
      </c>
      <c r="BZ168" s="51">
        <f t="shared" si="510"/>
        <v>0</v>
      </c>
      <c r="CA168" s="51">
        <f t="shared" si="591"/>
        <v>0</v>
      </c>
      <c r="CB168" s="51">
        <f t="shared" si="511"/>
        <v>0</v>
      </c>
      <c r="CC168" s="51">
        <f t="shared" si="592"/>
        <v>0</v>
      </c>
      <c r="CD168" s="51">
        <f t="shared" si="512"/>
        <v>0</v>
      </c>
      <c r="CE168" s="51">
        <f t="shared" si="593"/>
        <v>0</v>
      </c>
      <c r="CF168" s="51">
        <f t="shared" si="513"/>
        <v>0</v>
      </c>
      <c r="CG168" s="54">
        <f t="shared" si="514"/>
        <v>0</v>
      </c>
      <c r="CH168" s="55">
        <f t="shared" si="515"/>
        <v>0</v>
      </c>
      <c r="CI168" s="56">
        <f>IF(AND($E168&lt;&gt;0,$F168&gt;0,YEAR($F168)&gt;=Preisindex!$A$6,YEAR(CD$4)&gt;=YEAR($F168),AND($K168&lt;&gt;"a",$K168&lt;&gt;"b",$K168&lt;&gt;"g",$K168&lt;&gt;"k")),1,IF(AND($E168&lt;&gt;0,$F168&gt;0,YEAR($F168)&gt;=Preisindex!$A$6,YEAR(CD$4)&gt;=YEAR($F168),$K168="a"),ROUND(VLOOKUP(CI$4,Preisindex,5,FALSE)/VLOOKUP(YEAR($F168),Preisindex,5,FALSE),2),IF(AND($E168&lt;&gt;0,$F168&gt;0,YEAR($F168)&gt;=Preisindex!$A$6,YEAR(CD$4)&gt;=YEAR($F168),$K168="b"),ROUND(VLOOKUP(CI$4,Preisindex,3,FALSE)/VLOOKUP(YEAR($F168),Preisindex,3,FALSE),2),IF(AND($E168&lt;&gt;0,$F168&gt;0,YEAR($F168)&gt;=Preisindex!$A$6,YEAR(CD$4)&gt;=YEAR($F168),$K168="g"),ROUND(VLOOKUP(CI$4,Preisindex,4,FALSE)/VLOOKUP(YEAR($F168),Preisindex,4,FALSE),2),IF(AND($E168&lt;&gt;0,$F168&gt;0,YEAR($F168)&gt;=Preisindex!$A$6,YEAR(CD$4)&gt;=YEAR($F168),$K168="k"),ROUND(VLOOKUP(CI$4,Preisindex,2,FALSE)/VLOOKUP(YEAR($F168),Preisindex,2,FALSE),2),0)))))</f>
        <v>0</v>
      </c>
      <c r="CJ168" s="56">
        <f>IF(AND($E168&lt;&gt;0,$F168&gt;0,YEAR($F168)&lt;Preisindex!$A$6,YEAR(CD$4)&gt;=YEAR($F168),AND($K168&lt;&gt;"a",$K168&lt;&gt;"b",$K168&lt;&gt;"g",$K168&lt;&gt;"k")),1,IF(AND($E168&lt;&gt;0,$F168&gt;0,YEAR($F168)&lt;Preisindex!$A$6,YEAR(CD$4)&gt;=YEAR($F168),$K168="a"),ROUND(VLOOKUP(CI$4,Preisindex,5,FALSE)/VLOOKUP(Preisindex!$A$6,Preisindex,5,FALSE),2),IF(AND($E168&lt;&gt;0,$F168&gt;0,YEAR($F168)&lt;Preisindex!$A$6,YEAR(CD$4)&gt;=YEAR($F168),$K168="b"),ROUND(VLOOKUP(CI$4,Preisindex,3,FALSE)/VLOOKUP(Preisindex!$A$6,Preisindex,3,FALSE),2),IF(AND($E168&lt;&gt;0,$F168&gt;0,YEAR($F168)&lt;Preisindex!$A$6,YEAR(CD$4)&gt;=YEAR($F168),$K168="g"),ROUND(VLOOKUP(CI$4,Preisindex,4,FALSE)/VLOOKUP(Preisindex!$A$6,Preisindex,4,FALSE),2),IF(AND($E168&lt;&gt;0,$F168&gt;0,YEAR($F168)&lt;Preisindex!$A$6,YEAR(CD$4)&gt;=YEAR($F168),$K168="k"),ROUND(VLOOKUP(CI$4,Preisindex,2,FALSE)/VLOOKUP(Preisindex!$A$6,Preisindex,2,FALSE),2),0)))))</f>
        <v>0</v>
      </c>
      <c r="CK168" s="51">
        <f>IF(AND($E168&lt;&gt;0,$F168&gt;0,YEAR($F168)&lt;=CI$4,YEAR($F168)&gt;=Preisindex!$A$6),ROUND($E168*CI168,2),IF(AND($E168&lt;&gt;0,$F168&gt;0,YEAR($F168)&lt;=CI$4,YEAR($F168)&lt;Preisindex!$A$6),ROUND($E168*CJ168,2),0))</f>
        <v>0</v>
      </c>
      <c r="CL168" s="53">
        <f t="shared" si="516"/>
        <v>0</v>
      </c>
      <c r="CM168" s="51">
        <f t="shared" si="619"/>
        <v>0</v>
      </c>
      <c r="CN168" s="51">
        <f t="shared" si="594"/>
        <v>0</v>
      </c>
      <c r="CO168" s="51">
        <f t="shared" si="517"/>
        <v>0</v>
      </c>
      <c r="CP168" s="51">
        <f t="shared" si="595"/>
        <v>0</v>
      </c>
      <c r="CQ168" s="51">
        <f t="shared" si="518"/>
        <v>0</v>
      </c>
      <c r="CR168" s="51">
        <f t="shared" si="596"/>
        <v>0</v>
      </c>
      <c r="CS168" s="51">
        <f t="shared" si="519"/>
        <v>0</v>
      </c>
      <c r="CT168" s="51">
        <f t="shared" si="597"/>
        <v>0</v>
      </c>
      <c r="CU168" s="51">
        <f t="shared" si="520"/>
        <v>0</v>
      </c>
      <c r="CV168" s="51">
        <f t="shared" si="598"/>
        <v>0</v>
      </c>
      <c r="CW168" s="51">
        <f t="shared" si="521"/>
        <v>0</v>
      </c>
      <c r="CX168" s="54">
        <f t="shared" si="522"/>
        <v>0</v>
      </c>
      <c r="CY168" s="55">
        <f t="shared" si="523"/>
        <v>0</v>
      </c>
      <c r="CZ168" s="56">
        <f>IF(AND($E168&lt;&gt;0,$F168&gt;0,YEAR($F168)&gt;=Preisindex!$A$6,YEAR(CU$4)&gt;=YEAR($F168),AND($K168&lt;&gt;"a",$K168&lt;&gt;"b",$K168&lt;&gt;"g",$K168&lt;&gt;"k")),1,IF(AND($E168&lt;&gt;0,$F168&gt;0,YEAR($F168)&gt;=Preisindex!$A$6,YEAR(CU$4)&gt;=YEAR($F168),$K168="a"),ROUND(VLOOKUP(CZ$4,Preisindex,5,FALSE)/VLOOKUP(YEAR($F168),Preisindex,5,FALSE),2),IF(AND($E168&lt;&gt;0,$F168&gt;0,YEAR($F168)&gt;=Preisindex!$A$6,YEAR(CU$4)&gt;=YEAR($F168),$K168="b"),ROUND(VLOOKUP(CZ$4,Preisindex,3,FALSE)/VLOOKUP(YEAR($F168),Preisindex,3,FALSE),2),IF(AND($E168&lt;&gt;0,$F168&gt;0,YEAR($F168)&gt;=Preisindex!$A$6,YEAR(CU$4)&gt;=YEAR($F168),$K168="g"),ROUND(VLOOKUP(CZ$4,Preisindex,4,FALSE)/VLOOKUP(YEAR($F168),Preisindex,4,FALSE),2),IF(AND($E168&lt;&gt;0,$F168&gt;0,YEAR($F168)&gt;=Preisindex!$A$6,YEAR(CU$4)&gt;=YEAR($F168),$K168="k"),ROUND(VLOOKUP(CZ$4,Preisindex,2,FALSE)/VLOOKUP(YEAR($F168),Preisindex,2,FALSE),2),0)))))</f>
        <v>0</v>
      </c>
      <c r="DA168" s="56">
        <f>IF(AND($E168&lt;&gt;0,$F168&gt;0,YEAR($F168)&lt;Preisindex!$A$6,YEAR(CU$4)&gt;=YEAR($F168),AND($K168&lt;&gt;"a",$K168&lt;&gt;"b",$K168&lt;&gt;"g",$K168&lt;&gt;"k")),1,IF(AND($E168&lt;&gt;0,$F168&gt;0,YEAR($F168)&lt;Preisindex!$A$6,YEAR(CU$4)&gt;=YEAR($F168),$K168="a"),ROUND(VLOOKUP(CZ$4,Preisindex,5,FALSE)/VLOOKUP(Preisindex!$A$6,Preisindex,5,FALSE),2),IF(AND($E168&lt;&gt;0,$F168&gt;0,YEAR($F168)&lt;Preisindex!$A$6,YEAR(CU$4)&gt;=YEAR($F168),$K168="b"),ROUND(VLOOKUP(CZ$4,Preisindex,3,FALSE)/VLOOKUP(Preisindex!$A$6,Preisindex,3,FALSE),2),IF(AND($E168&lt;&gt;0,$F168&gt;0,YEAR($F168)&lt;Preisindex!$A$6,YEAR(CU$4)&gt;=YEAR($F168),$K168="g"),ROUND(VLOOKUP(CZ$4,Preisindex,4,FALSE)/VLOOKUP(Preisindex!$A$6,Preisindex,4,FALSE),2),IF(AND($E168&lt;&gt;0,$F168&gt;0,YEAR($F168)&lt;Preisindex!$A$6,YEAR(CU$4)&gt;=YEAR($F168),$K168="k"),ROUND(VLOOKUP(CZ$4,Preisindex,2,FALSE)/VLOOKUP(Preisindex!$A$6,Preisindex,2,FALSE),2),0)))))</f>
        <v>0</v>
      </c>
      <c r="DB168" s="51">
        <f>IF(AND($E168&lt;&gt;0,$F168&gt;0,YEAR($F168)&lt;=CZ$4,YEAR($F168)&gt;=Preisindex!$A$6),ROUND($E168*CZ168,2),IF(AND($E168&lt;&gt;0,$F168&gt;0,YEAR($F168)&lt;=CZ$4,YEAR($F168)&lt;Preisindex!$A$6),ROUND($E168*DA168,2),0))</f>
        <v>0</v>
      </c>
      <c r="DC168" s="53">
        <f t="shared" si="524"/>
        <v>0</v>
      </c>
      <c r="DD168" s="51">
        <f t="shared" si="620"/>
        <v>0</v>
      </c>
      <c r="DE168" s="51">
        <f t="shared" si="599"/>
        <v>0</v>
      </c>
      <c r="DF168" s="51">
        <f t="shared" si="526"/>
        <v>0</v>
      </c>
      <c r="DG168" s="51">
        <f t="shared" si="600"/>
        <v>0</v>
      </c>
      <c r="DH168" s="51">
        <f t="shared" si="527"/>
        <v>0</v>
      </c>
      <c r="DI168" s="51">
        <f t="shared" si="601"/>
        <v>0</v>
      </c>
      <c r="DJ168" s="51">
        <f t="shared" si="528"/>
        <v>0</v>
      </c>
      <c r="DK168" s="51">
        <f t="shared" si="602"/>
        <v>0</v>
      </c>
      <c r="DL168" s="51">
        <f t="shared" si="529"/>
        <v>0</v>
      </c>
      <c r="DM168" s="51">
        <f t="shared" si="603"/>
        <v>0</v>
      </c>
      <c r="DN168" s="51">
        <f t="shared" si="530"/>
        <v>0</v>
      </c>
      <c r="DO168" s="54">
        <f t="shared" si="531"/>
        <v>0</v>
      </c>
      <c r="DP168" s="55">
        <f t="shared" si="532"/>
        <v>0</v>
      </c>
      <c r="DQ168" s="56">
        <f>IF(AND($E168&lt;&gt;0,$F168&gt;0,YEAR($F168)&gt;=Preisindex!$A$6,YEAR(DL$4)&gt;=YEAR($F168),AND($K168&lt;&gt;"a",$K168&lt;&gt;"b",$K168&lt;&gt;"g",$K168&lt;&gt;"k")),1,IF(AND($E168&lt;&gt;0,$F168&gt;0,YEAR($F168)&gt;=Preisindex!$A$6,YEAR(DL$4)&gt;=YEAR($F168),$K168="a"),ROUND(VLOOKUP(DQ$4,Preisindex,5,FALSE)/VLOOKUP(YEAR($F168),Preisindex,5,FALSE),2),IF(AND($E168&lt;&gt;0,$F168&gt;0,YEAR($F168)&gt;=Preisindex!$A$6,YEAR(DL$4)&gt;=YEAR($F168),$K168="b"),ROUND(VLOOKUP(DQ$4,Preisindex,3,FALSE)/VLOOKUP(YEAR($F168),Preisindex,3,FALSE),2),IF(AND($E168&lt;&gt;0,$F168&gt;0,YEAR($F168)&gt;=Preisindex!$A$6,YEAR(DL$4)&gt;=YEAR($F168),$K168="g"),ROUND(VLOOKUP(DQ$4,Preisindex,4,FALSE)/VLOOKUP(YEAR($F168),Preisindex,4,FALSE),2),IF(AND($E168&lt;&gt;0,$F168&gt;0,YEAR($F168)&gt;=Preisindex!$A$6,YEAR(DL$4)&gt;=YEAR($F168),$K168="k"),ROUND(VLOOKUP(DQ$4,Preisindex,2,FALSE)/VLOOKUP(YEAR($F168),Preisindex,2,FALSE),2),0)))))</f>
        <v>0</v>
      </c>
      <c r="DR168" s="56">
        <f>IF(AND($E168&lt;&gt;0,$F168&gt;0,YEAR($F168)&lt;Preisindex!$A$6,YEAR(DL$4)&gt;=YEAR($F168),AND($K168&lt;&gt;"a",$K168&lt;&gt;"b",$K168&lt;&gt;"g",$K168&lt;&gt;"k")),1,IF(AND($E168&lt;&gt;0,$F168&gt;0,YEAR($F168)&lt;Preisindex!$A$6,YEAR(DL$4)&gt;=YEAR($F168),$K168="a"),ROUND(VLOOKUP(DQ$4,Preisindex,5,FALSE)/VLOOKUP(Preisindex!$A$6,Preisindex,5,FALSE),2),IF(AND($E168&lt;&gt;0,$F168&gt;0,YEAR($F168)&lt;Preisindex!$A$6,YEAR(DL$4)&gt;=YEAR($F168),$K168="b"),ROUND(VLOOKUP(DQ$4,Preisindex,3,FALSE)/VLOOKUP(Preisindex!$A$6,Preisindex,3,FALSE),2),IF(AND($E168&lt;&gt;0,$F168&gt;0,YEAR($F168)&lt;Preisindex!$A$6,YEAR(DL$4)&gt;=YEAR($F168),$K168="g"),ROUND(VLOOKUP(DQ$4,Preisindex,4,FALSE)/VLOOKUP(Preisindex!$A$6,Preisindex,4,FALSE),2),IF(AND($E168&lt;&gt;0,$F168&gt;0,YEAR($F168)&lt;Preisindex!$A$6,YEAR(DL$4)&gt;=YEAR($F168),$K168="k"),ROUND(VLOOKUP(DQ$4,Preisindex,2,FALSE)/VLOOKUP(Preisindex!$A$6,Preisindex,2,FALSE),2),0)))))</f>
        <v>0</v>
      </c>
      <c r="DS168" s="51">
        <f>IF(AND($E168&lt;&gt;0,$F168&gt;0,YEAR($F168)&lt;=DQ$4,YEAR($F168)&gt;=Preisindex!$A$6),ROUND($E168*DQ168,2),IF(AND($E168&lt;&gt;0,$F168&gt;0,YEAR($F168)&lt;=DQ$4,YEAR($F168)&lt;Preisindex!$A$6),ROUND($E168*DR168,2),0))</f>
        <v>0</v>
      </c>
      <c r="DT168" s="53">
        <f t="shared" si="533"/>
        <v>0</v>
      </c>
      <c r="DU168" s="51">
        <f t="shared" si="620"/>
        <v>0</v>
      </c>
      <c r="DV168" s="51">
        <f t="shared" si="604"/>
        <v>0</v>
      </c>
      <c r="DW168" s="51">
        <f t="shared" si="534"/>
        <v>0</v>
      </c>
      <c r="DX168" s="51">
        <f t="shared" si="605"/>
        <v>0</v>
      </c>
      <c r="DY168" s="51">
        <f t="shared" si="535"/>
        <v>0</v>
      </c>
      <c r="DZ168" s="51">
        <f t="shared" si="606"/>
        <v>0</v>
      </c>
      <c r="EA168" s="51">
        <f t="shared" si="536"/>
        <v>0</v>
      </c>
      <c r="EB168" s="51">
        <f t="shared" si="607"/>
        <v>0</v>
      </c>
      <c r="EC168" s="51">
        <f t="shared" si="537"/>
        <v>0</v>
      </c>
      <c r="ED168" s="51">
        <f t="shared" si="608"/>
        <v>0</v>
      </c>
      <c r="EE168" s="51">
        <f t="shared" si="538"/>
        <v>0</v>
      </c>
      <c r="EF168" s="54">
        <f t="shared" si="539"/>
        <v>0</v>
      </c>
      <c r="EG168" s="55">
        <f t="shared" si="540"/>
        <v>0</v>
      </c>
      <c r="EH168" s="56">
        <f>IF(AND($E168&lt;&gt;0,$F168&gt;0,YEAR($F168)&gt;=Preisindex!$A$6,YEAR(EC$4)&gt;=YEAR($F168),AND($K168&lt;&gt;"a",$K168&lt;&gt;"b",$K168&lt;&gt;"g",$K168&lt;&gt;"k")),1,IF(AND($E168&lt;&gt;0,$F168&gt;0,YEAR($F168)&gt;=Preisindex!$A$6,YEAR(EC$4)&gt;=YEAR($F168),$K168="a"),ROUND(VLOOKUP(EH$4,Preisindex,5,FALSE)/VLOOKUP(YEAR($F168),Preisindex,5,FALSE),2),IF(AND($E168&lt;&gt;0,$F168&gt;0,YEAR($F168)&gt;=Preisindex!$A$6,YEAR(EC$4)&gt;=YEAR($F168),$K168="b"),ROUND(VLOOKUP(EH$4,Preisindex,3,FALSE)/VLOOKUP(YEAR($F168),Preisindex,3,FALSE),2),IF(AND($E168&lt;&gt;0,$F168&gt;0,YEAR($F168)&gt;=Preisindex!$A$6,YEAR(EC$4)&gt;=YEAR($F168),$K168="g"),ROUND(VLOOKUP(EH$4,Preisindex,4,FALSE)/VLOOKUP(YEAR($F168),Preisindex,4,FALSE),2),IF(AND($E168&lt;&gt;0,$F168&gt;0,YEAR($F168)&gt;=Preisindex!$A$6,YEAR(EC$4)&gt;=YEAR($F168),$K168="k"),ROUND(VLOOKUP(EH$4,Preisindex,2,FALSE)/VLOOKUP(YEAR($F168),Preisindex,2,FALSE),2),0)))))</f>
        <v>0</v>
      </c>
      <c r="EI168" s="56">
        <f>IF(AND($E168&lt;&gt;0,$F168&gt;0,YEAR($F168)&lt;Preisindex!$A$6,YEAR(EC$4)&gt;=YEAR($F168),AND($K168&lt;&gt;"a",$K168&lt;&gt;"b",$K168&lt;&gt;"g",$K168&lt;&gt;"k")),1,IF(AND($E168&lt;&gt;0,$F168&gt;0,YEAR($F168)&lt;Preisindex!$A$6,YEAR(EC$4)&gt;=YEAR($F168),$K168="a"),ROUND(VLOOKUP(EH$4,Preisindex,5,FALSE)/VLOOKUP(Preisindex!$A$6,Preisindex,5,FALSE),2),IF(AND($E168&lt;&gt;0,$F168&gt;0,YEAR($F168)&lt;Preisindex!$A$6,YEAR(EC$4)&gt;=YEAR($F168),$K168="b"),ROUND(VLOOKUP(EH$4,Preisindex,3,FALSE)/VLOOKUP(Preisindex!$A$6,Preisindex,3,FALSE),2),IF(AND($E168&lt;&gt;0,$F168&gt;0,YEAR($F168)&lt;Preisindex!$A$6,YEAR(EC$4)&gt;=YEAR($F168),$K168="g"),ROUND(VLOOKUP(EH$4,Preisindex,4,FALSE)/VLOOKUP(Preisindex!$A$6,Preisindex,4,FALSE),2),IF(AND($E168&lt;&gt;0,$F168&gt;0,YEAR($F168)&lt;Preisindex!$A$6,YEAR(EC$4)&gt;=YEAR($F168),$K168="k"),ROUND(VLOOKUP(EH$4,Preisindex,2,FALSE)/VLOOKUP(Preisindex!$A$6,Preisindex,2,FALSE),2),0)))))</f>
        <v>0</v>
      </c>
      <c r="EJ168" s="51">
        <f>IF(AND($E168&lt;&gt;0,$F168&gt;0,YEAR($F168)&lt;=EH$4,YEAR($F168)&gt;=Preisindex!$A$6),ROUND($E168*EH168,2),IF(AND($E168&lt;&gt;0,$F168&gt;0,YEAR($F168)&lt;=EH$4,YEAR($F168)&lt;Preisindex!$A$6),ROUND($E168*EI168,2),0))</f>
        <v>0</v>
      </c>
      <c r="EK168" s="53">
        <f t="shared" si="541"/>
        <v>0</v>
      </c>
      <c r="EL168" s="51">
        <f t="shared" si="620"/>
        <v>0</v>
      </c>
      <c r="EM168" s="51">
        <f t="shared" si="609"/>
        <v>0</v>
      </c>
      <c r="EN168" s="51">
        <f t="shared" si="542"/>
        <v>0</v>
      </c>
      <c r="EO168" s="51">
        <f t="shared" si="610"/>
        <v>0</v>
      </c>
      <c r="EP168" s="51">
        <f t="shared" si="543"/>
        <v>0</v>
      </c>
      <c r="EQ168" s="51">
        <f t="shared" si="611"/>
        <v>0</v>
      </c>
      <c r="ER168" s="51">
        <f t="shared" si="544"/>
        <v>0</v>
      </c>
      <c r="ES168" s="51">
        <f t="shared" si="612"/>
        <v>0</v>
      </c>
      <c r="ET168" s="51">
        <f t="shared" si="545"/>
        <v>0</v>
      </c>
      <c r="EU168" s="51">
        <f t="shared" si="613"/>
        <v>0</v>
      </c>
      <c r="EV168" s="51">
        <f t="shared" si="546"/>
        <v>0</v>
      </c>
      <c r="EW168" s="54">
        <f t="shared" si="547"/>
        <v>0</v>
      </c>
      <c r="EX168" s="55">
        <f t="shared" si="548"/>
        <v>0</v>
      </c>
      <c r="EY168" s="56">
        <f>IF(AND($E168&lt;&gt;0,$F168&gt;0,YEAR($F168)&gt;=Preisindex!$A$6,YEAR(ET$4)&gt;=YEAR($F168),AND($K168&lt;&gt;"a",$K168&lt;&gt;"b",$K168&lt;&gt;"g",$K168&lt;&gt;"k")),1,IF(AND($E168&lt;&gt;0,$F168&gt;0,YEAR($F168)&gt;=Preisindex!$A$6,YEAR(ET$4)&gt;=YEAR($F168),$K168="a"),ROUND(VLOOKUP(EY$4,Preisindex,5,FALSE)/VLOOKUP(YEAR($F168),Preisindex,5,FALSE),2),IF(AND($E168&lt;&gt;0,$F168&gt;0,YEAR($F168)&gt;=Preisindex!$A$6,YEAR(ET$4)&gt;=YEAR($F168),$K168="b"),ROUND(VLOOKUP(EY$4,Preisindex,3,FALSE)/VLOOKUP(YEAR($F168),Preisindex,3,FALSE),2),IF(AND($E168&lt;&gt;0,$F168&gt;0,YEAR($F168)&gt;=Preisindex!$A$6,YEAR(ET$4)&gt;=YEAR($F168),$K168="g"),ROUND(VLOOKUP(EY$4,Preisindex,4,FALSE)/VLOOKUP(YEAR($F168),Preisindex,4,FALSE),2),IF(AND($E168&lt;&gt;0,$F168&gt;0,YEAR($F168)&gt;=Preisindex!$A$6,YEAR(ET$4)&gt;=YEAR($F168),$K168="k"),ROUND(VLOOKUP(EY$4,Preisindex,2,FALSE)/VLOOKUP(YEAR($F168),Preisindex,2,FALSE),2),0)))))</f>
        <v>0</v>
      </c>
      <c r="EZ168" s="56">
        <f>IF(AND($E168&lt;&gt;0,$F168&gt;0,YEAR($F168)&lt;Preisindex!$A$6,YEAR(ET$4)&gt;=YEAR($F168),AND($K168&lt;&gt;"a",$K168&lt;&gt;"b",$K168&lt;&gt;"g",$K168&lt;&gt;"k")),1,IF(AND($E168&lt;&gt;0,$F168&gt;0,YEAR($F168)&lt;Preisindex!$A$6,YEAR(ET$4)&gt;=YEAR($F168),$K168="a"),ROUND(VLOOKUP(EY$4,Preisindex,5,FALSE)/VLOOKUP(Preisindex!$A$6,Preisindex,5,FALSE),2),IF(AND($E168&lt;&gt;0,$F168&gt;0,YEAR($F168)&lt;Preisindex!$A$6,YEAR(ET$4)&gt;=YEAR($F168),$K168="b"),ROUND(VLOOKUP(EY$4,Preisindex,3,FALSE)/VLOOKUP(Preisindex!$A$6,Preisindex,3,FALSE),2),IF(AND($E168&lt;&gt;0,$F168&gt;0,YEAR($F168)&lt;Preisindex!$A$6,YEAR(ET$4)&gt;=YEAR($F168),$K168="g"),ROUND(VLOOKUP(EY$4,Preisindex,4,FALSE)/VLOOKUP(Preisindex!$A$6,Preisindex,4,FALSE),2),IF(AND($E168&lt;&gt;0,$F168&gt;0,YEAR($F168)&lt;Preisindex!$A$6,YEAR(ET$4)&gt;=YEAR($F168),$K168="k"),ROUND(VLOOKUP(EY$4,Preisindex,2,FALSE)/VLOOKUP(Preisindex!$A$6,Preisindex,2,FALSE),2),0)))))</f>
        <v>0</v>
      </c>
      <c r="FA168" s="51">
        <f>IF(AND($E168&lt;&gt;0,$F168&gt;0,YEAR($F168)&lt;=EY$4,YEAR($F168)&gt;=Preisindex!$A$6),ROUND($E168*EY168,2),IF(AND($E168&lt;&gt;0,$F168&gt;0,YEAR($F168)&lt;=EY$4,YEAR($F168)&lt;Preisindex!$A$6),ROUND($E168*EZ168,2),0))</f>
        <v>0</v>
      </c>
      <c r="FB168" s="53">
        <f t="shared" si="549"/>
        <v>0</v>
      </c>
      <c r="FC168" s="51">
        <f t="shared" si="620"/>
        <v>0</v>
      </c>
      <c r="FD168" s="51">
        <f t="shared" si="614"/>
        <v>0</v>
      </c>
      <c r="FE168" s="51">
        <f t="shared" si="550"/>
        <v>0</v>
      </c>
      <c r="FF168" s="51">
        <f t="shared" si="615"/>
        <v>0</v>
      </c>
      <c r="FG168" s="51">
        <f t="shared" si="551"/>
        <v>0</v>
      </c>
      <c r="FH168" s="51">
        <f t="shared" si="616"/>
        <v>0</v>
      </c>
      <c r="FI168" s="51">
        <f t="shared" si="552"/>
        <v>0</v>
      </c>
      <c r="FJ168" s="51">
        <f t="shared" si="617"/>
        <v>0</v>
      </c>
      <c r="FK168" s="51">
        <f t="shared" si="553"/>
        <v>0</v>
      </c>
      <c r="FL168" s="51">
        <f t="shared" si="618"/>
        <v>0</v>
      </c>
      <c r="FM168" s="51">
        <f t="shared" si="554"/>
        <v>0</v>
      </c>
      <c r="FN168" s="54">
        <f t="shared" si="555"/>
        <v>0</v>
      </c>
      <c r="FO168" s="55">
        <f t="shared" si="556"/>
        <v>0</v>
      </c>
      <c r="FP168" s="56">
        <f>IF(AND($E168&lt;&gt;0,$F168&gt;0,YEAR($F168)&gt;=Preisindex!$A$6,YEAR(FK$4)&gt;=YEAR($F168),AND($K168&lt;&gt;"a",$K168&lt;&gt;"b",$K168&lt;&gt;"g",$K168&lt;&gt;"k")),1,IF(AND($E168&lt;&gt;0,$F168&gt;0,YEAR($F168)&gt;=Preisindex!$A$6,YEAR(FK$4)&gt;=YEAR($F168),$K168="a"),ROUND(VLOOKUP(FP$4,Preisindex,5,FALSE)/VLOOKUP(YEAR($F168),Preisindex,5,FALSE),2),IF(AND($E168&lt;&gt;0,$F168&gt;0,YEAR($F168)&gt;=Preisindex!$A$6,YEAR(FK$4)&gt;=YEAR($F168),$K168="b"),ROUND(VLOOKUP(FP$4,Preisindex,3,FALSE)/VLOOKUP(YEAR($F168),Preisindex,3,FALSE),2),IF(AND($E168&lt;&gt;0,$F168&gt;0,YEAR($F168)&gt;=Preisindex!$A$6,YEAR(FK$4)&gt;=YEAR($F168),$K168="g"),ROUND(VLOOKUP(FP$4,Preisindex,4,FALSE)/VLOOKUP(YEAR($F168),Preisindex,4,FALSE),2),IF(AND($E168&lt;&gt;0,$F168&gt;0,YEAR($F168)&gt;=Preisindex!$A$6,YEAR(FK$4)&gt;=YEAR($F168),$K168="k"),ROUND(VLOOKUP(FP$4,Preisindex,2,FALSE)/VLOOKUP(YEAR($F168),Preisindex,2,FALSE),2),0)))))</f>
        <v>0</v>
      </c>
      <c r="FQ168" s="56">
        <f>IF(AND($E168&lt;&gt;0,$F168&gt;0,YEAR($F168)&lt;Preisindex!$A$6,YEAR(FK$4)&gt;=YEAR($F168),AND($K168&lt;&gt;"a",$K168&lt;&gt;"b",$K168&lt;&gt;"g",$K168&lt;&gt;"k")),1,IF(AND($E168&lt;&gt;0,$F168&gt;0,YEAR($F168)&lt;Preisindex!$A$6,YEAR(FK$4)&gt;=YEAR($F168),$K168="a"),ROUND(VLOOKUP(FP$4,Preisindex,5,FALSE)/VLOOKUP(Preisindex!$A$6,Preisindex,5,FALSE),2),IF(AND($E168&lt;&gt;0,$F168&gt;0,YEAR($F168)&lt;Preisindex!$A$6,YEAR(FK$4)&gt;=YEAR($F168),$K168="b"),ROUND(VLOOKUP(FP$4,Preisindex,3,FALSE)/VLOOKUP(Preisindex!$A$6,Preisindex,3,FALSE),2),IF(AND($E168&lt;&gt;0,$F168&gt;0,YEAR($F168)&lt;Preisindex!$A$6,YEAR(FK$4)&gt;=YEAR($F168),$K168="g"),ROUND(VLOOKUP(FP$4,Preisindex,4,FALSE)/VLOOKUP(Preisindex!$A$6,Preisindex,4,FALSE),2),IF(AND($E168&lt;&gt;0,$F168&gt;0,YEAR($F168)&lt;Preisindex!$A$6,YEAR(FK$4)&gt;=YEAR($F168),$K168="k"),ROUND(VLOOKUP(FP$4,Preisindex,2,FALSE)/VLOOKUP(Preisindex!$A$6,Preisindex,2,FALSE),2),0)))))</f>
        <v>0</v>
      </c>
      <c r="FR168" s="51">
        <f>IF(AND($E168&lt;&gt;0,$F168&gt;0,YEAR($F168)&lt;=FP$4,YEAR($F168)&gt;=Preisindex!$A$6),ROUND($E168*FP168,2),IF(AND($E168&lt;&gt;0,$F168&gt;0,YEAR($F168)&lt;=FP$4,YEAR($F168)&lt;Preisindex!$A$6),ROUND($E168*FQ168,2),0))</f>
        <v>0</v>
      </c>
      <c r="FS168" s="53">
        <f t="shared" si="557"/>
        <v>0</v>
      </c>
    </row>
    <row r="169" spans="1:175" x14ac:dyDescent="0.3">
      <c r="A169" s="93"/>
      <c r="B169" s="94"/>
      <c r="C169" s="94"/>
      <c r="D169" s="95"/>
      <c r="E169" s="99"/>
      <c r="F169" s="97"/>
      <c r="G169" s="98"/>
      <c r="H169" s="620"/>
      <c r="I169" s="621"/>
      <c r="J169" s="194"/>
      <c r="K169" s="630"/>
      <c r="L169" s="49">
        <f t="shared" si="558"/>
        <v>0</v>
      </c>
      <c r="M169" s="50">
        <f t="shared" si="559"/>
        <v>0</v>
      </c>
      <c r="N169" s="51">
        <f t="shared" si="560"/>
        <v>0</v>
      </c>
      <c r="O169" s="51"/>
      <c r="P169" s="51">
        <f t="shared" si="561"/>
        <v>0</v>
      </c>
      <c r="Q169" s="52"/>
      <c r="R169" s="52"/>
      <c r="S169" s="52"/>
      <c r="T169" s="52"/>
      <c r="U169" s="52"/>
      <c r="V169" s="53">
        <f t="shared" si="562"/>
        <v>0</v>
      </c>
      <c r="W169" s="51">
        <f t="shared" si="563"/>
        <v>0</v>
      </c>
      <c r="X169" s="51">
        <f t="shared" si="564"/>
        <v>0</v>
      </c>
      <c r="Y169" s="51">
        <f t="shared" si="565"/>
        <v>0</v>
      </c>
      <c r="Z169" s="51">
        <f t="shared" si="566"/>
        <v>0</v>
      </c>
      <c r="AA169" s="51">
        <f t="shared" si="567"/>
        <v>0</v>
      </c>
      <c r="AB169" s="51">
        <f t="shared" si="568"/>
        <v>0</v>
      </c>
      <c r="AC169" s="51">
        <f t="shared" si="569"/>
        <v>0</v>
      </c>
      <c r="AD169" s="51">
        <f t="shared" si="570"/>
        <v>0</v>
      </c>
      <c r="AE169" s="51">
        <f t="shared" si="571"/>
        <v>0</v>
      </c>
      <c r="AF169" s="51">
        <f t="shared" si="572"/>
        <v>0</v>
      </c>
      <c r="AG169" s="51">
        <f t="shared" si="573"/>
        <v>0</v>
      </c>
      <c r="AH169" s="54">
        <f t="shared" si="574"/>
        <v>0</v>
      </c>
      <c r="AI169" s="55">
        <f t="shared" si="575"/>
        <v>0</v>
      </c>
      <c r="AJ169" s="56">
        <f>IF(AND($E169&lt;&gt;0,$F169&gt;0,YEAR($F169)&gt;=Preisindex!$A$6,YEAR(AE$4)&gt;=YEAR($F169),AND($K169&lt;&gt;"a",$K169&lt;&gt;"b",$K169&lt;&gt;"g",$K169&lt;&gt;"k")),1,IF(AND($E169&lt;&gt;0,$F169&gt;0,YEAR($F169)&gt;=Preisindex!$A$6,YEAR(AE$4)&gt;=YEAR($F169),$K169="a"),ROUND(VLOOKUP(AJ$4,Preisindex,5,FALSE)/VLOOKUP(YEAR($F169),Preisindex,5,FALSE),2),IF(AND($E169&lt;&gt;0,$F169&gt;0,YEAR($F169)&gt;=Preisindex!$A$6,YEAR(AE$4)&gt;=YEAR($F169),$K169="b"),ROUND(VLOOKUP(AJ$4,Preisindex,3,FALSE)/VLOOKUP(YEAR($F169),Preisindex,3,FALSE),2),IF(AND($E169&lt;&gt;0,$F169&gt;0,YEAR($F169)&gt;=Preisindex!$A$6,YEAR(AE$4)&gt;=YEAR($F169),$K169="g"),ROUND(VLOOKUP(AJ$4,Preisindex,4,FALSE)/VLOOKUP(YEAR($F169),Preisindex,4,FALSE),2),IF(AND($E169&lt;&gt;0,$F169&gt;0,YEAR($F169)&gt;=Preisindex!$A$6,YEAR(AE$4)&gt;=YEAR($F169),$K169="k"),ROUND(VLOOKUP(AJ$4,Preisindex,2,FALSE)/VLOOKUP(YEAR($F169),Preisindex,2,FALSE),2),0)))))</f>
        <v>0</v>
      </c>
      <c r="AK169" s="56">
        <f>IF(AND($E169&lt;&gt;0,$F169&gt;0,YEAR($F169)&lt;Preisindex!$A$6,YEAR(AE$4)&gt;=YEAR($F169),AND($K169&lt;&gt;"a",$K169&lt;&gt;"b",$K169&lt;&gt;"g",$K169&lt;&gt;"k")),1,IF(AND($E169&lt;&gt;0,$F169&gt;0,YEAR($F169)&lt;Preisindex!$A$6,YEAR(AE$4)&gt;=YEAR($F169),$K169="a"),ROUND(VLOOKUP(AJ$4,Preisindex,5,FALSE)/VLOOKUP(Preisindex!$A$6,Preisindex,5,FALSE),2),IF(AND($E169&lt;&gt;0,$F169&gt;0,YEAR($F169)&lt;Preisindex!$A$6,YEAR(AE$4)&gt;=YEAR($F169),$K169="b"),ROUND(VLOOKUP(AJ$4,Preisindex,3,FALSE)/VLOOKUP(Preisindex!$A$6,Preisindex,3,FALSE),2),IF(AND($E169&lt;&gt;0,$F169&gt;0,YEAR($F169)&lt;Preisindex!$A$6,YEAR(AE$4)&gt;=YEAR($F169),$K169="g"),ROUND(VLOOKUP(AJ$4,Preisindex,4,FALSE)/VLOOKUP(Preisindex!$A$6,Preisindex,4,FALSE),2),IF(AND($E169&lt;&gt;0,$F169&gt;0,YEAR($F169)&lt;Preisindex!$A$6,YEAR(AE$4)&gt;=YEAR($F169),$K169="k"),ROUND(VLOOKUP(AJ$4,Preisindex,2,FALSE)/VLOOKUP(Preisindex!$A$6,Preisindex,2,FALSE),2),0)))))</f>
        <v>0</v>
      </c>
      <c r="AL169" s="51">
        <f>IF(AND($E169&lt;&gt;0,$F169&gt;0,YEAR($F169)&lt;=AJ$4,YEAR($F169)&gt;=Preisindex!$A$6),ROUND($E169*AJ169,2),IF(AND($E169&lt;&gt;0,$F169&gt;0,YEAR($F169)&lt;=AJ$4,YEAR($F169)&lt;Preisindex!$A$6),ROUND($E169*AK169,2),0))</f>
        <v>0</v>
      </c>
      <c r="AM169" s="53">
        <f t="shared" si="576"/>
        <v>0</v>
      </c>
      <c r="AN169" s="51">
        <f t="shared" si="619"/>
        <v>0</v>
      </c>
      <c r="AO169" s="51">
        <f t="shared" si="579"/>
        <v>0</v>
      </c>
      <c r="AP169" s="51">
        <f t="shared" si="493"/>
        <v>0</v>
      </c>
      <c r="AQ169" s="51">
        <f t="shared" si="580"/>
        <v>0</v>
      </c>
      <c r="AR169" s="51">
        <f t="shared" si="494"/>
        <v>0</v>
      </c>
      <c r="AS169" s="51">
        <f t="shared" si="581"/>
        <v>0</v>
      </c>
      <c r="AT169" s="51">
        <f t="shared" si="495"/>
        <v>0</v>
      </c>
      <c r="AU169" s="51">
        <f t="shared" si="582"/>
        <v>0</v>
      </c>
      <c r="AV169" s="51">
        <f t="shared" si="496"/>
        <v>0</v>
      </c>
      <c r="AW169" s="51">
        <f t="shared" si="583"/>
        <v>0</v>
      </c>
      <c r="AX169" s="51">
        <f t="shared" si="497"/>
        <v>0</v>
      </c>
      <c r="AY169" s="54">
        <f t="shared" si="498"/>
        <v>0</v>
      </c>
      <c r="AZ169" s="55">
        <f t="shared" si="499"/>
        <v>0</v>
      </c>
      <c r="BA169" s="56">
        <f>IF(AND($E169&lt;&gt;0,$F169&gt;0,YEAR($F169)&gt;=Preisindex!$A$6,YEAR(AV$4)&gt;=YEAR($F169),AND($K169&lt;&gt;"a",$K169&lt;&gt;"b",$K169&lt;&gt;"g",$K169&lt;&gt;"k")),1,IF(AND($E169&lt;&gt;0,$F169&gt;0,YEAR($F169)&gt;=Preisindex!$A$6,YEAR(AV$4)&gt;=YEAR($F169),$K169="a"),ROUND(VLOOKUP(BA$4,Preisindex,5,FALSE)/VLOOKUP(YEAR($F169),Preisindex,5,FALSE),2),IF(AND($E169&lt;&gt;0,$F169&gt;0,YEAR($F169)&gt;=Preisindex!$A$6,YEAR(AV$4)&gt;=YEAR($F169),$K169="b"),ROUND(VLOOKUP(BA$4,Preisindex,3,FALSE)/VLOOKUP(YEAR($F169),Preisindex,3,FALSE),2),IF(AND($E169&lt;&gt;0,$F169&gt;0,YEAR($F169)&gt;=Preisindex!$A$6,YEAR(AV$4)&gt;=YEAR($F169),$K169="g"),ROUND(VLOOKUP(BA$4,Preisindex,4,FALSE)/VLOOKUP(YEAR($F169),Preisindex,4,FALSE),2),IF(AND($E169&lt;&gt;0,$F169&gt;0,YEAR($F169)&gt;=Preisindex!$A$6,YEAR(AV$4)&gt;=YEAR($F169),$K169="k"),ROUND(VLOOKUP(BA$4,Preisindex,2,FALSE)/VLOOKUP(YEAR($F169),Preisindex,2,FALSE),2),0)))))</f>
        <v>0</v>
      </c>
      <c r="BB169" s="56">
        <f>IF(AND($E169&lt;&gt;0,$F169&gt;0,YEAR($F169)&lt;Preisindex!$A$6,YEAR(AV$4)&gt;=YEAR($F169),AND($K169&lt;&gt;"a",$K169&lt;&gt;"b",$K169&lt;&gt;"g",$K169&lt;&gt;"k")),1,IF(AND($E169&lt;&gt;0,$F169&gt;0,YEAR($F169)&lt;Preisindex!$A$6,YEAR(AV$4)&gt;=YEAR($F169),$K169="a"),ROUND(VLOOKUP(BA$4,Preisindex,5,FALSE)/VLOOKUP(Preisindex!$A$6,Preisindex,5,FALSE),2),IF(AND($E169&lt;&gt;0,$F169&gt;0,YEAR($F169)&lt;Preisindex!$A$6,YEAR(AV$4)&gt;=YEAR($F169),$K169="b"),ROUND(VLOOKUP(BA$4,Preisindex,3,FALSE)/VLOOKUP(Preisindex!$A$6,Preisindex,3,FALSE),2),IF(AND($E169&lt;&gt;0,$F169&gt;0,YEAR($F169)&lt;Preisindex!$A$6,YEAR(AV$4)&gt;=YEAR($F169),$K169="g"),ROUND(VLOOKUP(BA$4,Preisindex,4,FALSE)/VLOOKUP(Preisindex!$A$6,Preisindex,4,FALSE),2),IF(AND($E169&lt;&gt;0,$F169&gt;0,YEAR($F169)&lt;Preisindex!$A$6,YEAR(AV$4)&gt;=YEAR($F169),$K169="k"),ROUND(VLOOKUP(BA$4,Preisindex,2,FALSE)/VLOOKUP(Preisindex!$A$6,Preisindex,2,FALSE),2),0)))))</f>
        <v>0</v>
      </c>
      <c r="BC169" s="51">
        <f>IF(AND($E169&lt;&gt;0,$F169&gt;0,YEAR($F169)&lt;=BA$4,YEAR($F169)&gt;=Preisindex!$A$6),ROUND($E169*BA169,2),IF(AND($E169&lt;&gt;0,$F169&gt;0,YEAR($F169)&lt;=BA$4,YEAR($F169)&lt;Preisindex!$A$6),ROUND($E169*BB169,2),0))</f>
        <v>0</v>
      </c>
      <c r="BD169" s="53">
        <f t="shared" si="500"/>
        <v>0</v>
      </c>
      <c r="BE169" s="51">
        <f t="shared" si="619"/>
        <v>0</v>
      </c>
      <c r="BF169" s="51">
        <f t="shared" si="584"/>
        <v>0</v>
      </c>
      <c r="BG169" s="51">
        <f t="shared" si="501"/>
        <v>0</v>
      </c>
      <c r="BH169" s="51">
        <f t="shared" si="585"/>
        <v>0</v>
      </c>
      <c r="BI169" s="51">
        <f t="shared" si="502"/>
        <v>0</v>
      </c>
      <c r="BJ169" s="51">
        <f t="shared" si="586"/>
        <v>0</v>
      </c>
      <c r="BK169" s="51">
        <f t="shared" si="503"/>
        <v>0</v>
      </c>
      <c r="BL169" s="51">
        <f t="shared" si="587"/>
        <v>0</v>
      </c>
      <c r="BM169" s="51">
        <f t="shared" si="504"/>
        <v>0</v>
      </c>
      <c r="BN169" s="51">
        <f t="shared" si="588"/>
        <v>0</v>
      </c>
      <c r="BO169" s="51">
        <f t="shared" si="505"/>
        <v>0</v>
      </c>
      <c r="BP169" s="54">
        <f t="shared" si="506"/>
        <v>0</v>
      </c>
      <c r="BQ169" s="55">
        <f t="shared" si="507"/>
        <v>0</v>
      </c>
      <c r="BR169" s="56">
        <f>IF(AND($E169&lt;&gt;0,$F169&gt;0,YEAR($F169)&gt;=Preisindex!$A$6,YEAR(BM$4)&gt;=YEAR($F169),AND($K169&lt;&gt;"a",$K169&lt;&gt;"b",$K169&lt;&gt;"g",$K169&lt;&gt;"k")),1,IF(AND($E169&lt;&gt;0,$F169&gt;0,YEAR($F169)&gt;=Preisindex!$A$6,YEAR(BM$4)&gt;=YEAR($F169),$K169="a"),ROUND(VLOOKUP(BR$4,Preisindex,5,FALSE)/VLOOKUP(YEAR($F169),Preisindex,5,FALSE),2),IF(AND($E169&lt;&gt;0,$F169&gt;0,YEAR($F169)&gt;=Preisindex!$A$6,YEAR(BM$4)&gt;=YEAR($F169),$K169="b"),ROUND(VLOOKUP(BR$4,Preisindex,3,FALSE)/VLOOKUP(YEAR($F169),Preisindex,3,FALSE),2),IF(AND($E169&lt;&gt;0,$F169&gt;0,YEAR($F169)&gt;=Preisindex!$A$6,YEAR(BM$4)&gt;=YEAR($F169),$K169="g"),ROUND(VLOOKUP(BR$4,Preisindex,4,FALSE)/VLOOKUP(YEAR($F169),Preisindex,4,FALSE),2),IF(AND($E169&lt;&gt;0,$F169&gt;0,YEAR($F169)&gt;=Preisindex!$A$6,YEAR(BM$4)&gt;=YEAR($F169),$K169="k"),ROUND(VLOOKUP(BR$4,Preisindex,2,FALSE)/VLOOKUP(YEAR($F169),Preisindex,2,FALSE),2),0)))))</f>
        <v>0</v>
      </c>
      <c r="BS169" s="56">
        <f>IF(AND($E169&lt;&gt;0,$F169&gt;0,YEAR($F169)&lt;Preisindex!$A$6,YEAR(BM$4)&gt;=YEAR($F169),AND($K169&lt;&gt;"a",$K169&lt;&gt;"b",$K169&lt;&gt;"g",$K169&lt;&gt;"k")),1,IF(AND($E169&lt;&gt;0,$F169&gt;0,YEAR($F169)&lt;Preisindex!$A$6,YEAR(BM$4)&gt;=YEAR($F169),$K169="a"),ROUND(VLOOKUP(BR$4,Preisindex,5,FALSE)/VLOOKUP(Preisindex!$A$6,Preisindex,5,FALSE),2),IF(AND($E169&lt;&gt;0,$F169&gt;0,YEAR($F169)&lt;Preisindex!$A$6,YEAR(BM$4)&gt;=YEAR($F169),$K169="b"),ROUND(VLOOKUP(BR$4,Preisindex,3,FALSE)/VLOOKUP(Preisindex!$A$6,Preisindex,3,FALSE),2),IF(AND($E169&lt;&gt;0,$F169&gt;0,YEAR($F169)&lt;Preisindex!$A$6,YEAR(BM$4)&gt;=YEAR($F169),$K169="g"),ROUND(VLOOKUP(BR$4,Preisindex,4,FALSE)/VLOOKUP(Preisindex!$A$6,Preisindex,4,FALSE),2),IF(AND($E169&lt;&gt;0,$F169&gt;0,YEAR($F169)&lt;Preisindex!$A$6,YEAR(BM$4)&gt;=YEAR($F169),$K169="k"),ROUND(VLOOKUP(BR$4,Preisindex,2,FALSE)/VLOOKUP(Preisindex!$A$6,Preisindex,2,FALSE),2),0)))))</f>
        <v>0</v>
      </c>
      <c r="BT169" s="51">
        <f>IF(AND($E169&lt;&gt;0,$F169&gt;0,YEAR($F169)&lt;=BR$4,YEAR($F169)&gt;=Preisindex!$A$6),ROUND($E169*BR169,2),IF(AND($E169&lt;&gt;0,$F169&gt;0,YEAR($F169)&lt;=BR$4,YEAR($F169)&lt;Preisindex!$A$6),ROUND($E169*BS169,2),0))</f>
        <v>0</v>
      </c>
      <c r="BU169" s="53">
        <f t="shared" si="508"/>
        <v>0</v>
      </c>
      <c r="BV169" s="51">
        <f t="shared" si="619"/>
        <v>0</v>
      </c>
      <c r="BW169" s="51">
        <f t="shared" si="589"/>
        <v>0</v>
      </c>
      <c r="BX169" s="51">
        <f t="shared" si="509"/>
        <v>0</v>
      </c>
      <c r="BY169" s="51">
        <f t="shared" si="590"/>
        <v>0</v>
      </c>
      <c r="BZ169" s="51">
        <f t="shared" si="510"/>
        <v>0</v>
      </c>
      <c r="CA169" s="51">
        <f t="shared" si="591"/>
        <v>0</v>
      </c>
      <c r="CB169" s="51">
        <f t="shared" si="511"/>
        <v>0</v>
      </c>
      <c r="CC169" s="51">
        <f t="shared" si="592"/>
        <v>0</v>
      </c>
      <c r="CD169" s="51">
        <f t="shared" si="512"/>
        <v>0</v>
      </c>
      <c r="CE169" s="51">
        <f t="shared" si="593"/>
        <v>0</v>
      </c>
      <c r="CF169" s="51">
        <f t="shared" si="513"/>
        <v>0</v>
      </c>
      <c r="CG169" s="54">
        <f t="shared" si="514"/>
        <v>0</v>
      </c>
      <c r="CH169" s="55">
        <f t="shared" si="515"/>
        <v>0</v>
      </c>
      <c r="CI169" s="56">
        <f>IF(AND($E169&lt;&gt;0,$F169&gt;0,YEAR($F169)&gt;=Preisindex!$A$6,YEAR(CD$4)&gt;=YEAR($F169),AND($K169&lt;&gt;"a",$K169&lt;&gt;"b",$K169&lt;&gt;"g",$K169&lt;&gt;"k")),1,IF(AND($E169&lt;&gt;0,$F169&gt;0,YEAR($F169)&gt;=Preisindex!$A$6,YEAR(CD$4)&gt;=YEAR($F169),$K169="a"),ROUND(VLOOKUP(CI$4,Preisindex,5,FALSE)/VLOOKUP(YEAR($F169),Preisindex,5,FALSE),2),IF(AND($E169&lt;&gt;0,$F169&gt;0,YEAR($F169)&gt;=Preisindex!$A$6,YEAR(CD$4)&gt;=YEAR($F169),$K169="b"),ROUND(VLOOKUP(CI$4,Preisindex,3,FALSE)/VLOOKUP(YEAR($F169),Preisindex,3,FALSE),2),IF(AND($E169&lt;&gt;0,$F169&gt;0,YEAR($F169)&gt;=Preisindex!$A$6,YEAR(CD$4)&gt;=YEAR($F169),$K169="g"),ROUND(VLOOKUP(CI$4,Preisindex,4,FALSE)/VLOOKUP(YEAR($F169),Preisindex,4,FALSE),2),IF(AND($E169&lt;&gt;0,$F169&gt;0,YEAR($F169)&gt;=Preisindex!$A$6,YEAR(CD$4)&gt;=YEAR($F169),$K169="k"),ROUND(VLOOKUP(CI$4,Preisindex,2,FALSE)/VLOOKUP(YEAR($F169),Preisindex,2,FALSE),2),0)))))</f>
        <v>0</v>
      </c>
      <c r="CJ169" s="56">
        <f>IF(AND($E169&lt;&gt;0,$F169&gt;0,YEAR($F169)&lt;Preisindex!$A$6,YEAR(CD$4)&gt;=YEAR($F169),AND($K169&lt;&gt;"a",$K169&lt;&gt;"b",$K169&lt;&gt;"g",$K169&lt;&gt;"k")),1,IF(AND($E169&lt;&gt;0,$F169&gt;0,YEAR($F169)&lt;Preisindex!$A$6,YEAR(CD$4)&gt;=YEAR($F169),$K169="a"),ROUND(VLOOKUP(CI$4,Preisindex,5,FALSE)/VLOOKUP(Preisindex!$A$6,Preisindex,5,FALSE),2),IF(AND($E169&lt;&gt;0,$F169&gt;0,YEAR($F169)&lt;Preisindex!$A$6,YEAR(CD$4)&gt;=YEAR($F169),$K169="b"),ROUND(VLOOKUP(CI$4,Preisindex,3,FALSE)/VLOOKUP(Preisindex!$A$6,Preisindex,3,FALSE),2),IF(AND($E169&lt;&gt;0,$F169&gt;0,YEAR($F169)&lt;Preisindex!$A$6,YEAR(CD$4)&gt;=YEAR($F169),$K169="g"),ROUND(VLOOKUP(CI$4,Preisindex,4,FALSE)/VLOOKUP(Preisindex!$A$6,Preisindex,4,FALSE),2),IF(AND($E169&lt;&gt;0,$F169&gt;0,YEAR($F169)&lt;Preisindex!$A$6,YEAR(CD$4)&gt;=YEAR($F169),$K169="k"),ROUND(VLOOKUP(CI$4,Preisindex,2,FALSE)/VLOOKUP(Preisindex!$A$6,Preisindex,2,FALSE),2),0)))))</f>
        <v>0</v>
      </c>
      <c r="CK169" s="51">
        <f>IF(AND($E169&lt;&gt;0,$F169&gt;0,YEAR($F169)&lt;=CI$4,YEAR($F169)&gt;=Preisindex!$A$6),ROUND($E169*CI169,2),IF(AND($E169&lt;&gt;0,$F169&gt;0,YEAR($F169)&lt;=CI$4,YEAR($F169)&lt;Preisindex!$A$6),ROUND($E169*CJ169,2),0))</f>
        <v>0</v>
      </c>
      <c r="CL169" s="53">
        <f t="shared" si="516"/>
        <v>0</v>
      </c>
      <c r="CM169" s="51">
        <f t="shared" si="619"/>
        <v>0</v>
      </c>
      <c r="CN169" s="51">
        <f t="shared" si="594"/>
        <v>0</v>
      </c>
      <c r="CO169" s="51">
        <f t="shared" si="517"/>
        <v>0</v>
      </c>
      <c r="CP169" s="51">
        <f t="shared" si="595"/>
        <v>0</v>
      </c>
      <c r="CQ169" s="51">
        <f t="shared" si="518"/>
        <v>0</v>
      </c>
      <c r="CR169" s="51">
        <f t="shared" si="596"/>
        <v>0</v>
      </c>
      <c r="CS169" s="51">
        <f t="shared" si="519"/>
        <v>0</v>
      </c>
      <c r="CT169" s="51">
        <f t="shared" si="597"/>
        <v>0</v>
      </c>
      <c r="CU169" s="51">
        <f t="shared" si="520"/>
        <v>0</v>
      </c>
      <c r="CV169" s="51">
        <f t="shared" si="598"/>
        <v>0</v>
      </c>
      <c r="CW169" s="51">
        <f t="shared" si="521"/>
        <v>0</v>
      </c>
      <c r="CX169" s="54">
        <f t="shared" si="522"/>
        <v>0</v>
      </c>
      <c r="CY169" s="55">
        <f t="shared" si="523"/>
        <v>0</v>
      </c>
      <c r="CZ169" s="56">
        <f>IF(AND($E169&lt;&gt;0,$F169&gt;0,YEAR($F169)&gt;=Preisindex!$A$6,YEAR(CU$4)&gt;=YEAR($F169),AND($K169&lt;&gt;"a",$K169&lt;&gt;"b",$K169&lt;&gt;"g",$K169&lt;&gt;"k")),1,IF(AND($E169&lt;&gt;0,$F169&gt;0,YEAR($F169)&gt;=Preisindex!$A$6,YEAR(CU$4)&gt;=YEAR($F169),$K169="a"),ROUND(VLOOKUP(CZ$4,Preisindex,5,FALSE)/VLOOKUP(YEAR($F169),Preisindex,5,FALSE),2),IF(AND($E169&lt;&gt;0,$F169&gt;0,YEAR($F169)&gt;=Preisindex!$A$6,YEAR(CU$4)&gt;=YEAR($F169),$K169="b"),ROUND(VLOOKUP(CZ$4,Preisindex,3,FALSE)/VLOOKUP(YEAR($F169),Preisindex,3,FALSE),2),IF(AND($E169&lt;&gt;0,$F169&gt;0,YEAR($F169)&gt;=Preisindex!$A$6,YEAR(CU$4)&gt;=YEAR($F169),$K169="g"),ROUND(VLOOKUP(CZ$4,Preisindex,4,FALSE)/VLOOKUP(YEAR($F169),Preisindex,4,FALSE),2),IF(AND($E169&lt;&gt;0,$F169&gt;0,YEAR($F169)&gt;=Preisindex!$A$6,YEAR(CU$4)&gt;=YEAR($F169),$K169="k"),ROUND(VLOOKUP(CZ$4,Preisindex,2,FALSE)/VLOOKUP(YEAR($F169),Preisindex,2,FALSE),2),0)))))</f>
        <v>0</v>
      </c>
      <c r="DA169" s="56">
        <f>IF(AND($E169&lt;&gt;0,$F169&gt;0,YEAR($F169)&lt;Preisindex!$A$6,YEAR(CU$4)&gt;=YEAR($F169),AND($K169&lt;&gt;"a",$K169&lt;&gt;"b",$K169&lt;&gt;"g",$K169&lt;&gt;"k")),1,IF(AND($E169&lt;&gt;0,$F169&gt;0,YEAR($F169)&lt;Preisindex!$A$6,YEAR(CU$4)&gt;=YEAR($F169),$K169="a"),ROUND(VLOOKUP(CZ$4,Preisindex,5,FALSE)/VLOOKUP(Preisindex!$A$6,Preisindex,5,FALSE),2),IF(AND($E169&lt;&gt;0,$F169&gt;0,YEAR($F169)&lt;Preisindex!$A$6,YEAR(CU$4)&gt;=YEAR($F169),$K169="b"),ROUND(VLOOKUP(CZ$4,Preisindex,3,FALSE)/VLOOKUP(Preisindex!$A$6,Preisindex,3,FALSE),2),IF(AND($E169&lt;&gt;0,$F169&gt;0,YEAR($F169)&lt;Preisindex!$A$6,YEAR(CU$4)&gt;=YEAR($F169),$K169="g"),ROUND(VLOOKUP(CZ$4,Preisindex,4,FALSE)/VLOOKUP(Preisindex!$A$6,Preisindex,4,FALSE),2),IF(AND($E169&lt;&gt;0,$F169&gt;0,YEAR($F169)&lt;Preisindex!$A$6,YEAR(CU$4)&gt;=YEAR($F169),$K169="k"),ROUND(VLOOKUP(CZ$4,Preisindex,2,FALSE)/VLOOKUP(Preisindex!$A$6,Preisindex,2,FALSE),2),0)))))</f>
        <v>0</v>
      </c>
      <c r="DB169" s="51">
        <f>IF(AND($E169&lt;&gt;0,$F169&gt;0,YEAR($F169)&lt;=CZ$4,YEAR($F169)&gt;=Preisindex!$A$6),ROUND($E169*CZ169,2),IF(AND($E169&lt;&gt;0,$F169&gt;0,YEAR($F169)&lt;=CZ$4,YEAR($F169)&lt;Preisindex!$A$6),ROUND($E169*DA169,2),0))</f>
        <v>0</v>
      </c>
      <c r="DC169" s="53">
        <f t="shared" si="524"/>
        <v>0</v>
      </c>
      <c r="DD169" s="51">
        <f t="shared" si="620"/>
        <v>0</v>
      </c>
      <c r="DE169" s="51">
        <f t="shared" si="599"/>
        <v>0</v>
      </c>
      <c r="DF169" s="51">
        <f t="shared" si="526"/>
        <v>0</v>
      </c>
      <c r="DG169" s="51">
        <f t="shared" si="600"/>
        <v>0</v>
      </c>
      <c r="DH169" s="51">
        <f t="shared" si="527"/>
        <v>0</v>
      </c>
      <c r="DI169" s="51">
        <f t="shared" si="601"/>
        <v>0</v>
      </c>
      <c r="DJ169" s="51">
        <f t="shared" si="528"/>
        <v>0</v>
      </c>
      <c r="DK169" s="51">
        <f t="shared" si="602"/>
        <v>0</v>
      </c>
      <c r="DL169" s="51">
        <f t="shared" si="529"/>
        <v>0</v>
      </c>
      <c r="DM169" s="51">
        <f t="shared" si="603"/>
        <v>0</v>
      </c>
      <c r="DN169" s="51">
        <f t="shared" si="530"/>
        <v>0</v>
      </c>
      <c r="DO169" s="54">
        <f t="shared" si="531"/>
        <v>0</v>
      </c>
      <c r="DP169" s="55">
        <f t="shared" si="532"/>
        <v>0</v>
      </c>
      <c r="DQ169" s="56">
        <f>IF(AND($E169&lt;&gt;0,$F169&gt;0,YEAR($F169)&gt;=Preisindex!$A$6,YEAR(DL$4)&gt;=YEAR($F169),AND($K169&lt;&gt;"a",$K169&lt;&gt;"b",$K169&lt;&gt;"g",$K169&lt;&gt;"k")),1,IF(AND($E169&lt;&gt;0,$F169&gt;0,YEAR($F169)&gt;=Preisindex!$A$6,YEAR(DL$4)&gt;=YEAR($F169),$K169="a"),ROUND(VLOOKUP(DQ$4,Preisindex,5,FALSE)/VLOOKUP(YEAR($F169),Preisindex,5,FALSE),2),IF(AND($E169&lt;&gt;0,$F169&gt;0,YEAR($F169)&gt;=Preisindex!$A$6,YEAR(DL$4)&gt;=YEAR($F169),$K169="b"),ROUND(VLOOKUP(DQ$4,Preisindex,3,FALSE)/VLOOKUP(YEAR($F169),Preisindex,3,FALSE),2),IF(AND($E169&lt;&gt;0,$F169&gt;0,YEAR($F169)&gt;=Preisindex!$A$6,YEAR(DL$4)&gt;=YEAR($F169),$K169="g"),ROUND(VLOOKUP(DQ$4,Preisindex,4,FALSE)/VLOOKUP(YEAR($F169),Preisindex,4,FALSE),2),IF(AND($E169&lt;&gt;0,$F169&gt;0,YEAR($F169)&gt;=Preisindex!$A$6,YEAR(DL$4)&gt;=YEAR($F169),$K169="k"),ROUND(VLOOKUP(DQ$4,Preisindex,2,FALSE)/VLOOKUP(YEAR($F169),Preisindex,2,FALSE),2),0)))))</f>
        <v>0</v>
      </c>
      <c r="DR169" s="56">
        <f>IF(AND($E169&lt;&gt;0,$F169&gt;0,YEAR($F169)&lt;Preisindex!$A$6,YEAR(DL$4)&gt;=YEAR($F169),AND($K169&lt;&gt;"a",$K169&lt;&gt;"b",$K169&lt;&gt;"g",$K169&lt;&gt;"k")),1,IF(AND($E169&lt;&gt;0,$F169&gt;0,YEAR($F169)&lt;Preisindex!$A$6,YEAR(DL$4)&gt;=YEAR($F169),$K169="a"),ROUND(VLOOKUP(DQ$4,Preisindex,5,FALSE)/VLOOKUP(Preisindex!$A$6,Preisindex,5,FALSE),2),IF(AND($E169&lt;&gt;0,$F169&gt;0,YEAR($F169)&lt;Preisindex!$A$6,YEAR(DL$4)&gt;=YEAR($F169),$K169="b"),ROUND(VLOOKUP(DQ$4,Preisindex,3,FALSE)/VLOOKUP(Preisindex!$A$6,Preisindex,3,FALSE),2),IF(AND($E169&lt;&gt;0,$F169&gt;0,YEAR($F169)&lt;Preisindex!$A$6,YEAR(DL$4)&gt;=YEAR($F169),$K169="g"),ROUND(VLOOKUP(DQ$4,Preisindex,4,FALSE)/VLOOKUP(Preisindex!$A$6,Preisindex,4,FALSE),2),IF(AND($E169&lt;&gt;0,$F169&gt;0,YEAR($F169)&lt;Preisindex!$A$6,YEAR(DL$4)&gt;=YEAR($F169),$K169="k"),ROUND(VLOOKUP(DQ$4,Preisindex,2,FALSE)/VLOOKUP(Preisindex!$A$6,Preisindex,2,FALSE),2),0)))))</f>
        <v>0</v>
      </c>
      <c r="DS169" s="51">
        <f>IF(AND($E169&lt;&gt;0,$F169&gt;0,YEAR($F169)&lt;=DQ$4,YEAR($F169)&gt;=Preisindex!$A$6),ROUND($E169*DQ169,2),IF(AND($E169&lt;&gt;0,$F169&gt;0,YEAR($F169)&lt;=DQ$4,YEAR($F169)&lt;Preisindex!$A$6),ROUND($E169*DR169,2),0))</f>
        <v>0</v>
      </c>
      <c r="DT169" s="53">
        <f t="shared" si="533"/>
        <v>0</v>
      </c>
      <c r="DU169" s="51">
        <f t="shared" si="620"/>
        <v>0</v>
      </c>
      <c r="DV169" s="51">
        <f t="shared" si="604"/>
        <v>0</v>
      </c>
      <c r="DW169" s="51">
        <f t="shared" si="534"/>
        <v>0</v>
      </c>
      <c r="DX169" s="51">
        <f t="shared" si="605"/>
        <v>0</v>
      </c>
      <c r="DY169" s="51">
        <f t="shared" si="535"/>
        <v>0</v>
      </c>
      <c r="DZ169" s="51">
        <f t="shared" si="606"/>
        <v>0</v>
      </c>
      <c r="EA169" s="51">
        <f t="shared" si="536"/>
        <v>0</v>
      </c>
      <c r="EB169" s="51">
        <f t="shared" si="607"/>
        <v>0</v>
      </c>
      <c r="EC169" s="51">
        <f t="shared" si="537"/>
        <v>0</v>
      </c>
      <c r="ED169" s="51">
        <f t="shared" si="608"/>
        <v>0</v>
      </c>
      <c r="EE169" s="51">
        <f t="shared" si="538"/>
        <v>0</v>
      </c>
      <c r="EF169" s="54">
        <f t="shared" si="539"/>
        <v>0</v>
      </c>
      <c r="EG169" s="55">
        <f t="shared" si="540"/>
        <v>0</v>
      </c>
      <c r="EH169" s="56">
        <f>IF(AND($E169&lt;&gt;0,$F169&gt;0,YEAR($F169)&gt;=Preisindex!$A$6,YEAR(EC$4)&gt;=YEAR($F169),AND($K169&lt;&gt;"a",$K169&lt;&gt;"b",$K169&lt;&gt;"g",$K169&lt;&gt;"k")),1,IF(AND($E169&lt;&gt;0,$F169&gt;0,YEAR($F169)&gt;=Preisindex!$A$6,YEAR(EC$4)&gt;=YEAR($F169),$K169="a"),ROUND(VLOOKUP(EH$4,Preisindex,5,FALSE)/VLOOKUP(YEAR($F169),Preisindex,5,FALSE),2),IF(AND($E169&lt;&gt;0,$F169&gt;0,YEAR($F169)&gt;=Preisindex!$A$6,YEAR(EC$4)&gt;=YEAR($F169),$K169="b"),ROUND(VLOOKUP(EH$4,Preisindex,3,FALSE)/VLOOKUP(YEAR($F169),Preisindex,3,FALSE),2),IF(AND($E169&lt;&gt;0,$F169&gt;0,YEAR($F169)&gt;=Preisindex!$A$6,YEAR(EC$4)&gt;=YEAR($F169),$K169="g"),ROUND(VLOOKUP(EH$4,Preisindex,4,FALSE)/VLOOKUP(YEAR($F169),Preisindex,4,FALSE),2),IF(AND($E169&lt;&gt;0,$F169&gt;0,YEAR($F169)&gt;=Preisindex!$A$6,YEAR(EC$4)&gt;=YEAR($F169),$K169="k"),ROUND(VLOOKUP(EH$4,Preisindex,2,FALSE)/VLOOKUP(YEAR($F169),Preisindex,2,FALSE),2),0)))))</f>
        <v>0</v>
      </c>
      <c r="EI169" s="56">
        <f>IF(AND($E169&lt;&gt;0,$F169&gt;0,YEAR($F169)&lt;Preisindex!$A$6,YEAR(EC$4)&gt;=YEAR($F169),AND($K169&lt;&gt;"a",$K169&lt;&gt;"b",$K169&lt;&gt;"g",$K169&lt;&gt;"k")),1,IF(AND($E169&lt;&gt;0,$F169&gt;0,YEAR($F169)&lt;Preisindex!$A$6,YEAR(EC$4)&gt;=YEAR($F169),$K169="a"),ROUND(VLOOKUP(EH$4,Preisindex,5,FALSE)/VLOOKUP(Preisindex!$A$6,Preisindex,5,FALSE),2),IF(AND($E169&lt;&gt;0,$F169&gt;0,YEAR($F169)&lt;Preisindex!$A$6,YEAR(EC$4)&gt;=YEAR($F169),$K169="b"),ROUND(VLOOKUP(EH$4,Preisindex,3,FALSE)/VLOOKUP(Preisindex!$A$6,Preisindex,3,FALSE),2),IF(AND($E169&lt;&gt;0,$F169&gt;0,YEAR($F169)&lt;Preisindex!$A$6,YEAR(EC$4)&gt;=YEAR($F169),$K169="g"),ROUND(VLOOKUP(EH$4,Preisindex,4,FALSE)/VLOOKUP(Preisindex!$A$6,Preisindex,4,FALSE),2),IF(AND($E169&lt;&gt;0,$F169&gt;0,YEAR($F169)&lt;Preisindex!$A$6,YEAR(EC$4)&gt;=YEAR($F169),$K169="k"),ROUND(VLOOKUP(EH$4,Preisindex,2,FALSE)/VLOOKUP(Preisindex!$A$6,Preisindex,2,FALSE),2),0)))))</f>
        <v>0</v>
      </c>
      <c r="EJ169" s="51">
        <f>IF(AND($E169&lt;&gt;0,$F169&gt;0,YEAR($F169)&lt;=EH$4,YEAR($F169)&gt;=Preisindex!$A$6),ROUND($E169*EH169,2),IF(AND($E169&lt;&gt;0,$F169&gt;0,YEAR($F169)&lt;=EH$4,YEAR($F169)&lt;Preisindex!$A$6),ROUND($E169*EI169,2),0))</f>
        <v>0</v>
      </c>
      <c r="EK169" s="53">
        <f t="shared" si="541"/>
        <v>0</v>
      </c>
      <c r="EL169" s="51">
        <f t="shared" si="620"/>
        <v>0</v>
      </c>
      <c r="EM169" s="51">
        <f t="shared" si="609"/>
        <v>0</v>
      </c>
      <c r="EN169" s="51">
        <f t="shared" si="542"/>
        <v>0</v>
      </c>
      <c r="EO169" s="51">
        <f t="shared" si="610"/>
        <v>0</v>
      </c>
      <c r="EP169" s="51">
        <f t="shared" si="543"/>
        <v>0</v>
      </c>
      <c r="EQ169" s="51">
        <f t="shared" si="611"/>
        <v>0</v>
      </c>
      <c r="ER169" s="51">
        <f t="shared" si="544"/>
        <v>0</v>
      </c>
      <c r="ES169" s="51">
        <f t="shared" si="612"/>
        <v>0</v>
      </c>
      <c r="ET169" s="51">
        <f t="shared" si="545"/>
        <v>0</v>
      </c>
      <c r="EU169" s="51">
        <f t="shared" si="613"/>
        <v>0</v>
      </c>
      <c r="EV169" s="51">
        <f t="shared" si="546"/>
        <v>0</v>
      </c>
      <c r="EW169" s="54">
        <f t="shared" si="547"/>
        <v>0</v>
      </c>
      <c r="EX169" s="55">
        <f t="shared" si="548"/>
        <v>0</v>
      </c>
      <c r="EY169" s="56">
        <f>IF(AND($E169&lt;&gt;0,$F169&gt;0,YEAR($F169)&gt;=Preisindex!$A$6,YEAR(ET$4)&gt;=YEAR($F169),AND($K169&lt;&gt;"a",$K169&lt;&gt;"b",$K169&lt;&gt;"g",$K169&lt;&gt;"k")),1,IF(AND($E169&lt;&gt;0,$F169&gt;0,YEAR($F169)&gt;=Preisindex!$A$6,YEAR(ET$4)&gt;=YEAR($F169),$K169="a"),ROUND(VLOOKUP(EY$4,Preisindex,5,FALSE)/VLOOKUP(YEAR($F169),Preisindex,5,FALSE),2),IF(AND($E169&lt;&gt;0,$F169&gt;0,YEAR($F169)&gt;=Preisindex!$A$6,YEAR(ET$4)&gt;=YEAR($F169),$K169="b"),ROUND(VLOOKUP(EY$4,Preisindex,3,FALSE)/VLOOKUP(YEAR($F169),Preisindex,3,FALSE),2),IF(AND($E169&lt;&gt;0,$F169&gt;0,YEAR($F169)&gt;=Preisindex!$A$6,YEAR(ET$4)&gt;=YEAR($F169),$K169="g"),ROUND(VLOOKUP(EY$4,Preisindex,4,FALSE)/VLOOKUP(YEAR($F169),Preisindex,4,FALSE),2),IF(AND($E169&lt;&gt;0,$F169&gt;0,YEAR($F169)&gt;=Preisindex!$A$6,YEAR(ET$4)&gt;=YEAR($F169),$K169="k"),ROUND(VLOOKUP(EY$4,Preisindex,2,FALSE)/VLOOKUP(YEAR($F169),Preisindex,2,FALSE),2),0)))))</f>
        <v>0</v>
      </c>
      <c r="EZ169" s="56">
        <f>IF(AND($E169&lt;&gt;0,$F169&gt;0,YEAR($F169)&lt;Preisindex!$A$6,YEAR(ET$4)&gt;=YEAR($F169),AND($K169&lt;&gt;"a",$K169&lt;&gt;"b",$K169&lt;&gt;"g",$K169&lt;&gt;"k")),1,IF(AND($E169&lt;&gt;0,$F169&gt;0,YEAR($F169)&lt;Preisindex!$A$6,YEAR(ET$4)&gt;=YEAR($F169),$K169="a"),ROUND(VLOOKUP(EY$4,Preisindex,5,FALSE)/VLOOKUP(Preisindex!$A$6,Preisindex,5,FALSE),2),IF(AND($E169&lt;&gt;0,$F169&gt;0,YEAR($F169)&lt;Preisindex!$A$6,YEAR(ET$4)&gt;=YEAR($F169),$K169="b"),ROUND(VLOOKUP(EY$4,Preisindex,3,FALSE)/VLOOKUP(Preisindex!$A$6,Preisindex,3,FALSE),2),IF(AND($E169&lt;&gt;0,$F169&gt;0,YEAR($F169)&lt;Preisindex!$A$6,YEAR(ET$4)&gt;=YEAR($F169),$K169="g"),ROUND(VLOOKUP(EY$4,Preisindex,4,FALSE)/VLOOKUP(Preisindex!$A$6,Preisindex,4,FALSE),2),IF(AND($E169&lt;&gt;0,$F169&gt;0,YEAR($F169)&lt;Preisindex!$A$6,YEAR(ET$4)&gt;=YEAR($F169),$K169="k"),ROUND(VLOOKUP(EY$4,Preisindex,2,FALSE)/VLOOKUP(Preisindex!$A$6,Preisindex,2,FALSE),2),0)))))</f>
        <v>0</v>
      </c>
      <c r="FA169" s="51">
        <f>IF(AND($E169&lt;&gt;0,$F169&gt;0,YEAR($F169)&lt;=EY$4,YEAR($F169)&gt;=Preisindex!$A$6),ROUND($E169*EY169,2),IF(AND($E169&lt;&gt;0,$F169&gt;0,YEAR($F169)&lt;=EY$4,YEAR($F169)&lt;Preisindex!$A$6),ROUND($E169*EZ169,2),0))</f>
        <v>0</v>
      </c>
      <c r="FB169" s="53">
        <f t="shared" si="549"/>
        <v>0</v>
      </c>
      <c r="FC169" s="51">
        <f t="shared" si="620"/>
        <v>0</v>
      </c>
      <c r="FD169" s="51">
        <f t="shared" si="614"/>
        <v>0</v>
      </c>
      <c r="FE169" s="51">
        <f t="shared" si="550"/>
        <v>0</v>
      </c>
      <c r="FF169" s="51">
        <f t="shared" si="615"/>
        <v>0</v>
      </c>
      <c r="FG169" s="51">
        <f t="shared" si="551"/>
        <v>0</v>
      </c>
      <c r="FH169" s="51">
        <f t="shared" si="616"/>
        <v>0</v>
      </c>
      <c r="FI169" s="51">
        <f t="shared" si="552"/>
        <v>0</v>
      </c>
      <c r="FJ169" s="51">
        <f t="shared" si="617"/>
        <v>0</v>
      </c>
      <c r="FK169" s="51">
        <f t="shared" si="553"/>
        <v>0</v>
      </c>
      <c r="FL169" s="51">
        <f t="shared" si="618"/>
        <v>0</v>
      </c>
      <c r="FM169" s="51">
        <f t="shared" si="554"/>
        <v>0</v>
      </c>
      <c r="FN169" s="54">
        <f t="shared" si="555"/>
        <v>0</v>
      </c>
      <c r="FO169" s="55">
        <f t="shared" si="556"/>
        <v>0</v>
      </c>
      <c r="FP169" s="56">
        <f>IF(AND($E169&lt;&gt;0,$F169&gt;0,YEAR($F169)&gt;=Preisindex!$A$6,YEAR(FK$4)&gt;=YEAR($F169),AND($K169&lt;&gt;"a",$K169&lt;&gt;"b",$K169&lt;&gt;"g",$K169&lt;&gt;"k")),1,IF(AND($E169&lt;&gt;0,$F169&gt;0,YEAR($F169)&gt;=Preisindex!$A$6,YEAR(FK$4)&gt;=YEAR($F169),$K169="a"),ROUND(VLOOKUP(FP$4,Preisindex,5,FALSE)/VLOOKUP(YEAR($F169),Preisindex,5,FALSE),2),IF(AND($E169&lt;&gt;0,$F169&gt;0,YEAR($F169)&gt;=Preisindex!$A$6,YEAR(FK$4)&gt;=YEAR($F169),$K169="b"),ROUND(VLOOKUP(FP$4,Preisindex,3,FALSE)/VLOOKUP(YEAR($F169),Preisindex,3,FALSE),2),IF(AND($E169&lt;&gt;0,$F169&gt;0,YEAR($F169)&gt;=Preisindex!$A$6,YEAR(FK$4)&gt;=YEAR($F169),$K169="g"),ROUND(VLOOKUP(FP$4,Preisindex,4,FALSE)/VLOOKUP(YEAR($F169),Preisindex,4,FALSE),2),IF(AND($E169&lt;&gt;0,$F169&gt;0,YEAR($F169)&gt;=Preisindex!$A$6,YEAR(FK$4)&gt;=YEAR($F169),$K169="k"),ROUND(VLOOKUP(FP$4,Preisindex,2,FALSE)/VLOOKUP(YEAR($F169),Preisindex,2,FALSE),2),0)))))</f>
        <v>0</v>
      </c>
      <c r="FQ169" s="56">
        <f>IF(AND($E169&lt;&gt;0,$F169&gt;0,YEAR($F169)&lt;Preisindex!$A$6,YEAR(FK$4)&gt;=YEAR($F169),AND($K169&lt;&gt;"a",$K169&lt;&gt;"b",$K169&lt;&gt;"g",$K169&lt;&gt;"k")),1,IF(AND($E169&lt;&gt;0,$F169&gt;0,YEAR($F169)&lt;Preisindex!$A$6,YEAR(FK$4)&gt;=YEAR($F169),$K169="a"),ROUND(VLOOKUP(FP$4,Preisindex,5,FALSE)/VLOOKUP(Preisindex!$A$6,Preisindex,5,FALSE),2),IF(AND($E169&lt;&gt;0,$F169&gt;0,YEAR($F169)&lt;Preisindex!$A$6,YEAR(FK$4)&gt;=YEAR($F169),$K169="b"),ROUND(VLOOKUP(FP$4,Preisindex,3,FALSE)/VLOOKUP(Preisindex!$A$6,Preisindex,3,FALSE),2),IF(AND($E169&lt;&gt;0,$F169&gt;0,YEAR($F169)&lt;Preisindex!$A$6,YEAR(FK$4)&gt;=YEAR($F169),$K169="g"),ROUND(VLOOKUP(FP$4,Preisindex,4,FALSE)/VLOOKUP(Preisindex!$A$6,Preisindex,4,FALSE),2),IF(AND($E169&lt;&gt;0,$F169&gt;0,YEAR($F169)&lt;Preisindex!$A$6,YEAR(FK$4)&gt;=YEAR($F169),$K169="k"),ROUND(VLOOKUP(FP$4,Preisindex,2,FALSE)/VLOOKUP(Preisindex!$A$6,Preisindex,2,FALSE),2),0)))))</f>
        <v>0</v>
      </c>
      <c r="FR169" s="51">
        <f>IF(AND($E169&lt;&gt;0,$F169&gt;0,YEAR($F169)&lt;=FP$4,YEAR($F169)&gt;=Preisindex!$A$6),ROUND($E169*FP169,2),IF(AND($E169&lt;&gt;0,$F169&gt;0,YEAR($F169)&lt;=FP$4,YEAR($F169)&lt;Preisindex!$A$6),ROUND($E169*FQ169,2),0))</f>
        <v>0</v>
      </c>
      <c r="FS169" s="53">
        <f t="shared" si="557"/>
        <v>0</v>
      </c>
    </row>
    <row r="170" spans="1:175" x14ac:dyDescent="0.3">
      <c r="A170" s="93"/>
      <c r="B170" s="94"/>
      <c r="C170" s="94"/>
      <c r="D170" s="95"/>
      <c r="E170" s="99"/>
      <c r="F170" s="97"/>
      <c r="G170" s="98"/>
      <c r="H170" s="620"/>
      <c r="I170" s="621"/>
      <c r="J170" s="194"/>
      <c r="K170" s="630"/>
      <c r="L170" s="49">
        <f t="shared" si="558"/>
        <v>0</v>
      </c>
      <c r="M170" s="50">
        <f t="shared" si="559"/>
        <v>0</v>
      </c>
      <c r="N170" s="51">
        <f t="shared" si="560"/>
        <v>0</v>
      </c>
      <c r="O170" s="51"/>
      <c r="P170" s="51">
        <f t="shared" si="561"/>
        <v>0</v>
      </c>
      <c r="Q170" s="52"/>
      <c r="R170" s="52"/>
      <c r="S170" s="52"/>
      <c r="T170" s="52"/>
      <c r="U170" s="52"/>
      <c r="V170" s="53">
        <f t="shared" si="562"/>
        <v>0</v>
      </c>
      <c r="W170" s="51">
        <f t="shared" si="563"/>
        <v>0</v>
      </c>
      <c r="X170" s="51">
        <f t="shared" si="564"/>
        <v>0</v>
      </c>
      <c r="Y170" s="51">
        <f t="shared" si="565"/>
        <v>0</v>
      </c>
      <c r="Z170" s="51">
        <f t="shared" si="566"/>
        <v>0</v>
      </c>
      <c r="AA170" s="51">
        <f t="shared" si="567"/>
        <v>0</v>
      </c>
      <c r="AB170" s="51">
        <f t="shared" si="568"/>
        <v>0</v>
      </c>
      <c r="AC170" s="51">
        <f t="shared" si="569"/>
        <v>0</v>
      </c>
      <c r="AD170" s="51">
        <f t="shared" si="570"/>
        <v>0</v>
      </c>
      <c r="AE170" s="51">
        <f t="shared" si="571"/>
        <v>0</v>
      </c>
      <c r="AF170" s="51">
        <f t="shared" si="572"/>
        <v>0</v>
      </c>
      <c r="AG170" s="51">
        <f t="shared" si="573"/>
        <v>0</v>
      </c>
      <c r="AH170" s="54">
        <f t="shared" si="574"/>
        <v>0</v>
      </c>
      <c r="AI170" s="55">
        <f t="shared" si="575"/>
        <v>0</v>
      </c>
      <c r="AJ170" s="56">
        <f>IF(AND($E170&lt;&gt;0,$F170&gt;0,YEAR($F170)&gt;=Preisindex!$A$6,YEAR(AE$4)&gt;=YEAR($F170),AND($K170&lt;&gt;"a",$K170&lt;&gt;"b",$K170&lt;&gt;"g",$K170&lt;&gt;"k")),1,IF(AND($E170&lt;&gt;0,$F170&gt;0,YEAR($F170)&gt;=Preisindex!$A$6,YEAR(AE$4)&gt;=YEAR($F170),$K170="a"),ROUND(VLOOKUP(AJ$4,Preisindex,5,FALSE)/VLOOKUP(YEAR($F170),Preisindex,5,FALSE),2),IF(AND($E170&lt;&gt;0,$F170&gt;0,YEAR($F170)&gt;=Preisindex!$A$6,YEAR(AE$4)&gt;=YEAR($F170),$K170="b"),ROUND(VLOOKUP(AJ$4,Preisindex,3,FALSE)/VLOOKUP(YEAR($F170),Preisindex,3,FALSE),2),IF(AND($E170&lt;&gt;0,$F170&gt;0,YEAR($F170)&gt;=Preisindex!$A$6,YEAR(AE$4)&gt;=YEAR($F170),$K170="g"),ROUND(VLOOKUP(AJ$4,Preisindex,4,FALSE)/VLOOKUP(YEAR($F170),Preisindex,4,FALSE),2),IF(AND($E170&lt;&gt;0,$F170&gt;0,YEAR($F170)&gt;=Preisindex!$A$6,YEAR(AE$4)&gt;=YEAR($F170),$K170="k"),ROUND(VLOOKUP(AJ$4,Preisindex,2,FALSE)/VLOOKUP(YEAR($F170),Preisindex,2,FALSE),2),0)))))</f>
        <v>0</v>
      </c>
      <c r="AK170" s="56">
        <f>IF(AND($E170&lt;&gt;0,$F170&gt;0,YEAR($F170)&lt;Preisindex!$A$6,YEAR(AE$4)&gt;=YEAR($F170),AND($K170&lt;&gt;"a",$K170&lt;&gt;"b",$K170&lt;&gt;"g",$K170&lt;&gt;"k")),1,IF(AND($E170&lt;&gt;0,$F170&gt;0,YEAR($F170)&lt;Preisindex!$A$6,YEAR(AE$4)&gt;=YEAR($F170),$K170="a"),ROUND(VLOOKUP(AJ$4,Preisindex,5,FALSE)/VLOOKUP(Preisindex!$A$6,Preisindex,5,FALSE),2),IF(AND($E170&lt;&gt;0,$F170&gt;0,YEAR($F170)&lt;Preisindex!$A$6,YEAR(AE$4)&gt;=YEAR($F170),$K170="b"),ROUND(VLOOKUP(AJ$4,Preisindex,3,FALSE)/VLOOKUP(Preisindex!$A$6,Preisindex,3,FALSE),2),IF(AND($E170&lt;&gt;0,$F170&gt;0,YEAR($F170)&lt;Preisindex!$A$6,YEAR(AE$4)&gt;=YEAR($F170),$K170="g"),ROUND(VLOOKUP(AJ$4,Preisindex,4,FALSE)/VLOOKUP(Preisindex!$A$6,Preisindex,4,FALSE),2),IF(AND($E170&lt;&gt;0,$F170&gt;0,YEAR($F170)&lt;Preisindex!$A$6,YEAR(AE$4)&gt;=YEAR($F170),$K170="k"),ROUND(VLOOKUP(AJ$4,Preisindex,2,FALSE)/VLOOKUP(Preisindex!$A$6,Preisindex,2,FALSE),2),0)))))</f>
        <v>0</v>
      </c>
      <c r="AL170" s="51">
        <f>IF(AND($E170&lt;&gt;0,$F170&gt;0,YEAR($F170)&lt;=AJ$4,YEAR($F170)&gt;=Preisindex!$A$6),ROUND($E170*AJ170,2),IF(AND($E170&lt;&gt;0,$F170&gt;0,YEAR($F170)&lt;=AJ$4,YEAR($F170)&lt;Preisindex!$A$6),ROUND($E170*AK170,2),0))</f>
        <v>0</v>
      </c>
      <c r="AM170" s="53">
        <f t="shared" si="576"/>
        <v>0</v>
      </c>
      <c r="AN170" s="51">
        <f t="shared" si="619"/>
        <v>0</v>
      </c>
      <c r="AO170" s="51">
        <f t="shared" si="579"/>
        <v>0</v>
      </c>
      <c r="AP170" s="51">
        <f t="shared" si="493"/>
        <v>0</v>
      </c>
      <c r="AQ170" s="51">
        <f t="shared" si="580"/>
        <v>0</v>
      </c>
      <c r="AR170" s="51">
        <f t="shared" si="494"/>
        <v>0</v>
      </c>
      <c r="AS170" s="51">
        <f t="shared" si="581"/>
        <v>0</v>
      </c>
      <c r="AT170" s="51">
        <f t="shared" si="495"/>
        <v>0</v>
      </c>
      <c r="AU170" s="51">
        <f t="shared" si="582"/>
        <v>0</v>
      </c>
      <c r="AV170" s="51">
        <f t="shared" si="496"/>
        <v>0</v>
      </c>
      <c r="AW170" s="51">
        <f t="shared" si="583"/>
        <v>0</v>
      </c>
      <c r="AX170" s="51">
        <f t="shared" si="497"/>
        <v>0</v>
      </c>
      <c r="AY170" s="54">
        <f t="shared" si="498"/>
        <v>0</v>
      </c>
      <c r="AZ170" s="55">
        <f t="shared" si="499"/>
        <v>0</v>
      </c>
      <c r="BA170" s="56">
        <f>IF(AND($E170&lt;&gt;0,$F170&gt;0,YEAR($F170)&gt;=Preisindex!$A$6,YEAR(AV$4)&gt;=YEAR($F170),AND($K170&lt;&gt;"a",$K170&lt;&gt;"b",$K170&lt;&gt;"g",$K170&lt;&gt;"k")),1,IF(AND($E170&lt;&gt;0,$F170&gt;0,YEAR($F170)&gt;=Preisindex!$A$6,YEAR(AV$4)&gt;=YEAR($F170),$K170="a"),ROUND(VLOOKUP(BA$4,Preisindex,5,FALSE)/VLOOKUP(YEAR($F170),Preisindex,5,FALSE),2),IF(AND($E170&lt;&gt;0,$F170&gt;0,YEAR($F170)&gt;=Preisindex!$A$6,YEAR(AV$4)&gt;=YEAR($F170),$K170="b"),ROUND(VLOOKUP(BA$4,Preisindex,3,FALSE)/VLOOKUP(YEAR($F170),Preisindex,3,FALSE),2),IF(AND($E170&lt;&gt;0,$F170&gt;0,YEAR($F170)&gt;=Preisindex!$A$6,YEAR(AV$4)&gt;=YEAR($F170),$K170="g"),ROUND(VLOOKUP(BA$4,Preisindex,4,FALSE)/VLOOKUP(YEAR($F170),Preisindex,4,FALSE),2),IF(AND($E170&lt;&gt;0,$F170&gt;0,YEAR($F170)&gt;=Preisindex!$A$6,YEAR(AV$4)&gt;=YEAR($F170),$K170="k"),ROUND(VLOOKUP(BA$4,Preisindex,2,FALSE)/VLOOKUP(YEAR($F170),Preisindex,2,FALSE),2),0)))))</f>
        <v>0</v>
      </c>
      <c r="BB170" s="56">
        <f>IF(AND($E170&lt;&gt;0,$F170&gt;0,YEAR($F170)&lt;Preisindex!$A$6,YEAR(AV$4)&gt;=YEAR($F170),AND($K170&lt;&gt;"a",$K170&lt;&gt;"b",$K170&lt;&gt;"g",$K170&lt;&gt;"k")),1,IF(AND($E170&lt;&gt;0,$F170&gt;0,YEAR($F170)&lt;Preisindex!$A$6,YEAR(AV$4)&gt;=YEAR($F170),$K170="a"),ROUND(VLOOKUP(BA$4,Preisindex,5,FALSE)/VLOOKUP(Preisindex!$A$6,Preisindex,5,FALSE),2),IF(AND($E170&lt;&gt;0,$F170&gt;0,YEAR($F170)&lt;Preisindex!$A$6,YEAR(AV$4)&gt;=YEAR($F170),$K170="b"),ROUND(VLOOKUP(BA$4,Preisindex,3,FALSE)/VLOOKUP(Preisindex!$A$6,Preisindex,3,FALSE),2),IF(AND($E170&lt;&gt;0,$F170&gt;0,YEAR($F170)&lt;Preisindex!$A$6,YEAR(AV$4)&gt;=YEAR($F170),$K170="g"),ROUND(VLOOKUP(BA$4,Preisindex,4,FALSE)/VLOOKUP(Preisindex!$A$6,Preisindex,4,FALSE),2),IF(AND($E170&lt;&gt;0,$F170&gt;0,YEAR($F170)&lt;Preisindex!$A$6,YEAR(AV$4)&gt;=YEAR($F170),$K170="k"),ROUND(VLOOKUP(BA$4,Preisindex,2,FALSE)/VLOOKUP(Preisindex!$A$6,Preisindex,2,FALSE),2),0)))))</f>
        <v>0</v>
      </c>
      <c r="BC170" s="51">
        <f>IF(AND($E170&lt;&gt;0,$F170&gt;0,YEAR($F170)&lt;=BA$4,YEAR($F170)&gt;=Preisindex!$A$6),ROUND($E170*BA170,2),IF(AND($E170&lt;&gt;0,$F170&gt;0,YEAR($F170)&lt;=BA$4,YEAR($F170)&lt;Preisindex!$A$6),ROUND($E170*BB170,2),0))</f>
        <v>0</v>
      </c>
      <c r="BD170" s="53">
        <f t="shared" si="500"/>
        <v>0</v>
      </c>
      <c r="BE170" s="51">
        <f t="shared" si="619"/>
        <v>0</v>
      </c>
      <c r="BF170" s="51">
        <f t="shared" si="584"/>
        <v>0</v>
      </c>
      <c r="BG170" s="51">
        <f t="shared" si="501"/>
        <v>0</v>
      </c>
      <c r="BH170" s="51">
        <f t="shared" si="585"/>
        <v>0</v>
      </c>
      <c r="BI170" s="51">
        <f t="shared" si="502"/>
        <v>0</v>
      </c>
      <c r="BJ170" s="51">
        <f t="shared" si="586"/>
        <v>0</v>
      </c>
      <c r="BK170" s="51">
        <f t="shared" si="503"/>
        <v>0</v>
      </c>
      <c r="BL170" s="51">
        <f t="shared" si="587"/>
        <v>0</v>
      </c>
      <c r="BM170" s="51">
        <f t="shared" si="504"/>
        <v>0</v>
      </c>
      <c r="BN170" s="51">
        <f t="shared" si="588"/>
        <v>0</v>
      </c>
      <c r="BO170" s="51">
        <f t="shared" si="505"/>
        <v>0</v>
      </c>
      <c r="BP170" s="54">
        <f t="shared" si="506"/>
        <v>0</v>
      </c>
      <c r="BQ170" s="55">
        <f t="shared" si="507"/>
        <v>0</v>
      </c>
      <c r="BR170" s="56">
        <f>IF(AND($E170&lt;&gt;0,$F170&gt;0,YEAR($F170)&gt;=Preisindex!$A$6,YEAR(BM$4)&gt;=YEAR($F170),AND($K170&lt;&gt;"a",$K170&lt;&gt;"b",$K170&lt;&gt;"g",$K170&lt;&gt;"k")),1,IF(AND($E170&lt;&gt;0,$F170&gt;0,YEAR($F170)&gt;=Preisindex!$A$6,YEAR(BM$4)&gt;=YEAR($F170),$K170="a"),ROUND(VLOOKUP(BR$4,Preisindex,5,FALSE)/VLOOKUP(YEAR($F170),Preisindex,5,FALSE),2),IF(AND($E170&lt;&gt;0,$F170&gt;0,YEAR($F170)&gt;=Preisindex!$A$6,YEAR(BM$4)&gt;=YEAR($F170),$K170="b"),ROUND(VLOOKUP(BR$4,Preisindex,3,FALSE)/VLOOKUP(YEAR($F170),Preisindex,3,FALSE),2),IF(AND($E170&lt;&gt;0,$F170&gt;0,YEAR($F170)&gt;=Preisindex!$A$6,YEAR(BM$4)&gt;=YEAR($F170),$K170="g"),ROUND(VLOOKUP(BR$4,Preisindex,4,FALSE)/VLOOKUP(YEAR($F170),Preisindex,4,FALSE),2),IF(AND($E170&lt;&gt;0,$F170&gt;0,YEAR($F170)&gt;=Preisindex!$A$6,YEAR(BM$4)&gt;=YEAR($F170),$K170="k"),ROUND(VLOOKUP(BR$4,Preisindex,2,FALSE)/VLOOKUP(YEAR($F170),Preisindex,2,FALSE),2),0)))))</f>
        <v>0</v>
      </c>
      <c r="BS170" s="56">
        <f>IF(AND($E170&lt;&gt;0,$F170&gt;0,YEAR($F170)&lt;Preisindex!$A$6,YEAR(BM$4)&gt;=YEAR($F170),AND($K170&lt;&gt;"a",$K170&lt;&gt;"b",$K170&lt;&gt;"g",$K170&lt;&gt;"k")),1,IF(AND($E170&lt;&gt;0,$F170&gt;0,YEAR($F170)&lt;Preisindex!$A$6,YEAR(BM$4)&gt;=YEAR($F170),$K170="a"),ROUND(VLOOKUP(BR$4,Preisindex,5,FALSE)/VLOOKUP(Preisindex!$A$6,Preisindex,5,FALSE),2),IF(AND($E170&lt;&gt;0,$F170&gt;0,YEAR($F170)&lt;Preisindex!$A$6,YEAR(BM$4)&gt;=YEAR($F170),$K170="b"),ROUND(VLOOKUP(BR$4,Preisindex,3,FALSE)/VLOOKUP(Preisindex!$A$6,Preisindex,3,FALSE),2),IF(AND($E170&lt;&gt;0,$F170&gt;0,YEAR($F170)&lt;Preisindex!$A$6,YEAR(BM$4)&gt;=YEAR($F170),$K170="g"),ROUND(VLOOKUP(BR$4,Preisindex,4,FALSE)/VLOOKUP(Preisindex!$A$6,Preisindex,4,FALSE),2),IF(AND($E170&lt;&gt;0,$F170&gt;0,YEAR($F170)&lt;Preisindex!$A$6,YEAR(BM$4)&gt;=YEAR($F170),$K170="k"),ROUND(VLOOKUP(BR$4,Preisindex,2,FALSE)/VLOOKUP(Preisindex!$A$6,Preisindex,2,FALSE),2),0)))))</f>
        <v>0</v>
      </c>
      <c r="BT170" s="51">
        <f>IF(AND($E170&lt;&gt;0,$F170&gt;0,YEAR($F170)&lt;=BR$4,YEAR($F170)&gt;=Preisindex!$A$6),ROUND($E170*BR170,2),IF(AND($E170&lt;&gt;0,$F170&gt;0,YEAR($F170)&lt;=BR$4,YEAR($F170)&lt;Preisindex!$A$6),ROUND($E170*BS170,2),0))</f>
        <v>0</v>
      </c>
      <c r="BU170" s="53">
        <f t="shared" si="508"/>
        <v>0</v>
      </c>
      <c r="BV170" s="51">
        <f t="shared" si="619"/>
        <v>0</v>
      </c>
      <c r="BW170" s="51">
        <f t="shared" si="589"/>
        <v>0</v>
      </c>
      <c r="BX170" s="51">
        <f t="shared" si="509"/>
        <v>0</v>
      </c>
      <c r="BY170" s="51">
        <f t="shared" si="590"/>
        <v>0</v>
      </c>
      <c r="BZ170" s="51">
        <f t="shared" si="510"/>
        <v>0</v>
      </c>
      <c r="CA170" s="51">
        <f t="shared" si="591"/>
        <v>0</v>
      </c>
      <c r="CB170" s="51">
        <f t="shared" si="511"/>
        <v>0</v>
      </c>
      <c r="CC170" s="51">
        <f t="shared" si="592"/>
        <v>0</v>
      </c>
      <c r="CD170" s="51">
        <f t="shared" si="512"/>
        <v>0</v>
      </c>
      <c r="CE170" s="51">
        <f t="shared" si="593"/>
        <v>0</v>
      </c>
      <c r="CF170" s="51">
        <f t="shared" si="513"/>
        <v>0</v>
      </c>
      <c r="CG170" s="54">
        <f t="shared" si="514"/>
        <v>0</v>
      </c>
      <c r="CH170" s="55">
        <f t="shared" si="515"/>
        <v>0</v>
      </c>
      <c r="CI170" s="56">
        <f>IF(AND($E170&lt;&gt;0,$F170&gt;0,YEAR($F170)&gt;=Preisindex!$A$6,YEAR(CD$4)&gt;=YEAR($F170),AND($K170&lt;&gt;"a",$K170&lt;&gt;"b",$K170&lt;&gt;"g",$K170&lt;&gt;"k")),1,IF(AND($E170&lt;&gt;0,$F170&gt;0,YEAR($F170)&gt;=Preisindex!$A$6,YEAR(CD$4)&gt;=YEAR($F170),$K170="a"),ROUND(VLOOKUP(CI$4,Preisindex,5,FALSE)/VLOOKUP(YEAR($F170),Preisindex,5,FALSE),2),IF(AND($E170&lt;&gt;0,$F170&gt;0,YEAR($F170)&gt;=Preisindex!$A$6,YEAR(CD$4)&gt;=YEAR($F170),$K170="b"),ROUND(VLOOKUP(CI$4,Preisindex,3,FALSE)/VLOOKUP(YEAR($F170),Preisindex,3,FALSE),2),IF(AND($E170&lt;&gt;0,$F170&gt;0,YEAR($F170)&gt;=Preisindex!$A$6,YEAR(CD$4)&gt;=YEAR($F170),$K170="g"),ROUND(VLOOKUP(CI$4,Preisindex,4,FALSE)/VLOOKUP(YEAR($F170),Preisindex,4,FALSE),2),IF(AND($E170&lt;&gt;0,$F170&gt;0,YEAR($F170)&gt;=Preisindex!$A$6,YEAR(CD$4)&gt;=YEAR($F170),$K170="k"),ROUND(VLOOKUP(CI$4,Preisindex,2,FALSE)/VLOOKUP(YEAR($F170),Preisindex,2,FALSE),2),0)))))</f>
        <v>0</v>
      </c>
      <c r="CJ170" s="56">
        <f>IF(AND($E170&lt;&gt;0,$F170&gt;0,YEAR($F170)&lt;Preisindex!$A$6,YEAR(CD$4)&gt;=YEAR($F170),AND($K170&lt;&gt;"a",$K170&lt;&gt;"b",$K170&lt;&gt;"g",$K170&lt;&gt;"k")),1,IF(AND($E170&lt;&gt;0,$F170&gt;0,YEAR($F170)&lt;Preisindex!$A$6,YEAR(CD$4)&gt;=YEAR($F170),$K170="a"),ROUND(VLOOKUP(CI$4,Preisindex,5,FALSE)/VLOOKUP(Preisindex!$A$6,Preisindex,5,FALSE),2),IF(AND($E170&lt;&gt;0,$F170&gt;0,YEAR($F170)&lt;Preisindex!$A$6,YEAR(CD$4)&gt;=YEAR($F170),$K170="b"),ROUND(VLOOKUP(CI$4,Preisindex,3,FALSE)/VLOOKUP(Preisindex!$A$6,Preisindex,3,FALSE),2),IF(AND($E170&lt;&gt;0,$F170&gt;0,YEAR($F170)&lt;Preisindex!$A$6,YEAR(CD$4)&gt;=YEAR($F170),$K170="g"),ROUND(VLOOKUP(CI$4,Preisindex,4,FALSE)/VLOOKUP(Preisindex!$A$6,Preisindex,4,FALSE),2),IF(AND($E170&lt;&gt;0,$F170&gt;0,YEAR($F170)&lt;Preisindex!$A$6,YEAR(CD$4)&gt;=YEAR($F170),$K170="k"),ROUND(VLOOKUP(CI$4,Preisindex,2,FALSE)/VLOOKUP(Preisindex!$A$6,Preisindex,2,FALSE),2),0)))))</f>
        <v>0</v>
      </c>
      <c r="CK170" s="51">
        <f>IF(AND($E170&lt;&gt;0,$F170&gt;0,YEAR($F170)&lt;=CI$4,YEAR($F170)&gt;=Preisindex!$A$6),ROUND($E170*CI170,2),IF(AND($E170&lt;&gt;0,$F170&gt;0,YEAR($F170)&lt;=CI$4,YEAR($F170)&lt;Preisindex!$A$6),ROUND($E170*CJ170,2),0))</f>
        <v>0</v>
      </c>
      <c r="CL170" s="53">
        <f t="shared" si="516"/>
        <v>0</v>
      </c>
      <c r="CM170" s="51">
        <f t="shared" si="619"/>
        <v>0</v>
      </c>
      <c r="CN170" s="51">
        <f t="shared" si="594"/>
        <v>0</v>
      </c>
      <c r="CO170" s="51">
        <f t="shared" si="517"/>
        <v>0</v>
      </c>
      <c r="CP170" s="51">
        <f t="shared" si="595"/>
        <v>0</v>
      </c>
      <c r="CQ170" s="51">
        <f t="shared" si="518"/>
        <v>0</v>
      </c>
      <c r="CR170" s="51">
        <f t="shared" si="596"/>
        <v>0</v>
      </c>
      <c r="CS170" s="51">
        <f t="shared" si="519"/>
        <v>0</v>
      </c>
      <c r="CT170" s="51">
        <f t="shared" si="597"/>
        <v>0</v>
      </c>
      <c r="CU170" s="51">
        <f t="shared" si="520"/>
        <v>0</v>
      </c>
      <c r="CV170" s="51">
        <f t="shared" si="598"/>
        <v>0</v>
      </c>
      <c r="CW170" s="51">
        <f t="shared" si="521"/>
        <v>0</v>
      </c>
      <c r="CX170" s="54">
        <f t="shared" si="522"/>
        <v>0</v>
      </c>
      <c r="CY170" s="55">
        <f t="shared" si="523"/>
        <v>0</v>
      </c>
      <c r="CZ170" s="56">
        <f>IF(AND($E170&lt;&gt;0,$F170&gt;0,YEAR($F170)&gt;=Preisindex!$A$6,YEAR(CU$4)&gt;=YEAR($F170),AND($K170&lt;&gt;"a",$K170&lt;&gt;"b",$K170&lt;&gt;"g",$K170&lt;&gt;"k")),1,IF(AND($E170&lt;&gt;0,$F170&gt;0,YEAR($F170)&gt;=Preisindex!$A$6,YEAR(CU$4)&gt;=YEAR($F170),$K170="a"),ROUND(VLOOKUP(CZ$4,Preisindex,5,FALSE)/VLOOKUP(YEAR($F170),Preisindex,5,FALSE),2),IF(AND($E170&lt;&gt;0,$F170&gt;0,YEAR($F170)&gt;=Preisindex!$A$6,YEAR(CU$4)&gt;=YEAR($F170),$K170="b"),ROUND(VLOOKUP(CZ$4,Preisindex,3,FALSE)/VLOOKUP(YEAR($F170),Preisindex,3,FALSE),2),IF(AND($E170&lt;&gt;0,$F170&gt;0,YEAR($F170)&gt;=Preisindex!$A$6,YEAR(CU$4)&gt;=YEAR($F170),$K170="g"),ROUND(VLOOKUP(CZ$4,Preisindex,4,FALSE)/VLOOKUP(YEAR($F170),Preisindex,4,FALSE),2),IF(AND($E170&lt;&gt;0,$F170&gt;0,YEAR($F170)&gt;=Preisindex!$A$6,YEAR(CU$4)&gt;=YEAR($F170),$K170="k"),ROUND(VLOOKUP(CZ$4,Preisindex,2,FALSE)/VLOOKUP(YEAR($F170),Preisindex,2,FALSE),2),0)))))</f>
        <v>0</v>
      </c>
      <c r="DA170" s="56">
        <f>IF(AND($E170&lt;&gt;0,$F170&gt;0,YEAR($F170)&lt;Preisindex!$A$6,YEAR(CU$4)&gt;=YEAR($F170),AND($K170&lt;&gt;"a",$K170&lt;&gt;"b",$K170&lt;&gt;"g",$K170&lt;&gt;"k")),1,IF(AND($E170&lt;&gt;0,$F170&gt;0,YEAR($F170)&lt;Preisindex!$A$6,YEAR(CU$4)&gt;=YEAR($F170),$K170="a"),ROUND(VLOOKUP(CZ$4,Preisindex,5,FALSE)/VLOOKUP(Preisindex!$A$6,Preisindex,5,FALSE),2),IF(AND($E170&lt;&gt;0,$F170&gt;0,YEAR($F170)&lt;Preisindex!$A$6,YEAR(CU$4)&gt;=YEAR($F170),$K170="b"),ROUND(VLOOKUP(CZ$4,Preisindex,3,FALSE)/VLOOKUP(Preisindex!$A$6,Preisindex,3,FALSE),2),IF(AND($E170&lt;&gt;0,$F170&gt;0,YEAR($F170)&lt;Preisindex!$A$6,YEAR(CU$4)&gt;=YEAR($F170),$K170="g"),ROUND(VLOOKUP(CZ$4,Preisindex,4,FALSE)/VLOOKUP(Preisindex!$A$6,Preisindex,4,FALSE),2),IF(AND($E170&lt;&gt;0,$F170&gt;0,YEAR($F170)&lt;Preisindex!$A$6,YEAR(CU$4)&gt;=YEAR($F170),$K170="k"),ROUND(VLOOKUP(CZ$4,Preisindex,2,FALSE)/VLOOKUP(Preisindex!$A$6,Preisindex,2,FALSE),2),0)))))</f>
        <v>0</v>
      </c>
      <c r="DB170" s="51">
        <f>IF(AND($E170&lt;&gt;0,$F170&gt;0,YEAR($F170)&lt;=CZ$4,YEAR($F170)&gt;=Preisindex!$A$6),ROUND($E170*CZ170,2),IF(AND($E170&lt;&gt;0,$F170&gt;0,YEAR($F170)&lt;=CZ$4,YEAR($F170)&lt;Preisindex!$A$6),ROUND($E170*DA170,2),0))</f>
        <v>0</v>
      </c>
      <c r="DC170" s="53">
        <f t="shared" si="524"/>
        <v>0</v>
      </c>
      <c r="DD170" s="51">
        <f t="shared" si="620"/>
        <v>0</v>
      </c>
      <c r="DE170" s="51">
        <f t="shared" si="599"/>
        <v>0</v>
      </c>
      <c r="DF170" s="51">
        <f t="shared" si="526"/>
        <v>0</v>
      </c>
      <c r="DG170" s="51">
        <f t="shared" si="600"/>
        <v>0</v>
      </c>
      <c r="DH170" s="51">
        <f t="shared" si="527"/>
        <v>0</v>
      </c>
      <c r="DI170" s="51">
        <f t="shared" si="601"/>
        <v>0</v>
      </c>
      <c r="DJ170" s="51">
        <f t="shared" si="528"/>
        <v>0</v>
      </c>
      <c r="DK170" s="51">
        <f t="shared" si="602"/>
        <v>0</v>
      </c>
      <c r="DL170" s="51">
        <f t="shared" si="529"/>
        <v>0</v>
      </c>
      <c r="DM170" s="51">
        <f t="shared" si="603"/>
        <v>0</v>
      </c>
      <c r="DN170" s="51">
        <f t="shared" si="530"/>
        <v>0</v>
      </c>
      <c r="DO170" s="54">
        <f t="shared" si="531"/>
        <v>0</v>
      </c>
      <c r="DP170" s="55">
        <f t="shared" si="532"/>
        <v>0</v>
      </c>
      <c r="DQ170" s="56">
        <f>IF(AND($E170&lt;&gt;0,$F170&gt;0,YEAR($F170)&gt;=Preisindex!$A$6,YEAR(DL$4)&gt;=YEAR($F170),AND($K170&lt;&gt;"a",$K170&lt;&gt;"b",$K170&lt;&gt;"g",$K170&lt;&gt;"k")),1,IF(AND($E170&lt;&gt;0,$F170&gt;0,YEAR($F170)&gt;=Preisindex!$A$6,YEAR(DL$4)&gt;=YEAR($F170),$K170="a"),ROUND(VLOOKUP(DQ$4,Preisindex,5,FALSE)/VLOOKUP(YEAR($F170),Preisindex,5,FALSE),2),IF(AND($E170&lt;&gt;0,$F170&gt;0,YEAR($F170)&gt;=Preisindex!$A$6,YEAR(DL$4)&gt;=YEAR($F170),$K170="b"),ROUND(VLOOKUP(DQ$4,Preisindex,3,FALSE)/VLOOKUP(YEAR($F170),Preisindex,3,FALSE),2),IF(AND($E170&lt;&gt;0,$F170&gt;0,YEAR($F170)&gt;=Preisindex!$A$6,YEAR(DL$4)&gt;=YEAR($F170),$K170="g"),ROUND(VLOOKUP(DQ$4,Preisindex,4,FALSE)/VLOOKUP(YEAR($F170),Preisindex,4,FALSE),2),IF(AND($E170&lt;&gt;0,$F170&gt;0,YEAR($F170)&gt;=Preisindex!$A$6,YEAR(DL$4)&gt;=YEAR($F170),$K170="k"),ROUND(VLOOKUP(DQ$4,Preisindex,2,FALSE)/VLOOKUP(YEAR($F170),Preisindex,2,FALSE),2),0)))))</f>
        <v>0</v>
      </c>
      <c r="DR170" s="56">
        <f>IF(AND($E170&lt;&gt;0,$F170&gt;0,YEAR($F170)&lt;Preisindex!$A$6,YEAR(DL$4)&gt;=YEAR($F170),AND($K170&lt;&gt;"a",$K170&lt;&gt;"b",$K170&lt;&gt;"g",$K170&lt;&gt;"k")),1,IF(AND($E170&lt;&gt;0,$F170&gt;0,YEAR($F170)&lt;Preisindex!$A$6,YEAR(DL$4)&gt;=YEAR($F170),$K170="a"),ROUND(VLOOKUP(DQ$4,Preisindex,5,FALSE)/VLOOKUP(Preisindex!$A$6,Preisindex,5,FALSE),2),IF(AND($E170&lt;&gt;0,$F170&gt;0,YEAR($F170)&lt;Preisindex!$A$6,YEAR(DL$4)&gt;=YEAR($F170),$K170="b"),ROUND(VLOOKUP(DQ$4,Preisindex,3,FALSE)/VLOOKUP(Preisindex!$A$6,Preisindex,3,FALSE),2),IF(AND($E170&lt;&gt;0,$F170&gt;0,YEAR($F170)&lt;Preisindex!$A$6,YEAR(DL$4)&gt;=YEAR($F170),$K170="g"),ROUND(VLOOKUP(DQ$4,Preisindex,4,FALSE)/VLOOKUP(Preisindex!$A$6,Preisindex,4,FALSE),2),IF(AND($E170&lt;&gt;0,$F170&gt;0,YEAR($F170)&lt;Preisindex!$A$6,YEAR(DL$4)&gt;=YEAR($F170),$K170="k"),ROUND(VLOOKUP(DQ$4,Preisindex,2,FALSE)/VLOOKUP(Preisindex!$A$6,Preisindex,2,FALSE),2),0)))))</f>
        <v>0</v>
      </c>
      <c r="DS170" s="51">
        <f>IF(AND($E170&lt;&gt;0,$F170&gt;0,YEAR($F170)&lt;=DQ$4,YEAR($F170)&gt;=Preisindex!$A$6),ROUND($E170*DQ170,2),IF(AND($E170&lt;&gt;0,$F170&gt;0,YEAR($F170)&lt;=DQ$4,YEAR($F170)&lt;Preisindex!$A$6),ROUND($E170*DR170,2),0))</f>
        <v>0</v>
      </c>
      <c r="DT170" s="53">
        <f t="shared" si="533"/>
        <v>0</v>
      </c>
      <c r="DU170" s="51">
        <f t="shared" si="620"/>
        <v>0</v>
      </c>
      <c r="DV170" s="51">
        <f t="shared" si="604"/>
        <v>0</v>
      </c>
      <c r="DW170" s="51">
        <f t="shared" si="534"/>
        <v>0</v>
      </c>
      <c r="DX170" s="51">
        <f t="shared" si="605"/>
        <v>0</v>
      </c>
      <c r="DY170" s="51">
        <f t="shared" si="535"/>
        <v>0</v>
      </c>
      <c r="DZ170" s="51">
        <f t="shared" si="606"/>
        <v>0</v>
      </c>
      <c r="EA170" s="51">
        <f t="shared" si="536"/>
        <v>0</v>
      </c>
      <c r="EB170" s="51">
        <f t="shared" si="607"/>
        <v>0</v>
      </c>
      <c r="EC170" s="51">
        <f t="shared" si="537"/>
        <v>0</v>
      </c>
      <c r="ED170" s="51">
        <f t="shared" si="608"/>
        <v>0</v>
      </c>
      <c r="EE170" s="51">
        <f t="shared" si="538"/>
        <v>0</v>
      </c>
      <c r="EF170" s="54">
        <f t="shared" si="539"/>
        <v>0</v>
      </c>
      <c r="EG170" s="55">
        <f t="shared" si="540"/>
        <v>0</v>
      </c>
      <c r="EH170" s="56">
        <f>IF(AND($E170&lt;&gt;0,$F170&gt;0,YEAR($F170)&gt;=Preisindex!$A$6,YEAR(EC$4)&gt;=YEAR($F170),AND($K170&lt;&gt;"a",$K170&lt;&gt;"b",$K170&lt;&gt;"g",$K170&lt;&gt;"k")),1,IF(AND($E170&lt;&gt;0,$F170&gt;0,YEAR($F170)&gt;=Preisindex!$A$6,YEAR(EC$4)&gt;=YEAR($F170),$K170="a"),ROUND(VLOOKUP(EH$4,Preisindex,5,FALSE)/VLOOKUP(YEAR($F170),Preisindex,5,FALSE),2),IF(AND($E170&lt;&gt;0,$F170&gt;0,YEAR($F170)&gt;=Preisindex!$A$6,YEAR(EC$4)&gt;=YEAR($F170),$K170="b"),ROUND(VLOOKUP(EH$4,Preisindex,3,FALSE)/VLOOKUP(YEAR($F170),Preisindex,3,FALSE),2),IF(AND($E170&lt;&gt;0,$F170&gt;0,YEAR($F170)&gt;=Preisindex!$A$6,YEAR(EC$4)&gt;=YEAR($F170),$K170="g"),ROUND(VLOOKUP(EH$4,Preisindex,4,FALSE)/VLOOKUP(YEAR($F170),Preisindex,4,FALSE),2),IF(AND($E170&lt;&gt;0,$F170&gt;0,YEAR($F170)&gt;=Preisindex!$A$6,YEAR(EC$4)&gt;=YEAR($F170),$K170="k"),ROUND(VLOOKUP(EH$4,Preisindex,2,FALSE)/VLOOKUP(YEAR($F170),Preisindex,2,FALSE),2),0)))))</f>
        <v>0</v>
      </c>
      <c r="EI170" s="56">
        <f>IF(AND($E170&lt;&gt;0,$F170&gt;0,YEAR($F170)&lt;Preisindex!$A$6,YEAR(EC$4)&gt;=YEAR($F170),AND($K170&lt;&gt;"a",$K170&lt;&gt;"b",$K170&lt;&gt;"g",$K170&lt;&gt;"k")),1,IF(AND($E170&lt;&gt;0,$F170&gt;0,YEAR($F170)&lt;Preisindex!$A$6,YEAR(EC$4)&gt;=YEAR($F170),$K170="a"),ROUND(VLOOKUP(EH$4,Preisindex,5,FALSE)/VLOOKUP(Preisindex!$A$6,Preisindex,5,FALSE),2),IF(AND($E170&lt;&gt;0,$F170&gt;0,YEAR($F170)&lt;Preisindex!$A$6,YEAR(EC$4)&gt;=YEAR($F170),$K170="b"),ROUND(VLOOKUP(EH$4,Preisindex,3,FALSE)/VLOOKUP(Preisindex!$A$6,Preisindex,3,FALSE),2),IF(AND($E170&lt;&gt;0,$F170&gt;0,YEAR($F170)&lt;Preisindex!$A$6,YEAR(EC$4)&gt;=YEAR($F170),$K170="g"),ROUND(VLOOKUP(EH$4,Preisindex,4,FALSE)/VLOOKUP(Preisindex!$A$6,Preisindex,4,FALSE),2),IF(AND($E170&lt;&gt;0,$F170&gt;0,YEAR($F170)&lt;Preisindex!$A$6,YEAR(EC$4)&gt;=YEAR($F170),$K170="k"),ROUND(VLOOKUP(EH$4,Preisindex,2,FALSE)/VLOOKUP(Preisindex!$A$6,Preisindex,2,FALSE),2),0)))))</f>
        <v>0</v>
      </c>
      <c r="EJ170" s="51">
        <f>IF(AND($E170&lt;&gt;0,$F170&gt;0,YEAR($F170)&lt;=EH$4,YEAR($F170)&gt;=Preisindex!$A$6),ROUND($E170*EH170,2),IF(AND($E170&lt;&gt;0,$F170&gt;0,YEAR($F170)&lt;=EH$4,YEAR($F170)&lt;Preisindex!$A$6),ROUND($E170*EI170,2),0))</f>
        <v>0</v>
      </c>
      <c r="EK170" s="53">
        <f t="shared" si="541"/>
        <v>0</v>
      </c>
      <c r="EL170" s="51">
        <f t="shared" si="620"/>
        <v>0</v>
      </c>
      <c r="EM170" s="51">
        <f t="shared" si="609"/>
        <v>0</v>
      </c>
      <c r="EN170" s="51">
        <f t="shared" si="542"/>
        <v>0</v>
      </c>
      <c r="EO170" s="51">
        <f t="shared" si="610"/>
        <v>0</v>
      </c>
      <c r="EP170" s="51">
        <f t="shared" si="543"/>
        <v>0</v>
      </c>
      <c r="EQ170" s="51">
        <f t="shared" si="611"/>
        <v>0</v>
      </c>
      <c r="ER170" s="51">
        <f t="shared" si="544"/>
        <v>0</v>
      </c>
      <c r="ES170" s="51">
        <f t="shared" si="612"/>
        <v>0</v>
      </c>
      <c r="ET170" s="51">
        <f t="shared" si="545"/>
        <v>0</v>
      </c>
      <c r="EU170" s="51">
        <f t="shared" si="613"/>
        <v>0</v>
      </c>
      <c r="EV170" s="51">
        <f t="shared" si="546"/>
        <v>0</v>
      </c>
      <c r="EW170" s="54">
        <f t="shared" si="547"/>
        <v>0</v>
      </c>
      <c r="EX170" s="55">
        <f t="shared" si="548"/>
        <v>0</v>
      </c>
      <c r="EY170" s="56">
        <f>IF(AND($E170&lt;&gt;0,$F170&gt;0,YEAR($F170)&gt;=Preisindex!$A$6,YEAR(ET$4)&gt;=YEAR($F170),AND($K170&lt;&gt;"a",$K170&lt;&gt;"b",$K170&lt;&gt;"g",$K170&lt;&gt;"k")),1,IF(AND($E170&lt;&gt;0,$F170&gt;0,YEAR($F170)&gt;=Preisindex!$A$6,YEAR(ET$4)&gt;=YEAR($F170),$K170="a"),ROUND(VLOOKUP(EY$4,Preisindex,5,FALSE)/VLOOKUP(YEAR($F170),Preisindex,5,FALSE),2),IF(AND($E170&lt;&gt;0,$F170&gt;0,YEAR($F170)&gt;=Preisindex!$A$6,YEAR(ET$4)&gt;=YEAR($F170),$K170="b"),ROUND(VLOOKUP(EY$4,Preisindex,3,FALSE)/VLOOKUP(YEAR($F170),Preisindex,3,FALSE),2),IF(AND($E170&lt;&gt;0,$F170&gt;0,YEAR($F170)&gt;=Preisindex!$A$6,YEAR(ET$4)&gt;=YEAR($F170),$K170="g"),ROUND(VLOOKUP(EY$4,Preisindex,4,FALSE)/VLOOKUP(YEAR($F170),Preisindex,4,FALSE),2),IF(AND($E170&lt;&gt;0,$F170&gt;0,YEAR($F170)&gt;=Preisindex!$A$6,YEAR(ET$4)&gt;=YEAR($F170),$K170="k"),ROUND(VLOOKUP(EY$4,Preisindex,2,FALSE)/VLOOKUP(YEAR($F170),Preisindex,2,FALSE),2),0)))))</f>
        <v>0</v>
      </c>
      <c r="EZ170" s="56">
        <f>IF(AND($E170&lt;&gt;0,$F170&gt;0,YEAR($F170)&lt;Preisindex!$A$6,YEAR(ET$4)&gt;=YEAR($F170),AND($K170&lt;&gt;"a",$K170&lt;&gt;"b",$K170&lt;&gt;"g",$K170&lt;&gt;"k")),1,IF(AND($E170&lt;&gt;0,$F170&gt;0,YEAR($F170)&lt;Preisindex!$A$6,YEAR(ET$4)&gt;=YEAR($F170),$K170="a"),ROUND(VLOOKUP(EY$4,Preisindex,5,FALSE)/VLOOKUP(Preisindex!$A$6,Preisindex,5,FALSE),2),IF(AND($E170&lt;&gt;0,$F170&gt;0,YEAR($F170)&lt;Preisindex!$A$6,YEAR(ET$4)&gt;=YEAR($F170),$K170="b"),ROUND(VLOOKUP(EY$4,Preisindex,3,FALSE)/VLOOKUP(Preisindex!$A$6,Preisindex,3,FALSE),2),IF(AND($E170&lt;&gt;0,$F170&gt;0,YEAR($F170)&lt;Preisindex!$A$6,YEAR(ET$4)&gt;=YEAR($F170),$K170="g"),ROUND(VLOOKUP(EY$4,Preisindex,4,FALSE)/VLOOKUP(Preisindex!$A$6,Preisindex,4,FALSE),2),IF(AND($E170&lt;&gt;0,$F170&gt;0,YEAR($F170)&lt;Preisindex!$A$6,YEAR(ET$4)&gt;=YEAR($F170),$K170="k"),ROUND(VLOOKUP(EY$4,Preisindex,2,FALSE)/VLOOKUP(Preisindex!$A$6,Preisindex,2,FALSE),2),0)))))</f>
        <v>0</v>
      </c>
      <c r="FA170" s="51">
        <f>IF(AND($E170&lt;&gt;0,$F170&gt;0,YEAR($F170)&lt;=EY$4,YEAR($F170)&gt;=Preisindex!$A$6),ROUND($E170*EY170,2),IF(AND($E170&lt;&gt;0,$F170&gt;0,YEAR($F170)&lt;=EY$4,YEAR($F170)&lt;Preisindex!$A$6),ROUND($E170*EZ170,2),0))</f>
        <v>0</v>
      </c>
      <c r="FB170" s="53">
        <f t="shared" si="549"/>
        <v>0</v>
      </c>
      <c r="FC170" s="51">
        <f t="shared" si="620"/>
        <v>0</v>
      </c>
      <c r="FD170" s="51">
        <f t="shared" si="614"/>
        <v>0</v>
      </c>
      <c r="FE170" s="51">
        <f t="shared" si="550"/>
        <v>0</v>
      </c>
      <c r="FF170" s="51">
        <f t="shared" si="615"/>
        <v>0</v>
      </c>
      <c r="FG170" s="51">
        <f t="shared" si="551"/>
        <v>0</v>
      </c>
      <c r="FH170" s="51">
        <f t="shared" si="616"/>
        <v>0</v>
      </c>
      <c r="FI170" s="51">
        <f t="shared" si="552"/>
        <v>0</v>
      </c>
      <c r="FJ170" s="51">
        <f t="shared" si="617"/>
        <v>0</v>
      </c>
      <c r="FK170" s="51">
        <f t="shared" si="553"/>
        <v>0</v>
      </c>
      <c r="FL170" s="51">
        <f t="shared" si="618"/>
        <v>0</v>
      </c>
      <c r="FM170" s="51">
        <f t="shared" si="554"/>
        <v>0</v>
      </c>
      <c r="FN170" s="54">
        <f t="shared" si="555"/>
        <v>0</v>
      </c>
      <c r="FO170" s="55">
        <f t="shared" si="556"/>
        <v>0</v>
      </c>
      <c r="FP170" s="56">
        <f>IF(AND($E170&lt;&gt;0,$F170&gt;0,YEAR($F170)&gt;=Preisindex!$A$6,YEAR(FK$4)&gt;=YEAR($F170),AND($K170&lt;&gt;"a",$K170&lt;&gt;"b",$K170&lt;&gt;"g",$K170&lt;&gt;"k")),1,IF(AND($E170&lt;&gt;0,$F170&gt;0,YEAR($F170)&gt;=Preisindex!$A$6,YEAR(FK$4)&gt;=YEAR($F170),$K170="a"),ROUND(VLOOKUP(FP$4,Preisindex,5,FALSE)/VLOOKUP(YEAR($F170),Preisindex,5,FALSE),2),IF(AND($E170&lt;&gt;0,$F170&gt;0,YEAR($F170)&gt;=Preisindex!$A$6,YEAR(FK$4)&gt;=YEAR($F170),$K170="b"),ROUND(VLOOKUP(FP$4,Preisindex,3,FALSE)/VLOOKUP(YEAR($F170),Preisindex,3,FALSE),2),IF(AND($E170&lt;&gt;0,$F170&gt;0,YEAR($F170)&gt;=Preisindex!$A$6,YEAR(FK$4)&gt;=YEAR($F170),$K170="g"),ROUND(VLOOKUP(FP$4,Preisindex,4,FALSE)/VLOOKUP(YEAR($F170),Preisindex,4,FALSE),2),IF(AND($E170&lt;&gt;0,$F170&gt;0,YEAR($F170)&gt;=Preisindex!$A$6,YEAR(FK$4)&gt;=YEAR($F170),$K170="k"),ROUND(VLOOKUP(FP$4,Preisindex,2,FALSE)/VLOOKUP(YEAR($F170),Preisindex,2,FALSE),2),0)))))</f>
        <v>0</v>
      </c>
      <c r="FQ170" s="56">
        <f>IF(AND($E170&lt;&gt;0,$F170&gt;0,YEAR($F170)&lt;Preisindex!$A$6,YEAR(FK$4)&gt;=YEAR($F170),AND($K170&lt;&gt;"a",$K170&lt;&gt;"b",$K170&lt;&gt;"g",$K170&lt;&gt;"k")),1,IF(AND($E170&lt;&gt;0,$F170&gt;0,YEAR($F170)&lt;Preisindex!$A$6,YEAR(FK$4)&gt;=YEAR($F170),$K170="a"),ROUND(VLOOKUP(FP$4,Preisindex,5,FALSE)/VLOOKUP(Preisindex!$A$6,Preisindex,5,FALSE),2),IF(AND($E170&lt;&gt;0,$F170&gt;0,YEAR($F170)&lt;Preisindex!$A$6,YEAR(FK$4)&gt;=YEAR($F170),$K170="b"),ROUND(VLOOKUP(FP$4,Preisindex,3,FALSE)/VLOOKUP(Preisindex!$A$6,Preisindex,3,FALSE),2),IF(AND($E170&lt;&gt;0,$F170&gt;0,YEAR($F170)&lt;Preisindex!$A$6,YEAR(FK$4)&gt;=YEAR($F170),$K170="g"),ROUND(VLOOKUP(FP$4,Preisindex,4,FALSE)/VLOOKUP(Preisindex!$A$6,Preisindex,4,FALSE),2),IF(AND($E170&lt;&gt;0,$F170&gt;0,YEAR($F170)&lt;Preisindex!$A$6,YEAR(FK$4)&gt;=YEAR($F170),$K170="k"),ROUND(VLOOKUP(FP$4,Preisindex,2,FALSE)/VLOOKUP(Preisindex!$A$6,Preisindex,2,FALSE),2),0)))))</f>
        <v>0</v>
      </c>
      <c r="FR170" s="51">
        <f>IF(AND($E170&lt;&gt;0,$F170&gt;0,YEAR($F170)&lt;=FP$4,YEAR($F170)&gt;=Preisindex!$A$6),ROUND($E170*FP170,2),IF(AND($E170&lt;&gt;0,$F170&gt;0,YEAR($F170)&lt;=FP$4,YEAR($F170)&lt;Preisindex!$A$6),ROUND($E170*FQ170,2),0))</f>
        <v>0</v>
      </c>
      <c r="FS170" s="53">
        <f t="shared" si="557"/>
        <v>0</v>
      </c>
    </row>
    <row r="171" spans="1:175" x14ac:dyDescent="0.3">
      <c r="A171" s="93"/>
      <c r="B171" s="94"/>
      <c r="C171" s="94"/>
      <c r="D171" s="95"/>
      <c r="E171" s="99"/>
      <c r="F171" s="97"/>
      <c r="G171" s="98"/>
      <c r="H171" s="620"/>
      <c r="I171" s="621"/>
      <c r="J171" s="194"/>
      <c r="K171" s="630"/>
      <c r="L171" s="49">
        <f t="shared" si="558"/>
        <v>0</v>
      </c>
      <c r="M171" s="50">
        <f t="shared" si="559"/>
        <v>0</v>
      </c>
      <c r="N171" s="51">
        <f t="shared" si="560"/>
        <v>0</v>
      </c>
      <c r="O171" s="51"/>
      <c r="P171" s="51">
        <f t="shared" si="561"/>
        <v>0</v>
      </c>
      <c r="Q171" s="52"/>
      <c r="R171" s="52"/>
      <c r="S171" s="52"/>
      <c r="T171" s="52"/>
      <c r="U171" s="52"/>
      <c r="V171" s="53">
        <f t="shared" si="562"/>
        <v>0</v>
      </c>
      <c r="W171" s="51">
        <f t="shared" si="563"/>
        <v>0</v>
      </c>
      <c r="X171" s="51">
        <f t="shared" si="564"/>
        <v>0</v>
      </c>
      <c r="Y171" s="51">
        <f t="shared" si="565"/>
        <v>0</v>
      </c>
      <c r="Z171" s="51">
        <f t="shared" si="566"/>
        <v>0</v>
      </c>
      <c r="AA171" s="51">
        <f t="shared" si="567"/>
        <v>0</v>
      </c>
      <c r="AB171" s="51">
        <f t="shared" si="568"/>
        <v>0</v>
      </c>
      <c r="AC171" s="51">
        <f t="shared" si="569"/>
        <v>0</v>
      </c>
      <c r="AD171" s="51">
        <f t="shared" si="570"/>
        <v>0</v>
      </c>
      <c r="AE171" s="51">
        <f t="shared" si="571"/>
        <v>0</v>
      </c>
      <c r="AF171" s="51">
        <f t="shared" si="572"/>
        <v>0</v>
      </c>
      <c r="AG171" s="51">
        <f t="shared" si="573"/>
        <v>0</v>
      </c>
      <c r="AH171" s="54">
        <f t="shared" si="574"/>
        <v>0</v>
      </c>
      <c r="AI171" s="55">
        <f t="shared" si="575"/>
        <v>0</v>
      </c>
      <c r="AJ171" s="56">
        <f>IF(AND($E171&lt;&gt;0,$F171&gt;0,YEAR($F171)&gt;=Preisindex!$A$6,YEAR(AE$4)&gt;=YEAR($F171),AND($K171&lt;&gt;"a",$K171&lt;&gt;"b",$K171&lt;&gt;"g",$K171&lt;&gt;"k")),1,IF(AND($E171&lt;&gt;0,$F171&gt;0,YEAR($F171)&gt;=Preisindex!$A$6,YEAR(AE$4)&gt;=YEAR($F171),$K171="a"),ROUND(VLOOKUP(AJ$4,Preisindex,5,FALSE)/VLOOKUP(YEAR($F171),Preisindex,5,FALSE),2),IF(AND($E171&lt;&gt;0,$F171&gt;0,YEAR($F171)&gt;=Preisindex!$A$6,YEAR(AE$4)&gt;=YEAR($F171),$K171="b"),ROUND(VLOOKUP(AJ$4,Preisindex,3,FALSE)/VLOOKUP(YEAR($F171),Preisindex,3,FALSE),2),IF(AND($E171&lt;&gt;0,$F171&gt;0,YEAR($F171)&gt;=Preisindex!$A$6,YEAR(AE$4)&gt;=YEAR($F171),$K171="g"),ROUND(VLOOKUP(AJ$4,Preisindex,4,FALSE)/VLOOKUP(YEAR($F171),Preisindex,4,FALSE),2),IF(AND($E171&lt;&gt;0,$F171&gt;0,YEAR($F171)&gt;=Preisindex!$A$6,YEAR(AE$4)&gt;=YEAR($F171),$K171="k"),ROUND(VLOOKUP(AJ$4,Preisindex,2,FALSE)/VLOOKUP(YEAR($F171),Preisindex,2,FALSE),2),0)))))</f>
        <v>0</v>
      </c>
      <c r="AK171" s="56">
        <f>IF(AND($E171&lt;&gt;0,$F171&gt;0,YEAR($F171)&lt;Preisindex!$A$6,YEAR(AE$4)&gt;=YEAR($F171),AND($K171&lt;&gt;"a",$K171&lt;&gt;"b",$K171&lt;&gt;"g",$K171&lt;&gt;"k")),1,IF(AND($E171&lt;&gt;0,$F171&gt;0,YEAR($F171)&lt;Preisindex!$A$6,YEAR(AE$4)&gt;=YEAR($F171),$K171="a"),ROUND(VLOOKUP(AJ$4,Preisindex,5,FALSE)/VLOOKUP(Preisindex!$A$6,Preisindex,5,FALSE),2),IF(AND($E171&lt;&gt;0,$F171&gt;0,YEAR($F171)&lt;Preisindex!$A$6,YEAR(AE$4)&gt;=YEAR($F171),$K171="b"),ROUND(VLOOKUP(AJ$4,Preisindex,3,FALSE)/VLOOKUP(Preisindex!$A$6,Preisindex,3,FALSE),2),IF(AND($E171&lt;&gt;0,$F171&gt;0,YEAR($F171)&lt;Preisindex!$A$6,YEAR(AE$4)&gt;=YEAR($F171),$K171="g"),ROUND(VLOOKUP(AJ$4,Preisindex,4,FALSE)/VLOOKUP(Preisindex!$A$6,Preisindex,4,FALSE),2),IF(AND($E171&lt;&gt;0,$F171&gt;0,YEAR($F171)&lt;Preisindex!$A$6,YEAR(AE$4)&gt;=YEAR($F171),$K171="k"),ROUND(VLOOKUP(AJ$4,Preisindex,2,FALSE)/VLOOKUP(Preisindex!$A$6,Preisindex,2,FALSE),2),0)))))</f>
        <v>0</v>
      </c>
      <c r="AL171" s="51">
        <f>IF(AND($E171&lt;&gt;0,$F171&gt;0,YEAR($F171)&lt;=AJ$4,YEAR($F171)&gt;=Preisindex!$A$6),ROUND($E171*AJ171,2),IF(AND($E171&lt;&gt;0,$F171&gt;0,YEAR($F171)&lt;=AJ$4,YEAR($F171)&lt;Preisindex!$A$6),ROUND($E171*AK171,2),0))</f>
        <v>0</v>
      </c>
      <c r="AM171" s="53">
        <f t="shared" si="576"/>
        <v>0</v>
      </c>
      <c r="AN171" s="51">
        <f t="shared" si="619"/>
        <v>0</v>
      </c>
      <c r="AO171" s="51">
        <f t="shared" si="579"/>
        <v>0</v>
      </c>
      <c r="AP171" s="51">
        <f t="shared" si="493"/>
        <v>0</v>
      </c>
      <c r="AQ171" s="51">
        <f t="shared" si="580"/>
        <v>0</v>
      </c>
      <c r="AR171" s="51">
        <f t="shared" si="494"/>
        <v>0</v>
      </c>
      <c r="AS171" s="51">
        <f t="shared" si="581"/>
        <v>0</v>
      </c>
      <c r="AT171" s="51">
        <f t="shared" si="495"/>
        <v>0</v>
      </c>
      <c r="AU171" s="51">
        <f t="shared" si="582"/>
        <v>0</v>
      </c>
      <c r="AV171" s="51">
        <f t="shared" si="496"/>
        <v>0</v>
      </c>
      <c r="AW171" s="51">
        <f t="shared" si="583"/>
        <v>0</v>
      </c>
      <c r="AX171" s="51">
        <f t="shared" si="497"/>
        <v>0</v>
      </c>
      <c r="AY171" s="54">
        <f t="shared" si="498"/>
        <v>0</v>
      </c>
      <c r="AZ171" s="55">
        <f t="shared" si="499"/>
        <v>0</v>
      </c>
      <c r="BA171" s="56">
        <f>IF(AND($E171&lt;&gt;0,$F171&gt;0,YEAR($F171)&gt;=Preisindex!$A$6,YEAR(AV$4)&gt;=YEAR($F171),AND($K171&lt;&gt;"a",$K171&lt;&gt;"b",$K171&lt;&gt;"g",$K171&lt;&gt;"k")),1,IF(AND($E171&lt;&gt;0,$F171&gt;0,YEAR($F171)&gt;=Preisindex!$A$6,YEAR(AV$4)&gt;=YEAR($F171),$K171="a"),ROUND(VLOOKUP(BA$4,Preisindex,5,FALSE)/VLOOKUP(YEAR($F171),Preisindex,5,FALSE),2),IF(AND($E171&lt;&gt;0,$F171&gt;0,YEAR($F171)&gt;=Preisindex!$A$6,YEAR(AV$4)&gt;=YEAR($F171),$K171="b"),ROUND(VLOOKUP(BA$4,Preisindex,3,FALSE)/VLOOKUP(YEAR($F171),Preisindex,3,FALSE),2),IF(AND($E171&lt;&gt;0,$F171&gt;0,YEAR($F171)&gt;=Preisindex!$A$6,YEAR(AV$4)&gt;=YEAR($F171),$K171="g"),ROUND(VLOOKUP(BA$4,Preisindex,4,FALSE)/VLOOKUP(YEAR($F171),Preisindex,4,FALSE),2),IF(AND($E171&lt;&gt;0,$F171&gt;0,YEAR($F171)&gt;=Preisindex!$A$6,YEAR(AV$4)&gt;=YEAR($F171),$K171="k"),ROUND(VLOOKUP(BA$4,Preisindex,2,FALSE)/VLOOKUP(YEAR($F171),Preisindex,2,FALSE),2),0)))))</f>
        <v>0</v>
      </c>
      <c r="BB171" s="56">
        <f>IF(AND($E171&lt;&gt;0,$F171&gt;0,YEAR($F171)&lt;Preisindex!$A$6,YEAR(AV$4)&gt;=YEAR($F171),AND($K171&lt;&gt;"a",$K171&lt;&gt;"b",$K171&lt;&gt;"g",$K171&lt;&gt;"k")),1,IF(AND($E171&lt;&gt;0,$F171&gt;0,YEAR($F171)&lt;Preisindex!$A$6,YEAR(AV$4)&gt;=YEAR($F171),$K171="a"),ROUND(VLOOKUP(BA$4,Preisindex,5,FALSE)/VLOOKUP(Preisindex!$A$6,Preisindex,5,FALSE),2),IF(AND($E171&lt;&gt;0,$F171&gt;0,YEAR($F171)&lt;Preisindex!$A$6,YEAR(AV$4)&gt;=YEAR($F171),$K171="b"),ROUND(VLOOKUP(BA$4,Preisindex,3,FALSE)/VLOOKUP(Preisindex!$A$6,Preisindex,3,FALSE),2),IF(AND($E171&lt;&gt;0,$F171&gt;0,YEAR($F171)&lt;Preisindex!$A$6,YEAR(AV$4)&gt;=YEAR($F171),$K171="g"),ROUND(VLOOKUP(BA$4,Preisindex,4,FALSE)/VLOOKUP(Preisindex!$A$6,Preisindex,4,FALSE),2),IF(AND($E171&lt;&gt;0,$F171&gt;0,YEAR($F171)&lt;Preisindex!$A$6,YEAR(AV$4)&gt;=YEAR($F171),$K171="k"),ROUND(VLOOKUP(BA$4,Preisindex,2,FALSE)/VLOOKUP(Preisindex!$A$6,Preisindex,2,FALSE),2),0)))))</f>
        <v>0</v>
      </c>
      <c r="BC171" s="51">
        <f>IF(AND($E171&lt;&gt;0,$F171&gt;0,YEAR($F171)&lt;=BA$4,YEAR($F171)&gt;=Preisindex!$A$6),ROUND($E171*BA171,2),IF(AND($E171&lt;&gt;0,$F171&gt;0,YEAR($F171)&lt;=BA$4,YEAR($F171)&lt;Preisindex!$A$6),ROUND($E171*BB171,2),0))</f>
        <v>0</v>
      </c>
      <c r="BD171" s="53">
        <f t="shared" si="500"/>
        <v>0</v>
      </c>
      <c r="BE171" s="51">
        <f t="shared" si="619"/>
        <v>0</v>
      </c>
      <c r="BF171" s="51">
        <f t="shared" si="584"/>
        <v>0</v>
      </c>
      <c r="BG171" s="51">
        <f t="shared" si="501"/>
        <v>0</v>
      </c>
      <c r="BH171" s="51">
        <f t="shared" si="585"/>
        <v>0</v>
      </c>
      <c r="BI171" s="51">
        <f t="shared" si="502"/>
        <v>0</v>
      </c>
      <c r="BJ171" s="51">
        <f t="shared" si="586"/>
        <v>0</v>
      </c>
      <c r="BK171" s="51">
        <f t="shared" si="503"/>
        <v>0</v>
      </c>
      <c r="BL171" s="51">
        <f t="shared" si="587"/>
        <v>0</v>
      </c>
      <c r="BM171" s="51">
        <f t="shared" si="504"/>
        <v>0</v>
      </c>
      <c r="BN171" s="51">
        <f t="shared" si="588"/>
        <v>0</v>
      </c>
      <c r="BO171" s="51">
        <f t="shared" si="505"/>
        <v>0</v>
      </c>
      <c r="BP171" s="54">
        <f t="shared" si="506"/>
        <v>0</v>
      </c>
      <c r="BQ171" s="55">
        <f t="shared" si="507"/>
        <v>0</v>
      </c>
      <c r="BR171" s="56">
        <f>IF(AND($E171&lt;&gt;0,$F171&gt;0,YEAR($F171)&gt;=Preisindex!$A$6,YEAR(BM$4)&gt;=YEAR($F171),AND($K171&lt;&gt;"a",$K171&lt;&gt;"b",$K171&lt;&gt;"g",$K171&lt;&gt;"k")),1,IF(AND($E171&lt;&gt;0,$F171&gt;0,YEAR($F171)&gt;=Preisindex!$A$6,YEAR(BM$4)&gt;=YEAR($F171),$K171="a"),ROUND(VLOOKUP(BR$4,Preisindex,5,FALSE)/VLOOKUP(YEAR($F171),Preisindex,5,FALSE),2),IF(AND($E171&lt;&gt;0,$F171&gt;0,YEAR($F171)&gt;=Preisindex!$A$6,YEAR(BM$4)&gt;=YEAR($F171),$K171="b"),ROUND(VLOOKUP(BR$4,Preisindex,3,FALSE)/VLOOKUP(YEAR($F171),Preisindex,3,FALSE),2),IF(AND($E171&lt;&gt;0,$F171&gt;0,YEAR($F171)&gt;=Preisindex!$A$6,YEAR(BM$4)&gt;=YEAR($F171),$K171="g"),ROUND(VLOOKUP(BR$4,Preisindex,4,FALSE)/VLOOKUP(YEAR($F171),Preisindex,4,FALSE),2),IF(AND($E171&lt;&gt;0,$F171&gt;0,YEAR($F171)&gt;=Preisindex!$A$6,YEAR(BM$4)&gt;=YEAR($F171),$K171="k"),ROUND(VLOOKUP(BR$4,Preisindex,2,FALSE)/VLOOKUP(YEAR($F171),Preisindex,2,FALSE),2),0)))))</f>
        <v>0</v>
      </c>
      <c r="BS171" s="56">
        <f>IF(AND($E171&lt;&gt;0,$F171&gt;0,YEAR($F171)&lt;Preisindex!$A$6,YEAR(BM$4)&gt;=YEAR($F171),AND($K171&lt;&gt;"a",$K171&lt;&gt;"b",$K171&lt;&gt;"g",$K171&lt;&gt;"k")),1,IF(AND($E171&lt;&gt;0,$F171&gt;0,YEAR($F171)&lt;Preisindex!$A$6,YEAR(BM$4)&gt;=YEAR($F171),$K171="a"),ROUND(VLOOKUP(BR$4,Preisindex,5,FALSE)/VLOOKUP(Preisindex!$A$6,Preisindex,5,FALSE),2),IF(AND($E171&lt;&gt;0,$F171&gt;0,YEAR($F171)&lt;Preisindex!$A$6,YEAR(BM$4)&gt;=YEAR($F171),$K171="b"),ROUND(VLOOKUP(BR$4,Preisindex,3,FALSE)/VLOOKUP(Preisindex!$A$6,Preisindex,3,FALSE),2),IF(AND($E171&lt;&gt;0,$F171&gt;0,YEAR($F171)&lt;Preisindex!$A$6,YEAR(BM$4)&gt;=YEAR($F171),$K171="g"),ROUND(VLOOKUP(BR$4,Preisindex,4,FALSE)/VLOOKUP(Preisindex!$A$6,Preisindex,4,FALSE),2),IF(AND($E171&lt;&gt;0,$F171&gt;0,YEAR($F171)&lt;Preisindex!$A$6,YEAR(BM$4)&gt;=YEAR($F171),$K171="k"),ROUND(VLOOKUP(BR$4,Preisindex,2,FALSE)/VLOOKUP(Preisindex!$A$6,Preisindex,2,FALSE),2),0)))))</f>
        <v>0</v>
      </c>
      <c r="BT171" s="51">
        <f>IF(AND($E171&lt;&gt;0,$F171&gt;0,YEAR($F171)&lt;=BR$4,YEAR($F171)&gt;=Preisindex!$A$6),ROUND($E171*BR171,2),IF(AND($E171&lt;&gt;0,$F171&gt;0,YEAR($F171)&lt;=BR$4,YEAR($F171)&lt;Preisindex!$A$6),ROUND($E171*BS171,2),0))</f>
        <v>0</v>
      </c>
      <c r="BU171" s="53">
        <f t="shared" si="508"/>
        <v>0</v>
      </c>
      <c r="BV171" s="51">
        <f t="shared" si="619"/>
        <v>0</v>
      </c>
      <c r="BW171" s="51">
        <f t="shared" si="589"/>
        <v>0</v>
      </c>
      <c r="BX171" s="51">
        <f t="shared" si="509"/>
        <v>0</v>
      </c>
      <c r="BY171" s="51">
        <f t="shared" si="590"/>
        <v>0</v>
      </c>
      <c r="BZ171" s="51">
        <f t="shared" si="510"/>
        <v>0</v>
      </c>
      <c r="CA171" s="51">
        <f t="shared" si="591"/>
        <v>0</v>
      </c>
      <c r="CB171" s="51">
        <f t="shared" si="511"/>
        <v>0</v>
      </c>
      <c r="CC171" s="51">
        <f t="shared" si="592"/>
        <v>0</v>
      </c>
      <c r="CD171" s="51">
        <f t="shared" si="512"/>
        <v>0</v>
      </c>
      <c r="CE171" s="51">
        <f t="shared" si="593"/>
        <v>0</v>
      </c>
      <c r="CF171" s="51">
        <f t="shared" si="513"/>
        <v>0</v>
      </c>
      <c r="CG171" s="54">
        <f t="shared" si="514"/>
        <v>0</v>
      </c>
      <c r="CH171" s="55">
        <f t="shared" si="515"/>
        <v>0</v>
      </c>
      <c r="CI171" s="56">
        <f>IF(AND($E171&lt;&gt;0,$F171&gt;0,YEAR($F171)&gt;=Preisindex!$A$6,YEAR(CD$4)&gt;=YEAR($F171),AND($K171&lt;&gt;"a",$K171&lt;&gt;"b",$K171&lt;&gt;"g",$K171&lt;&gt;"k")),1,IF(AND($E171&lt;&gt;0,$F171&gt;0,YEAR($F171)&gt;=Preisindex!$A$6,YEAR(CD$4)&gt;=YEAR($F171),$K171="a"),ROUND(VLOOKUP(CI$4,Preisindex,5,FALSE)/VLOOKUP(YEAR($F171),Preisindex,5,FALSE),2),IF(AND($E171&lt;&gt;0,$F171&gt;0,YEAR($F171)&gt;=Preisindex!$A$6,YEAR(CD$4)&gt;=YEAR($F171),$K171="b"),ROUND(VLOOKUP(CI$4,Preisindex,3,FALSE)/VLOOKUP(YEAR($F171),Preisindex,3,FALSE),2),IF(AND($E171&lt;&gt;0,$F171&gt;0,YEAR($F171)&gt;=Preisindex!$A$6,YEAR(CD$4)&gt;=YEAR($F171),$K171="g"),ROUND(VLOOKUP(CI$4,Preisindex,4,FALSE)/VLOOKUP(YEAR($F171),Preisindex,4,FALSE),2),IF(AND($E171&lt;&gt;0,$F171&gt;0,YEAR($F171)&gt;=Preisindex!$A$6,YEAR(CD$4)&gt;=YEAR($F171),$K171="k"),ROUND(VLOOKUP(CI$4,Preisindex,2,FALSE)/VLOOKUP(YEAR($F171),Preisindex,2,FALSE),2),0)))))</f>
        <v>0</v>
      </c>
      <c r="CJ171" s="56">
        <f>IF(AND($E171&lt;&gt;0,$F171&gt;0,YEAR($F171)&lt;Preisindex!$A$6,YEAR(CD$4)&gt;=YEAR($F171),AND($K171&lt;&gt;"a",$K171&lt;&gt;"b",$K171&lt;&gt;"g",$K171&lt;&gt;"k")),1,IF(AND($E171&lt;&gt;0,$F171&gt;0,YEAR($F171)&lt;Preisindex!$A$6,YEAR(CD$4)&gt;=YEAR($F171),$K171="a"),ROUND(VLOOKUP(CI$4,Preisindex,5,FALSE)/VLOOKUP(Preisindex!$A$6,Preisindex,5,FALSE),2),IF(AND($E171&lt;&gt;0,$F171&gt;0,YEAR($F171)&lt;Preisindex!$A$6,YEAR(CD$4)&gt;=YEAR($F171),$K171="b"),ROUND(VLOOKUP(CI$4,Preisindex,3,FALSE)/VLOOKUP(Preisindex!$A$6,Preisindex,3,FALSE),2),IF(AND($E171&lt;&gt;0,$F171&gt;0,YEAR($F171)&lt;Preisindex!$A$6,YEAR(CD$4)&gt;=YEAR($F171),$K171="g"),ROUND(VLOOKUP(CI$4,Preisindex,4,FALSE)/VLOOKUP(Preisindex!$A$6,Preisindex,4,FALSE),2),IF(AND($E171&lt;&gt;0,$F171&gt;0,YEAR($F171)&lt;Preisindex!$A$6,YEAR(CD$4)&gt;=YEAR($F171),$K171="k"),ROUND(VLOOKUP(CI$4,Preisindex,2,FALSE)/VLOOKUP(Preisindex!$A$6,Preisindex,2,FALSE),2),0)))))</f>
        <v>0</v>
      </c>
      <c r="CK171" s="51">
        <f>IF(AND($E171&lt;&gt;0,$F171&gt;0,YEAR($F171)&lt;=CI$4,YEAR($F171)&gt;=Preisindex!$A$6),ROUND($E171*CI171,2),IF(AND($E171&lt;&gt;0,$F171&gt;0,YEAR($F171)&lt;=CI$4,YEAR($F171)&lt;Preisindex!$A$6),ROUND($E171*CJ171,2),0))</f>
        <v>0</v>
      </c>
      <c r="CL171" s="53">
        <f t="shared" si="516"/>
        <v>0</v>
      </c>
      <c r="CM171" s="51">
        <f t="shared" si="619"/>
        <v>0</v>
      </c>
      <c r="CN171" s="51">
        <f t="shared" si="594"/>
        <v>0</v>
      </c>
      <c r="CO171" s="51">
        <f t="shared" si="517"/>
        <v>0</v>
      </c>
      <c r="CP171" s="51">
        <f t="shared" si="595"/>
        <v>0</v>
      </c>
      <c r="CQ171" s="51">
        <f t="shared" si="518"/>
        <v>0</v>
      </c>
      <c r="CR171" s="51">
        <f t="shared" si="596"/>
        <v>0</v>
      </c>
      <c r="CS171" s="51">
        <f t="shared" si="519"/>
        <v>0</v>
      </c>
      <c r="CT171" s="51">
        <f t="shared" si="597"/>
        <v>0</v>
      </c>
      <c r="CU171" s="51">
        <f t="shared" si="520"/>
        <v>0</v>
      </c>
      <c r="CV171" s="51">
        <f t="shared" si="598"/>
        <v>0</v>
      </c>
      <c r="CW171" s="51">
        <f t="shared" si="521"/>
        <v>0</v>
      </c>
      <c r="CX171" s="54">
        <f t="shared" si="522"/>
        <v>0</v>
      </c>
      <c r="CY171" s="55">
        <f t="shared" si="523"/>
        <v>0</v>
      </c>
      <c r="CZ171" s="56">
        <f>IF(AND($E171&lt;&gt;0,$F171&gt;0,YEAR($F171)&gt;=Preisindex!$A$6,YEAR(CU$4)&gt;=YEAR($F171),AND($K171&lt;&gt;"a",$K171&lt;&gt;"b",$K171&lt;&gt;"g",$K171&lt;&gt;"k")),1,IF(AND($E171&lt;&gt;0,$F171&gt;0,YEAR($F171)&gt;=Preisindex!$A$6,YEAR(CU$4)&gt;=YEAR($F171),$K171="a"),ROUND(VLOOKUP(CZ$4,Preisindex,5,FALSE)/VLOOKUP(YEAR($F171),Preisindex,5,FALSE),2),IF(AND($E171&lt;&gt;0,$F171&gt;0,YEAR($F171)&gt;=Preisindex!$A$6,YEAR(CU$4)&gt;=YEAR($F171),$K171="b"),ROUND(VLOOKUP(CZ$4,Preisindex,3,FALSE)/VLOOKUP(YEAR($F171),Preisindex,3,FALSE),2),IF(AND($E171&lt;&gt;0,$F171&gt;0,YEAR($F171)&gt;=Preisindex!$A$6,YEAR(CU$4)&gt;=YEAR($F171),$K171="g"),ROUND(VLOOKUP(CZ$4,Preisindex,4,FALSE)/VLOOKUP(YEAR($F171),Preisindex,4,FALSE),2),IF(AND($E171&lt;&gt;0,$F171&gt;0,YEAR($F171)&gt;=Preisindex!$A$6,YEAR(CU$4)&gt;=YEAR($F171),$K171="k"),ROUND(VLOOKUP(CZ$4,Preisindex,2,FALSE)/VLOOKUP(YEAR($F171),Preisindex,2,FALSE),2),0)))))</f>
        <v>0</v>
      </c>
      <c r="DA171" s="56">
        <f>IF(AND($E171&lt;&gt;0,$F171&gt;0,YEAR($F171)&lt;Preisindex!$A$6,YEAR(CU$4)&gt;=YEAR($F171),AND($K171&lt;&gt;"a",$K171&lt;&gt;"b",$K171&lt;&gt;"g",$K171&lt;&gt;"k")),1,IF(AND($E171&lt;&gt;0,$F171&gt;0,YEAR($F171)&lt;Preisindex!$A$6,YEAR(CU$4)&gt;=YEAR($F171),$K171="a"),ROUND(VLOOKUP(CZ$4,Preisindex,5,FALSE)/VLOOKUP(Preisindex!$A$6,Preisindex,5,FALSE),2),IF(AND($E171&lt;&gt;0,$F171&gt;0,YEAR($F171)&lt;Preisindex!$A$6,YEAR(CU$4)&gt;=YEAR($F171),$K171="b"),ROUND(VLOOKUP(CZ$4,Preisindex,3,FALSE)/VLOOKUP(Preisindex!$A$6,Preisindex,3,FALSE),2),IF(AND($E171&lt;&gt;0,$F171&gt;0,YEAR($F171)&lt;Preisindex!$A$6,YEAR(CU$4)&gt;=YEAR($F171),$K171="g"),ROUND(VLOOKUP(CZ$4,Preisindex,4,FALSE)/VLOOKUP(Preisindex!$A$6,Preisindex,4,FALSE),2),IF(AND($E171&lt;&gt;0,$F171&gt;0,YEAR($F171)&lt;Preisindex!$A$6,YEAR(CU$4)&gt;=YEAR($F171),$K171="k"),ROUND(VLOOKUP(CZ$4,Preisindex,2,FALSE)/VLOOKUP(Preisindex!$A$6,Preisindex,2,FALSE),2),0)))))</f>
        <v>0</v>
      </c>
      <c r="DB171" s="51">
        <f>IF(AND($E171&lt;&gt;0,$F171&gt;0,YEAR($F171)&lt;=CZ$4,YEAR($F171)&gt;=Preisindex!$A$6),ROUND($E171*CZ171,2),IF(AND($E171&lt;&gt;0,$F171&gt;0,YEAR($F171)&lt;=CZ$4,YEAR($F171)&lt;Preisindex!$A$6),ROUND($E171*DA171,2),0))</f>
        <v>0</v>
      </c>
      <c r="DC171" s="53">
        <f t="shared" si="524"/>
        <v>0</v>
      </c>
      <c r="DD171" s="51">
        <f t="shared" si="620"/>
        <v>0</v>
      </c>
      <c r="DE171" s="51">
        <f t="shared" si="599"/>
        <v>0</v>
      </c>
      <c r="DF171" s="51">
        <f t="shared" si="526"/>
        <v>0</v>
      </c>
      <c r="DG171" s="51">
        <f t="shared" si="600"/>
        <v>0</v>
      </c>
      <c r="DH171" s="51">
        <f t="shared" si="527"/>
        <v>0</v>
      </c>
      <c r="DI171" s="51">
        <f t="shared" si="601"/>
        <v>0</v>
      </c>
      <c r="DJ171" s="51">
        <f t="shared" si="528"/>
        <v>0</v>
      </c>
      <c r="DK171" s="51">
        <f t="shared" si="602"/>
        <v>0</v>
      </c>
      <c r="DL171" s="51">
        <f t="shared" si="529"/>
        <v>0</v>
      </c>
      <c r="DM171" s="51">
        <f t="shared" si="603"/>
        <v>0</v>
      </c>
      <c r="DN171" s="51">
        <f t="shared" si="530"/>
        <v>0</v>
      </c>
      <c r="DO171" s="54">
        <f t="shared" si="531"/>
        <v>0</v>
      </c>
      <c r="DP171" s="55">
        <f t="shared" si="532"/>
        <v>0</v>
      </c>
      <c r="DQ171" s="56">
        <f>IF(AND($E171&lt;&gt;0,$F171&gt;0,YEAR($F171)&gt;=Preisindex!$A$6,YEAR(DL$4)&gt;=YEAR($F171),AND($K171&lt;&gt;"a",$K171&lt;&gt;"b",$K171&lt;&gt;"g",$K171&lt;&gt;"k")),1,IF(AND($E171&lt;&gt;0,$F171&gt;0,YEAR($F171)&gt;=Preisindex!$A$6,YEAR(DL$4)&gt;=YEAR($F171),$K171="a"),ROUND(VLOOKUP(DQ$4,Preisindex,5,FALSE)/VLOOKUP(YEAR($F171),Preisindex,5,FALSE),2),IF(AND($E171&lt;&gt;0,$F171&gt;0,YEAR($F171)&gt;=Preisindex!$A$6,YEAR(DL$4)&gt;=YEAR($F171),$K171="b"),ROUND(VLOOKUP(DQ$4,Preisindex,3,FALSE)/VLOOKUP(YEAR($F171),Preisindex,3,FALSE),2),IF(AND($E171&lt;&gt;0,$F171&gt;0,YEAR($F171)&gt;=Preisindex!$A$6,YEAR(DL$4)&gt;=YEAR($F171),$K171="g"),ROUND(VLOOKUP(DQ$4,Preisindex,4,FALSE)/VLOOKUP(YEAR($F171),Preisindex,4,FALSE),2),IF(AND($E171&lt;&gt;0,$F171&gt;0,YEAR($F171)&gt;=Preisindex!$A$6,YEAR(DL$4)&gt;=YEAR($F171),$K171="k"),ROUND(VLOOKUP(DQ$4,Preisindex,2,FALSE)/VLOOKUP(YEAR($F171),Preisindex,2,FALSE),2),0)))))</f>
        <v>0</v>
      </c>
      <c r="DR171" s="56">
        <f>IF(AND($E171&lt;&gt;0,$F171&gt;0,YEAR($F171)&lt;Preisindex!$A$6,YEAR(DL$4)&gt;=YEAR($F171),AND($K171&lt;&gt;"a",$K171&lt;&gt;"b",$K171&lt;&gt;"g",$K171&lt;&gt;"k")),1,IF(AND($E171&lt;&gt;0,$F171&gt;0,YEAR($F171)&lt;Preisindex!$A$6,YEAR(DL$4)&gt;=YEAR($F171),$K171="a"),ROUND(VLOOKUP(DQ$4,Preisindex,5,FALSE)/VLOOKUP(Preisindex!$A$6,Preisindex,5,FALSE),2),IF(AND($E171&lt;&gt;0,$F171&gt;0,YEAR($F171)&lt;Preisindex!$A$6,YEAR(DL$4)&gt;=YEAR($F171),$K171="b"),ROUND(VLOOKUP(DQ$4,Preisindex,3,FALSE)/VLOOKUP(Preisindex!$A$6,Preisindex,3,FALSE),2),IF(AND($E171&lt;&gt;0,$F171&gt;0,YEAR($F171)&lt;Preisindex!$A$6,YEAR(DL$4)&gt;=YEAR($F171),$K171="g"),ROUND(VLOOKUP(DQ$4,Preisindex,4,FALSE)/VLOOKUP(Preisindex!$A$6,Preisindex,4,FALSE),2),IF(AND($E171&lt;&gt;0,$F171&gt;0,YEAR($F171)&lt;Preisindex!$A$6,YEAR(DL$4)&gt;=YEAR($F171),$K171="k"),ROUND(VLOOKUP(DQ$4,Preisindex,2,FALSE)/VLOOKUP(Preisindex!$A$6,Preisindex,2,FALSE),2),0)))))</f>
        <v>0</v>
      </c>
      <c r="DS171" s="51">
        <f>IF(AND($E171&lt;&gt;0,$F171&gt;0,YEAR($F171)&lt;=DQ$4,YEAR($F171)&gt;=Preisindex!$A$6),ROUND($E171*DQ171,2),IF(AND($E171&lt;&gt;0,$F171&gt;0,YEAR($F171)&lt;=DQ$4,YEAR($F171)&lt;Preisindex!$A$6),ROUND($E171*DR171,2),0))</f>
        <v>0</v>
      </c>
      <c r="DT171" s="53">
        <f t="shared" si="533"/>
        <v>0</v>
      </c>
      <c r="DU171" s="51">
        <f t="shared" si="620"/>
        <v>0</v>
      </c>
      <c r="DV171" s="51">
        <f t="shared" si="604"/>
        <v>0</v>
      </c>
      <c r="DW171" s="51">
        <f t="shared" si="534"/>
        <v>0</v>
      </c>
      <c r="DX171" s="51">
        <f t="shared" si="605"/>
        <v>0</v>
      </c>
      <c r="DY171" s="51">
        <f t="shared" si="535"/>
        <v>0</v>
      </c>
      <c r="DZ171" s="51">
        <f t="shared" si="606"/>
        <v>0</v>
      </c>
      <c r="EA171" s="51">
        <f t="shared" si="536"/>
        <v>0</v>
      </c>
      <c r="EB171" s="51">
        <f t="shared" si="607"/>
        <v>0</v>
      </c>
      <c r="EC171" s="51">
        <f t="shared" si="537"/>
        <v>0</v>
      </c>
      <c r="ED171" s="51">
        <f t="shared" si="608"/>
        <v>0</v>
      </c>
      <c r="EE171" s="51">
        <f t="shared" si="538"/>
        <v>0</v>
      </c>
      <c r="EF171" s="54">
        <f t="shared" si="539"/>
        <v>0</v>
      </c>
      <c r="EG171" s="55">
        <f t="shared" si="540"/>
        <v>0</v>
      </c>
      <c r="EH171" s="56">
        <f>IF(AND($E171&lt;&gt;0,$F171&gt;0,YEAR($F171)&gt;=Preisindex!$A$6,YEAR(EC$4)&gt;=YEAR($F171),AND($K171&lt;&gt;"a",$K171&lt;&gt;"b",$K171&lt;&gt;"g",$K171&lt;&gt;"k")),1,IF(AND($E171&lt;&gt;0,$F171&gt;0,YEAR($F171)&gt;=Preisindex!$A$6,YEAR(EC$4)&gt;=YEAR($F171),$K171="a"),ROUND(VLOOKUP(EH$4,Preisindex,5,FALSE)/VLOOKUP(YEAR($F171),Preisindex,5,FALSE),2),IF(AND($E171&lt;&gt;0,$F171&gt;0,YEAR($F171)&gt;=Preisindex!$A$6,YEAR(EC$4)&gt;=YEAR($F171),$K171="b"),ROUND(VLOOKUP(EH$4,Preisindex,3,FALSE)/VLOOKUP(YEAR($F171),Preisindex,3,FALSE),2),IF(AND($E171&lt;&gt;0,$F171&gt;0,YEAR($F171)&gt;=Preisindex!$A$6,YEAR(EC$4)&gt;=YEAR($F171),$K171="g"),ROUND(VLOOKUP(EH$4,Preisindex,4,FALSE)/VLOOKUP(YEAR($F171),Preisindex,4,FALSE),2),IF(AND($E171&lt;&gt;0,$F171&gt;0,YEAR($F171)&gt;=Preisindex!$A$6,YEAR(EC$4)&gt;=YEAR($F171),$K171="k"),ROUND(VLOOKUP(EH$4,Preisindex,2,FALSE)/VLOOKUP(YEAR($F171),Preisindex,2,FALSE),2),0)))))</f>
        <v>0</v>
      </c>
      <c r="EI171" s="56">
        <f>IF(AND($E171&lt;&gt;0,$F171&gt;0,YEAR($F171)&lt;Preisindex!$A$6,YEAR(EC$4)&gt;=YEAR($F171),AND($K171&lt;&gt;"a",$K171&lt;&gt;"b",$K171&lt;&gt;"g",$K171&lt;&gt;"k")),1,IF(AND($E171&lt;&gt;0,$F171&gt;0,YEAR($F171)&lt;Preisindex!$A$6,YEAR(EC$4)&gt;=YEAR($F171),$K171="a"),ROUND(VLOOKUP(EH$4,Preisindex,5,FALSE)/VLOOKUP(Preisindex!$A$6,Preisindex,5,FALSE),2),IF(AND($E171&lt;&gt;0,$F171&gt;0,YEAR($F171)&lt;Preisindex!$A$6,YEAR(EC$4)&gt;=YEAR($F171),$K171="b"),ROUND(VLOOKUP(EH$4,Preisindex,3,FALSE)/VLOOKUP(Preisindex!$A$6,Preisindex,3,FALSE),2),IF(AND($E171&lt;&gt;0,$F171&gt;0,YEAR($F171)&lt;Preisindex!$A$6,YEAR(EC$4)&gt;=YEAR($F171),$K171="g"),ROUND(VLOOKUP(EH$4,Preisindex,4,FALSE)/VLOOKUP(Preisindex!$A$6,Preisindex,4,FALSE),2),IF(AND($E171&lt;&gt;0,$F171&gt;0,YEAR($F171)&lt;Preisindex!$A$6,YEAR(EC$4)&gt;=YEAR($F171),$K171="k"),ROUND(VLOOKUP(EH$4,Preisindex,2,FALSE)/VLOOKUP(Preisindex!$A$6,Preisindex,2,FALSE),2),0)))))</f>
        <v>0</v>
      </c>
      <c r="EJ171" s="51">
        <f>IF(AND($E171&lt;&gt;0,$F171&gt;0,YEAR($F171)&lt;=EH$4,YEAR($F171)&gt;=Preisindex!$A$6),ROUND($E171*EH171,2),IF(AND($E171&lt;&gt;0,$F171&gt;0,YEAR($F171)&lt;=EH$4,YEAR($F171)&lt;Preisindex!$A$6),ROUND($E171*EI171,2),0))</f>
        <v>0</v>
      </c>
      <c r="EK171" s="53">
        <f t="shared" si="541"/>
        <v>0</v>
      </c>
      <c r="EL171" s="51">
        <f t="shared" si="620"/>
        <v>0</v>
      </c>
      <c r="EM171" s="51">
        <f t="shared" si="609"/>
        <v>0</v>
      </c>
      <c r="EN171" s="51">
        <f t="shared" si="542"/>
        <v>0</v>
      </c>
      <c r="EO171" s="51">
        <f t="shared" si="610"/>
        <v>0</v>
      </c>
      <c r="EP171" s="51">
        <f t="shared" si="543"/>
        <v>0</v>
      </c>
      <c r="EQ171" s="51">
        <f t="shared" si="611"/>
        <v>0</v>
      </c>
      <c r="ER171" s="51">
        <f t="shared" si="544"/>
        <v>0</v>
      </c>
      <c r="ES171" s="51">
        <f t="shared" si="612"/>
        <v>0</v>
      </c>
      <c r="ET171" s="51">
        <f t="shared" si="545"/>
        <v>0</v>
      </c>
      <c r="EU171" s="51">
        <f t="shared" si="613"/>
        <v>0</v>
      </c>
      <c r="EV171" s="51">
        <f t="shared" si="546"/>
        <v>0</v>
      </c>
      <c r="EW171" s="54">
        <f t="shared" si="547"/>
        <v>0</v>
      </c>
      <c r="EX171" s="55">
        <f t="shared" si="548"/>
        <v>0</v>
      </c>
      <c r="EY171" s="56">
        <f>IF(AND($E171&lt;&gt;0,$F171&gt;0,YEAR($F171)&gt;=Preisindex!$A$6,YEAR(ET$4)&gt;=YEAR($F171),AND($K171&lt;&gt;"a",$K171&lt;&gt;"b",$K171&lt;&gt;"g",$K171&lt;&gt;"k")),1,IF(AND($E171&lt;&gt;0,$F171&gt;0,YEAR($F171)&gt;=Preisindex!$A$6,YEAR(ET$4)&gt;=YEAR($F171),$K171="a"),ROUND(VLOOKUP(EY$4,Preisindex,5,FALSE)/VLOOKUP(YEAR($F171),Preisindex,5,FALSE),2),IF(AND($E171&lt;&gt;0,$F171&gt;0,YEAR($F171)&gt;=Preisindex!$A$6,YEAR(ET$4)&gt;=YEAR($F171),$K171="b"),ROUND(VLOOKUP(EY$4,Preisindex,3,FALSE)/VLOOKUP(YEAR($F171),Preisindex,3,FALSE),2),IF(AND($E171&lt;&gt;0,$F171&gt;0,YEAR($F171)&gt;=Preisindex!$A$6,YEAR(ET$4)&gt;=YEAR($F171),$K171="g"),ROUND(VLOOKUP(EY$4,Preisindex,4,FALSE)/VLOOKUP(YEAR($F171),Preisindex,4,FALSE),2),IF(AND($E171&lt;&gt;0,$F171&gt;0,YEAR($F171)&gt;=Preisindex!$A$6,YEAR(ET$4)&gt;=YEAR($F171),$K171="k"),ROUND(VLOOKUP(EY$4,Preisindex,2,FALSE)/VLOOKUP(YEAR($F171),Preisindex,2,FALSE),2),0)))))</f>
        <v>0</v>
      </c>
      <c r="EZ171" s="56">
        <f>IF(AND($E171&lt;&gt;0,$F171&gt;0,YEAR($F171)&lt;Preisindex!$A$6,YEAR(ET$4)&gt;=YEAR($F171),AND($K171&lt;&gt;"a",$K171&lt;&gt;"b",$K171&lt;&gt;"g",$K171&lt;&gt;"k")),1,IF(AND($E171&lt;&gt;0,$F171&gt;0,YEAR($F171)&lt;Preisindex!$A$6,YEAR(ET$4)&gt;=YEAR($F171),$K171="a"),ROUND(VLOOKUP(EY$4,Preisindex,5,FALSE)/VLOOKUP(Preisindex!$A$6,Preisindex,5,FALSE),2),IF(AND($E171&lt;&gt;0,$F171&gt;0,YEAR($F171)&lt;Preisindex!$A$6,YEAR(ET$4)&gt;=YEAR($F171),$K171="b"),ROUND(VLOOKUP(EY$4,Preisindex,3,FALSE)/VLOOKUP(Preisindex!$A$6,Preisindex,3,FALSE),2),IF(AND($E171&lt;&gt;0,$F171&gt;0,YEAR($F171)&lt;Preisindex!$A$6,YEAR(ET$4)&gt;=YEAR($F171),$K171="g"),ROUND(VLOOKUP(EY$4,Preisindex,4,FALSE)/VLOOKUP(Preisindex!$A$6,Preisindex,4,FALSE),2),IF(AND($E171&lt;&gt;0,$F171&gt;0,YEAR($F171)&lt;Preisindex!$A$6,YEAR(ET$4)&gt;=YEAR($F171),$K171="k"),ROUND(VLOOKUP(EY$4,Preisindex,2,FALSE)/VLOOKUP(Preisindex!$A$6,Preisindex,2,FALSE),2),0)))))</f>
        <v>0</v>
      </c>
      <c r="FA171" s="51">
        <f>IF(AND($E171&lt;&gt;0,$F171&gt;0,YEAR($F171)&lt;=EY$4,YEAR($F171)&gt;=Preisindex!$A$6),ROUND($E171*EY171,2),IF(AND($E171&lt;&gt;0,$F171&gt;0,YEAR($F171)&lt;=EY$4,YEAR($F171)&lt;Preisindex!$A$6),ROUND($E171*EZ171,2),0))</f>
        <v>0</v>
      </c>
      <c r="FB171" s="53">
        <f t="shared" si="549"/>
        <v>0</v>
      </c>
      <c r="FC171" s="51">
        <f t="shared" si="620"/>
        <v>0</v>
      </c>
      <c r="FD171" s="51">
        <f t="shared" si="614"/>
        <v>0</v>
      </c>
      <c r="FE171" s="51">
        <f t="shared" si="550"/>
        <v>0</v>
      </c>
      <c r="FF171" s="51">
        <f t="shared" si="615"/>
        <v>0</v>
      </c>
      <c r="FG171" s="51">
        <f t="shared" si="551"/>
        <v>0</v>
      </c>
      <c r="FH171" s="51">
        <f t="shared" si="616"/>
        <v>0</v>
      </c>
      <c r="FI171" s="51">
        <f t="shared" si="552"/>
        <v>0</v>
      </c>
      <c r="FJ171" s="51">
        <f t="shared" si="617"/>
        <v>0</v>
      </c>
      <c r="FK171" s="51">
        <f t="shared" si="553"/>
        <v>0</v>
      </c>
      <c r="FL171" s="51">
        <f t="shared" si="618"/>
        <v>0</v>
      </c>
      <c r="FM171" s="51">
        <f t="shared" si="554"/>
        <v>0</v>
      </c>
      <c r="FN171" s="54">
        <f t="shared" si="555"/>
        <v>0</v>
      </c>
      <c r="FO171" s="55">
        <f t="shared" si="556"/>
        <v>0</v>
      </c>
      <c r="FP171" s="56">
        <f>IF(AND($E171&lt;&gt;0,$F171&gt;0,YEAR($F171)&gt;=Preisindex!$A$6,YEAR(FK$4)&gt;=YEAR($F171),AND($K171&lt;&gt;"a",$K171&lt;&gt;"b",$K171&lt;&gt;"g",$K171&lt;&gt;"k")),1,IF(AND($E171&lt;&gt;0,$F171&gt;0,YEAR($F171)&gt;=Preisindex!$A$6,YEAR(FK$4)&gt;=YEAR($F171),$K171="a"),ROUND(VLOOKUP(FP$4,Preisindex,5,FALSE)/VLOOKUP(YEAR($F171),Preisindex,5,FALSE),2),IF(AND($E171&lt;&gt;0,$F171&gt;0,YEAR($F171)&gt;=Preisindex!$A$6,YEAR(FK$4)&gt;=YEAR($F171),$K171="b"),ROUND(VLOOKUP(FP$4,Preisindex,3,FALSE)/VLOOKUP(YEAR($F171),Preisindex,3,FALSE),2),IF(AND($E171&lt;&gt;0,$F171&gt;0,YEAR($F171)&gt;=Preisindex!$A$6,YEAR(FK$4)&gt;=YEAR($F171),$K171="g"),ROUND(VLOOKUP(FP$4,Preisindex,4,FALSE)/VLOOKUP(YEAR($F171),Preisindex,4,FALSE),2),IF(AND($E171&lt;&gt;0,$F171&gt;0,YEAR($F171)&gt;=Preisindex!$A$6,YEAR(FK$4)&gt;=YEAR($F171),$K171="k"),ROUND(VLOOKUP(FP$4,Preisindex,2,FALSE)/VLOOKUP(YEAR($F171),Preisindex,2,FALSE),2),0)))))</f>
        <v>0</v>
      </c>
      <c r="FQ171" s="56">
        <f>IF(AND($E171&lt;&gt;0,$F171&gt;0,YEAR($F171)&lt;Preisindex!$A$6,YEAR(FK$4)&gt;=YEAR($F171),AND($K171&lt;&gt;"a",$K171&lt;&gt;"b",$K171&lt;&gt;"g",$K171&lt;&gt;"k")),1,IF(AND($E171&lt;&gt;0,$F171&gt;0,YEAR($F171)&lt;Preisindex!$A$6,YEAR(FK$4)&gt;=YEAR($F171),$K171="a"),ROUND(VLOOKUP(FP$4,Preisindex,5,FALSE)/VLOOKUP(Preisindex!$A$6,Preisindex,5,FALSE),2),IF(AND($E171&lt;&gt;0,$F171&gt;0,YEAR($F171)&lt;Preisindex!$A$6,YEAR(FK$4)&gt;=YEAR($F171),$K171="b"),ROUND(VLOOKUP(FP$4,Preisindex,3,FALSE)/VLOOKUP(Preisindex!$A$6,Preisindex,3,FALSE),2),IF(AND($E171&lt;&gt;0,$F171&gt;0,YEAR($F171)&lt;Preisindex!$A$6,YEAR(FK$4)&gt;=YEAR($F171),$K171="g"),ROUND(VLOOKUP(FP$4,Preisindex,4,FALSE)/VLOOKUP(Preisindex!$A$6,Preisindex,4,FALSE),2),IF(AND($E171&lt;&gt;0,$F171&gt;0,YEAR($F171)&lt;Preisindex!$A$6,YEAR(FK$4)&gt;=YEAR($F171),$K171="k"),ROUND(VLOOKUP(FP$4,Preisindex,2,FALSE)/VLOOKUP(Preisindex!$A$6,Preisindex,2,FALSE),2),0)))))</f>
        <v>0</v>
      </c>
      <c r="FR171" s="51">
        <f>IF(AND($E171&lt;&gt;0,$F171&gt;0,YEAR($F171)&lt;=FP$4,YEAR($F171)&gt;=Preisindex!$A$6),ROUND($E171*FP171,2),IF(AND($E171&lt;&gt;0,$F171&gt;0,YEAR($F171)&lt;=FP$4,YEAR($F171)&lt;Preisindex!$A$6),ROUND($E171*FQ171,2),0))</f>
        <v>0</v>
      </c>
      <c r="FS171" s="53">
        <f t="shared" si="557"/>
        <v>0</v>
      </c>
    </row>
    <row r="172" spans="1:175" x14ac:dyDescent="0.3">
      <c r="A172" s="93"/>
      <c r="B172" s="94"/>
      <c r="C172" s="94"/>
      <c r="D172" s="95"/>
      <c r="E172" s="99"/>
      <c r="F172" s="97"/>
      <c r="G172" s="98"/>
      <c r="H172" s="620"/>
      <c r="I172" s="621"/>
      <c r="J172" s="194"/>
      <c r="K172" s="630"/>
      <c r="L172" s="49">
        <f t="shared" si="558"/>
        <v>0</v>
      </c>
      <c r="M172" s="50">
        <f t="shared" si="559"/>
        <v>0</v>
      </c>
      <c r="N172" s="51">
        <f t="shared" si="560"/>
        <v>0</v>
      </c>
      <c r="O172" s="51"/>
      <c r="P172" s="51">
        <f t="shared" si="561"/>
        <v>0</v>
      </c>
      <c r="Q172" s="52"/>
      <c r="R172" s="52"/>
      <c r="S172" s="52"/>
      <c r="T172" s="52"/>
      <c r="U172" s="52"/>
      <c r="V172" s="53">
        <f t="shared" si="562"/>
        <v>0</v>
      </c>
      <c r="W172" s="51">
        <f t="shared" si="563"/>
        <v>0</v>
      </c>
      <c r="X172" s="51">
        <f t="shared" si="564"/>
        <v>0</v>
      </c>
      <c r="Y172" s="51">
        <f t="shared" si="565"/>
        <v>0</v>
      </c>
      <c r="Z172" s="51">
        <f t="shared" si="566"/>
        <v>0</v>
      </c>
      <c r="AA172" s="51">
        <f t="shared" si="567"/>
        <v>0</v>
      </c>
      <c r="AB172" s="51">
        <f t="shared" si="568"/>
        <v>0</v>
      </c>
      <c r="AC172" s="51">
        <f t="shared" si="569"/>
        <v>0</v>
      </c>
      <c r="AD172" s="51">
        <f t="shared" si="570"/>
        <v>0</v>
      </c>
      <c r="AE172" s="51">
        <f t="shared" si="571"/>
        <v>0</v>
      </c>
      <c r="AF172" s="51">
        <f t="shared" si="572"/>
        <v>0</v>
      </c>
      <c r="AG172" s="51">
        <f t="shared" si="573"/>
        <v>0</v>
      </c>
      <c r="AH172" s="54">
        <f t="shared" si="574"/>
        <v>0</v>
      </c>
      <c r="AI172" s="55">
        <f t="shared" si="575"/>
        <v>0</v>
      </c>
      <c r="AJ172" s="56">
        <f>IF(AND($E172&lt;&gt;0,$F172&gt;0,YEAR($F172)&gt;=Preisindex!$A$6,YEAR(AE$4)&gt;=YEAR($F172),AND($K172&lt;&gt;"a",$K172&lt;&gt;"b",$K172&lt;&gt;"g",$K172&lt;&gt;"k")),1,IF(AND($E172&lt;&gt;0,$F172&gt;0,YEAR($F172)&gt;=Preisindex!$A$6,YEAR(AE$4)&gt;=YEAR($F172),$K172="a"),ROUND(VLOOKUP(AJ$4,Preisindex,5,FALSE)/VLOOKUP(YEAR($F172),Preisindex,5,FALSE),2),IF(AND($E172&lt;&gt;0,$F172&gt;0,YEAR($F172)&gt;=Preisindex!$A$6,YEAR(AE$4)&gt;=YEAR($F172),$K172="b"),ROUND(VLOOKUP(AJ$4,Preisindex,3,FALSE)/VLOOKUP(YEAR($F172),Preisindex,3,FALSE),2),IF(AND($E172&lt;&gt;0,$F172&gt;0,YEAR($F172)&gt;=Preisindex!$A$6,YEAR(AE$4)&gt;=YEAR($F172),$K172="g"),ROUND(VLOOKUP(AJ$4,Preisindex,4,FALSE)/VLOOKUP(YEAR($F172),Preisindex,4,FALSE),2),IF(AND($E172&lt;&gt;0,$F172&gt;0,YEAR($F172)&gt;=Preisindex!$A$6,YEAR(AE$4)&gt;=YEAR($F172),$K172="k"),ROUND(VLOOKUP(AJ$4,Preisindex,2,FALSE)/VLOOKUP(YEAR($F172),Preisindex,2,FALSE),2),0)))))</f>
        <v>0</v>
      </c>
      <c r="AK172" s="56">
        <f>IF(AND($E172&lt;&gt;0,$F172&gt;0,YEAR($F172)&lt;Preisindex!$A$6,YEAR(AE$4)&gt;=YEAR($F172),AND($K172&lt;&gt;"a",$K172&lt;&gt;"b",$K172&lt;&gt;"g",$K172&lt;&gt;"k")),1,IF(AND($E172&lt;&gt;0,$F172&gt;0,YEAR($F172)&lt;Preisindex!$A$6,YEAR(AE$4)&gt;=YEAR($F172),$K172="a"),ROUND(VLOOKUP(AJ$4,Preisindex,5,FALSE)/VLOOKUP(Preisindex!$A$6,Preisindex,5,FALSE),2),IF(AND($E172&lt;&gt;0,$F172&gt;0,YEAR($F172)&lt;Preisindex!$A$6,YEAR(AE$4)&gt;=YEAR($F172),$K172="b"),ROUND(VLOOKUP(AJ$4,Preisindex,3,FALSE)/VLOOKUP(Preisindex!$A$6,Preisindex,3,FALSE),2),IF(AND($E172&lt;&gt;0,$F172&gt;0,YEAR($F172)&lt;Preisindex!$A$6,YEAR(AE$4)&gt;=YEAR($F172),$K172="g"),ROUND(VLOOKUP(AJ$4,Preisindex,4,FALSE)/VLOOKUP(Preisindex!$A$6,Preisindex,4,FALSE),2),IF(AND($E172&lt;&gt;0,$F172&gt;0,YEAR($F172)&lt;Preisindex!$A$6,YEAR(AE$4)&gt;=YEAR($F172),$K172="k"),ROUND(VLOOKUP(AJ$4,Preisindex,2,FALSE)/VLOOKUP(Preisindex!$A$6,Preisindex,2,FALSE),2),0)))))</f>
        <v>0</v>
      </c>
      <c r="AL172" s="51">
        <f>IF(AND($E172&lt;&gt;0,$F172&gt;0,YEAR($F172)&lt;=AJ$4,YEAR($F172)&gt;=Preisindex!$A$6),ROUND($E172*AJ172,2),IF(AND($E172&lt;&gt;0,$F172&gt;0,YEAR($F172)&lt;=AJ$4,YEAR($F172)&lt;Preisindex!$A$6),ROUND($E172*AK172,2),0))</f>
        <v>0</v>
      </c>
      <c r="AM172" s="53">
        <f t="shared" si="576"/>
        <v>0</v>
      </c>
      <c r="AN172" s="51">
        <f t="shared" si="619"/>
        <v>0</v>
      </c>
      <c r="AO172" s="51">
        <f t="shared" si="579"/>
        <v>0</v>
      </c>
      <c r="AP172" s="51">
        <f t="shared" si="493"/>
        <v>0</v>
      </c>
      <c r="AQ172" s="51">
        <f t="shared" si="580"/>
        <v>0</v>
      </c>
      <c r="AR172" s="51">
        <f t="shared" si="494"/>
        <v>0</v>
      </c>
      <c r="AS172" s="51">
        <f t="shared" si="581"/>
        <v>0</v>
      </c>
      <c r="AT172" s="51">
        <f t="shared" si="495"/>
        <v>0</v>
      </c>
      <c r="AU172" s="51">
        <f t="shared" si="582"/>
        <v>0</v>
      </c>
      <c r="AV172" s="51">
        <f t="shared" si="496"/>
        <v>0</v>
      </c>
      <c r="AW172" s="51">
        <f t="shared" si="583"/>
        <v>0</v>
      </c>
      <c r="AX172" s="51">
        <f t="shared" si="497"/>
        <v>0</v>
      </c>
      <c r="AY172" s="54">
        <f t="shared" si="498"/>
        <v>0</v>
      </c>
      <c r="AZ172" s="55">
        <f t="shared" si="499"/>
        <v>0</v>
      </c>
      <c r="BA172" s="56">
        <f>IF(AND($E172&lt;&gt;0,$F172&gt;0,YEAR($F172)&gt;=Preisindex!$A$6,YEAR(AV$4)&gt;=YEAR($F172),AND($K172&lt;&gt;"a",$K172&lt;&gt;"b",$K172&lt;&gt;"g",$K172&lt;&gt;"k")),1,IF(AND($E172&lt;&gt;0,$F172&gt;0,YEAR($F172)&gt;=Preisindex!$A$6,YEAR(AV$4)&gt;=YEAR($F172),$K172="a"),ROUND(VLOOKUP(BA$4,Preisindex,5,FALSE)/VLOOKUP(YEAR($F172),Preisindex,5,FALSE),2),IF(AND($E172&lt;&gt;0,$F172&gt;0,YEAR($F172)&gt;=Preisindex!$A$6,YEAR(AV$4)&gt;=YEAR($F172),$K172="b"),ROUND(VLOOKUP(BA$4,Preisindex,3,FALSE)/VLOOKUP(YEAR($F172),Preisindex,3,FALSE),2),IF(AND($E172&lt;&gt;0,$F172&gt;0,YEAR($F172)&gt;=Preisindex!$A$6,YEAR(AV$4)&gt;=YEAR($F172),$K172="g"),ROUND(VLOOKUP(BA$4,Preisindex,4,FALSE)/VLOOKUP(YEAR($F172),Preisindex,4,FALSE),2),IF(AND($E172&lt;&gt;0,$F172&gt;0,YEAR($F172)&gt;=Preisindex!$A$6,YEAR(AV$4)&gt;=YEAR($F172),$K172="k"),ROUND(VLOOKUP(BA$4,Preisindex,2,FALSE)/VLOOKUP(YEAR($F172),Preisindex,2,FALSE),2),0)))))</f>
        <v>0</v>
      </c>
      <c r="BB172" s="56">
        <f>IF(AND($E172&lt;&gt;0,$F172&gt;0,YEAR($F172)&lt;Preisindex!$A$6,YEAR(AV$4)&gt;=YEAR($F172),AND($K172&lt;&gt;"a",$K172&lt;&gt;"b",$K172&lt;&gt;"g",$K172&lt;&gt;"k")),1,IF(AND($E172&lt;&gt;0,$F172&gt;0,YEAR($F172)&lt;Preisindex!$A$6,YEAR(AV$4)&gt;=YEAR($F172),$K172="a"),ROUND(VLOOKUP(BA$4,Preisindex,5,FALSE)/VLOOKUP(Preisindex!$A$6,Preisindex,5,FALSE),2),IF(AND($E172&lt;&gt;0,$F172&gt;0,YEAR($F172)&lt;Preisindex!$A$6,YEAR(AV$4)&gt;=YEAR($F172),$K172="b"),ROUND(VLOOKUP(BA$4,Preisindex,3,FALSE)/VLOOKUP(Preisindex!$A$6,Preisindex,3,FALSE),2),IF(AND($E172&lt;&gt;0,$F172&gt;0,YEAR($F172)&lt;Preisindex!$A$6,YEAR(AV$4)&gt;=YEAR($F172),$K172="g"),ROUND(VLOOKUP(BA$4,Preisindex,4,FALSE)/VLOOKUP(Preisindex!$A$6,Preisindex,4,FALSE),2),IF(AND($E172&lt;&gt;0,$F172&gt;0,YEAR($F172)&lt;Preisindex!$A$6,YEAR(AV$4)&gt;=YEAR($F172),$K172="k"),ROUND(VLOOKUP(BA$4,Preisindex,2,FALSE)/VLOOKUP(Preisindex!$A$6,Preisindex,2,FALSE),2),0)))))</f>
        <v>0</v>
      </c>
      <c r="BC172" s="51">
        <f>IF(AND($E172&lt;&gt;0,$F172&gt;0,YEAR($F172)&lt;=BA$4,YEAR($F172)&gt;=Preisindex!$A$6),ROUND($E172*BA172,2),IF(AND($E172&lt;&gt;0,$F172&gt;0,YEAR($F172)&lt;=BA$4,YEAR($F172)&lt;Preisindex!$A$6),ROUND($E172*BB172,2),0))</f>
        <v>0</v>
      </c>
      <c r="BD172" s="53">
        <f t="shared" si="500"/>
        <v>0</v>
      </c>
      <c r="BE172" s="51">
        <f t="shared" si="619"/>
        <v>0</v>
      </c>
      <c r="BF172" s="51">
        <f t="shared" si="584"/>
        <v>0</v>
      </c>
      <c r="BG172" s="51">
        <f t="shared" si="501"/>
        <v>0</v>
      </c>
      <c r="BH172" s="51">
        <f t="shared" si="585"/>
        <v>0</v>
      </c>
      <c r="BI172" s="51">
        <f t="shared" si="502"/>
        <v>0</v>
      </c>
      <c r="BJ172" s="51">
        <f t="shared" si="586"/>
        <v>0</v>
      </c>
      <c r="BK172" s="51">
        <f t="shared" si="503"/>
        <v>0</v>
      </c>
      <c r="BL172" s="51">
        <f t="shared" si="587"/>
        <v>0</v>
      </c>
      <c r="BM172" s="51">
        <f t="shared" si="504"/>
        <v>0</v>
      </c>
      <c r="BN172" s="51">
        <f t="shared" si="588"/>
        <v>0</v>
      </c>
      <c r="BO172" s="51">
        <f t="shared" si="505"/>
        <v>0</v>
      </c>
      <c r="BP172" s="54">
        <f t="shared" si="506"/>
        <v>0</v>
      </c>
      <c r="BQ172" s="55">
        <f t="shared" si="507"/>
        <v>0</v>
      </c>
      <c r="BR172" s="56">
        <f>IF(AND($E172&lt;&gt;0,$F172&gt;0,YEAR($F172)&gt;=Preisindex!$A$6,YEAR(BM$4)&gt;=YEAR($F172),AND($K172&lt;&gt;"a",$K172&lt;&gt;"b",$K172&lt;&gt;"g",$K172&lt;&gt;"k")),1,IF(AND($E172&lt;&gt;0,$F172&gt;0,YEAR($F172)&gt;=Preisindex!$A$6,YEAR(BM$4)&gt;=YEAR($F172),$K172="a"),ROUND(VLOOKUP(BR$4,Preisindex,5,FALSE)/VLOOKUP(YEAR($F172),Preisindex,5,FALSE),2),IF(AND($E172&lt;&gt;0,$F172&gt;0,YEAR($F172)&gt;=Preisindex!$A$6,YEAR(BM$4)&gt;=YEAR($F172),$K172="b"),ROUND(VLOOKUP(BR$4,Preisindex,3,FALSE)/VLOOKUP(YEAR($F172),Preisindex,3,FALSE),2),IF(AND($E172&lt;&gt;0,$F172&gt;0,YEAR($F172)&gt;=Preisindex!$A$6,YEAR(BM$4)&gt;=YEAR($F172),$K172="g"),ROUND(VLOOKUP(BR$4,Preisindex,4,FALSE)/VLOOKUP(YEAR($F172),Preisindex,4,FALSE),2),IF(AND($E172&lt;&gt;0,$F172&gt;0,YEAR($F172)&gt;=Preisindex!$A$6,YEAR(BM$4)&gt;=YEAR($F172),$K172="k"),ROUND(VLOOKUP(BR$4,Preisindex,2,FALSE)/VLOOKUP(YEAR($F172),Preisindex,2,FALSE),2),0)))))</f>
        <v>0</v>
      </c>
      <c r="BS172" s="56">
        <f>IF(AND($E172&lt;&gt;0,$F172&gt;0,YEAR($F172)&lt;Preisindex!$A$6,YEAR(BM$4)&gt;=YEAR($F172),AND($K172&lt;&gt;"a",$K172&lt;&gt;"b",$K172&lt;&gt;"g",$K172&lt;&gt;"k")),1,IF(AND($E172&lt;&gt;0,$F172&gt;0,YEAR($F172)&lt;Preisindex!$A$6,YEAR(BM$4)&gt;=YEAR($F172),$K172="a"),ROUND(VLOOKUP(BR$4,Preisindex,5,FALSE)/VLOOKUP(Preisindex!$A$6,Preisindex,5,FALSE),2),IF(AND($E172&lt;&gt;0,$F172&gt;0,YEAR($F172)&lt;Preisindex!$A$6,YEAR(BM$4)&gt;=YEAR($F172),$K172="b"),ROUND(VLOOKUP(BR$4,Preisindex,3,FALSE)/VLOOKUP(Preisindex!$A$6,Preisindex,3,FALSE),2),IF(AND($E172&lt;&gt;0,$F172&gt;0,YEAR($F172)&lt;Preisindex!$A$6,YEAR(BM$4)&gt;=YEAR($F172),$K172="g"),ROUND(VLOOKUP(BR$4,Preisindex,4,FALSE)/VLOOKUP(Preisindex!$A$6,Preisindex,4,FALSE),2),IF(AND($E172&lt;&gt;0,$F172&gt;0,YEAR($F172)&lt;Preisindex!$A$6,YEAR(BM$4)&gt;=YEAR($F172),$K172="k"),ROUND(VLOOKUP(BR$4,Preisindex,2,FALSE)/VLOOKUP(Preisindex!$A$6,Preisindex,2,FALSE),2),0)))))</f>
        <v>0</v>
      </c>
      <c r="BT172" s="51">
        <f>IF(AND($E172&lt;&gt;0,$F172&gt;0,YEAR($F172)&lt;=BR$4,YEAR($F172)&gt;=Preisindex!$A$6),ROUND($E172*BR172,2),IF(AND($E172&lt;&gt;0,$F172&gt;0,YEAR($F172)&lt;=BR$4,YEAR($F172)&lt;Preisindex!$A$6),ROUND($E172*BS172,2),0))</f>
        <v>0</v>
      </c>
      <c r="BU172" s="53">
        <f t="shared" si="508"/>
        <v>0</v>
      </c>
      <c r="BV172" s="51">
        <f t="shared" si="619"/>
        <v>0</v>
      </c>
      <c r="BW172" s="51">
        <f t="shared" si="589"/>
        <v>0</v>
      </c>
      <c r="BX172" s="51">
        <f t="shared" si="509"/>
        <v>0</v>
      </c>
      <c r="BY172" s="51">
        <f t="shared" si="590"/>
        <v>0</v>
      </c>
      <c r="BZ172" s="51">
        <f t="shared" si="510"/>
        <v>0</v>
      </c>
      <c r="CA172" s="51">
        <f t="shared" si="591"/>
        <v>0</v>
      </c>
      <c r="CB172" s="51">
        <f t="shared" si="511"/>
        <v>0</v>
      </c>
      <c r="CC172" s="51">
        <f t="shared" si="592"/>
        <v>0</v>
      </c>
      <c r="CD172" s="51">
        <f t="shared" si="512"/>
        <v>0</v>
      </c>
      <c r="CE172" s="51">
        <f t="shared" si="593"/>
        <v>0</v>
      </c>
      <c r="CF172" s="51">
        <f t="shared" si="513"/>
        <v>0</v>
      </c>
      <c r="CG172" s="54">
        <f t="shared" si="514"/>
        <v>0</v>
      </c>
      <c r="CH172" s="55">
        <f t="shared" si="515"/>
        <v>0</v>
      </c>
      <c r="CI172" s="56">
        <f>IF(AND($E172&lt;&gt;0,$F172&gt;0,YEAR($F172)&gt;=Preisindex!$A$6,YEAR(CD$4)&gt;=YEAR($F172),AND($K172&lt;&gt;"a",$K172&lt;&gt;"b",$K172&lt;&gt;"g",$K172&lt;&gt;"k")),1,IF(AND($E172&lt;&gt;0,$F172&gt;0,YEAR($F172)&gt;=Preisindex!$A$6,YEAR(CD$4)&gt;=YEAR($F172),$K172="a"),ROUND(VLOOKUP(CI$4,Preisindex,5,FALSE)/VLOOKUP(YEAR($F172),Preisindex,5,FALSE),2),IF(AND($E172&lt;&gt;0,$F172&gt;0,YEAR($F172)&gt;=Preisindex!$A$6,YEAR(CD$4)&gt;=YEAR($F172),$K172="b"),ROUND(VLOOKUP(CI$4,Preisindex,3,FALSE)/VLOOKUP(YEAR($F172),Preisindex,3,FALSE),2),IF(AND($E172&lt;&gt;0,$F172&gt;0,YEAR($F172)&gt;=Preisindex!$A$6,YEAR(CD$4)&gt;=YEAR($F172),$K172="g"),ROUND(VLOOKUP(CI$4,Preisindex,4,FALSE)/VLOOKUP(YEAR($F172),Preisindex,4,FALSE),2),IF(AND($E172&lt;&gt;0,$F172&gt;0,YEAR($F172)&gt;=Preisindex!$A$6,YEAR(CD$4)&gt;=YEAR($F172),$K172="k"),ROUND(VLOOKUP(CI$4,Preisindex,2,FALSE)/VLOOKUP(YEAR($F172),Preisindex,2,FALSE),2),0)))))</f>
        <v>0</v>
      </c>
      <c r="CJ172" s="56">
        <f>IF(AND($E172&lt;&gt;0,$F172&gt;0,YEAR($F172)&lt;Preisindex!$A$6,YEAR(CD$4)&gt;=YEAR($F172),AND($K172&lt;&gt;"a",$K172&lt;&gt;"b",$K172&lt;&gt;"g",$K172&lt;&gt;"k")),1,IF(AND($E172&lt;&gt;0,$F172&gt;0,YEAR($F172)&lt;Preisindex!$A$6,YEAR(CD$4)&gt;=YEAR($F172),$K172="a"),ROUND(VLOOKUP(CI$4,Preisindex,5,FALSE)/VLOOKUP(Preisindex!$A$6,Preisindex,5,FALSE),2),IF(AND($E172&lt;&gt;0,$F172&gt;0,YEAR($F172)&lt;Preisindex!$A$6,YEAR(CD$4)&gt;=YEAR($F172),$K172="b"),ROUND(VLOOKUP(CI$4,Preisindex,3,FALSE)/VLOOKUP(Preisindex!$A$6,Preisindex,3,FALSE),2),IF(AND($E172&lt;&gt;0,$F172&gt;0,YEAR($F172)&lt;Preisindex!$A$6,YEAR(CD$4)&gt;=YEAR($F172),$K172="g"),ROUND(VLOOKUP(CI$4,Preisindex,4,FALSE)/VLOOKUP(Preisindex!$A$6,Preisindex,4,FALSE),2),IF(AND($E172&lt;&gt;0,$F172&gt;0,YEAR($F172)&lt;Preisindex!$A$6,YEAR(CD$4)&gt;=YEAR($F172),$K172="k"),ROUND(VLOOKUP(CI$4,Preisindex,2,FALSE)/VLOOKUP(Preisindex!$A$6,Preisindex,2,FALSE),2),0)))))</f>
        <v>0</v>
      </c>
      <c r="CK172" s="51">
        <f>IF(AND($E172&lt;&gt;0,$F172&gt;0,YEAR($F172)&lt;=CI$4,YEAR($F172)&gt;=Preisindex!$A$6),ROUND($E172*CI172,2),IF(AND($E172&lt;&gt;0,$F172&gt;0,YEAR($F172)&lt;=CI$4,YEAR($F172)&lt;Preisindex!$A$6),ROUND($E172*CJ172,2),0))</f>
        <v>0</v>
      </c>
      <c r="CL172" s="53">
        <f t="shared" si="516"/>
        <v>0</v>
      </c>
      <c r="CM172" s="51">
        <f t="shared" si="619"/>
        <v>0</v>
      </c>
      <c r="CN172" s="51">
        <f t="shared" si="594"/>
        <v>0</v>
      </c>
      <c r="CO172" s="51">
        <f t="shared" si="517"/>
        <v>0</v>
      </c>
      <c r="CP172" s="51">
        <f t="shared" si="595"/>
        <v>0</v>
      </c>
      <c r="CQ172" s="51">
        <f t="shared" si="518"/>
        <v>0</v>
      </c>
      <c r="CR172" s="51">
        <f t="shared" si="596"/>
        <v>0</v>
      </c>
      <c r="CS172" s="51">
        <f t="shared" si="519"/>
        <v>0</v>
      </c>
      <c r="CT172" s="51">
        <f t="shared" si="597"/>
        <v>0</v>
      </c>
      <c r="CU172" s="51">
        <f t="shared" si="520"/>
        <v>0</v>
      </c>
      <c r="CV172" s="51">
        <f t="shared" si="598"/>
        <v>0</v>
      </c>
      <c r="CW172" s="51">
        <f t="shared" si="521"/>
        <v>0</v>
      </c>
      <c r="CX172" s="54">
        <f t="shared" si="522"/>
        <v>0</v>
      </c>
      <c r="CY172" s="55">
        <f t="shared" si="523"/>
        <v>0</v>
      </c>
      <c r="CZ172" s="56">
        <f>IF(AND($E172&lt;&gt;0,$F172&gt;0,YEAR($F172)&gt;=Preisindex!$A$6,YEAR(CU$4)&gt;=YEAR($F172),AND($K172&lt;&gt;"a",$K172&lt;&gt;"b",$K172&lt;&gt;"g",$K172&lt;&gt;"k")),1,IF(AND($E172&lt;&gt;0,$F172&gt;0,YEAR($F172)&gt;=Preisindex!$A$6,YEAR(CU$4)&gt;=YEAR($F172),$K172="a"),ROUND(VLOOKUP(CZ$4,Preisindex,5,FALSE)/VLOOKUP(YEAR($F172),Preisindex,5,FALSE),2),IF(AND($E172&lt;&gt;0,$F172&gt;0,YEAR($F172)&gt;=Preisindex!$A$6,YEAR(CU$4)&gt;=YEAR($F172),$K172="b"),ROUND(VLOOKUP(CZ$4,Preisindex,3,FALSE)/VLOOKUP(YEAR($F172),Preisindex,3,FALSE),2),IF(AND($E172&lt;&gt;0,$F172&gt;0,YEAR($F172)&gt;=Preisindex!$A$6,YEAR(CU$4)&gt;=YEAR($F172),$K172="g"),ROUND(VLOOKUP(CZ$4,Preisindex,4,FALSE)/VLOOKUP(YEAR($F172),Preisindex,4,FALSE),2),IF(AND($E172&lt;&gt;0,$F172&gt;0,YEAR($F172)&gt;=Preisindex!$A$6,YEAR(CU$4)&gt;=YEAR($F172),$K172="k"),ROUND(VLOOKUP(CZ$4,Preisindex,2,FALSE)/VLOOKUP(YEAR($F172),Preisindex,2,FALSE),2),0)))))</f>
        <v>0</v>
      </c>
      <c r="DA172" s="56">
        <f>IF(AND($E172&lt;&gt;0,$F172&gt;0,YEAR($F172)&lt;Preisindex!$A$6,YEAR(CU$4)&gt;=YEAR($F172),AND($K172&lt;&gt;"a",$K172&lt;&gt;"b",$K172&lt;&gt;"g",$K172&lt;&gt;"k")),1,IF(AND($E172&lt;&gt;0,$F172&gt;0,YEAR($F172)&lt;Preisindex!$A$6,YEAR(CU$4)&gt;=YEAR($F172),$K172="a"),ROUND(VLOOKUP(CZ$4,Preisindex,5,FALSE)/VLOOKUP(Preisindex!$A$6,Preisindex,5,FALSE),2),IF(AND($E172&lt;&gt;0,$F172&gt;0,YEAR($F172)&lt;Preisindex!$A$6,YEAR(CU$4)&gt;=YEAR($F172),$K172="b"),ROUND(VLOOKUP(CZ$4,Preisindex,3,FALSE)/VLOOKUP(Preisindex!$A$6,Preisindex,3,FALSE),2),IF(AND($E172&lt;&gt;0,$F172&gt;0,YEAR($F172)&lt;Preisindex!$A$6,YEAR(CU$4)&gt;=YEAR($F172),$K172="g"),ROUND(VLOOKUP(CZ$4,Preisindex,4,FALSE)/VLOOKUP(Preisindex!$A$6,Preisindex,4,FALSE),2),IF(AND($E172&lt;&gt;0,$F172&gt;0,YEAR($F172)&lt;Preisindex!$A$6,YEAR(CU$4)&gt;=YEAR($F172),$K172="k"),ROUND(VLOOKUP(CZ$4,Preisindex,2,FALSE)/VLOOKUP(Preisindex!$A$6,Preisindex,2,FALSE),2),0)))))</f>
        <v>0</v>
      </c>
      <c r="DB172" s="51">
        <f>IF(AND($E172&lt;&gt;0,$F172&gt;0,YEAR($F172)&lt;=CZ$4,YEAR($F172)&gt;=Preisindex!$A$6),ROUND($E172*CZ172,2),IF(AND($E172&lt;&gt;0,$F172&gt;0,YEAR($F172)&lt;=CZ$4,YEAR($F172)&lt;Preisindex!$A$6),ROUND($E172*DA172,2),0))</f>
        <v>0</v>
      </c>
      <c r="DC172" s="53">
        <f t="shared" si="524"/>
        <v>0</v>
      </c>
      <c r="DD172" s="51">
        <f t="shared" si="620"/>
        <v>0</v>
      </c>
      <c r="DE172" s="51">
        <f t="shared" si="599"/>
        <v>0</v>
      </c>
      <c r="DF172" s="51">
        <f t="shared" si="526"/>
        <v>0</v>
      </c>
      <c r="DG172" s="51">
        <f t="shared" si="600"/>
        <v>0</v>
      </c>
      <c r="DH172" s="51">
        <f t="shared" si="527"/>
        <v>0</v>
      </c>
      <c r="DI172" s="51">
        <f t="shared" si="601"/>
        <v>0</v>
      </c>
      <c r="DJ172" s="51">
        <f t="shared" si="528"/>
        <v>0</v>
      </c>
      <c r="DK172" s="51">
        <f t="shared" si="602"/>
        <v>0</v>
      </c>
      <c r="DL172" s="51">
        <f t="shared" si="529"/>
        <v>0</v>
      </c>
      <c r="DM172" s="51">
        <f t="shared" si="603"/>
        <v>0</v>
      </c>
      <c r="DN172" s="51">
        <f t="shared" si="530"/>
        <v>0</v>
      </c>
      <c r="DO172" s="54">
        <f t="shared" si="531"/>
        <v>0</v>
      </c>
      <c r="DP172" s="55">
        <f t="shared" si="532"/>
        <v>0</v>
      </c>
      <c r="DQ172" s="56">
        <f>IF(AND($E172&lt;&gt;0,$F172&gt;0,YEAR($F172)&gt;=Preisindex!$A$6,YEAR(DL$4)&gt;=YEAR($F172),AND($K172&lt;&gt;"a",$K172&lt;&gt;"b",$K172&lt;&gt;"g",$K172&lt;&gt;"k")),1,IF(AND($E172&lt;&gt;0,$F172&gt;0,YEAR($F172)&gt;=Preisindex!$A$6,YEAR(DL$4)&gt;=YEAR($F172),$K172="a"),ROUND(VLOOKUP(DQ$4,Preisindex,5,FALSE)/VLOOKUP(YEAR($F172),Preisindex,5,FALSE),2),IF(AND($E172&lt;&gt;0,$F172&gt;0,YEAR($F172)&gt;=Preisindex!$A$6,YEAR(DL$4)&gt;=YEAR($F172),$K172="b"),ROUND(VLOOKUP(DQ$4,Preisindex,3,FALSE)/VLOOKUP(YEAR($F172),Preisindex,3,FALSE),2),IF(AND($E172&lt;&gt;0,$F172&gt;0,YEAR($F172)&gt;=Preisindex!$A$6,YEAR(DL$4)&gt;=YEAR($F172),$K172="g"),ROUND(VLOOKUP(DQ$4,Preisindex,4,FALSE)/VLOOKUP(YEAR($F172),Preisindex,4,FALSE),2),IF(AND($E172&lt;&gt;0,$F172&gt;0,YEAR($F172)&gt;=Preisindex!$A$6,YEAR(DL$4)&gt;=YEAR($F172),$K172="k"),ROUND(VLOOKUP(DQ$4,Preisindex,2,FALSE)/VLOOKUP(YEAR($F172),Preisindex,2,FALSE),2),0)))))</f>
        <v>0</v>
      </c>
      <c r="DR172" s="56">
        <f>IF(AND($E172&lt;&gt;0,$F172&gt;0,YEAR($F172)&lt;Preisindex!$A$6,YEAR(DL$4)&gt;=YEAR($F172),AND($K172&lt;&gt;"a",$K172&lt;&gt;"b",$K172&lt;&gt;"g",$K172&lt;&gt;"k")),1,IF(AND($E172&lt;&gt;0,$F172&gt;0,YEAR($F172)&lt;Preisindex!$A$6,YEAR(DL$4)&gt;=YEAR($F172),$K172="a"),ROUND(VLOOKUP(DQ$4,Preisindex,5,FALSE)/VLOOKUP(Preisindex!$A$6,Preisindex,5,FALSE),2),IF(AND($E172&lt;&gt;0,$F172&gt;0,YEAR($F172)&lt;Preisindex!$A$6,YEAR(DL$4)&gt;=YEAR($F172),$K172="b"),ROUND(VLOOKUP(DQ$4,Preisindex,3,FALSE)/VLOOKUP(Preisindex!$A$6,Preisindex,3,FALSE),2),IF(AND($E172&lt;&gt;0,$F172&gt;0,YEAR($F172)&lt;Preisindex!$A$6,YEAR(DL$4)&gt;=YEAR($F172),$K172="g"),ROUND(VLOOKUP(DQ$4,Preisindex,4,FALSE)/VLOOKUP(Preisindex!$A$6,Preisindex,4,FALSE),2),IF(AND($E172&lt;&gt;0,$F172&gt;0,YEAR($F172)&lt;Preisindex!$A$6,YEAR(DL$4)&gt;=YEAR($F172),$K172="k"),ROUND(VLOOKUP(DQ$4,Preisindex,2,FALSE)/VLOOKUP(Preisindex!$A$6,Preisindex,2,FALSE),2),0)))))</f>
        <v>0</v>
      </c>
      <c r="DS172" s="51">
        <f>IF(AND($E172&lt;&gt;0,$F172&gt;0,YEAR($F172)&lt;=DQ$4,YEAR($F172)&gt;=Preisindex!$A$6),ROUND($E172*DQ172,2),IF(AND($E172&lt;&gt;0,$F172&gt;0,YEAR($F172)&lt;=DQ$4,YEAR($F172)&lt;Preisindex!$A$6),ROUND($E172*DR172,2),0))</f>
        <v>0</v>
      </c>
      <c r="DT172" s="53">
        <f t="shared" si="533"/>
        <v>0</v>
      </c>
      <c r="DU172" s="51">
        <f t="shared" si="620"/>
        <v>0</v>
      </c>
      <c r="DV172" s="51">
        <f t="shared" si="604"/>
        <v>0</v>
      </c>
      <c r="DW172" s="51">
        <f t="shared" si="534"/>
        <v>0</v>
      </c>
      <c r="DX172" s="51">
        <f t="shared" si="605"/>
        <v>0</v>
      </c>
      <c r="DY172" s="51">
        <f t="shared" si="535"/>
        <v>0</v>
      </c>
      <c r="DZ172" s="51">
        <f t="shared" si="606"/>
        <v>0</v>
      </c>
      <c r="EA172" s="51">
        <f t="shared" si="536"/>
        <v>0</v>
      </c>
      <c r="EB172" s="51">
        <f t="shared" si="607"/>
        <v>0</v>
      </c>
      <c r="EC172" s="51">
        <f t="shared" si="537"/>
        <v>0</v>
      </c>
      <c r="ED172" s="51">
        <f t="shared" si="608"/>
        <v>0</v>
      </c>
      <c r="EE172" s="51">
        <f t="shared" si="538"/>
        <v>0</v>
      </c>
      <c r="EF172" s="54">
        <f t="shared" si="539"/>
        <v>0</v>
      </c>
      <c r="EG172" s="55">
        <f t="shared" si="540"/>
        <v>0</v>
      </c>
      <c r="EH172" s="56">
        <f>IF(AND($E172&lt;&gt;0,$F172&gt;0,YEAR($F172)&gt;=Preisindex!$A$6,YEAR(EC$4)&gt;=YEAR($F172),AND($K172&lt;&gt;"a",$K172&lt;&gt;"b",$K172&lt;&gt;"g",$K172&lt;&gt;"k")),1,IF(AND($E172&lt;&gt;0,$F172&gt;0,YEAR($F172)&gt;=Preisindex!$A$6,YEAR(EC$4)&gt;=YEAR($F172),$K172="a"),ROUND(VLOOKUP(EH$4,Preisindex,5,FALSE)/VLOOKUP(YEAR($F172),Preisindex,5,FALSE),2),IF(AND($E172&lt;&gt;0,$F172&gt;0,YEAR($F172)&gt;=Preisindex!$A$6,YEAR(EC$4)&gt;=YEAR($F172),$K172="b"),ROUND(VLOOKUP(EH$4,Preisindex,3,FALSE)/VLOOKUP(YEAR($F172),Preisindex,3,FALSE),2),IF(AND($E172&lt;&gt;0,$F172&gt;0,YEAR($F172)&gt;=Preisindex!$A$6,YEAR(EC$4)&gt;=YEAR($F172),$K172="g"),ROUND(VLOOKUP(EH$4,Preisindex,4,FALSE)/VLOOKUP(YEAR($F172),Preisindex,4,FALSE),2),IF(AND($E172&lt;&gt;0,$F172&gt;0,YEAR($F172)&gt;=Preisindex!$A$6,YEAR(EC$4)&gt;=YEAR($F172),$K172="k"),ROUND(VLOOKUP(EH$4,Preisindex,2,FALSE)/VLOOKUP(YEAR($F172),Preisindex,2,FALSE),2),0)))))</f>
        <v>0</v>
      </c>
      <c r="EI172" s="56">
        <f>IF(AND($E172&lt;&gt;0,$F172&gt;0,YEAR($F172)&lt;Preisindex!$A$6,YEAR(EC$4)&gt;=YEAR($F172),AND($K172&lt;&gt;"a",$K172&lt;&gt;"b",$K172&lt;&gt;"g",$K172&lt;&gt;"k")),1,IF(AND($E172&lt;&gt;0,$F172&gt;0,YEAR($F172)&lt;Preisindex!$A$6,YEAR(EC$4)&gt;=YEAR($F172),$K172="a"),ROUND(VLOOKUP(EH$4,Preisindex,5,FALSE)/VLOOKUP(Preisindex!$A$6,Preisindex,5,FALSE),2),IF(AND($E172&lt;&gt;0,$F172&gt;0,YEAR($F172)&lt;Preisindex!$A$6,YEAR(EC$4)&gt;=YEAR($F172),$K172="b"),ROUND(VLOOKUP(EH$4,Preisindex,3,FALSE)/VLOOKUP(Preisindex!$A$6,Preisindex,3,FALSE),2),IF(AND($E172&lt;&gt;0,$F172&gt;0,YEAR($F172)&lt;Preisindex!$A$6,YEAR(EC$4)&gt;=YEAR($F172),$K172="g"),ROUND(VLOOKUP(EH$4,Preisindex,4,FALSE)/VLOOKUP(Preisindex!$A$6,Preisindex,4,FALSE),2),IF(AND($E172&lt;&gt;0,$F172&gt;0,YEAR($F172)&lt;Preisindex!$A$6,YEAR(EC$4)&gt;=YEAR($F172),$K172="k"),ROUND(VLOOKUP(EH$4,Preisindex,2,FALSE)/VLOOKUP(Preisindex!$A$6,Preisindex,2,FALSE),2),0)))))</f>
        <v>0</v>
      </c>
      <c r="EJ172" s="51">
        <f>IF(AND($E172&lt;&gt;0,$F172&gt;0,YEAR($F172)&lt;=EH$4,YEAR($F172)&gt;=Preisindex!$A$6),ROUND($E172*EH172,2),IF(AND($E172&lt;&gt;0,$F172&gt;0,YEAR($F172)&lt;=EH$4,YEAR($F172)&lt;Preisindex!$A$6),ROUND($E172*EI172,2),0))</f>
        <v>0</v>
      </c>
      <c r="EK172" s="53">
        <f t="shared" si="541"/>
        <v>0</v>
      </c>
      <c r="EL172" s="51">
        <f t="shared" si="620"/>
        <v>0</v>
      </c>
      <c r="EM172" s="51">
        <f t="shared" si="609"/>
        <v>0</v>
      </c>
      <c r="EN172" s="51">
        <f t="shared" si="542"/>
        <v>0</v>
      </c>
      <c r="EO172" s="51">
        <f t="shared" si="610"/>
        <v>0</v>
      </c>
      <c r="EP172" s="51">
        <f t="shared" si="543"/>
        <v>0</v>
      </c>
      <c r="EQ172" s="51">
        <f t="shared" si="611"/>
        <v>0</v>
      </c>
      <c r="ER172" s="51">
        <f t="shared" si="544"/>
        <v>0</v>
      </c>
      <c r="ES172" s="51">
        <f t="shared" si="612"/>
        <v>0</v>
      </c>
      <c r="ET172" s="51">
        <f t="shared" si="545"/>
        <v>0</v>
      </c>
      <c r="EU172" s="51">
        <f t="shared" si="613"/>
        <v>0</v>
      </c>
      <c r="EV172" s="51">
        <f t="shared" si="546"/>
        <v>0</v>
      </c>
      <c r="EW172" s="54">
        <f t="shared" si="547"/>
        <v>0</v>
      </c>
      <c r="EX172" s="55">
        <f t="shared" si="548"/>
        <v>0</v>
      </c>
      <c r="EY172" s="56">
        <f>IF(AND($E172&lt;&gt;0,$F172&gt;0,YEAR($F172)&gt;=Preisindex!$A$6,YEAR(ET$4)&gt;=YEAR($F172),AND($K172&lt;&gt;"a",$K172&lt;&gt;"b",$K172&lt;&gt;"g",$K172&lt;&gt;"k")),1,IF(AND($E172&lt;&gt;0,$F172&gt;0,YEAR($F172)&gt;=Preisindex!$A$6,YEAR(ET$4)&gt;=YEAR($F172),$K172="a"),ROUND(VLOOKUP(EY$4,Preisindex,5,FALSE)/VLOOKUP(YEAR($F172),Preisindex,5,FALSE),2),IF(AND($E172&lt;&gt;0,$F172&gt;0,YEAR($F172)&gt;=Preisindex!$A$6,YEAR(ET$4)&gt;=YEAR($F172),$K172="b"),ROUND(VLOOKUP(EY$4,Preisindex,3,FALSE)/VLOOKUP(YEAR($F172),Preisindex,3,FALSE),2),IF(AND($E172&lt;&gt;0,$F172&gt;0,YEAR($F172)&gt;=Preisindex!$A$6,YEAR(ET$4)&gt;=YEAR($F172),$K172="g"),ROUND(VLOOKUP(EY$4,Preisindex,4,FALSE)/VLOOKUP(YEAR($F172),Preisindex,4,FALSE),2),IF(AND($E172&lt;&gt;0,$F172&gt;0,YEAR($F172)&gt;=Preisindex!$A$6,YEAR(ET$4)&gt;=YEAR($F172),$K172="k"),ROUND(VLOOKUP(EY$4,Preisindex,2,FALSE)/VLOOKUP(YEAR($F172),Preisindex,2,FALSE),2),0)))))</f>
        <v>0</v>
      </c>
      <c r="EZ172" s="56">
        <f>IF(AND($E172&lt;&gt;0,$F172&gt;0,YEAR($F172)&lt;Preisindex!$A$6,YEAR(ET$4)&gt;=YEAR($F172),AND($K172&lt;&gt;"a",$K172&lt;&gt;"b",$K172&lt;&gt;"g",$K172&lt;&gt;"k")),1,IF(AND($E172&lt;&gt;0,$F172&gt;0,YEAR($F172)&lt;Preisindex!$A$6,YEAR(ET$4)&gt;=YEAR($F172),$K172="a"),ROUND(VLOOKUP(EY$4,Preisindex,5,FALSE)/VLOOKUP(Preisindex!$A$6,Preisindex,5,FALSE),2),IF(AND($E172&lt;&gt;0,$F172&gt;0,YEAR($F172)&lt;Preisindex!$A$6,YEAR(ET$4)&gt;=YEAR($F172),$K172="b"),ROUND(VLOOKUP(EY$4,Preisindex,3,FALSE)/VLOOKUP(Preisindex!$A$6,Preisindex,3,FALSE),2),IF(AND($E172&lt;&gt;0,$F172&gt;0,YEAR($F172)&lt;Preisindex!$A$6,YEAR(ET$4)&gt;=YEAR($F172),$K172="g"),ROUND(VLOOKUP(EY$4,Preisindex,4,FALSE)/VLOOKUP(Preisindex!$A$6,Preisindex,4,FALSE),2),IF(AND($E172&lt;&gt;0,$F172&gt;0,YEAR($F172)&lt;Preisindex!$A$6,YEAR(ET$4)&gt;=YEAR($F172),$K172="k"),ROUND(VLOOKUP(EY$4,Preisindex,2,FALSE)/VLOOKUP(Preisindex!$A$6,Preisindex,2,FALSE),2),0)))))</f>
        <v>0</v>
      </c>
      <c r="FA172" s="51">
        <f>IF(AND($E172&lt;&gt;0,$F172&gt;0,YEAR($F172)&lt;=EY$4,YEAR($F172)&gt;=Preisindex!$A$6),ROUND($E172*EY172,2),IF(AND($E172&lt;&gt;0,$F172&gt;0,YEAR($F172)&lt;=EY$4,YEAR($F172)&lt;Preisindex!$A$6),ROUND($E172*EZ172,2),0))</f>
        <v>0</v>
      </c>
      <c r="FB172" s="53">
        <f t="shared" si="549"/>
        <v>0</v>
      </c>
      <c r="FC172" s="51">
        <f t="shared" si="620"/>
        <v>0</v>
      </c>
      <c r="FD172" s="51">
        <f t="shared" si="614"/>
        <v>0</v>
      </c>
      <c r="FE172" s="51">
        <f t="shared" si="550"/>
        <v>0</v>
      </c>
      <c r="FF172" s="51">
        <f t="shared" si="615"/>
        <v>0</v>
      </c>
      <c r="FG172" s="51">
        <f t="shared" si="551"/>
        <v>0</v>
      </c>
      <c r="FH172" s="51">
        <f t="shared" si="616"/>
        <v>0</v>
      </c>
      <c r="FI172" s="51">
        <f t="shared" si="552"/>
        <v>0</v>
      </c>
      <c r="FJ172" s="51">
        <f t="shared" si="617"/>
        <v>0</v>
      </c>
      <c r="FK172" s="51">
        <f t="shared" si="553"/>
        <v>0</v>
      </c>
      <c r="FL172" s="51">
        <f t="shared" si="618"/>
        <v>0</v>
      </c>
      <c r="FM172" s="51">
        <f t="shared" si="554"/>
        <v>0</v>
      </c>
      <c r="FN172" s="54">
        <f t="shared" si="555"/>
        <v>0</v>
      </c>
      <c r="FO172" s="55">
        <f t="shared" si="556"/>
        <v>0</v>
      </c>
      <c r="FP172" s="56">
        <f>IF(AND($E172&lt;&gt;0,$F172&gt;0,YEAR($F172)&gt;=Preisindex!$A$6,YEAR(FK$4)&gt;=YEAR($F172),AND($K172&lt;&gt;"a",$K172&lt;&gt;"b",$K172&lt;&gt;"g",$K172&lt;&gt;"k")),1,IF(AND($E172&lt;&gt;0,$F172&gt;0,YEAR($F172)&gt;=Preisindex!$A$6,YEAR(FK$4)&gt;=YEAR($F172),$K172="a"),ROUND(VLOOKUP(FP$4,Preisindex,5,FALSE)/VLOOKUP(YEAR($F172),Preisindex,5,FALSE),2),IF(AND($E172&lt;&gt;0,$F172&gt;0,YEAR($F172)&gt;=Preisindex!$A$6,YEAR(FK$4)&gt;=YEAR($F172),$K172="b"),ROUND(VLOOKUP(FP$4,Preisindex,3,FALSE)/VLOOKUP(YEAR($F172),Preisindex,3,FALSE),2),IF(AND($E172&lt;&gt;0,$F172&gt;0,YEAR($F172)&gt;=Preisindex!$A$6,YEAR(FK$4)&gt;=YEAR($F172),$K172="g"),ROUND(VLOOKUP(FP$4,Preisindex,4,FALSE)/VLOOKUP(YEAR($F172),Preisindex,4,FALSE),2),IF(AND($E172&lt;&gt;0,$F172&gt;0,YEAR($F172)&gt;=Preisindex!$A$6,YEAR(FK$4)&gt;=YEAR($F172),$K172="k"),ROUND(VLOOKUP(FP$4,Preisindex,2,FALSE)/VLOOKUP(YEAR($F172),Preisindex,2,FALSE),2),0)))))</f>
        <v>0</v>
      </c>
      <c r="FQ172" s="56">
        <f>IF(AND($E172&lt;&gt;0,$F172&gt;0,YEAR($F172)&lt;Preisindex!$A$6,YEAR(FK$4)&gt;=YEAR($F172),AND($K172&lt;&gt;"a",$K172&lt;&gt;"b",$K172&lt;&gt;"g",$K172&lt;&gt;"k")),1,IF(AND($E172&lt;&gt;0,$F172&gt;0,YEAR($F172)&lt;Preisindex!$A$6,YEAR(FK$4)&gt;=YEAR($F172),$K172="a"),ROUND(VLOOKUP(FP$4,Preisindex,5,FALSE)/VLOOKUP(Preisindex!$A$6,Preisindex,5,FALSE),2),IF(AND($E172&lt;&gt;0,$F172&gt;0,YEAR($F172)&lt;Preisindex!$A$6,YEAR(FK$4)&gt;=YEAR($F172),$K172="b"),ROUND(VLOOKUP(FP$4,Preisindex,3,FALSE)/VLOOKUP(Preisindex!$A$6,Preisindex,3,FALSE),2),IF(AND($E172&lt;&gt;0,$F172&gt;0,YEAR($F172)&lt;Preisindex!$A$6,YEAR(FK$4)&gt;=YEAR($F172),$K172="g"),ROUND(VLOOKUP(FP$4,Preisindex,4,FALSE)/VLOOKUP(Preisindex!$A$6,Preisindex,4,FALSE),2),IF(AND($E172&lt;&gt;0,$F172&gt;0,YEAR($F172)&lt;Preisindex!$A$6,YEAR(FK$4)&gt;=YEAR($F172),$K172="k"),ROUND(VLOOKUP(FP$4,Preisindex,2,FALSE)/VLOOKUP(Preisindex!$A$6,Preisindex,2,FALSE),2),0)))))</f>
        <v>0</v>
      </c>
      <c r="FR172" s="51">
        <f>IF(AND($E172&lt;&gt;0,$F172&gt;0,YEAR($F172)&lt;=FP$4,YEAR($F172)&gt;=Preisindex!$A$6),ROUND($E172*FP172,2),IF(AND($E172&lt;&gt;0,$F172&gt;0,YEAR($F172)&lt;=FP$4,YEAR($F172)&lt;Preisindex!$A$6),ROUND($E172*FQ172,2),0))</f>
        <v>0</v>
      </c>
      <c r="FS172" s="53">
        <f t="shared" si="557"/>
        <v>0</v>
      </c>
    </row>
    <row r="173" spans="1:175" x14ac:dyDescent="0.3">
      <c r="A173" s="93"/>
      <c r="B173" s="94"/>
      <c r="C173" s="94"/>
      <c r="D173" s="95"/>
      <c r="E173" s="99"/>
      <c r="F173" s="97"/>
      <c r="G173" s="98"/>
      <c r="H173" s="620"/>
      <c r="I173" s="621"/>
      <c r="J173" s="194"/>
      <c r="K173" s="630"/>
      <c r="L173" s="49">
        <f t="shared" si="558"/>
        <v>0</v>
      </c>
      <c r="M173" s="50">
        <f t="shared" si="559"/>
        <v>0</v>
      </c>
      <c r="N173" s="51">
        <f t="shared" si="560"/>
        <v>0</v>
      </c>
      <c r="O173" s="51"/>
      <c r="P173" s="51">
        <f t="shared" si="561"/>
        <v>0</v>
      </c>
      <c r="Q173" s="52"/>
      <c r="R173" s="52"/>
      <c r="S173" s="52"/>
      <c r="T173" s="52"/>
      <c r="U173" s="52"/>
      <c r="V173" s="53">
        <f t="shared" si="562"/>
        <v>0</v>
      </c>
      <c r="W173" s="51">
        <f t="shared" si="563"/>
        <v>0</v>
      </c>
      <c r="X173" s="51">
        <f t="shared" si="564"/>
        <v>0</v>
      </c>
      <c r="Y173" s="51">
        <f t="shared" si="565"/>
        <v>0</v>
      </c>
      <c r="Z173" s="51">
        <f t="shared" si="566"/>
        <v>0</v>
      </c>
      <c r="AA173" s="51">
        <f t="shared" si="567"/>
        <v>0</v>
      </c>
      <c r="AB173" s="51">
        <f t="shared" si="568"/>
        <v>0</v>
      </c>
      <c r="AC173" s="51">
        <f t="shared" si="569"/>
        <v>0</v>
      </c>
      <c r="AD173" s="51">
        <f t="shared" si="570"/>
        <v>0</v>
      </c>
      <c r="AE173" s="51">
        <f t="shared" si="571"/>
        <v>0</v>
      </c>
      <c r="AF173" s="51">
        <f t="shared" si="572"/>
        <v>0</v>
      </c>
      <c r="AG173" s="51">
        <f t="shared" si="573"/>
        <v>0</v>
      </c>
      <c r="AH173" s="54">
        <f t="shared" si="574"/>
        <v>0</v>
      </c>
      <c r="AI173" s="55">
        <f t="shared" si="575"/>
        <v>0</v>
      </c>
      <c r="AJ173" s="56">
        <f>IF(AND($E173&lt;&gt;0,$F173&gt;0,YEAR($F173)&gt;=Preisindex!$A$6,YEAR(AE$4)&gt;=YEAR($F173),AND($K173&lt;&gt;"a",$K173&lt;&gt;"b",$K173&lt;&gt;"g",$K173&lt;&gt;"k")),1,IF(AND($E173&lt;&gt;0,$F173&gt;0,YEAR($F173)&gt;=Preisindex!$A$6,YEAR(AE$4)&gt;=YEAR($F173),$K173="a"),ROUND(VLOOKUP(AJ$4,Preisindex,5,FALSE)/VLOOKUP(YEAR($F173),Preisindex,5,FALSE),2),IF(AND($E173&lt;&gt;0,$F173&gt;0,YEAR($F173)&gt;=Preisindex!$A$6,YEAR(AE$4)&gt;=YEAR($F173),$K173="b"),ROUND(VLOOKUP(AJ$4,Preisindex,3,FALSE)/VLOOKUP(YEAR($F173),Preisindex,3,FALSE),2),IF(AND($E173&lt;&gt;0,$F173&gt;0,YEAR($F173)&gt;=Preisindex!$A$6,YEAR(AE$4)&gt;=YEAR($F173),$K173="g"),ROUND(VLOOKUP(AJ$4,Preisindex,4,FALSE)/VLOOKUP(YEAR($F173),Preisindex,4,FALSE),2),IF(AND($E173&lt;&gt;0,$F173&gt;0,YEAR($F173)&gt;=Preisindex!$A$6,YEAR(AE$4)&gt;=YEAR($F173),$K173="k"),ROUND(VLOOKUP(AJ$4,Preisindex,2,FALSE)/VLOOKUP(YEAR($F173),Preisindex,2,FALSE),2),0)))))</f>
        <v>0</v>
      </c>
      <c r="AK173" s="56">
        <f>IF(AND($E173&lt;&gt;0,$F173&gt;0,YEAR($F173)&lt;Preisindex!$A$6,YEAR(AE$4)&gt;=YEAR($F173),AND($K173&lt;&gt;"a",$K173&lt;&gt;"b",$K173&lt;&gt;"g",$K173&lt;&gt;"k")),1,IF(AND($E173&lt;&gt;0,$F173&gt;0,YEAR($F173)&lt;Preisindex!$A$6,YEAR(AE$4)&gt;=YEAR($F173),$K173="a"),ROUND(VLOOKUP(AJ$4,Preisindex,5,FALSE)/VLOOKUP(Preisindex!$A$6,Preisindex,5,FALSE),2),IF(AND($E173&lt;&gt;0,$F173&gt;0,YEAR($F173)&lt;Preisindex!$A$6,YEAR(AE$4)&gt;=YEAR($F173),$K173="b"),ROUND(VLOOKUP(AJ$4,Preisindex,3,FALSE)/VLOOKUP(Preisindex!$A$6,Preisindex,3,FALSE),2),IF(AND($E173&lt;&gt;0,$F173&gt;0,YEAR($F173)&lt;Preisindex!$A$6,YEAR(AE$4)&gt;=YEAR($F173),$K173="g"),ROUND(VLOOKUP(AJ$4,Preisindex,4,FALSE)/VLOOKUP(Preisindex!$A$6,Preisindex,4,FALSE),2),IF(AND($E173&lt;&gt;0,$F173&gt;0,YEAR($F173)&lt;Preisindex!$A$6,YEAR(AE$4)&gt;=YEAR($F173),$K173="k"),ROUND(VLOOKUP(AJ$4,Preisindex,2,FALSE)/VLOOKUP(Preisindex!$A$6,Preisindex,2,FALSE),2),0)))))</f>
        <v>0</v>
      </c>
      <c r="AL173" s="51">
        <f>IF(AND($E173&lt;&gt;0,$F173&gt;0,YEAR($F173)&lt;=AJ$4,YEAR($F173)&gt;=Preisindex!$A$6),ROUND($E173*AJ173,2),IF(AND($E173&lt;&gt;0,$F173&gt;0,YEAR($F173)&lt;=AJ$4,YEAR($F173)&lt;Preisindex!$A$6),ROUND($E173*AK173,2),0))</f>
        <v>0</v>
      </c>
      <c r="AM173" s="53">
        <f t="shared" si="576"/>
        <v>0</v>
      </c>
      <c r="AN173" s="51">
        <f t="shared" si="619"/>
        <v>0</v>
      </c>
      <c r="AO173" s="51">
        <f t="shared" si="579"/>
        <v>0</v>
      </c>
      <c r="AP173" s="51">
        <f t="shared" si="493"/>
        <v>0</v>
      </c>
      <c r="AQ173" s="51">
        <f t="shared" si="580"/>
        <v>0</v>
      </c>
      <c r="AR173" s="51">
        <f t="shared" si="494"/>
        <v>0</v>
      </c>
      <c r="AS173" s="51">
        <f t="shared" si="581"/>
        <v>0</v>
      </c>
      <c r="AT173" s="51">
        <f t="shared" si="495"/>
        <v>0</v>
      </c>
      <c r="AU173" s="51">
        <f t="shared" si="582"/>
        <v>0</v>
      </c>
      <c r="AV173" s="51">
        <f t="shared" si="496"/>
        <v>0</v>
      </c>
      <c r="AW173" s="51">
        <f t="shared" si="583"/>
        <v>0</v>
      </c>
      <c r="AX173" s="51">
        <f t="shared" si="497"/>
        <v>0</v>
      </c>
      <c r="AY173" s="54">
        <f t="shared" si="498"/>
        <v>0</v>
      </c>
      <c r="AZ173" s="55">
        <f t="shared" si="499"/>
        <v>0</v>
      </c>
      <c r="BA173" s="56">
        <f>IF(AND($E173&lt;&gt;0,$F173&gt;0,YEAR($F173)&gt;=Preisindex!$A$6,YEAR(AV$4)&gt;=YEAR($F173),AND($K173&lt;&gt;"a",$K173&lt;&gt;"b",$K173&lt;&gt;"g",$K173&lt;&gt;"k")),1,IF(AND($E173&lt;&gt;0,$F173&gt;0,YEAR($F173)&gt;=Preisindex!$A$6,YEAR(AV$4)&gt;=YEAR($F173),$K173="a"),ROUND(VLOOKUP(BA$4,Preisindex,5,FALSE)/VLOOKUP(YEAR($F173),Preisindex,5,FALSE),2),IF(AND($E173&lt;&gt;0,$F173&gt;0,YEAR($F173)&gt;=Preisindex!$A$6,YEAR(AV$4)&gt;=YEAR($F173),$K173="b"),ROUND(VLOOKUP(BA$4,Preisindex,3,FALSE)/VLOOKUP(YEAR($F173),Preisindex,3,FALSE),2),IF(AND($E173&lt;&gt;0,$F173&gt;0,YEAR($F173)&gt;=Preisindex!$A$6,YEAR(AV$4)&gt;=YEAR($F173),$K173="g"),ROUND(VLOOKUP(BA$4,Preisindex,4,FALSE)/VLOOKUP(YEAR($F173),Preisindex,4,FALSE),2),IF(AND($E173&lt;&gt;0,$F173&gt;0,YEAR($F173)&gt;=Preisindex!$A$6,YEAR(AV$4)&gt;=YEAR($F173),$K173="k"),ROUND(VLOOKUP(BA$4,Preisindex,2,FALSE)/VLOOKUP(YEAR($F173),Preisindex,2,FALSE),2),0)))))</f>
        <v>0</v>
      </c>
      <c r="BB173" s="56">
        <f>IF(AND($E173&lt;&gt;0,$F173&gt;0,YEAR($F173)&lt;Preisindex!$A$6,YEAR(AV$4)&gt;=YEAR($F173),AND($K173&lt;&gt;"a",$K173&lt;&gt;"b",$K173&lt;&gt;"g",$K173&lt;&gt;"k")),1,IF(AND($E173&lt;&gt;0,$F173&gt;0,YEAR($F173)&lt;Preisindex!$A$6,YEAR(AV$4)&gt;=YEAR($F173),$K173="a"),ROUND(VLOOKUP(BA$4,Preisindex,5,FALSE)/VLOOKUP(Preisindex!$A$6,Preisindex,5,FALSE),2),IF(AND($E173&lt;&gt;0,$F173&gt;0,YEAR($F173)&lt;Preisindex!$A$6,YEAR(AV$4)&gt;=YEAR($F173),$K173="b"),ROUND(VLOOKUP(BA$4,Preisindex,3,FALSE)/VLOOKUP(Preisindex!$A$6,Preisindex,3,FALSE),2),IF(AND($E173&lt;&gt;0,$F173&gt;0,YEAR($F173)&lt;Preisindex!$A$6,YEAR(AV$4)&gt;=YEAR($F173),$K173="g"),ROUND(VLOOKUP(BA$4,Preisindex,4,FALSE)/VLOOKUP(Preisindex!$A$6,Preisindex,4,FALSE),2),IF(AND($E173&lt;&gt;0,$F173&gt;0,YEAR($F173)&lt;Preisindex!$A$6,YEAR(AV$4)&gt;=YEAR($F173),$K173="k"),ROUND(VLOOKUP(BA$4,Preisindex,2,FALSE)/VLOOKUP(Preisindex!$A$6,Preisindex,2,FALSE),2),0)))))</f>
        <v>0</v>
      </c>
      <c r="BC173" s="51">
        <f>IF(AND($E173&lt;&gt;0,$F173&gt;0,YEAR($F173)&lt;=BA$4,YEAR($F173)&gt;=Preisindex!$A$6),ROUND($E173*BA173,2),IF(AND($E173&lt;&gt;0,$F173&gt;0,YEAR($F173)&lt;=BA$4,YEAR($F173)&lt;Preisindex!$A$6),ROUND($E173*BB173,2),0))</f>
        <v>0</v>
      </c>
      <c r="BD173" s="53">
        <f t="shared" si="500"/>
        <v>0</v>
      </c>
      <c r="BE173" s="51">
        <f t="shared" si="619"/>
        <v>0</v>
      </c>
      <c r="BF173" s="51">
        <f t="shared" si="584"/>
        <v>0</v>
      </c>
      <c r="BG173" s="51">
        <f t="shared" si="501"/>
        <v>0</v>
      </c>
      <c r="BH173" s="51">
        <f t="shared" si="585"/>
        <v>0</v>
      </c>
      <c r="BI173" s="51">
        <f t="shared" si="502"/>
        <v>0</v>
      </c>
      <c r="BJ173" s="51">
        <f t="shared" si="586"/>
        <v>0</v>
      </c>
      <c r="BK173" s="51">
        <f t="shared" si="503"/>
        <v>0</v>
      </c>
      <c r="BL173" s="51">
        <f t="shared" si="587"/>
        <v>0</v>
      </c>
      <c r="BM173" s="51">
        <f t="shared" si="504"/>
        <v>0</v>
      </c>
      <c r="BN173" s="51">
        <f t="shared" si="588"/>
        <v>0</v>
      </c>
      <c r="BO173" s="51">
        <f t="shared" si="505"/>
        <v>0</v>
      </c>
      <c r="BP173" s="54">
        <f t="shared" si="506"/>
        <v>0</v>
      </c>
      <c r="BQ173" s="55">
        <f t="shared" si="507"/>
        <v>0</v>
      </c>
      <c r="BR173" s="56">
        <f>IF(AND($E173&lt;&gt;0,$F173&gt;0,YEAR($F173)&gt;=Preisindex!$A$6,YEAR(BM$4)&gt;=YEAR($F173),AND($K173&lt;&gt;"a",$K173&lt;&gt;"b",$K173&lt;&gt;"g",$K173&lt;&gt;"k")),1,IF(AND($E173&lt;&gt;0,$F173&gt;0,YEAR($F173)&gt;=Preisindex!$A$6,YEAR(BM$4)&gt;=YEAR($F173),$K173="a"),ROUND(VLOOKUP(BR$4,Preisindex,5,FALSE)/VLOOKUP(YEAR($F173),Preisindex,5,FALSE),2),IF(AND($E173&lt;&gt;0,$F173&gt;0,YEAR($F173)&gt;=Preisindex!$A$6,YEAR(BM$4)&gt;=YEAR($F173),$K173="b"),ROUND(VLOOKUP(BR$4,Preisindex,3,FALSE)/VLOOKUP(YEAR($F173),Preisindex,3,FALSE),2),IF(AND($E173&lt;&gt;0,$F173&gt;0,YEAR($F173)&gt;=Preisindex!$A$6,YEAR(BM$4)&gt;=YEAR($F173),$K173="g"),ROUND(VLOOKUP(BR$4,Preisindex,4,FALSE)/VLOOKUP(YEAR($F173),Preisindex,4,FALSE),2),IF(AND($E173&lt;&gt;0,$F173&gt;0,YEAR($F173)&gt;=Preisindex!$A$6,YEAR(BM$4)&gt;=YEAR($F173),$K173="k"),ROUND(VLOOKUP(BR$4,Preisindex,2,FALSE)/VLOOKUP(YEAR($F173),Preisindex,2,FALSE),2),0)))))</f>
        <v>0</v>
      </c>
      <c r="BS173" s="56">
        <f>IF(AND($E173&lt;&gt;0,$F173&gt;0,YEAR($F173)&lt;Preisindex!$A$6,YEAR(BM$4)&gt;=YEAR($F173),AND($K173&lt;&gt;"a",$K173&lt;&gt;"b",$K173&lt;&gt;"g",$K173&lt;&gt;"k")),1,IF(AND($E173&lt;&gt;0,$F173&gt;0,YEAR($F173)&lt;Preisindex!$A$6,YEAR(BM$4)&gt;=YEAR($F173),$K173="a"),ROUND(VLOOKUP(BR$4,Preisindex,5,FALSE)/VLOOKUP(Preisindex!$A$6,Preisindex,5,FALSE),2),IF(AND($E173&lt;&gt;0,$F173&gt;0,YEAR($F173)&lt;Preisindex!$A$6,YEAR(BM$4)&gt;=YEAR($F173),$K173="b"),ROUND(VLOOKUP(BR$4,Preisindex,3,FALSE)/VLOOKUP(Preisindex!$A$6,Preisindex,3,FALSE),2),IF(AND($E173&lt;&gt;0,$F173&gt;0,YEAR($F173)&lt;Preisindex!$A$6,YEAR(BM$4)&gt;=YEAR($F173),$K173="g"),ROUND(VLOOKUP(BR$4,Preisindex,4,FALSE)/VLOOKUP(Preisindex!$A$6,Preisindex,4,FALSE),2),IF(AND($E173&lt;&gt;0,$F173&gt;0,YEAR($F173)&lt;Preisindex!$A$6,YEAR(BM$4)&gt;=YEAR($F173),$K173="k"),ROUND(VLOOKUP(BR$4,Preisindex,2,FALSE)/VLOOKUP(Preisindex!$A$6,Preisindex,2,FALSE),2),0)))))</f>
        <v>0</v>
      </c>
      <c r="BT173" s="51">
        <f>IF(AND($E173&lt;&gt;0,$F173&gt;0,YEAR($F173)&lt;=BR$4,YEAR($F173)&gt;=Preisindex!$A$6),ROUND($E173*BR173,2),IF(AND($E173&lt;&gt;0,$F173&gt;0,YEAR($F173)&lt;=BR$4,YEAR($F173)&lt;Preisindex!$A$6),ROUND($E173*BS173,2),0))</f>
        <v>0</v>
      </c>
      <c r="BU173" s="53">
        <f t="shared" si="508"/>
        <v>0</v>
      </c>
      <c r="BV173" s="51">
        <f t="shared" si="619"/>
        <v>0</v>
      </c>
      <c r="BW173" s="51">
        <f t="shared" si="589"/>
        <v>0</v>
      </c>
      <c r="BX173" s="51">
        <f t="shared" si="509"/>
        <v>0</v>
      </c>
      <c r="BY173" s="51">
        <f t="shared" si="590"/>
        <v>0</v>
      </c>
      <c r="BZ173" s="51">
        <f t="shared" si="510"/>
        <v>0</v>
      </c>
      <c r="CA173" s="51">
        <f t="shared" si="591"/>
        <v>0</v>
      </c>
      <c r="CB173" s="51">
        <f t="shared" si="511"/>
        <v>0</v>
      </c>
      <c r="CC173" s="51">
        <f t="shared" si="592"/>
        <v>0</v>
      </c>
      <c r="CD173" s="51">
        <f t="shared" si="512"/>
        <v>0</v>
      </c>
      <c r="CE173" s="51">
        <f t="shared" si="593"/>
        <v>0</v>
      </c>
      <c r="CF173" s="51">
        <f t="shared" si="513"/>
        <v>0</v>
      </c>
      <c r="CG173" s="54">
        <f t="shared" si="514"/>
        <v>0</v>
      </c>
      <c r="CH173" s="55">
        <f t="shared" si="515"/>
        <v>0</v>
      </c>
      <c r="CI173" s="56">
        <f>IF(AND($E173&lt;&gt;0,$F173&gt;0,YEAR($F173)&gt;=Preisindex!$A$6,YEAR(CD$4)&gt;=YEAR($F173),AND($K173&lt;&gt;"a",$K173&lt;&gt;"b",$K173&lt;&gt;"g",$K173&lt;&gt;"k")),1,IF(AND($E173&lt;&gt;0,$F173&gt;0,YEAR($F173)&gt;=Preisindex!$A$6,YEAR(CD$4)&gt;=YEAR($F173),$K173="a"),ROUND(VLOOKUP(CI$4,Preisindex,5,FALSE)/VLOOKUP(YEAR($F173),Preisindex,5,FALSE),2),IF(AND($E173&lt;&gt;0,$F173&gt;0,YEAR($F173)&gt;=Preisindex!$A$6,YEAR(CD$4)&gt;=YEAR($F173),$K173="b"),ROUND(VLOOKUP(CI$4,Preisindex,3,FALSE)/VLOOKUP(YEAR($F173),Preisindex,3,FALSE),2),IF(AND($E173&lt;&gt;0,$F173&gt;0,YEAR($F173)&gt;=Preisindex!$A$6,YEAR(CD$4)&gt;=YEAR($F173),$K173="g"),ROUND(VLOOKUP(CI$4,Preisindex,4,FALSE)/VLOOKUP(YEAR($F173),Preisindex,4,FALSE),2),IF(AND($E173&lt;&gt;0,$F173&gt;0,YEAR($F173)&gt;=Preisindex!$A$6,YEAR(CD$4)&gt;=YEAR($F173),$K173="k"),ROUND(VLOOKUP(CI$4,Preisindex,2,FALSE)/VLOOKUP(YEAR($F173),Preisindex,2,FALSE),2),0)))))</f>
        <v>0</v>
      </c>
      <c r="CJ173" s="56">
        <f>IF(AND($E173&lt;&gt;0,$F173&gt;0,YEAR($F173)&lt;Preisindex!$A$6,YEAR(CD$4)&gt;=YEAR($F173),AND($K173&lt;&gt;"a",$K173&lt;&gt;"b",$K173&lt;&gt;"g",$K173&lt;&gt;"k")),1,IF(AND($E173&lt;&gt;0,$F173&gt;0,YEAR($F173)&lt;Preisindex!$A$6,YEAR(CD$4)&gt;=YEAR($F173),$K173="a"),ROUND(VLOOKUP(CI$4,Preisindex,5,FALSE)/VLOOKUP(Preisindex!$A$6,Preisindex,5,FALSE),2),IF(AND($E173&lt;&gt;0,$F173&gt;0,YEAR($F173)&lt;Preisindex!$A$6,YEAR(CD$4)&gt;=YEAR($F173),$K173="b"),ROUND(VLOOKUP(CI$4,Preisindex,3,FALSE)/VLOOKUP(Preisindex!$A$6,Preisindex,3,FALSE),2),IF(AND($E173&lt;&gt;0,$F173&gt;0,YEAR($F173)&lt;Preisindex!$A$6,YEAR(CD$4)&gt;=YEAR($F173),$K173="g"),ROUND(VLOOKUP(CI$4,Preisindex,4,FALSE)/VLOOKUP(Preisindex!$A$6,Preisindex,4,FALSE),2),IF(AND($E173&lt;&gt;0,$F173&gt;0,YEAR($F173)&lt;Preisindex!$A$6,YEAR(CD$4)&gt;=YEAR($F173),$K173="k"),ROUND(VLOOKUP(CI$4,Preisindex,2,FALSE)/VLOOKUP(Preisindex!$A$6,Preisindex,2,FALSE),2),0)))))</f>
        <v>0</v>
      </c>
      <c r="CK173" s="51">
        <f>IF(AND($E173&lt;&gt;0,$F173&gt;0,YEAR($F173)&lt;=CI$4,YEAR($F173)&gt;=Preisindex!$A$6),ROUND($E173*CI173,2),IF(AND($E173&lt;&gt;0,$F173&gt;0,YEAR($F173)&lt;=CI$4,YEAR($F173)&lt;Preisindex!$A$6),ROUND($E173*CJ173,2),0))</f>
        <v>0</v>
      </c>
      <c r="CL173" s="53">
        <f t="shared" si="516"/>
        <v>0</v>
      </c>
      <c r="CM173" s="51">
        <f t="shared" si="619"/>
        <v>0</v>
      </c>
      <c r="CN173" s="51">
        <f t="shared" si="594"/>
        <v>0</v>
      </c>
      <c r="CO173" s="51">
        <f t="shared" si="517"/>
        <v>0</v>
      </c>
      <c r="CP173" s="51">
        <f t="shared" si="595"/>
        <v>0</v>
      </c>
      <c r="CQ173" s="51">
        <f t="shared" si="518"/>
        <v>0</v>
      </c>
      <c r="CR173" s="51">
        <f t="shared" si="596"/>
        <v>0</v>
      </c>
      <c r="CS173" s="51">
        <f t="shared" si="519"/>
        <v>0</v>
      </c>
      <c r="CT173" s="51">
        <f t="shared" si="597"/>
        <v>0</v>
      </c>
      <c r="CU173" s="51">
        <f t="shared" si="520"/>
        <v>0</v>
      </c>
      <c r="CV173" s="51">
        <f t="shared" si="598"/>
        <v>0</v>
      </c>
      <c r="CW173" s="51">
        <f t="shared" si="521"/>
        <v>0</v>
      </c>
      <c r="CX173" s="54">
        <f t="shared" si="522"/>
        <v>0</v>
      </c>
      <c r="CY173" s="55">
        <f t="shared" si="523"/>
        <v>0</v>
      </c>
      <c r="CZ173" s="56">
        <f>IF(AND($E173&lt;&gt;0,$F173&gt;0,YEAR($F173)&gt;=Preisindex!$A$6,YEAR(CU$4)&gt;=YEAR($F173),AND($K173&lt;&gt;"a",$K173&lt;&gt;"b",$K173&lt;&gt;"g",$K173&lt;&gt;"k")),1,IF(AND($E173&lt;&gt;0,$F173&gt;0,YEAR($F173)&gt;=Preisindex!$A$6,YEAR(CU$4)&gt;=YEAR($F173),$K173="a"),ROUND(VLOOKUP(CZ$4,Preisindex,5,FALSE)/VLOOKUP(YEAR($F173),Preisindex,5,FALSE),2),IF(AND($E173&lt;&gt;0,$F173&gt;0,YEAR($F173)&gt;=Preisindex!$A$6,YEAR(CU$4)&gt;=YEAR($F173),$K173="b"),ROUND(VLOOKUP(CZ$4,Preisindex,3,FALSE)/VLOOKUP(YEAR($F173),Preisindex,3,FALSE),2),IF(AND($E173&lt;&gt;0,$F173&gt;0,YEAR($F173)&gt;=Preisindex!$A$6,YEAR(CU$4)&gt;=YEAR($F173),$K173="g"),ROUND(VLOOKUP(CZ$4,Preisindex,4,FALSE)/VLOOKUP(YEAR($F173),Preisindex,4,FALSE),2),IF(AND($E173&lt;&gt;0,$F173&gt;0,YEAR($F173)&gt;=Preisindex!$A$6,YEAR(CU$4)&gt;=YEAR($F173),$K173="k"),ROUND(VLOOKUP(CZ$4,Preisindex,2,FALSE)/VLOOKUP(YEAR($F173),Preisindex,2,FALSE),2),0)))))</f>
        <v>0</v>
      </c>
      <c r="DA173" s="56">
        <f>IF(AND($E173&lt;&gt;0,$F173&gt;0,YEAR($F173)&lt;Preisindex!$A$6,YEAR(CU$4)&gt;=YEAR($F173),AND($K173&lt;&gt;"a",$K173&lt;&gt;"b",$K173&lt;&gt;"g",$K173&lt;&gt;"k")),1,IF(AND($E173&lt;&gt;0,$F173&gt;0,YEAR($F173)&lt;Preisindex!$A$6,YEAR(CU$4)&gt;=YEAR($F173),$K173="a"),ROUND(VLOOKUP(CZ$4,Preisindex,5,FALSE)/VLOOKUP(Preisindex!$A$6,Preisindex,5,FALSE),2),IF(AND($E173&lt;&gt;0,$F173&gt;0,YEAR($F173)&lt;Preisindex!$A$6,YEAR(CU$4)&gt;=YEAR($F173),$K173="b"),ROUND(VLOOKUP(CZ$4,Preisindex,3,FALSE)/VLOOKUP(Preisindex!$A$6,Preisindex,3,FALSE),2),IF(AND($E173&lt;&gt;0,$F173&gt;0,YEAR($F173)&lt;Preisindex!$A$6,YEAR(CU$4)&gt;=YEAR($F173),$K173="g"),ROUND(VLOOKUP(CZ$4,Preisindex,4,FALSE)/VLOOKUP(Preisindex!$A$6,Preisindex,4,FALSE),2),IF(AND($E173&lt;&gt;0,$F173&gt;0,YEAR($F173)&lt;Preisindex!$A$6,YEAR(CU$4)&gt;=YEAR($F173),$K173="k"),ROUND(VLOOKUP(CZ$4,Preisindex,2,FALSE)/VLOOKUP(Preisindex!$A$6,Preisindex,2,FALSE),2),0)))))</f>
        <v>0</v>
      </c>
      <c r="DB173" s="51">
        <f>IF(AND($E173&lt;&gt;0,$F173&gt;0,YEAR($F173)&lt;=CZ$4,YEAR($F173)&gt;=Preisindex!$A$6),ROUND($E173*CZ173,2),IF(AND($E173&lt;&gt;0,$F173&gt;0,YEAR($F173)&lt;=CZ$4,YEAR($F173)&lt;Preisindex!$A$6),ROUND($E173*DA173,2),0))</f>
        <v>0</v>
      </c>
      <c r="DC173" s="53">
        <f t="shared" si="524"/>
        <v>0</v>
      </c>
      <c r="DD173" s="51">
        <f t="shared" si="620"/>
        <v>0</v>
      </c>
      <c r="DE173" s="51">
        <f t="shared" si="599"/>
        <v>0</v>
      </c>
      <c r="DF173" s="51">
        <f t="shared" si="526"/>
        <v>0</v>
      </c>
      <c r="DG173" s="51">
        <f t="shared" si="600"/>
        <v>0</v>
      </c>
      <c r="DH173" s="51">
        <f t="shared" si="527"/>
        <v>0</v>
      </c>
      <c r="DI173" s="51">
        <f t="shared" si="601"/>
        <v>0</v>
      </c>
      <c r="DJ173" s="51">
        <f t="shared" si="528"/>
        <v>0</v>
      </c>
      <c r="DK173" s="51">
        <f t="shared" si="602"/>
        <v>0</v>
      </c>
      <c r="DL173" s="51">
        <f t="shared" si="529"/>
        <v>0</v>
      </c>
      <c r="DM173" s="51">
        <f t="shared" si="603"/>
        <v>0</v>
      </c>
      <c r="DN173" s="51">
        <f t="shared" si="530"/>
        <v>0</v>
      </c>
      <c r="DO173" s="54">
        <f t="shared" si="531"/>
        <v>0</v>
      </c>
      <c r="DP173" s="55">
        <f t="shared" si="532"/>
        <v>0</v>
      </c>
      <c r="DQ173" s="56">
        <f>IF(AND($E173&lt;&gt;0,$F173&gt;0,YEAR($F173)&gt;=Preisindex!$A$6,YEAR(DL$4)&gt;=YEAR($F173),AND($K173&lt;&gt;"a",$K173&lt;&gt;"b",$K173&lt;&gt;"g",$K173&lt;&gt;"k")),1,IF(AND($E173&lt;&gt;0,$F173&gt;0,YEAR($F173)&gt;=Preisindex!$A$6,YEAR(DL$4)&gt;=YEAR($F173),$K173="a"),ROUND(VLOOKUP(DQ$4,Preisindex,5,FALSE)/VLOOKUP(YEAR($F173),Preisindex,5,FALSE),2),IF(AND($E173&lt;&gt;0,$F173&gt;0,YEAR($F173)&gt;=Preisindex!$A$6,YEAR(DL$4)&gt;=YEAR($F173),$K173="b"),ROUND(VLOOKUP(DQ$4,Preisindex,3,FALSE)/VLOOKUP(YEAR($F173),Preisindex,3,FALSE),2),IF(AND($E173&lt;&gt;0,$F173&gt;0,YEAR($F173)&gt;=Preisindex!$A$6,YEAR(DL$4)&gt;=YEAR($F173),$K173="g"),ROUND(VLOOKUP(DQ$4,Preisindex,4,FALSE)/VLOOKUP(YEAR($F173),Preisindex,4,FALSE),2),IF(AND($E173&lt;&gt;0,$F173&gt;0,YEAR($F173)&gt;=Preisindex!$A$6,YEAR(DL$4)&gt;=YEAR($F173),$K173="k"),ROUND(VLOOKUP(DQ$4,Preisindex,2,FALSE)/VLOOKUP(YEAR($F173),Preisindex,2,FALSE),2),0)))))</f>
        <v>0</v>
      </c>
      <c r="DR173" s="56">
        <f>IF(AND($E173&lt;&gt;0,$F173&gt;0,YEAR($F173)&lt;Preisindex!$A$6,YEAR(DL$4)&gt;=YEAR($F173),AND($K173&lt;&gt;"a",$K173&lt;&gt;"b",$K173&lt;&gt;"g",$K173&lt;&gt;"k")),1,IF(AND($E173&lt;&gt;0,$F173&gt;0,YEAR($F173)&lt;Preisindex!$A$6,YEAR(DL$4)&gt;=YEAR($F173),$K173="a"),ROUND(VLOOKUP(DQ$4,Preisindex,5,FALSE)/VLOOKUP(Preisindex!$A$6,Preisindex,5,FALSE),2),IF(AND($E173&lt;&gt;0,$F173&gt;0,YEAR($F173)&lt;Preisindex!$A$6,YEAR(DL$4)&gt;=YEAR($F173),$K173="b"),ROUND(VLOOKUP(DQ$4,Preisindex,3,FALSE)/VLOOKUP(Preisindex!$A$6,Preisindex,3,FALSE),2),IF(AND($E173&lt;&gt;0,$F173&gt;0,YEAR($F173)&lt;Preisindex!$A$6,YEAR(DL$4)&gt;=YEAR($F173),$K173="g"),ROUND(VLOOKUP(DQ$4,Preisindex,4,FALSE)/VLOOKUP(Preisindex!$A$6,Preisindex,4,FALSE),2),IF(AND($E173&lt;&gt;0,$F173&gt;0,YEAR($F173)&lt;Preisindex!$A$6,YEAR(DL$4)&gt;=YEAR($F173),$K173="k"),ROUND(VLOOKUP(DQ$4,Preisindex,2,FALSE)/VLOOKUP(Preisindex!$A$6,Preisindex,2,FALSE),2),0)))))</f>
        <v>0</v>
      </c>
      <c r="DS173" s="51">
        <f>IF(AND($E173&lt;&gt;0,$F173&gt;0,YEAR($F173)&lt;=DQ$4,YEAR($F173)&gt;=Preisindex!$A$6),ROUND($E173*DQ173,2),IF(AND($E173&lt;&gt;0,$F173&gt;0,YEAR($F173)&lt;=DQ$4,YEAR($F173)&lt;Preisindex!$A$6),ROUND($E173*DR173,2),0))</f>
        <v>0</v>
      </c>
      <c r="DT173" s="53">
        <f t="shared" si="533"/>
        <v>0</v>
      </c>
      <c r="DU173" s="51">
        <f t="shared" si="620"/>
        <v>0</v>
      </c>
      <c r="DV173" s="51">
        <f t="shared" si="604"/>
        <v>0</v>
      </c>
      <c r="DW173" s="51">
        <f t="shared" si="534"/>
        <v>0</v>
      </c>
      <c r="DX173" s="51">
        <f t="shared" si="605"/>
        <v>0</v>
      </c>
      <c r="DY173" s="51">
        <f t="shared" si="535"/>
        <v>0</v>
      </c>
      <c r="DZ173" s="51">
        <f t="shared" si="606"/>
        <v>0</v>
      </c>
      <c r="EA173" s="51">
        <f t="shared" si="536"/>
        <v>0</v>
      </c>
      <c r="EB173" s="51">
        <f t="shared" si="607"/>
        <v>0</v>
      </c>
      <c r="EC173" s="51">
        <f t="shared" si="537"/>
        <v>0</v>
      </c>
      <c r="ED173" s="51">
        <f t="shared" si="608"/>
        <v>0</v>
      </c>
      <c r="EE173" s="51">
        <f t="shared" si="538"/>
        <v>0</v>
      </c>
      <c r="EF173" s="54">
        <f t="shared" si="539"/>
        <v>0</v>
      </c>
      <c r="EG173" s="55">
        <f t="shared" si="540"/>
        <v>0</v>
      </c>
      <c r="EH173" s="56">
        <f>IF(AND($E173&lt;&gt;0,$F173&gt;0,YEAR($F173)&gt;=Preisindex!$A$6,YEAR(EC$4)&gt;=YEAR($F173),AND($K173&lt;&gt;"a",$K173&lt;&gt;"b",$K173&lt;&gt;"g",$K173&lt;&gt;"k")),1,IF(AND($E173&lt;&gt;0,$F173&gt;0,YEAR($F173)&gt;=Preisindex!$A$6,YEAR(EC$4)&gt;=YEAR($F173),$K173="a"),ROUND(VLOOKUP(EH$4,Preisindex,5,FALSE)/VLOOKUP(YEAR($F173),Preisindex,5,FALSE),2),IF(AND($E173&lt;&gt;0,$F173&gt;0,YEAR($F173)&gt;=Preisindex!$A$6,YEAR(EC$4)&gt;=YEAR($F173),$K173="b"),ROUND(VLOOKUP(EH$4,Preisindex,3,FALSE)/VLOOKUP(YEAR($F173),Preisindex,3,FALSE),2),IF(AND($E173&lt;&gt;0,$F173&gt;0,YEAR($F173)&gt;=Preisindex!$A$6,YEAR(EC$4)&gt;=YEAR($F173),$K173="g"),ROUND(VLOOKUP(EH$4,Preisindex,4,FALSE)/VLOOKUP(YEAR($F173),Preisindex,4,FALSE),2),IF(AND($E173&lt;&gt;0,$F173&gt;0,YEAR($F173)&gt;=Preisindex!$A$6,YEAR(EC$4)&gt;=YEAR($F173),$K173="k"),ROUND(VLOOKUP(EH$4,Preisindex,2,FALSE)/VLOOKUP(YEAR($F173),Preisindex,2,FALSE),2),0)))))</f>
        <v>0</v>
      </c>
      <c r="EI173" s="56">
        <f>IF(AND($E173&lt;&gt;0,$F173&gt;0,YEAR($F173)&lt;Preisindex!$A$6,YEAR(EC$4)&gt;=YEAR($F173),AND($K173&lt;&gt;"a",$K173&lt;&gt;"b",$K173&lt;&gt;"g",$K173&lt;&gt;"k")),1,IF(AND($E173&lt;&gt;0,$F173&gt;0,YEAR($F173)&lt;Preisindex!$A$6,YEAR(EC$4)&gt;=YEAR($F173),$K173="a"),ROUND(VLOOKUP(EH$4,Preisindex,5,FALSE)/VLOOKUP(Preisindex!$A$6,Preisindex,5,FALSE),2),IF(AND($E173&lt;&gt;0,$F173&gt;0,YEAR($F173)&lt;Preisindex!$A$6,YEAR(EC$4)&gt;=YEAR($F173),$K173="b"),ROUND(VLOOKUP(EH$4,Preisindex,3,FALSE)/VLOOKUP(Preisindex!$A$6,Preisindex,3,FALSE),2),IF(AND($E173&lt;&gt;0,$F173&gt;0,YEAR($F173)&lt;Preisindex!$A$6,YEAR(EC$4)&gt;=YEAR($F173),$K173="g"),ROUND(VLOOKUP(EH$4,Preisindex,4,FALSE)/VLOOKUP(Preisindex!$A$6,Preisindex,4,FALSE),2),IF(AND($E173&lt;&gt;0,$F173&gt;0,YEAR($F173)&lt;Preisindex!$A$6,YEAR(EC$4)&gt;=YEAR($F173),$K173="k"),ROUND(VLOOKUP(EH$4,Preisindex,2,FALSE)/VLOOKUP(Preisindex!$A$6,Preisindex,2,FALSE),2),0)))))</f>
        <v>0</v>
      </c>
      <c r="EJ173" s="51">
        <f>IF(AND($E173&lt;&gt;0,$F173&gt;0,YEAR($F173)&lt;=EH$4,YEAR($F173)&gt;=Preisindex!$A$6),ROUND($E173*EH173,2),IF(AND($E173&lt;&gt;0,$F173&gt;0,YEAR($F173)&lt;=EH$4,YEAR($F173)&lt;Preisindex!$A$6),ROUND($E173*EI173,2),0))</f>
        <v>0</v>
      </c>
      <c r="EK173" s="53">
        <f t="shared" si="541"/>
        <v>0</v>
      </c>
      <c r="EL173" s="51">
        <f t="shared" si="620"/>
        <v>0</v>
      </c>
      <c r="EM173" s="51">
        <f t="shared" si="609"/>
        <v>0</v>
      </c>
      <c r="EN173" s="51">
        <f t="shared" si="542"/>
        <v>0</v>
      </c>
      <c r="EO173" s="51">
        <f t="shared" si="610"/>
        <v>0</v>
      </c>
      <c r="EP173" s="51">
        <f t="shared" si="543"/>
        <v>0</v>
      </c>
      <c r="EQ173" s="51">
        <f t="shared" si="611"/>
        <v>0</v>
      </c>
      <c r="ER173" s="51">
        <f t="shared" si="544"/>
        <v>0</v>
      </c>
      <c r="ES173" s="51">
        <f t="shared" si="612"/>
        <v>0</v>
      </c>
      <c r="ET173" s="51">
        <f t="shared" si="545"/>
        <v>0</v>
      </c>
      <c r="EU173" s="51">
        <f t="shared" si="613"/>
        <v>0</v>
      </c>
      <c r="EV173" s="51">
        <f t="shared" si="546"/>
        <v>0</v>
      </c>
      <c r="EW173" s="54">
        <f t="shared" si="547"/>
        <v>0</v>
      </c>
      <c r="EX173" s="55">
        <f t="shared" si="548"/>
        <v>0</v>
      </c>
      <c r="EY173" s="56">
        <f>IF(AND($E173&lt;&gt;0,$F173&gt;0,YEAR($F173)&gt;=Preisindex!$A$6,YEAR(ET$4)&gt;=YEAR($F173),AND($K173&lt;&gt;"a",$K173&lt;&gt;"b",$K173&lt;&gt;"g",$K173&lt;&gt;"k")),1,IF(AND($E173&lt;&gt;0,$F173&gt;0,YEAR($F173)&gt;=Preisindex!$A$6,YEAR(ET$4)&gt;=YEAR($F173),$K173="a"),ROUND(VLOOKUP(EY$4,Preisindex,5,FALSE)/VLOOKUP(YEAR($F173),Preisindex,5,FALSE),2),IF(AND($E173&lt;&gt;0,$F173&gt;0,YEAR($F173)&gt;=Preisindex!$A$6,YEAR(ET$4)&gt;=YEAR($F173),$K173="b"),ROUND(VLOOKUP(EY$4,Preisindex,3,FALSE)/VLOOKUP(YEAR($F173),Preisindex,3,FALSE),2),IF(AND($E173&lt;&gt;0,$F173&gt;0,YEAR($F173)&gt;=Preisindex!$A$6,YEAR(ET$4)&gt;=YEAR($F173),$K173="g"),ROUND(VLOOKUP(EY$4,Preisindex,4,FALSE)/VLOOKUP(YEAR($F173),Preisindex,4,FALSE),2),IF(AND($E173&lt;&gt;0,$F173&gt;0,YEAR($F173)&gt;=Preisindex!$A$6,YEAR(ET$4)&gt;=YEAR($F173),$K173="k"),ROUND(VLOOKUP(EY$4,Preisindex,2,FALSE)/VLOOKUP(YEAR($F173),Preisindex,2,FALSE),2),0)))))</f>
        <v>0</v>
      </c>
      <c r="EZ173" s="56">
        <f>IF(AND($E173&lt;&gt;0,$F173&gt;0,YEAR($F173)&lt;Preisindex!$A$6,YEAR(ET$4)&gt;=YEAR($F173),AND($K173&lt;&gt;"a",$K173&lt;&gt;"b",$K173&lt;&gt;"g",$K173&lt;&gt;"k")),1,IF(AND($E173&lt;&gt;0,$F173&gt;0,YEAR($F173)&lt;Preisindex!$A$6,YEAR(ET$4)&gt;=YEAR($F173),$K173="a"),ROUND(VLOOKUP(EY$4,Preisindex,5,FALSE)/VLOOKUP(Preisindex!$A$6,Preisindex,5,FALSE),2),IF(AND($E173&lt;&gt;0,$F173&gt;0,YEAR($F173)&lt;Preisindex!$A$6,YEAR(ET$4)&gt;=YEAR($F173),$K173="b"),ROUND(VLOOKUP(EY$4,Preisindex,3,FALSE)/VLOOKUP(Preisindex!$A$6,Preisindex,3,FALSE),2),IF(AND($E173&lt;&gt;0,$F173&gt;0,YEAR($F173)&lt;Preisindex!$A$6,YEAR(ET$4)&gt;=YEAR($F173),$K173="g"),ROUND(VLOOKUP(EY$4,Preisindex,4,FALSE)/VLOOKUP(Preisindex!$A$6,Preisindex,4,FALSE),2),IF(AND($E173&lt;&gt;0,$F173&gt;0,YEAR($F173)&lt;Preisindex!$A$6,YEAR(ET$4)&gt;=YEAR($F173),$K173="k"),ROUND(VLOOKUP(EY$4,Preisindex,2,FALSE)/VLOOKUP(Preisindex!$A$6,Preisindex,2,FALSE),2),0)))))</f>
        <v>0</v>
      </c>
      <c r="FA173" s="51">
        <f>IF(AND($E173&lt;&gt;0,$F173&gt;0,YEAR($F173)&lt;=EY$4,YEAR($F173)&gt;=Preisindex!$A$6),ROUND($E173*EY173,2),IF(AND($E173&lt;&gt;0,$F173&gt;0,YEAR($F173)&lt;=EY$4,YEAR($F173)&lt;Preisindex!$A$6),ROUND($E173*EZ173,2),0))</f>
        <v>0</v>
      </c>
      <c r="FB173" s="53">
        <f t="shared" si="549"/>
        <v>0</v>
      </c>
      <c r="FC173" s="51">
        <f t="shared" si="620"/>
        <v>0</v>
      </c>
      <c r="FD173" s="51">
        <f t="shared" si="614"/>
        <v>0</v>
      </c>
      <c r="FE173" s="51">
        <f t="shared" si="550"/>
        <v>0</v>
      </c>
      <c r="FF173" s="51">
        <f t="shared" si="615"/>
        <v>0</v>
      </c>
      <c r="FG173" s="51">
        <f t="shared" si="551"/>
        <v>0</v>
      </c>
      <c r="FH173" s="51">
        <f t="shared" si="616"/>
        <v>0</v>
      </c>
      <c r="FI173" s="51">
        <f t="shared" si="552"/>
        <v>0</v>
      </c>
      <c r="FJ173" s="51">
        <f t="shared" si="617"/>
        <v>0</v>
      </c>
      <c r="FK173" s="51">
        <f t="shared" si="553"/>
        <v>0</v>
      </c>
      <c r="FL173" s="51">
        <f t="shared" si="618"/>
        <v>0</v>
      </c>
      <c r="FM173" s="51">
        <f t="shared" si="554"/>
        <v>0</v>
      </c>
      <c r="FN173" s="54">
        <f t="shared" si="555"/>
        <v>0</v>
      </c>
      <c r="FO173" s="55">
        <f t="shared" si="556"/>
        <v>0</v>
      </c>
      <c r="FP173" s="56">
        <f>IF(AND($E173&lt;&gt;0,$F173&gt;0,YEAR($F173)&gt;=Preisindex!$A$6,YEAR(FK$4)&gt;=YEAR($F173),AND($K173&lt;&gt;"a",$K173&lt;&gt;"b",$K173&lt;&gt;"g",$K173&lt;&gt;"k")),1,IF(AND($E173&lt;&gt;0,$F173&gt;0,YEAR($F173)&gt;=Preisindex!$A$6,YEAR(FK$4)&gt;=YEAR($F173),$K173="a"),ROUND(VLOOKUP(FP$4,Preisindex,5,FALSE)/VLOOKUP(YEAR($F173),Preisindex,5,FALSE),2),IF(AND($E173&lt;&gt;0,$F173&gt;0,YEAR($F173)&gt;=Preisindex!$A$6,YEAR(FK$4)&gt;=YEAR($F173),$K173="b"),ROUND(VLOOKUP(FP$4,Preisindex,3,FALSE)/VLOOKUP(YEAR($F173),Preisindex,3,FALSE),2),IF(AND($E173&lt;&gt;0,$F173&gt;0,YEAR($F173)&gt;=Preisindex!$A$6,YEAR(FK$4)&gt;=YEAR($F173),$K173="g"),ROUND(VLOOKUP(FP$4,Preisindex,4,FALSE)/VLOOKUP(YEAR($F173),Preisindex,4,FALSE),2),IF(AND($E173&lt;&gt;0,$F173&gt;0,YEAR($F173)&gt;=Preisindex!$A$6,YEAR(FK$4)&gt;=YEAR($F173),$K173="k"),ROUND(VLOOKUP(FP$4,Preisindex,2,FALSE)/VLOOKUP(YEAR($F173),Preisindex,2,FALSE),2),0)))))</f>
        <v>0</v>
      </c>
      <c r="FQ173" s="56">
        <f>IF(AND($E173&lt;&gt;0,$F173&gt;0,YEAR($F173)&lt;Preisindex!$A$6,YEAR(FK$4)&gt;=YEAR($F173),AND($K173&lt;&gt;"a",$K173&lt;&gt;"b",$K173&lt;&gt;"g",$K173&lt;&gt;"k")),1,IF(AND($E173&lt;&gt;0,$F173&gt;0,YEAR($F173)&lt;Preisindex!$A$6,YEAR(FK$4)&gt;=YEAR($F173),$K173="a"),ROUND(VLOOKUP(FP$4,Preisindex,5,FALSE)/VLOOKUP(Preisindex!$A$6,Preisindex,5,FALSE),2),IF(AND($E173&lt;&gt;0,$F173&gt;0,YEAR($F173)&lt;Preisindex!$A$6,YEAR(FK$4)&gt;=YEAR($F173),$K173="b"),ROUND(VLOOKUP(FP$4,Preisindex,3,FALSE)/VLOOKUP(Preisindex!$A$6,Preisindex,3,FALSE),2),IF(AND($E173&lt;&gt;0,$F173&gt;0,YEAR($F173)&lt;Preisindex!$A$6,YEAR(FK$4)&gt;=YEAR($F173),$K173="g"),ROUND(VLOOKUP(FP$4,Preisindex,4,FALSE)/VLOOKUP(Preisindex!$A$6,Preisindex,4,FALSE),2),IF(AND($E173&lt;&gt;0,$F173&gt;0,YEAR($F173)&lt;Preisindex!$A$6,YEAR(FK$4)&gt;=YEAR($F173),$K173="k"),ROUND(VLOOKUP(FP$4,Preisindex,2,FALSE)/VLOOKUP(Preisindex!$A$6,Preisindex,2,FALSE),2),0)))))</f>
        <v>0</v>
      </c>
      <c r="FR173" s="51">
        <f>IF(AND($E173&lt;&gt;0,$F173&gt;0,YEAR($F173)&lt;=FP$4,YEAR($F173)&gt;=Preisindex!$A$6),ROUND($E173*FP173,2),IF(AND($E173&lt;&gt;0,$F173&gt;0,YEAR($F173)&lt;=FP$4,YEAR($F173)&lt;Preisindex!$A$6),ROUND($E173*FQ173,2),0))</f>
        <v>0</v>
      </c>
      <c r="FS173" s="53">
        <f t="shared" si="557"/>
        <v>0</v>
      </c>
    </row>
    <row r="174" spans="1:175" x14ac:dyDescent="0.3">
      <c r="A174" s="93"/>
      <c r="B174" s="94"/>
      <c r="C174" s="94"/>
      <c r="D174" s="95"/>
      <c r="E174" s="99"/>
      <c r="F174" s="97"/>
      <c r="G174" s="98"/>
      <c r="H174" s="620"/>
      <c r="I174" s="621"/>
      <c r="J174" s="194"/>
      <c r="K174" s="630"/>
      <c r="L174" s="49">
        <f t="shared" si="558"/>
        <v>0</v>
      </c>
      <c r="M174" s="50">
        <f t="shared" si="559"/>
        <v>0</v>
      </c>
      <c r="N174" s="51">
        <f t="shared" si="560"/>
        <v>0</v>
      </c>
      <c r="O174" s="51"/>
      <c r="P174" s="51">
        <f t="shared" si="561"/>
        <v>0</v>
      </c>
      <c r="Q174" s="52"/>
      <c r="R174" s="52"/>
      <c r="S174" s="52"/>
      <c r="T174" s="52"/>
      <c r="U174" s="52"/>
      <c r="V174" s="53">
        <f t="shared" si="562"/>
        <v>0</v>
      </c>
      <c r="W174" s="51">
        <f t="shared" si="563"/>
        <v>0</v>
      </c>
      <c r="X174" s="51">
        <f t="shared" si="564"/>
        <v>0</v>
      </c>
      <c r="Y174" s="51">
        <f t="shared" si="565"/>
        <v>0</v>
      </c>
      <c r="Z174" s="51">
        <f t="shared" si="566"/>
        <v>0</v>
      </c>
      <c r="AA174" s="51">
        <f t="shared" si="567"/>
        <v>0</v>
      </c>
      <c r="AB174" s="51">
        <f t="shared" si="568"/>
        <v>0</v>
      </c>
      <c r="AC174" s="51">
        <f t="shared" si="569"/>
        <v>0</v>
      </c>
      <c r="AD174" s="51">
        <f t="shared" si="570"/>
        <v>0</v>
      </c>
      <c r="AE174" s="51">
        <f t="shared" si="571"/>
        <v>0</v>
      </c>
      <c r="AF174" s="51">
        <f t="shared" si="572"/>
        <v>0</v>
      </c>
      <c r="AG174" s="51">
        <f t="shared" si="573"/>
        <v>0</v>
      </c>
      <c r="AH174" s="54">
        <f t="shared" si="574"/>
        <v>0</v>
      </c>
      <c r="AI174" s="55">
        <f t="shared" si="575"/>
        <v>0</v>
      </c>
      <c r="AJ174" s="56">
        <f>IF(AND($E174&lt;&gt;0,$F174&gt;0,YEAR($F174)&gt;=Preisindex!$A$6,YEAR(AE$4)&gt;=YEAR($F174),AND($K174&lt;&gt;"a",$K174&lt;&gt;"b",$K174&lt;&gt;"g",$K174&lt;&gt;"k")),1,IF(AND($E174&lt;&gt;0,$F174&gt;0,YEAR($F174)&gt;=Preisindex!$A$6,YEAR(AE$4)&gt;=YEAR($F174),$K174="a"),ROUND(VLOOKUP(AJ$4,Preisindex,5,FALSE)/VLOOKUP(YEAR($F174),Preisindex,5,FALSE),2),IF(AND($E174&lt;&gt;0,$F174&gt;0,YEAR($F174)&gt;=Preisindex!$A$6,YEAR(AE$4)&gt;=YEAR($F174),$K174="b"),ROUND(VLOOKUP(AJ$4,Preisindex,3,FALSE)/VLOOKUP(YEAR($F174),Preisindex,3,FALSE),2),IF(AND($E174&lt;&gt;0,$F174&gt;0,YEAR($F174)&gt;=Preisindex!$A$6,YEAR(AE$4)&gt;=YEAR($F174),$K174="g"),ROUND(VLOOKUP(AJ$4,Preisindex,4,FALSE)/VLOOKUP(YEAR($F174),Preisindex,4,FALSE),2),IF(AND($E174&lt;&gt;0,$F174&gt;0,YEAR($F174)&gt;=Preisindex!$A$6,YEAR(AE$4)&gt;=YEAR($F174),$K174="k"),ROUND(VLOOKUP(AJ$4,Preisindex,2,FALSE)/VLOOKUP(YEAR($F174),Preisindex,2,FALSE),2),0)))))</f>
        <v>0</v>
      </c>
      <c r="AK174" s="56">
        <f>IF(AND($E174&lt;&gt;0,$F174&gt;0,YEAR($F174)&lt;Preisindex!$A$6,YEAR(AE$4)&gt;=YEAR($F174),AND($K174&lt;&gt;"a",$K174&lt;&gt;"b",$K174&lt;&gt;"g",$K174&lt;&gt;"k")),1,IF(AND($E174&lt;&gt;0,$F174&gt;0,YEAR($F174)&lt;Preisindex!$A$6,YEAR(AE$4)&gt;=YEAR($F174),$K174="a"),ROUND(VLOOKUP(AJ$4,Preisindex,5,FALSE)/VLOOKUP(Preisindex!$A$6,Preisindex,5,FALSE),2),IF(AND($E174&lt;&gt;0,$F174&gt;0,YEAR($F174)&lt;Preisindex!$A$6,YEAR(AE$4)&gt;=YEAR($F174),$K174="b"),ROUND(VLOOKUP(AJ$4,Preisindex,3,FALSE)/VLOOKUP(Preisindex!$A$6,Preisindex,3,FALSE),2),IF(AND($E174&lt;&gt;0,$F174&gt;0,YEAR($F174)&lt;Preisindex!$A$6,YEAR(AE$4)&gt;=YEAR($F174),$K174="g"),ROUND(VLOOKUP(AJ$4,Preisindex,4,FALSE)/VLOOKUP(Preisindex!$A$6,Preisindex,4,FALSE),2),IF(AND($E174&lt;&gt;0,$F174&gt;0,YEAR($F174)&lt;Preisindex!$A$6,YEAR(AE$4)&gt;=YEAR($F174),$K174="k"),ROUND(VLOOKUP(AJ$4,Preisindex,2,FALSE)/VLOOKUP(Preisindex!$A$6,Preisindex,2,FALSE),2),0)))))</f>
        <v>0</v>
      </c>
      <c r="AL174" s="51">
        <f>IF(AND($E174&lt;&gt;0,$F174&gt;0,YEAR($F174)&lt;=AJ$4,YEAR($F174)&gt;=Preisindex!$A$6),ROUND($E174*AJ174,2),IF(AND($E174&lt;&gt;0,$F174&gt;0,YEAR($F174)&lt;=AJ$4,YEAR($F174)&lt;Preisindex!$A$6),ROUND($E174*AK174,2),0))</f>
        <v>0</v>
      </c>
      <c r="AM174" s="53">
        <f t="shared" si="576"/>
        <v>0</v>
      </c>
      <c r="AN174" s="51">
        <f t="shared" si="619"/>
        <v>0</v>
      </c>
      <c r="AO174" s="51">
        <f t="shared" si="579"/>
        <v>0</v>
      </c>
      <c r="AP174" s="51">
        <f t="shared" si="493"/>
        <v>0</v>
      </c>
      <c r="AQ174" s="51">
        <f t="shared" si="580"/>
        <v>0</v>
      </c>
      <c r="AR174" s="51">
        <f t="shared" si="494"/>
        <v>0</v>
      </c>
      <c r="AS174" s="51">
        <f t="shared" si="581"/>
        <v>0</v>
      </c>
      <c r="AT174" s="51">
        <f t="shared" si="495"/>
        <v>0</v>
      </c>
      <c r="AU174" s="51">
        <f t="shared" si="582"/>
        <v>0</v>
      </c>
      <c r="AV174" s="51">
        <f t="shared" si="496"/>
        <v>0</v>
      </c>
      <c r="AW174" s="51">
        <f t="shared" si="583"/>
        <v>0</v>
      </c>
      <c r="AX174" s="51">
        <f t="shared" si="497"/>
        <v>0</v>
      </c>
      <c r="AY174" s="54">
        <f t="shared" si="498"/>
        <v>0</v>
      </c>
      <c r="AZ174" s="55">
        <f t="shared" si="499"/>
        <v>0</v>
      </c>
      <c r="BA174" s="56">
        <f>IF(AND($E174&lt;&gt;0,$F174&gt;0,YEAR($F174)&gt;=Preisindex!$A$6,YEAR(AV$4)&gt;=YEAR($F174),AND($K174&lt;&gt;"a",$K174&lt;&gt;"b",$K174&lt;&gt;"g",$K174&lt;&gt;"k")),1,IF(AND($E174&lt;&gt;0,$F174&gt;0,YEAR($F174)&gt;=Preisindex!$A$6,YEAR(AV$4)&gt;=YEAR($F174),$K174="a"),ROUND(VLOOKUP(BA$4,Preisindex,5,FALSE)/VLOOKUP(YEAR($F174),Preisindex,5,FALSE),2),IF(AND($E174&lt;&gt;0,$F174&gt;0,YEAR($F174)&gt;=Preisindex!$A$6,YEAR(AV$4)&gt;=YEAR($F174),$K174="b"),ROUND(VLOOKUP(BA$4,Preisindex,3,FALSE)/VLOOKUP(YEAR($F174),Preisindex,3,FALSE),2),IF(AND($E174&lt;&gt;0,$F174&gt;0,YEAR($F174)&gt;=Preisindex!$A$6,YEAR(AV$4)&gt;=YEAR($F174),$K174="g"),ROUND(VLOOKUP(BA$4,Preisindex,4,FALSE)/VLOOKUP(YEAR($F174),Preisindex,4,FALSE),2),IF(AND($E174&lt;&gt;0,$F174&gt;0,YEAR($F174)&gt;=Preisindex!$A$6,YEAR(AV$4)&gt;=YEAR($F174),$K174="k"),ROUND(VLOOKUP(BA$4,Preisindex,2,FALSE)/VLOOKUP(YEAR($F174),Preisindex,2,FALSE),2),0)))))</f>
        <v>0</v>
      </c>
      <c r="BB174" s="56">
        <f>IF(AND($E174&lt;&gt;0,$F174&gt;0,YEAR($F174)&lt;Preisindex!$A$6,YEAR(AV$4)&gt;=YEAR($F174),AND($K174&lt;&gt;"a",$K174&lt;&gt;"b",$K174&lt;&gt;"g",$K174&lt;&gt;"k")),1,IF(AND($E174&lt;&gt;0,$F174&gt;0,YEAR($F174)&lt;Preisindex!$A$6,YEAR(AV$4)&gt;=YEAR($F174),$K174="a"),ROUND(VLOOKUP(BA$4,Preisindex,5,FALSE)/VLOOKUP(Preisindex!$A$6,Preisindex,5,FALSE),2),IF(AND($E174&lt;&gt;0,$F174&gt;0,YEAR($F174)&lt;Preisindex!$A$6,YEAR(AV$4)&gt;=YEAR($F174),$K174="b"),ROUND(VLOOKUP(BA$4,Preisindex,3,FALSE)/VLOOKUP(Preisindex!$A$6,Preisindex,3,FALSE),2),IF(AND($E174&lt;&gt;0,$F174&gt;0,YEAR($F174)&lt;Preisindex!$A$6,YEAR(AV$4)&gt;=YEAR($F174),$K174="g"),ROUND(VLOOKUP(BA$4,Preisindex,4,FALSE)/VLOOKUP(Preisindex!$A$6,Preisindex,4,FALSE),2),IF(AND($E174&lt;&gt;0,$F174&gt;0,YEAR($F174)&lt;Preisindex!$A$6,YEAR(AV$4)&gt;=YEAR($F174),$K174="k"),ROUND(VLOOKUP(BA$4,Preisindex,2,FALSE)/VLOOKUP(Preisindex!$A$6,Preisindex,2,FALSE),2),0)))))</f>
        <v>0</v>
      </c>
      <c r="BC174" s="51">
        <f>IF(AND($E174&lt;&gt;0,$F174&gt;0,YEAR($F174)&lt;=BA$4,YEAR($F174)&gt;=Preisindex!$A$6),ROUND($E174*BA174,2),IF(AND($E174&lt;&gt;0,$F174&gt;0,YEAR($F174)&lt;=BA$4,YEAR($F174)&lt;Preisindex!$A$6),ROUND($E174*BB174,2),0))</f>
        <v>0</v>
      </c>
      <c r="BD174" s="53">
        <f t="shared" si="500"/>
        <v>0</v>
      </c>
      <c r="BE174" s="51">
        <f t="shared" si="619"/>
        <v>0</v>
      </c>
      <c r="BF174" s="51">
        <f t="shared" si="584"/>
        <v>0</v>
      </c>
      <c r="BG174" s="51">
        <f t="shared" si="501"/>
        <v>0</v>
      </c>
      <c r="BH174" s="51">
        <f t="shared" si="585"/>
        <v>0</v>
      </c>
      <c r="BI174" s="51">
        <f t="shared" si="502"/>
        <v>0</v>
      </c>
      <c r="BJ174" s="51">
        <f t="shared" si="586"/>
        <v>0</v>
      </c>
      <c r="BK174" s="51">
        <f t="shared" si="503"/>
        <v>0</v>
      </c>
      <c r="BL174" s="51">
        <f t="shared" si="587"/>
        <v>0</v>
      </c>
      <c r="BM174" s="51">
        <f t="shared" si="504"/>
        <v>0</v>
      </c>
      <c r="BN174" s="51">
        <f t="shared" si="588"/>
        <v>0</v>
      </c>
      <c r="BO174" s="51">
        <f t="shared" si="505"/>
        <v>0</v>
      </c>
      <c r="BP174" s="54">
        <f t="shared" si="506"/>
        <v>0</v>
      </c>
      <c r="BQ174" s="55">
        <f t="shared" si="507"/>
        <v>0</v>
      </c>
      <c r="BR174" s="56">
        <f>IF(AND($E174&lt;&gt;0,$F174&gt;0,YEAR($F174)&gt;=Preisindex!$A$6,YEAR(BM$4)&gt;=YEAR($F174),AND($K174&lt;&gt;"a",$K174&lt;&gt;"b",$K174&lt;&gt;"g",$K174&lt;&gt;"k")),1,IF(AND($E174&lt;&gt;0,$F174&gt;0,YEAR($F174)&gt;=Preisindex!$A$6,YEAR(BM$4)&gt;=YEAR($F174),$K174="a"),ROUND(VLOOKUP(BR$4,Preisindex,5,FALSE)/VLOOKUP(YEAR($F174),Preisindex,5,FALSE),2),IF(AND($E174&lt;&gt;0,$F174&gt;0,YEAR($F174)&gt;=Preisindex!$A$6,YEAR(BM$4)&gt;=YEAR($F174),$K174="b"),ROUND(VLOOKUP(BR$4,Preisindex,3,FALSE)/VLOOKUP(YEAR($F174),Preisindex,3,FALSE),2),IF(AND($E174&lt;&gt;0,$F174&gt;0,YEAR($F174)&gt;=Preisindex!$A$6,YEAR(BM$4)&gt;=YEAR($F174),$K174="g"),ROUND(VLOOKUP(BR$4,Preisindex,4,FALSE)/VLOOKUP(YEAR($F174),Preisindex,4,FALSE),2),IF(AND($E174&lt;&gt;0,$F174&gt;0,YEAR($F174)&gt;=Preisindex!$A$6,YEAR(BM$4)&gt;=YEAR($F174),$K174="k"),ROUND(VLOOKUP(BR$4,Preisindex,2,FALSE)/VLOOKUP(YEAR($F174),Preisindex,2,FALSE),2),0)))))</f>
        <v>0</v>
      </c>
      <c r="BS174" s="56">
        <f>IF(AND($E174&lt;&gt;0,$F174&gt;0,YEAR($F174)&lt;Preisindex!$A$6,YEAR(BM$4)&gt;=YEAR($F174),AND($K174&lt;&gt;"a",$K174&lt;&gt;"b",$K174&lt;&gt;"g",$K174&lt;&gt;"k")),1,IF(AND($E174&lt;&gt;0,$F174&gt;0,YEAR($F174)&lt;Preisindex!$A$6,YEAR(BM$4)&gt;=YEAR($F174),$K174="a"),ROUND(VLOOKUP(BR$4,Preisindex,5,FALSE)/VLOOKUP(Preisindex!$A$6,Preisindex,5,FALSE),2),IF(AND($E174&lt;&gt;0,$F174&gt;0,YEAR($F174)&lt;Preisindex!$A$6,YEAR(BM$4)&gt;=YEAR($F174),$K174="b"),ROUND(VLOOKUP(BR$4,Preisindex,3,FALSE)/VLOOKUP(Preisindex!$A$6,Preisindex,3,FALSE),2),IF(AND($E174&lt;&gt;0,$F174&gt;0,YEAR($F174)&lt;Preisindex!$A$6,YEAR(BM$4)&gt;=YEAR($F174),$K174="g"),ROUND(VLOOKUP(BR$4,Preisindex,4,FALSE)/VLOOKUP(Preisindex!$A$6,Preisindex,4,FALSE),2),IF(AND($E174&lt;&gt;0,$F174&gt;0,YEAR($F174)&lt;Preisindex!$A$6,YEAR(BM$4)&gt;=YEAR($F174),$K174="k"),ROUND(VLOOKUP(BR$4,Preisindex,2,FALSE)/VLOOKUP(Preisindex!$A$6,Preisindex,2,FALSE),2),0)))))</f>
        <v>0</v>
      </c>
      <c r="BT174" s="51">
        <f>IF(AND($E174&lt;&gt;0,$F174&gt;0,YEAR($F174)&lt;=BR$4,YEAR($F174)&gt;=Preisindex!$A$6),ROUND($E174*BR174,2),IF(AND($E174&lt;&gt;0,$F174&gt;0,YEAR($F174)&lt;=BR$4,YEAR($F174)&lt;Preisindex!$A$6),ROUND($E174*BS174,2),0))</f>
        <v>0</v>
      </c>
      <c r="BU174" s="53">
        <f t="shared" si="508"/>
        <v>0</v>
      </c>
      <c r="BV174" s="51">
        <f t="shared" si="619"/>
        <v>0</v>
      </c>
      <c r="BW174" s="51">
        <f t="shared" si="589"/>
        <v>0</v>
      </c>
      <c r="BX174" s="51">
        <f t="shared" si="509"/>
        <v>0</v>
      </c>
      <c r="BY174" s="51">
        <f t="shared" si="590"/>
        <v>0</v>
      </c>
      <c r="BZ174" s="51">
        <f t="shared" si="510"/>
        <v>0</v>
      </c>
      <c r="CA174" s="51">
        <f t="shared" si="591"/>
        <v>0</v>
      </c>
      <c r="CB174" s="51">
        <f t="shared" si="511"/>
        <v>0</v>
      </c>
      <c r="CC174" s="51">
        <f t="shared" si="592"/>
        <v>0</v>
      </c>
      <c r="CD174" s="51">
        <f t="shared" si="512"/>
        <v>0</v>
      </c>
      <c r="CE174" s="51">
        <f t="shared" si="593"/>
        <v>0</v>
      </c>
      <c r="CF174" s="51">
        <f t="shared" si="513"/>
        <v>0</v>
      </c>
      <c r="CG174" s="54">
        <f t="shared" si="514"/>
        <v>0</v>
      </c>
      <c r="CH174" s="55">
        <f t="shared" si="515"/>
        <v>0</v>
      </c>
      <c r="CI174" s="56">
        <f>IF(AND($E174&lt;&gt;0,$F174&gt;0,YEAR($F174)&gt;=Preisindex!$A$6,YEAR(CD$4)&gt;=YEAR($F174),AND($K174&lt;&gt;"a",$K174&lt;&gt;"b",$K174&lt;&gt;"g",$K174&lt;&gt;"k")),1,IF(AND($E174&lt;&gt;0,$F174&gt;0,YEAR($F174)&gt;=Preisindex!$A$6,YEAR(CD$4)&gt;=YEAR($F174),$K174="a"),ROUND(VLOOKUP(CI$4,Preisindex,5,FALSE)/VLOOKUP(YEAR($F174),Preisindex,5,FALSE),2),IF(AND($E174&lt;&gt;0,$F174&gt;0,YEAR($F174)&gt;=Preisindex!$A$6,YEAR(CD$4)&gt;=YEAR($F174),$K174="b"),ROUND(VLOOKUP(CI$4,Preisindex,3,FALSE)/VLOOKUP(YEAR($F174),Preisindex,3,FALSE),2),IF(AND($E174&lt;&gt;0,$F174&gt;0,YEAR($F174)&gt;=Preisindex!$A$6,YEAR(CD$4)&gt;=YEAR($F174),$K174="g"),ROUND(VLOOKUP(CI$4,Preisindex,4,FALSE)/VLOOKUP(YEAR($F174),Preisindex,4,FALSE),2),IF(AND($E174&lt;&gt;0,$F174&gt;0,YEAR($F174)&gt;=Preisindex!$A$6,YEAR(CD$4)&gt;=YEAR($F174),$K174="k"),ROUND(VLOOKUP(CI$4,Preisindex,2,FALSE)/VLOOKUP(YEAR($F174),Preisindex,2,FALSE),2),0)))))</f>
        <v>0</v>
      </c>
      <c r="CJ174" s="56">
        <f>IF(AND($E174&lt;&gt;0,$F174&gt;0,YEAR($F174)&lt;Preisindex!$A$6,YEAR(CD$4)&gt;=YEAR($F174),AND($K174&lt;&gt;"a",$K174&lt;&gt;"b",$K174&lt;&gt;"g",$K174&lt;&gt;"k")),1,IF(AND($E174&lt;&gt;0,$F174&gt;0,YEAR($F174)&lt;Preisindex!$A$6,YEAR(CD$4)&gt;=YEAR($F174),$K174="a"),ROUND(VLOOKUP(CI$4,Preisindex,5,FALSE)/VLOOKUP(Preisindex!$A$6,Preisindex,5,FALSE),2),IF(AND($E174&lt;&gt;0,$F174&gt;0,YEAR($F174)&lt;Preisindex!$A$6,YEAR(CD$4)&gt;=YEAR($F174),$K174="b"),ROUND(VLOOKUP(CI$4,Preisindex,3,FALSE)/VLOOKUP(Preisindex!$A$6,Preisindex,3,FALSE),2),IF(AND($E174&lt;&gt;0,$F174&gt;0,YEAR($F174)&lt;Preisindex!$A$6,YEAR(CD$4)&gt;=YEAR($F174),$K174="g"),ROUND(VLOOKUP(CI$4,Preisindex,4,FALSE)/VLOOKUP(Preisindex!$A$6,Preisindex,4,FALSE),2),IF(AND($E174&lt;&gt;0,$F174&gt;0,YEAR($F174)&lt;Preisindex!$A$6,YEAR(CD$4)&gt;=YEAR($F174),$K174="k"),ROUND(VLOOKUP(CI$4,Preisindex,2,FALSE)/VLOOKUP(Preisindex!$A$6,Preisindex,2,FALSE),2),0)))))</f>
        <v>0</v>
      </c>
      <c r="CK174" s="51">
        <f>IF(AND($E174&lt;&gt;0,$F174&gt;0,YEAR($F174)&lt;=CI$4,YEAR($F174)&gt;=Preisindex!$A$6),ROUND($E174*CI174,2),IF(AND($E174&lt;&gt;0,$F174&gt;0,YEAR($F174)&lt;=CI$4,YEAR($F174)&lt;Preisindex!$A$6),ROUND($E174*CJ174,2),0))</f>
        <v>0</v>
      </c>
      <c r="CL174" s="53">
        <f t="shared" si="516"/>
        <v>0</v>
      </c>
      <c r="CM174" s="51">
        <f t="shared" si="619"/>
        <v>0</v>
      </c>
      <c r="CN174" s="51">
        <f t="shared" si="594"/>
        <v>0</v>
      </c>
      <c r="CO174" s="51">
        <f t="shared" si="517"/>
        <v>0</v>
      </c>
      <c r="CP174" s="51">
        <f t="shared" si="595"/>
        <v>0</v>
      </c>
      <c r="CQ174" s="51">
        <f t="shared" si="518"/>
        <v>0</v>
      </c>
      <c r="CR174" s="51">
        <f t="shared" si="596"/>
        <v>0</v>
      </c>
      <c r="CS174" s="51">
        <f t="shared" si="519"/>
        <v>0</v>
      </c>
      <c r="CT174" s="51">
        <f t="shared" si="597"/>
        <v>0</v>
      </c>
      <c r="CU174" s="51">
        <f t="shared" si="520"/>
        <v>0</v>
      </c>
      <c r="CV174" s="51">
        <f t="shared" si="598"/>
        <v>0</v>
      </c>
      <c r="CW174" s="51">
        <f t="shared" si="521"/>
        <v>0</v>
      </c>
      <c r="CX174" s="54">
        <f t="shared" si="522"/>
        <v>0</v>
      </c>
      <c r="CY174" s="55">
        <f t="shared" si="523"/>
        <v>0</v>
      </c>
      <c r="CZ174" s="56">
        <f>IF(AND($E174&lt;&gt;0,$F174&gt;0,YEAR($F174)&gt;=Preisindex!$A$6,YEAR(CU$4)&gt;=YEAR($F174),AND($K174&lt;&gt;"a",$K174&lt;&gt;"b",$K174&lt;&gt;"g",$K174&lt;&gt;"k")),1,IF(AND($E174&lt;&gt;0,$F174&gt;0,YEAR($F174)&gt;=Preisindex!$A$6,YEAR(CU$4)&gt;=YEAR($F174),$K174="a"),ROUND(VLOOKUP(CZ$4,Preisindex,5,FALSE)/VLOOKUP(YEAR($F174),Preisindex,5,FALSE),2),IF(AND($E174&lt;&gt;0,$F174&gt;0,YEAR($F174)&gt;=Preisindex!$A$6,YEAR(CU$4)&gt;=YEAR($F174),$K174="b"),ROUND(VLOOKUP(CZ$4,Preisindex,3,FALSE)/VLOOKUP(YEAR($F174),Preisindex,3,FALSE),2),IF(AND($E174&lt;&gt;0,$F174&gt;0,YEAR($F174)&gt;=Preisindex!$A$6,YEAR(CU$4)&gt;=YEAR($F174),$K174="g"),ROUND(VLOOKUP(CZ$4,Preisindex,4,FALSE)/VLOOKUP(YEAR($F174),Preisindex,4,FALSE),2),IF(AND($E174&lt;&gt;0,$F174&gt;0,YEAR($F174)&gt;=Preisindex!$A$6,YEAR(CU$4)&gt;=YEAR($F174),$K174="k"),ROUND(VLOOKUP(CZ$4,Preisindex,2,FALSE)/VLOOKUP(YEAR($F174),Preisindex,2,FALSE),2),0)))))</f>
        <v>0</v>
      </c>
      <c r="DA174" s="56">
        <f>IF(AND($E174&lt;&gt;0,$F174&gt;0,YEAR($F174)&lt;Preisindex!$A$6,YEAR(CU$4)&gt;=YEAR($F174),AND($K174&lt;&gt;"a",$K174&lt;&gt;"b",$K174&lt;&gt;"g",$K174&lt;&gt;"k")),1,IF(AND($E174&lt;&gt;0,$F174&gt;0,YEAR($F174)&lt;Preisindex!$A$6,YEAR(CU$4)&gt;=YEAR($F174),$K174="a"),ROUND(VLOOKUP(CZ$4,Preisindex,5,FALSE)/VLOOKUP(Preisindex!$A$6,Preisindex,5,FALSE),2),IF(AND($E174&lt;&gt;0,$F174&gt;0,YEAR($F174)&lt;Preisindex!$A$6,YEAR(CU$4)&gt;=YEAR($F174),$K174="b"),ROUND(VLOOKUP(CZ$4,Preisindex,3,FALSE)/VLOOKUP(Preisindex!$A$6,Preisindex,3,FALSE),2),IF(AND($E174&lt;&gt;0,$F174&gt;0,YEAR($F174)&lt;Preisindex!$A$6,YEAR(CU$4)&gt;=YEAR($F174),$K174="g"),ROUND(VLOOKUP(CZ$4,Preisindex,4,FALSE)/VLOOKUP(Preisindex!$A$6,Preisindex,4,FALSE),2),IF(AND($E174&lt;&gt;0,$F174&gt;0,YEAR($F174)&lt;Preisindex!$A$6,YEAR(CU$4)&gt;=YEAR($F174),$K174="k"),ROUND(VLOOKUP(CZ$4,Preisindex,2,FALSE)/VLOOKUP(Preisindex!$A$6,Preisindex,2,FALSE),2),0)))))</f>
        <v>0</v>
      </c>
      <c r="DB174" s="51">
        <f>IF(AND($E174&lt;&gt;0,$F174&gt;0,YEAR($F174)&lt;=CZ$4,YEAR($F174)&gt;=Preisindex!$A$6),ROUND($E174*CZ174,2),IF(AND($E174&lt;&gt;0,$F174&gt;0,YEAR($F174)&lt;=CZ$4,YEAR($F174)&lt;Preisindex!$A$6),ROUND($E174*DA174,2),0))</f>
        <v>0</v>
      </c>
      <c r="DC174" s="53">
        <f t="shared" si="524"/>
        <v>0</v>
      </c>
      <c r="DD174" s="51">
        <f t="shared" si="620"/>
        <v>0</v>
      </c>
      <c r="DE174" s="51">
        <f t="shared" si="599"/>
        <v>0</v>
      </c>
      <c r="DF174" s="51">
        <f t="shared" si="526"/>
        <v>0</v>
      </c>
      <c r="DG174" s="51">
        <f t="shared" si="600"/>
        <v>0</v>
      </c>
      <c r="DH174" s="51">
        <f t="shared" si="527"/>
        <v>0</v>
      </c>
      <c r="DI174" s="51">
        <f t="shared" si="601"/>
        <v>0</v>
      </c>
      <c r="DJ174" s="51">
        <f t="shared" si="528"/>
        <v>0</v>
      </c>
      <c r="DK174" s="51">
        <f t="shared" si="602"/>
        <v>0</v>
      </c>
      <c r="DL174" s="51">
        <f t="shared" si="529"/>
        <v>0</v>
      </c>
      <c r="DM174" s="51">
        <f t="shared" si="603"/>
        <v>0</v>
      </c>
      <c r="DN174" s="51">
        <f t="shared" si="530"/>
        <v>0</v>
      </c>
      <c r="DO174" s="54">
        <f t="shared" si="531"/>
        <v>0</v>
      </c>
      <c r="DP174" s="55">
        <f t="shared" si="532"/>
        <v>0</v>
      </c>
      <c r="DQ174" s="56">
        <f>IF(AND($E174&lt;&gt;0,$F174&gt;0,YEAR($F174)&gt;=Preisindex!$A$6,YEAR(DL$4)&gt;=YEAR($F174),AND($K174&lt;&gt;"a",$K174&lt;&gt;"b",$K174&lt;&gt;"g",$K174&lt;&gt;"k")),1,IF(AND($E174&lt;&gt;0,$F174&gt;0,YEAR($F174)&gt;=Preisindex!$A$6,YEAR(DL$4)&gt;=YEAR($F174),$K174="a"),ROUND(VLOOKUP(DQ$4,Preisindex,5,FALSE)/VLOOKUP(YEAR($F174),Preisindex,5,FALSE),2),IF(AND($E174&lt;&gt;0,$F174&gt;0,YEAR($F174)&gt;=Preisindex!$A$6,YEAR(DL$4)&gt;=YEAR($F174),$K174="b"),ROUND(VLOOKUP(DQ$4,Preisindex,3,FALSE)/VLOOKUP(YEAR($F174),Preisindex,3,FALSE),2),IF(AND($E174&lt;&gt;0,$F174&gt;0,YEAR($F174)&gt;=Preisindex!$A$6,YEAR(DL$4)&gt;=YEAR($F174),$K174="g"),ROUND(VLOOKUP(DQ$4,Preisindex,4,FALSE)/VLOOKUP(YEAR($F174),Preisindex,4,FALSE),2),IF(AND($E174&lt;&gt;0,$F174&gt;0,YEAR($F174)&gt;=Preisindex!$A$6,YEAR(DL$4)&gt;=YEAR($F174),$K174="k"),ROUND(VLOOKUP(DQ$4,Preisindex,2,FALSE)/VLOOKUP(YEAR($F174),Preisindex,2,FALSE),2),0)))))</f>
        <v>0</v>
      </c>
      <c r="DR174" s="56">
        <f>IF(AND($E174&lt;&gt;0,$F174&gt;0,YEAR($F174)&lt;Preisindex!$A$6,YEAR(DL$4)&gt;=YEAR($F174),AND($K174&lt;&gt;"a",$K174&lt;&gt;"b",$K174&lt;&gt;"g",$K174&lt;&gt;"k")),1,IF(AND($E174&lt;&gt;0,$F174&gt;0,YEAR($F174)&lt;Preisindex!$A$6,YEAR(DL$4)&gt;=YEAR($F174),$K174="a"),ROUND(VLOOKUP(DQ$4,Preisindex,5,FALSE)/VLOOKUP(Preisindex!$A$6,Preisindex,5,FALSE),2),IF(AND($E174&lt;&gt;0,$F174&gt;0,YEAR($F174)&lt;Preisindex!$A$6,YEAR(DL$4)&gt;=YEAR($F174),$K174="b"),ROUND(VLOOKUP(DQ$4,Preisindex,3,FALSE)/VLOOKUP(Preisindex!$A$6,Preisindex,3,FALSE),2),IF(AND($E174&lt;&gt;0,$F174&gt;0,YEAR($F174)&lt;Preisindex!$A$6,YEAR(DL$4)&gt;=YEAR($F174),$K174="g"),ROUND(VLOOKUP(DQ$4,Preisindex,4,FALSE)/VLOOKUP(Preisindex!$A$6,Preisindex,4,FALSE),2),IF(AND($E174&lt;&gt;0,$F174&gt;0,YEAR($F174)&lt;Preisindex!$A$6,YEAR(DL$4)&gt;=YEAR($F174),$K174="k"),ROUND(VLOOKUP(DQ$4,Preisindex,2,FALSE)/VLOOKUP(Preisindex!$A$6,Preisindex,2,FALSE),2),0)))))</f>
        <v>0</v>
      </c>
      <c r="DS174" s="51">
        <f>IF(AND($E174&lt;&gt;0,$F174&gt;0,YEAR($F174)&lt;=DQ$4,YEAR($F174)&gt;=Preisindex!$A$6),ROUND($E174*DQ174,2),IF(AND($E174&lt;&gt;0,$F174&gt;0,YEAR($F174)&lt;=DQ$4,YEAR($F174)&lt;Preisindex!$A$6),ROUND($E174*DR174,2),0))</f>
        <v>0</v>
      </c>
      <c r="DT174" s="53">
        <f t="shared" si="533"/>
        <v>0</v>
      </c>
      <c r="DU174" s="51">
        <f t="shared" si="620"/>
        <v>0</v>
      </c>
      <c r="DV174" s="51">
        <f t="shared" si="604"/>
        <v>0</v>
      </c>
      <c r="DW174" s="51">
        <f t="shared" si="534"/>
        <v>0</v>
      </c>
      <c r="DX174" s="51">
        <f t="shared" si="605"/>
        <v>0</v>
      </c>
      <c r="DY174" s="51">
        <f t="shared" si="535"/>
        <v>0</v>
      </c>
      <c r="DZ174" s="51">
        <f t="shared" si="606"/>
        <v>0</v>
      </c>
      <c r="EA174" s="51">
        <f t="shared" si="536"/>
        <v>0</v>
      </c>
      <c r="EB174" s="51">
        <f t="shared" si="607"/>
        <v>0</v>
      </c>
      <c r="EC174" s="51">
        <f t="shared" si="537"/>
        <v>0</v>
      </c>
      <c r="ED174" s="51">
        <f t="shared" si="608"/>
        <v>0</v>
      </c>
      <c r="EE174" s="51">
        <f t="shared" si="538"/>
        <v>0</v>
      </c>
      <c r="EF174" s="54">
        <f t="shared" si="539"/>
        <v>0</v>
      </c>
      <c r="EG174" s="55">
        <f t="shared" si="540"/>
        <v>0</v>
      </c>
      <c r="EH174" s="56">
        <f>IF(AND($E174&lt;&gt;0,$F174&gt;0,YEAR($F174)&gt;=Preisindex!$A$6,YEAR(EC$4)&gt;=YEAR($F174),AND($K174&lt;&gt;"a",$K174&lt;&gt;"b",$K174&lt;&gt;"g",$K174&lt;&gt;"k")),1,IF(AND($E174&lt;&gt;0,$F174&gt;0,YEAR($F174)&gt;=Preisindex!$A$6,YEAR(EC$4)&gt;=YEAR($F174),$K174="a"),ROUND(VLOOKUP(EH$4,Preisindex,5,FALSE)/VLOOKUP(YEAR($F174),Preisindex,5,FALSE),2),IF(AND($E174&lt;&gt;0,$F174&gt;0,YEAR($F174)&gt;=Preisindex!$A$6,YEAR(EC$4)&gt;=YEAR($F174),$K174="b"),ROUND(VLOOKUP(EH$4,Preisindex,3,FALSE)/VLOOKUP(YEAR($F174),Preisindex,3,FALSE),2),IF(AND($E174&lt;&gt;0,$F174&gt;0,YEAR($F174)&gt;=Preisindex!$A$6,YEAR(EC$4)&gt;=YEAR($F174),$K174="g"),ROUND(VLOOKUP(EH$4,Preisindex,4,FALSE)/VLOOKUP(YEAR($F174),Preisindex,4,FALSE),2),IF(AND($E174&lt;&gt;0,$F174&gt;0,YEAR($F174)&gt;=Preisindex!$A$6,YEAR(EC$4)&gt;=YEAR($F174),$K174="k"),ROUND(VLOOKUP(EH$4,Preisindex,2,FALSE)/VLOOKUP(YEAR($F174),Preisindex,2,FALSE),2),0)))))</f>
        <v>0</v>
      </c>
      <c r="EI174" s="56">
        <f>IF(AND($E174&lt;&gt;0,$F174&gt;0,YEAR($F174)&lt;Preisindex!$A$6,YEAR(EC$4)&gt;=YEAR($F174),AND($K174&lt;&gt;"a",$K174&lt;&gt;"b",$K174&lt;&gt;"g",$K174&lt;&gt;"k")),1,IF(AND($E174&lt;&gt;0,$F174&gt;0,YEAR($F174)&lt;Preisindex!$A$6,YEAR(EC$4)&gt;=YEAR($F174),$K174="a"),ROUND(VLOOKUP(EH$4,Preisindex,5,FALSE)/VLOOKUP(Preisindex!$A$6,Preisindex,5,FALSE),2),IF(AND($E174&lt;&gt;0,$F174&gt;0,YEAR($F174)&lt;Preisindex!$A$6,YEAR(EC$4)&gt;=YEAR($F174),$K174="b"),ROUND(VLOOKUP(EH$4,Preisindex,3,FALSE)/VLOOKUP(Preisindex!$A$6,Preisindex,3,FALSE),2),IF(AND($E174&lt;&gt;0,$F174&gt;0,YEAR($F174)&lt;Preisindex!$A$6,YEAR(EC$4)&gt;=YEAR($F174),$K174="g"),ROUND(VLOOKUP(EH$4,Preisindex,4,FALSE)/VLOOKUP(Preisindex!$A$6,Preisindex,4,FALSE),2),IF(AND($E174&lt;&gt;0,$F174&gt;0,YEAR($F174)&lt;Preisindex!$A$6,YEAR(EC$4)&gt;=YEAR($F174),$K174="k"),ROUND(VLOOKUP(EH$4,Preisindex,2,FALSE)/VLOOKUP(Preisindex!$A$6,Preisindex,2,FALSE),2),0)))))</f>
        <v>0</v>
      </c>
      <c r="EJ174" s="51">
        <f>IF(AND($E174&lt;&gt;0,$F174&gt;0,YEAR($F174)&lt;=EH$4,YEAR($F174)&gt;=Preisindex!$A$6),ROUND($E174*EH174,2),IF(AND($E174&lt;&gt;0,$F174&gt;0,YEAR($F174)&lt;=EH$4,YEAR($F174)&lt;Preisindex!$A$6),ROUND($E174*EI174,2),0))</f>
        <v>0</v>
      </c>
      <c r="EK174" s="53">
        <f t="shared" si="541"/>
        <v>0</v>
      </c>
      <c r="EL174" s="51">
        <f t="shared" si="620"/>
        <v>0</v>
      </c>
      <c r="EM174" s="51">
        <f t="shared" si="609"/>
        <v>0</v>
      </c>
      <c r="EN174" s="51">
        <f t="shared" si="542"/>
        <v>0</v>
      </c>
      <c r="EO174" s="51">
        <f t="shared" si="610"/>
        <v>0</v>
      </c>
      <c r="EP174" s="51">
        <f t="shared" si="543"/>
        <v>0</v>
      </c>
      <c r="EQ174" s="51">
        <f t="shared" si="611"/>
        <v>0</v>
      </c>
      <c r="ER174" s="51">
        <f t="shared" si="544"/>
        <v>0</v>
      </c>
      <c r="ES174" s="51">
        <f t="shared" si="612"/>
        <v>0</v>
      </c>
      <c r="ET174" s="51">
        <f t="shared" si="545"/>
        <v>0</v>
      </c>
      <c r="EU174" s="51">
        <f t="shared" si="613"/>
        <v>0</v>
      </c>
      <c r="EV174" s="51">
        <f t="shared" si="546"/>
        <v>0</v>
      </c>
      <c r="EW174" s="54">
        <f t="shared" si="547"/>
        <v>0</v>
      </c>
      <c r="EX174" s="55">
        <f t="shared" si="548"/>
        <v>0</v>
      </c>
      <c r="EY174" s="56">
        <f>IF(AND($E174&lt;&gt;0,$F174&gt;0,YEAR($F174)&gt;=Preisindex!$A$6,YEAR(ET$4)&gt;=YEAR($F174),AND($K174&lt;&gt;"a",$K174&lt;&gt;"b",$K174&lt;&gt;"g",$K174&lt;&gt;"k")),1,IF(AND($E174&lt;&gt;0,$F174&gt;0,YEAR($F174)&gt;=Preisindex!$A$6,YEAR(ET$4)&gt;=YEAR($F174),$K174="a"),ROUND(VLOOKUP(EY$4,Preisindex,5,FALSE)/VLOOKUP(YEAR($F174),Preisindex,5,FALSE),2),IF(AND($E174&lt;&gt;0,$F174&gt;0,YEAR($F174)&gt;=Preisindex!$A$6,YEAR(ET$4)&gt;=YEAR($F174),$K174="b"),ROUND(VLOOKUP(EY$4,Preisindex,3,FALSE)/VLOOKUP(YEAR($F174),Preisindex,3,FALSE),2),IF(AND($E174&lt;&gt;0,$F174&gt;0,YEAR($F174)&gt;=Preisindex!$A$6,YEAR(ET$4)&gt;=YEAR($F174),$K174="g"),ROUND(VLOOKUP(EY$4,Preisindex,4,FALSE)/VLOOKUP(YEAR($F174),Preisindex,4,FALSE),2),IF(AND($E174&lt;&gt;0,$F174&gt;0,YEAR($F174)&gt;=Preisindex!$A$6,YEAR(ET$4)&gt;=YEAR($F174),$K174="k"),ROUND(VLOOKUP(EY$4,Preisindex,2,FALSE)/VLOOKUP(YEAR($F174),Preisindex,2,FALSE),2),0)))))</f>
        <v>0</v>
      </c>
      <c r="EZ174" s="56">
        <f>IF(AND($E174&lt;&gt;0,$F174&gt;0,YEAR($F174)&lt;Preisindex!$A$6,YEAR(ET$4)&gt;=YEAR($F174),AND($K174&lt;&gt;"a",$K174&lt;&gt;"b",$K174&lt;&gt;"g",$K174&lt;&gt;"k")),1,IF(AND($E174&lt;&gt;0,$F174&gt;0,YEAR($F174)&lt;Preisindex!$A$6,YEAR(ET$4)&gt;=YEAR($F174),$K174="a"),ROUND(VLOOKUP(EY$4,Preisindex,5,FALSE)/VLOOKUP(Preisindex!$A$6,Preisindex,5,FALSE),2),IF(AND($E174&lt;&gt;0,$F174&gt;0,YEAR($F174)&lt;Preisindex!$A$6,YEAR(ET$4)&gt;=YEAR($F174),$K174="b"),ROUND(VLOOKUP(EY$4,Preisindex,3,FALSE)/VLOOKUP(Preisindex!$A$6,Preisindex,3,FALSE),2),IF(AND($E174&lt;&gt;0,$F174&gt;0,YEAR($F174)&lt;Preisindex!$A$6,YEAR(ET$4)&gt;=YEAR($F174),$K174="g"),ROUND(VLOOKUP(EY$4,Preisindex,4,FALSE)/VLOOKUP(Preisindex!$A$6,Preisindex,4,FALSE),2),IF(AND($E174&lt;&gt;0,$F174&gt;0,YEAR($F174)&lt;Preisindex!$A$6,YEAR(ET$4)&gt;=YEAR($F174),$K174="k"),ROUND(VLOOKUP(EY$4,Preisindex,2,FALSE)/VLOOKUP(Preisindex!$A$6,Preisindex,2,FALSE),2),0)))))</f>
        <v>0</v>
      </c>
      <c r="FA174" s="51">
        <f>IF(AND($E174&lt;&gt;0,$F174&gt;0,YEAR($F174)&lt;=EY$4,YEAR($F174)&gt;=Preisindex!$A$6),ROUND($E174*EY174,2),IF(AND($E174&lt;&gt;0,$F174&gt;0,YEAR($F174)&lt;=EY$4,YEAR($F174)&lt;Preisindex!$A$6),ROUND($E174*EZ174,2),0))</f>
        <v>0</v>
      </c>
      <c r="FB174" s="53">
        <f t="shared" si="549"/>
        <v>0</v>
      </c>
      <c r="FC174" s="51">
        <f t="shared" si="620"/>
        <v>0</v>
      </c>
      <c r="FD174" s="51">
        <f t="shared" si="614"/>
        <v>0</v>
      </c>
      <c r="FE174" s="51">
        <f t="shared" si="550"/>
        <v>0</v>
      </c>
      <c r="FF174" s="51">
        <f t="shared" si="615"/>
        <v>0</v>
      </c>
      <c r="FG174" s="51">
        <f t="shared" si="551"/>
        <v>0</v>
      </c>
      <c r="FH174" s="51">
        <f t="shared" si="616"/>
        <v>0</v>
      </c>
      <c r="FI174" s="51">
        <f t="shared" si="552"/>
        <v>0</v>
      </c>
      <c r="FJ174" s="51">
        <f t="shared" si="617"/>
        <v>0</v>
      </c>
      <c r="FK174" s="51">
        <f t="shared" si="553"/>
        <v>0</v>
      </c>
      <c r="FL174" s="51">
        <f t="shared" si="618"/>
        <v>0</v>
      </c>
      <c r="FM174" s="51">
        <f t="shared" si="554"/>
        <v>0</v>
      </c>
      <c r="FN174" s="54">
        <f t="shared" si="555"/>
        <v>0</v>
      </c>
      <c r="FO174" s="55">
        <f t="shared" si="556"/>
        <v>0</v>
      </c>
      <c r="FP174" s="56">
        <f>IF(AND($E174&lt;&gt;0,$F174&gt;0,YEAR($F174)&gt;=Preisindex!$A$6,YEAR(FK$4)&gt;=YEAR($F174),AND($K174&lt;&gt;"a",$K174&lt;&gt;"b",$K174&lt;&gt;"g",$K174&lt;&gt;"k")),1,IF(AND($E174&lt;&gt;0,$F174&gt;0,YEAR($F174)&gt;=Preisindex!$A$6,YEAR(FK$4)&gt;=YEAR($F174),$K174="a"),ROUND(VLOOKUP(FP$4,Preisindex,5,FALSE)/VLOOKUP(YEAR($F174),Preisindex,5,FALSE),2),IF(AND($E174&lt;&gt;0,$F174&gt;0,YEAR($F174)&gt;=Preisindex!$A$6,YEAR(FK$4)&gt;=YEAR($F174),$K174="b"),ROUND(VLOOKUP(FP$4,Preisindex,3,FALSE)/VLOOKUP(YEAR($F174),Preisindex,3,FALSE),2),IF(AND($E174&lt;&gt;0,$F174&gt;0,YEAR($F174)&gt;=Preisindex!$A$6,YEAR(FK$4)&gt;=YEAR($F174),$K174="g"),ROUND(VLOOKUP(FP$4,Preisindex,4,FALSE)/VLOOKUP(YEAR($F174),Preisindex,4,FALSE),2),IF(AND($E174&lt;&gt;0,$F174&gt;0,YEAR($F174)&gt;=Preisindex!$A$6,YEAR(FK$4)&gt;=YEAR($F174),$K174="k"),ROUND(VLOOKUP(FP$4,Preisindex,2,FALSE)/VLOOKUP(YEAR($F174),Preisindex,2,FALSE),2),0)))))</f>
        <v>0</v>
      </c>
      <c r="FQ174" s="56">
        <f>IF(AND($E174&lt;&gt;0,$F174&gt;0,YEAR($F174)&lt;Preisindex!$A$6,YEAR(FK$4)&gt;=YEAR($F174),AND($K174&lt;&gt;"a",$K174&lt;&gt;"b",$K174&lt;&gt;"g",$K174&lt;&gt;"k")),1,IF(AND($E174&lt;&gt;0,$F174&gt;0,YEAR($F174)&lt;Preisindex!$A$6,YEAR(FK$4)&gt;=YEAR($F174),$K174="a"),ROUND(VLOOKUP(FP$4,Preisindex,5,FALSE)/VLOOKUP(Preisindex!$A$6,Preisindex,5,FALSE),2),IF(AND($E174&lt;&gt;0,$F174&gt;0,YEAR($F174)&lt;Preisindex!$A$6,YEAR(FK$4)&gt;=YEAR($F174),$K174="b"),ROUND(VLOOKUP(FP$4,Preisindex,3,FALSE)/VLOOKUP(Preisindex!$A$6,Preisindex,3,FALSE),2),IF(AND($E174&lt;&gt;0,$F174&gt;0,YEAR($F174)&lt;Preisindex!$A$6,YEAR(FK$4)&gt;=YEAR($F174),$K174="g"),ROUND(VLOOKUP(FP$4,Preisindex,4,FALSE)/VLOOKUP(Preisindex!$A$6,Preisindex,4,FALSE),2),IF(AND($E174&lt;&gt;0,$F174&gt;0,YEAR($F174)&lt;Preisindex!$A$6,YEAR(FK$4)&gt;=YEAR($F174),$K174="k"),ROUND(VLOOKUP(FP$4,Preisindex,2,FALSE)/VLOOKUP(Preisindex!$A$6,Preisindex,2,FALSE),2),0)))))</f>
        <v>0</v>
      </c>
      <c r="FR174" s="51">
        <f>IF(AND($E174&lt;&gt;0,$F174&gt;0,YEAR($F174)&lt;=FP$4,YEAR($F174)&gt;=Preisindex!$A$6),ROUND($E174*FP174,2),IF(AND($E174&lt;&gt;0,$F174&gt;0,YEAR($F174)&lt;=FP$4,YEAR($F174)&lt;Preisindex!$A$6),ROUND($E174*FQ174,2),0))</f>
        <v>0</v>
      </c>
      <c r="FS174" s="53">
        <f t="shared" si="557"/>
        <v>0</v>
      </c>
    </row>
    <row r="175" spans="1:175" x14ac:dyDescent="0.3">
      <c r="A175" s="93"/>
      <c r="B175" s="94"/>
      <c r="C175" s="94"/>
      <c r="D175" s="95"/>
      <c r="E175" s="99"/>
      <c r="F175" s="97"/>
      <c r="G175" s="98"/>
      <c r="H175" s="620"/>
      <c r="I175" s="621"/>
      <c r="J175" s="194"/>
      <c r="K175" s="630"/>
      <c r="L175" s="49">
        <f t="shared" si="558"/>
        <v>0</v>
      </c>
      <c r="M175" s="50">
        <f t="shared" si="559"/>
        <v>0</v>
      </c>
      <c r="N175" s="51">
        <f t="shared" si="560"/>
        <v>0</v>
      </c>
      <c r="O175" s="51"/>
      <c r="P175" s="51">
        <f t="shared" si="561"/>
        <v>0</v>
      </c>
      <c r="Q175" s="52"/>
      <c r="R175" s="52"/>
      <c r="S175" s="52"/>
      <c r="T175" s="52"/>
      <c r="U175" s="52"/>
      <c r="V175" s="53">
        <f t="shared" si="562"/>
        <v>0</v>
      </c>
      <c r="W175" s="51">
        <f t="shared" si="563"/>
        <v>0</v>
      </c>
      <c r="X175" s="51">
        <f t="shared" si="564"/>
        <v>0</v>
      </c>
      <c r="Y175" s="51">
        <f t="shared" si="565"/>
        <v>0</v>
      </c>
      <c r="Z175" s="51">
        <f t="shared" si="566"/>
        <v>0</v>
      </c>
      <c r="AA175" s="51">
        <f t="shared" si="567"/>
        <v>0</v>
      </c>
      <c r="AB175" s="51">
        <f t="shared" si="568"/>
        <v>0</v>
      </c>
      <c r="AC175" s="51">
        <f t="shared" si="569"/>
        <v>0</v>
      </c>
      <c r="AD175" s="51">
        <f t="shared" si="570"/>
        <v>0</v>
      </c>
      <c r="AE175" s="51">
        <f t="shared" si="571"/>
        <v>0</v>
      </c>
      <c r="AF175" s="51">
        <f t="shared" si="572"/>
        <v>0</v>
      </c>
      <c r="AG175" s="51">
        <f t="shared" si="573"/>
        <v>0</v>
      </c>
      <c r="AH175" s="54">
        <f t="shared" si="574"/>
        <v>0</v>
      </c>
      <c r="AI175" s="55">
        <f t="shared" si="575"/>
        <v>0</v>
      </c>
      <c r="AJ175" s="56">
        <f>IF(AND($E175&lt;&gt;0,$F175&gt;0,YEAR($F175)&gt;=Preisindex!$A$6,YEAR(AE$4)&gt;=YEAR($F175),AND($K175&lt;&gt;"a",$K175&lt;&gt;"b",$K175&lt;&gt;"g",$K175&lt;&gt;"k")),1,IF(AND($E175&lt;&gt;0,$F175&gt;0,YEAR($F175)&gt;=Preisindex!$A$6,YEAR(AE$4)&gt;=YEAR($F175),$K175="a"),ROUND(VLOOKUP(AJ$4,Preisindex,5,FALSE)/VLOOKUP(YEAR($F175),Preisindex,5,FALSE),2),IF(AND($E175&lt;&gt;0,$F175&gt;0,YEAR($F175)&gt;=Preisindex!$A$6,YEAR(AE$4)&gt;=YEAR($F175),$K175="b"),ROUND(VLOOKUP(AJ$4,Preisindex,3,FALSE)/VLOOKUP(YEAR($F175),Preisindex,3,FALSE),2),IF(AND($E175&lt;&gt;0,$F175&gt;0,YEAR($F175)&gt;=Preisindex!$A$6,YEAR(AE$4)&gt;=YEAR($F175),$K175="g"),ROUND(VLOOKUP(AJ$4,Preisindex,4,FALSE)/VLOOKUP(YEAR($F175),Preisindex,4,FALSE),2),IF(AND($E175&lt;&gt;0,$F175&gt;0,YEAR($F175)&gt;=Preisindex!$A$6,YEAR(AE$4)&gt;=YEAR($F175),$K175="k"),ROUND(VLOOKUP(AJ$4,Preisindex,2,FALSE)/VLOOKUP(YEAR($F175),Preisindex,2,FALSE),2),0)))))</f>
        <v>0</v>
      </c>
      <c r="AK175" s="56">
        <f>IF(AND($E175&lt;&gt;0,$F175&gt;0,YEAR($F175)&lt;Preisindex!$A$6,YEAR(AE$4)&gt;=YEAR($F175),AND($K175&lt;&gt;"a",$K175&lt;&gt;"b",$K175&lt;&gt;"g",$K175&lt;&gt;"k")),1,IF(AND($E175&lt;&gt;0,$F175&gt;0,YEAR($F175)&lt;Preisindex!$A$6,YEAR(AE$4)&gt;=YEAR($F175),$K175="a"),ROUND(VLOOKUP(AJ$4,Preisindex,5,FALSE)/VLOOKUP(Preisindex!$A$6,Preisindex,5,FALSE),2),IF(AND($E175&lt;&gt;0,$F175&gt;0,YEAR($F175)&lt;Preisindex!$A$6,YEAR(AE$4)&gt;=YEAR($F175),$K175="b"),ROUND(VLOOKUP(AJ$4,Preisindex,3,FALSE)/VLOOKUP(Preisindex!$A$6,Preisindex,3,FALSE),2),IF(AND($E175&lt;&gt;0,$F175&gt;0,YEAR($F175)&lt;Preisindex!$A$6,YEAR(AE$4)&gt;=YEAR($F175),$K175="g"),ROUND(VLOOKUP(AJ$4,Preisindex,4,FALSE)/VLOOKUP(Preisindex!$A$6,Preisindex,4,FALSE),2),IF(AND($E175&lt;&gt;0,$F175&gt;0,YEAR($F175)&lt;Preisindex!$A$6,YEAR(AE$4)&gt;=YEAR($F175),$K175="k"),ROUND(VLOOKUP(AJ$4,Preisindex,2,FALSE)/VLOOKUP(Preisindex!$A$6,Preisindex,2,FALSE),2),0)))))</f>
        <v>0</v>
      </c>
      <c r="AL175" s="51">
        <f>IF(AND($E175&lt;&gt;0,$F175&gt;0,YEAR($F175)&lt;=AJ$4,YEAR($F175)&gt;=Preisindex!$A$6),ROUND($E175*AJ175,2),IF(AND($E175&lt;&gt;0,$F175&gt;0,YEAR($F175)&lt;=AJ$4,YEAR($F175)&lt;Preisindex!$A$6),ROUND($E175*AK175,2),0))</f>
        <v>0</v>
      </c>
      <c r="AM175" s="53">
        <f t="shared" si="576"/>
        <v>0</v>
      </c>
      <c r="AN175" s="51">
        <f t="shared" si="619"/>
        <v>0</v>
      </c>
      <c r="AO175" s="51">
        <f t="shared" si="579"/>
        <v>0</v>
      </c>
      <c r="AP175" s="51">
        <f t="shared" si="493"/>
        <v>0</v>
      </c>
      <c r="AQ175" s="51">
        <f t="shared" si="580"/>
        <v>0</v>
      </c>
      <c r="AR175" s="51">
        <f t="shared" si="494"/>
        <v>0</v>
      </c>
      <c r="AS175" s="51">
        <f t="shared" si="581"/>
        <v>0</v>
      </c>
      <c r="AT175" s="51">
        <f t="shared" si="495"/>
        <v>0</v>
      </c>
      <c r="AU175" s="51">
        <f t="shared" si="582"/>
        <v>0</v>
      </c>
      <c r="AV175" s="51">
        <f t="shared" si="496"/>
        <v>0</v>
      </c>
      <c r="AW175" s="51">
        <f t="shared" si="583"/>
        <v>0</v>
      </c>
      <c r="AX175" s="51">
        <f t="shared" si="497"/>
        <v>0</v>
      </c>
      <c r="AY175" s="54">
        <f t="shared" si="498"/>
        <v>0</v>
      </c>
      <c r="AZ175" s="55">
        <f t="shared" si="499"/>
        <v>0</v>
      </c>
      <c r="BA175" s="56">
        <f>IF(AND($E175&lt;&gt;0,$F175&gt;0,YEAR($F175)&gt;=Preisindex!$A$6,YEAR(AV$4)&gt;=YEAR($F175),AND($K175&lt;&gt;"a",$K175&lt;&gt;"b",$K175&lt;&gt;"g",$K175&lt;&gt;"k")),1,IF(AND($E175&lt;&gt;0,$F175&gt;0,YEAR($F175)&gt;=Preisindex!$A$6,YEAR(AV$4)&gt;=YEAR($F175),$K175="a"),ROUND(VLOOKUP(BA$4,Preisindex,5,FALSE)/VLOOKUP(YEAR($F175),Preisindex,5,FALSE),2),IF(AND($E175&lt;&gt;0,$F175&gt;0,YEAR($F175)&gt;=Preisindex!$A$6,YEAR(AV$4)&gt;=YEAR($F175),$K175="b"),ROUND(VLOOKUP(BA$4,Preisindex,3,FALSE)/VLOOKUP(YEAR($F175),Preisindex,3,FALSE),2),IF(AND($E175&lt;&gt;0,$F175&gt;0,YEAR($F175)&gt;=Preisindex!$A$6,YEAR(AV$4)&gt;=YEAR($F175),$K175="g"),ROUND(VLOOKUP(BA$4,Preisindex,4,FALSE)/VLOOKUP(YEAR($F175),Preisindex,4,FALSE),2),IF(AND($E175&lt;&gt;0,$F175&gt;0,YEAR($F175)&gt;=Preisindex!$A$6,YEAR(AV$4)&gt;=YEAR($F175),$K175="k"),ROUND(VLOOKUP(BA$4,Preisindex,2,FALSE)/VLOOKUP(YEAR($F175),Preisindex,2,FALSE),2),0)))))</f>
        <v>0</v>
      </c>
      <c r="BB175" s="56">
        <f>IF(AND($E175&lt;&gt;0,$F175&gt;0,YEAR($F175)&lt;Preisindex!$A$6,YEAR(AV$4)&gt;=YEAR($F175),AND($K175&lt;&gt;"a",$K175&lt;&gt;"b",$K175&lt;&gt;"g",$K175&lt;&gt;"k")),1,IF(AND($E175&lt;&gt;0,$F175&gt;0,YEAR($F175)&lt;Preisindex!$A$6,YEAR(AV$4)&gt;=YEAR($F175),$K175="a"),ROUND(VLOOKUP(BA$4,Preisindex,5,FALSE)/VLOOKUP(Preisindex!$A$6,Preisindex,5,FALSE),2),IF(AND($E175&lt;&gt;0,$F175&gt;0,YEAR($F175)&lt;Preisindex!$A$6,YEAR(AV$4)&gt;=YEAR($F175),$K175="b"),ROUND(VLOOKUP(BA$4,Preisindex,3,FALSE)/VLOOKUP(Preisindex!$A$6,Preisindex,3,FALSE),2),IF(AND($E175&lt;&gt;0,$F175&gt;0,YEAR($F175)&lt;Preisindex!$A$6,YEAR(AV$4)&gt;=YEAR($F175),$K175="g"),ROUND(VLOOKUP(BA$4,Preisindex,4,FALSE)/VLOOKUP(Preisindex!$A$6,Preisindex,4,FALSE),2),IF(AND($E175&lt;&gt;0,$F175&gt;0,YEAR($F175)&lt;Preisindex!$A$6,YEAR(AV$4)&gt;=YEAR($F175),$K175="k"),ROUND(VLOOKUP(BA$4,Preisindex,2,FALSE)/VLOOKUP(Preisindex!$A$6,Preisindex,2,FALSE),2),0)))))</f>
        <v>0</v>
      </c>
      <c r="BC175" s="51">
        <f>IF(AND($E175&lt;&gt;0,$F175&gt;0,YEAR($F175)&lt;=BA$4,YEAR($F175)&gt;=Preisindex!$A$6),ROUND($E175*BA175,2),IF(AND($E175&lt;&gt;0,$F175&gt;0,YEAR($F175)&lt;=BA$4,YEAR($F175)&lt;Preisindex!$A$6),ROUND($E175*BB175,2),0))</f>
        <v>0</v>
      </c>
      <c r="BD175" s="53">
        <f t="shared" si="500"/>
        <v>0</v>
      </c>
      <c r="BE175" s="51">
        <f t="shared" si="619"/>
        <v>0</v>
      </c>
      <c r="BF175" s="51">
        <f t="shared" si="584"/>
        <v>0</v>
      </c>
      <c r="BG175" s="51">
        <f t="shared" si="501"/>
        <v>0</v>
      </c>
      <c r="BH175" s="51">
        <f t="shared" si="585"/>
        <v>0</v>
      </c>
      <c r="BI175" s="51">
        <f t="shared" si="502"/>
        <v>0</v>
      </c>
      <c r="BJ175" s="51">
        <f t="shared" si="586"/>
        <v>0</v>
      </c>
      <c r="BK175" s="51">
        <f t="shared" si="503"/>
        <v>0</v>
      </c>
      <c r="BL175" s="51">
        <f t="shared" si="587"/>
        <v>0</v>
      </c>
      <c r="BM175" s="51">
        <f t="shared" si="504"/>
        <v>0</v>
      </c>
      <c r="BN175" s="51">
        <f t="shared" si="588"/>
        <v>0</v>
      </c>
      <c r="BO175" s="51">
        <f t="shared" si="505"/>
        <v>0</v>
      </c>
      <c r="BP175" s="54">
        <f t="shared" si="506"/>
        <v>0</v>
      </c>
      <c r="BQ175" s="55">
        <f t="shared" si="507"/>
        <v>0</v>
      </c>
      <c r="BR175" s="56">
        <f>IF(AND($E175&lt;&gt;0,$F175&gt;0,YEAR($F175)&gt;=Preisindex!$A$6,YEAR(BM$4)&gt;=YEAR($F175),AND($K175&lt;&gt;"a",$K175&lt;&gt;"b",$K175&lt;&gt;"g",$K175&lt;&gt;"k")),1,IF(AND($E175&lt;&gt;0,$F175&gt;0,YEAR($F175)&gt;=Preisindex!$A$6,YEAR(BM$4)&gt;=YEAR($F175),$K175="a"),ROUND(VLOOKUP(BR$4,Preisindex,5,FALSE)/VLOOKUP(YEAR($F175),Preisindex,5,FALSE),2),IF(AND($E175&lt;&gt;0,$F175&gt;0,YEAR($F175)&gt;=Preisindex!$A$6,YEAR(BM$4)&gt;=YEAR($F175),$K175="b"),ROUND(VLOOKUP(BR$4,Preisindex,3,FALSE)/VLOOKUP(YEAR($F175),Preisindex,3,FALSE),2),IF(AND($E175&lt;&gt;0,$F175&gt;0,YEAR($F175)&gt;=Preisindex!$A$6,YEAR(BM$4)&gt;=YEAR($F175),$K175="g"),ROUND(VLOOKUP(BR$4,Preisindex,4,FALSE)/VLOOKUP(YEAR($F175),Preisindex,4,FALSE),2),IF(AND($E175&lt;&gt;0,$F175&gt;0,YEAR($F175)&gt;=Preisindex!$A$6,YEAR(BM$4)&gt;=YEAR($F175),$K175="k"),ROUND(VLOOKUP(BR$4,Preisindex,2,FALSE)/VLOOKUP(YEAR($F175),Preisindex,2,FALSE),2),0)))))</f>
        <v>0</v>
      </c>
      <c r="BS175" s="56">
        <f>IF(AND($E175&lt;&gt;0,$F175&gt;0,YEAR($F175)&lt;Preisindex!$A$6,YEAR(BM$4)&gt;=YEAR($F175),AND($K175&lt;&gt;"a",$K175&lt;&gt;"b",$K175&lt;&gt;"g",$K175&lt;&gt;"k")),1,IF(AND($E175&lt;&gt;0,$F175&gt;0,YEAR($F175)&lt;Preisindex!$A$6,YEAR(BM$4)&gt;=YEAR($F175),$K175="a"),ROUND(VLOOKUP(BR$4,Preisindex,5,FALSE)/VLOOKUP(Preisindex!$A$6,Preisindex,5,FALSE),2),IF(AND($E175&lt;&gt;0,$F175&gt;0,YEAR($F175)&lt;Preisindex!$A$6,YEAR(BM$4)&gt;=YEAR($F175),$K175="b"),ROUND(VLOOKUP(BR$4,Preisindex,3,FALSE)/VLOOKUP(Preisindex!$A$6,Preisindex,3,FALSE),2),IF(AND($E175&lt;&gt;0,$F175&gt;0,YEAR($F175)&lt;Preisindex!$A$6,YEAR(BM$4)&gt;=YEAR($F175),$K175="g"),ROUND(VLOOKUP(BR$4,Preisindex,4,FALSE)/VLOOKUP(Preisindex!$A$6,Preisindex,4,FALSE),2),IF(AND($E175&lt;&gt;0,$F175&gt;0,YEAR($F175)&lt;Preisindex!$A$6,YEAR(BM$4)&gt;=YEAR($F175),$K175="k"),ROUND(VLOOKUP(BR$4,Preisindex,2,FALSE)/VLOOKUP(Preisindex!$A$6,Preisindex,2,FALSE),2),0)))))</f>
        <v>0</v>
      </c>
      <c r="BT175" s="51">
        <f>IF(AND($E175&lt;&gt;0,$F175&gt;0,YEAR($F175)&lt;=BR$4,YEAR($F175)&gt;=Preisindex!$A$6),ROUND($E175*BR175,2),IF(AND($E175&lt;&gt;0,$F175&gt;0,YEAR($F175)&lt;=BR$4,YEAR($F175)&lt;Preisindex!$A$6),ROUND($E175*BS175,2),0))</f>
        <v>0</v>
      </c>
      <c r="BU175" s="53">
        <f t="shared" si="508"/>
        <v>0</v>
      </c>
      <c r="BV175" s="51">
        <f t="shared" si="619"/>
        <v>0</v>
      </c>
      <c r="BW175" s="51">
        <f t="shared" si="589"/>
        <v>0</v>
      </c>
      <c r="BX175" s="51">
        <f t="shared" si="509"/>
        <v>0</v>
      </c>
      <c r="BY175" s="51">
        <f t="shared" si="590"/>
        <v>0</v>
      </c>
      <c r="BZ175" s="51">
        <f t="shared" si="510"/>
        <v>0</v>
      </c>
      <c r="CA175" s="51">
        <f t="shared" si="591"/>
        <v>0</v>
      </c>
      <c r="CB175" s="51">
        <f t="shared" si="511"/>
        <v>0</v>
      </c>
      <c r="CC175" s="51">
        <f t="shared" si="592"/>
        <v>0</v>
      </c>
      <c r="CD175" s="51">
        <f t="shared" si="512"/>
        <v>0</v>
      </c>
      <c r="CE175" s="51">
        <f t="shared" si="593"/>
        <v>0</v>
      </c>
      <c r="CF175" s="51">
        <f t="shared" si="513"/>
        <v>0</v>
      </c>
      <c r="CG175" s="54">
        <f t="shared" si="514"/>
        <v>0</v>
      </c>
      <c r="CH175" s="55">
        <f t="shared" si="515"/>
        <v>0</v>
      </c>
      <c r="CI175" s="56">
        <f>IF(AND($E175&lt;&gt;0,$F175&gt;0,YEAR($F175)&gt;=Preisindex!$A$6,YEAR(CD$4)&gt;=YEAR($F175),AND($K175&lt;&gt;"a",$K175&lt;&gt;"b",$K175&lt;&gt;"g",$K175&lt;&gt;"k")),1,IF(AND($E175&lt;&gt;0,$F175&gt;0,YEAR($F175)&gt;=Preisindex!$A$6,YEAR(CD$4)&gt;=YEAR($F175),$K175="a"),ROUND(VLOOKUP(CI$4,Preisindex,5,FALSE)/VLOOKUP(YEAR($F175),Preisindex,5,FALSE),2),IF(AND($E175&lt;&gt;0,$F175&gt;0,YEAR($F175)&gt;=Preisindex!$A$6,YEAR(CD$4)&gt;=YEAR($F175),$K175="b"),ROUND(VLOOKUP(CI$4,Preisindex,3,FALSE)/VLOOKUP(YEAR($F175),Preisindex,3,FALSE),2),IF(AND($E175&lt;&gt;0,$F175&gt;0,YEAR($F175)&gt;=Preisindex!$A$6,YEAR(CD$4)&gt;=YEAR($F175),$K175="g"),ROUND(VLOOKUP(CI$4,Preisindex,4,FALSE)/VLOOKUP(YEAR($F175),Preisindex,4,FALSE),2),IF(AND($E175&lt;&gt;0,$F175&gt;0,YEAR($F175)&gt;=Preisindex!$A$6,YEAR(CD$4)&gt;=YEAR($F175),$K175="k"),ROUND(VLOOKUP(CI$4,Preisindex,2,FALSE)/VLOOKUP(YEAR($F175),Preisindex,2,FALSE),2),0)))))</f>
        <v>0</v>
      </c>
      <c r="CJ175" s="56">
        <f>IF(AND($E175&lt;&gt;0,$F175&gt;0,YEAR($F175)&lt;Preisindex!$A$6,YEAR(CD$4)&gt;=YEAR($F175),AND($K175&lt;&gt;"a",$K175&lt;&gt;"b",$K175&lt;&gt;"g",$K175&lt;&gt;"k")),1,IF(AND($E175&lt;&gt;0,$F175&gt;0,YEAR($F175)&lt;Preisindex!$A$6,YEAR(CD$4)&gt;=YEAR($F175),$K175="a"),ROUND(VLOOKUP(CI$4,Preisindex,5,FALSE)/VLOOKUP(Preisindex!$A$6,Preisindex,5,FALSE),2),IF(AND($E175&lt;&gt;0,$F175&gt;0,YEAR($F175)&lt;Preisindex!$A$6,YEAR(CD$4)&gt;=YEAR($F175),$K175="b"),ROUND(VLOOKUP(CI$4,Preisindex,3,FALSE)/VLOOKUP(Preisindex!$A$6,Preisindex,3,FALSE),2),IF(AND($E175&lt;&gt;0,$F175&gt;0,YEAR($F175)&lt;Preisindex!$A$6,YEAR(CD$4)&gt;=YEAR($F175),$K175="g"),ROUND(VLOOKUP(CI$4,Preisindex,4,FALSE)/VLOOKUP(Preisindex!$A$6,Preisindex,4,FALSE),2),IF(AND($E175&lt;&gt;0,$F175&gt;0,YEAR($F175)&lt;Preisindex!$A$6,YEAR(CD$4)&gt;=YEAR($F175),$K175="k"),ROUND(VLOOKUP(CI$4,Preisindex,2,FALSE)/VLOOKUP(Preisindex!$A$6,Preisindex,2,FALSE),2),0)))))</f>
        <v>0</v>
      </c>
      <c r="CK175" s="51">
        <f>IF(AND($E175&lt;&gt;0,$F175&gt;0,YEAR($F175)&lt;=CI$4,YEAR($F175)&gt;=Preisindex!$A$6),ROUND($E175*CI175,2),IF(AND($E175&lt;&gt;0,$F175&gt;0,YEAR($F175)&lt;=CI$4,YEAR($F175)&lt;Preisindex!$A$6),ROUND($E175*CJ175,2),0))</f>
        <v>0</v>
      </c>
      <c r="CL175" s="53">
        <f t="shared" si="516"/>
        <v>0</v>
      </c>
      <c r="CM175" s="51">
        <f t="shared" si="619"/>
        <v>0</v>
      </c>
      <c r="CN175" s="51">
        <f t="shared" si="594"/>
        <v>0</v>
      </c>
      <c r="CO175" s="51">
        <f t="shared" si="517"/>
        <v>0</v>
      </c>
      <c r="CP175" s="51">
        <f t="shared" si="595"/>
        <v>0</v>
      </c>
      <c r="CQ175" s="51">
        <f t="shared" si="518"/>
        <v>0</v>
      </c>
      <c r="CR175" s="51">
        <f t="shared" si="596"/>
        <v>0</v>
      </c>
      <c r="CS175" s="51">
        <f t="shared" si="519"/>
        <v>0</v>
      </c>
      <c r="CT175" s="51">
        <f t="shared" si="597"/>
        <v>0</v>
      </c>
      <c r="CU175" s="51">
        <f t="shared" si="520"/>
        <v>0</v>
      </c>
      <c r="CV175" s="51">
        <f t="shared" si="598"/>
        <v>0</v>
      </c>
      <c r="CW175" s="51">
        <f t="shared" si="521"/>
        <v>0</v>
      </c>
      <c r="CX175" s="54">
        <f t="shared" si="522"/>
        <v>0</v>
      </c>
      <c r="CY175" s="55">
        <f t="shared" si="523"/>
        <v>0</v>
      </c>
      <c r="CZ175" s="56">
        <f>IF(AND($E175&lt;&gt;0,$F175&gt;0,YEAR($F175)&gt;=Preisindex!$A$6,YEAR(CU$4)&gt;=YEAR($F175),AND($K175&lt;&gt;"a",$K175&lt;&gt;"b",$K175&lt;&gt;"g",$K175&lt;&gt;"k")),1,IF(AND($E175&lt;&gt;0,$F175&gt;0,YEAR($F175)&gt;=Preisindex!$A$6,YEAR(CU$4)&gt;=YEAR($F175),$K175="a"),ROUND(VLOOKUP(CZ$4,Preisindex,5,FALSE)/VLOOKUP(YEAR($F175),Preisindex,5,FALSE),2),IF(AND($E175&lt;&gt;0,$F175&gt;0,YEAR($F175)&gt;=Preisindex!$A$6,YEAR(CU$4)&gt;=YEAR($F175),$K175="b"),ROUND(VLOOKUP(CZ$4,Preisindex,3,FALSE)/VLOOKUP(YEAR($F175),Preisindex,3,FALSE),2),IF(AND($E175&lt;&gt;0,$F175&gt;0,YEAR($F175)&gt;=Preisindex!$A$6,YEAR(CU$4)&gt;=YEAR($F175),$K175="g"),ROUND(VLOOKUP(CZ$4,Preisindex,4,FALSE)/VLOOKUP(YEAR($F175),Preisindex,4,FALSE),2),IF(AND($E175&lt;&gt;0,$F175&gt;0,YEAR($F175)&gt;=Preisindex!$A$6,YEAR(CU$4)&gt;=YEAR($F175),$K175="k"),ROUND(VLOOKUP(CZ$4,Preisindex,2,FALSE)/VLOOKUP(YEAR($F175),Preisindex,2,FALSE),2),0)))))</f>
        <v>0</v>
      </c>
      <c r="DA175" s="56">
        <f>IF(AND($E175&lt;&gt;0,$F175&gt;0,YEAR($F175)&lt;Preisindex!$A$6,YEAR(CU$4)&gt;=YEAR($F175),AND($K175&lt;&gt;"a",$K175&lt;&gt;"b",$K175&lt;&gt;"g",$K175&lt;&gt;"k")),1,IF(AND($E175&lt;&gt;0,$F175&gt;0,YEAR($F175)&lt;Preisindex!$A$6,YEAR(CU$4)&gt;=YEAR($F175),$K175="a"),ROUND(VLOOKUP(CZ$4,Preisindex,5,FALSE)/VLOOKUP(Preisindex!$A$6,Preisindex,5,FALSE),2),IF(AND($E175&lt;&gt;0,$F175&gt;0,YEAR($F175)&lt;Preisindex!$A$6,YEAR(CU$4)&gt;=YEAR($F175),$K175="b"),ROUND(VLOOKUP(CZ$4,Preisindex,3,FALSE)/VLOOKUP(Preisindex!$A$6,Preisindex,3,FALSE),2),IF(AND($E175&lt;&gt;0,$F175&gt;0,YEAR($F175)&lt;Preisindex!$A$6,YEAR(CU$4)&gt;=YEAR($F175),$K175="g"),ROUND(VLOOKUP(CZ$4,Preisindex,4,FALSE)/VLOOKUP(Preisindex!$A$6,Preisindex,4,FALSE),2),IF(AND($E175&lt;&gt;0,$F175&gt;0,YEAR($F175)&lt;Preisindex!$A$6,YEAR(CU$4)&gt;=YEAR($F175),$K175="k"),ROUND(VLOOKUP(CZ$4,Preisindex,2,FALSE)/VLOOKUP(Preisindex!$A$6,Preisindex,2,FALSE),2),0)))))</f>
        <v>0</v>
      </c>
      <c r="DB175" s="51">
        <f>IF(AND($E175&lt;&gt;0,$F175&gt;0,YEAR($F175)&lt;=CZ$4,YEAR($F175)&gt;=Preisindex!$A$6),ROUND($E175*CZ175,2),IF(AND($E175&lt;&gt;0,$F175&gt;0,YEAR($F175)&lt;=CZ$4,YEAR($F175)&lt;Preisindex!$A$6),ROUND($E175*DA175,2),0))</f>
        <v>0</v>
      </c>
      <c r="DC175" s="53">
        <f t="shared" si="524"/>
        <v>0</v>
      </c>
      <c r="DD175" s="51">
        <f t="shared" si="620"/>
        <v>0</v>
      </c>
      <c r="DE175" s="51">
        <f t="shared" si="599"/>
        <v>0</v>
      </c>
      <c r="DF175" s="51">
        <f t="shared" si="526"/>
        <v>0</v>
      </c>
      <c r="DG175" s="51">
        <f t="shared" si="600"/>
        <v>0</v>
      </c>
      <c r="DH175" s="51">
        <f t="shared" si="527"/>
        <v>0</v>
      </c>
      <c r="DI175" s="51">
        <f t="shared" si="601"/>
        <v>0</v>
      </c>
      <c r="DJ175" s="51">
        <f t="shared" si="528"/>
        <v>0</v>
      </c>
      <c r="DK175" s="51">
        <f t="shared" si="602"/>
        <v>0</v>
      </c>
      <c r="DL175" s="51">
        <f t="shared" si="529"/>
        <v>0</v>
      </c>
      <c r="DM175" s="51">
        <f t="shared" si="603"/>
        <v>0</v>
      </c>
      <c r="DN175" s="51">
        <f t="shared" si="530"/>
        <v>0</v>
      </c>
      <c r="DO175" s="54">
        <f t="shared" si="531"/>
        <v>0</v>
      </c>
      <c r="DP175" s="55">
        <f t="shared" si="532"/>
        <v>0</v>
      </c>
      <c r="DQ175" s="56">
        <f>IF(AND($E175&lt;&gt;0,$F175&gt;0,YEAR($F175)&gt;=Preisindex!$A$6,YEAR(DL$4)&gt;=YEAR($F175),AND($K175&lt;&gt;"a",$K175&lt;&gt;"b",$K175&lt;&gt;"g",$K175&lt;&gt;"k")),1,IF(AND($E175&lt;&gt;0,$F175&gt;0,YEAR($F175)&gt;=Preisindex!$A$6,YEAR(DL$4)&gt;=YEAR($F175),$K175="a"),ROUND(VLOOKUP(DQ$4,Preisindex,5,FALSE)/VLOOKUP(YEAR($F175),Preisindex,5,FALSE),2),IF(AND($E175&lt;&gt;0,$F175&gt;0,YEAR($F175)&gt;=Preisindex!$A$6,YEAR(DL$4)&gt;=YEAR($F175),$K175="b"),ROUND(VLOOKUP(DQ$4,Preisindex,3,FALSE)/VLOOKUP(YEAR($F175),Preisindex,3,FALSE),2),IF(AND($E175&lt;&gt;0,$F175&gt;0,YEAR($F175)&gt;=Preisindex!$A$6,YEAR(DL$4)&gt;=YEAR($F175),$K175="g"),ROUND(VLOOKUP(DQ$4,Preisindex,4,FALSE)/VLOOKUP(YEAR($F175),Preisindex,4,FALSE),2),IF(AND($E175&lt;&gt;0,$F175&gt;0,YEAR($F175)&gt;=Preisindex!$A$6,YEAR(DL$4)&gt;=YEAR($F175),$K175="k"),ROUND(VLOOKUP(DQ$4,Preisindex,2,FALSE)/VLOOKUP(YEAR($F175),Preisindex,2,FALSE),2),0)))))</f>
        <v>0</v>
      </c>
      <c r="DR175" s="56">
        <f>IF(AND($E175&lt;&gt;0,$F175&gt;0,YEAR($F175)&lt;Preisindex!$A$6,YEAR(DL$4)&gt;=YEAR($F175),AND($K175&lt;&gt;"a",$K175&lt;&gt;"b",$K175&lt;&gt;"g",$K175&lt;&gt;"k")),1,IF(AND($E175&lt;&gt;0,$F175&gt;0,YEAR($F175)&lt;Preisindex!$A$6,YEAR(DL$4)&gt;=YEAR($F175),$K175="a"),ROUND(VLOOKUP(DQ$4,Preisindex,5,FALSE)/VLOOKUP(Preisindex!$A$6,Preisindex,5,FALSE),2),IF(AND($E175&lt;&gt;0,$F175&gt;0,YEAR($F175)&lt;Preisindex!$A$6,YEAR(DL$4)&gt;=YEAR($F175),$K175="b"),ROUND(VLOOKUP(DQ$4,Preisindex,3,FALSE)/VLOOKUP(Preisindex!$A$6,Preisindex,3,FALSE),2),IF(AND($E175&lt;&gt;0,$F175&gt;0,YEAR($F175)&lt;Preisindex!$A$6,YEAR(DL$4)&gt;=YEAR($F175),$K175="g"),ROUND(VLOOKUP(DQ$4,Preisindex,4,FALSE)/VLOOKUP(Preisindex!$A$6,Preisindex,4,FALSE),2),IF(AND($E175&lt;&gt;0,$F175&gt;0,YEAR($F175)&lt;Preisindex!$A$6,YEAR(DL$4)&gt;=YEAR($F175),$K175="k"),ROUND(VLOOKUP(DQ$4,Preisindex,2,FALSE)/VLOOKUP(Preisindex!$A$6,Preisindex,2,FALSE),2),0)))))</f>
        <v>0</v>
      </c>
      <c r="DS175" s="51">
        <f>IF(AND($E175&lt;&gt;0,$F175&gt;0,YEAR($F175)&lt;=DQ$4,YEAR($F175)&gt;=Preisindex!$A$6),ROUND($E175*DQ175,2),IF(AND($E175&lt;&gt;0,$F175&gt;0,YEAR($F175)&lt;=DQ$4,YEAR($F175)&lt;Preisindex!$A$6),ROUND($E175*DR175,2),0))</f>
        <v>0</v>
      </c>
      <c r="DT175" s="53">
        <f t="shared" si="533"/>
        <v>0</v>
      </c>
      <c r="DU175" s="51">
        <f t="shared" si="620"/>
        <v>0</v>
      </c>
      <c r="DV175" s="51">
        <f t="shared" si="604"/>
        <v>0</v>
      </c>
      <c r="DW175" s="51">
        <f t="shared" si="534"/>
        <v>0</v>
      </c>
      <c r="DX175" s="51">
        <f t="shared" si="605"/>
        <v>0</v>
      </c>
      <c r="DY175" s="51">
        <f t="shared" si="535"/>
        <v>0</v>
      </c>
      <c r="DZ175" s="51">
        <f t="shared" si="606"/>
        <v>0</v>
      </c>
      <c r="EA175" s="51">
        <f t="shared" si="536"/>
        <v>0</v>
      </c>
      <c r="EB175" s="51">
        <f t="shared" si="607"/>
        <v>0</v>
      </c>
      <c r="EC175" s="51">
        <f t="shared" si="537"/>
        <v>0</v>
      </c>
      <c r="ED175" s="51">
        <f t="shared" si="608"/>
        <v>0</v>
      </c>
      <c r="EE175" s="51">
        <f t="shared" si="538"/>
        <v>0</v>
      </c>
      <c r="EF175" s="54">
        <f t="shared" si="539"/>
        <v>0</v>
      </c>
      <c r="EG175" s="55">
        <f t="shared" si="540"/>
        <v>0</v>
      </c>
      <c r="EH175" s="56">
        <f>IF(AND($E175&lt;&gt;0,$F175&gt;0,YEAR($F175)&gt;=Preisindex!$A$6,YEAR(EC$4)&gt;=YEAR($F175),AND($K175&lt;&gt;"a",$K175&lt;&gt;"b",$K175&lt;&gt;"g",$K175&lt;&gt;"k")),1,IF(AND($E175&lt;&gt;0,$F175&gt;0,YEAR($F175)&gt;=Preisindex!$A$6,YEAR(EC$4)&gt;=YEAR($F175),$K175="a"),ROUND(VLOOKUP(EH$4,Preisindex,5,FALSE)/VLOOKUP(YEAR($F175),Preisindex,5,FALSE),2),IF(AND($E175&lt;&gt;0,$F175&gt;0,YEAR($F175)&gt;=Preisindex!$A$6,YEAR(EC$4)&gt;=YEAR($F175),$K175="b"),ROUND(VLOOKUP(EH$4,Preisindex,3,FALSE)/VLOOKUP(YEAR($F175),Preisindex,3,FALSE),2),IF(AND($E175&lt;&gt;0,$F175&gt;0,YEAR($F175)&gt;=Preisindex!$A$6,YEAR(EC$4)&gt;=YEAR($F175),$K175="g"),ROUND(VLOOKUP(EH$4,Preisindex,4,FALSE)/VLOOKUP(YEAR($F175),Preisindex,4,FALSE),2),IF(AND($E175&lt;&gt;0,$F175&gt;0,YEAR($F175)&gt;=Preisindex!$A$6,YEAR(EC$4)&gt;=YEAR($F175),$K175="k"),ROUND(VLOOKUP(EH$4,Preisindex,2,FALSE)/VLOOKUP(YEAR($F175),Preisindex,2,FALSE),2),0)))))</f>
        <v>0</v>
      </c>
      <c r="EI175" s="56">
        <f>IF(AND($E175&lt;&gt;0,$F175&gt;0,YEAR($F175)&lt;Preisindex!$A$6,YEAR(EC$4)&gt;=YEAR($F175),AND($K175&lt;&gt;"a",$K175&lt;&gt;"b",$K175&lt;&gt;"g",$K175&lt;&gt;"k")),1,IF(AND($E175&lt;&gt;0,$F175&gt;0,YEAR($F175)&lt;Preisindex!$A$6,YEAR(EC$4)&gt;=YEAR($F175),$K175="a"),ROUND(VLOOKUP(EH$4,Preisindex,5,FALSE)/VLOOKUP(Preisindex!$A$6,Preisindex,5,FALSE),2),IF(AND($E175&lt;&gt;0,$F175&gt;0,YEAR($F175)&lt;Preisindex!$A$6,YEAR(EC$4)&gt;=YEAR($F175),$K175="b"),ROUND(VLOOKUP(EH$4,Preisindex,3,FALSE)/VLOOKUP(Preisindex!$A$6,Preisindex,3,FALSE),2),IF(AND($E175&lt;&gt;0,$F175&gt;0,YEAR($F175)&lt;Preisindex!$A$6,YEAR(EC$4)&gt;=YEAR($F175),$K175="g"),ROUND(VLOOKUP(EH$4,Preisindex,4,FALSE)/VLOOKUP(Preisindex!$A$6,Preisindex,4,FALSE),2),IF(AND($E175&lt;&gt;0,$F175&gt;0,YEAR($F175)&lt;Preisindex!$A$6,YEAR(EC$4)&gt;=YEAR($F175),$K175="k"),ROUND(VLOOKUP(EH$4,Preisindex,2,FALSE)/VLOOKUP(Preisindex!$A$6,Preisindex,2,FALSE),2),0)))))</f>
        <v>0</v>
      </c>
      <c r="EJ175" s="51">
        <f>IF(AND($E175&lt;&gt;0,$F175&gt;0,YEAR($F175)&lt;=EH$4,YEAR($F175)&gt;=Preisindex!$A$6),ROUND($E175*EH175,2),IF(AND($E175&lt;&gt;0,$F175&gt;0,YEAR($F175)&lt;=EH$4,YEAR($F175)&lt;Preisindex!$A$6),ROUND($E175*EI175,2),0))</f>
        <v>0</v>
      </c>
      <c r="EK175" s="53">
        <f t="shared" si="541"/>
        <v>0</v>
      </c>
      <c r="EL175" s="51">
        <f t="shared" si="620"/>
        <v>0</v>
      </c>
      <c r="EM175" s="51">
        <f t="shared" si="609"/>
        <v>0</v>
      </c>
      <c r="EN175" s="51">
        <f t="shared" si="542"/>
        <v>0</v>
      </c>
      <c r="EO175" s="51">
        <f t="shared" si="610"/>
        <v>0</v>
      </c>
      <c r="EP175" s="51">
        <f t="shared" si="543"/>
        <v>0</v>
      </c>
      <c r="EQ175" s="51">
        <f t="shared" si="611"/>
        <v>0</v>
      </c>
      <c r="ER175" s="51">
        <f t="shared" si="544"/>
        <v>0</v>
      </c>
      <c r="ES175" s="51">
        <f t="shared" si="612"/>
        <v>0</v>
      </c>
      <c r="ET175" s="51">
        <f t="shared" si="545"/>
        <v>0</v>
      </c>
      <c r="EU175" s="51">
        <f t="shared" si="613"/>
        <v>0</v>
      </c>
      <c r="EV175" s="51">
        <f t="shared" si="546"/>
        <v>0</v>
      </c>
      <c r="EW175" s="54">
        <f t="shared" si="547"/>
        <v>0</v>
      </c>
      <c r="EX175" s="55">
        <f t="shared" si="548"/>
        <v>0</v>
      </c>
      <c r="EY175" s="56">
        <f>IF(AND($E175&lt;&gt;0,$F175&gt;0,YEAR($F175)&gt;=Preisindex!$A$6,YEAR(ET$4)&gt;=YEAR($F175),AND($K175&lt;&gt;"a",$K175&lt;&gt;"b",$K175&lt;&gt;"g",$K175&lt;&gt;"k")),1,IF(AND($E175&lt;&gt;0,$F175&gt;0,YEAR($F175)&gt;=Preisindex!$A$6,YEAR(ET$4)&gt;=YEAR($F175),$K175="a"),ROUND(VLOOKUP(EY$4,Preisindex,5,FALSE)/VLOOKUP(YEAR($F175),Preisindex,5,FALSE),2),IF(AND($E175&lt;&gt;0,$F175&gt;0,YEAR($F175)&gt;=Preisindex!$A$6,YEAR(ET$4)&gt;=YEAR($F175),$K175="b"),ROUND(VLOOKUP(EY$4,Preisindex,3,FALSE)/VLOOKUP(YEAR($F175),Preisindex,3,FALSE),2),IF(AND($E175&lt;&gt;0,$F175&gt;0,YEAR($F175)&gt;=Preisindex!$A$6,YEAR(ET$4)&gt;=YEAR($F175),$K175="g"),ROUND(VLOOKUP(EY$4,Preisindex,4,FALSE)/VLOOKUP(YEAR($F175),Preisindex,4,FALSE),2),IF(AND($E175&lt;&gt;0,$F175&gt;0,YEAR($F175)&gt;=Preisindex!$A$6,YEAR(ET$4)&gt;=YEAR($F175),$K175="k"),ROUND(VLOOKUP(EY$4,Preisindex,2,FALSE)/VLOOKUP(YEAR($F175),Preisindex,2,FALSE),2),0)))))</f>
        <v>0</v>
      </c>
      <c r="EZ175" s="56">
        <f>IF(AND($E175&lt;&gt;0,$F175&gt;0,YEAR($F175)&lt;Preisindex!$A$6,YEAR(ET$4)&gt;=YEAR($F175),AND($K175&lt;&gt;"a",$K175&lt;&gt;"b",$K175&lt;&gt;"g",$K175&lt;&gt;"k")),1,IF(AND($E175&lt;&gt;0,$F175&gt;0,YEAR($F175)&lt;Preisindex!$A$6,YEAR(ET$4)&gt;=YEAR($F175),$K175="a"),ROUND(VLOOKUP(EY$4,Preisindex,5,FALSE)/VLOOKUP(Preisindex!$A$6,Preisindex,5,FALSE),2),IF(AND($E175&lt;&gt;0,$F175&gt;0,YEAR($F175)&lt;Preisindex!$A$6,YEAR(ET$4)&gt;=YEAR($F175),$K175="b"),ROUND(VLOOKUP(EY$4,Preisindex,3,FALSE)/VLOOKUP(Preisindex!$A$6,Preisindex,3,FALSE),2),IF(AND($E175&lt;&gt;0,$F175&gt;0,YEAR($F175)&lt;Preisindex!$A$6,YEAR(ET$4)&gt;=YEAR($F175),$K175="g"),ROUND(VLOOKUP(EY$4,Preisindex,4,FALSE)/VLOOKUP(Preisindex!$A$6,Preisindex,4,FALSE),2),IF(AND($E175&lt;&gt;0,$F175&gt;0,YEAR($F175)&lt;Preisindex!$A$6,YEAR(ET$4)&gt;=YEAR($F175),$K175="k"),ROUND(VLOOKUP(EY$4,Preisindex,2,FALSE)/VLOOKUP(Preisindex!$A$6,Preisindex,2,FALSE),2),0)))))</f>
        <v>0</v>
      </c>
      <c r="FA175" s="51">
        <f>IF(AND($E175&lt;&gt;0,$F175&gt;0,YEAR($F175)&lt;=EY$4,YEAR($F175)&gt;=Preisindex!$A$6),ROUND($E175*EY175,2),IF(AND($E175&lt;&gt;0,$F175&gt;0,YEAR($F175)&lt;=EY$4,YEAR($F175)&lt;Preisindex!$A$6),ROUND($E175*EZ175,2),0))</f>
        <v>0</v>
      </c>
      <c r="FB175" s="53">
        <f t="shared" si="549"/>
        <v>0</v>
      </c>
      <c r="FC175" s="51">
        <f t="shared" si="620"/>
        <v>0</v>
      </c>
      <c r="FD175" s="51">
        <f t="shared" si="614"/>
        <v>0</v>
      </c>
      <c r="FE175" s="51">
        <f t="shared" si="550"/>
        <v>0</v>
      </c>
      <c r="FF175" s="51">
        <f t="shared" si="615"/>
        <v>0</v>
      </c>
      <c r="FG175" s="51">
        <f t="shared" si="551"/>
        <v>0</v>
      </c>
      <c r="FH175" s="51">
        <f t="shared" si="616"/>
        <v>0</v>
      </c>
      <c r="FI175" s="51">
        <f t="shared" si="552"/>
        <v>0</v>
      </c>
      <c r="FJ175" s="51">
        <f t="shared" si="617"/>
        <v>0</v>
      </c>
      <c r="FK175" s="51">
        <f t="shared" si="553"/>
        <v>0</v>
      </c>
      <c r="FL175" s="51">
        <f t="shared" si="618"/>
        <v>0</v>
      </c>
      <c r="FM175" s="51">
        <f t="shared" si="554"/>
        <v>0</v>
      </c>
      <c r="FN175" s="54">
        <f t="shared" si="555"/>
        <v>0</v>
      </c>
      <c r="FO175" s="55">
        <f t="shared" si="556"/>
        <v>0</v>
      </c>
      <c r="FP175" s="56">
        <f>IF(AND($E175&lt;&gt;0,$F175&gt;0,YEAR($F175)&gt;=Preisindex!$A$6,YEAR(FK$4)&gt;=YEAR($F175),AND($K175&lt;&gt;"a",$K175&lt;&gt;"b",$K175&lt;&gt;"g",$K175&lt;&gt;"k")),1,IF(AND($E175&lt;&gt;0,$F175&gt;0,YEAR($F175)&gt;=Preisindex!$A$6,YEAR(FK$4)&gt;=YEAR($F175),$K175="a"),ROUND(VLOOKUP(FP$4,Preisindex,5,FALSE)/VLOOKUP(YEAR($F175),Preisindex,5,FALSE),2),IF(AND($E175&lt;&gt;0,$F175&gt;0,YEAR($F175)&gt;=Preisindex!$A$6,YEAR(FK$4)&gt;=YEAR($F175),$K175="b"),ROUND(VLOOKUP(FP$4,Preisindex,3,FALSE)/VLOOKUP(YEAR($F175),Preisindex,3,FALSE),2),IF(AND($E175&lt;&gt;0,$F175&gt;0,YEAR($F175)&gt;=Preisindex!$A$6,YEAR(FK$4)&gt;=YEAR($F175),$K175="g"),ROUND(VLOOKUP(FP$4,Preisindex,4,FALSE)/VLOOKUP(YEAR($F175),Preisindex,4,FALSE),2),IF(AND($E175&lt;&gt;0,$F175&gt;0,YEAR($F175)&gt;=Preisindex!$A$6,YEAR(FK$4)&gt;=YEAR($F175),$K175="k"),ROUND(VLOOKUP(FP$4,Preisindex,2,FALSE)/VLOOKUP(YEAR($F175),Preisindex,2,FALSE),2),0)))))</f>
        <v>0</v>
      </c>
      <c r="FQ175" s="56">
        <f>IF(AND($E175&lt;&gt;0,$F175&gt;0,YEAR($F175)&lt;Preisindex!$A$6,YEAR(FK$4)&gt;=YEAR($F175),AND($K175&lt;&gt;"a",$K175&lt;&gt;"b",$K175&lt;&gt;"g",$K175&lt;&gt;"k")),1,IF(AND($E175&lt;&gt;0,$F175&gt;0,YEAR($F175)&lt;Preisindex!$A$6,YEAR(FK$4)&gt;=YEAR($F175),$K175="a"),ROUND(VLOOKUP(FP$4,Preisindex,5,FALSE)/VLOOKUP(Preisindex!$A$6,Preisindex,5,FALSE),2),IF(AND($E175&lt;&gt;0,$F175&gt;0,YEAR($F175)&lt;Preisindex!$A$6,YEAR(FK$4)&gt;=YEAR($F175),$K175="b"),ROUND(VLOOKUP(FP$4,Preisindex,3,FALSE)/VLOOKUP(Preisindex!$A$6,Preisindex,3,FALSE),2),IF(AND($E175&lt;&gt;0,$F175&gt;0,YEAR($F175)&lt;Preisindex!$A$6,YEAR(FK$4)&gt;=YEAR($F175),$K175="g"),ROUND(VLOOKUP(FP$4,Preisindex,4,FALSE)/VLOOKUP(Preisindex!$A$6,Preisindex,4,FALSE),2),IF(AND($E175&lt;&gt;0,$F175&gt;0,YEAR($F175)&lt;Preisindex!$A$6,YEAR(FK$4)&gt;=YEAR($F175),$K175="k"),ROUND(VLOOKUP(FP$4,Preisindex,2,FALSE)/VLOOKUP(Preisindex!$A$6,Preisindex,2,FALSE),2),0)))))</f>
        <v>0</v>
      </c>
      <c r="FR175" s="51">
        <f>IF(AND($E175&lt;&gt;0,$F175&gt;0,YEAR($F175)&lt;=FP$4,YEAR($F175)&gt;=Preisindex!$A$6),ROUND($E175*FP175,2),IF(AND($E175&lt;&gt;0,$F175&gt;0,YEAR($F175)&lt;=FP$4,YEAR($F175)&lt;Preisindex!$A$6),ROUND($E175*FQ175,2),0))</f>
        <v>0</v>
      </c>
      <c r="FS175" s="53">
        <f t="shared" si="557"/>
        <v>0</v>
      </c>
    </row>
    <row r="176" spans="1:175" x14ac:dyDescent="0.3">
      <c r="A176" s="93"/>
      <c r="B176" s="94"/>
      <c r="C176" s="94"/>
      <c r="D176" s="95"/>
      <c r="E176" s="99"/>
      <c r="F176" s="97"/>
      <c r="G176" s="98"/>
      <c r="H176" s="620"/>
      <c r="I176" s="621"/>
      <c r="J176" s="194"/>
      <c r="K176" s="630"/>
      <c r="L176" s="49">
        <f t="shared" si="558"/>
        <v>0</v>
      </c>
      <c r="M176" s="50">
        <f t="shared" si="559"/>
        <v>0</v>
      </c>
      <c r="N176" s="51">
        <f t="shared" si="560"/>
        <v>0</v>
      </c>
      <c r="O176" s="51"/>
      <c r="P176" s="51">
        <f t="shared" si="561"/>
        <v>0</v>
      </c>
      <c r="Q176" s="52"/>
      <c r="R176" s="52"/>
      <c r="S176" s="52"/>
      <c r="T176" s="52"/>
      <c r="U176" s="52"/>
      <c r="V176" s="53">
        <f t="shared" si="562"/>
        <v>0</v>
      </c>
      <c r="W176" s="51">
        <f t="shared" si="563"/>
        <v>0</v>
      </c>
      <c r="X176" s="51">
        <f t="shared" si="564"/>
        <v>0</v>
      </c>
      <c r="Y176" s="51">
        <f t="shared" si="565"/>
        <v>0</v>
      </c>
      <c r="Z176" s="51">
        <f t="shared" si="566"/>
        <v>0</v>
      </c>
      <c r="AA176" s="51">
        <f t="shared" si="567"/>
        <v>0</v>
      </c>
      <c r="AB176" s="51">
        <f t="shared" si="568"/>
        <v>0</v>
      </c>
      <c r="AC176" s="51">
        <f t="shared" si="569"/>
        <v>0</v>
      </c>
      <c r="AD176" s="51">
        <f t="shared" si="570"/>
        <v>0</v>
      </c>
      <c r="AE176" s="51">
        <f t="shared" si="571"/>
        <v>0</v>
      </c>
      <c r="AF176" s="51">
        <f t="shared" si="572"/>
        <v>0</v>
      </c>
      <c r="AG176" s="51">
        <f t="shared" si="573"/>
        <v>0</v>
      </c>
      <c r="AH176" s="54">
        <f t="shared" si="574"/>
        <v>0</v>
      </c>
      <c r="AI176" s="55">
        <f t="shared" si="575"/>
        <v>0</v>
      </c>
      <c r="AJ176" s="56">
        <f>IF(AND($E176&lt;&gt;0,$F176&gt;0,YEAR($F176)&gt;=Preisindex!$A$6,YEAR(AE$4)&gt;=YEAR($F176),AND($K176&lt;&gt;"a",$K176&lt;&gt;"b",$K176&lt;&gt;"g",$K176&lt;&gt;"k")),1,IF(AND($E176&lt;&gt;0,$F176&gt;0,YEAR($F176)&gt;=Preisindex!$A$6,YEAR(AE$4)&gt;=YEAR($F176),$K176="a"),ROUND(VLOOKUP(AJ$4,Preisindex,5,FALSE)/VLOOKUP(YEAR($F176),Preisindex,5,FALSE),2),IF(AND($E176&lt;&gt;0,$F176&gt;0,YEAR($F176)&gt;=Preisindex!$A$6,YEAR(AE$4)&gt;=YEAR($F176),$K176="b"),ROUND(VLOOKUP(AJ$4,Preisindex,3,FALSE)/VLOOKUP(YEAR($F176),Preisindex,3,FALSE),2),IF(AND($E176&lt;&gt;0,$F176&gt;0,YEAR($F176)&gt;=Preisindex!$A$6,YEAR(AE$4)&gt;=YEAR($F176),$K176="g"),ROUND(VLOOKUP(AJ$4,Preisindex,4,FALSE)/VLOOKUP(YEAR($F176),Preisindex,4,FALSE),2),IF(AND($E176&lt;&gt;0,$F176&gt;0,YEAR($F176)&gt;=Preisindex!$A$6,YEAR(AE$4)&gt;=YEAR($F176),$K176="k"),ROUND(VLOOKUP(AJ$4,Preisindex,2,FALSE)/VLOOKUP(YEAR($F176),Preisindex,2,FALSE),2),0)))))</f>
        <v>0</v>
      </c>
      <c r="AK176" s="56">
        <f>IF(AND($E176&lt;&gt;0,$F176&gt;0,YEAR($F176)&lt;Preisindex!$A$6,YEAR(AE$4)&gt;=YEAR($F176),AND($K176&lt;&gt;"a",$K176&lt;&gt;"b",$K176&lt;&gt;"g",$K176&lt;&gt;"k")),1,IF(AND($E176&lt;&gt;0,$F176&gt;0,YEAR($F176)&lt;Preisindex!$A$6,YEAR(AE$4)&gt;=YEAR($F176),$K176="a"),ROUND(VLOOKUP(AJ$4,Preisindex,5,FALSE)/VLOOKUP(Preisindex!$A$6,Preisindex,5,FALSE),2),IF(AND($E176&lt;&gt;0,$F176&gt;0,YEAR($F176)&lt;Preisindex!$A$6,YEAR(AE$4)&gt;=YEAR($F176),$K176="b"),ROUND(VLOOKUP(AJ$4,Preisindex,3,FALSE)/VLOOKUP(Preisindex!$A$6,Preisindex,3,FALSE),2),IF(AND($E176&lt;&gt;0,$F176&gt;0,YEAR($F176)&lt;Preisindex!$A$6,YEAR(AE$4)&gt;=YEAR($F176),$K176="g"),ROUND(VLOOKUP(AJ$4,Preisindex,4,FALSE)/VLOOKUP(Preisindex!$A$6,Preisindex,4,FALSE),2),IF(AND($E176&lt;&gt;0,$F176&gt;0,YEAR($F176)&lt;Preisindex!$A$6,YEAR(AE$4)&gt;=YEAR($F176),$K176="k"),ROUND(VLOOKUP(AJ$4,Preisindex,2,FALSE)/VLOOKUP(Preisindex!$A$6,Preisindex,2,FALSE),2),0)))))</f>
        <v>0</v>
      </c>
      <c r="AL176" s="51">
        <f>IF(AND($E176&lt;&gt;0,$F176&gt;0,YEAR($F176)&lt;=AJ$4,YEAR($F176)&gt;=Preisindex!$A$6),ROUND($E176*AJ176,2),IF(AND($E176&lt;&gt;0,$F176&gt;0,YEAR($F176)&lt;=AJ$4,YEAR($F176)&lt;Preisindex!$A$6),ROUND($E176*AK176,2),0))</f>
        <v>0</v>
      </c>
      <c r="AM176" s="53">
        <f t="shared" si="576"/>
        <v>0</v>
      </c>
      <c r="AN176" s="51">
        <f t="shared" si="619"/>
        <v>0</v>
      </c>
      <c r="AO176" s="51">
        <f t="shared" si="579"/>
        <v>0</v>
      </c>
      <c r="AP176" s="51">
        <f t="shared" si="493"/>
        <v>0</v>
      </c>
      <c r="AQ176" s="51">
        <f t="shared" si="580"/>
        <v>0</v>
      </c>
      <c r="AR176" s="51">
        <f t="shared" si="494"/>
        <v>0</v>
      </c>
      <c r="AS176" s="51">
        <f t="shared" si="581"/>
        <v>0</v>
      </c>
      <c r="AT176" s="51">
        <f t="shared" si="495"/>
        <v>0</v>
      </c>
      <c r="AU176" s="51">
        <f t="shared" si="582"/>
        <v>0</v>
      </c>
      <c r="AV176" s="51">
        <f t="shared" si="496"/>
        <v>0</v>
      </c>
      <c r="AW176" s="51">
        <f t="shared" si="583"/>
        <v>0</v>
      </c>
      <c r="AX176" s="51">
        <f t="shared" si="497"/>
        <v>0</v>
      </c>
      <c r="AY176" s="54">
        <f t="shared" si="498"/>
        <v>0</v>
      </c>
      <c r="AZ176" s="55">
        <f t="shared" si="499"/>
        <v>0</v>
      </c>
      <c r="BA176" s="56">
        <f>IF(AND($E176&lt;&gt;0,$F176&gt;0,YEAR($F176)&gt;=Preisindex!$A$6,YEAR(AV$4)&gt;=YEAR($F176),AND($K176&lt;&gt;"a",$K176&lt;&gt;"b",$K176&lt;&gt;"g",$K176&lt;&gt;"k")),1,IF(AND($E176&lt;&gt;0,$F176&gt;0,YEAR($F176)&gt;=Preisindex!$A$6,YEAR(AV$4)&gt;=YEAR($F176),$K176="a"),ROUND(VLOOKUP(BA$4,Preisindex,5,FALSE)/VLOOKUP(YEAR($F176),Preisindex,5,FALSE),2),IF(AND($E176&lt;&gt;0,$F176&gt;0,YEAR($F176)&gt;=Preisindex!$A$6,YEAR(AV$4)&gt;=YEAR($F176),$K176="b"),ROUND(VLOOKUP(BA$4,Preisindex,3,FALSE)/VLOOKUP(YEAR($F176),Preisindex,3,FALSE),2),IF(AND($E176&lt;&gt;0,$F176&gt;0,YEAR($F176)&gt;=Preisindex!$A$6,YEAR(AV$4)&gt;=YEAR($F176),$K176="g"),ROUND(VLOOKUP(BA$4,Preisindex,4,FALSE)/VLOOKUP(YEAR($F176),Preisindex,4,FALSE),2),IF(AND($E176&lt;&gt;0,$F176&gt;0,YEAR($F176)&gt;=Preisindex!$A$6,YEAR(AV$4)&gt;=YEAR($F176),$K176="k"),ROUND(VLOOKUP(BA$4,Preisindex,2,FALSE)/VLOOKUP(YEAR($F176),Preisindex,2,FALSE),2),0)))))</f>
        <v>0</v>
      </c>
      <c r="BB176" s="56">
        <f>IF(AND($E176&lt;&gt;0,$F176&gt;0,YEAR($F176)&lt;Preisindex!$A$6,YEAR(AV$4)&gt;=YEAR($F176),AND($K176&lt;&gt;"a",$K176&lt;&gt;"b",$K176&lt;&gt;"g",$K176&lt;&gt;"k")),1,IF(AND($E176&lt;&gt;0,$F176&gt;0,YEAR($F176)&lt;Preisindex!$A$6,YEAR(AV$4)&gt;=YEAR($F176),$K176="a"),ROUND(VLOOKUP(BA$4,Preisindex,5,FALSE)/VLOOKUP(Preisindex!$A$6,Preisindex,5,FALSE),2),IF(AND($E176&lt;&gt;0,$F176&gt;0,YEAR($F176)&lt;Preisindex!$A$6,YEAR(AV$4)&gt;=YEAR($F176),$K176="b"),ROUND(VLOOKUP(BA$4,Preisindex,3,FALSE)/VLOOKUP(Preisindex!$A$6,Preisindex,3,FALSE),2),IF(AND($E176&lt;&gt;0,$F176&gt;0,YEAR($F176)&lt;Preisindex!$A$6,YEAR(AV$4)&gt;=YEAR($F176),$K176="g"),ROUND(VLOOKUP(BA$4,Preisindex,4,FALSE)/VLOOKUP(Preisindex!$A$6,Preisindex,4,FALSE),2),IF(AND($E176&lt;&gt;0,$F176&gt;0,YEAR($F176)&lt;Preisindex!$A$6,YEAR(AV$4)&gt;=YEAR($F176),$K176="k"),ROUND(VLOOKUP(BA$4,Preisindex,2,FALSE)/VLOOKUP(Preisindex!$A$6,Preisindex,2,FALSE),2),0)))))</f>
        <v>0</v>
      </c>
      <c r="BC176" s="51">
        <f>IF(AND($E176&lt;&gt;0,$F176&gt;0,YEAR($F176)&lt;=BA$4,YEAR($F176)&gt;=Preisindex!$A$6),ROUND($E176*BA176,2),IF(AND($E176&lt;&gt;0,$F176&gt;0,YEAR($F176)&lt;=BA$4,YEAR($F176)&lt;Preisindex!$A$6),ROUND($E176*BB176,2),0))</f>
        <v>0</v>
      </c>
      <c r="BD176" s="53">
        <f t="shared" si="500"/>
        <v>0</v>
      </c>
      <c r="BE176" s="51">
        <f t="shared" si="619"/>
        <v>0</v>
      </c>
      <c r="BF176" s="51">
        <f t="shared" si="584"/>
        <v>0</v>
      </c>
      <c r="BG176" s="51">
        <f t="shared" si="501"/>
        <v>0</v>
      </c>
      <c r="BH176" s="51">
        <f t="shared" si="585"/>
        <v>0</v>
      </c>
      <c r="BI176" s="51">
        <f t="shared" si="502"/>
        <v>0</v>
      </c>
      <c r="BJ176" s="51">
        <f t="shared" si="586"/>
        <v>0</v>
      </c>
      <c r="BK176" s="51">
        <f t="shared" si="503"/>
        <v>0</v>
      </c>
      <c r="BL176" s="51">
        <f t="shared" si="587"/>
        <v>0</v>
      </c>
      <c r="BM176" s="51">
        <f t="shared" si="504"/>
        <v>0</v>
      </c>
      <c r="BN176" s="51">
        <f t="shared" si="588"/>
        <v>0</v>
      </c>
      <c r="BO176" s="51">
        <f t="shared" si="505"/>
        <v>0</v>
      </c>
      <c r="BP176" s="54">
        <f t="shared" si="506"/>
        <v>0</v>
      </c>
      <c r="BQ176" s="55">
        <f t="shared" si="507"/>
        <v>0</v>
      </c>
      <c r="BR176" s="56">
        <f>IF(AND($E176&lt;&gt;0,$F176&gt;0,YEAR($F176)&gt;=Preisindex!$A$6,YEAR(BM$4)&gt;=YEAR($F176),AND($K176&lt;&gt;"a",$K176&lt;&gt;"b",$K176&lt;&gt;"g",$K176&lt;&gt;"k")),1,IF(AND($E176&lt;&gt;0,$F176&gt;0,YEAR($F176)&gt;=Preisindex!$A$6,YEAR(BM$4)&gt;=YEAR($F176),$K176="a"),ROUND(VLOOKUP(BR$4,Preisindex,5,FALSE)/VLOOKUP(YEAR($F176),Preisindex,5,FALSE),2),IF(AND($E176&lt;&gt;0,$F176&gt;0,YEAR($F176)&gt;=Preisindex!$A$6,YEAR(BM$4)&gt;=YEAR($F176),$K176="b"),ROUND(VLOOKUP(BR$4,Preisindex,3,FALSE)/VLOOKUP(YEAR($F176),Preisindex,3,FALSE),2),IF(AND($E176&lt;&gt;0,$F176&gt;0,YEAR($F176)&gt;=Preisindex!$A$6,YEAR(BM$4)&gt;=YEAR($F176),$K176="g"),ROUND(VLOOKUP(BR$4,Preisindex,4,FALSE)/VLOOKUP(YEAR($F176),Preisindex,4,FALSE),2),IF(AND($E176&lt;&gt;0,$F176&gt;0,YEAR($F176)&gt;=Preisindex!$A$6,YEAR(BM$4)&gt;=YEAR($F176),$K176="k"),ROUND(VLOOKUP(BR$4,Preisindex,2,FALSE)/VLOOKUP(YEAR($F176),Preisindex,2,FALSE),2),0)))))</f>
        <v>0</v>
      </c>
      <c r="BS176" s="56">
        <f>IF(AND($E176&lt;&gt;0,$F176&gt;0,YEAR($F176)&lt;Preisindex!$A$6,YEAR(BM$4)&gt;=YEAR($F176),AND($K176&lt;&gt;"a",$K176&lt;&gt;"b",$K176&lt;&gt;"g",$K176&lt;&gt;"k")),1,IF(AND($E176&lt;&gt;0,$F176&gt;0,YEAR($F176)&lt;Preisindex!$A$6,YEAR(BM$4)&gt;=YEAR($F176),$K176="a"),ROUND(VLOOKUP(BR$4,Preisindex,5,FALSE)/VLOOKUP(Preisindex!$A$6,Preisindex,5,FALSE),2),IF(AND($E176&lt;&gt;0,$F176&gt;0,YEAR($F176)&lt;Preisindex!$A$6,YEAR(BM$4)&gt;=YEAR($F176),$K176="b"),ROUND(VLOOKUP(BR$4,Preisindex,3,FALSE)/VLOOKUP(Preisindex!$A$6,Preisindex,3,FALSE),2),IF(AND($E176&lt;&gt;0,$F176&gt;0,YEAR($F176)&lt;Preisindex!$A$6,YEAR(BM$4)&gt;=YEAR($F176),$K176="g"),ROUND(VLOOKUP(BR$4,Preisindex,4,FALSE)/VLOOKUP(Preisindex!$A$6,Preisindex,4,FALSE),2),IF(AND($E176&lt;&gt;0,$F176&gt;0,YEAR($F176)&lt;Preisindex!$A$6,YEAR(BM$4)&gt;=YEAR($F176),$K176="k"),ROUND(VLOOKUP(BR$4,Preisindex,2,FALSE)/VLOOKUP(Preisindex!$A$6,Preisindex,2,FALSE),2),0)))))</f>
        <v>0</v>
      </c>
      <c r="BT176" s="51">
        <f>IF(AND($E176&lt;&gt;0,$F176&gt;0,YEAR($F176)&lt;=BR$4,YEAR($F176)&gt;=Preisindex!$A$6),ROUND($E176*BR176,2),IF(AND($E176&lt;&gt;0,$F176&gt;0,YEAR($F176)&lt;=BR$4,YEAR($F176)&lt;Preisindex!$A$6),ROUND($E176*BS176,2),0))</f>
        <v>0</v>
      </c>
      <c r="BU176" s="53">
        <f t="shared" si="508"/>
        <v>0</v>
      </c>
      <c r="BV176" s="51">
        <f t="shared" si="619"/>
        <v>0</v>
      </c>
      <c r="BW176" s="51">
        <f t="shared" si="589"/>
        <v>0</v>
      </c>
      <c r="BX176" s="51">
        <f t="shared" si="509"/>
        <v>0</v>
      </c>
      <c r="BY176" s="51">
        <f t="shared" si="590"/>
        <v>0</v>
      </c>
      <c r="BZ176" s="51">
        <f t="shared" si="510"/>
        <v>0</v>
      </c>
      <c r="CA176" s="51">
        <f t="shared" si="591"/>
        <v>0</v>
      </c>
      <c r="CB176" s="51">
        <f t="shared" si="511"/>
        <v>0</v>
      </c>
      <c r="CC176" s="51">
        <f t="shared" si="592"/>
        <v>0</v>
      </c>
      <c r="CD176" s="51">
        <f t="shared" si="512"/>
        <v>0</v>
      </c>
      <c r="CE176" s="51">
        <f t="shared" si="593"/>
        <v>0</v>
      </c>
      <c r="CF176" s="51">
        <f t="shared" si="513"/>
        <v>0</v>
      </c>
      <c r="CG176" s="54">
        <f t="shared" si="514"/>
        <v>0</v>
      </c>
      <c r="CH176" s="55">
        <f t="shared" si="515"/>
        <v>0</v>
      </c>
      <c r="CI176" s="56">
        <f>IF(AND($E176&lt;&gt;0,$F176&gt;0,YEAR($F176)&gt;=Preisindex!$A$6,YEAR(CD$4)&gt;=YEAR($F176),AND($K176&lt;&gt;"a",$K176&lt;&gt;"b",$K176&lt;&gt;"g",$K176&lt;&gt;"k")),1,IF(AND($E176&lt;&gt;0,$F176&gt;0,YEAR($F176)&gt;=Preisindex!$A$6,YEAR(CD$4)&gt;=YEAR($F176),$K176="a"),ROUND(VLOOKUP(CI$4,Preisindex,5,FALSE)/VLOOKUP(YEAR($F176),Preisindex,5,FALSE),2),IF(AND($E176&lt;&gt;0,$F176&gt;0,YEAR($F176)&gt;=Preisindex!$A$6,YEAR(CD$4)&gt;=YEAR($F176),$K176="b"),ROUND(VLOOKUP(CI$4,Preisindex,3,FALSE)/VLOOKUP(YEAR($F176),Preisindex,3,FALSE),2),IF(AND($E176&lt;&gt;0,$F176&gt;0,YEAR($F176)&gt;=Preisindex!$A$6,YEAR(CD$4)&gt;=YEAR($F176),$K176="g"),ROUND(VLOOKUP(CI$4,Preisindex,4,FALSE)/VLOOKUP(YEAR($F176),Preisindex,4,FALSE),2),IF(AND($E176&lt;&gt;0,$F176&gt;0,YEAR($F176)&gt;=Preisindex!$A$6,YEAR(CD$4)&gt;=YEAR($F176),$K176="k"),ROUND(VLOOKUP(CI$4,Preisindex,2,FALSE)/VLOOKUP(YEAR($F176),Preisindex,2,FALSE),2),0)))))</f>
        <v>0</v>
      </c>
      <c r="CJ176" s="56">
        <f>IF(AND($E176&lt;&gt;0,$F176&gt;0,YEAR($F176)&lt;Preisindex!$A$6,YEAR(CD$4)&gt;=YEAR($F176),AND($K176&lt;&gt;"a",$K176&lt;&gt;"b",$K176&lt;&gt;"g",$K176&lt;&gt;"k")),1,IF(AND($E176&lt;&gt;0,$F176&gt;0,YEAR($F176)&lt;Preisindex!$A$6,YEAR(CD$4)&gt;=YEAR($F176),$K176="a"),ROUND(VLOOKUP(CI$4,Preisindex,5,FALSE)/VLOOKUP(Preisindex!$A$6,Preisindex,5,FALSE),2),IF(AND($E176&lt;&gt;0,$F176&gt;0,YEAR($F176)&lt;Preisindex!$A$6,YEAR(CD$4)&gt;=YEAR($F176),$K176="b"),ROUND(VLOOKUP(CI$4,Preisindex,3,FALSE)/VLOOKUP(Preisindex!$A$6,Preisindex,3,FALSE),2),IF(AND($E176&lt;&gt;0,$F176&gt;0,YEAR($F176)&lt;Preisindex!$A$6,YEAR(CD$4)&gt;=YEAR($F176),$K176="g"),ROUND(VLOOKUP(CI$4,Preisindex,4,FALSE)/VLOOKUP(Preisindex!$A$6,Preisindex,4,FALSE),2),IF(AND($E176&lt;&gt;0,$F176&gt;0,YEAR($F176)&lt;Preisindex!$A$6,YEAR(CD$4)&gt;=YEAR($F176),$K176="k"),ROUND(VLOOKUP(CI$4,Preisindex,2,FALSE)/VLOOKUP(Preisindex!$A$6,Preisindex,2,FALSE),2),0)))))</f>
        <v>0</v>
      </c>
      <c r="CK176" s="51">
        <f>IF(AND($E176&lt;&gt;0,$F176&gt;0,YEAR($F176)&lt;=CI$4,YEAR($F176)&gt;=Preisindex!$A$6),ROUND($E176*CI176,2),IF(AND($E176&lt;&gt;0,$F176&gt;0,YEAR($F176)&lt;=CI$4,YEAR($F176)&lt;Preisindex!$A$6),ROUND($E176*CJ176,2),0))</f>
        <v>0</v>
      </c>
      <c r="CL176" s="53">
        <f t="shared" si="516"/>
        <v>0</v>
      </c>
      <c r="CM176" s="51">
        <f t="shared" si="619"/>
        <v>0</v>
      </c>
      <c r="CN176" s="51">
        <f t="shared" si="594"/>
        <v>0</v>
      </c>
      <c r="CO176" s="51">
        <f t="shared" si="517"/>
        <v>0</v>
      </c>
      <c r="CP176" s="51">
        <f t="shared" si="595"/>
        <v>0</v>
      </c>
      <c r="CQ176" s="51">
        <f t="shared" si="518"/>
        <v>0</v>
      </c>
      <c r="CR176" s="51">
        <f t="shared" si="596"/>
        <v>0</v>
      </c>
      <c r="CS176" s="51">
        <f t="shared" si="519"/>
        <v>0</v>
      </c>
      <c r="CT176" s="51">
        <f t="shared" si="597"/>
        <v>0</v>
      </c>
      <c r="CU176" s="51">
        <f t="shared" si="520"/>
        <v>0</v>
      </c>
      <c r="CV176" s="51">
        <f t="shared" si="598"/>
        <v>0</v>
      </c>
      <c r="CW176" s="51">
        <f t="shared" si="521"/>
        <v>0</v>
      </c>
      <c r="CX176" s="54">
        <f t="shared" si="522"/>
        <v>0</v>
      </c>
      <c r="CY176" s="55">
        <f t="shared" si="523"/>
        <v>0</v>
      </c>
      <c r="CZ176" s="56">
        <f>IF(AND($E176&lt;&gt;0,$F176&gt;0,YEAR($F176)&gt;=Preisindex!$A$6,YEAR(CU$4)&gt;=YEAR($F176),AND($K176&lt;&gt;"a",$K176&lt;&gt;"b",$K176&lt;&gt;"g",$K176&lt;&gt;"k")),1,IF(AND($E176&lt;&gt;0,$F176&gt;0,YEAR($F176)&gt;=Preisindex!$A$6,YEAR(CU$4)&gt;=YEAR($F176),$K176="a"),ROUND(VLOOKUP(CZ$4,Preisindex,5,FALSE)/VLOOKUP(YEAR($F176),Preisindex,5,FALSE),2),IF(AND($E176&lt;&gt;0,$F176&gt;0,YEAR($F176)&gt;=Preisindex!$A$6,YEAR(CU$4)&gt;=YEAR($F176),$K176="b"),ROUND(VLOOKUP(CZ$4,Preisindex,3,FALSE)/VLOOKUP(YEAR($F176),Preisindex,3,FALSE),2),IF(AND($E176&lt;&gt;0,$F176&gt;0,YEAR($F176)&gt;=Preisindex!$A$6,YEAR(CU$4)&gt;=YEAR($F176),$K176="g"),ROUND(VLOOKUP(CZ$4,Preisindex,4,FALSE)/VLOOKUP(YEAR($F176),Preisindex,4,FALSE),2),IF(AND($E176&lt;&gt;0,$F176&gt;0,YEAR($F176)&gt;=Preisindex!$A$6,YEAR(CU$4)&gt;=YEAR($F176),$K176="k"),ROUND(VLOOKUP(CZ$4,Preisindex,2,FALSE)/VLOOKUP(YEAR($F176),Preisindex,2,FALSE),2),0)))))</f>
        <v>0</v>
      </c>
      <c r="DA176" s="56">
        <f>IF(AND($E176&lt;&gt;0,$F176&gt;0,YEAR($F176)&lt;Preisindex!$A$6,YEAR(CU$4)&gt;=YEAR($F176),AND($K176&lt;&gt;"a",$K176&lt;&gt;"b",$K176&lt;&gt;"g",$K176&lt;&gt;"k")),1,IF(AND($E176&lt;&gt;0,$F176&gt;0,YEAR($F176)&lt;Preisindex!$A$6,YEAR(CU$4)&gt;=YEAR($F176),$K176="a"),ROUND(VLOOKUP(CZ$4,Preisindex,5,FALSE)/VLOOKUP(Preisindex!$A$6,Preisindex,5,FALSE),2),IF(AND($E176&lt;&gt;0,$F176&gt;0,YEAR($F176)&lt;Preisindex!$A$6,YEAR(CU$4)&gt;=YEAR($F176),$K176="b"),ROUND(VLOOKUP(CZ$4,Preisindex,3,FALSE)/VLOOKUP(Preisindex!$A$6,Preisindex,3,FALSE),2),IF(AND($E176&lt;&gt;0,$F176&gt;0,YEAR($F176)&lt;Preisindex!$A$6,YEAR(CU$4)&gt;=YEAR($F176),$K176="g"),ROUND(VLOOKUP(CZ$4,Preisindex,4,FALSE)/VLOOKUP(Preisindex!$A$6,Preisindex,4,FALSE),2),IF(AND($E176&lt;&gt;0,$F176&gt;0,YEAR($F176)&lt;Preisindex!$A$6,YEAR(CU$4)&gt;=YEAR($F176),$K176="k"),ROUND(VLOOKUP(CZ$4,Preisindex,2,FALSE)/VLOOKUP(Preisindex!$A$6,Preisindex,2,FALSE),2),0)))))</f>
        <v>0</v>
      </c>
      <c r="DB176" s="51">
        <f>IF(AND($E176&lt;&gt;0,$F176&gt;0,YEAR($F176)&lt;=CZ$4,YEAR($F176)&gt;=Preisindex!$A$6),ROUND($E176*CZ176,2),IF(AND($E176&lt;&gt;0,$F176&gt;0,YEAR($F176)&lt;=CZ$4,YEAR($F176)&lt;Preisindex!$A$6),ROUND($E176*DA176,2),0))</f>
        <v>0</v>
      </c>
      <c r="DC176" s="53">
        <f t="shared" si="524"/>
        <v>0</v>
      </c>
      <c r="DD176" s="51">
        <f t="shared" si="620"/>
        <v>0</v>
      </c>
      <c r="DE176" s="51">
        <f t="shared" si="599"/>
        <v>0</v>
      </c>
      <c r="DF176" s="51">
        <f t="shared" si="526"/>
        <v>0</v>
      </c>
      <c r="DG176" s="51">
        <f t="shared" si="600"/>
        <v>0</v>
      </c>
      <c r="DH176" s="51">
        <f t="shared" si="527"/>
        <v>0</v>
      </c>
      <c r="DI176" s="51">
        <f t="shared" si="601"/>
        <v>0</v>
      </c>
      <c r="DJ176" s="51">
        <f t="shared" si="528"/>
        <v>0</v>
      </c>
      <c r="DK176" s="51">
        <f t="shared" si="602"/>
        <v>0</v>
      </c>
      <c r="DL176" s="51">
        <f t="shared" si="529"/>
        <v>0</v>
      </c>
      <c r="DM176" s="51">
        <f t="shared" si="603"/>
        <v>0</v>
      </c>
      <c r="DN176" s="51">
        <f t="shared" si="530"/>
        <v>0</v>
      </c>
      <c r="DO176" s="54">
        <f t="shared" si="531"/>
        <v>0</v>
      </c>
      <c r="DP176" s="55">
        <f t="shared" si="532"/>
        <v>0</v>
      </c>
      <c r="DQ176" s="56">
        <f>IF(AND($E176&lt;&gt;0,$F176&gt;0,YEAR($F176)&gt;=Preisindex!$A$6,YEAR(DL$4)&gt;=YEAR($F176),AND($K176&lt;&gt;"a",$K176&lt;&gt;"b",$K176&lt;&gt;"g",$K176&lt;&gt;"k")),1,IF(AND($E176&lt;&gt;0,$F176&gt;0,YEAR($F176)&gt;=Preisindex!$A$6,YEAR(DL$4)&gt;=YEAR($F176),$K176="a"),ROUND(VLOOKUP(DQ$4,Preisindex,5,FALSE)/VLOOKUP(YEAR($F176),Preisindex,5,FALSE),2),IF(AND($E176&lt;&gt;0,$F176&gt;0,YEAR($F176)&gt;=Preisindex!$A$6,YEAR(DL$4)&gt;=YEAR($F176),$K176="b"),ROUND(VLOOKUP(DQ$4,Preisindex,3,FALSE)/VLOOKUP(YEAR($F176),Preisindex,3,FALSE),2),IF(AND($E176&lt;&gt;0,$F176&gt;0,YEAR($F176)&gt;=Preisindex!$A$6,YEAR(DL$4)&gt;=YEAR($F176),$K176="g"),ROUND(VLOOKUP(DQ$4,Preisindex,4,FALSE)/VLOOKUP(YEAR($F176),Preisindex,4,FALSE),2),IF(AND($E176&lt;&gt;0,$F176&gt;0,YEAR($F176)&gt;=Preisindex!$A$6,YEAR(DL$4)&gt;=YEAR($F176),$K176="k"),ROUND(VLOOKUP(DQ$4,Preisindex,2,FALSE)/VLOOKUP(YEAR($F176),Preisindex,2,FALSE),2),0)))))</f>
        <v>0</v>
      </c>
      <c r="DR176" s="56">
        <f>IF(AND($E176&lt;&gt;0,$F176&gt;0,YEAR($F176)&lt;Preisindex!$A$6,YEAR(DL$4)&gt;=YEAR($F176),AND($K176&lt;&gt;"a",$K176&lt;&gt;"b",$K176&lt;&gt;"g",$K176&lt;&gt;"k")),1,IF(AND($E176&lt;&gt;0,$F176&gt;0,YEAR($F176)&lt;Preisindex!$A$6,YEAR(DL$4)&gt;=YEAR($F176),$K176="a"),ROUND(VLOOKUP(DQ$4,Preisindex,5,FALSE)/VLOOKUP(Preisindex!$A$6,Preisindex,5,FALSE),2),IF(AND($E176&lt;&gt;0,$F176&gt;0,YEAR($F176)&lt;Preisindex!$A$6,YEAR(DL$4)&gt;=YEAR($F176),$K176="b"),ROUND(VLOOKUP(DQ$4,Preisindex,3,FALSE)/VLOOKUP(Preisindex!$A$6,Preisindex,3,FALSE),2),IF(AND($E176&lt;&gt;0,$F176&gt;0,YEAR($F176)&lt;Preisindex!$A$6,YEAR(DL$4)&gt;=YEAR($F176),$K176="g"),ROUND(VLOOKUP(DQ$4,Preisindex,4,FALSE)/VLOOKUP(Preisindex!$A$6,Preisindex,4,FALSE),2),IF(AND($E176&lt;&gt;0,$F176&gt;0,YEAR($F176)&lt;Preisindex!$A$6,YEAR(DL$4)&gt;=YEAR($F176),$K176="k"),ROUND(VLOOKUP(DQ$4,Preisindex,2,FALSE)/VLOOKUP(Preisindex!$A$6,Preisindex,2,FALSE),2),0)))))</f>
        <v>0</v>
      </c>
      <c r="DS176" s="51">
        <f>IF(AND($E176&lt;&gt;0,$F176&gt;0,YEAR($F176)&lt;=DQ$4,YEAR($F176)&gt;=Preisindex!$A$6),ROUND($E176*DQ176,2),IF(AND($E176&lt;&gt;0,$F176&gt;0,YEAR($F176)&lt;=DQ$4,YEAR($F176)&lt;Preisindex!$A$6),ROUND($E176*DR176,2),0))</f>
        <v>0</v>
      </c>
      <c r="DT176" s="53">
        <f t="shared" si="533"/>
        <v>0</v>
      </c>
      <c r="DU176" s="51">
        <f t="shared" si="620"/>
        <v>0</v>
      </c>
      <c r="DV176" s="51">
        <f t="shared" si="604"/>
        <v>0</v>
      </c>
      <c r="DW176" s="51">
        <f t="shared" si="534"/>
        <v>0</v>
      </c>
      <c r="DX176" s="51">
        <f t="shared" si="605"/>
        <v>0</v>
      </c>
      <c r="DY176" s="51">
        <f t="shared" si="535"/>
        <v>0</v>
      </c>
      <c r="DZ176" s="51">
        <f t="shared" si="606"/>
        <v>0</v>
      </c>
      <c r="EA176" s="51">
        <f t="shared" si="536"/>
        <v>0</v>
      </c>
      <c r="EB176" s="51">
        <f t="shared" si="607"/>
        <v>0</v>
      </c>
      <c r="EC176" s="51">
        <f t="shared" si="537"/>
        <v>0</v>
      </c>
      <c r="ED176" s="51">
        <f t="shared" si="608"/>
        <v>0</v>
      </c>
      <c r="EE176" s="51">
        <f t="shared" si="538"/>
        <v>0</v>
      </c>
      <c r="EF176" s="54">
        <f t="shared" si="539"/>
        <v>0</v>
      </c>
      <c r="EG176" s="55">
        <f t="shared" si="540"/>
        <v>0</v>
      </c>
      <c r="EH176" s="56">
        <f>IF(AND($E176&lt;&gt;0,$F176&gt;0,YEAR($F176)&gt;=Preisindex!$A$6,YEAR(EC$4)&gt;=YEAR($F176),AND($K176&lt;&gt;"a",$K176&lt;&gt;"b",$K176&lt;&gt;"g",$K176&lt;&gt;"k")),1,IF(AND($E176&lt;&gt;0,$F176&gt;0,YEAR($F176)&gt;=Preisindex!$A$6,YEAR(EC$4)&gt;=YEAR($F176),$K176="a"),ROUND(VLOOKUP(EH$4,Preisindex,5,FALSE)/VLOOKUP(YEAR($F176),Preisindex,5,FALSE),2),IF(AND($E176&lt;&gt;0,$F176&gt;0,YEAR($F176)&gt;=Preisindex!$A$6,YEAR(EC$4)&gt;=YEAR($F176),$K176="b"),ROUND(VLOOKUP(EH$4,Preisindex,3,FALSE)/VLOOKUP(YEAR($F176),Preisindex,3,FALSE),2),IF(AND($E176&lt;&gt;0,$F176&gt;0,YEAR($F176)&gt;=Preisindex!$A$6,YEAR(EC$4)&gt;=YEAR($F176),$K176="g"),ROUND(VLOOKUP(EH$4,Preisindex,4,FALSE)/VLOOKUP(YEAR($F176),Preisindex,4,FALSE),2),IF(AND($E176&lt;&gt;0,$F176&gt;0,YEAR($F176)&gt;=Preisindex!$A$6,YEAR(EC$4)&gt;=YEAR($F176),$K176="k"),ROUND(VLOOKUP(EH$4,Preisindex,2,FALSE)/VLOOKUP(YEAR($F176),Preisindex,2,FALSE),2),0)))))</f>
        <v>0</v>
      </c>
      <c r="EI176" s="56">
        <f>IF(AND($E176&lt;&gt;0,$F176&gt;0,YEAR($F176)&lt;Preisindex!$A$6,YEAR(EC$4)&gt;=YEAR($F176),AND($K176&lt;&gt;"a",$K176&lt;&gt;"b",$K176&lt;&gt;"g",$K176&lt;&gt;"k")),1,IF(AND($E176&lt;&gt;0,$F176&gt;0,YEAR($F176)&lt;Preisindex!$A$6,YEAR(EC$4)&gt;=YEAR($F176),$K176="a"),ROUND(VLOOKUP(EH$4,Preisindex,5,FALSE)/VLOOKUP(Preisindex!$A$6,Preisindex,5,FALSE),2),IF(AND($E176&lt;&gt;0,$F176&gt;0,YEAR($F176)&lt;Preisindex!$A$6,YEAR(EC$4)&gt;=YEAR($F176),$K176="b"),ROUND(VLOOKUP(EH$4,Preisindex,3,FALSE)/VLOOKUP(Preisindex!$A$6,Preisindex,3,FALSE),2),IF(AND($E176&lt;&gt;0,$F176&gt;0,YEAR($F176)&lt;Preisindex!$A$6,YEAR(EC$4)&gt;=YEAR($F176),$K176="g"),ROUND(VLOOKUP(EH$4,Preisindex,4,FALSE)/VLOOKUP(Preisindex!$A$6,Preisindex,4,FALSE),2),IF(AND($E176&lt;&gt;0,$F176&gt;0,YEAR($F176)&lt;Preisindex!$A$6,YEAR(EC$4)&gt;=YEAR($F176),$K176="k"),ROUND(VLOOKUP(EH$4,Preisindex,2,FALSE)/VLOOKUP(Preisindex!$A$6,Preisindex,2,FALSE),2),0)))))</f>
        <v>0</v>
      </c>
      <c r="EJ176" s="51">
        <f>IF(AND($E176&lt;&gt;0,$F176&gt;0,YEAR($F176)&lt;=EH$4,YEAR($F176)&gt;=Preisindex!$A$6),ROUND($E176*EH176,2),IF(AND($E176&lt;&gt;0,$F176&gt;0,YEAR($F176)&lt;=EH$4,YEAR($F176)&lt;Preisindex!$A$6),ROUND($E176*EI176,2),0))</f>
        <v>0</v>
      </c>
      <c r="EK176" s="53">
        <f t="shared" si="541"/>
        <v>0</v>
      </c>
      <c r="EL176" s="51">
        <f t="shared" si="620"/>
        <v>0</v>
      </c>
      <c r="EM176" s="51">
        <f t="shared" si="609"/>
        <v>0</v>
      </c>
      <c r="EN176" s="51">
        <f t="shared" si="542"/>
        <v>0</v>
      </c>
      <c r="EO176" s="51">
        <f t="shared" si="610"/>
        <v>0</v>
      </c>
      <c r="EP176" s="51">
        <f t="shared" si="543"/>
        <v>0</v>
      </c>
      <c r="EQ176" s="51">
        <f t="shared" si="611"/>
        <v>0</v>
      </c>
      <c r="ER176" s="51">
        <f t="shared" si="544"/>
        <v>0</v>
      </c>
      <c r="ES176" s="51">
        <f t="shared" si="612"/>
        <v>0</v>
      </c>
      <c r="ET176" s="51">
        <f t="shared" si="545"/>
        <v>0</v>
      </c>
      <c r="EU176" s="51">
        <f t="shared" si="613"/>
        <v>0</v>
      </c>
      <c r="EV176" s="51">
        <f t="shared" si="546"/>
        <v>0</v>
      </c>
      <c r="EW176" s="54">
        <f t="shared" si="547"/>
        <v>0</v>
      </c>
      <c r="EX176" s="55">
        <f t="shared" si="548"/>
        <v>0</v>
      </c>
      <c r="EY176" s="56">
        <f>IF(AND($E176&lt;&gt;0,$F176&gt;0,YEAR($F176)&gt;=Preisindex!$A$6,YEAR(ET$4)&gt;=YEAR($F176),AND($K176&lt;&gt;"a",$K176&lt;&gt;"b",$K176&lt;&gt;"g",$K176&lt;&gt;"k")),1,IF(AND($E176&lt;&gt;0,$F176&gt;0,YEAR($F176)&gt;=Preisindex!$A$6,YEAR(ET$4)&gt;=YEAR($F176),$K176="a"),ROUND(VLOOKUP(EY$4,Preisindex,5,FALSE)/VLOOKUP(YEAR($F176),Preisindex,5,FALSE),2),IF(AND($E176&lt;&gt;0,$F176&gt;0,YEAR($F176)&gt;=Preisindex!$A$6,YEAR(ET$4)&gt;=YEAR($F176),$K176="b"),ROUND(VLOOKUP(EY$4,Preisindex,3,FALSE)/VLOOKUP(YEAR($F176),Preisindex,3,FALSE),2),IF(AND($E176&lt;&gt;0,$F176&gt;0,YEAR($F176)&gt;=Preisindex!$A$6,YEAR(ET$4)&gt;=YEAR($F176),$K176="g"),ROUND(VLOOKUP(EY$4,Preisindex,4,FALSE)/VLOOKUP(YEAR($F176),Preisindex,4,FALSE),2),IF(AND($E176&lt;&gt;0,$F176&gt;0,YEAR($F176)&gt;=Preisindex!$A$6,YEAR(ET$4)&gt;=YEAR($F176),$K176="k"),ROUND(VLOOKUP(EY$4,Preisindex,2,FALSE)/VLOOKUP(YEAR($F176),Preisindex,2,FALSE),2),0)))))</f>
        <v>0</v>
      </c>
      <c r="EZ176" s="56">
        <f>IF(AND($E176&lt;&gt;0,$F176&gt;0,YEAR($F176)&lt;Preisindex!$A$6,YEAR(ET$4)&gt;=YEAR($F176),AND($K176&lt;&gt;"a",$K176&lt;&gt;"b",$K176&lt;&gt;"g",$K176&lt;&gt;"k")),1,IF(AND($E176&lt;&gt;0,$F176&gt;0,YEAR($F176)&lt;Preisindex!$A$6,YEAR(ET$4)&gt;=YEAR($F176),$K176="a"),ROUND(VLOOKUP(EY$4,Preisindex,5,FALSE)/VLOOKUP(Preisindex!$A$6,Preisindex,5,FALSE),2),IF(AND($E176&lt;&gt;0,$F176&gt;0,YEAR($F176)&lt;Preisindex!$A$6,YEAR(ET$4)&gt;=YEAR($F176),$K176="b"),ROUND(VLOOKUP(EY$4,Preisindex,3,FALSE)/VLOOKUP(Preisindex!$A$6,Preisindex,3,FALSE),2),IF(AND($E176&lt;&gt;0,$F176&gt;0,YEAR($F176)&lt;Preisindex!$A$6,YEAR(ET$4)&gt;=YEAR($F176),$K176="g"),ROUND(VLOOKUP(EY$4,Preisindex,4,FALSE)/VLOOKUP(Preisindex!$A$6,Preisindex,4,FALSE),2),IF(AND($E176&lt;&gt;0,$F176&gt;0,YEAR($F176)&lt;Preisindex!$A$6,YEAR(ET$4)&gt;=YEAR($F176),$K176="k"),ROUND(VLOOKUP(EY$4,Preisindex,2,FALSE)/VLOOKUP(Preisindex!$A$6,Preisindex,2,FALSE),2),0)))))</f>
        <v>0</v>
      </c>
      <c r="FA176" s="51">
        <f>IF(AND($E176&lt;&gt;0,$F176&gt;0,YEAR($F176)&lt;=EY$4,YEAR($F176)&gt;=Preisindex!$A$6),ROUND($E176*EY176,2),IF(AND($E176&lt;&gt;0,$F176&gt;0,YEAR($F176)&lt;=EY$4,YEAR($F176)&lt;Preisindex!$A$6),ROUND($E176*EZ176,2),0))</f>
        <v>0</v>
      </c>
      <c r="FB176" s="53">
        <f t="shared" si="549"/>
        <v>0</v>
      </c>
      <c r="FC176" s="51">
        <f t="shared" si="620"/>
        <v>0</v>
      </c>
      <c r="FD176" s="51">
        <f t="shared" si="614"/>
        <v>0</v>
      </c>
      <c r="FE176" s="51">
        <f t="shared" si="550"/>
        <v>0</v>
      </c>
      <c r="FF176" s="51">
        <f t="shared" si="615"/>
        <v>0</v>
      </c>
      <c r="FG176" s="51">
        <f t="shared" si="551"/>
        <v>0</v>
      </c>
      <c r="FH176" s="51">
        <f t="shared" si="616"/>
        <v>0</v>
      </c>
      <c r="FI176" s="51">
        <f t="shared" si="552"/>
        <v>0</v>
      </c>
      <c r="FJ176" s="51">
        <f t="shared" si="617"/>
        <v>0</v>
      </c>
      <c r="FK176" s="51">
        <f t="shared" si="553"/>
        <v>0</v>
      </c>
      <c r="FL176" s="51">
        <f t="shared" si="618"/>
        <v>0</v>
      </c>
      <c r="FM176" s="51">
        <f t="shared" si="554"/>
        <v>0</v>
      </c>
      <c r="FN176" s="54">
        <f t="shared" si="555"/>
        <v>0</v>
      </c>
      <c r="FO176" s="55">
        <f t="shared" si="556"/>
        <v>0</v>
      </c>
      <c r="FP176" s="56">
        <f>IF(AND($E176&lt;&gt;0,$F176&gt;0,YEAR($F176)&gt;=Preisindex!$A$6,YEAR(FK$4)&gt;=YEAR($F176),AND($K176&lt;&gt;"a",$K176&lt;&gt;"b",$K176&lt;&gt;"g",$K176&lt;&gt;"k")),1,IF(AND($E176&lt;&gt;0,$F176&gt;0,YEAR($F176)&gt;=Preisindex!$A$6,YEAR(FK$4)&gt;=YEAR($F176),$K176="a"),ROUND(VLOOKUP(FP$4,Preisindex,5,FALSE)/VLOOKUP(YEAR($F176),Preisindex,5,FALSE),2),IF(AND($E176&lt;&gt;0,$F176&gt;0,YEAR($F176)&gt;=Preisindex!$A$6,YEAR(FK$4)&gt;=YEAR($F176),$K176="b"),ROUND(VLOOKUP(FP$4,Preisindex,3,FALSE)/VLOOKUP(YEAR($F176),Preisindex,3,FALSE),2),IF(AND($E176&lt;&gt;0,$F176&gt;0,YEAR($F176)&gt;=Preisindex!$A$6,YEAR(FK$4)&gt;=YEAR($F176),$K176="g"),ROUND(VLOOKUP(FP$4,Preisindex,4,FALSE)/VLOOKUP(YEAR($F176),Preisindex,4,FALSE),2),IF(AND($E176&lt;&gt;0,$F176&gt;0,YEAR($F176)&gt;=Preisindex!$A$6,YEAR(FK$4)&gt;=YEAR($F176),$K176="k"),ROUND(VLOOKUP(FP$4,Preisindex,2,FALSE)/VLOOKUP(YEAR($F176),Preisindex,2,FALSE),2),0)))))</f>
        <v>0</v>
      </c>
      <c r="FQ176" s="56">
        <f>IF(AND($E176&lt;&gt;0,$F176&gt;0,YEAR($F176)&lt;Preisindex!$A$6,YEAR(FK$4)&gt;=YEAR($F176),AND($K176&lt;&gt;"a",$K176&lt;&gt;"b",$K176&lt;&gt;"g",$K176&lt;&gt;"k")),1,IF(AND($E176&lt;&gt;0,$F176&gt;0,YEAR($F176)&lt;Preisindex!$A$6,YEAR(FK$4)&gt;=YEAR($F176),$K176="a"),ROUND(VLOOKUP(FP$4,Preisindex,5,FALSE)/VLOOKUP(Preisindex!$A$6,Preisindex,5,FALSE),2),IF(AND($E176&lt;&gt;0,$F176&gt;0,YEAR($F176)&lt;Preisindex!$A$6,YEAR(FK$4)&gt;=YEAR($F176),$K176="b"),ROUND(VLOOKUP(FP$4,Preisindex,3,FALSE)/VLOOKUP(Preisindex!$A$6,Preisindex,3,FALSE),2),IF(AND($E176&lt;&gt;0,$F176&gt;0,YEAR($F176)&lt;Preisindex!$A$6,YEAR(FK$4)&gt;=YEAR($F176),$K176="g"),ROUND(VLOOKUP(FP$4,Preisindex,4,FALSE)/VLOOKUP(Preisindex!$A$6,Preisindex,4,FALSE),2),IF(AND($E176&lt;&gt;0,$F176&gt;0,YEAR($F176)&lt;Preisindex!$A$6,YEAR(FK$4)&gt;=YEAR($F176),$K176="k"),ROUND(VLOOKUP(FP$4,Preisindex,2,FALSE)/VLOOKUP(Preisindex!$A$6,Preisindex,2,FALSE),2),0)))))</f>
        <v>0</v>
      </c>
      <c r="FR176" s="51">
        <f>IF(AND($E176&lt;&gt;0,$F176&gt;0,YEAR($F176)&lt;=FP$4,YEAR($F176)&gt;=Preisindex!$A$6),ROUND($E176*FP176,2),IF(AND($E176&lt;&gt;0,$F176&gt;0,YEAR($F176)&lt;=FP$4,YEAR($F176)&lt;Preisindex!$A$6),ROUND($E176*FQ176,2),0))</f>
        <v>0</v>
      </c>
      <c r="FS176" s="53">
        <f t="shared" si="557"/>
        <v>0</v>
      </c>
    </row>
    <row r="177" spans="1:175" x14ac:dyDescent="0.3">
      <c r="A177" s="93"/>
      <c r="B177" s="94"/>
      <c r="C177" s="94"/>
      <c r="D177" s="95"/>
      <c r="E177" s="99"/>
      <c r="F177" s="97"/>
      <c r="G177" s="98"/>
      <c r="H177" s="620"/>
      <c r="I177" s="621"/>
      <c r="J177" s="194"/>
      <c r="K177" s="630"/>
      <c r="L177" s="49">
        <f t="shared" si="558"/>
        <v>0</v>
      </c>
      <c r="M177" s="50">
        <f t="shared" si="559"/>
        <v>0</v>
      </c>
      <c r="N177" s="51">
        <f t="shared" si="560"/>
        <v>0</v>
      </c>
      <c r="O177" s="51"/>
      <c r="P177" s="51">
        <f t="shared" si="561"/>
        <v>0</v>
      </c>
      <c r="Q177" s="52"/>
      <c r="R177" s="52"/>
      <c r="S177" s="52"/>
      <c r="T177" s="52"/>
      <c r="U177" s="52"/>
      <c r="V177" s="53">
        <f t="shared" si="562"/>
        <v>0</v>
      </c>
      <c r="W177" s="51">
        <f t="shared" si="563"/>
        <v>0</v>
      </c>
      <c r="X177" s="51">
        <f t="shared" si="564"/>
        <v>0</v>
      </c>
      <c r="Y177" s="51">
        <f t="shared" si="565"/>
        <v>0</v>
      </c>
      <c r="Z177" s="51">
        <f t="shared" si="566"/>
        <v>0</v>
      </c>
      <c r="AA177" s="51">
        <f t="shared" si="567"/>
        <v>0</v>
      </c>
      <c r="AB177" s="51">
        <f t="shared" si="568"/>
        <v>0</v>
      </c>
      <c r="AC177" s="51">
        <f t="shared" si="569"/>
        <v>0</v>
      </c>
      <c r="AD177" s="51">
        <f t="shared" si="570"/>
        <v>0</v>
      </c>
      <c r="AE177" s="51">
        <f t="shared" si="571"/>
        <v>0</v>
      </c>
      <c r="AF177" s="51">
        <f t="shared" si="572"/>
        <v>0</v>
      </c>
      <c r="AG177" s="51">
        <f t="shared" si="573"/>
        <v>0</v>
      </c>
      <c r="AH177" s="54">
        <f t="shared" si="574"/>
        <v>0</v>
      </c>
      <c r="AI177" s="55">
        <f t="shared" si="575"/>
        <v>0</v>
      </c>
      <c r="AJ177" s="56">
        <f>IF(AND($E177&lt;&gt;0,$F177&gt;0,YEAR($F177)&gt;=Preisindex!$A$6,YEAR(AE$4)&gt;=YEAR($F177),AND($K177&lt;&gt;"a",$K177&lt;&gt;"b",$K177&lt;&gt;"g",$K177&lt;&gt;"k")),1,IF(AND($E177&lt;&gt;0,$F177&gt;0,YEAR($F177)&gt;=Preisindex!$A$6,YEAR(AE$4)&gt;=YEAR($F177),$K177="a"),ROUND(VLOOKUP(AJ$4,Preisindex,5,FALSE)/VLOOKUP(YEAR($F177),Preisindex,5,FALSE),2),IF(AND($E177&lt;&gt;0,$F177&gt;0,YEAR($F177)&gt;=Preisindex!$A$6,YEAR(AE$4)&gt;=YEAR($F177),$K177="b"),ROUND(VLOOKUP(AJ$4,Preisindex,3,FALSE)/VLOOKUP(YEAR($F177),Preisindex,3,FALSE),2),IF(AND($E177&lt;&gt;0,$F177&gt;0,YEAR($F177)&gt;=Preisindex!$A$6,YEAR(AE$4)&gt;=YEAR($F177),$K177="g"),ROUND(VLOOKUP(AJ$4,Preisindex,4,FALSE)/VLOOKUP(YEAR($F177),Preisindex,4,FALSE),2),IF(AND($E177&lt;&gt;0,$F177&gt;0,YEAR($F177)&gt;=Preisindex!$A$6,YEAR(AE$4)&gt;=YEAR($F177),$K177="k"),ROUND(VLOOKUP(AJ$4,Preisindex,2,FALSE)/VLOOKUP(YEAR($F177),Preisindex,2,FALSE),2),0)))))</f>
        <v>0</v>
      </c>
      <c r="AK177" s="56">
        <f>IF(AND($E177&lt;&gt;0,$F177&gt;0,YEAR($F177)&lt;Preisindex!$A$6,YEAR(AE$4)&gt;=YEAR($F177),AND($K177&lt;&gt;"a",$K177&lt;&gt;"b",$K177&lt;&gt;"g",$K177&lt;&gt;"k")),1,IF(AND($E177&lt;&gt;0,$F177&gt;0,YEAR($F177)&lt;Preisindex!$A$6,YEAR(AE$4)&gt;=YEAR($F177),$K177="a"),ROUND(VLOOKUP(AJ$4,Preisindex,5,FALSE)/VLOOKUP(Preisindex!$A$6,Preisindex,5,FALSE),2),IF(AND($E177&lt;&gt;0,$F177&gt;0,YEAR($F177)&lt;Preisindex!$A$6,YEAR(AE$4)&gt;=YEAR($F177),$K177="b"),ROUND(VLOOKUP(AJ$4,Preisindex,3,FALSE)/VLOOKUP(Preisindex!$A$6,Preisindex,3,FALSE),2),IF(AND($E177&lt;&gt;0,$F177&gt;0,YEAR($F177)&lt;Preisindex!$A$6,YEAR(AE$4)&gt;=YEAR($F177),$K177="g"),ROUND(VLOOKUP(AJ$4,Preisindex,4,FALSE)/VLOOKUP(Preisindex!$A$6,Preisindex,4,FALSE),2),IF(AND($E177&lt;&gt;0,$F177&gt;0,YEAR($F177)&lt;Preisindex!$A$6,YEAR(AE$4)&gt;=YEAR($F177),$K177="k"),ROUND(VLOOKUP(AJ$4,Preisindex,2,FALSE)/VLOOKUP(Preisindex!$A$6,Preisindex,2,FALSE),2),0)))))</f>
        <v>0</v>
      </c>
      <c r="AL177" s="51">
        <f>IF(AND($E177&lt;&gt;0,$F177&gt;0,YEAR($F177)&lt;=AJ$4,YEAR($F177)&gt;=Preisindex!$A$6),ROUND($E177*AJ177,2),IF(AND($E177&lt;&gt;0,$F177&gt;0,YEAR($F177)&lt;=AJ$4,YEAR($F177)&lt;Preisindex!$A$6),ROUND($E177*AK177,2),0))</f>
        <v>0</v>
      </c>
      <c r="AM177" s="53">
        <f t="shared" si="576"/>
        <v>0</v>
      </c>
      <c r="AN177" s="51">
        <f t="shared" si="619"/>
        <v>0</v>
      </c>
      <c r="AO177" s="51">
        <f t="shared" si="579"/>
        <v>0</v>
      </c>
      <c r="AP177" s="51">
        <f t="shared" si="493"/>
        <v>0</v>
      </c>
      <c r="AQ177" s="51">
        <f t="shared" si="580"/>
        <v>0</v>
      </c>
      <c r="AR177" s="51">
        <f t="shared" si="494"/>
        <v>0</v>
      </c>
      <c r="AS177" s="51">
        <f t="shared" si="581"/>
        <v>0</v>
      </c>
      <c r="AT177" s="51">
        <f t="shared" si="495"/>
        <v>0</v>
      </c>
      <c r="AU177" s="51">
        <f t="shared" si="582"/>
        <v>0</v>
      </c>
      <c r="AV177" s="51">
        <f t="shared" si="496"/>
        <v>0</v>
      </c>
      <c r="AW177" s="51">
        <f t="shared" si="583"/>
        <v>0</v>
      </c>
      <c r="AX177" s="51">
        <f t="shared" si="497"/>
        <v>0</v>
      </c>
      <c r="AY177" s="54">
        <f t="shared" si="498"/>
        <v>0</v>
      </c>
      <c r="AZ177" s="55">
        <f t="shared" si="499"/>
        <v>0</v>
      </c>
      <c r="BA177" s="56">
        <f>IF(AND($E177&lt;&gt;0,$F177&gt;0,YEAR($F177)&gt;=Preisindex!$A$6,YEAR(AV$4)&gt;=YEAR($F177),AND($K177&lt;&gt;"a",$K177&lt;&gt;"b",$K177&lt;&gt;"g",$K177&lt;&gt;"k")),1,IF(AND($E177&lt;&gt;0,$F177&gt;0,YEAR($F177)&gt;=Preisindex!$A$6,YEAR(AV$4)&gt;=YEAR($F177),$K177="a"),ROUND(VLOOKUP(BA$4,Preisindex,5,FALSE)/VLOOKUP(YEAR($F177),Preisindex,5,FALSE),2),IF(AND($E177&lt;&gt;0,$F177&gt;0,YEAR($F177)&gt;=Preisindex!$A$6,YEAR(AV$4)&gt;=YEAR($F177),$K177="b"),ROUND(VLOOKUP(BA$4,Preisindex,3,FALSE)/VLOOKUP(YEAR($F177),Preisindex,3,FALSE),2),IF(AND($E177&lt;&gt;0,$F177&gt;0,YEAR($F177)&gt;=Preisindex!$A$6,YEAR(AV$4)&gt;=YEAR($F177),$K177="g"),ROUND(VLOOKUP(BA$4,Preisindex,4,FALSE)/VLOOKUP(YEAR($F177),Preisindex,4,FALSE),2),IF(AND($E177&lt;&gt;0,$F177&gt;0,YEAR($F177)&gt;=Preisindex!$A$6,YEAR(AV$4)&gt;=YEAR($F177),$K177="k"),ROUND(VLOOKUP(BA$4,Preisindex,2,FALSE)/VLOOKUP(YEAR($F177),Preisindex,2,FALSE),2),0)))))</f>
        <v>0</v>
      </c>
      <c r="BB177" s="56">
        <f>IF(AND($E177&lt;&gt;0,$F177&gt;0,YEAR($F177)&lt;Preisindex!$A$6,YEAR(AV$4)&gt;=YEAR($F177),AND($K177&lt;&gt;"a",$K177&lt;&gt;"b",$K177&lt;&gt;"g",$K177&lt;&gt;"k")),1,IF(AND($E177&lt;&gt;0,$F177&gt;0,YEAR($F177)&lt;Preisindex!$A$6,YEAR(AV$4)&gt;=YEAR($F177),$K177="a"),ROUND(VLOOKUP(BA$4,Preisindex,5,FALSE)/VLOOKUP(Preisindex!$A$6,Preisindex,5,FALSE),2),IF(AND($E177&lt;&gt;0,$F177&gt;0,YEAR($F177)&lt;Preisindex!$A$6,YEAR(AV$4)&gt;=YEAR($F177),$K177="b"),ROUND(VLOOKUP(BA$4,Preisindex,3,FALSE)/VLOOKUP(Preisindex!$A$6,Preisindex,3,FALSE),2),IF(AND($E177&lt;&gt;0,$F177&gt;0,YEAR($F177)&lt;Preisindex!$A$6,YEAR(AV$4)&gt;=YEAR($F177),$K177="g"),ROUND(VLOOKUP(BA$4,Preisindex,4,FALSE)/VLOOKUP(Preisindex!$A$6,Preisindex,4,FALSE),2),IF(AND($E177&lt;&gt;0,$F177&gt;0,YEAR($F177)&lt;Preisindex!$A$6,YEAR(AV$4)&gt;=YEAR($F177),$K177="k"),ROUND(VLOOKUP(BA$4,Preisindex,2,FALSE)/VLOOKUP(Preisindex!$A$6,Preisindex,2,FALSE),2),0)))))</f>
        <v>0</v>
      </c>
      <c r="BC177" s="51">
        <f>IF(AND($E177&lt;&gt;0,$F177&gt;0,YEAR($F177)&lt;=BA$4,YEAR($F177)&gt;=Preisindex!$A$6),ROUND($E177*BA177,2),IF(AND($E177&lt;&gt;0,$F177&gt;0,YEAR($F177)&lt;=BA$4,YEAR($F177)&lt;Preisindex!$A$6),ROUND($E177*BB177,2),0))</f>
        <v>0</v>
      </c>
      <c r="BD177" s="53">
        <f t="shared" si="500"/>
        <v>0</v>
      </c>
      <c r="BE177" s="51">
        <f t="shared" si="619"/>
        <v>0</v>
      </c>
      <c r="BF177" s="51">
        <f t="shared" si="584"/>
        <v>0</v>
      </c>
      <c r="BG177" s="51">
        <f t="shared" si="501"/>
        <v>0</v>
      </c>
      <c r="BH177" s="51">
        <f t="shared" si="585"/>
        <v>0</v>
      </c>
      <c r="BI177" s="51">
        <f t="shared" si="502"/>
        <v>0</v>
      </c>
      <c r="BJ177" s="51">
        <f t="shared" si="586"/>
        <v>0</v>
      </c>
      <c r="BK177" s="51">
        <f t="shared" si="503"/>
        <v>0</v>
      </c>
      <c r="BL177" s="51">
        <f t="shared" si="587"/>
        <v>0</v>
      </c>
      <c r="BM177" s="51">
        <f t="shared" si="504"/>
        <v>0</v>
      </c>
      <c r="BN177" s="51">
        <f t="shared" si="588"/>
        <v>0</v>
      </c>
      <c r="BO177" s="51">
        <f t="shared" si="505"/>
        <v>0</v>
      </c>
      <c r="BP177" s="54">
        <f t="shared" si="506"/>
        <v>0</v>
      </c>
      <c r="BQ177" s="55">
        <f t="shared" si="507"/>
        <v>0</v>
      </c>
      <c r="BR177" s="56">
        <f>IF(AND($E177&lt;&gt;0,$F177&gt;0,YEAR($F177)&gt;=Preisindex!$A$6,YEAR(BM$4)&gt;=YEAR($F177),AND($K177&lt;&gt;"a",$K177&lt;&gt;"b",$K177&lt;&gt;"g",$K177&lt;&gt;"k")),1,IF(AND($E177&lt;&gt;0,$F177&gt;0,YEAR($F177)&gt;=Preisindex!$A$6,YEAR(BM$4)&gt;=YEAR($F177),$K177="a"),ROUND(VLOOKUP(BR$4,Preisindex,5,FALSE)/VLOOKUP(YEAR($F177),Preisindex,5,FALSE),2),IF(AND($E177&lt;&gt;0,$F177&gt;0,YEAR($F177)&gt;=Preisindex!$A$6,YEAR(BM$4)&gt;=YEAR($F177),$K177="b"),ROUND(VLOOKUP(BR$4,Preisindex,3,FALSE)/VLOOKUP(YEAR($F177),Preisindex,3,FALSE),2),IF(AND($E177&lt;&gt;0,$F177&gt;0,YEAR($F177)&gt;=Preisindex!$A$6,YEAR(BM$4)&gt;=YEAR($F177),$K177="g"),ROUND(VLOOKUP(BR$4,Preisindex,4,FALSE)/VLOOKUP(YEAR($F177),Preisindex,4,FALSE),2),IF(AND($E177&lt;&gt;0,$F177&gt;0,YEAR($F177)&gt;=Preisindex!$A$6,YEAR(BM$4)&gt;=YEAR($F177),$K177="k"),ROUND(VLOOKUP(BR$4,Preisindex,2,FALSE)/VLOOKUP(YEAR($F177),Preisindex,2,FALSE),2),0)))))</f>
        <v>0</v>
      </c>
      <c r="BS177" s="56">
        <f>IF(AND($E177&lt;&gt;0,$F177&gt;0,YEAR($F177)&lt;Preisindex!$A$6,YEAR(BM$4)&gt;=YEAR($F177),AND($K177&lt;&gt;"a",$K177&lt;&gt;"b",$K177&lt;&gt;"g",$K177&lt;&gt;"k")),1,IF(AND($E177&lt;&gt;0,$F177&gt;0,YEAR($F177)&lt;Preisindex!$A$6,YEAR(BM$4)&gt;=YEAR($F177),$K177="a"),ROUND(VLOOKUP(BR$4,Preisindex,5,FALSE)/VLOOKUP(Preisindex!$A$6,Preisindex,5,FALSE),2),IF(AND($E177&lt;&gt;0,$F177&gt;0,YEAR($F177)&lt;Preisindex!$A$6,YEAR(BM$4)&gt;=YEAR($F177),$K177="b"),ROUND(VLOOKUP(BR$4,Preisindex,3,FALSE)/VLOOKUP(Preisindex!$A$6,Preisindex,3,FALSE),2),IF(AND($E177&lt;&gt;0,$F177&gt;0,YEAR($F177)&lt;Preisindex!$A$6,YEAR(BM$4)&gt;=YEAR($F177),$K177="g"),ROUND(VLOOKUP(BR$4,Preisindex,4,FALSE)/VLOOKUP(Preisindex!$A$6,Preisindex,4,FALSE),2),IF(AND($E177&lt;&gt;0,$F177&gt;0,YEAR($F177)&lt;Preisindex!$A$6,YEAR(BM$4)&gt;=YEAR($F177),$K177="k"),ROUND(VLOOKUP(BR$4,Preisindex,2,FALSE)/VLOOKUP(Preisindex!$A$6,Preisindex,2,FALSE),2),0)))))</f>
        <v>0</v>
      </c>
      <c r="BT177" s="51">
        <f>IF(AND($E177&lt;&gt;0,$F177&gt;0,YEAR($F177)&lt;=BR$4,YEAR($F177)&gt;=Preisindex!$A$6),ROUND($E177*BR177,2),IF(AND($E177&lt;&gt;0,$F177&gt;0,YEAR($F177)&lt;=BR$4,YEAR($F177)&lt;Preisindex!$A$6),ROUND($E177*BS177,2),0))</f>
        <v>0</v>
      </c>
      <c r="BU177" s="53">
        <f t="shared" si="508"/>
        <v>0</v>
      </c>
      <c r="BV177" s="51">
        <f t="shared" si="619"/>
        <v>0</v>
      </c>
      <c r="BW177" s="51">
        <f t="shared" si="589"/>
        <v>0</v>
      </c>
      <c r="BX177" s="51">
        <f t="shared" si="509"/>
        <v>0</v>
      </c>
      <c r="BY177" s="51">
        <f t="shared" si="590"/>
        <v>0</v>
      </c>
      <c r="BZ177" s="51">
        <f t="shared" si="510"/>
        <v>0</v>
      </c>
      <c r="CA177" s="51">
        <f t="shared" si="591"/>
        <v>0</v>
      </c>
      <c r="CB177" s="51">
        <f t="shared" si="511"/>
        <v>0</v>
      </c>
      <c r="CC177" s="51">
        <f t="shared" si="592"/>
        <v>0</v>
      </c>
      <c r="CD177" s="51">
        <f t="shared" si="512"/>
        <v>0</v>
      </c>
      <c r="CE177" s="51">
        <f t="shared" si="593"/>
        <v>0</v>
      </c>
      <c r="CF177" s="51">
        <f t="shared" si="513"/>
        <v>0</v>
      </c>
      <c r="CG177" s="54">
        <f t="shared" si="514"/>
        <v>0</v>
      </c>
      <c r="CH177" s="55">
        <f t="shared" si="515"/>
        <v>0</v>
      </c>
      <c r="CI177" s="56">
        <f>IF(AND($E177&lt;&gt;0,$F177&gt;0,YEAR($F177)&gt;=Preisindex!$A$6,YEAR(CD$4)&gt;=YEAR($F177),AND($K177&lt;&gt;"a",$K177&lt;&gt;"b",$K177&lt;&gt;"g",$K177&lt;&gt;"k")),1,IF(AND($E177&lt;&gt;0,$F177&gt;0,YEAR($F177)&gt;=Preisindex!$A$6,YEAR(CD$4)&gt;=YEAR($F177),$K177="a"),ROUND(VLOOKUP(CI$4,Preisindex,5,FALSE)/VLOOKUP(YEAR($F177),Preisindex,5,FALSE),2),IF(AND($E177&lt;&gt;0,$F177&gt;0,YEAR($F177)&gt;=Preisindex!$A$6,YEAR(CD$4)&gt;=YEAR($F177),$K177="b"),ROUND(VLOOKUP(CI$4,Preisindex,3,FALSE)/VLOOKUP(YEAR($F177),Preisindex,3,FALSE),2),IF(AND($E177&lt;&gt;0,$F177&gt;0,YEAR($F177)&gt;=Preisindex!$A$6,YEAR(CD$4)&gt;=YEAR($F177),$K177="g"),ROUND(VLOOKUP(CI$4,Preisindex,4,FALSE)/VLOOKUP(YEAR($F177),Preisindex,4,FALSE),2),IF(AND($E177&lt;&gt;0,$F177&gt;0,YEAR($F177)&gt;=Preisindex!$A$6,YEAR(CD$4)&gt;=YEAR($F177),$K177="k"),ROUND(VLOOKUP(CI$4,Preisindex,2,FALSE)/VLOOKUP(YEAR($F177),Preisindex,2,FALSE),2),0)))))</f>
        <v>0</v>
      </c>
      <c r="CJ177" s="56">
        <f>IF(AND($E177&lt;&gt;0,$F177&gt;0,YEAR($F177)&lt;Preisindex!$A$6,YEAR(CD$4)&gt;=YEAR($F177),AND($K177&lt;&gt;"a",$K177&lt;&gt;"b",$K177&lt;&gt;"g",$K177&lt;&gt;"k")),1,IF(AND($E177&lt;&gt;0,$F177&gt;0,YEAR($F177)&lt;Preisindex!$A$6,YEAR(CD$4)&gt;=YEAR($F177),$K177="a"),ROUND(VLOOKUP(CI$4,Preisindex,5,FALSE)/VLOOKUP(Preisindex!$A$6,Preisindex,5,FALSE),2),IF(AND($E177&lt;&gt;0,$F177&gt;0,YEAR($F177)&lt;Preisindex!$A$6,YEAR(CD$4)&gt;=YEAR($F177),$K177="b"),ROUND(VLOOKUP(CI$4,Preisindex,3,FALSE)/VLOOKUP(Preisindex!$A$6,Preisindex,3,FALSE),2),IF(AND($E177&lt;&gt;0,$F177&gt;0,YEAR($F177)&lt;Preisindex!$A$6,YEAR(CD$4)&gt;=YEAR($F177),$K177="g"),ROUND(VLOOKUP(CI$4,Preisindex,4,FALSE)/VLOOKUP(Preisindex!$A$6,Preisindex,4,FALSE),2),IF(AND($E177&lt;&gt;0,$F177&gt;0,YEAR($F177)&lt;Preisindex!$A$6,YEAR(CD$4)&gt;=YEAR($F177),$K177="k"),ROUND(VLOOKUP(CI$4,Preisindex,2,FALSE)/VLOOKUP(Preisindex!$A$6,Preisindex,2,FALSE),2),0)))))</f>
        <v>0</v>
      </c>
      <c r="CK177" s="51">
        <f>IF(AND($E177&lt;&gt;0,$F177&gt;0,YEAR($F177)&lt;=CI$4,YEAR($F177)&gt;=Preisindex!$A$6),ROUND($E177*CI177,2),IF(AND($E177&lt;&gt;0,$F177&gt;0,YEAR($F177)&lt;=CI$4,YEAR($F177)&lt;Preisindex!$A$6),ROUND($E177*CJ177,2),0))</f>
        <v>0</v>
      </c>
      <c r="CL177" s="53">
        <f t="shared" si="516"/>
        <v>0</v>
      </c>
      <c r="CM177" s="51">
        <f t="shared" si="619"/>
        <v>0</v>
      </c>
      <c r="CN177" s="51">
        <f t="shared" si="594"/>
        <v>0</v>
      </c>
      <c r="CO177" s="51">
        <f t="shared" si="517"/>
        <v>0</v>
      </c>
      <c r="CP177" s="51">
        <f t="shared" si="595"/>
        <v>0</v>
      </c>
      <c r="CQ177" s="51">
        <f t="shared" si="518"/>
        <v>0</v>
      </c>
      <c r="CR177" s="51">
        <f t="shared" si="596"/>
        <v>0</v>
      </c>
      <c r="CS177" s="51">
        <f t="shared" si="519"/>
        <v>0</v>
      </c>
      <c r="CT177" s="51">
        <f t="shared" si="597"/>
        <v>0</v>
      </c>
      <c r="CU177" s="51">
        <f t="shared" si="520"/>
        <v>0</v>
      </c>
      <c r="CV177" s="51">
        <f t="shared" si="598"/>
        <v>0</v>
      </c>
      <c r="CW177" s="51">
        <f t="shared" si="521"/>
        <v>0</v>
      </c>
      <c r="CX177" s="54">
        <f t="shared" si="522"/>
        <v>0</v>
      </c>
      <c r="CY177" s="55">
        <f t="shared" si="523"/>
        <v>0</v>
      </c>
      <c r="CZ177" s="56">
        <f>IF(AND($E177&lt;&gt;0,$F177&gt;0,YEAR($F177)&gt;=Preisindex!$A$6,YEAR(CU$4)&gt;=YEAR($F177),AND($K177&lt;&gt;"a",$K177&lt;&gt;"b",$K177&lt;&gt;"g",$K177&lt;&gt;"k")),1,IF(AND($E177&lt;&gt;0,$F177&gt;0,YEAR($F177)&gt;=Preisindex!$A$6,YEAR(CU$4)&gt;=YEAR($F177),$K177="a"),ROUND(VLOOKUP(CZ$4,Preisindex,5,FALSE)/VLOOKUP(YEAR($F177),Preisindex,5,FALSE),2),IF(AND($E177&lt;&gt;0,$F177&gt;0,YEAR($F177)&gt;=Preisindex!$A$6,YEAR(CU$4)&gt;=YEAR($F177),$K177="b"),ROUND(VLOOKUP(CZ$4,Preisindex,3,FALSE)/VLOOKUP(YEAR($F177),Preisindex,3,FALSE),2),IF(AND($E177&lt;&gt;0,$F177&gt;0,YEAR($F177)&gt;=Preisindex!$A$6,YEAR(CU$4)&gt;=YEAR($F177),$K177="g"),ROUND(VLOOKUP(CZ$4,Preisindex,4,FALSE)/VLOOKUP(YEAR($F177),Preisindex,4,FALSE),2),IF(AND($E177&lt;&gt;0,$F177&gt;0,YEAR($F177)&gt;=Preisindex!$A$6,YEAR(CU$4)&gt;=YEAR($F177),$K177="k"),ROUND(VLOOKUP(CZ$4,Preisindex,2,FALSE)/VLOOKUP(YEAR($F177),Preisindex,2,FALSE),2),0)))))</f>
        <v>0</v>
      </c>
      <c r="DA177" s="56">
        <f>IF(AND($E177&lt;&gt;0,$F177&gt;0,YEAR($F177)&lt;Preisindex!$A$6,YEAR(CU$4)&gt;=YEAR($F177),AND($K177&lt;&gt;"a",$K177&lt;&gt;"b",$K177&lt;&gt;"g",$K177&lt;&gt;"k")),1,IF(AND($E177&lt;&gt;0,$F177&gt;0,YEAR($F177)&lt;Preisindex!$A$6,YEAR(CU$4)&gt;=YEAR($F177),$K177="a"),ROUND(VLOOKUP(CZ$4,Preisindex,5,FALSE)/VLOOKUP(Preisindex!$A$6,Preisindex,5,FALSE),2),IF(AND($E177&lt;&gt;0,$F177&gt;0,YEAR($F177)&lt;Preisindex!$A$6,YEAR(CU$4)&gt;=YEAR($F177),$K177="b"),ROUND(VLOOKUP(CZ$4,Preisindex,3,FALSE)/VLOOKUP(Preisindex!$A$6,Preisindex,3,FALSE),2),IF(AND($E177&lt;&gt;0,$F177&gt;0,YEAR($F177)&lt;Preisindex!$A$6,YEAR(CU$4)&gt;=YEAR($F177),$K177="g"),ROUND(VLOOKUP(CZ$4,Preisindex,4,FALSE)/VLOOKUP(Preisindex!$A$6,Preisindex,4,FALSE),2),IF(AND($E177&lt;&gt;0,$F177&gt;0,YEAR($F177)&lt;Preisindex!$A$6,YEAR(CU$4)&gt;=YEAR($F177),$K177="k"),ROUND(VLOOKUP(CZ$4,Preisindex,2,FALSE)/VLOOKUP(Preisindex!$A$6,Preisindex,2,FALSE),2),0)))))</f>
        <v>0</v>
      </c>
      <c r="DB177" s="51">
        <f>IF(AND($E177&lt;&gt;0,$F177&gt;0,YEAR($F177)&lt;=CZ$4,YEAR($F177)&gt;=Preisindex!$A$6),ROUND($E177*CZ177,2),IF(AND($E177&lt;&gt;0,$F177&gt;0,YEAR($F177)&lt;=CZ$4,YEAR($F177)&lt;Preisindex!$A$6),ROUND($E177*DA177,2),0))</f>
        <v>0</v>
      </c>
      <c r="DC177" s="53">
        <f t="shared" si="524"/>
        <v>0</v>
      </c>
      <c r="DD177" s="51">
        <f t="shared" si="620"/>
        <v>0</v>
      </c>
      <c r="DE177" s="51">
        <f t="shared" si="599"/>
        <v>0</v>
      </c>
      <c r="DF177" s="51">
        <f t="shared" si="526"/>
        <v>0</v>
      </c>
      <c r="DG177" s="51">
        <f t="shared" si="600"/>
        <v>0</v>
      </c>
      <c r="DH177" s="51">
        <f t="shared" si="527"/>
        <v>0</v>
      </c>
      <c r="DI177" s="51">
        <f t="shared" si="601"/>
        <v>0</v>
      </c>
      <c r="DJ177" s="51">
        <f t="shared" si="528"/>
        <v>0</v>
      </c>
      <c r="DK177" s="51">
        <f t="shared" si="602"/>
        <v>0</v>
      </c>
      <c r="DL177" s="51">
        <f t="shared" si="529"/>
        <v>0</v>
      </c>
      <c r="DM177" s="51">
        <f t="shared" si="603"/>
        <v>0</v>
      </c>
      <c r="DN177" s="51">
        <f t="shared" si="530"/>
        <v>0</v>
      </c>
      <c r="DO177" s="54">
        <f t="shared" si="531"/>
        <v>0</v>
      </c>
      <c r="DP177" s="55">
        <f t="shared" si="532"/>
        <v>0</v>
      </c>
      <c r="DQ177" s="56">
        <f>IF(AND($E177&lt;&gt;0,$F177&gt;0,YEAR($F177)&gt;=Preisindex!$A$6,YEAR(DL$4)&gt;=YEAR($F177),AND($K177&lt;&gt;"a",$K177&lt;&gt;"b",$K177&lt;&gt;"g",$K177&lt;&gt;"k")),1,IF(AND($E177&lt;&gt;0,$F177&gt;0,YEAR($F177)&gt;=Preisindex!$A$6,YEAR(DL$4)&gt;=YEAR($F177),$K177="a"),ROUND(VLOOKUP(DQ$4,Preisindex,5,FALSE)/VLOOKUP(YEAR($F177),Preisindex,5,FALSE),2),IF(AND($E177&lt;&gt;0,$F177&gt;0,YEAR($F177)&gt;=Preisindex!$A$6,YEAR(DL$4)&gt;=YEAR($F177),$K177="b"),ROUND(VLOOKUP(DQ$4,Preisindex,3,FALSE)/VLOOKUP(YEAR($F177),Preisindex,3,FALSE),2),IF(AND($E177&lt;&gt;0,$F177&gt;0,YEAR($F177)&gt;=Preisindex!$A$6,YEAR(DL$4)&gt;=YEAR($F177),$K177="g"),ROUND(VLOOKUP(DQ$4,Preisindex,4,FALSE)/VLOOKUP(YEAR($F177),Preisindex,4,FALSE),2),IF(AND($E177&lt;&gt;0,$F177&gt;0,YEAR($F177)&gt;=Preisindex!$A$6,YEAR(DL$4)&gt;=YEAR($F177),$K177="k"),ROUND(VLOOKUP(DQ$4,Preisindex,2,FALSE)/VLOOKUP(YEAR($F177),Preisindex,2,FALSE),2),0)))))</f>
        <v>0</v>
      </c>
      <c r="DR177" s="56">
        <f>IF(AND($E177&lt;&gt;0,$F177&gt;0,YEAR($F177)&lt;Preisindex!$A$6,YEAR(DL$4)&gt;=YEAR($F177),AND($K177&lt;&gt;"a",$K177&lt;&gt;"b",$K177&lt;&gt;"g",$K177&lt;&gt;"k")),1,IF(AND($E177&lt;&gt;0,$F177&gt;0,YEAR($F177)&lt;Preisindex!$A$6,YEAR(DL$4)&gt;=YEAR($F177),$K177="a"),ROUND(VLOOKUP(DQ$4,Preisindex,5,FALSE)/VLOOKUP(Preisindex!$A$6,Preisindex,5,FALSE),2),IF(AND($E177&lt;&gt;0,$F177&gt;0,YEAR($F177)&lt;Preisindex!$A$6,YEAR(DL$4)&gt;=YEAR($F177),$K177="b"),ROUND(VLOOKUP(DQ$4,Preisindex,3,FALSE)/VLOOKUP(Preisindex!$A$6,Preisindex,3,FALSE),2),IF(AND($E177&lt;&gt;0,$F177&gt;0,YEAR($F177)&lt;Preisindex!$A$6,YEAR(DL$4)&gt;=YEAR($F177),$K177="g"),ROUND(VLOOKUP(DQ$4,Preisindex,4,FALSE)/VLOOKUP(Preisindex!$A$6,Preisindex,4,FALSE),2),IF(AND($E177&lt;&gt;0,$F177&gt;0,YEAR($F177)&lt;Preisindex!$A$6,YEAR(DL$4)&gt;=YEAR($F177),$K177="k"),ROUND(VLOOKUP(DQ$4,Preisindex,2,FALSE)/VLOOKUP(Preisindex!$A$6,Preisindex,2,FALSE),2),0)))))</f>
        <v>0</v>
      </c>
      <c r="DS177" s="51">
        <f>IF(AND($E177&lt;&gt;0,$F177&gt;0,YEAR($F177)&lt;=DQ$4,YEAR($F177)&gt;=Preisindex!$A$6),ROUND($E177*DQ177,2),IF(AND($E177&lt;&gt;0,$F177&gt;0,YEAR($F177)&lt;=DQ$4,YEAR($F177)&lt;Preisindex!$A$6),ROUND($E177*DR177,2),0))</f>
        <v>0</v>
      </c>
      <c r="DT177" s="53">
        <f t="shared" si="533"/>
        <v>0</v>
      </c>
      <c r="DU177" s="51">
        <f t="shared" si="620"/>
        <v>0</v>
      </c>
      <c r="DV177" s="51">
        <f t="shared" si="604"/>
        <v>0</v>
      </c>
      <c r="DW177" s="51">
        <f t="shared" si="534"/>
        <v>0</v>
      </c>
      <c r="DX177" s="51">
        <f t="shared" si="605"/>
        <v>0</v>
      </c>
      <c r="DY177" s="51">
        <f t="shared" si="535"/>
        <v>0</v>
      </c>
      <c r="DZ177" s="51">
        <f t="shared" si="606"/>
        <v>0</v>
      </c>
      <c r="EA177" s="51">
        <f t="shared" si="536"/>
        <v>0</v>
      </c>
      <c r="EB177" s="51">
        <f t="shared" si="607"/>
        <v>0</v>
      </c>
      <c r="EC177" s="51">
        <f t="shared" si="537"/>
        <v>0</v>
      </c>
      <c r="ED177" s="51">
        <f t="shared" si="608"/>
        <v>0</v>
      </c>
      <c r="EE177" s="51">
        <f t="shared" si="538"/>
        <v>0</v>
      </c>
      <c r="EF177" s="54">
        <f t="shared" si="539"/>
        <v>0</v>
      </c>
      <c r="EG177" s="55">
        <f t="shared" si="540"/>
        <v>0</v>
      </c>
      <c r="EH177" s="56">
        <f>IF(AND($E177&lt;&gt;0,$F177&gt;0,YEAR($F177)&gt;=Preisindex!$A$6,YEAR(EC$4)&gt;=YEAR($F177),AND($K177&lt;&gt;"a",$K177&lt;&gt;"b",$K177&lt;&gt;"g",$K177&lt;&gt;"k")),1,IF(AND($E177&lt;&gt;0,$F177&gt;0,YEAR($F177)&gt;=Preisindex!$A$6,YEAR(EC$4)&gt;=YEAR($F177),$K177="a"),ROUND(VLOOKUP(EH$4,Preisindex,5,FALSE)/VLOOKUP(YEAR($F177),Preisindex,5,FALSE),2),IF(AND($E177&lt;&gt;0,$F177&gt;0,YEAR($F177)&gt;=Preisindex!$A$6,YEAR(EC$4)&gt;=YEAR($F177),$K177="b"),ROUND(VLOOKUP(EH$4,Preisindex,3,FALSE)/VLOOKUP(YEAR($F177),Preisindex,3,FALSE),2),IF(AND($E177&lt;&gt;0,$F177&gt;0,YEAR($F177)&gt;=Preisindex!$A$6,YEAR(EC$4)&gt;=YEAR($F177),$K177="g"),ROUND(VLOOKUP(EH$4,Preisindex,4,FALSE)/VLOOKUP(YEAR($F177),Preisindex,4,FALSE),2),IF(AND($E177&lt;&gt;0,$F177&gt;0,YEAR($F177)&gt;=Preisindex!$A$6,YEAR(EC$4)&gt;=YEAR($F177),$K177="k"),ROUND(VLOOKUP(EH$4,Preisindex,2,FALSE)/VLOOKUP(YEAR($F177),Preisindex,2,FALSE),2),0)))))</f>
        <v>0</v>
      </c>
      <c r="EI177" s="56">
        <f>IF(AND($E177&lt;&gt;0,$F177&gt;0,YEAR($F177)&lt;Preisindex!$A$6,YEAR(EC$4)&gt;=YEAR($F177),AND($K177&lt;&gt;"a",$K177&lt;&gt;"b",$K177&lt;&gt;"g",$K177&lt;&gt;"k")),1,IF(AND($E177&lt;&gt;0,$F177&gt;0,YEAR($F177)&lt;Preisindex!$A$6,YEAR(EC$4)&gt;=YEAR($F177),$K177="a"),ROUND(VLOOKUP(EH$4,Preisindex,5,FALSE)/VLOOKUP(Preisindex!$A$6,Preisindex,5,FALSE),2),IF(AND($E177&lt;&gt;0,$F177&gt;0,YEAR($F177)&lt;Preisindex!$A$6,YEAR(EC$4)&gt;=YEAR($F177),$K177="b"),ROUND(VLOOKUP(EH$4,Preisindex,3,FALSE)/VLOOKUP(Preisindex!$A$6,Preisindex,3,FALSE),2),IF(AND($E177&lt;&gt;0,$F177&gt;0,YEAR($F177)&lt;Preisindex!$A$6,YEAR(EC$4)&gt;=YEAR($F177),$K177="g"),ROUND(VLOOKUP(EH$4,Preisindex,4,FALSE)/VLOOKUP(Preisindex!$A$6,Preisindex,4,FALSE),2),IF(AND($E177&lt;&gt;0,$F177&gt;0,YEAR($F177)&lt;Preisindex!$A$6,YEAR(EC$4)&gt;=YEAR($F177),$K177="k"),ROUND(VLOOKUP(EH$4,Preisindex,2,FALSE)/VLOOKUP(Preisindex!$A$6,Preisindex,2,FALSE),2),0)))))</f>
        <v>0</v>
      </c>
      <c r="EJ177" s="51">
        <f>IF(AND($E177&lt;&gt;0,$F177&gt;0,YEAR($F177)&lt;=EH$4,YEAR($F177)&gt;=Preisindex!$A$6),ROUND($E177*EH177,2),IF(AND($E177&lt;&gt;0,$F177&gt;0,YEAR($F177)&lt;=EH$4,YEAR($F177)&lt;Preisindex!$A$6),ROUND($E177*EI177,2),0))</f>
        <v>0</v>
      </c>
      <c r="EK177" s="53">
        <f t="shared" si="541"/>
        <v>0</v>
      </c>
      <c r="EL177" s="51">
        <f t="shared" si="620"/>
        <v>0</v>
      </c>
      <c r="EM177" s="51">
        <f t="shared" si="609"/>
        <v>0</v>
      </c>
      <c r="EN177" s="51">
        <f t="shared" si="542"/>
        <v>0</v>
      </c>
      <c r="EO177" s="51">
        <f t="shared" si="610"/>
        <v>0</v>
      </c>
      <c r="EP177" s="51">
        <f t="shared" si="543"/>
        <v>0</v>
      </c>
      <c r="EQ177" s="51">
        <f t="shared" si="611"/>
        <v>0</v>
      </c>
      <c r="ER177" s="51">
        <f t="shared" si="544"/>
        <v>0</v>
      </c>
      <c r="ES177" s="51">
        <f t="shared" si="612"/>
        <v>0</v>
      </c>
      <c r="ET177" s="51">
        <f t="shared" si="545"/>
        <v>0</v>
      </c>
      <c r="EU177" s="51">
        <f t="shared" si="613"/>
        <v>0</v>
      </c>
      <c r="EV177" s="51">
        <f t="shared" si="546"/>
        <v>0</v>
      </c>
      <c r="EW177" s="54">
        <f t="shared" si="547"/>
        <v>0</v>
      </c>
      <c r="EX177" s="55">
        <f t="shared" si="548"/>
        <v>0</v>
      </c>
      <c r="EY177" s="56">
        <f>IF(AND($E177&lt;&gt;0,$F177&gt;0,YEAR($F177)&gt;=Preisindex!$A$6,YEAR(ET$4)&gt;=YEAR($F177),AND($K177&lt;&gt;"a",$K177&lt;&gt;"b",$K177&lt;&gt;"g",$K177&lt;&gt;"k")),1,IF(AND($E177&lt;&gt;0,$F177&gt;0,YEAR($F177)&gt;=Preisindex!$A$6,YEAR(ET$4)&gt;=YEAR($F177),$K177="a"),ROUND(VLOOKUP(EY$4,Preisindex,5,FALSE)/VLOOKUP(YEAR($F177),Preisindex,5,FALSE),2),IF(AND($E177&lt;&gt;0,$F177&gt;0,YEAR($F177)&gt;=Preisindex!$A$6,YEAR(ET$4)&gt;=YEAR($F177),$K177="b"),ROUND(VLOOKUP(EY$4,Preisindex,3,FALSE)/VLOOKUP(YEAR($F177),Preisindex,3,FALSE),2),IF(AND($E177&lt;&gt;0,$F177&gt;0,YEAR($F177)&gt;=Preisindex!$A$6,YEAR(ET$4)&gt;=YEAR($F177),$K177="g"),ROUND(VLOOKUP(EY$4,Preisindex,4,FALSE)/VLOOKUP(YEAR($F177),Preisindex,4,FALSE),2),IF(AND($E177&lt;&gt;0,$F177&gt;0,YEAR($F177)&gt;=Preisindex!$A$6,YEAR(ET$4)&gt;=YEAR($F177),$K177="k"),ROUND(VLOOKUP(EY$4,Preisindex,2,FALSE)/VLOOKUP(YEAR($F177),Preisindex,2,FALSE),2),0)))))</f>
        <v>0</v>
      </c>
      <c r="EZ177" s="56">
        <f>IF(AND($E177&lt;&gt;0,$F177&gt;0,YEAR($F177)&lt;Preisindex!$A$6,YEAR(ET$4)&gt;=YEAR($F177),AND($K177&lt;&gt;"a",$K177&lt;&gt;"b",$K177&lt;&gt;"g",$K177&lt;&gt;"k")),1,IF(AND($E177&lt;&gt;0,$F177&gt;0,YEAR($F177)&lt;Preisindex!$A$6,YEAR(ET$4)&gt;=YEAR($F177),$K177="a"),ROUND(VLOOKUP(EY$4,Preisindex,5,FALSE)/VLOOKUP(Preisindex!$A$6,Preisindex,5,FALSE),2),IF(AND($E177&lt;&gt;0,$F177&gt;0,YEAR($F177)&lt;Preisindex!$A$6,YEAR(ET$4)&gt;=YEAR($F177),$K177="b"),ROUND(VLOOKUP(EY$4,Preisindex,3,FALSE)/VLOOKUP(Preisindex!$A$6,Preisindex,3,FALSE),2),IF(AND($E177&lt;&gt;0,$F177&gt;0,YEAR($F177)&lt;Preisindex!$A$6,YEAR(ET$4)&gt;=YEAR($F177),$K177="g"),ROUND(VLOOKUP(EY$4,Preisindex,4,FALSE)/VLOOKUP(Preisindex!$A$6,Preisindex,4,FALSE),2),IF(AND($E177&lt;&gt;0,$F177&gt;0,YEAR($F177)&lt;Preisindex!$A$6,YEAR(ET$4)&gt;=YEAR($F177),$K177="k"),ROUND(VLOOKUP(EY$4,Preisindex,2,FALSE)/VLOOKUP(Preisindex!$A$6,Preisindex,2,FALSE),2),0)))))</f>
        <v>0</v>
      </c>
      <c r="FA177" s="51">
        <f>IF(AND($E177&lt;&gt;0,$F177&gt;0,YEAR($F177)&lt;=EY$4,YEAR($F177)&gt;=Preisindex!$A$6),ROUND($E177*EY177,2),IF(AND($E177&lt;&gt;0,$F177&gt;0,YEAR($F177)&lt;=EY$4,YEAR($F177)&lt;Preisindex!$A$6),ROUND($E177*EZ177,2),0))</f>
        <v>0</v>
      </c>
      <c r="FB177" s="53">
        <f t="shared" si="549"/>
        <v>0</v>
      </c>
      <c r="FC177" s="51">
        <f t="shared" si="620"/>
        <v>0</v>
      </c>
      <c r="FD177" s="51">
        <f t="shared" si="614"/>
        <v>0</v>
      </c>
      <c r="FE177" s="51">
        <f t="shared" si="550"/>
        <v>0</v>
      </c>
      <c r="FF177" s="51">
        <f t="shared" si="615"/>
        <v>0</v>
      </c>
      <c r="FG177" s="51">
        <f t="shared" si="551"/>
        <v>0</v>
      </c>
      <c r="FH177" s="51">
        <f t="shared" si="616"/>
        <v>0</v>
      </c>
      <c r="FI177" s="51">
        <f t="shared" si="552"/>
        <v>0</v>
      </c>
      <c r="FJ177" s="51">
        <f t="shared" si="617"/>
        <v>0</v>
      </c>
      <c r="FK177" s="51">
        <f t="shared" si="553"/>
        <v>0</v>
      </c>
      <c r="FL177" s="51">
        <f t="shared" si="618"/>
        <v>0</v>
      </c>
      <c r="FM177" s="51">
        <f t="shared" si="554"/>
        <v>0</v>
      </c>
      <c r="FN177" s="54">
        <f t="shared" si="555"/>
        <v>0</v>
      </c>
      <c r="FO177" s="55">
        <f t="shared" si="556"/>
        <v>0</v>
      </c>
      <c r="FP177" s="56">
        <f>IF(AND($E177&lt;&gt;0,$F177&gt;0,YEAR($F177)&gt;=Preisindex!$A$6,YEAR(FK$4)&gt;=YEAR($F177),AND($K177&lt;&gt;"a",$K177&lt;&gt;"b",$K177&lt;&gt;"g",$K177&lt;&gt;"k")),1,IF(AND($E177&lt;&gt;0,$F177&gt;0,YEAR($F177)&gt;=Preisindex!$A$6,YEAR(FK$4)&gt;=YEAR($F177),$K177="a"),ROUND(VLOOKUP(FP$4,Preisindex,5,FALSE)/VLOOKUP(YEAR($F177),Preisindex,5,FALSE),2),IF(AND($E177&lt;&gt;0,$F177&gt;0,YEAR($F177)&gt;=Preisindex!$A$6,YEAR(FK$4)&gt;=YEAR($F177),$K177="b"),ROUND(VLOOKUP(FP$4,Preisindex,3,FALSE)/VLOOKUP(YEAR($F177),Preisindex,3,FALSE),2),IF(AND($E177&lt;&gt;0,$F177&gt;0,YEAR($F177)&gt;=Preisindex!$A$6,YEAR(FK$4)&gt;=YEAR($F177),$K177="g"),ROUND(VLOOKUP(FP$4,Preisindex,4,FALSE)/VLOOKUP(YEAR($F177),Preisindex,4,FALSE),2),IF(AND($E177&lt;&gt;0,$F177&gt;0,YEAR($F177)&gt;=Preisindex!$A$6,YEAR(FK$4)&gt;=YEAR($F177),$K177="k"),ROUND(VLOOKUP(FP$4,Preisindex,2,FALSE)/VLOOKUP(YEAR($F177),Preisindex,2,FALSE),2),0)))))</f>
        <v>0</v>
      </c>
      <c r="FQ177" s="56">
        <f>IF(AND($E177&lt;&gt;0,$F177&gt;0,YEAR($F177)&lt;Preisindex!$A$6,YEAR(FK$4)&gt;=YEAR($F177),AND($K177&lt;&gt;"a",$K177&lt;&gt;"b",$K177&lt;&gt;"g",$K177&lt;&gt;"k")),1,IF(AND($E177&lt;&gt;0,$F177&gt;0,YEAR($F177)&lt;Preisindex!$A$6,YEAR(FK$4)&gt;=YEAR($F177),$K177="a"),ROUND(VLOOKUP(FP$4,Preisindex,5,FALSE)/VLOOKUP(Preisindex!$A$6,Preisindex,5,FALSE),2),IF(AND($E177&lt;&gt;0,$F177&gt;0,YEAR($F177)&lt;Preisindex!$A$6,YEAR(FK$4)&gt;=YEAR($F177),$K177="b"),ROUND(VLOOKUP(FP$4,Preisindex,3,FALSE)/VLOOKUP(Preisindex!$A$6,Preisindex,3,FALSE),2),IF(AND($E177&lt;&gt;0,$F177&gt;0,YEAR($F177)&lt;Preisindex!$A$6,YEAR(FK$4)&gt;=YEAR($F177),$K177="g"),ROUND(VLOOKUP(FP$4,Preisindex,4,FALSE)/VLOOKUP(Preisindex!$A$6,Preisindex,4,FALSE),2),IF(AND($E177&lt;&gt;0,$F177&gt;0,YEAR($F177)&lt;Preisindex!$A$6,YEAR(FK$4)&gt;=YEAR($F177),$K177="k"),ROUND(VLOOKUP(FP$4,Preisindex,2,FALSE)/VLOOKUP(Preisindex!$A$6,Preisindex,2,FALSE),2),0)))))</f>
        <v>0</v>
      </c>
      <c r="FR177" s="51">
        <f>IF(AND($E177&lt;&gt;0,$F177&gt;0,YEAR($F177)&lt;=FP$4,YEAR($F177)&gt;=Preisindex!$A$6),ROUND($E177*FP177,2),IF(AND($E177&lt;&gt;0,$F177&gt;0,YEAR($F177)&lt;=FP$4,YEAR($F177)&lt;Preisindex!$A$6),ROUND($E177*FQ177,2),0))</f>
        <v>0</v>
      </c>
      <c r="FS177" s="53">
        <f t="shared" si="557"/>
        <v>0</v>
      </c>
    </row>
    <row r="178" spans="1:175" x14ac:dyDescent="0.3">
      <c r="A178" s="93"/>
      <c r="B178" s="94"/>
      <c r="C178" s="94"/>
      <c r="D178" s="95"/>
      <c r="E178" s="99"/>
      <c r="F178" s="97"/>
      <c r="G178" s="98"/>
      <c r="H178" s="620"/>
      <c r="I178" s="621"/>
      <c r="J178" s="194"/>
      <c r="K178" s="630"/>
      <c r="L178" s="49">
        <f t="shared" si="558"/>
        <v>0</v>
      </c>
      <c r="M178" s="50">
        <f t="shared" si="559"/>
        <v>0</v>
      </c>
      <c r="N178" s="51">
        <f t="shared" si="560"/>
        <v>0</v>
      </c>
      <c r="O178" s="51"/>
      <c r="P178" s="51">
        <f t="shared" si="561"/>
        <v>0</v>
      </c>
      <c r="Q178" s="52"/>
      <c r="R178" s="52"/>
      <c r="S178" s="52"/>
      <c r="T178" s="52"/>
      <c r="U178" s="52"/>
      <c r="V178" s="53">
        <f t="shared" si="562"/>
        <v>0</v>
      </c>
      <c r="W178" s="51">
        <f t="shared" si="563"/>
        <v>0</v>
      </c>
      <c r="X178" s="51">
        <f t="shared" si="564"/>
        <v>0</v>
      </c>
      <c r="Y178" s="51">
        <f t="shared" si="565"/>
        <v>0</v>
      </c>
      <c r="Z178" s="51">
        <f t="shared" si="566"/>
        <v>0</v>
      </c>
      <c r="AA178" s="51">
        <f t="shared" si="567"/>
        <v>0</v>
      </c>
      <c r="AB178" s="51">
        <f t="shared" si="568"/>
        <v>0</v>
      </c>
      <c r="AC178" s="51">
        <f t="shared" si="569"/>
        <v>0</v>
      </c>
      <c r="AD178" s="51">
        <f t="shared" si="570"/>
        <v>0</v>
      </c>
      <c r="AE178" s="51">
        <f t="shared" si="571"/>
        <v>0</v>
      </c>
      <c r="AF178" s="51">
        <f t="shared" si="572"/>
        <v>0</v>
      </c>
      <c r="AG178" s="51">
        <f t="shared" si="573"/>
        <v>0</v>
      </c>
      <c r="AH178" s="54">
        <f t="shared" si="574"/>
        <v>0</v>
      </c>
      <c r="AI178" s="55">
        <f t="shared" si="575"/>
        <v>0</v>
      </c>
      <c r="AJ178" s="56">
        <f>IF(AND($E178&lt;&gt;0,$F178&gt;0,YEAR($F178)&gt;=Preisindex!$A$6,YEAR(AE$4)&gt;=YEAR($F178),AND($K178&lt;&gt;"a",$K178&lt;&gt;"b",$K178&lt;&gt;"g",$K178&lt;&gt;"k")),1,IF(AND($E178&lt;&gt;0,$F178&gt;0,YEAR($F178)&gt;=Preisindex!$A$6,YEAR(AE$4)&gt;=YEAR($F178),$K178="a"),ROUND(VLOOKUP(AJ$4,Preisindex,5,FALSE)/VLOOKUP(YEAR($F178),Preisindex,5,FALSE),2),IF(AND($E178&lt;&gt;0,$F178&gt;0,YEAR($F178)&gt;=Preisindex!$A$6,YEAR(AE$4)&gt;=YEAR($F178),$K178="b"),ROUND(VLOOKUP(AJ$4,Preisindex,3,FALSE)/VLOOKUP(YEAR($F178),Preisindex,3,FALSE),2),IF(AND($E178&lt;&gt;0,$F178&gt;0,YEAR($F178)&gt;=Preisindex!$A$6,YEAR(AE$4)&gt;=YEAR($F178),$K178="g"),ROUND(VLOOKUP(AJ$4,Preisindex,4,FALSE)/VLOOKUP(YEAR($F178),Preisindex,4,FALSE),2),IF(AND($E178&lt;&gt;0,$F178&gt;0,YEAR($F178)&gt;=Preisindex!$A$6,YEAR(AE$4)&gt;=YEAR($F178),$K178="k"),ROUND(VLOOKUP(AJ$4,Preisindex,2,FALSE)/VLOOKUP(YEAR($F178),Preisindex,2,FALSE),2),0)))))</f>
        <v>0</v>
      </c>
      <c r="AK178" s="56">
        <f>IF(AND($E178&lt;&gt;0,$F178&gt;0,YEAR($F178)&lt;Preisindex!$A$6,YEAR(AE$4)&gt;=YEAR($F178),AND($K178&lt;&gt;"a",$K178&lt;&gt;"b",$K178&lt;&gt;"g",$K178&lt;&gt;"k")),1,IF(AND($E178&lt;&gt;0,$F178&gt;0,YEAR($F178)&lt;Preisindex!$A$6,YEAR(AE$4)&gt;=YEAR($F178),$K178="a"),ROUND(VLOOKUP(AJ$4,Preisindex,5,FALSE)/VLOOKUP(Preisindex!$A$6,Preisindex,5,FALSE),2),IF(AND($E178&lt;&gt;0,$F178&gt;0,YEAR($F178)&lt;Preisindex!$A$6,YEAR(AE$4)&gt;=YEAR($F178),$K178="b"),ROUND(VLOOKUP(AJ$4,Preisindex,3,FALSE)/VLOOKUP(Preisindex!$A$6,Preisindex,3,FALSE),2),IF(AND($E178&lt;&gt;0,$F178&gt;0,YEAR($F178)&lt;Preisindex!$A$6,YEAR(AE$4)&gt;=YEAR($F178),$K178="g"),ROUND(VLOOKUP(AJ$4,Preisindex,4,FALSE)/VLOOKUP(Preisindex!$A$6,Preisindex,4,FALSE),2),IF(AND($E178&lt;&gt;0,$F178&gt;0,YEAR($F178)&lt;Preisindex!$A$6,YEAR(AE$4)&gt;=YEAR($F178),$K178="k"),ROUND(VLOOKUP(AJ$4,Preisindex,2,FALSE)/VLOOKUP(Preisindex!$A$6,Preisindex,2,FALSE),2),0)))))</f>
        <v>0</v>
      </c>
      <c r="AL178" s="51">
        <f>IF(AND($E178&lt;&gt;0,$F178&gt;0,YEAR($F178)&lt;=AJ$4,YEAR($F178)&gt;=Preisindex!$A$6),ROUND($E178*AJ178,2),IF(AND($E178&lt;&gt;0,$F178&gt;0,YEAR($F178)&lt;=AJ$4,YEAR($F178)&lt;Preisindex!$A$6),ROUND($E178*AK178,2),0))</f>
        <v>0</v>
      </c>
      <c r="AM178" s="53">
        <f t="shared" si="576"/>
        <v>0</v>
      </c>
      <c r="AN178" s="51">
        <f t="shared" si="619"/>
        <v>0</v>
      </c>
      <c r="AO178" s="51">
        <f t="shared" si="579"/>
        <v>0</v>
      </c>
      <c r="AP178" s="51">
        <f t="shared" si="493"/>
        <v>0</v>
      </c>
      <c r="AQ178" s="51">
        <f t="shared" si="580"/>
        <v>0</v>
      </c>
      <c r="AR178" s="51">
        <f t="shared" si="494"/>
        <v>0</v>
      </c>
      <c r="AS178" s="51">
        <f t="shared" si="581"/>
        <v>0</v>
      </c>
      <c r="AT178" s="51">
        <f t="shared" si="495"/>
        <v>0</v>
      </c>
      <c r="AU178" s="51">
        <f t="shared" si="582"/>
        <v>0</v>
      </c>
      <c r="AV178" s="51">
        <f t="shared" si="496"/>
        <v>0</v>
      </c>
      <c r="AW178" s="51">
        <f t="shared" si="583"/>
        <v>0</v>
      </c>
      <c r="AX178" s="51">
        <f t="shared" si="497"/>
        <v>0</v>
      </c>
      <c r="AY178" s="54">
        <f t="shared" si="498"/>
        <v>0</v>
      </c>
      <c r="AZ178" s="55">
        <f t="shared" si="499"/>
        <v>0</v>
      </c>
      <c r="BA178" s="56">
        <f>IF(AND($E178&lt;&gt;0,$F178&gt;0,YEAR($F178)&gt;=Preisindex!$A$6,YEAR(AV$4)&gt;=YEAR($F178),AND($K178&lt;&gt;"a",$K178&lt;&gt;"b",$K178&lt;&gt;"g",$K178&lt;&gt;"k")),1,IF(AND($E178&lt;&gt;0,$F178&gt;0,YEAR($F178)&gt;=Preisindex!$A$6,YEAR(AV$4)&gt;=YEAR($F178),$K178="a"),ROUND(VLOOKUP(BA$4,Preisindex,5,FALSE)/VLOOKUP(YEAR($F178),Preisindex,5,FALSE),2),IF(AND($E178&lt;&gt;0,$F178&gt;0,YEAR($F178)&gt;=Preisindex!$A$6,YEAR(AV$4)&gt;=YEAR($F178),$K178="b"),ROUND(VLOOKUP(BA$4,Preisindex,3,FALSE)/VLOOKUP(YEAR($F178),Preisindex,3,FALSE),2),IF(AND($E178&lt;&gt;0,$F178&gt;0,YEAR($F178)&gt;=Preisindex!$A$6,YEAR(AV$4)&gt;=YEAR($F178),$K178="g"),ROUND(VLOOKUP(BA$4,Preisindex,4,FALSE)/VLOOKUP(YEAR($F178),Preisindex,4,FALSE),2),IF(AND($E178&lt;&gt;0,$F178&gt;0,YEAR($F178)&gt;=Preisindex!$A$6,YEAR(AV$4)&gt;=YEAR($F178),$K178="k"),ROUND(VLOOKUP(BA$4,Preisindex,2,FALSE)/VLOOKUP(YEAR($F178),Preisindex,2,FALSE),2),0)))))</f>
        <v>0</v>
      </c>
      <c r="BB178" s="56">
        <f>IF(AND($E178&lt;&gt;0,$F178&gt;0,YEAR($F178)&lt;Preisindex!$A$6,YEAR(AV$4)&gt;=YEAR($F178),AND($K178&lt;&gt;"a",$K178&lt;&gt;"b",$K178&lt;&gt;"g",$K178&lt;&gt;"k")),1,IF(AND($E178&lt;&gt;0,$F178&gt;0,YEAR($F178)&lt;Preisindex!$A$6,YEAR(AV$4)&gt;=YEAR($F178),$K178="a"),ROUND(VLOOKUP(BA$4,Preisindex,5,FALSE)/VLOOKUP(Preisindex!$A$6,Preisindex,5,FALSE),2),IF(AND($E178&lt;&gt;0,$F178&gt;0,YEAR($F178)&lt;Preisindex!$A$6,YEAR(AV$4)&gt;=YEAR($F178),$K178="b"),ROUND(VLOOKUP(BA$4,Preisindex,3,FALSE)/VLOOKUP(Preisindex!$A$6,Preisindex,3,FALSE),2),IF(AND($E178&lt;&gt;0,$F178&gt;0,YEAR($F178)&lt;Preisindex!$A$6,YEAR(AV$4)&gt;=YEAR($F178),$K178="g"),ROUND(VLOOKUP(BA$4,Preisindex,4,FALSE)/VLOOKUP(Preisindex!$A$6,Preisindex,4,FALSE),2),IF(AND($E178&lt;&gt;0,$F178&gt;0,YEAR($F178)&lt;Preisindex!$A$6,YEAR(AV$4)&gt;=YEAR($F178),$K178="k"),ROUND(VLOOKUP(BA$4,Preisindex,2,FALSE)/VLOOKUP(Preisindex!$A$6,Preisindex,2,FALSE),2),0)))))</f>
        <v>0</v>
      </c>
      <c r="BC178" s="51">
        <f>IF(AND($E178&lt;&gt;0,$F178&gt;0,YEAR($F178)&lt;=BA$4,YEAR($F178)&gt;=Preisindex!$A$6),ROUND($E178*BA178,2),IF(AND($E178&lt;&gt;0,$F178&gt;0,YEAR($F178)&lt;=BA$4,YEAR($F178)&lt;Preisindex!$A$6),ROUND($E178*BB178,2),0))</f>
        <v>0</v>
      </c>
      <c r="BD178" s="53">
        <f t="shared" si="500"/>
        <v>0</v>
      </c>
      <c r="BE178" s="51">
        <f t="shared" si="619"/>
        <v>0</v>
      </c>
      <c r="BF178" s="51">
        <f t="shared" si="584"/>
        <v>0</v>
      </c>
      <c r="BG178" s="51">
        <f t="shared" si="501"/>
        <v>0</v>
      </c>
      <c r="BH178" s="51">
        <f t="shared" si="585"/>
        <v>0</v>
      </c>
      <c r="BI178" s="51">
        <f t="shared" si="502"/>
        <v>0</v>
      </c>
      <c r="BJ178" s="51">
        <f t="shared" si="586"/>
        <v>0</v>
      </c>
      <c r="BK178" s="51">
        <f t="shared" si="503"/>
        <v>0</v>
      </c>
      <c r="BL178" s="51">
        <f t="shared" si="587"/>
        <v>0</v>
      </c>
      <c r="BM178" s="51">
        <f t="shared" si="504"/>
        <v>0</v>
      </c>
      <c r="BN178" s="51">
        <f t="shared" si="588"/>
        <v>0</v>
      </c>
      <c r="BO178" s="51">
        <f t="shared" si="505"/>
        <v>0</v>
      </c>
      <c r="BP178" s="54">
        <f t="shared" si="506"/>
        <v>0</v>
      </c>
      <c r="BQ178" s="55">
        <f t="shared" si="507"/>
        <v>0</v>
      </c>
      <c r="BR178" s="56">
        <f>IF(AND($E178&lt;&gt;0,$F178&gt;0,YEAR($F178)&gt;=Preisindex!$A$6,YEAR(BM$4)&gt;=YEAR($F178),AND($K178&lt;&gt;"a",$K178&lt;&gt;"b",$K178&lt;&gt;"g",$K178&lt;&gt;"k")),1,IF(AND($E178&lt;&gt;0,$F178&gt;0,YEAR($F178)&gt;=Preisindex!$A$6,YEAR(BM$4)&gt;=YEAR($F178),$K178="a"),ROUND(VLOOKUP(BR$4,Preisindex,5,FALSE)/VLOOKUP(YEAR($F178),Preisindex,5,FALSE),2),IF(AND($E178&lt;&gt;0,$F178&gt;0,YEAR($F178)&gt;=Preisindex!$A$6,YEAR(BM$4)&gt;=YEAR($F178),$K178="b"),ROUND(VLOOKUP(BR$4,Preisindex,3,FALSE)/VLOOKUP(YEAR($F178),Preisindex,3,FALSE),2),IF(AND($E178&lt;&gt;0,$F178&gt;0,YEAR($F178)&gt;=Preisindex!$A$6,YEAR(BM$4)&gt;=YEAR($F178),$K178="g"),ROUND(VLOOKUP(BR$4,Preisindex,4,FALSE)/VLOOKUP(YEAR($F178),Preisindex,4,FALSE),2),IF(AND($E178&lt;&gt;0,$F178&gt;0,YEAR($F178)&gt;=Preisindex!$A$6,YEAR(BM$4)&gt;=YEAR($F178),$K178="k"),ROUND(VLOOKUP(BR$4,Preisindex,2,FALSE)/VLOOKUP(YEAR($F178),Preisindex,2,FALSE),2),0)))))</f>
        <v>0</v>
      </c>
      <c r="BS178" s="56">
        <f>IF(AND($E178&lt;&gt;0,$F178&gt;0,YEAR($F178)&lt;Preisindex!$A$6,YEAR(BM$4)&gt;=YEAR($F178),AND($K178&lt;&gt;"a",$K178&lt;&gt;"b",$K178&lt;&gt;"g",$K178&lt;&gt;"k")),1,IF(AND($E178&lt;&gt;0,$F178&gt;0,YEAR($F178)&lt;Preisindex!$A$6,YEAR(BM$4)&gt;=YEAR($F178),$K178="a"),ROUND(VLOOKUP(BR$4,Preisindex,5,FALSE)/VLOOKUP(Preisindex!$A$6,Preisindex,5,FALSE),2),IF(AND($E178&lt;&gt;0,$F178&gt;0,YEAR($F178)&lt;Preisindex!$A$6,YEAR(BM$4)&gt;=YEAR($F178),$K178="b"),ROUND(VLOOKUP(BR$4,Preisindex,3,FALSE)/VLOOKUP(Preisindex!$A$6,Preisindex,3,FALSE),2),IF(AND($E178&lt;&gt;0,$F178&gt;0,YEAR($F178)&lt;Preisindex!$A$6,YEAR(BM$4)&gt;=YEAR($F178),$K178="g"),ROUND(VLOOKUP(BR$4,Preisindex,4,FALSE)/VLOOKUP(Preisindex!$A$6,Preisindex,4,FALSE),2),IF(AND($E178&lt;&gt;0,$F178&gt;0,YEAR($F178)&lt;Preisindex!$A$6,YEAR(BM$4)&gt;=YEAR($F178),$K178="k"),ROUND(VLOOKUP(BR$4,Preisindex,2,FALSE)/VLOOKUP(Preisindex!$A$6,Preisindex,2,FALSE),2),0)))))</f>
        <v>0</v>
      </c>
      <c r="BT178" s="51">
        <f>IF(AND($E178&lt;&gt;0,$F178&gt;0,YEAR($F178)&lt;=BR$4,YEAR($F178)&gt;=Preisindex!$A$6),ROUND($E178*BR178,2),IF(AND($E178&lt;&gt;0,$F178&gt;0,YEAR($F178)&lt;=BR$4,YEAR($F178)&lt;Preisindex!$A$6),ROUND($E178*BS178,2),0))</f>
        <v>0</v>
      </c>
      <c r="BU178" s="53">
        <f t="shared" si="508"/>
        <v>0</v>
      </c>
      <c r="BV178" s="51">
        <f t="shared" si="619"/>
        <v>0</v>
      </c>
      <c r="BW178" s="51">
        <f t="shared" si="589"/>
        <v>0</v>
      </c>
      <c r="BX178" s="51">
        <f t="shared" si="509"/>
        <v>0</v>
      </c>
      <c r="BY178" s="51">
        <f t="shared" si="590"/>
        <v>0</v>
      </c>
      <c r="BZ178" s="51">
        <f t="shared" si="510"/>
        <v>0</v>
      </c>
      <c r="CA178" s="51">
        <f t="shared" si="591"/>
        <v>0</v>
      </c>
      <c r="CB178" s="51">
        <f t="shared" si="511"/>
        <v>0</v>
      </c>
      <c r="CC178" s="51">
        <f t="shared" si="592"/>
        <v>0</v>
      </c>
      <c r="CD178" s="51">
        <f t="shared" si="512"/>
        <v>0</v>
      </c>
      <c r="CE178" s="51">
        <f t="shared" si="593"/>
        <v>0</v>
      </c>
      <c r="CF178" s="51">
        <f t="shared" si="513"/>
        <v>0</v>
      </c>
      <c r="CG178" s="54">
        <f t="shared" si="514"/>
        <v>0</v>
      </c>
      <c r="CH178" s="55">
        <f t="shared" si="515"/>
        <v>0</v>
      </c>
      <c r="CI178" s="56">
        <f>IF(AND($E178&lt;&gt;0,$F178&gt;0,YEAR($F178)&gt;=Preisindex!$A$6,YEAR(CD$4)&gt;=YEAR($F178),AND($K178&lt;&gt;"a",$K178&lt;&gt;"b",$K178&lt;&gt;"g",$K178&lt;&gt;"k")),1,IF(AND($E178&lt;&gt;0,$F178&gt;0,YEAR($F178)&gt;=Preisindex!$A$6,YEAR(CD$4)&gt;=YEAR($F178),$K178="a"),ROUND(VLOOKUP(CI$4,Preisindex,5,FALSE)/VLOOKUP(YEAR($F178),Preisindex,5,FALSE),2),IF(AND($E178&lt;&gt;0,$F178&gt;0,YEAR($F178)&gt;=Preisindex!$A$6,YEAR(CD$4)&gt;=YEAR($F178),$K178="b"),ROUND(VLOOKUP(CI$4,Preisindex,3,FALSE)/VLOOKUP(YEAR($F178),Preisindex,3,FALSE),2),IF(AND($E178&lt;&gt;0,$F178&gt;0,YEAR($F178)&gt;=Preisindex!$A$6,YEAR(CD$4)&gt;=YEAR($F178),$K178="g"),ROUND(VLOOKUP(CI$4,Preisindex,4,FALSE)/VLOOKUP(YEAR($F178),Preisindex,4,FALSE),2),IF(AND($E178&lt;&gt;0,$F178&gt;0,YEAR($F178)&gt;=Preisindex!$A$6,YEAR(CD$4)&gt;=YEAR($F178),$K178="k"),ROUND(VLOOKUP(CI$4,Preisindex,2,FALSE)/VLOOKUP(YEAR($F178),Preisindex,2,FALSE),2),0)))))</f>
        <v>0</v>
      </c>
      <c r="CJ178" s="56">
        <f>IF(AND($E178&lt;&gt;0,$F178&gt;0,YEAR($F178)&lt;Preisindex!$A$6,YEAR(CD$4)&gt;=YEAR($F178),AND($K178&lt;&gt;"a",$K178&lt;&gt;"b",$K178&lt;&gt;"g",$K178&lt;&gt;"k")),1,IF(AND($E178&lt;&gt;0,$F178&gt;0,YEAR($F178)&lt;Preisindex!$A$6,YEAR(CD$4)&gt;=YEAR($F178),$K178="a"),ROUND(VLOOKUP(CI$4,Preisindex,5,FALSE)/VLOOKUP(Preisindex!$A$6,Preisindex,5,FALSE),2),IF(AND($E178&lt;&gt;0,$F178&gt;0,YEAR($F178)&lt;Preisindex!$A$6,YEAR(CD$4)&gt;=YEAR($F178),$K178="b"),ROUND(VLOOKUP(CI$4,Preisindex,3,FALSE)/VLOOKUP(Preisindex!$A$6,Preisindex,3,FALSE),2),IF(AND($E178&lt;&gt;0,$F178&gt;0,YEAR($F178)&lt;Preisindex!$A$6,YEAR(CD$4)&gt;=YEAR($F178),$K178="g"),ROUND(VLOOKUP(CI$4,Preisindex,4,FALSE)/VLOOKUP(Preisindex!$A$6,Preisindex,4,FALSE),2),IF(AND($E178&lt;&gt;0,$F178&gt;0,YEAR($F178)&lt;Preisindex!$A$6,YEAR(CD$4)&gt;=YEAR($F178),$K178="k"),ROUND(VLOOKUP(CI$4,Preisindex,2,FALSE)/VLOOKUP(Preisindex!$A$6,Preisindex,2,FALSE),2),0)))))</f>
        <v>0</v>
      </c>
      <c r="CK178" s="51">
        <f>IF(AND($E178&lt;&gt;0,$F178&gt;0,YEAR($F178)&lt;=CI$4,YEAR($F178)&gt;=Preisindex!$A$6),ROUND($E178*CI178,2),IF(AND($E178&lt;&gt;0,$F178&gt;0,YEAR($F178)&lt;=CI$4,YEAR($F178)&lt;Preisindex!$A$6),ROUND($E178*CJ178,2),0))</f>
        <v>0</v>
      </c>
      <c r="CL178" s="53">
        <f t="shared" si="516"/>
        <v>0</v>
      </c>
      <c r="CM178" s="51">
        <f t="shared" si="619"/>
        <v>0</v>
      </c>
      <c r="CN178" s="51">
        <f t="shared" si="594"/>
        <v>0</v>
      </c>
      <c r="CO178" s="51">
        <f t="shared" si="517"/>
        <v>0</v>
      </c>
      <c r="CP178" s="51">
        <f t="shared" si="595"/>
        <v>0</v>
      </c>
      <c r="CQ178" s="51">
        <f t="shared" si="518"/>
        <v>0</v>
      </c>
      <c r="CR178" s="51">
        <f t="shared" si="596"/>
        <v>0</v>
      </c>
      <c r="CS178" s="51">
        <f t="shared" si="519"/>
        <v>0</v>
      </c>
      <c r="CT178" s="51">
        <f t="shared" si="597"/>
        <v>0</v>
      </c>
      <c r="CU178" s="51">
        <f t="shared" si="520"/>
        <v>0</v>
      </c>
      <c r="CV178" s="51">
        <f t="shared" si="598"/>
        <v>0</v>
      </c>
      <c r="CW178" s="51">
        <f t="shared" si="521"/>
        <v>0</v>
      </c>
      <c r="CX178" s="54">
        <f t="shared" si="522"/>
        <v>0</v>
      </c>
      <c r="CY178" s="55">
        <f t="shared" si="523"/>
        <v>0</v>
      </c>
      <c r="CZ178" s="56">
        <f>IF(AND($E178&lt;&gt;0,$F178&gt;0,YEAR($F178)&gt;=Preisindex!$A$6,YEAR(CU$4)&gt;=YEAR($F178),AND($K178&lt;&gt;"a",$K178&lt;&gt;"b",$K178&lt;&gt;"g",$K178&lt;&gt;"k")),1,IF(AND($E178&lt;&gt;0,$F178&gt;0,YEAR($F178)&gt;=Preisindex!$A$6,YEAR(CU$4)&gt;=YEAR($F178),$K178="a"),ROUND(VLOOKUP(CZ$4,Preisindex,5,FALSE)/VLOOKUP(YEAR($F178),Preisindex,5,FALSE),2),IF(AND($E178&lt;&gt;0,$F178&gt;0,YEAR($F178)&gt;=Preisindex!$A$6,YEAR(CU$4)&gt;=YEAR($F178),$K178="b"),ROUND(VLOOKUP(CZ$4,Preisindex,3,FALSE)/VLOOKUP(YEAR($F178),Preisindex,3,FALSE),2),IF(AND($E178&lt;&gt;0,$F178&gt;0,YEAR($F178)&gt;=Preisindex!$A$6,YEAR(CU$4)&gt;=YEAR($F178),$K178="g"),ROUND(VLOOKUP(CZ$4,Preisindex,4,FALSE)/VLOOKUP(YEAR($F178),Preisindex,4,FALSE),2),IF(AND($E178&lt;&gt;0,$F178&gt;0,YEAR($F178)&gt;=Preisindex!$A$6,YEAR(CU$4)&gt;=YEAR($F178),$K178="k"),ROUND(VLOOKUP(CZ$4,Preisindex,2,FALSE)/VLOOKUP(YEAR($F178),Preisindex,2,FALSE),2),0)))))</f>
        <v>0</v>
      </c>
      <c r="DA178" s="56">
        <f>IF(AND($E178&lt;&gt;0,$F178&gt;0,YEAR($F178)&lt;Preisindex!$A$6,YEAR(CU$4)&gt;=YEAR($F178),AND($K178&lt;&gt;"a",$K178&lt;&gt;"b",$K178&lt;&gt;"g",$K178&lt;&gt;"k")),1,IF(AND($E178&lt;&gt;0,$F178&gt;0,YEAR($F178)&lt;Preisindex!$A$6,YEAR(CU$4)&gt;=YEAR($F178),$K178="a"),ROUND(VLOOKUP(CZ$4,Preisindex,5,FALSE)/VLOOKUP(Preisindex!$A$6,Preisindex,5,FALSE),2),IF(AND($E178&lt;&gt;0,$F178&gt;0,YEAR($F178)&lt;Preisindex!$A$6,YEAR(CU$4)&gt;=YEAR($F178),$K178="b"),ROUND(VLOOKUP(CZ$4,Preisindex,3,FALSE)/VLOOKUP(Preisindex!$A$6,Preisindex,3,FALSE),2),IF(AND($E178&lt;&gt;0,$F178&gt;0,YEAR($F178)&lt;Preisindex!$A$6,YEAR(CU$4)&gt;=YEAR($F178),$K178="g"),ROUND(VLOOKUP(CZ$4,Preisindex,4,FALSE)/VLOOKUP(Preisindex!$A$6,Preisindex,4,FALSE),2),IF(AND($E178&lt;&gt;0,$F178&gt;0,YEAR($F178)&lt;Preisindex!$A$6,YEAR(CU$4)&gt;=YEAR($F178),$K178="k"),ROUND(VLOOKUP(CZ$4,Preisindex,2,FALSE)/VLOOKUP(Preisindex!$A$6,Preisindex,2,FALSE),2),0)))))</f>
        <v>0</v>
      </c>
      <c r="DB178" s="51">
        <f>IF(AND($E178&lt;&gt;0,$F178&gt;0,YEAR($F178)&lt;=CZ$4,YEAR($F178)&gt;=Preisindex!$A$6),ROUND($E178*CZ178,2),IF(AND($E178&lt;&gt;0,$F178&gt;0,YEAR($F178)&lt;=CZ$4,YEAR($F178)&lt;Preisindex!$A$6),ROUND($E178*DA178,2),0))</f>
        <v>0</v>
      </c>
      <c r="DC178" s="53">
        <f t="shared" si="524"/>
        <v>0</v>
      </c>
      <c r="DD178" s="51">
        <f t="shared" si="620"/>
        <v>0</v>
      </c>
      <c r="DE178" s="51">
        <f t="shared" si="599"/>
        <v>0</v>
      </c>
      <c r="DF178" s="51">
        <f t="shared" si="526"/>
        <v>0</v>
      </c>
      <c r="DG178" s="51">
        <f t="shared" si="600"/>
        <v>0</v>
      </c>
      <c r="DH178" s="51">
        <f t="shared" si="527"/>
        <v>0</v>
      </c>
      <c r="DI178" s="51">
        <f t="shared" si="601"/>
        <v>0</v>
      </c>
      <c r="DJ178" s="51">
        <f t="shared" si="528"/>
        <v>0</v>
      </c>
      <c r="DK178" s="51">
        <f t="shared" si="602"/>
        <v>0</v>
      </c>
      <c r="DL178" s="51">
        <f t="shared" si="529"/>
        <v>0</v>
      </c>
      <c r="DM178" s="51">
        <f t="shared" si="603"/>
        <v>0</v>
      </c>
      <c r="DN178" s="51">
        <f t="shared" si="530"/>
        <v>0</v>
      </c>
      <c r="DO178" s="54">
        <f t="shared" si="531"/>
        <v>0</v>
      </c>
      <c r="DP178" s="55">
        <f t="shared" si="532"/>
        <v>0</v>
      </c>
      <c r="DQ178" s="56">
        <f>IF(AND($E178&lt;&gt;0,$F178&gt;0,YEAR($F178)&gt;=Preisindex!$A$6,YEAR(DL$4)&gt;=YEAR($F178),AND($K178&lt;&gt;"a",$K178&lt;&gt;"b",$K178&lt;&gt;"g",$K178&lt;&gt;"k")),1,IF(AND($E178&lt;&gt;0,$F178&gt;0,YEAR($F178)&gt;=Preisindex!$A$6,YEAR(DL$4)&gt;=YEAR($F178),$K178="a"),ROUND(VLOOKUP(DQ$4,Preisindex,5,FALSE)/VLOOKUP(YEAR($F178),Preisindex,5,FALSE),2),IF(AND($E178&lt;&gt;0,$F178&gt;0,YEAR($F178)&gt;=Preisindex!$A$6,YEAR(DL$4)&gt;=YEAR($F178),$K178="b"),ROUND(VLOOKUP(DQ$4,Preisindex,3,FALSE)/VLOOKUP(YEAR($F178),Preisindex,3,FALSE),2),IF(AND($E178&lt;&gt;0,$F178&gt;0,YEAR($F178)&gt;=Preisindex!$A$6,YEAR(DL$4)&gt;=YEAR($F178),$K178="g"),ROUND(VLOOKUP(DQ$4,Preisindex,4,FALSE)/VLOOKUP(YEAR($F178),Preisindex,4,FALSE),2),IF(AND($E178&lt;&gt;0,$F178&gt;0,YEAR($F178)&gt;=Preisindex!$A$6,YEAR(DL$4)&gt;=YEAR($F178),$K178="k"),ROUND(VLOOKUP(DQ$4,Preisindex,2,FALSE)/VLOOKUP(YEAR($F178),Preisindex,2,FALSE),2),0)))))</f>
        <v>0</v>
      </c>
      <c r="DR178" s="56">
        <f>IF(AND($E178&lt;&gt;0,$F178&gt;0,YEAR($F178)&lt;Preisindex!$A$6,YEAR(DL$4)&gt;=YEAR($F178),AND($K178&lt;&gt;"a",$K178&lt;&gt;"b",$K178&lt;&gt;"g",$K178&lt;&gt;"k")),1,IF(AND($E178&lt;&gt;0,$F178&gt;0,YEAR($F178)&lt;Preisindex!$A$6,YEAR(DL$4)&gt;=YEAR($F178),$K178="a"),ROUND(VLOOKUP(DQ$4,Preisindex,5,FALSE)/VLOOKUP(Preisindex!$A$6,Preisindex,5,FALSE),2),IF(AND($E178&lt;&gt;0,$F178&gt;0,YEAR($F178)&lt;Preisindex!$A$6,YEAR(DL$4)&gt;=YEAR($F178),$K178="b"),ROUND(VLOOKUP(DQ$4,Preisindex,3,FALSE)/VLOOKUP(Preisindex!$A$6,Preisindex,3,FALSE),2),IF(AND($E178&lt;&gt;0,$F178&gt;0,YEAR($F178)&lt;Preisindex!$A$6,YEAR(DL$4)&gt;=YEAR($F178),$K178="g"),ROUND(VLOOKUP(DQ$4,Preisindex,4,FALSE)/VLOOKUP(Preisindex!$A$6,Preisindex,4,FALSE),2),IF(AND($E178&lt;&gt;0,$F178&gt;0,YEAR($F178)&lt;Preisindex!$A$6,YEAR(DL$4)&gt;=YEAR($F178),$K178="k"),ROUND(VLOOKUP(DQ$4,Preisindex,2,FALSE)/VLOOKUP(Preisindex!$A$6,Preisindex,2,FALSE),2),0)))))</f>
        <v>0</v>
      </c>
      <c r="DS178" s="51">
        <f>IF(AND($E178&lt;&gt;0,$F178&gt;0,YEAR($F178)&lt;=DQ$4,YEAR($F178)&gt;=Preisindex!$A$6),ROUND($E178*DQ178,2),IF(AND($E178&lt;&gt;0,$F178&gt;0,YEAR($F178)&lt;=DQ$4,YEAR($F178)&lt;Preisindex!$A$6),ROUND($E178*DR178,2),0))</f>
        <v>0</v>
      </c>
      <c r="DT178" s="53">
        <f t="shared" si="533"/>
        <v>0</v>
      </c>
      <c r="DU178" s="51">
        <f t="shared" si="620"/>
        <v>0</v>
      </c>
      <c r="DV178" s="51">
        <f t="shared" si="604"/>
        <v>0</v>
      </c>
      <c r="DW178" s="51">
        <f t="shared" si="534"/>
        <v>0</v>
      </c>
      <c r="DX178" s="51">
        <f t="shared" si="605"/>
        <v>0</v>
      </c>
      <c r="DY178" s="51">
        <f t="shared" si="535"/>
        <v>0</v>
      </c>
      <c r="DZ178" s="51">
        <f t="shared" si="606"/>
        <v>0</v>
      </c>
      <c r="EA178" s="51">
        <f t="shared" si="536"/>
        <v>0</v>
      </c>
      <c r="EB178" s="51">
        <f t="shared" si="607"/>
        <v>0</v>
      </c>
      <c r="EC178" s="51">
        <f t="shared" si="537"/>
        <v>0</v>
      </c>
      <c r="ED178" s="51">
        <f t="shared" si="608"/>
        <v>0</v>
      </c>
      <c r="EE178" s="51">
        <f t="shared" si="538"/>
        <v>0</v>
      </c>
      <c r="EF178" s="54">
        <f t="shared" si="539"/>
        <v>0</v>
      </c>
      <c r="EG178" s="55">
        <f t="shared" si="540"/>
        <v>0</v>
      </c>
      <c r="EH178" s="56">
        <f>IF(AND($E178&lt;&gt;0,$F178&gt;0,YEAR($F178)&gt;=Preisindex!$A$6,YEAR(EC$4)&gt;=YEAR($F178),AND($K178&lt;&gt;"a",$K178&lt;&gt;"b",$K178&lt;&gt;"g",$K178&lt;&gt;"k")),1,IF(AND($E178&lt;&gt;0,$F178&gt;0,YEAR($F178)&gt;=Preisindex!$A$6,YEAR(EC$4)&gt;=YEAR($F178),$K178="a"),ROUND(VLOOKUP(EH$4,Preisindex,5,FALSE)/VLOOKUP(YEAR($F178),Preisindex,5,FALSE),2),IF(AND($E178&lt;&gt;0,$F178&gt;0,YEAR($F178)&gt;=Preisindex!$A$6,YEAR(EC$4)&gt;=YEAR($F178),$K178="b"),ROUND(VLOOKUP(EH$4,Preisindex,3,FALSE)/VLOOKUP(YEAR($F178),Preisindex,3,FALSE),2),IF(AND($E178&lt;&gt;0,$F178&gt;0,YEAR($F178)&gt;=Preisindex!$A$6,YEAR(EC$4)&gt;=YEAR($F178),$K178="g"),ROUND(VLOOKUP(EH$4,Preisindex,4,FALSE)/VLOOKUP(YEAR($F178),Preisindex,4,FALSE),2),IF(AND($E178&lt;&gt;0,$F178&gt;0,YEAR($F178)&gt;=Preisindex!$A$6,YEAR(EC$4)&gt;=YEAR($F178),$K178="k"),ROUND(VLOOKUP(EH$4,Preisindex,2,FALSE)/VLOOKUP(YEAR($F178),Preisindex,2,FALSE),2),0)))))</f>
        <v>0</v>
      </c>
      <c r="EI178" s="56">
        <f>IF(AND($E178&lt;&gt;0,$F178&gt;0,YEAR($F178)&lt;Preisindex!$A$6,YEAR(EC$4)&gt;=YEAR($F178),AND($K178&lt;&gt;"a",$K178&lt;&gt;"b",$K178&lt;&gt;"g",$K178&lt;&gt;"k")),1,IF(AND($E178&lt;&gt;0,$F178&gt;0,YEAR($F178)&lt;Preisindex!$A$6,YEAR(EC$4)&gt;=YEAR($F178),$K178="a"),ROUND(VLOOKUP(EH$4,Preisindex,5,FALSE)/VLOOKUP(Preisindex!$A$6,Preisindex,5,FALSE),2),IF(AND($E178&lt;&gt;0,$F178&gt;0,YEAR($F178)&lt;Preisindex!$A$6,YEAR(EC$4)&gt;=YEAR($F178),$K178="b"),ROUND(VLOOKUP(EH$4,Preisindex,3,FALSE)/VLOOKUP(Preisindex!$A$6,Preisindex,3,FALSE),2),IF(AND($E178&lt;&gt;0,$F178&gt;0,YEAR($F178)&lt;Preisindex!$A$6,YEAR(EC$4)&gt;=YEAR($F178),$K178="g"),ROUND(VLOOKUP(EH$4,Preisindex,4,FALSE)/VLOOKUP(Preisindex!$A$6,Preisindex,4,FALSE),2),IF(AND($E178&lt;&gt;0,$F178&gt;0,YEAR($F178)&lt;Preisindex!$A$6,YEAR(EC$4)&gt;=YEAR($F178),$K178="k"),ROUND(VLOOKUP(EH$4,Preisindex,2,FALSE)/VLOOKUP(Preisindex!$A$6,Preisindex,2,FALSE),2),0)))))</f>
        <v>0</v>
      </c>
      <c r="EJ178" s="51">
        <f>IF(AND($E178&lt;&gt;0,$F178&gt;0,YEAR($F178)&lt;=EH$4,YEAR($F178)&gt;=Preisindex!$A$6),ROUND($E178*EH178,2),IF(AND($E178&lt;&gt;0,$F178&gt;0,YEAR($F178)&lt;=EH$4,YEAR($F178)&lt;Preisindex!$A$6),ROUND($E178*EI178,2),0))</f>
        <v>0</v>
      </c>
      <c r="EK178" s="53">
        <f t="shared" si="541"/>
        <v>0</v>
      </c>
      <c r="EL178" s="51">
        <f t="shared" si="620"/>
        <v>0</v>
      </c>
      <c r="EM178" s="51">
        <f t="shared" si="609"/>
        <v>0</v>
      </c>
      <c r="EN178" s="51">
        <f t="shared" si="542"/>
        <v>0</v>
      </c>
      <c r="EO178" s="51">
        <f t="shared" si="610"/>
        <v>0</v>
      </c>
      <c r="EP178" s="51">
        <f t="shared" si="543"/>
        <v>0</v>
      </c>
      <c r="EQ178" s="51">
        <f t="shared" si="611"/>
        <v>0</v>
      </c>
      <c r="ER178" s="51">
        <f t="shared" si="544"/>
        <v>0</v>
      </c>
      <c r="ES178" s="51">
        <f t="shared" si="612"/>
        <v>0</v>
      </c>
      <c r="ET178" s="51">
        <f t="shared" si="545"/>
        <v>0</v>
      </c>
      <c r="EU178" s="51">
        <f t="shared" si="613"/>
        <v>0</v>
      </c>
      <c r="EV178" s="51">
        <f t="shared" si="546"/>
        <v>0</v>
      </c>
      <c r="EW178" s="54">
        <f t="shared" si="547"/>
        <v>0</v>
      </c>
      <c r="EX178" s="55">
        <f t="shared" si="548"/>
        <v>0</v>
      </c>
      <c r="EY178" s="56">
        <f>IF(AND($E178&lt;&gt;0,$F178&gt;0,YEAR($F178)&gt;=Preisindex!$A$6,YEAR(ET$4)&gt;=YEAR($F178),AND($K178&lt;&gt;"a",$K178&lt;&gt;"b",$K178&lt;&gt;"g",$K178&lt;&gt;"k")),1,IF(AND($E178&lt;&gt;0,$F178&gt;0,YEAR($F178)&gt;=Preisindex!$A$6,YEAR(ET$4)&gt;=YEAR($F178),$K178="a"),ROUND(VLOOKUP(EY$4,Preisindex,5,FALSE)/VLOOKUP(YEAR($F178),Preisindex,5,FALSE),2),IF(AND($E178&lt;&gt;0,$F178&gt;0,YEAR($F178)&gt;=Preisindex!$A$6,YEAR(ET$4)&gt;=YEAR($F178),$K178="b"),ROUND(VLOOKUP(EY$4,Preisindex,3,FALSE)/VLOOKUP(YEAR($F178),Preisindex,3,FALSE),2),IF(AND($E178&lt;&gt;0,$F178&gt;0,YEAR($F178)&gt;=Preisindex!$A$6,YEAR(ET$4)&gt;=YEAR($F178),$K178="g"),ROUND(VLOOKUP(EY$4,Preisindex,4,FALSE)/VLOOKUP(YEAR($F178),Preisindex,4,FALSE),2),IF(AND($E178&lt;&gt;0,$F178&gt;0,YEAR($F178)&gt;=Preisindex!$A$6,YEAR(ET$4)&gt;=YEAR($F178),$K178="k"),ROUND(VLOOKUP(EY$4,Preisindex,2,FALSE)/VLOOKUP(YEAR($F178),Preisindex,2,FALSE),2),0)))))</f>
        <v>0</v>
      </c>
      <c r="EZ178" s="56">
        <f>IF(AND($E178&lt;&gt;0,$F178&gt;0,YEAR($F178)&lt;Preisindex!$A$6,YEAR(ET$4)&gt;=YEAR($F178),AND($K178&lt;&gt;"a",$K178&lt;&gt;"b",$K178&lt;&gt;"g",$K178&lt;&gt;"k")),1,IF(AND($E178&lt;&gt;0,$F178&gt;0,YEAR($F178)&lt;Preisindex!$A$6,YEAR(ET$4)&gt;=YEAR($F178),$K178="a"),ROUND(VLOOKUP(EY$4,Preisindex,5,FALSE)/VLOOKUP(Preisindex!$A$6,Preisindex,5,FALSE),2),IF(AND($E178&lt;&gt;0,$F178&gt;0,YEAR($F178)&lt;Preisindex!$A$6,YEAR(ET$4)&gt;=YEAR($F178),$K178="b"),ROUND(VLOOKUP(EY$4,Preisindex,3,FALSE)/VLOOKUP(Preisindex!$A$6,Preisindex,3,FALSE),2),IF(AND($E178&lt;&gt;0,$F178&gt;0,YEAR($F178)&lt;Preisindex!$A$6,YEAR(ET$4)&gt;=YEAR($F178),$K178="g"),ROUND(VLOOKUP(EY$4,Preisindex,4,FALSE)/VLOOKUP(Preisindex!$A$6,Preisindex,4,FALSE),2),IF(AND($E178&lt;&gt;0,$F178&gt;0,YEAR($F178)&lt;Preisindex!$A$6,YEAR(ET$4)&gt;=YEAR($F178),$K178="k"),ROUND(VLOOKUP(EY$4,Preisindex,2,FALSE)/VLOOKUP(Preisindex!$A$6,Preisindex,2,FALSE),2),0)))))</f>
        <v>0</v>
      </c>
      <c r="FA178" s="51">
        <f>IF(AND($E178&lt;&gt;0,$F178&gt;0,YEAR($F178)&lt;=EY$4,YEAR($F178)&gt;=Preisindex!$A$6),ROUND($E178*EY178,2),IF(AND($E178&lt;&gt;0,$F178&gt;0,YEAR($F178)&lt;=EY$4,YEAR($F178)&lt;Preisindex!$A$6),ROUND($E178*EZ178,2),0))</f>
        <v>0</v>
      </c>
      <c r="FB178" s="53">
        <f t="shared" si="549"/>
        <v>0</v>
      </c>
      <c r="FC178" s="51">
        <f t="shared" si="620"/>
        <v>0</v>
      </c>
      <c r="FD178" s="51">
        <f t="shared" si="614"/>
        <v>0</v>
      </c>
      <c r="FE178" s="51">
        <f t="shared" si="550"/>
        <v>0</v>
      </c>
      <c r="FF178" s="51">
        <f t="shared" si="615"/>
        <v>0</v>
      </c>
      <c r="FG178" s="51">
        <f t="shared" si="551"/>
        <v>0</v>
      </c>
      <c r="FH178" s="51">
        <f t="shared" si="616"/>
        <v>0</v>
      </c>
      <c r="FI178" s="51">
        <f t="shared" si="552"/>
        <v>0</v>
      </c>
      <c r="FJ178" s="51">
        <f t="shared" si="617"/>
        <v>0</v>
      </c>
      <c r="FK178" s="51">
        <f t="shared" si="553"/>
        <v>0</v>
      </c>
      <c r="FL178" s="51">
        <f t="shared" si="618"/>
        <v>0</v>
      </c>
      <c r="FM178" s="51">
        <f t="shared" si="554"/>
        <v>0</v>
      </c>
      <c r="FN178" s="54">
        <f t="shared" si="555"/>
        <v>0</v>
      </c>
      <c r="FO178" s="55">
        <f t="shared" si="556"/>
        <v>0</v>
      </c>
      <c r="FP178" s="56">
        <f>IF(AND($E178&lt;&gt;0,$F178&gt;0,YEAR($F178)&gt;=Preisindex!$A$6,YEAR(FK$4)&gt;=YEAR($F178),AND($K178&lt;&gt;"a",$K178&lt;&gt;"b",$K178&lt;&gt;"g",$K178&lt;&gt;"k")),1,IF(AND($E178&lt;&gt;0,$F178&gt;0,YEAR($F178)&gt;=Preisindex!$A$6,YEAR(FK$4)&gt;=YEAR($F178),$K178="a"),ROUND(VLOOKUP(FP$4,Preisindex,5,FALSE)/VLOOKUP(YEAR($F178),Preisindex,5,FALSE),2),IF(AND($E178&lt;&gt;0,$F178&gt;0,YEAR($F178)&gt;=Preisindex!$A$6,YEAR(FK$4)&gt;=YEAR($F178),$K178="b"),ROUND(VLOOKUP(FP$4,Preisindex,3,FALSE)/VLOOKUP(YEAR($F178),Preisindex,3,FALSE),2),IF(AND($E178&lt;&gt;0,$F178&gt;0,YEAR($F178)&gt;=Preisindex!$A$6,YEAR(FK$4)&gt;=YEAR($F178),$K178="g"),ROUND(VLOOKUP(FP$4,Preisindex,4,FALSE)/VLOOKUP(YEAR($F178),Preisindex,4,FALSE),2),IF(AND($E178&lt;&gt;0,$F178&gt;0,YEAR($F178)&gt;=Preisindex!$A$6,YEAR(FK$4)&gt;=YEAR($F178),$K178="k"),ROUND(VLOOKUP(FP$4,Preisindex,2,FALSE)/VLOOKUP(YEAR($F178),Preisindex,2,FALSE),2),0)))))</f>
        <v>0</v>
      </c>
      <c r="FQ178" s="56">
        <f>IF(AND($E178&lt;&gt;0,$F178&gt;0,YEAR($F178)&lt;Preisindex!$A$6,YEAR(FK$4)&gt;=YEAR($F178),AND($K178&lt;&gt;"a",$K178&lt;&gt;"b",$K178&lt;&gt;"g",$K178&lt;&gt;"k")),1,IF(AND($E178&lt;&gt;0,$F178&gt;0,YEAR($F178)&lt;Preisindex!$A$6,YEAR(FK$4)&gt;=YEAR($F178),$K178="a"),ROUND(VLOOKUP(FP$4,Preisindex,5,FALSE)/VLOOKUP(Preisindex!$A$6,Preisindex,5,FALSE),2),IF(AND($E178&lt;&gt;0,$F178&gt;0,YEAR($F178)&lt;Preisindex!$A$6,YEAR(FK$4)&gt;=YEAR($F178),$K178="b"),ROUND(VLOOKUP(FP$4,Preisindex,3,FALSE)/VLOOKUP(Preisindex!$A$6,Preisindex,3,FALSE),2),IF(AND($E178&lt;&gt;0,$F178&gt;0,YEAR($F178)&lt;Preisindex!$A$6,YEAR(FK$4)&gt;=YEAR($F178),$K178="g"),ROUND(VLOOKUP(FP$4,Preisindex,4,FALSE)/VLOOKUP(Preisindex!$A$6,Preisindex,4,FALSE),2),IF(AND($E178&lt;&gt;0,$F178&gt;0,YEAR($F178)&lt;Preisindex!$A$6,YEAR(FK$4)&gt;=YEAR($F178),$K178="k"),ROUND(VLOOKUP(FP$4,Preisindex,2,FALSE)/VLOOKUP(Preisindex!$A$6,Preisindex,2,FALSE),2),0)))))</f>
        <v>0</v>
      </c>
      <c r="FR178" s="51">
        <f>IF(AND($E178&lt;&gt;0,$F178&gt;0,YEAR($F178)&lt;=FP$4,YEAR($F178)&gt;=Preisindex!$A$6),ROUND($E178*FP178,2),IF(AND($E178&lt;&gt;0,$F178&gt;0,YEAR($F178)&lt;=FP$4,YEAR($F178)&lt;Preisindex!$A$6),ROUND($E178*FQ178,2),0))</f>
        <v>0</v>
      </c>
      <c r="FS178" s="53">
        <f t="shared" si="557"/>
        <v>0</v>
      </c>
    </row>
    <row r="179" spans="1:175" x14ac:dyDescent="0.3">
      <c r="A179" s="93"/>
      <c r="B179" s="94"/>
      <c r="C179" s="94"/>
      <c r="D179" s="95"/>
      <c r="E179" s="99"/>
      <c r="F179" s="97"/>
      <c r="G179" s="98"/>
      <c r="H179" s="620"/>
      <c r="I179" s="621"/>
      <c r="J179" s="194"/>
      <c r="K179" s="630"/>
      <c r="L179" s="49">
        <f t="shared" si="558"/>
        <v>0</v>
      </c>
      <c r="M179" s="50">
        <f t="shared" si="559"/>
        <v>0</v>
      </c>
      <c r="N179" s="51">
        <f t="shared" si="560"/>
        <v>0</v>
      </c>
      <c r="O179" s="51"/>
      <c r="P179" s="51">
        <f t="shared" si="561"/>
        <v>0</v>
      </c>
      <c r="Q179" s="52"/>
      <c r="R179" s="52"/>
      <c r="S179" s="52"/>
      <c r="T179" s="52"/>
      <c r="U179" s="52"/>
      <c r="V179" s="53">
        <f t="shared" si="562"/>
        <v>0</v>
      </c>
      <c r="W179" s="51">
        <f t="shared" si="563"/>
        <v>0</v>
      </c>
      <c r="X179" s="51">
        <f t="shared" si="564"/>
        <v>0</v>
      </c>
      <c r="Y179" s="51">
        <f t="shared" si="565"/>
        <v>0</v>
      </c>
      <c r="Z179" s="51">
        <f t="shared" si="566"/>
        <v>0</v>
      </c>
      <c r="AA179" s="51">
        <f t="shared" si="567"/>
        <v>0</v>
      </c>
      <c r="AB179" s="51">
        <f t="shared" si="568"/>
        <v>0</v>
      </c>
      <c r="AC179" s="51">
        <f t="shared" si="569"/>
        <v>0</v>
      </c>
      <c r="AD179" s="51">
        <f t="shared" si="570"/>
        <v>0</v>
      </c>
      <c r="AE179" s="51">
        <f t="shared" si="571"/>
        <v>0</v>
      </c>
      <c r="AF179" s="51">
        <f t="shared" si="572"/>
        <v>0</v>
      </c>
      <c r="AG179" s="51">
        <f t="shared" si="573"/>
        <v>0</v>
      </c>
      <c r="AH179" s="54">
        <f t="shared" si="574"/>
        <v>0</v>
      </c>
      <c r="AI179" s="55">
        <f t="shared" si="575"/>
        <v>0</v>
      </c>
      <c r="AJ179" s="56">
        <f>IF(AND($E179&lt;&gt;0,$F179&gt;0,YEAR($F179)&gt;=Preisindex!$A$6,YEAR(AE$4)&gt;=YEAR($F179),AND($K179&lt;&gt;"a",$K179&lt;&gt;"b",$K179&lt;&gt;"g",$K179&lt;&gt;"k")),1,IF(AND($E179&lt;&gt;0,$F179&gt;0,YEAR($F179)&gt;=Preisindex!$A$6,YEAR(AE$4)&gt;=YEAR($F179),$K179="a"),ROUND(VLOOKUP(AJ$4,Preisindex,5,FALSE)/VLOOKUP(YEAR($F179),Preisindex,5,FALSE),2),IF(AND($E179&lt;&gt;0,$F179&gt;0,YEAR($F179)&gt;=Preisindex!$A$6,YEAR(AE$4)&gt;=YEAR($F179),$K179="b"),ROUND(VLOOKUP(AJ$4,Preisindex,3,FALSE)/VLOOKUP(YEAR($F179),Preisindex,3,FALSE),2),IF(AND($E179&lt;&gt;0,$F179&gt;0,YEAR($F179)&gt;=Preisindex!$A$6,YEAR(AE$4)&gt;=YEAR($F179),$K179="g"),ROUND(VLOOKUP(AJ$4,Preisindex,4,FALSE)/VLOOKUP(YEAR($F179),Preisindex,4,FALSE),2),IF(AND($E179&lt;&gt;0,$F179&gt;0,YEAR($F179)&gt;=Preisindex!$A$6,YEAR(AE$4)&gt;=YEAR($F179),$K179="k"),ROUND(VLOOKUP(AJ$4,Preisindex,2,FALSE)/VLOOKUP(YEAR($F179),Preisindex,2,FALSE),2),0)))))</f>
        <v>0</v>
      </c>
      <c r="AK179" s="56">
        <f>IF(AND($E179&lt;&gt;0,$F179&gt;0,YEAR($F179)&lt;Preisindex!$A$6,YEAR(AE$4)&gt;=YEAR($F179),AND($K179&lt;&gt;"a",$K179&lt;&gt;"b",$K179&lt;&gt;"g",$K179&lt;&gt;"k")),1,IF(AND($E179&lt;&gt;0,$F179&gt;0,YEAR($F179)&lt;Preisindex!$A$6,YEAR(AE$4)&gt;=YEAR($F179),$K179="a"),ROUND(VLOOKUP(AJ$4,Preisindex,5,FALSE)/VLOOKUP(Preisindex!$A$6,Preisindex,5,FALSE),2),IF(AND($E179&lt;&gt;0,$F179&gt;0,YEAR($F179)&lt;Preisindex!$A$6,YEAR(AE$4)&gt;=YEAR($F179),$K179="b"),ROUND(VLOOKUP(AJ$4,Preisindex,3,FALSE)/VLOOKUP(Preisindex!$A$6,Preisindex,3,FALSE),2),IF(AND($E179&lt;&gt;0,$F179&gt;0,YEAR($F179)&lt;Preisindex!$A$6,YEAR(AE$4)&gt;=YEAR($F179),$K179="g"),ROUND(VLOOKUP(AJ$4,Preisindex,4,FALSE)/VLOOKUP(Preisindex!$A$6,Preisindex,4,FALSE),2),IF(AND($E179&lt;&gt;0,$F179&gt;0,YEAR($F179)&lt;Preisindex!$A$6,YEAR(AE$4)&gt;=YEAR($F179),$K179="k"),ROUND(VLOOKUP(AJ$4,Preisindex,2,FALSE)/VLOOKUP(Preisindex!$A$6,Preisindex,2,FALSE),2),0)))))</f>
        <v>0</v>
      </c>
      <c r="AL179" s="51">
        <f>IF(AND($E179&lt;&gt;0,$F179&gt;0,YEAR($F179)&lt;=AJ$4,YEAR($F179)&gt;=Preisindex!$A$6),ROUND($E179*AJ179,2),IF(AND($E179&lt;&gt;0,$F179&gt;0,YEAR($F179)&lt;=AJ$4,YEAR($F179)&lt;Preisindex!$A$6),ROUND($E179*AK179,2),0))</f>
        <v>0</v>
      </c>
      <c r="AM179" s="53">
        <f t="shared" si="576"/>
        <v>0</v>
      </c>
      <c r="AN179" s="51">
        <f t="shared" si="619"/>
        <v>0</v>
      </c>
      <c r="AO179" s="51">
        <f t="shared" si="579"/>
        <v>0</v>
      </c>
      <c r="AP179" s="51">
        <f t="shared" si="493"/>
        <v>0</v>
      </c>
      <c r="AQ179" s="51">
        <f t="shared" si="580"/>
        <v>0</v>
      </c>
      <c r="AR179" s="51">
        <f t="shared" si="494"/>
        <v>0</v>
      </c>
      <c r="AS179" s="51">
        <f t="shared" si="581"/>
        <v>0</v>
      </c>
      <c r="AT179" s="51">
        <f t="shared" si="495"/>
        <v>0</v>
      </c>
      <c r="AU179" s="51">
        <f t="shared" si="582"/>
        <v>0</v>
      </c>
      <c r="AV179" s="51">
        <f t="shared" si="496"/>
        <v>0</v>
      </c>
      <c r="AW179" s="51">
        <f t="shared" si="583"/>
        <v>0</v>
      </c>
      <c r="AX179" s="51">
        <f t="shared" si="497"/>
        <v>0</v>
      </c>
      <c r="AY179" s="54">
        <f t="shared" si="498"/>
        <v>0</v>
      </c>
      <c r="AZ179" s="55">
        <f t="shared" si="499"/>
        <v>0</v>
      </c>
      <c r="BA179" s="56">
        <f>IF(AND($E179&lt;&gt;0,$F179&gt;0,YEAR($F179)&gt;=Preisindex!$A$6,YEAR(AV$4)&gt;=YEAR($F179),AND($K179&lt;&gt;"a",$K179&lt;&gt;"b",$K179&lt;&gt;"g",$K179&lt;&gt;"k")),1,IF(AND($E179&lt;&gt;0,$F179&gt;0,YEAR($F179)&gt;=Preisindex!$A$6,YEAR(AV$4)&gt;=YEAR($F179),$K179="a"),ROUND(VLOOKUP(BA$4,Preisindex,5,FALSE)/VLOOKUP(YEAR($F179),Preisindex,5,FALSE),2),IF(AND($E179&lt;&gt;0,$F179&gt;0,YEAR($F179)&gt;=Preisindex!$A$6,YEAR(AV$4)&gt;=YEAR($F179),$K179="b"),ROUND(VLOOKUP(BA$4,Preisindex,3,FALSE)/VLOOKUP(YEAR($F179),Preisindex,3,FALSE),2),IF(AND($E179&lt;&gt;0,$F179&gt;0,YEAR($F179)&gt;=Preisindex!$A$6,YEAR(AV$4)&gt;=YEAR($F179),$K179="g"),ROUND(VLOOKUP(BA$4,Preisindex,4,FALSE)/VLOOKUP(YEAR($F179),Preisindex,4,FALSE),2),IF(AND($E179&lt;&gt;0,$F179&gt;0,YEAR($F179)&gt;=Preisindex!$A$6,YEAR(AV$4)&gt;=YEAR($F179),$K179="k"),ROUND(VLOOKUP(BA$4,Preisindex,2,FALSE)/VLOOKUP(YEAR($F179),Preisindex,2,FALSE),2),0)))))</f>
        <v>0</v>
      </c>
      <c r="BB179" s="56">
        <f>IF(AND($E179&lt;&gt;0,$F179&gt;0,YEAR($F179)&lt;Preisindex!$A$6,YEAR(AV$4)&gt;=YEAR($F179),AND($K179&lt;&gt;"a",$K179&lt;&gt;"b",$K179&lt;&gt;"g",$K179&lt;&gt;"k")),1,IF(AND($E179&lt;&gt;0,$F179&gt;0,YEAR($F179)&lt;Preisindex!$A$6,YEAR(AV$4)&gt;=YEAR($F179),$K179="a"),ROUND(VLOOKUP(BA$4,Preisindex,5,FALSE)/VLOOKUP(Preisindex!$A$6,Preisindex,5,FALSE),2),IF(AND($E179&lt;&gt;0,$F179&gt;0,YEAR($F179)&lt;Preisindex!$A$6,YEAR(AV$4)&gt;=YEAR($F179),$K179="b"),ROUND(VLOOKUP(BA$4,Preisindex,3,FALSE)/VLOOKUP(Preisindex!$A$6,Preisindex,3,FALSE),2),IF(AND($E179&lt;&gt;0,$F179&gt;0,YEAR($F179)&lt;Preisindex!$A$6,YEAR(AV$4)&gt;=YEAR($F179),$K179="g"),ROUND(VLOOKUP(BA$4,Preisindex,4,FALSE)/VLOOKUP(Preisindex!$A$6,Preisindex,4,FALSE),2),IF(AND($E179&lt;&gt;0,$F179&gt;0,YEAR($F179)&lt;Preisindex!$A$6,YEAR(AV$4)&gt;=YEAR($F179),$K179="k"),ROUND(VLOOKUP(BA$4,Preisindex,2,FALSE)/VLOOKUP(Preisindex!$A$6,Preisindex,2,FALSE),2),0)))))</f>
        <v>0</v>
      </c>
      <c r="BC179" s="51">
        <f>IF(AND($E179&lt;&gt;0,$F179&gt;0,YEAR($F179)&lt;=BA$4,YEAR($F179)&gt;=Preisindex!$A$6),ROUND($E179*BA179,2),IF(AND($E179&lt;&gt;0,$F179&gt;0,YEAR($F179)&lt;=BA$4,YEAR($F179)&lt;Preisindex!$A$6),ROUND($E179*BB179,2),0))</f>
        <v>0</v>
      </c>
      <c r="BD179" s="53">
        <f t="shared" si="500"/>
        <v>0</v>
      </c>
      <c r="BE179" s="51">
        <f t="shared" si="619"/>
        <v>0</v>
      </c>
      <c r="BF179" s="51">
        <f t="shared" si="584"/>
        <v>0</v>
      </c>
      <c r="BG179" s="51">
        <f t="shared" si="501"/>
        <v>0</v>
      </c>
      <c r="BH179" s="51">
        <f t="shared" si="585"/>
        <v>0</v>
      </c>
      <c r="BI179" s="51">
        <f t="shared" si="502"/>
        <v>0</v>
      </c>
      <c r="BJ179" s="51">
        <f t="shared" si="586"/>
        <v>0</v>
      </c>
      <c r="BK179" s="51">
        <f t="shared" si="503"/>
        <v>0</v>
      </c>
      <c r="BL179" s="51">
        <f t="shared" si="587"/>
        <v>0</v>
      </c>
      <c r="BM179" s="51">
        <f t="shared" si="504"/>
        <v>0</v>
      </c>
      <c r="BN179" s="51">
        <f t="shared" si="588"/>
        <v>0</v>
      </c>
      <c r="BO179" s="51">
        <f t="shared" si="505"/>
        <v>0</v>
      </c>
      <c r="BP179" s="54">
        <f t="shared" si="506"/>
        <v>0</v>
      </c>
      <c r="BQ179" s="55">
        <f t="shared" si="507"/>
        <v>0</v>
      </c>
      <c r="BR179" s="56">
        <f>IF(AND($E179&lt;&gt;0,$F179&gt;0,YEAR($F179)&gt;=Preisindex!$A$6,YEAR(BM$4)&gt;=YEAR($F179),AND($K179&lt;&gt;"a",$K179&lt;&gt;"b",$K179&lt;&gt;"g",$K179&lt;&gt;"k")),1,IF(AND($E179&lt;&gt;0,$F179&gt;0,YEAR($F179)&gt;=Preisindex!$A$6,YEAR(BM$4)&gt;=YEAR($F179),$K179="a"),ROUND(VLOOKUP(BR$4,Preisindex,5,FALSE)/VLOOKUP(YEAR($F179),Preisindex,5,FALSE),2),IF(AND($E179&lt;&gt;0,$F179&gt;0,YEAR($F179)&gt;=Preisindex!$A$6,YEAR(BM$4)&gt;=YEAR($F179),$K179="b"),ROUND(VLOOKUP(BR$4,Preisindex,3,FALSE)/VLOOKUP(YEAR($F179),Preisindex,3,FALSE),2),IF(AND($E179&lt;&gt;0,$F179&gt;0,YEAR($F179)&gt;=Preisindex!$A$6,YEAR(BM$4)&gt;=YEAR($F179),$K179="g"),ROUND(VLOOKUP(BR$4,Preisindex,4,FALSE)/VLOOKUP(YEAR($F179),Preisindex,4,FALSE),2),IF(AND($E179&lt;&gt;0,$F179&gt;0,YEAR($F179)&gt;=Preisindex!$A$6,YEAR(BM$4)&gt;=YEAR($F179),$K179="k"),ROUND(VLOOKUP(BR$4,Preisindex,2,FALSE)/VLOOKUP(YEAR($F179),Preisindex,2,FALSE),2),0)))))</f>
        <v>0</v>
      </c>
      <c r="BS179" s="56">
        <f>IF(AND($E179&lt;&gt;0,$F179&gt;0,YEAR($F179)&lt;Preisindex!$A$6,YEAR(BM$4)&gt;=YEAR($F179),AND($K179&lt;&gt;"a",$K179&lt;&gt;"b",$K179&lt;&gt;"g",$K179&lt;&gt;"k")),1,IF(AND($E179&lt;&gt;0,$F179&gt;0,YEAR($F179)&lt;Preisindex!$A$6,YEAR(BM$4)&gt;=YEAR($F179),$K179="a"),ROUND(VLOOKUP(BR$4,Preisindex,5,FALSE)/VLOOKUP(Preisindex!$A$6,Preisindex,5,FALSE),2),IF(AND($E179&lt;&gt;0,$F179&gt;0,YEAR($F179)&lt;Preisindex!$A$6,YEAR(BM$4)&gt;=YEAR($F179),$K179="b"),ROUND(VLOOKUP(BR$4,Preisindex,3,FALSE)/VLOOKUP(Preisindex!$A$6,Preisindex,3,FALSE),2),IF(AND($E179&lt;&gt;0,$F179&gt;0,YEAR($F179)&lt;Preisindex!$A$6,YEAR(BM$4)&gt;=YEAR($F179),$K179="g"),ROUND(VLOOKUP(BR$4,Preisindex,4,FALSE)/VLOOKUP(Preisindex!$A$6,Preisindex,4,FALSE),2),IF(AND($E179&lt;&gt;0,$F179&gt;0,YEAR($F179)&lt;Preisindex!$A$6,YEAR(BM$4)&gt;=YEAR($F179),$K179="k"),ROUND(VLOOKUP(BR$4,Preisindex,2,FALSE)/VLOOKUP(Preisindex!$A$6,Preisindex,2,FALSE),2),0)))))</f>
        <v>0</v>
      </c>
      <c r="BT179" s="51">
        <f>IF(AND($E179&lt;&gt;0,$F179&gt;0,YEAR($F179)&lt;=BR$4,YEAR($F179)&gt;=Preisindex!$A$6),ROUND($E179*BR179,2),IF(AND($E179&lt;&gt;0,$F179&gt;0,YEAR($F179)&lt;=BR$4,YEAR($F179)&lt;Preisindex!$A$6),ROUND($E179*BS179,2),0))</f>
        <v>0</v>
      </c>
      <c r="BU179" s="53">
        <f t="shared" si="508"/>
        <v>0</v>
      </c>
      <c r="BV179" s="51">
        <f t="shared" si="619"/>
        <v>0</v>
      </c>
      <c r="BW179" s="51">
        <f t="shared" si="589"/>
        <v>0</v>
      </c>
      <c r="BX179" s="51">
        <f t="shared" si="509"/>
        <v>0</v>
      </c>
      <c r="BY179" s="51">
        <f t="shared" si="590"/>
        <v>0</v>
      </c>
      <c r="BZ179" s="51">
        <f t="shared" si="510"/>
        <v>0</v>
      </c>
      <c r="CA179" s="51">
        <f t="shared" si="591"/>
        <v>0</v>
      </c>
      <c r="CB179" s="51">
        <f t="shared" si="511"/>
        <v>0</v>
      </c>
      <c r="CC179" s="51">
        <f t="shared" si="592"/>
        <v>0</v>
      </c>
      <c r="CD179" s="51">
        <f t="shared" si="512"/>
        <v>0</v>
      </c>
      <c r="CE179" s="51">
        <f t="shared" si="593"/>
        <v>0</v>
      </c>
      <c r="CF179" s="51">
        <f t="shared" si="513"/>
        <v>0</v>
      </c>
      <c r="CG179" s="54">
        <f t="shared" si="514"/>
        <v>0</v>
      </c>
      <c r="CH179" s="55">
        <f t="shared" si="515"/>
        <v>0</v>
      </c>
      <c r="CI179" s="56">
        <f>IF(AND($E179&lt;&gt;0,$F179&gt;0,YEAR($F179)&gt;=Preisindex!$A$6,YEAR(CD$4)&gt;=YEAR($F179),AND($K179&lt;&gt;"a",$K179&lt;&gt;"b",$K179&lt;&gt;"g",$K179&lt;&gt;"k")),1,IF(AND($E179&lt;&gt;0,$F179&gt;0,YEAR($F179)&gt;=Preisindex!$A$6,YEAR(CD$4)&gt;=YEAR($F179),$K179="a"),ROUND(VLOOKUP(CI$4,Preisindex,5,FALSE)/VLOOKUP(YEAR($F179),Preisindex,5,FALSE),2),IF(AND($E179&lt;&gt;0,$F179&gt;0,YEAR($F179)&gt;=Preisindex!$A$6,YEAR(CD$4)&gt;=YEAR($F179),$K179="b"),ROUND(VLOOKUP(CI$4,Preisindex,3,FALSE)/VLOOKUP(YEAR($F179),Preisindex,3,FALSE),2),IF(AND($E179&lt;&gt;0,$F179&gt;0,YEAR($F179)&gt;=Preisindex!$A$6,YEAR(CD$4)&gt;=YEAR($F179),$K179="g"),ROUND(VLOOKUP(CI$4,Preisindex,4,FALSE)/VLOOKUP(YEAR($F179),Preisindex,4,FALSE),2),IF(AND($E179&lt;&gt;0,$F179&gt;0,YEAR($F179)&gt;=Preisindex!$A$6,YEAR(CD$4)&gt;=YEAR($F179),$K179="k"),ROUND(VLOOKUP(CI$4,Preisindex,2,FALSE)/VLOOKUP(YEAR($F179),Preisindex,2,FALSE),2),0)))))</f>
        <v>0</v>
      </c>
      <c r="CJ179" s="56">
        <f>IF(AND($E179&lt;&gt;0,$F179&gt;0,YEAR($F179)&lt;Preisindex!$A$6,YEAR(CD$4)&gt;=YEAR($F179),AND($K179&lt;&gt;"a",$K179&lt;&gt;"b",$K179&lt;&gt;"g",$K179&lt;&gt;"k")),1,IF(AND($E179&lt;&gt;0,$F179&gt;0,YEAR($F179)&lt;Preisindex!$A$6,YEAR(CD$4)&gt;=YEAR($F179),$K179="a"),ROUND(VLOOKUP(CI$4,Preisindex,5,FALSE)/VLOOKUP(Preisindex!$A$6,Preisindex,5,FALSE),2),IF(AND($E179&lt;&gt;0,$F179&gt;0,YEAR($F179)&lt;Preisindex!$A$6,YEAR(CD$4)&gt;=YEAR($F179),$K179="b"),ROUND(VLOOKUP(CI$4,Preisindex,3,FALSE)/VLOOKUP(Preisindex!$A$6,Preisindex,3,FALSE),2),IF(AND($E179&lt;&gt;0,$F179&gt;0,YEAR($F179)&lt;Preisindex!$A$6,YEAR(CD$4)&gt;=YEAR($F179),$K179="g"),ROUND(VLOOKUP(CI$4,Preisindex,4,FALSE)/VLOOKUP(Preisindex!$A$6,Preisindex,4,FALSE),2),IF(AND($E179&lt;&gt;0,$F179&gt;0,YEAR($F179)&lt;Preisindex!$A$6,YEAR(CD$4)&gt;=YEAR($F179),$K179="k"),ROUND(VLOOKUP(CI$4,Preisindex,2,FALSE)/VLOOKUP(Preisindex!$A$6,Preisindex,2,FALSE),2),0)))))</f>
        <v>0</v>
      </c>
      <c r="CK179" s="51">
        <f>IF(AND($E179&lt;&gt;0,$F179&gt;0,YEAR($F179)&lt;=CI$4,YEAR($F179)&gt;=Preisindex!$A$6),ROUND($E179*CI179,2),IF(AND($E179&lt;&gt;0,$F179&gt;0,YEAR($F179)&lt;=CI$4,YEAR($F179)&lt;Preisindex!$A$6),ROUND($E179*CJ179,2),0))</f>
        <v>0</v>
      </c>
      <c r="CL179" s="53">
        <f t="shared" si="516"/>
        <v>0</v>
      </c>
      <c r="CM179" s="51">
        <f t="shared" si="619"/>
        <v>0</v>
      </c>
      <c r="CN179" s="51">
        <f t="shared" si="594"/>
        <v>0</v>
      </c>
      <c r="CO179" s="51">
        <f t="shared" si="517"/>
        <v>0</v>
      </c>
      <c r="CP179" s="51">
        <f t="shared" si="595"/>
        <v>0</v>
      </c>
      <c r="CQ179" s="51">
        <f t="shared" si="518"/>
        <v>0</v>
      </c>
      <c r="CR179" s="51">
        <f t="shared" si="596"/>
        <v>0</v>
      </c>
      <c r="CS179" s="51">
        <f t="shared" si="519"/>
        <v>0</v>
      </c>
      <c r="CT179" s="51">
        <f t="shared" si="597"/>
        <v>0</v>
      </c>
      <c r="CU179" s="51">
        <f t="shared" si="520"/>
        <v>0</v>
      </c>
      <c r="CV179" s="51">
        <f t="shared" si="598"/>
        <v>0</v>
      </c>
      <c r="CW179" s="51">
        <f t="shared" si="521"/>
        <v>0</v>
      </c>
      <c r="CX179" s="54">
        <f t="shared" si="522"/>
        <v>0</v>
      </c>
      <c r="CY179" s="55">
        <f t="shared" si="523"/>
        <v>0</v>
      </c>
      <c r="CZ179" s="56">
        <f>IF(AND($E179&lt;&gt;0,$F179&gt;0,YEAR($F179)&gt;=Preisindex!$A$6,YEAR(CU$4)&gt;=YEAR($F179),AND($K179&lt;&gt;"a",$K179&lt;&gt;"b",$K179&lt;&gt;"g",$K179&lt;&gt;"k")),1,IF(AND($E179&lt;&gt;0,$F179&gt;0,YEAR($F179)&gt;=Preisindex!$A$6,YEAR(CU$4)&gt;=YEAR($F179),$K179="a"),ROUND(VLOOKUP(CZ$4,Preisindex,5,FALSE)/VLOOKUP(YEAR($F179),Preisindex,5,FALSE),2),IF(AND($E179&lt;&gt;0,$F179&gt;0,YEAR($F179)&gt;=Preisindex!$A$6,YEAR(CU$4)&gt;=YEAR($F179),$K179="b"),ROUND(VLOOKUP(CZ$4,Preisindex,3,FALSE)/VLOOKUP(YEAR($F179),Preisindex,3,FALSE),2),IF(AND($E179&lt;&gt;0,$F179&gt;0,YEAR($F179)&gt;=Preisindex!$A$6,YEAR(CU$4)&gt;=YEAR($F179),$K179="g"),ROUND(VLOOKUP(CZ$4,Preisindex,4,FALSE)/VLOOKUP(YEAR($F179),Preisindex,4,FALSE),2),IF(AND($E179&lt;&gt;0,$F179&gt;0,YEAR($F179)&gt;=Preisindex!$A$6,YEAR(CU$4)&gt;=YEAR($F179),$K179="k"),ROUND(VLOOKUP(CZ$4,Preisindex,2,FALSE)/VLOOKUP(YEAR($F179),Preisindex,2,FALSE),2),0)))))</f>
        <v>0</v>
      </c>
      <c r="DA179" s="56">
        <f>IF(AND($E179&lt;&gt;0,$F179&gt;0,YEAR($F179)&lt;Preisindex!$A$6,YEAR(CU$4)&gt;=YEAR($F179),AND($K179&lt;&gt;"a",$K179&lt;&gt;"b",$K179&lt;&gt;"g",$K179&lt;&gt;"k")),1,IF(AND($E179&lt;&gt;0,$F179&gt;0,YEAR($F179)&lt;Preisindex!$A$6,YEAR(CU$4)&gt;=YEAR($F179),$K179="a"),ROUND(VLOOKUP(CZ$4,Preisindex,5,FALSE)/VLOOKUP(Preisindex!$A$6,Preisindex,5,FALSE),2),IF(AND($E179&lt;&gt;0,$F179&gt;0,YEAR($F179)&lt;Preisindex!$A$6,YEAR(CU$4)&gt;=YEAR($F179),$K179="b"),ROUND(VLOOKUP(CZ$4,Preisindex,3,FALSE)/VLOOKUP(Preisindex!$A$6,Preisindex,3,FALSE),2),IF(AND($E179&lt;&gt;0,$F179&gt;0,YEAR($F179)&lt;Preisindex!$A$6,YEAR(CU$4)&gt;=YEAR($F179),$K179="g"),ROUND(VLOOKUP(CZ$4,Preisindex,4,FALSE)/VLOOKUP(Preisindex!$A$6,Preisindex,4,FALSE),2),IF(AND($E179&lt;&gt;0,$F179&gt;0,YEAR($F179)&lt;Preisindex!$A$6,YEAR(CU$4)&gt;=YEAR($F179),$K179="k"),ROUND(VLOOKUP(CZ$4,Preisindex,2,FALSE)/VLOOKUP(Preisindex!$A$6,Preisindex,2,FALSE),2),0)))))</f>
        <v>0</v>
      </c>
      <c r="DB179" s="51">
        <f>IF(AND($E179&lt;&gt;0,$F179&gt;0,YEAR($F179)&lt;=CZ$4,YEAR($F179)&gt;=Preisindex!$A$6),ROUND($E179*CZ179,2),IF(AND($E179&lt;&gt;0,$F179&gt;0,YEAR($F179)&lt;=CZ$4,YEAR($F179)&lt;Preisindex!$A$6),ROUND($E179*DA179,2),0))</f>
        <v>0</v>
      </c>
      <c r="DC179" s="53">
        <f t="shared" si="524"/>
        <v>0</v>
      </c>
      <c r="DD179" s="51">
        <f t="shared" si="620"/>
        <v>0</v>
      </c>
      <c r="DE179" s="51">
        <f t="shared" si="599"/>
        <v>0</v>
      </c>
      <c r="DF179" s="51">
        <f t="shared" si="526"/>
        <v>0</v>
      </c>
      <c r="DG179" s="51">
        <f t="shared" si="600"/>
        <v>0</v>
      </c>
      <c r="DH179" s="51">
        <f t="shared" si="527"/>
        <v>0</v>
      </c>
      <c r="DI179" s="51">
        <f t="shared" si="601"/>
        <v>0</v>
      </c>
      <c r="DJ179" s="51">
        <f t="shared" si="528"/>
        <v>0</v>
      </c>
      <c r="DK179" s="51">
        <f t="shared" si="602"/>
        <v>0</v>
      </c>
      <c r="DL179" s="51">
        <f t="shared" si="529"/>
        <v>0</v>
      </c>
      <c r="DM179" s="51">
        <f t="shared" si="603"/>
        <v>0</v>
      </c>
      <c r="DN179" s="51">
        <f t="shared" si="530"/>
        <v>0</v>
      </c>
      <c r="DO179" s="54">
        <f t="shared" si="531"/>
        <v>0</v>
      </c>
      <c r="DP179" s="55">
        <f t="shared" si="532"/>
        <v>0</v>
      </c>
      <c r="DQ179" s="56">
        <f>IF(AND($E179&lt;&gt;0,$F179&gt;0,YEAR($F179)&gt;=Preisindex!$A$6,YEAR(DL$4)&gt;=YEAR($F179),AND($K179&lt;&gt;"a",$K179&lt;&gt;"b",$K179&lt;&gt;"g",$K179&lt;&gt;"k")),1,IF(AND($E179&lt;&gt;0,$F179&gt;0,YEAR($F179)&gt;=Preisindex!$A$6,YEAR(DL$4)&gt;=YEAR($F179),$K179="a"),ROUND(VLOOKUP(DQ$4,Preisindex,5,FALSE)/VLOOKUP(YEAR($F179),Preisindex,5,FALSE),2),IF(AND($E179&lt;&gt;0,$F179&gt;0,YEAR($F179)&gt;=Preisindex!$A$6,YEAR(DL$4)&gt;=YEAR($F179),$K179="b"),ROUND(VLOOKUP(DQ$4,Preisindex,3,FALSE)/VLOOKUP(YEAR($F179),Preisindex,3,FALSE),2),IF(AND($E179&lt;&gt;0,$F179&gt;0,YEAR($F179)&gt;=Preisindex!$A$6,YEAR(DL$4)&gt;=YEAR($F179),$K179="g"),ROUND(VLOOKUP(DQ$4,Preisindex,4,FALSE)/VLOOKUP(YEAR($F179),Preisindex,4,FALSE),2),IF(AND($E179&lt;&gt;0,$F179&gt;0,YEAR($F179)&gt;=Preisindex!$A$6,YEAR(DL$4)&gt;=YEAR($F179),$K179="k"),ROUND(VLOOKUP(DQ$4,Preisindex,2,FALSE)/VLOOKUP(YEAR($F179),Preisindex,2,FALSE),2),0)))))</f>
        <v>0</v>
      </c>
      <c r="DR179" s="56">
        <f>IF(AND($E179&lt;&gt;0,$F179&gt;0,YEAR($F179)&lt;Preisindex!$A$6,YEAR(DL$4)&gt;=YEAR($F179),AND($K179&lt;&gt;"a",$K179&lt;&gt;"b",$K179&lt;&gt;"g",$K179&lt;&gt;"k")),1,IF(AND($E179&lt;&gt;0,$F179&gt;0,YEAR($F179)&lt;Preisindex!$A$6,YEAR(DL$4)&gt;=YEAR($F179),$K179="a"),ROUND(VLOOKUP(DQ$4,Preisindex,5,FALSE)/VLOOKUP(Preisindex!$A$6,Preisindex,5,FALSE),2),IF(AND($E179&lt;&gt;0,$F179&gt;0,YEAR($F179)&lt;Preisindex!$A$6,YEAR(DL$4)&gt;=YEAR($F179),$K179="b"),ROUND(VLOOKUP(DQ$4,Preisindex,3,FALSE)/VLOOKUP(Preisindex!$A$6,Preisindex,3,FALSE),2),IF(AND($E179&lt;&gt;0,$F179&gt;0,YEAR($F179)&lt;Preisindex!$A$6,YEAR(DL$4)&gt;=YEAR($F179),$K179="g"),ROUND(VLOOKUP(DQ$4,Preisindex,4,FALSE)/VLOOKUP(Preisindex!$A$6,Preisindex,4,FALSE),2),IF(AND($E179&lt;&gt;0,$F179&gt;0,YEAR($F179)&lt;Preisindex!$A$6,YEAR(DL$4)&gt;=YEAR($F179),$K179="k"),ROUND(VLOOKUP(DQ$4,Preisindex,2,FALSE)/VLOOKUP(Preisindex!$A$6,Preisindex,2,FALSE),2),0)))))</f>
        <v>0</v>
      </c>
      <c r="DS179" s="51">
        <f>IF(AND($E179&lt;&gt;0,$F179&gt;0,YEAR($F179)&lt;=DQ$4,YEAR($F179)&gt;=Preisindex!$A$6),ROUND($E179*DQ179,2),IF(AND($E179&lt;&gt;0,$F179&gt;0,YEAR($F179)&lt;=DQ$4,YEAR($F179)&lt;Preisindex!$A$6),ROUND($E179*DR179,2),0))</f>
        <v>0</v>
      </c>
      <c r="DT179" s="53">
        <f t="shared" si="533"/>
        <v>0</v>
      </c>
      <c r="DU179" s="51">
        <f t="shared" si="620"/>
        <v>0</v>
      </c>
      <c r="DV179" s="51">
        <f t="shared" si="604"/>
        <v>0</v>
      </c>
      <c r="DW179" s="51">
        <f t="shared" si="534"/>
        <v>0</v>
      </c>
      <c r="DX179" s="51">
        <f t="shared" si="605"/>
        <v>0</v>
      </c>
      <c r="DY179" s="51">
        <f t="shared" si="535"/>
        <v>0</v>
      </c>
      <c r="DZ179" s="51">
        <f t="shared" si="606"/>
        <v>0</v>
      </c>
      <c r="EA179" s="51">
        <f t="shared" si="536"/>
        <v>0</v>
      </c>
      <c r="EB179" s="51">
        <f t="shared" si="607"/>
        <v>0</v>
      </c>
      <c r="EC179" s="51">
        <f t="shared" si="537"/>
        <v>0</v>
      </c>
      <c r="ED179" s="51">
        <f t="shared" si="608"/>
        <v>0</v>
      </c>
      <c r="EE179" s="51">
        <f t="shared" si="538"/>
        <v>0</v>
      </c>
      <c r="EF179" s="54">
        <f t="shared" si="539"/>
        <v>0</v>
      </c>
      <c r="EG179" s="55">
        <f t="shared" si="540"/>
        <v>0</v>
      </c>
      <c r="EH179" s="56">
        <f>IF(AND($E179&lt;&gt;0,$F179&gt;0,YEAR($F179)&gt;=Preisindex!$A$6,YEAR(EC$4)&gt;=YEAR($F179),AND($K179&lt;&gt;"a",$K179&lt;&gt;"b",$K179&lt;&gt;"g",$K179&lt;&gt;"k")),1,IF(AND($E179&lt;&gt;0,$F179&gt;0,YEAR($F179)&gt;=Preisindex!$A$6,YEAR(EC$4)&gt;=YEAR($F179),$K179="a"),ROUND(VLOOKUP(EH$4,Preisindex,5,FALSE)/VLOOKUP(YEAR($F179),Preisindex,5,FALSE),2),IF(AND($E179&lt;&gt;0,$F179&gt;0,YEAR($F179)&gt;=Preisindex!$A$6,YEAR(EC$4)&gt;=YEAR($F179),$K179="b"),ROUND(VLOOKUP(EH$4,Preisindex,3,FALSE)/VLOOKUP(YEAR($F179),Preisindex,3,FALSE),2),IF(AND($E179&lt;&gt;0,$F179&gt;0,YEAR($F179)&gt;=Preisindex!$A$6,YEAR(EC$4)&gt;=YEAR($F179),$K179="g"),ROUND(VLOOKUP(EH$4,Preisindex,4,FALSE)/VLOOKUP(YEAR($F179),Preisindex,4,FALSE),2),IF(AND($E179&lt;&gt;0,$F179&gt;0,YEAR($F179)&gt;=Preisindex!$A$6,YEAR(EC$4)&gt;=YEAR($F179),$K179="k"),ROUND(VLOOKUP(EH$4,Preisindex,2,FALSE)/VLOOKUP(YEAR($F179),Preisindex,2,FALSE),2),0)))))</f>
        <v>0</v>
      </c>
      <c r="EI179" s="56">
        <f>IF(AND($E179&lt;&gt;0,$F179&gt;0,YEAR($F179)&lt;Preisindex!$A$6,YEAR(EC$4)&gt;=YEAR($F179),AND($K179&lt;&gt;"a",$K179&lt;&gt;"b",$K179&lt;&gt;"g",$K179&lt;&gt;"k")),1,IF(AND($E179&lt;&gt;0,$F179&gt;0,YEAR($F179)&lt;Preisindex!$A$6,YEAR(EC$4)&gt;=YEAR($F179),$K179="a"),ROUND(VLOOKUP(EH$4,Preisindex,5,FALSE)/VLOOKUP(Preisindex!$A$6,Preisindex,5,FALSE),2),IF(AND($E179&lt;&gt;0,$F179&gt;0,YEAR($F179)&lt;Preisindex!$A$6,YEAR(EC$4)&gt;=YEAR($F179),$K179="b"),ROUND(VLOOKUP(EH$4,Preisindex,3,FALSE)/VLOOKUP(Preisindex!$A$6,Preisindex,3,FALSE),2),IF(AND($E179&lt;&gt;0,$F179&gt;0,YEAR($F179)&lt;Preisindex!$A$6,YEAR(EC$4)&gt;=YEAR($F179),$K179="g"),ROUND(VLOOKUP(EH$4,Preisindex,4,FALSE)/VLOOKUP(Preisindex!$A$6,Preisindex,4,FALSE),2),IF(AND($E179&lt;&gt;0,$F179&gt;0,YEAR($F179)&lt;Preisindex!$A$6,YEAR(EC$4)&gt;=YEAR($F179),$K179="k"),ROUND(VLOOKUP(EH$4,Preisindex,2,FALSE)/VLOOKUP(Preisindex!$A$6,Preisindex,2,FALSE),2),0)))))</f>
        <v>0</v>
      </c>
      <c r="EJ179" s="51">
        <f>IF(AND($E179&lt;&gt;0,$F179&gt;0,YEAR($F179)&lt;=EH$4,YEAR($F179)&gt;=Preisindex!$A$6),ROUND($E179*EH179,2),IF(AND($E179&lt;&gt;0,$F179&gt;0,YEAR($F179)&lt;=EH$4,YEAR($F179)&lt;Preisindex!$A$6),ROUND($E179*EI179,2),0))</f>
        <v>0</v>
      </c>
      <c r="EK179" s="53">
        <f t="shared" si="541"/>
        <v>0</v>
      </c>
      <c r="EL179" s="51">
        <f t="shared" si="620"/>
        <v>0</v>
      </c>
      <c r="EM179" s="51">
        <f t="shared" si="609"/>
        <v>0</v>
      </c>
      <c r="EN179" s="51">
        <f t="shared" si="542"/>
        <v>0</v>
      </c>
      <c r="EO179" s="51">
        <f t="shared" si="610"/>
        <v>0</v>
      </c>
      <c r="EP179" s="51">
        <f t="shared" si="543"/>
        <v>0</v>
      </c>
      <c r="EQ179" s="51">
        <f t="shared" si="611"/>
        <v>0</v>
      </c>
      <c r="ER179" s="51">
        <f t="shared" si="544"/>
        <v>0</v>
      </c>
      <c r="ES179" s="51">
        <f t="shared" si="612"/>
        <v>0</v>
      </c>
      <c r="ET179" s="51">
        <f t="shared" si="545"/>
        <v>0</v>
      </c>
      <c r="EU179" s="51">
        <f t="shared" si="613"/>
        <v>0</v>
      </c>
      <c r="EV179" s="51">
        <f t="shared" si="546"/>
        <v>0</v>
      </c>
      <c r="EW179" s="54">
        <f t="shared" si="547"/>
        <v>0</v>
      </c>
      <c r="EX179" s="55">
        <f t="shared" si="548"/>
        <v>0</v>
      </c>
      <c r="EY179" s="56">
        <f>IF(AND($E179&lt;&gt;0,$F179&gt;0,YEAR($F179)&gt;=Preisindex!$A$6,YEAR(ET$4)&gt;=YEAR($F179),AND($K179&lt;&gt;"a",$K179&lt;&gt;"b",$K179&lt;&gt;"g",$K179&lt;&gt;"k")),1,IF(AND($E179&lt;&gt;0,$F179&gt;0,YEAR($F179)&gt;=Preisindex!$A$6,YEAR(ET$4)&gt;=YEAR($F179),$K179="a"),ROUND(VLOOKUP(EY$4,Preisindex,5,FALSE)/VLOOKUP(YEAR($F179),Preisindex,5,FALSE),2),IF(AND($E179&lt;&gt;0,$F179&gt;0,YEAR($F179)&gt;=Preisindex!$A$6,YEAR(ET$4)&gt;=YEAR($F179),$K179="b"),ROUND(VLOOKUP(EY$4,Preisindex,3,FALSE)/VLOOKUP(YEAR($F179),Preisindex,3,FALSE),2),IF(AND($E179&lt;&gt;0,$F179&gt;0,YEAR($F179)&gt;=Preisindex!$A$6,YEAR(ET$4)&gt;=YEAR($F179),$K179="g"),ROUND(VLOOKUP(EY$4,Preisindex,4,FALSE)/VLOOKUP(YEAR($F179),Preisindex,4,FALSE),2),IF(AND($E179&lt;&gt;0,$F179&gt;0,YEAR($F179)&gt;=Preisindex!$A$6,YEAR(ET$4)&gt;=YEAR($F179),$K179="k"),ROUND(VLOOKUP(EY$4,Preisindex,2,FALSE)/VLOOKUP(YEAR($F179),Preisindex,2,FALSE),2),0)))))</f>
        <v>0</v>
      </c>
      <c r="EZ179" s="56">
        <f>IF(AND($E179&lt;&gt;0,$F179&gt;0,YEAR($F179)&lt;Preisindex!$A$6,YEAR(ET$4)&gt;=YEAR($F179),AND($K179&lt;&gt;"a",$K179&lt;&gt;"b",$K179&lt;&gt;"g",$K179&lt;&gt;"k")),1,IF(AND($E179&lt;&gt;0,$F179&gt;0,YEAR($F179)&lt;Preisindex!$A$6,YEAR(ET$4)&gt;=YEAR($F179),$K179="a"),ROUND(VLOOKUP(EY$4,Preisindex,5,FALSE)/VLOOKUP(Preisindex!$A$6,Preisindex,5,FALSE),2),IF(AND($E179&lt;&gt;0,$F179&gt;0,YEAR($F179)&lt;Preisindex!$A$6,YEAR(ET$4)&gt;=YEAR($F179),$K179="b"),ROUND(VLOOKUP(EY$4,Preisindex,3,FALSE)/VLOOKUP(Preisindex!$A$6,Preisindex,3,FALSE),2),IF(AND($E179&lt;&gt;0,$F179&gt;0,YEAR($F179)&lt;Preisindex!$A$6,YEAR(ET$4)&gt;=YEAR($F179),$K179="g"),ROUND(VLOOKUP(EY$4,Preisindex,4,FALSE)/VLOOKUP(Preisindex!$A$6,Preisindex,4,FALSE),2),IF(AND($E179&lt;&gt;0,$F179&gt;0,YEAR($F179)&lt;Preisindex!$A$6,YEAR(ET$4)&gt;=YEAR($F179),$K179="k"),ROUND(VLOOKUP(EY$4,Preisindex,2,FALSE)/VLOOKUP(Preisindex!$A$6,Preisindex,2,FALSE),2),0)))))</f>
        <v>0</v>
      </c>
      <c r="FA179" s="51">
        <f>IF(AND($E179&lt;&gt;0,$F179&gt;0,YEAR($F179)&lt;=EY$4,YEAR($F179)&gt;=Preisindex!$A$6),ROUND($E179*EY179,2),IF(AND($E179&lt;&gt;0,$F179&gt;0,YEAR($F179)&lt;=EY$4,YEAR($F179)&lt;Preisindex!$A$6),ROUND($E179*EZ179,2),0))</f>
        <v>0</v>
      </c>
      <c r="FB179" s="53">
        <f t="shared" si="549"/>
        <v>0</v>
      </c>
      <c r="FC179" s="51">
        <f t="shared" si="620"/>
        <v>0</v>
      </c>
      <c r="FD179" s="51">
        <f t="shared" si="614"/>
        <v>0</v>
      </c>
      <c r="FE179" s="51">
        <f t="shared" si="550"/>
        <v>0</v>
      </c>
      <c r="FF179" s="51">
        <f t="shared" si="615"/>
        <v>0</v>
      </c>
      <c r="FG179" s="51">
        <f t="shared" si="551"/>
        <v>0</v>
      </c>
      <c r="FH179" s="51">
        <f t="shared" si="616"/>
        <v>0</v>
      </c>
      <c r="FI179" s="51">
        <f t="shared" si="552"/>
        <v>0</v>
      </c>
      <c r="FJ179" s="51">
        <f t="shared" si="617"/>
        <v>0</v>
      </c>
      <c r="FK179" s="51">
        <f t="shared" si="553"/>
        <v>0</v>
      </c>
      <c r="FL179" s="51">
        <f t="shared" si="618"/>
        <v>0</v>
      </c>
      <c r="FM179" s="51">
        <f t="shared" si="554"/>
        <v>0</v>
      </c>
      <c r="FN179" s="54">
        <f t="shared" si="555"/>
        <v>0</v>
      </c>
      <c r="FO179" s="55">
        <f t="shared" si="556"/>
        <v>0</v>
      </c>
      <c r="FP179" s="56">
        <f>IF(AND($E179&lt;&gt;0,$F179&gt;0,YEAR($F179)&gt;=Preisindex!$A$6,YEAR(FK$4)&gt;=YEAR($F179),AND($K179&lt;&gt;"a",$K179&lt;&gt;"b",$K179&lt;&gt;"g",$K179&lt;&gt;"k")),1,IF(AND($E179&lt;&gt;0,$F179&gt;0,YEAR($F179)&gt;=Preisindex!$A$6,YEAR(FK$4)&gt;=YEAR($F179),$K179="a"),ROUND(VLOOKUP(FP$4,Preisindex,5,FALSE)/VLOOKUP(YEAR($F179),Preisindex,5,FALSE),2),IF(AND($E179&lt;&gt;0,$F179&gt;0,YEAR($F179)&gt;=Preisindex!$A$6,YEAR(FK$4)&gt;=YEAR($F179),$K179="b"),ROUND(VLOOKUP(FP$4,Preisindex,3,FALSE)/VLOOKUP(YEAR($F179),Preisindex,3,FALSE),2),IF(AND($E179&lt;&gt;0,$F179&gt;0,YEAR($F179)&gt;=Preisindex!$A$6,YEAR(FK$4)&gt;=YEAR($F179),$K179="g"),ROUND(VLOOKUP(FP$4,Preisindex,4,FALSE)/VLOOKUP(YEAR($F179),Preisindex,4,FALSE),2),IF(AND($E179&lt;&gt;0,$F179&gt;0,YEAR($F179)&gt;=Preisindex!$A$6,YEAR(FK$4)&gt;=YEAR($F179),$K179="k"),ROUND(VLOOKUP(FP$4,Preisindex,2,FALSE)/VLOOKUP(YEAR($F179),Preisindex,2,FALSE),2),0)))))</f>
        <v>0</v>
      </c>
      <c r="FQ179" s="56">
        <f>IF(AND($E179&lt;&gt;0,$F179&gt;0,YEAR($F179)&lt;Preisindex!$A$6,YEAR(FK$4)&gt;=YEAR($F179),AND($K179&lt;&gt;"a",$K179&lt;&gt;"b",$K179&lt;&gt;"g",$K179&lt;&gt;"k")),1,IF(AND($E179&lt;&gt;0,$F179&gt;0,YEAR($F179)&lt;Preisindex!$A$6,YEAR(FK$4)&gt;=YEAR($F179),$K179="a"),ROUND(VLOOKUP(FP$4,Preisindex,5,FALSE)/VLOOKUP(Preisindex!$A$6,Preisindex,5,FALSE),2),IF(AND($E179&lt;&gt;0,$F179&gt;0,YEAR($F179)&lt;Preisindex!$A$6,YEAR(FK$4)&gt;=YEAR($F179),$K179="b"),ROUND(VLOOKUP(FP$4,Preisindex,3,FALSE)/VLOOKUP(Preisindex!$A$6,Preisindex,3,FALSE),2),IF(AND($E179&lt;&gt;0,$F179&gt;0,YEAR($F179)&lt;Preisindex!$A$6,YEAR(FK$4)&gt;=YEAR($F179),$K179="g"),ROUND(VLOOKUP(FP$4,Preisindex,4,FALSE)/VLOOKUP(Preisindex!$A$6,Preisindex,4,FALSE),2),IF(AND($E179&lt;&gt;0,$F179&gt;0,YEAR($F179)&lt;Preisindex!$A$6,YEAR(FK$4)&gt;=YEAR($F179),$K179="k"),ROUND(VLOOKUP(FP$4,Preisindex,2,FALSE)/VLOOKUP(Preisindex!$A$6,Preisindex,2,FALSE),2),0)))))</f>
        <v>0</v>
      </c>
      <c r="FR179" s="51">
        <f>IF(AND($E179&lt;&gt;0,$F179&gt;0,YEAR($F179)&lt;=FP$4,YEAR($F179)&gt;=Preisindex!$A$6),ROUND($E179*FP179,2),IF(AND($E179&lt;&gt;0,$F179&gt;0,YEAR($F179)&lt;=FP$4,YEAR($F179)&lt;Preisindex!$A$6),ROUND($E179*FQ179,2),0))</f>
        <v>0</v>
      </c>
      <c r="FS179" s="53">
        <f t="shared" si="557"/>
        <v>0</v>
      </c>
    </row>
    <row r="180" spans="1:175" x14ac:dyDescent="0.3">
      <c r="A180" s="93"/>
      <c r="B180" s="94"/>
      <c r="C180" s="94"/>
      <c r="D180" s="95"/>
      <c r="E180" s="99"/>
      <c r="F180" s="97"/>
      <c r="G180" s="98"/>
      <c r="H180" s="620"/>
      <c r="I180" s="621"/>
      <c r="J180" s="194"/>
      <c r="K180" s="630"/>
      <c r="L180" s="49">
        <f t="shared" si="558"/>
        <v>0</v>
      </c>
      <c r="M180" s="50">
        <f t="shared" si="559"/>
        <v>0</v>
      </c>
      <c r="N180" s="51">
        <f t="shared" si="560"/>
        <v>0</v>
      </c>
      <c r="O180" s="51"/>
      <c r="P180" s="51">
        <f t="shared" si="561"/>
        <v>0</v>
      </c>
      <c r="Q180" s="52"/>
      <c r="R180" s="52"/>
      <c r="S180" s="52"/>
      <c r="T180" s="52"/>
      <c r="U180" s="52"/>
      <c r="V180" s="53">
        <f t="shared" si="562"/>
        <v>0</v>
      </c>
      <c r="W180" s="51">
        <f t="shared" si="563"/>
        <v>0</v>
      </c>
      <c r="X180" s="51">
        <f t="shared" si="564"/>
        <v>0</v>
      </c>
      <c r="Y180" s="51">
        <f t="shared" si="565"/>
        <v>0</v>
      </c>
      <c r="Z180" s="51">
        <f t="shared" si="566"/>
        <v>0</v>
      </c>
      <c r="AA180" s="51">
        <f t="shared" si="567"/>
        <v>0</v>
      </c>
      <c r="AB180" s="51">
        <f t="shared" si="568"/>
        <v>0</v>
      </c>
      <c r="AC180" s="51">
        <f t="shared" si="569"/>
        <v>0</v>
      </c>
      <c r="AD180" s="51">
        <f t="shared" si="570"/>
        <v>0</v>
      </c>
      <c r="AE180" s="51">
        <f t="shared" si="571"/>
        <v>0</v>
      </c>
      <c r="AF180" s="51">
        <f t="shared" si="572"/>
        <v>0</v>
      </c>
      <c r="AG180" s="51">
        <f t="shared" si="573"/>
        <v>0</v>
      </c>
      <c r="AH180" s="54">
        <f t="shared" si="574"/>
        <v>0</v>
      </c>
      <c r="AI180" s="55">
        <f t="shared" si="575"/>
        <v>0</v>
      </c>
      <c r="AJ180" s="56">
        <f>IF(AND($E180&lt;&gt;0,$F180&gt;0,YEAR($F180)&gt;=Preisindex!$A$6,YEAR(AE$4)&gt;=YEAR($F180),AND($K180&lt;&gt;"a",$K180&lt;&gt;"b",$K180&lt;&gt;"g",$K180&lt;&gt;"k")),1,IF(AND($E180&lt;&gt;0,$F180&gt;0,YEAR($F180)&gt;=Preisindex!$A$6,YEAR(AE$4)&gt;=YEAR($F180),$K180="a"),ROUND(VLOOKUP(AJ$4,Preisindex,5,FALSE)/VLOOKUP(YEAR($F180),Preisindex,5,FALSE),2),IF(AND($E180&lt;&gt;0,$F180&gt;0,YEAR($F180)&gt;=Preisindex!$A$6,YEAR(AE$4)&gt;=YEAR($F180),$K180="b"),ROUND(VLOOKUP(AJ$4,Preisindex,3,FALSE)/VLOOKUP(YEAR($F180),Preisindex,3,FALSE),2),IF(AND($E180&lt;&gt;0,$F180&gt;0,YEAR($F180)&gt;=Preisindex!$A$6,YEAR(AE$4)&gt;=YEAR($F180),$K180="g"),ROUND(VLOOKUP(AJ$4,Preisindex,4,FALSE)/VLOOKUP(YEAR($F180),Preisindex,4,FALSE),2),IF(AND($E180&lt;&gt;0,$F180&gt;0,YEAR($F180)&gt;=Preisindex!$A$6,YEAR(AE$4)&gt;=YEAR($F180),$K180="k"),ROUND(VLOOKUP(AJ$4,Preisindex,2,FALSE)/VLOOKUP(YEAR($F180),Preisindex,2,FALSE),2),0)))))</f>
        <v>0</v>
      </c>
      <c r="AK180" s="56">
        <f>IF(AND($E180&lt;&gt;0,$F180&gt;0,YEAR($F180)&lt;Preisindex!$A$6,YEAR(AE$4)&gt;=YEAR($F180),AND($K180&lt;&gt;"a",$K180&lt;&gt;"b",$K180&lt;&gt;"g",$K180&lt;&gt;"k")),1,IF(AND($E180&lt;&gt;0,$F180&gt;0,YEAR($F180)&lt;Preisindex!$A$6,YEAR(AE$4)&gt;=YEAR($F180),$K180="a"),ROUND(VLOOKUP(AJ$4,Preisindex,5,FALSE)/VLOOKUP(Preisindex!$A$6,Preisindex,5,FALSE),2),IF(AND($E180&lt;&gt;0,$F180&gt;0,YEAR($F180)&lt;Preisindex!$A$6,YEAR(AE$4)&gt;=YEAR($F180),$K180="b"),ROUND(VLOOKUP(AJ$4,Preisindex,3,FALSE)/VLOOKUP(Preisindex!$A$6,Preisindex,3,FALSE),2),IF(AND($E180&lt;&gt;0,$F180&gt;0,YEAR($F180)&lt;Preisindex!$A$6,YEAR(AE$4)&gt;=YEAR($F180),$K180="g"),ROUND(VLOOKUP(AJ$4,Preisindex,4,FALSE)/VLOOKUP(Preisindex!$A$6,Preisindex,4,FALSE),2),IF(AND($E180&lt;&gt;0,$F180&gt;0,YEAR($F180)&lt;Preisindex!$A$6,YEAR(AE$4)&gt;=YEAR($F180),$K180="k"),ROUND(VLOOKUP(AJ$4,Preisindex,2,FALSE)/VLOOKUP(Preisindex!$A$6,Preisindex,2,FALSE),2),0)))))</f>
        <v>0</v>
      </c>
      <c r="AL180" s="51">
        <f>IF(AND($E180&lt;&gt;0,$F180&gt;0,YEAR($F180)&lt;=AJ$4,YEAR($F180)&gt;=Preisindex!$A$6),ROUND($E180*AJ180,2),IF(AND($E180&lt;&gt;0,$F180&gt;0,YEAR($F180)&lt;=AJ$4,YEAR($F180)&lt;Preisindex!$A$6),ROUND($E180*AK180,2),0))</f>
        <v>0</v>
      </c>
      <c r="AM180" s="53">
        <f t="shared" si="576"/>
        <v>0</v>
      </c>
      <c r="AN180" s="51">
        <f t="shared" si="619"/>
        <v>0</v>
      </c>
      <c r="AO180" s="51">
        <f t="shared" si="579"/>
        <v>0</v>
      </c>
      <c r="AP180" s="51">
        <f t="shared" si="493"/>
        <v>0</v>
      </c>
      <c r="AQ180" s="51">
        <f t="shared" si="580"/>
        <v>0</v>
      </c>
      <c r="AR180" s="51">
        <f t="shared" si="494"/>
        <v>0</v>
      </c>
      <c r="AS180" s="51">
        <f t="shared" si="581"/>
        <v>0</v>
      </c>
      <c r="AT180" s="51">
        <f t="shared" si="495"/>
        <v>0</v>
      </c>
      <c r="AU180" s="51">
        <f t="shared" si="582"/>
        <v>0</v>
      </c>
      <c r="AV180" s="51">
        <f t="shared" si="496"/>
        <v>0</v>
      </c>
      <c r="AW180" s="51">
        <f t="shared" si="583"/>
        <v>0</v>
      </c>
      <c r="AX180" s="51">
        <f t="shared" si="497"/>
        <v>0</v>
      </c>
      <c r="AY180" s="54">
        <f t="shared" si="498"/>
        <v>0</v>
      </c>
      <c r="AZ180" s="55">
        <f t="shared" si="499"/>
        <v>0</v>
      </c>
      <c r="BA180" s="56">
        <f>IF(AND($E180&lt;&gt;0,$F180&gt;0,YEAR($F180)&gt;=Preisindex!$A$6,YEAR(AV$4)&gt;=YEAR($F180),AND($K180&lt;&gt;"a",$K180&lt;&gt;"b",$K180&lt;&gt;"g",$K180&lt;&gt;"k")),1,IF(AND($E180&lt;&gt;0,$F180&gt;0,YEAR($F180)&gt;=Preisindex!$A$6,YEAR(AV$4)&gt;=YEAR($F180),$K180="a"),ROUND(VLOOKUP(BA$4,Preisindex,5,FALSE)/VLOOKUP(YEAR($F180),Preisindex,5,FALSE),2),IF(AND($E180&lt;&gt;0,$F180&gt;0,YEAR($F180)&gt;=Preisindex!$A$6,YEAR(AV$4)&gt;=YEAR($F180),$K180="b"),ROUND(VLOOKUP(BA$4,Preisindex,3,FALSE)/VLOOKUP(YEAR($F180),Preisindex,3,FALSE),2),IF(AND($E180&lt;&gt;0,$F180&gt;0,YEAR($F180)&gt;=Preisindex!$A$6,YEAR(AV$4)&gt;=YEAR($F180),$K180="g"),ROUND(VLOOKUP(BA$4,Preisindex,4,FALSE)/VLOOKUP(YEAR($F180),Preisindex,4,FALSE),2),IF(AND($E180&lt;&gt;0,$F180&gt;0,YEAR($F180)&gt;=Preisindex!$A$6,YEAR(AV$4)&gt;=YEAR($F180),$K180="k"),ROUND(VLOOKUP(BA$4,Preisindex,2,FALSE)/VLOOKUP(YEAR($F180),Preisindex,2,FALSE),2),0)))))</f>
        <v>0</v>
      </c>
      <c r="BB180" s="56">
        <f>IF(AND($E180&lt;&gt;0,$F180&gt;0,YEAR($F180)&lt;Preisindex!$A$6,YEAR(AV$4)&gt;=YEAR($F180),AND($K180&lt;&gt;"a",$K180&lt;&gt;"b",$K180&lt;&gt;"g",$K180&lt;&gt;"k")),1,IF(AND($E180&lt;&gt;0,$F180&gt;0,YEAR($F180)&lt;Preisindex!$A$6,YEAR(AV$4)&gt;=YEAR($F180),$K180="a"),ROUND(VLOOKUP(BA$4,Preisindex,5,FALSE)/VLOOKUP(Preisindex!$A$6,Preisindex,5,FALSE),2),IF(AND($E180&lt;&gt;0,$F180&gt;0,YEAR($F180)&lt;Preisindex!$A$6,YEAR(AV$4)&gt;=YEAR($F180),$K180="b"),ROUND(VLOOKUP(BA$4,Preisindex,3,FALSE)/VLOOKUP(Preisindex!$A$6,Preisindex,3,FALSE),2),IF(AND($E180&lt;&gt;0,$F180&gt;0,YEAR($F180)&lt;Preisindex!$A$6,YEAR(AV$4)&gt;=YEAR($F180),$K180="g"),ROUND(VLOOKUP(BA$4,Preisindex,4,FALSE)/VLOOKUP(Preisindex!$A$6,Preisindex,4,FALSE),2),IF(AND($E180&lt;&gt;0,$F180&gt;0,YEAR($F180)&lt;Preisindex!$A$6,YEAR(AV$4)&gt;=YEAR($F180),$K180="k"),ROUND(VLOOKUP(BA$4,Preisindex,2,FALSE)/VLOOKUP(Preisindex!$A$6,Preisindex,2,FALSE),2),0)))))</f>
        <v>0</v>
      </c>
      <c r="BC180" s="51">
        <f>IF(AND($E180&lt;&gt;0,$F180&gt;0,YEAR($F180)&lt;=BA$4,YEAR($F180)&gt;=Preisindex!$A$6),ROUND($E180*BA180,2),IF(AND($E180&lt;&gt;0,$F180&gt;0,YEAR($F180)&lt;=BA$4,YEAR($F180)&lt;Preisindex!$A$6),ROUND($E180*BB180,2),0))</f>
        <v>0</v>
      </c>
      <c r="BD180" s="53">
        <f t="shared" si="500"/>
        <v>0</v>
      </c>
      <c r="BE180" s="51">
        <f t="shared" si="619"/>
        <v>0</v>
      </c>
      <c r="BF180" s="51">
        <f t="shared" si="584"/>
        <v>0</v>
      </c>
      <c r="BG180" s="51">
        <f t="shared" si="501"/>
        <v>0</v>
      </c>
      <c r="BH180" s="51">
        <f t="shared" si="585"/>
        <v>0</v>
      </c>
      <c r="BI180" s="51">
        <f t="shared" si="502"/>
        <v>0</v>
      </c>
      <c r="BJ180" s="51">
        <f t="shared" si="586"/>
        <v>0</v>
      </c>
      <c r="BK180" s="51">
        <f t="shared" si="503"/>
        <v>0</v>
      </c>
      <c r="BL180" s="51">
        <f t="shared" si="587"/>
        <v>0</v>
      </c>
      <c r="BM180" s="51">
        <f t="shared" si="504"/>
        <v>0</v>
      </c>
      <c r="BN180" s="51">
        <f t="shared" si="588"/>
        <v>0</v>
      </c>
      <c r="BO180" s="51">
        <f t="shared" si="505"/>
        <v>0</v>
      </c>
      <c r="BP180" s="54">
        <f t="shared" si="506"/>
        <v>0</v>
      </c>
      <c r="BQ180" s="55">
        <f t="shared" si="507"/>
        <v>0</v>
      </c>
      <c r="BR180" s="56">
        <f>IF(AND($E180&lt;&gt;0,$F180&gt;0,YEAR($F180)&gt;=Preisindex!$A$6,YEAR(BM$4)&gt;=YEAR($F180),AND($K180&lt;&gt;"a",$K180&lt;&gt;"b",$K180&lt;&gt;"g",$K180&lt;&gt;"k")),1,IF(AND($E180&lt;&gt;0,$F180&gt;0,YEAR($F180)&gt;=Preisindex!$A$6,YEAR(BM$4)&gt;=YEAR($F180),$K180="a"),ROUND(VLOOKUP(BR$4,Preisindex,5,FALSE)/VLOOKUP(YEAR($F180),Preisindex,5,FALSE),2),IF(AND($E180&lt;&gt;0,$F180&gt;0,YEAR($F180)&gt;=Preisindex!$A$6,YEAR(BM$4)&gt;=YEAR($F180),$K180="b"),ROUND(VLOOKUP(BR$4,Preisindex,3,FALSE)/VLOOKUP(YEAR($F180),Preisindex,3,FALSE),2),IF(AND($E180&lt;&gt;0,$F180&gt;0,YEAR($F180)&gt;=Preisindex!$A$6,YEAR(BM$4)&gt;=YEAR($F180),$K180="g"),ROUND(VLOOKUP(BR$4,Preisindex,4,FALSE)/VLOOKUP(YEAR($F180),Preisindex,4,FALSE),2),IF(AND($E180&lt;&gt;0,$F180&gt;0,YEAR($F180)&gt;=Preisindex!$A$6,YEAR(BM$4)&gt;=YEAR($F180),$K180="k"),ROUND(VLOOKUP(BR$4,Preisindex,2,FALSE)/VLOOKUP(YEAR($F180),Preisindex,2,FALSE),2),0)))))</f>
        <v>0</v>
      </c>
      <c r="BS180" s="56">
        <f>IF(AND($E180&lt;&gt;0,$F180&gt;0,YEAR($F180)&lt;Preisindex!$A$6,YEAR(BM$4)&gt;=YEAR($F180),AND($K180&lt;&gt;"a",$K180&lt;&gt;"b",$K180&lt;&gt;"g",$K180&lt;&gt;"k")),1,IF(AND($E180&lt;&gt;0,$F180&gt;0,YEAR($F180)&lt;Preisindex!$A$6,YEAR(BM$4)&gt;=YEAR($F180),$K180="a"),ROUND(VLOOKUP(BR$4,Preisindex,5,FALSE)/VLOOKUP(Preisindex!$A$6,Preisindex,5,FALSE),2),IF(AND($E180&lt;&gt;0,$F180&gt;0,YEAR($F180)&lt;Preisindex!$A$6,YEAR(BM$4)&gt;=YEAR($F180),$K180="b"),ROUND(VLOOKUP(BR$4,Preisindex,3,FALSE)/VLOOKUP(Preisindex!$A$6,Preisindex,3,FALSE),2),IF(AND($E180&lt;&gt;0,$F180&gt;0,YEAR($F180)&lt;Preisindex!$A$6,YEAR(BM$4)&gt;=YEAR($F180),$K180="g"),ROUND(VLOOKUP(BR$4,Preisindex,4,FALSE)/VLOOKUP(Preisindex!$A$6,Preisindex,4,FALSE),2),IF(AND($E180&lt;&gt;0,$F180&gt;0,YEAR($F180)&lt;Preisindex!$A$6,YEAR(BM$4)&gt;=YEAR($F180),$K180="k"),ROUND(VLOOKUP(BR$4,Preisindex,2,FALSE)/VLOOKUP(Preisindex!$A$6,Preisindex,2,FALSE),2),0)))))</f>
        <v>0</v>
      </c>
      <c r="BT180" s="51">
        <f>IF(AND($E180&lt;&gt;0,$F180&gt;0,YEAR($F180)&lt;=BR$4,YEAR($F180)&gt;=Preisindex!$A$6),ROUND($E180*BR180,2),IF(AND($E180&lt;&gt;0,$F180&gt;0,YEAR($F180)&lt;=BR$4,YEAR($F180)&lt;Preisindex!$A$6),ROUND($E180*BS180,2),0))</f>
        <v>0</v>
      </c>
      <c r="BU180" s="53">
        <f t="shared" si="508"/>
        <v>0</v>
      </c>
      <c r="BV180" s="51">
        <f t="shared" si="619"/>
        <v>0</v>
      </c>
      <c r="BW180" s="51">
        <f t="shared" si="589"/>
        <v>0</v>
      </c>
      <c r="BX180" s="51">
        <f t="shared" si="509"/>
        <v>0</v>
      </c>
      <c r="BY180" s="51">
        <f t="shared" si="590"/>
        <v>0</v>
      </c>
      <c r="BZ180" s="51">
        <f t="shared" si="510"/>
        <v>0</v>
      </c>
      <c r="CA180" s="51">
        <f t="shared" si="591"/>
        <v>0</v>
      </c>
      <c r="CB180" s="51">
        <f t="shared" si="511"/>
        <v>0</v>
      </c>
      <c r="CC180" s="51">
        <f t="shared" si="592"/>
        <v>0</v>
      </c>
      <c r="CD180" s="51">
        <f t="shared" si="512"/>
        <v>0</v>
      </c>
      <c r="CE180" s="51">
        <f t="shared" si="593"/>
        <v>0</v>
      </c>
      <c r="CF180" s="51">
        <f t="shared" si="513"/>
        <v>0</v>
      </c>
      <c r="CG180" s="54">
        <f t="shared" si="514"/>
        <v>0</v>
      </c>
      <c r="CH180" s="55">
        <f t="shared" si="515"/>
        <v>0</v>
      </c>
      <c r="CI180" s="56">
        <f>IF(AND($E180&lt;&gt;0,$F180&gt;0,YEAR($F180)&gt;=Preisindex!$A$6,YEAR(CD$4)&gt;=YEAR($F180),AND($K180&lt;&gt;"a",$K180&lt;&gt;"b",$K180&lt;&gt;"g",$K180&lt;&gt;"k")),1,IF(AND($E180&lt;&gt;0,$F180&gt;0,YEAR($F180)&gt;=Preisindex!$A$6,YEAR(CD$4)&gt;=YEAR($F180),$K180="a"),ROUND(VLOOKUP(CI$4,Preisindex,5,FALSE)/VLOOKUP(YEAR($F180),Preisindex,5,FALSE),2),IF(AND($E180&lt;&gt;0,$F180&gt;0,YEAR($F180)&gt;=Preisindex!$A$6,YEAR(CD$4)&gt;=YEAR($F180),$K180="b"),ROUND(VLOOKUP(CI$4,Preisindex,3,FALSE)/VLOOKUP(YEAR($F180),Preisindex,3,FALSE),2),IF(AND($E180&lt;&gt;0,$F180&gt;0,YEAR($F180)&gt;=Preisindex!$A$6,YEAR(CD$4)&gt;=YEAR($F180),$K180="g"),ROUND(VLOOKUP(CI$4,Preisindex,4,FALSE)/VLOOKUP(YEAR($F180),Preisindex,4,FALSE),2),IF(AND($E180&lt;&gt;0,$F180&gt;0,YEAR($F180)&gt;=Preisindex!$A$6,YEAR(CD$4)&gt;=YEAR($F180),$K180="k"),ROUND(VLOOKUP(CI$4,Preisindex,2,FALSE)/VLOOKUP(YEAR($F180),Preisindex,2,FALSE),2),0)))))</f>
        <v>0</v>
      </c>
      <c r="CJ180" s="56">
        <f>IF(AND($E180&lt;&gt;0,$F180&gt;0,YEAR($F180)&lt;Preisindex!$A$6,YEAR(CD$4)&gt;=YEAR($F180),AND($K180&lt;&gt;"a",$K180&lt;&gt;"b",$K180&lt;&gt;"g",$K180&lt;&gt;"k")),1,IF(AND($E180&lt;&gt;0,$F180&gt;0,YEAR($F180)&lt;Preisindex!$A$6,YEAR(CD$4)&gt;=YEAR($F180),$K180="a"),ROUND(VLOOKUP(CI$4,Preisindex,5,FALSE)/VLOOKUP(Preisindex!$A$6,Preisindex,5,FALSE),2),IF(AND($E180&lt;&gt;0,$F180&gt;0,YEAR($F180)&lt;Preisindex!$A$6,YEAR(CD$4)&gt;=YEAR($F180),$K180="b"),ROUND(VLOOKUP(CI$4,Preisindex,3,FALSE)/VLOOKUP(Preisindex!$A$6,Preisindex,3,FALSE),2),IF(AND($E180&lt;&gt;0,$F180&gt;0,YEAR($F180)&lt;Preisindex!$A$6,YEAR(CD$4)&gt;=YEAR($F180),$K180="g"),ROUND(VLOOKUP(CI$4,Preisindex,4,FALSE)/VLOOKUP(Preisindex!$A$6,Preisindex,4,FALSE),2),IF(AND($E180&lt;&gt;0,$F180&gt;0,YEAR($F180)&lt;Preisindex!$A$6,YEAR(CD$4)&gt;=YEAR($F180),$K180="k"),ROUND(VLOOKUP(CI$4,Preisindex,2,FALSE)/VLOOKUP(Preisindex!$A$6,Preisindex,2,FALSE),2),0)))))</f>
        <v>0</v>
      </c>
      <c r="CK180" s="51">
        <f>IF(AND($E180&lt;&gt;0,$F180&gt;0,YEAR($F180)&lt;=CI$4,YEAR($F180)&gt;=Preisindex!$A$6),ROUND($E180*CI180,2),IF(AND($E180&lt;&gt;0,$F180&gt;0,YEAR($F180)&lt;=CI$4,YEAR($F180)&lt;Preisindex!$A$6),ROUND($E180*CJ180,2),0))</f>
        <v>0</v>
      </c>
      <c r="CL180" s="53">
        <f t="shared" si="516"/>
        <v>0</v>
      </c>
      <c r="CM180" s="51">
        <f t="shared" si="619"/>
        <v>0</v>
      </c>
      <c r="CN180" s="51">
        <f t="shared" si="594"/>
        <v>0</v>
      </c>
      <c r="CO180" s="51">
        <f t="shared" si="517"/>
        <v>0</v>
      </c>
      <c r="CP180" s="51">
        <f t="shared" si="595"/>
        <v>0</v>
      </c>
      <c r="CQ180" s="51">
        <f t="shared" si="518"/>
        <v>0</v>
      </c>
      <c r="CR180" s="51">
        <f t="shared" si="596"/>
        <v>0</v>
      </c>
      <c r="CS180" s="51">
        <f t="shared" si="519"/>
        <v>0</v>
      </c>
      <c r="CT180" s="51">
        <f t="shared" si="597"/>
        <v>0</v>
      </c>
      <c r="CU180" s="51">
        <f t="shared" si="520"/>
        <v>0</v>
      </c>
      <c r="CV180" s="51">
        <f t="shared" si="598"/>
        <v>0</v>
      </c>
      <c r="CW180" s="51">
        <f t="shared" si="521"/>
        <v>0</v>
      </c>
      <c r="CX180" s="54">
        <f t="shared" si="522"/>
        <v>0</v>
      </c>
      <c r="CY180" s="55">
        <f t="shared" si="523"/>
        <v>0</v>
      </c>
      <c r="CZ180" s="56">
        <f>IF(AND($E180&lt;&gt;0,$F180&gt;0,YEAR($F180)&gt;=Preisindex!$A$6,YEAR(CU$4)&gt;=YEAR($F180),AND($K180&lt;&gt;"a",$K180&lt;&gt;"b",$K180&lt;&gt;"g",$K180&lt;&gt;"k")),1,IF(AND($E180&lt;&gt;0,$F180&gt;0,YEAR($F180)&gt;=Preisindex!$A$6,YEAR(CU$4)&gt;=YEAR($F180),$K180="a"),ROUND(VLOOKUP(CZ$4,Preisindex,5,FALSE)/VLOOKUP(YEAR($F180),Preisindex,5,FALSE),2),IF(AND($E180&lt;&gt;0,$F180&gt;0,YEAR($F180)&gt;=Preisindex!$A$6,YEAR(CU$4)&gt;=YEAR($F180),$K180="b"),ROUND(VLOOKUP(CZ$4,Preisindex,3,FALSE)/VLOOKUP(YEAR($F180),Preisindex,3,FALSE),2),IF(AND($E180&lt;&gt;0,$F180&gt;0,YEAR($F180)&gt;=Preisindex!$A$6,YEAR(CU$4)&gt;=YEAR($F180),$K180="g"),ROUND(VLOOKUP(CZ$4,Preisindex,4,FALSE)/VLOOKUP(YEAR($F180),Preisindex,4,FALSE),2),IF(AND($E180&lt;&gt;0,$F180&gt;0,YEAR($F180)&gt;=Preisindex!$A$6,YEAR(CU$4)&gt;=YEAR($F180),$K180="k"),ROUND(VLOOKUP(CZ$4,Preisindex,2,FALSE)/VLOOKUP(YEAR($F180),Preisindex,2,FALSE),2),0)))))</f>
        <v>0</v>
      </c>
      <c r="DA180" s="56">
        <f>IF(AND($E180&lt;&gt;0,$F180&gt;0,YEAR($F180)&lt;Preisindex!$A$6,YEAR(CU$4)&gt;=YEAR($F180),AND($K180&lt;&gt;"a",$K180&lt;&gt;"b",$K180&lt;&gt;"g",$K180&lt;&gt;"k")),1,IF(AND($E180&lt;&gt;0,$F180&gt;0,YEAR($F180)&lt;Preisindex!$A$6,YEAR(CU$4)&gt;=YEAR($F180),$K180="a"),ROUND(VLOOKUP(CZ$4,Preisindex,5,FALSE)/VLOOKUP(Preisindex!$A$6,Preisindex,5,FALSE),2),IF(AND($E180&lt;&gt;0,$F180&gt;0,YEAR($F180)&lt;Preisindex!$A$6,YEAR(CU$4)&gt;=YEAR($F180),$K180="b"),ROUND(VLOOKUP(CZ$4,Preisindex,3,FALSE)/VLOOKUP(Preisindex!$A$6,Preisindex,3,FALSE),2),IF(AND($E180&lt;&gt;0,$F180&gt;0,YEAR($F180)&lt;Preisindex!$A$6,YEAR(CU$4)&gt;=YEAR($F180),$K180="g"),ROUND(VLOOKUP(CZ$4,Preisindex,4,FALSE)/VLOOKUP(Preisindex!$A$6,Preisindex,4,FALSE),2),IF(AND($E180&lt;&gt;0,$F180&gt;0,YEAR($F180)&lt;Preisindex!$A$6,YEAR(CU$4)&gt;=YEAR($F180),$K180="k"),ROUND(VLOOKUP(CZ$4,Preisindex,2,FALSE)/VLOOKUP(Preisindex!$A$6,Preisindex,2,FALSE),2),0)))))</f>
        <v>0</v>
      </c>
      <c r="DB180" s="51">
        <f>IF(AND($E180&lt;&gt;0,$F180&gt;0,YEAR($F180)&lt;=CZ$4,YEAR($F180)&gt;=Preisindex!$A$6),ROUND($E180*CZ180,2),IF(AND($E180&lt;&gt;0,$F180&gt;0,YEAR($F180)&lt;=CZ$4,YEAR($F180)&lt;Preisindex!$A$6),ROUND($E180*DA180,2),0))</f>
        <v>0</v>
      </c>
      <c r="DC180" s="53">
        <f t="shared" si="524"/>
        <v>0</v>
      </c>
      <c r="DD180" s="51">
        <f t="shared" si="620"/>
        <v>0</v>
      </c>
      <c r="DE180" s="51">
        <f t="shared" si="599"/>
        <v>0</v>
      </c>
      <c r="DF180" s="51">
        <f t="shared" si="526"/>
        <v>0</v>
      </c>
      <c r="DG180" s="51">
        <f t="shared" si="600"/>
        <v>0</v>
      </c>
      <c r="DH180" s="51">
        <f t="shared" si="527"/>
        <v>0</v>
      </c>
      <c r="DI180" s="51">
        <f t="shared" si="601"/>
        <v>0</v>
      </c>
      <c r="DJ180" s="51">
        <f t="shared" si="528"/>
        <v>0</v>
      </c>
      <c r="DK180" s="51">
        <f t="shared" si="602"/>
        <v>0</v>
      </c>
      <c r="DL180" s="51">
        <f t="shared" si="529"/>
        <v>0</v>
      </c>
      <c r="DM180" s="51">
        <f t="shared" si="603"/>
        <v>0</v>
      </c>
      <c r="DN180" s="51">
        <f t="shared" si="530"/>
        <v>0</v>
      </c>
      <c r="DO180" s="54">
        <f t="shared" si="531"/>
        <v>0</v>
      </c>
      <c r="DP180" s="55">
        <f t="shared" si="532"/>
        <v>0</v>
      </c>
      <c r="DQ180" s="56">
        <f>IF(AND($E180&lt;&gt;0,$F180&gt;0,YEAR($F180)&gt;=Preisindex!$A$6,YEAR(DL$4)&gt;=YEAR($F180),AND($K180&lt;&gt;"a",$K180&lt;&gt;"b",$K180&lt;&gt;"g",$K180&lt;&gt;"k")),1,IF(AND($E180&lt;&gt;0,$F180&gt;0,YEAR($F180)&gt;=Preisindex!$A$6,YEAR(DL$4)&gt;=YEAR($F180),$K180="a"),ROUND(VLOOKUP(DQ$4,Preisindex,5,FALSE)/VLOOKUP(YEAR($F180),Preisindex,5,FALSE),2),IF(AND($E180&lt;&gt;0,$F180&gt;0,YEAR($F180)&gt;=Preisindex!$A$6,YEAR(DL$4)&gt;=YEAR($F180),$K180="b"),ROUND(VLOOKUP(DQ$4,Preisindex,3,FALSE)/VLOOKUP(YEAR($F180),Preisindex,3,FALSE),2),IF(AND($E180&lt;&gt;0,$F180&gt;0,YEAR($F180)&gt;=Preisindex!$A$6,YEAR(DL$4)&gt;=YEAR($F180),$K180="g"),ROUND(VLOOKUP(DQ$4,Preisindex,4,FALSE)/VLOOKUP(YEAR($F180),Preisindex,4,FALSE),2),IF(AND($E180&lt;&gt;0,$F180&gt;0,YEAR($F180)&gt;=Preisindex!$A$6,YEAR(DL$4)&gt;=YEAR($F180),$K180="k"),ROUND(VLOOKUP(DQ$4,Preisindex,2,FALSE)/VLOOKUP(YEAR($F180),Preisindex,2,FALSE),2),0)))))</f>
        <v>0</v>
      </c>
      <c r="DR180" s="56">
        <f>IF(AND($E180&lt;&gt;0,$F180&gt;0,YEAR($F180)&lt;Preisindex!$A$6,YEAR(DL$4)&gt;=YEAR($F180),AND($K180&lt;&gt;"a",$K180&lt;&gt;"b",$K180&lt;&gt;"g",$K180&lt;&gt;"k")),1,IF(AND($E180&lt;&gt;0,$F180&gt;0,YEAR($F180)&lt;Preisindex!$A$6,YEAR(DL$4)&gt;=YEAR($F180),$K180="a"),ROUND(VLOOKUP(DQ$4,Preisindex,5,FALSE)/VLOOKUP(Preisindex!$A$6,Preisindex,5,FALSE),2),IF(AND($E180&lt;&gt;0,$F180&gt;0,YEAR($F180)&lt;Preisindex!$A$6,YEAR(DL$4)&gt;=YEAR($F180),$K180="b"),ROUND(VLOOKUP(DQ$4,Preisindex,3,FALSE)/VLOOKUP(Preisindex!$A$6,Preisindex,3,FALSE),2),IF(AND($E180&lt;&gt;0,$F180&gt;0,YEAR($F180)&lt;Preisindex!$A$6,YEAR(DL$4)&gt;=YEAR($F180),$K180="g"),ROUND(VLOOKUP(DQ$4,Preisindex,4,FALSE)/VLOOKUP(Preisindex!$A$6,Preisindex,4,FALSE),2),IF(AND($E180&lt;&gt;0,$F180&gt;0,YEAR($F180)&lt;Preisindex!$A$6,YEAR(DL$4)&gt;=YEAR($F180),$K180="k"),ROUND(VLOOKUP(DQ$4,Preisindex,2,FALSE)/VLOOKUP(Preisindex!$A$6,Preisindex,2,FALSE),2),0)))))</f>
        <v>0</v>
      </c>
      <c r="DS180" s="51">
        <f>IF(AND($E180&lt;&gt;0,$F180&gt;0,YEAR($F180)&lt;=DQ$4,YEAR($F180)&gt;=Preisindex!$A$6),ROUND($E180*DQ180,2),IF(AND($E180&lt;&gt;0,$F180&gt;0,YEAR($F180)&lt;=DQ$4,YEAR($F180)&lt;Preisindex!$A$6),ROUND($E180*DR180,2),0))</f>
        <v>0</v>
      </c>
      <c r="DT180" s="53">
        <f t="shared" si="533"/>
        <v>0</v>
      </c>
      <c r="DU180" s="51">
        <f t="shared" si="620"/>
        <v>0</v>
      </c>
      <c r="DV180" s="51">
        <f t="shared" si="604"/>
        <v>0</v>
      </c>
      <c r="DW180" s="51">
        <f t="shared" si="534"/>
        <v>0</v>
      </c>
      <c r="DX180" s="51">
        <f t="shared" si="605"/>
        <v>0</v>
      </c>
      <c r="DY180" s="51">
        <f t="shared" si="535"/>
        <v>0</v>
      </c>
      <c r="DZ180" s="51">
        <f t="shared" si="606"/>
        <v>0</v>
      </c>
      <c r="EA180" s="51">
        <f t="shared" si="536"/>
        <v>0</v>
      </c>
      <c r="EB180" s="51">
        <f t="shared" si="607"/>
        <v>0</v>
      </c>
      <c r="EC180" s="51">
        <f t="shared" si="537"/>
        <v>0</v>
      </c>
      <c r="ED180" s="51">
        <f t="shared" si="608"/>
        <v>0</v>
      </c>
      <c r="EE180" s="51">
        <f t="shared" si="538"/>
        <v>0</v>
      </c>
      <c r="EF180" s="54">
        <f t="shared" si="539"/>
        <v>0</v>
      </c>
      <c r="EG180" s="55">
        <f t="shared" si="540"/>
        <v>0</v>
      </c>
      <c r="EH180" s="56">
        <f>IF(AND($E180&lt;&gt;0,$F180&gt;0,YEAR($F180)&gt;=Preisindex!$A$6,YEAR(EC$4)&gt;=YEAR($F180),AND($K180&lt;&gt;"a",$K180&lt;&gt;"b",$K180&lt;&gt;"g",$K180&lt;&gt;"k")),1,IF(AND($E180&lt;&gt;0,$F180&gt;0,YEAR($F180)&gt;=Preisindex!$A$6,YEAR(EC$4)&gt;=YEAR($F180),$K180="a"),ROUND(VLOOKUP(EH$4,Preisindex,5,FALSE)/VLOOKUP(YEAR($F180),Preisindex,5,FALSE),2),IF(AND($E180&lt;&gt;0,$F180&gt;0,YEAR($F180)&gt;=Preisindex!$A$6,YEAR(EC$4)&gt;=YEAR($F180),$K180="b"),ROUND(VLOOKUP(EH$4,Preisindex,3,FALSE)/VLOOKUP(YEAR($F180),Preisindex,3,FALSE),2),IF(AND($E180&lt;&gt;0,$F180&gt;0,YEAR($F180)&gt;=Preisindex!$A$6,YEAR(EC$4)&gt;=YEAR($F180),$K180="g"),ROUND(VLOOKUP(EH$4,Preisindex,4,FALSE)/VLOOKUP(YEAR($F180),Preisindex,4,FALSE),2),IF(AND($E180&lt;&gt;0,$F180&gt;0,YEAR($F180)&gt;=Preisindex!$A$6,YEAR(EC$4)&gt;=YEAR($F180),$K180="k"),ROUND(VLOOKUP(EH$4,Preisindex,2,FALSE)/VLOOKUP(YEAR($F180),Preisindex,2,FALSE),2),0)))))</f>
        <v>0</v>
      </c>
      <c r="EI180" s="56">
        <f>IF(AND($E180&lt;&gt;0,$F180&gt;0,YEAR($F180)&lt;Preisindex!$A$6,YEAR(EC$4)&gt;=YEAR($F180),AND($K180&lt;&gt;"a",$K180&lt;&gt;"b",$K180&lt;&gt;"g",$K180&lt;&gt;"k")),1,IF(AND($E180&lt;&gt;0,$F180&gt;0,YEAR($F180)&lt;Preisindex!$A$6,YEAR(EC$4)&gt;=YEAR($F180),$K180="a"),ROUND(VLOOKUP(EH$4,Preisindex,5,FALSE)/VLOOKUP(Preisindex!$A$6,Preisindex,5,FALSE),2),IF(AND($E180&lt;&gt;0,$F180&gt;0,YEAR($F180)&lt;Preisindex!$A$6,YEAR(EC$4)&gt;=YEAR($F180),$K180="b"),ROUND(VLOOKUP(EH$4,Preisindex,3,FALSE)/VLOOKUP(Preisindex!$A$6,Preisindex,3,FALSE),2),IF(AND($E180&lt;&gt;0,$F180&gt;0,YEAR($F180)&lt;Preisindex!$A$6,YEAR(EC$4)&gt;=YEAR($F180),$K180="g"),ROUND(VLOOKUP(EH$4,Preisindex,4,FALSE)/VLOOKUP(Preisindex!$A$6,Preisindex,4,FALSE),2),IF(AND($E180&lt;&gt;0,$F180&gt;0,YEAR($F180)&lt;Preisindex!$A$6,YEAR(EC$4)&gt;=YEAR($F180),$K180="k"),ROUND(VLOOKUP(EH$4,Preisindex,2,FALSE)/VLOOKUP(Preisindex!$A$6,Preisindex,2,FALSE),2),0)))))</f>
        <v>0</v>
      </c>
      <c r="EJ180" s="51">
        <f>IF(AND($E180&lt;&gt;0,$F180&gt;0,YEAR($F180)&lt;=EH$4,YEAR($F180)&gt;=Preisindex!$A$6),ROUND($E180*EH180,2),IF(AND($E180&lt;&gt;0,$F180&gt;0,YEAR($F180)&lt;=EH$4,YEAR($F180)&lt;Preisindex!$A$6),ROUND($E180*EI180,2),0))</f>
        <v>0</v>
      </c>
      <c r="EK180" s="53">
        <f t="shared" si="541"/>
        <v>0</v>
      </c>
      <c r="EL180" s="51">
        <f t="shared" si="620"/>
        <v>0</v>
      </c>
      <c r="EM180" s="51">
        <f t="shared" si="609"/>
        <v>0</v>
      </c>
      <c r="EN180" s="51">
        <f t="shared" si="542"/>
        <v>0</v>
      </c>
      <c r="EO180" s="51">
        <f t="shared" si="610"/>
        <v>0</v>
      </c>
      <c r="EP180" s="51">
        <f t="shared" si="543"/>
        <v>0</v>
      </c>
      <c r="EQ180" s="51">
        <f t="shared" si="611"/>
        <v>0</v>
      </c>
      <c r="ER180" s="51">
        <f t="shared" si="544"/>
        <v>0</v>
      </c>
      <c r="ES180" s="51">
        <f t="shared" si="612"/>
        <v>0</v>
      </c>
      <c r="ET180" s="51">
        <f t="shared" si="545"/>
        <v>0</v>
      </c>
      <c r="EU180" s="51">
        <f t="shared" si="613"/>
        <v>0</v>
      </c>
      <c r="EV180" s="51">
        <f t="shared" si="546"/>
        <v>0</v>
      </c>
      <c r="EW180" s="54">
        <f t="shared" si="547"/>
        <v>0</v>
      </c>
      <c r="EX180" s="55">
        <f t="shared" si="548"/>
        <v>0</v>
      </c>
      <c r="EY180" s="56">
        <f>IF(AND($E180&lt;&gt;0,$F180&gt;0,YEAR($F180)&gt;=Preisindex!$A$6,YEAR(ET$4)&gt;=YEAR($F180),AND($K180&lt;&gt;"a",$K180&lt;&gt;"b",$K180&lt;&gt;"g",$K180&lt;&gt;"k")),1,IF(AND($E180&lt;&gt;0,$F180&gt;0,YEAR($F180)&gt;=Preisindex!$A$6,YEAR(ET$4)&gt;=YEAR($F180),$K180="a"),ROUND(VLOOKUP(EY$4,Preisindex,5,FALSE)/VLOOKUP(YEAR($F180),Preisindex,5,FALSE),2),IF(AND($E180&lt;&gt;0,$F180&gt;0,YEAR($F180)&gt;=Preisindex!$A$6,YEAR(ET$4)&gt;=YEAR($F180),$K180="b"),ROUND(VLOOKUP(EY$4,Preisindex,3,FALSE)/VLOOKUP(YEAR($F180),Preisindex,3,FALSE),2),IF(AND($E180&lt;&gt;0,$F180&gt;0,YEAR($F180)&gt;=Preisindex!$A$6,YEAR(ET$4)&gt;=YEAR($F180),$K180="g"),ROUND(VLOOKUP(EY$4,Preisindex,4,FALSE)/VLOOKUP(YEAR($F180),Preisindex,4,FALSE),2),IF(AND($E180&lt;&gt;0,$F180&gt;0,YEAR($F180)&gt;=Preisindex!$A$6,YEAR(ET$4)&gt;=YEAR($F180),$K180="k"),ROUND(VLOOKUP(EY$4,Preisindex,2,FALSE)/VLOOKUP(YEAR($F180),Preisindex,2,FALSE),2),0)))))</f>
        <v>0</v>
      </c>
      <c r="EZ180" s="56">
        <f>IF(AND($E180&lt;&gt;0,$F180&gt;0,YEAR($F180)&lt;Preisindex!$A$6,YEAR(ET$4)&gt;=YEAR($F180),AND($K180&lt;&gt;"a",$K180&lt;&gt;"b",$K180&lt;&gt;"g",$K180&lt;&gt;"k")),1,IF(AND($E180&lt;&gt;0,$F180&gt;0,YEAR($F180)&lt;Preisindex!$A$6,YEAR(ET$4)&gt;=YEAR($F180),$K180="a"),ROUND(VLOOKUP(EY$4,Preisindex,5,FALSE)/VLOOKUP(Preisindex!$A$6,Preisindex,5,FALSE),2),IF(AND($E180&lt;&gt;0,$F180&gt;0,YEAR($F180)&lt;Preisindex!$A$6,YEAR(ET$4)&gt;=YEAR($F180),$K180="b"),ROUND(VLOOKUP(EY$4,Preisindex,3,FALSE)/VLOOKUP(Preisindex!$A$6,Preisindex,3,FALSE),2),IF(AND($E180&lt;&gt;0,$F180&gt;0,YEAR($F180)&lt;Preisindex!$A$6,YEAR(ET$4)&gt;=YEAR($F180),$K180="g"),ROUND(VLOOKUP(EY$4,Preisindex,4,FALSE)/VLOOKUP(Preisindex!$A$6,Preisindex,4,FALSE),2),IF(AND($E180&lt;&gt;0,$F180&gt;0,YEAR($F180)&lt;Preisindex!$A$6,YEAR(ET$4)&gt;=YEAR($F180),$K180="k"),ROUND(VLOOKUP(EY$4,Preisindex,2,FALSE)/VLOOKUP(Preisindex!$A$6,Preisindex,2,FALSE),2),0)))))</f>
        <v>0</v>
      </c>
      <c r="FA180" s="51">
        <f>IF(AND($E180&lt;&gt;0,$F180&gt;0,YEAR($F180)&lt;=EY$4,YEAR($F180)&gt;=Preisindex!$A$6),ROUND($E180*EY180,2),IF(AND($E180&lt;&gt;0,$F180&gt;0,YEAR($F180)&lt;=EY$4,YEAR($F180)&lt;Preisindex!$A$6),ROUND($E180*EZ180,2),0))</f>
        <v>0</v>
      </c>
      <c r="FB180" s="53">
        <f t="shared" si="549"/>
        <v>0</v>
      </c>
      <c r="FC180" s="51">
        <f t="shared" si="620"/>
        <v>0</v>
      </c>
      <c r="FD180" s="51">
        <f t="shared" si="614"/>
        <v>0</v>
      </c>
      <c r="FE180" s="51">
        <f t="shared" si="550"/>
        <v>0</v>
      </c>
      <c r="FF180" s="51">
        <f t="shared" si="615"/>
        <v>0</v>
      </c>
      <c r="FG180" s="51">
        <f t="shared" si="551"/>
        <v>0</v>
      </c>
      <c r="FH180" s="51">
        <f t="shared" si="616"/>
        <v>0</v>
      </c>
      <c r="FI180" s="51">
        <f t="shared" si="552"/>
        <v>0</v>
      </c>
      <c r="FJ180" s="51">
        <f t="shared" si="617"/>
        <v>0</v>
      </c>
      <c r="FK180" s="51">
        <f t="shared" si="553"/>
        <v>0</v>
      </c>
      <c r="FL180" s="51">
        <f t="shared" si="618"/>
        <v>0</v>
      </c>
      <c r="FM180" s="51">
        <f t="shared" si="554"/>
        <v>0</v>
      </c>
      <c r="FN180" s="54">
        <f t="shared" si="555"/>
        <v>0</v>
      </c>
      <c r="FO180" s="55">
        <f t="shared" si="556"/>
        <v>0</v>
      </c>
      <c r="FP180" s="56">
        <f>IF(AND($E180&lt;&gt;0,$F180&gt;0,YEAR($F180)&gt;=Preisindex!$A$6,YEAR(FK$4)&gt;=YEAR($F180),AND($K180&lt;&gt;"a",$K180&lt;&gt;"b",$K180&lt;&gt;"g",$K180&lt;&gt;"k")),1,IF(AND($E180&lt;&gt;0,$F180&gt;0,YEAR($F180)&gt;=Preisindex!$A$6,YEAR(FK$4)&gt;=YEAR($F180),$K180="a"),ROUND(VLOOKUP(FP$4,Preisindex,5,FALSE)/VLOOKUP(YEAR($F180),Preisindex,5,FALSE),2),IF(AND($E180&lt;&gt;0,$F180&gt;0,YEAR($F180)&gt;=Preisindex!$A$6,YEAR(FK$4)&gt;=YEAR($F180),$K180="b"),ROUND(VLOOKUP(FP$4,Preisindex,3,FALSE)/VLOOKUP(YEAR($F180),Preisindex,3,FALSE),2),IF(AND($E180&lt;&gt;0,$F180&gt;0,YEAR($F180)&gt;=Preisindex!$A$6,YEAR(FK$4)&gt;=YEAR($F180),$K180="g"),ROUND(VLOOKUP(FP$4,Preisindex,4,FALSE)/VLOOKUP(YEAR($F180),Preisindex,4,FALSE),2),IF(AND($E180&lt;&gt;0,$F180&gt;0,YEAR($F180)&gt;=Preisindex!$A$6,YEAR(FK$4)&gt;=YEAR($F180),$K180="k"),ROUND(VLOOKUP(FP$4,Preisindex,2,FALSE)/VLOOKUP(YEAR($F180),Preisindex,2,FALSE),2),0)))))</f>
        <v>0</v>
      </c>
      <c r="FQ180" s="56">
        <f>IF(AND($E180&lt;&gt;0,$F180&gt;0,YEAR($F180)&lt;Preisindex!$A$6,YEAR(FK$4)&gt;=YEAR($F180),AND($K180&lt;&gt;"a",$K180&lt;&gt;"b",$K180&lt;&gt;"g",$K180&lt;&gt;"k")),1,IF(AND($E180&lt;&gt;0,$F180&gt;0,YEAR($F180)&lt;Preisindex!$A$6,YEAR(FK$4)&gt;=YEAR($F180),$K180="a"),ROUND(VLOOKUP(FP$4,Preisindex,5,FALSE)/VLOOKUP(Preisindex!$A$6,Preisindex,5,FALSE),2),IF(AND($E180&lt;&gt;0,$F180&gt;0,YEAR($F180)&lt;Preisindex!$A$6,YEAR(FK$4)&gt;=YEAR($F180),$K180="b"),ROUND(VLOOKUP(FP$4,Preisindex,3,FALSE)/VLOOKUP(Preisindex!$A$6,Preisindex,3,FALSE),2),IF(AND($E180&lt;&gt;0,$F180&gt;0,YEAR($F180)&lt;Preisindex!$A$6,YEAR(FK$4)&gt;=YEAR($F180),$K180="g"),ROUND(VLOOKUP(FP$4,Preisindex,4,FALSE)/VLOOKUP(Preisindex!$A$6,Preisindex,4,FALSE),2),IF(AND($E180&lt;&gt;0,$F180&gt;0,YEAR($F180)&lt;Preisindex!$A$6,YEAR(FK$4)&gt;=YEAR($F180),$K180="k"),ROUND(VLOOKUP(FP$4,Preisindex,2,FALSE)/VLOOKUP(Preisindex!$A$6,Preisindex,2,FALSE),2),0)))))</f>
        <v>0</v>
      </c>
      <c r="FR180" s="51">
        <f>IF(AND($E180&lt;&gt;0,$F180&gt;0,YEAR($F180)&lt;=FP$4,YEAR($F180)&gt;=Preisindex!$A$6),ROUND($E180*FP180,2),IF(AND($E180&lt;&gt;0,$F180&gt;0,YEAR($F180)&lt;=FP$4,YEAR($F180)&lt;Preisindex!$A$6),ROUND($E180*FQ180,2),0))</f>
        <v>0</v>
      </c>
      <c r="FS180" s="53">
        <f t="shared" si="557"/>
        <v>0</v>
      </c>
    </row>
    <row r="181" spans="1:175" x14ac:dyDescent="0.3">
      <c r="A181" s="93"/>
      <c r="B181" s="94"/>
      <c r="C181" s="94"/>
      <c r="D181" s="95"/>
      <c r="E181" s="99"/>
      <c r="F181" s="97"/>
      <c r="G181" s="98"/>
      <c r="H181" s="620"/>
      <c r="I181" s="621"/>
      <c r="J181" s="194"/>
      <c r="K181" s="630"/>
      <c r="L181" s="49">
        <f t="shared" si="558"/>
        <v>0</v>
      </c>
      <c r="M181" s="50">
        <f t="shared" si="559"/>
        <v>0</v>
      </c>
      <c r="N181" s="51">
        <f t="shared" si="560"/>
        <v>0</v>
      </c>
      <c r="O181" s="51"/>
      <c r="P181" s="51">
        <f t="shared" si="561"/>
        <v>0</v>
      </c>
      <c r="Q181" s="52"/>
      <c r="R181" s="52"/>
      <c r="S181" s="52"/>
      <c r="T181" s="52"/>
      <c r="U181" s="52"/>
      <c r="V181" s="53">
        <f t="shared" si="562"/>
        <v>0</v>
      </c>
      <c r="W181" s="51">
        <f t="shared" si="563"/>
        <v>0</v>
      </c>
      <c r="X181" s="51">
        <f t="shared" si="564"/>
        <v>0</v>
      </c>
      <c r="Y181" s="51">
        <f t="shared" si="565"/>
        <v>0</v>
      </c>
      <c r="Z181" s="51">
        <f t="shared" si="566"/>
        <v>0</v>
      </c>
      <c r="AA181" s="51">
        <f t="shared" si="567"/>
        <v>0</v>
      </c>
      <c r="AB181" s="51">
        <f t="shared" si="568"/>
        <v>0</v>
      </c>
      <c r="AC181" s="51">
        <f t="shared" si="569"/>
        <v>0</v>
      </c>
      <c r="AD181" s="51">
        <f t="shared" si="570"/>
        <v>0</v>
      </c>
      <c r="AE181" s="51">
        <f t="shared" si="571"/>
        <v>0</v>
      </c>
      <c r="AF181" s="51">
        <f t="shared" si="572"/>
        <v>0</v>
      </c>
      <c r="AG181" s="51">
        <f t="shared" si="573"/>
        <v>0</v>
      </c>
      <c r="AH181" s="54">
        <f t="shared" si="574"/>
        <v>0</v>
      </c>
      <c r="AI181" s="55">
        <f t="shared" si="575"/>
        <v>0</v>
      </c>
      <c r="AJ181" s="56">
        <f>IF(AND($E181&lt;&gt;0,$F181&gt;0,YEAR($F181)&gt;=Preisindex!$A$6,YEAR(AE$4)&gt;=YEAR($F181),AND($K181&lt;&gt;"a",$K181&lt;&gt;"b",$K181&lt;&gt;"g",$K181&lt;&gt;"k")),1,IF(AND($E181&lt;&gt;0,$F181&gt;0,YEAR($F181)&gt;=Preisindex!$A$6,YEAR(AE$4)&gt;=YEAR($F181),$K181="a"),ROUND(VLOOKUP(AJ$4,Preisindex,5,FALSE)/VLOOKUP(YEAR($F181),Preisindex,5,FALSE),2),IF(AND($E181&lt;&gt;0,$F181&gt;0,YEAR($F181)&gt;=Preisindex!$A$6,YEAR(AE$4)&gt;=YEAR($F181),$K181="b"),ROUND(VLOOKUP(AJ$4,Preisindex,3,FALSE)/VLOOKUP(YEAR($F181),Preisindex,3,FALSE),2),IF(AND($E181&lt;&gt;0,$F181&gt;0,YEAR($F181)&gt;=Preisindex!$A$6,YEAR(AE$4)&gt;=YEAR($F181),$K181="g"),ROUND(VLOOKUP(AJ$4,Preisindex,4,FALSE)/VLOOKUP(YEAR($F181),Preisindex,4,FALSE),2),IF(AND($E181&lt;&gt;0,$F181&gt;0,YEAR($F181)&gt;=Preisindex!$A$6,YEAR(AE$4)&gt;=YEAR($F181),$K181="k"),ROUND(VLOOKUP(AJ$4,Preisindex,2,FALSE)/VLOOKUP(YEAR($F181),Preisindex,2,FALSE),2),0)))))</f>
        <v>0</v>
      </c>
      <c r="AK181" s="56">
        <f>IF(AND($E181&lt;&gt;0,$F181&gt;0,YEAR($F181)&lt;Preisindex!$A$6,YEAR(AE$4)&gt;=YEAR($F181),AND($K181&lt;&gt;"a",$K181&lt;&gt;"b",$K181&lt;&gt;"g",$K181&lt;&gt;"k")),1,IF(AND($E181&lt;&gt;0,$F181&gt;0,YEAR($F181)&lt;Preisindex!$A$6,YEAR(AE$4)&gt;=YEAR($F181),$K181="a"),ROUND(VLOOKUP(AJ$4,Preisindex,5,FALSE)/VLOOKUP(Preisindex!$A$6,Preisindex,5,FALSE),2),IF(AND($E181&lt;&gt;0,$F181&gt;0,YEAR($F181)&lt;Preisindex!$A$6,YEAR(AE$4)&gt;=YEAR($F181),$K181="b"),ROUND(VLOOKUP(AJ$4,Preisindex,3,FALSE)/VLOOKUP(Preisindex!$A$6,Preisindex,3,FALSE),2),IF(AND($E181&lt;&gt;0,$F181&gt;0,YEAR($F181)&lt;Preisindex!$A$6,YEAR(AE$4)&gt;=YEAR($F181),$K181="g"),ROUND(VLOOKUP(AJ$4,Preisindex,4,FALSE)/VLOOKUP(Preisindex!$A$6,Preisindex,4,FALSE),2),IF(AND($E181&lt;&gt;0,$F181&gt;0,YEAR($F181)&lt;Preisindex!$A$6,YEAR(AE$4)&gt;=YEAR($F181),$K181="k"),ROUND(VLOOKUP(AJ$4,Preisindex,2,FALSE)/VLOOKUP(Preisindex!$A$6,Preisindex,2,FALSE),2),0)))))</f>
        <v>0</v>
      </c>
      <c r="AL181" s="51">
        <f>IF(AND($E181&lt;&gt;0,$F181&gt;0,YEAR($F181)&lt;=AJ$4,YEAR($F181)&gt;=Preisindex!$A$6),ROUND($E181*AJ181,2),IF(AND($E181&lt;&gt;0,$F181&gt;0,YEAR($F181)&lt;=AJ$4,YEAR($F181)&lt;Preisindex!$A$6),ROUND($E181*AK181,2),0))</f>
        <v>0</v>
      </c>
      <c r="AM181" s="53">
        <f t="shared" si="576"/>
        <v>0</v>
      </c>
      <c r="AN181" s="51">
        <f t="shared" ref="AN181:CM196" si="621">IF(YEAR($F181)=AN$4,$E181,0)</f>
        <v>0</v>
      </c>
      <c r="AO181" s="51">
        <f t="shared" si="579"/>
        <v>0</v>
      </c>
      <c r="AP181" s="51">
        <f t="shared" si="493"/>
        <v>0</v>
      </c>
      <c r="AQ181" s="51">
        <f t="shared" si="580"/>
        <v>0</v>
      </c>
      <c r="AR181" s="51">
        <f t="shared" si="494"/>
        <v>0</v>
      </c>
      <c r="AS181" s="51">
        <f t="shared" si="581"/>
        <v>0</v>
      </c>
      <c r="AT181" s="51">
        <f t="shared" si="495"/>
        <v>0</v>
      </c>
      <c r="AU181" s="51">
        <f t="shared" si="582"/>
        <v>0</v>
      </c>
      <c r="AV181" s="51">
        <f t="shared" si="496"/>
        <v>0</v>
      </c>
      <c r="AW181" s="51">
        <f t="shared" si="583"/>
        <v>0</v>
      </c>
      <c r="AX181" s="51">
        <f t="shared" si="497"/>
        <v>0</v>
      </c>
      <c r="AY181" s="54">
        <f t="shared" si="498"/>
        <v>0</v>
      </c>
      <c r="AZ181" s="55">
        <f t="shared" si="499"/>
        <v>0</v>
      </c>
      <c r="BA181" s="56">
        <f>IF(AND($E181&lt;&gt;0,$F181&gt;0,YEAR($F181)&gt;=Preisindex!$A$6,YEAR(AV$4)&gt;=YEAR($F181),AND($K181&lt;&gt;"a",$K181&lt;&gt;"b",$K181&lt;&gt;"g",$K181&lt;&gt;"k")),1,IF(AND($E181&lt;&gt;0,$F181&gt;0,YEAR($F181)&gt;=Preisindex!$A$6,YEAR(AV$4)&gt;=YEAR($F181),$K181="a"),ROUND(VLOOKUP(BA$4,Preisindex,5,FALSE)/VLOOKUP(YEAR($F181),Preisindex,5,FALSE),2),IF(AND($E181&lt;&gt;0,$F181&gt;0,YEAR($F181)&gt;=Preisindex!$A$6,YEAR(AV$4)&gt;=YEAR($F181),$K181="b"),ROUND(VLOOKUP(BA$4,Preisindex,3,FALSE)/VLOOKUP(YEAR($F181),Preisindex,3,FALSE),2),IF(AND($E181&lt;&gt;0,$F181&gt;0,YEAR($F181)&gt;=Preisindex!$A$6,YEAR(AV$4)&gt;=YEAR($F181),$K181="g"),ROUND(VLOOKUP(BA$4,Preisindex,4,FALSE)/VLOOKUP(YEAR($F181),Preisindex,4,FALSE),2),IF(AND($E181&lt;&gt;0,$F181&gt;0,YEAR($F181)&gt;=Preisindex!$A$6,YEAR(AV$4)&gt;=YEAR($F181),$K181="k"),ROUND(VLOOKUP(BA$4,Preisindex,2,FALSE)/VLOOKUP(YEAR($F181),Preisindex,2,FALSE),2),0)))))</f>
        <v>0</v>
      </c>
      <c r="BB181" s="56">
        <f>IF(AND($E181&lt;&gt;0,$F181&gt;0,YEAR($F181)&lt;Preisindex!$A$6,YEAR(AV$4)&gt;=YEAR($F181),AND($K181&lt;&gt;"a",$K181&lt;&gt;"b",$K181&lt;&gt;"g",$K181&lt;&gt;"k")),1,IF(AND($E181&lt;&gt;0,$F181&gt;0,YEAR($F181)&lt;Preisindex!$A$6,YEAR(AV$4)&gt;=YEAR($F181),$K181="a"),ROUND(VLOOKUP(BA$4,Preisindex,5,FALSE)/VLOOKUP(Preisindex!$A$6,Preisindex,5,FALSE),2),IF(AND($E181&lt;&gt;0,$F181&gt;0,YEAR($F181)&lt;Preisindex!$A$6,YEAR(AV$4)&gt;=YEAR($F181),$K181="b"),ROUND(VLOOKUP(BA$4,Preisindex,3,FALSE)/VLOOKUP(Preisindex!$A$6,Preisindex,3,FALSE),2),IF(AND($E181&lt;&gt;0,$F181&gt;0,YEAR($F181)&lt;Preisindex!$A$6,YEAR(AV$4)&gt;=YEAR($F181),$K181="g"),ROUND(VLOOKUP(BA$4,Preisindex,4,FALSE)/VLOOKUP(Preisindex!$A$6,Preisindex,4,FALSE),2),IF(AND($E181&lt;&gt;0,$F181&gt;0,YEAR($F181)&lt;Preisindex!$A$6,YEAR(AV$4)&gt;=YEAR($F181),$K181="k"),ROUND(VLOOKUP(BA$4,Preisindex,2,FALSE)/VLOOKUP(Preisindex!$A$6,Preisindex,2,FALSE),2),0)))))</f>
        <v>0</v>
      </c>
      <c r="BC181" s="51">
        <f>IF(AND($E181&lt;&gt;0,$F181&gt;0,YEAR($F181)&lt;=BA$4,YEAR($F181)&gt;=Preisindex!$A$6),ROUND($E181*BA181,2),IF(AND($E181&lt;&gt;0,$F181&gt;0,YEAR($F181)&lt;=BA$4,YEAR($F181)&lt;Preisindex!$A$6),ROUND($E181*BB181,2),0))</f>
        <v>0</v>
      </c>
      <c r="BD181" s="53">
        <f t="shared" si="500"/>
        <v>0</v>
      </c>
      <c r="BE181" s="51">
        <f t="shared" si="621"/>
        <v>0</v>
      </c>
      <c r="BF181" s="51">
        <f t="shared" si="584"/>
        <v>0</v>
      </c>
      <c r="BG181" s="51">
        <f t="shared" si="501"/>
        <v>0</v>
      </c>
      <c r="BH181" s="51">
        <f t="shared" si="585"/>
        <v>0</v>
      </c>
      <c r="BI181" s="51">
        <f t="shared" si="502"/>
        <v>0</v>
      </c>
      <c r="BJ181" s="51">
        <f t="shared" si="586"/>
        <v>0</v>
      </c>
      <c r="BK181" s="51">
        <f t="shared" si="503"/>
        <v>0</v>
      </c>
      <c r="BL181" s="51">
        <f t="shared" si="587"/>
        <v>0</v>
      </c>
      <c r="BM181" s="51">
        <f t="shared" si="504"/>
        <v>0</v>
      </c>
      <c r="BN181" s="51">
        <f t="shared" si="588"/>
        <v>0</v>
      </c>
      <c r="BO181" s="51">
        <f t="shared" si="505"/>
        <v>0</v>
      </c>
      <c r="BP181" s="54">
        <f t="shared" si="506"/>
        <v>0</v>
      </c>
      <c r="BQ181" s="55">
        <f t="shared" si="507"/>
        <v>0</v>
      </c>
      <c r="BR181" s="56">
        <f>IF(AND($E181&lt;&gt;0,$F181&gt;0,YEAR($F181)&gt;=Preisindex!$A$6,YEAR(BM$4)&gt;=YEAR($F181),AND($K181&lt;&gt;"a",$K181&lt;&gt;"b",$K181&lt;&gt;"g",$K181&lt;&gt;"k")),1,IF(AND($E181&lt;&gt;0,$F181&gt;0,YEAR($F181)&gt;=Preisindex!$A$6,YEAR(BM$4)&gt;=YEAR($F181),$K181="a"),ROUND(VLOOKUP(BR$4,Preisindex,5,FALSE)/VLOOKUP(YEAR($F181),Preisindex,5,FALSE),2),IF(AND($E181&lt;&gt;0,$F181&gt;0,YEAR($F181)&gt;=Preisindex!$A$6,YEAR(BM$4)&gt;=YEAR($F181),$K181="b"),ROUND(VLOOKUP(BR$4,Preisindex,3,FALSE)/VLOOKUP(YEAR($F181),Preisindex,3,FALSE),2),IF(AND($E181&lt;&gt;0,$F181&gt;0,YEAR($F181)&gt;=Preisindex!$A$6,YEAR(BM$4)&gt;=YEAR($F181),$K181="g"),ROUND(VLOOKUP(BR$4,Preisindex,4,FALSE)/VLOOKUP(YEAR($F181),Preisindex,4,FALSE),2),IF(AND($E181&lt;&gt;0,$F181&gt;0,YEAR($F181)&gt;=Preisindex!$A$6,YEAR(BM$4)&gt;=YEAR($F181),$K181="k"),ROUND(VLOOKUP(BR$4,Preisindex,2,FALSE)/VLOOKUP(YEAR($F181),Preisindex,2,FALSE),2),0)))))</f>
        <v>0</v>
      </c>
      <c r="BS181" s="56">
        <f>IF(AND($E181&lt;&gt;0,$F181&gt;0,YEAR($F181)&lt;Preisindex!$A$6,YEAR(BM$4)&gt;=YEAR($F181),AND($K181&lt;&gt;"a",$K181&lt;&gt;"b",$K181&lt;&gt;"g",$K181&lt;&gt;"k")),1,IF(AND($E181&lt;&gt;0,$F181&gt;0,YEAR($F181)&lt;Preisindex!$A$6,YEAR(BM$4)&gt;=YEAR($F181),$K181="a"),ROUND(VLOOKUP(BR$4,Preisindex,5,FALSE)/VLOOKUP(Preisindex!$A$6,Preisindex,5,FALSE),2),IF(AND($E181&lt;&gt;0,$F181&gt;0,YEAR($F181)&lt;Preisindex!$A$6,YEAR(BM$4)&gt;=YEAR($F181),$K181="b"),ROUND(VLOOKUP(BR$4,Preisindex,3,FALSE)/VLOOKUP(Preisindex!$A$6,Preisindex,3,FALSE),2),IF(AND($E181&lt;&gt;0,$F181&gt;0,YEAR($F181)&lt;Preisindex!$A$6,YEAR(BM$4)&gt;=YEAR($F181),$K181="g"),ROUND(VLOOKUP(BR$4,Preisindex,4,FALSE)/VLOOKUP(Preisindex!$A$6,Preisindex,4,FALSE),2),IF(AND($E181&lt;&gt;0,$F181&gt;0,YEAR($F181)&lt;Preisindex!$A$6,YEAR(BM$4)&gt;=YEAR($F181),$K181="k"),ROUND(VLOOKUP(BR$4,Preisindex,2,FALSE)/VLOOKUP(Preisindex!$A$6,Preisindex,2,FALSE),2),0)))))</f>
        <v>0</v>
      </c>
      <c r="BT181" s="51">
        <f>IF(AND($E181&lt;&gt;0,$F181&gt;0,YEAR($F181)&lt;=BR$4,YEAR($F181)&gt;=Preisindex!$A$6),ROUND($E181*BR181,2),IF(AND($E181&lt;&gt;0,$F181&gt;0,YEAR($F181)&lt;=BR$4,YEAR($F181)&lt;Preisindex!$A$6),ROUND($E181*BS181,2),0))</f>
        <v>0</v>
      </c>
      <c r="BU181" s="53">
        <f t="shared" si="508"/>
        <v>0</v>
      </c>
      <c r="BV181" s="51">
        <f t="shared" si="621"/>
        <v>0</v>
      </c>
      <c r="BW181" s="51">
        <f t="shared" si="589"/>
        <v>0</v>
      </c>
      <c r="BX181" s="51">
        <f t="shared" si="509"/>
        <v>0</v>
      </c>
      <c r="BY181" s="51">
        <f t="shared" si="590"/>
        <v>0</v>
      </c>
      <c r="BZ181" s="51">
        <f t="shared" si="510"/>
        <v>0</v>
      </c>
      <c r="CA181" s="51">
        <f t="shared" si="591"/>
        <v>0</v>
      </c>
      <c r="CB181" s="51">
        <f t="shared" si="511"/>
        <v>0</v>
      </c>
      <c r="CC181" s="51">
        <f t="shared" si="592"/>
        <v>0</v>
      </c>
      <c r="CD181" s="51">
        <f t="shared" si="512"/>
        <v>0</v>
      </c>
      <c r="CE181" s="51">
        <f t="shared" si="593"/>
        <v>0</v>
      </c>
      <c r="CF181" s="51">
        <f t="shared" si="513"/>
        <v>0</v>
      </c>
      <c r="CG181" s="54">
        <f t="shared" si="514"/>
        <v>0</v>
      </c>
      <c r="CH181" s="55">
        <f t="shared" si="515"/>
        <v>0</v>
      </c>
      <c r="CI181" s="56">
        <f>IF(AND($E181&lt;&gt;0,$F181&gt;0,YEAR($F181)&gt;=Preisindex!$A$6,YEAR(CD$4)&gt;=YEAR($F181),AND($K181&lt;&gt;"a",$K181&lt;&gt;"b",$K181&lt;&gt;"g",$K181&lt;&gt;"k")),1,IF(AND($E181&lt;&gt;0,$F181&gt;0,YEAR($F181)&gt;=Preisindex!$A$6,YEAR(CD$4)&gt;=YEAR($F181),$K181="a"),ROUND(VLOOKUP(CI$4,Preisindex,5,FALSE)/VLOOKUP(YEAR($F181),Preisindex,5,FALSE),2),IF(AND($E181&lt;&gt;0,$F181&gt;0,YEAR($F181)&gt;=Preisindex!$A$6,YEAR(CD$4)&gt;=YEAR($F181),$K181="b"),ROUND(VLOOKUP(CI$4,Preisindex,3,FALSE)/VLOOKUP(YEAR($F181),Preisindex,3,FALSE),2),IF(AND($E181&lt;&gt;0,$F181&gt;0,YEAR($F181)&gt;=Preisindex!$A$6,YEAR(CD$4)&gt;=YEAR($F181),$K181="g"),ROUND(VLOOKUP(CI$4,Preisindex,4,FALSE)/VLOOKUP(YEAR($F181),Preisindex,4,FALSE),2),IF(AND($E181&lt;&gt;0,$F181&gt;0,YEAR($F181)&gt;=Preisindex!$A$6,YEAR(CD$4)&gt;=YEAR($F181),$K181="k"),ROUND(VLOOKUP(CI$4,Preisindex,2,FALSE)/VLOOKUP(YEAR($F181),Preisindex,2,FALSE),2),0)))))</f>
        <v>0</v>
      </c>
      <c r="CJ181" s="56">
        <f>IF(AND($E181&lt;&gt;0,$F181&gt;0,YEAR($F181)&lt;Preisindex!$A$6,YEAR(CD$4)&gt;=YEAR($F181),AND($K181&lt;&gt;"a",$K181&lt;&gt;"b",$K181&lt;&gt;"g",$K181&lt;&gt;"k")),1,IF(AND($E181&lt;&gt;0,$F181&gt;0,YEAR($F181)&lt;Preisindex!$A$6,YEAR(CD$4)&gt;=YEAR($F181),$K181="a"),ROUND(VLOOKUP(CI$4,Preisindex,5,FALSE)/VLOOKUP(Preisindex!$A$6,Preisindex,5,FALSE),2),IF(AND($E181&lt;&gt;0,$F181&gt;0,YEAR($F181)&lt;Preisindex!$A$6,YEAR(CD$4)&gt;=YEAR($F181),$K181="b"),ROUND(VLOOKUP(CI$4,Preisindex,3,FALSE)/VLOOKUP(Preisindex!$A$6,Preisindex,3,FALSE),2),IF(AND($E181&lt;&gt;0,$F181&gt;0,YEAR($F181)&lt;Preisindex!$A$6,YEAR(CD$4)&gt;=YEAR($F181),$K181="g"),ROUND(VLOOKUP(CI$4,Preisindex,4,FALSE)/VLOOKUP(Preisindex!$A$6,Preisindex,4,FALSE),2),IF(AND($E181&lt;&gt;0,$F181&gt;0,YEAR($F181)&lt;Preisindex!$A$6,YEAR(CD$4)&gt;=YEAR($F181),$K181="k"),ROUND(VLOOKUP(CI$4,Preisindex,2,FALSE)/VLOOKUP(Preisindex!$A$6,Preisindex,2,FALSE),2),0)))))</f>
        <v>0</v>
      </c>
      <c r="CK181" s="51">
        <f>IF(AND($E181&lt;&gt;0,$F181&gt;0,YEAR($F181)&lt;=CI$4,YEAR($F181)&gt;=Preisindex!$A$6),ROUND($E181*CI181,2),IF(AND($E181&lt;&gt;0,$F181&gt;0,YEAR($F181)&lt;=CI$4,YEAR($F181)&lt;Preisindex!$A$6),ROUND($E181*CJ181,2),0))</f>
        <v>0</v>
      </c>
      <c r="CL181" s="53">
        <f t="shared" si="516"/>
        <v>0</v>
      </c>
      <c r="CM181" s="51">
        <f t="shared" si="621"/>
        <v>0</v>
      </c>
      <c r="CN181" s="51">
        <f t="shared" si="594"/>
        <v>0</v>
      </c>
      <c r="CO181" s="51">
        <f t="shared" si="517"/>
        <v>0</v>
      </c>
      <c r="CP181" s="51">
        <f t="shared" si="595"/>
        <v>0</v>
      </c>
      <c r="CQ181" s="51">
        <f t="shared" si="518"/>
        <v>0</v>
      </c>
      <c r="CR181" s="51">
        <f t="shared" si="596"/>
        <v>0</v>
      </c>
      <c r="CS181" s="51">
        <f t="shared" si="519"/>
        <v>0</v>
      </c>
      <c r="CT181" s="51">
        <f t="shared" si="597"/>
        <v>0</v>
      </c>
      <c r="CU181" s="51">
        <f t="shared" si="520"/>
        <v>0</v>
      </c>
      <c r="CV181" s="51">
        <f t="shared" si="598"/>
        <v>0</v>
      </c>
      <c r="CW181" s="51">
        <f t="shared" si="521"/>
        <v>0</v>
      </c>
      <c r="CX181" s="54">
        <f t="shared" si="522"/>
        <v>0</v>
      </c>
      <c r="CY181" s="55">
        <f t="shared" si="523"/>
        <v>0</v>
      </c>
      <c r="CZ181" s="56">
        <f>IF(AND($E181&lt;&gt;0,$F181&gt;0,YEAR($F181)&gt;=Preisindex!$A$6,YEAR(CU$4)&gt;=YEAR($F181),AND($K181&lt;&gt;"a",$K181&lt;&gt;"b",$K181&lt;&gt;"g",$K181&lt;&gt;"k")),1,IF(AND($E181&lt;&gt;0,$F181&gt;0,YEAR($F181)&gt;=Preisindex!$A$6,YEAR(CU$4)&gt;=YEAR($F181),$K181="a"),ROUND(VLOOKUP(CZ$4,Preisindex,5,FALSE)/VLOOKUP(YEAR($F181),Preisindex,5,FALSE),2),IF(AND($E181&lt;&gt;0,$F181&gt;0,YEAR($F181)&gt;=Preisindex!$A$6,YEAR(CU$4)&gt;=YEAR($F181),$K181="b"),ROUND(VLOOKUP(CZ$4,Preisindex,3,FALSE)/VLOOKUP(YEAR($F181),Preisindex,3,FALSE),2),IF(AND($E181&lt;&gt;0,$F181&gt;0,YEAR($F181)&gt;=Preisindex!$A$6,YEAR(CU$4)&gt;=YEAR($F181),$K181="g"),ROUND(VLOOKUP(CZ$4,Preisindex,4,FALSE)/VLOOKUP(YEAR($F181),Preisindex,4,FALSE),2),IF(AND($E181&lt;&gt;0,$F181&gt;0,YEAR($F181)&gt;=Preisindex!$A$6,YEAR(CU$4)&gt;=YEAR($F181),$K181="k"),ROUND(VLOOKUP(CZ$4,Preisindex,2,FALSE)/VLOOKUP(YEAR($F181),Preisindex,2,FALSE),2),0)))))</f>
        <v>0</v>
      </c>
      <c r="DA181" s="56">
        <f>IF(AND($E181&lt;&gt;0,$F181&gt;0,YEAR($F181)&lt;Preisindex!$A$6,YEAR(CU$4)&gt;=YEAR($F181),AND($K181&lt;&gt;"a",$K181&lt;&gt;"b",$K181&lt;&gt;"g",$K181&lt;&gt;"k")),1,IF(AND($E181&lt;&gt;0,$F181&gt;0,YEAR($F181)&lt;Preisindex!$A$6,YEAR(CU$4)&gt;=YEAR($F181),$K181="a"),ROUND(VLOOKUP(CZ$4,Preisindex,5,FALSE)/VLOOKUP(Preisindex!$A$6,Preisindex,5,FALSE),2),IF(AND($E181&lt;&gt;0,$F181&gt;0,YEAR($F181)&lt;Preisindex!$A$6,YEAR(CU$4)&gt;=YEAR($F181),$K181="b"),ROUND(VLOOKUP(CZ$4,Preisindex,3,FALSE)/VLOOKUP(Preisindex!$A$6,Preisindex,3,FALSE),2),IF(AND($E181&lt;&gt;0,$F181&gt;0,YEAR($F181)&lt;Preisindex!$A$6,YEAR(CU$4)&gt;=YEAR($F181),$K181="g"),ROUND(VLOOKUP(CZ$4,Preisindex,4,FALSE)/VLOOKUP(Preisindex!$A$6,Preisindex,4,FALSE),2),IF(AND($E181&lt;&gt;0,$F181&gt;0,YEAR($F181)&lt;Preisindex!$A$6,YEAR(CU$4)&gt;=YEAR($F181),$K181="k"),ROUND(VLOOKUP(CZ$4,Preisindex,2,FALSE)/VLOOKUP(Preisindex!$A$6,Preisindex,2,FALSE),2),0)))))</f>
        <v>0</v>
      </c>
      <c r="DB181" s="51">
        <f>IF(AND($E181&lt;&gt;0,$F181&gt;0,YEAR($F181)&lt;=CZ$4,YEAR($F181)&gt;=Preisindex!$A$6),ROUND($E181*CZ181,2),IF(AND($E181&lt;&gt;0,$F181&gt;0,YEAR($F181)&lt;=CZ$4,YEAR($F181)&lt;Preisindex!$A$6),ROUND($E181*DA181,2),0))</f>
        <v>0</v>
      </c>
      <c r="DC181" s="53">
        <f t="shared" si="524"/>
        <v>0</v>
      </c>
      <c r="DD181" s="51">
        <f t="shared" ref="DD181:FC196" si="622">IF(YEAR($F181)=DD$4,$E181,0)</f>
        <v>0</v>
      </c>
      <c r="DE181" s="51">
        <f t="shared" si="599"/>
        <v>0</v>
      </c>
      <c r="DF181" s="51">
        <f t="shared" si="526"/>
        <v>0</v>
      </c>
      <c r="DG181" s="51">
        <f t="shared" si="600"/>
        <v>0</v>
      </c>
      <c r="DH181" s="51">
        <f t="shared" si="527"/>
        <v>0</v>
      </c>
      <c r="DI181" s="51">
        <f t="shared" si="601"/>
        <v>0</v>
      </c>
      <c r="DJ181" s="51">
        <f t="shared" si="528"/>
        <v>0</v>
      </c>
      <c r="DK181" s="51">
        <f t="shared" si="602"/>
        <v>0</v>
      </c>
      <c r="DL181" s="51">
        <f t="shared" si="529"/>
        <v>0</v>
      </c>
      <c r="DM181" s="51">
        <f t="shared" si="603"/>
        <v>0</v>
      </c>
      <c r="DN181" s="51">
        <f t="shared" si="530"/>
        <v>0</v>
      </c>
      <c r="DO181" s="54">
        <f t="shared" si="531"/>
        <v>0</v>
      </c>
      <c r="DP181" s="55">
        <f t="shared" si="532"/>
        <v>0</v>
      </c>
      <c r="DQ181" s="56">
        <f>IF(AND($E181&lt;&gt;0,$F181&gt;0,YEAR($F181)&gt;=Preisindex!$A$6,YEAR(DL$4)&gt;=YEAR($F181),AND($K181&lt;&gt;"a",$K181&lt;&gt;"b",$K181&lt;&gt;"g",$K181&lt;&gt;"k")),1,IF(AND($E181&lt;&gt;0,$F181&gt;0,YEAR($F181)&gt;=Preisindex!$A$6,YEAR(DL$4)&gt;=YEAR($F181),$K181="a"),ROUND(VLOOKUP(DQ$4,Preisindex,5,FALSE)/VLOOKUP(YEAR($F181),Preisindex,5,FALSE),2),IF(AND($E181&lt;&gt;0,$F181&gt;0,YEAR($F181)&gt;=Preisindex!$A$6,YEAR(DL$4)&gt;=YEAR($F181),$K181="b"),ROUND(VLOOKUP(DQ$4,Preisindex,3,FALSE)/VLOOKUP(YEAR($F181),Preisindex,3,FALSE),2),IF(AND($E181&lt;&gt;0,$F181&gt;0,YEAR($F181)&gt;=Preisindex!$A$6,YEAR(DL$4)&gt;=YEAR($F181),$K181="g"),ROUND(VLOOKUP(DQ$4,Preisindex,4,FALSE)/VLOOKUP(YEAR($F181),Preisindex,4,FALSE),2),IF(AND($E181&lt;&gt;0,$F181&gt;0,YEAR($F181)&gt;=Preisindex!$A$6,YEAR(DL$4)&gt;=YEAR($F181),$K181="k"),ROUND(VLOOKUP(DQ$4,Preisindex,2,FALSE)/VLOOKUP(YEAR($F181),Preisindex,2,FALSE),2),0)))))</f>
        <v>0</v>
      </c>
      <c r="DR181" s="56">
        <f>IF(AND($E181&lt;&gt;0,$F181&gt;0,YEAR($F181)&lt;Preisindex!$A$6,YEAR(DL$4)&gt;=YEAR($F181),AND($K181&lt;&gt;"a",$K181&lt;&gt;"b",$K181&lt;&gt;"g",$K181&lt;&gt;"k")),1,IF(AND($E181&lt;&gt;0,$F181&gt;0,YEAR($F181)&lt;Preisindex!$A$6,YEAR(DL$4)&gt;=YEAR($F181),$K181="a"),ROUND(VLOOKUP(DQ$4,Preisindex,5,FALSE)/VLOOKUP(Preisindex!$A$6,Preisindex,5,FALSE),2),IF(AND($E181&lt;&gt;0,$F181&gt;0,YEAR($F181)&lt;Preisindex!$A$6,YEAR(DL$4)&gt;=YEAR($F181),$K181="b"),ROUND(VLOOKUP(DQ$4,Preisindex,3,FALSE)/VLOOKUP(Preisindex!$A$6,Preisindex,3,FALSE),2),IF(AND($E181&lt;&gt;0,$F181&gt;0,YEAR($F181)&lt;Preisindex!$A$6,YEAR(DL$4)&gt;=YEAR($F181),$K181="g"),ROUND(VLOOKUP(DQ$4,Preisindex,4,FALSE)/VLOOKUP(Preisindex!$A$6,Preisindex,4,FALSE),2),IF(AND($E181&lt;&gt;0,$F181&gt;0,YEAR($F181)&lt;Preisindex!$A$6,YEAR(DL$4)&gt;=YEAR($F181),$K181="k"),ROUND(VLOOKUP(DQ$4,Preisindex,2,FALSE)/VLOOKUP(Preisindex!$A$6,Preisindex,2,FALSE),2),0)))))</f>
        <v>0</v>
      </c>
      <c r="DS181" s="51">
        <f>IF(AND($E181&lt;&gt;0,$F181&gt;0,YEAR($F181)&lt;=DQ$4,YEAR($F181)&gt;=Preisindex!$A$6),ROUND($E181*DQ181,2),IF(AND($E181&lt;&gt;0,$F181&gt;0,YEAR($F181)&lt;=DQ$4,YEAR($F181)&lt;Preisindex!$A$6),ROUND($E181*DR181,2),0))</f>
        <v>0</v>
      </c>
      <c r="DT181" s="53">
        <f t="shared" si="533"/>
        <v>0</v>
      </c>
      <c r="DU181" s="51">
        <f t="shared" si="622"/>
        <v>0</v>
      </c>
      <c r="DV181" s="51">
        <f t="shared" si="604"/>
        <v>0</v>
      </c>
      <c r="DW181" s="51">
        <f t="shared" si="534"/>
        <v>0</v>
      </c>
      <c r="DX181" s="51">
        <f t="shared" si="605"/>
        <v>0</v>
      </c>
      <c r="DY181" s="51">
        <f t="shared" si="535"/>
        <v>0</v>
      </c>
      <c r="DZ181" s="51">
        <f t="shared" si="606"/>
        <v>0</v>
      </c>
      <c r="EA181" s="51">
        <f t="shared" si="536"/>
        <v>0</v>
      </c>
      <c r="EB181" s="51">
        <f t="shared" si="607"/>
        <v>0</v>
      </c>
      <c r="EC181" s="51">
        <f t="shared" si="537"/>
        <v>0</v>
      </c>
      <c r="ED181" s="51">
        <f t="shared" si="608"/>
        <v>0</v>
      </c>
      <c r="EE181" s="51">
        <f t="shared" si="538"/>
        <v>0</v>
      </c>
      <c r="EF181" s="54">
        <f t="shared" si="539"/>
        <v>0</v>
      </c>
      <c r="EG181" s="55">
        <f t="shared" si="540"/>
        <v>0</v>
      </c>
      <c r="EH181" s="56">
        <f>IF(AND($E181&lt;&gt;0,$F181&gt;0,YEAR($F181)&gt;=Preisindex!$A$6,YEAR(EC$4)&gt;=YEAR($F181),AND($K181&lt;&gt;"a",$K181&lt;&gt;"b",$K181&lt;&gt;"g",$K181&lt;&gt;"k")),1,IF(AND($E181&lt;&gt;0,$F181&gt;0,YEAR($F181)&gt;=Preisindex!$A$6,YEAR(EC$4)&gt;=YEAR($F181),$K181="a"),ROUND(VLOOKUP(EH$4,Preisindex,5,FALSE)/VLOOKUP(YEAR($F181),Preisindex,5,FALSE),2),IF(AND($E181&lt;&gt;0,$F181&gt;0,YEAR($F181)&gt;=Preisindex!$A$6,YEAR(EC$4)&gt;=YEAR($F181),$K181="b"),ROUND(VLOOKUP(EH$4,Preisindex,3,FALSE)/VLOOKUP(YEAR($F181),Preisindex,3,FALSE),2),IF(AND($E181&lt;&gt;0,$F181&gt;0,YEAR($F181)&gt;=Preisindex!$A$6,YEAR(EC$4)&gt;=YEAR($F181),$K181="g"),ROUND(VLOOKUP(EH$4,Preisindex,4,FALSE)/VLOOKUP(YEAR($F181),Preisindex,4,FALSE),2),IF(AND($E181&lt;&gt;0,$F181&gt;0,YEAR($F181)&gt;=Preisindex!$A$6,YEAR(EC$4)&gt;=YEAR($F181),$K181="k"),ROUND(VLOOKUP(EH$4,Preisindex,2,FALSE)/VLOOKUP(YEAR($F181),Preisindex,2,FALSE),2),0)))))</f>
        <v>0</v>
      </c>
      <c r="EI181" s="56">
        <f>IF(AND($E181&lt;&gt;0,$F181&gt;0,YEAR($F181)&lt;Preisindex!$A$6,YEAR(EC$4)&gt;=YEAR($F181),AND($K181&lt;&gt;"a",$K181&lt;&gt;"b",$K181&lt;&gt;"g",$K181&lt;&gt;"k")),1,IF(AND($E181&lt;&gt;0,$F181&gt;0,YEAR($F181)&lt;Preisindex!$A$6,YEAR(EC$4)&gt;=YEAR($F181),$K181="a"),ROUND(VLOOKUP(EH$4,Preisindex,5,FALSE)/VLOOKUP(Preisindex!$A$6,Preisindex,5,FALSE),2),IF(AND($E181&lt;&gt;0,$F181&gt;0,YEAR($F181)&lt;Preisindex!$A$6,YEAR(EC$4)&gt;=YEAR($F181),$K181="b"),ROUND(VLOOKUP(EH$4,Preisindex,3,FALSE)/VLOOKUP(Preisindex!$A$6,Preisindex,3,FALSE),2),IF(AND($E181&lt;&gt;0,$F181&gt;0,YEAR($F181)&lt;Preisindex!$A$6,YEAR(EC$4)&gt;=YEAR($F181),$K181="g"),ROUND(VLOOKUP(EH$4,Preisindex,4,FALSE)/VLOOKUP(Preisindex!$A$6,Preisindex,4,FALSE),2),IF(AND($E181&lt;&gt;0,$F181&gt;0,YEAR($F181)&lt;Preisindex!$A$6,YEAR(EC$4)&gt;=YEAR($F181),$K181="k"),ROUND(VLOOKUP(EH$4,Preisindex,2,FALSE)/VLOOKUP(Preisindex!$A$6,Preisindex,2,FALSE),2),0)))))</f>
        <v>0</v>
      </c>
      <c r="EJ181" s="51">
        <f>IF(AND($E181&lt;&gt;0,$F181&gt;0,YEAR($F181)&lt;=EH$4,YEAR($F181)&gt;=Preisindex!$A$6),ROUND($E181*EH181,2),IF(AND($E181&lt;&gt;0,$F181&gt;0,YEAR($F181)&lt;=EH$4,YEAR($F181)&lt;Preisindex!$A$6),ROUND($E181*EI181,2),0))</f>
        <v>0</v>
      </c>
      <c r="EK181" s="53">
        <f t="shared" si="541"/>
        <v>0</v>
      </c>
      <c r="EL181" s="51">
        <f t="shared" si="622"/>
        <v>0</v>
      </c>
      <c r="EM181" s="51">
        <f t="shared" si="609"/>
        <v>0</v>
      </c>
      <c r="EN181" s="51">
        <f t="shared" si="542"/>
        <v>0</v>
      </c>
      <c r="EO181" s="51">
        <f t="shared" si="610"/>
        <v>0</v>
      </c>
      <c r="EP181" s="51">
        <f t="shared" si="543"/>
        <v>0</v>
      </c>
      <c r="EQ181" s="51">
        <f t="shared" si="611"/>
        <v>0</v>
      </c>
      <c r="ER181" s="51">
        <f t="shared" si="544"/>
        <v>0</v>
      </c>
      <c r="ES181" s="51">
        <f t="shared" si="612"/>
        <v>0</v>
      </c>
      <c r="ET181" s="51">
        <f t="shared" si="545"/>
        <v>0</v>
      </c>
      <c r="EU181" s="51">
        <f t="shared" si="613"/>
        <v>0</v>
      </c>
      <c r="EV181" s="51">
        <f t="shared" si="546"/>
        <v>0</v>
      </c>
      <c r="EW181" s="54">
        <f t="shared" si="547"/>
        <v>0</v>
      </c>
      <c r="EX181" s="55">
        <f t="shared" si="548"/>
        <v>0</v>
      </c>
      <c r="EY181" s="56">
        <f>IF(AND($E181&lt;&gt;0,$F181&gt;0,YEAR($F181)&gt;=Preisindex!$A$6,YEAR(ET$4)&gt;=YEAR($F181),AND($K181&lt;&gt;"a",$K181&lt;&gt;"b",$K181&lt;&gt;"g",$K181&lt;&gt;"k")),1,IF(AND($E181&lt;&gt;0,$F181&gt;0,YEAR($F181)&gt;=Preisindex!$A$6,YEAR(ET$4)&gt;=YEAR($F181),$K181="a"),ROUND(VLOOKUP(EY$4,Preisindex,5,FALSE)/VLOOKUP(YEAR($F181),Preisindex,5,FALSE),2),IF(AND($E181&lt;&gt;0,$F181&gt;0,YEAR($F181)&gt;=Preisindex!$A$6,YEAR(ET$4)&gt;=YEAR($F181),$K181="b"),ROUND(VLOOKUP(EY$4,Preisindex,3,FALSE)/VLOOKUP(YEAR($F181),Preisindex,3,FALSE),2),IF(AND($E181&lt;&gt;0,$F181&gt;0,YEAR($F181)&gt;=Preisindex!$A$6,YEAR(ET$4)&gt;=YEAR($F181),$K181="g"),ROUND(VLOOKUP(EY$4,Preisindex,4,FALSE)/VLOOKUP(YEAR($F181),Preisindex,4,FALSE),2),IF(AND($E181&lt;&gt;0,$F181&gt;0,YEAR($F181)&gt;=Preisindex!$A$6,YEAR(ET$4)&gt;=YEAR($F181),$K181="k"),ROUND(VLOOKUP(EY$4,Preisindex,2,FALSE)/VLOOKUP(YEAR($F181),Preisindex,2,FALSE),2),0)))))</f>
        <v>0</v>
      </c>
      <c r="EZ181" s="56">
        <f>IF(AND($E181&lt;&gt;0,$F181&gt;0,YEAR($F181)&lt;Preisindex!$A$6,YEAR(ET$4)&gt;=YEAR($F181),AND($K181&lt;&gt;"a",$K181&lt;&gt;"b",$K181&lt;&gt;"g",$K181&lt;&gt;"k")),1,IF(AND($E181&lt;&gt;0,$F181&gt;0,YEAR($F181)&lt;Preisindex!$A$6,YEAR(ET$4)&gt;=YEAR($F181),$K181="a"),ROUND(VLOOKUP(EY$4,Preisindex,5,FALSE)/VLOOKUP(Preisindex!$A$6,Preisindex,5,FALSE),2),IF(AND($E181&lt;&gt;0,$F181&gt;0,YEAR($F181)&lt;Preisindex!$A$6,YEAR(ET$4)&gt;=YEAR($F181),$K181="b"),ROUND(VLOOKUP(EY$4,Preisindex,3,FALSE)/VLOOKUP(Preisindex!$A$6,Preisindex,3,FALSE),2),IF(AND($E181&lt;&gt;0,$F181&gt;0,YEAR($F181)&lt;Preisindex!$A$6,YEAR(ET$4)&gt;=YEAR($F181),$K181="g"),ROUND(VLOOKUP(EY$4,Preisindex,4,FALSE)/VLOOKUP(Preisindex!$A$6,Preisindex,4,FALSE),2),IF(AND($E181&lt;&gt;0,$F181&gt;0,YEAR($F181)&lt;Preisindex!$A$6,YEAR(ET$4)&gt;=YEAR($F181),$K181="k"),ROUND(VLOOKUP(EY$4,Preisindex,2,FALSE)/VLOOKUP(Preisindex!$A$6,Preisindex,2,FALSE),2),0)))))</f>
        <v>0</v>
      </c>
      <c r="FA181" s="51">
        <f>IF(AND($E181&lt;&gt;0,$F181&gt;0,YEAR($F181)&lt;=EY$4,YEAR($F181)&gt;=Preisindex!$A$6),ROUND($E181*EY181,2),IF(AND($E181&lt;&gt;0,$F181&gt;0,YEAR($F181)&lt;=EY$4,YEAR($F181)&lt;Preisindex!$A$6),ROUND($E181*EZ181,2),0))</f>
        <v>0</v>
      </c>
      <c r="FB181" s="53">
        <f t="shared" si="549"/>
        <v>0</v>
      </c>
      <c r="FC181" s="51">
        <f t="shared" si="622"/>
        <v>0</v>
      </c>
      <c r="FD181" s="51">
        <f t="shared" si="614"/>
        <v>0</v>
      </c>
      <c r="FE181" s="51">
        <f t="shared" si="550"/>
        <v>0</v>
      </c>
      <c r="FF181" s="51">
        <f t="shared" si="615"/>
        <v>0</v>
      </c>
      <c r="FG181" s="51">
        <f t="shared" si="551"/>
        <v>0</v>
      </c>
      <c r="FH181" s="51">
        <f t="shared" si="616"/>
        <v>0</v>
      </c>
      <c r="FI181" s="51">
        <f t="shared" si="552"/>
        <v>0</v>
      </c>
      <c r="FJ181" s="51">
        <f t="shared" si="617"/>
        <v>0</v>
      </c>
      <c r="FK181" s="51">
        <f t="shared" si="553"/>
        <v>0</v>
      </c>
      <c r="FL181" s="51">
        <f t="shared" si="618"/>
        <v>0</v>
      </c>
      <c r="FM181" s="51">
        <f t="shared" si="554"/>
        <v>0</v>
      </c>
      <c r="FN181" s="54">
        <f t="shared" si="555"/>
        <v>0</v>
      </c>
      <c r="FO181" s="55">
        <f t="shared" si="556"/>
        <v>0</v>
      </c>
      <c r="FP181" s="56">
        <f>IF(AND($E181&lt;&gt;0,$F181&gt;0,YEAR($F181)&gt;=Preisindex!$A$6,YEAR(FK$4)&gt;=YEAR($F181),AND($K181&lt;&gt;"a",$K181&lt;&gt;"b",$K181&lt;&gt;"g",$K181&lt;&gt;"k")),1,IF(AND($E181&lt;&gt;0,$F181&gt;0,YEAR($F181)&gt;=Preisindex!$A$6,YEAR(FK$4)&gt;=YEAR($F181),$K181="a"),ROUND(VLOOKUP(FP$4,Preisindex,5,FALSE)/VLOOKUP(YEAR($F181),Preisindex,5,FALSE),2),IF(AND($E181&lt;&gt;0,$F181&gt;0,YEAR($F181)&gt;=Preisindex!$A$6,YEAR(FK$4)&gt;=YEAR($F181),$K181="b"),ROUND(VLOOKUP(FP$4,Preisindex,3,FALSE)/VLOOKUP(YEAR($F181),Preisindex,3,FALSE),2),IF(AND($E181&lt;&gt;0,$F181&gt;0,YEAR($F181)&gt;=Preisindex!$A$6,YEAR(FK$4)&gt;=YEAR($F181),$K181="g"),ROUND(VLOOKUP(FP$4,Preisindex,4,FALSE)/VLOOKUP(YEAR($F181),Preisindex,4,FALSE),2),IF(AND($E181&lt;&gt;0,$F181&gt;0,YEAR($F181)&gt;=Preisindex!$A$6,YEAR(FK$4)&gt;=YEAR($F181),$K181="k"),ROUND(VLOOKUP(FP$4,Preisindex,2,FALSE)/VLOOKUP(YEAR($F181),Preisindex,2,FALSE),2),0)))))</f>
        <v>0</v>
      </c>
      <c r="FQ181" s="56">
        <f>IF(AND($E181&lt;&gt;0,$F181&gt;0,YEAR($F181)&lt;Preisindex!$A$6,YEAR(FK$4)&gt;=YEAR($F181),AND($K181&lt;&gt;"a",$K181&lt;&gt;"b",$K181&lt;&gt;"g",$K181&lt;&gt;"k")),1,IF(AND($E181&lt;&gt;0,$F181&gt;0,YEAR($F181)&lt;Preisindex!$A$6,YEAR(FK$4)&gt;=YEAR($F181),$K181="a"),ROUND(VLOOKUP(FP$4,Preisindex,5,FALSE)/VLOOKUP(Preisindex!$A$6,Preisindex,5,FALSE),2),IF(AND($E181&lt;&gt;0,$F181&gt;0,YEAR($F181)&lt;Preisindex!$A$6,YEAR(FK$4)&gt;=YEAR($F181),$K181="b"),ROUND(VLOOKUP(FP$4,Preisindex,3,FALSE)/VLOOKUP(Preisindex!$A$6,Preisindex,3,FALSE),2),IF(AND($E181&lt;&gt;0,$F181&gt;0,YEAR($F181)&lt;Preisindex!$A$6,YEAR(FK$4)&gt;=YEAR($F181),$K181="g"),ROUND(VLOOKUP(FP$4,Preisindex,4,FALSE)/VLOOKUP(Preisindex!$A$6,Preisindex,4,FALSE),2),IF(AND($E181&lt;&gt;0,$F181&gt;0,YEAR($F181)&lt;Preisindex!$A$6,YEAR(FK$4)&gt;=YEAR($F181),$K181="k"),ROUND(VLOOKUP(FP$4,Preisindex,2,FALSE)/VLOOKUP(Preisindex!$A$6,Preisindex,2,FALSE),2),0)))))</f>
        <v>0</v>
      </c>
      <c r="FR181" s="51">
        <f>IF(AND($E181&lt;&gt;0,$F181&gt;0,YEAR($F181)&lt;=FP$4,YEAR($F181)&gt;=Preisindex!$A$6),ROUND($E181*FP181,2),IF(AND($E181&lt;&gt;0,$F181&gt;0,YEAR($F181)&lt;=FP$4,YEAR($F181)&lt;Preisindex!$A$6),ROUND($E181*FQ181,2),0))</f>
        <v>0</v>
      </c>
      <c r="FS181" s="53">
        <f t="shared" si="557"/>
        <v>0</v>
      </c>
    </row>
    <row r="182" spans="1:175" x14ac:dyDescent="0.3">
      <c r="A182" s="93"/>
      <c r="B182" s="94"/>
      <c r="C182" s="94"/>
      <c r="D182" s="95"/>
      <c r="E182" s="99"/>
      <c r="F182" s="97"/>
      <c r="G182" s="98"/>
      <c r="H182" s="620"/>
      <c r="I182" s="621"/>
      <c r="J182" s="194"/>
      <c r="K182" s="630"/>
      <c r="L182" s="49">
        <f t="shared" si="558"/>
        <v>0</v>
      </c>
      <c r="M182" s="50">
        <f t="shared" si="559"/>
        <v>0</v>
      </c>
      <c r="N182" s="51">
        <f t="shared" si="560"/>
        <v>0</v>
      </c>
      <c r="O182" s="51"/>
      <c r="P182" s="51">
        <f t="shared" si="561"/>
        <v>0</v>
      </c>
      <c r="Q182" s="52"/>
      <c r="R182" s="52"/>
      <c r="S182" s="52"/>
      <c r="T182" s="52"/>
      <c r="U182" s="52"/>
      <c r="V182" s="53">
        <f t="shared" si="562"/>
        <v>0</v>
      </c>
      <c r="W182" s="51">
        <f t="shared" si="563"/>
        <v>0</v>
      </c>
      <c r="X182" s="51">
        <f t="shared" si="564"/>
        <v>0</v>
      </c>
      <c r="Y182" s="51">
        <f t="shared" si="565"/>
        <v>0</v>
      </c>
      <c r="Z182" s="51">
        <f t="shared" si="566"/>
        <v>0</v>
      </c>
      <c r="AA182" s="51">
        <f t="shared" si="567"/>
        <v>0</v>
      </c>
      <c r="AB182" s="51">
        <f t="shared" si="568"/>
        <v>0</v>
      </c>
      <c r="AC182" s="51">
        <f t="shared" si="569"/>
        <v>0</v>
      </c>
      <c r="AD182" s="51">
        <f t="shared" si="570"/>
        <v>0</v>
      </c>
      <c r="AE182" s="51">
        <f t="shared" si="571"/>
        <v>0</v>
      </c>
      <c r="AF182" s="51">
        <f t="shared" si="572"/>
        <v>0</v>
      </c>
      <c r="AG182" s="51">
        <f t="shared" si="573"/>
        <v>0</v>
      </c>
      <c r="AH182" s="54">
        <f t="shared" si="574"/>
        <v>0</v>
      </c>
      <c r="AI182" s="55">
        <f t="shared" si="575"/>
        <v>0</v>
      </c>
      <c r="AJ182" s="56">
        <f>IF(AND($E182&lt;&gt;0,$F182&gt;0,YEAR($F182)&gt;=Preisindex!$A$6,YEAR(AE$4)&gt;=YEAR($F182),AND($K182&lt;&gt;"a",$K182&lt;&gt;"b",$K182&lt;&gt;"g",$K182&lt;&gt;"k")),1,IF(AND($E182&lt;&gt;0,$F182&gt;0,YEAR($F182)&gt;=Preisindex!$A$6,YEAR(AE$4)&gt;=YEAR($F182),$K182="a"),ROUND(VLOOKUP(AJ$4,Preisindex,5,FALSE)/VLOOKUP(YEAR($F182),Preisindex,5,FALSE),2),IF(AND($E182&lt;&gt;0,$F182&gt;0,YEAR($F182)&gt;=Preisindex!$A$6,YEAR(AE$4)&gt;=YEAR($F182),$K182="b"),ROUND(VLOOKUP(AJ$4,Preisindex,3,FALSE)/VLOOKUP(YEAR($F182),Preisindex,3,FALSE),2),IF(AND($E182&lt;&gt;0,$F182&gt;0,YEAR($F182)&gt;=Preisindex!$A$6,YEAR(AE$4)&gt;=YEAR($F182),$K182="g"),ROUND(VLOOKUP(AJ$4,Preisindex,4,FALSE)/VLOOKUP(YEAR($F182),Preisindex,4,FALSE),2),IF(AND($E182&lt;&gt;0,$F182&gt;0,YEAR($F182)&gt;=Preisindex!$A$6,YEAR(AE$4)&gt;=YEAR($F182),$K182="k"),ROUND(VLOOKUP(AJ$4,Preisindex,2,FALSE)/VLOOKUP(YEAR($F182),Preisindex,2,FALSE),2),0)))))</f>
        <v>0</v>
      </c>
      <c r="AK182" s="56">
        <f>IF(AND($E182&lt;&gt;0,$F182&gt;0,YEAR($F182)&lt;Preisindex!$A$6,YEAR(AE$4)&gt;=YEAR($F182),AND($K182&lt;&gt;"a",$K182&lt;&gt;"b",$K182&lt;&gt;"g",$K182&lt;&gt;"k")),1,IF(AND($E182&lt;&gt;0,$F182&gt;0,YEAR($F182)&lt;Preisindex!$A$6,YEAR(AE$4)&gt;=YEAR($F182),$K182="a"),ROUND(VLOOKUP(AJ$4,Preisindex,5,FALSE)/VLOOKUP(Preisindex!$A$6,Preisindex,5,FALSE),2),IF(AND($E182&lt;&gt;0,$F182&gt;0,YEAR($F182)&lt;Preisindex!$A$6,YEAR(AE$4)&gt;=YEAR($F182),$K182="b"),ROUND(VLOOKUP(AJ$4,Preisindex,3,FALSE)/VLOOKUP(Preisindex!$A$6,Preisindex,3,FALSE),2),IF(AND($E182&lt;&gt;0,$F182&gt;0,YEAR($F182)&lt;Preisindex!$A$6,YEAR(AE$4)&gt;=YEAR($F182),$K182="g"),ROUND(VLOOKUP(AJ$4,Preisindex,4,FALSE)/VLOOKUP(Preisindex!$A$6,Preisindex,4,FALSE),2),IF(AND($E182&lt;&gt;0,$F182&gt;0,YEAR($F182)&lt;Preisindex!$A$6,YEAR(AE$4)&gt;=YEAR($F182),$K182="k"),ROUND(VLOOKUP(AJ$4,Preisindex,2,FALSE)/VLOOKUP(Preisindex!$A$6,Preisindex,2,FALSE),2),0)))))</f>
        <v>0</v>
      </c>
      <c r="AL182" s="51">
        <f>IF(AND($E182&lt;&gt;0,$F182&gt;0,YEAR($F182)&lt;=AJ$4,YEAR($F182)&gt;=Preisindex!$A$6),ROUND($E182*AJ182,2),IF(AND($E182&lt;&gt;0,$F182&gt;0,YEAR($F182)&lt;=AJ$4,YEAR($F182)&lt;Preisindex!$A$6),ROUND($E182*AK182,2),0))</f>
        <v>0</v>
      </c>
      <c r="AM182" s="53">
        <f t="shared" si="576"/>
        <v>0</v>
      </c>
      <c r="AN182" s="51">
        <f t="shared" si="621"/>
        <v>0</v>
      </c>
      <c r="AO182" s="51">
        <f t="shared" si="579"/>
        <v>0</v>
      </c>
      <c r="AP182" s="51">
        <f t="shared" si="493"/>
        <v>0</v>
      </c>
      <c r="AQ182" s="51">
        <f t="shared" si="580"/>
        <v>0</v>
      </c>
      <c r="AR182" s="51">
        <f t="shared" si="494"/>
        <v>0</v>
      </c>
      <c r="AS182" s="51">
        <f t="shared" si="581"/>
        <v>0</v>
      </c>
      <c r="AT182" s="51">
        <f t="shared" si="495"/>
        <v>0</v>
      </c>
      <c r="AU182" s="51">
        <f t="shared" si="582"/>
        <v>0</v>
      </c>
      <c r="AV182" s="51">
        <f t="shared" si="496"/>
        <v>0</v>
      </c>
      <c r="AW182" s="51">
        <f t="shared" si="583"/>
        <v>0</v>
      </c>
      <c r="AX182" s="51">
        <f t="shared" si="497"/>
        <v>0</v>
      </c>
      <c r="AY182" s="54">
        <f t="shared" si="498"/>
        <v>0</v>
      </c>
      <c r="AZ182" s="55">
        <f t="shared" si="499"/>
        <v>0</v>
      </c>
      <c r="BA182" s="56">
        <f>IF(AND($E182&lt;&gt;0,$F182&gt;0,YEAR($F182)&gt;=Preisindex!$A$6,YEAR(AV$4)&gt;=YEAR($F182),AND($K182&lt;&gt;"a",$K182&lt;&gt;"b",$K182&lt;&gt;"g",$K182&lt;&gt;"k")),1,IF(AND($E182&lt;&gt;0,$F182&gt;0,YEAR($F182)&gt;=Preisindex!$A$6,YEAR(AV$4)&gt;=YEAR($F182),$K182="a"),ROUND(VLOOKUP(BA$4,Preisindex,5,FALSE)/VLOOKUP(YEAR($F182),Preisindex,5,FALSE),2),IF(AND($E182&lt;&gt;0,$F182&gt;0,YEAR($F182)&gt;=Preisindex!$A$6,YEAR(AV$4)&gt;=YEAR($F182),$K182="b"),ROUND(VLOOKUP(BA$4,Preisindex,3,FALSE)/VLOOKUP(YEAR($F182),Preisindex,3,FALSE),2),IF(AND($E182&lt;&gt;0,$F182&gt;0,YEAR($F182)&gt;=Preisindex!$A$6,YEAR(AV$4)&gt;=YEAR($F182),$K182="g"),ROUND(VLOOKUP(BA$4,Preisindex,4,FALSE)/VLOOKUP(YEAR($F182),Preisindex,4,FALSE),2),IF(AND($E182&lt;&gt;0,$F182&gt;0,YEAR($F182)&gt;=Preisindex!$A$6,YEAR(AV$4)&gt;=YEAR($F182),$K182="k"),ROUND(VLOOKUP(BA$4,Preisindex,2,FALSE)/VLOOKUP(YEAR($F182),Preisindex,2,FALSE),2),0)))))</f>
        <v>0</v>
      </c>
      <c r="BB182" s="56">
        <f>IF(AND($E182&lt;&gt;0,$F182&gt;0,YEAR($F182)&lt;Preisindex!$A$6,YEAR(AV$4)&gt;=YEAR($F182),AND($K182&lt;&gt;"a",$K182&lt;&gt;"b",$K182&lt;&gt;"g",$K182&lt;&gt;"k")),1,IF(AND($E182&lt;&gt;0,$F182&gt;0,YEAR($F182)&lt;Preisindex!$A$6,YEAR(AV$4)&gt;=YEAR($F182),$K182="a"),ROUND(VLOOKUP(BA$4,Preisindex,5,FALSE)/VLOOKUP(Preisindex!$A$6,Preisindex,5,FALSE),2),IF(AND($E182&lt;&gt;0,$F182&gt;0,YEAR($F182)&lt;Preisindex!$A$6,YEAR(AV$4)&gt;=YEAR($F182),$K182="b"),ROUND(VLOOKUP(BA$4,Preisindex,3,FALSE)/VLOOKUP(Preisindex!$A$6,Preisindex,3,FALSE),2),IF(AND($E182&lt;&gt;0,$F182&gt;0,YEAR($F182)&lt;Preisindex!$A$6,YEAR(AV$4)&gt;=YEAR($F182),$K182="g"),ROUND(VLOOKUP(BA$4,Preisindex,4,FALSE)/VLOOKUP(Preisindex!$A$6,Preisindex,4,FALSE),2),IF(AND($E182&lt;&gt;0,$F182&gt;0,YEAR($F182)&lt;Preisindex!$A$6,YEAR(AV$4)&gt;=YEAR($F182),$K182="k"),ROUND(VLOOKUP(BA$4,Preisindex,2,FALSE)/VLOOKUP(Preisindex!$A$6,Preisindex,2,FALSE),2),0)))))</f>
        <v>0</v>
      </c>
      <c r="BC182" s="51">
        <f>IF(AND($E182&lt;&gt;0,$F182&gt;0,YEAR($F182)&lt;=BA$4,YEAR($F182)&gt;=Preisindex!$A$6),ROUND($E182*BA182,2),IF(AND($E182&lt;&gt;0,$F182&gt;0,YEAR($F182)&lt;=BA$4,YEAR($F182)&lt;Preisindex!$A$6),ROUND($E182*BB182,2),0))</f>
        <v>0</v>
      </c>
      <c r="BD182" s="53">
        <f t="shared" si="500"/>
        <v>0</v>
      </c>
      <c r="BE182" s="51">
        <f t="shared" si="621"/>
        <v>0</v>
      </c>
      <c r="BF182" s="51">
        <f t="shared" si="584"/>
        <v>0</v>
      </c>
      <c r="BG182" s="51">
        <f t="shared" si="501"/>
        <v>0</v>
      </c>
      <c r="BH182" s="51">
        <f t="shared" si="585"/>
        <v>0</v>
      </c>
      <c r="BI182" s="51">
        <f t="shared" si="502"/>
        <v>0</v>
      </c>
      <c r="BJ182" s="51">
        <f t="shared" si="586"/>
        <v>0</v>
      </c>
      <c r="BK182" s="51">
        <f t="shared" si="503"/>
        <v>0</v>
      </c>
      <c r="BL182" s="51">
        <f t="shared" si="587"/>
        <v>0</v>
      </c>
      <c r="BM182" s="51">
        <f t="shared" si="504"/>
        <v>0</v>
      </c>
      <c r="BN182" s="51">
        <f t="shared" si="588"/>
        <v>0</v>
      </c>
      <c r="BO182" s="51">
        <f t="shared" si="505"/>
        <v>0</v>
      </c>
      <c r="BP182" s="54">
        <f t="shared" si="506"/>
        <v>0</v>
      </c>
      <c r="BQ182" s="55">
        <f t="shared" si="507"/>
        <v>0</v>
      </c>
      <c r="BR182" s="56">
        <f>IF(AND($E182&lt;&gt;0,$F182&gt;0,YEAR($F182)&gt;=Preisindex!$A$6,YEAR(BM$4)&gt;=YEAR($F182),AND($K182&lt;&gt;"a",$K182&lt;&gt;"b",$K182&lt;&gt;"g",$K182&lt;&gt;"k")),1,IF(AND($E182&lt;&gt;0,$F182&gt;0,YEAR($F182)&gt;=Preisindex!$A$6,YEAR(BM$4)&gt;=YEAR($F182),$K182="a"),ROUND(VLOOKUP(BR$4,Preisindex,5,FALSE)/VLOOKUP(YEAR($F182),Preisindex,5,FALSE),2),IF(AND($E182&lt;&gt;0,$F182&gt;0,YEAR($F182)&gt;=Preisindex!$A$6,YEAR(BM$4)&gt;=YEAR($F182),$K182="b"),ROUND(VLOOKUP(BR$4,Preisindex,3,FALSE)/VLOOKUP(YEAR($F182),Preisindex,3,FALSE),2),IF(AND($E182&lt;&gt;0,$F182&gt;0,YEAR($F182)&gt;=Preisindex!$A$6,YEAR(BM$4)&gt;=YEAR($F182),$K182="g"),ROUND(VLOOKUP(BR$4,Preisindex,4,FALSE)/VLOOKUP(YEAR($F182),Preisindex,4,FALSE),2),IF(AND($E182&lt;&gt;0,$F182&gt;0,YEAR($F182)&gt;=Preisindex!$A$6,YEAR(BM$4)&gt;=YEAR($F182),$K182="k"),ROUND(VLOOKUP(BR$4,Preisindex,2,FALSE)/VLOOKUP(YEAR($F182),Preisindex,2,FALSE),2),0)))))</f>
        <v>0</v>
      </c>
      <c r="BS182" s="56">
        <f>IF(AND($E182&lt;&gt;0,$F182&gt;0,YEAR($F182)&lt;Preisindex!$A$6,YEAR(BM$4)&gt;=YEAR($F182),AND($K182&lt;&gt;"a",$K182&lt;&gt;"b",$K182&lt;&gt;"g",$K182&lt;&gt;"k")),1,IF(AND($E182&lt;&gt;0,$F182&gt;0,YEAR($F182)&lt;Preisindex!$A$6,YEAR(BM$4)&gt;=YEAR($F182),$K182="a"),ROUND(VLOOKUP(BR$4,Preisindex,5,FALSE)/VLOOKUP(Preisindex!$A$6,Preisindex,5,FALSE),2),IF(AND($E182&lt;&gt;0,$F182&gt;0,YEAR($F182)&lt;Preisindex!$A$6,YEAR(BM$4)&gt;=YEAR($F182),$K182="b"),ROUND(VLOOKUP(BR$4,Preisindex,3,FALSE)/VLOOKUP(Preisindex!$A$6,Preisindex,3,FALSE),2),IF(AND($E182&lt;&gt;0,$F182&gt;0,YEAR($F182)&lt;Preisindex!$A$6,YEAR(BM$4)&gt;=YEAR($F182),$K182="g"),ROUND(VLOOKUP(BR$4,Preisindex,4,FALSE)/VLOOKUP(Preisindex!$A$6,Preisindex,4,FALSE),2),IF(AND($E182&lt;&gt;0,$F182&gt;0,YEAR($F182)&lt;Preisindex!$A$6,YEAR(BM$4)&gt;=YEAR($F182),$K182="k"),ROUND(VLOOKUP(BR$4,Preisindex,2,FALSE)/VLOOKUP(Preisindex!$A$6,Preisindex,2,FALSE),2),0)))))</f>
        <v>0</v>
      </c>
      <c r="BT182" s="51">
        <f>IF(AND($E182&lt;&gt;0,$F182&gt;0,YEAR($F182)&lt;=BR$4,YEAR($F182)&gt;=Preisindex!$A$6),ROUND($E182*BR182,2),IF(AND($E182&lt;&gt;0,$F182&gt;0,YEAR($F182)&lt;=BR$4,YEAR($F182)&lt;Preisindex!$A$6),ROUND($E182*BS182,2),0))</f>
        <v>0</v>
      </c>
      <c r="BU182" s="53">
        <f t="shared" si="508"/>
        <v>0</v>
      </c>
      <c r="BV182" s="51">
        <f t="shared" si="621"/>
        <v>0</v>
      </c>
      <c r="BW182" s="51">
        <f t="shared" si="589"/>
        <v>0</v>
      </c>
      <c r="BX182" s="51">
        <f t="shared" si="509"/>
        <v>0</v>
      </c>
      <c r="BY182" s="51">
        <f t="shared" si="590"/>
        <v>0</v>
      </c>
      <c r="BZ182" s="51">
        <f t="shared" si="510"/>
        <v>0</v>
      </c>
      <c r="CA182" s="51">
        <f t="shared" si="591"/>
        <v>0</v>
      </c>
      <c r="CB182" s="51">
        <f t="shared" si="511"/>
        <v>0</v>
      </c>
      <c r="CC182" s="51">
        <f t="shared" si="592"/>
        <v>0</v>
      </c>
      <c r="CD182" s="51">
        <f t="shared" si="512"/>
        <v>0</v>
      </c>
      <c r="CE182" s="51">
        <f t="shared" si="593"/>
        <v>0</v>
      </c>
      <c r="CF182" s="51">
        <f t="shared" si="513"/>
        <v>0</v>
      </c>
      <c r="CG182" s="54">
        <f t="shared" si="514"/>
        <v>0</v>
      </c>
      <c r="CH182" s="55">
        <f t="shared" si="515"/>
        <v>0</v>
      </c>
      <c r="CI182" s="56">
        <f>IF(AND($E182&lt;&gt;0,$F182&gt;0,YEAR($F182)&gt;=Preisindex!$A$6,YEAR(CD$4)&gt;=YEAR($F182),AND($K182&lt;&gt;"a",$K182&lt;&gt;"b",$K182&lt;&gt;"g",$K182&lt;&gt;"k")),1,IF(AND($E182&lt;&gt;0,$F182&gt;0,YEAR($F182)&gt;=Preisindex!$A$6,YEAR(CD$4)&gt;=YEAR($F182),$K182="a"),ROUND(VLOOKUP(CI$4,Preisindex,5,FALSE)/VLOOKUP(YEAR($F182),Preisindex,5,FALSE),2),IF(AND($E182&lt;&gt;0,$F182&gt;0,YEAR($F182)&gt;=Preisindex!$A$6,YEAR(CD$4)&gt;=YEAR($F182),$K182="b"),ROUND(VLOOKUP(CI$4,Preisindex,3,FALSE)/VLOOKUP(YEAR($F182),Preisindex,3,FALSE),2),IF(AND($E182&lt;&gt;0,$F182&gt;0,YEAR($F182)&gt;=Preisindex!$A$6,YEAR(CD$4)&gt;=YEAR($F182),$K182="g"),ROUND(VLOOKUP(CI$4,Preisindex,4,FALSE)/VLOOKUP(YEAR($F182),Preisindex,4,FALSE),2),IF(AND($E182&lt;&gt;0,$F182&gt;0,YEAR($F182)&gt;=Preisindex!$A$6,YEAR(CD$4)&gt;=YEAR($F182),$K182="k"),ROUND(VLOOKUP(CI$4,Preisindex,2,FALSE)/VLOOKUP(YEAR($F182),Preisindex,2,FALSE),2),0)))))</f>
        <v>0</v>
      </c>
      <c r="CJ182" s="56">
        <f>IF(AND($E182&lt;&gt;0,$F182&gt;0,YEAR($F182)&lt;Preisindex!$A$6,YEAR(CD$4)&gt;=YEAR($F182),AND($K182&lt;&gt;"a",$K182&lt;&gt;"b",$K182&lt;&gt;"g",$K182&lt;&gt;"k")),1,IF(AND($E182&lt;&gt;0,$F182&gt;0,YEAR($F182)&lt;Preisindex!$A$6,YEAR(CD$4)&gt;=YEAR($F182),$K182="a"),ROUND(VLOOKUP(CI$4,Preisindex,5,FALSE)/VLOOKUP(Preisindex!$A$6,Preisindex,5,FALSE),2),IF(AND($E182&lt;&gt;0,$F182&gt;0,YEAR($F182)&lt;Preisindex!$A$6,YEAR(CD$4)&gt;=YEAR($F182),$K182="b"),ROUND(VLOOKUP(CI$4,Preisindex,3,FALSE)/VLOOKUP(Preisindex!$A$6,Preisindex,3,FALSE),2),IF(AND($E182&lt;&gt;0,$F182&gt;0,YEAR($F182)&lt;Preisindex!$A$6,YEAR(CD$4)&gt;=YEAR($F182),$K182="g"),ROUND(VLOOKUP(CI$4,Preisindex,4,FALSE)/VLOOKUP(Preisindex!$A$6,Preisindex,4,FALSE),2),IF(AND($E182&lt;&gt;0,$F182&gt;0,YEAR($F182)&lt;Preisindex!$A$6,YEAR(CD$4)&gt;=YEAR($F182),$K182="k"),ROUND(VLOOKUP(CI$4,Preisindex,2,FALSE)/VLOOKUP(Preisindex!$A$6,Preisindex,2,FALSE),2),0)))))</f>
        <v>0</v>
      </c>
      <c r="CK182" s="51">
        <f>IF(AND($E182&lt;&gt;0,$F182&gt;0,YEAR($F182)&lt;=CI$4,YEAR($F182)&gt;=Preisindex!$A$6),ROUND($E182*CI182,2),IF(AND($E182&lt;&gt;0,$F182&gt;0,YEAR($F182)&lt;=CI$4,YEAR($F182)&lt;Preisindex!$A$6),ROUND($E182*CJ182,2),0))</f>
        <v>0</v>
      </c>
      <c r="CL182" s="53">
        <f t="shared" si="516"/>
        <v>0</v>
      </c>
      <c r="CM182" s="51">
        <f t="shared" si="621"/>
        <v>0</v>
      </c>
      <c r="CN182" s="51">
        <f t="shared" si="594"/>
        <v>0</v>
      </c>
      <c r="CO182" s="51">
        <f t="shared" si="517"/>
        <v>0</v>
      </c>
      <c r="CP182" s="51">
        <f t="shared" si="595"/>
        <v>0</v>
      </c>
      <c r="CQ182" s="51">
        <f t="shared" si="518"/>
        <v>0</v>
      </c>
      <c r="CR182" s="51">
        <f t="shared" si="596"/>
        <v>0</v>
      </c>
      <c r="CS182" s="51">
        <f t="shared" si="519"/>
        <v>0</v>
      </c>
      <c r="CT182" s="51">
        <f t="shared" si="597"/>
        <v>0</v>
      </c>
      <c r="CU182" s="51">
        <f t="shared" si="520"/>
        <v>0</v>
      </c>
      <c r="CV182" s="51">
        <f t="shared" si="598"/>
        <v>0</v>
      </c>
      <c r="CW182" s="51">
        <f t="shared" si="521"/>
        <v>0</v>
      </c>
      <c r="CX182" s="54">
        <f t="shared" si="522"/>
        <v>0</v>
      </c>
      <c r="CY182" s="55">
        <f t="shared" si="523"/>
        <v>0</v>
      </c>
      <c r="CZ182" s="56">
        <f>IF(AND($E182&lt;&gt;0,$F182&gt;0,YEAR($F182)&gt;=Preisindex!$A$6,YEAR(CU$4)&gt;=YEAR($F182),AND($K182&lt;&gt;"a",$K182&lt;&gt;"b",$K182&lt;&gt;"g",$K182&lt;&gt;"k")),1,IF(AND($E182&lt;&gt;0,$F182&gt;0,YEAR($F182)&gt;=Preisindex!$A$6,YEAR(CU$4)&gt;=YEAR($F182),$K182="a"),ROUND(VLOOKUP(CZ$4,Preisindex,5,FALSE)/VLOOKUP(YEAR($F182),Preisindex,5,FALSE),2),IF(AND($E182&lt;&gt;0,$F182&gt;0,YEAR($F182)&gt;=Preisindex!$A$6,YEAR(CU$4)&gt;=YEAR($F182),$K182="b"),ROUND(VLOOKUP(CZ$4,Preisindex,3,FALSE)/VLOOKUP(YEAR($F182),Preisindex,3,FALSE),2),IF(AND($E182&lt;&gt;0,$F182&gt;0,YEAR($F182)&gt;=Preisindex!$A$6,YEAR(CU$4)&gt;=YEAR($F182),$K182="g"),ROUND(VLOOKUP(CZ$4,Preisindex,4,FALSE)/VLOOKUP(YEAR($F182),Preisindex,4,FALSE),2),IF(AND($E182&lt;&gt;0,$F182&gt;0,YEAR($F182)&gt;=Preisindex!$A$6,YEAR(CU$4)&gt;=YEAR($F182),$K182="k"),ROUND(VLOOKUP(CZ$4,Preisindex,2,FALSE)/VLOOKUP(YEAR($F182),Preisindex,2,FALSE),2),0)))))</f>
        <v>0</v>
      </c>
      <c r="DA182" s="56">
        <f>IF(AND($E182&lt;&gt;0,$F182&gt;0,YEAR($F182)&lt;Preisindex!$A$6,YEAR(CU$4)&gt;=YEAR($F182),AND($K182&lt;&gt;"a",$K182&lt;&gt;"b",$K182&lt;&gt;"g",$K182&lt;&gt;"k")),1,IF(AND($E182&lt;&gt;0,$F182&gt;0,YEAR($F182)&lt;Preisindex!$A$6,YEAR(CU$4)&gt;=YEAR($F182),$K182="a"),ROUND(VLOOKUP(CZ$4,Preisindex,5,FALSE)/VLOOKUP(Preisindex!$A$6,Preisindex,5,FALSE),2),IF(AND($E182&lt;&gt;0,$F182&gt;0,YEAR($F182)&lt;Preisindex!$A$6,YEAR(CU$4)&gt;=YEAR($F182),$K182="b"),ROUND(VLOOKUP(CZ$4,Preisindex,3,FALSE)/VLOOKUP(Preisindex!$A$6,Preisindex,3,FALSE),2),IF(AND($E182&lt;&gt;0,$F182&gt;0,YEAR($F182)&lt;Preisindex!$A$6,YEAR(CU$4)&gt;=YEAR($F182),$K182="g"),ROUND(VLOOKUP(CZ$4,Preisindex,4,FALSE)/VLOOKUP(Preisindex!$A$6,Preisindex,4,FALSE),2),IF(AND($E182&lt;&gt;0,$F182&gt;0,YEAR($F182)&lt;Preisindex!$A$6,YEAR(CU$4)&gt;=YEAR($F182),$K182="k"),ROUND(VLOOKUP(CZ$4,Preisindex,2,FALSE)/VLOOKUP(Preisindex!$A$6,Preisindex,2,FALSE),2),0)))))</f>
        <v>0</v>
      </c>
      <c r="DB182" s="51">
        <f>IF(AND($E182&lt;&gt;0,$F182&gt;0,YEAR($F182)&lt;=CZ$4,YEAR($F182)&gt;=Preisindex!$A$6),ROUND($E182*CZ182,2),IF(AND($E182&lt;&gt;0,$F182&gt;0,YEAR($F182)&lt;=CZ$4,YEAR($F182)&lt;Preisindex!$A$6),ROUND($E182*DA182,2),0))</f>
        <v>0</v>
      </c>
      <c r="DC182" s="53">
        <f t="shared" si="524"/>
        <v>0</v>
      </c>
      <c r="DD182" s="51">
        <f t="shared" si="622"/>
        <v>0</v>
      </c>
      <c r="DE182" s="51">
        <f t="shared" si="599"/>
        <v>0</v>
      </c>
      <c r="DF182" s="51">
        <f t="shared" si="526"/>
        <v>0</v>
      </c>
      <c r="DG182" s="51">
        <f t="shared" si="600"/>
        <v>0</v>
      </c>
      <c r="DH182" s="51">
        <f t="shared" si="527"/>
        <v>0</v>
      </c>
      <c r="DI182" s="51">
        <f t="shared" si="601"/>
        <v>0</v>
      </c>
      <c r="DJ182" s="51">
        <f t="shared" si="528"/>
        <v>0</v>
      </c>
      <c r="DK182" s="51">
        <f t="shared" si="602"/>
        <v>0</v>
      </c>
      <c r="DL182" s="51">
        <f t="shared" si="529"/>
        <v>0</v>
      </c>
      <c r="DM182" s="51">
        <f t="shared" si="603"/>
        <v>0</v>
      </c>
      <c r="DN182" s="51">
        <f t="shared" si="530"/>
        <v>0</v>
      </c>
      <c r="DO182" s="54">
        <f t="shared" si="531"/>
        <v>0</v>
      </c>
      <c r="DP182" s="55">
        <f t="shared" si="532"/>
        <v>0</v>
      </c>
      <c r="DQ182" s="56">
        <f>IF(AND($E182&lt;&gt;0,$F182&gt;0,YEAR($F182)&gt;=Preisindex!$A$6,YEAR(DL$4)&gt;=YEAR($F182),AND($K182&lt;&gt;"a",$K182&lt;&gt;"b",$K182&lt;&gt;"g",$K182&lt;&gt;"k")),1,IF(AND($E182&lt;&gt;0,$F182&gt;0,YEAR($F182)&gt;=Preisindex!$A$6,YEAR(DL$4)&gt;=YEAR($F182),$K182="a"),ROUND(VLOOKUP(DQ$4,Preisindex,5,FALSE)/VLOOKUP(YEAR($F182),Preisindex,5,FALSE),2),IF(AND($E182&lt;&gt;0,$F182&gt;0,YEAR($F182)&gt;=Preisindex!$A$6,YEAR(DL$4)&gt;=YEAR($F182),$K182="b"),ROUND(VLOOKUP(DQ$4,Preisindex,3,FALSE)/VLOOKUP(YEAR($F182),Preisindex,3,FALSE),2),IF(AND($E182&lt;&gt;0,$F182&gt;0,YEAR($F182)&gt;=Preisindex!$A$6,YEAR(DL$4)&gt;=YEAR($F182),$K182="g"),ROUND(VLOOKUP(DQ$4,Preisindex,4,FALSE)/VLOOKUP(YEAR($F182),Preisindex,4,FALSE),2),IF(AND($E182&lt;&gt;0,$F182&gt;0,YEAR($F182)&gt;=Preisindex!$A$6,YEAR(DL$4)&gt;=YEAR($F182),$K182="k"),ROUND(VLOOKUP(DQ$4,Preisindex,2,FALSE)/VLOOKUP(YEAR($F182),Preisindex,2,FALSE),2),0)))))</f>
        <v>0</v>
      </c>
      <c r="DR182" s="56">
        <f>IF(AND($E182&lt;&gt;0,$F182&gt;0,YEAR($F182)&lt;Preisindex!$A$6,YEAR(DL$4)&gt;=YEAR($F182),AND($K182&lt;&gt;"a",$K182&lt;&gt;"b",$K182&lt;&gt;"g",$K182&lt;&gt;"k")),1,IF(AND($E182&lt;&gt;0,$F182&gt;0,YEAR($F182)&lt;Preisindex!$A$6,YEAR(DL$4)&gt;=YEAR($F182),$K182="a"),ROUND(VLOOKUP(DQ$4,Preisindex,5,FALSE)/VLOOKUP(Preisindex!$A$6,Preisindex,5,FALSE),2),IF(AND($E182&lt;&gt;0,$F182&gt;0,YEAR($F182)&lt;Preisindex!$A$6,YEAR(DL$4)&gt;=YEAR($F182),$K182="b"),ROUND(VLOOKUP(DQ$4,Preisindex,3,FALSE)/VLOOKUP(Preisindex!$A$6,Preisindex,3,FALSE),2),IF(AND($E182&lt;&gt;0,$F182&gt;0,YEAR($F182)&lt;Preisindex!$A$6,YEAR(DL$4)&gt;=YEAR($F182),$K182="g"),ROUND(VLOOKUP(DQ$4,Preisindex,4,FALSE)/VLOOKUP(Preisindex!$A$6,Preisindex,4,FALSE),2),IF(AND($E182&lt;&gt;0,$F182&gt;0,YEAR($F182)&lt;Preisindex!$A$6,YEAR(DL$4)&gt;=YEAR($F182),$K182="k"),ROUND(VLOOKUP(DQ$4,Preisindex,2,FALSE)/VLOOKUP(Preisindex!$A$6,Preisindex,2,FALSE),2),0)))))</f>
        <v>0</v>
      </c>
      <c r="DS182" s="51">
        <f>IF(AND($E182&lt;&gt;0,$F182&gt;0,YEAR($F182)&lt;=DQ$4,YEAR($F182)&gt;=Preisindex!$A$6),ROUND($E182*DQ182,2),IF(AND($E182&lt;&gt;0,$F182&gt;0,YEAR($F182)&lt;=DQ$4,YEAR($F182)&lt;Preisindex!$A$6),ROUND($E182*DR182,2),0))</f>
        <v>0</v>
      </c>
      <c r="DT182" s="53">
        <f t="shared" si="533"/>
        <v>0</v>
      </c>
      <c r="DU182" s="51">
        <f t="shared" si="622"/>
        <v>0</v>
      </c>
      <c r="DV182" s="51">
        <f t="shared" si="604"/>
        <v>0</v>
      </c>
      <c r="DW182" s="51">
        <f t="shared" si="534"/>
        <v>0</v>
      </c>
      <c r="DX182" s="51">
        <f t="shared" si="605"/>
        <v>0</v>
      </c>
      <c r="DY182" s="51">
        <f t="shared" si="535"/>
        <v>0</v>
      </c>
      <c r="DZ182" s="51">
        <f t="shared" si="606"/>
        <v>0</v>
      </c>
      <c r="EA182" s="51">
        <f t="shared" si="536"/>
        <v>0</v>
      </c>
      <c r="EB182" s="51">
        <f t="shared" si="607"/>
        <v>0</v>
      </c>
      <c r="EC182" s="51">
        <f t="shared" si="537"/>
        <v>0</v>
      </c>
      <c r="ED182" s="51">
        <f t="shared" si="608"/>
        <v>0</v>
      </c>
      <c r="EE182" s="51">
        <f t="shared" si="538"/>
        <v>0</v>
      </c>
      <c r="EF182" s="54">
        <f t="shared" si="539"/>
        <v>0</v>
      </c>
      <c r="EG182" s="55">
        <f t="shared" si="540"/>
        <v>0</v>
      </c>
      <c r="EH182" s="56">
        <f>IF(AND($E182&lt;&gt;0,$F182&gt;0,YEAR($F182)&gt;=Preisindex!$A$6,YEAR(EC$4)&gt;=YEAR($F182),AND($K182&lt;&gt;"a",$K182&lt;&gt;"b",$K182&lt;&gt;"g",$K182&lt;&gt;"k")),1,IF(AND($E182&lt;&gt;0,$F182&gt;0,YEAR($F182)&gt;=Preisindex!$A$6,YEAR(EC$4)&gt;=YEAR($F182),$K182="a"),ROUND(VLOOKUP(EH$4,Preisindex,5,FALSE)/VLOOKUP(YEAR($F182),Preisindex,5,FALSE),2),IF(AND($E182&lt;&gt;0,$F182&gt;0,YEAR($F182)&gt;=Preisindex!$A$6,YEAR(EC$4)&gt;=YEAR($F182),$K182="b"),ROUND(VLOOKUP(EH$4,Preisindex,3,FALSE)/VLOOKUP(YEAR($F182),Preisindex,3,FALSE),2),IF(AND($E182&lt;&gt;0,$F182&gt;0,YEAR($F182)&gt;=Preisindex!$A$6,YEAR(EC$4)&gt;=YEAR($F182),$K182="g"),ROUND(VLOOKUP(EH$4,Preisindex,4,FALSE)/VLOOKUP(YEAR($F182),Preisindex,4,FALSE),2),IF(AND($E182&lt;&gt;0,$F182&gt;0,YEAR($F182)&gt;=Preisindex!$A$6,YEAR(EC$4)&gt;=YEAR($F182),$K182="k"),ROUND(VLOOKUP(EH$4,Preisindex,2,FALSE)/VLOOKUP(YEAR($F182),Preisindex,2,FALSE),2),0)))))</f>
        <v>0</v>
      </c>
      <c r="EI182" s="56">
        <f>IF(AND($E182&lt;&gt;0,$F182&gt;0,YEAR($F182)&lt;Preisindex!$A$6,YEAR(EC$4)&gt;=YEAR($F182),AND($K182&lt;&gt;"a",$K182&lt;&gt;"b",$K182&lt;&gt;"g",$K182&lt;&gt;"k")),1,IF(AND($E182&lt;&gt;0,$F182&gt;0,YEAR($F182)&lt;Preisindex!$A$6,YEAR(EC$4)&gt;=YEAR($F182),$K182="a"),ROUND(VLOOKUP(EH$4,Preisindex,5,FALSE)/VLOOKUP(Preisindex!$A$6,Preisindex,5,FALSE),2),IF(AND($E182&lt;&gt;0,$F182&gt;0,YEAR($F182)&lt;Preisindex!$A$6,YEAR(EC$4)&gt;=YEAR($F182),$K182="b"),ROUND(VLOOKUP(EH$4,Preisindex,3,FALSE)/VLOOKUP(Preisindex!$A$6,Preisindex,3,FALSE),2),IF(AND($E182&lt;&gt;0,$F182&gt;0,YEAR($F182)&lt;Preisindex!$A$6,YEAR(EC$4)&gt;=YEAR($F182),$K182="g"),ROUND(VLOOKUP(EH$4,Preisindex,4,FALSE)/VLOOKUP(Preisindex!$A$6,Preisindex,4,FALSE),2),IF(AND($E182&lt;&gt;0,$F182&gt;0,YEAR($F182)&lt;Preisindex!$A$6,YEAR(EC$4)&gt;=YEAR($F182),$K182="k"),ROUND(VLOOKUP(EH$4,Preisindex,2,FALSE)/VLOOKUP(Preisindex!$A$6,Preisindex,2,FALSE),2),0)))))</f>
        <v>0</v>
      </c>
      <c r="EJ182" s="51">
        <f>IF(AND($E182&lt;&gt;0,$F182&gt;0,YEAR($F182)&lt;=EH$4,YEAR($F182)&gt;=Preisindex!$A$6),ROUND($E182*EH182,2),IF(AND($E182&lt;&gt;0,$F182&gt;0,YEAR($F182)&lt;=EH$4,YEAR($F182)&lt;Preisindex!$A$6),ROUND($E182*EI182,2),0))</f>
        <v>0</v>
      </c>
      <c r="EK182" s="53">
        <f t="shared" si="541"/>
        <v>0</v>
      </c>
      <c r="EL182" s="51">
        <f t="shared" si="622"/>
        <v>0</v>
      </c>
      <c r="EM182" s="51">
        <f t="shared" si="609"/>
        <v>0</v>
      </c>
      <c r="EN182" s="51">
        <f t="shared" si="542"/>
        <v>0</v>
      </c>
      <c r="EO182" s="51">
        <f t="shared" si="610"/>
        <v>0</v>
      </c>
      <c r="EP182" s="51">
        <f t="shared" si="543"/>
        <v>0</v>
      </c>
      <c r="EQ182" s="51">
        <f t="shared" si="611"/>
        <v>0</v>
      </c>
      <c r="ER182" s="51">
        <f t="shared" si="544"/>
        <v>0</v>
      </c>
      <c r="ES182" s="51">
        <f t="shared" si="612"/>
        <v>0</v>
      </c>
      <c r="ET182" s="51">
        <f t="shared" si="545"/>
        <v>0</v>
      </c>
      <c r="EU182" s="51">
        <f t="shared" si="613"/>
        <v>0</v>
      </c>
      <c r="EV182" s="51">
        <f t="shared" si="546"/>
        <v>0</v>
      </c>
      <c r="EW182" s="54">
        <f t="shared" si="547"/>
        <v>0</v>
      </c>
      <c r="EX182" s="55">
        <f t="shared" si="548"/>
        <v>0</v>
      </c>
      <c r="EY182" s="56">
        <f>IF(AND($E182&lt;&gt;0,$F182&gt;0,YEAR($F182)&gt;=Preisindex!$A$6,YEAR(ET$4)&gt;=YEAR($F182),AND($K182&lt;&gt;"a",$K182&lt;&gt;"b",$K182&lt;&gt;"g",$K182&lt;&gt;"k")),1,IF(AND($E182&lt;&gt;0,$F182&gt;0,YEAR($F182)&gt;=Preisindex!$A$6,YEAR(ET$4)&gt;=YEAR($F182),$K182="a"),ROUND(VLOOKUP(EY$4,Preisindex,5,FALSE)/VLOOKUP(YEAR($F182),Preisindex,5,FALSE),2),IF(AND($E182&lt;&gt;0,$F182&gt;0,YEAR($F182)&gt;=Preisindex!$A$6,YEAR(ET$4)&gt;=YEAR($F182),$K182="b"),ROUND(VLOOKUP(EY$4,Preisindex,3,FALSE)/VLOOKUP(YEAR($F182),Preisindex,3,FALSE),2),IF(AND($E182&lt;&gt;0,$F182&gt;0,YEAR($F182)&gt;=Preisindex!$A$6,YEAR(ET$4)&gt;=YEAR($F182),$K182="g"),ROUND(VLOOKUP(EY$4,Preisindex,4,FALSE)/VLOOKUP(YEAR($F182),Preisindex,4,FALSE),2),IF(AND($E182&lt;&gt;0,$F182&gt;0,YEAR($F182)&gt;=Preisindex!$A$6,YEAR(ET$4)&gt;=YEAR($F182),$K182="k"),ROUND(VLOOKUP(EY$4,Preisindex,2,FALSE)/VLOOKUP(YEAR($F182),Preisindex,2,FALSE),2),0)))))</f>
        <v>0</v>
      </c>
      <c r="EZ182" s="56">
        <f>IF(AND($E182&lt;&gt;0,$F182&gt;0,YEAR($F182)&lt;Preisindex!$A$6,YEAR(ET$4)&gt;=YEAR($F182),AND($K182&lt;&gt;"a",$K182&lt;&gt;"b",$K182&lt;&gt;"g",$K182&lt;&gt;"k")),1,IF(AND($E182&lt;&gt;0,$F182&gt;0,YEAR($F182)&lt;Preisindex!$A$6,YEAR(ET$4)&gt;=YEAR($F182),$K182="a"),ROUND(VLOOKUP(EY$4,Preisindex,5,FALSE)/VLOOKUP(Preisindex!$A$6,Preisindex,5,FALSE),2),IF(AND($E182&lt;&gt;0,$F182&gt;0,YEAR($F182)&lt;Preisindex!$A$6,YEAR(ET$4)&gt;=YEAR($F182),$K182="b"),ROUND(VLOOKUP(EY$4,Preisindex,3,FALSE)/VLOOKUP(Preisindex!$A$6,Preisindex,3,FALSE),2),IF(AND($E182&lt;&gt;0,$F182&gt;0,YEAR($F182)&lt;Preisindex!$A$6,YEAR(ET$4)&gt;=YEAR($F182),$K182="g"),ROUND(VLOOKUP(EY$4,Preisindex,4,FALSE)/VLOOKUP(Preisindex!$A$6,Preisindex,4,FALSE),2),IF(AND($E182&lt;&gt;0,$F182&gt;0,YEAR($F182)&lt;Preisindex!$A$6,YEAR(ET$4)&gt;=YEAR($F182),$K182="k"),ROUND(VLOOKUP(EY$4,Preisindex,2,FALSE)/VLOOKUP(Preisindex!$A$6,Preisindex,2,FALSE),2),0)))))</f>
        <v>0</v>
      </c>
      <c r="FA182" s="51">
        <f>IF(AND($E182&lt;&gt;0,$F182&gt;0,YEAR($F182)&lt;=EY$4,YEAR($F182)&gt;=Preisindex!$A$6),ROUND($E182*EY182,2),IF(AND($E182&lt;&gt;0,$F182&gt;0,YEAR($F182)&lt;=EY$4,YEAR($F182)&lt;Preisindex!$A$6),ROUND($E182*EZ182,2),0))</f>
        <v>0</v>
      </c>
      <c r="FB182" s="53">
        <f t="shared" si="549"/>
        <v>0</v>
      </c>
      <c r="FC182" s="51">
        <f t="shared" si="622"/>
        <v>0</v>
      </c>
      <c r="FD182" s="51">
        <f t="shared" si="614"/>
        <v>0</v>
      </c>
      <c r="FE182" s="51">
        <f t="shared" si="550"/>
        <v>0</v>
      </c>
      <c r="FF182" s="51">
        <f t="shared" si="615"/>
        <v>0</v>
      </c>
      <c r="FG182" s="51">
        <f t="shared" si="551"/>
        <v>0</v>
      </c>
      <c r="FH182" s="51">
        <f t="shared" si="616"/>
        <v>0</v>
      </c>
      <c r="FI182" s="51">
        <f t="shared" si="552"/>
        <v>0</v>
      </c>
      <c r="FJ182" s="51">
        <f t="shared" si="617"/>
        <v>0</v>
      </c>
      <c r="FK182" s="51">
        <f t="shared" si="553"/>
        <v>0</v>
      </c>
      <c r="FL182" s="51">
        <f t="shared" si="618"/>
        <v>0</v>
      </c>
      <c r="FM182" s="51">
        <f t="shared" si="554"/>
        <v>0</v>
      </c>
      <c r="FN182" s="54">
        <f t="shared" si="555"/>
        <v>0</v>
      </c>
      <c r="FO182" s="55">
        <f t="shared" si="556"/>
        <v>0</v>
      </c>
      <c r="FP182" s="56">
        <f>IF(AND($E182&lt;&gt;0,$F182&gt;0,YEAR($F182)&gt;=Preisindex!$A$6,YEAR(FK$4)&gt;=YEAR($F182),AND($K182&lt;&gt;"a",$K182&lt;&gt;"b",$K182&lt;&gt;"g",$K182&lt;&gt;"k")),1,IF(AND($E182&lt;&gt;0,$F182&gt;0,YEAR($F182)&gt;=Preisindex!$A$6,YEAR(FK$4)&gt;=YEAR($F182),$K182="a"),ROUND(VLOOKUP(FP$4,Preisindex,5,FALSE)/VLOOKUP(YEAR($F182),Preisindex,5,FALSE),2),IF(AND($E182&lt;&gt;0,$F182&gt;0,YEAR($F182)&gt;=Preisindex!$A$6,YEAR(FK$4)&gt;=YEAR($F182),$K182="b"),ROUND(VLOOKUP(FP$4,Preisindex,3,FALSE)/VLOOKUP(YEAR($F182),Preisindex,3,FALSE),2),IF(AND($E182&lt;&gt;0,$F182&gt;0,YEAR($F182)&gt;=Preisindex!$A$6,YEAR(FK$4)&gt;=YEAR($F182),$K182="g"),ROUND(VLOOKUP(FP$4,Preisindex,4,FALSE)/VLOOKUP(YEAR($F182),Preisindex,4,FALSE),2),IF(AND($E182&lt;&gt;0,$F182&gt;0,YEAR($F182)&gt;=Preisindex!$A$6,YEAR(FK$4)&gt;=YEAR($F182),$K182="k"),ROUND(VLOOKUP(FP$4,Preisindex,2,FALSE)/VLOOKUP(YEAR($F182),Preisindex,2,FALSE),2),0)))))</f>
        <v>0</v>
      </c>
      <c r="FQ182" s="56">
        <f>IF(AND($E182&lt;&gt;0,$F182&gt;0,YEAR($F182)&lt;Preisindex!$A$6,YEAR(FK$4)&gt;=YEAR($F182),AND($K182&lt;&gt;"a",$K182&lt;&gt;"b",$K182&lt;&gt;"g",$K182&lt;&gt;"k")),1,IF(AND($E182&lt;&gt;0,$F182&gt;0,YEAR($F182)&lt;Preisindex!$A$6,YEAR(FK$4)&gt;=YEAR($F182),$K182="a"),ROUND(VLOOKUP(FP$4,Preisindex,5,FALSE)/VLOOKUP(Preisindex!$A$6,Preisindex,5,FALSE),2),IF(AND($E182&lt;&gt;0,$F182&gt;0,YEAR($F182)&lt;Preisindex!$A$6,YEAR(FK$4)&gt;=YEAR($F182),$K182="b"),ROUND(VLOOKUP(FP$4,Preisindex,3,FALSE)/VLOOKUP(Preisindex!$A$6,Preisindex,3,FALSE),2),IF(AND($E182&lt;&gt;0,$F182&gt;0,YEAR($F182)&lt;Preisindex!$A$6,YEAR(FK$4)&gt;=YEAR($F182),$K182="g"),ROUND(VLOOKUP(FP$4,Preisindex,4,FALSE)/VLOOKUP(Preisindex!$A$6,Preisindex,4,FALSE),2),IF(AND($E182&lt;&gt;0,$F182&gt;0,YEAR($F182)&lt;Preisindex!$A$6,YEAR(FK$4)&gt;=YEAR($F182),$K182="k"),ROUND(VLOOKUP(FP$4,Preisindex,2,FALSE)/VLOOKUP(Preisindex!$A$6,Preisindex,2,FALSE),2),0)))))</f>
        <v>0</v>
      </c>
      <c r="FR182" s="51">
        <f>IF(AND($E182&lt;&gt;0,$F182&gt;0,YEAR($F182)&lt;=FP$4,YEAR($F182)&gt;=Preisindex!$A$6),ROUND($E182*FP182,2),IF(AND($E182&lt;&gt;0,$F182&gt;0,YEAR($F182)&lt;=FP$4,YEAR($F182)&lt;Preisindex!$A$6),ROUND($E182*FQ182,2),0))</f>
        <v>0</v>
      </c>
      <c r="FS182" s="53">
        <f t="shared" si="557"/>
        <v>0</v>
      </c>
    </row>
    <row r="183" spans="1:175" x14ac:dyDescent="0.3">
      <c r="A183" s="93"/>
      <c r="B183" s="94"/>
      <c r="C183" s="94"/>
      <c r="D183" s="95"/>
      <c r="E183" s="99"/>
      <c r="F183" s="97"/>
      <c r="G183" s="98"/>
      <c r="H183" s="620"/>
      <c r="I183" s="621"/>
      <c r="J183" s="194"/>
      <c r="K183" s="630"/>
      <c r="L183" s="49">
        <f t="shared" si="558"/>
        <v>0</v>
      </c>
      <c r="M183" s="50">
        <f t="shared" si="559"/>
        <v>0</v>
      </c>
      <c r="N183" s="51">
        <f t="shared" si="560"/>
        <v>0</v>
      </c>
      <c r="O183" s="51"/>
      <c r="P183" s="51">
        <f t="shared" si="561"/>
        <v>0</v>
      </c>
      <c r="Q183" s="52"/>
      <c r="R183" s="52"/>
      <c r="S183" s="52"/>
      <c r="T183" s="52"/>
      <c r="U183" s="52"/>
      <c r="V183" s="53">
        <f t="shared" si="562"/>
        <v>0</v>
      </c>
      <c r="W183" s="51">
        <f t="shared" si="563"/>
        <v>0</v>
      </c>
      <c r="X183" s="51">
        <f t="shared" si="564"/>
        <v>0</v>
      </c>
      <c r="Y183" s="51">
        <f t="shared" si="565"/>
        <v>0</v>
      </c>
      <c r="Z183" s="51">
        <f t="shared" si="566"/>
        <v>0</v>
      </c>
      <c r="AA183" s="51">
        <f t="shared" si="567"/>
        <v>0</v>
      </c>
      <c r="AB183" s="51">
        <f t="shared" si="568"/>
        <v>0</v>
      </c>
      <c r="AC183" s="51">
        <f t="shared" si="569"/>
        <v>0</v>
      </c>
      <c r="AD183" s="51">
        <f t="shared" si="570"/>
        <v>0</v>
      </c>
      <c r="AE183" s="51">
        <f t="shared" si="571"/>
        <v>0</v>
      </c>
      <c r="AF183" s="51">
        <f t="shared" si="572"/>
        <v>0</v>
      </c>
      <c r="AG183" s="51">
        <f t="shared" si="573"/>
        <v>0</v>
      </c>
      <c r="AH183" s="54">
        <f t="shared" si="574"/>
        <v>0</v>
      </c>
      <c r="AI183" s="55">
        <f t="shared" si="575"/>
        <v>0</v>
      </c>
      <c r="AJ183" s="56">
        <f>IF(AND($E183&lt;&gt;0,$F183&gt;0,YEAR($F183)&gt;=Preisindex!$A$6,YEAR(AE$4)&gt;=YEAR($F183),AND($K183&lt;&gt;"a",$K183&lt;&gt;"b",$K183&lt;&gt;"g",$K183&lt;&gt;"k")),1,IF(AND($E183&lt;&gt;0,$F183&gt;0,YEAR($F183)&gt;=Preisindex!$A$6,YEAR(AE$4)&gt;=YEAR($F183),$K183="a"),ROUND(VLOOKUP(AJ$4,Preisindex,5,FALSE)/VLOOKUP(YEAR($F183),Preisindex,5,FALSE),2),IF(AND($E183&lt;&gt;0,$F183&gt;0,YEAR($F183)&gt;=Preisindex!$A$6,YEAR(AE$4)&gt;=YEAR($F183),$K183="b"),ROUND(VLOOKUP(AJ$4,Preisindex,3,FALSE)/VLOOKUP(YEAR($F183),Preisindex,3,FALSE),2),IF(AND($E183&lt;&gt;0,$F183&gt;0,YEAR($F183)&gt;=Preisindex!$A$6,YEAR(AE$4)&gt;=YEAR($F183),$K183="g"),ROUND(VLOOKUP(AJ$4,Preisindex,4,FALSE)/VLOOKUP(YEAR($F183),Preisindex,4,FALSE),2),IF(AND($E183&lt;&gt;0,$F183&gt;0,YEAR($F183)&gt;=Preisindex!$A$6,YEAR(AE$4)&gt;=YEAR($F183),$K183="k"),ROUND(VLOOKUP(AJ$4,Preisindex,2,FALSE)/VLOOKUP(YEAR($F183),Preisindex,2,FALSE),2),0)))))</f>
        <v>0</v>
      </c>
      <c r="AK183" s="56">
        <f>IF(AND($E183&lt;&gt;0,$F183&gt;0,YEAR($F183)&lt;Preisindex!$A$6,YEAR(AE$4)&gt;=YEAR($F183),AND($K183&lt;&gt;"a",$K183&lt;&gt;"b",$K183&lt;&gt;"g",$K183&lt;&gt;"k")),1,IF(AND($E183&lt;&gt;0,$F183&gt;0,YEAR($F183)&lt;Preisindex!$A$6,YEAR(AE$4)&gt;=YEAR($F183),$K183="a"),ROUND(VLOOKUP(AJ$4,Preisindex,5,FALSE)/VLOOKUP(Preisindex!$A$6,Preisindex,5,FALSE),2),IF(AND($E183&lt;&gt;0,$F183&gt;0,YEAR($F183)&lt;Preisindex!$A$6,YEAR(AE$4)&gt;=YEAR($F183),$K183="b"),ROUND(VLOOKUP(AJ$4,Preisindex,3,FALSE)/VLOOKUP(Preisindex!$A$6,Preisindex,3,FALSE),2),IF(AND($E183&lt;&gt;0,$F183&gt;0,YEAR($F183)&lt;Preisindex!$A$6,YEAR(AE$4)&gt;=YEAR($F183),$K183="g"),ROUND(VLOOKUP(AJ$4,Preisindex,4,FALSE)/VLOOKUP(Preisindex!$A$6,Preisindex,4,FALSE),2),IF(AND($E183&lt;&gt;0,$F183&gt;0,YEAR($F183)&lt;Preisindex!$A$6,YEAR(AE$4)&gt;=YEAR($F183),$K183="k"),ROUND(VLOOKUP(AJ$4,Preisindex,2,FALSE)/VLOOKUP(Preisindex!$A$6,Preisindex,2,FALSE),2),0)))))</f>
        <v>0</v>
      </c>
      <c r="AL183" s="51">
        <f>IF(AND($E183&lt;&gt;0,$F183&gt;0,YEAR($F183)&lt;=AJ$4,YEAR($F183)&gt;=Preisindex!$A$6),ROUND($E183*AJ183,2),IF(AND($E183&lt;&gt;0,$F183&gt;0,YEAR($F183)&lt;=AJ$4,YEAR($F183)&lt;Preisindex!$A$6),ROUND($E183*AK183,2),0))</f>
        <v>0</v>
      </c>
      <c r="AM183" s="53">
        <f t="shared" si="576"/>
        <v>0</v>
      </c>
      <c r="AN183" s="51">
        <f t="shared" si="621"/>
        <v>0</v>
      </c>
      <c r="AO183" s="51">
        <f t="shared" si="579"/>
        <v>0</v>
      </c>
      <c r="AP183" s="51">
        <f t="shared" si="493"/>
        <v>0</v>
      </c>
      <c r="AQ183" s="51">
        <f t="shared" si="580"/>
        <v>0</v>
      </c>
      <c r="AR183" s="51">
        <f t="shared" si="494"/>
        <v>0</v>
      </c>
      <c r="AS183" s="51">
        <f t="shared" si="581"/>
        <v>0</v>
      </c>
      <c r="AT183" s="51">
        <f t="shared" si="495"/>
        <v>0</v>
      </c>
      <c r="AU183" s="51">
        <f t="shared" si="582"/>
        <v>0</v>
      </c>
      <c r="AV183" s="51">
        <f t="shared" si="496"/>
        <v>0</v>
      </c>
      <c r="AW183" s="51">
        <f t="shared" si="583"/>
        <v>0</v>
      </c>
      <c r="AX183" s="51">
        <f t="shared" si="497"/>
        <v>0</v>
      </c>
      <c r="AY183" s="54">
        <f t="shared" si="498"/>
        <v>0</v>
      </c>
      <c r="AZ183" s="55">
        <f t="shared" si="499"/>
        <v>0</v>
      </c>
      <c r="BA183" s="56">
        <f>IF(AND($E183&lt;&gt;0,$F183&gt;0,YEAR($F183)&gt;=Preisindex!$A$6,YEAR(AV$4)&gt;=YEAR($F183),AND($K183&lt;&gt;"a",$K183&lt;&gt;"b",$K183&lt;&gt;"g",$K183&lt;&gt;"k")),1,IF(AND($E183&lt;&gt;0,$F183&gt;0,YEAR($F183)&gt;=Preisindex!$A$6,YEAR(AV$4)&gt;=YEAR($F183),$K183="a"),ROUND(VLOOKUP(BA$4,Preisindex,5,FALSE)/VLOOKUP(YEAR($F183),Preisindex,5,FALSE),2),IF(AND($E183&lt;&gt;0,$F183&gt;0,YEAR($F183)&gt;=Preisindex!$A$6,YEAR(AV$4)&gt;=YEAR($F183),$K183="b"),ROUND(VLOOKUP(BA$4,Preisindex,3,FALSE)/VLOOKUP(YEAR($F183),Preisindex,3,FALSE),2),IF(AND($E183&lt;&gt;0,$F183&gt;0,YEAR($F183)&gt;=Preisindex!$A$6,YEAR(AV$4)&gt;=YEAR($F183),$K183="g"),ROUND(VLOOKUP(BA$4,Preisindex,4,FALSE)/VLOOKUP(YEAR($F183),Preisindex,4,FALSE),2),IF(AND($E183&lt;&gt;0,$F183&gt;0,YEAR($F183)&gt;=Preisindex!$A$6,YEAR(AV$4)&gt;=YEAR($F183),$K183="k"),ROUND(VLOOKUP(BA$4,Preisindex,2,FALSE)/VLOOKUP(YEAR($F183),Preisindex,2,FALSE),2),0)))))</f>
        <v>0</v>
      </c>
      <c r="BB183" s="56">
        <f>IF(AND($E183&lt;&gt;0,$F183&gt;0,YEAR($F183)&lt;Preisindex!$A$6,YEAR(AV$4)&gt;=YEAR($F183),AND($K183&lt;&gt;"a",$K183&lt;&gt;"b",$K183&lt;&gt;"g",$K183&lt;&gt;"k")),1,IF(AND($E183&lt;&gt;0,$F183&gt;0,YEAR($F183)&lt;Preisindex!$A$6,YEAR(AV$4)&gt;=YEAR($F183),$K183="a"),ROUND(VLOOKUP(BA$4,Preisindex,5,FALSE)/VLOOKUP(Preisindex!$A$6,Preisindex,5,FALSE),2),IF(AND($E183&lt;&gt;0,$F183&gt;0,YEAR($F183)&lt;Preisindex!$A$6,YEAR(AV$4)&gt;=YEAR($F183),$K183="b"),ROUND(VLOOKUP(BA$4,Preisindex,3,FALSE)/VLOOKUP(Preisindex!$A$6,Preisindex,3,FALSE),2),IF(AND($E183&lt;&gt;0,$F183&gt;0,YEAR($F183)&lt;Preisindex!$A$6,YEAR(AV$4)&gt;=YEAR($F183),$K183="g"),ROUND(VLOOKUP(BA$4,Preisindex,4,FALSE)/VLOOKUP(Preisindex!$A$6,Preisindex,4,FALSE),2),IF(AND($E183&lt;&gt;0,$F183&gt;0,YEAR($F183)&lt;Preisindex!$A$6,YEAR(AV$4)&gt;=YEAR($F183),$K183="k"),ROUND(VLOOKUP(BA$4,Preisindex,2,FALSE)/VLOOKUP(Preisindex!$A$6,Preisindex,2,FALSE),2),0)))))</f>
        <v>0</v>
      </c>
      <c r="BC183" s="51">
        <f>IF(AND($E183&lt;&gt;0,$F183&gt;0,YEAR($F183)&lt;=BA$4,YEAR($F183)&gt;=Preisindex!$A$6),ROUND($E183*BA183,2),IF(AND($E183&lt;&gt;0,$F183&gt;0,YEAR($F183)&lt;=BA$4,YEAR($F183)&lt;Preisindex!$A$6),ROUND($E183*BB183,2),0))</f>
        <v>0</v>
      </c>
      <c r="BD183" s="53">
        <f t="shared" si="500"/>
        <v>0</v>
      </c>
      <c r="BE183" s="51">
        <f t="shared" si="621"/>
        <v>0</v>
      </c>
      <c r="BF183" s="51">
        <f t="shared" si="584"/>
        <v>0</v>
      </c>
      <c r="BG183" s="51">
        <f t="shared" si="501"/>
        <v>0</v>
      </c>
      <c r="BH183" s="51">
        <f t="shared" si="585"/>
        <v>0</v>
      </c>
      <c r="BI183" s="51">
        <f t="shared" si="502"/>
        <v>0</v>
      </c>
      <c r="BJ183" s="51">
        <f t="shared" si="586"/>
        <v>0</v>
      </c>
      <c r="BK183" s="51">
        <f t="shared" si="503"/>
        <v>0</v>
      </c>
      <c r="BL183" s="51">
        <f t="shared" si="587"/>
        <v>0</v>
      </c>
      <c r="BM183" s="51">
        <f t="shared" si="504"/>
        <v>0</v>
      </c>
      <c r="BN183" s="51">
        <f t="shared" si="588"/>
        <v>0</v>
      </c>
      <c r="BO183" s="51">
        <f t="shared" si="505"/>
        <v>0</v>
      </c>
      <c r="BP183" s="54">
        <f t="shared" si="506"/>
        <v>0</v>
      </c>
      <c r="BQ183" s="55">
        <f t="shared" si="507"/>
        <v>0</v>
      </c>
      <c r="BR183" s="56">
        <f>IF(AND($E183&lt;&gt;0,$F183&gt;0,YEAR($F183)&gt;=Preisindex!$A$6,YEAR(BM$4)&gt;=YEAR($F183),AND($K183&lt;&gt;"a",$K183&lt;&gt;"b",$K183&lt;&gt;"g",$K183&lt;&gt;"k")),1,IF(AND($E183&lt;&gt;0,$F183&gt;0,YEAR($F183)&gt;=Preisindex!$A$6,YEAR(BM$4)&gt;=YEAR($F183),$K183="a"),ROUND(VLOOKUP(BR$4,Preisindex,5,FALSE)/VLOOKUP(YEAR($F183),Preisindex,5,FALSE),2),IF(AND($E183&lt;&gt;0,$F183&gt;0,YEAR($F183)&gt;=Preisindex!$A$6,YEAR(BM$4)&gt;=YEAR($F183),$K183="b"),ROUND(VLOOKUP(BR$4,Preisindex,3,FALSE)/VLOOKUP(YEAR($F183),Preisindex,3,FALSE),2),IF(AND($E183&lt;&gt;0,$F183&gt;0,YEAR($F183)&gt;=Preisindex!$A$6,YEAR(BM$4)&gt;=YEAR($F183),$K183="g"),ROUND(VLOOKUP(BR$4,Preisindex,4,FALSE)/VLOOKUP(YEAR($F183),Preisindex,4,FALSE),2),IF(AND($E183&lt;&gt;0,$F183&gt;0,YEAR($F183)&gt;=Preisindex!$A$6,YEAR(BM$4)&gt;=YEAR($F183),$K183="k"),ROUND(VLOOKUP(BR$4,Preisindex,2,FALSE)/VLOOKUP(YEAR($F183),Preisindex,2,FALSE),2),0)))))</f>
        <v>0</v>
      </c>
      <c r="BS183" s="56">
        <f>IF(AND($E183&lt;&gt;0,$F183&gt;0,YEAR($F183)&lt;Preisindex!$A$6,YEAR(BM$4)&gt;=YEAR($F183),AND($K183&lt;&gt;"a",$K183&lt;&gt;"b",$K183&lt;&gt;"g",$K183&lt;&gt;"k")),1,IF(AND($E183&lt;&gt;0,$F183&gt;0,YEAR($F183)&lt;Preisindex!$A$6,YEAR(BM$4)&gt;=YEAR($F183),$K183="a"),ROUND(VLOOKUP(BR$4,Preisindex,5,FALSE)/VLOOKUP(Preisindex!$A$6,Preisindex,5,FALSE),2),IF(AND($E183&lt;&gt;0,$F183&gt;0,YEAR($F183)&lt;Preisindex!$A$6,YEAR(BM$4)&gt;=YEAR($F183),$K183="b"),ROUND(VLOOKUP(BR$4,Preisindex,3,FALSE)/VLOOKUP(Preisindex!$A$6,Preisindex,3,FALSE),2),IF(AND($E183&lt;&gt;0,$F183&gt;0,YEAR($F183)&lt;Preisindex!$A$6,YEAR(BM$4)&gt;=YEAR($F183),$K183="g"),ROUND(VLOOKUP(BR$4,Preisindex,4,FALSE)/VLOOKUP(Preisindex!$A$6,Preisindex,4,FALSE),2),IF(AND($E183&lt;&gt;0,$F183&gt;0,YEAR($F183)&lt;Preisindex!$A$6,YEAR(BM$4)&gt;=YEAR($F183),$K183="k"),ROUND(VLOOKUP(BR$4,Preisindex,2,FALSE)/VLOOKUP(Preisindex!$A$6,Preisindex,2,FALSE),2),0)))))</f>
        <v>0</v>
      </c>
      <c r="BT183" s="51">
        <f>IF(AND($E183&lt;&gt;0,$F183&gt;0,YEAR($F183)&lt;=BR$4,YEAR($F183)&gt;=Preisindex!$A$6),ROUND($E183*BR183,2),IF(AND($E183&lt;&gt;0,$F183&gt;0,YEAR($F183)&lt;=BR$4,YEAR($F183)&lt;Preisindex!$A$6),ROUND($E183*BS183,2),0))</f>
        <v>0</v>
      </c>
      <c r="BU183" s="53">
        <f t="shared" si="508"/>
        <v>0</v>
      </c>
      <c r="BV183" s="51">
        <f t="shared" si="621"/>
        <v>0</v>
      </c>
      <c r="BW183" s="51">
        <f t="shared" si="589"/>
        <v>0</v>
      </c>
      <c r="BX183" s="51">
        <f t="shared" si="509"/>
        <v>0</v>
      </c>
      <c r="BY183" s="51">
        <f t="shared" si="590"/>
        <v>0</v>
      </c>
      <c r="BZ183" s="51">
        <f t="shared" si="510"/>
        <v>0</v>
      </c>
      <c r="CA183" s="51">
        <f t="shared" si="591"/>
        <v>0</v>
      </c>
      <c r="CB183" s="51">
        <f t="shared" si="511"/>
        <v>0</v>
      </c>
      <c r="CC183" s="51">
        <f t="shared" si="592"/>
        <v>0</v>
      </c>
      <c r="CD183" s="51">
        <f t="shared" si="512"/>
        <v>0</v>
      </c>
      <c r="CE183" s="51">
        <f t="shared" si="593"/>
        <v>0</v>
      </c>
      <c r="CF183" s="51">
        <f t="shared" si="513"/>
        <v>0</v>
      </c>
      <c r="CG183" s="54">
        <f t="shared" si="514"/>
        <v>0</v>
      </c>
      <c r="CH183" s="55">
        <f t="shared" si="515"/>
        <v>0</v>
      </c>
      <c r="CI183" s="56">
        <f>IF(AND($E183&lt;&gt;0,$F183&gt;0,YEAR($F183)&gt;=Preisindex!$A$6,YEAR(CD$4)&gt;=YEAR($F183),AND($K183&lt;&gt;"a",$K183&lt;&gt;"b",$K183&lt;&gt;"g",$K183&lt;&gt;"k")),1,IF(AND($E183&lt;&gt;0,$F183&gt;0,YEAR($F183)&gt;=Preisindex!$A$6,YEAR(CD$4)&gt;=YEAR($F183),$K183="a"),ROUND(VLOOKUP(CI$4,Preisindex,5,FALSE)/VLOOKUP(YEAR($F183),Preisindex,5,FALSE),2),IF(AND($E183&lt;&gt;0,$F183&gt;0,YEAR($F183)&gt;=Preisindex!$A$6,YEAR(CD$4)&gt;=YEAR($F183),$K183="b"),ROUND(VLOOKUP(CI$4,Preisindex,3,FALSE)/VLOOKUP(YEAR($F183),Preisindex,3,FALSE),2),IF(AND($E183&lt;&gt;0,$F183&gt;0,YEAR($F183)&gt;=Preisindex!$A$6,YEAR(CD$4)&gt;=YEAR($F183),$K183="g"),ROUND(VLOOKUP(CI$4,Preisindex,4,FALSE)/VLOOKUP(YEAR($F183),Preisindex,4,FALSE),2),IF(AND($E183&lt;&gt;0,$F183&gt;0,YEAR($F183)&gt;=Preisindex!$A$6,YEAR(CD$4)&gt;=YEAR($F183),$K183="k"),ROUND(VLOOKUP(CI$4,Preisindex,2,FALSE)/VLOOKUP(YEAR($F183),Preisindex,2,FALSE),2),0)))))</f>
        <v>0</v>
      </c>
      <c r="CJ183" s="56">
        <f>IF(AND($E183&lt;&gt;0,$F183&gt;0,YEAR($F183)&lt;Preisindex!$A$6,YEAR(CD$4)&gt;=YEAR($F183),AND($K183&lt;&gt;"a",$K183&lt;&gt;"b",$K183&lt;&gt;"g",$K183&lt;&gt;"k")),1,IF(AND($E183&lt;&gt;0,$F183&gt;0,YEAR($F183)&lt;Preisindex!$A$6,YEAR(CD$4)&gt;=YEAR($F183),$K183="a"),ROUND(VLOOKUP(CI$4,Preisindex,5,FALSE)/VLOOKUP(Preisindex!$A$6,Preisindex,5,FALSE),2),IF(AND($E183&lt;&gt;0,$F183&gt;0,YEAR($F183)&lt;Preisindex!$A$6,YEAR(CD$4)&gt;=YEAR($F183),$K183="b"),ROUND(VLOOKUP(CI$4,Preisindex,3,FALSE)/VLOOKUP(Preisindex!$A$6,Preisindex,3,FALSE),2),IF(AND($E183&lt;&gt;0,$F183&gt;0,YEAR($F183)&lt;Preisindex!$A$6,YEAR(CD$4)&gt;=YEAR($F183),$K183="g"),ROUND(VLOOKUP(CI$4,Preisindex,4,FALSE)/VLOOKUP(Preisindex!$A$6,Preisindex,4,FALSE),2),IF(AND($E183&lt;&gt;0,$F183&gt;0,YEAR($F183)&lt;Preisindex!$A$6,YEAR(CD$4)&gt;=YEAR($F183),$K183="k"),ROUND(VLOOKUP(CI$4,Preisindex,2,FALSE)/VLOOKUP(Preisindex!$A$6,Preisindex,2,FALSE),2),0)))))</f>
        <v>0</v>
      </c>
      <c r="CK183" s="51">
        <f>IF(AND($E183&lt;&gt;0,$F183&gt;0,YEAR($F183)&lt;=CI$4,YEAR($F183)&gt;=Preisindex!$A$6),ROUND($E183*CI183,2),IF(AND($E183&lt;&gt;0,$F183&gt;0,YEAR($F183)&lt;=CI$4,YEAR($F183)&lt;Preisindex!$A$6),ROUND($E183*CJ183,2),0))</f>
        <v>0</v>
      </c>
      <c r="CL183" s="53">
        <f t="shared" si="516"/>
        <v>0</v>
      </c>
      <c r="CM183" s="51">
        <f t="shared" si="621"/>
        <v>0</v>
      </c>
      <c r="CN183" s="51">
        <f t="shared" si="594"/>
        <v>0</v>
      </c>
      <c r="CO183" s="51">
        <f t="shared" si="517"/>
        <v>0</v>
      </c>
      <c r="CP183" s="51">
        <f t="shared" si="595"/>
        <v>0</v>
      </c>
      <c r="CQ183" s="51">
        <f t="shared" si="518"/>
        <v>0</v>
      </c>
      <c r="CR183" s="51">
        <f t="shared" si="596"/>
        <v>0</v>
      </c>
      <c r="CS183" s="51">
        <f t="shared" si="519"/>
        <v>0</v>
      </c>
      <c r="CT183" s="51">
        <f t="shared" si="597"/>
        <v>0</v>
      </c>
      <c r="CU183" s="51">
        <f t="shared" si="520"/>
        <v>0</v>
      </c>
      <c r="CV183" s="51">
        <f t="shared" si="598"/>
        <v>0</v>
      </c>
      <c r="CW183" s="51">
        <f t="shared" si="521"/>
        <v>0</v>
      </c>
      <c r="CX183" s="54">
        <f t="shared" si="522"/>
        <v>0</v>
      </c>
      <c r="CY183" s="55">
        <f t="shared" si="523"/>
        <v>0</v>
      </c>
      <c r="CZ183" s="56">
        <f>IF(AND($E183&lt;&gt;0,$F183&gt;0,YEAR($F183)&gt;=Preisindex!$A$6,YEAR(CU$4)&gt;=YEAR($F183),AND($K183&lt;&gt;"a",$K183&lt;&gt;"b",$K183&lt;&gt;"g",$K183&lt;&gt;"k")),1,IF(AND($E183&lt;&gt;0,$F183&gt;0,YEAR($F183)&gt;=Preisindex!$A$6,YEAR(CU$4)&gt;=YEAR($F183),$K183="a"),ROUND(VLOOKUP(CZ$4,Preisindex,5,FALSE)/VLOOKUP(YEAR($F183),Preisindex,5,FALSE),2),IF(AND($E183&lt;&gt;0,$F183&gt;0,YEAR($F183)&gt;=Preisindex!$A$6,YEAR(CU$4)&gt;=YEAR($F183),$K183="b"),ROUND(VLOOKUP(CZ$4,Preisindex,3,FALSE)/VLOOKUP(YEAR($F183),Preisindex,3,FALSE),2),IF(AND($E183&lt;&gt;0,$F183&gt;0,YEAR($F183)&gt;=Preisindex!$A$6,YEAR(CU$4)&gt;=YEAR($F183),$K183="g"),ROUND(VLOOKUP(CZ$4,Preisindex,4,FALSE)/VLOOKUP(YEAR($F183),Preisindex,4,FALSE),2),IF(AND($E183&lt;&gt;0,$F183&gt;0,YEAR($F183)&gt;=Preisindex!$A$6,YEAR(CU$4)&gt;=YEAR($F183),$K183="k"),ROUND(VLOOKUP(CZ$4,Preisindex,2,FALSE)/VLOOKUP(YEAR($F183),Preisindex,2,FALSE),2),0)))))</f>
        <v>0</v>
      </c>
      <c r="DA183" s="56">
        <f>IF(AND($E183&lt;&gt;0,$F183&gt;0,YEAR($F183)&lt;Preisindex!$A$6,YEAR(CU$4)&gt;=YEAR($F183),AND($K183&lt;&gt;"a",$K183&lt;&gt;"b",$K183&lt;&gt;"g",$K183&lt;&gt;"k")),1,IF(AND($E183&lt;&gt;0,$F183&gt;0,YEAR($F183)&lt;Preisindex!$A$6,YEAR(CU$4)&gt;=YEAR($F183),$K183="a"),ROUND(VLOOKUP(CZ$4,Preisindex,5,FALSE)/VLOOKUP(Preisindex!$A$6,Preisindex,5,FALSE),2),IF(AND($E183&lt;&gt;0,$F183&gt;0,YEAR($F183)&lt;Preisindex!$A$6,YEAR(CU$4)&gt;=YEAR($F183),$K183="b"),ROUND(VLOOKUP(CZ$4,Preisindex,3,FALSE)/VLOOKUP(Preisindex!$A$6,Preisindex,3,FALSE),2),IF(AND($E183&lt;&gt;0,$F183&gt;0,YEAR($F183)&lt;Preisindex!$A$6,YEAR(CU$4)&gt;=YEAR($F183),$K183="g"),ROUND(VLOOKUP(CZ$4,Preisindex,4,FALSE)/VLOOKUP(Preisindex!$A$6,Preisindex,4,FALSE),2),IF(AND($E183&lt;&gt;0,$F183&gt;0,YEAR($F183)&lt;Preisindex!$A$6,YEAR(CU$4)&gt;=YEAR($F183),$K183="k"),ROUND(VLOOKUP(CZ$4,Preisindex,2,FALSE)/VLOOKUP(Preisindex!$A$6,Preisindex,2,FALSE),2),0)))))</f>
        <v>0</v>
      </c>
      <c r="DB183" s="51">
        <f>IF(AND($E183&lt;&gt;0,$F183&gt;0,YEAR($F183)&lt;=CZ$4,YEAR($F183)&gt;=Preisindex!$A$6),ROUND($E183*CZ183,2),IF(AND($E183&lt;&gt;0,$F183&gt;0,YEAR($F183)&lt;=CZ$4,YEAR($F183)&lt;Preisindex!$A$6),ROUND($E183*DA183,2),0))</f>
        <v>0</v>
      </c>
      <c r="DC183" s="53">
        <f t="shared" si="524"/>
        <v>0</v>
      </c>
      <c r="DD183" s="51">
        <f t="shared" si="622"/>
        <v>0</v>
      </c>
      <c r="DE183" s="51">
        <f t="shared" si="599"/>
        <v>0</v>
      </c>
      <c r="DF183" s="51">
        <f t="shared" si="526"/>
        <v>0</v>
      </c>
      <c r="DG183" s="51">
        <f t="shared" si="600"/>
        <v>0</v>
      </c>
      <c r="DH183" s="51">
        <f t="shared" si="527"/>
        <v>0</v>
      </c>
      <c r="DI183" s="51">
        <f t="shared" si="601"/>
        <v>0</v>
      </c>
      <c r="DJ183" s="51">
        <f t="shared" si="528"/>
        <v>0</v>
      </c>
      <c r="DK183" s="51">
        <f t="shared" si="602"/>
        <v>0</v>
      </c>
      <c r="DL183" s="51">
        <f t="shared" si="529"/>
        <v>0</v>
      </c>
      <c r="DM183" s="51">
        <f t="shared" si="603"/>
        <v>0</v>
      </c>
      <c r="DN183" s="51">
        <f t="shared" si="530"/>
        <v>0</v>
      </c>
      <c r="DO183" s="54">
        <f t="shared" si="531"/>
        <v>0</v>
      </c>
      <c r="DP183" s="55">
        <f t="shared" si="532"/>
        <v>0</v>
      </c>
      <c r="DQ183" s="56">
        <f>IF(AND($E183&lt;&gt;0,$F183&gt;0,YEAR($F183)&gt;=Preisindex!$A$6,YEAR(DL$4)&gt;=YEAR($F183),AND($K183&lt;&gt;"a",$K183&lt;&gt;"b",$K183&lt;&gt;"g",$K183&lt;&gt;"k")),1,IF(AND($E183&lt;&gt;0,$F183&gt;0,YEAR($F183)&gt;=Preisindex!$A$6,YEAR(DL$4)&gt;=YEAR($F183),$K183="a"),ROUND(VLOOKUP(DQ$4,Preisindex,5,FALSE)/VLOOKUP(YEAR($F183),Preisindex,5,FALSE),2),IF(AND($E183&lt;&gt;0,$F183&gt;0,YEAR($F183)&gt;=Preisindex!$A$6,YEAR(DL$4)&gt;=YEAR($F183),$K183="b"),ROUND(VLOOKUP(DQ$4,Preisindex,3,FALSE)/VLOOKUP(YEAR($F183),Preisindex,3,FALSE),2),IF(AND($E183&lt;&gt;0,$F183&gt;0,YEAR($F183)&gt;=Preisindex!$A$6,YEAR(DL$4)&gt;=YEAR($F183),$K183="g"),ROUND(VLOOKUP(DQ$4,Preisindex,4,FALSE)/VLOOKUP(YEAR($F183),Preisindex,4,FALSE),2),IF(AND($E183&lt;&gt;0,$F183&gt;0,YEAR($F183)&gt;=Preisindex!$A$6,YEAR(DL$4)&gt;=YEAR($F183),$K183="k"),ROUND(VLOOKUP(DQ$4,Preisindex,2,FALSE)/VLOOKUP(YEAR($F183),Preisindex,2,FALSE),2),0)))))</f>
        <v>0</v>
      </c>
      <c r="DR183" s="56">
        <f>IF(AND($E183&lt;&gt;0,$F183&gt;0,YEAR($F183)&lt;Preisindex!$A$6,YEAR(DL$4)&gt;=YEAR($F183),AND($K183&lt;&gt;"a",$K183&lt;&gt;"b",$K183&lt;&gt;"g",$K183&lt;&gt;"k")),1,IF(AND($E183&lt;&gt;0,$F183&gt;0,YEAR($F183)&lt;Preisindex!$A$6,YEAR(DL$4)&gt;=YEAR($F183),$K183="a"),ROUND(VLOOKUP(DQ$4,Preisindex,5,FALSE)/VLOOKUP(Preisindex!$A$6,Preisindex,5,FALSE),2),IF(AND($E183&lt;&gt;0,$F183&gt;0,YEAR($F183)&lt;Preisindex!$A$6,YEAR(DL$4)&gt;=YEAR($F183),$K183="b"),ROUND(VLOOKUP(DQ$4,Preisindex,3,FALSE)/VLOOKUP(Preisindex!$A$6,Preisindex,3,FALSE),2),IF(AND($E183&lt;&gt;0,$F183&gt;0,YEAR($F183)&lt;Preisindex!$A$6,YEAR(DL$4)&gt;=YEAR($F183),$K183="g"),ROUND(VLOOKUP(DQ$4,Preisindex,4,FALSE)/VLOOKUP(Preisindex!$A$6,Preisindex,4,FALSE),2),IF(AND($E183&lt;&gt;0,$F183&gt;0,YEAR($F183)&lt;Preisindex!$A$6,YEAR(DL$4)&gt;=YEAR($F183),$K183="k"),ROUND(VLOOKUP(DQ$4,Preisindex,2,FALSE)/VLOOKUP(Preisindex!$A$6,Preisindex,2,FALSE),2),0)))))</f>
        <v>0</v>
      </c>
      <c r="DS183" s="51">
        <f>IF(AND($E183&lt;&gt;0,$F183&gt;0,YEAR($F183)&lt;=DQ$4,YEAR($F183)&gt;=Preisindex!$A$6),ROUND($E183*DQ183,2),IF(AND($E183&lt;&gt;0,$F183&gt;0,YEAR($F183)&lt;=DQ$4,YEAR($F183)&lt;Preisindex!$A$6),ROUND($E183*DR183,2),0))</f>
        <v>0</v>
      </c>
      <c r="DT183" s="53">
        <f t="shared" si="533"/>
        <v>0</v>
      </c>
      <c r="DU183" s="51">
        <f t="shared" si="622"/>
        <v>0</v>
      </c>
      <c r="DV183" s="51">
        <f t="shared" si="604"/>
        <v>0</v>
      </c>
      <c r="DW183" s="51">
        <f t="shared" si="534"/>
        <v>0</v>
      </c>
      <c r="DX183" s="51">
        <f t="shared" si="605"/>
        <v>0</v>
      </c>
      <c r="DY183" s="51">
        <f t="shared" si="535"/>
        <v>0</v>
      </c>
      <c r="DZ183" s="51">
        <f t="shared" si="606"/>
        <v>0</v>
      </c>
      <c r="EA183" s="51">
        <f t="shared" si="536"/>
        <v>0</v>
      </c>
      <c r="EB183" s="51">
        <f t="shared" si="607"/>
        <v>0</v>
      </c>
      <c r="EC183" s="51">
        <f t="shared" si="537"/>
        <v>0</v>
      </c>
      <c r="ED183" s="51">
        <f t="shared" si="608"/>
        <v>0</v>
      </c>
      <c r="EE183" s="51">
        <f t="shared" si="538"/>
        <v>0</v>
      </c>
      <c r="EF183" s="54">
        <f t="shared" si="539"/>
        <v>0</v>
      </c>
      <c r="EG183" s="55">
        <f t="shared" si="540"/>
        <v>0</v>
      </c>
      <c r="EH183" s="56">
        <f>IF(AND($E183&lt;&gt;0,$F183&gt;0,YEAR($F183)&gt;=Preisindex!$A$6,YEAR(EC$4)&gt;=YEAR($F183),AND($K183&lt;&gt;"a",$K183&lt;&gt;"b",$K183&lt;&gt;"g",$K183&lt;&gt;"k")),1,IF(AND($E183&lt;&gt;0,$F183&gt;0,YEAR($F183)&gt;=Preisindex!$A$6,YEAR(EC$4)&gt;=YEAR($F183),$K183="a"),ROUND(VLOOKUP(EH$4,Preisindex,5,FALSE)/VLOOKUP(YEAR($F183),Preisindex,5,FALSE),2),IF(AND($E183&lt;&gt;0,$F183&gt;0,YEAR($F183)&gt;=Preisindex!$A$6,YEAR(EC$4)&gt;=YEAR($F183),$K183="b"),ROUND(VLOOKUP(EH$4,Preisindex,3,FALSE)/VLOOKUP(YEAR($F183),Preisindex,3,FALSE),2),IF(AND($E183&lt;&gt;0,$F183&gt;0,YEAR($F183)&gt;=Preisindex!$A$6,YEAR(EC$4)&gt;=YEAR($F183),$K183="g"),ROUND(VLOOKUP(EH$4,Preisindex,4,FALSE)/VLOOKUP(YEAR($F183),Preisindex,4,FALSE),2),IF(AND($E183&lt;&gt;0,$F183&gt;0,YEAR($F183)&gt;=Preisindex!$A$6,YEAR(EC$4)&gt;=YEAR($F183),$K183="k"),ROUND(VLOOKUP(EH$4,Preisindex,2,FALSE)/VLOOKUP(YEAR($F183),Preisindex,2,FALSE),2),0)))))</f>
        <v>0</v>
      </c>
      <c r="EI183" s="56">
        <f>IF(AND($E183&lt;&gt;0,$F183&gt;0,YEAR($F183)&lt;Preisindex!$A$6,YEAR(EC$4)&gt;=YEAR($F183),AND($K183&lt;&gt;"a",$K183&lt;&gt;"b",$K183&lt;&gt;"g",$K183&lt;&gt;"k")),1,IF(AND($E183&lt;&gt;0,$F183&gt;0,YEAR($F183)&lt;Preisindex!$A$6,YEAR(EC$4)&gt;=YEAR($F183),$K183="a"),ROUND(VLOOKUP(EH$4,Preisindex,5,FALSE)/VLOOKUP(Preisindex!$A$6,Preisindex,5,FALSE),2),IF(AND($E183&lt;&gt;0,$F183&gt;0,YEAR($F183)&lt;Preisindex!$A$6,YEAR(EC$4)&gt;=YEAR($F183),$K183="b"),ROUND(VLOOKUP(EH$4,Preisindex,3,FALSE)/VLOOKUP(Preisindex!$A$6,Preisindex,3,FALSE),2),IF(AND($E183&lt;&gt;0,$F183&gt;0,YEAR($F183)&lt;Preisindex!$A$6,YEAR(EC$4)&gt;=YEAR($F183),$K183="g"),ROUND(VLOOKUP(EH$4,Preisindex,4,FALSE)/VLOOKUP(Preisindex!$A$6,Preisindex,4,FALSE),2),IF(AND($E183&lt;&gt;0,$F183&gt;0,YEAR($F183)&lt;Preisindex!$A$6,YEAR(EC$4)&gt;=YEAR($F183),$K183="k"),ROUND(VLOOKUP(EH$4,Preisindex,2,FALSE)/VLOOKUP(Preisindex!$A$6,Preisindex,2,FALSE),2),0)))))</f>
        <v>0</v>
      </c>
      <c r="EJ183" s="51">
        <f>IF(AND($E183&lt;&gt;0,$F183&gt;0,YEAR($F183)&lt;=EH$4,YEAR($F183)&gt;=Preisindex!$A$6),ROUND($E183*EH183,2),IF(AND($E183&lt;&gt;0,$F183&gt;0,YEAR($F183)&lt;=EH$4,YEAR($F183)&lt;Preisindex!$A$6),ROUND($E183*EI183,2),0))</f>
        <v>0</v>
      </c>
      <c r="EK183" s="53">
        <f t="shared" si="541"/>
        <v>0</v>
      </c>
      <c r="EL183" s="51">
        <f t="shared" si="622"/>
        <v>0</v>
      </c>
      <c r="EM183" s="51">
        <f t="shared" si="609"/>
        <v>0</v>
      </c>
      <c r="EN183" s="51">
        <f t="shared" si="542"/>
        <v>0</v>
      </c>
      <c r="EO183" s="51">
        <f t="shared" si="610"/>
        <v>0</v>
      </c>
      <c r="EP183" s="51">
        <f t="shared" si="543"/>
        <v>0</v>
      </c>
      <c r="EQ183" s="51">
        <f t="shared" si="611"/>
        <v>0</v>
      </c>
      <c r="ER183" s="51">
        <f t="shared" si="544"/>
        <v>0</v>
      </c>
      <c r="ES183" s="51">
        <f t="shared" si="612"/>
        <v>0</v>
      </c>
      <c r="ET183" s="51">
        <f t="shared" si="545"/>
        <v>0</v>
      </c>
      <c r="EU183" s="51">
        <f t="shared" si="613"/>
        <v>0</v>
      </c>
      <c r="EV183" s="51">
        <f t="shared" si="546"/>
        <v>0</v>
      </c>
      <c r="EW183" s="54">
        <f t="shared" si="547"/>
        <v>0</v>
      </c>
      <c r="EX183" s="55">
        <f t="shared" si="548"/>
        <v>0</v>
      </c>
      <c r="EY183" s="56">
        <f>IF(AND($E183&lt;&gt;0,$F183&gt;0,YEAR($F183)&gt;=Preisindex!$A$6,YEAR(ET$4)&gt;=YEAR($F183),AND($K183&lt;&gt;"a",$K183&lt;&gt;"b",$K183&lt;&gt;"g",$K183&lt;&gt;"k")),1,IF(AND($E183&lt;&gt;0,$F183&gt;0,YEAR($F183)&gt;=Preisindex!$A$6,YEAR(ET$4)&gt;=YEAR($F183),$K183="a"),ROUND(VLOOKUP(EY$4,Preisindex,5,FALSE)/VLOOKUP(YEAR($F183),Preisindex,5,FALSE),2),IF(AND($E183&lt;&gt;0,$F183&gt;0,YEAR($F183)&gt;=Preisindex!$A$6,YEAR(ET$4)&gt;=YEAR($F183),$K183="b"),ROUND(VLOOKUP(EY$4,Preisindex,3,FALSE)/VLOOKUP(YEAR($F183),Preisindex,3,FALSE),2),IF(AND($E183&lt;&gt;0,$F183&gt;0,YEAR($F183)&gt;=Preisindex!$A$6,YEAR(ET$4)&gt;=YEAR($F183),$K183="g"),ROUND(VLOOKUP(EY$4,Preisindex,4,FALSE)/VLOOKUP(YEAR($F183),Preisindex,4,FALSE),2),IF(AND($E183&lt;&gt;0,$F183&gt;0,YEAR($F183)&gt;=Preisindex!$A$6,YEAR(ET$4)&gt;=YEAR($F183),$K183="k"),ROUND(VLOOKUP(EY$4,Preisindex,2,FALSE)/VLOOKUP(YEAR($F183),Preisindex,2,FALSE),2),0)))))</f>
        <v>0</v>
      </c>
      <c r="EZ183" s="56">
        <f>IF(AND($E183&lt;&gt;0,$F183&gt;0,YEAR($F183)&lt;Preisindex!$A$6,YEAR(ET$4)&gt;=YEAR($F183),AND($K183&lt;&gt;"a",$K183&lt;&gt;"b",$K183&lt;&gt;"g",$K183&lt;&gt;"k")),1,IF(AND($E183&lt;&gt;0,$F183&gt;0,YEAR($F183)&lt;Preisindex!$A$6,YEAR(ET$4)&gt;=YEAR($F183),$K183="a"),ROUND(VLOOKUP(EY$4,Preisindex,5,FALSE)/VLOOKUP(Preisindex!$A$6,Preisindex,5,FALSE),2),IF(AND($E183&lt;&gt;0,$F183&gt;0,YEAR($F183)&lt;Preisindex!$A$6,YEAR(ET$4)&gt;=YEAR($F183),$K183="b"),ROUND(VLOOKUP(EY$4,Preisindex,3,FALSE)/VLOOKUP(Preisindex!$A$6,Preisindex,3,FALSE),2),IF(AND($E183&lt;&gt;0,$F183&gt;0,YEAR($F183)&lt;Preisindex!$A$6,YEAR(ET$4)&gt;=YEAR($F183),$K183="g"),ROUND(VLOOKUP(EY$4,Preisindex,4,FALSE)/VLOOKUP(Preisindex!$A$6,Preisindex,4,FALSE),2),IF(AND($E183&lt;&gt;0,$F183&gt;0,YEAR($F183)&lt;Preisindex!$A$6,YEAR(ET$4)&gt;=YEAR($F183),$K183="k"),ROUND(VLOOKUP(EY$4,Preisindex,2,FALSE)/VLOOKUP(Preisindex!$A$6,Preisindex,2,FALSE),2),0)))))</f>
        <v>0</v>
      </c>
      <c r="FA183" s="51">
        <f>IF(AND($E183&lt;&gt;0,$F183&gt;0,YEAR($F183)&lt;=EY$4,YEAR($F183)&gt;=Preisindex!$A$6),ROUND($E183*EY183,2),IF(AND($E183&lt;&gt;0,$F183&gt;0,YEAR($F183)&lt;=EY$4,YEAR($F183)&lt;Preisindex!$A$6),ROUND($E183*EZ183,2),0))</f>
        <v>0</v>
      </c>
      <c r="FB183" s="53">
        <f t="shared" si="549"/>
        <v>0</v>
      </c>
      <c r="FC183" s="51">
        <f t="shared" si="622"/>
        <v>0</v>
      </c>
      <c r="FD183" s="51">
        <f t="shared" si="614"/>
        <v>0</v>
      </c>
      <c r="FE183" s="51">
        <f t="shared" si="550"/>
        <v>0</v>
      </c>
      <c r="FF183" s="51">
        <f t="shared" si="615"/>
        <v>0</v>
      </c>
      <c r="FG183" s="51">
        <f t="shared" si="551"/>
        <v>0</v>
      </c>
      <c r="FH183" s="51">
        <f t="shared" si="616"/>
        <v>0</v>
      </c>
      <c r="FI183" s="51">
        <f t="shared" si="552"/>
        <v>0</v>
      </c>
      <c r="FJ183" s="51">
        <f t="shared" si="617"/>
        <v>0</v>
      </c>
      <c r="FK183" s="51">
        <f t="shared" si="553"/>
        <v>0</v>
      </c>
      <c r="FL183" s="51">
        <f t="shared" si="618"/>
        <v>0</v>
      </c>
      <c r="FM183" s="51">
        <f t="shared" si="554"/>
        <v>0</v>
      </c>
      <c r="FN183" s="54">
        <f t="shared" si="555"/>
        <v>0</v>
      </c>
      <c r="FO183" s="55">
        <f t="shared" si="556"/>
        <v>0</v>
      </c>
      <c r="FP183" s="56">
        <f>IF(AND($E183&lt;&gt;0,$F183&gt;0,YEAR($F183)&gt;=Preisindex!$A$6,YEAR(FK$4)&gt;=YEAR($F183),AND($K183&lt;&gt;"a",$K183&lt;&gt;"b",$K183&lt;&gt;"g",$K183&lt;&gt;"k")),1,IF(AND($E183&lt;&gt;0,$F183&gt;0,YEAR($F183)&gt;=Preisindex!$A$6,YEAR(FK$4)&gt;=YEAR($F183),$K183="a"),ROUND(VLOOKUP(FP$4,Preisindex,5,FALSE)/VLOOKUP(YEAR($F183),Preisindex,5,FALSE),2),IF(AND($E183&lt;&gt;0,$F183&gt;0,YEAR($F183)&gt;=Preisindex!$A$6,YEAR(FK$4)&gt;=YEAR($F183),$K183="b"),ROUND(VLOOKUP(FP$4,Preisindex,3,FALSE)/VLOOKUP(YEAR($F183),Preisindex,3,FALSE),2),IF(AND($E183&lt;&gt;0,$F183&gt;0,YEAR($F183)&gt;=Preisindex!$A$6,YEAR(FK$4)&gt;=YEAR($F183),$K183="g"),ROUND(VLOOKUP(FP$4,Preisindex,4,FALSE)/VLOOKUP(YEAR($F183),Preisindex,4,FALSE),2),IF(AND($E183&lt;&gt;0,$F183&gt;0,YEAR($F183)&gt;=Preisindex!$A$6,YEAR(FK$4)&gt;=YEAR($F183),$K183="k"),ROUND(VLOOKUP(FP$4,Preisindex,2,FALSE)/VLOOKUP(YEAR($F183),Preisindex,2,FALSE),2),0)))))</f>
        <v>0</v>
      </c>
      <c r="FQ183" s="56">
        <f>IF(AND($E183&lt;&gt;0,$F183&gt;0,YEAR($F183)&lt;Preisindex!$A$6,YEAR(FK$4)&gt;=YEAR($F183),AND($K183&lt;&gt;"a",$K183&lt;&gt;"b",$K183&lt;&gt;"g",$K183&lt;&gt;"k")),1,IF(AND($E183&lt;&gt;0,$F183&gt;0,YEAR($F183)&lt;Preisindex!$A$6,YEAR(FK$4)&gt;=YEAR($F183),$K183="a"),ROUND(VLOOKUP(FP$4,Preisindex,5,FALSE)/VLOOKUP(Preisindex!$A$6,Preisindex,5,FALSE),2),IF(AND($E183&lt;&gt;0,$F183&gt;0,YEAR($F183)&lt;Preisindex!$A$6,YEAR(FK$4)&gt;=YEAR($F183),$K183="b"),ROUND(VLOOKUP(FP$4,Preisindex,3,FALSE)/VLOOKUP(Preisindex!$A$6,Preisindex,3,FALSE),2),IF(AND($E183&lt;&gt;0,$F183&gt;0,YEAR($F183)&lt;Preisindex!$A$6,YEAR(FK$4)&gt;=YEAR($F183),$K183="g"),ROUND(VLOOKUP(FP$4,Preisindex,4,FALSE)/VLOOKUP(Preisindex!$A$6,Preisindex,4,FALSE),2),IF(AND($E183&lt;&gt;0,$F183&gt;0,YEAR($F183)&lt;Preisindex!$A$6,YEAR(FK$4)&gt;=YEAR($F183),$K183="k"),ROUND(VLOOKUP(FP$4,Preisindex,2,FALSE)/VLOOKUP(Preisindex!$A$6,Preisindex,2,FALSE),2),0)))))</f>
        <v>0</v>
      </c>
      <c r="FR183" s="51">
        <f>IF(AND($E183&lt;&gt;0,$F183&gt;0,YEAR($F183)&lt;=FP$4,YEAR($F183)&gt;=Preisindex!$A$6),ROUND($E183*FP183,2),IF(AND($E183&lt;&gt;0,$F183&gt;0,YEAR($F183)&lt;=FP$4,YEAR($F183)&lt;Preisindex!$A$6),ROUND($E183*FQ183,2),0))</f>
        <v>0</v>
      </c>
      <c r="FS183" s="53">
        <f t="shared" si="557"/>
        <v>0</v>
      </c>
    </row>
    <row r="184" spans="1:175" x14ac:dyDescent="0.3">
      <c r="A184" s="93"/>
      <c r="B184" s="94"/>
      <c r="C184" s="94"/>
      <c r="D184" s="95"/>
      <c r="E184" s="99"/>
      <c r="F184" s="97"/>
      <c r="G184" s="98"/>
      <c r="H184" s="620"/>
      <c r="I184" s="621"/>
      <c r="J184" s="194"/>
      <c r="K184" s="630"/>
      <c r="L184" s="49">
        <f t="shared" si="558"/>
        <v>0</v>
      </c>
      <c r="M184" s="50">
        <f t="shared" si="559"/>
        <v>0</v>
      </c>
      <c r="N184" s="51">
        <f t="shared" si="560"/>
        <v>0</v>
      </c>
      <c r="O184" s="51"/>
      <c r="P184" s="51">
        <f t="shared" si="561"/>
        <v>0</v>
      </c>
      <c r="Q184" s="52"/>
      <c r="R184" s="52"/>
      <c r="S184" s="52"/>
      <c r="T184" s="52"/>
      <c r="U184" s="52"/>
      <c r="V184" s="53">
        <f t="shared" si="562"/>
        <v>0</v>
      </c>
      <c r="W184" s="51">
        <f t="shared" si="563"/>
        <v>0</v>
      </c>
      <c r="X184" s="51">
        <f t="shared" si="564"/>
        <v>0</v>
      </c>
      <c r="Y184" s="51">
        <f t="shared" si="565"/>
        <v>0</v>
      </c>
      <c r="Z184" s="51">
        <f t="shared" si="566"/>
        <v>0</v>
      </c>
      <c r="AA184" s="51">
        <f t="shared" si="567"/>
        <v>0</v>
      </c>
      <c r="AB184" s="51">
        <f t="shared" si="568"/>
        <v>0</v>
      </c>
      <c r="AC184" s="51">
        <f t="shared" si="569"/>
        <v>0</v>
      </c>
      <c r="AD184" s="51">
        <f t="shared" si="570"/>
        <v>0</v>
      </c>
      <c r="AE184" s="51">
        <f t="shared" si="571"/>
        <v>0</v>
      </c>
      <c r="AF184" s="51">
        <f t="shared" si="572"/>
        <v>0</v>
      </c>
      <c r="AG184" s="51">
        <f t="shared" si="573"/>
        <v>0</v>
      </c>
      <c r="AH184" s="54">
        <f t="shared" si="574"/>
        <v>0</v>
      </c>
      <c r="AI184" s="55">
        <f t="shared" si="575"/>
        <v>0</v>
      </c>
      <c r="AJ184" s="56">
        <f>IF(AND($E184&lt;&gt;0,$F184&gt;0,YEAR($F184)&gt;=Preisindex!$A$6,YEAR(AE$4)&gt;=YEAR($F184),AND($K184&lt;&gt;"a",$K184&lt;&gt;"b",$K184&lt;&gt;"g",$K184&lt;&gt;"k")),1,IF(AND($E184&lt;&gt;0,$F184&gt;0,YEAR($F184)&gt;=Preisindex!$A$6,YEAR(AE$4)&gt;=YEAR($F184),$K184="a"),ROUND(VLOOKUP(AJ$4,Preisindex,5,FALSE)/VLOOKUP(YEAR($F184),Preisindex,5,FALSE),2),IF(AND($E184&lt;&gt;0,$F184&gt;0,YEAR($F184)&gt;=Preisindex!$A$6,YEAR(AE$4)&gt;=YEAR($F184),$K184="b"),ROUND(VLOOKUP(AJ$4,Preisindex,3,FALSE)/VLOOKUP(YEAR($F184),Preisindex,3,FALSE),2),IF(AND($E184&lt;&gt;0,$F184&gt;0,YEAR($F184)&gt;=Preisindex!$A$6,YEAR(AE$4)&gt;=YEAR($F184),$K184="g"),ROUND(VLOOKUP(AJ$4,Preisindex,4,FALSE)/VLOOKUP(YEAR($F184),Preisindex,4,FALSE),2),IF(AND($E184&lt;&gt;0,$F184&gt;0,YEAR($F184)&gt;=Preisindex!$A$6,YEAR(AE$4)&gt;=YEAR($F184),$K184="k"),ROUND(VLOOKUP(AJ$4,Preisindex,2,FALSE)/VLOOKUP(YEAR($F184),Preisindex,2,FALSE),2),0)))))</f>
        <v>0</v>
      </c>
      <c r="AK184" s="56">
        <f>IF(AND($E184&lt;&gt;0,$F184&gt;0,YEAR($F184)&lt;Preisindex!$A$6,YEAR(AE$4)&gt;=YEAR($F184),AND($K184&lt;&gt;"a",$K184&lt;&gt;"b",$K184&lt;&gt;"g",$K184&lt;&gt;"k")),1,IF(AND($E184&lt;&gt;0,$F184&gt;0,YEAR($F184)&lt;Preisindex!$A$6,YEAR(AE$4)&gt;=YEAR($F184),$K184="a"),ROUND(VLOOKUP(AJ$4,Preisindex,5,FALSE)/VLOOKUP(Preisindex!$A$6,Preisindex,5,FALSE),2),IF(AND($E184&lt;&gt;0,$F184&gt;0,YEAR($F184)&lt;Preisindex!$A$6,YEAR(AE$4)&gt;=YEAR($F184),$K184="b"),ROUND(VLOOKUP(AJ$4,Preisindex,3,FALSE)/VLOOKUP(Preisindex!$A$6,Preisindex,3,FALSE),2),IF(AND($E184&lt;&gt;0,$F184&gt;0,YEAR($F184)&lt;Preisindex!$A$6,YEAR(AE$4)&gt;=YEAR($F184),$K184="g"),ROUND(VLOOKUP(AJ$4,Preisindex,4,FALSE)/VLOOKUP(Preisindex!$A$6,Preisindex,4,FALSE),2),IF(AND($E184&lt;&gt;0,$F184&gt;0,YEAR($F184)&lt;Preisindex!$A$6,YEAR(AE$4)&gt;=YEAR($F184),$K184="k"),ROUND(VLOOKUP(AJ$4,Preisindex,2,FALSE)/VLOOKUP(Preisindex!$A$6,Preisindex,2,FALSE),2),0)))))</f>
        <v>0</v>
      </c>
      <c r="AL184" s="51">
        <f>IF(AND($E184&lt;&gt;0,$F184&gt;0,YEAR($F184)&lt;=AJ$4,YEAR($F184)&gt;=Preisindex!$A$6),ROUND($E184*AJ184,2),IF(AND($E184&lt;&gt;0,$F184&gt;0,YEAR($F184)&lt;=AJ$4,YEAR($F184)&lt;Preisindex!$A$6),ROUND($E184*AK184,2),0))</f>
        <v>0</v>
      </c>
      <c r="AM184" s="53">
        <f t="shared" si="576"/>
        <v>0</v>
      </c>
      <c r="AN184" s="51">
        <f t="shared" si="621"/>
        <v>0</v>
      </c>
      <c r="AO184" s="51">
        <f t="shared" si="579"/>
        <v>0</v>
      </c>
      <c r="AP184" s="51">
        <f t="shared" si="493"/>
        <v>0</v>
      </c>
      <c r="AQ184" s="51">
        <f t="shared" si="580"/>
        <v>0</v>
      </c>
      <c r="AR184" s="51">
        <f t="shared" si="494"/>
        <v>0</v>
      </c>
      <c r="AS184" s="51">
        <f t="shared" si="581"/>
        <v>0</v>
      </c>
      <c r="AT184" s="51">
        <f t="shared" si="495"/>
        <v>0</v>
      </c>
      <c r="AU184" s="51">
        <f t="shared" si="582"/>
        <v>0</v>
      </c>
      <c r="AV184" s="51">
        <f t="shared" si="496"/>
        <v>0</v>
      </c>
      <c r="AW184" s="51">
        <f t="shared" si="583"/>
        <v>0</v>
      </c>
      <c r="AX184" s="51">
        <f t="shared" si="497"/>
        <v>0</v>
      </c>
      <c r="AY184" s="54">
        <f t="shared" si="498"/>
        <v>0</v>
      </c>
      <c r="AZ184" s="55">
        <f t="shared" si="499"/>
        <v>0</v>
      </c>
      <c r="BA184" s="56">
        <f>IF(AND($E184&lt;&gt;0,$F184&gt;0,YEAR($F184)&gt;=Preisindex!$A$6,YEAR(AV$4)&gt;=YEAR($F184),AND($K184&lt;&gt;"a",$K184&lt;&gt;"b",$K184&lt;&gt;"g",$K184&lt;&gt;"k")),1,IF(AND($E184&lt;&gt;0,$F184&gt;0,YEAR($F184)&gt;=Preisindex!$A$6,YEAR(AV$4)&gt;=YEAR($F184),$K184="a"),ROUND(VLOOKUP(BA$4,Preisindex,5,FALSE)/VLOOKUP(YEAR($F184),Preisindex,5,FALSE),2),IF(AND($E184&lt;&gt;0,$F184&gt;0,YEAR($F184)&gt;=Preisindex!$A$6,YEAR(AV$4)&gt;=YEAR($F184),$K184="b"),ROUND(VLOOKUP(BA$4,Preisindex,3,FALSE)/VLOOKUP(YEAR($F184),Preisindex,3,FALSE),2),IF(AND($E184&lt;&gt;0,$F184&gt;0,YEAR($F184)&gt;=Preisindex!$A$6,YEAR(AV$4)&gt;=YEAR($F184),$K184="g"),ROUND(VLOOKUP(BA$4,Preisindex,4,FALSE)/VLOOKUP(YEAR($F184),Preisindex,4,FALSE),2),IF(AND($E184&lt;&gt;0,$F184&gt;0,YEAR($F184)&gt;=Preisindex!$A$6,YEAR(AV$4)&gt;=YEAR($F184),$K184="k"),ROUND(VLOOKUP(BA$4,Preisindex,2,FALSE)/VLOOKUP(YEAR($F184),Preisindex,2,FALSE),2),0)))))</f>
        <v>0</v>
      </c>
      <c r="BB184" s="56">
        <f>IF(AND($E184&lt;&gt;0,$F184&gt;0,YEAR($F184)&lt;Preisindex!$A$6,YEAR(AV$4)&gt;=YEAR($F184),AND($K184&lt;&gt;"a",$K184&lt;&gt;"b",$K184&lt;&gt;"g",$K184&lt;&gt;"k")),1,IF(AND($E184&lt;&gt;0,$F184&gt;0,YEAR($F184)&lt;Preisindex!$A$6,YEAR(AV$4)&gt;=YEAR($F184),$K184="a"),ROUND(VLOOKUP(BA$4,Preisindex,5,FALSE)/VLOOKUP(Preisindex!$A$6,Preisindex,5,FALSE),2),IF(AND($E184&lt;&gt;0,$F184&gt;0,YEAR($F184)&lt;Preisindex!$A$6,YEAR(AV$4)&gt;=YEAR($F184),$K184="b"),ROUND(VLOOKUP(BA$4,Preisindex,3,FALSE)/VLOOKUP(Preisindex!$A$6,Preisindex,3,FALSE),2),IF(AND($E184&lt;&gt;0,$F184&gt;0,YEAR($F184)&lt;Preisindex!$A$6,YEAR(AV$4)&gt;=YEAR($F184),$K184="g"),ROUND(VLOOKUP(BA$4,Preisindex,4,FALSE)/VLOOKUP(Preisindex!$A$6,Preisindex,4,FALSE),2),IF(AND($E184&lt;&gt;0,$F184&gt;0,YEAR($F184)&lt;Preisindex!$A$6,YEAR(AV$4)&gt;=YEAR($F184),$K184="k"),ROUND(VLOOKUP(BA$4,Preisindex,2,FALSE)/VLOOKUP(Preisindex!$A$6,Preisindex,2,FALSE),2),0)))))</f>
        <v>0</v>
      </c>
      <c r="BC184" s="51">
        <f>IF(AND($E184&lt;&gt;0,$F184&gt;0,YEAR($F184)&lt;=BA$4,YEAR($F184)&gt;=Preisindex!$A$6),ROUND($E184*BA184,2),IF(AND($E184&lt;&gt;0,$F184&gt;0,YEAR($F184)&lt;=BA$4,YEAR($F184)&lt;Preisindex!$A$6),ROUND($E184*BB184,2),0))</f>
        <v>0</v>
      </c>
      <c r="BD184" s="53">
        <f t="shared" si="500"/>
        <v>0</v>
      </c>
      <c r="BE184" s="51">
        <f t="shared" si="621"/>
        <v>0</v>
      </c>
      <c r="BF184" s="51">
        <f t="shared" si="584"/>
        <v>0</v>
      </c>
      <c r="BG184" s="51">
        <f t="shared" si="501"/>
        <v>0</v>
      </c>
      <c r="BH184" s="51">
        <f t="shared" si="585"/>
        <v>0</v>
      </c>
      <c r="BI184" s="51">
        <f t="shared" si="502"/>
        <v>0</v>
      </c>
      <c r="BJ184" s="51">
        <f t="shared" si="586"/>
        <v>0</v>
      </c>
      <c r="BK184" s="51">
        <f t="shared" si="503"/>
        <v>0</v>
      </c>
      <c r="BL184" s="51">
        <f t="shared" si="587"/>
        <v>0</v>
      </c>
      <c r="BM184" s="51">
        <f t="shared" si="504"/>
        <v>0</v>
      </c>
      <c r="BN184" s="51">
        <f t="shared" si="588"/>
        <v>0</v>
      </c>
      <c r="BO184" s="51">
        <f t="shared" si="505"/>
        <v>0</v>
      </c>
      <c r="BP184" s="54">
        <f t="shared" si="506"/>
        <v>0</v>
      </c>
      <c r="BQ184" s="55">
        <f t="shared" si="507"/>
        <v>0</v>
      </c>
      <c r="BR184" s="56">
        <f>IF(AND($E184&lt;&gt;0,$F184&gt;0,YEAR($F184)&gt;=Preisindex!$A$6,YEAR(BM$4)&gt;=YEAR($F184),AND($K184&lt;&gt;"a",$K184&lt;&gt;"b",$K184&lt;&gt;"g",$K184&lt;&gt;"k")),1,IF(AND($E184&lt;&gt;0,$F184&gt;0,YEAR($F184)&gt;=Preisindex!$A$6,YEAR(BM$4)&gt;=YEAR($F184),$K184="a"),ROUND(VLOOKUP(BR$4,Preisindex,5,FALSE)/VLOOKUP(YEAR($F184),Preisindex,5,FALSE),2),IF(AND($E184&lt;&gt;0,$F184&gt;0,YEAR($F184)&gt;=Preisindex!$A$6,YEAR(BM$4)&gt;=YEAR($F184),$K184="b"),ROUND(VLOOKUP(BR$4,Preisindex,3,FALSE)/VLOOKUP(YEAR($F184),Preisindex,3,FALSE),2),IF(AND($E184&lt;&gt;0,$F184&gt;0,YEAR($F184)&gt;=Preisindex!$A$6,YEAR(BM$4)&gt;=YEAR($F184),$K184="g"),ROUND(VLOOKUP(BR$4,Preisindex,4,FALSE)/VLOOKUP(YEAR($F184),Preisindex,4,FALSE),2),IF(AND($E184&lt;&gt;0,$F184&gt;0,YEAR($F184)&gt;=Preisindex!$A$6,YEAR(BM$4)&gt;=YEAR($F184),$K184="k"),ROUND(VLOOKUP(BR$4,Preisindex,2,FALSE)/VLOOKUP(YEAR($F184),Preisindex,2,FALSE),2),0)))))</f>
        <v>0</v>
      </c>
      <c r="BS184" s="56">
        <f>IF(AND($E184&lt;&gt;0,$F184&gt;0,YEAR($F184)&lt;Preisindex!$A$6,YEAR(BM$4)&gt;=YEAR($F184),AND($K184&lt;&gt;"a",$K184&lt;&gt;"b",$K184&lt;&gt;"g",$K184&lt;&gt;"k")),1,IF(AND($E184&lt;&gt;0,$F184&gt;0,YEAR($F184)&lt;Preisindex!$A$6,YEAR(BM$4)&gt;=YEAR($F184),$K184="a"),ROUND(VLOOKUP(BR$4,Preisindex,5,FALSE)/VLOOKUP(Preisindex!$A$6,Preisindex,5,FALSE),2),IF(AND($E184&lt;&gt;0,$F184&gt;0,YEAR($F184)&lt;Preisindex!$A$6,YEAR(BM$4)&gt;=YEAR($F184),$K184="b"),ROUND(VLOOKUP(BR$4,Preisindex,3,FALSE)/VLOOKUP(Preisindex!$A$6,Preisindex,3,FALSE),2),IF(AND($E184&lt;&gt;0,$F184&gt;0,YEAR($F184)&lt;Preisindex!$A$6,YEAR(BM$4)&gt;=YEAR($F184),$K184="g"),ROUND(VLOOKUP(BR$4,Preisindex,4,FALSE)/VLOOKUP(Preisindex!$A$6,Preisindex,4,FALSE),2),IF(AND($E184&lt;&gt;0,$F184&gt;0,YEAR($F184)&lt;Preisindex!$A$6,YEAR(BM$4)&gt;=YEAR($F184),$K184="k"),ROUND(VLOOKUP(BR$4,Preisindex,2,FALSE)/VLOOKUP(Preisindex!$A$6,Preisindex,2,FALSE),2),0)))))</f>
        <v>0</v>
      </c>
      <c r="BT184" s="51">
        <f>IF(AND($E184&lt;&gt;0,$F184&gt;0,YEAR($F184)&lt;=BR$4,YEAR($F184)&gt;=Preisindex!$A$6),ROUND($E184*BR184,2),IF(AND($E184&lt;&gt;0,$F184&gt;0,YEAR($F184)&lt;=BR$4,YEAR($F184)&lt;Preisindex!$A$6),ROUND($E184*BS184,2),0))</f>
        <v>0</v>
      </c>
      <c r="BU184" s="53">
        <f t="shared" si="508"/>
        <v>0</v>
      </c>
      <c r="BV184" s="51">
        <f t="shared" si="621"/>
        <v>0</v>
      </c>
      <c r="BW184" s="51">
        <f t="shared" si="589"/>
        <v>0</v>
      </c>
      <c r="BX184" s="51">
        <f t="shared" si="509"/>
        <v>0</v>
      </c>
      <c r="BY184" s="51">
        <f t="shared" si="590"/>
        <v>0</v>
      </c>
      <c r="BZ184" s="51">
        <f t="shared" si="510"/>
        <v>0</v>
      </c>
      <c r="CA184" s="51">
        <f t="shared" si="591"/>
        <v>0</v>
      </c>
      <c r="CB184" s="51">
        <f t="shared" si="511"/>
        <v>0</v>
      </c>
      <c r="CC184" s="51">
        <f t="shared" si="592"/>
        <v>0</v>
      </c>
      <c r="CD184" s="51">
        <f t="shared" si="512"/>
        <v>0</v>
      </c>
      <c r="CE184" s="51">
        <f t="shared" si="593"/>
        <v>0</v>
      </c>
      <c r="CF184" s="51">
        <f t="shared" si="513"/>
        <v>0</v>
      </c>
      <c r="CG184" s="54">
        <f t="shared" si="514"/>
        <v>0</v>
      </c>
      <c r="CH184" s="55">
        <f t="shared" si="515"/>
        <v>0</v>
      </c>
      <c r="CI184" s="56">
        <f>IF(AND($E184&lt;&gt;0,$F184&gt;0,YEAR($F184)&gt;=Preisindex!$A$6,YEAR(CD$4)&gt;=YEAR($F184),AND($K184&lt;&gt;"a",$K184&lt;&gt;"b",$K184&lt;&gt;"g",$K184&lt;&gt;"k")),1,IF(AND($E184&lt;&gt;0,$F184&gt;0,YEAR($F184)&gt;=Preisindex!$A$6,YEAR(CD$4)&gt;=YEAR($F184),$K184="a"),ROUND(VLOOKUP(CI$4,Preisindex,5,FALSE)/VLOOKUP(YEAR($F184),Preisindex,5,FALSE),2),IF(AND($E184&lt;&gt;0,$F184&gt;0,YEAR($F184)&gt;=Preisindex!$A$6,YEAR(CD$4)&gt;=YEAR($F184),$K184="b"),ROUND(VLOOKUP(CI$4,Preisindex,3,FALSE)/VLOOKUP(YEAR($F184),Preisindex,3,FALSE),2),IF(AND($E184&lt;&gt;0,$F184&gt;0,YEAR($F184)&gt;=Preisindex!$A$6,YEAR(CD$4)&gt;=YEAR($F184),$K184="g"),ROUND(VLOOKUP(CI$4,Preisindex,4,FALSE)/VLOOKUP(YEAR($F184),Preisindex,4,FALSE),2),IF(AND($E184&lt;&gt;0,$F184&gt;0,YEAR($F184)&gt;=Preisindex!$A$6,YEAR(CD$4)&gt;=YEAR($F184),$K184="k"),ROUND(VLOOKUP(CI$4,Preisindex,2,FALSE)/VLOOKUP(YEAR($F184),Preisindex,2,FALSE),2),0)))))</f>
        <v>0</v>
      </c>
      <c r="CJ184" s="56">
        <f>IF(AND($E184&lt;&gt;0,$F184&gt;0,YEAR($F184)&lt;Preisindex!$A$6,YEAR(CD$4)&gt;=YEAR($F184),AND($K184&lt;&gt;"a",$K184&lt;&gt;"b",$K184&lt;&gt;"g",$K184&lt;&gt;"k")),1,IF(AND($E184&lt;&gt;0,$F184&gt;0,YEAR($F184)&lt;Preisindex!$A$6,YEAR(CD$4)&gt;=YEAR($F184),$K184="a"),ROUND(VLOOKUP(CI$4,Preisindex,5,FALSE)/VLOOKUP(Preisindex!$A$6,Preisindex,5,FALSE),2),IF(AND($E184&lt;&gt;0,$F184&gt;0,YEAR($F184)&lt;Preisindex!$A$6,YEAR(CD$4)&gt;=YEAR($F184),$K184="b"),ROUND(VLOOKUP(CI$4,Preisindex,3,FALSE)/VLOOKUP(Preisindex!$A$6,Preisindex,3,FALSE),2),IF(AND($E184&lt;&gt;0,$F184&gt;0,YEAR($F184)&lt;Preisindex!$A$6,YEAR(CD$4)&gt;=YEAR($F184),$K184="g"),ROUND(VLOOKUP(CI$4,Preisindex,4,FALSE)/VLOOKUP(Preisindex!$A$6,Preisindex,4,FALSE),2),IF(AND($E184&lt;&gt;0,$F184&gt;0,YEAR($F184)&lt;Preisindex!$A$6,YEAR(CD$4)&gt;=YEAR($F184),$K184="k"),ROUND(VLOOKUP(CI$4,Preisindex,2,FALSE)/VLOOKUP(Preisindex!$A$6,Preisindex,2,FALSE),2),0)))))</f>
        <v>0</v>
      </c>
      <c r="CK184" s="51">
        <f>IF(AND($E184&lt;&gt;0,$F184&gt;0,YEAR($F184)&lt;=CI$4,YEAR($F184)&gt;=Preisindex!$A$6),ROUND($E184*CI184,2),IF(AND($E184&lt;&gt;0,$F184&gt;0,YEAR($F184)&lt;=CI$4,YEAR($F184)&lt;Preisindex!$A$6),ROUND($E184*CJ184,2),0))</f>
        <v>0</v>
      </c>
      <c r="CL184" s="53">
        <f t="shared" si="516"/>
        <v>0</v>
      </c>
      <c r="CM184" s="51">
        <f t="shared" si="621"/>
        <v>0</v>
      </c>
      <c r="CN184" s="51">
        <f t="shared" si="594"/>
        <v>0</v>
      </c>
      <c r="CO184" s="51">
        <f t="shared" si="517"/>
        <v>0</v>
      </c>
      <c r="CP184" s="51">
        <f t="shared" si="595"/>
        <v>0</v>
      </c>
      <c r="CQ184" s="51">
        <f t="shared" si="518"/>
        <v>0</v>
      </c>
      <c r="CR184" s="51">
        <f t="shared" si="596"/>
        <v>0</v>
      </c>
      <c r="CS184" s="51">
        <f t="shared" si="519"/>
        <v>0</v>
      </c>
      <c r="CT184" s="51">
        <f t="shared" si="597"/>
        <v>0</v>
      </c>
      <c r="CU184" s="51">
        <f t="shared" si="520"/>
        <v>0</v>
      </c>
      <c r="CV184" s="51">
        <f t="shared" si="598"/>
        <v>0</v>
      </c>
      <c r="CW184" s="51">
        <f t="shared" si="521"/>
        <v>0</v>
      </c>
      <c r="CX184" s="54">
        <f t="shared" si="522"/>
        <v>0</v>
      </c>
      <c r="CY184" s="55">
        <f t="shared" si="523"/>
        <v>0</v>
      </c>
      <c r="CZ184" s="56">
        <f>IF(AND($E184&lt;&gt;0,$F184&gt;0,YEAR($F184)&gt;=Preisindex!$A$6,YEAR(CU$4)&gt;=YEAR($F184),AND($K184&lt;&gt;"a",$K184&lt;&gt;"b",$K184&lt;&gt;"g",$K184&lt;&gt;"k")),1,IF(AND($E184&lt;&gt;0,$F184&gt;0,YEAR($F184)&gt;=Preisindex!$A$6,YEAR(CU$4)&gt;=YEAR($F184),$K184="a"),ROUND(VLOOKUP(CZ$4,Preisindex,5,FALSE)/VLOOKUP(YEAR($F184),Preisindex,5,FALSE),2),IF(AND($E184&lt;&gt;0,$F184&gt;0,YEAR($F184)&gt;=Preisindex!$A$6,YEAR(CU$4)&gt;=YEAR($F184),$K184="b"),ROUND(VLOOKUP(CZ$4,Preisindex,3,FALSE)/VLOOKUP(YEAR($F184),Preisindex,3,FALSE),2),IF(AND($E184&lt;&gt;0,$F184&gt;0,YEAR($F184)&gt;=Preisindex!$A$6,YEAR(CU$4)&gt;=YEAR($F184),$K184="g"),ROUND(VLOOKUP(CZ$4,Preisindex,4,FALSE)/VLOOKUP(YEAR($F184),Preisindex,4,FALSE),2),IF(AND($E184&lt;&gt;0,$F184&gt;0,YEAR($F184)&gt;=Preisindex!$A$6,YEAR(CU$4)&gt;=YEAR($F184),$K184="k"),ROUND(VLOOKUP(CZ$4,Preisindex,2,FALSE)/VLOOKUP(YEAR($F184),Preisindex,2,FALSE),2),0)))))</f>
        <v>0</v>
      </c>
      <c r="DA184" s="56">
        <f>IF(AND($E184&lt;&gt;0,$F184&gt;0,YEAR($F184)&lt;Preisindex!$A$6,YEAR(CU$4)&gt;=YEAR($F184),AND($K184&lt;&gt;"a",$K184&lt;&gt;"b",$K184&lt;&gt;"g",$K184&lt;&gt;"k")),1,IF(AND($E184&lt;&gt;0,$F184&gt;0,YEAR($F184)&lt;Preisindex!$A$6,YEAR(CU$4)&gt;=YEAR($F184),$K184="a"),ROUND(VLOOKUP(CZ$4,Preisindex,5,FALSE)/VLOOKUP(Preisindex!$A$6,Preisindex,5,FALSE),2),IF(AND($E184&lt;&gt;0,$F184&gt;0,YEAR($F184)&lt;Preisindex!$A$6,YEAR(CU$4)&gt;=YEAR($F184),$K184="b"),ROUND(VLOOKUP(CZ$4,Preisindex,3,FALSE)/VLOOKUP(Preisindex!$A$6,Preisindex,3,FALSE),2),IF(AND($E184&lt;&gt;0,$F184&gt;0,YEAR($F184)&lt;Preisindex!$A$6,YEAR(CU$4)&gt;=YEAR($F184),$K184="g"),ROUND(VLOOKUP(CZ$4,Preisindex,4,FALSE)/VLOOKUP(Preisindex!$A$6,Preisindex,4,FALSE),2),IF(AND($E184&lt;&gt;0,$F184&gt;0,YEAR($F184)&lt;Preisindex!$A$6,YEAR(CU$4)&gt;=YEAR($F184),$K184="k"),ROUND(VLOOKUP(CZ$4,Preisindex,2,FALSE)/VLOOKUP(Preisindex!$A$6,Preisindex,2,FALSE),2),0)))))</f>
        <v>0</v>
      </c>
      <c r="DB184" s="51">
        <f>IF(AND($E184&lt;&gt;0,$F184&gt;0,YEAR($F184)&lt;=CZ$4,YEAR($F184)&gt;=Preisindex!$A$6),ROUND($E184*CZ184,2),IF(AND($E184&lt;&gt;0,$F184&gt;0,YEAR($F184)&lt;=CZ$4,YEAR($F184)&lt;Preisindex!$A$6),ROUND($E184*DA184,2),0))</f>
        <v>0</v>
      </c>
      <c r="DC184" s="53">
        <f t="shared" si="524"/>
        <v>0</v>
      </c>
      <c r="DD184" s="51">
        <f t="shared" si="622"/>
        <v>0</v>
      </c>
      <c r="DE184" s="51">
        <f t="shared" si="599"/>
        <v>0</v>
      </c>
      <c r="DF184" s="51">
        <f t="shared" si="526"/>
        <v>0</v>
      </c>
      <c r="DG184" s="51">
        <f t="shared" si="600"/>
        <v>0</v>
      </c>
      <c r="DH184" s="51">
        <f t="shared" si="527"/>
        <v>0</v>
      </c>
      <c r="DI184" s="51">
        <f t="shared" si="601"/>
        <v>0</v>
      </c>
      <c r="DJ184" s="51">
        <f t="shared" si="528"/>
        <v>0</v>
      </c>
      <c r="DK184" s="51">
        <f t="shared" si="602"/>
        <v>0</v>
      </c>
      <c r="DL184" s="51">
        <f t="shared" si="529"/>
        <v>0</v>
      </c>
      <c r="DM184" s="51">
        <f t="shared" si="603"/>
        <v>0</v>
      </c>
      <c r="DN184" s="51">
        <f t="shared" si="530"/>
        <v>0</v>
      </c>
      <c r="DO184" s="54">
        <f t="shared" si="531"/>
        <v>0</v>
      </c>
      <c r="DP184" s="55">
        <f t="shared" si="532"/>
        <v>0</v>
      </c>
      <c r="DQ184" s="56">
        <f>IF(AND($E184&lt;&gt;0,$F184&gt;0,YEAR($F184)&gt;=Preisindex!$A$6,YEAR(DL$4)&gt;=YEAR($F184),AND($K184&lt;&gt;"a",$K184&lt;&gt;"b",$K184&lt;&gt;"g",$K184&lt;&gt;"k")),1,IF(AND($E184&lt;&gt;0,$F184&gt;0,YEAR($F184)&gt;=Preisindex!$A$6,YEAR(DL$4)&gt;=YEAR($F184),$K184="a"),ROUND(VLOOKUP(DQ$4,Preisindex,5,FALSE)/VLOOKUP(YEAR($F184),Preisindex,5,FALSE),2),IF(AND($E184&lt;&gt;0,$F184&gt;0,YEAR($F184)&gt;=Preisindex!$A$6,YEAR(DL$4)&gt;=YEAR($F184),$K184="b"),ROUND(VLOOKUP(DQ$4,Preisindex,3,FALSE)/VLOOKUP(YEAR($F184),Preisindex,3,FALSE),2),IF(AND($E184&lt;&gt;0,$F184&gt;0,YEAR($F184)&gt;=Preisindex!$A$6,YEAR(DL$4)&gt;=YEAR($F184),$K184="g"),ROUND(VLOOKUP(DQ$4,Preisindex,4,FALSE)/VLOOKUP(YEAR($F184),Preisindex,4,FALSE),2),IF(AND($E184&lt;&gt;0,$F184&gt;0,YEAR($F184)&gt;=Preisindex!$A$6,YEAR(DL$4)&gt;=YEAR($F184),$K184="k"),ROUND(VLOOKUP(DQ$4,Preisindex,2,FALSE)/VLOOKUP(YEAR($F184),Preisindex,2,FALSE),2),0)))))</f>
        <v>0</v>
      </c>
      <c r="DR184" s="56">
        <f>IF(AND($E184&lt;&gt;0,$F184&gt;0,YEAR($F184)&lt;Preisindex!$A$6,YEAR(DL$4)&gt;=YEAR($F184),AND($K184&lt;&gt;"a",$K184&lt;&gt;"b",$K184&lt;&gt;"g",$K184&lt;&gt;"k")),1,IF(AND($E184&lt;&gt;0,$F184&gt;0,YEAR($F184)&lt;Preisindex!$A$6,YEAR(DL$4)&gt;=YEAR($F184),$K184="a"),ROUND(VLOOKUP(DQ$4,Preisindex,5,FALSE)/VLOOKUP(Preisindex!$A$6,Preisindex,5,FALSE),2),IF(AND($E184&lt;&gt;0,$F184&gt;0,YEAR($F184)&lt;Preisindex!$A$6,YEAR(DL$4)&gt;=YEAR($F184),$K184="b"),ROUND(VLOOKUP(DQ$4,Preisindex,3,FALSE)/VLOOKUP(Preisindex!$A$6,Preisindex,3,FALSE),2),IF(AND($E184&lt;&gt;0,$F184&gt;0,YEAR($F184)&lt;Preisindex!$A$6,YEAR(DL$4)&gt;=YEAR($F184),$K184="g"),ROUND(VLOOKUP(DQ$4,Preisindex,4,FALSE)/VLOOKUP(Preisindex!$A$6,Preisindex,4,FALSE),2),IF(AND($E184&lt;&gt;0,$F184&gt;0,YEAR($F184)&lt;Preisindex!$A$6,YEAR(DL$4)&gt;=YEAR($F184),$K184="k"),ROUND(VLOOKUP(DQ$4,Preisindex,2,FALSE)/VLOOKUP(Preisindex!$A$6,Preisindex,2,FALSE),2),0)))))</f>
        <v>0</v>
      </c>
      <c r="DS184" s="51">
        <f>IF(AND($E184&lt;&gt;0,$F184&gt;0,YEAR($F184)&lt;=DQ$4,YEAR($F184)&gt;=Preisindex!$A$6),ROUND($E184*DQ184,2),IF(AND($E184&lt;&gt;0,$F184&gt;0,YEAR($F184)&lt;=DQ$4,YEAR($F184)&lt;Preisindex!$A$6),ROUND($E184*DR184,2),0))</f>
        <v>0</v>
      </c>
      <c r="DT184" s="53">
        <f t="shared" si="533"/>
        <v>0</v>
      </c>
      <c r="DU184" s="51">
        <f t="shared" si="622"/>
        <v>0</v>
      </c>
      <c r="DV184" s="51">
        <f t="shared" si="604"/>
        <v>0</v>
      </c>
      <c r="DW184" s="51">
        <f t="shared" si="534"/>
        <v>0</v>
      </c>
      <c r="DX184" s="51">
        <f t="shared" si="605"/>
        <v>0</v>
      </c>
      <c r="DY184" s="51">
        <f t="shared" si="535"/>
        <v>0</v>
      </c>
      <c r="DZ184" s="51">
        <f t="shared" si="606"/>
        <v>0</v>
      </c>
      <c r="EA184" s="51">
        <f t="shared" si="536"/>
        <v>0</v>
      </c>
      <c r="EB184" s="51">
        <f t="shared" si="607"/>
        <v>0</v>
      </c>
      <c r="EC184" s="51">
        <f t="shared" si="537"/>
        <v>0</v>
      </c>
      <c r="ED184" s="51">
        <f t="shared" si="608"/>
        <v>0</v>
      </c>
      <c r="EE184" s="51">
        <f t="shared" si="538"/>
        <v>0</v>
      </c>
      <c r="EF184" s="54">
        <f t="shared" si="539"/>
        <v>0</v>
      </c>
      <c r="EG184" s="55">
        <f t="shared" si="540"/>
        <v>0</v>
      </c>
      <c r="EH184" s="56">
        <f>IF(AND($E184&lt;&gt;0,$F184&gt;0,YEAR($F184)&gt;=Preisindex!$A$6,YEAR(EC$4)&gt;=YEAR($F184),AND($K184&lt;&gt;"a",$K184&lt;&gt;"b",$K184&lt;&gt;"g",$K184&lt;&gt;"k")),1,IF(AND($E184&lt;&gt;0,$F184&gt;0,YEAR($F184)&gt;=Preisindex!$A$6,YEAR(EC$4)&gt;=YEAR($F184),$K184="a"),ROUND(VLOOKUP(EH$4,Preisindex,5,FALSE)/VLOOKUP(YEAR($F184),Preisindex,5,FALSE),2),IF(AND($E184&lt;&gt;0,$F184&gt;0,YEAR($F184)&gt;=Preisindex!$A$6,YEAR(EC$4)&gt;=YEAR($F184),$K184="b"),ROUND(VLOOKUP(EH$4,Preisindex,3,FALSE)/VLOOKUP(YEAR($F184),Preisindex,3,FALSE),2),IF(AND($E184&lt;&gt;0,$F184&gt;0,YEAR($F184)&gt;=Preisindex!$A$6,YEAR(EC$4)&gt;=YEAR($F184),$K184="g"),ROUND(VLOOKUP(EH$4,Preisindex,4,FALSE)/VLOOKUP(YEAR($F184),Preisindex,4,FALSE),2),IF(AND($E184&lt;&gt;0,$F184&gt;0,YEAR($F184)&gt;=Preisindex!$A$6,YEAR(EC$4)&gt;=YEAR($F184),$K184="k"),ROUND(VLOOKUP(EH$4,Preisindex,2,FALSE)/VLOOKUP(YEAR($F184),Preisindex,2,FALSE),2),0)))))</f>
        <v>0</v>
      </c>
      <c r="EI184" s="56">
        <f>IF(AND($E184&lt;&gt;0,$F184&gt;0,YEAR($F184)&lt;Preisindex!$A$6,YEAR(EC$4)&gt;=YEAR($F184),AND($K184&lt;&gt;"a",$K184&lt;&gt;"b",$K184&lt;&gt;"g",$K184&lt;&gt;"k")),1,IF(AND($E184&lt;&gt;0,$F184&gt;0,YEAR($F184)&lt;Preisindex!$A$6,YEAR(EC$4)&gt;=YEAR($F184),$K184="a"),ROUND(VLOOKUP(EH$4,Preisindex,5,FALSE)/VLOOKUP(Preisindex!$A$6,Preisindex,5,FALSE),2),IF(AND($E184&lt;&gt;0,$F184&gt;0,YEAR($F184)&lt;Preisindex!$A$6,YEAR(EC$4)&gt;=YEAR($F184),$K184="b"),ROUND(VLOOKUP(EH$4,Preisindex,3,FALSE)/VLOOKUP(Preisindex!$A$6,Preisindex,3,FALSE),2),IF(AND($E184&lt;&gt;0,$F184&gt;0,YEAR($F184)&lt;Preisindex!$A$6,YEAR(EC$4)&gt;=YEAR($F184),$K184="g"),ROUND(VLOOKUP(EH$4,Preisindex,4,FALSE)/VLOOKUP(Preisindex!$A$6,Preisindex,4,FALSE),2),IF(AND($E184&lt;&gt;0,$F184&gt;0,YEAR($F184)&lt;Preisindex!$A$6,YEAR(EC$4)&gt;=YEAR($F184),$K184="k"),ROUND(VLOOKUP(EH$4,Preisindex,2,FALSE)/VLOOKUP(Preisindex!$A$6,Preisindex,2,FALSE),2),0)))))</f>
        <v>0</v>
      </c>
      <c r="EJ184" s="51">
        <f>IF(AND($E184&lt;&gt;0,$F184&gt;0,YEAR($F184)&lt;=EH$4,YEAR($F184)&gt;=Preisindex!$A$6),ROUND($E184*EH184,2),IF(AND($E184&lt;&gt;0,$F184&gt;0,YEAR($F184)&lt;=EH$4,YEAR($F184)&lt;Preisindex!$A$6),ROUND($E184*EI184,2),0))</f>
        <v>0</v>
      </c>
      <c r="EK184" s="53">
        <f t="shared" si="541"/>
        <v>0</v>
      </c>
      <c r="EL184" s="51">
        <f t="shared" si="622"/>
        <v>0</v>
      </c>
      <c r="EM184" s="51">
        <f t="shared" si="609"/>
        <v>0</v>
      </c>
      <c r="EN184" s="51">
        <f t="shared" si="542"/>
        <v>0</v>
      </c>
      <c r="EO184" s="51">
        <f t="shared" si="610"/>
        <v>0</v>
      </c>
      <c r="EP184" s="51">
        <f t="shared" si="543"/>
        <v>0</v>
      </c>
      <c r="EQ184" s="51">
        <f t="shared" si="611"/>
        <v>0</v>
      </c>
      <c r="ER184" s="51">
        <f t="shared" si="544"/>
        <v>0</v>
      </c>
      <c r="ES184" s="51">
        <f t="shared" si="612"/>
        <v>0</v>
      </c>
      <c r="ET184" s="51">
        <f t="shared" si="545"/>
        <v>0</v>
      </c>
      <c r="EU184" s="51">
        <f t="shared" si="613"/>
        <v>0</v>
      </c>
      <c r="EV184" s="51">
        <f t="shared" si="546"/>
        <v>0</v>
      </c>
      <c r="EW184" s="54">
        <f t="shared" si="547"/>
        <v>0</v>
      </c>
      <c r="EX184" s="55">
        <f t="shared" si="548"/>
        <v>0</v>
      </c>
      <c r="EY184" s="56">
        <f>IF(AND($E184&lt;&gt;0,$F184&gt;0,YEAR($F184)&gt;=Preisindex!$A$6,YEAR(ET$4)&gt;=YEAR($F184),AND($K184&lt;&gt;"a",$K184&lt;&gt;"b",$K184&lt;&gt;"g",$K184&lt;&gt;"k")),1,IF(AND($E184&lt;&gt;0,$F184&gt;0,YEAR($F184)&gt;=Preisindex!$A$6,YEAR(ET$4)&gt;=YEAR($F184),$K184="a"),ROUND(VLOOKUP(EY$4,Preisindex,5,FALSE)/VLOOKUP(YEAR($F184),Preisindex,5,FALSE),2),IF(AND($E184&lt;&gt;0,$F184&gt;0,YEAR($F184)&gt;=Preisindex!$A$6,YEAR(ET$4)&gt;=YEAR($F184),$K184="b"),ROUND(VLOOKUP(EY$4,Preisindex,3,FALSE)/VLOOKUP(YEAR($F184),Preisindex,3,FALSE),2),IF(AND($E184&lt;&gt;0,$F184&gt;0,YEAR($F184)&gt;=Preisindex!$A$6,YEAR(ET$4)&gt;=YEAR($F184),$K184="g"),ROUND(VLOOKUP(EY$4,Preisindex,4,FALSE)/VLOOKUP(YEAR($F184),Preisindex,4,FALSE),2),IF(AND($E184&lt;&gt;0,$F184&gt;0,YEAR($F184)&gt;=Preisindex!$A$6,YEAR(ET$4)&gt;=YEAR($F184),$K184="k"),ROUND(VLOOKUP(EY$4,Preisindex,2,FALSE)/VLOOKUP(YEAR($F184),Preisindex,2,FALSE),2),0)))))</f>
        <v>0</v>
      </c>
      <c r="EZ184" s="56">
        <f>IF(AND($E184&lt;&gt;0,$F184&gt;0,YEAR($F184)&lt;Preisindex!$A$6,YEAR(ET$4)&gt;=YEAR($F184),AND($K184&lt;&gt;"a",$K184&lt;&gt;"b",$K184&lt;&gt;"g",$K184&lt;&gt;"k")),1,IF(AND($E184&lt;&gt;0,$F184&gt;0,YEAR($F184)&lt;Preisindex!$A$6,YEAR(ET$4)&gt;=YEAR($F184),$K184="a"),ROUND(VLOOKUP(EY$4,Preisindex,5,FALSE)/VLOOKUP(Preisindex!$A$6,Preisindex,5,FALSE),2),IF(AND($E184&lt;&gt;0,$F184&gt;0,YEAR($F184)&lt;Preisindex!$A$6,YEAR(ET$4)&gt;=YEAR($F184),$K184="b"),ROUND(VLOOKUP(EY$4,Preisindex,3,FALSE)/VLOOKUP(Preisindex!$A$6,Preisindex,3,FALSE),2),IF(AND($E184&lt;&gt;0,$F184&gt;0,YEAR($F184)&lt;Preisindex!$A$6,YEAR(ET$4)&gt;=YEAR($F184),$K184="g"),ROUND(VLOOKUP(EY$4,Preisindex,4,FALSE)/VLOOKUP(Preisindex!$A$6,Preisindex,4,FALSE),2),IF(AND($E184&lt;&gt;0,$F184&gt;0,YEAR($F184)&lt;Preisindex!$A$6,YEAR(ET$4)&gt;=YEAR($F184),$K184="k"),ROUND(VLOOKUP(EY$4,Preisindex,2,FALSE)/VLOOKUP(Preisindex!$A$6,Preisindex,2,FALSE),2),0)))))</f>
        <v>0</v>
      </c>
      <c r="FA184" s="51">
        <f>IF(AND($E184&lt;&gt;0,$F184&gt;0,YEAR($F184)&lt;=EY$4,YEAR($F184)&gt;=Preisindex!$A$6),ROUND($E184*EY184,2),IF(AND($E184&lt;&gt;0,$F184&gt;0,YEAR($F184)&lt;=EY$4,YEAR($F184)&lt;Preisindex!$A$6),ROUND($E184*EZ184,2),0))</f>
        <v>0</v>
      </c>
      <c r="FB184" s="53">
        <f t="shared" si="549"/>
        <v>0</v>
      </c>
      <c r="FC184" s="51">
        <f t="shared" si="622"/>
        <v>0</v>
      </c>
      <c r="FD184" s="51">
        <f t="shared" si="614"/>
        <v>0</v>
      </c>
      <c r="FE184" s="51">
        <f t="shared" si="550"/>
        <v>0</v>
      </c>
      <c r="FF184" s="51">
        <f t="shared" si="615"/>
        <v>0</v>
      </c>
      <c r="FG184" s="51">
        <f t="shared" si="551"/>
        <v>0</v>
      </c>
      <c r="FH184" s="51">
        <f t="shared" si="616"/>
        <v>0</v>
      </c>
      <c r="FI184" s="51">
        <f t="shared" si="552"/>
        <v>0</v>
      </c>
      <c r="FJ184" s="51">
        <f t="shared" si="617"/>
        <v>0</v>
      </c>
      <c r="FK184" s="51">
        <f t="shared" si="553"/>
        <v>0</v>
      </c>
      <c r="FL184" s="51">
        <f t="shared" si="618"/>
        <v>0</v>
      </c>
      <c r="FM184" s="51">
        <f t="shared" si="554"/>
        <v>0</v>
      </c>
      <c r="FN184" s="54">
        <f t="shared" si="555"/>
        <v>0</v>
      </c>
      <c r="FO184" s="55">
        <f t="shared" si="556"/>
        <v>0</v>
      </c>
      <c r="FP184" s="56">
        <f>IF(AND($E184&lt;&gt;0,$F184&gt;0,YEAR($F184)&gt;=Preisindex!$A$6,YEAR(FK$4)&gt;=YEAR($F184),AND($K184&lt;&gt;"a",$K184&lt;&gt;"b",$K184&lt;&gt;"g",$K184&lt;&gt;"k")),1,IF(AND($E184&lt;&gt;0,$F184&gt;0,YEAR($F184)&gt;=Preisindex!$A$6,YEAR(FK$4)&gt;=YEAR($F184),$K184="a"),ROUND(VLOOKUP(FP$4,Preisindex,5,FALSE)/VLOOKUP(YEAR($F184),Preisindex,5,FALSE),2),IF(AND($E184&lt;&gt;0,$F184&gt;0,YEAR($F184)&gt;=Preisindex!$A$6,YEAR(FK$4)&gt;=YEAR($F184),$K184="b"),ROUND(VLOOKUP(FP$4,Preisindex,3,FALSE)/VLOOKUP(YEAR($F184),Preisindex,3,FALSE),2),IF(AND($E184&lt;&gt;0,$F184&gt;0,YEAR($F184)&gt;=Preisindex!$A$6,YEAR(FK$4)&gt;=YEAR($F184),$K184="g"),ROUND(VLOOKUP(FP$4,Preisindex,4,FALSE)/VLOOKUP(YEAR($F184),Preisindex,4,FALSE),2),IF(AND($E184&lt;&gt;0,$F184&gt;0,YEAR($F184)&gt;=Preisindex!$A$6,YEAR(FK$4)&gt;=YEAR($F184),$K184="k"),ROUND(VLOOKUP(FP$4,Preisindex,2,FALSE)/VLOOKUP(YEAR($F184),Preisindex,2,FALSE),2),0)))))</f>
        <v>0</v>
      </c>
      <c r="FQ184" s="56">
        <f>IF(AND($E184&lt;&gt;0,$F184&gt;0,YEAR($F184)&lt;Preisindex!$A$6,YEAR(FK$4)&gt;=YEAR($F184),AND($K184&lt;&gt;"a",$K184&lt;&gt;"b",$K184&lt;&gt;"g",$K184&lt;&gt;"k")),1,IF(AND($E184&lt;&gt;0,$F184&gt;0,YEAR($F184)&lt;Preisindex!$A$6,YEAR(FK$4)&gt;=YEAR($F184),$K184="a"),ROUND(VLOOKUP(FP$4,Preisindex,5,FALSE)/VLOOKUP(Preisindex!$A$6,Preisindex,5,FALSE),2),IF(AND($E184&lt;&gt;0,$F184&gt;0,YEAR($F184)&lt;Preisindex!$A$6,YEAR(FK$4)&gt;=YEAR($F184),$K184="b"),ROUND(VLOOKUP(FP$4,Preisindex,3,FALSE)/VLOOKUP(Preisindex!$A$6,Preisindex,3,FALSE),2),IF(AND($E184&lt;&gt;0,$F184&gt;0,YEAR($F184)&lt;Preisindex!$A$6,YEAR(FK$4)&gt;=YEAR($F184),$K184="g"),ROUND(VLOOKUP(FP$4,Preisindex,4,FALSE)/VLOOKUP(Preisindex!$A$6,Preisindex,4,FALSE),2),IF(AND($E184&lt;&gt;0,$F184&gt;0,YEAR($F184)&lt;Preisindex!$A$6,YEAR(FK$4)&gt;=YEAR($F184),$K184="k"),ROUND(VLOOKUP(FP$4,Preisindex,2,FALSE)/VLOOKUP(Preisindex!$A$6,Preisindex,2,FALSE),2),0)))))</f>
        <v>0</v>
      </c>
      <c r="FR184" s="51">
        <f>IF(AND($E184&lt;&gt;0,$F184&gt;0,YEAR($F184)&lt;=FP$4,YEAR($F184)&gt;=Preisindex!$A$6),ROUND($E184*FP184,2),IF(AND($E184&lt;&gt;0,$F184&gt;0,YEAR($F184)&lt;=FP$4,YEAR($F184)&lt;Preisindex!$A$6),ROUND($E184*FQ184,2),0))</f>
        <v>0</v>
      </c>
      <c r="FS184" s="53">
        <f t="shared" si="557"/>
        <v>0</v>
      </c>
    </row>
    <row r="185" spans="1:175" x14ac:dyDescent="0.3">
      <c r="A185" s="93"/>
      <c r="B185" s="94"/>
      <c r="C185" s="94"/>
      <c r="D185" s="95"/>
      <c r="E185" s="99"/>
      <c r="F185" s="97"/>
      <c r="G185" s="98"/>
      <c r="H185" s="620"/>
      <c r="I185" s="621"/>
      <c r="J185" s="194"/>
      <c r="K185" s="630"/>
      <c r="L185" s="49">
        <f t="shared" si="558"/>
        <v>0</v>
      </c>
      <c r="M185" s="50">
        <f t="shared" si="559"/>
        <v>0</v>
      </c>
      <c r="N185" s="51">
        <f t="shared" si="560"/>
        <v>0</v>
      </c>
      <c r="O185" s="51"/>
      <c r="P185" s="51">
        <f t="shared" si="561"/>
        <v>0</v>
      </c>
      <c r="Q185" s="52"/>
      <c r="R185" s="52"/>
      <c r="S185" s="52"/>
      <c r="T185" s="52"/>
      <c r="U185" s="52"/>
      <c r="V185" s="53">
        <f t="shared" si="562"/>
        <v>0</v>
      </c>
      <c r="W185" s="51">
        <f t="shared" si="563"/>
        <v>0</v>
      </c>
      <c r="X185" s="51">
        <f t="shared" si="564"/>
        <v>0</v>
      </c>
      <c r="Y185" s="51">
        <f t="shared" si="565"/>
        <v>0</v>
      </c>
      <c r="Z185" s="51">
        <f t="shared" si="566"/>
        <v>0</v>
      </c>
      <c r="AA185" s="51">
        <f t="shared" si="567"/>
        <v>0</v>
      </c>
      <c r="AB185" s="51">
        <f t="shared" si="568"/>
        <v>0</v>
      </c>
      <c r="AC185" s="51">
        <f t="shared" si="569"/>
        <v>0</v>
      </c>
      <c r="AD185" s="51">
        <f t="shared" si="570"/>
        <v>0</v>
      </c>
      <c r="AE185" s="51">
        <f t="shared" si="571"/>
        <v>0</v>
      </c>
      <c r="AF185" s="51">
        <f t="shared" si="572"/>
        <v>0</v>
      </c>
      <c r="AG185" s="51">
        <f t="shared" si="573"/>
        <v>0</v>
      </c>
      <c r="AH185" s="54">
        <f t="shared" si="574"/>
        <v>0</v>
      </c>
      <c r="AI185" s="55">
        <f t="shared" si="575"/>
        <v>0</v>
      </c>
      <c r="AJ185" s="56">
        <f>IF(AND($E185&lt;&gt;0,$F185&gt;0,YEAR($F185)&gt;=Preisindex!$A$6,YEAR(AE$4)&gt;=YEAR($F185),AND($K185&lt;&gt;"a",$K185&lt;&gt;"b",$K185&lt;&gt;"g",$K185&lt;&gt;"k")),1,IF(AND($E185&lt;&gt;0,$F185&gt;0,YEAR($F185)&gt;=Preisindex!$A$6,YEAR(AE$4)&gt;=YEAR($F185),$K185="a"),ROUND(VLOOKUP(AJ$4,Preisindex,5,FALSE)/VLOOKUP(YEAR($F185),Preisindex,5,FALSE),2),IF(AND($E185&lt;&gt;0,$F185&gt;0,YEAR($F185)&gt;=Preisindex!$A$6,YEAR(AE$4)&gt;=YEAR($F185),$K185="b"),ROUND(VLOOKUP(AJ$4,Preisindex,3,FALSE)/VLOOKUP(YEAR($F185),Preisindex,3,FALSE),2),IF(AND($E185&lt;&gt;0,$F185&gt;0,YEAR($F185)&gt;=Preisindex!$A$6,YEAR(AE$4)&gt;=YEAR($F185),$K185="g"),ROUND(VLOOKUP(AJ$4,Preisindex,4,FALSE)/VLOOKUP(YEAR($F185),Preisindex,4,FALSE),2),IF(AND($E185&lt;&gt;0,$F185&gt;0,YEAR($F185)&gt;=Preisindex!$A$6,YEAR(AE$4)&gt;=YEAR($F185),$K185="k"),ROUND(VLOOKUP(AJ$4,Preisindex,2,FALSE)/VLOOKUP(YEAR($F185),Preisindex,2,FALSE),2),0)))))</f>
        <v>0</v>
      </c>
      <c r="AK185" s="56">
        <f>IF(AND($E185&lt;&gt;0,$F185&gt;0,YEAR($F185)&lt;Preisindex!$A$6,YEAR(AE$4)&gt;=YEAR($F185),AND($K185&lt;&gt;"a",$K185&lt;&gt;"b",$K185&lt;&gt;"g",$K185&lt;&gt;"k")),1,IF(AND($E185&lt;&gt;0,$F185&gt;0,YEAR($F185)&lt;Preisindex!$A$6,YEAR(AE$4)&gt;=YEAR($F185),$K185="a"),ROUND(VLOOKUP(AJ$4,Preisindex,5,FALSE)/VLOOKUP(Preisindex!$A$6,Preisindex,5,FALSE),2),IF(AND($E185&lt;&gt;0,$F185&gt;0,YEAR($F185)&lt;Preisindex!$A$6,YEAR(AE$4)&gt;=YEAR($F185),$K185="b"),ROUND(VLOOKUP(AJ$4,Preisindex,3,FALSE)/VLOOKUP(Preisindex!$A$6,Preisindex,3,FALSE),2),IF(AND($E185&lt;&gt;0,$F185&gt;0,YEAR($F185)&lt;Preisindex!$A$6,YEAR(AE$4)&gt;=YEAR($F185),$K185="g"),ROUND(VLOOKUP(AJ$4,Preisindex,4,FALSE)/VLOOKUP(Preisindex!$A$6,Preisindex,4,FALSE),2),IF(AND($E185&lt;&gt;0,$F185&gt;0,YEAR($F185)&lt;Preisindex!$A$6,YEAR(AE$4)&gt;=YEAR($F185),$K185="k"),ROUND(VLOOKUP(AJ$4,Preisindex,2,FALSE)/VLOOKUP(Preisindex!$A$6,Preisindex,2,FALSE),2),0)))))</f>
        <v>0</v>
      </c>
      <c r="AL185" s="51">
        <f>IF(AND($E185&lt;&gt;0,$F185&gt;0,YEAR($F185)&lt;=AJ$4,YEAR($F185)&gt;=Preisindex!$A$6),ROUND($E185*AJ185,2),IF(AND($E185&lt;&gt;0,$F185&gt;0,YEAR($F185)&lt;=AJ$4,YEAR($F185)&lt;Preisindex!$A$6),ROUND($E185*AK185,2),0))</f>
        <v>0</v>
      </c>
      <c r="AM185" s="53">
        <f t="shared" si="576"/>
        <v>0</v>
      </c>
      <c r="AN185" s="51">
        <f t="shared" si="621"/>
        <v>0</v>
      </c>
      <c r="AO185" s="51">
        <f t="shared" si="579"/>
        <v>0</v>
      </c>
      <c r="AP185" s="51">
        <f t="shared" si="493"/>
        <v>0</v>
      </c>
      <c r="AQ185" s="51">
        <f t="shared" si="580"/>
        <v>0</v>
      </c>
      <c r="AR185" s="51">
        <f t="shared" si="494"/>
        <v>0</v>
      </c>
      <c r="AS185" s="51">
        <f t="shared" si="581"/>
        <v>0</v>
      </c>
      <c r="AT185" s="51">
        <f t="shared" si="495"/>
        <v>0</v>
      </c>
      <c r="AU185" s="51">
        <f t="shared" si="582"/>
        <v>0</v>
      </c>
      <c r="AV185" s="51">
        <f t="shared" si="496"/>
        <v>0</v>
      </c>
      <c r="AW185" s="51">
        <f t="shared" si="583"/>
        <v>0</v>
      </c>
      <c r="AX185" s="51">
        <f t="shared" si="497"/>
        <v>0</v>
      </c>
      <c r="AY185" s="54">
        <f t="shared" si="498"/>
        <v>0</v>
      </c>
      <c r="AZ185" s="55">
        <f t="shared" si="499"/>
        <v>0</v>
      </c>
      <c r="BA185" s="56">
        <f>IF(AND($E185&lt;&gt;0,$F185&gt;0,YEAR($F185)&gt;=Preisindex!$A$6,YEAR(AV$4)&gt;=YEAR($F185),AND($K185&lt;&gt;"a",$K185&lt;&gt;"b",$K185&lt;&gt;"g",$K185&lt;&gt;"k")),1,IF(AND($E185&lt;&gt;0,$F185&gt;0,YEAR($F185)&gt;=Preisindex!$A$6,YEAR(AV$4)&gt;=YEAR($F185),$K185="a"),ROUND(VLOOKUP(BA$4,Preisindex,5,FALSE)/VLOOKUP(YEAR($F185),Preisindex,5,FALSE),2),IF(AND($E185&lt;&gt;0,$F185&gt;0,YEAR($F185)&gt;=Preisindex!$A$6,YEAR(AV$4)&gt;=YEAR($F185),$K185="b"),ROUND(VLOOKUP(BA$4,Preisindex,3,FALSE)/VLOOKUP(YEAR($F185),Preisindex,3,FALSE),2),IF(AND($E185&lt;&gt;0,$F185&gt;0,YEAR($F185)&gt;=Preisindex!$A$6,YEAR(AV$4)&gt;=YEAR($F185),$K185="g"),ROUND(VLOOKUP(BA$4,Preisindex,4,FALSE)/VLOOKUP(YEAR($F185),Preisindex,4,FALSE),2),IF(AND($E185&lt;&gt;0,$F185&gt;0,YEAR($F185)&gt;=Preisindex!$A$6,YEAR(AV$4)&gt;=YEAR($F185),$K185="k"),ROUND(VLOOKUP(BA$4,Preisindex,2,FALSE)/VLOOKUP(YEAR($F185),Preisindex,2,FALSE),2),0)))))</f>
        <v>0</v>
      </c>
      <c r="BB185" s="56">
        <f>IF(AND($E185&lt;&gt;0,$F185&gt;0,YEAR($F185)&lt;Preisindex!$A$6,YEAR(AV$4)&gt;=YEAR($F185),AND($K185&lt;&gt;"a",$K185&lt;&gt;"b",$K185&lt;&gt;"g",$K185&lt;&gt;"k")),1,IF(AND($E185&lt;&gt;0,$F185&gt;0,YEAR($F185)&lt;Preisindex!$A$6,YEAR(AV$4)&gt;=YEAR($F185),$K185="a"),ROUND(VLOOKUP(BA$4,Preisindex,5,FALSE)/VLOOKUP(Preisindex!$A$6,Preisindex,5,FALSE),2),IF(AND($E185&lt;&gt;0,$F185&gt;0,YEAR($F185)&lt;Preisindex!$A$6,YEAR(AV$4)&gt;=YEAR($F185),$K185="b"),ROUND(VLOOKUP(BA$4,Preisindex,3,FALSE)/VLOOKUP(Preisindex!$A$6,Preisindex,3,FALSE),2),IF(AND($E185&lt;&gt;0,$F185&gt;0,YEAR($F185)&lt;Preisindex!$A$6,YEAR(AV$4)&gt;=YEAR($F185),$K185="g"),ROUND(VLOOKUP(BA$4,Preisindex,4,FALSE)/VLOOKUP(Preisindex!$A$6,Preisindex,4,FALSE),2),IF(AND($E185&lt;&gt;0,$F185&gt;0,YEAR($F185)&lt;Preisindex!$A$6,YEAR(AV$4)&gt;=YEAR($F185),$K185="k"),ROUND(VLOOKUP(BA$4,Preisindex,2,FALSE)/VLOOKUP(Preisindex!$A$6,Preisindex,2,FALSE),2),0)))))</f>
        <v>0</v>
      </c>
      <c r="BC185" s="51">
        <f>IF(AND($E185&lt;&gt;0,$F185&gt;0,YEAR($F185)&lt;=BA$4,YEAR($F185)&gt;=Preisindex!$A$6),ROUND($E185*BA185,2),IF(AND($E185&lt;&gt;0,$F185&gt;0,YEAR($F185)&lt;=BA$4,YEAR($F185)&lt;Preisindex!$A$6),ROUND($E185*BB185,2),0))</f>
        <v>0</v>
      </c>
      <c r="BD185" s="53">
        <f t="shared" si="500"/>
        <v>0</v>
      </c>
      <c r="BE185" s="51">
        <f t="shared" si="621"/>
        <v>0</v>
      </c>
      <c r="BF185" s="51">
        <f t="shared" si="584"/>
        <v>0</v>
      </c>
      <c r="BG185" s="51">
        <f t="shared" si="501"/>
        <v>0</v>
      </c>
      <c r="BH185" s="51">
        <f t="shared" si="585"/>
        <v>0</v>
      </c>
      <c r="BI185" s="51">
        <f t="shared" si="502"/>
        <v>0</v>
      </c>
      <c r="BJ185" s="51">
        <f t="shared" si="586"/>
        <v>0</v>
      </c>
      <c r="BK185" s="51">
        <f t="shared" si="503"/>
        <v>0</v>
      </c>
      <c r="BL185" s="51">
        <f t="shared" si="587"/>
        <v>0</v>
      </c>
      <c r="BM185" s="51">
        <f t="shared" si="504"/>
        <v>0</v>
      </c>
      <c r="BN185" s="51">
        <f t="shared" si="588"/>
        <v>0</v>
      </c>
      <c r="BO185" s="51">
        <f t="shared" si="505"/>
        <v>0</v>
      </c>
      <c r="BP185" s="54">
        <f t="shared" si="506"/>
        <v>0</v>
      </c>
      <c r="BQ185" s="55">
        <f t="shared" si="507"/>
        <v>0</v>
      </c>
      <c r="BR185" s="56">
        <f>IF(AND($E185&lt;&gt;0,$F185&gt;0,YEAR($F185)&gt;=Preisindex!$A$6,YEAR(BM$4)&gt;=YEAR($F185),AND($K185&lt;&gt;"a",$K185&lt;&gt;"b",$K185&lt;&gt;"g",$K185&lt;&gt;"k")),1,IF(AND($E185&lt;&gt;0,$F185&gt;0,YEAR($F185)&gt;=Preisindex!$A$6,YEAR(BM$4)&gt;=YEAR($F185),$K185="a"),ROUND(VLOOKUP(BR$4,Preisindex,5,FALSE)/VLOOKUP(YEAR($F185),Preisindex,5,FALSE),2),IF(AND($E185&lt;&gt;0,$F185&gt;0,YEAR($F185)&gt;=Preisindex!$A$6,YEAR(BM$4)&gt;=YEAR($F185),$K185="b"),ROUND(VLOOKUP(BR$4,Preisindex,3,FALSE)/VLOOKUP(YEAR($F185),Preisindex,3,FALSE),2),IF(AND($E185&lt;&gt;0,$F185&gt;0,YEAR($F185)&gt;=Preisindex!$A$6,YEAR(BM$4)&gt;=YEAR($F185),$K185="g"),ROUND(VLOOKUP(BR$4,Preisindex,4,FALSE)/VLOOKUP(YEAR($F185),Preisindex,4,FALSE),2),IF(AND($E185&lt;&gt;0,$F185&gt;0,YEAR($F185)&gt;=Preisindex!$A$6,YEAR(BM$4)&gt;=YEAR($F185),$K185="k"),ROUND(VLOOKUP(BR$4,Preisindex,2,FALSE)/VLOOKUP(YEAR($F185),Preisindex,2,FALSE),2),0)))))</f>
        <v>0</v>
      </c>
      <c r="BS185" s="56">
        <f>IF(AND($E185&lt;&gt;0,$F185&gt;0,YEAR($F185)&lt;Preisindex!$A$6,YEAR(BM$4)&gt;=YEAR($F185),AND($K185&lt;&gt;"a",$K185&lt;&gt;"b",$K185&lt;&gt;"g",$K185&lt;&gt;"k")),1,IF(AND($E185&lt;&gt;0,$F185&gt;0,YEAR($F185)&lt;Preisindex!$A$6,YEAR(BM$4)&gt;=YEAR($F185),$K185="a"),ROUND(VLOOKUP(BR$4,Preisindex,5,FALSE)/VLOOKUP(Preisindex!$A$6,Preisindex,5,FALSE),2),IF(AND($E185&lt;&gt;0,$F185&gt;0,YEAR($F185)&lt;Preisindex!$A$6,YEAR(BM$4)&gt;=YEAR($F185),$K185="b"),ROUND(VLOOKUP(BR$4,Preisindex,3,FALSE)/VLOOKUP(Preisindex!$A$6,Preisindex,3,FALSE),2),IF(AND($E185&lt;&gt;0,$F185&gt;0,YEAR($F185)&lt;Preisindex!$A$6,YEAR(BM$4)&gt;=YEAR($F185),$K185="g"),ROUND(VLOOKUP(BR$4,Preisindex,4,FALSE)/VLOOKUP(Preisindex!$A$6,Preisindex,4,FALSE),2),IF(AND($E185&lt;&gt;0,$F185&gt;0,YEAR($F185)&lt;Preisindex!$A$6,YEAR(BM$4)&gt;=YEAR($F185),$K185="k"),ROUND(VLOOKUP(BR$4,Preisindex,2,FALSE)/VLOOKUP(Preisindex!$A$6,Preisindex,2,FALSE),2),0)))))</f>
        <v>0</v>
      </c>
      <c r="BT185" s="51">
        <f>IF(AND($E185&lt;&gt;0,$F185&gt;0,YEAR($F185)&lt;=BR$4,YEAR($F185)&gt;=Preisindex!$A$6),ROUND($E185*BR185,2),IF(AND($E185&lt;&gt;0,$F185&gt;0,YEAR($F185)&lt;=BR$4,YEAR($F185)&lt;Preisindex!$A$6),ROUND($E185*BS185,2),0))</f>
        <v>0</v>
      </c>
      <c r="BU185" s="53">
        <f t="shared" si="508"/>
        <v>0</v>
      </c>
      <c r="BV185" s="51">
        <f t="shared" si="621"/>
        <v>0</v>
      </c>
      <c r="BW185" s="51">
        <f t="shared" si="589"/>
        <v>0</v>
      </c>
      <c r="BX185" s="51">
        <f t="shared" si="509"/>
        <v>0</v>
      </c>
      <c r="BY185" s="51">
        <f t="shared" si="590"/>
        <v>0</v>
      </c>
      <c r="BZ185" s="51">
        <f t="shared" si="510"/>
        <v>0</v>
      </c>
      <c r="CA185" s="51">
        <f t="shared" si="591"/>
        <v>0</v>
      </c>
      <c r="CB185" s="51">
        <f t="shared" si="511"/>
        <v>0</v>
      </c>
      <c r="CC185" s="51">
        <f t="shared" si="592"/>
        <v>0</v>
      </c>
      <c r="CD185" s="51">
        <f t="shared" si="512"/>
        <v>0</v>
      </c>
      <c r="CE185" s="51">
        <f t="shared" si="593"/>
        <v>0</v>
      </c>
      <c r="CF185" s="51">
        <f t="shared" si="513"/>
        <v>0</v>
      </c>
      <c r="CG185" s="54">
        <f t="shared" si="514"/>
        <v>0</v>
      </c>
      <c r="CH185" s="55">
        <f t="shared" si="515"/>
        <v>0</v>
      </c>
      <c r="CI185" s="56">
        <f>IF(AND($E185&lt;&gt;0,$F185&gt;0,YEAR($F185)&gt;=Preisindex!$A$6,YEAR(CD$4)&gt;=YEAR($F185),AND($K185&lt;&gt;"a",$K185&lt;&gt;"b",$K185&lt;&gt;"g",$K185&lt;&gt;"k")),1,IF(AND($E185&lt;&gt;0,$F185&gt;0,YEAR($F185)&gt;=Preisindex!$A$6,YEAR(CD$4)&gt;=YEAR($F185),$K185="a"),ROUND(VLOOKUP(CI$4,Preisindex,5,FALSE)/VLOOKUP(YEAR($F185),Preisindex,5,FALSE),2),IF(AND($E185&lt;&gt;0,$F185&gt;0,YEAR($F185)&gt;=Preisindex!$A$6,YEAR(CD$4)&gt;=YEAR($F185),$K185="b"),ROUND(VLOOKUP(CI$4,Preisindex,3,FALSE)/VLOOKUP(YEAR($F185),Preisindex,3,FALSE),2),IF(AND($E185&lt;&gt;0,$F185&gt;0,YEAR($F185)&gt;=Preisindex!$A$6,YEAR(CD$4)&gt;=YEAR($F185),$K185="g"),ROUND(VLOOKUP(CI$4,Preisindex,4,FALSE)/VLOOKUP(YEAR($F185),Preisindex,4,FALSE),2),IF(AND($E185&lt;&gt;0,$F185&gt;0,YEAR($F185)&gt;=Preisindex!$A$6,YEAR(CD$4)&gt;=YEAR($F185),$K185="k"),ROUND(VLOOKUP(CI$4,Preisindex,2,FALSE)/VLOOKUP(YEAR($F185),Preisindex,2,FALSE),2),0)))))</f>
        <v>0</v>
      </c>
      <c r="CJ185" s="56">
        <f>IF(AND($E185&lt;&gt;0,$F185&gt;0,YEAR($F185)&lt;Preisindex!$A$6,YEAR(CD$4)&gt;=YEAR($F185),AND($K185&lt;&gt;"a",$K185&lt;&gt;"b",$K185&lt;&gt;"g",$K185&lt;&gt;"k")),1,IF(AND($E185&lt;&gt;0,$F185&gt;0,YEAR($F185)&lt;Preisindex!$A$6,YEAR(CD$4)&gt;=YEAR($F185),$K185="a"),ROUND(VLOOKUP(CI$4,Preisindex,5,FALSE)/VLOOKUP(Preisindex!$A$6,Preisindex,5,FALSE),2),IF(AND($E185&lt;&gt;0,$F185&gt;0,YEAR($F185)&lt;Preisindex!$A$6,YEAR(CD$4)&gt;=YEAR($F185),$K185="b"),ROUND(VLOOKUP(CI$4,Preisindex,3,FALSE)/VLOOKUP(Preisindex!$A$6,Preisindex,3,FALSE),2),IF(AND($E185&lt;&gt;0,$F185&gt;0,YEAR($F185)&lt;Preisindex!$A$6,YEAR(CD$4)&gt;=YEAR($F185),$K185="g"),ROUND(VLOOKUP(CI$4,Preisindex,4,FALSE)/VLOOKUP(Preisindex!$A$6,Preisindex,4,FALSE),2),IF(AND($E185&lt;&gt;0,$F185&gt;0,YEAR($F185)&lt;Preisindex!$A$6,YEAR(CD$4)&gt;=YEAR($F185),$K185="k"),ROUND(VLOOKUP(CI$4,Preisindex,2,FALSE)/VLOOKUP(Preisindex!$A$6,Preisindex,2,FALSE),2),0)))))</f>
        <v>0</v>
      </c>
      <c r="CK185" s="51">
        <f>IF(AND($E185&lt;&gt;0,$F185&gt;0,YEAR($F185)&lt;=CI$4,YEAR($F185)&gt;=Preisindex!$A$6),ROUND($E185*CI185,2),IF(AND($E185&lt;&gt;0,$F185&gt;0,YEAR($F185)&lt;=CI$4,YEAR($F185)&lt;Preisindex!$A$6),ROUND($E185*CJ185,2),0))</f>
        <v>0</v>
      </c>
      <c r="CL185" s="53">
        <f t="shared" si="516"/>
        <v>0</v>
      </c>
      <c r="CM185" s="51">
        <f t="shared" si="621"/>
        <v>0</v>
      </c>
      <c r="CN185" s="51">
        <f t="shared" si="594"/>
        <v>0</v>
      </c>
      <c r="CO185" s="51">
        <f t="shared" si="517"/>
        <v>0</v>
      </c>
      <c r="CP185" s="51">
        <f t="shared" si="595"/>
        <v>0</v>
      </c>
      <c r="CQ185" s="51">
        <f t="shared" si="518"/>
        <v>0</v>
      </c>
      <c r="CR185" s="51">
        <f t="shared" si="596"/>
        <v>0</v>
      </c>
      <c r="CS185" s="51">
        <f t="shared" si="519"/>
        <v>0</v>
      </c>
      <c r="CT185" s="51">
        <f t="shared" si="597"/>
        <v>0</v>
      </c>
      <c r="CU185" s="51">
        <f t="shared" si="520"/>
        <v>0</v>
      </c>
      <c r="CV185" s="51">
        <f t="shared" si="598"/>
        <v>0</v>
      </c>
      <c r="CW185" s="51">
        <f t="shared" si="521"/>
        <v>0</v>
      </c>
      <c r="CX185" s="54">
        <f t="shared" si="522"/>
        <v>0</v>
      </c>
      <c r="CY185" s="55">
        <f t="shared" si="523"/>
        <v>0</v>
      </c>
      <c r="CZ185" s="56">
        <f>IF(AND($E185&lt;&gt;0,$F185&gt;0,YEAR($F185)&gt;=Preisindex!$A$6,YEAR(CU$4)&gt;=YEAR($F185),AND($K185&lt;&gt;"a",$K185&lt;&gt;"b",$K185&lt;&gt;"g",$K185&lt;&gt;"k")),1,IF(AND($E185&lt;&gt;0,$F185&gt;0,YEAR($F185)&gt;=Preisindex!$A$6,YEAR(CU$4)&gt;=YEAR($F185),$K185="a"),ROUND(VLOOKUP(CZ$4,Preisindex,5,FALSE)/VLOOKUP(YEAR($F185),Preisindex,5,FALSE),2),IF(AND($E185&lt;&gt;0,$F185&gt;0,YEAR($F185)&gt;=Preisindex!$A$6,YEAR(CU$4)&gt;=YEAR($F185),$K185="b"),ROUND(VLOOKUP(CZ$4,Preisindex,3,FALSE)/VLOOKUP(YEAR($F185),Preisindex,3,FALSE),2),IF(AND($E185&lt;&gt;0,$F185&gt;0,YEAR($F185)&gt;=Preisindex!$A$6,YEAR(CU$4)&gt;=YEAR($F185),$K185="g"),ROUND(VLOOKUP(CZ$4,Preisindex,4,FALSE)/VLOOKUP(YEAR($F185),Preisindex,4,FALSE),2),IF(AND($E185&lt;&gt;0,$F185&gt;0,YEAR($F185)&gt;=Preisindex!$A$6,YEAR(CU$4)&gt;=YEAR($F185),$K185="k"),ROUND(VLOOKUP(CZ$4,Preisindex,2,FALSE)/VLOOKUP(YEAR($F185),Preisindex,2,FALSE),2),0)))))</f>
        <v>0</v>
      </c>
      <c r="DA185" s="56">
        <f>IF(AND($E185&lt;&gt;0,$F185&gt;0,YEAR($F185)&lt;Preisindex!$A$6,YEAR(CU$4)&gt;=YEAR($F185),AND($K185&lt;&gt;"a",$K185&lt;&gt;"b",$K185&lt;&gt;"g",$K185&lt;&gt;"k")),1,IF(AND($E185&lt;&gt;0,$F185&gt;0,YEAR($F185)&lt;Preisindex!$A$6,YEAR(CU$4)&gt;=YEAR($F185),$K185="a"),ROUND(VLOOKUP(CZ$4,Preisindex,5,FALSE)/VLOOKUP(Preisindex!$A$6,Preisindex,5,FALSE),2),IF(AND($E185&lt;&gt;0,$F185&gt;0,YEAR($F185)&lt;Preisindex!$A$6,YEAR(CU$4)&gt;=YEAR($F185),$K185="b"),ROUND(VLOOKUP(CZ$4,Preisindex,3,FALSE)/VLOOKUP(Preisindex!$A$6,Preisindex,3,FALSE),2),IF(AND($E185&lt;&gt;0,$F185&gt;0,YEAR($F185)&lt;Preisindex!$A$6,YEAR(CU$4)&gt;=YEAR($F185),$K185="g"),ROUND(VLOOKUP(CZ$4,Preisindex,4,FALSE)/VLOOKUP(Preisindex!$A$6,Preisindex,4,FALSE),2),IF(AND($E185&lt;&gt;0,$F185&gt;0,YEAR($F185)&lt;Preisindex!$A$6,YEAR(CU$4)&gt;=YEAR($F185),$K185="k"),ROUND(VLOOKUP(CZ$4,Preisindex,2,FALSE)/VLOOKUP(Preisindex!$A$6,Preisindex,2,FALSE),2),0)))))</f>
        <v>0</v>
      </c>
      <c r="DB185" s="51">
        <f>IF(AND($E185&lt;&gt;0,$F185&gt;0,YEAR($F185)&lt;=CZ$4,YEAR($F185)&gt;=Preisindex!$A$6),ROUND($E185*CZ185,2),IF(AND($E185&lt;&gt;0,$F185&gt;0,YEAR($F185)&lt;=CZ$4,YEAR($F185)&lt;Preisindex!$A$6),ROUND($E185*DA185,2),0))</f>
        <v>0</v>
      </c>
      <c r="DC185" s="53">
        <f t="shared" si="524"/>
        <v>0</v>
      </c>
      <c r="DD185" s="51">
        <f t="shared" si="622"/>
        <v>0</v>
      </c>
      <c r="DE185" s="51">
        <f t="shared" si="599"/>
        <v>0</v>
      </c>
      <c r="DF185" s="51">
        <f t="shared" si="526"/>
        <v>0</v>
      </c>
      <c r="DG185" s="51">
        <f t="shared" si="600"/>
        <v>0</v>
      </c>
      <c r="DH185" s="51">
        <f t="shared" si="527"/>
        <v>0</v>
      </c>
      <c r="DI185" s="51">
        <f t="shared" si="601"/>
        <v>0</v>
      </c>
      <c r="DJ185" s="51">
        <f t="shared" si="528"/>
        <v>0</v>
      </c>
      <c r="DK185" s="51">
        <f t="shared" si="602"/>
        <v>0</v>
      </c>
      <c r="DL185" s="51">
        <f t="shared" si="529"/>
        <v>0</v>
      </c>
      <c r="DM185" s="51">
        <f t="shared" si="603"/>
        <v>0</v>
      </c>
      <c r="DN185" s="51">
        <f t="shared" si="530"/>
        <v>0</v>
      </c>
      <c r="DO185" s="54">
        <f t="shared" si="531"/>
        <v>0</v>
      </c>
      <c r="DP185" s="55">
        <f t="shared" si="532"/>
        <v>0</v>
      </c>
      <c r="DQ185" s="56">
        <f>IF(AND($E185&lt;&gt;0,$F185&gt;0,YEAR($F185)&gt;=Preisindex!$A$6,YEAR(DL$4)&gt;=YEAR($F185),AND($K185&lt;&gt;"a",$K185&lt;&gt;"b",$K185&lt;&gt;"g",$K185&lt;&gt;"k")),1,IF(AND($E185&lt;&gt;0,$F185&gt;0,YEAR($F185)&gt;=Preisindex!$A$6,YEAR(DL$4)&gt;=YEAR($F185),$K185="a"),ROUND(VLOOKUP(DQ$4,Preisindex,5,FALSE)/VLOOKUP(YEAR($F185),Preisindex,5,FALSE),2),IF(AND($E185&lt;&gt;0,$F185&gt;0,YEAR($F185)&gt;=Preisindex!$A$6,YEAR(DL$4)&gt;=YEAR($F185),$K185="b"),ROUND(VLOOKUP(DQ$4,Preisindex,3,FALSE)/VLOOKUP(YEAR($F185),Preisindex,3,FALSE),2),IF(AND($E185&lt;&gt;0,$F185&gt;0,YEAR($F185)&gt;=Preisindex!$A$6,YEAR(DL$4)&gt;=YEAR($F185),$K185="g"),ROUND(VLOOKUP(DQ$4,Preisindex,4,FALSE)/VLOOKUP(YEAR($F185),Preisindex,4,FALSE),2),IF(AND($E185&lt;&gt;0,$F185&gt;0,YEAR($F185)&gt;=Preisindex!$A$6,YEAR(DL$4)&gt;=YEAR($F185),$K185="k"),ROUND(VLOOKUP(DQ$4,Preisindex,2,FALSE)/VLOOKUP(YEAR($F185),Preisindex,2,FALSE),2),0)))))</f>
        <v>0</v>
      </c>
      <c r="DR185" s="56">
        <f>IF(AND($E185&lt;&gt;0,$F185&gt;0,YEAR($F185)&lt;Preisindex!$A$6,YEAR(DL$4)&gt;=YEAR($F185),AND($K185&lt;&gt;"a",$K185&lt;&gt;"b",$K185&lt;&gt;"g",$K185&lt;&gt;"k")),1,IF(AND($E185&lt;&gt;0,$F185&gt;0,YEAR($F185)&lt;Preisindex!$A$6,YEAR(DL$4)&gt;=YEAR($F185),$K185="a"),ROUND(VLOOKUP(DQ$4,Preisindex,5,FALSE)/VLOOKUP(Preisindex!$A$6,Preisindex,5,FALSE),2),IF(AND($E185&lt;&gt;0,$F185&gt;0,YEAR($F185)&lt;Preisindex!$A$6,YEAR(DL$4)&gt;=YEAR($F185),$K185="b"),ROUND(VLOOKUP(DQ$4,Preisindex,3,FALSE)/VLOOKUP(Preisindex!$A$6,Preisindex,3,FALSE),2),IF(AND($E185&lt;&gt;0,$F185&gt;0,YEAR($F185)&lt;Preisindex!$A$6,YEAR(DL$4)&gt;=YEAR($F185),$K185="g"),ROUND(VLOOKUP(DQ$4,Preisindex,4,FALSE)/VLOOKUP(Preisindex!$A$6,Preisindex,4,FALSE),2),IF(AND($E185&lt;&gt;0,$F185&gt;0,YEAR($F185)&lt;Preisindex!$A$6,YEAR(DL$4)&gt;=YEAR($F185),$K185="k"),ROUND(VLOOKUP(DQ$4,Preisindex,2,FALSE)/VLOOKUP(Preisindex!$A$6,Preisindex,2,FALSE),2),0)))))</f>
        <v>0</v>
      </c>
      <c r="DS185" s="51">
        <f>IF(AND($E185&lt;&gt;0,$F185&gt;0,YEAR($F185)&lt;=DQ$4,YEAR($F185)&gt;=Preisindex!$A$6),ROUND($E185*DQ185,2),IF(AND($E185&lt;&gt;0,$F185&gt;0,YEAR($F185)&lt;=DQ$4,YEAR($F185)&lt;Preisindex!$A$6),ROUND($E185*DR185,2),0))</f>
        <v>0</v>
      </c>
      <c r="DT185" s="53">
        <f t="shared" si="533"/>
        <v>0</v>
      </c>
      <c r="DU185" s="51">
        <f t="shared" si="622"/>
        <v>0</v>
      </c>
      <c r="DV185" s="51">
        <f t="shared" si="604"/>
        <v>0</v>
      </c>
      <c r="DW185" s="51">
        <f t="shared" si="534"/>
        <v>0</v>
      </c>
      <c r="DX185" s="51">
        <f t="shared" si="605"/>
        <v>0</v>
      </c>
      <c r="DY185" s="51">
        <f t="shared" si="535"/>
        <v>0</v>
      </c>
      <c r="DZ185" s="51">
        <f t="shared" si="606"/>
        <v>0</v>
      </c>
      <c r="EA185" s="51">
        <f t="shared" si="536"/>
        <v>0</v>
      </c>
      <c r="EB185" s="51">
        <f t="shared" si="607"/>
        <v>0</v>
      </c>
      <c r="EC185" s="51">
        <f t="shared" si="537"/>
        <v>0</v>
      </c>
      <c r="ED185" s="51">
        <f t="shared" si="608"/>
        <v>0</v>
      </c>
      <c r="EE185" s="51">
        <f t="shared" si="538"/>
        <v>0</v>
      </c>
      <c r="EF185" s="54">
        <f t="shared" si="539"/>
        <v>0</v>
      </c>
      <c r="EG185" s="55">
        <f t="shared" si="540"/>
        <v>0</v>
      </c>
      <c r="EH185" s="56">
        <f>IF(AND($E185&lt;&gt;0,$F185&gt;0,YEAR($F185)&gt;=Preisindex!$A$6,YEAR(EC$4)&gt;=YEAR($F185),AND($K185&lt;&gt;"a",$K185&lt;&gt;"b",$K185&lt;&gt;"g",$K185&lt;&gt;"k")),1,IF(AND($E185&lt;&gt;0,$F185&gt;0,YEAR($F185)&gt;=Preisindex!$A$6,YEAR(EC$4)&gt;=YEAR($F185),$K185="a"),ROUND(VLOOKUP(EH$4,Preisindex,5,FALSE)/VLOOKUP(YEAR($F185),Preisindex,5,FALSE),2),IF(AND($E185&lt;&gt;0,$F185&gt;0,YEAR($F185)&gt;=Preisindex!$A$6,YEAR(EC$4)&gt;=YEAR($F185),$K185="b"),ROUND(VLOOKUP(EH$4,Preisindex,3,FALSE)/VLOOKUP(YEAR($F185),Preisindex,3,FALSE),2),IF(AND($E185&lt;&gt;0,$F185&gt;0,YEAR($F185)&gt;=Preisindex!$A$6,YEAR(EC$4)&gt;=YEAR($F185),$K185="g"),ROUND(VLOOKUP(EH$4,Preisindex,4,FALSE)/VLOOKUP(YEAR($F185),Preisindex,4,FALSE),2),IF(AND($E185&lt;&gt;0,$F185&gt;0,YEAR($F185)&gt;=Preisindex!$A$6,YEAR(EC$4)&gt;=YEAR($F185),$K185="k"),ROUND(VLOOKUP(EH$4,Preisindex,2,FALSE)/VLOOKUP(YEAR($F185),Preisindex,2,FALSE),2),0)))))</f>
        <v>0</v>
      </c>
      <c r="EI185" s="56">
        <f>IF(AND($E185&lt;&gt;0,$F185&gt;0,YEAR($F185)&lt;Preisindex!$A$6,YEAR(EC$4)&gt;=YEAR($F185),AND($K185&lt;&gt;"a",$K185&lt;&gt;"b",$K185&lt;&gt;"g",$K185&lt;&gt;"k")),1,IF(AND($E185&lt;&gt;0,$F185&gt;0,YEAR($F185)&lt;Preisindex!$A$6,YEAR(EC$4)&gt;=YEAR($F185),$K185="a"),ROUND(VLOOKUP(EH$4,Preisindex,5,FALSE)/VLOOKUP(Preisindex!$A$6,Preisindex,5,FALSE),2),IF(AND($E185&lt;&gt;0,$F185&gt;0,YEAR($F185)&lt;Preisindex!$A$6,YEAR(EC$4)&gt;=YEAR($F185),$K185="b"),ROUND(VLOOKUP(EH$4,Preisindex,3,FALSE)/VLOOKUP(Preisindex!$A$6,Preisindex,3,FALSE),2),IF(AND($E185&lt;&gt;0,$F185&gt;0,YEAR($F185)&lt;Preisindex!$A$6,YEAR(EC$4)&gt;=YEAR($F185),$K185="g"),ROUND(VLOOKUP(EH$4,Preisindex,4,FALSE)/VLOOKUP(Preisindex!$A$6,Preisindex,4,FALSE),2),IF(AND($E185&lt;&gt;0,$F185&gt;0,YEAR($F185)&lt;Preisindex!$A$6,YEAR(EC$4)&gt;=YEAR($F185),$K185="k"),ROUND(VLOOKUP(EH$4,Preisindex,2,FALSE)/VLOOKUP(Preisindex!$A$6,Preisindex,2,FALSE),2),0)))))</f>
        <v>0</v>
      </c>
      <c r="EJ185" s="51">
        <f>IF(AND($E185&lt;&gt;0,$F185&gt;0,YEAR($F185)&lt;=EH$4,YEAR($F185)&gt;=Preisindex!$A$6),ROUND($E185*EH185,2),IF(AND($E185&lt;&gt;0,$F185&gt;0,YEAR($F185)&lt;=EH$4,YEAR($F185)&lt;Preisindex!$A$6),ROUND($E185*EI185,2),0))</f>
        <v>0</v>
      </c>
      <c r="EK185" s="53">
        <f t="shared" si="541"/>
        <v>0</v>
      </c>
      <c r="EL185" s="51">
        <f t="shared" si="622"/>
        <v>0</v>
      </c>
      <c r="EM185" s="51">
        <f t="shared" si="609"/>
        <v>0</v>
      </c>
      <c r="EN185" s="51">
        <f t="shared" si="542"/>
        <v>0</v>
      </c>
      <c r="EO185" s="51">
        <f t="shared" si="610"/>
        <v>0</v>
      </c>
      <c r="EP185" s="51">
        <f t="shared" si="543"/>
        <v>0</v>
      </c>
      <c r="EQ185" s="51">
        <f t="shared" si="611"/>
        <v>0</v>
      </c>
      <c r="ER185" s="51">
        <f t="shared" si="544"/>
        <v>0</v>
      </c>
      <c r="ES185" s="51">
        <f t="shared" si="612"/>
        <v>0</v>
      </c>
      <c r="ET185" s="51">
        <f t="shared" si="545"/>
        <v>0</v>
      </c>
      <c r="EU185" s="51">
        <f t="shared" si="613"/>
        <v>0</v>
      </c>
      <c r="EV185" s="51">
        <f t="shared" si="546"/>
        <v>0</v>
      </c>
      <c r="EW185" s="54">
        <f t="shared" si="547"/>
        <v>0</v>
      </c>
      <c r="EX185" s="55">
        <f t="shared" si="548"/>
        <v>0</v>
      </c>
      <c r="EY185" s="56">
        <f>IF(AND($E185&lt;&gt;0,$F185&gt;0,YEAR($F185)&gt;=Preisindex!$A$6,YEAR(ET$4)&gt;=YEAR($F185),AND($K185&lt;&gt;"a",$K185&lt;&gt;"b",$K185&lt;&gt;"g",$K185&lt;&gt;"k")),1,IF(AND($E185&lt;&gt;0,$F185&gt;0,YEAR($F185)&gt;=Preisindex!$A$6,YEAR(ET$4)&gt;=YEAR($F185),$K185="a"),ROUND(VLOOKUP(EY$4,Preisindex,5,FALSE)/VLOOKUP(YEAR($F185),Preisindex,5,FALSE),2),IF(AND($E185&lt;&gt;0,$F185&gt;0,YEAR($F185)&gt;=Preisindex!$A$6,YEAR(ET$4)&gt;=YEAR($F185),$K185="b"),ROUND(VLOOKUP(EY$4,Preisindex,3,FALSE)/VLOOKUP(YEAR($F185),Preisindex,3,FALSE),2),IF(AND($E185&lt;&gt;0,$F185&gt;0,YEAR($F185)&gt;=Preisindex!$A$6,YEAR(ET$4)&gt;=YEAR($F185),$K185="g"),ROUND(VLOOKUP(EY$4,Preisindex,4,FALSE)/VLOOKUP(YEAR($F185),Preisindex,4,FALSE),2),IF(AND($E185&lt;&gt;0,$F185&gt;0,YEAR($F185)&gt;=Preisindex!$A$6,YEAR(ET$4)&gt;=YEAR($F185),$K185="k"),ROUND(VLOOKUP(EY$4,Preisindex,2,FALSE)/VLOOKUP(YEAR($F185),Preisindex,2,FALSE),2),0)))))</f>
        <v>0</v>
      </c>
      <c r="EZ185" s="56">
        <f>IF(AND($E185&lt;&gt;0,$F185&gt;0,YEAR($F185)&lt;Preisindex!$A$6,YEAR(ET$4)&gt;=YEAR($F185),AND($K185&lt;&gt;"a",$K185&lt;&gt;"b",$K185&lt;&gt;"g",$K185&lt;&gt;"k")),1,IF(AND($E185&lt;&gt;0,$F185&gt;0,YEAR($F185)&lt;Preisindex!$A$6,YEAR(ET$4)&gt;=YEAR($F185),$K185="a"),ROUND(VLOOKUP(EY$4,Preisindex,5,FALSE)/VLOOKUP(Preisindex!$A$6,Preisindex,5,FALSE),2),IF(AND($E185&lt;&gt;0,$F185&gt;0,YEAR($F185)&lt;Preisindex!$A$6,YEAR(ET$4)&gt;=YEAR($F185),$K185="b"),ROUND(VLOOKUP(EY$4,Preisindex,3,FALSE)/VLOOKUP(Preisindex!$A$6,Preisindex,3,FALSE),2),IF(AND($E185&lt;&gt;0,$F185&gt;0,YEAR($F185)&lt;Preisindex!$A$6,YEAR(ET$4)&gt;=YEAR($F185),$K185="g"),ROUND(VLOOKUP(EY$4,Preisindex,4,FALSE)/VLOOKUP(Preisindex!$A$6,Preisindex,4,FALSE),2),IF(AND($E185&lt;&gt;0,$F185&gt;0,YEAR($F185)&lt;Preisindex!$A$6,YEAR(ET$4)&gt;=YEAR($F185),$K185="k"),ROUND(VLOOKUP(EY$4,Preisindex,2,FALSE)/VLOOKUP(Preisindex!$A$6,Preisindex,2,FALSE),2),0)))))</f>
        <v>0</v>
      </c>
      <c r="FA185" s="51">
        <f>IF(AND($E185&lt;&gt;0,$F185&gt;0,YEAR($F185)&lt;=EY$4,YEAR($F185)&gt;=Preisindex!$A$6),ROUND($E185*EY185,2),IF(AND($E185&lt;&gt;0,$F185&gt;0,YEAR($F185)&lt;=EY$4,YEAR($F185)&lt;Preisindex!$A$6),ROUND($E185*EZ185,2),0))</f>
        <v>0</v>
      </c>
      <c r="FB185" s="53">
        <f t="shared" si="549"/>
        <v>0</v>
      </c>
      <c r="FC185" s="51">
        <f t="shared" si="622"/>
        <v>0</v>
      </c>
      <c r="FD185" s="51">
        <f t="shared" si="614"/>
        <v>0</v>
      </c>
      <c r="FE185" s="51">
        <f t="shared" si="550"/>
        <v>0</v>
      </c>
      <c r="FF185" s="51">
        <f t="shared" si="615"/>
        <v>0</v>
      </c>
      <c r="FG185" s="51">
        <f t="shared" si="551"/>
        <v>0</v>
      </c>
      <c r="FH185" s="51">
        <f t="shared" si="616"/>
        <v>0</v>
      </c>
      <c r="FI185" s="51">
        <f t="shared" si="552"/>
        <v>0</v>
      </c>
      <c r="FJ185" s="51">
        <f t="shared" si="617"/>
        <v>0</v>
      </c>
      <c r="FK185" s="51">
        <f t="shared" si="553"/>
        <v>0</v>
      </c>
      <c r="FL185" s="51">
        <f t="shared" si="618"/>
        <v>0</v>
      </c>
      <c r="FM185" s="51">
        <f t="shared" si="554"/>
        <v>0</v>
      </c>
      <c r="FN185" s="54">
        <f t="shared" si="555"/>
        <v>0</v>
      </c>
      <c r="FO185" s="55">
        <f t="shared" si="556"/>
        <v>0</v>
      </c>
      <c r="FP185" s="56">
        <f>IF(AND($E185&lt;&gt;0,$F185&gt;0,YEAR($F185)&gt;=Preisindex!$A$6,YEAR(FK$4)&gt;=YEAR($F185),AND($K185&lt;&gt;"a",$K185&lt;&gt;"b",$K185&lt;&gt;"g",$K185&lt;&gt;"k")),1,IF(AND($E185&lt;&gt;0,$F185&gt;0,YEAR($F185)&gt;=Preisindex!$A$6,YEAR(FK$4)&gt;=YEAR($F185),$K185="a"),ROUND(VLOOKUP(FP$4,Preisindex,5,FALSE)/VLOOKUP(YEAR($F185),Preisindex,5,FALSE),2),IF(AND($E185&lt;&gt;0,$F185&gt;0,YEAR($F185)&gt;=Preisindex!$A$6,YEAR(FK$4)&gt;=YEAR($F185),$K185="b"),ROUND(VLOOKUP(FP$4,Preisindex,3,FALSE)/VLOOKUP(YEAR($F185),Preisindex,3,FALSE),2),IF(AND($E185&lt;&gt;0,$F185&gt;0,YEAR($F185)&gt;=Preisindex!$A$6,YEAR(FK$4)&gt;=YEAR($F185),$K185="g"),ROUND(VLOOKUP(FP$4,Preisindex,4,FALSE)/VLOOKUP(YEAR($F185),Preisindex,4,FALSE),2),IF(AND($E185&lt;&gt;0,$F185&gt;0,YEAR($F185)&gt;=Preisindex!$A$6,YEAR(FK$4)&gt;=YEAR($F185),$K185="k"),ROUND(VLOOKUP(FP$4,Preisindex,2,FALSE)/VLOOKUP(YEAR($F185),Preisindex,2,FALSE),2),0)))))</f>
        <v>0</v>
      </c>
      <c r="FQ185" s="56">
        <f>IF(AND($E185&lt;&gt;0,$F185&gt;0,YEAR($F185)&lt;Preisindex!$A$6,YEAR(FK$4)&gt;=YEAR($F185),AND($K185&lt;&gt;"a",$K185&lt;&gt;"b",$K185&lt;&gt;"g",$K185&lt;&gt;"k")),1,IF(AND($E185&lt;&gt;0,$F185&gt;0,YEAR($F185)&lt;Preisindex!$A$6,YEAR(FK$4)&gt;=YEAR($F185),$K185="a"),ROUND(VLOOKUP(FP$4,Preisindex,5,FALSE)/VLOOKUP(Preisindex!$A$6,Preisindex,5,FALSE),2),IF(AND($E185&lt;&gt;0,$F185&gt;0,YEAR($F185)&lt;Preisindex!$A$6,YEAR(FK$4)&gt;=YEAR($F185),$K185="b"),ROUND(VLOOKUP(FP$4,Preisindex,3,FALSE)/VLOOKUP(Preisindex!$A$6,Preisindex,3,FALSE),2),IF(AND($E185&lt;&gt;0,$F185&gt;0,YEAR($F185)&lt;Preisindex!$A$6,YEAR(FK$4)&gt;=YEAR($F185),$K185="g"),ROUND(VLOOKUP(FP$4,Preisindex,4,FALSE)/VLOOKUP(Preisindex!$A$6,Preisindex,4,FALSE),2),IF(AND($E185&lt;&gt;0,$F185&gt;0,YEAR($F185)&lt;Preisindex!$A$6,YEAR(FK$4)&gt;=YEAR($F185),$K185="k"),ROUND(VLOOKUP(FP$4,Preisindex,2,FALSE)/VLOOKUP(Preisindex!$A$6,Preisindex,2,FALSE),2),0)))))</f>
        <v>0</v>
      </c>
      <c r="FR185" s="51">
        <f>IF(AND($E185&lt;&gt;0,$F185&gt;0,YEAR($F185)&lt;=FP$4,YEAR($F185)&gt;=Preisindex!$A$6),ROUND($E185*FP185,2),IF(AND($E185&lt;&gt;0,$F185&gt;0,YEAR($F185)&lt;=FP$4,YEAR($F185)&lt;Preisindex!$A$6),ROUND($E185*FQ185,2),0))</f>
        <v>0</v>
      </c>
      <c r="FS185" s="53">
        <f t="shared" si="557"/>
        <v>0</v>
      </c>
    </row>
    <row r="186" spans="1:175" x14ac:dyDescent="0.3">
      <c r="A186" s="93"/>
      <c r="B186" s="94"/>
      <c r="C186" s="94"/>
      <c r="D186" s="95"/>
      <c r="E186" s="99"/>
      <c r="F186" s="97"/>
      <c r="G186" s="98"/>
      <c r="H186" s="620"/>
      <c r="I186" s="621"/>
      <c r="J186" s="194"/>
      <c r="K186" s="630"/>
      <c r="L186" s="49">
        <f t="shared" si="558"/>
        <v>0</v>
      </c>
      <c r="M186" s="50">
        <f t="shared" si="559"/>
        <v>0</v>
      </c>
      <c r="N186" s="51">
        <f t="shared" si="560"/>
        <v>0</v>
      </c>
      <c r="O186" s="51"/>
      <c r="P186" s="51">
        <f t="shared" si="561"/>
        <v>0</v>
      </c>
      <c r="Q186" s="52"/>
      <c r="R186" s="52"/>
      <c r="S186" s="52"/>
      <c r="T186" s="52"/>
      <c r="U186" s="52"/>
      <c r="V186" s="53">
        <f t="shared" si="562"/>
        <v>0</v>
      </c>
      <c r="W186" s="51">
        <f t="shared" si="563"/>
        <v>0</v>
      </c>
      <c r="X186" s="51">
        <f t="shared" si="564"/>
        <v>0</v>
      </c>
      <c r="Y186" s="51">
        <f t="shared" si="565"/>
        <v>0</v>
      </c>
      <c r="Z186" s="51">
        <f t="shared" si="566"/>
        <v>0</v>
      </c>
      <c r="AA186" s="51">
        <f t="shared" si="567"/>
        <v>0</v>
      </c>
      <c r="AB186" s="51">
        <f t="shared" si="568"/>
        <v>0</v>
      </c>
      <c r="AC186" s="51">
        <f t="shared" si="569"/>
        <v>0</v>
      </c>
      <c r="AD186" s="51">
        <f t="shared" si="570"/>
        <v>0</v>
      </c>
      <c r="AE186" s="51">
        <f t="shared" si="571"/>
        <v>0</v>
      </c>
      <c r="AF186" s="51">
        <f t="shared" si="572"/>
        <v>0</v>
      </c>
      <c r="AG186" s="51">
        <f t="shared" si="573"/>
        <v>0</v>
      </c>
      <c r="AH186" s="54">
        <f t="shared" si="574"/>
        <v>0</v>
      </c>
      <c r="AI186" s="55">
        <f t="shared" si="575"/>
        <v>0</v>
      </c>
      <c r="AJ186" s="56">
        <f>IF(AND($E186&lt;&gt;0,$F186&gt;0,YEAR($F186)&gt;=Preisindex!$A$6,YEAR(AE$4)&gt;=YEAR($F186),AND($K186&lt;&gt;"a",$K186&lt;&gt;"b",$K186&lt;&gt;"g",$K186&lt;&gt;"k")),1,IF(AND($E186&lt;&gt;0,$F186&gt;0,YEAR($F186)&gt;=Preisindex!$A$6,YEAR(AE$4)&gt;=YEAR($F186),$K186="a"),ROUND(VLOOKUP(AJ$4,Preisindex,5,FALSE)/VLOOKUP(YEAR($F186),Preisindex,5,FALSE),2),IF(AND($E186&lt;&gt;0,$F186&gt;0,YEAR($F186)&gt;=Preisindex!$A$6,YEAR(AE$4)&gt;=YEAR($F186),$K186="b"),ROUND(VLOOKUP(AJ$4,Preisindex,3,FALSE)/VLOOKUP(YEAR($F186),Preisindex,3,FALSE),2),IF(AND($E186&lt;&gt;0,$F186&gt;0,YEAR($F186)&gt;=Preisindex!$A$6,YEAR(AE$4)&gt;=YEAR($F186),$K186="g"),ROUND(VLOOKUP(AJ$4,Preisindex,4,FALSE)/VLOOKUP(YEAR($F186),Preisindex,4,FALSE),2),IF(AND($E186&lt;&gt;0,$F186&gt;0,YEAR($F186)&gt;=Preisindex!$A$6,YEAR(AE$4)&gt;=YEAR($F186),$K186="k"),ROUND(VLOOKUP(AJ$4,Preisindex,2,FALSE)/VLOOKUP(YEAR($F186),Preisindex,2,FALSE),2),0)))))</f>
        <v>0</v>
      </c>
      <c r="AK186" s="56">
        <f>IF(AND($E186&lt;&gt;0,$F186&gt;0,YEAR($F186)&lt;Preisindex!$A$6,YEAR(AE$4)&gt;=YEAR($F186),AND($K186&lt;&gt;"a",$K186&lt;&gt;"b",$K186&lt;&gt;"g",$K186&lt;&gt;"k")),1,IF(AND($E186&lt;&gt;0,$F186&gt;0,YEAR($F186)&lt;Preisindex!$A$6,YEAR(AE$4)&gt;=YEAR($F186),$K186="a"),ROUND(VLOOKUP(AJ$4,Preisindex,5,FALSE)/VLOOKUP(Preisindex!$A$6,Preisindex,5,FALSE),2),IF(AND($E186&lt;&gt;0,$F186&gt;0,YEAR($F186)&lt;Preisindex!$A$6,YEAR(AE$4)&gt;=YEAR($F186),$K186="b"),ROUND(VLOOKUP(AJ$4,Preisindex,3,FALSE)/VLOOKUP(Preisindex!$A$6,Preisindex,3,FALSE),2),IF(AND($E186&lt;&gt;0,$F186&gt;0,YEAR($F186)&lt;Preisindex!$A$6,YEAR(AE$4)&gt;=YEAR($F186),$K186="g"),ROUND(VLOOKUP(AJ$4,Preisindex,4,FALSE)/VLOOKUP(Preisindex!$A$6,Preisindex,4,FALSE),2),IF(AND($E186&lt;&gt;0,$F186&gt;0,YEAR($F186)&lt;Preisindex!$A$6,YEAR(AE$4)&gt;=YEAR($F186),$K186="k"),ROUND(VLOOKUP(AJ$4,Preisindex,2,FALSE)/VLOOKUP(Preisindex!$A$6,Preisindex,2,FALSE),2),0)))))</f>
        <v>0</v>
      </c>
      <c r="AL186" s="51">
        <f>IF(AND($E186&lt;&gt;0,$F186&gt;0,YEAR($F186)&lt;=AJ$4,YEAR($F186)&gt;=Preisindex!$A$6),ROUND($E186*AJ186,2),IF(AND($E186&lt;&gt;0,$F186&gt;0,YEAR($F186)&lt;=AJ$4,YEAR($F186)&lt;Preisindex!$A$6),ROUND($E186*AK186,2),0))</f>
        <v>0</v>
      </c>
      <c r="AM186" s="53">
        <f t="shared" si="576"/>
        <v>0</v>
      </c>
      <c r="AN186" s="51">
        <f t="shared" si="621"/>
        <v>0</v>
      </c>
      <c r="AO186" s="51">
        <f t="shared" si="579"/>
        <v>0</v>
      </c>
      <c r="AP186" s="51">
        <f t="shared" si="493"/>
        <v>0</v>
      </c>
      <c r="AQ186" s="51">
        <f t="shared" si="580"/>
        <v>0</v>
      </c>
      <c r="AR186" s="51">
        <f t="shared" si="494"/>
        <v>0</v>
      </c>
      <c r="AS186" s="51">
        <f t="shared" si="581"/>
        <v>0</v>
      </c>
      <c r="AT186" s="51">
        <f t="shared" si="495"/>
        <v>0</v>
      </c>
      <c r="AU186" s="51">
        <f t="shared" si="582"/>
        <v>0</v>
      </c>
      <c r="AV186" s="51">
        <f t="shared" si="496"/>
        <v>0</v>
      </c>
      <c r="AW186" s="51">
        <f t="shared" si="583"/>
        <v>0</v>
      </c>
      <c r="AX186" s="51">
        <f t="shared" si="497"/>
        <v>0</v>
      </c>
      <c r="AY186" s="54">
        <f t="shared" si="498"/>
        <v>0</v>
      </c>
      <c r="AZ186" s="55">
        <f t="shared" si="499"/>
        <v>0</v>
      </c>
      <c r="BA186" s="56">
        <f>IF(AND($E186&lt;&gt;0,$F186&gt;0,YEAR($F186)&gt;=Preisindex!$A$6,YEAR(AV$4)&gt;=YEAR($F186),AND($K186&lt;&gt;"a",$K186&lt;&gt;"b",$K186&lt;&gt;"g",$K186&lt;&gt;"k")),1,IF(AND($E186&lt;&gt;0,$F186&gt;0,YEAR($F186)&gt;=Preisindex!$A$6,YEAR(AV$4)&gt;=YEAR($F186),$K186="a"),ROUND(VLOOKUP(BA$4,Preisindex,5,FALSE)/VLOOKUP(YEAR($F186),Preisindex,5,FALSE),2),IF(AND($E186&lt;&gt;0,$F186&gt;0,YEAR($F186)&gt;=Preisindex!$A$6,YEAR(AV$4)&gt;=YEAR($F186),$K186="b"),ROUND(VLOOKUP(BA$4,Preisindex,3,FALSE)/VLOOKUP(YEAR($F186),Preisindex,3,FALSE),2),IF(AND($E186&lt;&gt;0,$F186&gt;0,YEAR($F186)&gt;=Preisindex!$A$6,YEAR(AV$4)&gt;=YEAR($F186),$K186="g"),ROUND(VLOOKUP(BA$4,Preisindex,4,FALSE)/VLOOKUP(YEAR($F186),Preisindex,4,FALSE),2),IF(AND($E186&lt;&gt;0,$F186&gt;0,YEAR($F186)&gt;=Preisindex!$A$6,YEAR(AV$4)&gt;=YEAR($F186),$K186="k"),ROUND(VLOOKUP(BA$4,Preisindex,2,FALSE)/VLOOKUP(YEAR($F186),Preisindex,2,FALSE),2),0)))))</f>
        <v>0</v>
      </c>
      <c r="BB186" s="56">
        <f>IF(AND($E186&lt;&gt;0,$F186&gt;0,YEAR($F186)&lt;Preisindex!$A$6,YEAR(AV$4)&gt;=YEAR($F186),AND($K186&lt;&gt;"a",$K186&lt;&gt;"b",$K186&lt;&gt;"g",$K186&lt;&gt;"k")),1,IF(AND($E186&lt;&gt;0,$F186&gt;0,YEAR($F186)&lt;Preisindex!$A$6,YEAR(AV$4)&gt;=YEAR($F186),$K186="a"),ROUND(VLOOKUP(BA$4,Preisindex,5,FALSE)/VLOOKUP(Preisindex!$A$6,Preisindex,5,FALSE),2),IF(AND($E186&lt;&gt;0,$F186&gt;0,YEAR($F186)&lt;Preisindex!$A$6,YEAR(AV$4)&gt;=YEAR($F186),$K186="b"),ROUND(VLOOKUP(BA$4,Preisindex,3,FALSE)/VLOOKUP(Preisindex!$A$6,Preisindex,3,FALSE),2),IF(AND($E186&lt;&gt;0,$F186&gt;0,YEAR($F186)&lt;Preisindex!$A$6,YEAR(AV$4)&gt;=YEAR($F186),$K186="g"),ROUND(VLOOKUP(BA$4,Preisindex,4,FALSE)/VLOOKUP(Preisindex!$A$6,Preisindex,4,FALSE),2),IF(AND($E186&lt;&gt;0,$F186&gt;0,YEAR($F186)&lt;Preisindex!$A$6,YEAR(AV$4)&gt;=YEAR($F186),$K186="k"),ROUND(VLOOKUP(BA$4,Preisindex,2,FALSE)/VLOOKUP(Preisindex!$A$6,Preisindex,2,FALSE),2),0)))))</f>
        <v>0</v>
      </c>
      <c r="BC186" s="51">
        <f>IF(AND($E186&lt;&gt;0,$F186&gt;0,YEAR($F186)&lt;=BA$4,YEAR($F186)&gt;=Preisindex!$A$6),ROUND($E186*BA186,2),IF(AND($E186&lt;&gt;0,$F186&gt;0,YEAR($F186)&lt;=BA$4,YEAR($F186)&lt;Preisindex!$A$6),ROUND($E186*BB186,2),0))</f>
        <v>0</v>
      </c>
      <c r="BD186" s="53">
        <f t="shared" si="500"/>
        <v>0</v>
      </c>
      <c r="BE186" s="51">
        <f t="shared" si="621"/>
        <v>0</v>
      </c>
      <c r="BF186" s="51">
        <f t="shared" si="584"/>
        <v>0</v>
      </c>
      <c r="BG186" s="51">
        <f t="shared" si="501"/>
        <v>0</v>
      </c>
      <c r="BH186" s="51">
        <f t="shared" si="585"/>
        <v>0</v>
      </c>
      <c r="BI186" s="51">
        <f t="shared" si="502"/>
        <v>0</v>
      </c>
      <c r="BJ186" s="51">
        <f t="shared" si="586"/>
        <v>0</v>
      </c>
      <c r="BK186" s="51">
        <f t="shared" si="503"/>
        <v>0</v>
      </c>
      <c r="BL186" s="51">
        <f t="shared" si="587"/>
        <v>0</v>
      </c>
      <c r="BM186" s="51">
        <f t="shared" si="504"/>
        <v>0</v>
      </c>
      <c r="BN186" s="51">
        <f t="shared" si="588"/>
        <v>0</v>
      </c>
      <c r="BO186" s="51">
        <f t="shared" si="505"/>
        <v>0</v>
      </c>
      <c r="BP186" s="54">
        <f t="shared" si="506"/>
        <v>0</v>
      </c>
      <c r="BQ186" s="55">
        <f t="shared" si="507"/>
        <v>0</v>
      </c>
      <c r="BR186" s="56">
        <f>IF(AND($E186&lt;&gt;0,$F186&gt;0,YEAR($F186)&gt;=Preisindex!$A$6,YEAR(BM$4)&gt;=YEAR($F186),AND($K186&lt;&gt;"a",$K186&lt;&gt;"b",$K186&lt;&gt;"g",$K186&lt;&gt;"k")),1,IF(AND($E186&lt;&gt;0,$F186&gt;0,YEAR($F186)&gt;=Preisindex!$A$6,YEAR(BM$4)&gt;=YEAR($F186),$K186="a"),ROUND(VLOOKUP(BR$4,Preisindex,5,FALSE)/VLOOKUP(YEAR($F186),Preisindex,5,FALSE),2),IF(AND($E186&lt;&gt;0,$F186&gt;0,YEAR($F186)&gt;=Preisindex!$A$6,YEAR(BM$4)&gt;=YEAR($F186),$K186="b"),ROUND(VLOOKUP(BR$4,Preisindex,3,FALSE)/VLOOKUP(YEAR($F186),Preisindex,3,FALSE),2),IF(AND($E186&lt;&gt;0,$F186&gt;0,YEAR($F186)&gt;=Preisindex!$A$6,YEAR(BM$4)&gt;=YEAR($F186),$K186="g"),ROUND(VLOOKUP(BR$4,Preisindex,4,FALSE)/VLOOKUP(YEAR($F186),Preisindex,4,FALSE),2),IF(AND($E186&lt;&gt;0,$F186&gt;0,YEAR($F186)&gt;=Preisindex!$A$6,YEAR(BM$4)&gt;=YEAR($F186),$K186="k"),ROUND(VLOOKUP(BR$4,Preisindex,2,FALSE)/VLOOKUP(YEAR($F186),Preisindex,2,FALSE),2),0)))))</f>
        <v>0</v>
      </c>
      <c r="BS186" s="56">
        <f>IF(AND($E186&lt;&gt;0,$F186&gt;0,YEAR($F186)&lt;Preisindex!$A$6,YEAR(BM$4)&gt;=YEAR($F186),AND($K186&lt;&gt;"a",$K186&lt;&gt;"b",$K186&lt;&gt;"g",$K186&lt;&gt;"k")),1,IF(AND($E186&lt;&gt;0,$F186&gt;0,YEAR($F186)&lt;Preisindex!$A$6,YEAR(BM$4)&gt;=YEAR($F186),$K186="a"),ROUND(VLOOKUP(BR$4,Preisindex,5,FALSE)/VLOOKUP(Preisindex!$A$6,Preisindex,5,FALSE),2),IF(AND($E186&lt;&gt;0,$F186&gt;0,YEAR($F186)&lt;Preisindex!$A$6,YEAR(BM$4)&gt;=YEAR($F186),$K186="b"),ROUND(VLOOKUP(BR$4,Preisindex,3,FALSE)/VLOOKUP(Preisindex!$A$6,Preisindex,3,FALSE),2),IF(AND($E186&lt;&gt;0,$F186&gt;0,YEAR($F186)&lt;Preisindex!$A$6,YEAR(BM$4)&gt;=YEAR($F186),$K186="g"),ROUND(VLOOKUP(BR$4,Preisindex,4,FALSE)/VLOOKUP(Preisindex!$A$6,Preisindex,4,FALSE),2),IF(AND($E186&lt;&gt;0,$F186&gt;0,YEAR($F186)&lt;Preisindex!$A$6,YEAR(BM$4)&gt;=YEAR($F186),$K186="k"),ROUND(VLOOKUP(BR$4,Preisindex,2,FALSE)/VLOOKUP(Preisindex!$A$6,Preisindex,2,FALSE),2),0)))))</f>
        <v>0</v>
      </c>
      <c r="BT186" s="51">
        <f>IF(AND($E186&lt;&gt;0,$F186&gt;0,YEAR($F186)&lt;=BR$4,YEAR($F186)&gt;=Preisindex!$A$6),ROUND($E186*BR186,2),IF(AND($E186&lt;&gt;0,$F186&gt;0,YEAR($F186)&lt;=BR$4,YEAR($F186)&lt;Preisindex!$A$6),ROUND($E186*BS186,2),0))</f>
        <v>0</v>
      </c>
      <c r="BU186" s="53">
        <f t="shared" si="508"/>
        <v>0</v>
      </c>
      <c r="BV186" s="51">
        <f t="shared" si="621"/>
        <v>0</v>
      </c>
      <c r="BW186" s="51">
        <f t="shared" si="589"/>
        <v>0</v>
      </c>
      <c r="BX186" s="51">
        <f t="shared" si="509"/>
        <v>0</v>
      </c>
      <c r="BY186" s="51">
        <f t="shared" si="590"/>
        <v>0</v>
      </c>
      <c r="BZ186" s="51">
        <f t="shared" si="510"/>
        <v>0</v>
      </c>
      <c r="CA186" s="51">
        <f t="shared" si="591"/>
        <v>0</v>
      </c>
      <c r="CB186" s="51">
        <f t="shared" si="511"/>
        <v>0</v>
      </c>
      <c r="CC186" s="51">
        <f t="shared" si="592"/>
        <v>0</v>
      </c>
      <c r="CD186" s="51">
        <f t="shared" si="512"/>
        <v>0</v>
      </c>
      <c r="CE186" s="51">
        <f t="shared" si="593"/>
        <v>0</v>
      </c>
      <c r="CF186" s="51">
        <f t="shared" si="513"/>
        <v>0</v>
      </c>
      <c r="CG186" s="54">
        <f t="shared" si="514"/>
        <v>0</v>
      </c>
      <c r="CH186" s="55">
        <f t="shared" si="515"/>
        <v>0</v>
      </c>
      <c r="CI186" s="56">
        <f>IF(AND($E186&lt;&gt;0,$F186&gt;0,YEAR($F186)&gt;=Preisindex!$A$6,YEAR(CD$4)&gt;=YEAR($F186),AND($K186&lt;&gt;"a",$K186&lt;&gt;"b",$K186&lt;&gt;"g",$K186&lt;&gt;"k")),1,IF(AND($E186&lt;&gt;0,$F186&gt;0,YEAR($F186)&gt;=Preisindex!$A$6,YEAR(CD$4)&gt;=YEAR($F186),$K186="a"),ROUND(VLOOKUP(CI$4,Preisindex,5,FALSE)/VLOOKUP(YEAR($F186),Preisindex,5,FALSE),2),IF(AND($E186&lt;&gt;0,$F186&gt;0,YEAR($F186)&gt;=Preisindex!$A$6,YEAR(CD$4)&gt;=YEAR($F186),$K186="b"),ROUND(VLOOKUP(CI$4,Preisindex,3,FALSE)/VLOOKUP(YEAR($F186),Preisindex,3,FALSE),2),IF(AND($E186&lt;&gt;0,$F186&gt;0,YEAR($F186)&gt;=Preisindex!$A$6,YEAR(CD$4)&gt;=YEAR($F186),$K186="g"),ROUND(VLOOKUP(CI$4,Preisindex,4,FALSE)/VLOOKUP(YEAR($F186),Preisindex,4,FALSE),2),IF(AND($E186&lt;&gt;0,$F186&gt;0,YEAR($F186)&gt;=Preisindex!$A$6,YEAR(CD$4)&gt;=YEAR($F186),$K186="k"),ROUND(VLOOKUP(CI$4,Preisindex,2,FALSE)/VLOOKUP(YEAR($F186),Preisindex,2,FALSE),2),0)))))</f>
        <v>0</v>
      </c>
      <c r="CJ186" s="56">
        <f>IF(AND($E186&lt;&gt;0,$F186&gt;0,YEAR($F186)&lt;Preisindex!$A$6,YEAR(CD$4)&gt;=YEAR($F186),AND($K186&lt;&gt;"a",$K186&lt;&gt;"b",$K186&lt;&gt;"g",$K186&lt;&gt;"k")),1,IF(AND($E186&lt;&gt;0,$F186&gt;0,YEAR($F186)&lt;Preisindex!$A$6,YEAR(CD$4)&gt;=YEAR($F186),$K186="a"),ROUND(VLOOKUP(CI$4,Preisindex,5,FALSE)/VLOOKUP(Preisindex!$A$6,Preisindex,5,FALSE),2),IF(AND($E186&lt;&gt;0,$F186&gt;0,YEAR($F186)&lt;Preisindex!$A$6,YEAR(CD$4)&gt;=YEAR($F186),$K186="b"),ROUND(VLOOKUP(CI$4,Preisindex,3,FALSE)/VLOOKUP(Preisindex!$A$6,Preisindex,3,FALSE),2),IF(AND($E186&lt;&gt;0,$F186&gt;0,YEAR($F186)&lt;Preisindex!$A$6,YEAR(CD$4)&gt;=YEAR($F186),$K186="g"),ROUND(VLOOKUP(CI$4,Preisindex,4,FALSE)/VLOOKUP(Preisindex!$A$6,Preisindex,4,FALSE),2),IF(AND($E186&lt;&gt;0,$F186&gt;0,YEAR($F186)&lt;Preisindex!$A$6,YEAR(CD$4)&gt;=YEAR($F186),$K186="k"),ROUND(VLOOKUP(CI$4,Preisindex,2,FALSE)/VLOOKUP(Preisindex!$A$6,Preisindex,2,FALSE),2),0)))))</f>
        <v>0</v>
      </c>
      <c r="CK186" s="51">
        <f>IF(AND($E186&lt;&gt;0,$F186&gt;0,YEAR($F186)&lt;=CI$4,YEAR($F186)&gt;=Preisindex!$A$6),ROUND($E186*CI186,2),IF(AND($E186&lt;&gt;0,$F186&gt;0,YEAR($F186)&lt;=CI$4,YEAR($F186)&lt;Preisindex!$A$6),ROUND($E186*CJ186,2),0))</f>
        <v>0</v>
      </c>
      <c r="CL186" s="53">
        <f t="shared" si="516"/>
        <v>0</v>
      </c>
      <c r="CM186" s="51">
        <f t="shared" si="621"/>
        <v>0</v>
      </c>
      <c r="CN186" s="51">
        <f t="shared" si="594"/>
        <v>0</v>
      </c>
      <c r="CO186" s="51">
        <f t="shared" si="517"/>
        <v>0</v>
      </c>
      <c r="CP186" s="51">
        <f t="shared" si="595"/>
        <v>0</v>
      </c>
      <c r="CQ186" s="51">
        <f t="shared" si="518"/>
        <v>0</v>
      </c>
      <c r="CR186" s="51">
        <f t="shared" si="596"/>
        <v>0</v>
      </c>
      <c r="CS186" s="51">
        <f t="shared" si="519"/>
        <v>0</v>
      </c>
      <c r="CT186" s="51">
        <f t="shared" si="597"/>
        <v>0</v>
      </c>
      <c r="CU186" s="51">
        <f t="shared" si="520"/>
        <v>0</v>
      </c>
      <c r="CV186" s="51">
        <f t="shared" si="598"/>
        <v>0</v>
      </c>
      <c r="CW186" s="51">
        <f t="shared" si="521"/>
        <v>0</v>
      </c>
      <c r="CX186" s="54">
        <f t="shared" si="522"/>
        <v>0</v>
      </c>
      <c r="CY186" s="55">
        <f t="shared" si="523"/>
        <v>0</v>
      </c>
      <c r="CZ186" s="56">
        <f>IF(AND($E186&lt;&gt;0,$F186&gt;0,YEAR($F186)&gt;=Preisindex!$A$6,YEAR(CU$4)&gt;=YEAR($F186),AND($K186&lt;&gt;"a",$K186&lt;&gt;"b",$K186&lt;&gt;"g",$K186&lt;&gt;"k")),1,IF(AND($E186&lt;&gt;0,$F186&gt;0,YEAR($F186)&gt;=Preisindex!$A$6,YEAR(CU$4)&gt;=YEAR($F186),$K186="a"),ROUND(VLOOKUP(CZ$4,Preisindex,5,FALSE)/VLOOKUP(YEAR($F186),Preisindex,5,FALSE),2),IF(AND($E186&lt;&gt;0,$F186&gt;0,YEAR($F186)&gt;=Preisindex!$A$6,YEAR(CU$4)&gt;=YEAR($F186),$K186="b"),ROUND(VLOOKUP(CZ$4,Preisindex,3,FALSE)/VLOOKUP(YEAR($F186),Preisindex,3,FALSE),2),IF(AND($E186&lt;&gt;0,$F186&gt;0,YEAR($F186)&gt;=Preisindex!$A$6,YEAR(CU$4)&gt;=YEAR($F186),$K186="g"),ROUND(VLOOKUP(CZ$4,Preisindex,4,FALSE)/VLOOKUP(YEAR($F186),Preisindex,4,FALSE),2),IF(AND($E186&lt;&gt;0,$F186&gt;0,YEAR($F186)&gt;=Preisindex!$A$6,YEAR(CU$4)&gt;=YEAR($F186),$K186="k"),ROUND(VLOOKUP(CZ$4,Preisindex,2,FALSE)/VLOOKUP(YEAR($F186),Preisindex,2,FALSE),2),0)))))</f>
        <v>0</v>
      </c>
      <c r="DA186" s="56">
        <f>IF(AND($E186&lt;&gt;0,$F186&gt;0,YEAR($F186)&lt;Preisindex!$A$6,YEAR(CU$4)&gt;=YEAR($F186),AND($K186&lt;&gt;"a",$K186&lt;&gt;"b",$K186&lt;&gt;"g",$K186&lt;&gt;"k")),1,IF(AND($E186&lt;&gt;0,$F186&gt;0,YEAR($F186)&lt;Preisindex!$A$6,YEAR(CU$4)&gt;=YEAR($F186),$K186="a"),ROUND(VLOOKUP(CZ$4,Preisindex,5,FALSE)/VLOOKUP(Preisindex!$A$6,Preisindex,5,FALSE),2),IF(AND($E186&lt;&gt;0,$F186&gt;0,YEAR($F186)&lt;Preisindex!$A$6,YEAR(CU$4)&gt;=YEAR($F186),$K186="b"),ROUND(VLOOKUP(CZ$4,Preisindex,3,FALSE)/VLOOKUP(Preisindex!$A$6,Preisindex,3,FALSE),2),IF(AND($E186&lt;&gt;0,$F186&gt;0,YEAR($F186)&lt;Preisindex!$A$6,YEAR(CU$4)&gt;=YEAR($F186),$K186="g"),ROUND(VLOOKUP(CZ$4,Preisindex,4,FALSE)/VLOOKUP(Preisindex!$A$6,Preisindex,4,FALSE),2),IF(AND($E186&lt;&gt;0,$F186&gt;0,YEAR($F186)&lt;Preisindex!$A$6,YEAR(CU$4)&gt;=YEAR($F186),$K186="k"),ROUND(VLOOKUP(CZ$4,Preisindex,2,FALSE)/VLOOKUP(Preisindex!$A$6,Preisindex,2,FALSE),2),0)))))</f>
        <v>0</v>
      </c>
      <c r="DB186" s="51">
        <f>IF(AND($E186&lt;&gt;0,$F186&gt;0,YEAR($F186)&lt;=CZ$4,YEAR($F186)&gt;=Preisindex!$A$6),ROUND($E186*CZ186,2),IF(AND($E186&lt;&gt;0,$F186&gt;0,YEAR($F186)&lt;=CZ$4,YEAR($F186)&lt;Preisindex!$A$6),ROUND($E186*DA186,2),0))</f>
        <v>0</v>
      </c>
      <c r="DC186" s="53">
        <f t="shared" si="524"/>
        <v>0</v>
      </c>
      <c r="DD186" s="51">
        <f t="shared" si="622"/>
        <v>0</v>
      </c>
      <c r="DE186" s="51">
        <f t="shared" si="599"/>
        <v>0</v>
      </c>
      <c r="DF186" s="51">
        <f t="shared" si="526"/>
        <v>0</v>
      </c>
      <c r="DG186" s="51">
        <f t="shared" si="600"/>
        <v>0</v>
      </c>
      <c r="DH186" s="51">
        <f t="shared" si="527"/>
        <v>0</v>
      </c>
      <c r="DI186" s="51">
        <f t="shared" si="601"/>
        <v>0</v>
      </c>
      <c r="DJ186" s="51">
        <f t="shared" si="528"/>
        <v>0</v>
      </c>
      <c r="DK186" s="51">
        <f t="shared" si="602"/>
        <v>0</v>
      </c>
      <c r="DL186" s="51">
        <f t="shared" si="529"/>
        <v>0</v>
      </c>
      <c r="DM186" s="51">
        <f t="shared" si="603"/>
        <v>0</v>
      </c>
      <c r="DN186" s="51">
        <f t="shared" si="530"/>
        <v>0</v>
      </c>
      <c r="DO186" s="54">
        <f t="shared" si="531"/>
        <v>0</v>
      </c>
      <c r="DP186" s="55">
        <f t="shared" si="532"/>
        <v>0</v>
      </c>
      <c r="DQ186" s="56">
        <f>IF(AND($E186&lt;&gt;0,$F186&gt;0,YEAR($F186)&gt;=Preisindex!$A$6,YEAR(DL$4)&gt;=YEAR($F186),AND($K186&lt;&gt;"a",$K186&lt;&gt;"b",$K186&lt;&gt;"g",$K186&lt;&gt;"k")),1,IF(AND($E186&lt;&gt;0,$F186&gt;0,YEAR($F186)&gt;=Preisindex!$A$6,YEAR(DL$4)&gt;=YEAR($F186),$K186="a"),ROUND(VLOOKUP(DQ$4,Preisindex,5,FALSE)/VLOOKUP(YEAR($F186),Preisindex,5,FALSE),2),IF(AND($E186&lt;&gt;0,$F186&gt;0,YEAR($F186)&gt;=Preisindex!$A$6,YEAR(DL$4)&gt;=YEAR($F186),$K186="b"),ROUND(VLOOKUP(DQ$4,Preisindex,3,FALSE)/VLOOKUP(YEAR($F186),Preisindex,3,FALSE),2),IF(AND($E186&lt;&gt;0,$F186&gt;0,YEAR($F186)&gt;=Preisindex!$A$6,YEAR(DL$4)&gt;=YEAR($F186),$K186="g"),ROUND(VLOOKUP(DQ$4,Preisindex,4,FALSE)/VLOOKUP(YEAR($F186),Preisindex,4,FALSE),2),IF(AND($E186&lt;&gt;0,$F186&gt;0,YEAR($F186)&gt;=Preisindex!$A$6,YEAR(DL$4)&gt;=YEAR($F186),$K186="k"),ROUND(VLOOKUP(DQ$4,Preisindex,2,FALSE)/VLOOKUP(YEAR($F186),Preisindex,2,FALSE),2),0)))))</f>
        <v>0</v>
      </c>
      <c r="DR186" s="56">
        <f>IF(AND($E186&lt;&gt;0,$F186&gt;0,YEAR($F186)&lt;Preisindex!$A$6,YEAR(DL$4)&gt;=YEAR($F186),AND($K186&lt;&gt;"a",$K186&lt;&gt;"b",$K186&lt;&gt;"g",$K186&lt;&gt;"k")),1,IF(AND($E186&lt;&gt;0,$F186&gt;0,YEAR($F186)&lt;Preisindex!$A$6,YEAR(DL$4)&gt;=YEAR($F186),$K186="a"),ROUND(VLOOKUP(DQ$4,Preisindex,5,FALSE)/VLOOKUP(Preisindex!$A$6,Preisindex,5,FALSE),2),IF(AND($E186&lt;&gt;0,$F186&gt;0,YEAR($F186)&lt;Preisindex!$A$6,YEAR(DL$4)&gt;=YEAR($F186),$K186="b"),ROUND(VLOOKUP(DQ$4,Preisindex,3,FALSE)/VLOOKUP(Preisindex!$A$6,Preisindex,3,FALSE),2),IF(AND($E186&lt;&gt;0,$F186&gt;0,YEAR($F186)&lt;Preisindex!$A$6,YEAR(DL$4)&gt;=YEAR($F186),$K186="g"),ROUND(VLOOKUP(DQ$4,Preisindex,4,FALSE)/VLOOKUP(Preisindex!$A$6,Preisindex,4,FALSE),2),IF(AND($E186&lt;&gt;0,$F186&gt;0,YEAR($F186)&lt;Preisindex!$A$6,YEAR(DL$4)&gt;=YEAR($F186),$K186="k"),ROUND(VLOOKUP(DQ$4,Preisindex,2,FALSE)/VLOOKUP(Preisindex!$A$6,Preisindex,2,FALSE),2),0)))))</f>
        <v>0</v>
      </c>
      <c r="DS186" s="51">
        <f>IF(AND($E186&lt;&gt;0,$F186&gt;0,YEAR($F186)&lt;=DQ$4,YEAR($F186)&gt;=Preisindex!$A$6),ROUND($E186*DQ186,2),IF(AND($E186&lt;&gt;0,$F186&gt;0,YEAR($F186)&lt;=DQ$4,YEAR($F186)&lt;Preisindex!$A$6),ROUND($E186*DR186,2),0))</f>
        <v>0</v>
      </c>
      <c r="DT186" s="53">
        <f t="shared" si="533"/>
        <v>0</v>
      </c>
      <c r="DU186" s="51">
        <f t="shared" si="622"/>
        <v>0</v>
      </c>
      <c r="DV186" s="51">
        <f t="shared" si="604"/>
        <v>0</v>
      </c>
      <c r="DW186" s="51">
        <f t="shared" si="534"/>
        <v>0</v>
      </c>
      <c r="DX186" s="51">
        <f t="shared" si="605"/>
        <v>0</v>
      </c>
      <c r="DY186" s="51">
        <f t="shared" si="535"/>
        <v>0</v>
      </c>
      <c r="DZ186" s="51">
        <f t="shared" si="606"/>
        <v>0</v>
      </c>
      <c r="EA186" s="51">
        <f t="shared" si="536"/>
        <v>0</v>
      </c>
      <c r="EB186" s="51">
        <f t="shared" si="607"/>
        <v>0</v>
      </c>
      <c r="EC186" s="51">
        <f t="shared" si="537"/>
        <v>0</v>
      </c>
      <c r="ED186" s="51">
        <f t="shared" si="608"/>
        <v>0</v>
      </c>
      <c r="EE186" s="51">
        <f t="shared" si="538"/>
        <v>0</v>
      </c>
      <c r="EF186" s="54">
        <f t="shared" si="539"/>
        <v>0</v>
      </c>
      <c r="EG186" s="55">
        <f t="shared" si="540"/>
        <v>0</v>
      </c>
      <c r="EH186" s="56">
        <f>IF(AND($E186&lt;&gt;0,$F186&gt;0,YEAR($F186)&gt;=Preisindex!$A$6,YEAR(EC$4)&gt;=YEAR($F186),AND($K186&lt;&gt;"a",$K186&lt;&gt;"b",$K186&lt;&gt;"g",$K186&lt;&gt;"k")),1,IF(AND($E186&lt;&gt;0,$F186&gt;0,YEAR($F186)&gt;=Preisindex!$A$6,YEAR(EC$4)&gt;=YEAR($F186),$K186="a"),ROUND(VLOOKUP(EH$4,Preisindex,5,FALSE)/VLOOKUP(YEAR($F186),Preisindex,5,FALSE),2),IF(AND($E186&lt;&gt;0,$F186&gt;0,YEAR($F186)&gt;=Preisindex!$A$6,YEAR(EC$4)&gt;=YEAR($F186),$K186="b"),ROUND(VLOOKUP(EH$4,Preisindex,3,FALSE)/VLOOKUP(YEAR($F186),Preisindex,3,FALSE),2),IF(AND($E186&lt;&gt;0,$F186&gt;0,YEAR($F186)&gt;=Preisindex!$A$6,YEAR(EC$4)&gt;=YEAR($F186),$K186="g"),ROUND(VLOOKUP(EH$4,Preisindex,4,FALSE)/VLOOKUP(YEAR($F186),Preisindex,4,FALSE),2),IF(AND($E186&lt;&gt;0,$F186&gt;0,YEAR($F186)&gt;=Preisindex!$A$6,YEAR(EC$4)&gt;=YEAR($F186),$K186="k"),ROUND(VLOOKUP(EH$4,Preisindex,2,FALSE)/VLOOKUP(YEAR($F186),Preisindex,2,FALSE),2),0)))))</f>
        <v>0</v>
      </c>
      <c r="EI186" s="56">
        <f>IF(AND($E186&lt;&gt;0,$F186&gt;0,YEAR($F186)&lt;Preisindex!$A$6,YEAR(EC$4)&gt;=YEAR($F186),AND($K186&lt;&gt;"a",$K186&lt;&gt;"b",$K186&lt;&gt;"g",$K186&lt;&gt;"k")),1,IF(AND($E186&lt;&gt;0,$F186&gt;0,YEAR($F186)&lt;Preisindex!$A$6,YEAR(EC$4)&gt;=YEAR($F186),$K186="a"),ROUND(VLOOKUP(EH$4,Preisindex,5,FALSE)/VLOOKUP(Preisindex!$A$6,Preisindex,5,FALSE),2),IF(AND($E186&lt;&gt;0,$F186&gt;0,YEAR($F186)&lt;Preisindex!$A$6,YEAR(EC$4)&gt;=YEAR($F186),$K186="b"),ROUND(VLOOKUP(EH$4,Preisindex,3,FALSE)/VLOOKUP(Preisindex!$A$6,Preisindex,3,FALSE),2),IF(AND($E186&lt;&gt;0,$F186&gt;0,YEAR($F186)&lt;Preisindex!$A$6,YEAR(EC$4)&gt;=YEAR($F186),$K186="g"),ROUND(VLOOKUP(EH$4,Preisindex,4,FALSE)/VLOOKUP(Preisindex!$A$6,Preisindex,4,FALSE),2),IF(AND($E186&lt;&gt;0,$F186&gt;0,YEAR($F186)&lt;Preisindex!$A$6,YEAR(EC$4)&gt;=YEAR($F186),$K186="k"),ROUND(VLOOKUP(EH$4,Preisindex,2,FALSE)/VLOOKUP(Preisindex!$A$6,Preisindex,2,FALSE),2),0)))))</f>
        <v>0</v>
      </c>
      <c r="EJ186" s="51">
        <f>IF(AND($E186&lt;&gt;0,$F186&gt;0,YEAR($F186)&lt;=EH$4,YEAR($F186)&gt;=Preisindex!$A$6),ROUND($E186*EH186,2),IF(AND($E186&lt;&gt;0,$F186&gt;0,YEAR($F186)&lt;=EH$4,YEAR($F186)&lt;Preisindex!$A$6),ROUND($E186*EI186,2),0))</f>
        <v>0</v>
      </c>
      <c r="EK186" s="53">
        <f t="shared" si="541"/>
        <v>0</v>
      </c>
      <c r="EL186" s="51">
        <f t="shared" si="622"/>
        <v>0</v>
      </c>
      <c r="EM186" s="51">
        <f t="shared" si="609"/>
        <v>0</v>
      </c>
      <c r="EN186" s="51">
        <f t="shared" si="542"/>
        <v>0</v>
      </c>
      <c r="EO186" s="51">
        <f t="shared" si="610"/>
        <v>0</v>
      </c>
      <c r="EP186" s="51">
        <f t="shared" si="543"/>
        <v>0</v>
      </c>
      <c r="EQ186" s="51">
        <f t="shared" si="611"/>
        <v>0</v>
      </c>
      <c r="ER186" s="51">
        <f t="shared" si="544"/>
        <v>0</v>
      </c>
      <c r="ES186" s="51">
        <f t="shared" si="612"/>
        <v>0</v>
      </c>
      <c r="ET186" s="51">
        <f t="shared" si="545"/>
        <v>0</v>
      </c>
      <c r="EU186" s="51">
        <f t="shared" si="613"/>
        <v>0</v>
      </c>
      <c r="EV186" s="51">
        <f t="shared" si="546"/>
        <v>0</v>
      </c>
      <c r="EW186" s="54">
        <f t="shared" si="547"/>
        <v>0</v>
      </c>
      <c r="EX186" s="55">
        <f t="shared" si="548"/>
        <v>0</v>
      </c>
      <c r="EY186" s="56">
        <f>IF(AND($E186&lt;&gt;0,$F186&gt;0,YEAR($F186)&gt;=Preisindex!$A$6,YEAR(ET$4)&gt;=YEAR($F186),AND($K186&lt;&gt;"a",$K186&lt;&gt;"b",$K186&lt;&gt;"g",$K186&lt;&gt;"k")),1,IF(AND($E186&lt;&gt;0,$F186&gt;0,YEAR($F186)&gt;=Preisindex!$A$6,YEAR(ET$4)&gt;=YEAR($F186),$K186="a"),ROUND(VLOOKUP(EY$4,Preisindex,5,FALSE)/VLOOKUP(YEAR($F186),Preisindex,5,FALSE),2),IF(AND($E186&lt;&gt;0,$F186&gt;0,YEAR($F186)&gt;=Preisindex!$A$6,YEAR(ET$4)&gt;=YEAR($F186),$K186="b"),ROUND(VLOOKUP(EY$4,Preisindex,3,FALSE)/VLOOKUP(YEAR($F186),Preisindex,3,FALSE),2),IF(AND($E186&lt;&gt;0,$F186&gt;0,YEAR($F186)&gt;=Preisindex!$A$6,YEAR(ET$4)&gt;=YEAR($F186),$K186="g"),ROUND(VLOOKUP(EY$4,Preisindex,4,FALSE)/VLOOKUP(YEAR($F186),Preisindex,4,FALSE),2),IF(AND($E186&lt;&gt;0,$F186&gt;0,YEAR($F186)&gt;=Preisindex!$A$6,YEAR(ET$4)&gt;=YEAR($F186),$K186="k"),ROUND(VLOOKUP(EY$4,Preisindex,2,FALSE)/VLOOKUP(YEAR($F186),Preisindex,2,FALSE),2),0)))))</f>
        <v>0</v>
      </c>
      <c r="EZ186" s="56">
        <f>IF(AND($E186&lt;&gt;0,$F186&gt;0,YEAR($F186)&lt;Preisindex!$A$6,YEAR(ET$4)&gt;=YEAR($F186),AND($K186&lt;&gt;"a",$K186&lt;&gt;"b",$K186&lt;&gt;"g",$K186&lt;&gt;"k")),1,IF(AND($E186&lt;&gt;0,$F186&gt;0,YEAR($F186)&lt;Preisindex!$A$6,YEAR(ET$4)&gt;=YEAR($F186),$K186="a"),ROUND(VLOOKUP(EY$4,Preisindex,5,FALSE)/VLOOKUP(Preisindex!$A$6,Preisindex,5,FALSE),2),IF(AND($E186&lt;&gt;0,$F186&gt;0,YEAR($F186)&lt;Preisindex!$A$6,YEAR(ET$4)&gt;=YEAR($F186),$K186="b"),ROUND(VLOOKUP(EY$4,Preisindex,3,FALSE)/VLOOKUP(Preisindex!$A$6,Preisindex,3,FALSE),2),IF(AND($E186&lt;&gt;0,$F186&gt;0,YEAR($F186)&lt;Preisindex!$A$6,YEAR(ET$4)&gt;=YEAR($F186),$K186="g"),ROUND(VLOOKUP(EY$4,Preisindex,4,FALSE)/VLOOKUP(Preisindex!$A$6,Preisindex,4,FALSE),2),IF(AND($E186&lt;&gt;0,$F186&gt;0,YEAR($F186)&lt;Preisindex!$A$6,YEAR(ET$4)&gt;=YEAR($F186),$K186="k"),ROUND(VLOOKUP(EY$4,Preisindex,2,FALSE)/VLOOKUP(Preisindex!$A$6,Preisindex,2,FALSE),2),0)))))</f>
        <v>0</v>
      </c>
      <c r="FA186" s="51">
        <f>IF(AND($E186&lt;&gt;0,$F186&gt;0,YEAR($F186)&lt;=EY$4,YEAR($F186)&gt;=Preisindex!$A$6),ROUND($E186*EY186,2),IF(AND($E186&lt;&gt;0,$F186&gt;0,YEAR($F186)&lt;=EY$4,YEAR($F186)&lt;Preisindex!$A$6),ROUND($E186*EZ186,2),0))</f>
        <v>0</v>
      </c>
      <c r="FB186" s="53">
        <f t="shared" si="549"/>
        <v>0</v>
      </c>
      <c r="FC186" s="51">
        <f t="shared" si="622"/>
        <v>0</v>
      </c>
      <c r="FD186" s="51">
        <f t="shared" si="614"/>
        <v>0</v>
      </c>
      <c r="FE186" s="51">
        <f t="shared" si="550"/>
        <v>0</v>
      </c>
      <c r="FF186" s="51">
        <f t="shared" si="615"/>
        <v>0</v>
      </c>
      <c r="FG186" s="51">
        <f t="shared" si="551"/>
        <v>0</v>
      </c>
      <c r="FH186" s="51">
        <f t="shared" si="616"/>
        <v>0</v>
      </c>
      <c r="FI186" s="51">
        <f t="shared" si="552"/>
        <v>0</v>
      </c>
      <c r="FJ186" s="51">
        <f t="shared" si="617"/>
        <v>0</v>
      </c>
      <c r="FK186" s="51">
        <f t="shared" si="553"/>
        <v>0</v>
      </c>
      <c r="FL186" s="51">
        <f t="shared" si="618"/>
        <v>0</v>
      </c>
      <c r="FM186" s="51">
        <f t="shared" si="554"/>
        <v>0</v>
      </c>
      <c r="FN186" s="54">
        <f t="shared" si="555"/>
        <v>0</v>
      </c>
      <c r="FO186" s="55">
        <f t="shared" si="556"/>
        <v>0</v>
      </c>
      <c r="FP186" s="56">
        <f>IF(AND($E186&lt;&gt;0,$F186&gt;0,YEAR($F186)&gt;=Preisindex!$A$6,YEAR(FK$4)&gt;=YEAR($F186),AND($K186&lt;&gt;"a",$K186&lt;&gt;"b",$K186&lt;&gt;"g",$K186&lt;&gt;"k")),1,IF(AND($E186&lt;&gt;0,$F186&gt;0,YEAR($F186)&gt;=Preisindex!$A$6,YEAR(FK$4)&gt;=YEAR($F186),$K186="a"),ROUND(VLOOKUP(FP$4,Preisindex,5,FALSE)/VLOOKUP(YEAR($F186),Preisindex,5,FALSE),2),IF(AND($E186&lt;&gt;0,$F186&gt;0,YEAR($F186)&gt;=Preisindex!$A$6,YEAR(FK$4)&gt;=YEAR($F186),$K186="b"),ROUND(VLOOKUP(FP$4,Preisindex,3,FALSE)/VLOOKUP(YEAR($F186),Preisindex,3,FALSE),2),IF(AND($E186&lt;&gt;0,$F186&gt;0,YEAR($F186)&gt;=Preisindex!$A$6,YEAR(FK$4)&gt;=YEAR($F186),$K186="g"),ROUND(VLOOKUP(FP$4,Preisindex,4,FALSE)/VLOOKUP(YEAR($F186),Preisindex,4,FALSE),2),IF(AND($E186&lt;&gt;0,$F186&gt;0,YEAR($F186)&gt;=Preisindex!$A$6,YEAR(FK$4)&gt;=YEAR($F186),$K186="k"),ROUND(VLOOKUP(FP$4,Preisindex,2,FALSE)/VLOOKUP(YEAR($F186),Preisindex,2,FALSE),2),0)))))</f>
        <v>0</v>
      </c>
      <c r="FQ186" s="56">
        <f>IF(AND($E186&lt;&gt;0,$F186&gt;0,YEAR($F186)&lt;Preisindex!$A$6,YEAR(FK$4)&gt;=YEAR($F186),AND($K186&lt;&gt;"a",$K186&lt;&gt;"b",$K186&lt;&gt;"g",$K186&lt;&gt;"k")),1,IF(AND($E186&lt;&gt;0,$F186&gt;0,YEAR($F186)&lt;Preisindex!$A$6,YEAR(FK$4)&gt;=YEAR($F186),$K186="a"),ROUND(VLOOKUP(FP$4,Preisindex,5,FALSE)/VLOOKUP(Preisindex!$A$6,Preisindex,5,FALSE),2),IF(AND($E186&lt;&gt;0,$F186&gt;0,YEAR($F186)&lt;Preisindex!$A$6,YEAR(FK$4)&gt;=YEAR($F186),$K186="b"),ROUND(VLOOKUP(FP$4,Preisindex,3,FALSE)/VLOOKUP(Preisindex!$A$6,Preisindex,3,FALSE),2),IF(AND($E186&lt;&gt;0,$F186&gt;0,YEAR($F186)&lt;Preisindex!$A$6,YEAR(FK$4)&gt;=YEAR($F186),$K186="g"),ROUND(VLOOKUP(FP$4,Preisindex,4,FALSE)/VLOOKUP(Preisindex!$A$6,Preisindex,4,FALSE),2),IF(AND($E186&lt;&gt;0,$F186&gt;0,YEAR($F186)&lt;Preisindex!$A$6,YEAR(FK$4)&gt;=YEAR($F186),$K186="k"),ROUND(VLOOKUP(FP$4,Preisindex,2,FALSE)/VLOOKUP(Preisindex!$A$6,Preisindex,2,FALSE),2),0)))))</f>
        <v>0</v>
      </c>
      <c r="FR186" s="51">
        <f>IF(AND($E186&lt;&gt;0,$F186&gt;0,YEAR($F186)&lt;=FP$4,YEAR($F186)&gt;=Preisindex!$A$6),ROUND($E186*FP186,2),IF(AND($E186&lt;&gt;0,$F186&gt;0,YEAR($F186)&lt;=FP$4,YEAR($F186)&lt;Preisindex!$A$6),ROUND($E186*FQ186,2),0))</f>
        <v>0</v>
      </c>
      <c r="FS186" s="53">
        <f t="shared" si="557"/>
        <v>0</v>
      </c>
    </row>
    <row r="187" spans="1:175" x14ac:dyDescent="0.3">
      <c r="A187" s="93"/>
      <c r="B187" s="94"/>
      <c r="C187" s="94"/>
      <c r="D187" s="95"/>
      <c r="E187" s="99"/>
      <c r="F187" s="97"/>
      <c r="G187" s="98"/>
      <c r="H187" s="620"/>
      <c r="I187" s="621"/>
      <c r="J187" s="194"/>
      <c r="K187" s="630"/>
      <c r="L187" s="49">
        <f t="shared" si="558"/>
        <v>0</v>
      </c>
      <c r="M187" s="50">
        <f t="shared" si="559"/>
        <v>0</v>
      </c>
      <c r="N187" s="51">
        <f t="shared" si="560"/>
        <v>0</v>
      </c>
      <c r="O187" s="51"/>
      <c r="P187" s="51">
        <f t="shared" si="561"/>
        <v>0</v>
      </c>
      <c r="Q187" s="52"/>
      <c r="R187" s="52"/>
      <c r="S187" s="52"/>
      <c r="T187" s="52"/>
      <c r="U187" s="52"/>
      <c r="V187" s="53">
        <f t="shared" si="562"/>
        <v>0</v>
      </c>
      <c r="W187" s="51">
        <f t="shared" si="563"/>
        <v>0</v>
      </c>
      <c r="X187" s="51">
        <f t="shared" si="564"/>
        <v>0</v>
      </c>
      <c r="Y187" s="51">
        <f t="shared" si="565"/>
        <v>0</v>
      </c>
      <c r="Z187" s="51">
        <f t="shared" si="566"/>
        <v>0</v>
      </c>
      <c r="AA187" s="51">
        <f t="shared" si="567"/>
        <v>0</v>
      </c>
      <c r="AB187" s="51">
        <f t="shared" si="568"/>
        <v>0</v>
      </c>
      <c r="AC187" s="51">
        <f t="shared" si="569"/>
        <v>0</v>
      </c>
      <c r="AD187" s="51">
        <f t="shared" si="570"/>
        <v>0</v>
      </c>
      <c r="AE187" s="51">
        <f t="shared" si="571"/>
        <v>0</v>
      </c>
      <c r="AF187" s="51">
        <f t="shared" si="572"/>
        <v>0</v>
      </c>
      <c r="AG187" s="51">
        <f t="shared" si="573"/>
        <v>0</v>
      </c>
      <c r="AH187" s="54">
        <f t="shared" si="574"/>
        <v>0</v>
      </c>
      <c r="AI187" s="55">
        <f t="shared" si="575"/>
        <v>0</v>
      </c>
      <c r="AJ187" s="56">
        <f>IF(AND($E187&lt;&gt;0,$F187&gt;0,YEAR($F187)&gt;=Preisindex!$A$6,YEAR(AE$4)&gt;=YEAR($F187),AND($K187&lt;&gt;"a",$K187&lt;&gt;"b",$K187&lt;&gt;"g",$K187&lt;&gt;"k")),1,IF(AND($E187&lt;&gt;0,$F187&gt;0,YEAR($F187)&gt;=Preisindex!$A$6,YEAR(AE$4)&gt;=YEAR($F187),$K187="a"),ROUND(VLOOKUP(AJ$4,Preisindex,5,FALSE)/VLOOKUP(YEAR($F187),Preisindex,5,FALSE),2),IF(AND($E187&lt;&gt;0,$F187&gt;0,YEAR($F187)&gt;=Preisindex!$A$6,YEAR(AE$4)&gt;=YEAR($F187),$K187="b"),ROUND(VLOOKUP(AJ$4,Preisindex,3,FALSE)/VLOOKUP(YEAR($F187),Preisindex,3,FALSE),2),IF(AND($E187&lt;&gt;0,$F187&gt;0,YEAR($F187)&gt;=Preisindex!$A$6,YEAR(AE$4)&gt;=YEAR($F187),$K187="g"),ROUND(VLOOKUP(AJ$4,Preisindex,4,FALSE)/VLOOKUP(YEAR($F187),Preisindex,4,FALSE),2),IF(AND($E187&lt;&gt;0,$F187&gt;0,YEAR($F187)&gt;=Preisindex!$A$6,YEAR(AE$4)&gt;=YEAR($F187),$K187="k"),ROUND(VLOOKUP(AJ$4,Preisindex,2,FALSE)/VLOOKUP(YEAR($F187),Preisindex,2,FALSE),2),0)))))</f>
        <v>0</v>
      </c>
      <c r="AK187" s="56">
        <f>IF(AND($E187&lt;&gt;0,$F187&gt;0,YEAR($F187)&lt;Preisindex!$A$6,YEAR(AE$4)&gt;=YEAR($F187),AND($K187&lt;&gt;"a",$K187&lt;&gt;"b",$K187&lt;&gt;"g",$K187&lt;&gt;"k")),1,IF(AND($E187&lt;&gt;0,$F187&gt;0,YEAR($F187)&lt;Preisindex!$A$6,YEAR(AE$4)&gt;=YEAR($F187),$K187="a"),ROUND(VLOOKUP(AJ$4,Preisindex,5,FALSE)/VLOOKUP(Preisindex!$A$6,Preisindex,5,FALSE),2),IF(AND($E187&lt;&gt;0,$F187&gt;0,YEAR($F187)&lt;Preisindex!$A$6,YEAR(AE$4)&gt;=YEAR($F187),$K187="b"),ROUND(VLOOKUP(AJ$4,Preisindex,3,FALSE)/VLOOKUP(Preisindex!$A$6,Preisindex,3,FALSE),2),IF(AND($E187&lt;&gt;0,$F187&gt;0,YEAR($F187)&lt;Preisindex!$A$6,YEAR(AE$4)&gt;=YEAR($F187),$K187="g"),ROUND(VLOOKUP(AJ$4,Preisindex,4,FALSE)/VLOOKUP(Preisindex!$A$6,Preisindex,4,FALSE),2),IF(AND($E187&lt;&gt;0,$F187&gt;0,YEAR($F187)&lt;Preisindex!$A$6,YEAR(AE$4)&gt;=YEAR($F187),$K187="k"),ROUND(VLOOKUP(AJ$4,Preisindex,2,FALSE)/VLOOKUP(Preisindex!$A$6,Preisindex,2,FALSE),2),0)))))</f>
        <v>0</v>
      </c>
      <c r="AL187" s="51">
        <f>IF(AND($E187&lt;&gt;0,$F187&gt;0,YEAR($F187)&lt;=AJ$4,YEAR($F187)&gt;=Preisindex!$A$6),ROUND($E187*AJ187,2),IF(AND($E187&lt;&gt;0,$F187&gt;0,YEAR($F187)&lt;=AJ$4,YEAR($F187)&lt;Preisindex!$A$6),ROUND($E187*AK187,2),0))</f>
        <v>0</v>
      </c>
      <c r="AM187" s="53">
        <f t="shared" si="576"/>
        <v>0</v>
      </c>
      <c r="AN187" s="51">
        <f t="shared" si="621"/>
        <v>0</v>
      </c>
      <c r="AO187" s="51">
        <f t="shared" si="579"/>
        <v>0</v>
      </c>
      <c r="AP187" s="51">
        <f t="shared" si="493"/>
        <v>0</v>
      </c>
      <c r="AQ187" s="51">
        <f t="shared" si="580"/>
        <v>0</v>
      </c>
      <c r="AR187" s="51">
        <f t="shared" si="494"/>
        <v>0</v>
      </c>
      <c r="AS187" s="51">
        <f t="shared" si="581"/>
        <v>0</v>
      </c>
      <c r="AT187" s="51">
        <f t="shared" si="495"/>
        <v>0</v>
      </c>
      <c r="AU187" s="51">
        <f t="shared" si="582"/>
        <v>0</v>
      </c>
      <c r="AV187" s="51">
        <f t="shared" si="496"/>
        <v>0</v>
      </c>
      <c r="AW187" s="51">
        <f t="shared" si="583"/>
        <v>0</v>
      </c>
      <c r="AX187" s="51">
        <f t="shared" si="497"/>
        <v>0</v>
      </c>
      <c r="AY187" s="54">
        <f t="shared" si="498"/>
        <v>0</v>
      </c>
      <c r="AZ187" s="55">
        <f t="shared" si="499"/>
        <v>0</v>
      </c>
      <c r="BA187" s="56">
        <f>IF(AND($E187&lt;&gt;0,$F187&gt;0,YEAR($F187)&gt;=Preisindex!$A$6,YEAR(AV$4)&gt;=YEAR($F187),AND($K187&lt;&gt;"a",$K187&lt;&gt;"b",$K187&lt;&gt;"g",$K187&lt;&gt;"k")),1,IF(AND($E187&lt;&gt;0,$F187&gt;0,YEAR($F187)&gt;=Preisindex!$A$6,YEAR(AV$4)&gt;=YEAR($F187),$K187="a"),ROUND(VLOOKUP(BA$4,Preisindex,5,FALSE)/VLOOKUP(YEAR($F187),Preisindex,5,FALSE),2),IF(AND($E187&lt;&gt;0,$F187&gt;0,YEAR($F187)&gt;=Preisindex!$A$6,YEAR(AV$4)&gt;=YEAR($F187),$K187="b"),ROUND(VLOOKUP(BA$4,Preisindex,3,FALSE)/VLOOKUP(YEAR($F187),Preisindex,3,FALSE),2),IF(AND($E187&lt;&gt;0,$F187&gt;0,YEAR($F187)&gt;=Preisindex!$A$6,YEAR(AV$4)&gt;=YEAR($F187),$K187="g"),ROUND(VLOOKUP(BA$4,Preisindex,4,FALSE)/VLOOKUP(YEAR($F187),Preisindex,4,FALSE),2),IF(AND($E187&lt;&gt;0,$F187&gt;0,YEAR($F187)&gt;=Preisindex!$A$6,YEAR(AV$4)&gt;=YEAR($F187),$K187="k"),ROUND(VLOOKUP(BA$4,Preisindex,2,FALSE)/VLOOKUP(YEAR($F187),Preisindex,2,FALSE),2),0)))))</f>
        <v>0</v>
      </c>
      <c r="BB187" s="56">
        <f>IF(AND($E187&lt;&gt;0,$F187&gt;0,YEAR($F187)&lt;Preisindex!$A$6,YEAR(AV$4)&gt;=YEAR($F187),AND($K187&lt;&gt;"a",$K187&lt;&gt;"b",$K187&lt;&gt;"g",$K187&lt;&gt;"k")),1,IF(AND($E187&lt;&gt;0,$F187&gt;0,YEAR($F187)&lt;Preisindex!$A$6,YEAR(AV$4)&gt;=YEAR($F187),$K187="a"),ROUND(VLOOKUP(BA$4,Preisindex,5,FALSE)/VLOOKUP(Preisindex!$A$6,Preisindex,5,FALSE),2),IF(AND($E187&lt;&gt;0,$F187&gt;0,YEAR($F187)&lt;Preisindex!$A$6,YEAR(AV$4)&gt;=YEAR($F187),$K187="b"),ROUND(VLOOKUP(BA$4,Preisindex,3,FALSE)/VLOOKUP(Preisindex!$A$6,Preisindex,3,FALSE),2),IF(AND($E187&lt;&gt;0,$F187&gt;0,YEAR($F187)&lt;Preisindex!$A$6,YEAR(AV$4)&gt;=YEAR($F187),$K187="g"),ROUND(VLOOKUP(BA$4,Preisindex,4,FALSE)/VLOOKUP(Preisindex!$A$6,Preisindex,4,FALSE),2),IF(AND($E187&lt;&gt;0,$F187&gt;0,YEAR($F187)&lt;Preisindex!$A$6,YEAR(AV$4)&gt;=YEAR($F187),$K187="k"),ROUND(VLOOKUP(BA$4,Preisindex,2,FALSE)/VLOOKUP(Preisindex!$A$6,Preisindex,2,FALSE),2),0)))))</f>
        <v>0</v>
      </c>
      <c r="BC187" s="51">
        <f>IF(AND($E187&lt;&gt;0,$F187&gt;0,YEAR($F187)&lt;=BA$4,YEAR($F187)&gt;=Preisindex!$A$6),ROUND($E187*BA187,2),IF(AND($E187&lt;&gt;0,$F187&gt;0,YEAR($F187)&lt;=BA$4,YEAR($F187)&lt;Preisindex!$A$6),ROUND($E187*BB187,2),0))</f>
        <v>0</v>
      </c>
      <c r="BD187" s="53">
        <f t="shared" si="500"/>
        <v>0</v>
      </c>
      <c r="BE187" s="51">
        <f t="shared" si="621"/>
        <v>0</v>
      </c>
      <c r="BF187" s="51">
        <f t="shared" si="584"/>
        <v>0</v>
      </c>
      <c r="BG187" s="51">
        <f t="shared" si="501"/>
        <v>0</v>
      </c>
      <c r="BH187" s="51">
        <f t="shared" si="585"/>
        <v>0</v>
      </c>
      <c r="BI187" s="51">
        <f t="shared" si="502"/>
        <v>0</v>
      </c>
      <c r="BJ187" s="51">
        <f t="shared" si="586"/>
        <v>0</v>
      </c>
      <c r="BK187" s="51">
        <f t="shared" si="503"/>
        <v>0</v>
      </c>
      <c r="BL187" s="51">
        <f t="shared" si="587"/>
        <v>0</v>
      </c>
      <c r="BM187" s="51">
        <f t="shared" si="504"/>
        <v>0</v>
      </c>
      <c r="BN187" s="51">
        <f t="shared" si="588"/>
        <v>0</v>
      </c>
      <c r="BO187" s="51">
        <f t="shared" si="505"/>
        <v>0</v>
      </c>
      <c r="BP187" s="54">
        <f t="shared" si="506"/>
        <v>0</v>
      </c>
      <c r="BQ187" s="55">
        <f t="shared" si="507"/>
        <v>0</v>
      </c>
      <c r="BR187" s="56">
        <f>IF(AND($E187&lt;&gt;0,$F187&gt;0,YEAR($F187)&gt;=Preisindex!$A$6,YEAR(BM$4)&gt;=YEAR($F187),AND($K187&lt;&gt;"a",$K187&lt;&gt;"b",$K187&lt;&gt;"g",$K187&lt;&gt;"k")),1,IF(AND($E187&lt;&gt;0,$F187&gt;0,YEAR($F187)&gt;=Preisindex!$A$6,YEAR(BM$4)&gt;=YEAR($F187),$K187="a"),ROUND(VLOOKUP(BR$4,Preisindex,5,FALSE)/VLOOKUP(YEAR($F187),Preisindex,5,FALSE),2),IF(AND($E187&lt;&gt;0,$F187&gt;0,YEAR($F187)&gt;=Preisindex!$A$6,YEAR(BM$4)&gt;=YEAR($F187),$K187="b"),ROUND(VLOOKUP(BR$4,Preisindex,3,FALSE)/VLOOKUP(YEAR($F187),Preisindex,3,FALSE),2),IF(AND($E187&lt;&gt;0,$F187&gt;0,YEAR($F187)&gt;=Preisindex!$A$6,YEAR(BM$4)&gt;=YEAR($F187),$K187="g"),ROUND(VLOOKUP(BR$4,Preisindex,4,FALSE)/VLOOKUP(YEAR($F187),Preisindex,4,FALSE),2),IF(AND($E187&lt;&gt;0,$F187&gt;0,YEAR($F187)&gt;=Preisindex!$A$6,YEAR(BM$4)&gt;=YEAR($F187),$K187="k"),ROUND(VLOOKUP(BR$4,Preisindex,2,FALSE)/VLOOKUP(YEAR($F187),Preisindex,2,FALSE),2),0)))))</f>
        <v>0</v>
      </c>
      <c r="BS187" s="56">
        <f>IF(AND($E187&lt;&gt;0,$F187&gt;0,YEAR($F187)&lt;Preisindex!$A$6,YEAR(BM$4)&gt;=YEAR($F187),AND($K187&lt;&gt;"a",$K187&lt;&gt;"b",$K187&lt;&gt;"g",$K187&lt;&gt;"k")),1,IF(AND($E187&lt;&gt;0,$F187&gt;0,YEAR($F187)&lt;Preisindex!$A$6,YEAR(BM$4)&gt;=YEAR($F187),$K187="a"),ROUND(VLOOKUP(BR$4,Preisindex,5,FALSE)/VLOOKUP(Preisindex!$A$6,Preisindex,5,FALSE),2),IF(AND($E187&lt;&gt;0,$F187&gt;0,YEAR($F187)&lt;Preisindex!$A$6,YEAR(BM$4)&gt;=YEAR($F187),$K187="b"),ROUND(VLOOKUP(BR$4,Preisindex,3,FALSE)/VLOOKUP(Preisindex!$A$6,Preisindex,3,FALSE),2),IF(AND($E187&lt;&gt;0,$F187&gt;0,YEAR($F187)&lt;Preisindex!$A$6,YEAR(BM$4)&gt;=YEAR($F187),$K187="g"),ROUND(VLOOKUP(BR$4,Preisindex,4,FALSE)/VLOOKUP(Preisindex!$A$6,Preisindex,4,FALSE),2),IF(AND($E187&lt;&gt;0,$F187&gt;0,YEAR($F187)&lt;Preisindex!$A$6,YEAR(BM$4)&gt;=YEAR($F187),$K187="k"),ROUND(VLOOKUP(BR$4,Preisindex,2,FALSE)/VLOOKUP(Preisindex!$A$6,Preisindex,2,FALSE),2),0)))))</f>
        <v>0</v>
      </c>
      <c r="BT187" s="51">
        <f>IF(AND($E187&lt;&gt;0,$F187&gt;0,YEAR($F187)&lt;=BR$4,YEAR($F187)&gt;=Preisindex!$A$6),ROUND($E187*BR187,2),IF(AND($E187&lt;&gt;0,$F187&gt;0,YEAR($F187)&lt;=BR$4,YEAR($F187)&lt;Preisindex!$A$6),ROUND($E187*BS187,2),0))</f>
        <v>0</v>
      </c>
      <c r="BU187" s="53">
        <f t="shared" si="508"/>
        <v>0</v>
      </c>
      <c r="BV187" s="51">
        <f t="shared" si="621"/>
        <v>0</v>
      </c>
      <c r="BW187" s="51">
        <f t="shared" si="589"/>
        <v>0</v>
      </c>
      <c r="BX187" s="51">
        <f t="shared" si="509"/>
        <v>0</v>
      </c>
      <c r="BY187" s="51">
        <f t="shared" si="590"/>
        <v>0</v>
      </c>
      <c r="BZ187" s="51">
        <f t="shared" si="510"/>
        <v>0</v>
      </c>
      <c r="CA187" s="51">
        <f t="shared" si="591"/>
        <v>0</v>
      </c>
      <c r="CB187" s="51">
        <f t="shared" si="511"/>
        <v>0</v>
      </c>
      <c r="CC187" s="51">
        <f t="shared" si="592"/>
        <v>0</v>
      </c>
      <c r="CD187" s="51">
        <f t="shared" si="512"/>
        <v>0</v>
      </c>
      <c r="CE187" s="51">
        <f t="shared" si="593"/>
        <v>0</v>
      </c>
      <c r="CF187" s="51">
        <f t="shared" si="513"/>
        <v>0</v>
      </c>
      <c r="CG187" s="54">
        <f t="shared" si="514"/>
        <v>0</v>
      </c>
      <c r="CH187" s="55">
        <f t="shared" si="515"/>
        <v>0</v>
      </c>
      <c r="CI187" s="56">
        <f>IF(AND($E187&lt;&gt;0,$F187&gt;0,YEAR($F187)&gt;=Preisindex!$A$6,YEAR(CD$4)&gt;=YEAR($F187),AND($K187&lt;&gt;"a",$K187&lt;&gt;"b",$K187&lt;&gt;"g",$K187&lt;&gt;"k")),1,IF(AND($E187&lt;&gt;0,$F187&gt;0,YEAR($F187)&gt;=Preisindex!$A$6,YEAR(CD$4)&gt;=YEAR($F187),$K187="a"),ROUND(VLOOKUP(CI$4,Preisindex,5,FALSE)/VLOOKUP(YEAR($F187),Preisindex,5,FALSE),2),IF(AND($E187&lt;&gt;0,$F187&gt;0,YEAR($F187)&gt;=Preisindex!$A$6,YEAR(CD$4)&gt;=YEAR($F187),$K187="b"),ROUND(VLOOKUP(CI$4,Preisindex,3,FALSE)/VLOOKUP(YEAR($F187),Preisindex,3,FALSE),2),IF(AND($E187&lt;&gt;0,$F187&gt;0,YEAR($F187)&gt;=Preisindex!$A$6,YEAR(CD$4)&gt;=YEAR($F187),$K187="g"),ROUND(VLOOKUP(CI$4,Preisindex,4,FALSE)/VLOOKUP(YEAR($F187),Preisindex,4,FALSE),2),IF(AND($E187&lt;&gt;0,$F187&gt;0,YEAR($F187)&gt;=Preisindex!$A$6,YEAR(CD$4)&gt;=YEAR($F187),$K187="k"),ROUND(VLOOKUP(CI$4,Preisindex,2,FALSE)/VLOOKUP(YEAR($F187),Preisindex,2,FALSE),2),0)))))</f>
        <v>0</v>
      </c>
      <c r="CJ187" s="56">
        <f>IF(AND($E187&lt;&gt;0,$F187&gt;0,YEAR($F187)&lt;Preisindex!$A$6,YEAR(CD$4)&gt;=YEAR($F187),AND($K187&lt;&gt;"a",$K187&lt;&gt;"b",$K187&lt;&gt;"g",$K187&lt;&gt;"k")),1,IF(AND($E187&lt;&gt;0,$F187&gt;0,YEAR($F187)&lt;Preisindex!$A$6,YEAR(CD$4)&gt;=YEAR($F187),$K187="a"),ROUND(VLOOKUP(CI$4,Preisindex,5,FALSE)/VLOOKUP(Preisindex!$A$6,Preisindex,5,FALSE),2),IF(AND($E187&lt;&gt;0,$F187&gt;0,YEAR($F187)&lt;Preisindex!$A$6,YEAR(CD$4)&gt;=YEAR($F187),$K187="b"),ROUND(VLOOKUP(CI$4,Preisindex,3,FALSE)/VLOOKUP(Preisindex!$A$6,Preisindex,3,FALSE),2),IF(AND($E187&lt;&gt;0,$F187&gt;0,YEAR($F187)&lt;Preisindex!$A$6,YEAR(CD$4)&gt;=YEAR($F187),$K187="g"),ROUND(VLOOKUP(CI$4,Preisindex,4,FALSE)/VLOOKUP(Preisindex!$A$6,Preisindex,4,FALSE),2),IF(AND($E187&lt;&gt;0,$F187&gt;0,YEAR($F187)&lt;Preisindex!$A$6,YEAR(CD$4)&gt;=YEAR($F187),$K187="k"),ROUND(VLOOKUP(CI$4,Preisindex,2,FALSE)/VLOOKUP(Preisindex!$A$6,Preisindex,2,FALSE),2),0)))))</f>
        <v>0</v>
      </c>
      <c r="CK187" s="51">
        <f>IF(AND($E187&lt;&gt;0,$F187&gt;0,YEAR($F187)&lt;=CI$4,YEAR($F187)&gt;=Preisindex!$A$6),ROUND($E187*CI187,2),IF(AND($E187&lt;&gt;0,$F187&gt;0,YEAR($F187)&lt;=CI$4,YEAR($F187)&lt;Preisindex!$A$6),ROUND($E187*CJ187,2),0))</f>
        <v>0</v>
      </c>
      <c r="CL187" s="53">
        <f t="shared" si="516"/>
        <v>0</v>
      </c>
      <c r="CM187" s="51">
        <f t="shared" si="621"/>
        <v>0</v>
      </c>
      <c r="CN187" s="51">
        <f t="shared" si="594"/>
        <v>0</v>
      </c>
      <c r="CO187" s="51">
        <f t="shared" si="517"/>
        <v>0</v>
      </c>
      <c r="CP187" s="51">
        <f t="shared" si="595"/>
        <v>0</v>
      </c>
      <c r="CQ187" s="51">
        <f t="shared" si="518"/>
        <v>0</v>
      </c>
      <c r="CR187" s="51">
        <f t="shared" si="596"/>
        <v>0</v>
      </c>
      <c r="CS187" s="51">
        <f t="shared" si="519"/>
        <v>0</v>
      </c>
      <c r="CT187" s="51">
        <f t="shared" si="597"/>
        <v>0</v>
      </c>
      <c r="CU187" s="51">
        <f t="shared" si="520"/>
        <v>0</v>
      </c>
      <c r="CV187" s="51">
        <f t="shared" si="598"/>
        <v>0</v>
      </c>
      <c r="CW187" s="51">
        <f t="shared" si="521"/>
        <v>0</v>
      </c>
      <c r="CX187" s="54">
        <f t="shared" si="522"/>
        <v>0</v>
      </c>
      <c r="CY187" s="55">
        <f t="shared" si="523"/>
        <v>0</v>
      </c>
      <c r="CZ187" s="56">
        <f>IF(AND($E187&lt;&gt;0,$F187&gt;0,YEAR($F187)&gt;=Preisindex!$A$6,YEAR(CU$4)&gt;=YEAR($F187),AND($K187&lt;&gt;"a",$K187&lt;&gt;"b",$K187&lt;&gt;"g",$K187&lt;&gt;"k")),1,IF(AND($E187&lt;&gt;0,$F187&gt;0,YEAR($F187)&gt;=Preisindex!$A$6,YEAR(CU$4)&gt;=YEAR($F187),$K187="a"),ROUND(VLOOKUP(CZ$4,Preisindex,5,FALSE)/VLOOKUP(YEAR($F187),Preisindex,5,FALSE),2),IF(AND($E187&lt;&gt;0,$F187&gt;0,YEAR($F187)&gt;=Preisindex!$A$6,YEAR(CU$4)&gt;=YEAR($F187),$K187="b"),ROUND(VLOOKUP(CZ$4,Preisindex,3,FALSE)/VLOOKUP(YEAR($F187),Preisindex,3,FALSE),2),IF(AND($E187&lt;&gt;0,$F187&gt;0,YEAR($F187)&gt;=Preisindex!$A$6,YEAR(CU$4)&gt;=YEAR($F187),$K187="g"),ROUND(VLOOKUP(CZ$4,Preisindex,4,FALSE)/VLOOKUP(YEAR($F187),Preisindex,4,FALSE),2),IF(AND($E187&lt;&gt;0,$F187&gt;0,YEAR($F187)&gt;=Preisindex!$A$6,YEAR(CU$4)&gt;=YEAR($F187),$K187="k"),ROUND(VLOOKUP(CZ$4,Preisindex,2,FALSE)/VLOOKUP(YEAR($F187),Preisindex,2,FALSE),2),0)))))</f>
        <v>0</v>
      </c>
      <c r="DA187" s="56">
        <f>IF(AND($E187&lt;&gt;0,$F187&gt;0,YEAR($F187)&lt;Preisindex!$A$6,YEAR(CU$4)&gt;=YEAR($F187),AND($K187&lt;&gt;"a",$K187&lt;&gt;"b",$K187&lt;&gt;"g",$K187&lt;&gt;"k")),1,IF(AND($E187&lt;&gt;0,$F187&gt;0,YEAR($F187)&lt;Preisindex!$A$6,YEAR(CU$4)&gt;=YEAR($F187),$K187="a"),ROUND(VLOOKUP(CZ$4,Preisindex,5,FALSE)/VLOOKUP(Preisindex!$A$6,Preisindex,5,FALSE),2),IF(AND($E187&lt;&gt;0,$F187&gt;0,YEAR($F187)&lt;Preisindex!$A$6,YEAR(CU$4)&gt;=YEAR($F187),$K187="b"),ROUND(VLOOKUP(CZ$4,Preisindex,3,FALSE)/VLOOKUP(Preisindex!$A$6,Preisindex,3,FALSE),2),IF(AND($E187&lt;&gt;0,$F187&gt;0,YEAR($F187)&lt;Preisindex!$A$6,YEAR(CU$4)&gt;=YEAR($F187),$K187="g"),ROUND(VLOOKUP(CZ$4,Preisindex,4,FALSE)/VLOOKUP(Preisindex!$A$6,Preisindex,4,FALSE),2),IF(AND($E187&lt;&gt;0,$F187&gt;0,YEAR($F187)&lt;Preisindex!$A$6,YEAR(CU$4)&gt;=YEAR($F187),$K187="k"),ROUND(VLOOKUP(CZ$4,Preisindex,2,FALSE)/VLOOKUP(Preisindex!$A$6,Preisindex,2,FALSE),2),0)))))</f>
        <v>0</v>
      </c>
      <c r="DB187" s="51">
        <f>IF(AND($E187&lt;&gt;0,$F187&gt;0,YEAR($F187)&lt;=CZ$4,YEAR($F187)&gt;=Preisindex!$A$6),ROUND($E187*CZ187,2),IF(AND($E187&lt;&gt;0,$F187&gt;0,YEAR($F187)&lt;=CZ$4,YEAR($F187)&lt;Preisindex!$A$6),ROUND($E187*DA187,2),0))</f>
        <v>0</v>
      </c>
      <c r="DC187" s="53">
        <f t="shared" si="524"/>
        <v>0</v>
      </c>
      <c r="DD187" s="51">
        <f t="shared" si="622"/>
        <v>0</v>
      </c>
      <c r="DE187" s="51">
        <f t="shared" si="599"/>
        <v>0</v>
      </c>
      <c r="DF187" s="51">
        <f t="shared" si="526"/>
        <v>0</v>
      </c>
      <c r="DG187" s="51">
        <f t="shared" si="600"/>
        <v>0</v>
      </c>
      <c r="DH187" s="51">
        <f t="shared" si="527"/>
        <v>0</v>
      </c>
      <c r="DI187" s="51">
        <f t="shared" si="601"/>
        <v>0</v>
      </c>
      <c r="DJ187" s="51">
        <f t="shared" si="528"/>
        <v>0</v>
      </c>
      <c r="DK187" s="51">
        <f t="shared" si="602"/>
        <v>0</v>
      </c>
      <c r="DL187" s="51">
        <f t="shared" si="529"/>
        <v>0</v>
      </c>
      <c r="DM187" s="51">
        <f t="shared" si="603"/>
        <v>0</v>
      </c>
      <c r="DN187" s="51">
        <f t="shared" si="530"/>
        <v>0</v>
      </c>
      <c r="DO187" s="54">
        <f t="shared" si="531"/>
        <v>0</v>
      </c>
      <c r="DP187" s="55">
        <f t="shared" si="532"/>
        <v>0</v>
      </c>
      <c r="DQ187" s="56">
        <f>IF(AND($E187&lt;&gt;0,$F187&gt;0,YEAR($F187)&gt;=Preisindex!$A$6,YEAR(DL$4)&gt;=YEAR($F187),AND($K187&lt;&gt;"a",$K187&lt;&gt;"b",$K187&lt;&gt;"g",$K187&lt;&gt;"k")),1,IF(AND($E187&lt;&gt;0,$F187&gt;0,YEAR($F187)&gt;=Preisindex!$A$6,YEAR(DL$4)&gt;=YEAR($F187),$K187="a"),ROUND(VLOOKUP(DQ$4,Preisindex,5,FALSE)/VLOOKUP(YEAR($F187),Preisindex,5,FALSE),2),IF(AND($E187&lt;&gt;0,$F187&gt;0,YEAR($F187)&gt;=Preisindex!$A$6,YEAR(DL$4)&gt;=YEAR($F187),$K187="b"),ROUND(VLOOKUP(DQ$4,Preisindex,3,FALSE)/VLOOKUP(YEAR($F187),Preisindex,3,FALSE),2),IF(AND($E187&lt;&gt;0,$F187&gt;0,YEAR($F187)&gt;=Preisindex!$A$6,YEAR(DL$4)&gt;=YEAR($F187),$K187="g"),ROUND(VLOOKUP(DQ$4,Preisindex,4,FALSE)/VLOOKUP(YEAR($F187),Preisindex,4,FALSE),2),IF(AND($E187&lt;&gt;0,$F187&gt;0,YEAR($F187)&gt;=Preisindex!$A$6,YEAR(DL$4)&gt;=YEAR($F187),$K187="k"),ROUND(VLOOKUP(DQ$4,Preisindex,2,FALSE)/VLOOKUP(YEAR($F187),Preisindex,2,FALSE),2),0)))))</f>
        <v>0</v>
      </c>
      <c r="DR187" s="56">
        <f>IF(AND($E187&lt;&gt;0,$F187&gt;0,YEAR($F187)&lt;Preisindex!$A$6,YEAR(DL$4)&gt;=YEAR($F187),AND($K187&lt;&gt;"a",$K187&lt;&gt;"b",$K187&lt;&gt;"g",$K187&lt;&gt;"k")),1,IF(AND($E187&lt;&gt;0,$F187&gt;0,YEAR($F187)&lt;Preisindex!$A$6,YEAR(DL$4)&gt;=YEAR($F187),$K187="a"),ROUND(VLOOKUP(DQ$4,Preisindex,5,FALSE)/VLOOKUP(Preisindex!$A$6,Preisindex,5,FALSE),2),IF(AND($E187&lt;&gt;0,$F187&gt;0,YEAR($F187)&lt;Preisindex!$A$6,YEAR(DL$4)&gt;=YEAR($F187),$K187="b"),ROUND(VLOOKUP(DQ$4,Preisindex,3,FALSE)/VLOOKUP(Preisindex!$A$6,Preisindex,3,FALSE),2),IF(AND($E187&lt;&gt;0,$F187&gt;0,YEAR($F187)&lt;Preisindex!$A$6,YEAR(DL$4)&gt;=YEAR($F187),$K187="g"),ROUND(VLOOKUP(DQ$4,Preisindex,4,FALSE)/VLOOKUP(Preisindex!$A$6,Preisindex,4,FALSE),2),IF(AND($E187&lt;&gt;0,$F187&gt;0,YEAR($F187)&lt;Preisindex!$A$6,YEAR(DL$4)&gt;=YEAR($F187),$K187="k"),ROUND(VLOOKUP(DQ$4,Preisindex,2,FALSE)/VLOOKUP(Preisindex!$A$6,Preisindex,2,FALSE),2),0)))))</f>
        <v>0</v>
      </c>
      <c r="DS187" s="51">
        <f>IF(AND($E187&lt;&gt;0,$F187&gt;0,YEAR($F187)&lt;=DQ$4,YEAR($F187)&gt;=Preisindex!$A$6),ROUND($E187*DQ187,2),IF(AND($E187&lt;&gt;0,$F187&gt;0,YEAR($F187)&lt;=DQ$4,YEAR($F187)&lt;Preisindex!$A$6),ROUND($E187*DR187,2),0))</f>
        <v>0</v>
      </c>
      <c r="DT187" s="53">
        <f t="shared" si="533"/>
        <v>0</v>
      </c>
      <c r="DU187" s="51">
        <f t="shared" si="622"/>
        <v>0</v>
      </c>
      <c r="DV187" s="51">
        <f t="shared" si="604"/>
        <v>0</v>
      </c>
      <c r="DW187" s="51">
        <f t="shared" si="534"/>
        <v>0</v>
      </c>
      <c r="DX187" s="51">
        <f t="shared" si="605"/>
        <v>0</v>
      </c>
      <c r="DY187" s="51">
        <f t="shared" si="535"/>
        <v>0</v>
      </c>
      <c r="DZ187" s="51">
        <f t="shared" si="606"/>
        <v>0</v>
      </c>
      <c r="EA187" s="51">
        <f t="shared" si="536"/>
        <v>0</v>
      </c>
      <c r="EB187" s="51">
        <f t="shared" si="607"/>
        <v>0</v>
      </c>
      <c r="EC187" s="51">
        <f t="shared" si="537"/>
        <v>0</v>
      </c>
      <c r="ED187" s="51">
        <f t="shared" si="608"/>
        <v>0</v>
      </c>
      <c r="EE187" s="51">
        <f t="shared" si="538"/>
        <v>0</v>
      </c>
      <c r="EF187" s="54">
        <f t="shared" si="539"/>
        <v>0</v>
      </c>
      <c r="EG187" s="55">
        <f t="shared" si="540"/>
        <v>0</v>
      </c>
      <c r="EH187" s="56">
        <f>IF(AND($E187&lt;&gt;0,$F187&gt;0,YEAR($F187)&gt;=Preisindex!$A$6,YEAR(EC$4)&gt;=YEAR($F187),AND($K187&lt;&gt;"a",$K187&lt;&gt;"b",$K187&lt;&gt;"g",$K187&lt;&gt;"k")),1,IF(AND($E187&lt;&gt;0,$F187&gt;0,YEAR($F187)&gt;=Preisindex!$A$6,YEAR(EC$4)&gt;=YEAR($F187),$K187="a"),ROUND(VLOOKUP(EH$4,Preisindex,5,FALSE)/VLOOKUP(YEAR($F187),Preisindex,5,FALSE),2),IF(AND($E187&lt;&gt;0,$F187&gt;0,YEAR($F187)&gt;=Preisindex!$A$6,YEAR(EC$4)&gt;=YEAR($F187),$K187="b"),ROUND(VLOOKUP(EH$4,Preisindex,3,FALSE)/VLOOKUP(YEAR($F187),Preisindex,3,FALSE),2),IF(AND($E187&lt;&gt;0,$F187&gt;0,YEAR($F187)&gt;=Preisindex!$A$6,YEAR(EC$4)&gt;=YEAR($F187),$K187="g"),ROUND(VLOOKUP(EH$4,Preisindex,4,FALSE)/VLOOKUP(YEAR($F187),Preisindex,4,FALSE),2),IF(AND($E187&lt;&gt;0,$F187&gt;0,YEAR($F187)&gt;=Preisindex!$A$6,YEAR(EC$4)&gt;=YEAR($F187),$K187="k"),ROUND(VLOOKUP(EH$4,Preisindex,2,FALSE)/VLOOKUP(YEAR($F187),Preisindex,2,FALSE),2),0)))))</f>
        <v>0</v>
      </c>
      <c r="EI187" s="56">
        <f>IF(AND($E187&lt;&gt;0,$F187&gt;0,YEAR($F187)&lt;Preisindex!$A$6,YEAR(EC$4)&gt;=YEAR($F187),AND($K187&lt;&gt;"a",$K187&lt;&gt;"b",$K187&lt;&gt;"g",$K187&lt;&gt;"k")),1,IF(AND($E187&lt;&gt;0,$F187&gt;0,YEAR($F187)&lt;Preisindex!$A$6,YEAR(EC$4)&gt;=YEAR($F187),$K187="a"),ROUND(VLOOKUP(EH$4,Preisindex,5,FALSE)/VLOOKUP(Preisindex!$A$6,Preisindex,5,FALSE),2),IF(AND($E187&lt;&gt;0,$F187&gt;0,YEAR($F187)&lt;Preisindex!$A$6,YEAR(EC$4)&gt;=YEAR($F187),$K187="b"),ROUND(VLOOKUP(EH$4,Preisindex,3,FALSE)/VLOOKUP(Preisindex!$A$6,Preisindex,3,FALSE),2),IF(AND($E187&lt;&gt;0,$F187&gt;0,YEAR($F187)&lt;Preisindex!$A$6,YEAR(EC$4)&gt;=YEAR($F187),$K187="g"),ROUND(VLOOKUP(EH$4,Preisindex,4,FALSE)/VLOOKUP(Preisindex!$A$6,Preisindex,4,FALSE),2),IF(AND($E187&lt;&gt;0,$F187&gt;0,YEAR($F187)&lt;Preisindex!$A$6,YEAR(EC$4)&gt;=YEAR($F187),$K187="k"),ROUND(VLOOKUP(EH$4,Preisindex,2,FALSE)/VLOOKUP(Preisindex!$A$6,Preisindex,2,FALSE),2),0)))))</f>
        <v>0</v>
      </c>
      <c r="EJ187" s="51">
        <f>IF(AND($E187&lt;&gt;0,$F187&gt;0,YEAR($F187)&lt;=EH$4,YEAR($F187)&gt;=Preisindex!$A$6),ROUND($E187*EH187,2),IF(AND($E187&lt;&gt;0,$F187&gt;0,YEAR($F187)&lt;=EH$4,YEAR($F187)&lt;Preisindex!$A$6),ROUND($E187*EI187,2),0))</f>
        <v>0</v>
      </c>
      <c r="EK187" s="53">
        <f t="shared" si="541"/>
        <v>0</v>
      </c>
      <c r="EL187" s="51">
        <f t="shared" si="622"/>
        <v>0</v>
      </c>
      <c r="EM187" s="51">
        <f t="shared" si="609"/>
        <v>0</v>
      </c>
      <c r="EN187" s="51">
        <f t="shared" si="542"/>
        <v>0</v>
      </c>
      <c r="EO187" s="51">
        <f t="shared" si="610"/>
        <v>0</v>
      </c>
      <c r="EP187" s="51">
        <f t="shared" si="543"/>
        <v>0</v>
      </c>
      <c r="EQ187" s="51">
        <f t="shared" si="611"/>
        <v>0</v>
      </c>
      <c r="ER187" s="51">
        <f t="shared" si="544"/>
        <v>0</v>
      </c>
      <c r="ES187" s="51">
        <f t="shared" si="612"/>
        <v>0</v>
      </c>
      <c r="ET187" s="51">
        <f t="shared" si="545"/>
        <v>0</v>
      </c>
      <c r="EU187" s="51">
        <f t="shared" si="613"/>
        <v>0</v>
      </c>
      <c r="EV187" s="51">
        <f t="shared" si="546"/>
        <v>0</v>
      </c>
      <c r="EW187" s="54">
        <f t="shared" si="547"/>
        <v>0</v>
      </c>
      <c r="EX187" s="55">
        <f t="shared" si="548"/>
        <v>0</v>
      </c>
      <c r="EY187" s="56">
        <f>IF(AND($E187&lt;&gt;0,$F187&gt;0,YEAR($F187)&gt;=Preisindex!$A$6,YEAR(ET$4)&gt;=YEAR($F187),AND($K187&lt;&gt;"a",$K187&lt;&gt;"b",$K187&lt;&gt;"g",$K187&lt;&gt;"k")),1,IF(AND($E187&lt;&gt;0,$F187&gt;0,YEAR($F187)&gt;=Preisindex!$A$6,YEAR(ET$4)&gt;=YEAR($F187),$K187="a"),ROUND(VLOOKUP(EY$4,Preisindex,5,FALSE)/VLOOKUP(YEAR($F187),Preisindex,5,FALSE),2),IF(AND($E187&lt;&gt;0,$F187&gt;0,YEAR($F187)&gt;=Preisindex!$A$6,YEAR(ET$4)&gt;=YEAR($F187),$K187="b"),ROUND(VLOOKUP(EY$4,Preisindex,3,FALSE)/VLOOKUP(YEAR($F187),Preisindex,3,FALSE),2),IF(AND($E187&lt;&gt;0,$F187&gt;0,YEAR($F187)&gt;=Preisindex!$A$6,YEAR(ET$4)&gt;=YEAR($F187),$K187="g"),ROUND(VLOOKUP(EY$4,Preisindex,4,FALSE)/VLOOKUP(YEAR($F187),Preisindex,4,FALSE),2),IF(AND($E187&lt;&gt;0,$F187&gt;0,YEAR($F187)&gt;=Preisindex!$A$6,YEAR(ET$4)&gt;=YEAR($F187),$K187="k"),ROUND(VLOOKUP(EY$4,Preisindex,2,FALSE)/VLOOKUP(YEAR($F187),Preisindex,2,FALSE),2),0)))))</f>
        <v>0</v>
      </c>
      <c r="EZ187" s="56">
        <f>IF(AND($E187&lt;&gt;0,$F187&gt;0,YEAR($F187)&lt;Preisindex!$A$6,YEAR(ET$4)&gt;=YEAR($F187),AND($K187&lt;&gt;"a",$K187&lt;&gt;"b",$K187&lt;&gt;"g",$K187&lt;&gt;"k")),1,IF(AND($E187&lt;&gt;0,$F187&gt;0,YEAR($F187)&lt;Preisindex!$A$6,YEAR(ET$4)&gt;=YEAR($F187),$K187="a"),ROUND(VLOOKUP(EY$4,Preisindex,5,FALSE)/VLOOKUP(Preisindex!$A$6,Preisindex,5,FALSE),2),IF(AND($E187&lt;&gt;0,$F187&gt;0,YEAR($F187)&lt;Preisindex!$A$6,YEAR(ET$4)&gt;=YEAR($F187),$K187="b"),ROUND(VLOOKUP(EY$4,Preisindex,3,FALSE)/VLOOKUP(Preisindex!$A$6,Preisindex,3,FALSE),2),IF(AND($E187&lt;&gt;0,$F187&gt;0,YEAR($F187)&lt;Preisindex!$A$6,YEAR(ET$4)&gt;=YEAR($F187),$K187="g"),ROUND(VLOOKUP(EY$4,Preisindex,4,FALSE)/VLOOKUP(Preisindex!$A$6,Preisindex,4,FALSE),2),IF(AND($E187&lt;&gt;0,$F187&gt;0,YEAR($F187)&lt;Preisindex!$A$6,YEAR(ET$4)&gt;=YEAR($F187),$K187="k"),ROUND(VLOOKUP(EY$4,Preisindex,2,FALSE)/VLOOKUP(Preisindex!$A$6,Preisindex,2,FALSE),2),0)))))</f>
        <v>0</v>
      </c>
      <c r="FA187" s="51">
        <f>IF(AND($E187&lt;&gt;0,$F187&gt;0,YEAR($F187)&lt;=EY$4,YEAR($F187)&gt;=Preisindex!$A$6),ROUND($E187*EY187,2),IF(AND($E187&lt;&gt;0,$F187&gt;0,YEAR($F187)&lt;=EY$4,YEAR($F187)&lt;Preisindex!$A$6),ROUND($E187*EZ187,2),0))</f>
        <v>0</v>
      </c>
      <c r="FB187" s="53">
        <f t="shared" si="549"/>
        <v>0</v>
      </c>
      <c r="FC187" s="51">
        <f t="shared" si="622"/>
        <v>0</v>
      </c>
      <c r="FD187" s="51">
        <f t="shared" si="614"/>
        <v>0</v>
      </c>
      <c r="FE187" s="51">
        <f t="shared" si="550"/>
        <v>0</v>
      </c>
      <c r="FF187" s="51">
        <f t="shared" si="615"/>
        <v>0</v>
      </c>
      <c r="FG187" s="51">
        <f t="shared" si="551"/>
        <v>0</v>
      </c>
      <c r="FH187" s="51">
        <f t="shared" si="616"/>
        <v>0</v>
      </c>
      <c r="FI187" s="51">
        <f t="shared" si="552"/>
        <v>0</v>
      </c>
      <c r="FJ187" s="51">
        <f t="shared" si="617"/>
        <v>0</v>
      </c>
      <c r="FK187" s="51">
        <f t="shared" si="553"/>
        <v>0</v>
      </c>
      <c r="FL187" s="51">
        <f t="shared" si="618"/>
        <v>0</v>
      </c>
      <c r="FM187" s="51">
        <f t="shared" si="554"/>
        <v>0</v>
      </c>
      <c r="FN187" s="54">
        <f t="shared" si="555"/>
        <v>0</v>
      </c>
      <c r="FO187" s="55">
        <f t="shared" si="556"/>
        <v>0</v>
      </c>
      <c r="FP187" s="56">
        <f>IF(AND($E187&lt;&gt;0,$F187&gt;0,YEAR($F187)&gt;=Preisindex!$A$6,YEAR(FK$4)&gt;=YEAR($F187),AND($K187&lt;&gt;"a",$K187&lt;&gt;"b",$K187&lt;&gt;"g",$K187&lt;&gt;"k")),1,IF(AND($E187&lt;&gt;0,$F187&gt;0,YEAR($F187)&gt;=Preisindex!$A$6,YEAR(FK$4)&gt;=YEAR($F187),$K187="a"),ROUND(VLOOKUP(FP$4,Preisindex,5,FALSE)/VLOOKUP(YEAR($F187),Preisindex,5,FALSE),2),IF(AND($E187&lt;&gt;0,$F187&gt;0,YEAR($F187)&gt;=Preisindex!$A$6,YEAR(FK$4)&gt;=YEAR($F187),$K187="b"),ROUND(VLOOKUP(FP$4,Preisindex,3,FALSE)/VLOOKUP(YEAR($F187),Preisindex,3,FALSE),2),IF(AND($E187&lt;&gt;0,$F187&gt;0,YEAR($F187)&gt;=Preisindex!$A$6,YEAR(FK$4)&gt;=YEAR($F187),$K187="g"),ROUND(VLOOKUP(FP$4,Preisindex,4,FALSE)/VLOOKUP(YEAR($F187),Preisindex,4,FALSE),2),IF(AND($E187&lt;&gt;0,$F187&gt;0,YEAR($F187)&gt;=Preisindex!$A$6,YEAR(FK$4)&gt;=YEAR($F187),$K187="k"),ROUND(VLOOKUP(FP$4,Preisindex,2,FALSE)/VLOOKUP(YEAR($F187),Preisindex,2,FALSE),2),0)))))</f>
        <v>0</v>
      </c>
      <c r="FQ187" s="56">
        <f>IF(AND($E187&lt;&gt;0,$F187&gt;0,YEAR($F187)&lt;Preisindex!$A$6,YEAR(FK$4)&gt;=YEAR($F187),AND($K187&lt;&gt;"a",$K187&lt;&gt;"b",$K187&lt;&gt;"g",$K187&lt;&gt;"k")),1,IF(AND($E187&lt;&gt;0,$F187&gt;0,YEAR($F187)&lt;Preisindex!$A$6,YEAR(FK$4)&gt;=YEAR($F187),$K187="a"),ROUND(VLOOKUP(FP$4,Preisindex,5,FALSE)/VLOOKUP(Preisindex!$A$6,Preisindex,5,FALSE),2),IF(AND($E187&lt;&gt;0,$F187&gt;0,YEAR($F187)&lt;Preisindex!$A$6,YEAR(FK$4)&gt;=YEAR($F187),$K187="b"),ROUND(VLOOKUP(FP$4,Preisindex,3,FALSE)/VLOOKUP(Preisindex!$A$6,Preisindex,3,FALSE),2),IF(AND($E187&lt;&gt;0,$F187&gt;0,YEAR($F187)&lt;Preisindex!$A$6,YEAR(FK$4)&gt;=YEAR($F187),$K187="g"),ROUND(VLOOKUP(FP$4,Preisindex,4,FALSE)/VLOOKUP(Preisindex!$A$6,Preisindex,4,FALSE),2),IF(AND($E187&lt;&gt;0,$F187&gt;0,YEAR($F187)&lt;Preisindex!$A$6,YEAR(FK$4)&gt;=YEAR($F187),$K187="k"),ROUND(VLOOKUP(FP$4,Preisindex,2,FALSE)/VLOOKUP(Preisindex!$A$6,Preisindex,2,FALSE),2),0)))))</f>
        <v>0</v>
      </c>
      <c r="FR187" s="51">
        <f>IF(AND($E187&lt;&gt;0,$F187&gt;0,YEAR($F187)&lt;=FP$4,YEAR($F187)&gt;=Preisindex!$A$6),ROUND($E187*FP187,2),IF(AND($E187&lt;&gt;0,$F187&gt;0,YEAR($F187)&lt;=FP$4,YEAR($F187)&lt;Preisindex!$A$6),ROUND($E187*FQ187,2),0))</f>
        <v>0</v>
      </c>
      <c r="FS187" s="53">
        <f t="shared" si="557"/>
        <v>0</v>
      </c>
    </row>
    <row r="188" spans="1:175" x14ac:dyDescent="0.3">
      <c r="A188" s="93"/>
      <c r="B188" s="94"/>
      <c r="C188" s="94"/>
      <c r="D188" s="95"/>
      <c r="E188" s="99"/>
      <c r="F188" s="97"/>
      <c r="G188" s="98"/>
      <c r="H188" s="620"/>
      <c r="I188" s="621"/>
      <c r="J188" s="194"/>
      <c r="K188" s="630"/>
      <c r="L188" s="49">
        <f t="shared" si="558"/>
        <v>0</v>
      </c>
      <c r="M188" s="50">
        <f t="shared" si="559"/>
        <v>0</v>
      </c>
      <c r="N188" s="51">
        <f t="shared" si="560"/>
        <v>0</v>
      </c>
      <c r="O188" s="51"/>
      <c r="P188" s="51">
        <f t="shared" si="561"/>
        <v>0</v>
      </c>
      <c r="Q188" s="52"/>
      <c r="R188" s="52"/>
      <c r="S188" s="52"/>
      <c r="T188" s="52"/>
      <c r="U188" s="52"/>
      <c r="V188" s="53">
        <f t="shared" si="562"/>
        <v>0</v>
      </c>
      <c r="W188" s="51">
        <f t="shared" si="563"/>
        <v>0</v>
      </c>
      <c r="X188" s="51">
        <f t="shared" si="564"/>
        <v>0</v>
      </c>
      <c r="Y188" s="51">
        <f t="shared" si="565"/>
        <v>0</v>
      </c>
      <c r="Z188" s="51">
        <f t="shared" si="566"/>
        <v>0</v>
      </c>
      <c r="AA188" s="51">
        <f t="shared" si="567"/>
        <v>0</v>
      </c>
      <c r="AB188" s="51">
        <f t="shared" si="568"/>
        <v>0</v>
      </c>
      <c r="AC188" s="51">
        <f t="shared" si="569"/>
        <v>0</v>
      </c>
      <c r="AD188" s="51">
        <f t="shared" si="570"/>
        <v>0</v>
      </c>
      <c r="AE188" s="51">
        <f t="shared" si="571"/>
        <v>0</v>
      </c>
      <c r="AF188" s="51">
        <f t="shared" si="572"/>
        <v>0</v>
      </c>
      <c r="AG188" s="51">
        <f t="shared" si="573"/>
        <v>0</v>
      </c>
      <c r="AH188" s="54">
        <f t="shared" si="574"/>
        <v>0</v>
      </c>
      <c r="AI188" s="55">
        <f t="shared" si="575"/>
        <v>0</v>
      </c>
      <c r="AJ188" s="56">
        <f>IF(AND($E188&lt;&gt;0,$F188&gt;0,YEAR($F188)&gt;=Preisindex!$A$6,YEAR(AE$4)&gt;=YEAR($F188),AND($K188&lt;&gt;"a",$K188&lt;&gt;"b",$K188&lt;&gt;"g",$K188&lt;&gt;"k")),1,IF(AND($E188&lt;&gt;0,$F188&gt;0,YEAR($F188)&gt;=Preisindex!$A$6,YEAR(AE$4)&gt;=YEAR($F188),$K188="a"),ROUND(VLOOKUP(AJ$4,Preisindex,5,FALSE)/VLOOKUP(YEAR($F188),Preisindex,5,FALSE),2),IF(AND($E188&lt;&gt;0,$F188&gt;0,YEAR($F188)&gt;=Preisindex!$A$6,YEAR(AE$4)&gt;=YEAR($F188),$K188="b"),ROUND(VLOOKUP(AJ$4,Preisindex,3,FALSE)/VLOOKUP(YEAR($F188),Preisindex,3,FALSE),2),IF(AND($E188&lt;&gt;0,$F188&gt;0,YEAR($F188)&gt;=Preisindex!$A$6,YEAR(AE$4)&gt;=YEAR($F188),$K188="g"),ROUND(VLOOKUP(AJ$4,Preisindex,4,FALSE)/VLOOKUP(YEAR($F188),Preisindex,4,FALSE),2),IF(AND($E188&lt;&gt;0,$F188&gt;0,YEAR($F188)&gt;=Preisindex!$A$6,YEAR(AE$4)&gt;=YEAR($F188),$K188="k"),ROUND(VLOOKUP(AJ$4,Preisindex,2,FALSE)/VLOOKUP(YEAR($F188),Preisindex,2,FALSE),2),0)))))</f>
        <v>0</v>
      </c>
      <c r="AK188" s="56">
        <f>IF(AND($E188&lt;&gt;0,$F188&gt;0,YEAR($F188)&lt;Preisindex!$A$6,YEAR(AE$4)&gt;=YEAR($F188),AND($K188&lt;&gt;"a",$K188&lt;&gt;"b",$K188&lt;&gt;"g",$K188&lt;&gt;"k")),1,IF(AND($E188&lt;&gt;0,$F188&gt;0,YEAR($F188)&lt;Preisindex!$A$6,YEAR(AE$4)&gt;=YEAR($F188),$K188="a"),ROUND(VLOOKUP(AJ$4,Preisindex,5,FALSE)/VLOOKUP(Preisindex!$A$6,Preisindex,5,FALSE),2),IF(AND($E188&lt;&gt;0,$F188&gt;0,YEAR($F188)&lt;Preisindex!$A$6,YEAR(AE$4)&gt;=YEAR($F188),$K188="b"),ROUND(VLOOKUP(AJ$4,Preisindex,3,FALSE)/VLOOKUP(Preisindex!$A$6,Preisindex,3,FALSE),2),IF(AND($E188&lt;&gt;0,$F188&gt;0,YEAR($F188)&lt;Preisindex!$A$6,YEAR(AE$4)&gt;=YEAR($F188),$K188="g"),ROUND(VLOOKUP(AJ$4,Preisindex,4,FALSE)/VLOOKUP(Preisindex!$A$6,Preisindex,4,FALSE),2),IF(AND($E188&lt;&gt;0,$F188&gt;0,YEAR($F188)&lt;Preisindex!$A$6,YEAR(AE$4)&gt;=YEAR($F188),$K188="k"),ROUND(VLOOKUP(AJ$4,Preisindex,2,FALSE)/VLOOKUP(Preisindex!$A$6,Preisindex,2,FALSE),2),0)))))</f>
        <v>0</v>
      </c>
      <c r="AL188" s="51">
        <f>IF(AND($E188&lt;&gt;0,$F188&gt;0,YEAR($F188)&lt;=AJ$4,YEAR($F188)&gt;=Preisindex!$A$6),ROUND($E188*AJ188,2),IF(AND($E188&lt;&gt;0,$F188&gt;0,YEAR($F188)&lt;=AJ$4,YEAR($F188)&lt;Preisindex!$A$6),ROUND($E188*AK188,2),0))</f>
        <v>0</v>
      </c>
      <c r="AM188" s="53">
        <f t="shared" si="576"/>
        <v>0</v>
      </c>
      <c r="AN188" s="51">
        <f t="shared" si="621"/>
        <v>0</v>
      </c>
      <c r="AO188" s="51">
        <f t="shared" si="579"/>
        <v>0</v>
      </c>
      <c r="AP188" s="51">
        <f t="shared" si="493"/>
        <v>0</v>
      </c>
      <c r="AQ188" s="51">
        <f t="shared" si="580"/>
        <v>0</v>
      </c>
      <c r="AR188" s="51">
        <f t="shared" si="494"/>
        <v>0</v>
      </c>
      <c r="AS188" s="51">
        <f t="shared" si="581"/>
        <v>0</v>
      </c>
      <c r="AT188" s="51">
        <f t="shared" si="495"/>
        <v>0</v>
      </c>
      <c r="AU188" s="51">
        <f t="shared" si="582"/>
        <v>0</v>
      </c>
      <c r="AV188" s="51">
        <f t="shared" si="496"/>
        <v>0</v>
      </c>
      <c r="AW188" s="51">
        <f t="shared" si="583"/>
        <v>0</v>
      </c>
      <c r="AX188" s="51">
        <f t="shared" si="497"/>
        <v>0</v>
      </c>
      <c r="AY188" s="54">
        <f t="shared" si="498"/>
        <v>0</v>
      </c>
      <c r="AZ188" s="55">
        <f t="shared" si="499"/>
        <v>0</v>
      </c>
      <c r="BA188" s="56">
        <f>IF(AND($E188&lt;&gt;0,$F188&gt;0,YEAR($F188)&gt;=Preisindex!$A$6,YEAR(AV$4)&gt;=YEAR($F188),AND($K188&lt;&gt;"a",$K188&lt;&gt;"b",$K188&lt;&gt;"g",$K188&lt;&gt;"k")),1,IF(AND($E188&lt;&gt;0,$F188&gt;0,YEAR($F188)&gt;=Preisindex!$A$6,YEAR(AV$4)&gt;=YEAR($F188),$K188="a"),ROUND(VLOOKUP(BA$4,Preisindex,5,FALSE)/VLOOKUP(YEAR($F188),Preisindex,5,FALSE),2),IF(AND($E188&lt;&gt;0,$F188&gt;0,YEAR($F188)&gt;=Preisindex!$A$6,YEAR(AV$4)&gt;=YEAR($F188),$K188="b"),ROUND(VLOOKUP(BA$4,Preisindex,3,FALSE)/VLOOKUP(YEAR($F188),Preisindex,3,FALSE),2),IF(AND($E188&lt;&gt;0,$F188&gt;0,YEAR($F188)&gt;=Preisindex!$A$6,YEAR(AV$4)&gt;=YEAR($F188),$K188="g"),ROUND(VLOOKUP(BA$4,Preisindex,4,FALSE)/VLOOKUP(YEAR($F188),Preisindex,4,FALSE),2),IF(AND($E188&lt;&gt;0,$F188&gt;0,YEAR($F188)&gt;=Preisindex!$A$6,YEAR(AV$4)&gt;=YEAR($F188),$K188="k"),ROUND(VLOOKUP(BA$4,Preisindex,2,FALSE)/VLOOKUP(YEAR($F188),Preisindex,2,FALSE),2),0)))))</f>
        <v>0</v>
      </c>
      <c r="BB188" s="56">
        <f>IF(AND($E188&lt;&gt;0,$F188&gt;0,YEAR($F188)&lt;Preisindex!$A$6,YEAR(AV$4)&gt;=YEAR($F188),AND($K188&lt;&gt;"a",$K188&lt;&gt;"b",$K188&lt;&gt;"g",$K188&lt;&gt;"k")),1,IF(AND($E188&lt;&gt;0,$F188&gt;0,YEAR($F188)&lt;Preisindex!$A$6,YEAR(AV$4)&gt;=YEAR($F188),$K188="a"),ROUND(VLOOKUP(BA$4,Preisindex,5,FALSE)/VLOOKUP(Preisindex!$A$6,Preisindex,5,FALSE),2),IF(AND($E188&lt;&gt;0,$F188&gt;0,YEAR($F188)&lt;Preisindex!$A$6,YEAR(AV$4)&gt;=YEAR($F188),$K188="b"),ROUND(VLOOKUP(BA$4,Preisindex,3,FALSE)/VLOOKUP(Preisindex!$A$6,Preisindex,3,FALSE),2),IF(AND($E188&lt;&gt;0,$F188&gt;0,YEAR($F188)&lt;Preisindex!$A$6,YEAR(AV$4)&gt;=YEAR($F188),$K188="g"),ROUND(VLOOKUP(BA$4,Preisindex,4,FALSE)/VLOOKUP(Preisindex!$A$6,Preisindex,4,FALSE),2),IF(AND($E188&lt;&gt;0,$F188&gt;0,YEAR($F188)&lt;Preisindex!$A$6,YEAR(AV$4)&gt;=YEAR($F188),$K188="k"),ROUND(VLOOKUP(BA$4,Preisindex,2,FALSE)/VLOOKUP(Preisindex!$A$6,Preisindex,2,FALSE),2),0)))))</f>
        <v>0</v>
      </c>
      <c r="BC188" s="51">
        <f>IF(AND($E188&lt;&gt;0,$F188&gt;0,YEAR($F188)&lt;=BA$4,YEAR($F188)&gt;=Preisindex!$A$6),ROUND($E188*BA188,2),IF(AND($E188&lt;&gt;0,$F188&gt;0,YEAR($F188)&lt;=BA$4,YEAR($F188)&lt;Preisindex!$A$6),ROUND($E188*BB188,2),0))</f>
        <v>0</v>
      </c>
      <c r="BD188" s="53">
        <f t="shared" si="500"/>
        <v>0</v>
      </c>
      <c r="BE188" s="51">
        <f t="shared" si="621"/>
        <v>0</v>
      </c>
      <c r="BF188" s="51">
        <f t="shared" si="584"/>
        <v>0</v>
      </c>
      <c r="BG188" s="51">
        <f t="shared" si="501"/>
        <v>0</v>
      </c>
      <c r="BH188" s="51">
        <f t="shared" si="585"/>
        <v>0</v>
      </c>
      <c r="BI188" s="51">
        <f t="shared" si="502"/>
        <v>0</v>
      </c>
      <c r="BJ188" s="51">
        <f t="shared" si="586"/>
        <v>0</v>
      </c>
      <c r="BK188" s="51">
        <f t="shared" si="503"/>
        <v>0</v>
      </c>
      <c r="BL188" s="51">
        <f t="shared" si="587"/>
        <v>0</v>
      </c>
      <c r="BM188" s="51">
        <f t="shared" si="504"/>
        <v>0</v>
      </c>
      <c r="BN188" s="51">
        <f t="shared" si="588"/>
        <v>0</v>
      </c>
      <c r="BO188" s="51">
        <f t="shared" si="505"/>
        <v>0</v>
      </c>
      <c r="BP188" s="54">
        <f t="shared" si="506"/>
        <v>0</v>
      </c>
      <c r="BQ188" s="55">
        <f t="shared" si="507"/>
        <v>0</v>
      </c>
      <c r="BR188" s="56">
        <f>IF(AND($E188&lt;&gt;0,$F188&gt;0,YEAR($F188)&gt;=Preisindex!$A$6,YEAR(BM$4)&gt;=YEAR($F188),AND($K188&lt;&gt;"a",$K188&lt;&gt;"b",$K188&lt;&gt;"g",$K188&lt;&gt;"k")),1,IF(AND($E188&lt;&gt;0,$F188&gt;0,YEAR($F188)&gt;=Preisindex!$A$6,YEAR(BM$4)&gt;=YEAR($F188),$K188="a"),ROUND(VLOOKUP(BR$4,Preisindex,5,FALSE)/VLOOKUP(YEAR($F188),Preisindex,5,FALSE),2),IF(AND($E188&lt;&gt;0,$F188&gt;0,YEAR($F188)&gt;=Preisindex!$A$6,YEAR(BM$4)&gt;=YEAR($F188),$K188="b"),ROUND(VLOOKUP(BR$4,Preisindex,3,FALSE)/VLOOKUP(YEAR($F188),Preisindex,3,FALSE),2),IF(AND($E188&lt;&gt;0,$F188&gt;0,YEAR($F188)&gt;=Preisindex!$A$6,YEAR(BM$4)&gt;=YEAR($F188),$K188="g"),ROUND(VLOOKUP(BR$4,Preisindex,4,FALSE)/VLOOKUP(YEAR($F188),Preisindex,4,FALSE),2),IF(AND($E188&lt;&gt;0,$F188&gt;0,YEAR($F188)&gt;=Preisindex!$A$6,YEAR(BM$4)&gt;=YEAR($F188),$K188="k"),ROUND(VLOOKUP(BR$4,Preisindex,2,FALSE)/VLOOKUP(YEAR($F188),Preisindex,2,FALSE),2),0)))))</f>
        <v>0</v>
      </c>
      <c r="BS188" s="56">
        <f>IF(AND($E188&lt;&gt;0,$F188&gt;0,YEAR($F188)&lt;Preisindex!$A$6,YEAR(BM$4)&gt;=YEAR($F188),AND($K188&lt;&gt;"a",$K188&lt;&gt;"b",$K188&lt;&gt;"g",$K188&lt;&gt;"k")),1,IF(AND($E188&lt;&gt;0,$F188&gt;0,YEAR($F188)&lt;Preisindex!$A$6,YEAR(BM$4)&gt;=YEAR($F188),$K188="a"),ROUND(VLOOKUP(BR$4,Preisindex,5,FALSE)/VLOOKUP(Preisindex!$A$6,Preisindex,5,FALSE),2),IF(AND($E188&lt;&gt;0,$F188&gt;0,YEAR($F188)&lt;Preisindex!$A$6,YEAR(BM$4)&gt;=YEAR($F188),$K188="b"),ROUND(VLOOKUP(BR$4,Preisindex,3,FALSE)/VLOOKUP(Preisindex!$A$6,Preisindex,3,FALSE),2),IF(AND($E188&lt;&gt;0,$F188&gt;0,YEAR($F188)&lt;Preisindex!$A$6,YEAR(BM$4)&gt;=YEAR($F188),$K188="g"),ROUND(VLOOKUP(BR$4,Preisindex,4,FALSE)/VLOOKUP(Preisindex!$A$6,Preisindex,4,FALSE),2),IF(AND($E188&lt;&gt;0,$F188&gt;0,YEAR($F188)&lt;Preisindex!$A$6,YEAR(BM$4)&gt;=YEAR($F188),$K188="k"),ROUND(VLOOKUP(BR$4,Preisindex,2,FALSE)/VLOOKUP(Preisindex!$A$6,Preisindex,2,FALSE),2),0)))))</f>
        <v>0</v>
      </c>
      <c r="BT188" s="51">
        <f>IF(AND($E188&lt;&gt;0,$F188&gt;0,YEAR($F188)&lt;=BR$4,YEAR($F188)&gt;=Preisindex!$A$6),ROUND($E188*BR188,2),IF(AND($E188&lt;&gt;0,$F188&gt;0,YEAR($F188)&lt;=BR$4,YEAR($F188)&lt;Preisindex!$A$6),ROUND($E188*BS188,2),0))</f>
        <v>0</v>
      </c>
      <c r="BU188" s="53">
        <f t="shared" si="508"/>
        <v>0</v>
      </c>
      <c r="BV188" s="51">
        <f t="shared" si="621"/>
        <v>0</v>
      </c>
      <c r="BW188" s="51">
        <f t="shared" si="589"/>
        <v>0</v>
      </c>
      <c r="BX188" s="51">
        <f t="shared" si="509"/>
        <v>0</v>
      </c>
      <c r="BY188" s="51">
        <f t="shared" si="590"/>
        <v>0</v>
      </c>
      <c r="BZ188" s="51">
        <f t="shared" si="510"/>
        <v>0</v>
      </c>
      <c r="CA188" s="51">
        <f t="shared" si="591"/>
        <v>0</v>
      </c>
      <c r="CB188" s="51">
        <f t="shared" si="511"/>
        <v>0</v>
      </c>
      <c r="CC188" s="51">
        <f t="shared" si="592"/>
        <v>0</v>
      </c>
      <c r="CD188" s="51">
        <f t="shared" si="512"/>
        <v>0</v>
      </c>
      <c r="CE188" s="51">
        <f t="shared" si="593"/>
        <v>0</v>
      </c>
      <c r="CF188" s="51">
        <f t="shared" si="513"/>
        <v>0</v>
      </c>
      <c r="CG188" s="54">
        <f t="shared" si="514"/>
        <v>0</v>
      </c>
      <c r="CH188" s="55">
        <f t="shared" si="515"/>
        <v>0</v>
      </c>
      <c r="CI188" s="56">
        <f>IF(AND($E188&lt;&gt;0,$F188&gt;0,YEAR($F188)&gt;=Preisindex!$A$6,YEAR(CD$4)&gt;=YEAR($F188),AND($K188&lt;&gt;"a",$K188&lt;&gt;"b",$K188&lt;&gt;"g",$K188&lt;&gt;"k")),1,IF(AND($E188&lt;&gt;0,$F188&gt;0,YEAR($F188)&gt;=Preisindex!$A$6,YEAR(CD$4)&gt;=YEAR($F188),$K188="a"),ROUND(VLOOKUP(CI$4,Preisindex,5,FALSE)/VLOOKUP(YEAR($F188),Preisindex,5,FALSE),2),IF(AND($E188&lt;&gt;0,$F188&gt;0,YEAR($F188)&gt;=Preisindex!$A$6,YEAR(CD$4)&gt;=YEAR($F188),$K188="b"),ROUND(VLOOKUP(CI$4,Preisindex,3,FALSE)/VLOOKUP(YEAR($F188),Preisindex,3,FALSE),2),IF(AND($E188&lt;&gt;0,$F188&gt;0,YEAR($F188)&gt;=Preisindex!$A$6,YEAR(CD$4)&gt;=YEAR($F188),$K188="g"),ROUND(VLOOKUP(CI$4,Preisindex,4,FALSE)/VLOOKUP(YEAR($F188),Preisindex,4,FALSE),2),IF(AND($E188&lt;&gt;0,$F188&gt;0,YEAR($F188)&gt;=Preisindex!$A$6,YEAR(CD$4)&gt;=YEAR($F188),$K188="k"),ROUND(VLOOKUP(CI$4,Preisindex,2,FALSE)/VLOOKUP(YEAR($F188),Preisindex,2,FALSE),2),0)))))</f>
        <v>0</v>
      </c>
      <c r="CJ188" s="56">
        <f>IF(AND($E188&lt;&gt;0,$F188&gt;0,YEAR($F188)&lt;Preisindex!$A$6,YEAR(CD$4)&gt;=YEAR($F188),AND($K188&lt;&gt;"a",$K188&lt;&gt;"b",$K188&lt;&gt;"g",$K188&lt;&gt;"k")),1,IF(AND($E188&lt;&gt;0,$F188&gt;0,YEAR($F188)&lt;Preisindex!$A$6,YEAR(CD$4)&gt;=YEAR($F188),$K188="a"),ROUND(VLOOKUP(CI$4,Preisindex,5,FALSE)/VLOOKUP(Preisindex!$A$6,Preisindex,5,FALSE),2),IF(AND($E188&lt;&gt;0,$F188&gt;0,YEAR($F188)&lt;Preisindex!$A$6,YEAR(CD$4)&gt;=YEAR($F188),$K188="b"),ROUND(VLOOKUP(CI$4,Preisindex,3,FALSE)/VLOOKUP(Preisindex!$A$6,Preisindex,3,FALSE),2),IF(AND($E188&lt;&gt;0,$F188&gt;0,YEAR($F188)&lt;Preisindex!$A$6,YEAR(CD$4)&gt;=YEAR($F188),$K188="g"),ROUND(VLOOKUP(CI$4,Preisindex,4,FALSE)/VLOOKUP(Preisindex!$A$6,Preisindex,4,FALSE),2),IF(AND($E188&lt;&gt;0,$F188&gt;0,YEAR($F188)&lt;Preisindex!$A$6,YEAR(CD$4)&gt;=YEAR($F188),$K188="k"),ROUND(VLOOKUP(CI$4,Preisindex,2,FALSE)/VLOOKUP(Preisindex!$A$6,Preisindex,2,FALSE),2),0)))))</f>
        <v>0</v>
      </c>
      <c r="CK188" s="51">
        <f>IF(AND($E188&lt;&gt;0,$F188&gt;0,YEAR($F188)&lt;=CI$4,YEAR($F188)&gt;=Preisindex!$A$6),ROUND($E188*CI188,2),IF(AND($E188&lt;&gt;0,$F188&gt;0,YEAR($F188)&lt;=CI$4,YEAR($F188)&lt;Preisindex!$A$6),ROUND($E188*CJ188,2),0))</f>
        <v>0</v>
      </c>
      <c r="CL188" s="53">
        <f t="shared" si="516"/>
        <v>0</v>
      </c>
      <c r="CM188" s="51">
        <f t="shared" si="621"/>
        <v>0</v>
      </c>
      <c r="CN188" s="51">
        <f t="shared" si="594"/>
        <v>0</v>
      </c>
      <c r="CO188" s="51">
        <f t="shared" si="517"/>
        <v>0</v>
      </c>
      <c r="CP188" s="51">
        <f t="shared" si="595"/>
        <v>0</v>
      </c>
      <c r="CQ188" s="51">
        <f t="shared" si="518"/>
        <v>0</v>
      </c>
      <c r="CR188" s="51">
        <f t="shared" si="596"/>
        <v>0</v>
      </c>
      <c r="CS188" s="51">
        <f t="shared" si="519"/>
        <v>0</v>
      </c>
      <c r="CT188" s="51">
        <f t="shared" si="597"/>
        <v>0</v>
      </c>
      <c r="CU188" s="51">
        <f t="shared" si="520"/>
        <v>0</v>
      </c>
      <c r="CV188" s="51">
        <f t="shared" si="598"/>
        <v>0</v>
      </c>
      <c r="CW188" s="51">
        <f t="shared" si="521"/>
        <v>0</v>
      </c>
      <c r="CX188" s="54">
        <f t="shared" si="522"/>
        <v>0</v>
      </c>
      <c r="CY188" s="55">
        <f t="shared" si="523"/>
        <v>0</v>
      </c>
      <c r="CZ188" s="56">
        <f>IF(AND($E188&lt;&gt;0,$F188&gt;0,YEAR($F188)&gt;=Preisindex!$A$6,YEAR(CU$4)&gt;=YEAR($F188),AND($K188&lt;&gt;"a",$K188&lt;&gt;"b",$K188&lt;&gt;"g",$K188&lt;&gt;"k")),1,IF(AND($E188&lt;&gt;0,$F188&gt;0,YEAR($F188)&gt;=Preisindex!$A$6,YEAR(CU$4)&gt;=YEAR($F188),$K188="a"),ROUND(VLOOKUP(CZ$4,Preisindex,5,FALSE)/VLOOKUP(YEAR($F188),Preisindex,5,FALSE),2),IF(AND($E188&lt;&gt;0,$F188&gt;0,YEAR($F188)&gt;=Preisindex!$A$6,YEAR(CU$4)&gt;=YEAR($F188),$K188="b"),ROUND(VLOOKUP(CZ$4,Preisindex,3,FALSE)/VLOOKUP(YEAR($F188),Preisindex,3,FALSE),2),IF(AND($E188&lt;&gt;0,$F188&gt;0,YEAR($F188)&gt;=Preisindex!$A$6,YEAR(CU$4)&gt;=YEAR($F188),$K188="g"),ROUND(VLOOKUP(CZ$4,Preisindex,4,FALSE)/VLOOKUP(YEAR($F188),Preisindex,4,FALSE),2),IF(AND($E188&lt;&gt;0,$F188&gt;0,YEAR($F188)&gt;=Preisindex!$A$6,YEAR(CU$4)&gt;=YEAR($F188),$K188="k"),ROUND(VLOOKUP(CZ$4,Preisindex,2,FALSE)/VLOOKUP(YEAR($F188),Preisindex,2,FALSE),2),0)))))</f>
        <v>0</v>
      </c>
      <c r="DA188" s="56">
        <f>IF(AND($E188&lt;&gt;0,$F188&gt;0,YEAR($F188)&lt;Preisindex!$A$6,YEAR(CU$4)&gt;=YEAR($F188),AND($K188&lt;&gt;"a",$K188&lt;&gt;"b",$K188&lt;&gt;"g",$K188&lt;&gt;"k")),1,IF(AND($E188&lt;&gt;0,$F188&gt;0,YEAR($F188)&lt;Preisindex!$A$6,YEAR(CU$4)&gt;=YEAR($F188),$K188="a"),ROUND(VLOOKUP(CZ$4,Preisindex,5,FALSE)/VLOOKUP(Preisindex!$A$6,Preisindex,5,FALSE),2),IF(AND($E188&lt;&gt;0,$F188&gt;0,YEAR($F188)&lt;Preisindex!$A$6,YEAR(CU$4)&gt;=YEAR($F188),$K188="b"),ROUND(VLOOKUP(CZ$4,Preisindex,3,FALSE)/VLOOKUP(Preisindex!$A$6,Preisindex,3,FALSE),2),IF(AND($E188&lt;&gt;0,$F188&gt;0,YEAR($F188)&lt;Preisindex!$A$6,YEAR(CU$4)&gt;=YEAR($F188),$K188="g"),ROUND(VLOOKUP(CZ$4,Preisindex,4,FALSE)/VLOOKUP(Preisindex!$A$6,Preisindex,4,FALSE),2),IF(AND($E188&lt;&gt;0,$F188&gt;0,YEAR($F188)&lt;Preisindex!$A$6,YEAR(CU$4)&gt;=YEAR($F188),$K188="k"),ROUND(VLOOKUP(CZ$4,Preisindex,2,FALSE)/VLOOKUP(Preisindex!$A$6,Preisindex,2,FALSE),2),0)))))</f>
        <v>0</v>
      </c>
      <c r="DB188" s="51">
        <f>IF(AND($E188&lt;&gt;0,$F188&gt;0,YEAR($F188)&lt;=CZ$4,YEAR($F188)&gt;=Preisindex!$A$6),ROUND($E188*CZ188,2),IF(AND($E188&lt;&gt;0,$F188&gt;0,YEAR($F188)&lt;=CZ$4,YEAR($F188)&lt;Preisindex!$A$6),ROUND($E188*DA188,2),0))</f>
        <v>0</v>
      </c>
      <c r="DC188" s="53">
        <f t="shared" si="524"/>
        <v>0</v>
      </c>
      <c r="DD188" s="51">
        <f t="shared" si="622"/>
        <v>0</v>
      </c>
      <c r="DE188" s="51">
        <f t="shared" si="599"/>
        <v>0</v>
      </c>
      <c r="DF188" s="51">
        <f t="shared" si="526"/>
        <v>0</v>
      </c>
      <c r="DG188" s="51">
        <f t="shared" si="600"/>
        <v>0</v>
      </c>
      <c r="DH188" s="51">
        <f t="shared" si="527"/>
        <v>0</v>
      </c>
      <c r="DI188" s="51">
        <f t="shared" si="601"/>
        <v>0</v>
      </c>
      <c r="DJ188" s="51">
        <f t="shared" si="528"/>
        <v>0</v>
      </c>
      <c r="DK188" s="51">
        <f t="shared" si="602"/>
        <v>0</v>
      </c>
      <c r="DL188" s="51">
        <f t="shared" si="529"/>
        <v>0</v>
      </c>
      <c r="DM188" s="51">
        <f t="shared" si="603"/>
        <v>0</v>
      </c>
      <c r="DN188" s="51">
        <f t="shared" si="530"/>
        <v>0</v>
      </c>
      <c r="DO188" s="54">
        <f t="shared" si="531"/>
        <v>0</v>
      </c>
      <c r="DP188" s="55">
        <f t="shared" si="532"/>
        <v>0</v>
      </c>
      <c r="DQ188" s="56">
        <f>IF(AND($E188&lt;&gt;0,$F188&gt;0,YEAR($F188)&gt;=Preisindex!$A$6,YEAR(DL$4)&gt;=YEAR($F188),AND($K188&lt;&gt;"a",$K188&lt;&gt;"b",$K188&lt;&gt;"g",$K188&lt;&gt;"k")),1,IF(AND($E188&lt;&gt;0,$F188&gt;0,YEAR($F188)&gt;=Preisindex!$A$6,YEAR(DL$4)&gt;=YEAR($F188),$K188="a"),ROUND(VLOOKUP(DQ$4,Preisindex,5,FALSE)/VLOOKUP(YEAR($F188),Preisindex,5,FALSE),2),IF(AND($E188&lt;&gt;0,$F188&gt;0,YEAR($F188)&gt;=Preisindex!$A$6,YEAR(DL$4)&gt;=YEAR($F188),$K188="b"),ROUND(VLOOKUP(DQ$4,Preisindex,3,FALSE)/VLOOKUP(YEAR($F188),Preisindex,3,FALSE),2),IF(AND($E188&lt;&gt;0,$F188&gt;0,YEAR($F188)&gt;=Preisindex!$A$6,YEAR(DL$4)&gt;=YEAR($F188),$K188="g"),ROUND(VLOOKUP(DQ$4,Preisindex,4,FALSE)/VLOOKUP(YEAR($F188),Preisindex,4,FALSE),2),IF(AND($E188&lt;&gt;0,$F188&gt;0,YEAR($F188)&gt;=Preisindex!$A$6,YEAR(DL$4)&gt;=YEAR($F188),$K188="k"),ROUND(VLOOKUP(DQ$4,Preisindex,2,FALSE)/VLOOKUP(YEAR($F188),Preisindex,2,FALSE),2),0)))))</f>
        <v>0</v>
      </c>
      <c r="DR188" s="56">
        <f>IF(AND($E188&lt;&gt;0,$F188&gt;0,YEAR($F188)&lt;Preisindex!$A$6,YEAR(DL$4)&gt;=YEAR($F188),AND($K188&lt;&gt;"a",$K188&lt;&gt;"b",$K188&lt;&gt;"g",$K188&lt;&gt;"k")),1,IF(AND($E188&lt;&gt;0,$F188&gt;0,YEAR($F188)&lt;Preisindex!$A$6,YEAR(DL$4)&gt;=YEAR($F188),$K188="a"),ROUND(VLOOKUP(DQ$4,Preisindex,5,FALSE)/VLOOKUP(Preisindex!$A$6,Preisindex,5,FALSE),2),IF(AND($E188&lt;&gt;0,$F188&gt;0,YEAR($F188)&lt;Preisindex!$A$6,YEAR(DL$4)&gt;=YEAR($F188),$K188="b"),ROUND(VLOOKUP(DQ$4,Preisindex,3,FALSE)/VLOOKUP(Preisindex!$A$6,Preisindex,3,FALSE),2),IF(AND($E188&lt;&gt;0,$F188&gt;0,YEAR($F188)&lt;Preisindex!$A$6,YEAR(DL$4)&gt;=YEAR($F188),$K188="g"),ROUND(VLOOKUP(DQ$4,Preisindex,4,FALSE)/VLOOKUP(Preisindex!$A$6,Preisindex,4,FALSE),2),IF(AND($E188&lt;&gt;0,$F188&gt;0,YEAR($F188)&lt;Preisindex!$A$6,YEAR(DL$4)&gt;=YEAR($F188),$K188="k"),ROUND(VLOOKUP(DQ$4,Preisindex,2,FALSE)/VLOOKUP(Preisindex!$A$6,Preisindex,2,FALSE),2),0)))))</f>
        <v>0</v>
      </c>
      <c r="DS188" s="51">
        <f>IF(AND($E188&lt;&gt;0,$F188&gt;0,YEAR($F188)&lt;=DQ$4,YEAR($F188)&gt;=Preisindex!$A$6),ROUND($E188*DQ188,2),IF(AND($E188&lt;&gt;0,$F188&gt;0,YEAR($F188)&lt;=DQ$4,YEAR($F188)&lt;Preisindex!$A$6),ROUND($E188*DR188,2),0))</f>
        <v>0</v>
      </c>
      <c r="DT188" s="53">
        <f t="shared" si="533"/>
        <v>0</v>
      </c>
      <c r="DU188" s="51">
        <f t="shared" si="622"/>
        <v>0</v>
      </c>
      <c r="DV188" s="51">
        <f t="shared" si="604"/>
        <v>0</v>
      </c>
      <c r="DW188" s="51">
        <f t="shared" si="534"/>
        <v>0</v>
      </c>
      <c r="DX188" s="51">
        <f t="shared" si="605"/>
        <v>0</v>
      </c>
      <c r="DY188" s="51">
        <f t="shared" si="535"/>
        <v>0</v>
      </c>
      <c r="DZ188" s="51">
        <f t="shared" si="606"/>
        <v>0</v>
      </c>
      <c r="EA188" s="51">
        <f t="shared" si="536"/>
        <v>0</v>
      </c>
      <c r="EB188" s="51">
        <f t="shared" si="607"/>
        <v>0</v>
      </c>
      <c r="EC188" s="51">
        <f t="shared" si="537"/>
        <v>0</v>
      </c>
      <c r="ED188" s="51">
        <f t="shared" si="608"/>
        <v>0</v>
      </c>
      <c r="EE188" s="51">
        <f t="shared" si="538"/>
        <v>0</v>
      </c>
      <c r="EF188" s="54">
        <f t="shared" si="539"/>
        <v>0</v>
      </c>
      <c r="EG188" s="55">
        <f t="shared" si="540"/>
        <v>0</v>
      </c>
      <c r="EH188" s="56">
        <f>IF(AND($E188&lt;&gt;0,$F188&gt;0,YEAR($F188)&gt;=Preisindex!$A$6,YEAR(EC$4)&gt;=YEAR($F188),AND($K188&lt;&gt;"a",$K188&lt;&gt;"b",$K188&lt;&gt;"g",$K188&lt;&gt;"k")),1,IF(AND($E188&lt;&gt;0,$F188&gt;0,YEAR($F188)&gt;=Preisindex!$A$6,YEAR(EC$4)&gt;=YEAR($F188),$K188="a"),ROUND(VLOOKUP(EH$4,Preisindex,5,FALSE)/VLOOKUP(YEAR($F188),Preisindex,5,FALSE),2),IF(AND($E188&lt;&gt;0,$F188&gt;0,YEAR($F188)&gt;=Preisindex!$A$6,YEAR(EC$4)&gt;=YEAR($F188),$K188="b"),ROUND(VLOOKUP(EH$4,Preisindex,3,FALSE)/VLOOKUP(YEAR($F188),Preisindex,3,FALSE),2),IF(AND($E188&lt;&gt;0,$F188&gt;0,YEAR($F188)&gt;=Preisindex!$A$6,YEAR(EC$4)&gt;=YEAR($F188),$K188="g"),ROUND(VLOOKUP(EH$4,Preisindex,4,FALSE)/VLOOKUP(YEAR($F188),Preisindex,4,FALSE),2),IF(AND($E188&lt;&gt;0,$F188&gt;0,YEAR($F188)&gt;=Preisindex!$A$6,YEAR(EC$4)&gt;=YEAR($F188),$K188="k"),ROUND(VLOOKUP(EH$4,Preisindex,2,FALSE)/VLOOKUP(YEAR($F188),Preisindex,2,FALSE),2),0)))))</f>
        <v>0</v>
      </c>
      <c r="EI188" s="56">
        <f>IF(AND($E188&lt;&gt;0,$F188&gt;0,YEAR($F188)&lt;Preisindex!$A$6,YEAR(EC$4)&gt;=YEAR($F188),AND($K188&lt;&gt;"a",$K188&lt;&gt;"b",$K188&lt;&gt;"g",$K188&lt;&gt;"k")),1,IF(AND($E188&lt;&gt;0,$F188&gt;0,YEAR($F188)&lt;Preisindex!$A$6,YEAR(EC$4)&gt;=YEAR($F188),$K188="a"),ROUND(VLOOKUP(EH$4,Preisindex,5,FALSE)/VLOOKUP(Preisindex!$A$6,Preisindex,5,FALSE),2),IF(AND($E188&lt;&gt;0,$F188&gt;0,YEAR($F188)&lt;Preisindex!$A$6,YEAR(EC$4)&gt;=YEAR($F188),$K188="b"),ROUND(VLOOKUP(EH$4,Preisindex,3,FALSE)/VLOOKUP(Preisindex!$A$6,Preisindex,3,FALSE),2),IF(AND($E188&lt;&gt;0,$F188&gt;0,YEAR($F188)&lt;Preisindex!$A$6,YEAR(EC$4)&gt;=YEAR($F188),$K188="g"),ROUND(VLOOKUP(EH$4,Preisindex,4,FALSE)/VLOOKUP(Preisindex!$A$6,Preisindex,4,FALSE),2),IF(AND($E188&lt;&gt;0,$F188&gt;0,YEAR($F188)&lt;Preisindex!$A$6,YEAR(EC$4)&gt;=YEAR($F188),$K188="k"),ROUND(VLOOKUP(EH$4,Preisindex,2,FALSE)/VLOOKUP(Preisindex!$A$6,Preisindex,2,FALSE),2),0)))))</f>
        <v>0</v>
      </c>
      <c r="EJ188" s="51">
        <f>IF(AND($E188&lt;&gt;0,$F188&gt;0,YEAR($F188)&lt;=EH$4,YEAR($F188)&gt;=Preisindex!$A$6),ROUND($E188*EH188,2),IF(AND($E188&lt;&gt;0,$F188&gt;0,YEAR($F188)&lt;=EH$4,YEAR($F188)&lt;Preisindex!$A$6),ROUND($E188*EI188,2),0))</f>
        <v>0</v>
      </c>
      <c r="EK188" s="53">
        <f t="shared" si="541"/>
        <v>0</v>
      </c>
      <c r="EL188" s="51">
        <f t="shared" si="622"/>
        <v>0</v>
      </c>
      <c r="EM188" s="51">
        <f t="shared" si="609"/>
        <v>0</v>
      </c>
      <c r="EN188" s="51">
        <f t="shared" si="542"/>
        <v>0</v>
      </c>
      <c r="EO188" s="51">
        <f t="shared" si="610"/>
        <v>0</v>
      </c>
      <c r="EP188" s="51">
        <f t="shared" si="543"/>
        <v>0</v>
      </c>
      <c r="EQ188" s="51">
        <f t="shared" si="611"/>
        <v>0</v>
      </c>
      <c r="ER188" s="51">
        <f t="shared" si="544"/>
        <v>0</v>
      </c>
      <c r="ES188" s="51">
        <f t="shared" si="612"/>
        <v>0</v>
      </c>
      <c r="ET188" s="51">
        <f t="shared" si="545"/>
        <v>0</v>
      </c>
      <c r="EU188" s="51">
        <f t="shared" si="613"/>
        <v>0</v>
      </c>
      <c r="EV188" s="51">
        <f t="shared" si="546"/>
        <v>0</v>
      </c>
      <c r="EW188" s="54">
        <f t="shared" si="547"/>
        <v>0</v>
      </c>
      <c r="EX188" s="55">
        <f t="shared" si="548"/>
        <v>0</v>
      </c>
      <c r="EY188" s="56">
        <f>IF(AND($E188&lt;&gt;0,$F188&gt;0,YEAR($F188)&gt;=Preisindex!$A$6,YEAR(ET$4)&gt;=YEAR($F188),AND($K188&lt;&gt;"a",$K188&lt;&gt;"b",$K188&lt;&gt;"g",$K188&lt;&gt;"k")),1,IF(AND($E188&lt;&gt;0,$F188&gt;0,YEAR($F188)&gt;=Preisindex!$A$6,YEAR(ET$4)&gt;=YEAR($F188),$K188="a"),ROUND(VLOOKUP(EY$4,Preisindex,5,FALSE)/VLOOKUP(YEAR($F188),Preisindex,5,FALSE),2),IF(AND($E188&lt;&gt;0,$F188&gt;0,YEAR($F188)&gt;=Preisindex!$A$6,YEAR(ET$4)&gt;=YEAR($F188),$K188="b"),ROUND(VLOOKUP(EY$4,Preisindex,3,FALSE)/VLOOKUP(YEAR($F188),Preisindex,3,FALSE),2),IF(AND($E188&lt;&gt;0,$F188&gt;0,YEAR($F188)&gt;=Preisindex!$A$6,YEAR(ET$4)&gt;=YEAR($F188),$K188="g"),ROUND(VLOOKUP(EY$4,Preisindex,4,FALSE)/VLOOKUP(YEAR($F188),Preisindex,4,FALSE),2),IF(AND($E188&lt;&gt;0,$F188&gt;0,YEAR($F188)&gt;=Preisindex!$A$6,YEAR(ET$4)&gt;=YEAR($F188),$K188="k"),ROUND(VLOOKUP(EY$4,Preisindex,2,FALSE)/VLOOKUP(YEAR($F188),Preisindex,2,FALSE),2),0)))))</f>
        <v>0</v>
      </c>
      <c r="EZ188" s="56">
        <f>IF(AND($E188&lt;&gt;0,$F188&gt;0,YEAR($F188)&lt;Preisindex!$A$6,YEAR(ET$4)&gt;=YEAR($F188),AND($K188&lt;&gt;"a",$K188&lt;&gt;"b",$K188&lt;&gt;"g",$K188&lt;&gt;"k")),1,IF(AND($E188&lt;&gt;0,$F188&gt;0,YEAR($F188)&lt;Preisindex!$A$6,YEAR(ET$4)&gt;=YEAR($F188),$K188="a"),ROUND(VLOOKUP(EY$4,Preisindex,5,FALSE)/VLOOKUP(Preisindex!$A$6,Preisindex,5,FALSE),2),IF(AND($E188&lt;&gt;0,$F188&gt;0,YEAR($F188)&lt;Preisindex!$A$6,YEAR(ET$4)&gt;=YEAR($F188),$K188="b"),ROUND(VLOOKUP(EY$4,Preisindex,3,FALSE)/VLOOKUP(Preisindex!$A$6,Preisindex,3,FALSE),2),IF(AND($E188&lt;&gt;0,$F188&gt;0,YEAR($F188)&lt;Preisindex!$A$6,YEAR(ET$4)&gt;=YEAR($F188),$K188="g"),ROUND(VLOOKUP(EY$4,Preisindex,4,FALSE)/VLOOKUP(Preisindex!$A$6,Preisindex,4,FALSE),2),IF(AND($E188&lt;&gt;0,$F188&gt;0,YEAR($F188)&lt;Preisindex!$A$6,YEAR(ET$4)&gt;=YEAR($F188),$K188="k"),ROUND(VLOOKUP(EY$4,Preisindex,2,FALSE)/VLOOKUP(Preisindex!$A$6,Preisindex,2,FALSE),2),0)))))</f>
        <v>0</v>
      </c>
      <c r="FA188" s="51">
        <f>IF(AND($E188&lt;&gt;0,$F188&gt;0,YEAR($F188)&lt;=EY$4,YEAR($F188)&gt;=Preisindex!$A$6),ROUND($E188*EY188,2),IF(AND($E188&lt;&gt;0,$F188&gt;0,YEAR($F188)&lt;=EY$4,YEAR($F188)&lt;Preisindex!$A$6),ROUND($E188*EZ188,2),0))</f>
        <v>0</v>
      </c>
      <c r="FB188" s="53">
        <f t="shared" si="549"/>
        <v>0</v>
      </c>
      <c r="FC188" s="51">
        <f t="shared" si="622"/>
        <v>0</v>
      </c>
      <c r="FD188" s="51">
        <f t="shared" si="614"/>
        <v>0</v>
      </c>
      <c r="FE188" s="51">
        <f t="shared" si="550"/>
        <v>0</v>
      </c>
      <c r="FF188" s="51">
        <f t="shared" si="615"/>
        <v>0</v>
      </c>
      <c r="FG188" s="51">
        <f t="shared" si="551"/>
        <v>0</v>
      </c>
      <c r="FH188" s="51">
        <f t="shared" si="616"/>
        <v>0</v>
      </c>
      <c r="FI188" s="51">
        <f t="shared" si="552"/>
        <v>0</v>
      </c>
      <c r="FJ188" s="51">
        <f t="shared" si="617"/>
        <v>0</v>
      </c>
      <c r="FK188" s="51">
        <f t="shared" si="553"/>
        <v>0</v>
      </c>
      <c r="FL188" s="51">
        <f t="shared" si="618"/>
        <v>0</v>
      </c>
      <c r="FM188" s="51">
        <f t="shared" si="554"/>
        <v>0</v>
      </c>
      <c r="FN188" s="54">
        <f t="shared" si="555"/>
        <v>0</v>
      </c>
      <c r="FO188" s="55">
        <f t="shared" si="556"/>
        <v>0</v>
      </c>
      <c r="FP188" s="56">
        <f>IF(AND($E188&lt;&gt;0,$F188&gt;0,YEAR($F188)&gt;=Preisindex!$A$6,YEAR(FK$4)&gt;=YEAR($F188),AND($K188&lt;&gt;"a",$K188&lt;&gt;"b",$K188&lt;&gt;"g",$K188&lt;&gt;"k")),1,IF(AND($E188&lt;&gt;0,$F188&gt;0,YEAR($F188)&gt;=Preisindex!$A$6,YEAR(FK$4)&gt;=YEAR($F188),$K188="a"),ROUND(VLOOKUP(FP$4,Preisindex,5,FALSE)/VLOOKUP(YEAR($F188),Preisindex,5,FALSE),2),IF(AND($E188&lt;&gt;0,$F188&gt;0,YEAR($F188)&gt;=Preisindex!$A$6,YEAR(FK$4)&gt;=YEAR($F188),$K188="b"),ROUND(VLOOKUP(FP$4,Preisindex,3,FALSE)/VLOOKUP(YEAR($F188),Preisindex,3,FALSE),2),IF(AND($E188&lt;&gt;0,$F188&gt;0,YEAR($F188)&gt;=Preisindex!$A$6,YEAR(FK$4)&gt;=YEAR($F188),$K188="g"),ROUND(VLOOKUP(FP$4,Preisindex,4,FALSE)/VLOOKUP(YEAR($F188),Preisindex,4,FALSE),2),IF(AND($E188&lt;&gt;0,$F188&gt;0,YEAR($F188)&gt;=Preisindex!$A$6,YEAR(FK$4)&gt;=YEAR($F188),$K188="k"),ROUND(VLOOKUP(FP$4,Preisindex,2,FALSE)/VLOOKUP(YEAR($F188),Preisindex,2,FALSE),2),0)))))</f>
        <v>0</v>
      </c>
      <c r="FQ188" s="56">
        <f>IF(AND($E188&lt;&gt;0,$F188&gt;0,YEAR($F188)&lt;Preisindex!$A$6,YEAR(FK$4)&gt;=YEAR($F188),AND($K188&lt;&gt;"a",$K188&lt;&gt;"b",$K188&lt;&gt;"g",$K188&lt;&gt;"k")),1,IF(AND($E188&lt;&gt;0,$F188&gt;0,YEAR($F188)&lt;Preisindex!$A$6,YEAR(FK$4)&gt;=YEAR($F188),$K188="a"),ROUND(VLOOKUP(FP$4,Preisindex,5,FALSE)/VLOOKUP(Preisindex!$A$6,Preisindex,5,FALSE),2),IF(AND($E188&lt;&gt;0,$F188&gt;0,YEAR($F188)&lt;Preisindex!$A$6,YEAR(FK$4)&gt;=YEAR($F188),$K188="b"),ROUND(VLOOKUP(FP$4,Preisindex,3,FALSE)/VLOOKUP(Preisindex!$A$6,Preisindex,3,FALSE),2),IF(AND($E188&lt;&gt;0,$F188&gt;0,YEAR($F188)&lt;Preisindex!$A$6,YEAR(FK$4)&gt;=YEAR($F188),$K188="g"),ROUND(VLOOKUP(FP$4,Preisindex,4,FALSE)/VLOOKUP(Preisindex!$A$6,Preisindex,4,FALSE),2),IF(AND($E188&lt;&gt;0,$F188&gt;0,YEAR($F188)&lt;Preisindex!$A$6,YEAR(FK$4)&gt;=YEAR($F188),$K188="k"),ROUND(VLOOKUP(FP$4,Preisindex,2,FALSE)/VLOOKUP(Preisindex!$A$6,Preisindex,2,FALSE),2),0)))))</f>
        <v>0</v>
      </c>
      <c r="FR188" s="51">
        <f>IF(AND($E188&lt;&gt;0,$F188&gt;0,YEAR($F188)&lt;=FP$4,YEAR($F188)&gt;=Preisindex!$A$6),ROUND($E188*FP188,2),IF(AND($E188&lt;&gt;0,$F188&gt;0,YEAR($F188)&lt;=FP$4,YEAR($F188)&lt;Preisindex!$A$6),ROUND($E188*FQ188,2),0))</f>
        <v>0</v>
      </c>
      <c r="FS188" s="53">
        <f t="shared" si="557"/>
        <v>0</v>
      </c>
    </row>
    <row r="189" spans="1:175" x14ac:dyDescent="0.3">
      <c r="A189" s="93"/>
      <c r="B189" s="94"/>
      <c r="C189" s="94"/>
      <c r="D189" s="95"/>
      <c r="E189" s="99"/>
      <c r="F189" s="97"/>
      <c r="G189" s="98"/>
      <c r="H189" s="620"/>
      <c r="I189" s="621"/>
      <c r="J189" s="194"/>
      <c r="K189" s="630"/>
      <c r="L189" s="49">
        <f t="shared" si="558"/>
        <v>0</v>
      </c>
      <c r="M189" s="50">
        <f t="shared" si="559"/>
        <v>0</v>
      </c>
      <c r="N189" s="51">
        <f t="shared" si="560"/>
        <v>0</v>
      </c>
      <c r="O189" s="51"/>
      <c r="P189" s="51">
        <f t="shared" si="561"/>
        <v>0</v>
      </c>
      <c r="Q189" s="52"/>
      <c r="R189" s="52"/>
      <c r="S189" s="52"/>
      <c r="T189" s="52"/>
      <c r="U189" s="52"/>
      <c r="V189" s="53">
        <f t="shared" si="562"/>
        <v>0</v>
      </c>
      <c r="W189" s="51">
        <f t="shared" si="563"/>
        <v>0</v>
      </c>
      <c r="X189" s="51">
        <f t="shared" si="564"/>
        <v>0</v>
      </c>
      <c r="Y189" s="51">
        <f t="shared" si="565"/>
        <v>0</v>
      </c>
      <c r="Z189" s="51">
        <f t="shared" si="566"/>
        <v>0</v>
      </c>
      <c r="AA189" s="51">
        <f t="shared" si="567"/>
        <v>0</v>
      </c>
      <c r="AB189" s="51">
        <f t="shared" si="568"/>
        <v>0</v>
      </c>
      <c r="AC189" s="51">
        <f t="shared" si="569"/>
        <v>0</v>
      </c>
      <c r="AD189" s="51">
        <f t="shared" si="570"/>
        <v>0</v>
      </c>
      <c r="AE189" s="51">
        <f t="shared" si="571"/>
        <v>0</v>
      </c>
      <c r="AF189" s="51">
        <f t="shared" si="572"/>
        <v>0</v>
      </c>
      <c r="AG189" s="51">
        <f t="shared" si="573"/>
        <v>0</v>
      </c>
      <c r="AH189" s="54">
        <f t="shared" si="574"/>
        <v>0</v>
      </c>
      <c r="AI189" s="55">
        <f t="shared" si="575"/>
        <v>0</v>
      </c>
      <c r="AJ189" s="56">
        <f>IF(AND($E189&lt;&gt;0,$F189&gt;0,YEAR($F189)&gt;=Preisindex!$A$6,YEAR(AE$4)&gt;=YEAR($F189),AND($K189&lt;&gt;"a",$K189&lt;&gt;"b",$K189&lt;&gt;"g",$K189&lt;&gt;"k")),1,IF(AND($E189&lt;&gt;0,$F189&gt;0,YEAR($F189)&gt;=Preisindex!$A$6,YEAR(AE$4)&gt;=YEAR($F189),$K189="a"),ROUND(VLOOKUP(AJ$4,Preisindex,5,FALSE)/VLOOKUP(YEAR($F189),Preisindex,5,FALSE),2),IF(AND($E189&lt;&gt;0,$F189&gt;0,YEAR($F189)&gt;=Preisindex!$A$6,YEAR(AE$4)&gt;=YEAR($F189),$K189="b"),ROUND(VLOOKUP(AJ$4,Preisindex,3,FALSE)/VLOOKUP(YEAR($F189),Preisindex,3,FALSE),2),IF(AND($E189&lt;&gt;0,$F189&gt;0,YEAR($F189)&gt;=Preisindex!$A$6,YEAR(AE$4)&gt;=YEAR($F189),$K189="g"),ROUND(VLOOKUP(AJ$4,Preisindex,4,FALSE)/VLOOKUP(YEAR($F189),Preisindex,4,FALSE),2),IF(AND($E189&lt;&gt;0,$F189&gt;0,YEAR($F189)&gt;=Preisindex!$A$6,YEAR(AE$4)&gt;=YEAR($F189),$K189="k"),ROUND(VLOOKUP(AJ$4,Preisindex,2,FALSE)/VLOOKUP(YEAR($F189),Preisindex,2,FALSE),2),0)))))</f>
        <v>0</v>
      </c>
      <c r="AK189" s="56">
        <f>IF(AND($E189&lt;&gt;0,$F189&gt;0,YEAR($F189)&lt;Preisindex!$A$6,YEAR(AE$4)&gt;=YEAR($F189),AND($K189&lt;&gt;"a",$K189&lt;&gt;"b",$K189&lt;&gt;"g",$K189&lt;&gt;"k")),1,IF(AND($E189&lt;&gt;0,$F189&gt;0,YEAR($F189)&lt;Preisindex!$A$6,YEAR(AE$4)&gt;=YEAR($F189),$K189="a"),ROUND(VLOOKUP(AJ$4,Preisindex,5,FALSE)/VLOOKUP(Preisindex!$A$6,Preisindex,5,FALSE),2),IF(AND($E189&lt;&gt;0,$F189&gt;0,YEAR($F189)&lt;Preisindex!$A$6,YEAR(AE$4)&gt;=YEAR($F189),$K189="b"),ROUND(VLOOKUP(AJ$4,Preisindex,3,FALSE)/VLOOKUP(Preisindex!$A$6,Preisindex,3,FALSE),2),IF(AND($E189&lt;&gt;0,$F189&gt;0,YEAR($F189)&lt;Preisindex!$A$6,YEAR(AE$4)&gt;=YEAR($F189),$K189="g"),ROUND(VLOOKUP(AJ$4,Preisindex,4,FALSE)/VLOOKUP(Preisindex!$A$6,Preisindex,4,FALSE),2),IF(AND($E189&lt;&gt;0,$F189&gt;0,YEAR($F189)&lt;Preisindex!$A$6,YEAR(AE$4)&gt;=YEAR($F189),$K189="k"),ROUND(VLOOKUP(AJ$4,Preisindex,2,FALSE)/VLOOKUP(Preisindex!$A$6,Preisindex,2,FALSE),2),0)))))</f>
        <v>0</v>
      </c>
      <c r="AL189" s="51">
        <f>IF(AND($E189&lt;&gt;0,$F189&gt;0,YEAR($F189)&lt;=AJ$4,YEAR($F189)&gt;=Preisindex!$A$6),ROUND($E189*AJ189,2),IF(AND($E189&lt;&gt;0,$F189&gt;0,YEAR($F189)&lt;=AJ$4,YEAR($F189)&lt;Preisindex!$A$6),ROUND($E189*AK189,2),0))</f>
        <v>0</v>
      </c>
      <c r="AM189" s="53">
        <f t="shared" si="576"/>
        <v>0</v>
      </c>
      <c r="AN189" s="51">
        <f t="shared" si="621"/>
        <v>0</v>
      </c>
      <c r="AO189" s="51">
        <f t="shared" si="579"/>
        <v>0</v>
      </c>
      <c r="AP189" s="51">
        <f t="shared" si="493"/>
        <v>0</v>
      </c>
      <c r="AQ189" s="51">
        <f t="shared" si="580"/>
        <v>0</v>
      </c>
      <c r="AR189" s="51">
        <f t="shared" si="494"/>
        <v>0</v>
      </c>
      <c r="AS189" s="51">
        <f t="shared" si="581"/>
        <v>0</v>
      </c>
      <c r="AT189" s="51">
        <f t="shared" si="495"/>
        <v>0</v>
      </c>
      <c r="AU189" s="51">
        <f t="shared" si="582"/>
        <v>0</v>
      </c>
      <c r="AV189" s="51">
        <f t="shared" si="496"/>
        <v>0</v>
      </c>
      <c r="AW189" s="51">
        <f t="shared" si="583"/>
        <v>0</v>
      </c>
      <c r="AX189" s="51">
        <f t="shared" si="497"/>
        <v>0</v>
      </c>
      <c r="AY189" s="54">
        <f t="shared" si="498"/>
        <v>0</v>
      </c>
      <c r="AZ189" s="55">
        <f t="shared" si="499"/>
        <v>0</v>
      </c>
      <c r="BA189" s="56">
        <f>IF(AND($E189&lt;&gt;0,$F189&gt;0,YEAR($F189)&gt;=Preisindex!$A$6,YEAR(AV$4)&gt;=YEAR($F189),AND($K189&lt;&gt;"a",$K189&lt;&gt;"b",$K189&lt;&gt;"g",$K189&lt;&gt;"k")),1,IF(AND($E189&lt;&gt;0,$F189&gt;0,YEAR($F189)&gt;=Preisindex!$A$6,YEAR(AV$4)&gt;=YEAR($F189),$K189="a"),ROUND(VLOOKUP(BA$4,Preisindex,5,FALSE)/VLOOKUP(YEAR($F189),Preisindex,5,FALSE),2),IF(AND($E189&lt;&gt;0,$F189&gt;0,YEAR($F189)&gt;=Preisindex!$A$6,YEAR(AV$4)&gt;=YEAR($F189),$K189="b"),ROUND(VLOOKUP(BA$4,Preisindex,3,FALSE)/VLOOKUP(YEAR($F189),Preisindex,3,FALSE),2),IF(AND($E189&lt;&gt;0,$F189&gt;0,YEAR($F189)&gt;=Preisindex!$A$6,YEAR(AV$4)&gt;=YEAR($F189),$K189="g"),ROUND(VLOOKUP(BA$4,Preisindex,4,FALSE)/VLOOKUP(YEAR($F189),Preisindex,4,FALSE),2),IF(AND($E189&lt;&gt;0,$F189&gt;0,YEAR($F189)&gt;=Preisindex!$A$6,YEAR(AV$4)&gt;=YEAR($F189),$K189="k"),ROUND(VLOOKUP(BA$4,Preisindex,2,FALSE)/VLOOKUP(YEAR($F189),Preisindex,2,FALSE),2),0)))))</f>
        <v>0</v>
      </c>
      <c r="BB189" s="56">
        <f>IF(AND($E189&lt;&gt;0,$F189&gt;0,YEAR($F189)&lt;Preisindex!$A$6,YEAR(AV$4)&gt;=YEAR($F189),AND($K189&lt;&gt;"a",$K189&lt;&gt;"b",$K189&lt;&gt;"g",$K189&lt;&gt;"k")),1,IF(AND($E189&lt;&gt;0,$F189&gt;0,YEAR($F189)&lt;Preisindex!$A$6,YEAR(AV$4)&gt;=YEAR($F189),$K189="a"),ROUND(VLOOKUP(BA$4,Preisindex,5,FALSE)/VLOOKUP(Preisindex!$A$6,Preisindex,5,FALSE),2),IF(AND($E189&lt;&gt;0,$F189&gt;0,YEAR($F189)&lt;Preisindex!$A$6,YEAR(AV$4)&gt;=YEAR($F189),$K189="b"),ROUND(VLOOKUP(BA$4,Preisindex,3,FALSE)/VLOOKUP(Preisindex!$A$6,Preisindex,3,FALSE),2),IF(AND($E189&lt;&gt;0,$F189&gt;0,YEAR($F189)&lt;Preisindex!$A$6,YEAR(AV$4)&gt;=YEAR($F189),$K189="g"),ROUND(VLOOKUP(BA$4,Preisindex,4,FALSE)/VLOOKUP(Preisindex!$A$6,Preisindex,4,FALSE),2),IF(AND($E189&lt;&gt;0,$F189&gt;0,YEAR($F189)&lt;Preisindex!$A$6,YEAR(AV$4)&gt;=YEAR($F189),$K189="k"),ROUND(VLOOKUP(BA$4,Preisindex,2,FALSE)/VLOOKUP(Preisindex!$A$6,Preisindex,2,FALSE),2),0)))))</f>
        <v>0</v>
      </c>
      <c r="BC189" s="51">
        <f>IF(AND($E189&lt;&gt;0,$F189&gt;0,YEAR($F189)&lt;=BA$4,YEAR($F189)&gt;=Preisindex!$A$6),ROUND($E189*BA189,2),IF(AND($E189&lt;&gt;0,$F189&gt;0,YEAR($F189)&lt;=BA$4,YEAR($F189)&lt;Preisindex!$A$6),ROUND($E189*BB189,2),0))</f>
        <v>0</v>
      </c>
      <c r="BD189" s="53">
        <f t="shared" si="500"/>
        <v>0</v>
      </c>
      <c r="BE189" s="51">
        <f t="shared" si="621"/>
        <v>0</v>
      </c>
      <c r="BF189" s="51">
        <f t="shared" si="584"/>
        <v>0</v>
      </c>
      <c r="BG189" s="51">
        <f t="shared" si="501"/>
        <v>0</v>
      </c>
      <c r="BH189" s="51">
        <f t="shared" si="585"/>
        <v>0</v>
      </c>
      <c r="BI189" s="51">
        <f t="shared" si="502"/>
        <v>0</v>
      </c>
      <c r="BJ189" s="51">
        <f t="shared" si="586"/>
        <v>0</v>
      </c>
      <c r="BK189" s="51">
        <f t="shared" si="503"/>
        <v>0</v>
      </c>
      <c r="BL189" s="51">
        <f t="shared" si="587"/>
        <v>0</v>
      </c>
      <c r="BM189" s="51">
        <f t="shared" si="504"/>
        <v>0</v>
      </c>
      <c r="BN189" s="51">
        <f t="shared" si="588"/>
        <v>0</v>
      </c>
      <c r="BO189" s="51">
        <f t="shared" si="505"/>
        <v>0</v>
      </c>
      <c r="BP189" s="54">
        <f t="shared" si="506"/>
        <v>0</v>
      </c>
      <c r="BQ189" s="55">
        <f t="shared" si="507"/>
        <v>0</v>
      </c>
      <c r="BR189" s="56">
        <f>IF(AND($E189&lt;&gt;0,$F189&gt;0,YEAR($F189)&gt;=Preisindex!$A$6,YEAR(BM$4)&gt;=YEAR($F189),AND($K189&lt;&gt;"a",$K189&lt;&gt;"b",$K189&lt;&gt;"g",$K189&lt;&gt;"k")),1,IF(AND($E189&lt;&gt;0,$F189&gt;0,YEAR($F189)&gt;=Preisindex!$A$6,YEAR(BM$4)&gt;=YEAR($F189),$K189="a"),ROUND(VLOOKUP(BR$4,Preisindex,5,FALSE)/VLOOKUP(YEAR($F189),Preisindex,5,FALSE),2),IF(AND($E189&lt;&gt;0,$F189&gt;0,YEAR($F189)&gt;=Preisindex!$A$6,YEAR(BM$4)&gt;=YEAR($F189),$K189="b"),ROUND(VLOOKUP(BR$4,Preisindex,3,FALSE)/VLOOKUP(YEAR($F189),Preisindex,3,FALSE),2),IF(AND($E189&lt;&gt;0,$F189&gt;0,YEAR($F189)&gt;=Preisindex!$A$6,YEAR(BM$4)&gt;=YEAR($F189),$K189="g"),ROUND(VLOOKUP(BR$4,Preisindex,4,FALSE)/VLOOKUP(YEAR($F189),Preisindex,4,FALSE),2),IF(AND($E189&lt;&gt;0,$F189&gt;0,YEAR($F189)&gt;=Preisindex!$A$6,YEAR(BM$4)&gt;=YEAR($F189),$K189="k"),ROUND(VLOOKUP(BR$4,Preisindex,2,FALSE)/VLOOKUP(YEAR($F189),Preisindex,2,FALSE),2),0)))))</f>
        <v>0</v>
      </c>
      <c r="BS189" s="56">
        <f>IF(AND($E189&lt;&gt;0,$F189&gt;0,YEAR($F189)&lt;Preisindex!$A$6,YEAR(BM$4)&gt;=YEAR($F189),AND($K189&lt;&gt;"a",$K189&lt;&gt;"b",$K189&lt;&gt;"g",$K189&lt;&gt;"k")),1,IF(AND($E189&lt;&gt;0,$F189&gt;0,YEAR($F189)&lt;Preisindex!$A$6,YEAR(BM$4)&gt;=YEAR($F189),$K189="a"),ROUND(VLOOKUP(BR$4,Preisindex,5,FALSE)/VLOOKUP(Preisindex!$A$6,Preisindex,5,FALSE),2),IF(AND($E189&lt;&gt;0,$F189&gt;0,YEAR($F189)&lt;Preisindex!$A$6,YEAR(BM$4)&gt;=YEAR($F189),$K189="b"),ROUND(VLOOKUP(BR$4,Preisindex,3,FALSE)/VLOOKUP(Preisindex!$A$6,Preisindex,3,FALSE),2),IF(AND($E189&lt;&gt;0,$F189&gt;0,YEAR($F189)&lt;Preisindex!$A$6,YEAR(BM$4)&gt;=YEAR($F189),$K189="g"),ROUND(VLOOKUP(BR$4,Preisindex,4,FALSE)/VLOOKUP(Preisindex!$A$6,Preisindex,4,FALSE),2),IF(AND($E189&lt;&gt;0,$F189&gt;0,YEAR($F189)&lt;Preisindex!$A$6,YEAR(BM$4)&gt;=YEAR($F189),$K189="k"),ROUND(VLOOKUP(BR$4,Preisindex,2,FALSE)/VLOOKUP(Preisindex!$A$6,Preisindex,2,FALSE),2),0)))))</f>
        <v>0</v>
      </c>
      <c r="BT189" s="51">
        <f>IF(AND($E189&lt;&gt;0,$F189&gt;0,YEAR($F189)&lt;=BR$4,YEAR($F189)&gt;=Preisindex!$A$6),ROUND($E189*BR189,2),IF(AND($E189&lt;&gt;0,$F189&gt;0,YEAR($F189)&lt;=BR$4,YEAR($F189)&lt;Preisindex!$A$6),ROUND($E189*BS189,2),0))</f>
        <v>0</v>
      </c>
      <c r="BU189" s="53">
        <f t="shared" si="508"/>
        <v>0</v>
      </c>
      <c r="BV189" s="51">
        <f t="shared" si="621"/>
        <v>0</v>
      </c>
      <c r="BW189" s="51">
        <f t="shared" si="589"/>
        <v>0</v>
      </c>
      <c r="BX189" s="51">
        <f t="shared" si="509"/>
        <v>0</v>
      </c>
      <c r="BY189" s="51">
        <f t="shared" si="590"/>
        <v>0</v>
      </c>
      <c r="BZ189" s="51">
        <f t="shared" si="510"/>
        <v>0</v>
      </c>
      <c r="CA189" s="51">
        <f t="shared" si="591"/>
        <v>0</v>
      </c>
      <c r="CB189" s="51">
        <f t="shared" si="511"/>
        <v>0</v>
      </c>
      <c r="CC189" s="51">
        <f t="shared" si="592"/>
        <v>0</v>
      </c>
      <c r="CD189" s="51">
        <f t="shared" si="512"/>
        <v>0</v>
      </c>
      <c r="CE189" s="51">
        <f t="shared" si="593"/>
        <v>0</v>
      </c>
      <c r="CF189" s="51">
        <f t="shared" si="513"/>
        <v>0</v>
      </c>
      <c r="CG189" s="54">
        <f t="shared" si="514"/>
        <v>0</v>
      </c>
      <c r="CH189" s="55">
        <f t="shared" si="515"/>
        <v>0</v>
      </c>
      <c r="CI189" s="56">
        <f>IF(AND($E189&lt;&gt;0,$F189&gt;0,YEAR($F189)&gt;=Preisindex!$A$6,YEAR(CD$4)&gt;=YEAR($F189),AND($K189&lt;&gt;"a",$K189&lt;&gt;"b",$K189&lt;&gt;"g",$K189&lt;&gt;"k")),1,IF(AND($E189&lt;&gt;0,$F189&gt;0,YEAR($F189)&gt;=Preisindex!$A$6,YEAR(CD$4)&gt;=YEAR($F189),$K189="a"),ROUND(VLOOKUP(CI$4,Preisindex,5,FALSE)/VLOOKUP(YEAR($F189),Preisindex,5,FALSE),2),IF(AND($E189&lt;&gt;0,$F189&gt;0,YEAR($F189)&gt;=Preisindex!$A$6,YEAR(CD$4)&gt;=YEAR($F189),$K189="b"),ROUND(VLOOKUP(CI$4,Preisindex,3,FALSE)/VLOOKUP(YEAR($F189),Preisindex,3,FALSE),2),IF(AND($E189&lt;&gt;0,$F189&gt;0,YEAR($F189)&gt;=Preisindex!$A$6,YEAR(CD$4)&gt;=YEAR($F189),$K189="g"),ROUND(VLOOKUP(CI$4,Preisindex,4,FALSE)/VLOOKUP(YEAR($F189),Preisindex,4,FALSE),2),IF(AND($E189&lt;&gt;0,$F189&gt;0,YEAR($F189)&gt;=Preisindex!$A$6,YEAR(CD$4)&gt;=YEAR($F189),$K189="k"),ROUND(VLOOKUP(CI$4,Preisindex,2,FALSE)/VLOOKUP(YEAR($F189),Preisindex,2,FALSE),2),0)))))</f>
        <v>0</v>
      </c>
      <c r="CJ189" s="56">
        <f>IF(AND($E189&lt;&gt;0,$F189&gt;0,YEAR($F189)&lt;Preisindex!$A$6,YEAR(CD$4)&gt;=YEAR($F189),AND($K189&lt;&gt;"a",$K189&lt;&gt;"b",$K189&lt;&gt;"g",$K189&lt;&gt;"k")),1,IF(AND($E189&lt;&gt;0,$F189&gt;0,YEAR($F189)&lt;Preisindex!$A$6,YEAR(CD$4)&gt;=YEAR($F189),$K189="a"),ROUND(VLOOKUP(CI$4,Preisindex,5,FALSE)/VLOOKUP(Preisindex!$A$6,Preisindex,5,FALSE),2),IF(AND($E189&lt;&gt;0,$F189&gt;0,YEAR($F189)&lt;Preisindex!$A$6,YEAR(CD$4)&gt;=YEAR($F189),$K189="b"),ROUND(VLOOKUP(CI$4,Preisindex,3,FALSE)/VLOOKUP(Preisindex!$A$6,Preisindex,3,FALSE),2),IF(AND($E189&lt;&gt;0,$F189&gt;0,YEAR($F189)&lt;Preisindex!$A$6,YEAR(CD$4)&gt;=YEAR($F189),$K189="g"),ROUND(VLOOKUP(CI$4,Preisindex,4,FALSE)/VLOOKUP(Preisindex!$A$6,Preisindex,4,FALSE),2),IF(AND($E189&lt;&gt;0,$F189&gt;0,YEAR($F189)&lt;Preisindex!$A$6,YEAR(CD$4)&gt;=YEAR($F189),$K189="k"),ROUND(VLOOKUP(CI$4,Preisindex,2,FALSE)/VLOOKUP(Preisindex!$A$6,Preisindex,2,FALSE),2),0)))))</f>
        <v>0</v>
      </c>
      <c r="CK189" s="51">
        <f>IF(AND($E189&lt;&gt;0,$F189&gt;0,YEAR($F189)&lt;=CI$4,YEAR($F189)&gt;=Preisindex!$A$6),ROUND($E189*CI189,2),IF(AND($E189&lt;&gt;0,$F189&gt;0,YEAR($F189)&lt;=CI$4,YEAR($F189)&lt;Preisindex!$A$6),ROUND($E189*CJ189,2),0))</f>
        <v>0</v>
      </c>
      <c r="CL189" s="53">
        <f t="shared" si="516"/>
        <v>0</v>
      </c>
      <c r="CM189" s="51">
        <f t="shared" si="621"/>
        <v>0</v>
      </c>
      <c r="CN189" s="51">
        <f t="shared" si="594"/>
        <v>0</v>
      </c>
      <c r="CO189" s="51">
        <f t="shared" si="517"/>
        <v>0</v>
      </c>
      <c r="CP189" s="51">
        <f t="shared" si="595"/>
        <v>0</v>
      </c>
      <c r="CQ189" s="51">
        <f t="shared" si="518"/>
        <v>0</v>
      </c>
      <c r="CR189" s="51">
        <f t="shared" si="596"/>
        <v>0</v>
      </c>
      <c r="CS189" s="51">
        <f t="shared" si="519"/>
        <v>0</v>
      </c>
      <c r="CT189" s="51">
        <f t="shared" si="597"/>
        <v>0</v>
      </c>
      <c r="CU189" s="51">
        <f t="shared" si="520"/>
        <v>0</v>
      </c>
      <c r="CV189" s="51">
        <f t="shared" si="598"/>
        <v>0</v>
      </c>
      <c r="CW189" s="51">
        <f t="shared" si="521"/>
        <v>0</v>
      </c>
      <c r="CX189" s="54">
        <f t="shared" si="522"/>
        <v>0</v>
      </c>
      <c r="CY189" s="55">
        <f t="shared" si="523"/>
        <v>0</v>
      </c>
      <c r="CZ189" s="56">
        <f>IF(AND($E189&lt;&gt;0,$F189&gt;0,YEAR($F189)&gt;=Preisindex!$A$6,YEAR(CU$4)&gt;=YEAR($F189),AND($K189&lt;&gt;"a",$K189&lt;&gt;"b",$K189&lt;&gt;"g",$K189&lt;&gt;"k")),1,IF(AND($E189&lt;&gt;0,$F189&gt;0,YEAR($F189)&gt;=Preisindex!$A$6,YEAR(CU$4)&gt;=YEAR($F189),$K189="a"),ROUND(VLOOKUP(CZ$4,Preisindex,5,FALSE)/VLOOKUP(YEAR($F189),Preisindex,5,FALSE),2),IF(AND($E189&lt;&gt;0,$F189&gt;0,YEAR($F189)&gt;=Preisindex!$A$6,YEAR(CU$4)&gt;=YEAR($F189),$K189="b"),ROUND(VLOOKUP(CZ$4,Preisindex,3,FALSE)/VLOOKUP(YEAR($F189),Preisindex,3,FALSE),2),IF(AND($E189&lt;&gt;0,$F189&gt;0,YEAR($F189)&gt;=Preisindex!$A$6,YEAR(CU$4)&gt;=YEAR($F189),$K189="g"),ROUND(VLOOKUP(CZ$4,Preisindex,4,FALSE)/VLOOKUP(YEAR($F189),Preisindex,4,FALSE),2),IF(AND($E189&lt;&gt;0,$F189&gt;0,YEAR($F189)&gt;=Preisindex!$A$6,YEAR(CU$4)&gt;=YEAR($F189),$K189="k"),ROUND(VLOOKUP(CZ$4,Preisindex,2,FALSE)/VLOOKUP(YEAR($F189),Preisindex,2,FALSE),2),0)))))</f>
        <v>0</v>
      </c>
      <c r="DA189" s="56">
        <f>IF(AND($E189&lt;&gt;0,$F189&gt;0,YEAR($F189)&lt;Preisindex!$A$6,YEAR(CU$4)&gt;=YEAR($F189),AND($K189&lt;&gt;"a",$K189&lt;&gt;"b",$K189&lt;&gt;"g",$K189&lt;&gt;"k")),1,IF(AND($E189&lt;&gt;0,$F189&gt;0,YEAR($F189)&lt;Preisindex!$A$6,YEAR(CU$4)&gt;=YEAR($F189),$K189="a"),ROUND(VLOOKUP(CZ$4,Preisindex,5,FALSE)/VLOOKUP(Preisindex!$A$6,Preisindex,5,FALSE),2),IF(AND($E189&lt;&gt;0,$F189&gt;0,YEAR($F189)&lt;Preisindex!$A$6,YEAR(CU$4)&gt;=YEAR($F189),$K189="b"),ROUND(VLOOKUP(CZ$4,Preisindex,3,FALSE)/VLOOKUP(Preisindex!$A$6,Preisindex,3,FALSE),2),IF(AND($E189&lt;&gt;0,$F189&gt;0,YEAR($F189)&lt;Preisindex!$A$6,YEAR(CU$4)&gt;=YEAR($F189),$K189="g"),ROUND(VLOOKUP(CZ$4,Preisindex,4,FALSE)/VLOOKUP(Preisindex!$A$6,Preisindex,4,FALSE),2),IF(AND($E189&lt;&gt;0,$F189&gt;0,YEAR($F189)&lt;Preisindex!$A$6,YEAR(CU$4)&gt;=YEAR($F189),$K189="k"),ROUND(VLOOKUP(CZ$4,Preisindex,2,FALSE)/VLOOKUP(Preisindex!$A$6,Preisindex,2,FALSE),2),0)))))</f>
        <v>0</v>
      </c>
      <c r="DB189" s="51">
        <f>IF(AND($E189&lt;&gt;0,$F189&gt;0,YEAR($F189)&lt;=CZ$4,YEAR($F189)&gt;=Preisindex!$A$6),ROUND($E189*CZ189,2),IF(AND($E189&lt;&gt;0,$F189&gt;0,YEAR($F189)&lt;=CZ$4,YEAR($F189)&lt;Preisindex!$A$6),ROUND($E189*DA189,2),0))</f>
        <v>0</v>
      </c>
      <c r="DC189" s="53">
        <f t="shared" si="524"/>
        <v>0</v>
      </c>
      <c r="DD189" s="51">
        <f t="shared" si="622"/>
        <v>0</v>
      </c>
      <c r="DE189" s="51">
        <f t="shared" si="599"/>
        <v>0</v>
      </c>
      <c r="DF189" s="51">
        <f t="shared" si="526"/>
        <v>0</v>
      </c>
      <c r="DG189" s="51">
        <f t="shared" si="600"/>
        <v>0</v>
      </c>
      <c r="DH189" s="51">
        <f t="shared" si="527"/>
        <v>0</v>
      </c>
      <c r="DI189" s="51">
        <f t="shared" si="601"/>
        <v>0</v>
      </c>
      <c r="DJ189" s="51">
        <f t="shared" si="528"/>
        <v>0</v>
      </c>
      <c r="DK189" s="51">
        <f t="shared" si="602"/>
        <v>0</v>
      </c>
      <c r="DL189" s="51">
        <f t="shared" si="529"/>
        <v>0</v>
      </c>
      <c r="DM189" s="51">
        <f t="shared" si="603"/>
        <v>0</v>
      </c>
      <c r="DN189" s="51">
        <f t="shared" si="530"/>
        <v>0</v>
      </c>
      <c r="DO189" s="54">
        <f t="shared" si="531"/>
        <v>0</v>
      </c>
      <c r="DP189" s="55">
        <f t="shared" si="532"/>
        <v>0</v>
      </c>
      <c r="DQ189" s="56">
        <f>IF(AND($E189&lt;&gt;0,$F189&gt;0,YEAR($F189)&gt;=Preisindex!$A$6,YEAR(DL$4)&gt;=YEAR($F189),AND($K189&lt;&gt;"a",$K189&lt;&gt;"b",$K189&lt;&gt;"g",$K189&lt;&gt;"k")),1,IF(AND($E189&lt;&gt;0,$F189&gt;0,YEAR($F189)&gt;=Preisindex!$A$6,YEAR(DL$4)&gt;=YEAR($F189),$K189="a"),ROUND(VLOOKUP(DQ$4,Preisindex,5,FALSE)/VLOOKUP(YEAR($F189),Preisindex,5,FALSE),2),IF(AND($E189&lt;&gt;0,$F189&gt;0,YEAR($F189)&gt;=Preisindex!$A$6,YEAR(DL$4)&gt;=YEAR($F189),$K189="b"),ROUND(VLOOKUP(DQ$4,Preisindex,3,FALSE)/VLOOKUP(YEAR($F189),Preisindex,3,FALSE),2),IF(AND($E189&lt;&gt;0,$F189&gt;0,YEAR($F189)&gt;=Preisindex!$A$6,YEAR(DL$4)&gt;=YEAR($F189),$K189="g"),ROUND(VLOOKUP(DQ$4,Preisindex,4,FALSE)/VLOOKUP(YEAR($F189),Preisindex,4,FALSE),2),IF(AND($E189&lt;&gt;0,$F189&gt;0,YEAR($F189)&gt;=Preisindex!$A$6,YEAR(DL$4)&gt;=YEAR($F189),$K189="k"),ROUND(VLOOKUP(DQ$4,Preisindex,2,FALSE)/VLOOKUP(YEAR($F189),Preisindex,2,FALSE),2),0)))))</f>
        <v>0</v>
      </c>
      <c r="DR189" s="56">
        <f>IF(AND($E189&lt;&gt;0,$F189&gt;0,YEAR($F189)&lt;Preisindex!$A$6,YEAR(DL$4)&gt;=YEAR($F189),AND($K189&lt;&gt;"a",$K189&lt;&gt;"b",$K189&lt;&gt;"g",$K189&lt;&gt;"k")),1,IF(AND($E189&lt;&gt;0,$F189&gt;0,YEAR($F189)&lt;Preisindex!$A$6,YEAR(DL$4)&gt;=YEAR($F189),$K189="a"),ROUND(VLOOKUP(DQ$4,Preisindex,5,FALSE)/VLOOKUP(Preisindex!$A$6,Preisindex,5,FALSE),2),IF(AND($E189&lt;&gt;0,$F189&gt;0,YEAR($F189)&lt;Preisindex!$A$6,YEAR(DL$4)&gt;=YEAR($F189),$K189="b"),ROUND(VLOOKUP(DQ$4,Preisindex,3,FALSE)/VLOOKUP(Preisindex!$A$6,Preisindex,3,FALSE),2),IF(AND($E189&lt;&gt;0,$F189&gt;0,YEAR($F189)&lt;Preisindex!$A$6,YEAR(DL$4)&gt;=YEAR($F189),$K189="g"),ROUND(VLOOKUP(DQ$4,Preisindex,4,FALSE)/VLOOKUP(Preisindex!$A$6,Preisindex,4,FALSE),2),IF(AND($E189&lt;&gt;0,$F189&gt;0,YEAR($F189)&lt;Preisindex!$A$6,YEAR(DL$4)&gt;=YEAR($F189),$K189="k"),ROUND(VLOOKUP(DQ$4,Preisindex,2,FALSE)/VLOOKUP(Preisindex!$A$6,Preisindex,2,FALSE),2),0)))))</f>
        <v>0</v>
      </c>
      <c r="DS189" s="51">
        <f>IF(AND($E189&lt;&gt;0,$F189&gt;0,YEAR($F189)&lt;=DQ$4,YEAR($F189)&gt;=Preisindex!$A$6),ROUND($E189*DQ189,2),IF(AND($E189&lt;&gt;0,$F189&gt;0,YEAR($F189)&lt;=DQ$4,YEAR($F189)&lt;Preisindex!$A$6),ROUND($E189*DR189,2),0))</f>
        <v>0</v>
      </c>
      <c r="DT189" s="53">
        <f t="shared" si="533"/>
        <v>0</v>
      </c>
      <c r="DU189" s="51">
        <f t="shared" si="622"/>
        <v>0</v>
      </c>
      <c r="DV189" s="51">
        <f t="shared" si="604"/>
        <v>0</v>
      </c>
      <c r="DW189" s="51">
        <f t="shared" si="534"/>
        <v>0</v>
      </c>
      <c r="DX189" s="51">
        <f t="shared" si="605"/>
        <v>0</v>
      </c>
      <c r="DY189" s="51">
        <f t="shared" si="535"/>
        <v>0</v>
      </c>
      <c r="DZ189" s="51">
        <f t="shared" si="606"/>
        <v>0</v>
      </c>
      <c r="EA189" s="51">
        <f t="shared" si="536"/>
        <v>0</v>
      </c>
      <c r="EB189" s="51">
        <f t="shared" si="607"/>
        <v>0</v>
      </c>
      <c r="EC189" s="51">
        <f t="shared" si="537"/>
        <v>0</v>
      </c>
      <c r="ED189" s="51">
        <f t="shared" si="608"/>
        <v>0</v>
      </c>
      <c r="EE189" s="51">
        <f t="shared" si="538"/>
        <v>0</v>
      </c>
      <c r="EF189" s="54">
        <f t="shared" si="539"/>
        <v>0</v>
      </c>
      <c r="EG189" s="55">
        <f t="shared" si="540"/>
        <v>0</v>
      </c>
      <c r="EH189" s="56">
        <f>IF(AND($E189&lt;&gt;0,$F189&gt;0,YEAR($F189)&gt;=Preisindex!$A$6,YEAR(EC$4)&gt;=YEAR($F189),AND($K189&lt;&gt;"a",$K189&lt;&gt;"b",$K189&lt;&gt;"g",$K189&lt;&gt;"k")),1,IF(AND($E189&lt;&gt;0,$F189&gt;0,YEAR($F189)&gt;=Preisindex!$A$6,YEAR(EC$4)&gt;=YEAR($F189),$K189="a"),ROUND(VLOOKUP(EH$4,Preisindex,5,FALSE)/VLOOKUP(YEAR($F189),Preisindex,5,FALSE),2),IF(AND($E189&lt;&gt;0,$F189&gt;0,YEAR($F189)&gt;=Preisindex!$A$6,YEAR(EC$4)&gt;=YEAR($F189),$K189="b"),ROUND(VLOOKUP(EH$4,Preisindex,3,FALSE)/VLOOKUP(YEAR($F189),Preisindex,3,FALSE),2),IF(AND($E189&lt;&gt;0,$F189&gt;0,YEAR($F189)&gt;=Preisindex!$A$6,YEAR(EC$4)&gt;=YEAR($F189),$K189="g"),ROUND(VLOOKUP(EH$4,Preisindex,4,FALSE)/VLOOKUP(YEAR($F189),Preisindex,4,FALSE),2),IF(AND($E189&lt;&gt;0,$F189&gt;0,YEAR($F189)&gt;=Preisindex!$A$6,YEAR(EC$4)&gt;=YEAR($F189),$K189="k"),ROUND(VLOOKUP(EH$4,Preisindex,2,FALSE)/VLOOKUP(YEAR($F189),Preisindex,2,FALSE),2),0)))))</f>
        <v>0</v>
      </c>
      <c r="EI189" s="56">
        <f>IF(AND($E189&lt;&gt;0,$F189&gt;0,YEAR($F189)&lt;Preisindex!$A$6,YEAR(EC$4)&gt;=YEAR($F189),AND($K189&lt;&gt;"a",$K189&lt;&gt;"b",$K189&lt;&gt;"g",$K189&lt;&gt;"k")),1,IF(AND($E189&lt;&gt;0,$F189&gt;0,YEAR($F189)&lt;Preisindex!$A$6,YEAR(EC$4)&gt;=YEAR($F189),$K189="a"),ROUND(VLOOKUP(EH$4,Preisindex,5,FALSE)/VLOOKUP(Preisindex!$A$6,Preisindex,5,FALSE),2),IF(AND($E189&lt;&gt;0,$F189&gt;0,YEAR($F189)&lt;Preisindex!$A$6,YEAR(EC$4)&gt;=YEAR($F189),$K189="b"),ROUND(VLOOKUP(EH$4,Preisindex,3,FALSE)/VLOOKUP(Preisindex!$A$6,Preisindex,3,FALSE),2),IF(AND($E189&lt;&gt;0,$F189&gt;0,YEAR($F189)&lt;Preisindex!$A$6,YEAR(EC$4)&gt;=YEAR($F189),$K189="g"),ROUND(VLOOKUP(EH$4,Preisindex,4,FALSE)/VLOOKUP(Preisindex!$A$6,Preisindex,4,FALSE),2),IF(AND($E189&lt;&gt;0,$F189&gt;0,YEAR($F189)&lt;Preisindex!$A$6,YEAR(EC$4)&gt;=YEAR($F189),$K189="k"),ROUND(VLOOKUP(EH$4,Preisindex,2,FALSE)/VLOOKUP(Preisindex!$A$6,Preisindex,2,FALSE),2),0)))))</f>
        <v>0</v>
      </c>
      <c r="EJ189" s="51">
        <f>IF(AND($E189&lt;&gt;0,$F189&gt;0,YEAR($F189)&lt;=EH$4,YEAR($F189)&gt;=Preisindex!$A$6),ROUND($E189*EH189,2),IF(AND($E189&lt;&gt;0,$F189&gt;0,YEAR($F189)&lt;=EH$4,YEAR($F189)&lt;Preisindex!$A$6),ROUND($E189*EI189,2),0))</f>
        <v>0</v>
      </c>
      <c r="EK189" s="53">
        <f t="shared" si="541"/>
        <v>0</v>
      </c>
      <c r="EL189" s="51">
        <f t="shared" si="622"/>
        <v>0</v>
      </c>
      <c r="EM189" s="51">
        <f t="shared" si="609"/>
        <v>0</v>
      </c>
      <c r="EN189" s="51">
        <f t="shared" si="542"/>
        <v>0</v>
      </c>
      <c r="EO189" s="51">
        <f t="shared" si="610"/>
        <v>0</v>
      </c>
      <c r="EP189" s="51">
        <f t="shared" si="543"/>
        <v>0</v>
      </c>
      <c r="EQ189" s="51">
        <f t="shared" si="611"/>
        <v>0</v>
      </c>
      <c r="ER189" s="51">
        <f t="shared" si="544"/>
        <v>0</v>
      </c>
      <c r="ES189" s="51">
        <f t="shared" si="612"/>
        <v>0</v>
      </c>
      <c r="ET189" s="51">
        <f t="shared" si="545"/>
        <v>0</v>
      </c>
      <c r="EU189" s="51">
        <f t="shared" si="613"/>
        <v>0</v>
      </c>
      <c r="EV189" s="51">
        <f t="shared" si="546"/>
        <v>0</v>
      </c>
      <c r="EW189" s="54">
        <f t="shared" si="547"/>
        <v>0</v>
      </c>
      <c r="EX189" s="55">
        <f t="shared" si="548"/>
        <v>0</v>
      </c>
      <c r="EY189" s="56">
        <f>IF(AND($E189&lt;&gt;0,$F189&gt;0,YEAR($F189)&gt;=Preisindex!$A$6,YEAR(ET$4)&gt;=YEAR($F189),AND($K189&lt;&gt;"a",$K189&lt;&gt;"b",$K189&lt;&gt;"g",$K189&lt;&gt;"k")),1,IF(AND($E189&lt;&gt;0,$F189&gt;0,YEAR($F189)&gt;=Preisindex!$A$6,YEAR(ET$4)&gt;=YEAR($F189),$K189="a"),ROUND(VLOOKUP(EY$4,Preisindex,5,FALSE)/VLOOKUP(YEAR($F189),Preisindex,5,FALSE),2),IF(AND($E189&lt;&gt;0,$F189&gt;0,YEAR($F189)&gt;=Preisindex!$A$6,YEAR(ET$4)&gt;=YEAR($F189),$K189="b"),ROUND(VLOOKUP(EY$4,Preisindex,3,FALSE)/VLOOKUP(YEAR($F189),Preisindex,3,FALSE),2),IF(AND($E189&lt;&gt;0,$F189&gt;0,YEAR($F189)&gt;=Preisindex!$A$6,YEAR(ET$4)&gt;=YEAR($F189),$K189="g"),ROUND(VLOOKUP(EY$4,Preisindex,4,FALSE)/VLOOKUP(YEAR($F189),Preisindex,4,FALSE),2),IF(AND($E189&lt;&gt;0,$F189&gt;0,YEAR($F189)&gt;=Preisindex!$A$6,YEAR(ET$4)&gt;=YEAR($F189),$K189="k"),ROUND(VLOOKUP(EY$4,Preisindex,2,FALSE)/VLOOKUP(YEAR($F189),Preisindex,2,FALSE),2),0)))))</f>
        <v>0</v>
      </c>
      <c r="EZ189" s="56">
        <f>IF(AND($E189&lt;&gt;0,$F189&gt;0,YEAR($F189)&lt;Preisindex!$A$6,YEAR(ET$4)&gt;=YEAR($F189),AND($K189&lt;&gt;"a",$K189&lt;&gt;"b",$K189&lt;&gt;"g",$K189&lt;&gt;"k")),1,IF(AND($E189&lt;&gt;0,$F189&gt;0,YEAR($F189)&lt;Preisindex!$A$6,YEAR(ET$4)&gt;=YEAR($F189),$K189="a"),ROUND(VLOOKUP(EY$4,Preisindex,5,FALSE)/VLOOKUP(Preisindex!$A$6,Preisindex,5,FALSE),2),IF(AND($E189&lt;&gt;0,$F189&gt;0,YEAR($F189)&lt;Preisindex!$A$6,YEAR(ET$4)&gt;=YEAR($F189),$K189="b"),ROUND(VLOOKUP(EY$4,Preisindex,3,FALSE)/VLOOKUP(Preisindex!$A$6,Preisindex,3,FALSE),2),IF(AND($E189&lt;&gt;0,$F189&gt;0,YEAR($F189)&lt;Preisindex!$A$6,YEAR(ET$4)&gt;=YEAR($F189),$K189="g"),ROUND(VLOOKUP(EY$4,Preisindex,4,FALSE)/VLOOKUP(Preisindex!$A$6,Preisindex,4,FALSE),2),IF(AND($E189&lt;&gt;0,$F189&gt;0,YEAR($F189)&lt;Preisindex!$A$6,YEAR(ET$4)&gt;=YEAR($F189),$K189="k"),ROUND(VLOOKUP(EY$4,Preisindex,2,FALSE)/VLOOKUP(Preisindex!$A$6,Preisindex,2,FALSE),2),0)))))</f>
        <v>0</v>
      </c>
      <c r="FA189" s="51">
        <f>IF(AND($E189&lt;&gt;0,$F189&gt;0,YEAR($F189)&lt;=EY$4,YEAR($F189)&gt;=Preisindex!$A$6),ROUND($E189*EY189,2),IF(AND($E189&lt;&gt;0,$F189&gt;0,YEAR($F189)&lt;=EY$4,YEAR($F189)&lt;Preisindex!$A$6),ROUND($E189*EZ189,2),0))</f>
        <v>0</v>
      </c>
      <c r="FB189" s="53">
        <f t="shared" si="549"/>
        <v>0</v>
      </c>
      <c r="FC189" s="51">
        <f t="shared" si="622"/>
        <v>0</v>
      </c>
      <c r="FD189" s="51">
        <f t="shared" si="614"/>
        <v>0</v>
      </c>
      <c r="FE189" s="51">
        <f t="shared" si="550"/>
        <v>0</v>
      </c>
      <c r="FF189" s="51">
        <f t="shared" si="615"/>
        <v>0</v>
      </c>
      <c r="FG189" s="51">
        <f t="shared" si="551"/>
        <v>0</v>
      </c>
      <c r="FH189" s="51">
        <f t="shared" si="616"/>
        <v>0</v>
      </c>
      <c r="FI189" s="51">
        <f t="shared" si="552"/>
        <v>0</v>
      </c>
      <c r="FJ189" s="51">
        <f t="shared" si="617"/>
        <v>0</v>
      </c>
      <c r="FK189" s="51">
        <f t="shared" si="553"/>
        <v>0</v>
      </c>
      <c r="FL189" s="51">
        <f t="shared" si="618"/>
        <v>0</v>
      </c>
      <c r="FM189" s="51">
        <f t="shared" si="554"/>
        <v>0</v>
      </c>
      <c r="FN189" s="54">
        <f t="shared" si="555"/>
        <v>0</v>
      </c>
      <c r="FO189" s="55">
        <f t="shared" si="556"/>
        <v>0</v>
      </c>
      <c r="FP189" s="56">
        <f>IF(AND($E189&lt;&gt;0,$F189&gt;0,YEAR($F189)&gt;=Preisindex!$A$6,YEAR(FK$4)&gt;=YEAR($F189),AND($K189&lt;&gt;"a",$K189&lt;&gt;"b",$K189&lt;&gt;"g",$K189&lt;&gt;"k")),1,IF(AND($E189&lt;&gt;0,$F189&gt;0,YEAR($F189)&gt;=Preisindex!$A$6,YEAR(FK$4)&gt;=YEAR($F189),$K189="a"),ROUND(VLOOKUP(FP$4,Preisindex,5,FALSE)/VLOOKUP(YEAR($F189),Preisindex,5,FALSE),2),IF(AND($E189&lt;&gt;0,$F189&gt;0,YEAR($F189)&gt;=Preisindex!$A$6,YEAR(FK$4)&gt;=YEAR($F189),$K189="b"),ROUND(VLOOKUP(FP$4,Preisindex,3,FALSE)/VLOOKUP(YEAR($F189),Preisindex,3,FALSE),2),IF(AND($E189&lt;&gt;0,$F189&gt;0,YEAR($F189)&gt;=Preisindex!$A$6,YEAR(FK$4)&gt;=YEAR($F189),$K189="g"),ROUND(VLOOKUP(FP$4,Preisindex,4,FALSE)/VLOOKUP(YEAR($F189),Preisindex,4,FALSE),2),IF(AND($E189&lt;&gt;0,$F189&gt;0,YEAR($F189)&gt;=Preisindex!$A$6,YEAR(FK$4)&gt;=YEAR($F189),$K189="k"),ROUND(VLOOKUP(FP$4,Preisindex,2,FALSE)/VLOOKUP(YEAR($F189),Preisindex,2,FALSE),2),0)))))</f>
        <v>0</v>
      </c>
      <c r="FQ189" s="56">
        <f>IF(AND($E189&lt;&gt;0,$F189&gt;0,YEAR($F189)&lt;Preisindex!$A$6,YEAR(FK$4)&gt;=YEAR($F189),AND($K189&lt;&gt;"a",$K189&lt;&gt;"b",$K189&lt;&gt;"g",$K189&lt;&gt;"k")),1,IF(AND($E189&lt;&gt;0,$F189&gt;0,YEAR($F189)&lt;Preisindex!$A$6,YEAR(FK$4)&gt;=YEAR($F189),$K189="a"),ROUND(VLOOKUP(FP$4,Preisindex,5,FALSE)/VLOOKUP(Preisindex!$A$6,Preisindex,5,FALSE),2),IF(AND($E189&lt;&gt;0,$F189&gt;0,YEAR($F189)&lt;Preisindex!$A$6,YEAR(FK$4)&gt;=YEAR($F189),$K189="b"),ROUND(VLOOKUP(FP$4,Preisindex,3,FALSE)/VLOOKUP(Preisindex!$A$6,Preisindex,3,FALSE),2),IF(AND($E189&lt;&gt;0,$F189&gt;0,YEAR($F189)&lt;Preisindex!$A$6,YEAR(FK$4)&gt;=YEAR($F189),$K189="g"),ROUND(VLOOKUP(FP$4,Preisindex,4,FALSE)/VLOOKUP(Preisindex!$A$6,Preisindex,4,FALSE),2),IF(AND($E189&lt;&gt;0,$F189&gt;0,YEAR($F189)&lt;Preisindex!$A$6,YEAR(FK$4)&gt;=YEAR($F189),$K189="k"),ROUND(VLOOKUP(FP$4,Preisindex,2,FALSE)/VLOOKUP(Preisindex!$A$6,Preisindex,2,FALSE),2),0)))))</f>
        <v>0</v>
      </c>
      <c r="FR189" s="51">
        <f>IF(AND($E189&lt;&gt;0,$F189&gt;0,YEAR($F189)&lt;=FP$4,YEAR($F189)&gt;=Preisindex!$A$6),ROUND($E189*FP189,2),IF(AND($E189&lt;&gt;0,$F189&gt;0,YEAR($F189)&lt;=FP$4,YEAR($F189)&lt;Preisindex!$A$6),ROUND($E189*FQ189,2),0))</f>
        <v>0</v>
      </c>
      <c r="FS189" s="53">
        <f t="shared" si="557"/>
        <v>0</v>
      </c>
    </row>
    <row r="190" spans="1:175" x14ac:dyDescent="0.3">
      <c r="A190" s="93"/>
      <c r="B190" s="94"/>
      <c r="C190" s="94"/>
      <c r="D190" s="95"/>
      <c r="E190" s="99"/>
      <c r="F190" s="97"/>
      <c r="G190" s="98"/>
      <c r="H190" s="620"/>
      <c r="I190" s="621"/>
      <c r="J190" s="194"/>
      <c r="K190" s="630"/>
      <c r="L190" s="49">
        <f t="shared" si="558"/>
        <v>0</v>
      </c>
      <c r="M190" s="50">
        <f t="shared" si="559"/>
        <v>0</v>
      </c>
      <c r="N190" s="51">
        <f t="shared" si="560"/>
        <v>0</v>
      </c>
      <c r="O190" s="51"/>
      <c r="P190" s="51">
        <f t="shared" si="561"/>
        <v>0</v>
      </c>
      <c r="Q190" s="52"/>
      <c r="R190" s="52"/>
      <c r="S190" s="52"/>
      <c r="T190" s="52"/>
      <c r="U190" s="52"/>
      <c r="V190" s="53">
        <f t="shared" si="562"/>
        <v>0</v>
      </c>
      <c r="W190" s="51">
        <f t="shared" si="563"/>
        <v>0</v>
      </c>
      <c r="X190" s="51">
        <f t="shared" si="564"/>
        <v>0</v>
      </c>
      <c r="Y190" s="51">
        <f t="shared" si="565"/>
        <v>0</v>
      </c>
      <c r="Z190" s="51">
        <f t="shared" si="566"/>
        <v>0</v>
      </c>
      <c r="AA190" s="51">
        <f t="shared" si="567"/>
        <v>0</v>
      </c>
      <c r="AB190" s="51">
        <f t="shared" si="568"/>
        <v>0</v>
      </c>
      <c r="AC190" s="51">
        <f t="shared" si="569"/>
        <v>0</v>
      </c>
      <c r="AD190" s="51">
        <f t="shared" si="570"/>
        <v>0</v>
      </c>
      <c r="AE190" s="51">
        <f t="shared" si="571"/>
        <v>0</v>
      </c>
      <c r="AF190" s="51">
        <f t="shared" si="572"/>
        <v>0</v>
      </c>
      <c r="AG190" s="51">
        <f t="shared" si="573"/>
        <v>0</v>
      </c>
      <c r="AH190" s="54">
        <f t="shared" si="574"/>
        <v>0</v>
      </c>
      <c r="AI190" s="55">
        <f t="shared" si="575"/>
        <v>0</v>
      </c>
      <c r="AJ190" s="56">
        <f>IF(AND($E190&lt;&gt;0,$F190&gt;0,YEAR($F190)&gt;=Preisindex!$A$6,YEAR(AE$4)&gt;=YEAR($F190),AND($K190&lt;&gt;"a",$K190&lt;&gt;"b",$K190&lt;&gt;"g",$K190&lt;&gt;"k")),1,IF(AND($E190&lt;&gt;0,$F190&gt;0,YEAR($F190)&gt;=Preisindex!$A$6,YEAR(AE$4)&gt;=YEAR($F190),$K190="a"),ROUND(VLOOKUP(AJ$4,Preisindex,5,FALSE)/VLOOKUP(YEAR($F190),Preisindex,5,FALSE),2),IF(AND($E190&lt;&gt;0,$F190&gt;0,YEAR($F190)&gt;=Preisindex!$A$6,YEAR(AE$4)&gt;=YEAR($F190),$K190="b"),ROUND(VLOOKUP(AJ$4,Preisindex,3,FALSE)/VLOOKUP(YEAR($F190),Preisindex,3,FALSE),2),IF(AND($E190&lt;&gt;0,$F190&gt;0,YEAR($F190)&gt;=Preisindex!$A$6,YEAR(AE$4)&gt;=YEAR($F190),$K190="g"),ROUND(VLOOKUP(AJ$4,Preisindex,4,FALSE)/VLOOKUP(YEAR($F190),Preisindex,4,FALSE),2),IF(AND($E190&lt;&gt;0,$F190&gt;0,YEAR($F190)&gt;=Preisindex!$A$6,YEAR(AE$4)&gt;=YEAR($F190),$K190="k"),ROUND(VLOOKUP(AJ$4,Preisindex,2,FALSE)/VLOOKUP(YEAR($F190),Preisindex,2,FALSE),2),0)))))</f>
        <v>0</v>
      </c>
      <c r="AK190" s="56">
        <f>IF(AND($E190&lt;&gt;0,$F190&gt;0,YEAR($F190)&lt;Preisindex!$A$6,YEAR(AE$4)&gt;=YEAR($F190),AND($K190&lt;&gt;"a",$K190&lt;&gt;"b",$K190&lt;&gt;"g",$K190&lt;&gt;"k")),1,IF(AND($E190&lt;&gt;0,$F190&gt;0,YEAR($F190)&lt;Preisindex!$A$6,YEAR(AE$4)&gt;=YEAR($F190),$K190="a"),ROUND(VLOOKUP(AJ$4,Preisindex,5,FALSE)/VLOOKUP(Preisindex!$A$6,Preisindex,5,FALSE),2),IF(AND($E190&lt;&gt;0,$F190&gt;0,YEAR($F190)&lt;Preisindex!$A$6,YEAR(AE$4)&gt;=YEAR($F190),$K190="b"),ROUND(VLOOKUP(AJ$4,Preisindex,3,FALSE)/VLOOKUP(Preisindex!$A$6,Preisindex,3,FALSE),2),IF(AND($E190&lt;&gt;0,$F190&gt;0,YEAR($F190)&lt;Preisindex!$A$6,YEAR(AE$4)&gt;=YEAR($F190),$K190="g"),ROUND(VLOOKUP(AJ$4,Preisindex,4,FALSE)/VLOOKUP(Preisindex!$A$6,Preisindex,4,FALSE),2),IF(AND($E190&lt;&gt;0,$F190&gt;0,YEAR($F190)&lt;Preisindex!$A$6,YEAR(AE$4)&gt;=YEAR($F190),$K190="k"),ROUND(VLOOKUP(AJ$4,Preisindex,2,FALSE)/VLOOKUP(Preisindex!$A$6,Preisindex,2,FALSE),2),0)))))</f>
        <v>0</v>
      </c>
      <c r="AL190" s="51">
        <f>IF(AND($E190&lt;&gt;0,$F190&gt;0,YEAR($F190)&lt;=AJ$4,YEAR($F190)&gt;=Preisindex!$A$6),ROUND($E190*AJ190,2),IF(AND($E190&lt;&gt;0,$F190&gt;0,YEAR($F190)&lt;=AJ$4,YEAR($F190)&lt;Preisindex!$A$6),ROUND($E190*AK190,2),0))</f>
        <v>0</v>
      </c>
      <c r="AM190" s="53">
        <f t="shared" si="576"/>
        <v>0</v>
      </c>
      <c r="AN190" s="51">
        <f t="shared" si="621"/>
        <v>0</v>
      </c>
      <c r="AO190" s="51">
        <f t="shared" si="579"/>
        <v>0</v>
      </c>
      <c r="AP190" s="51">
        <f t="shared" si="493"/>
        <v>0</v>
      </c>
      <c r="AQ190" s="51">
        <f t="shared" si="580"/>
        <v>0</v>
      </c>
      <c r="AR190" s="51">
        <f t="shared" si="494"/>
        <v>0</v>
      </c>
      <c r="AS190" s="51">
        <f t="shared" si="581"/>
        <v>0</v>
      </c>
      <c r="AT190" s="51">
        <f t="shared" si="495"/>
        <v>0</v>
      </c>
      <c r="AU190" s="51">
        <f t="shared" si="582"/>
        <v>0</v>
      </c>
      <c r="AV190" s="51">
        <f t="shared" si="496"/>
        <v>0</v>
      </c>
      <c r="AW190" s="51">
        <f t="shared" si="583"/>
        <v>0</v>
      </c>
      <c r="AX190" s="51">
        <f t="shared" si="497"/>
        <v>0</v>
      </c>
      <c r="AY190" s="54">
        <f t="shared" si="498"/>
        <v>0</v>
      </c>
      <c r="AZ190" s="55">
        <f t="shared" si="499"/>
        <v>0</v>
      </c>
      <c r="BA190" s="56">
        <f>IF(AND($E190&lt;&gt;0,$F190&gt;0,YEAR($F190)&gt;=Preisindex!$A$6,YEAR(AV$4)&gt;=YEAR($F190),AND($K190&lt;&gt;"a",$K190&lt;&gt;"b",$K190&lt;&gt;"g",$K190&lt;&gt;"k")),1,IF(AND($E190&lt;&gt;0,$F190&gt;0,YEAR($F190)&gt;=Preisindex!$A$6,YEAR(AV$4)&gt;=YEAR($F190),$K190="a"),ROUND(VLOOKUP(BA$4,Preisindex,5,FALSE)/VLOOKUP(YEAR($F190),Preisindex,5,FALSE),2),IF(AND($E190&lt;&gt;0,$F190&gt;0,YEAR($F190)&gt;=Preisindex!$A$6,YEAR(AV$4)&gt;=YEAR($F190),$K190="b"),ROUND(VLOOKUP(BA$4,Preisindex,3,FALSE)/VLOOKUP(YEAR($F190),Preisindex,3,FALSE),2),IF(AND($E190&lt;&gt;0,$F190&gt;0,YEAR($F190)&gt;=Preisindex!$A$6,YEAR(AV$4)&gt;=YEAR($F190),$K190="g"),ROUND(VLOOKUP(BA$4,Preisindex,4,FALSE)/VLOOKUP(YEAR($F190),Preisindex,4,FALSE),2),IF(AND($E190&lt;&gt;0,$F190&gt;0,YEAR($F190)&gt;=Preisindex!$A$6,YEAR(AV$4)&gt;=YEAR($F190),$K190="k"),ROUND(VLOOKUP(BA$4,Preisindex,2,FALSE)/VLOOKUP(YEAR($F190),Preisindex,2,FALSE),2),0)))))</f>
        <v>0</v>
      </c>
      <c r="BB190" s="56">
        <f>IF(AND($E190&lt;&gt;0,$F190&gt;0,YEAR($F190)&lt;Preisindex!$A$6,YEAR(AV$4)&gt;=YEAR($F190),AND($K190&lt;&gt;"a",$K190&lt;&gt;"b",$K190&lt;&gt;"g",$K190&lt;&gt;"k")),1,IF(AND($E190&lt;&gt;0,$F190&gt;0,YEAR($F190)&lt;Preisindex!$A$6,YEAR(AV$4)&gt;=YEAR($F190),$K190="a"),ROUND(VLOOKUP(BA$4,Preisindex,5,FALSE)/VLOOKUP(Preisindex!$A$6,Preisindex,5,FALSE),2),IF(AND($E190&lt;&gt;0,$F190&gt;0,YEAR($F190)&lt;Preisindex!$A$6,YEAR(AV$4)&gt;=YEAR($F190),$K190="b"),ROUND(VLOOKUP(BA$4,Preisindex,3,FALSE)/VLOOKUP(Preisindex!$A$6,Preisindex,3,FALSE),2),IF(AND($E190&lt;&gt;0,$F190&gt;0,YEAR($F190)&lt;Preisindex!$A$6,YEAR(AV$4)&gt;=YEAR($F190),$K190="g"),ROUND(VLOOKUP(BA$4,Preisindex,4,FALSE)/VLOOKUP(Preisindex!$A$6,Preisindex,4,FALSE),2),IF(AND($E190&lt;&gt;0,$F190&gt;0,YEAR($F190)&lt;Preisindex!$A$6,YEAR(AV$4)&gt;=YEAR($F190),$K190="k"),ROUND(VLOOKUP(BA$4,Preisindex,2,FALSE)/VLOOKUP(Preisindex!$A$6,Preisindex,2,FALSE),2),0)))))</f>
        <v>0</v>
      </c>
      <c r="BC190" s="51">
        <f>IF(AND($E190&lt;&gt;0,$F190&gt;0,YEAR($F190)&lt;=BA$4,YEAR($F190)&gt;=Preisindex!$A$6),ROUND($E190*BA190,2),IF(AND($E190&lt;&gt;0,$F190&gt;0,YEAR($F190)&lt;=BA$4,YEAR($F190)&lt;Preisindex!$A$6),ROUND($E190*BB190,2),0))</f>
        <v>0</v>
      </c>
      <c r="BD190" s="53">
        <f t="shared" si="500"/>
        <v>0</v>
      </c>
      <c r="BE190" s="51">
        <f t="shared" si="621"/>
        <v>0</v>
      </c>
      <c r="BF190" s="51">
        <f t="shared" si="584"/>
        <v>0</v>
      </c>
      <c r="BG190" s="51">
        <f t="shared" si="501"/>
        <v>0</v>
      </c>
      <c r="BH190" s="51">
        <f t="shared" si="585"/>
        <v>0</v>
      </c>
      <c r="BI190" s="51">
        <f t="shared" si="502"/>
        <v>0</v>
      </c>
      <c r="BJ190" s="51">
        <f t="shared" si="586"/>
        <v>0</v>
      </c>
      <c r="BK190" s="51">
        <f t="shared" si="503"/>
        <v>0</v>
      </c>
      <c r="BL190" s="51">
        <f t="shared" si="587"/>
        <v>0</v>
      </c>
      <c r="BM190" s="51">
        <f t="shared" si="504"/>
        <v>0</v>
      </c>
      <c r="BN190" s="51">
        <f t="shared" si="588"/>
        <v>0</v>
      </c>
      <c r="BO190" s="51">
        <f t="shared" si="505"/>
        <v>0</v>
      </c>
      <c r="BP190" s="54">
        <f t="shared" si="506"/>
        <v>0</v>
      </c>
      <c r="BQ190" s="55">
        <f t="shared" si="507"/>
        <v>0</v>
      </c>
      <c r="BR190" s="56">
        <f>IF(AND($E190&lt;&gt;0,$F190&gt;0,YEAR($F190)&gt;=Preisindex!$A$6,YEAR(BM$4)&gt;=YEAR($F190),AND($K190&lt;&gt;"a",$K190&lt;&gt;"b",$K190&lt;&gt;"g",$K190&lt;&gt;"k")),1,IF(AND($E190&lt;&gt;0,$F190&gt;0,YEAR($F190)&gt;=Preisindex!$A$6,YEAR(BM$4)&gt;=YEAR($F190),$K190="a"),ROUND(VLOOKUP(BR$4,Preisindex,5,FALSE)/VLOOKUP(YEAR($F190),Preisindex,5,FALSE),2),IF(AND($E190&lt;&gt;0,$F190&gt;0,YEAR($F190)&gt;=Preisindex!$A$6,YEAR(BM$4)&gt;=YEAR($F190),$K190="b"),ROUND(VLOOKUP(BR$4,Preisindex,3,FALSE)/VLOOKUP(YEAR($F190),Preisindex,3,FALSE),2),IF(AND($E190&lt;&gt;0,$F190&gt;0,YEAR($F190)&gt;=Preisindex!$A$6,YEAR(BM$4)&gt;=YEAR($F190),$K190="g"),ROUND(VLOOKUP(BR$4,Preisindex,4,FALSE)/VLOOKUP(YEAR($F190),Preisindex,4,FALSE),2),IF(AND($E190&lt;&gt;0,$F190&gt;0,YEAR($F190)&gt;=Preisindex!$A$6,YEAR(BM$4)&gt;=YEAR($F190),$K190="k"),ROUND(VLOOKUP(BR$4,Preisindex,2,FALSE)/VLOOKUP(YEAR($F190),Preisindex,2,FALSE),2),0)))))</f>
        <v>0</v>
      </c>
      <c r="BS190" s="56">
        <f>IF(AND($E190&lt;&gt;0,$F190&gt;0,YEAR($F190)&lt;Preisindex!$A$6,YEAR(BM$4)&gt;=YEAR($F190),AND($K190&lt;&gt;"a",$K190&lt;&gt;"b",$K190&lt;&gt;"g",$K190&lt;&gt;"k")),1,IF(AND($E190&lt;&gt;0,$F190&gt;0,YEAR($F190)&lt;Preisindex!$A$6,YEAR(BM$4)&gt;=YEAR($F190),$K190="a"),ROUND(VLOOKUP(BR$4,Preisindex,5,FALSE)/VLOOKUP(Preisindex!$A$6,Preisindex,5,FALSE),2),IF(AND($E190&lt;&gt;0,$F190&gt;0,YEAR($F190)&lt;Preisindex!$A$6,YEAR(BM$4)&gt;=YEAR($F190),$K190="b"),ROUND(VLOOKUP(BR$4,Preisindex,3,FALSE)/VLOOKUP(Preisindex!$A$6,Preisindex,3,FALSE),2),IF(AND($E190&lt;&gt;0,$F190&gt;0,YEAR($F190)&lt;Preisindex!$A$6,YEAR(BM$4)&gt;=YEAR($F190),$K190="g"),ROUND(VLOOKUP(BR$4,Preisindex,4,FALSE)/VLOOKUP(Preisindex!$A$6,Preisindex,4,FALSE),2),IF(AND($E190&lt;&gt;0,$F190&gt;0,YEAR($F190)&lt;Preisindex!$A$6,YEAR(BM$4)&gt;=YEAR($F190),$K190="k"),ROUND(VLOOKUP(BR$4,Preisindex,2,FALSE)/VLOOKUP(Preisindex!$A$6,Preisindex,2,FALSE),2),0)))))</f>
        <v>0</v>
      </c>
      <c r="BT190" s="51">
        <f>IF(AND($E190&lt;&gt;0,$F190&gt;0,YEAR($F190)&lt;=BR$4,YEAR($F190)&gt;=Preisindex!$A$6),ROUND($E190*BR190,2),IF(AND($E190&lt;&gt;0,$F190&gt;0,YEAR($F190)&lt;=BR$4,YEAR($F190)&lt;Preisindex!$A$6),ROUND($E190*BS190,2),0))</f>
        <v>0</v>
      </c>
      <c r="BU190" s="53">
        <f t="shared" si="508"/>
        <v>0</v>
      </c>
      <c r="BV190" s="51">
        <f t="shared" si="621"/>
        <v>0</v>
      </c>
      <c r="BW190" s="51">
        <f t="shared" si="589"/>
        <v>0</v>
      </c>
      <c r="BX190" s="51">
        <f t="shared" si="509"/>
        <v>0</v>
      </c>
      <c r="BY190" s="51">
        <f t="shared" si="590"/>
        <v>0</v>
      </c>
      <c r="BZ190" s="51">
        <f t="shared" si="510"/>
        <v>0</v>
      </c>
      <c r="CA190" s="51">
        <f t="shared" si="591"/>
        <v>0</v>
      </c>
      <c r="CB190" s="51">
        <f t="shared" si="511"/>
        <v>0</v>
      </c>
      <c r="CC190" s="51">
        <f t="shared" si="592"/>
        <v>0</v>
      </c>
      <c r="CD190" s="51">
        <f t="shared" si="512"/>
        <v>0</v>
      </c>
      <c r="CE190" s="51">
        <f t="shared" si="593"/>
        <v>0</v>
      </c>
      <c r="CF190" s="51">
        <f t="shared" si="513"/>
        <v>0</v>
      </c>
      <c r="CG190" s="54">
        <f t="shared" si="514"/>
        <v>0</v>
      </c>
      <c r="CH190" s="55">
        <f t="shared" si="515"/>
        <v>0</v>
      </c>
      <c r="CI190" s="56">
        <f>IF(AND($E190&lt;&gt;0,$F190&gt;0,YEAR($F190)&gt;=Preisindex!$A$6,YEAR(CD$4)&gt;=YEAR($F190),AND($K190&lt;&gt;"a",$K190&lt;&gt;"b",$K190&lt;&gt;"g",$K190&lt;&gt;"k")),1,IF(AND($E190&lt;&gt;0,$F190&gt;0,YEAR($F190)&gt;=Preisindex!$A$6,YEAR(CD$4)&gt;=YEAR($F190),$K190="a"),ROUND(VLOOKUP(CI$4,Preisindex,5,FALSE)/VLOOKUP(YEAR($F190),Preisindex,5,FALSE),2),IF(AND($E190&lt;&gt;0,$F190&gt;0,YEAR($F190)&gt;=Preisindex!$A$6,YEAR(CD$4)&gt;=YEAR($F190),$K190="b"),ROUND(VLOOKUP(CI$4,Preisindex,3,FALSE)/VLOOKUP(YEAR($F190),Preisindex,3,FALSE),2),IF(AND($E190&lt;&gt;0,$F190&gt;0,YEAR($F190)&gt;=Preisindex!$A$6,YEAR(CD$4)&gt;=YEAR($F190),$K190="g"),ROUND(VLOOKUP(CI$4,Preisindex,4,FALSE)/VLOOKUP(YEAR($F190),Preisindex,4,FALSE),2),IF(AND($E190&lt;&gt;0,$F190&gt;0,YEAR($F190)&gt;=Preisindex!$A$6,YEAR(CD$4)&gt;=YEAR($F190),$K190="k"),ROUND(VLOOKUP(CI$4,Preisindex,2,FALSE)/VLOOKUP(YEAR($F190),Preisindex,2,FALSE),2),0)))))</f>
        <v>0</v>
      </c>
      <c r="CJ190" s="56">
        <f>IF(AND($E190&lt;&gt;0,$F190&gt;0,YEAR($F190)&lt;Preisindex!$A$6,YEAR(CD$4)&gt;=YEAR($F190),AND($K190&lt;&gt;"a",$K190&lt;&gt;"b",$K190&lt;&gt;"g",$K190&lt;&gt;"k")),1,IF(AND($E190&lt;&gt;0,$F190&gt;0,YEAR($F190)&lt;Preisindex!$A$6,YEAR(CD$4)&gt;=YEAR($F190),$K190="a"),ROUND(VLOOKUP(CI$4,Preisindex,5,FALSE)/VLOOKUP(Preisindex!$A$6,Preisindex,5,FALSE),2),IF(AND($E190&lt;&gt;0,$F190&gt;0,YEAR($F190)&lt;Preisindex!$A$6,YEAR(CD$4)&gt;=YEAR($F190),$K190="b"),ROUND(VLOOKUP(CI$4,Preisindex,3,FALSE)/VLOOKUP(Preisindex!$A$6,Preisindex,3,FALSE),2),IF(AND($E190&lt;&gt;0,$F190&gt;0,YEAR($F190)&lt;Preisindex!$A$6,YEAR(CD$4)&gt;=YEAR($F190),$K190="g"),ROUND(VLOOKUP(CI$4,Preisindex,4,FALSE)/VLOOKUP(Preisindex!$A$6,Preisindex,4,FALSE),2),IF(AND($E190&lt;&gt;0,$F190&gt;0,YEAR($F190)&lt;Preisindex!$A$6,YEAR(CD$4)&gt;=YEAR($F190),$K190="k"),ROUND(VLOOKUP(CI$4,Preisindex,2,FALSE)/VLOOKUP(Preisindex!$A$6,Preisindex,2,FALSE),2),0)))))</f>
        <v>0</v>
      </c>
      <c r="CK190" s="51">
        <f>IF(AND($E190&lt;&gt;0,$F190&gt;0,YEAR($F190)&lt;=CI$4,YEAR($F190)&gt;=Preisindex!$A$6),ROUND($E190*CI190,2),IF(AND($E190&lt;&gt;0,$F190&gt;0,YEAR($F190)&lt;=CI$4,YEAR($F190)&lt;Preisindex!$A$6),ROUND($E190*CJ190,2),0))</f>
        <v>0</v>
      </c>
      <c r="CL190" s="53">
        <f t="shared" si="516"/>
        <v>0</v>
      </c>
      <c r="CM190" s="51">
        <f t="shared" si="621"/>
        <v>0</v>
      </c>
      <c r="CN190" s="51">
        <f t="shared" si="594"/>
        <v>0</v>
      </c>
      <c r="CO190" s="51">
        <f t="shared" si="517"/>
        <v>0</v>
      </c>
      <c r="CP190" s="51">
        <f t="shared" si="595"/>
        <v>0</v>
      </c>
      <c r="CQ190" s="51">
        <f t="shared" si="518"/>
        <v>0</v>
      </c>
      <c r="CR190" s="51">
        <f t="shared" si="596"/>
        <v>0</v>
      </c>
      <c r="CS190" s="51">
        <f t="shared" si="519"/>
        <v>0</v>
      </c>
      <c r="CT190" s="51">
        <f t="shared" si="597"/>
        <v>0</v>
      </c>
      <c r="CU190" s="51">
        <f t="shared" si="520"/>
        <v>0</v>
      </c>
      <c r="CV190" s="51">
        <f t="shared" si="598"/>
        <v>0</v>
      </c>
      <c r="CW190" s="51">
        <f t="shared" si="521"/>
        <v>0</v>
      </c>
      <c r="CX190" s="54">
        <f t="shared" si="522"/>
        <v>0</v>
      </c>
      <c r="CY190" s="55">
        <f t="shared" si="523"/>
        <v>0</v>
      </c>
      <c r="CZ190" s="56">
        <f>IF(AND($E190&lt;&gt;0,$F190&gt;0,YEAR($F190)&gt;=Preisindex!$A$6,YEAR(CU$4)&gt;=YEAR($F190),AND($K190&lt;&gt;"a",$K190&lt;&gt;"b",$K190&lt;&gt;"g",$K190&lt;&gt;"k")),1,IF(AND($E190&lt;&gt;0,$F190&gt;0,YEAR($F190)&gt;=Preisindex!$A$6,YEAR(CU$4)&gt;=YEAR($F190),$K190="a"),ROUND(VLOOKUP(CZ$4,Preisindex,5,FALSE)/VLOOKUP(YEAR($F190),Preisindex,5,FALSE),2),IF(AND($E190&lt;&gt;0,$F190&gt;0,YEAR($F190)&gt;=Preisindex!$A$6,YEAR(CU$4)&gt;=YEAR($F190),$K190="b"),ROUND(VLOOKUP(CZ$4,Preisindex,3,FALSE)/VLOOKUP(YEAR($F190),Preisindex,3,FALSE),2),IF(AND($E190&lt;&gt;0,$F190&gt;0,YEAR($F190)&gt;=Preisindex!$A$6,YEAR(CU$4)&gt;=YEAR($F190),$K190="g"),ROUND(VLOOKUP(CZ$4,Preisindex,4,FALSE)/VLOOKUP(YEAR($F190),Preisindex,4,FALSE),2),IF(AND($E190&lt;&gt;0,$F190&gt;0,YEAR($F190)&gt;=Preisindex!$A$6,YEAR(CU$4)&gt;=YEAR($F190),$K190="k"),ROUND(VLOOKUP(CZ$4,Preisindex,2,FALSE)/VLOOKUP(YEAR($F190),Preisindex,2,FALSE),2),0)))))</f>
        <v>0</v>
      </c>
      <c r="DA190" s="56">
        <f>IF(AND($E190&lt;&gt;0,$F190&gt;0,YEAR($F190)&lt;Preisindex!$A$6,YEAR(CU$4)&gt;=YEAR($F190),AND($K190&lt;&gt;"a",$K190&lt;&gt;"b",$K190&lt;&gt;"g",$K190&lt;&gt;"k")),1,IF(AND($E190&lt;&gt;0,$F190&gt;0,YEAR($F190)&lt;Preisindex!$A$6,YEAR(CU$4)&gt;=YEAR($F190),$K190="a"),ROUND(VLOOKUP(CZ$4,Preisindex,5,FALSE)/VLOOKUP(Preisindex!$A$6,Preisindex,5,FALSE),2),IF(AND($E190&lt;&gt;0,$F190&gt;0,YEAR($F190)&lt;Preisindex!$A$6,YEAR(CU$4)&gt;=YEAR($F190),$K190="b"),ROUND(VLOOKUP(CZ$4,Preisindex,3,FALSE)/VLOOKUP(Preisindex!$A$6,Preisindex,3,FALSE),2),IF(AND($E190&lt;&gt;0,$F190&gt;0,YEAR($F190)&lt;Preisindex!$A$6,YEAR(CU$4)&gt;=YEAR($F190),$K190="g"),ROUND(VLOOKUP(CZ$4,Preisindex,4,FALSE)/VLOOKUP(Preisindex!$A$6,Preisindex,4,FALSE),2),IF(AND($E190&lt;&gt;0,$F190&gt;0,YEAR($F190)&lt;Preisindex!$A$6,YEAR(CU$4)&gt;=YEAR($F190),$K190="k"),ROUND(VLOOKUP(CZ$4,Preisindex,2,FALSE)/VLOOKUP(Preisindex!$A$6,Preisindex,2,FALSE),2),0)))))</f>
        <v>0</v>
      </c>
      <c r="DB190" s="51">
        <f>IF(AND($E190&lt;&gt;0,$F190&gt;0,YEAR($F190)&lt;=CZ$4,YEAR($F190)&gt;=Preisindex!$A$6),ROUND($E190*CZ190,2),IF(AND($E190&lt;&gt;0,$F190&gt;0,YEAR($F190)&lt;=CZ$4,YEAR($F190)&lt;Preisindex!$A$6),ROUND($E190*DA190,2),0))</f>
        <v>0</v>
      </c>
      <c r="DC190" s="53">
        <f t="shared" si="524"/>
        <v>0</v>
      </c>
      <c r="DD190" s="51">
        <f t="shared" si="622"/>
        <v>0</v>
      </c>
      <c r="DE190" s="51">
        <f t="shared" si="599"/>
        <v>0</v>
      </c>
      <c r="DF190" s="51">
        <f t="shared" si="526"/>
        <v>0</v>
      </c>
      <c r="DG190" s="51">
        <f t="shared" si="600"/>
        <v>0</v>
      </c>
      <c r="DH190" s="51">
        <f t="shared" si="527"/>
        <v>0</v>
      </c>
      <c r="DI190" s="51">
        <f t="shared" si="601"/>
        <v>0</v>
      </c>
      <c r="DJ190" s="51">
        <f t="shared" si="528"/>
        <v>0</v>
      </c>
      <c r="DK190" s="51">
        <f t="shared" si="602"/>
        <v>0</v>
      </c>
      <c r="DL190" s="51">
        <f t="shared" si="529"/>
        <v>0</v>
      </c>
      <c r="DM190" s="51">
        <f t="shared" si="603"/>
        <v>0</v>
      </c>
      <c r="DN190" s="51">
        <f t="shared" si="530"/>
        <v>0</v>
      </c>
      <c r="DO190" s="54">
        <f t="shared" si="531"/>
        <v>0</v>
      </c>
      <c r="DP190" s="55">
        <f t="shared" si="532"/>
        <v>0</v>
      </c>
      <c r="DQ190" s="56">
        <f>IF(AND($E190&lt;&gt;0,$F190&gt;0,YEAR($F190)&gt;=Preisindex!$A$6,YEAR(DL$4)&gt;=YEAR($F190),AND($K190&lt;&gt;"a",$K190&lt;&gt;"b",$K190&lt;&gt;"g",$K190&lt;&gt;"k")),1,IF(AND($E190&lt;&gt;0,$F190&gt;0,YEAR($F190)&gt;=Preisindex!$A$6,YEAR(DL$4)&gt;=YEAR($F190),$K190="a"),ROUND(VLOOKUP(DQ$4,Preisindex,5,FALSE)/VLOOKUP(YEAR($F190),Preisindex,5,FALSE),2),IF(AND($E190&lt;&gt;0,$F190&gt;0,YEAR($F190)&gt;=Preisindex!$A$6,YEAR(DL$4)&gt;=YEAR($F190),$K190="b"),ROUND(VLOOKUP(DQ$4,Preisindex,3,FALSE)/VLOOKUP(YEAR($F190),Preisindex,3,FALSE),2),IF(AND($E190&lt;&gt;0,$F190&gt;0,YEAR($F190)&gt;=Preisindex!$A$6,YEAR(DL$4)&gt;=YEAR($F190),$K190="g"),ROUND(VLOOKUP(DQ$4,Preisindex,4,FALSE)/VLOOKUP(YEAR($F190),Preisindex,4,FALSE),2),IF(AND($E190&lt;&gt;0,$F190&gt;0,YEAR($F190)&gt;=Preisindex!$A$6,YEAR(DL$4)&gt;=YEAR($F190),$K190="k"),ROUND(VLOOKUP(DQ$4,Preisindex,2,FALSE)/VLOOKUP(YEAR($F190),Preisindex,2,FALSE),2),0)))))</f>
        <v>0</v>
      </c>
      <c r="DR190" s="56">
        <f>IF(AND($E190&lt;&gt;0,$F190&gt;0,YEAR($F190)&lt;Preisindex!$A$6,YEAR(DL$4)&gt;=YEAR($F190),AND($K190&lt;&gt;"a",$K190&lt;&gt;"b",$K190&lt;&gt;"g",$K190&lt;&gt;"k")),1,IF(AND($E190&lt;&gt;0,$F190&gt;0,YEAR($F190)&lt;Preisindex!$A$6,YEAR(DL$4)&gt;=YEAR($F190),$K190="a"),ROUND(VLOOKUP(DQ$4,Preisindex,5,FALSE)/VLOOKUP(Preisindex!$A$6,Preisindex,5,FALSE),2),IF(AND($E190&lt;&gt;0,$F190&gt;0,YEAR($F190)&lt;Preisindex!$A$6,YEAR(DL$4)&gt;=YEAR($F190),$K190="b"),ROUND(VLOOKUP(DQ$4,Preisindex,3,FALSE)/VLOOKUP(Preisindex!$A$6,Preisindex,3,FALSE),2),IF(AND($E190&lt;&gt;0,$F190&gt;0,YEAR($F190)&lt;Preisindex!$A$6,YEAR(DL$4)&gt;=YEAR($F190),$K190="g"),ROUND(VLOOKUP(DQ$4,Preisindex,4,FALSE)/VLOOKUP(Preisindex!$A$6,Preisindex,4,FALSE),2),IF(AND($E190&lt;&gt;0,$F190&gt;0,YEAR($F190)&lt;Preisindex!$A$6,YEAR(DL$4)&gt;=YEAR($F190),$K190="k"),ROUND(VLOOKUP(DQ$4,Preisindex,2,FALSE)/VLOOKUP(Preisindex!$A$6,Preisindex,2,FALSE),2),0)))))</f>
        <v>0</v>
      </c>
      <c r="DS190" s="51">
        <f>IF(AND($E190&lt;&gt;0,$F190&gt;0,YEAR($F190)&lt;=DQ$4,YEAR($F190)&gt;=Preisindex!$A$6),ROUND($E190*DQ190,2),IF(AND($E190&lt;&gt;0,$F190&gt;0,YEAR($F190)&lt;=DQ$4,YEAR($F190)&lt;Preisindex!$A$6),ROUND($E190*DR190,2),0))</f>
        <v>0</v>
      </c>
      <c r="DT190" s="53">
        <f t="shared" si="533"/>
        <v>0</v>
      </c>
      <c r="DU190" s="51">
        <f t="shared" si="622"/>
        <v>0</v>
      </c>
      <c r="DV190" s="51">
        <f t="shared" si="604"/>
        <v>0</v>
      </c>
      <c r="DW190" s="51">
        <f t="shared" si="534"/>
        <v>0</v>
      </c>
      <c r="DX190" s="51">
        <f t="shared" si="605"/>
        <v>0</v>
      </c>
      <c r="DY190" s="51">
        <f t="shared" si="535"/>
        <v>0</v>
      </c>
      <c r="DZ190" s="51">
        <f t="shared" si="606"/>
        <v>0</v>
      </c>
      <c r="EA190" s="51">
        <f t="shared" si="536"/>
        <v>0</v>
      </c>
      <c r="EB190" s="51">
        <f t="shared" si="607"/>
        <v>0</v>
      </c>
      <c r="EC190" s="51">
        <f t="shared" si="537"/>
        <v>0</v>
      </c>
      <c r="ED190" s="51">
        <f t="shared" si="608"/>
        <v>0</v>
      </c>
      <c r="EE190" s="51">
        <f t="shared" si="538"/>
        <v>0</v>
      </c>
      <c r="EF190" s="54">
        <f t="shared" si="539"/>
        <v>0</v>
      </c>
      <c r="EG190" s="55">
        <f t="shared" si="540"/>
        <v>0</v>
      </c>
      <c r="EH190" s="56">
        <f>IF(AND($E190&lt;&gt;0,$F190&gt;0,YEAR($F190)&gt;=Preisindex!$A$6,YEAR(EC$4)&gt;=YEAR($F190),AND($K190&lt;&gt;"a",$K190&lt;&gt;"b",$K190&lt;&gt;"g",$K190&lt;&gt;"k")),1,IF(AND($E190&lt;&gt;0,$F190&gt;0,YEAR($F190)&gt;=Preisindex!$A$6,YEAR(EC$4)&gt;=YEAR($F190),$K190="a"),ROUND(VLOOKUP(EH$4,Preisindex,5,FALSE)/VLOOKUP(YEAR($F190),Preisindex,5,FALSE),2),IF(AND($E190&lt;&gt;0,$F190&gt;0,YEAR($F190)&gt;=Preisindex!$A$6,YEAR(EC$4)&gt;=YEAR($F190),$K190="b"),ROUND(VLOOKUP(EH$4,Preisindex,3,FALSE)/VLOOKUP(YEAR($F190),Preisindex,3,FALSE),2),IF(AND($E190&lt;&gt;0,$F190&gt;0,YEAR($F190)&gt;=Preisindex!$A$6,YEAR(EC$4)&gt;=YEAR($F190),$K190="g"),ROUND(VLOOKUP(EH$4,Preisindex,4,FALSE)/VLOOKUP(YEAR($F190),Preisindex,4,FALSE),2),IF(AND($E190&lt;&gt;0,$F190&gt;0,YEAR($F190)&gt;=Preisindex!$A$6,YEAR(EC$4)&gt;=YEAR($F190),$K190="k"),ROUND(VLOOKUP(EH$4,Preisindex,2,FALSE)/VLOOKUP(YEAR($F190),Preisindex,2,FALSE),2),0)))))</f>
        <v>0</v>
      </c>
      <c r="EI190" s="56">
        <f>IF(AND($E190&lt;&gt;0,$F190&gt;0,YEAR($F190)&lt;Preisindex!$A$6,YEAR(EC$4)&gt;=YEAR($F190),AND($K190&lt;&gt;"a",$K190&lt;&gt;"b",$K190&lt;&gt;"g",$K190&lt;&gt;"k")),1,IF(AND($E190&lt;&gt;0,$F190&gt;0,YEAR($F190)&lt;Preisindex!$A$6,YEAR(EC$4)&gt;=YEAR($F190),$K190="a"),ROUND(VLOOKUP(EH$4,Preisindex,5,FALSE)/VLOOKUP(Preisindex!$A$6,Preisindex,5,FALSE),2),IF(AND($E190&lt;&gt;0,$F190&gt;0,YEAR($F190)&lt;Preisindex!$A$6,YEAR(EC$4)&gt;=YEAR($F190),$K190="b"),ROUND(VLOOKUP(EH$4,Preisindex,3,FALSE)/VLOOKUP(Preisindex!$A$6,Preisindex,3,FALSE),2),IF(AND($E190&lt;&gt;0,$F190&gt;0,YEAR($F190)&lt;Preisindex!$A$6,YEAR(EC$4)&gt;=YEAR($F190),$K190="g"),ROUND(VLOOKUP(EH$4,Preisindex,4,FALSE)/VLOOKUP(Preisindex!$A$6,Preisindex,4,FALSE),2),IF(AND($E190&lt;&gt;0,$F190&gt;0,YEAR($F190)&lt;Preisindex!$A$6,YEAR(EC$4)&gt;=YEAR($F190),$K190="k"),ROUND(VLOOKUP(EH$4,Preisindex,2,FALSE)/VLOOKUP(Preisindex!$A$6,Preisindex,2,FALSE),2),0)))))</f>
        <v>0</v>
      </c>
      <c r="EJ190" s="51">
        <f>IF(AND($E190&lt;&gt;0,$F190&gt;0,YEAR($F190)&lt;=EH$4,YEAR($F190)&gt;=Preisindex!$A$6),ROUND($E190*EH190,2),IF(AND($E190&lt;&gt;0,$F190&gt;0,YEAR($F190)&lt;=EH$4,YEAR($F190)&lt;Preisindex!$A$6),ROUND($E190*EI190,2),0))</f>
        <v>0</v>
      </c>
      <c r="EK190" s="53">
        <f t="shared" si="541"/>
        <v>0</v>
      </c>
      <c r="EL190" s="51">
        <f t="shared" si="622"/>
        <v>0</v>
      </c>
      <c r="EM190" s="51">
        <f t="shared" si="609"/>
        <v>0</v>
      </c>
      <c r="EN190" s="51">
        <f t="shared" si="542"/>
        <v>0</v>
      </c>
      <c r="EO190" s="51">
        <f t="shared" si="610"/>
        <v>0</v>
      </c>
      <c r="EP190" s="51">
        <f t="shared" si="543"/>
        <v>0</v>
      </c>
      <c r="EQ190" s="51">
        <f t="shared" si="611"/>
        <v>0</v>
      </c>
      <c r="ER190" s="51">
        <f t="shared" si="544"/>
        <v>0</v>
      </c>
      <c r="ES190" s="51">
        <f t="shared" si="612"/>
        <v>0</v>
      </c>
      <c r="ET190" s="51">
        <f t="shared" si="545"/>
        <v>0</v>
      </c>
      <c r="EU190" s="51">
        <f t="shared" si="613"/>
        <v>0</v>
      </c>
      <c r="EV190" s="51">
        <f t="shared" si="546"/>
        <v>0</v>
      </c>
      <c r="EW190" s="54">
        <f t="shared" si="547"/>
        <v>0</v>
      </c>
      <c r="EX190" s="55">
        <f t="shared" si="548"/>
        <v>0</v>
      </c>
      <c r="EY190" s="56">
        <f>IF(AND($E190&lt;&gt;0,$F190&gt;0,YEAR($F190)&gt;=Preisindex!$A$6,YEAR(ET$4)&gt;=YEAR($F190),AND($K190&lt;&gt;"a",$K190&lt;&gt;"b",$K190&lt;&gt;"g",$K190&lt;&gt;"k")),1,IF(AND($E190&lt;&gt;0,$F190&gt;0,YEAR($F190)&gt;=Preisindex!$A$6,YEAR(ET$4)&gt;=YEAR($F190),$K190="a"),ROUND(VLOOKUP(EY$4,Preisindex,5,FALSE)/VLOOKUP(YEAR($F190),Preisindex,5,FALSE),2),IF(AND($E190&lt;&gt;0,$F190&gt;0,YEAR($F190)&gt;=Preisindex!$A$6,YEAR(ET$4)&gt;=YEAR($F190),$K190="b"),ROUND(VLOOKUP(EY$4,Preisindex,3,FALSE)/VLOOKUP(YEAR($F190),Preisindex,3,FALSE),2),IF(AND($E190&lt;&gt;0,$F190&gt;0,YEAR($F190)&gt;=Preisindex!$A$6,YEAR(ET$4)&gt;=YEAR($F190),$K190="g"),ROUND(VLOOKUP(EY$4,Preisindex,4,FALSE)/VLOOKUP(YEAR($F190),Preisindex,4,FALSE),2),IF(AND($E190&lt;&gt;0,$F190&gt;0,YEAR($F190)&gt;=Preisindex!$A$6,YEAR(ET$4)&gt;=YEAR($F190),$K190="k"),ROUND(VLOOKUP(EY$4,Preisindex,2,FALSE)/VLOOKUP(YEAR($F190),Preisindex,2,FALSE),2),0)))))</f>
        <v>0</v>
      </c>
      <c r="EZ190" s="56">
        <f>IF(AND($E190&lt;&gt;0,$F190&gt;0,YEAR($F190)&lt;Preisindex!$A$6,YEAR(ET$4)&gt;=YEAR($F190),AND($K190&lt;&gt;"a",$K190&lt;&gt;"b",$K190&lt;&gt;"g",$K190&lt;&gt;"k")),1,IF(AND($E190&lt;&gt;0,$F190&gt;0,YEAR($F190)&lt;Preisindex!$A$6,YEAR(ET$4)&gt;=YEAR($F190),$K190="a"),ROUND(VLOOKUP(EY$4,Preisindex,5,FALSE)/VLOOKUP(Preisindex!$A$6,Preisindex,5,FALSE),2),IF(AND($E190&lt;&gt;0,$F190&gt;0,YEAR($F190)&lt;Preisindex!$A$6,YEAR(ET$4)&gt;=YEAR($F190),$K190="b"),ROUND(VLOOKUP(EY$4,Preisindex,3,FALSE)/VLOOKUP(Preisindex!$A$6,Preisindex,3,FALSE),2),IF(AND($E190&lt;&gt;0,$F190&gt;0,YEAR($F190)&lt;Preisindex!$A$6,YEAR(ET$4)&gt;=YEAR($F190),$K190="g"),ROUND(VLOOKUP(EY$4,Preisindex,4,FALSE)/VLOOKUP(Preisindex!$A$6,Preisindex,4,FALSE),2),IF(AND($E190&lt;&gt;0,$F190&gt;0,YEAR($F190)&lt;Preisindex!$A$6,YEAR(ET$4)&gt;=YEAR($F190),$K190="k"),ROUND(VLOOKUP(EY$4,Preisindex,2,FALSE)/VLOOKUP(Preisindex!$A$6,Preisindex,2,FALSE),2),0)))))</f>
        <v>0</v>
      </c>
      <c r="FA190" s="51">
        <f>IF(AND($E190&lt;&gt;0,$F190&gt;0,YEAR($F190)&lt;=EY$4,YEAR($F190)&gt;=Preisindex!$A$6),ROUND($E190*EY190,2),IF(AND($E190&lt;&gt;0,$F190&gt;0,YEAR($F190)&lt;=EY$4,YEAR($F190)&lt;Preisindex!$A$6),ROUND($E190*EZ190,2),0))</f>
        <v>0</v>
      </c>
      <c r="FB190" s="53">
        <f t="shared" si="549"/>
        <v>0</v>
      </c>
      <c r="FC190" s="51">
        <f t="shared" si="622"/>
        <v>0</v>
      </c>
      <c r="FD190" s="51">
        <f t="shared" si="614"/>
        <v>0</v>
      </c>
      <c r="FE190" s="51">
        <f t="shared" si="550"/>
        <v>0</v>
      </c>
      <c r="FF190" s="51">
        <f t="shared" si="615"/>
        <v>0</v>
      </c>
      <c r="FG190" s="51">
        <f t="shared" si="551"/>
        <v>0</v>
      </c>
      <c r="FH190" s="51">
        <f t="shared" si="616"/>
        <v>0</v>
      </c>
      <c r="FI190" s="51">
        <f t="shared" si="552"/>
        <v>0</v>
      </c>
      <c r="FJ190" s="51">
        <f t="shared" si="617"/>
        <v>0</v>
      </c>
      <c r="FK190" s="51">
        <f t="shared" si="553"/>
        <v>0</v>
      </c>
      <c r="FL190" s="51">
        <f t="shared" si="618"/>
        <v>0</v>
      </c>
      <c r="FM190" s="51">
        <f t="shared" si="554"/>
        <v>0</v>
      </c>
      <c r="FN190" s="54">
        <f t="shared" si="555"/>
        <v>0</v>
      </c>
      <c r="FO190" s="55">
        <f t="shared" si="556"/>
        <v>0</v>
      </c>
      <c r="FP190" s="56">
        <f>IF(AND($E190&lt;&gt;0,$F190&gt;0,YEAR($F190)&gt;=Preisindex!$A$6,YEAR(FK$4)&gt;=YEAR($F190),AND($K190&lt;&gt;"a",$K190&lt;&gt;"b",$K190&lt;&gt;"g",$K190&lt;&gt;"k")),1,IF(AND($E190&lt;&gt;0,$F190&gt;0,YEAR($F190)&gt;=Preisindex!$A$6,YEAR(FK$4)&gt;=YEAR($F190),$K190="a"),ROUND(VLOOKUP(FP$4,Preisindex,5,FALSE)/VLOOKUP(YEAR($F190),Preisindex,5,FALSE),2),IF(AND($E190&lt;&gt;0,$F190&gt;0,YEAR($F190)&gt;=Preisindex!$A$6,YEAR(FK$4)&gt;=YEAR($F190),$K190="b"),ROUND(VLOOKUP(FP$4,Preisindex,3,FALSE)/VLOOKUP(YEAR($F190),Preisindex,3,FALSE),2),IF(AND($E190&lt;&gt;0,$F190&gt;0,YEAR($F190)&gt;=Preisindex!$A$6,YEAR(FK$4)&gt;=YEAR($F190),$K190="g"),ROUND(VLOOKUP(FP$4,Preisindex,4,FALSE)/VLOOKUP(YEAR($F190),Preisindex,4,FALSE),2),IF(AND($E190&lt;&gt;0,$F190&gt;0,YEAR($F190)&gt;=Preisindex!$A$6,YEAR(FK$4)&gt;=YEAR($F190),$K190="k"),ROUND(VLOOKUP(FP$4,Preisindex,2,FALSE)/VLOOKUP(YEAR($F190),Preisindex,2,FALSE),2),0)))))</f>
        <v>0</v>
      </c>
      <c r="FQ190" s="56">
        <f>IF(AND($E190&lt;&gt;0,$F190&gt;0,YEAR($F190)&lt;Preisindex!$A$6,YEAR(FK$4)&gt;=YEAR($F190),AND($K190&lt;&gt;"a",$K190&lt;&gt;"b",$K190&lt;&gt;"g",$K190&lt;&gt;"k")),1,IF(AND($E190&lt;&gt;0,$F190&gt;0,YEAR($F190)&lt;Preisindex!$A$6,YEAR(FK$4)&gt;=YEAR($F190),$K190="a"),ROUND(VLOOKUP(FP$4,Preisindex,5,FALSE)/VLOOKUP(Preisindex!$A$6,Preisindex,5,FALSE),2),IF(AND($E190&lt;&gt;0,$F190&gt;0,YEAR($F190)&lt;Preisindex!$A$6,YEAR(FK$4)&gt;=YEAR($F190),$K190="b"),ROUND(VLOOKUP(FP$4,Preisindex,3,FALSE)/VLOOKUP(Preisindex!$A$6,Preisindex,3,FALSE),2),IF(AND($E190&lt;&gt;0,$F190&gt;0,YEAR($F190)&lt;Preisindex!$A$6,YEAR(FK$4)&gt;=YEAR($F190),$K190="g"),ROUND(VLOOKUP(FP$4,Preisindex,4,FALSE)/VLOOKUP(Preisindex!$A$6,Preisindex,4,FALSE),2),IF(AND($E190&lt;&gt;0,$F190&gt;0,YEAR($F190)&lt;Preisindex!$A$6,YEAR(FK$4)&gt;=YEAR($F190),$K190="k"),ROUND(VLOOKUP(FP$4,Preisindex,2,FALSE)/VLOOKUP(Preisindex!$A$6,Preisindex,2,FALSE),2),0)))))</f>
        <v>0</v>
      </c>
      <c r="FR190" s="51">
        <f>IF(AND($E190&lt;&gt;0,$F190&gt;0,YEAR($F190)&lt;=FP$4,YEAR($F190)&gt;=Preisindex!$A$6),ROUND($E190*FP190,2),IF(AND($E190&lt;&gt;0,$F190&gt;0,YEAR($F190)&lt;=FP$4,YEAR($F190)&lt;Preisindex!$A$6),ROUND($E190*FQ190,2),0))</f>
        <v>0</v>
      </c>
      <c r="FS190" s="53">
        <f t="shared" si="557"/>
        <v>0</v>
      </c>
    </row>
    <row r="191" spans="1:175" x14ac:dyDescent="0.3">
      <c r="A191" s="93"/>
      <c r="B191" s="94"/>
      <c r="C191" s="94"/>
      <c r="D191" s="95"/>
      <c r="E191" s="99"/>
      <c r="F191" s="97"/>
      <c r="G191" s="98"/>
      <c r="H191" s="620"/>
      <c r="I191" s="621"/>
      <c r="J191" s="194"/>
      <c r="K191" s="630"/>
      <c r="L191" s="49">
        <f t="shared" si="558"/>
        <v>0</v>
      </c>
      <c r="M191" s="50">
        <f t="shared" si="559"/>
        <v>0</v>
      </c>
      <c r="N191" s="51">
        <f t="shared" si="560"/>
        <v>0</v>
      </c>
      <c r="O191" s="51"/>
      <c r="P191" s="51">
        <f t="shared" si="561"/>
        <v>0</v>
      </c>
      <c r="Q191" s="52"/>
      <c r="R191" s="52"/>
      <c r="S191" s="52"/>
      <c r="T191" s="52"/>
      <c r="U191" s="52"/>
      <c r="V191" s="53">
        <f t="shared" si="562"/>
        <v>0</v>
      </c>
      <c r="W191" s="51">
        <f t="shared" si="563"/>
        <v>0</v>
      </c>
      <c r="X191" s="51">
        <f t="shared" si="564"/>
        <v>0</v>
      </c>
      <c r="Y191" s="51">
        <f t="shared" si="565"/>
        <v>0</v>
      </c>
      <c r="Z191" s="51">
        <f t="shared" si="566"/>
        <v>0</v>
      </c>
      <c r="AA191" s="51">
        <f t="shared" si="567"/>
        <v>0</v>
      </c>
      <c r="AB191" s="51">
        <f t="shared" si="568"/>
        <v>0</v>
      </c>
      <c r="AC191" s="51">
        <f t="shared" si="569"/>
        <v>0</v>
      </c>
      <c r="AD191" s="51">
        <f t="shared" si="570"/>
        <v>0</v>
      </c>
      <c r="AE191" s="51">
        <f t="shared" si="571"/>
        <v>0</v>
      </c>
      <c r="AF191" s="51">
        <f t="shared" si="572"/>
        <v>0</v>
      </c>
      <c r="AG191" s="51">
        <f t="shared" si="573"/>
        <v>0</v>
      </c>
      <c r="AH191" s="54">
        <f t="shared" si="574"/>
        <v>0</v>
      </c>
      <c r="AI191" s="55">
        <f t="shared" si="575"/>
        <v>0</v>
      </c>
      <c r="AJ191" s="56">
        <f>IF(AND($E191&lt;&gt;0,$F191&gt;0,YEAR($F191)&gt;=Preisindex!$A$6,YEAR(AE$4)&gt;=YEAR($F191),AND($K191&lt;&gt;"a",$K191&lt;&gt;"b",$K191&lt;&gt;"g",$K191&lt;&gt;"k")),1,IF(AND($E191&lt;&gt;0,$F191&gt;0,YEAR($F191)&gt;=Preisindex!$A$6,YEAR(AE$4)&gt;=YEAR($F191),$K191="a"),ROUND(VLOOKUP(AJ$4,Preisindex,5,FALSE)/VLOOKUP(YEAR($F191),Preisindex,5,FALSE),2),IF(AND($E191&lt;&gt;0,$F191&gt;0,YEAR($F191)&gt;=Preisindex!$A$6,YEAR(AE$4)&gt;=YEAR($F191),$K191="b"),ROUND(VLOOKUP(AJ$4,Preisindex,3,FALSE)/VLOOKUP(YEAR($F191),Preisindex,3,FALSE),2),IF(AND($E191&lt;&gt;0,$F191&gt;0,YEAR($F191)&gt;=Preisindex!$A$6,YEAR(AE$4)&gt;=YEAR($F191),$K191="g"),ROUND(VLOOKUP(AJ$4,Preisindex,4,FALSE)/VLOOKUP(YEAR($F191),Preisindex,4,FALSE),2),IF(AND($E191&lt;&gt;0,$F191&gt;0,YEAR($F191)&gt;=Preisindex!$A$6,YEAR(AE$4)&gt;=YEAR($F191),$K191="k"),ROUND(VLOOKUP(AJ$4,Preisindex,2,FALSE)/VLOOKUP(YEAR($F191),Preisindex,2,FALSE),2),0)))))</f>
        <v>0</v>
      </c>
      <c r="AK191" s="56">
        <f>IF(AND($E191&lt;&gt;0,$F191&gt;0,YEAR($F191)&lt;Preisindex!$A$6,YEAR(AE$4)&gt;=YEAR($F191),AND($K191&lt;&gt;"a",$K191&lt;&gt;"b",$K191&lt;&gt;"g",$K191&lt;&gt;"k")),1,IF(AND($E191&lt;&gt;0,$F191&gt;0,YEAR($F191)&lt;Preisindex!$A$6,YEAR(AE$4)&gt;=YEAR($F191),$K191="a"),ROUND(VLOOKUP(AJ$4,Preisindex,5,FALSE)/VLOOKUP(Preisindex!$A$6,Preisindex,5,FALSE),2),IF(AND($E191&lt;&gt;0,$F191&gt;0,YEAR($F191)&lt;Preisindex!$A$6,YEAR(AE$4)&gt;=YEAR($F191),$K191="b"),ROUND(VLOOKUP(AJ$4,Preisindex,3,FALSE)/VLOOKUP(Preisindex!$A$6,Preisindex,3,FALSE),2),IF(AND($E191&lt;&gt;0,$F191&gt;0,YEAR($F191)&lt;Preisindex!$A$6,YEAR(AE$4)&gt;=YEAR($F191),$K191="g"),ROUND(VLOOKUP(AJ$4,Preisindex,4,FALSE)/VLOOKUP(Preisindex!$A$6,Preisindex,4,FALSE),2),IF(AND($E191&lt;&gt;0,$F191&gt;0,YEAR($F191)&lt;Preisindex!$A$6,YEAR(AE$4)&gt;=YEAR($F191),$K191="k"),ROUND(VLOOKUP(AJ$4,Preisindex,2,FALSE)/VLOOKUP(Preisindex!$A$6,Preisindex,2,FALSE),2),0)))))</f>
        <v>0</v>
      </c>
      <c r="AL191" s="51">
        <f>IF(AND($E191&lt;&gt;0,$F191&gt;0,YEAR($F191)&lt;=AJ$4,YEAR($F191)&gt;=Preisindex!$A$6),ROUND($E191*AJ191,2),IF(AND($E191&lt;&gt;0,$F191&gt;0,YEAR($F191)&lt;=AJ$4,YEAR($F191)&lt;Preisindex!$A$6),ROUND($E191*AK191,2),0))</f>
        <v>0</v>
      </c>
      <c r="AM191" s="53">
        <f t="shared" si="576"/>
        <v>0</v>
      </c>
      <c r="AN191" s="51">
        <f t="shared" si="621"/>
        <v>0</v>
      </c>
      <c r="AO191" s="51">
        <f t="shared" si="579"/>
        <v>0</v>
      </c>
      <c r="AP191" s="51">
        <f t="shared" si="493"/>
        <v>0</v>
      </c>
      <c r="AQ191" s="51">
        <f t="shared" si="580"/>
        <v>0</v>
      </c>
      <c r="AR191" s="51">
        <f t="shared" si="494"/>
        <v>0</v>
      </c>
      <c r="AS191" s="51">
        <f t="shared" si="581"/>
        <v>0</v>
      </c>
      <c r="AT191" s="51">
        <f t="shared" si="495"/>
        <v>0</v>
      </c>
      <c r="AU191" s="51">
        <f t="shared" si="582"/>
        <v>0</v>
      </c>
      <c r="AV191" s="51">
        <f t="shared" si="496"/>
        <v>0</v>
      </c>
      <c r="AW191" s="51">
        <f t="shared" si="583"/>
        <v>0</v>
      </c>
      <c r="AX191" s="51">
        <f t="shared" si="497"/>
        <v>0</v>
      </c>
      <c r="AY191" s="54">
        <f t="shared" si="498"/>
        <v>0</v>
      </c>
      <c r="AZ191" s="55">
        <f t="shared" si="499"/>
        <v>0</v>
      </c>
      <c r="BA191" s="56">
        <f>IF(AND($E191&lt;&gt;0,$F191&gt;0,YEAR($F191)&gt;=Preisindex!$A$6,YEAR(AV$4)&gt;=YEAR($F191),AND($K191&lt;&gt;"a",$K191&lt;&gt;"b",$K191&lt;&gt;"g",$K191&lt;&gt;"k")),1,IF(AND($E191&lt;&gt;0,$F191&gt;0,YEAR($F191)&gt;=Preisindex!$A$6,YEAR(AV$4)&gt;=YEAR($F191),$K191="a"),ROUND(VLOOKUP(BA$4,Preisindex,5,FALSE)/VLOOKUP(YEAR($F191),Preisindex,5,FALSE),2),IF(AND($E191&lt;&gt;0,$F191&gt;0,YEAR($F191)&gt;=Preisindex!$A$6,YEAR(AV$4)&gt;=YEAR($F191),$K191="b"),ROUND(VLOOKUP(BA$4,Preisindex,3,FALSE)/VLOOKUP(YEAR($F191),Preisindex,3,FALSE),2),IF(AND($E191&lt;&gt;0,$F191&gt;0,YEAR($F191)&gt;=Preisindex!$A$6,YEAR(AV$4)&gt;=YEAR($F191),$K191="g"),ROUND(VLOOKUP(BA$4,Preisindex,4,FALSE)/VLOOKUP(YEAR($F191),Preisindex,4,FALSE),2),IF(AND($E191&lt;&gt;0,$F191&gt;0,YEAR($F191)&gt;=Preisindex!$A$6,YEAR(AV$4)&gt;=YEAR($F191),$K191="k"),ROUND(VLOOKUP(BA$4,Preisindex,2,FALSE)/VLOOKUP(YEAR($F191),Preisindex,2,FALSE),2),0)))))</f>
        <v>0</v>
      </c>
      <c r="BB191" s="56">
        <f>IF(AND($E191&lt;&gt;0,$F191&gt;0,YEAR($F191)&lt;Preisindex!$A$6,YEAR(AV$4)&gt;=YEAR($F191),AND($K191&lt;&gt;"a",$K191&lt;&gt;"b",$K191&lt;&gt;"g",$K191&lt;&gt;"k")),1,IF(AND($E191&lt;&gt;0,$F191&gt;0,YEAR($F191)&lt;Preisindex!$A$6,YEAR(AV$4)&gt;=YEAR($F191),$K191="a"),ROUND(VLOOKUP(BA$4,Preisindex,5,FALSE)/VLOOKUP(Preisindex!$A$6,Preisindex,5,FALSE),2),IF(AND($E191&lt;&gt;0,$F191&gt;0,YEAR($F191)&lt;Preisindex!$A$6,YEAR(AV$4)&gt;=YEAR($F191),$K191="b"),ROUND(VLOOKUP(BA$4,Preisindex,3,FALSE)/VLOOKUP(Preisindex!$A$6,Preisindex,3,FALSE),2),IF(AND($E191&lt;&gt;0,$F191&gt;0,YEAR($F191)&lt;Preisindex!$A$6,YEAR(AV$4)&gt;=YEAR($F191),$K191="g"),ROUND(VLOOKUP(BA$4,Preisindex,4,FALSE)/VLOOKUP(Preisindex!$A$6,Preisindex,4,FALSE),2),IF(AND($E191&lt;&gt;0,$F191&gt;0,YEAR($F191)&lt;Preisindex!$A$6,YEAR(AV$4)&gt;=YEAR($F191),$K191="k"),ROUND(VLOOKUP(BA$4,Preisindex,2,FALSE)/VLOOKUP(Preisindex!$A$6,Preisindex,2,FALSE),2),0)))))</f>
        <v>0</v>
      </c>
      <c r="BC191" s="51">
        <f>IF(AND($E191&lt;&gt;0,$F191&gt;0,YEAR($F191)&lt;=BA$4,YEAR($F191)&gt;=Preisindex!$A$6),ROUND($E191*BA191,2),IF(AND($E191&lt;&gt;0,$F191&gt;0,YEAR($F191)&lt;=BA$4,YEAR($F191)&lt;Preisindex!$A$6),ROUND($E191*BB191,2),0))</f>
        <v>0</v>
      </c>
      <c r="BD191" s="53">
        <f t="shared" si="500"/>
        <v>0</v>
      </c>
      <c r="BE191" s="51">
        <f t="shared" si="621"/>
        <v>0</v>
      </c>
      <c r="BF191" s="51">
        <f t="shared" si="584"/>
        <v>0</v>
      </c>
      <c r="BG191" s="51">
        <f t="shared" si="501"/>
        <v>0</v>
      </c>
      <c r="BH191" s="51">
        <f t="shared" si="585"/>
        <v>0</v>
      </c>
      <c r="BI191" s="51">
        <f t="shared" si="502"/>
        <v>0</v>
      </c>
      <c r="BJ191" s="51">
        <f t="shared" si="586"/>
        <v>0</v>
      </c>
      <c r="BK191" s="51">
        <f t="shared" si="503"/>
        <v>0</v>
      </c>
      <c r="BL191" s="51">
        <f t="shared" si="587"/>
        <v>0</v>
      </c>
      <c r="BM191" s="51">
        <f t="shared" si="504"/>
        <v>0</v>
      </c>
      <c r="BN191" s="51">
        <f t="shared" si="588"/>
        <v>0</v>
      </c>
      <c r="BO191" s="51">
        <f t="shared" si="505"/>
        <v>0</v>
      </c>
      <c r="BP191" s="54">
        <f t="shared" si="506"/>
        <v>0</v>
      </c>
      <c r="BQ191" s="55">
        <f t="shared" si="507"/>
        <v>0</v>
      </c>
      <c r="BR191" s="56">
        <f>IF(AND($E191&lt;&gt;0,$F191&gt;0,YEAR($F191)&gt;=Preisindex!$A$6,YEAR(BM$4)&gt;=YEAR($F191),AND($K191&lt;&gt;"a",$K191&lt;&gt;"b",$K191&lt;&gt;"g",$K191&lt;&gt;"k")),1,IF(AND($E191&lt;&gt;0,$F191&gt;0,YEAR($F191)&gt;=Preisindex!$A$6,YEAR(BM$4)&gt;=YEAR($F191),$K191="a"),ROUND(VLOOKUP(BR$4,Preisindex,5,FALSE)/VLOOKUP(YEAR($F191),Preisindex,5,FALSE),2),IF(AND($E191&lt;&gt;0,$F191&gt;0,YEAR($F191)&gt;=Preisindex!$A$6,YEAR(BM$4)&gt;=YEAR($F191),$K191="b"),ROUND(VLOOKUP(BR$4,Preisindex,3,FALSE)/VLOOKUP(YEAR($F191),Preisindex,3,FALSE),2),IF(AND($E191&lt;&gt;0,$F191&gt;0,YEAR($F191)&gt;=Preisindex!$A$6,YEAR(BM$4)&gt;=YEAR($F191),$K191="g"),ROUND(VLOOKUP(BR$4,Preisindex,4,FALSE)/VLOOKUP(YEAR($F191),Preisindex,4,FALSE),2),IF(AND($E191&lt;&gt;0,$F191&gt;0,YEAR($F191)&gt;=Preisindex!$A$6,YEAR(BM$4)&gt;=YEAR($F191),$K191="k"),ROUND(VLOOKUP(BR$4,Preisindex,2,FALSE)/VLOOKUP(YEAR($F191),Preisindex,2,FALSE),2),0)))))</f>
        <v>0</v>
      </c>
      <c r="BS191" s="56">
        <f>IF(AND($E191&lt;&gt;0,$F191&gt;0,YEAR($F191)&lt;Preisindex!$A$6,YEAR(BM$4)&gt;=YEAR($F191),AND($K191&lt;&gt;"a",$K191&lt;&gt;"b",$K191&lt;&gt;"g",$K191&lt;&gt;"k")),1,IF(AND($E191&lt;&gt;0,$F191&gt;0,YEAR($F191)&lt;Preisindex!$A$6,YEAR(BM$4)&gt;=YEAR($F191),$K191="a"),ROUND(VLOOKUP(BR$4,Preisindex,5,FALSE)/VLOOKUP(Preisindex!$A$6,Preisindex,5,FALSE),2),IF(AND($E191&lt;&gt;0,$F191&gt;0,YEAR($F191)&lt;Preisindex!$A$6,YEAR(BM$4)&gt;=YEAR($F191),$K191="b"),ROUND(VLOOKUP(BR$4,Preisindex,3,FALSE)/VLOOKUP(Preisindex!$A$6,Preisindex,3,FALSE),2),IF(AND($E191&lt;&gt;0,$F191&gt;0,YEAR($F191)&lt;Preisindex!$A$6,YEAR(BM$4)&gt;=YEAR($F191),$K191="g"),ROUND(VLOOKUP(BR$4,Preisindex,4,FALSE)/VLOOKUP(Preisindex!$A$6,Preisindex,4,FALSE),2),IF(AND($E191&lt;&gt;0,$F191&gt;0,YEAR($F191)&lt;Preisindex!$A$6,YEAR(BM$4)&gt;=YEAR($F191),$K191="k"),ROUND(VLOOKUP(BR$4,Preisindex,2,FALSE)/VLOOKUP(Preisindex!$A$6,Preisindex,2,FALSE),2),0)))))</f>
        <v>0</v>
      </c>
      <c r="BT191" s="51">
        <f>IF(AND($E191&lt;&gt;0,$F191&gt;0,YEAR($F191)&lt;=BR$4,YEAR($F191)&gt;=Preisindex!$A$6),ROUND($E191*BR191,2),IF(AND($E191&lt;&gt;0,$F191&gt;0,YEAR($F191)&lt;=BR$4,YEAR($F191)&lt;Preisindex!$A$6),ROUND($E191*BS191,2),0))</f>
        <v>0</v>
      </c>
      <c r="BU191" s="53">
        <f t="shared" si="508"/>
        <v>0</v>
      </c>
      <c r="BV191" s="51">
        <f t="shared" si="621"/>
        <v>0</v>
      </c>
      <c r="BW191" s="51">
        <f t="shared" si="589"/>
        <v>0</v>
      </c>
      <c r="BX191" s="51">
        <f t="shared" si="509"/>
        <v>0</v>
      </c>
      <c r="BY191" s="51">
        <f t="shared" si="590"/>
        <v>0</v>
      </c>
      <c r="BZ191" s="51">
        <f t="shared" si="510"/>
        <v>0</v>
      </c>
      <c r="CA191" s="51">
        <f t="shared" si="591"/>
        <v>0</v>
      </c>
      <c r="CB191" s="51">
        <f t="shared" si="511"/>
        <v>0</v>
      </c>
      <c r="CC191" s="51">
        <f t="shared" si="592"/>
        <v>0</v>
      </c>
      <c r="CD191" s="51">
        <f t="shared" si="512"/>
        <v>0</v>
      </c>
      <c r="CE191" s="51">
        <f t="shared" si="593"/>
        <v>0</v>
      </c>
      <c r="CF191" s="51">
        <f t="shared" si="513"/>
        <v>0</v>
      </c>
      <c r="CG191" s="54">
        <f t="shared" si="514"/>
        <v>0</v>
      </c>
      <c r="CH191" s="55">
        <f t="shared" si="515"/>
        <v>0</v>
      </c>
      <c r="CI191" s="56">
        <f>IF(AND($E191&lt;&gt;0,$F191&gt;0,YEAR($F191)&gt;=Preisindex!$A$6,YEAR(CD$4)&gt;=YEAR($F191),AND($K191&lt;&gt;"a",$K191&lt;&gt;"b",$K191&lt;&gt;"g",$K191&lt;&gt;"k")),1,IF(AND($E191&lt;&gt;0,$F191&gt;0,YEAR($F191)&gt;=Preisindex!$A$6,YEAR(CD$4)&gt;=YEAR($F191),$K191="a"),ROUND(VLOOKUP(CI$4,Preisindex,5,FALSE)/VLOOKUP(YEAR($F191),Preisindex,5,FALSE),2),IF(AND($E191&lt;&gt;0,$F191&gt;0,YEAR($F191)&gt;=Preisindex!$A$6,YEAR(CD$4)&gt;=YEAR($F191),$K191="b"),ROUND(VLOOKUP(CI$4,Preisindex,3,FALSE)/VLOOKUP(YEAR($F191),Preisindex,3,FALSE),2),IF(AND($E191&lt;&gt;0,$F191&gt;0,YEAR($F191)&gt;=Preisindex!$A$6,YEAR(CD$4)&gt;=YEAR($F191),$K191="g"),ROUND(VLOOKUP(CI$4,Preisindex,4,FALSE)/VLOOKUP(YEAR($F191),Preisindex,4,FALSE),2),IF(AND($E191&lt;&gt;0,$F191&gt;0,YEAR($F191)&gt;=Preisindex!$A$6,YEAR(CD$4)&gt;=YEAR($F191),$K191="k"),ROUND(VLOOKUP(CI$4,Preisindex,2,FALSE)/VLOOKUP(YEAR($F191),Preisindex,2,FALSE),2),0)))))</f>
        <v>0</v>
      </c>
      <c r="CJ191" s="56">
        <f>IF(AND($E191&lt;&gt;0,$F191&gt;0,YEAR($F191)&lt;Preisindex!$A$6,YEAR(CD$4)&gt;=YEAR($F191),AND($K191&lt;&gt;"a",$K191&lt;&gt;"b",$K191&lt;&gt;"g",$K191&lt;&gt;"k")),1,IF(AND($E191&lt;&gt;0,$F191&gt;0,YEAR($F191)&lt;Preisindex!$A$6,YEAR(CD$4)&gt;=YEAR($F191),$K191="a"),ROUND(VLOOKUP(CI$4,Preisindex,5,FALSE)/VLOOKUP(Preisindex!$A$6,Preisindex,5,FALSE),2),IF(AND($E191&lt;&gt;0,$F191&gt;0,YEAR($F191)&lt;Preisindex!$A$6,YEAR(CD$4)&gt;=YEAR($F191),$K191="b"),ROUND(VLOOKUP(CI$4,Preisindex,3,FALSE)/VLOOKUP(Preisindex!$A$6,Preisindex,3,FALSE),2),IF(AND($E191&lt;&gt;0,$F191&gt;0,YEAR($F191)&lt;Preisindex!$A$6,YEAR(CD$4)&gt;=YEAR($F191),$K191="g"),ROUND(VLOOKUP(CI$4,Preisindex,4,FALSE)/VLOOKUP(Preisindex!$A$6,Preisindex,4,FALSE),2),IF(AND($E191&lt;&gt;0,$F191&gt;0,YEAR($F191)&lt;Preisindex!$A$6,YEAR(CD$4)&gt;=YEAR($F191),$K191="k"),ROUND(VLOOKUP(CI$4,Preisindex,2,FALSE)/VLOOKUP(Preisindex!$A$6,Preisindex,2,FALSE),2),0)))))</f>
        <v>0</v>
      </c>
      <c r="CK191" s="51">
        <f>IF(AND($E191&lt;&gt;0,$F191&gt;0,YEAR($F191)&lt;=CI$4,YEAR($F191)&gt;=Preisindex!$A$6),ROUND($E191*CI191,2),IF(AND($E191&lt;&gt;0,$F191&gt;0,YEAR($F191)&lt;=CI$4,YEAR($F191)&lt;Preisindex!$A$6),ROUND($E191*CJ191,2),0))</f>
        <v>0</v>
      </c>
      <c r="CL191" s="53">
        <f t="shared" si="516"/>
        <v>0</v>
      </c>
      <c r="CM191" s="51">
        <f t="shared" si="621"/>
        <v>0</v>
      </c>
      <c r="CN191" s="51">
        <f t="shared" si="594"/>
        <v>0</v>
      </c>
      <c r="CO191" s="51">
        <f t="shared" si="517"/>
        <v>0</v>
      </c>
      <c r="CP191" s="51">
        <f t="shared" si="595"/>
        <v>0</v>
      </c>
      <c r="CQ191" s="51">
        <f t="shared" si="518"/>
        <v>0</v>
      </c>
      <c r="CR191" s="51">
        <f t="shared" si="596"/>
        <v>0</v>
      </c>
      <c r="CS191" s="51">
        <f t="shared" si="519"/>
        <v>0</v>
      </c>
      <c r="CT191" s="51">
        <f t="shared" si="597"/>
        <v>0</v>
      </c>
      <c r="CU191" s="51">
        <f t="shared" si="520"/>
        <v>0</v>
      </c>
      <c r="CV191" s="51">
        <f t="shared" si="598"/>
        <v>0</v>
      </c>
      <c r="CW191" s="51">
        <f t="shared" si="521"/>
        <v>0</v>
      </c>
      <c r="CX191" s="54">
        <f t="shared" si="522"/>
        <v>0</v>
      </c>
      <c r="CY191" s="55">
        <f t="shared" si="523"/>
        <v>0</v>
      </c>
      <c r="CZ191" s="56">
        <f>IF(AND($E191&lt;&gt;0,$F191&gt;0,YEAR($F191)&gt;=Preisindex!$A$6,YEAR(CU$4)&gt;=YEAR($F191),AND($K191&lt;&gt;"a",$K191&lt;&gt;"b",$K191&lt;&gt;"g",$K191&lt;&gt;"k")),1,IF(AND($E191&lt;&gt;0,$F191&gt;0,YEAR($F191)&gt;=Preisindex!$A$6,YEAR(CU$4)&gt;=YEAR($F191),$K191="a"),ROUND(VLOOKUP(CZ$4,Preisindex,5,FALSE)/VLOOKUP(YEAR($F191),Preisindex,5,FALSE),2),IF(AND($E191&lt;&gt;0,$F191&gt;0,YEAR($F191)&gt;=Preisindex!$A$6,YEAR(CU$4)&gt;=YEAR($F191),$K191="b"),ROUND(VLOOKUP(CZ$4,Preisindex,3,FALSE)/VLOOKUP(YEAR($F191),Preisindex,3,FALSE),2),IF(AND($E191&lt;&gt;0,$F191&gt;0,YEAR($F191)&gt;=Preisindex!$A$6,YEAR(CU$4)&gt;=YEAR($F191),$K191="g"),ROUND(VLOOKUP(CZ$4,Preisindex,4,FALSE)/VLOOKUP(YEAR($F191),Preisindex,4,FALSE),2),IF(AND($E191&lt;&gt;0,$F191&gt;0,YEAR($F191)&gt;=Preisindex!$A$6,YEAR(CU$4)&gt;=YEAR($F191),$K191="k"),ROUND(VLOOKUP(CZ$4,Preisindex,2,FALSE)/VLOOKUP(YEAR($F191),Preisindex,2,FALSE),2),0)))))</f>
        <v>0</v>
      </c>
      <c r="DA191" s="56">
        <f>IF(AND($E191&lt;&gt;0,$F191&gt;0,YEAR($F191)&lt;Preisindex!$A$6,YEAR(CU$4)&gt;=YEAR($F191),AND($K191&lt;&gt;"a",$K191&lt;&gt;"b",$K191&lt;&gt;"g",$K191&lt;&gt;"k")),1,IF(AND($E191&lt;&gt;0,$F191&gt;0,YEAR($F191)&lt;Preisindex!$A$6,YEAR(CU$4)&gt;=YEAR($F191),$K191="a"),ROUND(VLOOKUP(CZ$4,Preisindex,5,FALSE)/VLOOKUP(Preisindex!$A$6,Preisindex,5,FALSE),2),IF(AND($E191&lt;&gt;0,$F191&gt;0,YEAR($F191)&lt;Preisindex!$A$6,YEAR(CU$4)&gt;=YEAR($F191),$K191="b"),ROUND(VLOOKUP(CZ$4,Preisindex,3,FALSE)/VLOOKUP(Preisindex!$A$6,Preisindex,3,FALSE),2),IF(AND($E191&lt;&gt;0,$F191&gt;0,YEAR($F191)&lt;Preisindex!$A$6,YEAR(CU$4)&gt;=YEAR($F191),$K191="g"),ROUND(VLOOKUP(CZ$4,Preisindex,4,FALSE)/VLOOKUP(Preisindex!$A$6,Preisindex,4,FALSE),2),IF(AND($E191&lt;&gt;0,$F191&gt;0,YEAR($F191)&lt;Preisindex!$A$6,YEAR(CU$4)&gt;=YEAR($F191),$K191="k"),ROUND(VLOOKUP(CZ$4,Preisindex,2,FALSE)/VLOOKUP(Preisindex!$A$6,Preisindex,2,FALSE),2),0)))))</f>
        <v>0</v>
      </c>
      <c r="DB191" s="51">
        <f>IF(AND($E191&lt;&gt;0,$F191&gt;0,YEAR($F191)&lt;=CZ$4,YEAR($F191)&gt;=Preisindex!$A$6),ROUND($E191*CZ191,2),IF(AND($E191&lt;&gt;0,$F191&gt;0,YEAR($F191)&lt;=CZ$4,YEAR($F191)&lt;Preisindex!$A$6),ROUND($E191*DA191,2),0))</f>
        <v>0</v>
      </c>
      <c r="DC191" s="53">
        <f t="shared" si="524"/>
        <v>0</v>
      </c>
      <c r="DD191" s="51">
        <f t="shared" si="622"/>
        <v>0</v>
      </c>
      <c r="DE191" s="51">
        <f t="shared" si="599"/>
        <v>0</v>
      </c>
      <c r="DF191" s="51">
        <f t="shared" si="526"/>
        <v>0</v>
      </c>
      <c r="DG191" s="51">
        <f t="shared" si="600"/>
        <v>0</v>
      </c>
      <c r="DH191" s="51">
        <f t="shared" si="527"/>
        <v>0</v>
      </c>
      <c r="DI191" s="51">
        <f t="shared" si="601"/>
        <v>0</v>
      </c>
      <c r="DJ191" s="51">
        <f t="shared" si="528"/>
        <v>0</v>
      </c>
      <c r="DK191" s="51">
        <f t="shared" si="602"/>
        <v>0</v>
      </c>
      <c r="DL191" s="51">
        <f t="shared" si="529"/>
        <v>0</v>
      </c>
      <c r="DM191" s="51">
        <f t="shared" si="603"/>
        <v>0</v>
      </c>
      <c r="DN191" s="51">
        <f t="shared" si="530"/>
        <v>0</v>
      </c>
      <c r="DO191" s="54">
        <f t="shared" si="531"/>
        <v>0</v>
      </c>
      <c r="DP191" s="55">
        <f t="shared" si="532"/>
        <v>0</v>
      </c>
      <c r="DQ191" s="56">
        <f>IF(AND($E191&lt;&gt;0,$F191&gt;0,YEAR($F191)&gt;=Preisindex!$A$6,YEAR(DL$4)&gt;=YEAR($F191),AND($K191&lt;&gt;"a",$K191&lt;&gt;"b",$K191&lt;&gt;"g",$K191&lt;&gt;"k")),1,IF(AND($E191&lt;&gt;0,$F191&gt;0,YEAR($F191)&gt;=Preisindex!$A$6,YEAR(DL$4)&gt;=YEAR($F191),$K191="a"),ROUND(VLOOKUP(DQ$4,Preisindex,5,FALSE)/VLOOKUP(YEAR($F191),Preisindex,5,FALSE),2),IF(AND($E191&lt;&gt;0,$F191&gt;0,YEAR($F191)&gt;=Preisindex!$A$6,YEAR(DL$4)&gt;=YEAR($F191),$K191="b"),ROUND(VLOOKUP(DQ$4,Preisindex,3,FALSE)/VLOOKUP(YEAR($F191),Preisindex,3,FALSE),2),IF(AND($E191&lt;&gt;0,$F191&gt;0,YEAR($F191)&gt;=Preisindex!$A$6,YEAR(DL$4)&gt;=YEAR($F191),$K191="g"),ROUND(VLOOKUP(DQ$4,Preisindex,4,FALSE)/VLOOKUP(YEAR($F191),Preisindex,4,FALSE),2),IF(AND($E191&lt;&gt;0,$F191&gt;0,YEAR($F191)&gt;=Preisindex!$A$6,YEAR(DL$4)&gt;=YEAR($F191),$K191="k"),ROUND(VLOOKUP(DQ$4,Preisindex,2,FALSE)/VLOOKUP(YEAR($F191),Preisindex,2,FALSE),2),0)))))</f>
        <v>0</v>
      </c>
      <c r="DR191" s="56">
        <f>IF(AND($E191&lt;&gt;0,$F191&gt;0,YEAR($F191)&lt;Preisindex!$A$6,YEAR(DL$4)&gt;=YEAR($F191),AND($K191&lt;&gt;"a",$K191&lt;&gt;"b",$K191&lt;&gt;"g",$K191&lt;&gt;"k")),1,IF(AND($E191&lt;&gt;0,$F191&gt;0,YEAR($F191)&lt;Preisindex!$A$6,YEAR(DL$4)&gt;=YEAR($F191),$K191="a"),ROUND(VLOOKUP(DQ$4,Preisindex,5,FALSE)/VLOOKUP(Preisindex!$A$6,Preisindex,5,FALSE),2),IF(AND($E191&lt;&gt;0,$F191&gt;0,YEAR($F191)&lt;Preisindex!$A$6,YEAR(DL$4)&gt;=YEAR($F191),$K191="b"),ROUND(VLOOKUP(DQ$4,Preisindex,3,FALSE)/VLOOKUP(Preisindex!$A$6,Preisindex,3,FALSE),2),IF(AND($E191&lt;&gt;0,$F191&gt;0,YEAR($F191)&lt;Preisindex!$A$6,YEAR(DL$4)&gt;=YEAR($F191),$K191="g"),ROUND(VLOOKUP(DQ$4,Preisindex,4,FALSE)/VLOOKUP(Preisindex!$A$6,Preisindex,4,FALSE),2),IF(AND($E191&lt;&gt;0,$F191&gt;0,YEAR($F191)&lt;Preisindex!$A$6,YEAR(DL$4)&gt;=YEAR($F191),$K191="k"),ROUND(VLOOKUP(DQ$4,Preisindex,2,FALSE)/VLOOKUP(Preisindex!$A$6,Preisindex,2,FALSE),2),0)))))</f>
        <v>0</v>
      </c>
      <c r="DS191" s="51">
        <f>IF(AND($E191&lt;&gt;0,$F191&gt;0,YEAR($F191)&lt;=DQ$4,YEAR($F191)&gt;=Preisindex!$A$6),ROUND($E191*DQ191,2),IF(AND($E191&lt;&gt;0,$F191&gt;0,YEAR($F191)&lt;=DQ$4,YEAR($F191)&lt;Preisindex!$A$6),ROUND($E191*DR191,2),0))</f>
        <v>0</v>
      </c>
      <c r="DT191" s="53">
        <f t="shared" si="533"/>
        <v>0</v>
      </c>
      <c r="DU191" s="51">
        <f t="shared" si="622"/>
        <v>0</v>
      </c>
      <c r="DV191" s="51">
        <f t="shared" si="604"/>
        <v>0</v>
      </c>
      <c r="DW191" s="51">
        <f t="shared" si="534"/>
        <v>0</v>
      </c>
      <c r="DX191" s="51">
        <f t="shared" si="605"/>
        <v>0</v>
      </c>
      <c r="DY191" s="51">
        <f t="shared" si="535"/>
        <v>0</v>
      </c>
      <c r="DZ191" s="51">
        <f t="shared" si="606"/>
        <v>0</v>
      </c>
      <c r="EA191" s="51">
        <f t="shared" si="536"/>
        <v>0</v>
      </c>
      <c r="EB191" s="51">
        <f t="shared" si="607"/>
        <v>0</v>
      </c>
      <c r="EC191" s="51">
        <f t="shared" si="537"/>
        <v>0</v>
      </c>
      <c r="ED191" s="51">
        <f t="shared" si="608"/>
        <v>0</v>
      </c>
      <c r="EE191" s="51">
        <f t="shared" si="538"/>
        <v>0</v>
      </c>
      <c r="EF191" s="54">
        <f t="shared" si="539"/>
        <v>0</v>
      </c>
      <c r="EG191" s="55">
        <f t="shared" si="540"/>
        <v>0</v>
      </c>
      <c r="EH191" s="56">
        <f>IF(AND($E191&lt;&gt;0,$F191&gt;0,YEAR($F191)&gt;=Preisindex!$A$6,YEAR(EC$4)&gt;=YEAR($F191),AND($K191&lt;&gt;"a",$K191&lt;&gt;"b",$K191&lt;&gt;"g",$K191&lt;&gt;"k")),1,IF(AND($E191&lt;&gt;0,$F191&gt;0,YEAR($F191)&gt;=Preisindex!$A$6,YEAR(EC$4)&gt;=YEAR($F191),$K191="a"),ROUND(VLOOKUP(EH$4,Preisindex,5,FALSE)/VLOOKUP(YEAR($F191),Preisindex,5,FALSE),2),IF(AND($E191&lt;&gt;0,$F191&gt;0,YEAR($F191)&gt;=Preisindex!$A$6,YEAR(EC$4)&gt;=YEAR($F191),$K191="b"),ROUND(VLOOKUP(EH$4,Preisindex,3,FALSE)/VLOOKUP(YEAR($F191),Preisindex,3,FALSE),2),IF(AND($E191&lt;&gt;0,$F191&gt;0,YEAR($F191)&gt;=Preisindex!$A$6,YEAR(EC$4)&gt;=YEAR($F191),$K191="g"),ROUND(VLOOKUP(EH$4,Preisindex,4,FALSE)/VLOOKUP(YEAR($F191),Preisindex,4,FALSE),2),IF(AND($E191&lt;&gt;0,$F191&gt;0,YEAR($F191)&gt;=Preisindex!$A$6,YEAR(EC$4)&gt;=YEAR($F191),$K191="k"),ROUND(VLOOKUP(EH$4,Preisindex,2,FALSE)/VLOOKUP(YEAR($F191),Preisindex,2,FALSE),2),0)))))</f>
        <v>0</v>
      </c>
      <c r="EI191" s="56">
        <f>IF(AND($E191&lt;&gt;0,$F191&gt;0,YEAR($F191)&lt;Preisindex!$A$6,YEAR(EC$4)&gt;=YEAR($F191),AND($K191&lt;&gt;"a",$K191&lt;&gt;"b",$K191&lt;&gt;"g",$K191&lt;&gt;"k")),1,IF(AND($E191&lt;&gt;0,$F191&gt;0,YEAR($F191)&lt;Preisindex!$A$6,YEAR(EC$4)&gt;=YEAR($F191),$K191="a"),ROUND(VLOOKUP(EH$4,Preisindex,5,FALSE)/VLOOKUP(Preisindex!$A$6,Preisindex,5,FALSE),2),IF(AND($E191&lt;&gt;0,$F191&gt;0,YEAR($F191)&lt;Preisindex!$A$6,YEAR(EC$4)&gt;=YEAR($F191),$K191="b"),ROUND(VLOOKUP(EH$4,Preisindex,3,FALSE)/VLOOKUP(Preisindex!$A$6,Preisindex,3,FALSE),2),IF(AND($E191&lt;&gt;0,$F191&gt;0,YEAR($F191)&lt;Preisindex!$A$6,YEAR(EC$4)&gt;=YEAR($F191),$K191="g"),ROUND(VLOOKUP(EH$4,Preisindex,4,FALSE)/VLOOKUP(Preisindex!$A$6,Preisindex,4,FALSE),2),IF(AND($E191&lt;&gt;0,$F191&gt;0,YEAR($F191)&lt;Preisindex!$A$6,YEAR(EC$4)&gt;=YEAR($F191),$K191="k"),ROUND(VLOOKUP(EH$4,Preisindex,2,FALSE)/VLOOKUP(Preisindex!$A$6,Preisindex,2,FALSE),2),0)))))</f>
        <v>0</v>
      </c>
      <c r="EJ191" s="51">
        <f>IF(AND($E191&lt;&gt;0,$F191&gt;0,YEAR($F191)&lt;=EH$4,YEAR($F191)&gt;=Preisindex!$A$6),ROUND($E191*EH191,2),IF(AND($E191&lt;&gt;0,$F191&gt;0,YEAR($F191)&lt;=EH$4,YEAR($F191)&lt;Preisindex!$A$6),ROUND($E191*EI191,2),0))</f>
        <v>0</v>
      </c>
      <c r="EK191" s="53">
        <f t="shared" si="541"/>
        <v>0</v>
      </c>
      <c r="EL191" s="51">
        <f t="shared" si="622"/>
        <v>0</v>
      </c>
      <c r="EM191" s="51">
        <f t="shared" si="609"/>
        <v>0</v>
      </c>
      <c r="EN191" s="51">
        <f t="shared" si="542"/>
        <v>0</v>
      </c>
      <c r="EO191" s="51">
        <f t="shared" si="610"/>
        <v>0</v>
      </c>
      <c r="EP191" s="51">
        <f t="shared" si="543"/>
        <v>0</v>
      </c>
      <c r="EQ191" s="51">
        <f t="shared" si="611"/>
        <v>0</v>
      </c>
      <c r="ER191" s="51">
        <f t="shared" si="544"/>
        <v>0</v>
      </c>
      <c r="ES191" s="51">
        <f t="shared" si="612"/>
        <v>0</v>
      </c>
      <c r="ET191" s="51">
        <f t="shared" si="545"/>
        <v>0</v>
      </c>
      <c r="EU191" s="51">
        <f t="shared" si="613"/>
        <v>0</v>
      </c>
      <c r="EV191" s="51">
        <f t="shared" si="546"/>
        <v>0</v>
      </c>
      <c r="EW191" s="54">
        <f t="shared" si="547"/>
        <v>0</v>
      </c>
      <c r="EX191" s="55">
        <f t="shared" si="548"/>
        <v>0</v>
      </c>
      <c r="EY191" s="56">
        <f>IF(AND($E191&lt;&gt;0,$F191&gt;0,YEAR($F191)&gt;=Preisindex!$A$6,YEAR(ET$4)&gt;=YEAR($F191),AND($K191&lt;&gt;"a",$K191&lt;&gt;"b",$K191&lt;&gt;"g",$K191&lt;&gt;"k")),1,IF(AND($E191&lt;&gt;0,$F191&gt;0,YEAR($F191)&gt;=Preisindex!$A$6,YEAR(ET$4)&gt;=YEAR($F191),$K191="a"),ROUND(VLOOKUP(EY$4,Preisindex,5,FALSE)/VLOOKUP(YEAR($F191),Preisindex,5,FALSE),2),IF(AND($E191&lt;&gt;0,$F191&gt;0,YEAR($F191)&gt;=Preisindex!$A$6,YEAR(ET$4)&gt;=YEAR($F191),$K191="b"),ROUND(VLOOKUP(EY$4,Preisindex,3,FALSE)/VLOOKUP(YEAR($F191),Preisindex,3,FALSE),2),IF(AND($E191&lt;&gt;0,$F191&gt;0,YEAR($F191)&gt;=Preisindex!$A$6,YEAR(ET$4)&gt;=YEAR($F191),$K191="g"),ROUND(VLOOKUP(EY$4,Preisindex,4,FALSE)/VLOOKUP(YEAR($F191),Preisindex,4,FALSE),2),IF(AND($E191&lt;&gt;0,$F191&gt;0,YEAR($F191)&gt;=Preisindex!$A$6,YEAR(ET$4)&gt;=YEAR($F191),$K191="k"),ROUND(VLOOKUP(EY$4,Preisindex,2,FALSE)/VLOOKUP(YEAR($F191),Preisindex,2,FALSE),2),0)))))</f>
        <v>0</v>
      </c>
      <c r="EZ191" s="56">
        <f>IF(AND($E191&lt;&gt;0,$F191&gt;0,YEAR($F191)&lt;Preisindex!$A$6,YEAR(ET$4)&gt;=YEAR($F191),AND($K191&lt;&gt;"a",$K191&lt;&gt;"b",$K191&lt;&gt;"g",$K191&lt;&gt;"k")),1,IF(AND($E191&lt;&gt;0,$F191&gt;0,YEAR($F191)&lt;Preisindex!$A$6,YEAR(ET$4)&gt;=YEAR($F191),$K191="a"),ROUND(VLOOKUP(EY$4,Preisindex,5,FALSE)/VLOOKUP(Preisindex!$A$6,Preisindex,5,FALSE),2),IF(AND($E191&lt;&gt;0,$F191&gt;0,YEAR($F191)&lt;Preisindex!$A$6,YEAR(ET$4)&gt;=YEAR($F191),$K191="b"),ROUND(VLOOKUP(EY$4,Preisindex,3,FALSE)/VLOOKUP(Preisindex!$A$6,Preisindex,3,FALSE),2),IF(AND($E191&lt;&gt;0,$F191&gt;0,YEAR($F191)&lt;Preisindex!$A$6,YEAR(ET$4)&gt;=YEAR($F191),$K191="g"),ROUND(VLOOKUP(EY$4,Preisindex,4,FALSE)/VLOOKUP(Preisindex!$A$6,Preisindex,4,FALSE),2),IF(AND($E191&lt;&gt;0,$F191&gt;0,YEAR($F191)&lt;Preisindex!$A$6,YEAR(ET$4)&gt;=YEAR($F191),$K191="k"),ROUND(VLOOKUP(EY$4,Preisindex,2,FALSE)/VLOOKUP(Preisindex!$A$6,Preisindex,2,FALSE),2),0)))))</f>
        <v>0</v>
      </c>
      <c r="FA191" s="51">
        <f>IF(AND($E191&lt;&gt;0,$F191&gt;0,YEAR($F191)&lt;=EY$4,YEAR($F191)&gt;=Preisindex!$A$6),ROUND($E191*EY191,2),IF(AND($E191&lt;&gt;0,$F191&gt;0,YEAR($F191)&lt;=EY$4,YEAR($F191)&lt;Preisindex!$A$6),ROUND($E191*EZ191,2),0))</f>
        <v>0</v>
      </c>
      <c r="FB191" s="53">
        <f t="shared" si="549"/>
        <v>0</v>
      </c>
      <c r="FC191" s="51">
        <f t="shared" si="622"/>
        <v>0</v>
      </c>
      <c r="FD191" s="51">
        <f t="shared" si="614"/>
        <v>0</v>
      </c>
      <c r="FE191" s="51">
        <f t="shared" si="550"/>
        <v>0</v>
      </c>
      <c r="FF191" s="51">
        <f t="shared" si="615"/>
        <v>0</v>
      </c>
      <c r="FG191" s="51">
        <f t="shared" si="551"/>
        <v>0</v>
      </c>
      <c r="FH191" s="51">
        <f t="shared" si="616"/>
        <v>0</v>
      </c>
      <c r="FI191" s="51">
        <f t="shared" si="552"/>
        <v>0</v>
      </c>
      <c r="FJ191" s="51">
        <f t="shared" si="617"/>
        <v>0</v>
      </c>
      <c r="FK191" s="51">
        <f t="shared" si="553"/>
        <v>0</v>
      </c>
      <c r="FL191" s="51">
        <f t="shared" si="618"/>
        <v>0</v>
      </c>
      <c r="FM191" s="51">
        <f t="shared" si="554"/>
        <v>0</v>
      </c>
      <c r="FN191" s="54">
        <f t="shared" si="555"/>
        <v>0</v>
      </c>
      <c r="FO191" s="55">
        <f t="shared" si="556"/>
        <v>0</v>
      </c>
      <c r="FP191" s="56">
        <f>IF(AND($E191&lt;&gt;0,$F191&gt;0,YEAR($F191)&gt;=Preisindex!$A$6,YEAR(FK$4)&gt;=YEAR($F191),AND($K191&lt;&gt;"a",$K191&lt;&gt;"b",$K191&lt;&gt;"g",$K191&lt;&gt;"k")),1,IF(AND($E191&lt;&gt;0,$F191&gt;0,YEAR($F191)&gt;=Preisindex!$A$6,YEAR(FK$4)&gt;=YEAR($F191),$K191="a"),ROUND(VLOOKUP(FP$4,Preisindex,5,FALSE)/VLOOKUP(YEAR($F191),Preisindex,5,FALSE),2),IF(AND($E191&lt;&gt;0,$F191&gt;0,YEAR($F191)&gt;=Preisindex!$A$6,YEAR(FK$4)&gt;=YEAR($F191),$K191="b"),ROUND(VLOOKUP(FP$4,Preisindex,3,FALSE)/VLOOKUP(YEAR($F191),Preisindex,3,FALSE),2),IF(AND($E191&lt;&gt;0,$F191&gt;0,YEAR($F191)&gt;=Preisindex!$A$6,YEAR(FK$4)&gt;=YEAR($F191),$K191="g"),ROUND(VLOOKUP(FP$4,Preisindex,4,FALSE)/VLOOKUP(YEAR($F191),Preisindex,4,FALSE),2),IF(AND($E191&lt;&gt;0,$F191&gt;0,YEAR($F191)&gt;=Preisindex!$A$6,YEAR(FK$4)&gt;=YEAR($F191),$K191="k"),ROUND(VLOOKUP(FP$4,Preisindex,2,FALSE)/VLOOKUP(YEAR($F191),Preisindex,2,FALSE),2),0)))))</f>
        <v>0</v>
      </c>
      <c r="FQ191" s="56">
        <f>IF(AND($E191&lt;&gt;0,$F191&gt;0,YEAR($F191)&lt;Preisindex!$A$6,YEAR(FK$4)&gt;=YEAR($F191),AND($K191&lt;&gt;"a",$K191&lt;&gt;"b",$K191&lt;&gt;"g",$K191&lt;&gt;"k")),1,IF(AND($E191&lt;&gt;0,$F191&gt;0,YEAR($F191)&lt;Preisindex!$A$6,YEAR(FK$4)&gt;=YEAR($F191),$K191="a"),ROUND(VLOOKUP(FP$4,Preisindex,5,FALSE)/VLOOKUP(Preisindex!$A$6,Preisindex,5,FALSE),2),IF(AND($E191&lt;&gt;0,$F191&gt;0,YEAR($F191)&lt;Preisindex!$A$6,YEAR(FK$4)&gt;=YEAR($F191),$K191="b"),ROUND(VLOOKUP(FP$4,Preisindex,3,FALSE)/VLOOKUP(Preisindex!$A$6,Preisindex,3,FALSE),2),IF(AND($E191&lt;&gt;0,$F191&gt;0,YEAR($F191)&lt;Preisindex!$A$6,YEAR(FK$4)&gt;=YEAR($F191),$K191="g"),ROUND(VLOOKUP(FP$4,Preisindex,4,FALSE)/VLOOKUP(Preisindex!$A$6,Preisindex,4,FALSE),2),IF(AND($E191&lt;&gt;0,$F191&gt;0,YEAR($F191)&lt;Preisindex!$A$6,YEAR(FK$4)&gt;=YEAR($F191),$K191="k"),ROUND(VLOOKUP(FP$4,Preisindex,2,FALSE)/VLOOKUP(Preisindex!$A$6,Preisindex,2,FALSE),2),0)))))</f>
        <v>0</v>
      </c>
      <c r="FR191" s="51">
        <f>IF(AND($E191&lt;&gt;0,$F191&gt;0,YEAR($F191)&lt;=FP$4,YEAR($F191)&gt;=Preisindex!$A$6),ROUND($E191*FP191,2),IF(AND($E191&lt;&gt;0,$F191&gt;0,YEAR($F191)&lt;=FP$4,YEAR($F191)&lt;Preisindex!$A$6),ROUND($E191*FQ191,2),0))</f>
        <v>0</v>
      </c>
      <c r="FS191" s="53">
        <f t="shared" si="557"/>
        <v>0</v>
      </c>
    </row>
    <row r="192" spans="1:175" x14ac:dyDescent="0.3">
      <c r="A192" s="93"/>
      <c r="B192" s="94"/>
      <c r="C192" s="94"/>
      <c r="D192" s="95"/>
      <c r="E192" s="99"/>
      <c r="F192" s="97"/>
      <c r="G192" s="98"/>
      <c r="H192" s="620"/>
      <c r="I192" s="621"/>
      <c r="J192" s="194"/>
      <c r="K192" s="630"/>
      <c r="L192" s="49">
        <f t="shared" si="558"/>
        <v>0</v>
      </c>
      <c r="M192" s="50">
        <f t="shared" si="559"/>
        <v>0</v>
      </c>
      <c r="N192" s="51">
        <f t="shared" si="560"/>
        <v>0</v>
      </c>
      <c r="O192" s="51"/>
      <c r="P192" s="51">
        <f t="shared" si="561"/>
        <v>0</v>
      </c>
      <c r="Q192" s="52"/>
      <c r="R192" s="52"/>
      <c r="S192" s="52"/>
      <c r="T192" s="52"/>
      <c r="U192" s="52"/>
      <c r="V192" s="53">
        <f t="shared" si="562"/>
        <v>0</v>
      </c>
      <c r="W192" s="51">
        <f t="shared" si="563"/>
        <v>0</v>
      </c>
      <c r="X192" s="51">
        <f t="shared" si="564"/>
        <v>0</v>
      </c>
      <c r="Y192" s="51">
        <f t="shared" si="565"/>
        <v>0</v>
      </c>
      <c r="Z192" s="51">
        <f t="shared" si="566"/>
        <v>0</v>
      </c>
      <c r="AA192" s="51">
        <f t="shared" si="567"/>
        <v>0</v>
      </c>
      <c r="AB192" s="51">
        <f t="shared" si="568"/>
        <v>0</v>
      </c>
      <c r="AC192" s="51">
        <f t="shared" si="569"/>
        <v>0</v>
      </c>
      <c r="AD192" s="51">
        <f t="shared" si="570"/>
        <v>0</v>
      </c>
      <c r="AE192" s="51">
        <f t="shared" si="571"/>
        <v>0</v>
      </c>
      <c r="AF192" s="51">
        <f t="shared" si="572"/>
        <v>0</v>
      </c>
      <c r="AG192" s="51">
        <f t="shared" si="573"/>
        <v>0</v>
      </c>
      <c r="AH192" s="54">
        <f t="shared" si="574"/>
        <v>0</v>
      </c>
      <c r="AI192" s="55">
        <f t="shared" si="575"/>
        <v>0</v>
      </c>
      <c r="AJ192" s="56">
        <f>IF(AND($E192&lt;&gt;0,$F192&gt;0,YEAR($F192)&gt;=Preisindex!$A$6,YEAR(AE$4)&gt;=YEAR($F192),AND($K192&lt;&gt;"a",$K192&lt;&gt;"b",$K192&lt;&gt;"g",$K192&lt;&gt;"k")),1,IF(AND($E192&lt;&gt;0,$F192&gt;0,YEAR($F192)&gt;=Preisindex!$A$6,YEAR(AE$4)&gt;=YEAR($F192),$K192="a"),ROUND(VLOOKUP(AJ$4,Preisindex,5,FALSE)/VLOOKUP(YEAR($F192),Preisindex,5,FALSE),2),IF(AND($E192&lt;&gt;0,$F192&gt;0,YEAR($F192)&gt;=Preisindex!$A$6,YEAR(AE$4)&gt;=YEAR($F192),$K192="b"),ROUND(VLOOKUP(AJ$4,Preisindex,3,FALSE)/VLOOKUP(YEAR($F192),Preisindex,3,FALSE),2),IF(AND($E192&lt;&gt;0,$F192&gt;0,YEAR($F192)&gt;=Preisindex!$A$6,YEAR(AE$4)&gt;=YEAR($F192),$K192="g"),ROUND(VLOOKUP(AJ$4,Preisindex,4,FALSE)/VLOOKUP(YEAR($F192),Preisindex,4,FALSE),2),IF(AND($E192&lt;&gt;0,$F192&gt;0,YEAR($F192)&gt;=Preisindex!$A$6,YEAR(AE$4)&gt;=YEAR($F192),$K192="k"),ROUND(VLOOKUP(AJ$4,Preisindex,2,FALSE)/VLOOKUP(YEAR($F192),Preisindex,2,FALSE),2),0)))))</f>
        <v>0</v>
      </c>
      <c r="AK192" s="56">
        <f>IF(AND($E192&lt;&gt;0,$F192&gt;0,YEAR($F192)&lt;Preisindex!$A$6,YEAR(AE$4)&gt;=YEAR($F192),AND($K192&lt;&gt;"a",$K192&lt;&gt;"b",$K192&lt;&gt;"g",$K192&lt;&gt;"k")),1,IF(AND($E192&lt;&gt;0,$F192&gt;0,YEAR($F192)&lt;Preisindex!$A$6,YEAR(AE$4)&gt;=YEAR($F192),$K192="a"),ROUND(VLOOKUP(AJ$4,Preisindex,5,FALSE)/VLOOKUP(Preisindex!$A$6,Preisindex,5,FALSE),2),IF(AND($E192&lt;&gt;0,$F192&gt;0,YEAR($F192)&lt;Preisindex!$A$6,YEAR(AE$4)&gt;=YEAR($F192),$K192="b"),ROUND(VLOOKUP(AJ$4,Preisindex,3,FALSE)/VLOOKUP(Preisindex!$A$6,Preisindex,3,FALSE),2),IF(AND($E192&lt;&gt;0,$F192&gt;0,YEAR($F192)&lt;Preisindex!$A$6,YEAR(AE$4)&gt;=YEAR($F192),$K192="g"),ROUND(VLOOKUP(AJ$4,Preisindex,4,FALSE)/VLOOKUP(Preisindex!$A$6,Preisindex,4,FALSE),2),IF(AND($E192&lt;&gt;0,$F192&gt;0,YEAR($F192)&lt;Preisindex!$A$6,YEAR(AE$4)&gt;=YEAR($F192),$K192="k"),ROUND(VLOOKUP(AJ$4,Preisindex,2,FALSE)/VLOOKUP(Preisindex!$A$6,Preisindex,2,FALSE),2),0)))))</f>
        <v>0</v>
      </c>
      <c r="AL192" s="51">
        <f>IF(AND($E192&lt;&gt;0,$F192&gt;0,YEAR($F192)&lt;=AJ$4,YEAR($F192)&gt;=Preisindex!$A$6),ROUND($E192*AJ192,2),IF(AND($E192&lt;&gt;0,$F192&gt;0,YEAR($F192)&lt;=AJ$4,YEAR($F192)&lt;Preisindex!$A$6),ROUND($E192*AK192,2),0))</f>
        <v>0</v>
      </c>
      <c r="AM192" s="53">
        <f t="shared" si="576"/>
        <v>0</v>
      </c>
      <c r="AN192" s="51">
        <f t="shared" si="621"/>
        <v>0</v>
      </c>
      <c r="AO192" s="51">
        <f t="shared" si="579"/>
        <v>0</v>
      </c>
      <c r="AP192" s="51">
        <f t="shared" si="493"/>
        <v>0</v>
      </c>
      <c r="AQ192" s="51">
        <f t="shared" si="580"/>
        <v>0</v>
      </c>
      <c r="AR192" s="51">
        <f t="shared" si="494"/>
        <v>0</v>
      </c>
      <c r="AS192" s="51">
        <f t="shared" si="581"/>
        <v>0</v>
      </c>
      <c r="AT192" s="51">
        <f t="shared" si="495"/>
        <v>0</v>
      </c>
      <c r="AU192" s="51">
        <f t="shared" si="582"/>
        <v>0</v>
      </c>
      <c r="AV192" s="51">
        <f t="shared" si="496"/>
        <v>0</v>
      </c>
      <c r="AW192" s="51">
        <f t="shared" si="583"/>
        <v>0</v>
      </c>
      <c r="AX192" s="51">
        <f t="shared" si="497"/>
        <v>0</v>
      </c>
      <c r="AY192" s="54">
        <f t="shared" si="498"/>
        <v>0</v>
      </c>
      <c r="AZ192" s="55">
        <f t="shared" si="499"/>
        <v>0</v>
      </c>
      <c r="BA192" s="56">
        <f>IF(AND($E192&lt;&gt;0,$F192&gt;0,YEAR($F192)&gt;=Preisindex!$A$6,YEAR(AV$4)&gt;=YEAR($F192),AND($K192&lt;&gt;"a",$K192&lt;&gt;"b",$K192&lt;&gt;"g",$K192&lt;&gt;"k")),1,IF(AND($E192&lt;&gt;0,$F192&gt;0,YEAR($F192)&gt;=Preisindex!$A$6,YEAR(AV$4)&gt;=YEAR($F192),$K192="a"),ROUND(VLOOKUP(BA$4,Preisindex,5,FALSE)/VLOOKUP(YEAR($F192),Preisindex,5,FALSE),2),IF(AND($E192&lt;&gt;0,$F192&gt;0,YEAR($F192)&gt;=Preisindex!$A$6,YEAR(AV$4)&gt;=YEAR($F192),$K192="b"),ROUND(VLOOKUP(BA$4,Preisindex,3,FALSE)/VLOOKUP(YEAR($F192),Preisindex,3,FALSE),2),IF(AND($E192&lt;&gt;0,$F192&gt;0,YEAR($F192)&gt;=Preisindex!$A$6,YEAR(AV$4)&gt;=YEAR($F192),$K192="g"),ROUND(VLOOKUP(BA$4,Preisindex,4,FALSE)/VLOOKUP(YEAR($F192),Preisindex,4,FALSE),2),IF(AND($E192&lt;&gt;0,$F192&gt;0,YEAR($F192)&gt;=Preisindex!$A$6,YEAR(AV$4)&gt;=YEAR($F192),$K192="k"),ROUND(VLOOKUP(BA$4,Preisindex,2,FALSE)/VLOOKUP(YEAR($F192),Preisindex,2,FALSE),2),0)))))</f>
        <v>0</v>
      </c>
      <c r="BB192" s="56">
        <f>IF(AND($E192&lt;&gt;0,$F192&gt;0,YEAR($F192)&lt;Preisindex!$A$6,YEAR(AV$4)&gt;=YEAR($F192),AND($K192&lt;&gt;"a",$K192&lt;&gt;"b",$K192&lt;&gt;"g",$K192&lt;&gt;"k")),1,IF(AND($E192&lt;&gt;0,$F192&gt;0,YEAR($F192)&lt;Preisindex!$A$6,YEAR(AV$4)&gt;=YEAR($F192),$K192="a"),ROUND(VLOOKUP(BA$4,Preisindex,5,FALSE)/VLOOKUP(Preisindex!$A$6,Preisindex,5,FALSE),2),IF(AND($E192&lt;&gt;0,$F192&gt;0,YEAR($F192)&lt;Preisindex!$A$6,YEAR(AV$4)&gt;=YEAR($F192),$K192="b"),ROUND(VLOOKUP(BA$4,Preisindex,3,FALSE)/VLOOKUP(Preisindex!$A$6,Preisindex,3,FALSE),2),IF(AND($E192&lt;&gt;0,$F192&gt;0,YEAR($F192)&lt;Preisindex!$A$6,YEAR(AV$4)&gt;=YEAR($F192),$K192="g"),ROUND(VLOOKUP(BA$4,Preisindex,4,FALSE)/VLOOKUP(Preisindex!$A$6,Preisindex,4,FALSE),2),IF(AND($E192&lt;&gt;0,$F192&gt;0,YEAR($F192)&lt;Preisindex!$A$6,YEAR(AV$4)&gt;=YEAR($F192),$K192="k"),ROUND(VLOOKUP(BA$4,Preisindex,2,FALSE)/VLOOKUP(Preisindex!$A$6,Preisindex,2,FALSE),2),0)))))</f>
        <v>0</v>
      </c>
      <c r="BC192" s="51">
        <f>IF(AND($E192&lt;&gt;0,$F192&gt;0,YEAR($F192)&lt;=BA$4,YEAR($F192)&gt;=Preisindex!$A$6),ROUND($E192*BA192,2),IF(AND($E192&lt;&gt;0,$F192&gt;0,YEAR($F192)&lt;=BA$4,YEAR($F192)&lt;Preisindex!$A$6),ROUND($E192*BB192,2),0))</f>
        <v>0</v>
      </c>
      <c r="BD192" s="53">
        <f t="shared" si="500"/>
        <v>0</v>
      </c>
      <c r="BE192" s="51">
        <f t="shared" si="621"/>
        <v>0</v>
      </c>
      <c r="BF192" s="51">
        <f t="shared" si="584"/>
        <v>0</v>
      </c>
      <c r="BG192" s="51">
        <f t="shared" si="501"/>
        <v>0</v>
      </c>
      <c r="BH192" s="51">
        <f t="shared" si="585"/>
        <v>0</v>
      </c>
      <c r="BI192" s="51">
        <f t="shared" si="502"/>
        <v>0</v>
      </c>
      <c r="BJ192" s="51">
        <f t="shared" si="586"/>
        <v>0</v>
      </c>
      <c r="BK192" s="51">
        <f t="shared" si="503"/>
        <v>0</v>
      </c>
      <c r="BL192" s="51">
        <f t="shared" si="587"/>
        <v>0</v>
      </c>
      <c r="BM192" s="51">
        <f t="shared" si="504"/>
        <v>0</v>
      </c>
      <c r="BN192" s="51">
        <f t="shared" si="588"/>
        <v>0</v>
      </c>
      <c r="BO192" s="51">
        <f t="shared" si="505"/>
        <v>0</v>
      </c>
      <c r="BP192" s="54">
        <f t="shared" si="506"/>
        <v>0</v>
      </c>
      <c r="BQ192" s="55">
        <f t="shared" si="507"/>
        <v>0</v>
      </c>
      <c r="BR192" s="56">
        <f>IF(AND($E192&lt;&gt;0,$F192&gt;0,YEAR($F192)&gt;=Preisindex!$A$6,YEAR(BM$4)&gt;=YEAR($F192),AND($K192&lt;&gt;"a",$K192&lt;&gt;"b",$K192&lt;&gt;"g",$K192&lt;&gt;"k")),1,IF(AND($E192&lt;&gt;0,$F192&gt;0,YEAR($F192)&gt;=Preisindex!$A$6,YEAR(BM$4)&gt;=YEAR($F192),$K192="a"),ROUND(VLOOKUP(BR$4,Preisindex,5,FALSE)/VLOOKUP(YEAR($F192),Preisindex,5,FALSE),2),IF(AND($E192&lt;&gt;0,$F192&gt;0,YEAR($F192)&gt;=Preisindex!$A$6,YEAR(BM$4)&gt;=YEAR($F192),$K192="b"),ROUND(VLOOKUP(BR$4,Preisindex,3,FALSE)/VLOOKUP(YEAR($F192),Preisindex,3,FALSE),2),IF(AND($E192&lt;&gt;0,$F192&gt;0,YEAR($F192)&gt;=Preisindex!$A$6,YEAR(BM$4)&gt;=YEAR($F192),$K192="g"),ROUND(VLOOKUP(BR$4,Preisindex,4,FALSE)/VLOOKUP(YEAR($F192),Preisindex,4,FALSE),2),IF(AND($E192&lt;&gt;0,$F192&gt;0,YEAR($F192)&gt;=Preisindex!$A$6,YEAR(BM$4)&gt;=YEAR($F192),$K192="k"),ROUND(VLOOKUP(BR$4,Preisindex,2,FALSE)/VLOOKUP(YEAR($F192),Preisindex,2,FALSE),2),0)))))</f>
        <v>0</v>
      </c>
      <c r="BS192" s="56">
        <f>IF(AND($E192&lt;&gt;0,$F192&gt;0,YEAR($F192)&lt;Preisindex!$A$6,YEAR(BM$4)&gt;=YEAR($F192),AND($K192&lt;&gt;"a",$K192&lt;&gt;"b",$K192&lt;&gt;"g",$K192&lt;&gt;"k")),1,IF(AND($E192&lt;&gt;0,$F192&gt;0,YEAR($F192)&lt;Preisindex!$A$6,YEAR(BM$4)&gt;=YEAR($F192),$K192="a"),ROUND(VLOOKUP(BR$4,Preisindex,5,FALSE)/VLOOKUP(Preisindex!$A$6,Preisindex,5,FALSE),2),IF(AND($E192&lt;&gt;0,$F192&gt;0,YEAR($F192)&lt;Preisindex!$A$6,YEAR(BM$4)&gt;=YEAR($F192),$K192="b"),ROUND(VLOOKUP(BR$4,Preisindex,3,FALSE)/VLOOKUP(Preisindex!$A$6,Preisindex,3,FALSE),2),IF(AND($E192&lt;&gt;0,$F192&gt;0,YEAR($F192)&lt;Preisindex!$A$6,YEAR(BM$4)&gt;=YEAR($F192),$K192="g"),ROUND(VLOOKUP(BR$4,Preisindex,4,FALSE)/VLOOKUP(Preisindex!$A$6,Preisindex,4,FALSE),2),IF(AND($E192&lt;&gt;0,$F192&gt;0,YEAR($F192)&lt;Preisindex!$A$6,YEAR(BM$4)&gt;=YEAR($F192),$K192="k"),ROUND(VLOOKUP(BR$4,Preisindex,2,FALSE)/VLOOKUP(Preisindex!$A$6,Preisindex,2,FALSE),2),0)))))</f>
        <v>0</v>
      </c>
      <c r="BT192" s="51">
        <f>IF(AND($E192&lt;&gt;0,$F192&gt;0,YEAR($F192)&lt;=BR$4,YEAR($F192)&gt;=Preisindex!$A$6),ROUND($E192*BR192,2),IF(AND($E192&lt;&gt;0,$F192&gt;0,YEAR($F192)&lt;=BR$4,YEAR($F192)&lt;Preisindex!$A$6),ROUND($E192*BS192,2),0))</f>
        <v>0</v>
      </c>
      <c r="BU192" s="53">
        <f t="shared" si="508"/>
        <v>0</v>
      </c>
      <c r="BV192" s="51">
        <f t="shared" si="621"/>
        <v>0</v>
      </c>
      <c r="BW192" s="51">
        <f t="shared" si="589"/>
        <v>0</v>
      </c>
      <c r="BX192" s="51">
        <f t="shared" si="509"/>
        <v>0</v>
      </c>
      <c r="BY192" s="51">
        <f t="shared" si="590"/>
        <v>0</v>
      </c>
      <c r="BZ192" s="51">
        <f t="shared" si="510"/>
        <v>0</v>
      </c>
      <c r="CA192" s="51">
        <f t="shared" si="591"/>
        <v>0</v>
      </c>
      <c r="CB192" s="51">
        <f t="shared" si="511"/>
        <v>0</v>
      </c>
      <c r="CC192" s="51">
        <f t="shared" si="592"/>
        <v>0</v>
      </c>
      <c r="CD192" s="51">
        <f t="shared" si="512"/>
        <v>0</v>
      </c>
      <c r="CE192" s="51">
        <f t="shared" si="593"/>
        <v>0</v>
      </c>
      <c r="CF192" s="51">
        <f t="shared" si="513"/>
        <v>0</v>
      </c>
      <c r="CG192" s="54">
        <f t="shared" si="514"/>
        <v>0</v>
      </c>
      <c r="CH192" s="55">
        <f t="shared" si="515"/>
        <v>0</v>
      </c>
      <c r="CI192" s="56">
        <f>IF(AND($E192&lt;&gt;0,$F192&gt;0,YEAR($F192)&gt;=Preisindex!$A$6,YEAR(CD$4)&gt;=YEAR($F192),AND($K192&lt;&gt;"a",$K192&lt;&gt;"b",$K192&lt;&gt;"g",$K192&lt;&gt;"k")),1,IF(AND($E192&lt;&gt;0,$F192&gt;0,YEAR($F192)&gt;=Preisindex!$A$6,YEAR(CD$4)&gt;=YEAR($F192),$K192="a"),ROUND(VLOOKUP(CI$4,Preisindex,5,FALSE)/VLOOKUP(YEAR($F192),Preisindex,5,FALSE),2),IF(AND($E192&lt;&gt;0,$F192&gt;0,YEAR($F192)&gt;=Preisindex!$A$6,YEAR(CD$4)&gt;=YEAR($F192),$K192="b"),ROUND(VLOOKUP(CI$4,Preisindex,3,FALSE)/VLOOKUP(YEAR($F192),Preisindex,3,FALSE),2),IF(AND($E192&lt;&gt;0,$F192&gt;0,YEAR($F192)&gt;=Preisindex!$A$6,YEAR(CD$4)&gt;=YEAR($F192),$K192="g"),ROUND(VLOOKUP(CI$4,Preisindex,4,FALSE)/VLOOKUP(YEAR($F192),Preisindex,4,FALSE),2),IF(AND($E192&lt;&gt;0,$F192&gt;0,YEAR($F192)&gt;=Preisindex!$A$6,YEAR(CD$4)&gt;=YEAR($F192),$K192="k"),ROUND(VLOOKUP(CI$4,Preisindex,2,FALSE)/VLOOKUP(YEAR($F192),Preisindex,2,FALSE),2),0)))))</f>
        <v>0</v>
      </c>
      <c r="CJ192" s="56">
        <f>IF(AND($E192&lt;&gt;0,$F192&gt;0,YEAR($F192)&lt;Preisindex!$A$6,YEAR(CD$4)&gt;=YEAR($F192),AND($K192&lt;&gt;"a",$K192&lt;&gt;"b",$K192&lt;&gt;"g",$K192&lt;&gt;"k")),1,IF(AND($E192&lt;&gt;0,$F192&gt;0,YEAR($F192)&lt;Preisindex!$A$6,YEAR(CD$4)&gt;=YEAR($F192),$K192="a"),ROUND(VLOOKUP(CI$4,Preisindex,5,FALSE)/VLOOKUP(Preisindex!$A$6,Preisindex,5,FALSE),2),IF(AND($E192&lt;&gt;0,$F192&gt;0,YEAR($F192)&lt;Preisindex!$A$6,YEAR(CD$4)&gt;=YEAR($F192),$K192="b"),ROUND(VLOOKUP(CI$4,Preisindex,3,FALSE)/VLOOKUP(Preisindex!$A$6,Preisindex,3,FALSE),2),IF(AND($E192&lt;&gt;0,$F192&gt;0,YEAR($F192)&lt;Preisindex!$A$6,YEAR(CD$4)&gt;=YEAR($F192),$K192="g"),ROUND(VLOOKUP(CI$4,Preisindex,4,FALSE)/VLOOKUP(Preisindex!$A$6,Preisindex,4,FALSE),2),IF(AND($E192&lt;&gt;0,$F192&gt;0,YEAR($F192)&lt;Preisindex!$A$6,YEAR(CD$4)&gt;=YEAR($F192),$K192="k"),ROUND(VLOOKUP(CI$4,Preisindex,2,FALSE)/VLOOKUP(Preisindex!$A$6,Preisindex,2,FALSE),2),0)))))</f>
        <v>0</v>
      </c>
      <c r="CK192" s="51">
        <f>IF(AND($E192&lt;&gt;0,$F192&gt;0,YEAR($F192)&lt;=CI$4,YEAR($F192)&gt;=Preisindex!$A$6),ROUND($E192*CI192,2),IF(AND($E192&lt;&gt;0,$F192&gt;0,YEAR($F192)&lt;=CI$4,YEAR($F192)&lt;Preisindex!$A$6),ROUND($E192*CJ192,2),0))</f>
        <v>0</v>
      </c>
      <c r="CL192" s="53">
        <f t="shared" si="516"/>
        <v>0</v>
      </c>
      <c r="CM192" s="51">
        <f t="shared" si="621"/>
        <v>0</v>
      </c>
      <c r="CN192" s="51">
        <f t="shared" si="594"/>
        <v>0</v>
      </c>
      <c r="CO192" s="51">
        <f t="shared" si="517"/>
        <v>0</v>
      </c>
      <c r="CP192" s="51">
        <f t="shared" si="595"/>
        <v>0</v>
      </c>
      <c r="CQ192" s="51">
        <f t="shared" si="518"/>
        <v>0</v>
      </c>
      <c r="CR192" s="51">
        <f t="shared" si="596"/>
        <v>0</v>
      </c>
      <c r="CS192" s="51">
        <f t="shared" si="519"/>
        <v>0</v>
      </c>
      <c r="CT192" s="51">
        <f t="shared" si="597"/>
        <v>0</v>
      </c>
      <c r="CU192" s="51">
        <f t="shared" si="520"/>
        <v>0</v>
      </c>
      <c r="CV192" s="51">
        <f t="shared" si="598"/>
        <v>0</v>
      </c>
      <c r="CW192" s="51">
        <f t="shared" si="521"/>
        <v>0</v>
      </c>
      <c r="CX192" s="54">
        <f t="shared" si="522"/>
        <v>0</v>
      </c>
      <c r="CY192" s="55">
        <f t="shared" si="523"/>
        <v>0</v>
      </c>
      <c r="CZ192" s="56">
        <f>IF(AND($E192&lt;&gt;0,$F192&gt;0,YEAR($F192)&gt;=Preisindex!$A$6,YEAR(CU$4)&gt;=YEAR($F192),AND($K192&lt;&gt;"a",$K192&lt;&gt;"b",$K192&lt;&gt;"g",$K192&lt;&gt;"k")),1,IF(AND($E192&lt;&gt;0,$F192&gt;0,YEAR($F192)&gt;=Preisindex!$A$6,YEAR(CU$4)&gt;=YEAR($F192),$K192="a"),ROUND(VLOOKUP(CZ$4,Preisindex,5,FALSE)/VLOOKUP(YEAR($F192),Preisindex,5,FALSE),2),IF(AND($E192&lt;&gt;0,$F192&gt;0,YEAR($F192)&gt;=Preisindex!$A$6,YEAR(CU$4)&gt;=YEAR($F192),$K192="b"),ROUND(VLOOKUP(CZ$4,Preisindex,3,FALSE)/VLOOKUP(YEAR($F192),Preisindex,3,FALSE),2),IF(AND($E192&lt;&gt;0,$F192&gt;0,YEAR($F192)&gt;=Preisindex!$A$6,YEAR(CU$4)&gt;=YEAR($F192),$K192="g"),ROUND(VLOOKUP(CZ$4,Preisindex,4,FALSE)/VLOOKUP(YEAR($F192),Preisindex,4,FALSE),2),IF(AND($E192&lt;&gt;0,$F192&gt;0,YEAR($F192)&gt;=Preisindex!$A$6,YEAR(CU$4)&gt;=YEAR($F192),$K192="k"),ROUND(VLOOKUP(CZ$4,Preisindex,2,FALSE)/VLOOKUP(YEAR($F192),Preisindex,2,FALSE),2),0)))))</f>
        <v>0</v>
      </c>
      <c r="DA192" s="56">
        <f>IF(AND($E192&lt;&gt;0,$F192&gt;0,YEAR($F192)&lt;Preisindex!$A$6,YEAR(CU$4)&gt;=YEAR($F192),AND($K192&lt;&gt;"a",$K192&lt;&gt;"b",$K192&lt;&gt;"g",$K192&lt;&gt;"k")),1,IF(AND($E192&lt;&gt;0,$F192&gt;0,YEAR($F192)&lt;Preisindex!$A$6,YEAR(CU$4)&gt;=YEAR($F192),$K192="a"),ROUND(VLOOKUP(CZ$4,Preisindex,5,FALSE)/VLOOKUP(Preisindex!$A$6,Preisindex,5,FALSE),2),IF(AND($E192&lt;&gt;0,$F192&gt;0,YEAR($F192)&lt;Preisindex!$A$6,YEAR(CU$4)&gt;=YEAR($F192),$K192="b"),ROUND(VLOOKUP(CZ$4,Preisindex,3,FALSE)/VLOOKUP(Preisindex!$A$6,Preisindex,3,FALSE),2),IF(AND($E192&lt;&gt;0,$F192&gt;0,YEAR($F192)&lt;Preisindex!$A$6,YEAR(CU$4)&gt;=YEAR($F192),$K192="g"),ROUND(VLOOKUP(CZ$4,Preisindex,4,FALSE)/VLOOKUP(Preisindex!$A$6,Preisindex,4,FALSE),2),IF(AND($E192&lt;&gt;0,$F192&gt;0,YEAR($F192)&lt;Preisindex!$A$6,YEAR(CU$4)&gt;=YEAR($F192),$K192="k"),ROUND(VLOOKUP(CZ$4,Preisindex,2,FALSE)/VLOOKUP(Preisindex!$A$6,Preisindex,2,FALSE),2),0)))))</f>
        <v>0</v>
      </c>
      <c r="DB192" s="51">
        <f>IF(AND($E192&lt;&gt;0,$F192&gt;0,YEAR($F192)&lt;=CZ$4,YEAR($F192)&gt;=Preisindex!$A$6),ROUND($E192*CZ192,2),IF(AND($E192&lt;&gt;0,$F192&gt;0,YEAR($F192)&lt;=CZ$4,YEAR($F192)&lt;Preisindex!$A$6),ROUND($E192*DA192,2),0))</f>
        <v>0</v>
      </c>
      <c r="DC192" s="53">
        <f t="shared" si="524"/>
        <v>0</v>
      </c>
      <c r="DD192" s="51">
        <f t="shared" si="622"/>
        <v>0</v>
      </c>
      <c r="DE192" s="51">
        <f t="shared" si="599"/>
        <v>0</v>
      </c>
      <c r="DF192" s="51">
        <f t="shared" si="526"/>
        <v>0</v>
      </c>
      <c r="DG192" s="51">
        <f t="shared" si="600"/>
        <v>0</v>
      </c>
      <c r="DH192" s="51">
        <f t="shared" si="527"/>
        <v>0</v>
      </c>
      <c r="DI192" s="51">
        <f t="shared" si="601"/>
        <v>0</v>
      </c>
      <c r="DJ192" s="51">
        <f t="shared" si="528"/>
        <v>0</v>
      </c>
      <c r="DK192" s="51">
        <f t="shared" si="602"/>
        <v>0</v>
      </c>
      <c r="DL192" s="51">
        <f t="shared" si="529"/>
        <v>0</v>
      </c>
      <c r="DM192" s="51">
        <f t="shared" si="603"/>
        <v>0</v>
      </c>
      <c r="DN192" s="51">
        <f t="shared" si="530"/>
        <v>0</v>
      </c>
      <c r="DO192" s="54">
        <f t="shared" si="531"/>
        <v>0</v>
      </c>
      <c r="DP192" s="55">
        <f t="shared" si="532"/>
        <v>0</v>
      </c>
      <c r="DQ192" s="56">
        <f>IF(AND($E192&lt;&gt;0,$F192&gt;0,YEAR($F192)&gt;=Preisindex!$A$6,YEAR(DL$4)&gt;=YEAR($F192),AND($K192&lt;&gt;"a",$K192&lt;&gt;"b",$K192&lt;&gt;"g",$K192&lt;&gt;"k")),1,IF(AND($E192&lt;&gt;0,$F192&gt;0,YEAR($F192)&gt;=Preisindex!$A$6,YEAR(DL$4)&gt;=YEAR($F192),$K192="a"),ROUND(VLOOKUP(DQ$4,Preisindex,5,FALSE)/VLOOKUP(YEAR($F192),Preisindex,5,FALSE),2),IF(AND($E192&lt;&gt;0,$F192&gt;0,YEAR($F192)&gt;=Preisindex!$A$6,YEAR(DL$4)&gt;=YEAR($F192),$K192="b"),ROUND(VLOOKUP(DQ$4,Preisindex,3,FALSE)/VLOOKUP(YEAR($F192),Preisindex,3,FALSE),2),IF(AND($E192&lt;&gt;0,$F192&gt;0,YEAR($F192)&gt;=Preisindex!$A$6,YEAR(DL$4)&gt;=YEAR($F192),$K192="g"),ROUND(VLOOKUP(DQ$4,Preisindex,4,FALSE)/VLOOKUP(YEAR($F192),Preisindex,4,FALSE),2),IF(AND($E192&lt;&gt;0,$F192&gt;0,YEAR($F192)&gt;=Preisindex!$A$6,YEAR(DL$4)&gt;=YEAR($F192),$K192="k"),ROUND(VLOOKUP(DQ$4,Preisindex,2,FALSE)/VLOOKUP(YEAR($F192),Preisindex,2,FALSE),2),0)))))</f>
        <v>0</v>
      </c>
      <c r="DR192" s="56">
        <f>IF(AND($E192&lt;&gt;0,$F192&gt;0,YEAR($F192)&lt;Preisindex!$A$6,YEAR(DL$4)&gt;=YEAR($F192),AND($K192&lt;&gt;"a",$K192&lt;&gt;"b",$K192&lt;&gt;"g",$K192&lt;&gt;"k")),1,IF(AND($E192&lt;&gt;0,$F192&gt;0,YEAR($F192)&lt;Preisindex!$A$6,YEAR(DL$4)&gt;=YEAR($F192),$K192="a"),ROUND(VLOOKUP(DQ$4,Preisindex,5,FALSE)/VLOOKUP(Preisindex!$A$6,Preisindex,5,FALSE),2),IF(AND($E192&lt;&gt;0,$F192&gt;0,YEAR($F192)&lt;Preisindex!$A$6,YEAR(DL$4)&gt;=YEAR($F192),$K192="b"),ROUND(VLOOKUP(DQ$4,Preisindex,3,FALSE)/VLOOKUP(Preisindex!$A$6,Preisindex,3,FALSE),2),IF(AND($E192&lt;&gt;0,$F192&gt;0,YEAR($F192)&lt;Preisindex!$A$6,YEAR(DL$4)&gt;=YEAR($F192),$K192="g"),ROUND(VLOOKUP(DQ$4,Preisindex,4,FALSE)/VLOOKUP(Preisindex!$A$6,Preisindex,4,FALSE),2),IF(AND($E192&lt;&gt;0,$F192&gt;0,YEAR($F192)&lt;Preisindex!$A$6,YEAR(DL$4)&gt;=YEAR($F192),$K192="k"),ROUND(VLOOKUP(DQ$4,Preisindex,2,FALSE)/VLOOKUP(Preisindex!$A$6,Preisindex,2,FALSE),2),0)))))</f>
        <v>0</v>
      </c>
      <c r="DS192" s="51">
        <f>IF(AND($E192&lt;&gt;0,$F192&gt;0,YEAR($F192)&lt;=DQ$4,YEAR($F192)&gt;=Preisindex!$A$6),ROUND($E192*DQ192,2),IF(AND($E192&lt;&gt;0,$F192&gt;0,YEAR($F192)&lt;=DQ$4,YEAR($F192)&lt;Preisindex!$A$6),ROUND($E192*DR192,2),0))</f>
        <v>0</v>
      </c>
      <c r="DT192" s="53">
        <f t="shared" si="533"/>
        <v>0</v>
      </c>
      <c r="DU192" s="51">
        <f t="shared" si="622"/>
        <v>0</v>
      </c>
      <c r="DV192" s="51">
        <f t="shared" si="604"/>
        <v>0</v>
      </c>
      <c r="DW192" s="51">
        <f t="shared" si="534"/>
        <v>0</v>
      </c>
      <c r="DX192" s="51">
        <f t="shared" si="605"/>
        <v>0</v>
      </c>
      <c r="DY192" s="51">
        <f t="shared" si="535"/>
        <v>0</v>
      </c>
      <c r="DZ192" s="51">
        <f t="shared" si="606"/>
        <v>0</v>
      </c>
      <c r="EA192" s="51">
        <f t="shared" si="536"/>
        <v>0</v>
      </c>
      <c r="EB192" s="51">
        <f t="shared" si="607"/>
        <v>0</v>
      </c>
      <c r="EC192" s="51">
        <f t="shared" si="537"/>
        <v>0</v>
      </c>
      <c r="ED192" s="51">
        <f t="shared" si="608"/>
        <v>0</v>
      </c>
      <c r="EE192" s="51">
        <f t="shared" si="538"/>
        <v>0</v>
      </c>
      <c r="EF192" s="54">
        <f t="shared" si="539"/>
        <v>0</v>
      </c>
      <c r="EG192" s="55">
        <f t="shared" si="540"/>
        <v>0</v>
      </c>
      <c r="EH192" s="56">
        <f>IF(AND($E192&lt;&gt;0,$F192&gt;0,YEAR($F192)&gt;=Preisindex!$A$6,YEAR(EC$4)&gt;=YEAR($F192),AND($K192&lt;&gt;"a",$K192&lt;&gt;"b",$K192&lt;&gt;"g",$K192&lt;&gt;"k")),1,IF(AND($E192&lt;&gt;0,$F192&gt;0,YEAR($F192)&gt;=Preisindex!$A$6,YEAR(EC$4)&gt;=YEAR($F192),$K192="a"),ROUND(VLOOKUP(EH$4,Preisindex,5,FALSE)/VLOOKUP(YEAR($F192),Preisindex,5,FALSE),2),IF(AND($E192&lt;&gt;0,$F192&gt;0,YEAR($F192)&gt;=Preisindex!$A$6,YEAR(EC$4)&gt;=YEAR($F192),$K192="b"),ROUND(VLOOKUP(EH$4,Preisindex,3,FALSE)/VLOOKUP(YEAR($F192),Preisindex,3,FALSE),2),IF(AND($E192&lt;&gt;0,$F192&gt;0,YEAR($F192)&gt;=Preisindex!$A$6,YEAR(EC$4)&gt;=YEAR($F192),$K192="g"),ROUND(VLOOKUP(EH$4,Preisindex,4,FALSE)/VLOOKUP(YEAR($F192),Preisindex,4,FALSE),2),IF(AND($E192&lt;&gt;0,$F192&gt;0,YEAR($F192)&gt;=Preisindex!$A$6,YEAR(EC$4)&gt;=YEAR($F192),$K192="k"),ROUND(VLOOKUP(EH$4,Preisindex,2,FALSE)/VLOOKUP(YEAR($F192),Preisindex,2,FALSE),2),0)))))</f>
        <v>0</v>
      </c>
      <c r="EI192" s="56">
        <f>IF(AND($E192&lt;&gt;0,$F192&gt;0,YEAR($F192)&lt;Preisindex!$A$6,YEAR(EC$4)&gt;=YEAR($F192),AND($K192&lt;&gt;"a",$K192&lt;&gt;"b",$K192&lt;&gt;"g",$K192&lt;&gt;"k")),1,IF(AND($E192&lt;&gt;0,$F192&gt;0,YEAR($F192)&lt;Preisindex!$A$6,YEAR(EC$4)&gt;=YEAR($F192),$K192="a"),ROUND(VLOOKUP(EH$4,Preisindex,5,FALSE)/VLOOKUP(Preisindex!$A$6,Preisindex,5,FALSE),2),IF(AND($E192&lt;&gt;0,$F192&gt;0,YEAR($F192)&lt;Preisindex!$A$6,YEAR(EC$4)&gt;=YEAR($F192),$K192="b"),ROUND(VLOOKUP(EH$4,Preisindex,3,FALSE)/VLOOKUP(Preisindex!$A$6,Preisindex,3,FALSE),2),IF(AND($E192&lt;&gt;0,$F192&gt;0,YEAR($F192)&lt;Preisindex!$A$6,YEAR(EC$4)&gt;=YEAR($F192),$K192="g"),ROUND(VLOOKUP(EH$4,Preisindex,4,FALSE)/VLOOKUP(Preisindex!$A$6,Preisindex,4,FALSE),2),IF(AND($E192&lt;&gt;0,$F192&gt;0,YEAR($F192)&lt;Preisindex!$A$6,YEAR(EC$4)&gt;=YEAR($F192),$K192="k"),ROUND(VLOOKUP(EH$4,Preisindex,2,FALSE)/VLOOKUP(Preisindex!$A$6,Preisindex,2,FALSE),2),0)))))</f>
        <v>0</v>
      </c>
      <c r="EJ192" s="51">
        <f>IF(AND($E192&lt;&gt;0,$F192&gt;0,YEAR($F192)&lt;=EH$4,YEAR($F192)&gt;=Preisindex!$A$6),ROUND($E192*EH192,2),IF(AND($E192&lt;&gt;0,$F192&gt;0,YEAR($F192)&lt;=EH$4,YEAR($F192)&lt;Preisindex!$A$6),ROUND($E192*EI192,2),0))</f>
        <v>0</v>
      </c>
      <c r="EK192" s="53">
        <f t="shared" si="541"/>
        <v>0</v>
      </c>
      <c r="EL192" s="51">
        <f t="shared" si="622"/>
        <v>0</v>
      </c>
      <c r="EM192" s="51">
        <f t="shared" si="609"/>
        <v>0</v>
      </c>
      <c r="EN192" s="51">
        <f t="shared" si="542"/>
        <v>0</v>
      </c>
      <c r="EO192" s="51">
        <f t="shared" si="610"/>
        <v>0</v>
      </c>
      <c r="EP192" s="51">
        <f t="shared" si="543"/>
        <v>0</v>
      </c>
      <c r="EQ192" s="51">
        <f t="shared" si="611"/>
        <v>0</v>
      </c>
      <c r="ER192" s="51">
        <f t="shared" si="544"/>
        <v>0</v>
      </c>
      <c r="ES192" s="51">
        <f t="shared" si="612"/>
        <v>0</v>
      </c>
      <c r="ET192" s="51">
        <f t="shared" si="545"/>
        <v>0</v>
      </c>
      <c r="EU192" s="51">
        <f t="shared" si="613"/>
        <v>0</v>
      </c>
      <c r="EV192" s="51">
        <f t="shared" si="546"/>
        <v>0</v>
      </c>
      <c r="EW192" s="54">
        <f t="shared" si="547"/>
        <v>0</v>
      </c>
      <c r="EX192" s="55">
        <f t="shared" si="548"/>
        <v>0</v>
      </c>
      <c r="EY192" s="56">
        <f>IF(AND($E192&lt;&gt;0,$F192&gt;0,YEAR($F192)&gt;=Preisindex!$A$6,YEAR(ET$4)&gt;=YEAR($F192),AND($K192&lt;&gt;"a",$K192&lt;&gt;"b",$K192&lt;&gt;"g",$K192&lt;&gt;"k")),1,IF(AND($E192&lt;&gt;0,$F192&gt;0,YEAR($F192)&gt;=Preisindex!$A$6,YEAR(ET$4)&gt;=YEAR($F192),$K192="a"),ROUND(VLOOKUP(EY$4,Preisindex,5,FALSE)/VLOOKUP(YEAR($F192),Preisindex,5,FALSE),2),IF(AND($E192&lt;&gt;0,$F192&gt;0,YEAR($F192)&gt;=Preisindex!$A$6,YEAR(ET$4)&gt;=YEAR($F192),$K192="b"),ROUND(VLOOKUP(EY$4,Preisindex,3,FALSE)/VLOOKUP(YEAR($F192),Preisindex,3,FALSE),2),IF(AND($E192&lt;&gt;0,$F192&gt;0,YEAR($F192)&gt;=Preisindex!$A$6,YEAR(ET$4)&gt;=YEAR($F192),$K192="g"),ROUND(VLOOKUP(EY$4,Preisindex,4,FALSE)/VLOOKUP(YEAR($F192),Preisindex,4,FALSE),2),IF(AND($E192&lt;&gt;0,$F192&gt;0,YEAR($F192)&gt;=Preisindex!$A$6,YEAR(ET$4)&gt;=YEAR($F192),$K192="k"),ROUND(VLOOKUP(EY$4,Preisindex,2,FALSE)/VLOOKUP(YEAR($F192),Preisindex,2,FALSE),2),0)))))</f>
        <v>0</v>
      </c>
      <c r="EZ192" s="56">
        <f>IF(AND($E192&lt;&gt;0,$F192&gt;0,YEAR($F192)&lt;Preisindex!$A$6,YEAR(ET$4)&gt;=YEAR($F192),AND($K192&lt;&gt;"a",$K192&lt;&gt;"b",$K192&lt;&gt;"g",$K192&lt;&gt;"k")),1,IF(AND($E192&lt;&gt;0,$F192&gt;0,YEAR($F192)&lt;Preisindex!$A$6,YEAR(ET$4)&gt;=YEAR($F192),$K192="a"),ROUND(VLOOKUP(EY$4,Preisindex,5,FALSE)/VLOOKUP(Preisindex!$A$6,Preisindex,5,FALSE),2),IF(AND($E192&lt;&gt;0,$F192&gt;0,YEAR($F192)&lt;Preisindex!$A$6,YEAR(ET$4)&gt;=YEAR($F192),$K192="b"),ROUND(VLOOKUP(EY$4,Preisindex,3,FALSE)/VLOOKUP(Preisindex!$A$6,Preisindex,3,FALSE),2),IF(AND($E192&lt;&gt;0,$F192&gt;0,YEAR($F192)&lt;Preisindex!$A$6,YEAR(ET$4)&gt;=YEAR($F192),$K192="g"),ROUND(VLOOKUP(EY$4,Preisindex,4,FALSE)/VLOOKUP(Preisindex!$A$6,Preisindex,4,FALSE),2),IF(AND($E192&lt;&gt;0,$F192&gt;0,YEAR($F192)&lt;Preisindex!$A$6,YEAR(ET$4)&gt;=YEAR($F192),$K192="k"),ROUND(VLOOKUP(EY$4,Preisindex,2,FALSE)/VLOOKUP(Preisindex!$A$6,Preisindex,2,FALSE),2),0)))))</f>
        <v>0</v>
      </c>
      <c r="FA192" s="51">
        <f>IF(AND($E192&lt;&gt;0,$F192&gt;0,YEAR($F192)&lt;=EY$4,YEAR($F192)&gt;=Preisindex!$A$6),ROUND($E192*EY192,2),IF(AND($E192&lt;&gt;0,$F192&gt;0,YEAR($F192)&lt;=EY$4,YEAR($F192)&lt;Preisindex!$A$6),ROUND($E192*EZ192,2),0))</f>
        <v>0</v>
      </c>
      <c r="FB192" s="53">
        <f t="shared" si="549"/>
        <v>0</v>
      </c>
      <c r="FC192" s="51">
        <f t="shared" si="622"/>
        <v>0</v>
      </c>
      <c r="FD192" s="51">
        <f t="shared" si="614"/>
        <v>0</v>
      </c>
      <c r="FE192" s="51">
        <f t="shared" si="550"/>
        <v>0</v>
      </c>
      <c r="FF192" s="51">
        <f t="shared" si="615"/>
        <v>0</v>
      </c>
      <c r="FG192" s="51">
        <f t="shared" si="551"/>
        <v>0</v>
      </c>
      <c r="FH192" s="51">
        <f t="shared" si="616"/>
        <v>0</v>
      </c>
      <c r="FI192" s="51">
        <f t="shared" si="552"/>
        <v>0</v>
      </c>
      <c r="FJ192" s="51">
        <f t="shared" si="617"/>
        <v>0</v>
      </c>
      <c r="FK192" s="51">
        <f t="shared" si="553"/>
        <v>0</v>
      </c>
      <c r="FL192" s="51">
        <f t="shared" si="618"/>
        <v>0</v>
      </c>
      <c r="FM192" s="51">
        <f t="shared" si="554"/>
        <v>0</v>
      </c>
      <c r="FN192" s="54">
        <f t="shared" si="555"/>
        <v>0</v>
      </c>
      <c r="FO192" s="55">
        <f t="shared" si="556"/>
        <v>0</v>
      </c>
      <c r="FP192" s="56">
        <f>IF(AND($E192&lt;&gt;0,$F192&gt;0,YEAR($F192)&gt;=Preisindex!$A$6,YEAR(FK$4)&gt;=YEAR($F192),AND($K192&lt;&gt;"a",$K192&lt;&gt;"b",$K192&lt;&gt;"g",$K192&lt;&gt;"k")),1,IF(AND($E192&lt;&gt;0,$F192&gt;0,YEAR($F192)&gt;=Preisindex!$A$6,YEAR(FK$4)&gt;=YEAR($F192),$K192="a"),ROUND(VLOOKUP(FP$4,Preisindex,5,FALSE)/VLOOKUP(YEAR($F192),Preisindex,5,FALSE),2),IF(AND($E192&lt;&gt;0,$F192&gt;0,YEAR($F192)&gt;=Preisindex!$A$6,YEAR(FK$4)&gt;=YEAR($F192),$K192="b"),ROUND(VLOOKUP(FP$4,Preisindex,3,FALSE)/VLOOKUP(YEAR($F192),Preisindex,3,FALSE),2),IF(AND($E192&lt;&gt;0,$F192&gt;0,YEAR($F192)&gt;=Preisindex!$A$6,YEAR(FK$4)&gt;=YEAR($F192),$K192="g"),ROUND(VLOOKUP(FP$4,Preisindex,4,FALSE)/VLOOKUP(YEAR($F192),Preisindex,4,FALSE),2),IF(AND($E192&lt;&gt;0,$F192&gt;0,YEAR($F192)&gt;=Preisindex!$A$6,YEAR(FK$4)&gt;=YEAR($F192),$K192="k"),ROUND(VLOOKUP(FP$4,Preisindex,2,FALSE)/VLOOKUP(YEAR($F192),Preisindex,2,FALSE),2),0)))))</f>
        <v>0</v>
      </c>
      <c r="FQ192" s="56">
        <f>IF(AND($E192&lt;&gt;0,$F192&gt;0,YEAR($F192)&lt;Preisindex!$A$6,YEAR(FK$4)&gt;=YEAR($F192),AND($K192&lt;&gt;"a",$K192&lt;&gt;"b",$K192&lt;&gt;"g",$K192&lt;&gt;"k")),1,IF(AND($E192&lt;&gt;0,$F192&gt;0,YEAR($F192)&lt;Preisindex!$A$6,YEAR(FK$4)&gt;=YEAR($F192),$K192="a"),ROUND(VLOOKUP(FP$4,Preisindex,5,FALSE)/VLOOKUP(Preisindex!$A$6,Preisindex,5,FALSE),2),IF(AND($E192&lt;&gt;0,$F192&gt;0,YEAR($F192)&lt;Preisindex!$A$6,YEAR(FK$4)&gt;=YEAR($F192),$K192="b"),ROUND(VLOOKUP(FP$4,Preisindex,3,FALSE)/VLOOKUP(Preisindex!$A$6,Preisindex,3,FALSE),2),IF(AND($E192&lt;&gt;0,$F192&gt;0,YEAR($F192)&lt;Preisindex!$A$6,YEAR(FK$4)&gt;=YEAR($F192),$K192="g"),ROUND(VLOOKUP(FP$4,Preisindex,4,FALSE)/VLOOKUP(Preisindex!$A$6,Preisindex,4,FALSE),2),IF(AND($E192&lt;&gt;0,$F192&gt;0,YEAR($F192)&lt;Preisindex!$A$6,YEAR(FK$4)&gt;=YEAR($F192),$K192="k"),ROUND(VLOOKUP(FP$4,Preisindex,2,FALSE)/VLOOKUP(Preisindex!$A$6,Preisindex,2,FALSE),2),0)))))</f>
        <v>0</v>
      </c>
      <c r="FR192" s="51">
        <f>IF(AND($E192&lt;&gt;0,$F192&gt;0,YEAR($F192)&lt;=FP$4,YEAR($F192)&gt;=Preisindex!$A$6),ROUND($E192*FP192,2),IF(AND($E192&lt;&gt;0,$F192&gt;0,YEAR($F192)&lt;=FP$4,YEAR($F192)&lt;Preisindex!$A$6),ROUND($E192*FQ192,2),0))</f>
        <v>0</v>
      </c>
      <c r="FS192" s="53">
        <f t="shared" si="557"/>
        <v>0</v>
      </c>
    </row>
    <row r="193" spans="1:175" x14ac:dyDescent="0.3">
      <c r="A193" s="93"/>
      <c r="B193" s="94"/>
      <c r="C193" s="94"/>
      <c r="D193" s="95"/>
      <c r="E193" s="99"/>
      <c r="F193" s="97"/>
      <c r="G193" s="98"/>
      <c r="H193" s="620"/>
      <c r="I193" s="621"/>
      <c r="J193" s="194"/>
      <c r="K193" s="630"/>
      <c r="L193" s="49">
        <f t="shared" si="558"/>
        <v>0</v>
      </c>
      <c r="M193" s="50">
        <f t="shared" si="559"/>
        <v>0</v>
      </c>
      <c r="N193" s="51">
        <f t="shared" si="560"/>
        <v>0</v>
      </c>
      <c r="O193" s="51"/>
      <c r="P193" s="51">
        <f t="shared" si="561"/>
        <v>0</v>
      </c>
      <c r="Q193" s="52"/>
      <c r="R193" s="52"/>
      <c r="S193" s="52"/>
      <c r="T193" s="52"/>
      <c r="U193" s="52"/>
      <c r="V193" s="53">
        <f t="shared" si="562"/>
        <v>0</v>
      </c>
      <c r="W193" s="51">
        <f t="shared" si="563"/>
        <v>0</v>
      </c>
      <c r="X193" s="51">
        <f t="shared" si="564"/>
        <v>0</v>
      </c>
      <c r="Y193" s="51">
        <f t="shared" si="565"/>
        <v>0</v>
      </c>
      <c r="Z193" s="51">
        <f t="shared" si="566"/>
        <v>0</v>
      </c>
      <c r="AA193" s="51">
        <f t="shared" si="567"/>
        <v>0</v>
      </c>
      <c r="AB193" s="51">
        <f t="shared" si="568"/>
        <v>0</v>
      </c>
      <c r="AC193" s="51">
        <f t="shared" si="569"/>
        <v>0</v>
      </c>
      <c r="AD193" s="51">
        <f t="shared" si="570"/>
        <v>0</v>
      </c>
      <c r="AE193" s="51">
        <f t="shared" si="571"/>
        <v>0</v>
      </c>
      <c r="AF193" s="51">
        <f t="shared" si="572"/>
        <v>0</v>
      </c>
      <c r="AG193" s="51">
        <f t="shared" si="573"/>
        <v>0</v>
      </c>
      <c r="AH193" s="54">
        <f t="shared" si="574"/>
        <v>0</v>
      </c>
      <c r="AI193" s="55">
        <f t="shared" si="575"/>
        <v>0</v>
      </c>
      <c r="AJ193" s="56">
        <f>IF(AND($E193&lt;&gt;0,$F193&gt;0,YEAR($F193)&gt;=Preisindex!$A$6,YEAR(AE$4)&gt;=YEAR($F193),AND($K193&lt;&gt;"a",$K193&lt;&gt;"b",$K193&lt;&gt;"g",$K193&lt;&gt;"k")),1,IF(AND($E193&lt;&gt;0,$F193&gt;0,YEAR($F193)&gt;=Preisindex!$A$6,YEAR(AE$4)&gt;=YEAR($F193),$K193="a"),ROUND(VLOOKUP(AJ$4,Preisindex,5,FALSE)/VLOOKUP(YEAR($F193),Preisindex,5,FALSE),2),IF(AND($E193&lt;&gt;0,$F193&gt;0,YEAR($F193)&gt;=Preisindex!$A$6,YEAR(AE$4)&gt;=YEAR($F193),$K193="b"),ROUND(VLOOKUP(AJ$4,Preisindex,3,FALSE)/VLOOKUP(YEAR($F193),Preisindex,3,FALSE),2),IF(AND($E193&lt;&gt;0,$F193&gt;0,YEAR($F193)&gt;=Preisindex!$A$6,YEAR(AE$4)&gt;=YEAR($F193),$K193="g"),ROUND(VLOOKUP(AJ$4,Preisindex,4,FALSE)/VLOOKUP(YEAR($F193),Preisindex,4,FALSE),2),IF(AND($E193&lt;&gt;0,$F193&gt;0,YEAR($F193)&gt;=Preisindex!$A$6,YEAR(AE$4)&gt;=YEAR($F193),$K193="k"),ROUND(VLOOKUP(AJ$4,Preisindex,2,FALSE)/VLOOKUP(YEAR($F193),Preisindex,2,FALSE),2),0)))))</f>
        <v>0</v>
      </c>
      <c r="AK193" s="56">
        <f>IF(AND($E193&lt;&gt;0,$F193&gt;0,YEAR($F193)&lt;Preisindex!$A$6,YEAR(AE$4)&gt;=YEAR($F193),AND($K193&lt;&gt;"a",$K193&lt;&gt;"b",$K193&lt;&gt;"g",$K193&lt;&gt;"k")),1,IF(AND($E193&lt;&gt;0,$F193&gt;0,YEAR($F193)&lt;Preisindex!$A$6,YEAR(AE$4)&gt;=YEAR($F193),$K193="a"),ROUND(VLOOKUP(AJ$4,Preisindex,5,FALSE)/VLOOKUP(Preisindex!$A$6,Preisindex,5,FALSE),2),IF(AND($E193&lt;&gt;0,$F193&gt;0,YEAR($F193)&lt;Preisindex!$A$6,YEAR(AE$4)&gt;=YEAR($F193),$K193="b"),ROUND(VLOOKUP(AJ$4,Preisindex,3,FALSE)/VLOOKUP(Preisindex!$A$6,Preisindex,3,FALSE),2),IF(AND($E193&lt;&gt;0,$F193&gt;0,YEAR($F193)&lt;Preisindex!$A$6,YEAR(AE$4)&gt;=YEAR($F193),$K193="g"),ROUND(VLOOKUP(AJ$4,Preisindex,4,FALSE)/VLOOKUP(Preisindex!$A$6,Preisindex,4,FALSE),2),IF(AND($E193&lt;&gt;0,$F193&gt;0,YEAR($F193)&lt;Preisindex!$A$6,YEAR(AE$4)&gt;=YEAR($F193),$K193="k"),ROUND(VLOOKUP(AJ$4,Preisindex,2,FALSE)/VLOOKUP(Preisindex!$A$6,Preisindex,2,FALSE),2),0)))))</f>
        <v>0</v>
      </c>
      <c r="AL193" s="51">
        <f>IF(AND($E193&lt;&gt;0,$F193&gt;0,YEAR($F193)&lt;=AJ$4,YEAR($F193)&gt;=Preisindex!$A$6),ROUND($E193*AJ193,2),IF(AND($E193&lt;&gt;0,$F193&gt;0,YEAR($F193)&lt;=AJ$4,YEAR($F193)&lt;Preisindex!$A$6),ROUND($E193*AK193,2),0))</f>
        <v>0</v>
      </c>
      <c r="AM193" s="53">
        <f t="shared" si="576"/>
        <v>0</v>
      </c>
      <c r="AN193" s="51">
        <f t="shared" si="621"/>
        <v>0</v>
      </c>
      <c r="AO193" s="51">
        <f t="shared" si="579"/>
        <v>0</v>
      </c>
      <c r="AP193" s="51">
        <f t="shared" si="493"/>
        <v>0</v>
      </c>
      <c r="AQ193" s="51">
        <f t="shared" si="580"/>
        <v>0</v>
      </c>
      <c r="AR193" s="51">
        <f t="shared" si="494"/>
        <v>0</v>
      </c>
      <c r="AS193" s="51">
        <f t="shared" si="581"/>
        <v>0</v>
      </c>
      <c r="AT193" s="51">
        <f t="shared" si="495"/>
        <v>0</v>
      </c>
      <c r="AU193" s="51">
        <f t="shared" si="582"/>
        <v>0</v>
      </c>
      <c r="AV193" s="51">
        <f t="shared" si="496"/>
        <v>0</v>
      </c>
      <c r="AW193" s="51">
        <f t="shared" si="583"/>
        <v>0</v>
      </c>
      <c r="AX193" s="51">
        <f t="shared" si="497"/>
        <v>0</v>
      </c>
      <c r="AY193" s="54">
        <f t="shared" si="498"/>
        <v>0</v>
      </c>
      <c r="AZ193" s="55">
        <f t="shared" si="499"/>
        <v>0</v>
      </c>
      <c r="BA193" s="56">
        <f>IF(AND($E193&lt;&gt;0,$F193&gt;0,YEAR($F193)&gt;=Preisindex!$A$6,YEAR(AV$4)&gt;=YEAR($F193),AND($K193&lt;&gt;"a",$K193&lt;&gt;"b",$K193&lt;&gt;"g",$K193&lt;&gt;"k")),1,IF(AND($E193&lt;&gt;0,$F193&gt;0,YEAR($F193)&gt;=Preisindex!$A$6,YEAR(AV$4)&gt;=YEAR($F193),$K193="a"),ROUND(VLOOKUP(BA$4,Preisindex,5,FALSE)/VLOOKUP(YEAR($F193),Preisindex,5,FALSE),2),IF(AND($E193&lt;&gt;0,$F193&gt;0,YEAR($F193)&gt;=Preisindex!$A$6,YEAR(AV$4)&gt;=YEAR($F193),$K193="b"),ROUND(VLOOKUP(BA$4,Preisindex,3,FALSE)/VLOOKUP(YEAR($F193),Preisindex,3,FALSE),2),IF(AND($E193&lt;&gt;0,$F193&gt;0,YEAR($F193)&gt;=Preisindex!$A$6,YEAR(AV$4)&gt;=YEAR($F193),$K193="g"),ROUND(VLOOKUP(BA$4,Preisindex,4,FALSE)/VLOOKUP(YEAR($F193),Preisindex,4,FALSE),2),IF(AND($E193&lt;&gt;0,$F193&gt;0,YEAR($F193)&gt;=Preisindex!$A$6,YEAR(AV$4)&gt;=YEAR($F193),$K193="k"),ROUND(VLOOKUP(BA$4,Preisindex,2,FALSE)/VLOOKUP(YEAR($F193),Preisindex,2,FALSE),2),0)))))</f>
        <v>0</v>
      </c>
      <c r="BB193" s="56">
        <f>IF(AND($E193&lt;&gt;0,$F193&gt;0,YEAR($F193)&lt;Preisindex!$A$6,YEAR(AV$4)&gt;=YEAR($F193),AND($K193&lt;&gt;"a",$K193&lt;&gt;"b",$K193&lt;&gt;"g",$K193&lt;&gt;"k")),1,IF(AND($E193&lt;&gt;0,$F193&gt;0,YEAR($F193)&lt;Preisindex!$A$6,YEAR(AV$4)&gt;=YEAR($F193),$K193="a"),ROUND(VLOOKUP(BA$4,Preisindex,5,FALSE)/VLOOKUP(Preisindex!$A$6,Preisindex,5,FALSE),2),IF(AND($E193&lt;&gt;0,$F193&gt;0,YEAR($F193)&lt;Preisindex!$A$6,YEAR(AV$4)&gt;=YEAR($F193),$K193="b"),ROUND(VLOOKUP(BA$4,Preisindex,3,FALSE)/VLOOKUP(Preisindex!$A$6,Preisindex,3,FALSE),2),IF(AND($E193&lt;&gt;0,$F193&gt;0,YEAR($F193)&lt;Preisindex!$A$6,YEAR(AV$4)&gt;=YEAR($F193),$K193="g"),ROUND(VLOOKUP(BA$4,Preisindex,4,FALSE)/VLOOKUP(Preisindex!$A$6,Preisindex,4,FALSE),2),IF(AND($E193&lt;&gt;0,$F193&gt;0,YEAR($F193)&lt;Preisindex!$A$6,YEAR(AV$4)&gt;=YEAR($F193),$K193="k"),ROUND(VLOOKUP(BA$4,Preisindex,2,FALSE)/VLOOKUP(Preisindex!$A$6,Preisindex,2,FALSE),2),0)))))</f>
        <v>0</v>
      </c>
      <c r="BC193" s="51">
        <f>IF(AND($E193&lt;&gt;0,$F193&gt;0,YEAR($F193)&lt;=BA$4,YEAR($F193)&gt;=Preisindex!$A$6),ROUND($E193*BA193,2),IF(AND($E193&lt;&gt;0,$F193&gt;0,YEAR($F193)&lt;=BA$4,YEAR($F193)&lt;Preisindex!$A$6),ROUND($E193*BB193,2),0))</f>
        <v>0</v>
      </c>
      <c r="BD193" s="53">
        <f t="shared" si="500"/>
        <v>0</v>
      </c>
      <c r="BE193" s="51">
        <f t="shared" si="621"/>
        <v>0</v>
      </c>
      <c r="BF193" s="51">
        <f t="shared" si="584"/>
        <v>0</v>
      </c>
      <c r="BG193" s="51">
        <f t="shared" si="501"/>
        <v>0</v>
      </c>
      <c r="BH193" s="51">
        <f t="shared" si="585"/>
        <v>0</v>
      </c>
      <c r="BI193" s="51">
        <f t="shared" si="502"/>
        <v>0</v>
      </c>
      <c r="BJ193" s="51">
        <f t="shared" si="586"/>
        <v>0</v>
      </c>
      <c r="BK193" s="51">
        <f t="shared" si="503"/>
        <v>0</v>
      </c>
      <c r="BL193" s="51">
        <f t="shared" si="587"/>
        <v>0</v>
      </c>
      <c r="BM193" s="51">
        <f t="shared" si="504"/>
        <v>0</v>
      </c>
      <c r="BN193" s="51">
        <f t="shared" si="588"/>
        <v>0</v>
      </c>
      <c r="BO193" s="51">
        <f t="shared" si="505"/>
        <v>0</v>
      </c>
      <c r="BP193" s="54">
        <f t="shared" si="506"/>
        <v>0</v>
      </c>
      <c r="BQ193" s="55">
        <f t="shared" si="507"/>
        <v>0</v>
      </c>
      <c r="BR193" s="56">
        <f>IF(AND($E193&lt;&gt;0,$F193&gt;0,YEAR($F193)&gt;=Preisindex!$A$6,YEAR(BM$4)&gt;=YEAR($F193),AND($K193&lt;&gt;"a",$K193&lt;&gt;"b",$K193&lt;&gt;"g",$K193&lt;&gt;"k")),1,IF(AND($E193&lt;&gt;0,$F193&gt;0,YEAR($F193)&gt;=Preisindex!$A$6,YEAR(BM$4)&gt;=YEAR($F193),$K193="a"),ROUND(VLOOKUP(BR$4,Preisindex,5,FALSE)/VLOOKUP(YEAR($F193),Preisindex,5,FALSE),2),IF(AND($E193&lt;&gt;0,$F193&gt;0,YEAR($F193)&gt;=Preisindex!$A$6,YEAR(BM$4)&gt;=YEAR($F193),$K193="b"),ROUND(VLOOKUP(BR$4,Preisindex,3,FALSE)/VLOOKUP(YEAR($F193),Preisindex,3,FALSE),2),IF(AND($E193&lt;&gt;0,$F193&gt;0,YEAR($F193)&gt;=Preisindex!$A$6,YEAR(BM$4)&gt;=YEAR($F193),$K193="g"),ROUND(VLOOKUP(BR$4,Preisindex,4,FALSE)/VLOOKUP(YEAR($F193),Preisindex,4,FALSE),2),IF(AND($E193&lt;&gt;0,$F193&gt;0,YEAR($F193)&gt;=Preisindex!$A$6,YEAR(BM$4)&gt;=YEAR($F193),$K193="k"),ROUND(VLOOKUP(BR$4,Preisindex,2,FALSE)/VLOOKUP(YEAR($F193),Preisindex,2,FALSE),2),0)))))</f>
        <v>0</v>
      </c>
      <c r="BS193" s="56">
        <f>IF(AND($E193&lt;&gt;0,$F193&gt;0,YEAR($F193)&lt;Preisindex!$A$6,YEAR(BM$4)&gt;=YEAR($F193),AND($K193&lt;&gt;"a",$K193&lt;&gt;"b",$K193&lt;&gt;"g",$K193&lt;&gt;"k")),1,IF(AND($E193&lt;&gt;0,$F193&gt;0,YEAR($F193)&lt;Preisindex!$A$6,YEAR(BM$4)&gt;=YEAR($F193),$K193="a"),ROUND(VLOOKUP(BR$4,Preisindex,5,FALSE)/VLOOKUP(Preisindex!$A$6,Preisindex,5,FALSE),2),IF(AND($E193&lt;&gt;0,$F193&gt;0,YEAR($F193)&lt;Preisindex!$A$6,YEAR(BM$4)&gt;=YEAR($F193),$K193="b"),ROUND(VLOOKUP(BR$4,Preisindex,3,FALSE)/VLOOKUP(Preisindex!$A$6,Preisindex,3,FALSE),2),IF(AND($E193&lt;&gt;0,$F193&gt;0,YEAR($F193)&lt;Preisindex!$A$6,YEAR(BM$4)&gt;=YEAR($F193),$K193="g"),ROUND(VLOOKUP(BR$4,Preisindex,4,FALSE)/VLOOKUP(Preisindex!$A$6,Preisindex,4,FALSE),2),IF(AND($E193&lt;&gt;0,$F193&gt;0,YEAR($F193)&lt;Preisindex!$A$6,YEAR(BM$4)&gt;=YEAR($F193),$K193="k"),ROUND(VLOOKUP(BR$4,Preisindex,2,FALSE)/VLOOKUP(Preisindex!$A$6,Preisindex,2,FALSE),2),0)))))</f>
        <v>0</v>
      </c>
      <c r="BT193" s="51">
        <f>IF(AND($E193&lt;&gt;0,$F193&gt;0,YEAR($F193)&lt;=BR$4,YEAR($F193)&gt;=Preisindex!$A$6),ROUND($E193*BR193,2),IF(AND($E193&lt;&gt;0,$F193&gt;0,YEAR($F193)&lt;=BR$4,YEAR($F193)&lt;Preisindex!$A$6),ROUND($E193*BS193,2),0))</f>
        <v>0</v>
      </c>
      <c r="BU193" s="53">
        <f t="shared" si="508"/>
        <v>0</v>
      </c>
      <c r="BV193" s="51">
        <f t="shared" si="621"/>
        <v>0</v>
      </c>
      <c r="BW193" s="51">
        <f t="shared" si="589"/>
        <v>0</v>
      </c>
      <c r="BX193" s="51">
        <f t="shared" si="509"/>
        <v>0</v>
      </c>
      <c r="BY193" s="51">
        <f t="shared" si="590"/>
        <v>0</v>
      </c>
      <c r="BZ193" s="51">
        <f t="shared" si="510"/>
        <v>0</v>
      </c>
      <c r="CA193" s="51">
        <f t="shared" si="591"/>
        <v>0</v>
      </c>
      <c r="CB193" s="51">
        <f t="shared" si="511"/>
        <v>0</v>
      </c>
      <c r="CC193" s="51">
        <f t="shared" si="592"/>
        <v>0</v>
      </c>
      <c r="CD193" s="51">
        <f t="shared" si="512"/>
        <v>0</v>
      </c>
      <c r="CE193" s="51">
        <f t="shared" si="593"/>
        <v>0</v>
      </c>
      <c r="CF193" s="51">
        <f t="shared" si="513"/>
        <v>0</v>
      </c>
      <c r="CG193" s="54">
        <f t="shared" si="514"/>
        <v>0</v>
      </c>
      <c r="CH193" s="55">
        <f t="shared" si="515"/>
        <v>0</v>
      </c>
      <c r="CI193" s="56">
        <f>IF(AND($E193&lt;&gt;0,$F193&gt;0,YEAR($F193)&gt;=Preisindex!$A$6,YEAR(CD$4)&gt;=YEAR($F193),AND($K193&lt;&gt;"a",$K193&lt;&gt;"b",$K193&lt;&gt;"g",$K193&lt;&gt;"k")),1,IF(AND($E193&lt;&gt;0,$F193&gt;0,YEAR($F193)&gt;=Preisindex!$A$6,YEAR(CD$4)&gt;=YEAR($F193),$K193="a"),ROUND(VLOOKUP(CI$4,Preisindex,5,FALSE)/VLOOKUP(YEAR($F193),Preisindex,5,FALSE),2),IF(AND($E193&lt;&gt;0,$F193&gt;0,YEAR($F193)&gt;=Preisindex!$A$6,YEAR(CD$4)&gt;=YEAR($F193),$K193="b"),ROUND(VLOOKUP(CI$4,Preisindex,3,FALSE)/VLOOKUP(YEAR($F193),Preisindex,3,FALSE),2),IF(AND($E193&lt;&gt;0,$F193&gt;0,YEAR($F193)&gt;=Preisindex!$A$6,YEAR(CD$4)&gt;=YEAR($F193),$K193="g"),ROUND(VLOOKUP(CI$4,Preisindex,4,FALSE)/VLOOKUP(YEAR($F193),Preisindex,4,FALSE),2),IF(AND($E193&lt;&gt;0,$F193&gt;0,YEAR($F193)&gt;=Preisindex!$A$6,YEAR(CD$4)&gt;=YEAR($F193),$K193="k"),ROUND(VLOOKUP(CI$4,Preisindex,2,FALSE)/VLOOKUP(YEAR($F193),Preisindex,2,FALSE),2),0)))))</f>
        <v>0</v>
      </c>
      <c r="CJ193" s="56">
        <f>IF(AND($E193&lt;&gt;0,$F193&gt;0,YEAR($F193)&lt;Preisindex!$A$6,YEAR(CD$4)&gt;=YEAR($F193),AND($K193&lt;&gt;"a",$K193&lt;&gt;"b",$K193&lt;&gt;"g",$K193&lt;&gt;"k")),1,IF(AND($E193&lt;&gt;0,$F193&gt;0,YEAR($F193)&lt;Preisindex!$A$6,YEAR(CD$4)&gt;=YEAR($F193),$K193="a"),ROUND(VLOOKUP(CI$4,Preisindex,5,FALSE)/VLOOKUP(Preisindex!$A$6,Preisindex,5,FALSE),2),IF(AND($E193&lt;&gt;0,$F193&gt;0,YEAR($F193)&lt;Preisindex!$A$6,YEAR(CD$4)&gt;=YEAR($F193),$K193="b"),ROUND(VLOOKUP(CI$4,Preisindex,3,FALSE)/VLOOKUP(Preisindex!$A$6,Preisindex,3,FALSE),2),IF(AND($E193&lt;&gt;0,$F193&gt;0,YEAR($F193)&lt;Preisindex!$A$6,YEAR(CD$4)&gt;=YEAR($F193),$K193="g"),ROUND(VLOOKUP(CI$4,Preisindex,4,FALSE)/VLOOKUP(Preisindex!$A$6,Preisindex,4,FALSE),2),IF(AND($E193&lt;&gt;0,$F193&gt;0,YEAR($F193)&lt;Preisindex!$A$6,YEAR(CD$4)&gt;=YEAR($F193),$K193="k"),ROUND(VLOOKUP(CI$4,Preisindex,2,FALSE)/VLOOKUP(Preisindex!$A$6,Preisindex,2,FALSE),2),0)))))</f>
        <v>0</v>
      </c>
      <c r="CK193" s="51">
        <f>IF(AND($E193&lt;&gt;0,$F193&gt;0,YEAR($F193)&lt;=CI$4,YEAR($F193)&gt;=Preisindex!$A$6),ROUND($E193*CI193,2),IF(AND($E193&lt;&gt;0,$F193&gt;0,YEAR($F193)&lt;=CI$4,YEAR($F193)&lt;Preisindex!$A$6),ROUND($E193*CJ193,2),0))</f>
        <v>0</v>
      </c>
      <c r="CL193" s="53">
        <f t="shared" si="516"/>
        <v>0</v>
      </c>
      <c r="CM193" s="51">
        <f t="shared" si="621"/>
        <v>0</v>
      </c>
      <c r="CN193" s="51">
        <f t="shared" si="594"/>
        <v>0</v>
      </c>
      <c r="CO193" s="51">
        <f t="shared" si="517"/>
        <v>0</v>
      </c>
      <c r="CP193" s="51">
        <f t="shared" si="595"/>
        <v>0</v>
      </c>
      <c r="CQ193" s="51">
        <f t="shared" si="518"/>
        <v>0</v>
      </c>
      <c r="CR193" s="51">
        <f t="shared" si="596"/>
        <v>0</v>
      </c>
      <c r="CS193" s="51">
        <f t="shared" si="519"/>
        <v>0</v>
      </c>
      <c r="CT193" s="51">
        <f t="shared" si="597"/>
        <v>0</v>
      </c>
      <c r="CU193" s="51">
        <f t="shared" si="520"/>
        <v>0</v>
      </c>
      <c r="CV193" s="51">
        <f t="shared" si="598"/>
        <v>0</v>
      </c>
      <c r="CW193" s="51">
        <f t="shared" si="521"/>
        <v>0</v>
      </c>
      <c r="CX193" s="54">
        <f t="shared" si="522"/>
        <v>0</v>
      </c>
      <c r="CY193" s="55">
        <f t="shared" si="523"/>
        <v>0</v>
      </c>
      <c r="CZ193" s="56">
        <f>IF(AND($E193&lt;&gt;0,$F193&gt;0,YEAR($F193)&gt;=Preisindex!$A$6,YEAR(CU$4)&gt;=YEAR($F193),AND($K193&lt;&gt;"a",$K193&lt;&gt;"b",$K193&lt;&gt;"g",$K193&lt;&gt;"k")),1,IF(AND($E193&lt;&gt;0,$F193&gt;0,YEAR($F193)&gt;=Preisindex!$A$6,YEAR(CU$4)&gt;=YEAR($F193),$K193="a"),ROUND(VLOOKUP(CZ$4,Preisindex,5,FALSE)/VLOOKUP(YEAR($F193),Preisindex,5,FALSE),2),IF(AND($E193&lt;&gt;0,$F193&gt;0,YEAR($F193)&gt;=Preisindex!$A$6,YEAR(CU$4)&gt;=YEAR($F193),$K193="b"),ROUND(VLOOKUP(CZ$4,Preisindex,3,FALSE)/VLOOKUP(YEAR($F193),Preisindex,3,FALSE),2),IF(AND($E193&lt;&gt;0,$F193&gt;0,YEAR($F193)&gt;=Preisindex!$A$6,YEAR(CU$4)&gt;=YEAR($F193),$K193="g"),ROUND(VLOOKUP(CZ$4,Preisindex,4,FALSE)/VLOOKUP(YEAR($F193),Preisindex,4,FALSE),2),IF(AND($E193&lt;&gt;0,$F193&gt;0,YEAR($F193)&gt;=Preisindex!$A$6,YEAR(CU$4)&gt;=YEAR($F193),$K193="k"),ROUND(VLOOKUP(CZ$4,Preisindex,2,FALSE)/VLOOKUP(YEAR($F193),Preisindex,2,FALSE),2),0)))))</f>
        <v>0</v>
      </c>
      <c r="DA193" s="56">
        <f>IF(AND($E193&lt;&gt;0,$F193&gt;0,YEAR($F193)&lt;Preisindex!$A$6,YEAR(CU$4)&gt;=YEAR($F193),AND($K193&lt;&gt;"a",$K193&lt;&gt;"b",$K193&lt;&gt;"g",$K193&lt;&gt;"k")),1,IF(AND($E193&lt;&gt;0,$F193&gt;0,YEAR($F193)&lt;Preisindex!$A$6,YEAR(CU$4)&gt;=YEAR($F193),$K193="a"),ROUND(VLOOKUP(CZ$4,Preisindex,5,FALSE)/VLOOKUP(Preisindex!$A$6,Preisindex,5,FALSE),2),IF(AND($E193&lt;&gt;0,$F193&gt;0,YEAR($F193)&lt;Preisindex!$A$6,YEAR(CU$4)&gt;=YEAR($F193),$K193="b"),ROUND(VLOOKUP(CZ$4,Preisindex,3,FALSE)/VLOOKUP(Preisindex!$A$6,Preisindex,3,FALSE),2),IF(AND($E193&lt;&gt;0,$F193&gt;0,YEAR($F193)&lt;Preisindex!$A$6,YEAR(CU$4)&gt;=YEAR($F193),$K193="g"),ROUND(VLOOKUP(CZ$4,Preisindex,4,FALSE)/VLOOKUP(Preisindex!$A$6,Preisindex,4,FALSE),2),IF(AND($E193&lt;&gt;0,$F193&gt;0,YEAR($F193)&lt;Preisindex!$A$6,YEAR(CU$4)&gt;=YEAR($F193),$K193="k"),ROUND(VLOOKUP(CZ$4,Preisindex,2,FALSE)/VLOOKUP(Preisindex!$A$6,Preisindex,2,FALSE),2),0)))))</f>
        <v>0</v>
      </c>
      <c r="DB193" s="51">
        <f>IF(AND($E193&lt;&gt;0,$F193&gt;0,YEAR($F193)&lt;=CZ$4,YEAR($F193)&gt;=Preisindex!$A$6),ROUND($E193*CZ193,2),IF(AND($E193&lt;&gt;0,$F193&gt;0,YEAR($F193)&lt;=CZ$4,YEAR($F193)&lt;Preisindex!$A$6),ROUND($E193*DA193,2),0))</f>
        <v>0</v>
      </c>
      <c r="DC193" s="53">
        <f t="shared" si="524"/>
        <v>0</v>
      </c>
      <c r="DD193" s="51">
        <f t="shared" si="622"/>
        <v>0</v>
      </c>
      <c r="DE193" s="51">
        <f t="shared" si="599"/>
        <v>0</v>
      </c>
      <c r="DF193" s="51">
        <f t="shared" si="526"/>
        <v>0</v>
      </c>
      <c r="DG193" s="51">
        <f t="shared" si="600"/>
        <v>0</v>
      </c>
      <c r="DH193" s="51">
        <f t="shared" si="527"/>
        <v>0</v>
      </c>
      <c r="DI193" s="51">
        <f t="shared" si="601"/>
        <v>0</v>
      </c>
      <c r="DJ193" s="51">
        <f t="shared" si="528"/>
        <v>0</v>
      </c>
      <c r="DK193" s="51">
        <f t="shared" si="602"/>
        <v>0</v>
      </c>
      <c r="DL193" s="51">
        <f t="shared" si="529"/>
        <v>0</v>
      </c>
      <c r="DM193" s="51">
        <f t="shared" si="603"/>
        <v>0</v>
      </c>
      <c r="DN193" s="51">
        <f t="shared" si="530"/>
        <v>0</v>
      </c>
      <c r="DO193" s="54">
        <f t="shared" si="531"/>
        <v>0</v>
      </c>
      <c r="DP193" s="55">
        <f t="shared" si="532"/>
        <v>0</v>
      </c>
      <c r="DQ193" s="56">
        <f>IF(AND($E193&lt;&gt;0,$F193&gt;0,YEAR($F193)&gt;=Preisindex!$A$6,YEAR(DL$4)&gt;=YEAR($F193),AND($K193&lt;&gt;"a",$K193&lt;&gt;"b",$K193&lt;&gt;"g",$K193&lt;&gt;"k")),1,IF(AND($E193&lt;&gt;0,$F193&gt;0,YEAR($F193)&gt;=Preisindex!$A$6,YEAR(DL$4)&gt;=YEAR($F193),$K193="a"),ROUND(VLOOKUP(DQ$4,Preisindex,5,FALSE)/VLOOKUP(YEAR($F193),Preisindex,5,FALSE),2),IF(AND($E193&lt;&gt;0,$F193&gt;0,YEAR($F193)&gt;=Preisindex!$A$6,YEAR(DL$4)&gt;=YEAR($F193),$K193="b"),ROUND(VLOOKUP(DQ$4,Preisindex,3,FALSE)/VLOOKUP(YEAR($F193),Preisindex,3,FALSE),2),IF(AND($E193&lt;&gt;0,$F193&gt;0,YEAR($F193)&gt;=Preisindex!$A$6,YEAR(DL$4)&gt;=YEAR($F193),$K193="g"),ROUND(VLOOKUP(DQ$4,Preisindex,4,FALSE)/VLOOKUP(YEAR($F193),Preisindex,4,FALSE),2),IF(AND($E193&lt;&gt;0,$F193&gt;0,YEAR($F193)&gt;=Preisindex!$A$6,YEAR(DL$4)&gt;=YEAR($F193),$K193="k"),ROUND(VLOOKUP(DQ$4,Preisindex,2,FALSE)/VLOOKUP(YEAR($F193),Preisindex,2,FALSE),2),0)))))</f>
        <v>0</v>
      </c>
      <c r="DR193" s="56">
        <f>IF(AND($E193&lt;&gt;0,$F193&gt;0,YEAR($F193)&lt;Preisindex!$A$6,YEAR(DL$4)&gt;=YEAR($F193),AND($K193&lt;&gt;"a",$K193&lt;&gt;"b",$K193&lt;&gt;"g",$K193&lt;&gt;"k")),1,IF(AND($E193&lt;&gt;0,$F193&gt;0,YEAR($F193)&lt;Preisindex!$A$6,YEAR(DL$4)&gt;=YEAR($F193),$K193="a"),ROUND(VLOOKUP(DQ$4,Preisindex,5,FALSE)/VLOOKUP(Preisindex!$A$6,Preisindex,5,FALSE),2),IF(AND($E193&lt;&gt;0,$F193&gt;0,YEAR($F193)&lt;Preisindex!$A$6,YEAR(DL$4)&gt;=YEAR($F193),$K193="b"),ROUND(VLOOKUP(DQ$4,Preisindex,3,FALSE)/VLOOKUP(Preisindex!$A$6,Preisindex,3,FALSE),2),IF(AND($E193&lt;&gt;0,$F193&gt;0,YEAR($F193)&lt;Preisindex!$A$6,YEAR(DL$4)&gt;=YEAR($F193),$K193="g"),ROUND(VLOOKUP(DQ$4,Preisindex,4,FALSE)/VLOOKUP(Preisindex!$A$6,Preisindex,4,FALSE),2),IF(AND($E193&lt;&gt;0,$F193&gt;0,YEAR($F193)&lt;Preisindex!$A$6,YEAR(DL$4)&gt;=YEAR($F193),$K193="k"),ROUND(VLOOKUP(DQ$4,Preisindex,2,FALSE)/VLOOKUP(Preisindex!$A$6,Preisindex,2,FALSE),2),0)))))</f>
        <v>0</v>
      </c>
      <c r="DS193" s="51">
        <f>IF(AND($E193&lt;&gt;0,$F193&gt;0,YEAR($F193)&lt;=DQ$4,YEAR($F193)&gt;=Preisindex!$A$6),ROUND($E193*DQ193,2),IF(AND($E193&lt;&gt;0,$F193&gt;0,YEAR($F193)&lt;=DQ$4,YEAR($F193)&lt;Preisindex!$A$6),ROUND($E193*DR193,2),0))</f>
        <v>0</v>
      </c>
      <c r="DT193" s="53">
        <f t="shared" si="533"/>
        <v>0</v>
      </c>
      <c r="DU193" s="51">
        <f t="shared" si="622"/>
        <v>0</v>
      </c>
      <c r="DV193" s="51">
        <f t="shared" si="604"/>
        <v>0</v>
      </c>
      <c r="DW193" s="51">
        <f t="shared" si="534"/>
        <v>0</v>
      </c>
      <c r="DX193" s="51">
        <f t="shared" si="605"/>
        <v>0</v>
      </c>
      <c r="DY193" s="51">
        <f t="shared" si="535"/>
        <v>0</v>
      </c>
      <c r="DZ193" s="51">
        <f t="shared" si="606"/>
        <v>0</v>
      </c>
      <c r="EA193" s="51">
        <f t="shared" si="536"/>
        <v>0</v>
      </c>
      <c r="EB193" s="51">
        <f t="shared" si="607"/>
        <v>0</v>
      </c>
      <c r="EC193" s="51">
        <f t="shared" si="537"/>
        <v>0</v>
      </c>
      <c r="ED193" s="51">
        <f t="shared" si="608"/>
        <v>0</v>
      </c>
      <c r="EE193" s="51">
        <f t="shared" si="538"/>
        <v>0</v>
      </c>
      <c r="EF193" s="54">
        <f t="shared" si="539"/>
        <v>0</v>
      </c>
      <c r="EG193" s="55">
        <f t="shared" si="540"/>
        <v>0</v>
      </c>
      <c r="EH193" s="56">
        <f>IF(AND($E193&lt;&gt;0,$F193&gt;0,YEAR($F193)&gt;=Preisindex!$A$6,YEAR(EC$4)&gt;=YEAR($F193),AND($K193&lt;&gt;"a",$K193&lt;&gt;"b",$K193&lt;&gt;"g",$K193&lt;&gt;"k")),1,IF(AND($E193&lt;&gt;0,$F193&gt;0,YEAR($F193)&gt;=Preisindex!$A$6,YEAR(EC$4)&gt;=YEAR($F193),$K193="a"),ROUND(VLOOKUP(EH$4,Preisindex,5,FALSE)/VLOOKUP(YEAR($F193),Preisindex,5,FALSE),2),IF(AND($E193&lt;&gt;0,$F193&gt;0,YEAR($F193)&gt;=Preisindex!$A$6,YEAR(EC$4)&gt;=YEAR($F193),$K193="b"),ROUND(VLOOKUP(EH$4,Preisindex,3,FALSE)/VLOOKUP(YEAR($F193),Preisindex,3,FALSE),2),IF(AND($E193&lt;&gt;0,$F193&gt;0,YEAR($F193)&gt;=Preisindex!$A$6,YEAR(EC$4)&gt;=YEAR($F193),$K193="g"),ROUND(VLOOKUP(EH$4,Preisindex,4,FALSE)/VLOOKUP(YEAR($F193),Preisindex,4,FALSE),2),IF(AND($E193&lt;&gt;0,$F193&gt;0,YEAR($F193)&gt;=Preisindex!$A$6,YEAR(EC$4)&gt;=YEAR($F193),$K193="k"),ROUND(VLOOKUP(EH$4,Preisindex,2,FALSE)/VLOOKUP(YEAR($F193),Preisindex,2,FALSE),2),0)))))</f>
        <v>0</v>
      </c>
      <c r="EI193" s="56">
        <f>IF(AND($E193&lt;&gt;0,$F193&gt;0,YEAR($F193)&lt;Preisindex!$A$6,YEAR(EC$4)&gt;=YEAR($F193),AND($K193&lt;&gt;"a",$K193&lt;&gt;"b",$K193&lt;&gt;"g",$K193&lt;&gt;"k")),1,IF(AND($E193&lt;&gt;0,$F193&gt;0,YEAR($F193)&lt;Preisindex!$A$6,YEAR(EC$4)&gt;=YEAR($F193),$K193="a"),ROUND(VLOOKUP(EH$4,Preisindex,5,FALSE)/VLOOKUP(Preisindex!$A$6,Preisindex,5,FALSE),2),IF(AND($E193&lt;&gt;0,$F193&gt;0,YEAR($F193)&lt;Preisindex!$A$6,YEAR(EC$4)&gt;=YEAR($F193),$K193="b"),ROUND(VLOOKUP(EH$4,Preisindex,3,FALSE)/VLOOKUP(Preisindex!$A$6,Preisindex,3,FALSE),2),IF(AND($E193&lt;&gt;0,$F193&gt;0,YEAR($F193)&lt;Preisindex!$A$6,YEAR(EC$4)&gt;=YEAR($F193),$K193="g"),ROUND(VLOOKUP(EH$4,Preisindex,4,FALSE)/VLOOKUP(Preisindex!$A$6,Preisindex,4,FALSE),2),IF(AND($E193&lt;&gt;0,$F193&gt;0,YEAR($F193)&lt;Preisindex!$A$6,YEAR(EC$4)&gt;=YEAR($F193),$K193="k"),ROUND(VLOOKUP(EH$4,Preisindex,2,FALSE)/VLOOKUP(Preisindex!$A$6,Preisindex,2,FALSE),2),0)))))</f>
        <v>0</v>
      </c>
      <c r="EJ193" s="51">
        <f>IF(AND($E193&lt;&gt;0,$F193&gt;0,YEAR($F193)&lt;=EH$4,YEAR($F193)&gt;=Preisindex!$A$6),ROUND($E193*EH193,2),IF(AND($E193&lt;&gt;0,$F193&gt;0,YEAR($F193)&lt;=EH$4,YEAR($F193)&lt;Preisindex!$A$6),ROUND($E193*EI193,2),0))</f>
        <v>0</v>
      </c>
      <c r="EK193" s="53">
        <f t="shared" si="541"/>
        <v>0</v>
      </c>
      <c r="EL193" s="51">
        <f t="shared" si="622"/>
        <v>0</v>
      </c>
      <c r="EM193" s="51">
        <f t="shared" si="609"/>
        <v>0</v>
      </c>
      <c r="EN193" s="51">
        <f t="shared" si="542"/>
        <v>0</v>
      </c>
      <c r="EO193" s="51">
        <f t="shared" si="610"/>
        <v>0</v>
      </c>
      <c r="EP193" s="51">
        <f t="shared" si="543"/>
        <v>0</v>
      </c>
      <c r="EQ193" s="51">
        <f t="shared" si="611"/>
        <v>0</v>
      </c>
      <c r="ER193" s="51">
        <f t="shared" si="544"/>
        <v>0</v>
      </c>
      <c r="ES193" s="51">
        <f t="shared" si="612"/>
        <v>0</v>
      </c>
      <c r="ET193" s="51">
        <f t="shared" si="545"/>
        <v>0</v>
      </c>
      <c r="EU193" s="51">
        <f t="shared" si="613"/>
        <v>0</v>
      </c>
      <c r="EV193" s="51">
        <f t="shared" si="546"/>
        <v>0</v>
      </c>
      <c r="EW193" s="54">
        <f t="shared" si="547"/>
        <v>0</v>
      </c>
      <c r="EX193" s="55">
        <f t="shared" si="548"/>
        <v>0</v>
      </c>
      <c r="EY193" s="56">
        <f>IF(AND($E193&lt;&gt;0,$F193&gt;0,YEAR($F193)&gt;=Preisindex!$A$6,YEAR(ET$4)&gt;=YEAR($F193),AND($K193&lt;&gt;"a",$K193&lt;&gt;"b",$K193&lt;&gt;"g",$K193&lt;&gt;"k")),1,IF(AND($E193&lt;&gt;0,$F193&gt;0,YEAR($F193)&gt;=Preisindex!$A$6,YEAR(ET$4)&gt;=YEAR($F193),$K193="a"),ROUND(VLOOKUP(EY$4,Preisindex,5,FALSE)/VLOOKUP(YEAR($F193),Preisindex,5,FALSE),2),IF(AND($E193&lt;&gt;0,$F193&gt;0,YEAR($F193)&gt;=Preisindex!$A$6,YEAR(ET$4)&gt;=YEAR($F193),$K193="b"),ROUND(VLOOKUP(EY$4,Preisindex,3,FALSE)/VLOOKUP(YEAR($F193),Preisindex,3,FALSE),2),IF(AND($E193&lt;&gt;0,$F193&gt;0,YEAR($F193)&gt;=Preisindex!$A$6,YEAR(ET$4)&gt;=YEAR($F193),$K193="g"),ROUND(VLOOKUP(EY$4,Preisindex,4,FALSE)/VLOOKUP(YEAR($F193),Preisindex,4,FALSE),2),IF(AND($E193&lt;&gt;0,$F193&gt;0,YEAR($F193)&gt;=Preisindex!$A$6,YEAR(ET$4)&gt;=YEAR($F193),$K193="k"),ROUND(VLOOKUP(EY$4,Preisindex,2,FALSE)/VLOOKUP(YEAR($F193),Preisindex,2,FALSE),2),0)))))</f>
        <v>0</v>
      </c>
      <c r="EZ193" s="56">
        <f>IF(AND($E193&lt;&gt;0,$F193&gt;0,YEAR($F193)&lt;Preisindex!$A$6,YEAR(ET$4)&gt;=YEAR($F193),AND($K193&lt;&gt;"a",$K193&lt;&gt;"b",$K193&lt;&gt;"g",$K193&lt;&gt;"k")),1,IF(AND($E193&lt;&gt;0,$F193&gt;0,YEAR($F193)&lt;Preisindex!$A$6,YEAR(ET$4)&gt;=YEAR($F193),$K193="a"),ROUND(VLOOKUP(EY$4,Preisindex,5,FALSE)/VLOOKUP(Preisindex!$A$6,Preisindex,5,FALSE),2),IF(AND($E193&lt;&gt;0,$F193&gt;0,YEAR($F193)&lt;Preisindex!$A$6,YEAR(ET$4)&gt;=YEAR($F193),$K193="b"),ROUND(VLOOKUP(EY$4,Preisindex,3,FALSE)/VLOOKUP(Preisindex!$A$6,Preisindex,3,FALSE),2),IF(AND($E193&lt;&gt;0,$F193&gt;0,YEAR($F193)&lt;Preisindex!$A$6,YEAR(ET$4)&gt;=YEAR($F193),$K193="g"),ROUND(VLOOKUP(EY$4,Preisindex,4,FALSE)/VLOOKUP(Preisindex!$A$6,Preisindex,4,FALSE),2),IF(AND($E193&lt;&gt;0,$F193&gt;0,YEAR($F193)&lt;Preisindex!$A$6,YEAR(ET$4)&gt;=YEAR($F193),$K193="k"),ROUND(VLOOKUP(EY$4,Preisindex,2,FALSE)/VLOOKUP(Preisindex!$A$6,Preisindex,2,FALSE),2),0)))))</f>
        <v>0</v>
      </c>
      <c r="FA193" s="51">
        <f>IF(AND($E193&lt;&gt;0,$F193&gt;0,YEAR($F193)&lt;=EY$4,YEAR($F193)&gt;=Preisindex!$A$6),ROUND($E193*EY193,2),IF(AND($E193&lt;&gt;0,$F193&gt;0,YEAR($F193)&lt;=EY$4,YEAR($F193)&lt;Preisindex!$A$6),ROUND($E193*EZ193,2),0))</f>
        <v>0</v>
      </c>
      <c r="FB193" s="53">
        <f t="shared" si="549"/>
        <v>0</v>
      </c>
      <c r="FC193" s="51">
        <f t="shared" si="622"/>
        <v>0</v>
      </c>
      <c r="FD193" s="51">
        <f t="shared" si="614"/>
        <v>0</v>
      </c>
      <c r="FE193" s="51">
        <f t="shared" si="550"/>
        <v>0</v>
      </c>
      <c r="FF193" s="51">
        <f t="shared" si="615"/>
        <v>0</v>
      </c>
      <c r="FG193" s="51">
        <f t="shared" si="551"/>
        <v>0</v>
      </c>
      <c r="FH193" s="51">
        <f t="shared" si="616"/>
        <v>0</v>
      </c>
      <c r="FI193" s="51">
        <f t="shared" si="552"/>
        <v>0</v>
      </c>
      <c r="FJ193" s="51">
        <f t="shared" si="617"/>
        <v>0</v>
      </c>
      <c r="FK193" s="51">
        <f t="shared" si="553"/>
        <v>0</v>
      </c>
      <c r="FL193" s="51">
        <f t="shared" si="618"/>
        <v>0</v>
      </c>
      <c r="FM193" s="51">
        <f t="shared" si="554"/>
        <v>0</v>
      </c>
      <c r="FN193" s="54">
        <f t="shared" si="555"/>
        <v>0</v>
      </c>
      <c r="FO193" s="55">
        <f t="shared" si="556"/>
        <v>0</v>
      </c>
      <c r="FP193" s="56">
        <f>IF(AND($E193&lt;&gt;0,$F193&gt;0,YEAR($F193)&gt;=Preisindex!$A$6,YEAR(FK$4)&gt;=YEAR($F193),AND($K193&lt;&gt;"a",$K193&lt;&gt;"b",$K193&lt;&gt;"g",$K193&lt;&gt;"k")),1,IF(AND($E193&lt;&gt;0,$F193&gt;0,YEAR($F193)&gt;=Preisindex!$A$6,YEAR(FK$4)&gt;=YEAR($F193),$K193="a"),ROUND(VLOOKUP(FP$4,Preisindex,5,FALSE)/VLOOKUP(YEAR($F193),Preisindex,5,FALSE),2),IF(AND($E193&lt;&gt;0,$F193&gt;0,YEAR($F193)&gt;=Preisindex!$A$6,YEAR(FK$4)&gt;=YEAR($F193),$K193="b"),ROUND(VLOOKUP(FP$4,Preisindex,3,FALSE)/VLOOKUP(YEAR($F193),Preisindex,3,FALSE),2),IF(AND($E193&lt;&gt;0,$F193&gt;0,YEAR($F193)&gt;=Preisindex!$A$6,YEAR(FK$4)&gt;=YEAR($F193),$K193="g"),ROUND(VLOOKUP(FP$4,Preisindex,4,FALSE)/VLOOKUP(YEAR($F193),Preisindex,4,FALSE),2),IF(AND($E193&lt;&gt;0,$F193&gt;0,YEAR($F193)&gt;=Preisindex!$A$6,YEAR(FK$4)&gt;=YEAR($F193),$K193="k"),ROUND(VLOOKUP(FP$4,Preisindex,2,FALSE)/VLOOKUP(YEAR($F193),Preisindex,2,FALSE),2),0)))))</f>
        <v>0</v>
      </c>
      <c r="FQ193" s="56">
        <f>IF(AND($E193&lt;&gt;0,$F193&gt;0,YEAR($F193)&lt;Preisindex!$A$6,YEAR(FK$4)&gt;=YEAR($F193),AND($K193&lt;&gt;"a",$K193&lt;&gt;"b",$K193&lt;&gt;"g",$K193&lt;&gt;"k")),1,IF(AND($E193&lt;&gt;0,$F193&gt;0,YEAR($F193)&lt;Preisindex!$A$6,YEAR(FK$4)&gt;=YEAR($F193),$K193="a"),ROUND(VLOOKUP(FP$4,Preisindex,5,FALSE)/VLOOKUP(Preisindex!$A$6,Preisindex,5,FALSE),2),IF(AND($E193&lt;&gt;0,$F193&gt;0,YEAR($F193)&lt;Preisindex!$A$6,YEAR(FK$4)&gt;=YEAR($F193),$K193="b"),ROUND(VLOOKUP(FP$4,Preisindex,3,FALSE)/VLOOKUP(Preisindex!$A$6,Preisindex,3,FALSE),2),IF(AND($E193&lt;&gt;0,$F193&gt;0,YEAR($F193)&lt;Preisindex!$A$6,YEAR(FK$4)&gt;=YEAR($F193),$K193="g"),ROUND(VLOOKUP(FP$4,Preisindex,4,FALSE)/VLOOKUP(Preisindex!$A$6,Preisindex,4,FALSE),2),IF(AND($E193&lt;&gt;0,$F193&gt;0,YEAR($F193)&lt;Preisindex!$A$6,YEAR(FK$4)&gt;=YEAR($F193),$K193="k"),ROUND(VLOOKUP(FP$4,Preisindex,2,FALSE)/VLOOKUP(Preisindex!$A$6,Preisindex,2,FALSE),2),0)))))</f>
        <v>0</v>
      </c>
      <c r="FR193" s="51">
        <f>IF(AND($E193&lt;&gt;0,$F193&gt;0,YEAR($F193)&lt;=FP$4,YEAR($F193)&gt;=Preisindex!$A$6),ROUND($E193*FP193,2),IF(AND($E193&lt;&gt;0,$F193&gt;0,YEAR($F193)&lt;=FP$4,YEAR($F193)&lt;Preisindex!$A$6),ROUND($E193*FQ193,2),0))</f>
        <v>0</v>
      </c>
      <c r="FS193" s="53">
        <f t="shared" si="557"/>
        <v>0</v>
      </c>
    </row>
    <row r="194" spans="1:175" x14ac:dyDescent="0.3">
      <c r="A194" s="93"/>
      <c r="B194" s="94"/>
      <c r="C194" s="94"/>
      <c r="D194" s="95"/>
      <c r="E194" s="99"/>
      <c r="F194" s="97"/>
      <c r="G194" s="98"/>
      <c r="H194" s="620"/>
      <c r="I194" s="621"/>
      <c r="J194" s="194"/>
      <c r="K194" s="630"/>
      <c r="L194" s="49">
        <f t="shared" si="558"/>
        <v>0</v>
      </c>
      <c r="M194" s="50">
        <f t="shared" si="559"/>
        <v>0</v>
      </c>
      <c r="N194" s="51">
        <f t="shared" si="560"/>
        <v>0</v>
      </c>
      <c r="O194" s="51"/>
      <c r="P194" s="51">
        <f t="shared" si="561"/>
        <v>0</v>
      </c>
      <c r="Q194" s="52"/>
      <c r="R194" s="52"/>
      <c r="S194" s="52"/>
      <c r="T194" s="52"/>
      <c r="U194" s="52"/>
      <c r="V194" s="53">
        <f t="shared" si="562"/>
        <v>0</v>
      </c>
      <c r="W194" s="51">
        <f t="shared" si="563"/>
        <v>0</v>
      </c>
      <c r="X194" s="51">
        <f t="shared" si="564"/>
        <v>0</v>
      </c>
      <c r="Y194" s="51">
        <f t="shared" si="565"/>
        <v>0</v>
      </c>
      <c r="Z194" s="51">
        <f t="shared" si="566"/>
        <v>0</v>
      </c>
      <c r="AA194" s="51">
        <f t="shared" si="567"/>
        <v>0</v>
      </c>
      <c r="AB194" s="51">
        <f t="shared" si="568"/>
        <v>0</v>
      </c>
      <c r="AC194" s="51">
        <f t="shared" si="569"/>
        <v>0</v>
      </c>
      <c r="AD194" s="51">
        <f t="shared" si="570"/>
        <v>0</v>
      </c>
      <c r="AE194" s="51">
        <f t="shared" si="571"/>
        <v>0</v>
      </c>
      <c r="AF194" s="51">
        <f t="shared" si="572"/>
        <v>0</v>
      </c>
      <c r="AG194" s="51">
        <f t="shared" si="573"/>
        <v>0</v>
      </c>
      <c r="AH194" s="54">
        <f t="shared" si="574"/>
        <v>0</v>
      </c>
      <c r="AI194" s="55">
        <f t="shared" si="575"/>
        <v>0</v>
      </c>
      <c r="AJ194" s="56">
        <f>IF(AND($E194&lt;&gt;0,$F194&gt;0,YEAR($F194)&gt;=Preisindex!$A$6,YEAR(AE$4)&gt;=YEAR($F194),AND($K194&lt;&gt;"a",$K194&lt;&gt;"b",$K194&lt;&gt;"g",$K194&lt;&gt;"k")),1,IF(AND($E194&lt;&gt;0,$F194&gt;0,YEAR($F194)&gt;=Preisindex!$A$6,YEAR(AE$4)&gt;=YEAR($F194),$K194="a"),ROUND(VLOOKUP(AJ$4,Preisindex,5,FALSE)/VLOOKUP(YEAR($F194),Preisindex,5,FALSE),2),IF(AND($E194&lt;&gt;0,$F194&gt;0,YEAR($F194)&gt;=Preisindex!$A$6,YEAR(AE$4)&gt;=YEAR($F194),$K194="b"),ROUND(VLOOKUP(AJ$4,Preisindex,3,FALSE)/VLOOKUP(YEAR($F194),Preisindex,3,FALSE),2),IF(AND($E194&lt;&gt;0,$F194&gt;0,YEAR($F194)&gt;=Preisindex!$A$6,YEAR(AE$4)&gt;=YEAR($F194),$K194="g"),ROUND(VLOOKUP(AJ$4,Preisindex,4,FALSE)/VLOOKUP(YEAR($F194),Preisindex,4,FALSE),2),IF(AND($E194&lt;&gt;0,$F194&gt;0,YEAR($F194)&gt;=Preisindex!$A$6,YEAR(AE$4)&gt;=YEAR($F194),$K194="k"),ROUND(VLOOKUP(AJ$4,Preisindex,2,FALSE)/VLOOKUP(YEAR($F194),Preisindex,2,FALSE),2),0)))))</f>
        <v>0</v>
      </c>
      <c r="AK194" s="56">
        <f>IF(AND($E194&lt;&gt;0,$F194&gt;0,YEAR($F194)&lt;Preisindex!$A$6,YEAR(AE$4)&gt;=YEAR($F194),AND($K194&lt;&gt;"a",$K194&lt;&gt;"b",$K194&lt;&gt;"g",$K194&lt;&gt;"k")),1,IF(AND($E194&lt;&gt;0,$F194&gt;0,YEAR($F194)&lt;Preisindex!$A$6,YEAR(AE$4)&gt;=YEAR($F194),$K194="a"),ROUND(VLOOKUP(AJ$4,Preisindex,5,FALSE)/VLOOKUP(Preisindex!$A$6,Preisindex,5,FALSE),2),IF(AND($E194&lt;&gt;0,$F194&gt;0,YEAR($F194)&lt;Preisindex!$A$6,YEAR(AE$4)&gt;=YEAR($F194),$K194="b"),ROUND(VLOOKUP(AJ$4,Preisindex,3,FALSE)/VLOOKUP(Preisindex!$A$6,Preisindex,3,FALSE),2),IF(AND($E194&lt;&gt;0,$F194&gt;0,YEAR($F194)&lt;Preisindex!$A$6,YEAR(AE$4)&gt;=YEAR($F194),$K194="g"),ROUND(VLOOKUP(AJ$4,Preisindex,4,FALSE)/VLOOKUP(Preisindex!$A$6,Preisindex,4,FALSE),2),IF(AND($E194&lt;&gt;0,$F194&gt;0,YEAR($F194)&lt;Preisindex!$A$6,YEAR(AE$4)&gt;=YEAR($F194),$K194="k"),ROUND(VLOOKUP(AJ$4,Preisindex,2,FALSE)/VLOOKUP(Preisindex!$A$6,Preisindex,2,FALSE),2),0)))))</f>
        <v>0</v>
      </c>
      <c r="AL194" s="51">
        <f>IF(AND($E194&lt;&gt;0,$F194&gt;0,YEAR($F194)&lt;=AJ$4,YEAR($F194)&gt;=Preisindex!$A$6),ROUND($E194*AJ194,2),IF(AND($E194&lt;&gt;0,$F194&gt;0,YEAR($F194)&lt;=AJ$4,YEAR($F194)&lt;Preisindex!$A$6),ROUND($E194*AK194,2),0))</f>
        <v>0</v>
      </c>
      <c r="AM194" s="53">
        <f t="shared" si="576"/>
        <v>0</v>
      </c>
      <c r="AN194" s="51">
        <f t="shared" si="621"/>
        <v>0</v>
      </c>
      <c r="AO194" s="51">
        <f t="shared" si="579"/>
        <v>0</v>
      </c>
      <c r="AP194" s="51">
        <f t="shared" si="493"/>
        <v>0</v>
      </c>
      <c r="AQ194" s="51">
        <f t="shared" si="580"/>
        <v>0</v>
      </c>
      <c r="AR194" s="51">
        <f t="shared" si="494"/>
        <v>0</v>
      </c>
      <c r="AS194" s="51">
        <f t="shared" si="581"/>
        <v>0</v>
      </c>
      <c r="AT194" s="51">
        <f t="shared" si="495"/>
        <v>0</v>
      </c>
      <c r="AU194" s="51">
        <f t="shared" si="582"/>
        <v>0</v>
      </c>
      <c r="AV194" s="51">
        <f t="shared" si="496"/>
        <v>0</v>
      </c>
      <c r="AW194" s="51">
        <f t="shared" si="583"/>
        <v>0</v>
      </c>
      <c r="AX194" s="51">
        <f t="shared" si="497"/>
        <v>0</v>
      </c>
      <c r="AY194" s="54">
        <f t="shared" si="498"/>
        <v>0</v>
      </c>
      <c r="AZ194" s="55">
        <f t="shared" si="499"/>
        <v>0</v>
      </c>
      <c r="BA194" s="56">
        <f>IF(AND($E194&lt;&gt;0,$F194&gt;0,YEAR($F194)&gt;=Preisindex!$A$6,YEAR(AV$4)&gt;=YEAR($F194),AND($K194&lt;&gt;"a",$K194&lt;&gt;"b",$K194&lt;&gt;"g",$K194&lt;&gt;"k")),1,IF(AND($E194&lt;&gt;0,$F194&gt;0,YEAR($F194)&gt;=Preisindex!$A$6,YEAR(AV$4)&gt;=YEAR($F194),$K194="a"),ROUND(VLOOKUP(BA$4,Preisindex,5,FALSE)/VLOOKUP(YEAR($F194),Preisindex,5,FALSE),2),IF(AND($E194&lt;&gt;0,$F194&gt;0,YEAR($F194)&gt;=Preisindex!$A$6,YEAR(AV$4)&gt;=YEAR($F194),$K194="b"),ROUND(VLOOKUP(BA$4,Preisindex,3,FALSE)/VLOOKUP(YEAR($F194),Preisindex,3,FALSE),2),IF(AND($E194&lt;&gt;0,$F194&gt;0,YEAR($F194)&gt;=Preisindex!$A$6,YEAR(AV$4)&gt;=YEAR($F194),$K194="g"),ROUND(VLOOKUP(BA$4,Preisindex,4,FALSE)/VLOOKUP(YEAR($F194),Preisindex,4,FALSE),2),IF(AND($E194&lt;&gt;0,$F194&gt;0,YEAR($F194)&gt;=Preisindex!$A$6,YEAR(AV$4)&gt;=YEAR($F194),$K194="k"),ROUND(VLOOKUP(BA$4,Preisindex,2,FALSE)/VLOOKUP(YEAR($F194),Preisindex,2,FALSE),2),0)))))</f>
        <v>0</v>
      </c>
      <c r="BB194" s="56">
        <f>IF(AND($E194&lt;&gt;0,$F194&gt;0,YEAR($F194)&lt;Preisindex!$A$6,YEAR(AV$4)&gt;=YEAR($F194),AND($K194&lt;&gt;"a",$K194&lt;&gt;"b",$K194&lt;&gt;"g",$K194&lt;&gt;"k")),1,IF(AND($E194&lt;&gt;0,$F194&gt;0,YEAR($F194)&lt;Preisindex!$A$6,YEAR(AV$4)&gt;=YEAR($F194),$K194="a"),ROUND(VLOOKUP(BA$4,Preisindex,5,FALSE)/VLOOKUP(Preisindex!$A$6,Preisindex,5,FALSE),2),IF(AND($E194&lt;&gt;0,$F194&gt;0,YEAR($F194)&lt;Preisindex!$A$6,YEAR(AV$4)&gt;=YEAR($F194),$K194="b"),ROUND(VLOOKUP(BA$4,Preisindex,3,FALSE)/VLOOKUP(Preisindex!$A$6,Preisindex,3,FALSE),2),IF(AND($E194&lt;&gt;0,$F194&gt;0,YEAR($F194)&lt;Preisindex!$A$6,YEAR(AV$4)&gt;=YEAR($F194),$K194="g"),ROUND(VLOOKUP(BA$4,Preisindex,4,FALSE)/VLOOKUP(Preisindex!$A$6,Preisindex,4,FALSE),2),IF(AND($E194&lt;&gt;0,$F194&gt;0,YEAR($F194)&lt;Preisindex!$A$6,YEAR(AV$4)&gt;=YEAR($F194),$K194="k"),ROUND(VLOOKUP(BA$4,Preisindex,2,FALSE)/VLOOKUP(Preisindex!$A$6,Preisindex,2,FALSE),2),0)))))</f>
        <v>0</v>
      </c>
      <c r="BC194" s="51">
        <f>IF(AND($E194&lt;&gt;0,$F194&gt;0,YEAR($F194)&lt;=BA$4,YEAR($F194)&gt;=Preisindex!$A$6),ROUND($E194*BA194,2),IF(AND($E194&lt;&gt;0,$F194&gt;0,YEAR($F194)&lt;=BA$4,YEAR($F194)&lt;Preisindex!$A$6),ROUND($E194*BB194,2),0))</f>
        <v>0</v>
      </c>
      <c r="BD194" s="53">
        <f t="shared" si="500"/>
        <v>0</v>
      </c>
      <c r="BE194" s="51">
        <f t="shared" si="621"/>
        <v>0</v>
      </c>
      <c r="BF194" s="51">
        <f t="shared" si="584"/>
        <v>0</v>
      </c>
      <c r="BG194" s="51">
        <f t="shared" si="501"/>
        <v>0</v>
      </c>
      <c r="BH194" s="51">
        <f t="shared" si="585"/>
        <v>0</v>
      </c>
      <c r="BI194" s="51">
        <f t="shared" si="502"/>
        <v>0</v>
      </c>
      <c r="BJ194" s="51">
        <f t="shared" si="586"/>
        <v>0</v>
      </c>
      <c r="BK194" s="51">
        <f t="shared" si="503"/>
        <v>0</v>
      </c>
      <c r="BL194" s="51">
        <f t="shared" si="587"/>
        <v>0</v>
      </c>
      <c r="BM194" s="51">
        <f t="shared" si="504"/>
        <v>0</v>
      </c>
      <c r="BN194" s="51">
        <f t="shared" si="588"/>
        <v>0</v>
      </c>
      <c r="BO194" s="51">
        <f t="shared" si="505"/>
        <v>0</v>
      </c>
      <c r="BP194" s="54">
        <f t="shared" si="506"/>
        <v>0</v>
      </c>
      <c r="BQ194" s="55">
        <f t="shared" si="507"/>
        <v>0</v>
      </c>
      <c r="BR194" s="56">
        <f>IF(AND($E194&lt;&gt;0,$F194&gt;0,YEAR($F194)&gt;=Preisindex!$A$6,YEAR(BM$4)&gt;=YEAR($F194),AND($K194&lt;&gt;"a",$K194&lt;&gt;"b",$K194&lt;&gt;"g",$K194&lt;&gt;"k")),1,IF(AND($E194&lt;&gt;0,$F194&gt;0,YEAR($F194)&gt;=Preisindex!$A$6,YEAR(BM$4)&gt;=YEAR($F194),$K194="a"),ROUND(VLOOKUP(BR$4,Preisindex,5,FALSE)/VLOOKUP(YEAR($F194),Preisindex,5,FALSE),2),IF(AND($E194&lt;&gt;0,$F194&gt;0,YEAR($F194)&gt;=Preisindex!$A$6,YEAR(BM$4)&gt;=YEAR($F194),$K194="b"),ROUND(VLOOKUP(BR$4,Preisindex,3,FALSE)/VLOOKUP(YEAR($F194),Preisindex,3,FALSE),2),IF(AND($E194&lt;&gt;0,$F194&gt;0,YEAR($F194)&gt;=Preisindex!$A$6,YEAR(BM$4)&gt;=YEAR($F194),$K194="g"),ROUND(VLOOKUP(BR$4,Preisindex,4,FALSE)/VLOOKUP(YEAR($F194),Preisindex,4,FALSE),2),IF(AND($E194&lt;&gt;0,$F194&gt;0,YEAR($F194)&gt;=Preisindex!$A$6,YEAR(BM$4)&gt;=YEAR($F194),$K194="k"),ROUND(VLOOKUP(BR$4,Preisindex,2,FALSE)/VLOOKUP(YEAR($F194),Preisindex,2,FALSE),2),0)))))</f>
        <v>0</v>
      </c>
      <c r="BS194" s="56">
        <f>IF(AND($E194&lt;&gt;0,$F194&gt;0,YEAR($F194)&lt;Preisindex!$A$6,YEAR(BM$4)&gt;=YEAR($F194),AND($K194&lt;&gt;"a",$K194&lt;&gt;"b",$K194&lt;&gt;"g",$K194&lt;&gt;"k")),1,IF(AND($E194&lt;&gt;0,$F194&gt;0,YEAR($F194)&lt;Preisindex!$A$6,YEAR(BM$4)&gt;=YEAR($F194),$K194="a"),ROUND(VLOOKUP(BR$4,Preisindex,5,FALSE)/VLOOKUP(Preisindex!$A$6,Preisindex,5,FALSE),2),IF(AND($E194&lt;&gt;0,$F194&gt;0,YEAR($F194)&lt;Preisindex!$A$6,YEAR(BM$4)&gt;=YEAR($F194),$K194="b"),ROUND(VLOOKUP(BR$4,Preisindex,3,FALSE)/VLOOKUP(Preisindex!$A$6,Preisindex,3,FALSE),2),IF(AND($E194&lt;&gt;0,$F194&gt;0,YEAR($F194)&lt;Preisindex!$A$6,YEAR(BM$4)&gt;=YEAR($F194),$K194="g"),ROUND(VLOOKUP(BR$4,Preisindex,4,FALSE)/VLOOKUP(Preisindex!$A$6,Preisindex,4,FALSE),2),IF(AND($E194&lt;&gt;0,$F194&gt;0,YEAR($F194)&lt;Preisindex!$A$6,YEAR(BM$4)&gt;=YEAR($F194),$K194="k"),ROUND(VLOOKUP(BR$4,Preisindex,2,FALSE)/VLOOKUP(Preisindex!$A$6,Preisindex,2,FALSE),2),0)))))</f>
        <v>0</v>
      </c>
      <c r="BT194" s="51">
        <f>IF(AND($E194&lt;&gt;0,$F194&gt;0,YEAR($F194)&lt;=BR$4,YEAR($F194)&gt;=Preisindex!$A$6),ROUND($E194*BR194,2),IF(AND($E194&lt;&gt;0,$F194&gt;0,YEAR($F194)&lt;=BR$4,YEAR($F194)&lt;Preisindex!$A$6),ROUND($E194*BS194,2),0))</f>
        <v>0</v>
      </c>
      <c r="BU194" s="53">
        <f t="shared" si="508"/>
        <v>0</v>
      </c>
      <c r="BV194" s="51">
        <f t="shared" si="621"/>
        <v>0</v>
      </c>
      <c r="BW194" s="51">
        <f t="shared" si="589"/>
        <v>0</v>
      </c>
      <c r="BX194" s="51">
        <f t="shared" si="509"/>
        <v>0</v>
      </c>
      <c r="BY194" s="51">
        <f t="shared" si="590"/>
        <v>0</v>
      </c>
      <c r="BZ194" s="51">
        <f t="shared" si="510"/>
        <v>0</v>
      </c>
      <c r="CA194" s="51">
        <f t="shared" si="591"/>
        <v>0</v>
      </c>
      <c r="CB194" s="51">
        <f t="shared" si="511"/>
        <v>0</v>
      </c>
      <c r="CC194" s="51">
        <f t="shared" si="592"/>
        <v>0</v>
      </c>
      <c r="CD194" s="51">
        <f t="shared" si="512"/>
        <v>0</v>
      </c>
      <c r="CE194" s="51">
        <f t="shared" si="593"/>
        <v>0</v>
      </c>
      <c r="CF194" s="51">
        <f t="shared" si="513"/>
        <v>0</v>
      </c>
      <c r="CG194" s="54">
        <f t="shared" si="514"/>
        <v>0</v>
      </c>
      <c r="CH194" s="55">
        <f t="shared" si="515"/>
        <v>0</v>
      </c>
      <c r="CI194" s="56">
        <f>IF(AND($E194&lt;&gt;0,$F194&gt;0,YEAR($F194)&gt;=Preisindex!$A$6,YEAR(CD$4)&gt;=YEAR($F194),AND($K194&lt;&gt;"a",$K194&lt;&gt;"b",$K194&lt;&gt;"g",$K194&lt;&gt;"k")),1,IF(AND($E194&lt;&gt;0,$F194&gt;0,YEAR($F194)&gt;=Preisindex!$A$6,YEAR(CD$4)&gt;=YEAR($F194),$K194="a"),ROUND(VLOOKUP(CI$4,Preisindex,5,FALSE)/VLOOKUP(YEAR($F194),Preisindex,5,FALSE),2),IF(AND($E194&lt;&gt;0,$F194&gt;0,YEAR($F194)&gt;=Preisindex!$A$6,YEAR(CD$4)&gt;=YEAR($F194),$K194="b"),ROUND(VLOOKUP(CI$4,Preisindex,3,FALSE)/VLOOKUP(YEAR($F194),Preisindex,3,FALSE),2),IF(AND($E194&lt;&gt;0,$F194&gt;0,YEAR($F194)&gt;=Preisindex!$A$6,YEAR(CD$4)&gt;=YEAR($F194),$K194="g"),ROUND(VLOOKUP(CI$4,Preisindex,4,FALSE)/VLOOKUP(YEAR($F194),Preisindex,4,FALSE),2),IF(AND($E194&lt;&gt;0,$F194&gt;0,YEAR($F194)&gt;=Preisindex!$A$6,YEAR(CD$4)&gt;=YEAR($F194),$K194="k"),ROUND(VLOOKUP(CI$4,Preisindex,2,FALSE)/VLOOKUP(YEAR($F194),Preisindex,2,FALSE),2),0)))))</f>
        <v>0</v>
      </c>
      <c r="CJ194" s="56">
        <f>IF(AND($E194&lt;&gt;0,$F194&gt;0,YEAR($F194)&lt;Preisindex!$A$6,YEAR(CD$4)&gt;=YEAR($F194),AND($K194&lt;&gt;"a",$K194&lt;&gt;"b",$K194&lt;&gt;"g",$K194&lt;&gt;"k")),1,IF(AND($E194&lt;&gt;0,$F194&gt;0,YEAR($F194)&lt;Preisindex!$A$6,YEAR(CD$4)&gt;=YEAR($F194),$K194="a"),ROUND(VLOOKUP(CI$4,Preisindex,5,FALSE)/VLOOKUP(Preisindex!$A$6,Preisindex,5,FALSE),2),IF(AND($E194&lt;&gt;0,$F194&gt;0,YEAR($F194)&lt;Preisindex!$A$6,YEAR(CD$4)&gt;=YEAR($F194),$K194="b"),ROUND(VLOOKUP(CI$4,Preisindex,3,FALSE)/VLOOKUP(Preisindex!$A$6,Preisindex,3,FALSE),2),IF(AND($E194&lt;&gt;0,$F194&gt;0,YEAR($F194)&lt;Preisindex!$A$6,YEAR(CD$4)&gt;=YEAR($F194),$K194="g"),ROUND(VLOOKUP(CI$4,Preisindex,4,FALSE)/VLOOKUP(Preisindex!$A$6,Preisindex,4,FALSE),2),IF(AND($E194&lt;&gt;0,$F194&gt;0,YEAR($F194)&lt;Preisindex!$A$6,YEAR(CD$4)&gt;=YEAR($F194),$K194="k"),ROUND(VLOOKUP(CI$4,Preisindex,2,FALSE)/VLOOKUP(Preisindex!$A$6,Preisindex,2,FALSE),2),0)))))</f>
        <v>0</v>
      </c>
      <c r="CK194" s="51">
        <f>IF(AND($E194&lt;&gt;0,$F194&gt;0,YEAR($F194)&lt;=CI$4,YEAR($F194)&gt;=Preisindex!$A$6),ROUND($E194*CI194,2),IF(AND($E194&lt;&gt;0,$F194&gt;0,YEAR($F194)&lt;=CI$4,YEAR($F194)&lt;Preisindex!$A$6),ROUND($E194*CJ194,2),0))</f>
        <v>0</v>
      </c>
      <c r="CL194" s="53">
        <f t="shared" si="516"/>
        <v>0</v>
      </c>
      <c r="CM194" s="51">
        <f t="shared" si="621"/>
        <v>0</v>
      </c>
      <c r="CN194" s="51">
        <f t="shared" si="594"/>
        <v>0</v>
      </c>
      <c r="CO194" s="51">
        <f t="shared" si="517"/>
        <v>0</v>
      </c>
      <c r="CP194" s="51">
        <f t="shared" si="595"/>
        <v>0</v>
      </c>
      <c r="CQ194" s="51">
        <f t="shared" si="518"/>
        <v>0</v>
      </c>
      <c r="CR194" s="51">
        <f t="shared" si="596"/>
        <v>0</v>
      </c>
      <c r="CS194" s="51">
        <f t="shared" si="519"/>
        <v>0</v>
      </c>
      <c r="CT194" s="51">
        <f t="shared" si="597"/>
        <v>0</v>
      </c>
      <c r="CU194" s="51">
        <f t="shared" si="520"/>
        <v>0</v>
      </c>
      <c r="CV194" s="51">
        <f t="shared" si="598"/>
        <v>0</v>
      </c>
      <c r="CW194" s="51">
        <f t="shared" si="521"/>
        <v>0</v>
      </c>
      <c r="CX194" s="54">
        <f t="shared" si="522"/>
        <v>0</v>
      </c>
      <c r="CY194" s="55">
        <f t="shared" si="523"/>
        <v>0</v>
      </c>
      <c r="CZ194" s="56">
        <f>IF(AND($E194&lt;&gt;0,$F194&gt;0,YEAR($F194)&gt;=Preisindex!$A$6,YEAR(CU$4)&gt;=YEAR($F194),AND($K194&lt;&gt;"a",$K194&lt;&gt;"b",$K194&lt;&gt;"g",$K194&lt;&gt;"k")),1,IF(AND($E194&lt;&gt;0,$F194&gt;0,YEAR($F194)&gt;=Preisindex!$A$6,YEAR(CU$4)&gt;=YEAR($F194),$K194="a"),ROUND(VLOOKUP(CZ$4,Preisindex,5,FALSE)/VLOOKUP(YEAR($F194),Preisindex,5,FALSE),2),IF(AND($E194&lt;&gt;0,$F194&gt;0,YEAR($F194)&gt;=Preisindex!$A$6,YEAR(CU$4)&gt;=YEAR($F194),$K194="b"),ROUND(VLOOKUP(CZ$4,Preisindex,3,FALSE)/VLOOKUP(YEAR($F194),Preisindex,3,FALSE),2),IF(AND($E194&lt;&gt;0,$F194&gt;0,YEAR($F194)&gt;=Preisindex!$A$6,YEAR(CU$4)&gt;=YEAR($F194),$K194="g"),ROUND(VLOOKUP(CZ$4,Preisindex,4,FALSE)/VLOOKUP(YEAR($F194),Preisindex,4,FALSE),2),IF(AND($E194&lt;&gt;0,$F194&gt;0,YEAR($F194)&gt;=Preisindex!$A$6,YEAR(CU$4)&gt;=YEAR($F194),$K194="k"),ROUND(VLOOKUP(CZ$4,Preisindex,2,FALSE)/VLOOKUP(YEAR($F194),Preisindex,2,FALSE),2),0)))))</f>
        <v>0</v>
      </c>
      <c r="DA194" s="56">
        <f>IF(AND($E194&lt;&gt;0,$F194&gt;0,YEAR($F194)&lt;Preisindex!$A$6,YEAR(CU$4)&gt;=YEAR($F194),AND($K194&lt;&gt;"a",$K194&lt;&gt;"b",$K194&lt;&gt;"g",$K194&lt;&gt;"k")),1,IF(AND($E194&lt;&gt;0,$F194&gt;0,YEAR($F194)&lt;Preisindex!$A$6,YEAR(CU$4)&gt;=YEAR($F194),$K194="a"),ROUND(VLOOKUP(CZ$4,Preisindex,5,FALSE)/VLOOKUP(Preisindex!$A$6,Preisindex,5,FALSE),2),IF(AND($E194&lt;&gt;0,$F194&gt;0,YEAR($F194)&lt;Preisindex!$A$6,YEAR(CU$4)&gt;=YEAR($F194),$K194="b"),ROUND(VLOOKUP(CZ$4,Preisindex,3,FALSE)/VLOOKUP(Preisindex!$A$6,Preisindex,3,FALSE),2),IF(AND($E194&lt;&gt;0,$F194&gt;0,YEAR($F194)&lt;Preisindex!$A$6,YEAR(CU$4)&gt;=YEAR($F194),$K194="g"),ROUND(VLOOKUP(CZ$4,Preisindex,4,FALSE)/VLOOKUP(Preisindex!$A$6,Preisindex,4,FALSE),2),IF(AND($E194&lt;&gt;0,$F194&gt;0,YEAR($F194)&lt;Preisindex!$A$6,YEAR(CU$4)&gt;=YEAR($F194),$K194="k"),ROUND(VLOOKUP(CZ$4,Preisindex,2,FALSE)/VLOOKUP(Preisindex!$A$6,Preisindex,2,FALSE),2),0)))))</f>
        <v>0</v>
      </c>
      <c r="DB194" s="51">
        <f>IF(AND($E194&lt;&gt;0,$F194&gt;0,YEAR($F194)&lt;=CZ$4,YEAR($F194)&gt;=Preisindex!$A$6),ROUND($E194*CZ194,2),IF(AND($E194&lt;&gt;0,$F194&gt;0,YEAR($F194)&lt;=CZ$4,YEAR($F194)&lt;Preisindex!$A$6),ROUND($E194*DA194,2),0))</f>
        <v>0</v>
      </c>
      <c r="DC194" s="53">
        <f t="shared" si="524"/>
        <v>0</v>
      </c>
      <c r="DD194" s="51">
        <f t="shared" si="622"/>
        <v>0</v>
      </c>
      <c r="DE194" s="51">
        <f t="shared" si="599"/>
        <v>0</v>
      </c>
      <c r="DF194" s="51">
        <f t="shared" si="526"/>
        <v>0</v>
      </c>
      <c r="DG194" s="51">
        <f t="shared" si="600"/>
        <v>0</v>
      </c>
      <c r="DH194" s="51">
        <f t="shared" si="527"/>
        <v>0</v>
      </c>
      <c r="DI194" s="51">
        <f t="shared" si="601"/>
        <v>0</v>
      </c>
      <c r="DJ194" s="51">
        <f t="shared" si="528"/>
        <v>0</v>
      </c>
      <c r="DK194" s="51">
        <f t="shared" si="602"/>
        <v>0</v>
      </c>
      <c r="DL194" s="51">
        <f t="shared" si="529"/>
        <v>0</v>
      </c>
      <c r="DM194" s="51">
        <f t="shared" si="603"/>
        <v>0</v>
      </c>
      <c r="DN194" s="51">
        <f t="shared" si="530"/>
        <v>0</v>
      </c>
      <c r="DO194" s="54">
        <f t="shared" si="531"/>
        <v>0</v>
      </c>
      <c r="DP194" s="55">
        <f t="shared" si="532"/>
        <v>0</v>
      </c>
      <c r="DQ194" s="56">
        <f>IF(AND($E194&lt;&gt;0,$F194&gt;0,YEAR($F194)&gt;=Preisindex!$A$6,YEAR(DL$4)&gt;=YEAR($F194),AND($K194&lt;&gt;"a",$K194&lt;&gt;"b",$K194&lt;&gt;"g",$K194&lt;&gt;"k")),1,IF(AND($E194&lt;&gt;0,$F194&gt;0,YEAR($F194)&gt;=Preisindex!$A$6,YEAR(DL$4)&gt;=YEAR($F194),$K194="a"),ROUND(VLOOKUP(DQ$4,Preisindex,5,FALSE)/VLOOKUP(YEAR($F194),Preisindex,5,FALSE),2),IF(AND($E194&lt;&gt;0,$F194&gt;0,YEAR($F194)&gt;=Preisindex!$A$6,YEAR(DL$4)&gt;=YEAR($F194),$K194="b"),ROUND(VLOOKUP(DQ$4,Preisindex,3,FALSE)/VLOOKUP(YEAR($F194),Preisindex,3,FALSE),2),IF(AND($E194&lt;&gt;0,$F194&gt;0,YEAR($F194)&gt;=Preisindex!$A$6,YEAR(DL$4)&gt;=YEAR($F194),$K194="g"),ROUND(VLOOKUP(DQ$4,Preisindex,4,FALSE)/VLOOKUP(YEAR($F194),Preisindex,4,FALSE),2),IF(AND($E194&lt;&gt;0,$F194&gt;0,YEAR($F194)&gt;=Preisindex!$A$6,YEAR(DL$4)&gt;=YEAR($F194),$K194="k"),ROUND(VLOOKUP(DQ$4,Preisindex,2,FALSE)/VLOOKUP(YEAR($F194),Preisindex,2,FALSE),2),0)))))</f>
        <v>0</v>
      </c>
      <c r="DR194" s="56">
        <f>IF(AND($E194&lt;&gt;0,$F194&gt;0,YEAR($F194)&lt;Preisindex!$A$6,YEAR(DL$4)&gt;=YEAR($F194),AND($K194&lt;&gt;"a",$K194&lt;&gt;"b",$K194&lt;&gt;"g",$K194&lt;&gt;"k")),1,IF(AND($E194&lt;&gt;0,$F194&gt;0,YEAR($F194)&lt;Preisindex!$A$6,YEAR(DL$4)&gt;=YEAR($F194),$K194="a"),ROUND(VLOOKUP(DQ$4,Preisindex,5,FALSE)/VLOOKUP(Preisindex!$A$6,Preisindex,5,FALSE),2),IF(AND($E194&lt;&gt;0,$F194&gt;0,YEAR($F194)&lt;Preisindex!$A$6,YEAR(DL$4)&gt;=YEAR($F194),$K194="b"),ROUND(VLOOKUP(DQ$4,Preisindex,3,FALSE)/VLOOKUP(Preisindex!$A$6,Preisindex,3,FALSE),2),IF(AND($E194&lt;&gt;0,$F194&gt;0,YEAR($F194)&lt;Preisindex!$A$6,YEAR(DL$4)&gt;=YEAR($F194),$K194="g"),ROUND(VLOOKUP(DQ$4,Preisindex,4,FALSE)/VLOOKUP(Preisindex!$A$6,Preisindex,4,FALSE),2),IF(AND($E194&lt;&gt;0,$F194&gt;0,YEAR($F194)&lt;Preisindex!$A$6,YEAR(DL$4)&gt;=YEAR($F194),$K194="k"),ROUND(VLOOKUP(DQ$4,Preisindex,2,FALSE)/VLOOKUP(Preisindex!$A$6,Preisindex,2,FALSE),2),0)))))</f>
        <v>0</v>
      </c>
      <c r="DS194" s="51">
        <f>IF(AND($E194&lt;&gt;0,$F194&gt;0,YEAR($F194)&lt;=DQ$4,YEAR($F194)&gt;=Preisindex!$A$6),ROUND($E194*DQ194,2),IF(AND($E194&lt;&gt;0,$F194&gt;0,YEAR($F194)&lt;=DQ$4,YEAR($F194)&lt;Preisindex!$A$6),ROUND($E194*DR194,2),0))</f>
        <v>0</v>
      </c>
      <c r="DT194" s="53">
        <f t="shared" si="533"/>
        <v>0</v>
      </c>
      <c r="DU194" s="51">
        <f t="shared" si="622"/>
        <v>0</v>
      </c>
      <c r="DV194" s="51">
        <f t="shared" si="604"/>
        <v>0</v>
      </c>
      <c r="DW194" s="51">
        <f t="shared" si="534"/>
        <v>0</v>
      </c>
      <c r="DX194" s="51">
        <f t="shared" si="605"/>
        <v>0</v>
      </c>
      <c r="DY194" s="51">
        <f t="shared" si="535"/>
        <v>0</v>
      </c>
      <c r="DZ194" s="51">
        <f t="shared" si="606"/>
        <v>0</v>
      </c>
      <c r="EA194" s="51">
        <f t="shared" si="536"/>
        <v>0</v>
      </c>
      <c r="EB194" s="51">
        <f t="shared" si="607"/>
        <v>0</v>
      </c>
      <c r="EC194" s="51">
        <f t="shared" si="537"/>
        <v>0</v>
      </c>
      <c r="ED194" s="51">
        <f t="shared" si="608"/>
        <v>0</v>
      </c>
      <c r="EE194" s="51">
        <f t="shared" si="538"/>
        <v>0</v>
      </c>
      <c r="EF194" s="54">
        <f t="shared" si="539"/>
        <v>0</v>
      </c>
      <c r="EG194" s="55">
        <f t="shared" si="540"/>
        <v>0</v>
      </c>
      <c r="EH194" s="56">
        <f>IF(AND($E194&lt;&gt;0,$F194&gt;0,YEAR($F194)&gt;=Preisindex!$A$6,YEAR(EC$4)&gt;=YEAR($F194),AND($K194&lt;&gt;"a",$K194&lt;&gt;"b",$K194&lt;&gt;"g",$K194&lt;&gt;"k")),1,IF(AND($E194&lt;&gt;0,$F194&gt;0,YEAR($F194)&gt;=Preisindex!$A$6,YEAR(EC$4)&gt;=YEAR($F194),$K194="a"),ROUND(VLOOKUP(EH$4,Preisindex,5,FALSE)/VLOOKUP(YEAR($F194),Preisindex,5,FALSE),2),IF(AND($E194&lt;&gt;0,$F194&gt;0,YEAR($F194)&gt;=Preisindex!$A$6,YEAR(EC$4)&gt;=YEAR($F194),$K194="b"),ROUND(VLOOKUP(EH$4,Preisindex,3,FALSE)/VLOOKUP(YEAR($F194),Preisindex,3,FALSE),2),IF(AND($E194&lt;&gt;0,$F194&gt;0,YEAR($F194)&gt;=Preisindex!$A$6,YEAR(EC$4)&gt;=YEAR($F194),$K194="g"),ROUND(VLOOKUP(EH$4,Preisindex,4,FALSE)/VLOOKUP(YEAR($F194),Preisindex,4,FALSE),2),IF(AND($E194&lt;&gt;0,$F194&gt;0,YEAR($F194)&gt;=Preisindex!$A$6,YEAR(EC$4)&gt;=YEAR($F194),$K194="k"),ROUND(VLOOKUP(EH$4,Preisindex,2,FALSE)/VLOOKUP(YEAR($F194),Preisindex,2,FALSE),2),0)))))</f>
        <v>0</v>
      </c>
      <c r="EI194" s="56">
        <f>IF(AND($E194&lt;&gt;0,$F194&gt;0,YEAR($F194)&lt;Preisindex!$A$6,YEAR(EC$4)&gt;=YEAR($F194),AND($K194&lt;&gt;"a",$K194&lt;&gt;"b",$K194&lt;&gt;"g",$K194&lt;&gt;"k")),1,IF(AND($E194&lt;&gt;0,$F194&gt;0,YEAR($F194)&lt;Preisindex!$A$6,YEAR(EC$4)&gt;=YEAR($F194),$K194="a"),ROUND(VLOOKUP(EH$4,Preisindex,5,FALSE)/VLOOKUP(Preisindex!$A$6,Preisindex,5,FALSE),2),IF(AND($E194&lt;&gt;0,$F194&gt;0,YEAR($F194)&lt;Preisindex!$A$6,YEAR(EC$4)&gt;=YEAR($F194),$K194="b"),ROUND(VLOOKUP(EH$4,Preisindex,3,FALSE)/VLOOKUP(Preisindex!$A$6,Preisindex,3,FALSE),2),IF(AND($E194&lt;&gt;0,$F194&gt;0,YEAR($F194)&lt;Preisindex!$A$6,YEAR(EC$4)&gt;=YEAR($F194),$K194="g"),ROUND(VLOOKUP(EH$4,Preisindex,4,FALSE)/VLOOKUP(Preisindex!$A$6,Preisindex,4,FALSE),2),IF(AND($E194&lt;&gt;0,$F194&gt;0,YEAR($F194)&lt;Preisindex!$A$6,YEAR(EC$4)&gt;=YEAR($F194),$K194="k"),ROUND(VLOOKUP(EH$4,Preisindex,2,FALSE)/VLOOKUP(Preisindex!$A$6,Preisindex,2,FALSE),2),0)))))</f>
        <v>0</v>
      </c>
      <c r="EJ194" s="51">
        <f>IF(AND($E194&lt;&gt;0,$F194&gt;0,YEAR($F194)&lt;=EH$4,YEAR($F194)&gt;=Preisindex!$A$6),ROUND($E194*EH194,2),IF(AND($E194&lt;&gt;0,$F194&gt;0,YEAR($F194)&lt;=EH$4,YEAR($F194)&lt;Preisindex!$A$6),ROUND($E194*EI194,2),0))</f>
        <v>0</v>
      </c>
      <c r="EK194" s="53">
        <f t="shared" si="541"/>
        <v>0</v>
      </c>
      <c r="EL194" s="51">
        <f t="shared" si="622"/>
        <v>0</v>
      </c>
      <c r="EM194" s="51">
        <f t="shared" si="609"/>
        <v>0</v>
      </c>
      <c r="EN194" s="51">
        <f t="shared" si="542"/>
        <v>0</v>
      </c>
      <c r="EO194" s="51">
        <f t="shared" si="610"/>
        <v>0</v>
      </c>
      <c r="EP194" s="51">
        <f t="shared" si="543"/>
        <v>0</v>
      </c>
      <c r="EQ194" s="51">
        <f t="shared" si="611"/>
        <v>0</v>
      </c>
      <c r="ER194" s="51">
        <f t="shared" si="544"/>
        <v>0</v>
      </c>
      <c r="ES194" s="51">
        <f t="shared" si="612"/>
        <v>0</v>
      </c>
      <c r="ET194" s="51">
        <f t="shared" si="545"/>
        <v>0</v>
      </c>
      <c r="EU194" s="51">
        <f t="shared" si="613"/>
        <v>0</v>
      </c>
      <c r="EV194" s="51">
        <f t="shared" si="546"/>
        <v>0</v>
      </c>
      <c r="EW194" s="54">
        <f t="shared" si="547"/>
        <v>0</v>
      </c>
      <c r="EX194" s="55">
        <f t="shared" si="548"/>
        <v>0</v>
      </c>
      <c r="EY194" s="56">
        <f>IF(AND($E194&lt;&gt;0,$F194&gt;0,YEAR($F194)&gt;=Preisindex!$A$6,YEAR(ET$4)&gt;=YEAR($F194),AND($K194&lt;&gt;"a",$K194&lt;&gt;"b",$K194&lt;&gt;"g",$K194&lt;&gt;"k")),1,IF(AND($E194&lt;&gt;0,$F194&gt;0,YEAR($F194)&gt;=Preisindex!$A$6,YEAR(ET$4)&gt;=YEAR($F194),$K194="a"),ROUND(VLOOKUP(EY$4,Preisindex,5,FALSE)/VLOOKUP(YEAR($F194),Preisindex,5,FALSE),2),IF(AND($E194&lt;&gt;0,$F194&gt;0,YEAR($F194)&gt;=Preisindex!$A$6,YEAR(ET$4)&gt;=YEAR($F194),$K194="b"),ROUND(VLOOKUP(EY$4,Preisindex,3,FALSE)/VLOOKUP(YEAR($F194),Preisindex,3,FALSE),2),IF(AND($E194&lt;&gt;0,$F194&gt;0,YEAR($F194)&gt;=Preisindex!$A$6,YEAR(ET$4)&gt;=YEAR($F194),$K194="g"),ROUND(VLOOKUP(EY$4,Preisindex,4,FALSE)/VLOOKUP(YEAR($F194),Preisindex,4,FALSE),2),IF(AND($E194&lt;&gt;0,$F194&gt;0,YEAR($F194)&gt;=Preisindex!$A$6,YEAR(ET$4)&gt;=YEAR($F194),$K194="k"),ROUND(VLOOKUP(EY$4,Preisindex,2,FALSE)/VLOOKUP(YEAR($F194),Preisindex,2,FALSE),2),0)))))</f>
        <v>0</v>
      </c>
      <c r="EZ194" s="56">
        <f>IF(AND($E194&lt;&gt;0,$F194&gt;0,YEAR($F194)&lt;Preisindex!$A$6,YEAR(ET$4)&gt;=YEAR($F194),AND($K194&lt;&gt;"a",$K194&lt;&gt;"b",$K194&lt;&gt;"g",$K194&lt;&gt;"k")),1,IF(AND($E194&lt;&gt;0,$F194&gt;0,YEAR($F194)&lt;Preisindex!$A$6,YEAR(ET$4)&gt;=YEAR($F194),$K194="a"),ROUND(VLOOKUP(EY$4,Preisindex,5,FALSE)/VLOOKUP(Preisindex!$A$6,Preisindex,5,FALSE),2),IF(AND($E194&lt;&gt;0,$F194&gt;0,YEAR($F194)&lt;Preisindex!$A$6,YEAR(ET$4)&gt;=YEAR($F194),$K194="b"),ROUND(VLOOKUP(EY$4,Preisindex,3,FALSE)/VLOOKUP(Preisindex!$A$6,Preisindex,3,FALSE),2),IF(AND($E194&lt;&gt;0,$F194&gt;0,YEAR($F194)&lt;Preisindex!$A$6,YEAR(ET$4)&gt;=YEAR($F194),$K194="g"),ROUND(VLOOKUP(EY$4,Preisindex,4,FALSE)/VLOOKUP(Preisindex!$A$6,Preisindex,4,FALSE),2),IF(AND($E194&lt;&gt;0,$F194&gt;0,YEAR($F194)&lt;Preisindex!$A$6,YEAR(ET$4)&gt;=YEAR($F194),$K194="k"),ROUND(VLOOKUP(EY$4,Preisindex,2,FALSE)/VLOOKUP(Preisindex!$A$6,Preisindex,2,FALSE),2),0)))))</f>
        <v>0</v>
      </c>
      <c r="FA194" s="51">
        <f>IF(AND($E194&lt;&gt;0,$F194&gt;0,YEAR($F194)&lt;=EY$4,YEAR($F194)&gt;=Preisindex!$A$6),ROUND($E194*EY194,2),IF(AND($E194&lt;&gt;0,$F194&gt;0,YEAR($F194)&lt;=EY$4,YEAR($F194)&lt;Preisindex!$A$6),ROUND($E194*EZ194,2),0))</f>
        <v>0</v>
      </c>
      <c r="FB194" s="53">
        <f t="shared" si="549"/>
        <v>0</v>
      </c>
      <c r="FC194" s="51">
        <f t="shared" si="622"/>
        <v>0</v>
      </c>
      <c r="FD194" s="51">
        <f t="shared" si="614"/>
        <v>0</v>
      </c>
      <c r="FE194" s="51">
        <f t="shared" si="550"/>
        <v>0</v>
      </c>
      <c r="FF194" s="51">
        <f t="shared" si="615"/>
        <v>0</v>
      </c>
      <c r="FG194" s="51">
        <f t="shared" si="551"/>
        <v>0</v>
      </c>
      <c r="FH194" s="51">
        <f t="shared" si="616"/>
        <v>0</v>
      </c>
      <c r="FI194" s="51">
        <f t="shared" si="552"/>
        <v>0</v>
      </c>
      <c r="FJ194" s="51">
        <f t="shared" si="617"/>
        <v>0</v>
      </c>
      <c r="FK194" s="51">
        <f t="shared" si="553"/>
        <v>0</v>
      </c>
      <c r="FL194" s="51">
        <f t="shared" si="618"/>
        <v>0</v>
      </c>
      <c r="FM194" s="51">
        <f t="shared" si="554"/>
        <v>0</v>
      </c>
      <c r="FN194" s="54">
        <f t="shared" si="555"/>
        <v>0</v>
      </c>
      <c r="FO194" s="55">
        <f t="shared" si="556"/>
        <v>0</v>
      </c>
      <c r="FP194" s="56">
        <f>IF(AND($E194&lt;&gt;0,$F194&gt;0,YEAR($F194)&gt;=Preisindex!$A$6,YEAR(FK$4)&gt;=YEAR($F194),AND($K194&lt;&gt;"a",$K194&lt;&gt;"b",$K194&lt;&gt;"g",$K194&lt;&gt;"k")),1,IF(AND($E194&lt;&gt;0,$F194&gt;0,YEAR($F194)&gt;=Preisindex!$A$6,YEAR(FK$4)&gt;=YEAR($F194),$K194="a"),ROUND(VLOOKUP(FP$4,Preisindex,5,FALSE)/VLOOKUP(YEAR($F194),Preisindex,5,FALSE),2),IF(AND($E194&lt;&gt;0,$F194&gt;0,YEAR($F194)&gt;=Preisindex!$A$6,YEAR(FK$4)&gt;=YEAR($F194),$K194="b"),ROUND(VLOOKUP(FP$4,Preisindex,3,FALSE)/VLOOKUP(YEAR($F194),Preisindex,3,FALSE),2),IF(AND($E194&lt;&gt;0,$F194&gt;0,YEAR($F194)&gt;=Preisindex!$A$6,YEAR(FK$4)&gt;=YEAR($F194),$K194="g"),ROUND(VLOOKUP(FP$4,Preisindex,4,FALSE)/VLOOKUP(YEAR($F194),Preisindex,4,FALSE),2),IF(AND($E194&lt;&gt;0,$F194&gt;0,YEAR($F194)&gt;=Preisindex!$A$6,YEAR(FK$4)&gt;=YEAR($F194),$K194="k"),ROUND(VLOOKUP(FP$4,Preisindex,2,FALSE)/VLOOKUP(YEAR($F194),Preisindex,2,FALSE),2),0)))))</f>
        <v>0</v>
      </c>
      <c r="FQ194" s="56">
        <f>IF(AND($E194&lt;&gt;0,$F194&gt;0,YEAR($F194)&lt;Preisindex!$A$6,YEAR(FK$4)&gt;=YEAR($F194),AND($K194&lt;&gt;"a",$K194&lt;&gt;"b",$K194&lt;&gt;"g",$K194&lt;&gt;"k")),1,IF(AND($E194&lt;&gt;0,$F194&gt;0,YEAR($F194)&lt;Preisindex!$A$6,YEAR(FK$4)&gt;=YEAR($F194),$K194="a"),ROUND(VLOOKUP(FP$4,Preisindex,5,FALSE)/VLOOKUP(Preisindex!$A$6,Preisindex,5,FALSE),2),IF(AND($E194&lt;&gt;0,$F194&gt;0,YEAR($F194)&lt;Preisindex!$A$6,YEAR(FK$4)&gt;=YEAR($F194),$K194="b"),ROUND(VLOOKUP(FP$4,Preisindex,3,FALSE)/VLOOKUP(Preisindex!$A$6,Preisindex,3,FALSE),2),IF(AND($E194&lt;&gt;0,$F194&gt;0,YEAR($F194)&lt;Preisindex!$A$6,YEAR(FK$4)&gt;=YEAR($F194),$K194="g"),ROUND(VLOOKUP(FP$4,Preisindex,4,FALSE)/VLOOKUP(Preisindex!$A$6,Preisindex,4,FALSE),2),IF(AND($E194&lt;&gt;0,$F194&gt;0,YEAR($F194)&lt;Preisindex!$A$6,YEAR(FK$4)&gt;=YEAR($F194),$K194="k"),ROUND(VLOOKUP(FP$4,Preisindex,2,FALSE)/VLOOKUP(Preisindex!$A$6,Preisindex,2,FALSE),2),0)))))</f>
        <v>0</v>
      </c>
      <c r="FR194" s="51">
        <f>IF(AND($E194&lt;&gt;0,$F194&gt;0,YEAR($F194)&lt;=FP$4,YEAR($F194)&gt;=Preisindex!$A$6),ROUND($E194*FP194,2),IF(AND($E194&lt;&gt;0,$F194&gt;0,YEAR($F194)&lt;=FP$4,YEAR($F194)&lt;Preisindex!$A$6),ROUND($E194*FQ194,2),0))</f>
        <v>0</v>
      </c>
      <c r="FS194" s="53">
        <f t="shared" si="557"/>
        <v>0</v>
      </c>
    </row>
    <row r="195" spans="1:175" x14ac:dyDescent="0.3">
      <c r="A195" s="93"/>
      <c r="B195" s="94"/>
      <c r="C195" s="94"/>
      <c r="D195" s="95"/>
      <c r="E195" s="99"/>
      <c r="F195" s="97"/>
      <c r="G195" s="98"/>
      <c r="H195" s="620"/>
      <c r="I195" s="621"/>
      <c r="J195" s="194"/>
      <c r="K195" s="630"/>
      <c r="L195" s="49">
        <f t="shared" si="558"/>
        <v>0</v>
      </c>
      <c r="M195" s="50">
        <f t="shared" si="559"/>
        <v>0</v>
      </c>
      <c r="N195" s="51">
        <f t="shared" si="560"/>
        <v>0</v>
      </c>
      <c r="O195" s="51"/>
      <c r="P195" s="51">
        <f t="shared" si="561"/>
        <v>0</v>
      </c>
      <c r="Q195" s="52"/>
      <c r="R195" s="52"/>
      <c r="S195" s="52"/>
      <c r="T195" s="52"/>
      <c r="U195" s="52"/>
      <c r="V195" s="53">
        <f t="shared" si="562"/>
        <v>0</v>
      </c>
      <c r="W195" s="51">
        <f t="shared" si="563"/>
        <v>0</v>
      </c>
      <c r="X195" s="51">
        <f t="shared" si="564"/>
        <v>0</v>
      </c>
      <c r="Y195" s="51">
        <f t="shared" si="565"/>
        <v>0</v>
      </c>
      <c r="Z195" s="51">
        <f t="shared" si="566"/>
        <v>0</v>
      </c>
      <c r="AA195" s="51">
        <f t="shared" si="567"/>
        <v>0</v>
      </c>
      <c r="AB195" s="51">
        <f t="shared" si="568"/>
        <v>0</v>
      </c>
      <c r="AC195" s="51">
        <f t="shared" si="569"/>
        <v>0</v>
      </c>
      <c r="AD195" s="51">
        <f t="shared" si="570"/>
        <v>0</v>
      </c>
      <c r="AE195" s="51">
        <f t="shared" si="571"/>
        <v>0</v>
      </c>
      <c r="AF195" s="51">
        <f t="shared" si="572"/>
        <v>0</v>
      </c>
      <c r="AG195" s="51">
        <f t="shared" si="573"/>
        <v>0</v>
      </c>
      <c r="AH195" s="54">
        <f t="shared" si="574"/>
        <v>0</v>
      </c>
      <c r="AI195" s="55">
        <f t="shared" si="575"/>
        <v>0</v>
      </c>
      <c r="AJ195" s="56">
        <f>IF(AND($E195&lt;&gt;0,$F195&gt;0,YEAR($F195)&gt;=Preisindex!$A$6,YEAR(AE$4)&gt;=YEAR($F195),AND($K195&lt;&gt;"a",$K195&lt;&gt;"b",$K195&lt;&gt;"g",$K195&lt;&gt;"k")),1,IF(AND($E195&lt;&gt;0,$F195&gt;0,YEAR($F195)&gt;=Preisindex!$A$6,YEAR(AE$4)&gt;=YEAR($F195),$K195="a"),ROUND(VLOOKUP(AJ$4,Preisindex,5,FALSE)/VLOOKUP(YEAR($F195),Preisindex,5,FALSE),2),IF(AND($E195&lt;&gt;0,$F195&gt;0,YEAR($F195)&gt;=Preisindex!$A$6,YEAR(AE$4)&gt;=YEAR($F195),$K195="b"),ROUND(VLOOKUP(AJ$4,Preisindex,3,FALSE)/VLOOKUP(YEAR($F195),Preisindex,3,FALSE),2),IF(AND($E195&lt;&gt;0,$F195&gt;0,YEAR($F195)&gt;=Preisindex!$A$6,YEAR(AE$4)&gt;=YEAR($F195),$K195="g"),ROUND(VLOOKUP(AJ$4,Preisindex,4,FALSE)/VLOOKUP(YEAR($F195),Preisindex,4,FALSE),2),IF(AND($E195&lt;&gt;0,$F195&gt;0,YEAR($F195)&gt;=Preisindex!$A$6,YEAR(AE$4)&gt;=YEAR($F195),$K195="k"),ROUND(VLOOKUP(AJ$4,Preisindex,2,FALSE)/VLOOKUP(YEAR($F195),Preisindex,2,FALSE),2),0)))))</f>
        <v>0</v>
      </c>
      <c r="AK195" s="56">
        <f>IF(AND($E195&lt;&gt;0,$F195&gt;0,YEAR($F195)&lt;Preisindex!$A$6,YEAR(AE$4)&gt;=YEAR($F195),AND($K195&lt;&gt;"a",$K195&lt;&gt;"b",$K195&lt;&gt;"g",$K195&lt;&gt;"k")),1,IF(AND($E195&lt;&gt;0,$F195&gt;0,YEAR($F195)&lt;Preisindex!$A$6,YEAR(AE$4)&gt;=YEAR($F195),$K195="a"),ROUND(VLOOKUP(AJ$4,Preisindex,5,FALSE)/VLOOKUP(Preisindex!$A$6,Preisindex,5,FALSE),2),IF(AND($E195&lt;&gt;0,$F195&gt;0,YEAR($F195)&lt;Preisindex!$A$6,YEAR(AE$4)&gt;=YEAR($F195),$K195="b"),ROUND(VLOOKUP(AJ$4,Preisindex,3,FALSE)/VLOOKUP(Preisindex!$A$6,Preisindex,3,FALSE),2),IF(AND($E195&lt;&gt;0,$F195&gt;0,YEAR($F195)&lt;Preisindex!$A$6,YEAR(AE$4)&gt;=YEAR($F195),$K195="g"),ROUND(VLOOKUP(AJ$4,Preisindex,4,FALSE)/VLOOKUP(Preisindex!$A$6,Preisindex,4,FALSE),2),IF(AND($E195&lt;&gt;0,$F195&gt;0,YEAR($F195)&lt;Preisindex!$A$6,YEAR(AE$4)&gt;=YEAR($F195),$K195="k"),ROUND(VLOOKUP(AJ$4,Preisindex,2,FALSE)/VLOOKUP(Preisindex!$A$6,Preisindex,2,FALSE),2),0)))))</f>
        <v>0</v>
      </c>
      <c r="AL195" s="51">
        <f>IF(AND($E195&lt;&gt;0,$F195&gt;0,YEAR($F195)&lt;=AJ$4,YEAR($F195)&gt;=Preisindex!$A$6),ROUND($E195*AJ195,2),IF(AND($E195&lt;&gt;0,$F195&gt;0,YEAR($F195)&lt;=AJ$4,YEAR($F195)&lt;Preisindex!$A$6),ROUND($E195*AK195,2),0))</f>
        <v>0</v>
      </c>
      <c r="AM195" s="53">
        <f t="shared" si="576"/>
        <v>0</v>
      </c>
      <c r="AN195" s="51">
        <f t="shared" si="621"/>
        <v>0</v>
      </c>
      <c r="AO195" s="51">
        <f t="shared" si="579"/>
        <v>0</v>
      </c>
      <c r="AP195" s="51">
        <f t="shared" si="493"/>
        <v>0</v>
      </c>
      <c r="AQ195" s="51">
        <f t="shared" si="580"/>
        <v>0</v>
      </c>
      <c r="AR195" s="51">
        <f t="shared" si="494"/>
        <v>0</v>
      </c>
      <c r="AS195" s="51">
        <f t="shared" si="581"/>
        <v>0</v>
      </c>
      <c r="AT195" s="51">
        <f t="shared" si="495"/>
        <v>0</v>
      </c>
      <c r="AU195" s="51">
        <f t="shared" si="582"/>
        <v>0</v>
      </c>
      <c r="AV195" s="51">
        <f t="shared" si="496"/>
        <v>0</v>
      </c>
      <c r="AW195" s="51">
        <f t="shared" si="583"/>
        <v>0</v>
      </c>
      <c r="AX195" s="51">
        <f t="shared" si="497"/>
        <v>0</v>
      </c>
      <c r="AY195" s="54">
        <f t="shared" si="498"/>
        <v>0</v>
      </c>
      <c r="AZ195" s="55">
        <f t="shared" si="499"/>
        <v>0</v>
      </c>
      <c r="BA195" s="56">
        <f>IF(AND($E195&lt;&gt;0,$F195&gt;0,YEAR($F195)&gt;=Preisindex!$A$6,YEAR(AV$4)&gt;=YEAR($F195),AND($K195&lt;&gt;"a",$K195&lt;&gt;"b",$K195&lt;&gt;"g",$K195&lt;&gt;"k")),1,IF(AND($E195&lt;&gt;0,$F195&gt;0,YEAR($F195)&gt;=Preisindex!$A$6,YEAR(AV$4)&gt;=YEAR($F195),$K195="a"),ROUND(VLOOKUP(BA$4,Preisindex,5,FALSE)/VLOOKUP(YEAR($F195),Preisindex,5,FALSE),2),IF(AND($E195&lt;&gt;0,$F195&gt;0,YEAR($F195)&gt;=Preisindex!$A$6,YEAR(AV$4)&gt;=YEAR($F195),$K195="b"),ROUND(VLOOKUP(BA$4,Preisindex,3,FALSE)/VLOOKUP(YEAR($F195),Preisindex,3,FALSE),2),IF(AND($E195&lt;&gt;0,$F195&gt;0,YEAR($F195)&gt;=Preisindex!$A$6,YEAR(AV$4)&gt;=YEAR($F195),$K195="g"),ROUND(VLOOKUP(BA$4,Preisindex,4,FALSE)/VLOOKUP(YEAR($F195),Preisindex,4,FALSE),2),IF(AND($E195&lt;&gt;0,$F195&gt;0,YEAR($F195)&gt;=Preisindex!$A$6,YEAR(AV$4)&gt;=YEAR($F195),$K195="k"),ROUND(VLOOKUP(BA$4,Preisindex,2,FALSE)/VLOOKUP(YEAR($F195),Preisindex,2,FALSE),2),0)))))</f>
        <v>0</v>
      </c>
      <c r="BB195" s="56">
        <f>IF(AND($E195&lt;&gt;0,$F195&gt;0,YEAR($F195)&lt;Preisindex!$A$6,YEAR(AV$4)&gt;=YEAR($F195),AND($K195&lt;&gt;"a",$K195&lt;&gt;"b",$K195&lt;&gt;"g",$K195&lt;&gt;"k")),1,IF(AND($E195&lt;&gt;0,$F195&gt;0,YEAR($F195)&lt;Preisindex!$A$6,YEAR(AV$4)&gt;=YEAR($F195),$K195="a"),ROUND(VLOOKUP(BA$4,Preisindex,5,FALSE)/VLOOKUP(Preisindex!$A$6,Preisindex,5,FALSE),2),IF(AND($E195&lt;&gt;0,$F195&gt;0,YEAR($F195)&lt;Preisindex!$A$6,YEAR(AV$4)&gt;=YEAR($F195),$K195="b"),ROUND(VLOOKUP(BA$4,Preisindex,3,FALSE)/VLOOKUP(Preisindex!$A$6,Preisindex,3,FALSE),2),IF(AND($E195&lt;&gt;0,$F195&gt;0,YEAR($F195)&lt;Preisindex!$A$6,YEAR(AV$4)&gt;=YEAR($F195),$K195="g"),ROUND(VLOOKUP(BA$4,Preisindex,4,FALSE)/VLOOKUP(Preisindex!$A$6,Preisindex,4,FALSE),2),IF(AND($E195&lt;&gt;0,$F195&gt;0,YEAR($F195)&lt;Preisindex!$A$6,YEAR(AV$4)&gt;=YEAR($F195),$K195="k"),ROUND(VLOOKUP(BA$4,Preisindex,2,FALSE)/VLOOKUP(Preisindex!$A$6,Preisindex,2,FALSE),2),0)))))</f>
        <v>0</v>
      </c>
      <c r="BC195" s="51">
        <f>IF(AND($E195&lt;&gt;0,$F195&gt;0,YEAR($F195)&lt;=BA$4,YEAR($F195)&gt;=Preisindex!$A$6),ROUND($E195*BA195,2),IF(AND($E195&lt;&gt;0,$F195&gt;0,YEAR($F195)&lt;=BA$4,YEAR($F195)&lt;Preisindex!$A$6),ROUND($E195*BB195,2),0))</f>
        <v>0</v>
      </c>
      <c r="BD195" s="53">
        <f t="shared" si="500"/>
        <v>0</v>
      </c>
      <c r="BE195" s="51">
        <f t="shared" si="621"/>
        <v>0</v>
      </c>
      <c r="BF195" s="51">
        <f t="shared" si="584"/>
        <v>0</v>
      </c>
      <c r="BG195" s="51">
        <f t="shared" si="501"/>
        <v>0</v>
      </c>
      <c r="BH195" s="51">
        <f t="shared" si="585"/>
        <v>0</v>
      </c>
      <c r="BI195" s="51">
        <f t="shared" si="502"/>
        <v>0</v>
      </c>
      <c r="BJ195" s="51">
        <f t="shared" si="586"/>
        <v>0</v>
      </c>
      <c r="BK195" s="51">
        <f t="shared" si="503"/>
        <v>0</v>
      </c>
      <c r="BL195" s="51">
        <f t="shared" si="587"/>
        <v>0</v>
      </c>
      <c r="BM195" s="51">
        <f t="shared" si="504"/>
        <v>0</v>
      </c>
      <c r="BN195" s="51">
        <f t="shared" si="588"/>
        <v>0</v>
      </c>
      <c r="BO195" s="51">
        <f t="shared" si="505"/>
        <v>0</v>
      </c>
      <c r="BP195" s="54">
        <f t="shared" si="506"/>
        <v>0</v>
      </c>
      <c r="BQ195" s="55">
        <f t="shared" si="507"/>
        <v>0</v>
      </c>
      <c r="BR195" s="56">
        <f>IF(AND($E195&lt;&gt;0,$F195&gt;0,YEAR($F195)&gt;=Preisindex!$A$6,YEAR(BM$4)&gt;=YEAR($F195),AND($K195&lt;&gt;"a",$K195&lt;&gt;"b",$K195&lt;&gt;"g",$K195&lt;&gt;"k")),1,IF(AND($E195&lt;&gt;0,$F195&gt;0,YEAR($F195)&gt;=Preisindex!$A$6,YEAR(BM$4)&gt;=YEAR($F195),$K195="a"),ROUND(VLOOKUP(BR$4,Preisindex,5,FALSE)/VLOOKUP(YEAR($F195),Preisindex,5,FALSE),2),IF(AND($E195&lt;&gt;0,$F195&gt;0,YEAR($F195)&gt;=Preisindex!$A$6,YEAR(BM$4)&gt;=YEAR($F195),$K195="b"),ROUND(VLOOKUP(BR$4,Preisindex,3,FALSE)/VLOOKUP(YEAR($F195),Preisindex,3,FALSE),2),IF(AND($E195&lt;&gt;0,$F195&gt;0,YEAR($F195)&gt;=Preisindex!$A$6,YEAR(BM$4)&gt;=YEAR($F195),$K195="g"),ROUND(VLOOKUP(BR$4,Preisindex,4,FALSE)/VLOOKUP(YEAR($F195),Preisindex,4,FALSE),2),IF(AND($E195&lt;&gt;0,$F195&gt;0,YEAR($F195)&gt;=Preisindex!$A$6,YEAR(BM$4)&gt;=YEAR($F195),$K195="k"),ROUND(VLOOKUP(BR$4,Preisindex,2,FALSE)/VLOOKUP(YEAR($F195),Preisindex,2,FALSE),2),0)))))</f>
        <v>0</v>
      </c>
      <c r="BS195" s="56">
        <f>IF(AND($E195&lt;&gt;0,$F195&gt;0,YEAR($F195)&lt;Preisindex!$A$6,YEAR(BM$4)&gt;=YEAR($F195),AND($K195&lt;&gt;"a",$K195&lt;&gt;"b",$K195&lt;&gt;"g",$K195&lt;&gt;"k")),1,IF(AND($E195&lt;&gt;0,$F195&gt;0,YEAR($F195)&lt;Preisindex!$A$6,YEAR(BM$4)&gt;=YEAR($F195),$K195="a"),ROUND(VLOOKUP(BR$4,Preisindex,5,FALSE)/VLOOKUP(Preisindex!$A$6,Preisindex,5,FALSE),2),IF(AND($E195&lt;&gt;0,$F195&gt;0,YEAR($F195)&lt;Preisindex!$A$6,YEAR(BM$4)&gt;=YEAR($F195),$K195="b"),ROUND(VLOOKUP(BR$4,Preisindex,3,FALSE)/VLOOKUP(Preisindex!$A$6,Preisindex,3,FALSE),2),IF(AND($E195&lt;&gt;0,$F195&gt;0,YEAR($F195)&lt;Preisindex!$A$6,YEAR(BM$4)&gt;=YEAR($F195),$K195="g"),ROUND(VLOOKUP(BR$4,Preisindex,4,FALSE)/VLOOKUP(Preisindex!$A$6,Preisindex,4,FALSE),2),IF(AND($E195&lt;&gt;0,$F195&gt;0,YEAR($F195)&lt;Preisindex!$A$6,YEAR(BM$4)&gt;=YEAR($F195),$K195="k"),ROUND(VLOOKUP(BR$4,Preisindex,2,FALSE)/VLOOKUP(Preisindex!$A$6,Preisindex,2,FALSE),2),0)))))</f>
        <v>0</v>
      </c>
      <c r="BT195" s="51">
        <f>IF(AND($E195&lt;&gt;0,$F195&gt;0,YEAR($F195)&lt;=BR$4,YEAR($F195)&gt;=Preisindex!$A$6),ROUND($E195*BR195,2),IF(AND($E195&lt;&gt;0,$F195&gt;0,YEAR($F195)&lt;=BR$4,YEAR($F195)&lt;Preisindex!$A$6),ROUND($E195*BS195,2),0))</f>
        <v>0</v>
      </c>
      <c r="BU195" s="53">
        <f t="shared" si="508"/>
        <v>0</v>
      </c>
      <c r="BV195" s="51">
        <f t="shared" si="621"/>
        <v>0</v>
      </c>
      <c r="BW195" s="51">
        <f t="shared" si="589"/>
        <v>0</v>
      </c>
      <c r="BX195" s="51">
        <f t="shared" si="509"/>
        <v>0</v>
      </c>
      <c r="BY195" s="51">
        <f t="shared" si="590"/>
        <v>0</v>
      </c>
      <c r="BZ195" s="51">
        <f t="shared" si="510"/>
        <v>0</v>
      </c>
      <c r="CA195" s="51">
        <f t="shared" si="591"/>
        <v>0</v>
      </c>
      <c r="CB195" s="51">
        <f t="shared" si="511"/>
        <v>0</v>
      </c>
      <c r="CC195" s="51">
        <f t="shared" si="592"/>
        <v>0</v>
      </c>
      <c r="CD195" s="51">
        <f t="shared" si="512"/>
        <v>0</v>
      </c>
      <c r="CE195" s="51">
        <f t="shared" si="593"/>
        <v>0</v>
      </c>
      <c r="CF195" s="51">
        <f t="shared" si="513"/>
        <v>0</v>
      </c>
      <c r="CG195" s="54">
        <f t="shared" si="514"/>
        <v>0</v>
      </c>
      <c r="CH195" s="55">
        <f t="shared" si="515"/>
        <v>0</v>
      </c>
      <c r="CI195" s="56">
        <f>IF(AND($E195&lt;&gt;0,$F195&gt;0,YEAR($F195)&gt;=Preisindex!$A$6,YEAR(CD$4)&gt;=YEAR($F195),AND($K195&lt;&gt;"a",$K195&lt;&gt;"b",$K195&lt;&gt;"g",$K195&lt;&gt;"k")),1,IF(AND($E195&lt;&gt;0,$F195&gt;0,YEAR($F195)&gt;=Preisindex!$A$6,YEAR(CD$4)&gt;=YEAR($F195),$K195="a"),ROUND(VLOOKUP(CI$4,Preisindex,5,FALSE)/VLOOKUP(YEAR($F195),Preisindex,5,FALSE),2),IF(AND($E195&lt;&gt;0,$F195&gt;0,YEAR($F195)&gt;=Preisindex!$A$6,YEAR(CD$4)&gt;=YEAR($F195),$K195="b"),ROUND(VLOOKUP(CI$4,Preisindex,3,FALSE)/VLOOKUP(YEAR($F195),Preisindex,3,FALSE),2),IF(AND($E195&lt;&gt;0,$F195&gt;0,YEAR($F195)&gt;=Preisindex!$A$6,YEAR(CD$4)&gt;=YEAR($F195),$K195="g"),ROUND(VLOOKUP(CI$4,Preisindex,4,FALSE)/VLOOKUP(YEAR($F195),Preisindex,4,FALSE),2),IF(AND($E195&lt;&gt;0,$F195&gt;0,YEAR($F195)&gt;=Preisindex!$A$6,YEAR(CD$4)&gt;=YEAR($F195),$K195="k"),ROUND(VLOOKUP(CI$4,Preisindex,2,FALSE)/VLOOKUP(YEAR($F195),Preisindex,2,FALSE),2),0)))))</f>
        <v>0</v>
      </c>
      <c r="CJ195" s="56">
        <f>IF(AND($E195&lt;&gt;0,$F195&gt;0,YEAR($F195)&lt;Preisindex!$A$6,YEAR(CD$4)&gt;=YEAR($F195),AND($K195&lt;&gt;"a",$K195&lt;&gt;"b",$K195&lt;&gt;"g",$K195&lt;&gt;"k")),1,IF(AND($E195&lt;&gt;0,$F195&gt;0,YEAR($F195)&lt;Preisindex!$A$6,YEAR(CD$4)&gt;=YEAR($F195),$K195="a"),ROUND(VLOOKUP(CI$4,Preisindex,5,FALSE)/VLOOKUP(Preisindex!$A$6,Preisindex,5,FALSE),2),IF(AND($E195&lt;&gt;0,$F195&gt;0,YEAR($F195)&lt;Preisindex!$A$6,YEAR(CD$4)&gt;=YEAR($F195),$K195="b"),ROUND(VLOOKUP(CI$4,Preisindex,3,FALSE)/VLOOKUP(Preisindex!$A$6,Preisindex,3,FALSE),2),IF(AND($E195&lt;&gt;0,$F195&gt;0,YEAR($F195)&lt;Preisindex!$A$6,YEAR(CD$4)&gt;=YEAR($F195),$K195="g"),ROUND(VLOOKUP(CI$4,Preisindex,4,FALSE)/VLOOKUP(Preisindex!$A$6,Preisindex,4,FALSE),2),IF(AND($E195&lt;&gt;0,$F195&gt;0,YEAR($F195)&lt;Preisindex!$A$6,YEAR(CD$4)&gt;=YEAR($F195),$K195="k"),ROUND(VLOOKUP(CI$4,Preisindex,2,FALSE)/VLOOKUP(Preisindex!$A$6,Preisindex,2,FALSE),2),0)))))</f>
        <v>0</v>
      </c>
      <c r="CK195" s="51">
        <f>IF(AND($E195&lt;&gt;0,$F195&gt;0,YEAR($F195)&lt;=CI$4,YEAR($F195)&gt;=Preisindex!$A$6),ROUND($E195*CI195,2),IF(AND($E195&lt;&gt;0,$F195&gt;0,YEAR($F195)&lt;=CI$4,YEAR($F195)&lt;Preisindex!$A$6),ROUND($E195*CJ195,2),0))</f>
        <v>0</v>
      </c>
      <c r="CL195" s="53">
        <f t="shared" si="516"/>
        <v>0</v>
      </c>
      <c r="CM195" s="51">
        <f t="shared" si="621"/>
        <v>0</v>
      </c>
      <c r="CN195" s="51">
        <f t="shared" si="594"/>
        <v>0</v>
      </c>
      <c r="CO195" s="51">
        <f t="shared" si="517"/>
        <v>0</v>
      </c>
      <c r="CP195" s="51">
        <f t="shared" si="595"/>
        <v>0</v>
      </c>
      <c r="CQ195" s="51">
        <f t="shared" si="518"/>
        <v>0</v>
      </c>
      <c r="CR195" s="51">
        <f t="shared" si="596"/>
        <v>0</v>
      </c>
      <c r="CS195" s="51">
        <f t="shared" si="519"/>
        <v>0</v>
      </c>
      <c r="CT195" s="51">
        <f t="shared" si="597"/>
        <v>0</v>
      </c>
      <c r="CU195" s="51">
        <f t="shared" si="520"/>
        <v>0</v>
      </c>
      <c r="CV195" s="51">
        <f t="shared" si="598"/>
        <v>0</v>
      </c>
      <c r="CW195" s="51">
        <f t="shared" si="521"/>
        <v>0</v>
      </c>
      <c r="CX195" s="54">
        <f t="shared" si="522"/>
        <v>0</v>
      </c>
      <c r="CY195" s="55">
        <f t="shared" si="523"/>
        <v>0</v>
      </c>
      <c r="CZ195" s="56">
        <f>IF(AND($E195&lt;&gt;0,$F195&gt;0,YEAR($F195)&gt;=Preisindex!$A$6,YEAR(CU$4)&gt;=YEAR($F195),AND($K195&lt;&gt;"a",$K195&lt;&gt;"b",$K195&lt;&gt;"g",$K195&lt;&gt;"k")),1,IF(AND($E195&lt;&gt;0,$F195&gt;0,YEAR($F195)&gt;=Preisindex!$A$6,YEAR(CU$4)&gt;=YEAR($F195),$K195="a"),ROUND(VLOOKUP(CZ$4,Preisindex,5,FALSE)/VLOOKUP(YEAR($F195),Preisindex,5,FALSE),2),IF(AND($E195&lt;&gt;0,$F195&gt;0,YEAR($F195)&gt;=Preisindex!$A$6,YEAR(CU$4)&gt;=YEAR($F195),$K195="b"),ROUND(VLOOKUP(CZ$4,Preisindex,3,FALSE)/VLOOKUP(YEAR($F195),Preisindex,3,FALSE),2),IF(AND($E195&lt;&gt;0,$F195&gt;0,YEAR($F195)&gt;=Preisindex!$A$6,YEAR(CU$4)&gt;=YEAR($F195),$K195="g"),ROUND(VLOOKUP(CZ$4,Preisindex,4,FALSE)/VLOOKUP(YEAR($F195),Preisindex,4,FALSE),2),IF(AND($E195&lt;&gt;0,$F195&gt;0,YEAR($F195)&gt;=Preisindex!$A$6,YEAR(CU$4)&gt;=YEAR($F195),$K195="k"),ROUND(VLOOKUP(CZ$4,Preisindex,2,FALSE)/VLOOKUP(YEAR($F195),Preisindex,2,FALSE),2),0)))))</f>
        <v>0</v>
      </c>
      <c r="DA195" s="56">
        <f>IF(AND($E195&lt;&gt;0,$F195&gt;0,YEAR($F195)&lt;Preisindex!$A$6,YEAR(CU$4)&gt;=YEAR($F195),AND($K195&lt;&gt;"a",$K195&lt;&gt;"b",$K195&lt;&gt;"g",$K195&lt;&gt;"k")),1,IF(AND($E195&lt;&gt;0,$F195&gt;0,YEAR($F195)&lt;Preisindex!$A$6,YEAR(CU$4)&gt;=YEAR($F195),$K195="a"),ROUND(VLOOKUP(CZ$4,Preisindex,5,FALSE)/VLOOKUP(Preisindex!$A$6,Preisindex,5,FALSE),2),IF(AND($E195&lt;&gt;0,$F195&gt;0,YEAR($F195)&lt;Preisindex!$A$6,YEAR(CU$4)&gt;=YEAR($F195),$K195="b"),ROUND(VLOOKUP(CZ$4,Preisindex,3,FALSE)/VLOOKUP(Preisindex!$A$6,Preisindex,3,FALSE),2),IF(AND($E195&lt;&gt;0,$F195&gt;0,YEAR($F195)&lt;Preisindex!$A$6,YEAR(CU$4)&gt;=YEAR($F195),$K195="g"),ROUND(VLOOKUP(CZ$4,Preisindex,4,FALSE)/VLOOKUP(Preisindex!$A$6,Preisindex,4,FALSE),2),IF(AND($E195&lt;&gt;0,$F195&gt;0,YEAR($F195)&lt;Preisindex!$A$6,YEAR(CU$4)&gt;=YEAR($F195),$K195="k"),ROUND(VLOOKUP(CZ$4,Preisindex,2,FALSE)/VLOOKUP(Preisindex!$A$6,Preisindex,2,FALSE),2),0)))))</f>
        <v>0</v>
      </c>
      <c r="DB195" s="51">
        <f>IF(AND($E195&lt;&gt;0,$F195&gt;0,YEAR($F195)&lt;=CZ$4,YEAR($F195)&gt;=Preisindex!$A$6),ROUND($E195*CZ195,2),IF(AND($E195&lt;&gt;0,$F195&gt;0,YEAR($F195)&lt;=CZ$4,YEAR($F195)&lt;Preisindex!$A$6),ROUND($E195*DA195,2),0))</f>
        <v>0</v>
      </c>
      <c r="DC195" s="53">
        <f t="shared" si="524"/>
        <v>0</v>
      </c>
      <c r="DD195" s="51">
        <f t="shared" si="622"/>
        <v>0</v>
      </c>
      <c r="DE195" s="51">
        <f t="shared" si="599"/>
        <v>0</v>
      </c>
      <c r="DF195" s="51">
        <f t="shared" si="526"/>
        <v>0</v>
      </c>
      <c r="DG195" s="51">
        <f t="shared" si="600"/>
        <v>0</v>
      </c>
      <c r="DH195" s="51">
        <f t="shared" si="527"/>
        <v>0</v>
      </c>
      <c r="DI195" s="51">
        <f t="shared" si="601"/>
        <v>0</v>
      </c>
      <c r="DJ195" s="51">
        <f t="shared" si="528"/>
        <v>0</v>
      </c>
      <c r="DK195" s="51">
        <f t="shared" si="602"/>
        <v>0</v>
      </c>
      <c r="DL195" s="51">
        <f t="shared" si="529"/>
        <v>0</v>
      </c>
      <c r="DM195" s="51">
        <f t="shared" si="603"/>
        <v>0</v>
      </c>
      <c r="DN195" s="51">
        <f t="shared" si="530"/>
        <v>0</v>
      </c>
      <c r="DO195" s="54">
        <f t="shared" si="531"/>
        <v>0</v>
      </c>
      <c r="DP195" s="55">
        <f t="shared" si="532"/>
        <v>0</v>
      </c>
      <c r="DQ195" s="56">
        <f>IF(AND($E195&lt;&gt;0,$F195&gt;0,YEAR($F195)&gt;=Preisindex!$A$6,YEAR(DL$4)&gt;=YEAR($F195),AND($K195&lt;&gt;"a",$K195&lt;&gt;"b",$K195&lt;&gt;"g",$K195&lt;&gt;"k")),1,IF(AND($E195&lt;&gt;0,$F195&gt;0,YEAR($F195)&gt;=Preisindex!$A$6,YEAR(DL$4)&gt;=YEAR($F195),$K195="a"),ROUND(VLOOKUP(DQ$4,Preisindex,5,FALSE)/VLOOKUP(YEAR($F195),Preisindex,5,FALSE),2),IF(AND($E195&lt;&gt;0,$F195&gt;0,YEAR($F195)&gt;=Preisindex!$A$6,YEAR(DL$4)&gt;=YEAR($F195),$K195="b"),ROUND(VLOOKUP(DQ$4,Preisindex,3,FALSE)/VLOOKUP(YEAR($F195),Preisindex,3,FALSE),2),IF(AND($E195&lt;&gt;0,$F195&gt;0,YEAR($F195)&gt;=Preisindex!$A$6,YEAR(DL$4)&gt;=YEAR($F195),$K195="g"),ROUND(VLOOKUP(DQ$4,Preisindex,4,FALSE)/VLOOKUP(YEAR($F195),Preisindex,4,FALSE),2),IF(AND($E195&lt;&gt;0,$F195&gt;0,YEAR($F195)&gt;=Preisindex!$A$6,YEAR(DL$4)&gt;=YEAR($F195),$K195="k"),ROUND(VLOOKUP(DQ$4,Preisindex,2,FALSE)/VLOOKUP(YEAR($F195),Preisindex,2,FALSE),2),0)))))</f>
        <v>0</v>
      </c>
      <c r="DR195" s="56">
        <f>IF(AND($E195&lt;&gt;0,$F195&gt;0,YEAR($F195)&lt;Preisindex!$A$6,YEAR(DL$4)&gt;=YEAR($F195),AND($K195&lt;&gt;"a",$K195&lt;&gt;"b",$K195&lt;&gt;"g",$K195&lt;&gt;"k")),1,IF(AND($E195&lt;&gt;0,$F195&gt;0,YEAR($F195)&lt;Preisindex!$A$6,YEAR(DL$4)&gt;=YEAR($F195),$K195="a"),ROUND(VLOOKUP(DQ$4,Preisindex,5,FALSE)/VLOOKUP(Preisindex!$A$6,Preisindex,5,FALSE),2),IF(AND($E195&lt;&gt;0,$F195&gt;0,YEAR($F195)&lt;Preisindex!$A$6,YEAR(DL$4)&gt;=YEAR($F195),$K195="b"),ROUND(VLOOKUP(DQ$4,Preisindex,3,FALSE)/VLOOKUP(Preisindex!$A$6,Preisindex,3,FALSE),2),IF(AND($E195&lt;&gt;0,$F195&gt;0,YEAR($F195)&lt;Preisindex!$A$6,YEAR(DL$4)&gt;=YEAR($F195),$K195="g"),ROUND(VLOOKUP(DQ$4,Preisindex,4,FALSE)/VLOOKUP(Preisindex!$A$6,Preisindex,4,FALSE),2),IF(AND($E195&lt;&gt;0,$F195&gt;0,YEAR($F195)&lt;Preisindex!$A$6,YEAR(DL$4)&gt;=YEAR($F195),$K195="k"),ROUND(VLOOKUP(DQ$4,Preisindex,2,FALSE)/VLOOKUP(Preisindex!$A$6,Preisindex,2,FALSE),2),0)))))</f>
        <v>0</v>
      </c>
      <c r="DS195" s="51">
        <f>IF(AND($E195&lt;&gt;0,$F195&gt;0,YEAR($F195)&lt;=DQ$4,YEAR($F195)&gt;=Preisindex!$A$6),ROUND($E195*DQ195,2),IF(AND($E195&lt;&gt;0,$F195&gt;0,YEAR($F195)&lt;=DQ$4,YEAR($F195)&lt;Preisindex!$A$6),ROUND($E195*DR195,2),0))</f>
        <v>0</v>
      </c>
      <c r="DT195" s="53">
        <f t="shared" si="533"/>
        <v>0</v>
      </c>
      <c r="DU195" s="51">
        <f t="shared" si="622"/>
        <v>0</v>
      </c>
      <c r="DV195" s="51">
        <f t="shared" si="604"/>
        <v>0</v>
      </c>
      <c r="DW195" s="51">
        <f t="shared" si="534"/>
        <v>0</v>
      </c>
      <c r="DX195" s="51">
        <f t="shared" si="605"/>
        <v>0</v>
      </c>
      <c r="DY195" s="51">
        <f t="shared" si="535"/>
        <v>0</v>
      </c>
      <c r="DZ195" s="51">
        <f t="shared" si="606"/>
        <v>0</v>
      </c>
      <c r="EA195" s="51">
        <f t="shared" si="536"/>
        <v>0</v>
      </c>
      <c r="EB195" s="51">
        <f t="shared" si="607"/>
        <v>0</v>
      </c>
      <c r="EC195" s="51">
        <f t="shared" si="537"/>
        <v>0</v>
      </c>
      <c r="ED195" s="51">
        <f t="shared" si="608"/>
        <v>0</v>
      </c>
      <c r="EE195" s="51">
        <f t="shared" si="538"/>
        <v>0</v>
      </c>
      <c r="EF195" s="54">
        <f t="shared" si="539"/>
        <v>0</v>
      </c>
      <c r="EG195" s="55">
        <f t="shared" si="540"/>
        <v>0</v>
      </c>
      <c r="EH195" s="56">
        <f>IF(AND($E195&lt;&gt;0,$F195&gt;0,YEAR($F195)&gt;=Preisindex!$A$6,YEAR(EC$4)&gt;=YEAR($F195),AND($K195&lt;&gt;"a",$K195&lt;&gt;"b",$K195&lt;&gt;"g",$K195&lt;&gt;"k")),1,IF(AND($E195&lt;&gt;0,$F195&gt;0,YEAR($F195)&gt;=Preisindex!$A$6,YEAR(EC$4)&gt;=YEAR($F195),$K195="a"),ROUND(VLOOKUP(EH$4,Preisindex,5,FALSE)/VLOOKUP(YEAR($F195),Preisindex,5,FALSE),2),IF(AND($E195&lt;&gt;0,$F195&gt;0,YEAR($F195)&gt;=Preisindex!$A$6,YEAR(EC$4)&gt;=YEAR($F195),$K195="b"),ROUND(VLOOKUP(EH$4,Preisindex,3,FALSE)/VLOOKUP(YEAR($F195),Preisindex,3,FALSE),2),IF(AND($E195&lt;&gt;0,$F195&gt;0,YEAR($F195)&gt;=Preisindex!$A$6,YEAR(EC$4)&gt;=YEAR($F195),$K195="g"),ROUND(VLOOKUP(EH$4,Preisindex,4,FALSE)/VLOOKUP(YEAR($F195),Preisindex,4,FALSE),2),IF(AND($E195&lt;&gt;0,$F195&gt;0,YEAR($F195)&gt;=Preisindex!$A$6,YEAR(EC$4)&gt;=YEAR($F195),$K195="k"),ROUND(VLOOKUP(EH$4,Preisindex,2,FALSE)/VLOOKUP(YEAR($F195),Preisindex,2,FALSE),2),0)))))</f>
        <v>0</v>
      </c>
      <c r="EI195" s="56">
        <f>IF(AND($E195&lt;&gt;0,$F195&gt;0,YEAR($F195)&lt;Preisindex!$A$6,YEAR(EC$4)&gt;=YEAR($F195),AND($K195&lt;&gt;"a",$K195&lt;&gt;"b",$K195&lt;&gt;"g",$K195&lt;&gt;"k")),1,IF(AND($E195&lt;&gt;0,$F195&gt;0,YEAR($F195)&lt;Preisindex!$A$6,YEAR(EC$4)&gt;=YEAR($F195),$K195="a"),ROUND(VLOOKUP(EH$4,Preisindex,5,FALSE)/VLOOKUP(Preisindex!$A$6,Preisindex,5,FALSE),2),IF(AND($E195&lt;&gt;0,$F195&gt;0,YEAR($F195)&lt;Preisindex!$A$6,YEAR(EC$4)&gt;=YEAR($F195),$K195="b"),ROUND(VLOOKUP(EH$4,Preisindex,3,FALSE)/VLOOKUP(Preisindex!$A$6,Preisindex,3,FALSE),2),IF(AND($E195&lt;&gt;0,$F195&gt;0,YEAR($F195)&lt;Preisindex!$A$6,YEAR(EC$4)&gt;=YEAR($F195),$K195="g"),ROUND(VLOOKUP(EH$4,Preisindex,4,FALSE)/VLOOKUP(Preisindex!$A$6,Preisindex,4,FALSE),2),IF(AND($E195&lt;&gt;0,$F195&gt;0,YEAR($F195)&lt;Preisindex!$A$6,YEAR(EC$4)&gt;=YEAR($F195),$K195="k"),ROUND(VLOOKUP(EH$4,Preisindex,2,FALSE)/VLOOKUP(Preisindex!$A$6,Preisindex,2,FALSE),2),0)))))</f>
        <v>0</v>
      </c>
      <c r="EJ195" s="51">
        <f>IF(AND($E195&lt;&gt;0,$F195&gt;0,YEAR($F195)&lt;=EH$4,YEAR($F195)&gt;=Preisindex!$A$6),ROUND($E195*EH195,2),IF(AND($E195&lt;&gt;0,$F195&gt;0,YEAR($F195)&lt;=EH$4,YEAR($F195)&lt;Preisindex!$A$6),ROUND($E195*EI195,2),0))</f>
        <v>0</v>
      </c>
      <c r="EK195" s="53">
        <f t="shared" si="541"/>
        <v>0</v>
      </c>
      <c r="EL195" s="51">
        <f t="shared" si="622"/>
        <v>0</v>
      </c>
      <c r="EM195" s="51">
        <f t="shared" si="609"/>
        <v>0</v>
      </c>
      <c r="EN195" s="51">
        <f t="shared" si="542"/>
        <v>0</v>
      </c>
      <c r="EO195" s="51">
        <f t="shared" si="610"/>
        <v>0</v>
      </c>
      <c r="EP195" s="51">
        <f t="shared" si="543"/>
        <v>0</v>
      </c>
      <c r="EQ195" s="51">
        <f t="shared" si="611"/>
        <v>0</v>
      </c>
      <c r="ER195" s="51">
        <f t="shared" si="544"/>
        <v>0</v>
      </c>
      <c r="ES195" s="51">
        <f t="shared" si="612"/>
        <v>0</v>
      </c>
      <c r="ET195" s="51">
        <f t="shared" si="545"/>
        <v>0</v>
      </c>
      <c r="EU195" s="51">
        <f t="shared" si="613"/>
        <v>0</v>
      </c>
      <c r="EV195" s="51">
        <f t="shared" si="546"/>
        <v>0</v>
      </c>
      <c r="EW195" s="54">
        <f t="shared" si="547"/>
        <v>0</v>
      </c>
      <c r="EX195" s="55">
        <f t="shared" si="548"/>
        <v>0</v>
      </c>
      <c r="EY195" s="56">
        <f>IF(AND($E195&lt;&gt;0,$F195&gt;0,YEAR($F195)&gt;=Preisindex!$A$6,YEAR(ET$4)&gt;=YEAR($F195),AND($K195&lt;&gt;"a",$K195&lt;&gt;"b",$K195&lt;&gt;"g",$K195&lt;&gt;"k")),1,IF(AND($E195&lt;&gt;0,$F195&gt;0,YEAR($F195)&gt;=Preisindex!$A$6,YEAR(ET$4)&gt;=YEAR($F195),$K195="a"),ROUND(VLOOKUP(EY$4,Preisindex,5,FALSE)/VLOOKUP(YEAR($F195),Preisindex,5,FALSE),2),IF(AND($E195&lt;&gt;0,$F195&gt;0,YEAR($F195)&gt;=Preisindex!$A$6,YEAR(ET$4)&gt;=YEAR($F195),$K195="b"),ROUND(VLOOKUP(EY$4,Preisindex,3,FALSE)/VLOOKUP(YEAR($F195),Preisindex,3,FALSE),2),IF(AND($E195&lt;&gt;0,$F195&gt;0,YEAR($F195)&gt;=Preisindex!$A$6,YEAR(ET$4)&gt;=YEAR($F195),$K195="g"),ROUND(VLOOKUP(EY$4,Preisindex,4,FALSE)/VLOOKUP(YEAR($F195),Preisindex,4,FALSE),2),IF(AND($E195&lt;&gt;0,$F195&gt;0,YEAR($F195)&gt;=Preisindex!$A$6,YEAR(ET$4)&gt;=YEAR($F195),$K195="k"),ROUND(VLOOKUP(EY$4,Preisindex,2,FALSE)/VLOOKUP(YEAR($F195),Preisindex,2,FALSE),2),0)))))</f>
        <v>0</v>
      </c>
      <c r="EZ195" s="56">
        <f>IF(AND($E195&lt;&gt;0,$F195&gt;0,YEAR($F195)&lt;Preisindex!$A$6,YEAR(ET$4)&gt;=YEAR($F195),AND($K195&lt;&gt;"a",$K195&lt;&gt;"b",$K195&lt;&gt;"g",$K195&lt;&gt;"k")),1,IF(AND($E195&lt;&gt;0,$F195&gt;0,YEAR($F195)&lt;Preisindex!$A$6,YEAR(ET$4)&gt;=YEAR($F195),$K195="a"),ROUND(VLOOKUP(EY$4,Preisindex,5,FALSE)/VLOOKUP(Preisindex!$A$6,Preisindex,5,FALSE),2),IF(AND($E195&lt;&gt;0,$F195&gt;0,YEAR($F195)&lt;Preisindex!$A$6,YEAR(ET$4)&gt;=YEAR($F195),$K195="b"),ROUND(VLOOKUP(EY$4,Preisindex,3,FALSE)/VLOOKUP(Preisindex!$A$6,Preisindex,3,FALSE),2),IF(AND($E195&lt;&gt;0,$F195&gt;0,YEAR($F195)&lt;Preisindex!$A$6,YEAR(ET$4)&gt;=YEAR($F195),$K195="g"),ROUND(VLOOKUP(EY$4,Preisindex,4,FALSE)/VLOOKUP(Preisindex!$A$6,Preisindex,4,FALSE),2),IF(AND($E195&lt;&gt;0,$F195&gt;0,YEAR($F195)&lt;Preisindex!$A$6,YEAR(ET$4)&gt;=YEAR($F195),$K195="k"),ROUND(VLOOKUP(EY$4,Preisindex,2,FALSE)/VLOOKUP(Preisindex!$A$6,Preisindex,2,FALSE),2),0)))))</f>
        <v>0</v>
      </c>
      <c r="FA195" s="51">
        <f>IF(AND($E195&lt;&gt;0,$F195&gt;0,YEAR($F195)&lt;=EY$4,YEAR($F195)&gt;=Preisindex!$A$6),ROUND($E195*EY195,2),IF(AND($E195&lt;&gt;0,$F195&gt;0,YEAR($F195)&lt;=EY$4,YEAR($F195)&lt;Preisindex!$A$6),ROUND($E195*EZ195,2),0))</f>
        <v>0</v>
      </c>
      <c r="FB195" s="53">
        <f t="shared" si="549"/>
        <v>0</v>
      </c>
      <c r="FC195" s="51">
        <f t="shared" si="622"/>
        <v>0</v>
      </c>
      <c r="FD195" s="51">
        <f t="shared" si="614"/>
        <v>0</v>
      </c>
      <c r="FE195" s="51">
        <f t="shared" si="550"/>
        <v>0</v>
      </c>
      <c r="FF195" s="51">
        <f t="shared" si="615"/>
        <v>0</v>
      </c>
      <c r="FG195" s="51">
        <f t="shared" si="551"/>
        <v>0</v>
      </c>
      <c r="FH195" s="51">
        <f t="shared" si="616"/>
        <v>0</v>
      </c>
      <c r="FI195" s="51">
        <f t="shared" si="552"/>
        <v>0</v>
      </c>
      <c r="FJ195" s="51">
        <f t="shared" si="617"/>
        <v>0</v>
      </c>
      <c r="FK195" s="51">
        <f t="shared" si="553"/>
        <v>0</v>
      </c>
      <c r="FL195" s="51">
        <f t="shared" si="618"/>
        <v>0</v>
      </c>
      <c r="FM195" s="51">
        <f t="shared" si="554"/>
        <v>0</v>
      </c>
      <c r="FN195" s="54">
        <f t="shared" si="555"/>
        <v>0</v>
      </c>
      <c r="FO195" s="55">
        <f t="shared" si="556"/>
        <v>0</v>
      </c>
      <c r="FP195" s="56">
        <f>IF(AND($E195&lt;&gt;0,$F195&gt;0,YEAR($F195)&gt;=Preisindex!$A$6,YEAR(FK$4)&gt;=YEAR($F195),AND($K195&lt;&gt;"a",$K195&lt;&gt;"b",$K195&lt;&gt;"g",$K195&lt;&gt;"k")),1,IF(AND($E195&lt;&gt;0,$F195&gt;0,YEAR($F195)&gt;=Preisindex!$A$6,YEAR(FK$4)&gt;=YEAR($F195),$K195="a"),ROUND(VLOOKUP(FP$4,Preisindex,5,FALSE)/VLOOKUP(YEAR($F195),Preisindex,5,FALSE),2),IF(AND($E195&lt;&gt;0,$F195&gt;0,YEAR($F195)&gt;=Preisindex!$A$6,YEAR(FK$4)&gt;=YEAR($F195),$K195="b"),ROUND(VLOOKUP(FP$4,Preisindex,3,FALSE)/VLOOKUP(YEAR($F195),Preisindex,3,FALSE),2),IF(AND($E195&lt;&gt;0,$F195&gt;0,YEAR($F195)&gt;=Preisindex!$A$6,YEAR(FK$4)&gt;=YEAR($F195),$K195="g"),ROUND(VLOOKUP(FP$4,Preisindex,4,FALSE)/VLOOKUP(YEAR($F195),Preisindex,4,FALSE),2),IF(AND($E195&lt;&gt;0,$F195&gt;0,YEAR($F195)&gt;=Preisindex!$A$6,YEAR(FK$4)&gt;=YEAR($F195),$K195="k"),ROUND(VLOOKUP(FP$4,Preisindex,2,FALSE)/VLOOKUP(YEAR($F195),Preisindex,2,FALSE),2),0)))))</f>
        <v>0</v>
      </c>
      <c r="FQ195" s="56">
        <f>IF(AND($E195&lt;&gt;0,$F195&gt;0,YEAR($F195)&lt;Preisindex!$A$6,YEAR(FK$4)&gt;=YEAR($F195),AND($K195&lt;&gt;"a",$K195&lt;&gt;"b",$K195&lt;&gt;"g",$K195&lt;&gt;"k")),1,IF(AND($E195&lt;&gt;0,$F195&gt;0,YEAR($F195)&lt;Preisindex!$A$6,YEAR(FK$4)&gt;=YEAR($F195),$K195="a"),ROUND(VLOOKUP(FP$4,Preisindex,5,FALSE)/VLOOKUP(Preisindex!$A$6,Preisindex,5,FALSE),2),IF(AND($E195&lt;&gt;0,$F195&gt;0,YEAR($F195)&lt;Preisindex!$A$6,YEAR(FK$4)&gt;=YEAR($F195),$K195="b"),ROUND(VLOOKUP(FP$4,Preisindex,3,FALSE)/VLOOKUP(Preisindex!$A$6,Preisindex,3,FALSE),2),IF(AND($E195&lt;&gt;0,$F195&gt;0,YEAR($F195)&lt;Preisindex!$A$6,YEAR(FK$4)&gt;=YEAR($F195),$K195="g"),ROUND(VLOOKUP(FP$4,Preisindex,4,FALSE)/VLOOKUP(Preisindex!$A$6,Preisindex,4,FALSE),2),IF(AND($E195&lt;&gt;0,$F195&gt;0,YEAR($F195)&lt;Preisindex!$A$6,YEAR(FK$4)&gt;=YEAR($F195),$K195="k"),ROUND(VLOOKUP(FP$4,Preisindex,2,FALSE)/VLOOKUP(Preisindex!$A$6,Preisindex,2,FALSE),2),0)))))</f>
        <v>0</v>
      </c>
      <c r="FR195" s="51">
        <f>IF(AND($E195&lt;&gt;0,$F195&gt;0,YEAR($F195)&lt;=FP$4,YEAR($F195)&gt;=Preisindex!$A$6),ROUND($E195*FP195,2),IF(AND($E195&lt;&gt;0,$F195&gt;0,YEAR($F195)&lt;=FP$4,YEAR($F195)&lt;Preisindex!$A$6),ROUND($E195*FQ195,2),0))</f>
        <v>0</v>
      </c>
      <c r="FS195" s="53">
        <f t="shared" si="557"/>
        <v>0</v>
      </c>
    </row>
    <row r="196" spans="1:175" x14ac:dyDescent="0.3">
      <c r="A196" s="93"/>
      <c r="B196" s="94"/>
      <c r="C196" s="94"/>
      <c r="D196" s="95"/>
      <c r="E196" s="99"/>
      <c r="F196" s="97"/>
      <c r="G196" s="98"/>
      <c r="H196" s="620"/>
      <c r="I196" s="621"/>
      <c r="J196" s="194"/>
      <c r="K196" s="630"/>
      <c r="L196" s="49">
        <f t="shared" si="558"/>
        <v>0</v>
      </c>
      <c r="M196" s="50">
        <f t="shared" si="559"/>
        <v>0</v>
      </c>
      <c r="N196" s="51">
        <f t="shared" si="560"/>
        <v>0</v>
      </c>
      <c r="O196" s="51"/>
      <c r="P196" s="51">
        <f t="shared" si="561"/>
        <v>0</v>
      </c>
      <c r="Q196" s="52"/>
      <c r="R196" s="52"/>
      <c r="S196" s="52"/>
      <c r="T196" s="52"/>
      <c r="U196" s="52"/>
      <c r="V196" s="53">
        <f t="shared" si="562"/>
        <v>0</v>
      </c>
      <c r="W196" s="51">
        <f t="shared" si="563"/>
        <v>0</v>
      </c>
      <c r="X196" s="51">
        <f t="shared" si="564"/>
        <v>0</v>
      </c>
      <c r="Y196" s="51">
        <f t="shared" si="565"/>
        <v>0</v>
      </c>
      <c r="Z196" s="51">
        <f t="shared" si="566"/>
        <v>0</v>
      </c>
      <c r="AA196" s="51">
        <f t="shared" si="567"/>
        <v>0</v>
      </c>
      <c r="AB196" s="51">
        <f t="shared" si="568"/>
        <v>0</v>
      </c>
      <c r="AC196" s="51">
        <f t="shared" si="569"/>
        <v>0</v>
      </c>
      <c r="AD196" s="51">
        <f t="shared" si="570"/>
        <v>0</v>
      </c>
      <c r="AE196" s="51">
        <f t="shared" si="571"/>
        <v>0</v>
      </c>
      <c r="AF196" s="51">
        <f t="shared" si="572"/>
        <v>0</v>
      </c>
      <c r="AG196" s="51">
        <f t="shared" si="573"/>
        <v>0</v>
      </c>
      <c r="AH196" s="54">
        <f t="shared" si="574"/>
        <v>0</v>
      </c>
      <c r="AI196" s="55">
        <f t="shared" si="575"/>
        <v>0</v>
      </c>
      <c r="AJ196" s="56">
        <f>IF(AND($E196&lt;&gt;0,$F196&gt;0,YEAR($F196)&gt;=Preisindex!$A$6,YEAR(AE$4)&gt;=YEAR($F196),AND($K196&lt;&gt;"a",$K196&lt;&gt;"b",$K196&lt;&gt;"g",$K196&lt;&gt;"k")),1,IF(AND($E196&lt;&gt;0,$F196&gt;0,YEAR($F196)&gt;=Preisindex!$A$6,YEAR(AE$4)&gt;=YEAR($F196),$K196="a"),ROUND(VLOOKUP(AJ$4,Preisindex,5,FALSE)/VLOOKUP(YEAR($F196),Preisindex,5,FALSE),2),IF(AND($E196&lt;&gt;0,$F196&gt;0,YEAR($F196)&gt;=Preisindex!$A$6,YEAR(AE$4)&gt;=YEAR($F196),$K196="b"),ROUND(VLOOKUP(AJ$4,Preisindex,3,FALSE)/VLOOKUP(YEAR($F196),Preisindex,3,FALSE),2),IF(AND($E196&lt;&gt;0,$F196&gt;0,YEAR($F196)&gt;=Preisindex!$A$6,YEAR(AE$4)&gt;=YEAR($F196),$K196="g"),ROUND(VLOOKUP(AJ$4,Preisindex,4,FALSE)/VLOOKUP(YEAR($F196),Preisindex,4,FALSE),2),IF(AND($E196&lt;&gt;0,$F196&gt;0,YEAR($F196)&gt;=Preisindex!$A$6,YEAR(AE$4)&gt;=YEAR($F196),$K196="k"),ROUND(VLOOKUP(AJ$4,Preisindex,2,FALSE)/VLOOKUP(YEAR($F196),Preisindex,2,FALSE),2),0)))))</f>
        <v>0</v>
      </c>
      <c r="AK196" s="56">
        <f>IF(AND($E196&lt;&gt;0,$F196&gt;0,YEAR($F196)&lt;Preisindex!$A$6,YEAR(AE$4)&gt;=YEAR($F196),AND($K196&lt;&gt;"a",$K196&lt;&gt;"b",$K196&lt;&gt;"g",$K196&lt;&gt;"k")),1,IF(AND($E196&lt;&gt;0,$F196&gt;0,YEAR($F196)&lt;Preisindex!$A$6,YEAR(AE$4)&gt;=YEAR($F196),$K196="a"),ROUND(VLOOKUP(AJ$4,Preisindex,5,FALSE)/VLOOKUP(Preisindex!$A$6,Preisindex,5,FALSE),2),IF(AND($E196&lt;&gt;0,$F196&gt;0,YEAR($F196)&lt;Preisindex!$A$6,YEAR(AE$4)&gt;=YEAR($F196),$K196="b"),ROUND(VLOOKUP(AJ$4,Preisindex,3,FALSE)/VLOOKUP(Preisindex!$A$6,Preisindex,3,FALSE),2),IF(AND($E196&lt;&gt;0,$F196&gt;0,YEAR($F196)&lt;Preisindex!$A$6,YEAR(AE$4)&gt;=YEAR($F196),$K196="g"),ROUND(VLOOKUP(AJ$4,Preisindex,4,FALSE)/VLOOKUP(Preisindex!$A$6,Preisindex,4,FALSE),2),IF(AND($E196&lt;&gt;0,$F196&gt;0,YEAR($F196)&lt;Preisindex!$A$6,YEAR(AE$4)&gt;=YEAR($F196),$K196="k"),ROUND(VLOOKUP(AJ$4,Preisindex,2,FALSE)/VLOOKUP(Preisindex!$A$6,Preisindex,2,FALSE),2),0)))))</f>
        <v>0</v>
      </c>
      <c r="AL196" s="51">
        <f>IF(AND($E196&lt;&gt;0,$F196&gt;0,YEAR($F196)&lt;=AJ$4,YEAR($F196)&gt;=Preisindex!$A$6),ROUND($E196*AJ196,2),IF(AND($E196&lt;&gt;0,$F196&gt;0,YEAR($F196)&lt;=AJ$4,YEAR($F196)&lt;Preisindex!$A$6),ROUND($E196*AK196,2),0))</f>
        <v>0</v>
      </c>
      <c r="AM196" s="53">
        <f t="shared" si="576"/>
        <v>0</v>
      </c>
      <c r="AN196" s="51">
        <f t="shared" si="621"/>
        <v>0</v>
      </c>
      <c r="AO196" s="51">
        <f t="shared" si="579"/>
        <v>0</v>
      </c>
      <c r="AP196" s="51">
        <f t="shared" si="493"/>
        <v>0</v>
      </c>
      <c r="AQ196" s="51">
        <f t="shared" si="580"/>
        <v>0</v>
      </c>
      <c r="AR196" s="51">
        <f t="shared" si="494"/>
        <v>0</v>
      </c>
      <c r="AS196" s="51">
        <f t="shared" si="581"/>
        <v>0</v>
      </c>
      <c r="AT196" s="51">
        <f t="shared" si="495"/>
        <v>0</v>
      </c>
      <c r="AU196" s="51">
        <f t="shared" si="582"/>
        <v>0</v>
      </c>
      <c r="AV196" s="51">
        <f t="shared" si="496"/>
        <v>0</v>
      </c>
      <c r="AW196" s="51">
        <f t="shared" si="583"/>
        <v>0</v>
      </c>
      <c r="AX196" s="51">
        <f t="shared" si="497"/>
        <v>0</v>
      </c>
      <c r="AY196" s="54">
        <f t="shared" si="498"/>
        <v>0</v>
      </c>
      <c r="AZ196" s="55">
        <f t="shared" si="499"/>
        <v>0</v>
      </c>
      <c r="BA196" s="56">
        <f>IF(AND($E196&lt;&gt;0,$F196&gt;0,YEAR($F196)&gt;=Preisindex!$A$6,YEAR(AV$4)&gt;=YEAR($F196),AND($K196&lt;&gt;"a",$K196&lt;&gt;"b",$K196&lt;&gt;"g",$K196&lt;&gt;"k")),1,IF(AND($E196&lt;&gt;0,$F196&gt;0,YEAR($F196)&gt;=Preisindex!$A$6,YEAR(AV$4)&gt;=YEAR($F196),$K196="a"),ROUND(VLOOKUP(BA$4,Preisindex,5,FALSE)/VLOOKUP(YEAR($F196),Preisindex,5,FALSE),2),IF(AND($E196&lt;&gt;0,$F196&gt;0,YEAR($F196)&gt;=Preisindex!$A$6,YEAR(AV$4)&gt;=YEAR($F196),$K196="b"),ROUND(VLOOKUP(BA$4,Preisindex,3,FALSE)/VLOOKUP(YEAR($F196),Preisindex,3,FALSE),2),IF(AND($E196&lt;&gt;0,$F196&gt;0,YEAR($F196)&gt;=Preisindex!$A$6,YEAR(AV$4)&gt;=YEAR($F196),$K196="g"),ROUND(VLOOKUP(BA$4,Preisindex,4,FALSE)/VLOOKUP(YEAR($F196),Preisindex,4,FALSE),2),IF(AND($E196&lt;&gt;0,$F196&gt;0,YEAR($F196)&gt;=Preisindex!$A$6,YEAR(AV$4)&gt;=YEAR($F196),$K196="k"),ROUND(VLOOKUP(BA$4,Preisindex,2,FALSE)/VLOOKUP(YEAR($F196),Preisindex,2,FALSE),2),0)))))</f>
        <v>0</v>
      </c>
      <c r="BB196" s="56">
        <f>IF(AND($E196&lt;&gt;0,$F196&gt;0,YEAR($F196)&lt;Preisindex!$A$6,YEAR(AV$4)&gt;=YEAR($F196),AND($K196&lt;&gt;"a",$K196&lt;&gt;"b",$K196&lt;&gt;"g",$K196&lt;&gt;"k")),1,IF(AND($E196&lt;&gt;0,$F196&gt;0,YEAR($F196)&lt;Preisindex!$A$6,YEAR(AV$4)&gt;=YEAR($F196),$K196="a"),ROUND(VLOOKUP(BA$4,Preisindex,5,FALSE)/VLOOKUP(Preisindex!$A$6,Preisindex,5,FALSE),2),IF(AND($E196&lt;&gt;0,$F196&gt;0,YEAR($F196)&lt;Preisindex!$A$6,YEAR(AV$4)&gt;=YEAR($F196),$K196="b"),ROUND(VLOOKUP(BA$4,Preisindex,3,FALSE)/VLOOKUP(Preisindex!$A$6,Preisindex,3,FALSE),2),IF(AND($E196&lt;&gt;0,$F196&gt;0,YEAR($F196)&lt;Preisindex!$A$6,YEAR(AV$4)&gt;=YEAR($F196),$K196="g"),ROUND(VLOOKUP(BA$4,Preisindex,4,FALSE)/VLOOKUP(Preisindex!$A$6,Preisindex,4,FALSE),2),IF(AND($E196&lt;&gt;0,$F196&gt;0,YEAR($F196)&lt;Preisindex!$A$6,YEAR(AV$4)&gt;=YEAR($F196),$K196="k"),ROUND(VLOOKUP(BA$4,Preisindex,2,FALSE)/VLOOKUP(Preisindex!$A$6,Preisindex,2,FALSE),2),0)))))</f>
        <v>0</v>
      </c>
      <c r="BC196" s="51">
        <f>IF(AND($E196&lt;&gt;0,$F196&gt;0,YEAR($F196)&lt;=BA$4,YEAR($F196)&gt;=Preisindex!$A$6),ROUND($E196*BA196,2),IF(AND($E196&lt;&gt;0,$F196&gt;0,YEAR($F196)&lt;=BA$4,YEAR($F196)&lt;Preisindex!$A$6),ROUND($E196*BB196,2),0))</f>
        <v>0</v>
      </c>
      <c r="BD196" s="53">
        <f t="shared" si="500"/>
        <v>0</v>
      </c>
      <c r="BE196" s="51">
        <f t="shared" si="621"/>
        <v>0</v>
      </c>
      <c r="BF196" s="51">
        <f t="shared" si="584"/>
        <v>0</v>
      </c>
      <c r="BG196" s="51">
        <f t="shared" si="501"/>
        <v>0</v>
      </c>
      <c r="BH196" s="51">
        <f t="shared" si="585"/>
        <v>0</v>
      </c>
      <c r="BI196" s="51">
        <f t="shared" si="502"/>
        <v>0</v>
      </c>
      <c r="BJ196" s="51">
        <f t="shared" si="586"/>
        <v>0</v>
      </c>
      <c r="BK196" s="51">
        <f t="shared" si="503"/>
        <v>0</v>
      </c>
      <c r="BL196" s="51">
        <f t="shared" si="587"/>
        <v>0</v>
      </c>
      <c r="BM196" s="51">
        <f t="shared" si="504"/>
        <v>0</v>
      </c>
      <c r="BN196" s="51">
        <f t="shared" si="588"/>
        <v>0</v>
      </c>
      <c r="BO196" s="51">
        <f t="shared" si="505"/>
        <v>0</v>
      </c>
      <c r="BP196" s="54">
        <f t="shared" si="506"/>
        <v>0</v>
      </c>
      <c r="BQ196" s="55">
        <f t="shared" si="507"/>
        <v>0</v>
      </c>
      <c r="BR196" s="56">
        <f>IF(AND($E196&lt;&gt;0,$F196&gt;0,YEAR($F196)&gt;=Preisindex!$A$6,YEAR(BM$4)&gt;=YEAR($F196),AND($K196&lt;&gt;"a",$K196&lt;&gt;"b",$K196&lt;&gt;"g",$K196&lt;&gt;"k")),1,IF(AND($E196&lt;&gt;0,$F196&gt;0,YEAR($F196)&gt;=Preisindex!$A$6,YEAR(BM$4)&gt;=YEAR($F196),$K196="a"),ROUND(VLOOKUP(BR$4,Preisindex,5,FALSE)/VLOOKUP(YEAR($F196),Preisindex,5,FALSE),2),IF(AND($E196&lt;&gt;0,$F196&gt;0,YEAR($F196)&gt;=Preisindex!$A$6,YEAR(BM$4)&gt;=YEAR($F196),$K196="b"),ROUND(VLOOKUP(BR$4,Preisindex,3,FALSE)/VLOOKUP(YEAR($F196),Preisindex,3,FALSE),2),IF(AND($E196&lt;&gt;0,$F196&gt;0,YEAR($F196)&gt;=Preisindex!$A$6,YEAR(BM$4)&gt;=YEAR($F196),$K196="g"),ROUND(VLOOKUP(BR$4,Preisindex,4,FALSE)/VLOOKUP(YEAR($F196),Preisindex,4,FALSE),2),IF(AND($E196&lt;&gt;0,$F196&gt;0,YEAR($F196)&gt;=Preisindex!$A$6,YEAR(BM$4)&gt;=YEAR($F196),$K196="k"),ROUND(VLOOKUP(BR$4,Preisindex,2,FALSE)/VLOOKUP(YEAR($F196),Preisindex,2,FALSE),2),0)))))</f>
        <v>0</v>
      </c>
      <c r="BS196" s="56">
        <f>IF(AND($E196&lt;&gt;0,$F196&gt;0,YEAR($F196)&lt;Preisindex!$A$6,YEAR(BM$4)&gt;=YEAR($F196),AND($K196&lt;&gt;"a",$K196&lt;&gt;"b",$K196&lt;&gt;"g",$K196&lt;&gt;"k")),1,IF(AND($E196&lt;&gt;0,$F196&gt;0,YEAR($F196)&lt;Preisindex!$A$6,YEAR(BM$4)&gt;=YEAR($F196),$K196="a"),ROUND(VLOOKUP(BR$4,Preisindex,5,FALSE)/VLOOKUP(Preisindex!$A$6,Preisindex,5,FALSE),2),IF(AND($E196&lt;&gt;0,$F196&gt;0,YEAR($F196)&lt;Preisindex!$A$6,YEAR(BM$4)&gt;=YEAR($F196),$K196="b"),ROUND(VLOOKUP(BR$4,Preisindex,3,FALSE)/VLOOKUP(Preisindex!$A$6,Preisindex,3,FALSE),2),IF(AND($E196&lt;&gt;0,$F196&gt;0,YEAR($F196)&lt;Preisindex!$A$6,YEAR(BM$4)&gt;=YEAR($F196),$K196="g"),ROUND(VLOOKUP(BR$4,Preisindex,4,FALSE)/VLOOKUP(Preisindex!$A$6,Preisindex,4,FALSE),2),IF(AND($E196&lt;&gt;0,$F196&gt;0,YEAR($F196)&lt;Preisindex!$A$6,YEAR(BM$4)&gt;=YEAR($F196),$K196="k"),ROUND(VLOOKUP(BR$4,Preisindex,2,FALSE)/VLOOKUP(Preisindex!$A$6,Preisindex,2,FALSE),2),0)))))</f>
        <v>0</v>
      </c>
      <c r="BT196" s="51">
        <f>IF(AND($E196&lt;&gt;0,$F196&gt;0,YEAR($F196)&lt;=BR$4,YEAR($F196)&gt;=Preisindex!$A$6),ROUND($E196*BR196,2),IF(AND($E196&lt;&gt;0,$F196&gt;0,YEAR($F196)&lt;=BR$4,YEAR($F196)&lt;Preisindex!$A$6),ROUND($E196*BS196,2),0))</f>
        <v>0</v>
      </c>
      <c r="BU196" s="53">
        <f t="shared" si="508"/>
        <v>0</v>
      </c>
      <c r="BV196" s="51">
        <f t="shared" si="621"/>
        <v>0</v>
      </c>
      <c r="BW196" s="51">
        <f t="shared" si="589"/>
        <v>0</v>
      </c>
      <c r="BX196" s="51">
        <f t="shared" si="509"/>
        <v>0</v>
      </c>
      <c r="BY196" s="51">
        <f t="shared" si="590"/>
        <v>0</v>
      </c>
      <c r="BZ196" s="51">
        <f t="shared" si="510"/>
        <v>0</v>
      </c>
      <c r="CA196" s="51">
        <f t="shared" si="591"/>
        <v>0</v>
      </c>
      <c r="CB196" s="51">
        <f t="shared" si="511"/>
        <v>0</v>
      </c>
      <c r="CC196" s="51">
        <f t="shared" si="592"/>
        <v>0</v>
      </c>
      <c r="CD196" s="51">
        <f t="shared" si="512"/>
        <v>0</v>
      </c>
      <c r="CE196" s="51">
        <f t="shared" si="593"/>
        <v>0</v>
      </c>
      <c r="CF196" s="51">
        <f t="shared" si="513"/>
        <v>0</v>
      </c>
      <c r="CG196" s="54">
        <f t="shared" si="514"/>
        <v>0</v>
      </c>
      <c r="CH196" s="55">
        <f t="shared" si="515"/>
        <v>0</v>
      </c>
      <c r="CI196" s="56">
        <f>IF(AND($E196&lt;&gt;0,$F196&gt;0,YEAR($F196)&gt;=Preisindex!$A$6,YEAR(CD$4)&gt;=YEAR($F196),AND($K196&lt;&gt;"a",$K196&lt;&gt;"b",$K196&lt;&gt;"g",$K196&lt;&gt;"k")),1,IF(AND($E196&lt;&gt;0,$F196&gt;0,YEAR($F196)&gt;=Preisindex!$A$6,YEAR(CD$4)&gt;=YEAR($F196),$K196="a"),ROUND(VLOOKUP(CI$4,Preisindex,5,FALSE)/VLOOKUP(YEAR($F196),Preisindex,5,FALSE),2),IF(AND($E196&lt;&gt;0,$F196&gt;0,YEAR($F196)&gt;=Preisindex!$A$6,YEAR(CD$4)&gt;=YEAR($F196),$K196="b"),ROUND(VLOOKUP(CI$4,Preisindex,3,FALSE)/VLOOKUP(YEAR($F196),Preisindex,3,FALSE),2),IF(AND($E196&lt;&gt;0,$F196&gt;0,YEAR($F196)&gt;=Preisindex!$A$6,YEAR(CD$4)&gt;=YEAR($F196),$K196="g"),ROUND(VLOOKUP(CI$4,Preisindex,4,FALSE)/VLOOKUP(YEAR($F196),Preisindex,4,FALSE),2),IF(AND($E196&lt;&gt;0,$F196&gt;0,YEAR($F196)&gt;=Preisindex!$A$6,YEAR(CD$4)&gt;=YEAR($F196),$K196="k"),ROUND(VLOOKUP(CI$4,Preisindex,2,FALSE)/VLOOKUP(YEAR($F196),Preisindex,2,FALSE),2),0)))))</f>
        <v>0</v>
      </c>
      <c r="CJ196" s="56">
        <f>IF(AND($E196&lt;&gt;0,$F196&gt;0,YEAR($F196)&lt;Preisindex!$A$6,YEAR(CD$4)&gt;=YEAR($F196),AND($K196&lt;&gt;"a",$K196&lt;&gt;"b",$K196&lt;&gt;"g",$K196&lt;&gt;"k")),1,IF(AND($E196&lt;&gt;0,$F196&gt;0,YEAR($F196)&lt;Preisindex!$A$6,YEAR(CD$4)&gt;=YEAR($F196),$K196="a"),ROUND(VLOOKUP(CI$4,Preisindex,5,FALSE)/VLOOKUP(Preisindex!$A$6,Preisindex,5,FALSE),2),IF(AND($E196&lt;&gt;0,$F196&gt;0,YEAR($F196)&lt;Preisindex!$A$6,YEAR(CD$4)&gt;=YEAR($F196),$K196="b"),ROUND(VLOOKUP(CI$4,Preisindex,3,FALSE)/VLOOKUP(Preisindex!$A$6,Preisindex,3,FALSE),2),IF(AND($E196&lt;&gt;0,$F196&gt;0,YEAR($F196)&lt;Preisindex!$A$6,YEAR(CD$4)&gt;=YEAR($F196),$K196="g"),ROUND(VLOOKUP(CI$4,Preisindex,4,FALSE)/VLOOKUP(Preisindex!$A$6,Preisindex,4,FALSE),2),IF(AND($E196&lt;&gt;0,$F196&gt;0,YEAR($F196)&lt;Preisindex!$A$6,YEAR(CD$4)&gt;=YEAR($F196),$K196="k"),ROUND(VLOOKUP(CI$4,Preisindex,2,FALSE)/VLOOKUP(Preisindex!$A$6,Preisindex,2,FALSE),2),0)))))</f>
        <v>0</v>
      </c>
      <c r="CK196" s="51">
        <f>IF(AND($E196&lt;&gt;0,$F196&gt;0,YEAR($F196)&lt;=CI$4,YEAR($F196)&gt;=Preisindex!$A$6),ROUND($E196*CI196,2),IF(AND($E196&lt;&gt;0,$F196&gt;0,YEAR($F196)&lt;=CI$4,YEAR($F196)&lt;Preisindex!$A$6),ROUND($E196*CJ196,2),0))</f>
        <v>0</v>
      </c>
      <c r="CL196" s="53">
        <f t="shared" si="516"/>
        <v>0</v>
      </c>
      <c r="CM196" s="51">
        <f t="shared" si="621"/>
        <v>0</v>
      </c>
      <c r="CN196" s="51">
        <f t="shared" si="594"/>
        <v>0</v>
      </c>
      <c r="CO196" s="51">
        <f t="shared" si="517"/>
        <v>0</v>
      </c>
      <c r="CP196" s="51">
        <f t="shared" si="595"/>
        <v>0</v>
      </c>
      <c r="CQ196" s="51">
        <f t="shared" si="518"/>
        <v>0</v>
      </c>
      <c r="CR196" s="51">
        <f t="shared" si="596"/>
        <v>0</v>
      </c>
      <c r="CS196" s="51">
        <f t="shared" si="519"/>
        <v>0</v>
      </c>
      <c r="CT196" s="51">
        <f t="shared" si="597"/>
        <v>0</v>
      </c>
      <c r="CU196" s="51">
        <f t="shared" si="520"/>
        <v>0</v>
      </c>
      <c r="CV196" s="51">
        <f t="shared" si="598"/>
        <v>0</v>
      </c>
      <c r="CW196" s="51">
        <f t="shared" si="521"/>
        <v>0</v>
      </c>
      <c r="CX196" s="54">
        <f t="shared" si="522"/>
        <v>0</v>
      </c>
      <c r="CY196" s="55">
        <f t="shared" si="523"/>
        <v>0</v>
      </c>
      <c r="CZ196" s="56">
        <f>IF(AND($E196&lt;&gt;0,$F196&gt;0,YEAR($F196)&gt;=Preisindex!$A$6,YEAR(CU$4)&gt;=YEAR($F196),AND($K196&lt;&gt;"a",$K196&lt;&gt;"b",$K196&lt;&gt;"g",$K196&lt;&gt;"k")),1,IF(AND($E196&lt;&gt;0,$F196&gt;0,YEAR($F196)&gt;=Preisindex!$A$6,YEAR(CU$4)&gt;=YEAR($F196),$K196="a"),ROUND(VLOOKUP(CZ$4,Preisindex,5,FALSE)/VLOOKUP(YEAR($F196),Preisindex,5,FALSE),2),IF(AND($E196&lt;&gt;0,$F196&gt;0,YEAR($F196)&gt;=Preisindex!$A$6,YEAR(CU$4)&gt;=YEAR($F196),$K196="b"),ROUND(VLOOKUP(CZ$4,Preisindex,3,FALSE)/VLOOKUP(YEAR($F196),Preisindex,3,FALSE),2),IF(AND($E196&lt;&gt;0,$F196&gt;0,YEAR($F196)&gt;=Preisindex!$A$6,YEAR(CU$4)&gt;=YEAR($F196),$K196="g"),ROUND(VLOOKUP(CZ$4,Preisindex,4,FALSE)/VLOOKUP(YEAR($F196),Preisindex,4,FALSE),2),IF(AND($E196&lt;&gt;0,$F196&gt;0,YEAR($F196)&gt;=Preisindex!$A$6,YEAR(CU$4)&gt;=YEAR($F196),$K196="k"),ROUND(VLOOKUP(CZ$4,Preisindex,2,FALSE)/VLOOKUP(YEAR($F196),Preisindex,2,FALSE),2),0)))))</f>
        <v>0</v>
      </c>
      <c r="DA196" s="56">
        <f>IF(AND($E196&lt;&gt;0,$F196&gt;0,YEAR($F196)&lt;Preisindex!$A$6,YEAR(CU$4)&gt;=YEAR($F196),AND($K196&lt;&gt;"a",$K196&lt;&gt;"b",$K196&lt;&gt;"g",$K196&lt;&gt;"k")),1,IF(AND($E196&lt;&gt;0,$F196&gt;0,YEAR($F196)&lt;Preisindex!$A$6,YEAR(CU$4)&gt;=YEAR($F196),$K196="a"),ROUND(VLOOKUP(CZ$4,Preisindex,5,FALSE)/VLOOKUP(Preisindex!$A$6,Preisindex,5,FALSE),2),IF(AND($E196&lt;&gt;0,$F196&gt;0,YEAR($F196)&lt;Preisindex!$A$6,YEAR(CU$4)&gt;=YEAR($F196),$K196="b"),ROUND(VLOOKUP(CZ$4,Preisindex,3,FALSE)/VLOOKUP(Preisindex!$A$6,Preisindex,3,FALSE),2),IF(AND($E196&lt;&gt;0,$F196&gt;0,YEAR($F196)&lt;Preisindex!$A$6,YEAR(CU$4)&gt;=YEAR($F196),$K196="g"),ROUND(VLOOKUP(CZ$4,Preisindex,4,FALSE)/VLOOKUP(Preisindex!$A$6,Preisindex,4,FALSE),2),IF(AND($E196&lt;&gt;0,$F196&gt;0,YEAR($F196)&lt;Preisindex!$A$6,YEAR(CU$4)&gt;=YEAR($F196),$K196="k"),ROUND(VLOOKUP(CZ$4,Preisindex,2,FALSE)/VLOOKUP(Preisindex!$A$6,Preisindex,2,FALSE),2),0)))))</f>
        <v>0</v>
      </c>
      <c r="DB196" s="51">
        <f>IF(AND($E196&lt;&gt;0,$F196&gt;0,YEAR($F196)&lt;=CZ$4,YEAR($F196)&gt;=Preisindex!$A$6),ROUND($E196*CZ196,2),IF(AND($E196&lt;&gt;0,$F196&gt;0,YEAR($F196)&lt;=CZ$4,YEAR($F196)&lt;Preisindex!$A$6),ROUND($E196*DA196,2),0))</f>
        <v>0</v>
      </c>
      <c r="DC196" s="53">
        <f t="shared" si="524"/>
        <v>0</v>
      </c>
      <c r="DD196" s="51">
        <f t="shared" si="622"/>
        <v>0</v>
      </c>
      <c r="DE196" s="51">
        <f t="shared" si="599"/>
        <v>0</v>
      </c>
      <c r="DF196" s="51">
        <f t="shared" si="526"/>
        <v>0</v>
      </c>
      <c r="DG196" s="51">
        <f t="shared" si="600"/>
        <v>0</v>
      </c>
      <c r="DH196" s="51">
        <f t="shared" si="527"/>
        <v>0</v>
      </c>
      <c r="DI196" s="51">
        <f t="shared" si="601"/>
        <v>0</v>
      </c>
      <c r="DJ196" s="51">
        <f t="shared" si="528"/>
        <v>0</v>
      </c>
      <c r="DK196" s="51">
        <f t="shared" si="602"/>
        <v>0</v>
      </c>
      <c r="DL196" s="51">
        <f t="shared" si="529"/>
        <v>0</v>
      </c>
      <c r="DM196" s="51">
        <f t="shared" si="603"/>
        <v>0</v>
      </c>
      <c r="DN196" s="51">
        <f t="shared" si="530"/>
        <v>0</v>
      </c>
      <c r="DO196" s="54">
        <f t="shared" si="531"/>
        <v>0</v>
      </c>
      <c r="DP196" s="55">
        <f t="shared" si="532"/>
        <v>0</v>
      </c>
      <c r="DQ196" s="56">
        <f>IF(AND($E196&lt;&gt;0,$F196&gt;0,YEAR($F196)&gt;=Preisindex!$A$6,YEAR(DL$4)&gt;=YEAR($F196),AND($K196&lt;&gt;"a",$K196&lt;&gt;"b",$K196&lt;&gt;"g",$K196&lt;&gt;"k")),1,IF(AND($E196&lt;&gt;0,$F196&gt;0,YEAR($F196)&gt;=Preisindex!$A$6,YEAR(DL$4)&gt;=YEAR($F196),$K196="a"),ROUND(VLOOKUP(DQ$4,Preisindex,5,FALSE)/VLOOKUP(YEAR($F196),Preisindex,5,FALSE),2),IF(AND($E196&lt;&gt;0,$F196&gt;0,YEAR($F196)&gt;=Preisindex!$A$6,YEAR(DL$4)&gt;=YEAR($F196),$K196="b"),ROUND(VLOOKUP(DQ$4,Preisindex,3,FALSE)/VLOOKUP(YEAR($F196),Preisindex,3,FALSE),2),IF(AND($E196&lt;&gt;0,$F196&gt;0,YEAR($F196)&gt;=Preisindex!$A$6,YEAR(DL$4)&gt;=YEAR($F196),$K196="g"),ROUND(VLOOKUP(DQ$4,Preisindex,4,FALSE)/VLOOKUP(YEAR($F196),Preisindex,4,FALSE),2),IF(AND($E196&lt;&gt;0,$F196&gt;0,YEAR($F196)&gt;=Preisindex!$A$6,YEAR(DL$4)&gt;=YEAR($F196),$K196="k"),ROUND(VLOOKUP(DQ$4,Preisindex,2,FALSE)/VLOOKUP(YEAR($F196),Preisindex,2,FALSE),2),0)))))</f>
        <v>0</v>
      </c>
      <c r="DR196" s="56">
        <f>IF(AND($E196&lt;&gt;0,$F196&gt;0,YEAR($F196)&lt;Preisindex!$A$6,YEAR(DL$4)&gt;=YEAR($F196),AND($K196&lt;&gt;"a",$K196&lt;&gt;"b",$K196&lt;&gt;"g",$K196&lt;&gt;"k")),1,IF(AND($E196&lt;&gt;0,$F196&gt;0,YEAR($F196)&lt;Preisindex!$A$6,YEAR(DL$4)&gt;=YEAR($F196),$K196="a"),ROUND(VLOOKUP(DQ$4,Preisindex,5,FALSE)/VLOOKUP(Preisindex!$A$6,Preisindex,5,FALSE),2),IF(AND($E196&lt;&gt;0,$F196&gt;0,YEAR($F196)&lt;Preisindex!$A$6,YEAR(DL$4)&gt;=YEAR($F196),$K196="b"),ROUND(VLOOKUP(DQ$4,Preisindex,3,FALSE)/VLOOKUP(Preisindex!$A$6,Preisindex,3,FALSE),2),IF(AND($E196&lt;&gt;0,$F196&gt;0,YEAR($F196)&lt;Preisindex!$A$6,YEAR(DL$4)&gt;=YEAR($F196),$K196="g"),ROUND(VLOOKUP(DQ$4,Preisindex,4,FALSE)/VLOOKUP(Preisindex!$A$6,Preisindex,4,FALSE),2),IF(AND($E196&lt;&gt;0,$F196&gt;0,YEAR($F196)&lt;Preisindex!$A$6,YEAR(DL$4)&gt;=YEAR($F196),$K196="k"),ROUND(VLOOKUP(DQ$4,Preisindex,2,FALSE)/VLOOKUP(Preisindex!$A$6,Preisindex,2,FALSE),2),0)))))</f>
        <v>0</v>
      </c>
      <c r="DS196" s="51">
        <f>IF(AND($E196&lt;&gt;0,$F196&gt;0,YEAR($F196)&lt;=DQ$4,YEAR($F196)&gt;=Preisindex!$A$6),ROUND($E196*DQ196,2),IF(AND($E196&lt;&gt;0,$F196&gt;0,YEAR($F196)&lt;=DQ$4,YEAR($F196)&lt;Preisindex!$A$6),ROUND($E196*DR196,2),0))</f>
        <v>0</v>
      </c>
      <c r="DT196" s="53">
        <f t="shared" si="533"/>
        <v>0</v>
      </c>
      <c r="DU196" s="51">
        <f t="shared" si="622"/>
        <v>0</v>
      </c>
      <c r="DV196" s="51">
        <f t="shared" si="604"/>
        <v>0</v>
      </c>
      <c r="DW196" s="51">
        <f t="shared" si="534"/>
        <v>0</v>
      </c>
      <c r="DX196" s="51">
        <f t="shared" si="605"/>
        <v>0</v>
      </c>
      <c r="DY196" s="51">
        <f t="shared" si="535"/>
        <v>0</v>
      </c>
      <c r="DZ196" s="51">
        <f t="shared" si="606"/>
        <v>0</v>
      </c>
      <c r="EA196" s="51">
        <f t="shared" si="536"/>
        <v>0</v>
      </c>
      <c r="EB196" s="51">
        <f t="shared" si="607"/>
        <v>0</v>
      </c>
      <c r="EC196" s="51">
        <f t="shared" si="537"/>
        <v>0</v>
      </c>
      <c r="ED196" s="51">
        <f t="shared" si="608"/>
        <v>0</v>
      </c>
      <c r="EE196" s="51">
        <f t="shared" si="538"/>
        <v>0</v>
      </c>
      <c r="EF196" s="54">
        <f t="shared" si="539"/>
        <v>0</v>
      </c>
      <c r="EG196" s="55">
        <f t="shared" si="540"/>
        <v>0</v>
      </c>
      <c r="EH196" s="56">
        <f>IF(AND($E196&lt;&gt;0,$F196&gt;0,YEAR($F196)&gt;=Preisindex!$A$6,YEAR(EC$4)&gt;=YEAR($F196),AND($K196&lt;&gt;"a",$K196&lt;&gt;"b",$K196&lt;&gt;"g",$K196&lt;&gt;"k")),1,IF(AND($E196&lt;&gt;0,$F196&gt;0,YEAR($F196)&gt;=Preisindex!$A$6,YEAR(EC$4)&gt;=YEAR($F196),$K196="a"),ROUND(VLOOKUP(EH$4,Preisindex,5,FALSE)/VLOOKUP(YEAR($F196),Preisindex,5,FALSE),2),IF(AND($E196&lt;&gt;0,$F196&gt;0,YEAR($F196)&gt;=Preisindex!$A$6,YEAR(EC$4)&gt;=YEAR($F196),$K196="b"),ROUND(VLOOKUP(EH$4,Preisindex,3,FALSE)/VLOOKUP(YEAR($F196),Preisindex,3,FALSE),2),IF(AND($E196&lt;&gt;0,$F196&gt;0,YEAR($F196)&gt;=Preisindex!$A$6,YEAR(EC$4)&gt;=YEAR($F196),$K196="g"),ROUND(VLOOKUP(EH$4,Preisindex,4,FALSE)/VLOOKUP(YEAR($F196),Preisindex,4,FALSE),2),IF(AND($E196&lt;&gt;0,$F196&gt;0,YEAR($F196)&gt;=Preisindex!$A$6,YEAR(EC$4)&gt;=YEAR($F196),$K196="k"),ROUND(VLOOKUP(EH$4,Preisindex,2,FALSE)/VLOOKUP(YEAR($F196),Preisindex,2,FALSE),2),0)))))</f>
        <v>0</v>
      </c>
      <c r="EI196" s="56">
        <f>IF(AND($E196&lt;&gt;0,$F196&gt;0,YEAR($F196)&lt;Preisindex!$A$6,YEAR(EC$4)&gt;=YEAR($F196),AND($K196&lt;&gt;"a",$K196&lt;&gt;"b",$K196&lt;&gt;"g",$K196&lt;&gt;"k")),1,IF(AND($E196&lt;&gt;0,$F196&gt;0,YEAR($F196)&lt;Preisindex!$A$6,YEAR(EC$4)&gt;=YEAR($F196),$K196="a"),ROUND(VLOOKUP(EH$4,Preisindex,5,FALSE)/VLOOKUP(Preisindex!$A$6,Preisindex,5,FALSE),2),IF(AND($E196&lt;&gt;0,$F196&gt;0,YEAR($F196)&lt;Preisindex!$A$6,YEAR(EC$4)&gt;=YEAR($F196),$K196="b"),ROUND(VLOOKUP(EH$4,Preisindex,3,FALSE)/VLOOKUP(Preisindex!$A$6,Preisindex,3,FALSE),2),IF(AND($E196&lt;&gt;0,$F196&gt;0,YEAR($F196)&lt;Preisindex!$A$6,YEAR(EC$4)&gt;=YEAR($F196),$K196="g"),ROUND(VLOOKUP(EH$4,Preisindex,4,FALSE)/VLOOKUP(Preisindex!$A$6,Preisindex,4,FALSE),2),IF(AND($E196&lt;&gt;0,$F196&gt;0,YEAR($F196)&lt;Preisindex!$A$6,YEAR(EC$4)&gt;=YEAR($F196),$K196="k"),ROUND(VLOOKUP(EH$4,Preisindex,2,FALSE)/VLOOKUP(Preisindex!$A$6,Preisindex,2,FALSE),2),0)))))</f>
        <v>0</v>
      </c>
      <c r="EJ196" s="51">
        <f>IF(AND($E196&lt;&gt;0,$F196&gt;0,YEAR($F196)&lt;=EH$4,YEAR($F196)&gt;=Preisindex!$A$6),ROUND($E196*EH196,2),IF(AND($E196&lt;&gt;0,$F196&gt;0,YEAR($F196)&lt;=EH$4,YEAR($F196)&lt;Preisindex!$A$6),ROUND($E196*EI196,2),0))</f>
        <v>0</v>
      </c>
      <c r="EK196" s="53">
        <f t="shared" si="541"/>
        <v>0</v>
      </c>
      <c r="EL196" s="51">
        <f t="shared" si="622"/>
        <v>0</v>
      </c>
      <c r="EM196" s="51">
        <f t="shared" si="609"/>
        <v>0</v>
      </c>
      <c r="EN196" s="51">
        <f t="shared" si="542"/>
        <v>0</v>
      </c>
      <c r="EO196" s="51">
        <f t="shared" si="610"/>
        <v>0</v>
      </c>
      <c r="EP196" s="51">
        <f t="shared" si="543"/>
        <v>0</v>
      </c>
      <c r="EQ196" s="51">
        <f t="shared" si="611"/>
        <v>0</v>
      </c>
      <c r="ER196" s="51">
        <f t="shared" si="544"/>
        <v>0</v>
      </c>
      <c r="ES196" s="51">
        <f t="shared" si="612"/>
        <v>0</v>
      </c>
      <c r="ET196" s="51">
        <f t="shared" si="545"/>
        <v>0</v>
      </c>
      <c r="EU196" s="51">
        <f t="shared" si="613"/>
        <v>0</v>
      </c>
      <c r="EV196" s="51">
        <f t="shared" si="546"/>
        <v>0</v>
      </c>
      <c r="EW196" s="54">
        <f t="shared" si="547"/>
        <v>0</v>
      </c>
      <c r="EX196" s="55">
        <f t="shared" si="548"/>
        <v>0</v>
      </c>
      <c r="EY196" s="56">
        <f>IF(AND($E196&lt;&gt;0,$F196&gt;0,YEAR($F196)&gt;=Preisindex!$A$6,YEAR(ET$4)&gt;=YEAR($F196),AND($K196&lt;&gt;"a",$K196&lt;&gt;"b",$K196&lt;&gt;"g",$K196&lt;&gt;"k")),1,IF(AND($E196&lt;&gt;0,$F196&gt;0,YEAR($F196)&gt;=Preisindex!$A$6,YEAR(ET$4)&gt;=YEAR($F196),$K196="a"),ROUND(VLOOKUP(EY$4,Preisindex,5,FALSE)/VLOOKUP(YEAR($F196),Preisindex,5,FALSE),2),IF(AND($E196&lt;&gt;0,$F196&gt;0,YEAR($F196)&gt;=Preisindex!$A$6,YEAR(ET$4)&gt;=YEAR($F196),$K196="b"),ROUND(VLOOKUP(EY$4,Preisindex,3,FALSE)/VLOOKUP(YEAR($F196),Preisindex,3,FALSE),2),IF(AND($E196&lt;&gt;0,$F196&gt;0,YEAR($F196)&gt;=Preisindex!$A$6,YEAR(ET$4)&gt;=YEAR($F196),$K196="g"),ROUND(VLOOKUP(EY$4,Preisindex,4,FALSE)/VLOOKUP(YEAR($F196),Preisindex,4,FALSE),2),IF(AND($E196&lt;&gt;0,$F196&gt;0,YEAR($F196)&gt;=Preisindex!$A$6,YEAR(ET$4)&gt;=YEAR($F196),$K196="k"),ROUND(VLOOKUP(EY$4,Preisindex,2,FALSE)/VLOOKUP(YEAR($F196),Preisindex,2,FALSE),2),0)))))</f>
        <v>0</v>
      </c>
      <c r="EZ196" s="56">
        <f>IF(AND($E196&lt;&gt;0,$F196&gt;0,YEAR($F196)&lt;Preisindex!$A$6,YEAR(ET$4)&gt;=YEAR($F196),AND($K196&lt;&gt;"a",$K196&lt;&gt;"b",$K196&lt;&gt;"g",$K196&lt;&gt;"k")),1,IF(AND($E196&lt;&gt;0,$F196&gt;0,YEAR($F196)&lt;Preisindex!$A$6,YEAR(ET$4)&gt;=YEAR($F196),$K196="a"),ROUND(VLOOKUP(EY$4,Preisindex,5,FALSE)/VLOOKUP(Preisindex!$A$6,Preisindex,5,FALSE),2),IF(AND($E196&lt;&gt;0,$F196&gt;0,YEAR($F196)&lt;Preisindex!$A$6,YEAR(ET$4)&gt;=YEAR($F196),$K196="b"),ROUND(VLOOKUP(EY$4,Preisindex,3,FALSE)/VLOOKUP(Preisindex!$A$6,Preisindex,3,FALSE),2),IF(AND($E196&lt;&gt;0,$F196&gt;0,YEAR($F196)&lt;Preisindex!$A$6,YEAR(ET$4)&gt;=YEAR($F196),$K196="g"),ROUND(VLOOKUP(EY$4,Preisindex,4,FALSE)/VLOOKUP(Preisindex!$A$6,Preisindex,4,FALSE),2),IF(AND($E196&lt;&gt;0,$F196&gt;0,YEAR($F196)&lt;Preisindex!$A$6,YEAR(ET$4)&gt;=YEAR($F196),$K196="k"),ROUND(VLOOKUP(EY$4,Preisindex,2,FALSE)/VLOOKUP(Preisindex!$A$6,Preisindex,2,FALSE),2),0)))))</f>
        <v>0</v>
      </c>
      <c r="FA196" s="51">
        <f>IF(AND($E196&lt;&gt;0,$F196&gt;0,YEAR($F196)&lt;=EY$4,YEAR($F196)&gt;=Preisindex!$A$6),ROUND($E196*EY196,2),IF(AND($E196&lt;&gt;0,$F196&gt;0,YEAR($F196)&lt;=EY$4,YEAR($F196)&lt;Preisindex!$A$6),ROUND($E196*EZ196,2),0))</f>
        <v>0</v>
      </c>
      <c r="FB196" s="53">
        <f t="shared" si="549"/>
        <v>0</v>
      </c>
      <c r="FC196" s="51">
        <f t="shared" si="622"/>
        <v>0</v>
      </c>
      <c r="FD196" s="51">
        <f t="shared" si="614"/>
        <v>0</v>
      </c>
      <c r="FE196" s="51">
        <f t="shared" si="550"/>
        <v>0</v>
      </c>
      <c r="FF196" s="51">
        <f t="shared" si="615"/>
        <v>0</v>
      </c>
      <c r="FG196" s="51">
        <f t="shared" si="551"/>
        <v>0</v>
      </c>
      <c r="FH196" s="51">
        <f t="shared" si="616"/>
        <v>0</v>
      </c>
      <c r="FI196" s="51">
        <f t="shared" si="552"/>
        <v>0</v>
      </c>
      <c r="FJ196" s="51">
        <f t="shared" si="617"/>
        <v>0</v>
      </c>
      <c r="FK196" s="51">
        <f t="shared" si="553"/>
        <v>0</v>
      </c>
      <c r="FL196" s="51">
        <f t="shared" si="618"/>
        <v>0</v>
      </c>
      <c r="FM196" s="51">
        <f t="shared" si="554"/>
        <v>0</v>
      </c>
      <c r="FN196" s="54">
        <f t="shared" si="555"/>
        <v>0</v>
      </c>
      <c r="FO196" s="55">
        <f t="shared" si="556"/>
        <v>0</v>
      </c>
      <c r="FP196" s="56">
        <f>IF(AND($E196&lt;&gt;0,$F196&gt;0,YEAR($F196)&gt;=Preisindex!$A$6,YEAR(FK$4)&gt;=YEAR($F196),AND($K196&lt;&gt;"a",$K196&lt;&gt;"b",$K196&lt;&gt;"g",$K196&lt;&gt;"k")),1,IF(AND($E196&lt;&gt;0,$F196&gt;0,YEAR($F196)&gt;=Preisindex!$A$6,YEAR(FK$4)&gt;=YEAR($F196),$K196="a"),ROUND(VLOOKUP(FP$4,Preisindex,5,FALSE)/VLOOKUP(YEAR($F196),Preisindex,5,FALSE),2),IF(AND($E196&lt;&gt;0,$F196&gt;0,YEAR($F196)&gt;=Preisindex!$A$6,YEAR(FK$4)&gt;=YEAR($F196),$K196="b"),ROUND(VLOOKUP(FP$4,Preisindex,3,FALSE)/VLOOKUP(YEAR($F196),Preisindex,3,FALSE),2),IF(AND($E196&lt;&gt;0,$F196&gt;0,YEAR($F196)&gt;=Preisindex!$A$6,YEAR(FK$4)&gt;=YEAR($F196),$K196="g"),ROUND(VLOOKUP(FP$4,Preisindex,4,FALSE)/VLOOKUP(YEAR($F196),Preisindex,4,FALSE),2),IF(AND($E196&lt;&gt;0,$F196&gt;0,YEAR($F196)&gt;=Preisindex!$A$6,YEAR(FK$4)&gt;=YEAR($F196),$K196="k"),ROUND(VLOOKUP(FP$4,Preisindex,2,FALSE)/VLOOKUP(YEAR($F196),Preisindex,2,FALSE),2),0)))))</f>
        <v>0</v>
      </c>
      <c r="FQ196" s="56">
        <f>IF(AND($E196&lt;&gt;0,$F196&gt;0,YEAR($F196)&lt;Preisindex!$A$6,YEAR(FK$4)&gt;=YEAR($F196),AND($K196&lt;&gt;"a",$K196&lt;&gt;"b",$K196&lt;&gt;"g",$K196&lt;&gt;"k")),1,IF(AND($E196&lt;&gt;0,$F196&gt;0,YEAR($F196)&lt;Preisindex!$A$6,YEAR(FK$4)&gt;=YEAR($F196),$K196="a"),ROUND(VLOOKUP(FP$4,Preisindex,5,FALSE)/VLOOKUP(Preisindex!$A$6,Preisindex,5,FALSE),2),IF(AND($E196&lt;&gt;0,$F196&gt;0,YEAR($F196)&lt;Preisindex!$A$6,YEAR(FK$4)&gt;=YEAR($F196),$K196="b"),ROUND(VLOOKUP(FP$4,Preisindex,3,FALSE)/VLOOKUP(Preisindex!$A$6,Preisindex,3,FALSE),2),IF(AND($E196&lt;&gt;0,$F196&gt;0,YEAR($F196)&lt;Preisindex!$A$6,YEAR(FK$4)&gt;=YEAR($F196),$K196="g"),ROUND(VLOOKUP(FP$4,Preisindex,4,FALSE)/VLOOKUP(Preisindex!$A$6,Preisindex,4,FALSE),2),IF(AND($E196&lt;&gt;0,$F196&gt;0,YEAR($F196)&lt;Preisindex!$A$6,YEAR(FK$4)&gt;=YEAR($F196),$K196="k"),ROUND(VLOOKUP(FP$4,Preisindex,2,FALSE)/VLOOKUP(Preisindex!$A$6,Preisindex,2,FALSE),2),0)))))</f>
        <v>0</v>
      </c>
      <c r="FR196" s="51">
        <f>IF(AND($E196&lt;&gt;0,$F196&gt;0,YEAR($F196)&lt;=FP$4,YEAR($F196)&gt;=Preisindex!$A$6),ROUND($E196*FP196,2),IF(AND($E196&lt;&gt;0,$F196&gt;0,YEAR($F196)&lt;=FP$4,YEAR($F196)&lt;Preisindex!$A$6),ROUND($E196*FQ196,2),0))</f>
        <v>0</v>
      </c>
      <c r="FS196" s="53">
        <f t="shared" si="557"/>
        <v>0</v>
      </c>
    </row>
    <row r="197" spans="1:175" x14ac:dyDescent="0.3">
      <c r="A197" s="93"/>
      <c r="B197" s="94"/>
      <c r="C197" s="94"/>
      <c r="D197" s="95"/>
      <c r="E197" s="99"/>
      <c r="F197" s="97"/>
      <c r="G197" s="98"/>
      <c r="H197" s="620"/>
      <c r="I197" s="621"/>
      <c r="J197" s="194"/>
      <c r="K197" s="630"/>
      <c r="L197" s="49">
        <f t="shared" si="558"/>
        <v>0</v>
      </c>
      <c r="M197" s="50">
        <f t="shared" si="559"/>
        <v>0</v>
      </c>
      <c r="N197" s="51">
        <f t="shared" si="560"/>
        <v>0</v>
      </c>
      <c r="O197" s="51"/>
      <c r="P197" s="51">
        <f t="shared" si="561"/>
        <v>0</v>
      </c>
      <c r="Q197" s="52"/>
      <c r="R197" s="52"/>
      <c r="S197" s="52"/>
      <c r="T197" s="52"/>
      <c r="U197" s="52"/>
      <c r="V197" s="53">
        <f t="shared" si="562"/>
        <v>0</v>
      </c>
      <c r="W197" s="51">
        <f t="shared" si="563"/>
        <v>0</v>
      </c>
      <c r="X197" s="51">
        <f t="shared" si="564"/>
        <v>0</v>
      </c>
      <c r="Y197" s="51">
        <f t="shared" si="565"/>
        <v>0</v>
      </c>
      <c r="Z197" s="51">
        <f t="shared" si="566"/>
        <v>0</v>
      </c>
      <c r="AA197" s="51">
        <f t="shared" si="567"/>
        <v>0</v>
      </c>
      <c r="AB197" s="51">
        <f t="shared" si="568"/>
        <v>0</v>
      </c>
      <c r="AC197" s="51">
        <f t="shared" si="569"/>
        <v>0</v>
      </c>
      <c r="AD197" s="51">
        <f t="shared" si="570"/>
        <v>0</v>
      </c>
      <c r="AE197" s="51">
        <f t="shared" si="571"/>
        <v>0</v>
      </c>
      <c r="AF197" s="51">
        <f t="shared" si="572"/>
        <v>0</v>
      </c>
      <c r="AG197" s="51">
        <f t="shared" si="573"/>
        <v>0</v>
      </c>
      <c r="AH197" s="54">
        <f t="shared" si="574"/>
        <v>0</v>
      </c>
      <c r="AI197" s="55">
        <f t="shared" si="575"/>
        <v>0</v>
      </c>
      <c r="AJ197" s="56">
        <f>IF(AND($E197&lt;&gt;0,$F197&gt;0,YEAR($F197)&gt;=Preisindex!$A$6,YEAR(AE$4)&gt;=YEAR($F197),AND($K197&lt;&gt;"a",$K197&lt;&gt;"b",$K197&lt;&gt;"g",$K197&lt;&gt;"k")),1,IF(AND($E197&lt;&gt;0,$F197&gt;0,YEAR($F197)&gt;=Preisindex!$A$6,YEAR(AE$4)&gt;=YEAR($F197),$K197="a"),ROUND(VLOOKUP(AJ$4,Preisindex,5,FALSE)/VLOOKUP(YEAR($F197),Preisindex,5,FALSE),2),IF(AND($E197&lt;&gt;0,$F197&gt;0,YEAR($F197)&gt;=Preisindex!$A$6,YEAR(AE$4)&gt;=YEAR($F197),$K197="b"),ROUND(VLOOKUP(AJ$4,Preisindex,3,FALSE)/VLOOKUP(YEAR($F197),Preisindex,3,FALSE),2),IF(AND($E197&lt;&gt;0,$F197&gt;0,YEAR($F197)&gt;=Preisindex!$A$6,YEAR(AE$4)&gt;=YEAR($F197),$K197="g"),ROUND(VLOOKUP(AJ$4,Preisindex,4,FALSE)/VLOOKUP(YEAR($F197),Preisindex,4,FALSE),2),IF(AND($E197&lt;&gt;0,$F197&gt;0,YEAR($F197)&gt;=Preisindex!$A$6,YEAR(AE$4)&gt;=YEAR($F197),$K197="k"),ROUND(VLOOKUP(AJ$4,Preisindex,2,FALSE)/VLOOKUP(YEAR($F197),Preisindex,2,FALSE),2),0)))))</f>
        <v>0</v>
      </c>
      <c r="AK197" s="56">
        <f>IF(AND($E197&lt;&gt;0,$F197&gt;0,YEAR($F197)&lt;Preisindex!$A$6,YEAR(AE$4)&gt;=YEAR($F197),AND($K197&lt;&gt;"a",$K197&lt;&gt;"b",$K197&lt;&gt;"g",$K197&lt;&gt;"k")),1,IF(AND($E197&lt;&gt;0,$F197&gt;0,YEAR($F197)&lt;Preisindex!$A$6,YEAR(AE$4)&gt;=YEAR($F197),$K197="a"),ROUND(VLOOKUP(AJ$4,Preisindex,5,FALSE)/VLOOKUP(Preisindex!$A$6,Preisindex,5,FALSE),2),IF(AND($E197&lt;&gt;0,$F197&gt;0,YEAR($F197)&lt;Preisindex!$A$6,YEAR(AE$4)&gt;=YEAR($F197),$K197="b"),ROUND(VLOOKUP(AJ$4,Preisindex,3,FALSE)/VLOOKUP(Preisindex!$A$6,Preisindex,3,FALSE),2),IF(AND($E197&lt;&gt;0,$F197&gt;0,YEAR($F197)&lt;Preisindex!$A$6,YEAR(AE$4)&gt;=YEAR($F197),$K197="g"),ROUND(VLOOKUP(AJ$4,Preisindex,4,FALSE)/VLOOKUP(Preisindex!$A$6,Preisindex,4,FALSE),2),IF(AND($E197&lt;&gt;0,$F197&gt;0,YEAR($F197)&lt;Preisindex!$A$6,YEAR(AE$4)&gt;=YEAR($F197),$K197="k"),ROUND(VLOOKUP(AJ$4,Preisindex,2,FALSE)/VLOOKUP(Preisindex!$A$6,Preisindex,2,FALSE),2),0)))))</f>
        <v>0</v>
      </c>
      <c r="AL197" s="51">
        <f>IF(AND($E197&lt;&gt;0,$F197&gt;0,YEAR($F197)&lt;=AJ$4,YEAR($F197)&gt;=Preisindex!$A$6),ROUND($E197*AJ197,2),IF(AND($E197&lt;&gt;0,$F197&gt;0,YEAR($F197)&lt;=AJ$4,YEAR($F197)&lt;Preisindex!$A$6),ROUND($E197*AK197,2),0))</f>
        <v>0</v>
      </c>
      <c r="AM197" s="53">
        <f t="shared" si="576"/>
        <v>0</v>
      </c>
      <c r="AN197" s="51">
        <f t="shared" ref="AN197:CM212" si="623">IF(YEAR($F197)=AN$4,$E197,0)</f>
        <v>0</v>
      </c>
      <c r="AO197" s="51">
        <f t="shared" si="579"/>
        <v>0</v>
      </c>
      <c r="AP197" s="51">
        <f t="shared" ref="AP197:AP260" si="624">IF(AN197&lt;&gt;0,ROUND(AN197*YEARFRAC($F197,AV$4,0),2),0)</f>
        <v>0</v>
      </c>
      <c r="AQ197" s="51">
        <f t="shared" si="580"/>
        <v>0</v>
      </c>
      <c r="AR197" s="51">
        <f t="shared" ref="AR197:AR260" si="625">IF(AND($F197&gt;0,$F197&lt;=AV$4),$E197,0)</f>
        <v>0</v>
      </c>
      <c r="AS197" s="51">
        <f t="shared" si="581"/>
        <v>0</v>
      </c>
      <c r="AT197" s="51">
        <f t="shared" ref="AT197:AT260" si="626">IF(AND(YEAR($F197)=YEAR(AV$4),$E197&lt;1000,$E197&gt;-1000,$F197&gt;0,$L197=1),$E197-$I197,IF(AND(YEAR($F197)=YEAR(AV$4),$F197&gt;0,$L197&gt;0),ROUND(($M197/12)*(13-MONTH($F197)),2),IF(AND(YEAR($F197)&lt;YEAR(AV$4),$E197&gt;0,$F197&gt;0,$L197&gt;0,AE197&gt;$M197+$I197),$M197,IF(AND(YEAR($F197)&lt;YEAR(AV$4),$E197&gt;0,$F197&gt;0,$L197&gt;0,AE197&gt;0,AE197&lt;=$M197+$I197),AE197-$I197,IF(AND(YEAR($F197)&lt;YEAR(AV$4),$E197&lt;0,$F197&gt;0,$L197&gt;0,AE197&lt;0,AE197&lt;=$M197),$M197,IF(AND(YEAR($F197)&lt;YEAR(AV$4),$E197&lt;0,$F197&gt;0,$L197&gt;0,AE197&lt;0,AE197&gt;$M197),AE197,0))))))</f>
        <v>0</v>
      </c>
      <c r="AU197" s="51">
        <f t="shared" si="582"/>
        <v>0</v>
      </c>
      <c r="AV197" s="51">
        <f t="shared" ref="AV197:AV260" si="627">IF(AND(YEAR(AV$4)=YEAR($F197),$E197&gt;0,$F197&gt;0,$E197-AT197&gt;=0),$E197-AT197,IF(AND(YEAR(AV$4)&gt;YEAR($F197),$E197&gt;0,$F197&gt;0,AE197-AT197&gt;=0),AE197-AT197,IF(AND(YEAR(AV$4)=YEAR($F197),$E197&lt;0,$F197&gt;0,$E197-AT197&lt;0),$E197-AT197,IF(AND(YEAR(AV$4)&gt;YEAR($F197),$E197&lt;0,$F197&gt;0,AE197-AT197&lt;=0),AE197-AT197,0))))</f>
        <v>0</v>
      </c>
      <c r="AW197" s="51">
        <f t="shared" si="583"/>
        <v>0</v>
      </c>
      <c r="AX197" s="51">
        <f t="shared" ref="AX197:AX260" si="628">AG197+AT197</f>
        <v>0</v>
      </c>
      <c r="AY197" s="54">
        <f t="shared" ref="AY197:AY260" si="629">IF(AND(AN197&lt;&gt;0,$J197="H",$M197=0),AP197,IF(AND(YEAR(AV$4)&gt;YEAR($F197),$J197="H",$F197&gt;0,$M197=0),$E197,0))</f>
        <v>0</v>
      </c>
      <c r="AZ197" s="55">
        <f t="shared" ref="AZ197:AZ260" si="630">IF(AND(YEAR(AV$4)&gt;=YEAR($F197),$E197&gt;0,$F197&gt;0,AT197&gt;0,$J197="H"),ROUND(AT197/$M197*$E197,2),IF(AND(YEAR(AV$4)&gt;=YEAR($F197),$E197&lt;0,$F197&gt;0,AT197&lt;0,$J197="H"),ROUND(AT197/$M197*$E197,2),0))</f>
        <v>0</v>
      </c>
      <c r="BA197" s="56">
        <f>IF(AND($E197&lt;&gt;0,$F197&gt;0,YEAR($F197)&gt;=Preisindex!$A$6,YEAR(AV$4)&gt;=YEAR($F197),AND($K197&lt;&gt;"a",$K197&lt;&gt;"b",$K197&lt;&gt;"g",$K197&lt;&gt;"k")),1,IF(AND($E197&lt;&gt;0,$F197&gt;0,YEAR($F197)&gt;=Preisindex!$A$6,YEAR(AV$4)&gt;=YEAR($F197),$K197="a"),ROUND(VLOOKUP(BA$4,Preisindex,5,FALSE)/VLOOKUP(YEAR($F197),Preisindex,5,FALSE),2),IF(AND($E197&lt;&gt;0,$F197&gt;0,YEAR($F197)&gt;=Preisindex!$A$6,YEAR(AV$4)&gt;=YEAR($F197),$K197="b"),ROUND(VLOOKUP(BA$4,Preisindex,3,FALSE)/VLOOKUP(YEAR($F197),Preisindex,3,FALSE),2),IF(AND($E197&lt;&gt;0,$F197&gt;0,YEAR($F197)&gt;=Preisindex!$A$6,YEAR(AV$4)&gt;=YEAR($F197),$K197="g"),ROUND(VLOOKUP(BA$4,Preisindex,4,FALSE)/VLOOKUP(YEAR($F197),Preisindex,4,FALSE),2),IF(AND($E197&lt;&gt;0,$F197&gt;0,YEAR($F197)&gt;=Preisindex!$A$6,YEAR(AV$4)&gt;=YEAR($F197),$K197="k"),ROUND(VLOOKUP(BA$4,Preisindex,2,FALSE)/VLOOKUP(YEAR($F197),Preisindex,2,FALSE),2),0)))))</f>
        <v>0</v>
      </c>
      <c r="BB197" s="56">
        <f>IF(AND($E197&lt;&gt;0,$F197&gt;0,YEAR($F197)&lt;Preisindex!$A$6,YEAR(AV$4)&gt;=YEAR($F197),AND($K197&lt;&gt;"a",$K197&lt;&gt;"b",$K197&lt;&gt;"g",$K197&lt;&gt;"k")),1,IF(AND($E197&lt;&gt;0,$F197&gt;0,YEAR($F197)&lt;Preisindex!$A$6,YEAR(AV$4)&gt;=YEAR($F197),$K197="a"),ROUND(VLOOKUP(BA$4,Preisindex,5,FALSE)/VLOOKUP(Preisindex!$A$6,Preisindex,5,FALSE),2),IF(AND($E197&lt;&gt;0,$F197&gt;0,YEAR($F197)&lt;Preisindex!$A$6,YEAR(AV$4)&gt;=YEAR($F197),$K197="b"),ROUND(VLOOKUP(BA$4,Preisindex,3,FALSE)/VLOOKUP(Preisindex!$A$6,Preisindex,3,FALSE),2),IF(AND($E197&lt;&gt;0,$F197&gt;0,YEAR($F197)&lt;Preisindex!$A$6,YEAR(AV$4)&gt;=YEAR($F197),$K197="g"),ROUND(VLOOKUP(BA$4,Preisindex,4,FALSE)/VLOOKUP(Preisindex!$A$6,Preisindex,4,FALSE),2),IF(AND($E197&lt;&gt;0,$F197&gt;0,YEAR($F197)&lt;Preisindex!$A$6,YEAR(AV$4)&gt;=YEAR($F197),$K197="k"),ROUND(VLOOKUP(BA$4,Preisindex,2,FALSE)/VLOOKUP(Preisindex!$A$6,Preisindex,2,FALSE),2),0)))))</f>
        <v>0</v>
      </c>
      <c r="BC197" s="51">
        <f>IF(AND($E197&lt;&gt;0,$F197&gt;0,YEAR($F197)&lt;=BA$4,YEAR($F197)&gt;=Preisindex!$A$6),ROUND($E197*BA197,2),IF(AND($E197&lt;&gt;0,$F197&gt;0,YEAR($F197)&lt;=BA$4,YEAR($F197)&lt;Preisindex!$A$6),ROUND($E197*BB197,2),0))</f>
        <v>0</v>
      </c>
      <c r="BD197" s="53">
        <f t="shared" ref="BD197:BD260" si="631">IF(AND(AT197&lt;&gt;0,AT197=$M197),BC197*$L197,IF(AND(AT197&lt;&gt;0,AT197&lt;&gt;$M197),BC197*($L197*(AT197/$M197)),0))</f>
        <v>0</v>
      </c>
      <c r="BE197" s="51">
        <f t="shared" si="623"/>
        <v>0</v>
      </c>
      <c r="BF197" s="51">
        <f t="shared" si="584"/>
        <v>0</v>
      </c>
      <c r="BG197" s="51">
        <f t="shared" ref="BG197:BG260" si="632">IF(BE197&lt;&gt;0,ROUND(BE197*YEARFRAC($F197,BM$4,0),2),0)</f>
        <v>0</v>
      </c>
      <c r="BH197" s="51">
        <f t="shared" si="585"/>
        <v>0</v>
      </c>
      <c r="BI197" s="51">
        <f t="shared" ref="BI197:BI260" si="633">IF(AND($F197&gt;0,$F197&lt;=BM$4),$E197,0)</f>
        <v>0</v>
      </c>
      <c r="BJ197" s="51">
        <f t="shared" si="586"/>
        <v>0</v>
      </c>
      <c r="BK197" s="51">
        <f t="shared" ref="BK197:BK260" si="634">IF(AND(YEAR($F197)=YEAR(BM$4),$E197&lt;1000,$E197&gt;-1000,$F197&gt;0,$L197=1),$E197-$I197,IF(AND(YEAR($F197)=YEAR(BM$4),$F197&gt;0,$L197&gt;0),ROUND(($M197/12)*(13-MONTH($F197)),2),IF(AND(YEAR($F197)&lt;YEAR(BM$4),$E197&gt;0,$F197&gt;0,$L197&gt;0,AV197&gt;$M197+$I197),$M197,IF(AND(YEAR($F197)&lt;YEAR(BM$4),$E197&gt;0,$F197&gt;0,$L197&gt;0,AV197&gt;0,AV197&lt;=$M197+$I197),AV197-$I197,IF(AND(YEAR($F197)&lt;YEAR(BM$4),$E197&lt;0,$F197&gt;0,$L197&gt;0,AV197&lt;0,AV197&lt;=$M197),$M197,IF(AND(YEAR($F197)&lt;YEAR(BM$4),$E197&lt;0,$F197&gt;0,$L197&gt;0,AV197&lt;0,AV197&gt;$M197),AV197,0))))))</f>
        <v>0</v>
      </c>
      <c r="BL197" s="51">
        <f t="shared" si="587"/>
        <v>0</v>
      </c>
      <c r="BM197" s="51">
        <f t="shared" ref="BM197:BM260" si="635">IF(AND(YEAR(BM$4)=YEAR($F197),$E197&gt;0,$F197&gt;0,$E197-BK197&gt;=0),$E197-BK197,IF(AND(YEAR(BM$4)&gt;YEAR($F197),$E197&gt;0,$F197&gt;0,AV197-BK197&gt;=0),AV197-BK197,IF(AND(YEAR(BM$4)=YEAR($F197),$E197&lt;0,$F197&gt;0,$E197-BK197&lt;0),$E197-BK197,IF(AND(YEAR(BM$4)&gt;YEAR($F197),$E197&lt;0,$F197&gt;0,AV197-BK197&lt;=0),AV197-BK197,0))))</f>
        <v>0</v>
      </c>
      <c r="BN197" s="51">
        <f t="shared" si="588"/>
        <v>0</v>
      </c>
      <c r="BO197" s="51">
        <f t="shared" ref="BO197:BO260" si="636">AX197+BK197</f>
        <v>0</v>
      </c>
      <c r="BP197" s="54">
        <f t="shared" ref="BP197:BP260" si="637">IF(AND(BE197&lt;&gt;0,$J197="H",$M197=0),BG197,IF(AND(YEAR(BM$4)&gt;YEAR($F197),$J197="H",$F197&gt;0,$M197=0),$E197,0))</f>
        <v>0</v>
      </c>
      <c r="BQ197" s="55">
        <f t="shared" ref="BQ197:BQ260" si="638">IF(AND(YEAR(BM$4)&gt;=YEAR($F197),$E197&gt;0,$F197&gt;0,BK197&gt;0,$J197="H"),ROUND(BK197/$M197*$E197,2),IF(AND(YEAR(BM$4)&gt;=YEAR($F197),$E197&lt;0,$F197&gt;0,BK197&lt;0,$J197="H"),ROUND(BK197/$M197*$E197,2),0))</f>
        <v>0</v>
      </c>
      <c r="BR197" s="56">
        <f>IF(AND($E197&lt;&gt;0,$F197&gt;0,YEAR($F197)&gt;=Preisindex!$A$6,YEAR(BM$4)&gt;=YEAR($F197),AND($K197&lt;&gt;"a",$K197&lt;&gt;"b",$K197&lt;&gt;"g",$K197&lt;&gt;"k")),1,IF(AND($E197&lt;&gt;0,$F197&gt;0,YEAR($F197)&gt;=Preisindex!$A$6,YEAR(BM$4)&gt;=YEAR($F197),$K197="a"),ROUND(VLOOKUP(BR$4,Preisindex,5,FALSE)/VLOOKUP(YEAR($F197),Preisindex,5,FALSE),2),IF(AND($E197&lt;&gt;0,$F197&gt;0,YEAR($F197)&gt;=Preisindex!$A$6,YEAR(BM$4)&gt;=YEAR($F197),$K197="b"),ROUND(VLOOKUP(BR$4,Preisindex,3,FALSE)/VLOOKUP(YEAR($F197),Preisindex,3,FALSE),2),IF(AND($E197&lt;&gt;0,$F197&gt;0,YEAR($F197)&gt;=Preisindex!$A$6,YEAR(BM$4)&gt;=YEAR($F197),$K197="g"),ROUND(VLOOKUP(BR$4,Preisindex,4,FALSE)/VLOOKUP(YEAR($F197),Preisindex,4,FALSE),2),IF(AND($E197&lt;&gt;0,$F197&gt;0,YEAR($F197)&gt;=Preisindex!$A$6,YEAR(BM$4)&gt;=YEAR($F197),$K197="k"),ROUND(VLOOKUP(BR$4,Preisindex,2,FALSE)/VLOOKUP(YEAR($F197),Preisindex,2,FALSE),2),0)))))</f>
        <v>0</v>
      </c>
      <c r="BS197" s="56">
        <f>IF(AND($E197&lt;&gt;0,$F197&gt;0,YEAR($F197)&lt;Preisindex!$A$6,YEAR(BM$4)&gt;=YEAR($F197),AND($K197&lt;&gt;"a",$K197&lt;&gt;"b",$K197&lt;&gt;"g",$K197&lt;&gt;"k")),1,IF(AND($E197&lt;&gt;0,$F197&gt;0,YEAR($F197)&lt;Preisindex!$A$6,YEAR(BM$4)&gt;=YEAR($F197),$K197="a"),ROUND(VLOOKUP(BR$4,Preisindex,5,FALSE)/VLOOKUP(Preisindex!$A$6,Preisindex,5,FALSE),2),IF(AND($E197&lt;&gt;0,$F197&gt;0,YEAR($F197)&lt;Preisindex!$A$6,YEAR(BM$4)&gt;=YEAR($F197),$K197="b"),ROUND(VLOOKUP(BR$4,Preisindex,3,FALSE)/VLOOKUP(Preisindex!$A$6,Preisindex,3,FALSE),2),IF(AND($E197&lt;&gt;0,$F197&gt;0,YEAR($F197)&lt;Preisindex!$A$6,YEAR(BM$4)&gt;=YEAR($F197),$K197="g"),ROUND(VLOOKUP(BR$4,Preisindex,4,FALSE)/VLOOKUP(Preisindex!$A$6,Preisindex,4,FALSE),2),IF(AND($E197&lt;&gt;0,$F197&gt;0,YEAR($F197)&lt;Preisindex!$A$6,YEAR(BM$4)&gt;=YEAR($F197),$K197="k"),ROUND(VLOOKUP(BR$4,Preisindex,2,FALSE)/VLOOKUP(Preisindex!$A$6,Preisindex,2,FALSE),2),0)))))</f>
        <v>0</v>
      </c>
      <c r="BT197" s="51">
        <f>IF(AND($E197&lt;&gt;0,$F197&gt;0,YEAR($F197)&lt;=BR$4,YEAR($F197)&gt;=Preisindex!$A$6),ROUND($E197*BR197,2),IF(AND($E197&lt;&gt;0,$F197&gt;0,YEAR($F197)&lt;=BR$4,YEAR($F197)&lt;Preisindex!$A$6),ROUND($E197*BS197,2),0))</f>
        <v>0</v>
      </c>
      <c r="BU197" s="53">
        <f t="shared" ref="BU197:BU260" si="639">IF(AND(BK197&lt;&gt;0,BK197=$M197),BT197*$L197,IF(AND(BK197&lt;&gt;0,BK197&lt;&gt;$M197),BT197*($L197*(BK197/$M197)),0))</f>
        <v>0</v>
      </c>
      <c r="BV197" s="51">
        <f t="shared" si="623"/>
        <v>0</v>
      </c>
      <c r="BW197" s="51">
        <f t="shared" si="589"/>
        <v>0</v>
      </c>
      <c r="BX197" s="51">
        <f t="shared" ref="BX197:BX260" si="640">IF(BV197&lt;&gt;0,ROUND(BV197*YEARFRAC($F197,CD$4,0),2),0)</f>
        <v>0</v>
      </c>
      <c r="BY197" s="51">
        <f t="shared" si="590"/>
        <v>0</v>
      </c>
      <c r="BZ197" s="51">
        <f t="shared" ref="BZ197:BZ260" si="641">IF(AND($F197&gt;0,$F197&lt;=CD$4),$E197,0)</f>
        <v>0</v>
      </c>
      <c r="CA197" s="51">
        <f t="shared" si="591"/>
        <v>0</v>
      </c>
      <c r="CB197" s="51">
        <f t="shared" ref="CB197:CB260" si="642">IF(AND(YEAR($F197)=YEAR(CD$4),$E197&lt;1000,$E197&gt;-1000,$F197&gt;0,$L197=1),$E197-$I197,IF(AND(YEAR($F197)=YEAR(CD$4),$F197&gt;0,$L197&gt;0),ROUND(($M197/12)*(13-MONTH($F197)),2),IF(AND(YEAR($F197)&lt;YEAR(CD$4),$E197&gt;0,$F197&gt;0,$L197&gt;0,BM197&gt;$M197+$I197),$M197,IF(AND(YEAR($F197)&lt;YEAR(CD$4),$E197&gt;0,$F197&gt;0,$L197&gt;0,BM197&gt;0,BM197&lt;=$M197+$I197),BM197-$I197,IF(AND(YEAR($F197)&lt;YEAR(CD$4),$E197&lt;0,$F197&gt;0,$L197&gt;0,BM197&lt;0,BM197&lt;=$M197),$M197,IF(AND(YEAR($F197)&lt;YEAR(CD$4),$E197&lt;0,$F197&gt;0,$L197&gt;0,BM197&lt;0,BM197&gt;$M197),BM197,0))))))</f>
        <v>0</v>
      </c>
      <c r="CC197" s="51">
        <f t="shared" si="592"/>
        <v>0</v>
      </c>
      <c r="CD197" s="51">
        <f t="shared" ref="CD197:CD260" si="643">IF(AND(YEAR(CD$4)=YEAR($F197),$E197&gt;0,$F197&gt;0,$E197-CB197&gt;=0),$E197-CB197,IF(AND(YEAR(CD$4)&gt;YEAR($F197),$E197&gt;0,$F197&gt;0,BM197-CB197&gt;=0),BM197-CB197,IF(AND(YEAR(CD$4)=YEAR($F197),$E197&lt;0,$F197&gt;0,$E197-CB197&lt;0),$E197-CB197,IF(AND(YEAR(CD$4)&gt;YEAR($F197),$E197&lt;0,$F197&gt;0,BM197-CB197&lt;=0),BM197-CB197,0))))</f>
        <v>0</v>
      </c>
      <c r="CE197" s="51">
        <f t="shared" si="593"/>
        <v>0</v>
      </c>
      <c r="CF197" s="51">
        <f t="shared" ref="CF197:CF260" si="644">BO197+CB197</f>
        <v>0</v>
      </c>
      <c r="CG197" s="54">
        <f t="shared" ref="CG197:CG260" si="645">IF(AND(BV197&lt;&gt;0,$J197="H",$M197=0),BX197,IF(AND(YEAR(CD$4)&gt;YEAR($F197),$J197="H",$F197&gt;0,$M197=0),$E197,0))</f>
        <v>0</v>
      </c>
      <c r="CH197" s="55">
        <f t="shared" ref="CH197:CH260" si="646">IF(AND(YEAR(CD$4)&gt;=YEAR($F197),$E197&gt;0,$F197&gt;0,CB197&gt;0,$J197="H"),ROUND(CB197/$M197*$E197,2),IF(AND(YEAR(CD$4)&gt;=YEAR($F197),$E197&lt;0,$F197&gt;0,CB197&lt;0,$J197="H"),ROUND(CB197/$M197*$E197,2),0))</f>
        <v>0</v>
      </c>
      <c r="CI197" s="56">
        <f>IF(AND($E197&lt;&gt;0,$F197&gt;0,YEAR($F197)&gt;=Preisindex!$A$6,YEAR(CD$4)&gt;=YEAR($F197),AND($K197&lt;&gt;"a",$K197&lt;&gt;"b",$K197&lt;&gt;"g",$K197&lt;&gt;"k")),1,IF(AND($E197&lt;&gt;0,$F197&gt;0,YEAR($F197)&gt;=Preisindex!$A$6,YEAR(CD$4)&gt;=YEAR($F197),$K197="a"),ROUND(VLOOKUP(CI$4,Preisindex,5,FALSE)/VLOOKUP(YEAR($F197),Preisindex,5,FALSE),2),IF(AND($E197&lt;&gt;0,$F197&gt;0,YEAR($F197)&gt;=Preisindex!$A$6,YEAR(CD$4)&gt;=YEAR($F197),$K197="b"),ROUND(VLOOKUP(CI$4,Preisindex,3,FALSE)/VLOOKUP(YEAR($F197),Preisindex,3,FALSE),2),IF(AND($E197&lt;&gt;0,$F197&gt;0,YEAR($F197)&gt;=Preisindex!$A$6,YEAR(CD$4)&gt;=YEAR($F197),$K197="g"),ROUND(VLOOKUP(CI$4,Preisindex,4,FALSE)/VLOOKUP(YEAR($F197),Preisindex,4,FALSE),2),IF(AND($E197&lt;&gt;0,$F197&gt;0,YEAR($F197)&gt;=Preisindex!$A$6,YEAR(CD$4)&gt;=YEAR($F197),$K197="k"),ROUND(VLOOKUP(CI$4,Preisindex,2,FALSE)/VLOOKUP(YEAR($F197),Preisindex,2,FALSE),2),0)))))</f>
        <v>0</v>
      </c>
      <c r="CJ197" s="56">
        <f>IF(AND($E197&lt;&gt;0,$F197&gt;0,YEAR($F197)&lt;Preisindex!$A$6,YEAR(CD$4)&gt;=YEAR($F197),AND($K197&lt;&gt;"a",$K197&lt;&gt;"b",$K197&lt;&gt;"g",$K197&lt;&gt;"k")),1,IF(AND($E197&lt;&gt;0,$F197&gt;0,YEAR($F197)&lt;Preisindex!$A$6,YEAR(CD$4)&gt;=YEAR($F197),$K197="a"),ROUND(VLOOKUP(CI$4,Preisindex,5,FALSE)/VLOOKUP(Preisindex!$A$6,Preisindex,5,FALSE),2),IF(AND($E197&lt;&gt;0,$F197&gt;0,YEAR($F197)&lt;Preisindex!$A$6,YEAR(CD$4)&gt;=YEAR($F197),$K197="b"),ROUND(VLOOKUP(CI$4,Preisindex,3,FALSE)/VLOOKUP(Preisindex!$A$6,Preisindex,3,FALSE),2),IF(AND($E197&lt;&gt;0,$F197&gt;0,YEAR($F197)&lt;Preisindex!$A$6,YEAR(CD$4)&gt;=YEAR($F197),$K197="g"),ROUND(VLOOKUP(CI$4,Preisindex,4,FALSE)/VLOOKUP(Preisindex!$A$6,Preisindex,4,FALSE),2),IF(AND($E197&lt;&gt;0,$F197&gt;0,YEAR($F197)&lt;Preisindex!$A$6,YEAR(CD$4)&gt;=YEAR($F197),$K197="k"),ROUND(VLOOKUP(CI$4,Preisindex,2,FALSE)/VLOOKUP(Preisindex!$A$6,Preisindex,2,FALSE),2),0)))))</f>
        <v>0</v>
      </c>
      <c r="CK197" s="51">
        <f>IF(AND($E197&lt;&gt;0,$F197&gt;0,YEAR($F197)&lt;=CI$4,YEAR($F197)&gt;=Preisindex!$A$6),ROUND($E197*CI197,2),IF(AND($E197&lt;&gt;0,$F197&gt;0,YEAR($F197)&lt;=CI$4,YEAR($F197)&lt;Preisindex!$A$6),ROUND($E197*CJ197,2),0))</f>
        <v>0</v>
      </c>
      <c r="CL197" s="53">
        <f t="shared" ref="CL197:CL260" si="647">IF(AND(CB197&lt;&gt;0,CB197=$M197),CK197*$L197,IF(AND(CB197&lt;&gt;0,CB197&lt;&gt;$M197),CK197*($L197*(CB197/$M197)),0))</f>
        <v>0</v>
      </c>
      <c r="CM197" s="51">
        <f t="shared" si="623"/>
        <v>0</v>
      </c>
      <c r="CN197" s="51">
        <f t="shared" si="594"/>
        <v>0</v>
      </c>
      <c r="CO197" s="51">
        <f t="shared" ref="CO197:CO260" si="648">IF(CM197&lt;&gt;0,ROUND(CM197*YEARFRAC($F197,CU$4,0),2),0)</f>
        <v>0</v>
      </c>
      <c r="CP197" s="51">
        <f t="shared" si="595"/>
        <v>0</v>
      </c>
      <c r="CQ197" s="51">
        <f t="shared" ref="CQ197:CQ260" si="649">IF(AND($F197&gt;0,$F197&lt;=CU$4),$E197,0)</f>
        <v>0</v>
      </c>
      <c r="CR197" s="51">
        <f t="shared" si="596"/>
        <v>0</v>
      </c>
      <c r="CS197" s="51">
        <f t="shared" ref="CS197:CS260" si="650">IF(AND(YEAR($F197)=YEAR(CU$4),$E197&lt;1000,$E197&gt;-1000,$F197&gt;0,$L197=1),$E197-$I197,IF(AND(YEAR($F197)=YEAR(CU$4),$F197&gt;0,$L197&gt;0),ROUND(($M197/12)*(13-MONTH($F197)),2),IF(AND(YEAR($F197)&lt;YEAR(CU$4),$E197&gt;0,$F197&gt;0,$L197&gt;0,CD197&gt;$M197+$I197),$M197,IF(AND(YEAR($F197)&lt;YEAR(CU$4),$E197&gt;0,$F197&gt;0,$L197&gt;0,CD197&gt;0,CD197&lt;=$M197+$I197),CD197-$I197,IF(AND(YEAR($F197)&lt;YEAR(CU$4),$E197&lt;0,$F197&gt;0,$L197&gt;0,CD197&lt;0,CD197&lt;=$M197),$M197,IF(AND(YEAR($F197)&lt;YEAR(CU$4),$E197&lt;0,$F197&gt;0,$L197&gt;0,CD197&lt;0,CD197&gt;$M197),CD197,0))))))</f>
        <v>0</v>
      </c>
      <c r="CT197" s="51">
        <f t="shared" si="597"/>
        <v>0</v>
      </c>
      <c r="CU197" s="51">
        <f t="shared" ref="CU197:CU260" si="651">IF(AND(YEAR(CU$4)=YEAR($F197),$E197&gt;0,$F197&gt;0,$E197-CS197&gt;=0),$E197-CS197,IF(AND(YEAR(CU$4)&gt;YEAR($F197),$E197&gt;0,$F197&gt;0,CD197-CS197&gt;=0),CD197-CS197,IF(AND(YEAR(CU$4)=YEAR($F197),$E197&lt;0,$F197&gt;0,$E197-CS197&lt;0),$E197-CS197,IF(AND(YEAR(CU$4)&gt;YEAR($F197),$E197&lt;0,$F197&gt;0,CD197-CS197&lt;=0),CD197-CS197,0))))</f>
        <v>0</v>
      </c>
      <c r="CV197" s="51">
        <f t="shared" si="598"/>
        <v>0</v>
      </c>
      <c r="CW197" s="51">
        <f t="shared" ref="CW197:CW260" si="652">CF197+CS197</f>
        <v>0</v>
      </c>
      <c r="CX197" s="54">
        <f t="shared" ref="CX197:CX260" si="653">IF(AND(CM197&lt;&gt;0,$J197="H",$M197=0),CO197,IF(AND(YEAR(CU$4)&gt;YEAR($F197),$J197="H",$F197&gt;0,$M197=0),$E197,0))</f>
        <v>0</v>
      </c>
      <c r="CY197" s="55">
        <f t="shared" ref="CY197:CY260" si="654">IF(AND(YEAR(CU$4)&gt;=YEAR($F197),$E197&gt;0,$F197&gt;0,CS197&gt;0,$J197="H"),ROUND(CS197/$M197*$E197,2),IF(AND(YEAR(CU$4)&gt;=YEAR($F197),$E197&lt;0,$F197&gt;0,CS197&lt;0,$J197="H"),ROUND(CS197/$M197*$E197,2),0))</f>
        <v>0</v>
      </c>
      <c r="CZ197" s="56">
        <f>IF(AND($E197&lt;&gt;0,$F197&gt;0,YEAR($F197)&gt;=Preisindex!$A$6,YEAR(CU$4)&gt;=YEAR($F197),AND($K197&lt;&gt;"a",$K197&lt;&gt;"b",$K197&lt;&gt;"g",$K197&lt;&gt;"k")),1,IF(AND($E197&lt;&gt;0,$F197&gt;0,YEAR($F197)&gt;=Preisindex!$A$6,YEAR(CU$4)&gt;=YEAR($F197),$K197="a"),ROUND(VLOOKUP(CZ$4,Preisindex,5,FALSE)/VLOOKUP(YEAR($F197),Preisindex,5,FALSE),2),IF(AND($E197&lt;&gt;0,$F197&gt;0,YEAR($F197)&gt;=Preisindex!$A$6,YEAR(CU$4)&gt;=YEAR($F197),$K197="b"),ROUND(VLOOKUP(CZ$4,Preisindex,3,FALSE)/VLOOKUP(YEAR($F197),Preisindex,3,FALSE),2),IF(AND($E197&lt;&gt;0,$F197&gt;0,YEAR($F197)&gt;=Preisindex!$A$6,YEAR(CU$4)&gt;=YEAR($F197),$K197="g"),ROUND(VLOOKUP(CZ$4,Preisindex,4,FALSE)/VLOOKUP(YEAR($F197),Preisindex,4,FALSE),2),IF(AND($E197&lt;&gt;0,$F197&gt;0,YEAR($F197)&gt;=Preisindex!$A$6,YEAR(CU$4)&gt;=YEAR($F197),$K197="k"),ROUND(VLOOKUP(CZ$4,Preisindex,2,FALSE)/VLOOKUP(YEAR($F197),Preisindex,2,FALSE),2),0)))))</f>
        <v>0</v>
      </c>
      <c r="DA197" s="56">
        <f>IF(AND($E197&lt;&gt;0,$F197&gt;0,YEAR($F197)&lt;Preisindex!$A$6,YEAR(CU$4)&gt;=YEAR($F197),AND($K197&lt;&gt;"a",$K197&lt;&gt;"b",$K197&lt;&gt;"g",$K197&lt;&gt;"k")),1,IF(AND($E197&lt;&gt;0,$F197&gt;0,YEAR($F197)&lt;Preisindex!$A$6,YEAR(CU$4)&gt;=YEAR($F197),$K197="a"),ROUND(VLOOKUP(CZ$4,Preisindex,5,FALSE)/VLOOKUP(Preisindex!$A$6,Preisindex,5,FALSE),2),IF(AND($E197&lt;&gt;0,$F197&gt;0,YEAR($F197)&lt;Preisindex!$A$6,YEAR(CU$4)&gt;=YEAR($F197),$K197="b"),ROUND(VLOOKUP(CZ$4,Preisindex,3,FALSE)/VLOOKUP(Preisindex!$A$6,Preisindex,3,FALSE),2),IF(AND($E197&lt;&gt;0,$F197&gt;0,YEAR($F197)&lt;Preisindex!$A$6,YEAR(CU$4)&gt;=YEAR($F197),$K197="g"),ROUND(VLOOKUP(CZ$4,Preisindex,4,FALSE)/VLOOKUP(Preisindex!$A$6,Preisindex,4,FALSE),2),IF(AND($E197&lt;&gt;0,$F197&gt;0,YEAR($F197)&lt;Preisindex!$A$6,YEAR(CU$4)&gt;=YEAR($F197),$K197="k"),ROUND(VLOOKUP(CZ$4,Preisindex,2,FALSE)/VLOOKUP(Preisindex!$A$6,Preisindex,2,FALSE),2),0)))))</f>
        <v>0</v>
      </c>
      <c r="DB197" s="51">
        <f>IF(AND($E197&lt;&gt;0,$F197&gt;0,YEAR($F197)&lt;=CZ$4,YEAR($F197)&gt;=Preisindex!$A$6),ROUND($E197*CZ197,2),IF(AND($E197&lt;&gt;0,$F197&gt;0,YEAR($F197)&lt;=CZ$4,YEAR($F197)&lt;Preisindex!$A$6),ROUND($E197*DA197,2),0))</f>
        <v>0</v>
      </c>
      <c r="DC197" s="53">
        <f t="shared" ref="DC197:DC260" si="655">IF(AND(CS197&lt;&gt;0,CS197=$M197),DB197*$L197,IF(AND(CS197&lt;&gt;0,CS197&lt;&gt;$M197),DB197*($L197*(CS197/$M197)),0))</f>
        <v>0</v>
      </c>
      <c r="DD197" s="51">
        <f t="shared" ref="DD197:FC212" si="656">IF(YEAR($F197)=DD$4,$E197,0)</f>
        <v>0</v>
      </c>
      <c r="DE197" s="51">
        <f t="shared" si="599"/>
        <v>0</v>
      </c>
      <c r="DF197" s="51">
        <f t="shared" ref="DF197:DF260" si="657">IF(DD197&lt;&gt;0,ROUND(DD197*YEARFRAC($F197,DL$4,0),2),0)</f>
        <v>0</v>
      </c>
      <c r="DG197" s="51">
        <f t="shared" si="600"/>
        <v>0</v>
      </c>
      <c r="DH197" s="51">
        <f t="shared" ref="DH197:DH260" si="658">IF(AND($F197&gt;0,$F197&lt;=DL$4),$E197,0)</f>
        <v>0</v>
      </c>
      <c r="DI197" s="51">
        <f t="shared" si="601"/>
        <v>0</v>
      </c>
      <c r="DJ197" s="51">
        <f t="shared" ref="DJ197:DJ260" si="659">IF(AND(YEAR($F197)=YEAR(DL$4),$E197&lt;1000,$E197&gt;-1000,$F197&gt;0,$L197=1),$E197-$I197,IF(AND(YEAR($F197)=YEAR(DL$4),$F197&gt;0,$L197&gt;0),ROUND(($M197/12)*(13-MONTH($F197)),2),IF(AND(YEAR($F197)&lt;YEAR(DL$4),$E197&gt;0,$F197&gt;0,$L197&gt;0,CU197&gt;$M197+$I197),$M197,IF(AND(YEAR($F197)&lt;YEAR(DL$4),$E197&gt;0,$F197&gt;0,$L197&gt;0,CU197&gt;0,CU197&lt;=$M197+$I197),CU197-$I197,IF(AND(YEAR($F197)&lt;YEAR(DL$4),$E197&lt;0,$F197&gt;0,$L197&gt;0,CU197&lt;0,CU197&lt;=$M197),$M197,IF(AND(YEAR($F197)&lt;YEAR(DL$4),$E197&lt;0,$F197&gt;0,$L197&gt;0,CU197&lt;0,CU197&gt;$M197),CU197,0))))))</f>
        <v>0</v>
      </c>
      <c r="DK197" s="51">
        <f t="shared" si="602"/>
        <v>0</v>
      </c>
      <c r="DL197" s="51">
        <f t="shared" ref="DL197:DL260" si="660">IF(AND(YEAR(DL$4)=YEAR($F197),$E197&gt;0,$F197&gt;0,$E197-DJ197&gt;=0),$E197-DJ197,IF(AND(YEAR(DL$4)&gt;YEAR($F197),$E197&gt;0,$F197&gt;0,CU197-DJ197&gt;=0),CU197-DJ197,IF(AND(YEAR(DL$4)=YEAR($F197),$E197&lt;0,$F197&gt;0,$E197-DJ197&lt;0),$E197-DJ197,IF(AND(YEAR(DL$4)&gt;YEAR($F197),$E197&lt;0,$F197&gt;0,CU197-DJ197&lt;=0),CU197-DJ197,0))))</f>
        <v>0</v>
      </c>
      <c r="DM197" s="51">
        <f t="shared" si="603"/>
        <v>0</v>
      </c>
      <c r="DN197" s="51">
        <f t="shared" ref="DN197:DN260" si="661">CW197+DJ197</f>
        <v>0</v>
      </c>
      <c r="DO197" s="54">
        <f t="shared" ref="DO197:DO260" si="662">IF(AND(DD197&lt;&gt;0,$J197="H",$M197=0),DF197,IF(AND(YEAR(DL$4)&gt;YEAR($F197),$J197="H",$F197&gt;0,$M197=0),$E197,0))</f>
        <v>0</v>
      </c>
      <c r="DP197" s="55">
        <f t="shared" ref="DP197:DP260" si="663">IF(AND(YEAR(DL$4)&gt;=YEAR($F197),$E197&gt;0,$F197&gt;0,DJ197&gt;0,$J197="H"),ROUND(DJ197/$M197*$E197,2),IF(AND(YEAR(DL$4)&gt;=YEAR($F197),$E197&lt;0,$F197&gt;0,DJ197&lt;0,$J197="H"),ROUND(DJ197/$M197*$E197,2),0))</f>
        <v>0</v>
      </c>
      <c r="DQ197" s="56">
        <f>IF(AND($E197&lt;&gt;0,$F197&gt;0,YEAR($F197)&gt;=Preisindex!$A$6,YEAR(DL$4)&gt;=YEAR($F197),AND($K197&lt;&gt;"a",$K197&lt;&gt;"b",$K197&lt;&gt;"g",$K197&lt;&gt;"k")),1,IF(AND($E197&lt;&gt;0,$F197&gt;0,YEAR($F197)&gt;=Preisindex!$A$6,YEAR(DL$4)&gt;=YEAR($F197),$K197="a"),ROUND(VLOOKUP(DQ$4,Preisindex,5,FALSE)/VLOOKUP(YEAR($F197),Preisindex,5,FALSE),2),IF(AND($E197&lt;&gt;0,$F197&gt;0,YEAR($F197)&gt;=Preisindex!$A$6,YEAR(DL$4)&gt;=YEAR($F197),$K197="b"),ROUND(VLOOKUP(DQ$4,Preisindex,3,FALSE)/VLOOKUP(YEAR($F197),Preisindex,3,FALSE),2),IF(AND($E197&lt;&gt;0,$F197&gt;0,YEAR($F197)&gt;=Preisindex!$A$6,YEAR(DL$4)&gt;=YEAR($F197),$K197="g"),ROUND(VLOOKUP(DQ$4,Preisindex,4,FALSE)/VLOOKUP(YEAR($F197),Preisindex,4,FALSE),2),IF(AND($E197&lt;&gt;0,$F197&gt;0,YEAR($F197)&gt;=Preisindex!$A$6,YEAR(DL$4)&gt;=YEAR($F197),$K197="k"),ROUND(VLOOKUP(DQ$4,Preisindex,2,FALSE)/VLOOKUP(YEAR($F197),Preisindex,2,FALSE),2),0)))))</f>
        <v>0</v>
      </c>
      <c r="DR197" s="56">
        <f>IF(AND($E197&lt;&gt;0,$F197&gt;0,YEAR($F197)&lt;Preisindex!$A$6,YEAR(DL$4)&gt;=YEAR($F197),AND($K197&lt;&gt;"a",$K197&lt;&gt;"b",$K197&lt;&gt;"g",$K197&lt;&gt;"k")),1,IF(AND($E197&lt;&gt;0,$F197&gt;0,YEAR($F197)&lt;Preisindex!$A$6,YEAR(DL$4)&gt;=YEAR($F197),$K197="a"),ROUND(VLOOKUP(DQ$4,Preisindex,5,FALSE)/VLOOKUP(Preisindex!$A$6,Preisindex,5,FALSE),2),IF(AND($E197&lt;&gt;0,$F197&gt;0,YEAR($F197)&lt;Preisindex!$A$6,YEAR(DL$4)&gt;=YEAR($F197),$K197="b"),ROUND(VLOOKUP(DQ$4,Preisindex,3,FALSE)/VLOOKUP(Preisindex!$A$6,Preisindex,3,FALSE),2),IF(AND($E197&lt;&gt;0,$F197&gt;0,YEAR($F197)&lt;Preisindex!$A$6,YEAR(DL$4)&gt;=YEAR($F197),$K197="g"),ROUND(VLOOKUP(DQ$4,Preisindex,4,FALSE)/VLOOKUP(Preisindex!$A$6,Preisindex,4,FALSE),2),IF(AND($E197&lt;&gt;0,$F197&gt;0,YEAR($F197)&lt;Preisindex!$A$6,YEAR(DL$4)&gt;=YEAR($F197),$K197="k"),ROUND(VLOOKUP(DQ$4,Preisindex,2,FALSE)/VLOOKUP(Preisindex!$A$6,Preisindex,2,FALSE),2),0)))))</f>
        <v>0</v>
      </c>
      <c r="DS197" s="51">
        <f>IF(AND($E197&lt;&gt;0,$F197&gt;0,YEAR($F197)&lt;=DQ$4,YEAR($F197)&gt;=Preisindex!$A$6),ROUND($E197*DQ197,2),IF(AND($E197&lt;&gt;0,$F197&gt;0,YEAR($F197)&lt;=DQ$4,YEAR($F197)&lt;Preisindex!$A$6),ROUND($E197*DR197,2),0))</f>
        <v>0</v>
      </c>
      <c r="DT197" s="53">
        <f t="shared" ref="DT197:DT260" si="664">IF(AND(DJ197&lt;&gt;0,DJ197=$M197),DS197*$L197,IF(AND(DJ197&lt;&gt;0,DJ197&lt;&gt;$M197),DS197*($L197*(DJ197/$M197)),0))</f>
        <v>0</v>
      </c>
      <c r="DU197" s="51">
        <f t="shared" si="656"/>
        <v>0</v>
      </c>
      <c r="DV197" s="51">
        <f t="shared" si="604"/>
        <v>0</v>
      </c>
      <c r="DW197" s="51">
        <f t="shared" ref="DW197:DW260" si="665">IF(DU197&lt;&gt;0,ROUND(DU197*YEARFRAC($F197,EC$4,0),2),0)</f>
        <v>0</v>
      </c>
      <c r="DX197" s="51">
        <f t="shared" si="605"/>
        <v>0</v>
      </c>
      <c r="DY197" s="51">
        <f t="shared" ref="DY197:DY260" si="666">IF(AND($F197&gt;0,$F197&lt;=EC$4),$E197,0)</f>
        <v>0</v>
      </c>
      <c r="DZ197" s="51">
        <f t="shared" si="606"/>
        <v>0</v>
      </c>
      <c r="EA197" s="51">
        <f t="shared" ref="EA197:EA260" si="667">IF(AND(YEAR($F197)=YEAR(EC$4),$E197&lt;1000,$E197&gt;-1000,$F197&gt;0,$L197=1),$E197-$I197,IF(AND(YEAR($F197)=YEAR(EC$4),$F197&gt;0,$L197&gt;0),ROUND(($M197/12)*(13-MONTH($F197)),2),IF(AND(YEAR($F197)&lt;YEAR(EC$4),$E197&gt;0,$F197&gt;0,$L197&gt;0,DL197&gt;$M197+$I197),$M197,IF(AND(YEAR($F197)&lt;YEAR(EC$4),$E197&gt;0,$F197&gt;0,$L197&gt;0,DL197&gt;0,DL197&lt;=$M197+$I197),DL197-$I197,IF(AND(YEAR($F197)&lt;YEAR(EC$4),$E197&lt;0,$F197&gt;0,$L197&gt;0,DL197&lt;0,DL197&lt;=$M197),$M197,IF(AND(YEAR($F197)&lt;YEAR(EC$4),$E197&lt;0,$F197&gt;0,$L197&gt;0,DL197&lt;0,DL197&gt;$M197),DL197,0))))))</f>
        <v>0</v>
      </c>
      <c r="EB197" s="51">
        <f t="shared" si="607"/>
        <v>0</v>
      </c>
      <c r="EC197" s="51">
        <f t="shared" ref="EC197:EC260" si="668">IF(AND(YEAR(EC$4)=YEAR($F197),$E197&gt;0,$F197&gt;0,$E197-EA197&gt;=0),$E197-EA197,IF(AND(YEAR(EC$4)&gt;YEAR($F197),$E197&gt;0,$F197&gt;0,DL197-EA197&gt;=0),DL197-EA197,IF(AND(YEAR(EC$4)=YEAR($F197),$E197&lt;0,$F197&gt;0,$E197-EA197&lt;0),$E197-EA197,IF(AND(YEAR(EC$4)&gt;YEAR($F197),$E197&lt;0,$F197&gt;0,DL197-EA197&lt;=0),DL197-EA197,0))))</f>
        <v>0</v>
      </c>
      <c r="ED197" s="51">
        <f t="shared" si="608"/>
        <v>0</v>
      </c>
      <c r="EE197" s="51">
        <f t="shared" ref="EE197:EE260" si="669">DN197+EA197</f>
        <v>0</v>
      </c>
      <c r="EF197" s="54">
        <f t="shared" ref="EF197:EF260" si="670">IF(AND(DU197&lt;&gt;0,$J197="H",$M197=0),DW197,IF(AND(YEAR(EC$4)&gt;YEAR($F197),$J197="H",$F197&gt;0,$M197=0),$E197,0))</f>
        <v>0</v>
      </c>
      <c r="EG197" s="55">
        <f t="shared" ref="EG197:EG260" si="671">IF(AND(YEAR(EC$4)&gt;=YEAR($F197),$E197&gt;0,$F197&gt;0,EA197&gt;0,$J197="H"),ROUND(EA197/$M197*$E197,2),IF(AND(YEAR(EC$4)&gt;=YEAR($F197),$E197&lt;0,$F197&gt;0,EA197&lt;0,$J197="H"),ROUND(EA197/$M197*$E197,2),0))</f>
        <v>0</v>
      </c>
      <c r="EH197" s="56">
        <f>IF(AND($E197&lt;&gt;0,$F197&gt;0,YEAR($F197)&gt;=Preisindex!$A$6,YEAR(EC$4)&gt;=YEAR($F197),AND($K197&lt;&gt;"a",$K197&lt;&gt;"b",$K197&lt;&gt;"g",$K197&lt;&gt;"k")),1,IF(AND($E197&lt;&gt;0,$F197&gt;0,YEAR($F197)&gt;=Preisindex!$A$6,YEAR(EC$4)&gt;=YEAR($F197),$K197="a"),ROUND(VLOOKUP(EH$4,Preisindex,5,FALSE)/VLOOKUP(YEAR($F197),Preisindex,5,FALSE),2),IF(AND($E197&lt;&gt;0,$F197&gt;0,YEAR($F197)&gt;=Preisindex!$A$6,YEAR(EC$4)&gt;=YEAR($F197),$K197="b"),ROUND(VLOOKUP(EH$4,Preisindex,3,FALSE)/VLOOKUP(YEAR($F197),Preisindex,3,FALSE),2),IF(AND($E197&lt;&gt;0,$F197&gt;0,YEAR($F197)&gt;=Preisindex!$A$6,YEAR(EC$4)&gt;=YEAR($F197),$K197="g"),ROUND(VLOOKUP(EH$4,Preisindex,4,FALSE)/VLOOKUP(YEAR($F197),Preisindex,4,FALSE),2),IF(AND($E197&lt;&gt;0,$F197&gt;0,YEAR($F197)&gt;=Preisindex!$A$6,YEAR(EC$4)&gt;=YEAR($F197),$K197="k"),ROUND(VLOOKUP(EH$4,Preisindex,2,FALSE)/VLOOKUP(YEAR($F197),Preisindex,2,FALSE),2),0)))))</f>
        <v>0</v>
      </c>
      <c r="EI197" s="56">
        <f>IF(AND($E197&lt;&gt;0,$F197&gt;0,YEAR($F197)&lt;Preisindex!$A$6,YEAR(EC$4)&gt;=YEAR($F197),AND($K197&lt;&gt;"a",$K197&lt;&gt;"b",$K197&lt;&gt;"g",$K197&lt;&gt;"k")),1,IF(AND($E197&lt;&gt;0,$F197&gt;0,YEAR($F197)&lt;Preisindex!$A$6,YEAR(EC$4)&gt;=YEAR($F197),$K197="a"),ROUND(VLOOKUP(EH$4,Preisindex,5,FALSE)/VLOOKUP(Preisindex!$A$6,Preisindex,5,FALSE),2),IF(AND($E197&lt;&gt;0,$F197&gt;0,YEAR($F197)&lt;Preisindex!$A$6,YEAR(EC$4)&gt;=YEAR($F197),$K197="b"),ROUND(VLOOKUP(EH$4,Preisindex,3,FALSE)/VLOOKUP(Preisindex!$A$6,Preisindex,3,FALSE),2),IF(AND($E197&lt;&gt;0,$F197&gt;0,YEAR($F197)&lt;Preisindex!$A$6,YEAR(EC$4)&gt;=YEAR($F197),$K197="g"),ROUND(VLOOKUP(EH$4,Preisindex,4,FALSE)/VLOOKUP(Preisindex!$A$6,Preisindex,4,FALSE),2),IF(AND($E197&lt;&gt;0,$F197&gt;0,YEAR($F197)&lt;Preisindex!$A$6,YEAR(EC$4)&gt;=YEAR($F197),$K197="k"),ROUND(VLOOKUP(EH$4,Preisindex,2,FALSE)/VLOOKUP(Preisindex!$A$6,Preisindex,2,FALSE),2),0)))))</f>
        <v>0</v>
      </c>
      <c r="EJ197" s="51">
        <f>IF(AND($E197&lt;&gt;0,$F197&gt;0,YEAR($F197)&lt;=EH$4,YEAR($F197)&gt;=Preisindex!$A$6),ROUND($E197*EH197,2),IF(AND($E197&lt;&gt;0,$F197&gt;0,YEAR($F197)&lt;=EH$4,YEAR($F197)&lt;Preisindex!$A$6),ROUND($E197*EI197,2),0))</f>
        <v>0</v>
      </c>
      <c r="EK197" s="53">
        <f t="shared" ref="EK197:EK260" si="672">IF(AND(EA197&lt;&gt;0,EA197=$M197),EJ197*$L197,IF(AND(EA197&lt;&gt;0,EA197&lt;&gt;$M197),EJ197*($L197*(EA197/$M197)),0))</f>
        <v>0</v>
      </c>
      <c r="EL197" s="51">
        <f t="shared" si="656"/>
        <v>0</v>
      </c>
      <c r="EM197" s="51">
        <f t="shared" si="609"/>
        <v>0</v>
      </c>
      <c r="EN197" s="51">
        <f t="shared" ref="EN197:EN260" si="673">IF(EL197&lt;&gt;0,ROUND(EL197*YEARFRAC($F197,ET$4,0),2),0)</f>
        <v>0</v>
      </c>
      <c r="EO197" s="51">
        <f t="shared" si="610"/>
        <v>0</v>
      </c>
      <c r="EP197" s="51">
        <f t="shared" ref="EP197:EP260" si="674">IF(AND($F197&gt;0,$F197&lt;=ET$4),$E197,0)</f>
        <v>0</v>
      </c>
      <c r="EQ197" s="51">
        <f t="shared" si="611"/>
        <v>0</v>
      </c>
      <c r="ER197" s="51">
        <f t="shared" ref="ER197:ER260" si="675">IF(AND(YEAR($F197)=YEAR(ET$4),$E197&lt;1000,$E197&gt;-1000,$F197&gt;0,$L197=1),$E197-$I197,IF(AND(YEAR($F197)=YEAR(ET$4),$F197&gt;0,$L197&gt;0),ROUND(($M197/12)*(13-MONTH($F197)),2),IF(AND(YEAR($F197)&lt;YEAR(ET$4),$E197&gt;0,$F197&gt;0,$L197&gt;0,EC197&gt;$M197+$I197),$M197,IF(AND(YEAR($F197)&lt;YEAR(ET$4),$E197&gt;0,$F197&gt;0,$L197&gt;0,EC197&gt;0,EC197&lt;=$M197+$I197),EC197-$I197,IF(AND(YEAR($F197)&lt;YEAR(ET$4),$E197&lt;0,$F197&gt;0,$L197&gt;0,EC197&lt;0,EC197&lt;=$M197),$M197,IF(AND(YEAR($F197)&lt;YEAR(ET$4),$E197&lt;0,$F197&gt;0,$L197&gt;0,EC197&lt;0,EC197&gt;$M197),EC197,0))))))</f>
        <v>0</v>
      </c>
      <c r="ES197" s="51">
        <f t="shared" si="612"/>
        <v>0</v>
      </c>
      <c r="ET197" s="51">
        <f t="shared" ref="ET197:ET260" si="676">IF(AND(YEAR(ET$4)=YEAR($F197),$E197&gt;0,$F197&gt;0,$E197-ER197&gt;=0),$E197-ER197,IF(AND(YEAR(ET$4)&gt;YEAR($F197),$E197&gt;0,$F197&gt;0,EC197-ER197&gt;=0),EC197-ER197,IF(AND(YEAR(ET$4)=YEAR($F197),$E197&lt;0,$F197&gt;0,$E197-ER197&lt;0),$E197-ER197,IF(AND(YEAR(ET$4)&gt;YEAR($F197),$E197&lt;0,$F197&gt;0,EC197-ER197&lt;=0),EC197-ER197,0))))</f>
        <v>0</v>
      </c>
      <c r="EU197" s="51">
        <f t="shared" si="613"/>
        <v>0</v>
      </c>
      <c r="EV197" s="51">
        <f t="shared" ref="EV197:EV260" si="677">EE197+ER197</f>
        <v>0</v>
      </c>
      <c r="EW197" s="54">
        <f t="shared" ref="EW197:EW260" si="678">IF(AND(EL197&lt;&gt;0,$J197="H",$M197=0),EN197,IF(AND(YEAR(ET$4)&gt;YEAR($F197),$J197="H",$F197&gt;0,$M197=0),$E197,0))</f>
        <v>0</v>
      </c>
      <c r="EX197" s="55">
        <f t="shared" ref="EX197:EX260" si="679">IF(AND(YEAR(ET$4)&gt;=YEAR($F197),$E197&gt;0,$F197&gt;0,ER197&gt;0,$J197="H"),ROUND(ER197/$M197*$E197,2),IF(AND(YEAR(ET$4)&gt;=YEAR($F197),$E197&lt;0,$F197&gt;0,ER197&lt;0,$J197="H"),ROUND(ER197/$M197*$E197,2),0))</f>
        <v>0</v>
      </c>
      <c r="EY197" s="56">
        <f>IF(AND($E197&lt;&gt;0,$F197&gt;0,YEAR($F197)&gt;=Preisindex!$A$6,YEAR(ET$4)&gt;=YEAR($F197),AND($K197&lt;&gt;"a",$K197&lt;&gt;"b",$K197&lt;&gt;"g",$K197&lt;&gt;"k")),1,IF(AND($E197&lt;&gt;0,$F197&gt;0,YEAR($F197)&gt;=Preisindex!$A$6,YEAR(ET$4)&gt;=YEAR($F197),$K197="a"),ROUND(VLOOKUP(EY$4,Preisindex,5,FALSE)/VLOOKUP(YEAR($F197),Preisindex,5,FALSE),2),IF(AND($E197&lt;&gt;0,$F197&gt;0,YEAR($F197)&gt;=Preisindex!$A$6,YEAR(ET$4)&gt;=YEAR($F197),$K197="b"),ROUND(VLOOKUP(EY$4,Preisindex,3,FALSE)/VLOOKUP(YEAR($F197),Preisindex,3,FALSE),2),IF(AND($E197&lt;&gt;0,$F197&gt;0,YEAR($F197)&gt;=Preisindex!$A$6,YEAR(ET$4)&gt;=YEAR($F197),$K197="g"),ROUND(VLOOKUP(EY$4,Preisindex,4,FALSE)/VLOOKUP(YEAR($F197),Preisindex,4,FALSE),2),IF(AND($E197&lt;&gt;0,$F197&gt;0,YEAR($F197)&gt;=Preisindex!$A$6,YEAR(ET$4)&gt;=YEAR($F197),$K197="k"),ROUND(VLOOKUP(EY$4,Preisindex,2,FALSE)/VLOOKUP(YEAR($F197),Preisindex,2,FALSE),2),0)))))</f>
        <v>0</v>
      </c>
      <c r="EZ197" s="56">
        <f>IF(AND($E197&lt;&gt;0,$F197&gt;0,YEAR($F197)&lt;Preisindex!$A$6,YEAR(ET$4)&gt;=YEAR($F197),AND($K197&lt;&gt;"a",$K197&lt;&gt;"b",$K197&lt;&gt;"g",$K197&lt;&gt;"k")),1,IF(AND($E197&lt;&gt;0,$F197&gt;0,YEAR($F197)&lt;Preisindex!$A$6,YEAR(ET$4)&gt;=YEAR($F197),$K197="a"),ROUND(VLOOKUP(EY$4,Preisindex,5,FALSE)/VLOOKUP(Preisindex!$A$6,Preisindex,5,FALSE),2),IF(AND($E197&lt;&gt;0,$F197&gt;0,YEAR($F197)&lt;Preisindex!$A$6,YEAR(ET$4)&gt;=YEAR($F197),$K197="b"),ROUND(VLOOKUP(EY$4,Preisindex,3,FALSE)/VLOOKUP(Preisindex!$A$6,Preisindex,3,FALSE),2),IF(AND($E197&lt;&gt;0,$F197&gt;0,YEAR($F197)&lt;Preisindex!$A$6,YEAR(ET$4)&gt;=YEAR($F197),$K197="g"),ROUND(VLOOKUP(EY$4,Preisindex,4,FALSE)/VLOOKUP(Preisindex!$A$6,Preisindex,4,FALSE),2),IF(AND($E197&lt;&gt;0,$F197&gt;0,YEAR($F197)&lt;Preisindex!$A$6,YEAR(ET$4)&gt;=YEAR($F197),$K197="k"),ROUND(VLOOKUP(EY$4,Preisindex,2,FALSE)/VLOOKUP(Preisindex!$A$6,Preisindex,2,FALSE),2),0)))))</f>
        <v>0</v>
      </c>
      <c r="FA197" s="51">
        <f>IF(AND($E197&lt;&gt;0,$F197&gt;0,YEAR($F197)&lt;=EY$4,YEAR($F197)&gt;=Preisindex!$A$6),ROUND($E197*EY197,2),IF(AND($E197&lt;&gt;0,$F197&gt;0,YEAR($F197)&lt;=EY$4,YEAR($F197)&lt;Preisindex!$A$6),ROUND($E197*EZ197,2),0))</f>
        <v>0</v>
      </c>
      <c r="FB197" s="53">
        <f t="shared" ref="FB197:FB260" si="680">IF(AND(ER197&lt;&gt;0,ER197=$M197),FA197*$L197,IF(AND(ER197&lt;&gt;0,ER197&lt;&gt;$M197),FA197*($L197*(ER197/$M197)),0))</f>
        <v>0</v>
      </c>
      <c r="FC197" s="51">
        <f t="shared" si="656"/>
        <v>0</v>
      </c>
      <c r="FD197" s="51">
        <f t="shared" si="614"/>
        <v>0</v>
      </c>
      <c r="FE197" s="51">
        <f t="shared" ref="FE197:FE260" si="681">IF(FC197&lt;&gt;0,ROUND(FC197*YEARFRAC($F197,FK$4,0),2),0)</f>
        <v>0</v>
      </c>
      <c r="FF197" s="51">
        <f t="shared" si="615"/>
        <v>0</v>
      </c>
      <c r="FG197" s="51">
        <f t="shared" ref="FG197:FG260" si="682">IF(AND($F197&gt;0,$F197&lt;=FK$4),$E197,0)</f>
        <v>0</v>
      </c>
      <c r="FH197" s="51">
        <f t="shared" si="616"/>
        <v>0</v>
      </c>
      <c r="FI197" s="51">
        <f t="shared" ref="FI197:FI260" si="683">IF(AND(YEAR($F197)=YEAR(FK$4),$E197&lt;1000,$E197&gt;-1000,$F197&gt;0,$L197=1),$E197-$I197,IF(AND(YEAR($F197)=YEAR(FK$4),$F197&gt;0,$L197&gt;0),ROUND(($M197/12)*(13-MONTH($F197)),2),IF(AND(YEAR($F197)&lt;YEAR(FK$4),$E197&gt;0,$F197&gt;0,$L197&gt;0,ET197&gt;$M197+$I197),$M197,IF(AND(YEAR($F197)&lt;YEAR(FK$4),$E197&gt;0,$F197&gt;0,$L197&gt;0,ET197&gt;0,ET197&lt;=$M197+$I197),ET197-$I197,IF(AND(YEAR($F197)&lt;YEAR(FK$4),$E197&lt;0,$F197&gt;0,$L197&gt;0,ET197&lt;0,ET197&lt;=$M197),$M197,IF(AND(YEAR($F197)&lt;YEAR(FK$4),$E197&lt;0,$F197&gt;0,$L197&gt;0,ET197&lt;0,ET197&gt;$M197),ET197,0))))))</f>
        <v>0</v>
      </c>
      <c r="FJ197" s="51">
        <f t="shared" si="617"/>
        <v>0</v>
      </c>
      <c r="FK197" s="51">
        <f t="shared" ref="FK197:FK260" si="684">IF(AND(YEAR(FK$4)=YEAR($F197),$E197&gt;0,$F197&gt;0,$E197-FI197&gt;=0),$E197-FI197,IF(AND(YEAR(FK$4)&gt;YEAR($F197),$E197&gt;0,$F197&gt;0,ET197-FI197&gt;=0),ET197-FI197,IF(AND(YEAR(FK$4)=YEAR($F197),$E197&lt;0,$F197&gt;0,$E197-FI197&lt;0),$E197-FI197,IF(AND(YEAR(FK$4)&gt;YEAR($F197),$E197&lt;0,$F197&gt;0,ET197-FI197&lt;=0),ET197-FI197,0))))</f>
        <v>0</v>
      </c>
      <c r="FL197" s="51">
        <f t="shared" si="618"/>
        <v>0</v>
      </c>
      <c r="FM197" s="51">
        <f t="shared" ref="FM197:FM260" si="685">EV197+FI197</f>
        <v>0</v>
      </c>
      <c r="FN197" s="54">
        <f t="shared" ref="FN197:FN260" si="686">IF(AND(FC197&lt;&gt;0,$J197="H",$M197=0),FE197,IF(AND(YEAR(FK$4)&gt;YEAR($F197),$J197="H",$F197&gt;0,$M197=0),$E197,0))</f>
        <v>0</v>
      </c>
      <c r="FO197" s="55">
        <f t="shared" ref="FO197:FO260" si="687">IF(AND(YEAR(FK$4)&gt;=YEAR($F197),$E197&gt;0,$F197&gt;0,FI197&gt;0,$J197="H"),ROUND(FI197/$M197*$E197,2),IF(AND(YEAR(FK$4)&gt;=YEAR($F197),$E197&lt;0,$F197&gt;0,FI197&lt;0,$J197="H"),ROUND(FI197/$M197*$E197,2),0))</f>
        <v>0</v>
      </c>
      <c r="FP197" s="56">
        <f>IF(AND($E197&lt;&gt;0,$F197&gt;0,YEAR($F197)&gt;=Preisindex!$A$6,YEAR(FK$4)&gt;=YEAR($F197),AND($K197&lt;&gt;"a",$K197&lt;&gt;"b",$K197&lt;&gt;"g",$K197&lt;&gt;"k")),1,IF(AND($E197&lt;&gt;0,$F197&gt;0,YEAR($F197)&gt;=Preisindex!$A$6,YEAR(FK$4)&gt;=YEAR($F197),$K197="a"),ROUND(VLOOKUP(FP$4,Preisindex,5,FALSE)/VLOOKUP(YEAR($F197),Preisindex,5,FALSE),2),IF(AND($E197&lt;&gt;0,$F197&gt;0,YEAR($F197)&gt;=Preisindex!$A$6,YEAR(FK$4)&gt;=YEAR($F197),$K197="b"),ROUND(VLOOKUP(FP$4,Preisindex,3,FALSE)/VLOOKUP(YEAR($F197),Preisindex,3,FALSE),2),IF(AND($E197&lt;&gt;0,$F197&gt;0,YEAR($F197)&gt;=Preisindex!$A$6,YEAR(FK$4)&gt;=YEAR($F197),$K197="g"),ROUND(VLOOKUP(FP$4,Preisindex,4,FALSE)/VLOOKUP(YEAR($F197),Preisindex,4,FALSE),2),IF(AND($E197&lt;&gt;0,$F197&gt;0,YEAR($F197)&gt;=Preisindex!$A$6,YEAR(FK$4)&gt;=YEAR($F197),$K197="k"),ROUND(VLOOKUP(FP$4,Preisindex,2,FALSE)/VLOOKUP(YEAR($F197),Preisindex,2,FALSE),2),0)))))</f>
        <v>0</v>
      </c>
      <c r="FQ197" s="56">
        <f>IF(AND($E197&lt;&gt;0,$F197&gt;0,YEAR($F197)&lt;Preisindex!$A$6,YEAR(FK$4)&gt;=YEAR($F197),AND($K197&lt;&gt;"a",$K197&lt;&gt;"b",$K197&lt;&gt;"g",$K197&lt;&gt;"k")),1,IF(AND($E197&lt;&gt;0,$F197&gt;0,YEAR($F197)&lt;Preisindex!$A$6,YEAR(FK$4)&gt;=YEAR($F197),$K197="a"),ROUND(VLOOKUP(FP$4,Preisindex,5,FALSE)/VLOOKUP(Preisindex!$A$6,Preisindex,5,FALSE),2),IF(AND($E197&lt;&gt;0,$F197&gt;0,YEAR($F197)&lt;Preisindex!$A$6,YEAR(FK$4)&gt;=YEAR($F197),$K197="b"),ROUND(VLOOKUP(FP$4,Preisindex,3,FALSE)/VLOOKUP(Preisindex!$A$6,Preisindex,3,FALSE),2),IF(AND($E197&lt;&gt;0,$F197&gt;0,YEAR($F197)&lt;Preisindex!$A$6,YEAR(FK$4)&gt;=YEAR($F197),$K197="g"),ROUND(VLOOKUP(FP$4,Preisindex,4,FALSE)/VLOOKUP(Preisindex!$A$6,Preisindex,4,FALSE),2),IF(AND($E197&lt;&gt;0,$F197&gt;0,YEAR($F197)&lt;Preisindex!$A$6,YEAR(FK$4)&gt;=YEAR($F197),$K197="k"),ROUND(VLOOKUP(FP$4,Preisindex,2,FALSE)/VLOOKUP(Preisindex!$A$6,Preisindex,2,FALSE),2),0)))))</f>
        <v>0</v>
      </c>
      <c r="FR197" s="51">
        <f>IF(AND($E197&lt;&gt;0,$F197&gt;0,YEAR($F197)&lt;=FP$4,YEAR($F197)&gt;=Preisindex!$A$6),ROUND($E197*FP197,2),IF(AND($E197&lt;&gt;0,$F197&gt;0,YEAR($F197)&lt;=FP$4,YEAR($F197)&lt;Preisindex!$A$6),ROUND($E197*FQ197,2),0))</f>
        <v>0</v>
      </c>
      <c r="FS197" s="53">
        <f t="shared" ref="FS197:FS260" si="688">IF(AND(FI197&lt;&gt;0,FI197=$M197),FR197*$L197,IF(AND(FI197&lt;&gt;0,FI197&lt;&gt;$M197),FR197*($L197*(FI197/$M197)),0))</f>
        <v>0</v>
      </c>
    </row>
    <row r="198" spans="1:175" x14ac:dyDescent="0.3">
      <c r="A198" s="93"/>
      <c r="B198" s="94"/>
      <c r="C198" s="94"/>
      <c r="D198" s="95"/>
      <c r="E198" s="99"/>
      <c r="F198" s="97"/>
      <c r="G198" s="98"/>
      <c r="H198" s="620"/>
      <c r="I198" s="621"/>
      <c r="J198" s="194"/>
      <c r="K198" s="630"/>
      <c r="L198" s="49">
        <f t="shared" si="558"/>
        <v>0</v>
      </c>
      <c r="M198" s="50">
        <f t="shared" si="559"/>
        <v>0</v>
      </c>
      <c r="N198" s="51">
        <f t="shared" si="560"/>
        <v>0</v>
      </c>
      <c r="O198" s="51"/>
      <c r="P198" s="51">
        <f t="shared" si="561"/>
        <v>0</v>
      </c>
      <c r="Q198" s="52"/>
      <c r="R198" s="52"/>
      <c r="S198" s="52"/>
      <c r="T198" s="52"/>
      <c r="U198" s="52"/>
      <c r="V198" s="53">
        <f t="shared" si="562"/>
        <v>0</v>
      </c>
      <c r="W198" s="51">
        <f t="shared" si="563"/>
        <v>0</v>
      </c>
      <c r="X198" s="51">
        <f t="shared" si="564"/>
        <v>0</v>
      </c>
      <c r="Y198" s="51">
        <f t="shared" si="565"/>
        <v>0</v>
      </c>
      <c r="Z198" s="51">
        <f t="shared" si="566"/>
        <v>0</v>
      </c>
      <c r="AA198" s="51">
        <f t="shared" si="567"/>
        <v>0</v>
      </c>
      <c r="AB198" s="51">
        <f t="shared" si="568"/>
        <v>0</v>
      </c>
      <c r="AC198" s="51">
        <f t="shared" si="569"/>
        <v>0</v>
      </c>
      <c r="AD198" s="51">
        <f t="shared" si="570"/>
        <v>0</v>
      </c>
      <c r="AE198" s="51">
        <f t="shared" si="571"/>
        <v>0</v>
      </c>
      <c r="AF198" s="51">
        <f t="shared" si="572"/>
        <v>0</v>
      </c>
      <c r="AG198" s="51">
        <f t="shared" si="573"/>
        <v>0</v>
      </c>
      <c r="AH198" s="54">
        <f t="shared" si="574"/>
        <v>0</v>
      </c>
      <c r="AI198" s="55">
        <f t="shared" si="575"/>
        <v>0</v>
      </c>
      <c r="AJ198" s="56">
        <f>IF(AND($E198&lt;&gt;0,$F198&gt;0,YEAR($F198)&gt;=Preisindex!$A$6,YEAR(AE$4)&gt;=YEAR($F198),AND($K198&lt;&gt;"a",$K198&lt;&gt;"b",$K198&lt;&gt;"g",$K198&lt;&gt;"k")),1,IF(AND($E198&lt;&gt;0,$F198&gt;0,YEAR($F198)&gt;=Preisindex!$A$6,YEAR(AE$4)&gt;=YEAR($F198),$K198="a"),ROUND(VLOOKUP(AJ$4,Preisindex,5,FALSE)/VLOOKUP(YEAR($F198),Preisindex,5,FALSE),2),IF(AND($E198&lt;&gt;0,$F198&gt;0,YEAR($F198)&gt;=Preisindex!$A$6,YEAR(AE$4)&gt;=YEAR($F198),$K198="b"),ROUND(VLOOKUP(AJ$4,Preisindex,3,FALSE)/VLOOKUP(YEAR($F198),Preisindex,3,FALSE),2),IF(AND($E198&lt;&gt;0,$F198&gt;0,YEAR($F198)&gt;=Preisindex!$A$6,YEAR(AE$4)&gt;=YEAR($F198),$K198="g"),ROUND(VLOOKUP(AJ$4,Preisindex,4,FALSE)/VLOOKUP(YEAR($F198),Preisindex,4,FALSE),2),IF(AND($E198&lt;&gt;0,$F198&gt;0,YEAR($F198)&gt;=Preisindex!$A$6,YEAR(AE$4)&gt;=YEAR($F198),$K198="k"),ROUND(VLOOKUP(AJ$4,Preisindex,2,FALSE)/VLOOKUP(YEAR($F198),Preisindex,2,FALSE),2),0)))))</f>
        <v>0</v>
      </c>
      <c r="AK198" s="56">
        <f>IF(AND($E198&lt;&gt;0,$F198&gt;0,YEAR($F198)&lt;Preisindex!$A$6,YEAR(AE$4)&gt;=YEAR($F198),AND($K198&lt;&gt;"a",$K198&lt;&gt;"b",$K198&lt;&gt;"g",$K198&lt;&gt;"k")),1,IF(AND($E198&lt;&gt;0,$F198&gt;0,YEAR($F198)&lt;Preisindex!$A$6,YEAR(AE$4)&gt;=YEAR($F198),$K198="a"),ROUND(VLOOKUP(AJ$4,Preisindex,5,FALSE)/VLOOKUP(Preisindex!$A$6,Preisindex,5,FALSE),2),IF(AND($E198&lt;&gt;0,$F198&gt;0,YEAR($F198)&lt;Preisindex!$A$6,YEAR(AE$4)&gt;=YEAR($F198),$K198="b"),ROUND(VLOOKUP(AJ$4,Preisindex,3,FALSE)/VLOOKUP(Preisindex!$A$6,Preisindex,3,FALSE),2),IF(AND($E198&lt;&gt;0,$F198&gt;0,YEAR($F198)&lt;Preisindex!$A$6,YEAR(AE$4)&gt;=YEAR($F198),$K198="g"),ROUND(VLOOKUP(AJ$4,Preisindex,4,FALSE)/VLOOKUP(Preisindex!$A$6,Preisindex,4,FALSE),2),IF(AND($E198&lt;&gt;0,$F198&gt;0,YEAR($F198)&lt;Preisindex!$A$6,YEAR(AE$4)&gt;=YEAR($F198),$K198="k"),ROUND(VLOOKUP(AJ$4,Preisindex,2,FALSE)/VLOOKUP(Preisindex!$A$6,Preisindex,2,FALSE),2),0)))))</f>
        <v>0</v>
      </c>
      <c r="AL198" s="51">
        <f>IF(AND($E198&lt;&gt;0,$F198&gt;0,YEAR($F198)&lt;=AJ$4,YEAR($F198)&gt;=Preisindex!$A$6),ROUND($E198*AJ198,2),IF(AND($E198&lt;&gt;0,$F198&gt;0,YEAR($F198)&lt;=AJ$4,YEAR($F198)&lt;Preisindex!$A$6),ROUND($E198*AK198,2),0))</f>
        <v>0</v>
      </c>
      <c r="AM198" s="53">
        <f t="shared" si="576"/>
        <v>0</v>
      </c>
      <c r="AN198" s="51">
        <f t="shared" si="623"/>
        <v>0</v>
      </c>
      <c r="AO198" s="51">
        <f t="shared" si="579"/>
        <v>0</v>
      </c>
      <c r="AP198" s="51">
        <f t="shared" si="624"/>
        <v>0</v>
      </c>
      <c r="AQ198" s="51">
        <f t="shared" si="580"/>
        <v>0</v>
      </c>
      <c r="AR198" s="51">
        <f t="shared" si="625"/>
        <v>0</v>
      </c>
      <c r="AS198" s="51">
        <f t="shared" si="581"/>
        <v>0</v>
      </c>
      <c r="AT198" s="51">
        <f t="shared" si="626"/>
        <v>0</v>
      </c>
      <c r="AU198" s="51">
        <f t="shared" si="582"/>
        <v>0</v>
      </c>
      <c r="AV198" s="51">
        <f t="shared" si="627"/>
        <v>0</v>
      </c>
      <c r="AW198" s="51">
        <f t="shared" si="583"/>
        <v>0</v>
      </c>
      <c r="AX198" s="51">
        <f t="shared" si="628"/>
        <v>0</v>
      </c>
      <c r="AY198" s="54">
        <f t="shared" si="629"/>
        <v>0</v>
      </c>
      <c r="AZ198" s="55">
        <f t="shared" si="630"/>
        <v>0</v>
      </c>
      <c r="BA198" s="56">
        <f>IF(AND($E198&lt;&gt;0,$F198&gt;0,YEAR($F198)&gt;=Preisindex!$A$6,YEAR(AV$4)&gt;=YEAR($F198),AND($K198&lt;&gt;"a",$K198&lt;&gt;"b",$K198&lt;&gt;"g",$K198&lt;&gt;"k")),1,IF(AND($E198&lt;&gt;0,$F198&gt;0,YEAR($F198)&gt;=Preisindex!$A$6,YEAR(AV$4)&gt;=YEAR($F198),$K198="a"),ROUND(VLOOKUP(BA$4,Preisindex,5,FALSE)/VLOOKUP(YEAR($F198),Preisindex,5,FALSE),2),IF(AND($E198&lt;&gt;0,$F198&gt;0,YEAR($F198)&gt;=Preisindex!$A$6,YEAR(AV$4)&gt;=YEAR($F198),$K198="b"),ROUND(VLOOKUP(BA$4,Preisindex,3,FALSE)/VLOOKUP(YEAR($F198),Preisindex,3,FALSE),2),IF(AND($E198&lt;&gt;0,$F198&gt;0,YEAR($F198)&gt;=Preisindex!$A$6,YEAR(AV$4)&gt;=YEAR($F198),$K198="g"),ROUND(VLOOKUP(BA$4,Preisindex,4,FALSE)/VLOOKUP(YEAR($F198),Preisindex,4,FALSE),2),IF(AND($E198&lt;&gt;0,$F198&gt;0,YEAR($F198)&gt;=Preisindex!$A$6,YEAR(AV$4)&gt;=YEAR($F198),$K198="k"),ROUND(VLOOKUP(BA$4,Preisindex,2,FALSE)/VLOOKUP(YEAR($F198),Preisindex,2,FALSE),2),0)))))</f>
        <v>0</v>
      </c>
      <c r="BB198" s="56">
        <f>IF(AND($E198&lt;&gt;0,$F198&gt;0,YEAR($F198)&lt;Preisindex!$A$6,YEAR(AV$4)&gt;=YEAR($F198),AND($K198&lt;&gt;"a",$K198&lt;&gt;"b",$K198&lt;&gt;"g",$K198&lt;&gt;"k")),1,IF(AND($E198&lt;&gt;0,$F198&gt;0,YEAR($F198)&lt;Preisindex!$A$6,YEAR(AV$4)&gt;=YEAR($F198),$K198="a"),ROUND(VLOOKUP(BA$4,Preisindex,5,FALSE)/VLOOKUP(Preisindex!$A$6,Preisindex,5,FALSE),2),IF(AND($E198&lt;&gt;0,$F198&gt;0,YEAR($F198)&lt;Preisindex!$A$6,YEAR(AV$4)&gt;=YEAR($F198),$K198="b"),ROUND(VLOOKUP(BA$4,Preisindex,3,FALSE)/VLOOKUP(Preisindex!$A$6,Preisindex,3,FALSE),2),IF(AND($E198&lt;&gt;0,$F198&gt;0,YEAR($F198)&lt;Preisindex!$A$6,YEAR(AV$4)&gt;=YEAR($F198),$K198="g"),ROUND(VLOOKUP(BA$4,Preisindex,4,FALSE)/VLOOKUP(Preisindex!$A$6,Preisindex,4,FALSE),2),IF(AND($E198&lt;&gt;0,$F198&gt;0,YEAR($F198)&lt;Preisindex!$A$6,YEAR(AV$4)&gt;=YEAR($F198),$K198="k"),ROUND(VLOOKUP(BA$4,Preisindex,2,FALSE)/VLOOKUP(Preisindex!$A$6,Preisindex,2,FALSE),2),0)))))</f>
        <v>0</v>
      </c>
      <c r="BC198" s="51">
        <f>IF(AND($E198&lt;&gt;0,$F198&gt;0,YEAR($F198)&lt;=BA$4,YEAR($F198)&gt;=Preisindex!$A$6),ROUND($E198*BA198,2),IF(AND($E198&lt;&gt;0,$F198&gt;0,YEAR($F198)&lt;=BA$4,YEAR($F198)&lt;Preisindex!$A$6),ROUND($E198*BB198,2),0))</f>
        <v>0</v>
      </c>
      <c r="BD198" s="53">
        <f t="shared" si="631"/>
        <v>0</v>
      </c>
      <c r="BE198" s="51">
        <f t="shared" si="623"/>
        <v>0</v>
      </c>
      <c r="BF198" s="51">
        <f t="shared" si="584"/>
        <v>0</v>
      </c>
      <c r="BG198" s="51">
        <f t="shared" si="632"/>
        <v>0</v>
      </c>
      <c r="BH198" s="51">
        <f t="shared" si="585"/>
        <v>0</v>
      </c>
      <c r="BI198" s="51">
        <f t="shared" si="633"/>
        <v>0</v>
      </c>
      <c r="BJ198" s="51">
        <f t="shared" si="586"/>
        <v>0</v>
      </c>
      <c r="BK198" s="51">
        <f t="shared" si="634"/>
        <v>0</v>
      </c>
      <c r="BL198" s="51">
        <f t="shared" si="587"/>
        <v>0</v>
      </c>
      <c r="BM198" s="51">
        <f t="shared" si="635"/>
        <v>0</v>
      </c>
      <c r="BN198" s="51">
        <f t="shared" si="588"/>
        <v>0</v>
      </c>
      <c r="BO198" s="51">
        <f t="shared" si="636"/>
        <v>0</v>
      </c>
      <c r="BP198" s="54">
        <f t="shared" si="637"/>
        <v>0</v>
      </c>
      <c r="BQ198" s="55">
        <f t="shared" si="638"/>
        <v>0</v>
      </c>
      <c r="BR198" s="56">
        <f>IF(AND($E198&lt;&gt;0,$F198&gt;0,YEAR($F198)&gt;=Preisindex!$A$6,YEAR(BM$4)&gt;=YEAR($F198),AND($K198&lt;&gt;"a",$K198&lt;&gt;"b",$K198&lt;&gt;"g",$K198&lt;&gt;"k")),1,IF(AND($E198&lt;&gt;0,$F198&gt;0,YEAR($F198)&gt;=Preisindex!$A$6,YEAR(BM$4)&gt;=YEAR($F198),$K198="a"),ROUND(VLOOKUP(BR$4,Preisindex,5,FALSE)/VLOOKUP(YEAR($F198),Preisindex,5,FALSE),2),IF(AND($E198&lt;&gt;0,$F198&gt;0,YEAR($F198)&gt;=Preisindex!$A$6,YEAR(BM$4)&gt;=YEAR($F198),$K198="b"),ROUND(VLOOKUP(BR$4,Preisindex,3,FALSE)/VLOOKUP(YEAR($F198),Preisindex,3,FALSE),2),IF(AND($E198&lt;&gt;0,$F198&gt;0,YEAR($F198)&gt;=Preisindex!$A$6,YEAR(BM$4)&gt;=YEAR($F198),$K198="g"),ROUND(VLOOKUP(BR$4,Preisindex,4,FALSE)/VLOOKUP(YEAR($F198),Preisindex,4,FALSE),2),IF(AND($E198&lt;&gt;0,$F198&gt;0,YEAR($F198)&gt;=Preisindex!$A$6,YEAR(BM$4)&gt;=YEAR($F198),$K198="k"),ROUND(VLOOKUP(BR$4,Preisindex,2,FALSE)/VLOOKUP(YEAR($F198),Preisindex,2,FALSE),2),0)))))</f>
        <v>0</v>
      </c>
      <c r="BS198" s="56">
        <f>IF(AND($E198&lt;&gt;0,$F198&gt;0,YEAR($F198)&lt;Preisindex!$A$6,YEAR(BM$4)&gt;=YEAR($F198),AND($K198&lt;&gt;"a",$K198&lt;&gt;"b",$K198&lt;&gt;"g",$K198&lt;&gt;"k")),1,IF(AND($E198&lt;&gt;0,$F198&gt;0,YEAR($F198)&lt;Preisindex!$A$6,YEAR(BM$4)&gt;=YEAR($F198),$K198="a"),ROUND(VLOOKUP(BR$4,Preisindex,5,FALSE)/VLOOKUP(Preisindex!$A$6,Preisindex,5,FALSE),2),IF(AND($E198&lt;&gt;0,$F198&gt;0,YEAR($F198)&lt;Preisindex!$A$6,YEAR(BM$4)&gt;=YEAR($F198),$K198="b"),ROUND(VLOOKUP(BR$4,Preisindex,3,FALSE)/VLOOKUP(Preisindex!$A$6,Preisindex,3,FALSE),2),IF(AND($E198&lt;&gt;0,$F198&gt;0,YEAR($F198)&lt;Preisindex!$A$6,YEAR(BM$4)&gt;=YEAR($F198),$K198="g"),ROUND(VLOOKUP(BR$4,Preisindex,4,FALSE)/VLOOKUP(Preisindex!$A$6,Preisindex,4,FALSE),2),IF(AND($E198&lt;&gt;0,$F198&gt;0,YEAR($F198)&lt;Preisindex!$A$6,YEAR(BM$4)&gt;=YEAR($F198),$K198="k"),ROUND(VLOOKUP(BR$4,Preisindex,2,FALSE)/VLOOKUP(Preisindex!$A$6,Preisindex,2,FALSE),2),0)))))</f>
        <v>0</v>
      </c>
      <c r="BT198" s="51">
        <f>IF(AND($E198&lt;&gt;0,$F198&gt;0,YEAR($F198)&lt;=BR$4,YEAR($F198)&gt;=Preisindex!$A$6),ROUND($E198*BR198,2),IF(AND($E198&lt;&gt;0,$F198&gt;0,YEAR($F198)&lt;=BR$4,YEAR($F198)&lt;Preisindex!$A$6),ROUND($E198*BS198,2),0))</f>
        <v>0</v>
      </c>
      <c r="BU198" s="53">
        <f t="shared" si="639"/>
        <v>0</v>
      </c>
      <c r="BV198" s="51">
        <f t="shared" si="623"/>
        <v>0</v>
      </c>
      <c r="BW198" s="51">
        <f t="shared" si="589"/>
        <v>0</v>
      </c>
      <c r="BX198" s="51">
        <f t="shared" si="640"/>
        <v>0</v>
      </c>
      <c r="BY198" s="51">
        <f t="shared" si="590"/>
        <v>0</v>
      </c>
      <c r="BZ198" s="51">
        <f t="shared" si="641"/>
        <v>0</v>
      </c>
      <c r="CA198" s="51">
        <f t="shared" si="591"/>
        <v>0</v>
      </c>
      <c r="CB198" s="51">
        <f t="shared" si="642"/>
        <v>0</v>
      </c>
      <c r="CC198" s="51">
        <f t="shared" si="592"/>
        <v>0</v>
      </c>
      <c r="CD198" s="51">
        <f t="shared" si="643"/>
        <v>0</v>
      </c>
      <c r="CE198" s="51">
        <f t="shared" si="593"/>
        <v>0</v>
      </c>
      <c r="CF198" s="51">
        <f t="shared" si="644"/>
        <v>0</v>
      </c>
      <c r="CG198" s="54">
        <f t="shared" si="645"/>
        <v>0</v>
      </c>
      <c r="CH198" s="55">
        <f t="shared" si="646"/>
        <v>0</v>
      </c>
      <c r="CI198" s="56">
        <f>IF(AND($E198&lt;&gt;0,$F198&gt;0,YEAR($F198)&gt;=Preisindex!$A$6,YEAR(CD$4)&gt;=YEAR($F198),AND($K198&lt;&gt;"a",$K198&lt;&gt;"b",$K198&lt;&gt;"g",$K198&lt;&gt;"k")),1,IF(AND($E198&lt;&gt;0,$F198&gt;0,YEAR($F198)&gt;=Preisindex!$A$6,YEAR(CD$4)&gt;=YEAR($F198),$K198="a"),ROUND(VLOOKUP(CI$4,Preisindex,5,FALSE)/VLOOKUP(YEAR($F198),Preisindex,5,FALSE),2),IF(AND($E198&lt;&gt;0,$F198&gt;0,YEAR($F198)&gt;=Preisindex!$A$6,YEAR(CD$4)&gt;=YEAR($F198),$K198="b"),ROUND(VLOOKUP(CI$4,Preisindex,3,FALSE)/VLOOKUP(YEAR($F198),Preisindex,3,FALSE),2),IF(AND($E198&lt;&gt;0,$F198&gt;0,YEAR($F198)&gt;=Preisindex!$A$6,YEAR(CD$4)&gt;=YEAR($F198),$K198="g"),ROUND(VLOOKUP(CI$4,Preisindex,4,FALSE)/VLOOKUP(YEAR($F198),Preisindex,4,FALSE),2),IF(AND($E198&lt;&gt;0,$F198&gt;0,YEAR($F198)&gt;=Preisindex!$A$6,YEAR(CD$4)&gt;=YEAR($F198),$K198="k"),ROUND(VLOOKUP(CI$4,Preisindex,2,FALSE)/VLOOKUP(YEAR($F198),Preisindex,2,FALSE),2),0)))))</f>
        <v>0</v>
      </c>
      <c r="CJ198" s="56">
        <f>IF(AND($E198&lt;&gt;0,$F198&gt;0,YEAR($F198)&lt;Preisindex!$A$6,YEAR(CD$4)&gt;=YEAR($F198),AND($K198&lt;&gt;"a",$K198&lt;&gt;"b",$K198&lt;&gt;"g",$K198&lt;&gt;"k")),1,IF(AND($E198&lt;&gt;0,$F198&gt;0,YEAR($F198)&lt;Preisindex!$A$6,YEAR(CD$4)&gt;=YEAR($F198),$K198="a"),ROUND(VLOOKUP(CI$4,Preisindex,5,FALSE)/VLOOKUP(Preisindex!$A$6,Preisindex,5,FALSE),2),IF(AND($E198&lt;&gt;0,$F198&gt;0,YEAR($F198)&lt;Preisindex!$A$6,YEAR(CD$4)&gt;=YEAR($F198),$K198="b"),ROUND(VLOOKUP(CI$4,Preisindex,3,FALSE)/VLOOKUP(Preisindex!$A$6,Preisindex,3,FALSE),2),IF(AND($E198&lt;&gt;0,$F198&gt;0,YEAR($F198)&lt;Preisindex!$A$6,YEAR(CD$4)&gt;=YEAR($F198),$K198="g"),ROUND(VLOOKUP(CI$4,Preisindex,4,FALSE)/VLOOKUP(Preisindex!$A$6,Preisindex,4,FALSE),2),IF(AND($E198&lt;&gt;0,$F198&gt;0,YEAR($F198)&lt;Preisindex!$A$6,YEAR(CD$4)&gt;=YEAR($F198),$K198="k"),ROUND(VLOOKUP(CI$4,Preisindex,2,FALSE)/VLOOKUP(Preisindex!$A$6,Preisindex,2,FALSE),2),0)))))</f>
        <v>0</v>
      </c>
      <c r="CK198" s="51">
        <f>IF(AND($E198&lt;&gt;0,$F198&gt;0,YEAR($F198)&lt;=CI$4,YEAR($F198)&gt;=Preisindex!$A$6),ROUND($E198*CI198,2),IF(AND($E198&lt;&gt;0,$F198&gt;0,YEAR($F198)&lt;=CI$4,YEAR($F198)&lt;Preisindex!$A$6),ROUND($E198*CJ198,2),0))</f>
        <v>0</v>
      </c>
      <c r="CL198" s="53">
        <f t="shared" si="647"/>
        <v>0</v>
      </c>
      <c r="CM198" s="51">
        <f t="shared" si="623"/>
        <v>0</v>
      </c>
      <c r="CN198" s="51">
        <f t="shared" si="594"/>
        <v>0</v>
      </c>
      <c r="CO198" s="51">
        <f t="shared" si="648"/>
        <v>0</v>
      </c>
      <c r="CP198" s="51">
        <f t="shared" si="595"/>
        <v>0</v>
      </c>
      <c r="CQ198" s="51">
        <f t="shared" si="649"/>
        <v>0</v>
      </c>
      <c r="CR198" s="51">
        <f t="shared" si="596"/>
        <v>0</v>
      </c>
      <c r="CS198" s="51">
        <f t="shared" si="650"/>
        <v>0</v>
      </c>
      <c r="CT198" s="51">
        <f t="shared" si="597"/>
        <v>0</v>
      </c>
      <c r="CU198" s="51">
        <f t="shared" si="651"/>
        <v>0</v>
      </c>
      <c r="CV198" s="51">
        <f t="shared" si="598"/>
        <v>0</v>
      </c>
      <c r="CW198" s="51">
        <f t="shared" si="652"/>
        <v>0</v>
      </c>
      <c r="CX198" s="54">
        <f t="shared" si="653"/>
        <v>0</v>
      </c>
      <c r="CY198" s="55">
        <f t="shared" si="654"/>
        <v>0</v>
      </c>
      <c r="CZ198" s="56">
        <f>IF(AND($E198&lt;&gt;0,$F198&gt;0,YEAR($F198)&gt;=Preisindex!$A$6,YEAR(CU$4)&gt;=YEAR($F198),AND($K198&lt;&gt;"a",$K198&lt;&gt;"b",$K198&lt;&gt;"g",$K198&lt;&gt;"k")),1,IF(AND($E198&lt;&gt;0,$F198&gt;0,YEAR($F198)&gt;=Preisindex!$A$6,YEAR(CU$4)&gt;=YEAR($F198),$K198="a"),ROUND(VLOOKUP(CZ$4,Preisindex,5,FALSE)/VLOOKUP(YEAR($F198),Preisindex,5,FALSE),2),IF(AND($E198&lt;&gt;0,$F198&gt;0,YEAR($F198)&gt;=Preisindex!$A$6,YEAR(CU$4)&gt;=YEAR($F198),$K198="b"),ROUND(VLOOKUP(CZ$4,Preisindex,3,FALSE)/VLOOKUP(YEAR($F198),Preisindex,3,FALSE),2),IF(AND($E198&lt;&gt;0,$F198&gt;0,YEAR($F198)&gt;=Preisindex!$A$6,YEAR(CU$4)&gt;=YEAR($F198),$K198="g"),ROUND(VLOOKUP(CZ$4,Preisindex,4,FALSE)/VLOOKUP(YEAR($F198),Preisindex,4,FALSE),2),IF(AND($E198&lt;&gt;0,$F198&gt;0,YEAR($F198)&gt;=Preisindex!$A$6,YEAR(CU$4)&gt;=YEAR($F198),$K198="k"),ROUND(VLOOKUP(CZ$4,Preisindex,2,FALSE)/VLOOKUP(YEAR($F198),Preisindex,2,FALSE),2),0)))))</f>
        <v>0</v>
      </c>
      <c r="DA198" s="56">
        <f>IF(AND($E198&lt;&gt;0,$F198&gt;0,YEAR($F198)&lt;Preisindex!$A$6,YEAR(CU$4)&gt;=YEAR($F198),AND($K198&lt;&gt;"a",$K198&lt;&gt;"b",$K198&lt;&gt;"g",$K198&lt;&gt;"k")),1,IF(AND($E198&lt;&gt;0,$F198&gt;0,YEAR($F198)&lt;Preisindex!$A$6,YEAR(CU$4)&gt;=YEAR($F198),$K198="a"),ROUND(VLOOKUP(CZ$4,Preisindex,5,FALSE)/VLOOKUP(Preisindex!$A$6,Preisindex,5,FALSE),2),IF(AND($E198&lt;&gt;0,$F198&gt;0,YEAR($F198)&lt;Preisindex!$A$6,YEAR(CU$4)&gt;=YEAR($F198),$K198="b"),ROUND(VLOOKUP(CZ$4,Preisindex,3,FALSE)/VLOOKUP(Preisindex!$A$6,Preisindex,3,FALSE),2),IF(AND($E198&lt;&gt;0,$F198&gt;0,YEAR($F198)&lt;Preisindex!$A$6,YEAR(CU$4)&gt;=YEAR($F198),$K198="g"),ROUND(VLOOKUP(CZ$4,Preisindex,4,FALSE)/VLOOKUP(Preisindex!$A$6,Preisindex,4,FALSE),2),IF(AND($E198&lt;&gt;0,$F198&gt;0,YEAR($F198)&lt;Preisindex!$A$6,YEAR(CU$4)&gt;=YEAR($F198),$K198="k"),ROUND(VLOOKUP(CZ$4,Preisindex,2,FALSE)/VLOOKUP(Preisindex!$A$6,Preisindex,2,FALSE),2),0)))))</f>
        <v>0</v>
      </c>
      <c r="DB198" s="51">
        <f>IF(AND($E198&lt;&gt;0,$F198&gt;0,YEAR($F198)&lt;=CZ$4,YEAR($F198)&gt;=Preisindex!$A$6),ROUND($E198*CZ198,2),IF(AND($E198&lt;&gt;0,$F198&gt;0,YEAR($F198)&lt;=CZ$4,YEAR($F198)&lt;Preisindex!$A$6),ROUND($E198*DA198,2),0))</f>
        <v>0</v>
      </c>
      <c r="DC198" s="53">
        <f t="shared" si="655"/>
        <v>0</v>
      </c>
      <c r="DD198" s="51">
        <f t="shared" si="656"/>
        <v>0</v>
      </c>
      <c r="DE198" s="51">
        <f t="shared" si="599"/>
        <v>0</v>
      </c>
      <c r="DF198" s="51">
        <f t="shared" si="657"/>
        <v>0</v>
      </c>
      <c r="DG198" s="51">
        <f t="shared" si="600"/>
        <v>0</v>
      </c>
      <c r="DH198" s="51">
        <f t="shared" si="658"/>
        <v>0</v>
      </c>
      <c r="DI198" s="51">
        <f t="shared" si="601"/>
        <v>0</v>
      </c>
      <c r="DJ198" s="51">
        <f t="shared" si="659"/>
        <v>0</v>
      </c>
      <c r="DK198" s="51">
        <f t="shared" si="602"/>
        <v>0</v>
      </c>
      <c r="DL198" s="51">
        <f t="shared" si="660"/>
        <v>0</v>
      </c>
      <c r="DM198" s="51">
        <f t="shared" si="603"/>
        <v>0</v>
      </c>
      <c r="DN198" s="51">
        <f t="shared" si="661"/>
        <v>0</v>
      </c>
      <c r="DO198" s="54">
        <f t="shared" si="662"/>
        <v>0</v>
      </c>
      <c r="DP198" s="55">
        <f t="shared" si="663"/>
        <v>0</v>
      </c>
      <c r="DQ198" s="56">
        <f>IF(AND($E198&lt;&gt;0,$F198&gt;0,YEAR($F198)&gt;=Preisindex!$A$6,YEAR(DL$4)&gt;=YEAR($F198),AND($K198&lt;&gt;"a",$K198&lt;&gt;"b",$K198&lt;&gt;"g",$K198&lt;&gt;"k")),1,IF(AND($E198&lt;&gt;0,$F198&gt;0,YEAR($F198)&gt;=Preisindex!$A$6,YEAR(DL$4)&gt;=YEAR($F198),$K198="a"),ROUND(VLOOKUP(DQ$4,Preisindex,5,FALSE)/VLOOKUP(YEAR($F198),Preisindex,5,FALSE),2),IF(AND($E198&lt;&gt;0,$F198&gt;0,YEAR($F198)&gt;=Preisindex!$A$6,YEAR(DL$4)&gt;=YEAR($F198),$K198="b"),ROUND(VLOOKUP(DQ$4,Preisindex,3,FALSE)/VLOOKUP(YEAR($F198),Preisindex,3,FALSE),2),IF(AND($E198&lt;&gt;0,$F198&gt;0,YEAR($F198)&gt;=Preisindex!$A$6,YEAR(DL$4)&gt;=YEAR($F198),$K198="g"),ROUND(VLOOKUP(DQ$4,Preisindex,4,FALSE)/VLOOKUP(YEAR($F198),Preisindex,4,FALSE),2),IF(AND($E198&lt;&gt;0,$F198&gt;0,YEAR($F198)&gt;=Preisindex!$A$6,YEAR(DL$4)&gt;=YEAR($F198),$K198="k"),ROUND(VLOOKUP(DQ$4,Preisindex,2,FALSE)/VLOOKUP(YEAR($F198),Preisindex,2,FALSE),2),0)))))</f>
        <v>0</v>
      </c>
      <c r="DR198" s="56">
        <f>IF(AND($E198&lt;&gt;0,$F198&gt;0,YEAR($F198)&lt;Preisindex!$A$6,YEAR(DL$4)&gt;=YEAR($F198),AND($K198&lt;&gt;"a",$K198&lt;&gt;"b",$K198&lt;&gt;"g",$K198&lt;&gt;"k")),1,IF(AND($E198&lt;&gt;0,$F198&gt;0,YEAR($F198)&lt;Preisindex!$A$6,YEAR(DL$4)&gt;=YEAR($F198),$K198="a"),ROUND(VLOOKUP(DQ$4,Preisindex,5,FALSE)/VLOOKUP(Preisindex!$A$6,Preisindex,5,FALSE),2),IF(AND($E198&lt;&gt;0,$F198&gt;0,YEAR($F198)&lt;Preisindex!$A$6,YEAR(DL$4)&gt;=YEAR($F198),$K198="b"),ROUND(VLOOKUP(DQ$4,Preisindex,3,FALSE)/VLOOKUP(Preisindex!$A$6,Preisindex,3,FALSE),2),IF(AND($E198&lt;&gt;0,$F198&gt;0,YEAR($F198)&lt;Preisindex!$A$6,YEAR(DL$4)&gt;=YEAR($F198),$K198="g"),ROUND(VLOOKUP(DQ$4,Preisindex,4,FALSE)/VLOOKUP(Preisindex!$A$6,Preisindex,4,FALSE),2),IF(AND($E198&lt;&gt;0,$F198&gt;0,YEAR($F198)&lt;Preisindex!$A$6,YEAR(DL$4)&gt;=YEAR($F198),$K198="k"),ROUND(VLOOKUP(DQ$4,Preisindex,2,FALSE)/VLOOKUP(Preisindex!$A$6,Preisindex,2,FALSE),2),0)))))</f>
        <v>0</v>
      </c>
      <c r="DS198" s="51">
        <f>IF(AND($E198&lt;&gt;0,$F198&gt;0,YEAR($F198)&lt;=DQ$4,YEAR($F198)&gt;=Preisindex!$A$6),ROUND($E198*DQ198,2),IF(AND($E198&lt;&gt;0,$F198&gt;0,YEAR($F198)&lt;=DQ$4,YEAR($F198)&lt;Preisindex!$A$6),ROUND($E198*DR198,2),0))</f>
        <v>0</v>
      </c>
      <c r="DT198" s="53">
        <f t="shared" si="664"/>
        <v>0</v>
      </c>
      <c r="DU198" s="51">
        <f t="shared" si="656"/>
        <v>0</v>
      </c>
      <c r="DV198" s="51">
        <f t="shared" si="604"/>
        <v>0</v>
      </c>
      <c r="DW198" s="51">
        <f t="shared" si="665"/>
        <v>0</v>
      </c>
      <c r="DX198" s="51">
        <f t="shared" si="605"/>
        <v>0</v>
      </c>
      <c r="DY198" s="51">
        <f t="shared" si="666"/>
        <v>0</v>
      </c>
      <c r="DZ198" s="51">
        <f t="shared" si="606"/>
        <v>0</v>
      </c>
      <c r="EA198" s="51">
        <f t="shared" si="667"/>
        <v>0</v>
      </c>
      <c r="EB198" s="51">
        <f t="shared" si="607"/>
        <v>0</v>
      </c>
      <c r="EC198" s="51">
        <f t="shared" si="668"/>
        <v>0</v>
      </c>
      <c r="ED198" s="51">
        <f t="shared" si="608"/>
        <v>0</v>
      </c>
      <c r="EE198" s="51">
        <f t="shared" si="669"/>
        <v>0</v>
      </c>
      <c r="EF198" s="54">
        <f t="shared" si="670"/>
        <v>0</v>
      </c>
      <c r="EG198" s="55">
        <f t="shared" si="671"/>
        <v>0</v>
      </c>
      <c r="EH198" s="56">
        <f>IF(AND($E198&lt;&gt;0,$F198&gt;0,YEAR($F198)&gt;=Preisindex!$A$6,YEAR(EC$4)&gt;=YEAR($F198),AND($K198&lt;&gt;"a",$K198&lt;&gt;"b",$K198&lt;&gt;"g",$K198&lt;&gt;"k")),1,IF(AND($E198&lt;&gt;0,$F198&gt;0,YEAR($F198)&gt;=Preisindex!$A$6,YEAR(EC$4)&gt;=YEAR($F198),$K198="a"),ROUND(VLOOKUP(EH$4,Preisindex,5,FALSE)/VLOOKUP(YEAR($F198),Preisindex,5,FALSE),2),IF(AND($E198&lt;&gt;0,$F198&gt;0,YEAR($F198)&gt;=Preisindex!$A$6,YEAR(EC$4)&gt;=YEAR($F198),$K198="b"),ROUND(VLOOKUP(EH$4,Preisindex,3,FALSE)/VLOOKUP(YEAR($F198),Preisindex,3,FALSE),2),IF(AND($E198&lt;&gt;0,$F198&gt;0,YEAR($F198)&gt;=Preisindex!$A$6,YEAR(EC$4)&gt;=YEAR($F198),$K198="g"),ROUND(VLOOKUP(EH$4,Preisindex,4,FALSE)/VLOOKUP(YEAR($F198),Preisindex,4,FALSE),2),IF(AND($E198&lt;&gt;0,$F198&gt;0,YEAR($F198)&gt;=Preisindex!$A$6,YEAR(EC$4)&gt;=YEAR($F198),$K198="k"),ROUND(VLOOKUP(EH$4,Preisindex,2,FALSE)/VLOOKUP(YEAR($F198),Preisindex,2,FALSE),2),0)))))</f>
        <v>0</v>
      </c>
      <c r="EI198" s="56">
        <f>IF(AND($E198&lt;&gt;0,$F198&gt;0,YEAR($F198)&lt;Preisindex!$A$6,YEAR(EC$4)&gt;=YEAR($F198),AND($K198&lt;&gt;"a",$K198&lt;&gt;"b",$K198&lt;&gt;"g",$K198&lt;&gt;"k")),1,IF(AND($E198&lt;&gt;0,$F198&gt;0,YEAR($F198)&lt;Preisindex!$A$6,YEAR(EC$4)&gt;=YEAR($F198),$K198="a"),ROUND(VLOOKUP(EH$4,Preisindex,5,FALSE)/VLOOKUP(Preisindex!$A$6,Preisindex,5,FALSE),2),IF(AND($E198&lt;&gt;0,$F198&gt;0,YEAR($F198)&lt;Preisindex!$A$6,YEAR(EC$4)&gt;=YEAR($F198),$K198="b"),ROUND(VLOOKUP(EH$4,Preisindex,3,FALSE)/VLOOKUP(Preisindex!$A$6,Preisindex,3,FALSE),2),IF(AND($E198&lt;&gt;0,$F198&gt;0,YEAR($F198)&lt;Preisindex!$A$6,YEAR(EC$4)&gt;=YEAR($F198),$K198="g"),ROUND(VLOOKUP(EH$4,Preisindex,4,FALSE)/VLOOKUP(Preisindex!$A$6,Preisindex,4,FALSE),2),IF(AND($E198&lt;&gt;0,$F198&gt;0,YEAR($F198)&lt;Preisindex!$A$6,YEAR(EC$4)&gt;=YEAR($F198),$K198="k"),ROUND(VLOOKUP(EH$4,Preisindex,2,FALSE)/VLOOKUP(Preisindex!$A$6,Preisindex,2,FALSE),2),0)))))</f>
        <v>0</v>
      </c>
      <c r="EJ198" s="51">
        <f>IF(AND($E198&lt;&gt;0,$F198&gt;0,YEAR($F198)&lt;=EH$4,YEAR($F198)&gt;=Preisindex!$A$6),ROUND($E198*EH198,2),IF(AND($E198&lt;&gt;0,$F198&gt;0,YEAR($F198)&lt;=EH$4,YEAR($F198)&lt;Preisindex!$A$6),ROUND($E198*EI198,2),0))</f>
        <v>0</v>
      </c>
      <c r="EK198" s="53">
        <f t="shared" si="672"/>
        <v>0</v>
      </c>
      <c r="EL198" s="51">
        <f t="shared" si="656"/>
        <v>0</v>
      </c>
      <c r="EM198" s="51">
        <f t="shared" si="609"/>
        <v>0</v>
      </c>
      <c r="EN198" s="51">
        <f t="shared" si="673"/>
        <v>0</v>
      </c>
      <c r="EO198" s="51">
        <f t="shared" si="610"/>
        <v>0</v>
      </c>
      <c r="EP198" s="51">
        <f t="shared" si="674"/>
        <v>0</v>
      </c>
      <c r="EQ198" s="51">
        <f t="shared" si="611"/>
        <v>0</v>
      </c>
      <c r="ER198" s="51">
        <f t="shared" si="675"/>
        <v>0</v>
      </c>
      <c r="ES198" s="51">
        <f t="shared" si="612"/>
        <v>0</v>
      </c>
      <c r="ET198" s="51">
        <f t="shared" si="676"/>
        <v>0</v>
      </c>
      <c r="EU198" s="51">
        <f t="shared" si="613"/>
        <v>0</v>
      </c>
      <c r="EV198" s="51">
        <f t="shared" si="677"/>
        <v>0</v>
      </c>
      <c r="EW198" s="54">
        <f t="shared" si="678"/>
        <v>0</v>
      </c>
      <c r="EX198" s="55">
        <f t="shared" si="679"/>
        <v>0</v>
      </c>
      <c r="EY198" s="56">
        <f>IF(AND($E198&lt;&gt;0,$F198&gt;0,YEAR($F198)&gt;=Preisindex!$A$6,YEAR(ET$4)&gt;=YEAR($F198),AND($K198&lt;&gt;"a",$K198&lt;&gt;"b",$K198&lt;&gt;"g",$K198&lt;&gt;"k")),1,IF(AND($E198&lt;&gt;0,$F198&gt;0,YEAR($F198)&gt;=Preisindex!$A$6,YEAR(ET$4)&gt;=YEAR($F198),$K198="a"),ROUND(VLOOKUP(EY$4,Preisindex,5,FALSE)/VLOOKUP(YEAR($F198),Preisindex,5,FALSE),2),IF(AND($E198&lt;&gt;0,$F198&gt;0,YEAR($F198)&gt;=Preisindex!$A$6,YEAR(ET$4)&gt;=YEAR($F198),$K198="b"),ROUND(VLOOKUP(EY$4,Preisindex,3,FALSE)/VLOOKUP(YEAR($F198),Preisindex,3,FALSE),2),IF(AND($E198&lt;&gt;0,$F198&gt;0,YEAR($F198)&gt;=Preisindex!$A$6,YEAR(ET$4)&gt;=YEAR($F198),$K198="g"),ROUND(VLOOKUP(EY$4,Preisindex,4,FALSE)/VLOOKUP(YEAR($F198),Preisindex,4,FALSE),2),IF(AND($E198&lt;&gt;0,$F198&gt;0,YEAR($F198)&gt;=Preisindex!$A$6,YEAR(ET$4)&gt;=YEAR($F198),$K198="k"),ROUND(VLOOKUP(EY$4,Preisindex,2,FALSE)/VLOOKUP(YEAR($F198),Preisindex,2,FALSE),2),0)))))</f>
        <v>0</v>
      </c>
      <c r="EZ198" s="56">
        <f>IF(AND($E198&lt;&gt;0,$F198&gt;0,YEAR($F198)&lt;Preisindex!$A$6,YEAR(ET$4)&gt;=YEAR($F198),AND($K198&lt;&gt;"a",$K198&lt;&gt;"b",$K198&lt;&gt;"g",$K198&lt;&gt;"k")),1,IF(AND($E198&lt;&gt;0,$F198&gt;0,YEAR($F198)&lt;Preisindex!$A$6,YEAR(ET$4)&gt;=YEAR($F198),$K198="a"),ROUND(VLOOKUP(EY$4,Preisindex,5,FALSE)/VLOOKUP(Preisindex!$A$6,Preisindex,5,FALSE),2),IF(AND($E198&lt;&gt;0,$F198&gt;0,YEAR($F198)&lt;Preisindex!$A$6,YEAR(ET$4)&gt;=YEAR($F198),$K198="b"),ROUND(VLOOKUP(EY$4,Preisindex,3,FALSE)/VLOOKUP(Preisindex!$A$6,Preisindex,3,FALSE),2),IF(AND($E198&lt;&gt;0,$F198&gt;0,YEAR($F198)&lt;Preisindex!$A$6,YEAR(ET$4)&gt;=YEAR($F198),$K198="g"),ROUND(VLOOKUP(EY$4,Preisindex,4,FALSE)/VLOOKUP(Preisindex!$A$6,Preisindex,4,FALSE),2),IF(AND($E198&lt;&gt;0,$F198&gt;0,YEAR($F198)&lt;Preisindex!$A$6,YEAR(ET$4)&gt;=YEAR($F198),$K198="k"),ROUND(VLOOKUP(EY$4,Preisindex,2,FALSE)/VLOOKUP(Preisindex!$A$6,Preisindex,2,FALSE),2),0)))))</f>
        <v>0</v>
      </c>
      <c r="FA198" s="51">
        <f>IF(AND($E198&lt;&gt;0,$F198&gt;0,YEAR($F198)&lt;=EY$4,YEAR($F198)&gt;=Preisindex!$A$6),ROUND($E198*EY198,2),IF(AND($E198&lt;&gt;0,$F198&gt;0,YEAR($F198)&lt;=EY$4,YEAR($F198)&lt;Preisindex!$A$6),ROUND($E198*EZ198,2),0))</f>
        <v>0</v>
      </c>
      <c r="FB198" s="53">
        <f t="shared" si="680"/>
        <v>0</v>
      </c>
      <c r="FC198" s="51">
        <f t="shared" si="656"/>
        <v>0</v>
      </c>
      <c r="FD198" s="51">
        <f t="shared" si="614"/>
        <v>0</v>
      </c>
      <c r="FE198" s="51">
        <f t="shared" si="681"/>
        <v>0</v>
      </c>
      <c r="FF198" s="51">
        <f t="shared" si="615"/>
        <v>0</v>
      </c>
      <c r="FG198" s="51">
        <f t="shared" si="682"/>
        <v>0</v>
      </c>
      <c r="FH198" s="51">
        <f t="shared" si="616"/>
        <v>0</v>
      </c>
      <c r="FI198" s="51">
        <f t="shared" si="683"/>
        <v>0</v>
      </c>
      <c r="FJ198" s="51">
        <f t="shared" si="617"/>
        <v>0</v>
      </c>
      <c r="FK198" s="51">
        <f t="shared" si="684"/>
        <v>0</v>
      </c>
      <c r="FL198" s="51">
        <f t="shared" si="618"/>
        <v>0</v>
      </c>
      <c r="FM198" s="51">
        <f t="shared" si="685"/>
        <v>0</v>
      </c>
      <c r="FN198" s="54">
        <f t="shared" si="686"/>
        <v>0</v>
      </c>
      <c r="FO198" s="55">
        <f t="shared" si="687"/>
        <v>0</v>
      </c>
      <c r="FP198" s="56">
        <f>IF(AND($E198&lt;&gt;0,$F198&gt;0,YEAR($F198)&gt;=Preisindex!$A$6,YEAR(FK$4)&gt;=YEAR($F198),AND($K198&lt;&gt;"a",$K198&lt;&gt;"b",$K198&lt;&gt;"g",$K198&lt;&gt;"k")),1,IF(AND($E198&lt;&gt;0,$F198&gt;0,YEAR($F198)&gt;=Preisindex!$A$6,YEAR(FK$4)&gt;=YEAR($F198),$K198="a"),ROUND(VLOOKUP(FP$4,Preisindex,5,FALSE)/VLOOKUP(YEAR($F198),Preisindex,5,FALSE),2),IF(AND($E198&lt;&gt;0,$F198&gt;0,YEAR($F198)&gt;=Preisindex!$A$6,YEAR(FK$4)&gt;=YEAR($F198),$K198="b"),ROUND(VLOOKUP(FP$4,Preisindex,3,FALSE)/VLOOKUP(YEAR($F198),Preisindex,3,FALSE),2),IF(AND($E198&lt;&gt;0,$F198&gt;0,YEAR($F198)&gt;=Preisindex!$A$6,YEAR(FK$4)&gt;=YEAR($F198),$K198="g"),ROUND(VLOOKUP(FP$4,Preisindex,4,FALSE)/VLOOKUP(YEAR($F198),Preisindex,4,FALSE),2),IF(AND($E198&lt;&gt;0,$F198&gt;0,YEAR($F198)&gt;=Preisindex!$A$6,YEAR(FK$4)&gt;=YEAR($F198),$K198="k"),ROUND(VLOOKUP(FP$4,Preisindex,2,FALSE)/VLOOKUP(YEAR($F198),Preisindex,2,FALSE),2),0)))))</f>
        <v>0</v>
      </c>
      <c r="FQ198" s="56">
        <f>IF(AND($E198&lt;&gt;0,$F198&gt;0,YEAR($F198)&lt;Preisindex!$A$6,YEAR(FK$4)&gt;=YEAR($F198),AND($K198&lt;&gt;"a",$K198&lt;&gt;"b",$K198&lt;&gt;"g",$K198&lt;&gt;"k")),1,IF(AND($E198&lt;&gt;0,$F198&gt;0,YEAR($F198)&lt;Preisindex!$A$6,YEAR(FK$4)&gt;=YEAR($F198),$K198="a"),ROUND(VLOOKUP(FP$4,Preisindex,5,FALSE)/VLOOKUP(Preisindex!$A$6,Preisindex,5,FALSE),2),IF(AND($E198&lt;&gt;0,$F198&gt;0,YEAR($F198)&lt;Preisindex!$A$6,YEAR(FK$4)&gt;=YEAR($F198),$K198="b"),ROUND(VLOOKUP(FP$4,Preisindex,3,FALSE)/VLOOKUP(Preisindex!$A$6,Preisindex,3,FALSE),2),IF(AND($E198&lt;&gt;0,$F198&gt;0,YEAR($F198)&lt;Preisindex!$A$6,YEAR(FK$4)&gt;=YEAR($F198),$K198="g"),ROUND(VLOOKUP(FP$4,Preisindex,4,FALSE)/VLOOKUP(Preisindex!$A$6,Preisindex,4,FALSE),2),IF(AND($E198&lt;&gt;0,$F198&gt;0,YEAR($F198)&lt;Preisindex!$A$6,YEAR(FK$4)&gt;=YEAR($F198),$K198="k"),ROUND(VLOOKUP(FP$4,Preisindex,2,FALSE)/VLOOKUP(Preisindex!$A$6,Preisindex,2,FALSE),2),0)))))</f>
        <v>0</v>
      </c>
      <c r="FR198" s="51">
        <f>IF(AND($E198&lt;&gt;0,$F198&gt;0,YEAR($F198)&lt;=FP$4,YEAR($F198)&gt;=Preisindex!$A$6),ROUND($E198*FP198,2),IF(AND($E198&lt;&gt;0,$F198&gt;0,YEAR($F198)&lt;=FP$4,YEAR($F198)&lt;Preisindex!$A$6),ROUND($E198*FQ198,2),0))</f>
        <v>0</v>
      </c>
      <c r="FS198" s="53">
        <f t="shared" si="688"/>
        <v>0</v>
      </c>
    </row>
    <row r="199" spans="1:175" x14ac:dyDescent="0.3">
      <c r="A199" s="93"/>
      <c r="B199" s="94"/>
      <c r="C199" s="94"/>
      <c r="D199" s="95"/>
      <c r="E199" s="99"/>
      <c r="F199" s="97"/>
      <c r="G199" s="98"/>
      <c r="H199" s="620"/>
      <c r="I199" s="621"/>
      <c r="J199" s="194"/>
      <c r="K199" s="630"/>
      <c r="L199" s="49">
        <f t="shared" ref="L199:L262" si="689">IF(AND(G199&gt;0,G199&lt;=1,H199=0),1,IF(H199&gt;=1,1,IF(AND(H199&gt;0,H199&lt;1),H199,IF(AND(G199&gt;1,OR(H199=0,H199="")),ROUND(1/G199,4),0))))</f>
        <v>0</v>
      </c>
      <c r="M199" s="50">
        <f t="shared" ref="M199:M262" si="690">IF(AND(E199&gt;0,F199&gt;0,OR(G199&gt;0,H199&gt;0)),ROUND((E199-I199)*L199,2),IF(AND(E199&lt;0,F199&gt;0,OR(G199&gt;0,H199&gt;0)),ROUND(E199*L199,2),0))</f>
        <v>0</v>
      </c>
      <c r="N199" s="51">
        <f t="shared" ref="N199:N262" si="691">IF(AND(E199-P199&gt;=0,F199&gt;0,YEAR(N$4)&gt;=YEAR(F199)),E199-P199,IF(AND(E199-P199&lt;0,F199&gt;0,YEAR(N$4)&gt;=YEAR(F199)),E199-P199,0))</f>
        <v>0</v>
      </c>
      <c r="O199" s="51"/>
      <c r="P199" s="51">
        <f t="shared" ref="P199:P262" si="692">IF(AND(YEAR(F199)&lt;=YEAR(N$4),E199&lt;1000,E199&gt;-1000,F199&gt;0,L199=1),E199-I199,IF(AND(YEAR(F199)&lt;=YEAR(N$4),E199&gt;0,F199&gt;0,L199&gt;0,E199&gt;M199*(YEAR(N$4)-YEAR(F199))+ROUND((M199/12)*(13-MONTH(F199)),2)+I199),M199*(YEAR(N$4)-YEAR(F199))+ROUND((M199/12)*(13-MONTH(F199)),2),IF(AND(YEAR(F199)&lt;=YEAR(N$4),E199&gt;0,F199&gt;0,L199&gt;0,E199&lt;=(M199*(YEAR(N$4)-YEAR(F199)+ROUND((M199/12)*(13-MONTH(F199)),2)))+I199),E199-I199,IF(AND(YEAR(F199)&lt;=YEAR(N$4),E199&lt;0,F199&gt;0,L199&gt;0,E199&lt;M199*(YEAR(N$4)-YEAR(F199))+ROUND((M199/12)*(13-MONTH(F199)),2)+I199),M199*(YEAR(N$4)-YEAR(F199))+ROUND((M199/12)*(13-MONTH(F199)),2),IF(AND(YEAR(F199)&lt;=YEAR(N$4),E199&lt;0,F199&gt;0,L199&gt;0,E199&lt;=(M199*(YEAR(N$4)-YEAR(F199)+ROUND((M199/12)*(13-MONTH(F199)),2)))),E199,0)))))</f>
        <v>0</v>
      </c>
      <c r="Q199" s="52"/>
      <c r="R199" s="52"/>
      <c r="S199" s="52"/>
      <c r="T199" s="52"/>
      <c r="U199" s="52"/>
      <c r="V199" s="53">
        <f t="shared" ref="V199:V262" si="693">IF(AND(F199&gt;0,F199&lt;=N$4),E199,0)</f>
        <v>0</v>
      </c>
      <c r="W199" s="51">
        <f t="shared" ref="W199:W262" si="694">IF(YEAR($F199)=W$4,$E199,0)</f>
        <v>0</v>
      </c>
      <c r="X199" s="51">
        <f t="shared" ref="X199:X262" si="695">IF($J199&lt;&gt;"H",W199,0)</f>
        <v>0</v>
      </c>
      <c r="Y199" s="51">
        <f t="shared" ref="Y199:Y262" si="696">IF(W199&lt;&gt;0,ROUND(W199*YEARFRAC($F199,AE$4,0),2),0)</f>
        <v>0</v>
      </c>
      <c r="Z199" s="51">
        <f t="shared" ref="Z199:Z262" si="697">IF($J199&lt;&gt;"H",Y199,0)</f>
        <v>0</v>
      </c>
      <c r="AA199" s="51">
        <f t="shared" ref="AA199:AA262" si="698">IF(AND($F199&gt;0,$F199&lt;=AE$4),$E199,0)</f>
        <v>0</v>
      </c>
      <c r="AB199" s="51">
        <f t="shared" ref="AB199:AB262" si="699">IF(AC199&lt;&gt;0,ROUND(AC199/$M199*AA199,2),0)</f>
        <v>0</v>
      </c>
      <c r="AC199" s="51">
        <f t="shared" ref="AC199:AC262" si="700">IF(AND(YEAR($F199)=YEAR(AE$4),$E199&lt;1000,$E199&gt;-1000,$F199&gt;0,$L199=1),$E199-$I199,IF(AND(YEAR($F199)=YEAR(AE$4),$F199&gt;0,$L199&gt;0),ROUND(($M199/12)*(13-MONTH($F199)),2),IF(AND(YEAR($F199)&lt;YEAR(AE$4),$E199&gt;0,$F199&gt;0,$L199&gt;0,N199&gt;$M199+$I199),$M199,IF(AND(YEAR($F199)&lt;YEAR(AE$4),$E199&gt;0,$F199&gt;0,$L199&gt;0,N199&gt;0,N199&lt;=$M199+$I199),N199-$I199,IF(AND(YEAR($F199)&lt;YEAR(AE$4),$E199&lt;0,$F199&gt;0,$L199&gt;0,N199&lt;0,N199&lt;=$M199),$M199,IF(AND(YEAR($F199)&lt;YEAR(AE$4),$E199&lt;0,$F199&gt;0,$L199&gt;0,N199&lt;0,N199&gt;$M199),N199,0))))))</f>
        <v>0</v>
      </c>
      <c r="AD199" s="51">
        <f t="shared" ref="AD199:AD262" si="701">IF($J199&lt;&gt;"H",AC199,0)</f>
        <v>0</v>
      </c>
      <c r="AE199" s="51">
        <f t="shared" ref="AE199:AE262" si="702">IF(AND(YEAR(AE$4)=YEAR($F199),$E199&gt;0,$F199&gt;0,$E199-AC199&gt;=0),$E199-AC199,IF(AND(YEAR(AE$4)&gt;YEAR($F199),$E199&gt;0,$F199&gt;0,N199-AC199&gt;=0),N199-AC199,IF(AND(YEAR(AE$4)=YEAR($F199),$E199&lt;0,$F199&gt;0,$E199-AC199&lt;0),$E199-AC199,IF(AND(YEAR(AE$4)&gt;YEAR($F199),$E199&lt;0,$F199&gt;0,N199-AC199&lt;=0),N199-AC199,0))))</f>
        <v>0</v>
      </c>
      <c r="AF199" s="51">
        <f t="shared" ref="AF199:AF262" si="703">IF($J199&lt;&gt;"H",AE199,0)</f>
        <v>0</v>
      </c>
      <c r="AG199" s="51">
        <f t="shared" ref="AG199:AG262" si="704">P199+AC199</f>
        <v>0</v>
      </c>
      <c r="AH199" s="54">
        <f t="shared" ref="AH199:AH262" si="705">IF(AND(W199&lt;&gt;0,$J199="H",$M199=0),Y199,IF(AND(YEAR(AE$4)&gt;YEAR($F199),$J199="H",$F199&gt;0,$M199=0),$E199,0))</f>
        <v>0</v>
      </c>
      <c r="AI199" s="55">
        <f t="shared" ref="AI199:AI262" si="706">IF(AND(YEAR(AE$4)&gt;=YEAR($F199),$E199&gt;0,$F199&gt;0,AC199&gt;0,$J199="H"),ROUND(AC199/$M199*$E199,2),IF(AND(YEAR(AE$4)&gt;=YEAR($F199),$E199&lt;0,$F199&gt;0,AC199&lt;0,$J199="H"),ROUND(AC199/$M199*$E199,2),0))</f>
        <v>0</v>
      </c>
      <c r="AJ199" s="56">
        <f>IF(AND($E199&lt;&gt;0,$F199&gt;0,YEAR($F199)&gt;=Preisindex!$A$6,YEAR(AE$4)&gt;=YEAR($F199),AND($K199&lt;&gt;"a",$K199&lt;&gt;"b",$K199&lt;&gt;"g",$K199&lt;&gt;"k")),1,IF(AND($E199&lt;&gt;0,$F199&gt;0,YEAR($F199)&gt;=Preisindex!$A$6,YEAR(AE$4)&gt;=YEAR($F199),$K199="a"),ROUND(VLOOKUP(AJ$4,Preisindex,5,FALSE)/VLOOKUP(YEAR($F199),Preisindex,5,FALSE),2),IF(AND($E199&lt;&gt;0,$F199&gt;0,YEAR($F199)&gt;=Preisindex!$A$6,YEAR(AE$4)&gt;=YEAR($F199),$K199="b"),ROUND(VLOOKUP(AJ$4,Preisindex,3,FALSE)/VLOOKUP(YEAR($F199),Preisindex,3,FALSE),2),IF(AND($E199&lt;&gt;0,$F199&gt;0,YEAR($F199)&gt;=Preisindex!$A$6,YEAR(AE$4)&gt;=YEAR($F199),$K199="g"),ROUND(VLOOKUP(AJ$4,Preisindex,4,FALSE)/VLOOKUP(YEAR($F199),Preisindex,4,FALSE),2),IF(AND($E199&lt;&gt;0,$F199&gt;0,YEAR($F199)&gt;=Preisindex!$A$6,YEAR(AE$4)&gt;=YEAR($F199),$K199="k"),ROUND(VLOOKUP(AJ$4,Preisindex,2,FALSE)/VLOOKUP(YEAR($F199),Preisindex,2,FALSE),2),0)))))</f>
        <v>0</v>
      </c>
      <c r="AK199" s="56">
        <f>IF(AND($E199&lt;&gt;0,$F199&gt;0,YEAR($F199)&lt;Preisindex!$A$6,YEAR(AE$4)&gt;=YEAR($F199),AND($K199&lt;&gt;"a",$K199&lt;&gt;"b",$K199&lt;&gt;"g",$K199&lt;&gt;"k")),1,IF(AND($E199&lt;&gt;0,$F199&gt;0,YEAR($F199)&lt;Preisindex!$A$6,YEAR(AE$4)&gt;=YEAR($F199),$K199="a"),ROUND(VLOOKUP(AJ$4,Preisindex,5,FALSE)/VLOOKUP(Preisindex!$A$6,Preisindex,5,FALSE),2),IF(AND($E199&lt;&gt;0,$F199&gt;0,YEAR($F199)&lt;Preisindex!$A$6,YEAR(AE$4)&gt;=YEAR($F199),$K199="b"),ROUND(VLOOKUP(AJ$4,Preisindex,3,FALSE)/VLOOKUP(Preisindex!$A$6,Preisindex,3,FALSE),2),IF(AND($E199&lt;&gt;0,$F199&gt;0,YEAR($F199)&lt;Preisindex!$A$6,YEAR(AE$4)&gt;=YEAR($F199),$K199="g"),ROUND(VLOOKUP(AJ$4,Preisindex,4,FALSE)/VLOOKUP(Preisindex!$A$6,Preisindex,4,FALSE),2),IF(AND($E199&lt;&gt;0,$F199&gt;0,YEAR($F199)&lt;Preisindex!$A$6,YEAR(AE$4)&gt;=YEAR($F199),$K199="k"),ROUND(VLOOKUP(AJ$4,Preisindex,2,FALSE)/VLOOKUP(Preisindex!$A$6,Preisindex,2,FALSE),2),0)))))</f>
        <v>0</v>
      </c>
      <c r="AL199" s="51">
        <f>IF(AND($E199&lt;&gt;0,$F199&gt;0,YEAR($F199)&lt;=AJ$4,YEAR($F199)&gt;=Preisindex!$A$6),ROUND($E199*AJ199,2),IF(AND($E199&lt;&gt;0,$F199&gt;0,YEAR($F199)&lt;=AJ$4,YEAR($F199)&lt;Preisindex!$A$6),ROUND($E199*AK199,2),0))</f>
        <v>0</v>
      </c>
      <c r="AM199" s="53">
        <f t="shared" ref="AM199:AM262" si="707">IF(AND(AC199&lt;&gt;0,AC199=$M199),AL199*$L199,IF(AND(AC199&lt;&gt;0,AC199&lt;&gt;$M199),AL199*($L199*(AC199/$M199)),0))</f>
        <v>0</v>
      </c>
      <c r="AN199" s="51">
        <f t="shared" si="623"/>
        <v>0</v>
      </c>
      <c r="AO199" s="51">
        <f t="shared" si="579"/>
        <v>0</v>
      </c>
      <c r="AP199" s="51">
        <f t="shared" si="624"/>
        <v>0</v>
      </c>
      <c r="AQ199" s="51">
        <f t="shared" si="580"/>
        <v>0</v>
      </c>
      <c r="AR199" s="51">
        <f t="shared" si="625"/>
        <v>0</v>
      </c>
      <c r="AS199" s="51">
        <f t="shared" si="581"/>
        <v>0</v>
      </c>
      <c r="AT199" s="51">
        <f t="shared" si="626"/>
        <v>0</v>
      </c>
      <c r="AU199" s="51">
        <f t="shared" si="582"/>
        <v>0</v>
      </c>
      <c r="AV199" s="51">
        <f t="shared" si="627"/>
        <v>0</v>
      </c>
      <c r="AW199" s="51">
        <f t="shared" si="583"/>
        <v>0</v>
      </c>
      <c r="AX199" s="51">
        <f t="shared" si="628"/>
        <v>0</v>
      </c>
      <c r="AY199" s="54">
        <f t="shared" si="629"/>
        <v>0</v>
      </c>
      <c r="AZ199" s="55">
        <f t="shared" si="630"/>
        <v>0</v>
      </c>
      <c r="BA199" s="56">
        <f>IF(AND($E199&lt;&gt;0,$F199&gt;0,YEAR($F199)&gt;=Preisindex!$A$6,YEAR(AV$4)&gt;=YEAR($F199),AND($K199&lt;&gt;"a",$K199&lt;&gt;"b",$K199&lt;&gt;"g",$K199&lt;&gt;"k")),1,IF(AND($E199&lt;&gt;0,$F199&gt;0,YEAR($F199)&gt;=Preisindex!$A$6,YEAR(AV$4)&gt;=YEAR($F199),$K199="a"),ROUND(VLOOKUP(BA$4,Preisindex,5,FALSE)/VLOOKUP(YEAR($F199),Preisindex,5,FALSE),2),IF(AND($E199&lt;&gt;0,$F199&gt;0,YEAR($F199)&gt;=Preisindex!$A$6,YEAR(AV$4)&gt;=YEAR($F199),$K199="b"),ROUND(VLOOKUP(BA$4,Preisindex,3,FALSE)/VLOOKUP(YEAR($F199),Preisindex,3,FALSE),2),IF(AND($E199&lt;&gt;0,$F199&gt;0,YEAR($F199)&gt;=Preisindex!$A$6,YEAR(AV$4)&gt;=YEAR($F199),$K199="g"),ROUND(VLOOKUP(BA$4,Preisindex,4,FALSE)/VLOOKUP(YEAR($F199),Preisindex,4,FALSE),2),IF(AND($E199&lt;&gt;0,$F199&gt;0,YEAR($F199)&gt;=Preisindex!$A$6,YEAR(AV$4)&gt;=YEAR($F199),$K199="k"),ROUND(VLOOKUP(BA$4,Preisindex,2,FALSE)/VLOOKUP(YEAR($F199),Preisindex,2,FALSE),2),0)))))</f>
        <v>0</v>
      </c>
      <c r="BB199" s="56">
        <f>IF(AND($E199&lt;&gt;0,$F199&gt;0,YEAR($F199)&lt;Preisindex!$A$6,YEAR(AV$4)&gt;=YEAR($F199),AND($K199&lt;&gt;"a",$K199&lt;&gt;"b",$K199&lt;&gt;"g",$K199&lt;&gt;"k")),1,IF(AND($E199&lt;&gt;0,$F199&gt;0,YEAR($F199)&lt;Preisindex!$A$6,YEAR(AV$4)&gt;=YEAR($F199),$K199="a"),ROUND(VLOOKUP(BA$4,Preisindex,5,FALSE)/VLOOKUP(Preisindex!$A$6,Preisindex,5,FALSE),2),IF(AND($E199&lt;&gt;0,$F199&gt;0,YEAR($F199)&lt;Preisindex!$A$6,YEAR(AV$4)&gt;=YEAR($F199),$K199="b"),ROUND(VLOOKUP(BA$4,Preisindex,3,FALSE)/VLOOKUP(Preisindex!$A$6,Preisindex,3,FALSE),2),IF(AND($E199&lt;&gt;0,$F199&gt;0,YEAR($F199)&lt;Preisindex!$A$6,YEAR(AV$4)&gt;=YEAR($F199),$K199="g"),ROUND(VLOOKUP(BA$4,Preisindex,4,FALSE)/VLOOKUP(Preisindex!$A$6,Preisindex,4,FALSE),2),IF(AND($E199&lt;&gt;0,$F199&gt;0,YEAR($F199)&lt;Preisindex!$A$6,YEAR(AV$4)&gt;=YEAR($F199),$K199="k"),ROUND(VLOOKUP(BA$4,Preisindex,2,FALSE)/VLOOKUP(Preisindex!$A$6,Preisindex,2,FALSE),2),0)))))</f>
        <v>0</v>
      </c>
      <c r="BC199" s="51">
        <f>IF(AND($E199&lt;&gt;0,$F199&gt;0,YEAR($F199)&lt;=BA$4,YEAR($F199)&gt;=Preisindex!$A$6),ROUND($E199*BA199,2),IF(AND($E199&lt;&gt;0,$F199&gt;0,YEAR($F199)&lt;=BA$4,YEAR($F199)&lt;Preisindex!$A$6),ROUND($E199*BB199,2),0))</f>
        <v>0</v>
      </c>
      <c r="BD199" s="53">
        <f t="shared" si="631"/>
        <v>0</v>
      </c>
      <c r="BE199" s="51">
        <f t="shared" si="623"/>
        <v>0</v>
      </c>
      <c r="BF199" s="51">
        <f t="shared" si="584"/>
        <v>0</v>
      </c>
      <c r="BG199" s="51">
        <f t="shared" si="632"/>
        <v>0</v>
      </c>
      <c r="BH199" s="51">
        <f t="shared" si="585"/>
        <v>0</v>
      </c>
      <c r="BI199" s="51">
        <f t="shared" si="633"/>
        <v>0</v>
      </c>
      <c r="BJ199" s="51">
        <f t="shared" si="586"/>
        <v>0</v>
      </c>
      <c r="BK199" s="51">
        <f t="shared" si="634"/>
        <v>0</v>
      </c>
      <c r="BL199" s="51">
        <f t="shared" si="587"/>
        <v>0</v>
      </c>
      <c r="BM199" s="51">
        <f t="shared" si="635"/>
        <v>0</v>
      </c>
      <c r="BN199" s="51">
        <f t="shared" si="588"/>
        <v>0</v>
      </c>
      <c r="BO199" s="51">
        <f t="shared" si="636"/>
        <v>0</v>
      </c>
      <c r="BP199" s="54">
        <f t="shared" si="637"/>
        <v>0</v>
      </c>
      <c r="BQ199" s="55">
        <f t="shared" si="638"/>
        <v>0</v>
      </c>
      <c r="BR199" s="56">
        <f>IF(AND($E199&lt;&gt;0,$F199&gt;0,YEAR($F199)&gt;=Preisindex!$A$6,YEAR(BM$4)&gt;=YEAR($F199),AND($K199&lt;&gt;"a",$K199&lt;&gt;"b",$K199&lt;&gt;"g",$K199&lt;&gt;"k")),1,IF(AND($E199&lt;&gt;0,$F199&gt;0,YEAR($F199)&gt;=Preisindex!$A$6,YEAR(BM$4)&gt;=YEAR($F199),$K199="a"),ROUND(VLOOKUP(BR$4,Preisindex,5,FALSE)/VLOOKUP(YEAR($F199),Preisindex,5,FALSE),2),IF(AND($E199&lt;&gt;0,$F199&gt;0,YEAR($F199)&gt;=Preisindex!$A$6,YEAR(BM$4)&gt;=YEAR($F199),$K199="b"),ROUND(VLOOKUP(BR$4,Preisindex,3,FALSE)/VLOOKUP(YEAR($F199),Preisindex,3,FALSE),2),IF(AND($E199&lt;&gt;0,$F199&gt;0,YEAR($F199)&gt;=Preisindex!$A$6,YEAR(BM$4)&gt;=YEAR($F199),$K199="g"),ROUND(VLOOKUP(BR$4,Preisindex,4,FALSE)/VLOOKUP(YEAR($F199),Preisindex,4,FALSE),2),IF(AND($E199&lt;&gt;0,$F199&gt;0,YEAR($F199)&gt;=Preisindex!$A$6,YEAR(BM$4)&gt;=YEAR($F199),$K199="k"),ROUND(VLOOKUP(BR$4,Preisindex,2,FALSE)/VLOOKUP(YEAR($F199),Preisindex,2,FALSE),2),0)))))</f>
        <v>0</v>
      </c>
      <c r="BS199" s="56">
        <f>IF(AND($E199&lt;&gt;0,$F199&gt;0,YEAR($F199)&lt;Preisindex!$A$6,YEAR(BM$4)&gt;=YEAR($F199),AND($K199&lt;&gt;"a",$K199&lt;&gt;"b",$K199&lt;&gt;"g",$K199&lt;&gt;"k")),1,IF(AND($E199&lt;&gt;0,$F199&gt;0,YEAR($F199)&lt;Preisindex!$A$6,YEAR(BM$4)&gt;=YEAR($F199),$K199="a"),ROUND(VLOOKUP(BR$4,Preisindex,5,FALSE)/VLOOKUP(Preisindex!$A$6,Preisindex,5,FALSE),2),IF(AND($E199&lt;&gt;0,$F199&gt;0,YEAR($F199)&lt;Preisindex!$A$6,YEAR(BM$4)&gt;=YEAR($F199),$K199="b"),ROUND(VLOOKUP(BR$4,Preisindex,3,FALSE)/VLOOKUP(Preisindex!$A$6,Preisindex,3,FALSE),2),IF(AND($E199&lt;&gt;0,$F199&gt;0,YEAR($F199)&lt;Preisindex!$A$6,YEAR(BM$4)&gt;=YEAR($F199),$K199="g"),ROUND(VLOOKUP(BR$4,Preisindex,4,FALSE)/VLOOKUP(Preisindex!$A$6,Preisindex,4,FALSE),2),IF(AND($E199&lt;&gt;0,$F199&gt;0,YEAR($F199)&lt;Preisindex!$A$6,YEAR(BM$4)&gt;=YEAR($F199),$K199="k"),ROUND(VLOOKUP(BR$4,Preisindex,2,FALSE)/VLOOKUP(Preisindex!$A$6,Preisindex,2,FALSE),2),0)))))</f>
        <v>0</v>
      </c>
      <c r="BT199" s="51">
        <f>IF(AND($E199&lt;&gt;0,$F199&gt;0,YEAR($F199)&lt;=BR$4,YEAR($F199)&gt;=Preisindex!$A$6),ROUND($E199*BR199,2),IF(AND($E199&lt;&gt;0,$F199&gt;0,YEAR($F199)&lt;=BR$4,YEAR($F199)&lt;Preisindex!$A$6),ROUND($E199*BS199,2),0))</f>
        <v>0</v>
      </c>
      <c r="BU199" s="53">
        <f t="shared" si="639"/>
        <v>0</v>
      </c>
      <c r="BV199" s="51">
        <f t="shared" si="623"/>
        <v>0</v>
      </c>
      <c r="BW199" s="51">
        <f t="shared" si="589"/>
        <v>0</v>
      </c>
      <c r="BX199" s="51">
        <f t="shared" si="640"/>
        <v>0</v>
      </c>
      <c r="BY199" s="51">
        <f t="shared" si="590"/>
        <v>0</v>
      </c>
      <c r="BZ199" s="51">
        <f t="shared" si="641"/>
        <v>0</v>
      </c>
      <c r="CA199" s="51">
        <f t="shared" si="591"/>
        <v>0</v>
      </c>
      <c r="CB199" s="51">
        <f t="shared" si="642"/>
        <v>0</v>
      </c>
      <c r="CC199" s="51">
        <f t="shared" si="592"/>
        <v>0</v>
      </c>
      <c r="CD199" s="51">
        <f t="shared" si="643"/>
        <v>0</v>
      </c>
      <c r="CE199" s="51">
        <f t="shared" si="593"/>
        <v>0</v>
      </c>
      <c r="CF199" s="51">
        <f t="shared" si="644"/>
        <v>0</v>
      </c>
      <c r="CG199" s="54">
        <f t="shared" si="645"/>
        <v>0</v>
      </c>
      <c r="CH199" s="55">
        <f t="shared" si="646"/>
        <v>0</v>
      </c>
      <c r="CI199" s="56">
        <f>IF(AND($E199&lt;&gt;0,$F199&gt;0,YEAR($F199)&gt;=Preisindex!$A$6,YEAR(CD$4)&gt;=YEAR($F199),AND($K199&lt;&gt;"a",$K199&lt;&gt;"b",$K199&lt;&gt;"g",$K199&lt;&gt;"k")),1,IF(AND($E199&lt;&gt;0,$F199&gt;0,YEAR($F199)&gt;=Preisindex!$A$6,YEAR(CD$4)&gt;=YEAR($F199),$K199="a"),ROUND(VLOOKUP(CI$4,Preisindex,5,FALSE)/VLOOKUP(YEAR($F199),Preisindex,5,FALSE),2),IF(AND($E199&lt;&gt;0,$F199&gt;0,YEAR($F199)&gt;=Preisindex!$A$6,YEAR(CD$4)&gt;=YEAR($F199),$K199="b"),ROUND(VLOOKUP(CI$4,Preisindex,3,FALSE)/VLOOKUP(YEAR($F199),Preisindex,3,FALSE),2),IF(AND($E199&lt;&gt;0,$F199&gt;0,YEAR($F199)&gt;=Preisindex!$A$6,YEAR(CD$4)&gt;=YEAR($F199),$K199="g"),ROUND(VLOOKUP(CI$4,Preisindex,4,FALSE)/VLOOKUP(YEAR($F199),Preisindex,4,FALSE),2),IF(AND($E199&lt;&gt;0,$F199&gt;0,YEAR($F199)&gt;=Preisindex!$A$6,YEAR(CD$4)&gt;=YEAR($F199),$K199="k"),ROUND(VLOOKUP(CI$4,Preisindex,2,FALSE)/VLOOKUP(YEAR($F199),Preisindex,2,FALSE),2),0)))))</f>
        <v>0</v>
      </c>
      <c r="CJ199" s="56">
        <f>IF(AND($E199&lt;&gt;0,$F199&gt;0,YEAR($F199)&lt;Preisindex!$A$6,YEAR(CD$4)&gt;=YEAR($F199),AND($K199&lt;&gt;"a",$K199&lt;&gt;"b",$K199&lt;&gt;"g",$K199&lt;&gt;"k")),1,IF(AND($E199&lt;&gt;0,$F199&gt;0,YEAR($F199)&lt;Preisindex!$A$6,YEAR(CD$4)&gt;=YEAR($F199),$K199="a"),ROUND(VLOOKUP(CI$4,Preisindex,5,FALSE)/VLOOKUP(Preisindex!$A$6,Preisindex,5,FALSE),2),IF(AND($E199&lt;&gt;0,$F199&gt;0,YEAR($F199)&lt;Preisindex!$A$6,YEAR(CD$4)&gt;=YEAR($F199),$K199="b"),ROUND(VLOOKUP(CI$4,Preisindex,3,FALSE)/VLOOKUP(Preisindex!$A$6,Preisindex,3,FALSE),2),IF(AND($E199&lt;&gt;0,$F199&gt;0,YEAR($F199)&lt;Preisindex!$A$6,YEAR(CD$4)&gt;=YEAR($F199),$K199="g"),ROUND(VLOOKUP(CI$4,Preisindex,4,FALSE)/VLOOKUP(Preisindex!$A$6,Preisindex,4,FALSE),2),IF(AND($E199&lt;&gt;0,$F199&gt;0,YEAR($F199)&lt;Preisindex!$A$6,YEAR(CD$4)&gt;=YEAR($F199),$K199="k"),ROUND(VLOOKUP(CI$4,Preisindex,2,FALSE)/VLOOKUP(Preisindex!$A$6,Preisindex,2,FALSE),2),0)))))</f>
        <v>0</v>
      </c>
      <c r="CK199" s="51">
        <f>IF(AND($E199&lt;&gt;0,$F199&gt;0,YEAR($F199)&lt;=CI$4,YEAR($F199)&gt;=Preisindex!$A$6),ROUND($E199*CI199,2),IF(AND($E199&lt;&gt;0,$F199&gt;0,YEAR($F199)&lt;=CI$4,YEAR($F199)&lt;Preisindex!$A$6),ROUND($E199*CJ199,2),0))</f>
        <v>0</v>
      </c>
      <c r="CL199" s="53">
        <f t="shared" si="647"/>
        <v>0</v>
      </c>
      <c r="CM199" s="51">
        <f t="shared" si="623"/>
        <v>0</v>
      </c>
      <c r="CN199" s="51">
        <f t="shared" si="594"/>
        <v>0</v>
      </c>
      <c r="CO199" s="51">
        <f t="shared" si="648"/>
        <v>0</v>
      </c>
      <c r="CP199" s="51">
        <f t="shared" si="595"/>
        <v>0</v>
      </c>
      <c r="CQ199" s="51">
        <f t="shared" si="649"/>
        <v>0</v>
      </c>
      <c r="CR199" s="51">
        <f t="shared" si="596"/>
        <v>0</v>
      </c>
      <c r="CS199" s="51">
        <f t="shared" si="650"/>
        <v>0</v>
      </c>
      <c r="CT199" s="51">
        <f t="shared" si="597"/>
        <v>0</v>
      </c>
      <c r="CU199" s="51">
        <f t="shared" si="651"/>
        <v>0</v>
      </c>
      <c r="CV199" s="51">
        <f t="shared" si="598"/>
        <v>0</v>
      </c>
      <c r="CW199" s="51">
        <f t="shared" si="652"/>
        <v>0</v>
      </c>
      <c r="CX199" s="54">
        <f t="shared" si="653"/>
        <v>0</v>
      </c>
      <c r="CY199" s="55">
        <f t="shared" si="654"/>
        <v>0</v>
      </c>
      <c r="CZ199" s="56">
        <f>IF(AND($E199&lt;&gt;0,$F199&gt;0,YEAR($F199)&gt;=Preisindex!$A$6,YEAR(CU$4)&gt;=YEAR($F199),AND($K199&lt;&gt;"a",$K199&lt;&gt;"b",$K199&lt;&gt;"g",$K199&lt;&gt;"k")),1,IF(AND($E199&lt;&gt;0,$F199&gt;0,YEAR($F199)&gt;=Preisindex!$A$6,YEAR(CU$4)&gt;=YEAR($F199),$K199="a"),ROUND(VLOOKUP(CZ$4,Preisindex,5,FALSE)/VLOOKUP(YEAR($F199),Preisindex,5,FALSE),2),IF(AND($E199&lt;&gt;0,$F199&gt;0,YEAR($F199)&gt;=Preisindex!$A$6,YEAR(CU$4)&gt;=YEAR($F199),$K199="b"),ROUND(VLOOKUP(CZ$4,Preisindex,3,FALSE)/VLOOKUP(YEAR($F199),Preisindex,3,FALSE),2),IF(AND($E199&lt;&gt;0,$F199&gt;0,YEAR($F199)&gt;=Preisindex!$A$6,YEAR(CU$4)&gt;=YEAR($F199),$K199="g"),ROUND(VLOOKUP(CZ$4,Preisindex,4,FALSE)/VLOOKUP(YEAR($F199),Preisindex,4,FALSE),2),IF(AND($E199&lt;&gt;0,$F199&gt;0,YEAR($F199)&gt;=Preisindex!$A$6,YEAR(CU$4)&gt;=YEAR($F199),$K199="k"),ROUND(VLOOKUP(CZ$4,Preisindex,2,FALSE)/VLOOKUP(YEAR($F199),Preisindex,2,FALSE),2),0)))))</f>
        <v>0</v>
      </c>
      <c r="DA199" s="56">
        <f>IF(AND($E199&lt;&gt;0,$F199&gt;0,YEAR($F199)&lt;Preisindex!$A$6,YEAR(CU$4)&gt;=YEAR($F199),AND($K199&lt;&gt;"a",$K199&lt;&gt;"b",$K199&lt;&gt;"g",$K199&lt;&gt;"k")),1,IF(AND($E199&lt;&gt;0,$F199&gt;0,YEAR($F199)&lt;Preisindex!$A$6,YEAR(CU$4)&gt;=YEAR($F199),$K199="a"),ROUND(VLOOKUP(CZ$4,Preisindex,5,FALSE)/VLOOKUP(Preisindex!$A$6,Preisindex,5,FALSE),2),IF(AND($E199&lt;&gt;0,$F199&gt;0,YEAR($F199)&lt;Preisindex!$A$6,YEAR(CU$4)&gt;=YEAR($F199),$K199="b"),ROUND(VLOOKUP(CZ$4,Preisindex,3,FALSE)/VLOOKUP(Preisindex!$A$6,Preisindex,3,FALSE),2),IF(AND($E199&lt;&gt;0,$F199&gt;0,YEAR($F199)&lt;Preisindex!$A$6,YEAR(CU$4)&gt;=YEAR($F199),$K199="g"),ROUND(VLOOKUP(CZ$4,Preisindex,4,FALSE)/VLOOKUP(Preisindex!$A$6,Preisindex,4,FALSE),2),IF(AND($E199&lt;&gt;0,$F199&gt;0,YEAR($F199)&lt;Preisindex!$A$6,YEAR(CU$4)&gt;=YEAR($F199),$K199="k"),ROUND(VLOOKUP(CZ$4,Preisindex,2,FALSE)/VLOOKUP(Preisindex!$A$6,Preisindex,2,FALSE),2),0)))))</f>
        <v>0</v>
      </c>
      <c r="DB199" s="51">
        <f>IF(AND($E199&lt;&gt;0,$F199&gt;0,YEAR($F199)&lt;=CZ$4,YEAR($F199)&gt;=Preisindex!$A$6),ROUND($E199*CZ199,2),IF(AND($E199&lt;&gt;0,$F199&gt;0,YEAR($F199)&lt;=CZ$4,YEAR($F199)&lt;Preisindex!$A$6),ROUND($E199*DA199,2),0))</f>
        <v>0</v>
      </c>
      <c r="DC199" s="53">
        <f t="shared" si="655"/>
        <v>0</v>
      </c>
      <c r="DD199" s="51">
        <f t="shared" si="656"/>
        <v>0</v>
      </c>
      <c r="DE199" s="51">
        <f t="shared" si="599"/>
        <v>0</v>
      </c>
      <c r="DF199" s="51">
        <f t="shared" si="657"/>
        <v>0</v>
      </c>
      <c r="DG199" s="51">
        <f t="shared" si="600"/>
        <v>0</v>
      </c>
      <c r="DH199" s="51">
        <f t="shared" si="658"/>
        <v>0</v>
      </c>
      <c r="DI199" s="51">
        <f t="shared" si="601"/>
        <v>0</v>
      </c>
      <c r="DJ199" s="51">
        <f t="shared" si="659"/>
        <v>0</v>
      </c>
      <c r="DK199" s="51">
        <f t="shared" si="602"/>
        <v>0</v>
      </c>
      <c r="DL199" s="51">
        <f t="shared" si="660"/>
        <v>0</v>
      </c>
      <c r="DM199" s="51">
        <f t="shared" si="603"/>
        <v>0</v>
      </c>
      <c r="DN199" s="51">
        <f t="shared" si="661"/>
        <v>0</v>
      </c>
      <c r="DO199" s="54">
        <f t="shared" si="662"/>
        <v>0</v>
      </c>
      <c r="DP199" s="55">
        <f t="shared" si="663"/>
        <v>0</v>
      </c>
      <c r="DQ199" s="56">
        <f>IF(AND($E199&lt;&gt;0,$F199&gt;0,YEAR($F199)&gt;=Preisindex!$A$6,YEAR(DL$4)&gt;=YEAR($F199),AND($K199&lt;&gt;"a",$K199&lt;&gt;"b",$K199&lt;&gt;"g",$K199&lt;&gt;"k")),1,IF(AND($E199&lt;&gt;0,$F199&gt;0,YEAR($F199)&gt;=Preisindex!$A$6,YEAR(DL$4)&gt;=YEAR($F199),$K199="a"),ROUND(VLOOKUP(DQ$4,Preisindex,5,FALSE)/VLOOKUP(YEAR($F199),Preisindex,5,FALSE),2),IF(AND($E199&lt;&gt;0,$F199&gt;0,YEAR($F199)&gt;=Preisindex!$A$6,YEAR(DL$4)&gt;=YEAR($F199),$K199="b"),ROUND(VLOOKUP(DQ$4,Preisindex,3,FALSE)/VLOOKUP(YEAR($F199),Preisindex,3,FALSE),2),IF(AND($E199&lt;&gt;0,$F199&gt;0,YEAR($F199)&gt;=Preisindex!$A$6,YEAR(DL$4)&gt;=YEAR($F199),$K199="g"),ROUND(VLOOKUP(DQ$4,Preisindex,4,FALSE)/VLOOKUP(YEAR($F199),Preisindex,4,FALSE),2),IF(AND($E199&lt;&gt;0,$F199&gt;0,YEAR($F199)&gt;=Preisindex!$A$6,YEAR(DL$4)&gt;=YEAR($F199),$K199="k"),ROUND(VLOOKUP(DQ$4,Preisindex,2,FALSE)/VLOOKUP(YEAR($F199),Preisindex,2,FALSE),2),0)))))</f>
        <v>0</v>
      </c>
      <c r="DR199" s="56">
        <f>IF(AND($E199&lt;&gt;0,$F199&gt;0,YEAR($F199)&lt;Preisindex!$A$6,YEAR(DL$4)&gt;=YEAR($F199),AND($K199&lt;&gt;"a",$K199&lt;&gt;"b",$K199&lt;&gt;"g",$K199&lt;&gt;"k")),1,IF(AND($E199&lt;&gt;0,$F199&gt;0,YEAR($F199)&lt;Preisindex!$A$6,YEAR(DL$4)&gt;=YEAR($F199),$K199="a"),ROUND(VLOOKUP(DQ$4,Preisindex,5,FALSE)/VLOOKUP(Preisindex!$A$6,Preisindex,5,FALSE),2),IF(AND($E199&lt;&gt;0,$F199&gt;0,YEAR($F199)&lt;Preisindex!$A$6,YEAR(DL$4)&gt;=YEAR($F199),$K199="b"),ROUND(VLOOKUP(DQ$4,Preisindex,3,FALSE)/VLOOKUP(Preisindex!$A$6,Preisindex,3,FALSE),2),IF(AND($E199&lt;&gt;0,$F199&gt;0,YEAR($F199)&lt;Preisindex!$A$6,YEAR(DL$4)&gt;=YEAR($F199),$K199="g"),ROUND(VLOOKUP(DQ$4,Preisindex,4,FALSE)/VLOOKUP(Preisindex!$A$6,Preisindex,4,FALSE),2),IF(AND($E199&lt;&gt;0,$F199&gt;0,YEAR($F199)&lt;Preisindex!$A$6,YEAR(DL$4)&gt;=YEAR($F199),$K199="k"),ROUND(VLOOKUP(DQ$4,Preisindex,2,FALSE)/VLOOKUP(Preisindex!$A$6,Preisindex,2,FALSE),2),0)))))</f>
        <v>0</v>
      </c>
      <c r="DS199" s="51">
        <f>IF(AND($E199&lt;&gt;0,$F199&gt;0,YEAR($F199)&lt;=DQ$4,YEAR($F199)&gt;=Preisindex!$A$6),ROUND($E199*DQ199,2),IF(AND($E199&lt;&gt;0,$F199&gt;0,YEAR($F199)&lt;=DQ$4,YEAR($F199)&lt;Preisindex!$A$6),ROUND($E199*DR199,2),0))</f>
        <v>0</v>
      </c>
      <c r="DT199" s="53">
        <f t="shared" si="664"/>
        <v>0</v>
      </c>
      <c r="DU199" s="51">
        <f t="shared" si="656"/>
        <v>0</v>
      </c>
      <c r="DV199" s="51">
        <f t="shared" si="604"/>
        <v>0</v>
      </c>
      <c r="DW199" s="51">
        <f t="shared" si="665"/>
        <v>0</v>
      </c>
      <c r="DX199" s="51">
        <f t="shared" si="605"/>
        <v>0</v>
      </c>
      <c r="DY199" s="51">
        <f t="shared" si="666"/>
        <v>0</v>
      </c>
      <c r="DZ199" s="51">
        <f t="shared" si="606"/>
        <v>0</v>
      </c>
      <c r="EA199" s="51">
        <f t="shared" si="667"/>
        <v>0</v>
      </c>
      <c r="EB199" s="51">
        <f t="shared" si="607"/>
        <v>0</v>
      </c>
      <c r="EC199" s="51">
        <f t="shared" si="668"/>
        <v>0</v>
      </c>
      <c r="ED199" s="51">
        <f t="shared" si="608"/>
        <v>0</v>
      </c>
      <c r="EE199" s="51">
        <f t="shared" si="669"/>
        <v>0</v>
      </c>
      <c r="EF199" s="54">
        <f t="shared" si="670"/>
        <v>0</v>
      </c>
      <c r="EG199" s="55">
        <f t="shared" si="671"/>
        <v>0</v>
      </c>
      <c r="EH199" s="56">
        <f>IF(AND($E199&lt;&gt;0,$F199&gt;0,YEAR($F199)&gt;=Preisindex!$A$6,YEAR(EC$4)&gt;=YEAR($F199),AND($K199&lt;&gt;"a",$K199&lt;&gt;"b",$K199&lt;&gt;"g",$K199&lt;&gt;"k")),1,IF(AND($E199&lt;&gt;0,$F199&gt;0,YEAR($F199)&gt;=Preisindex!$A$6,YEAR(EC$4)&gt;=YEAR($F199),$K199="a"),ROUND(VLOOKUP(EH$4,Preisindex,5,FALSE)/VLOOKUP(YEAR($F199),Preisindex,5,FALSE),2),IF(AND($E199&lt;&gt;0,$F199&gt;0,YEAR($F199)&gt;=Preisindex!$A$6,YEAR(EC$4)&gt;=YEAR($F199),$K199="b"),ROUND(VLOOKUP(EH$4,Preisindex,3,FALSE)/VLOOKUP(YEAR($F199),Preisindex,3,FALSE),2),IF(AND($E199&lt;&gt;0,$F199&gt;0,YEAR($F199)&gt;=Preisindex!$A$6,YEAR(EC$4)&gt;=YEAR($F199),$K199="g"),ROUND(VLOOKUP(EH$4,Preisindex,4,FALSE)/VLOOKUP(YEAR($F199),Preisindex,4,FALSE),2),IF(AND($E199&lt;&gt;0,$F199&gt;0,YEAR($F199)&gt;=Preisindex!$A$6,YEAR(EC$4)&gt;=YEAR($F199),$K199="k"),ROUND(VLOOKUP(EH$4,Preisindex,2,FALSE)/VLOOKUP(YEAR($F199),Preisindex,2,FALSE),2),0)))))</f>
        <v>0</v>
      </c>
      <c r="EI199" s="56">
        <f>IF(AND($E199&lt;&gt;0,$F199&gt;0,YEAR($F199)&lt;Preisindex!$A$6,YEAR(EC$4)&gt;=YEAR($F199),AND($K199&lt;&gt;"a",$K199&lt;&gt;"b",$K199&lt;&gt;"g",$K199&lt;&gt;"k")),1,IF(AND($E199&lt;&gt;0,$F199&gt;0,YEAR($F199)&lt;Preisindex!$A$6,YEAR(EC$4)&gt;=YEAR($F199),$K199="a"),ROUND(VLOOKUP(EH$4,Preisindex,5,FALSE)/VLOOKUP(Preisindex!$A$6,Preisindex,5,FALSE),2),IF(AND($E199&lt;&gt;0,$F199&gt;0,YEAR($F199)&lt;Preisindex!$A$6,YEAR(EC$4)&gt;=YEAR($F199),$K199="b"),ROUND(VLOOKUP(EH$4,Preisindex,3,FALSE)/VLOOKUP(Preisindex!$A$6,Preisindex,3,FALSE),2),IF(AND($E199&lt;&gt;0,$F199&gt;0,YEAR($F199)&lt;Preisindex!$A$6,YEAR(EC$4)&gt;=YEAR($F199),$K199="g"),ROUND(VLOOKUP(EH$4,Preisindex,4,FALSE)/VLOOKUP(Preisindex!$A$6,Preisindex,4,FALSE),2),IF(AND($E199&lt;&gt;0,$F199&gt;0,YEAR($F199)&lt;Preisindex!$A$6,YEAR(EC$4)&gt;=YEAR($F199),$K199="k"),ROUND(VLOOKUP(EH$4,Preisindex,2,FALSE)/VLOOKUP(Preisindex!$A$6,Preisindex,2,FALSE),2),0)))))</f>
        <v>0</v>
      </c>
      <c r="EJ199" s="51">
        <f>IF(AND($E199&lt;&gt;0,$F199&gt;0,YEAR($F199)&lt;=EH$4,YEAR($F199)&gt;=Preisindex!$A$6),ROUND($E199*EH199,2),IF(AND($E199&lt;&gt;0,$F199&gt;0,YEAR($F199)&lt;=EH$4,YEAR($F199)&lt;Preisindex!$A$6),ROUND($E199*EI199,2),0))</f>
        <v>0</v>
      </c>
      <c r="EK199" s="53">
        <f t="shared" si="672"/>
        <v>0</v>
      </c>
      <c r="EL199" s="51">
        <f t="shared" si="656"/>
        <v>0</v>
      </c>
      <c r="EM199" s="51">
        <f t="shared" si="609"/>
        <v>0</v>
      </c>
      <c r="EN199" s="51">
        <f t="shared" si="673"/>
        <v>0</v>
      </c>
      <c r="EO199" s="51">
        <f t="shared" si="610"/>
        <v>0</v>
      </c>
      <c r="EP199" s="51">
        <f t="shared" si="674"/>
        <v>0</v>
      </c>
      <c r="EQ199" s="51">
        <f t="shared" si="611"/>
        <v>0</v>
      </c>
      <c r="ER199" s="51">
        <f t="shared" si="675"/>
        <v>0</v>
      </c>
      <c r="ES199" s="51">
        <f t="shared" si="612"/>
        <v>0</v>
      </c>
      <c r="ET199" s="51">
        <f t="shared" si="676"/>
        <v>0</v>
      </c>
      <c r="EU199" s="51">
        <f t="shared" si="613"/>
        <v>0</v>
      </c>
      <c r="EV199" s="51">
        <f t="shared" si="677"/>
        <v>0</v>
      </c>
      <c r="EW199" s="54">
        <f t="shared" si="678"/>
        <v>0</v>
      </c>
      <c r="EX199" s="55">
        <f t="shared" si="679"/>
        <v>0</v>
      </c>
      <c r="EY199" s="56">
        <f>IF(AND($E199&lt;&gt;0,$F199&gt;0,YEAR($F199)&gt;=Preisindex!$A$6,YEAR(ET$4)&gt;=YEAR($F199),AND($K199&lt;&gt;"a",$K199&lt;&gt;"b",$K199&lt;&gt;"g",$K199&lt;&gt;"k")),1,IF(AND($E199&lt;&gt;0,$F199&gt;0,YEAR($F199)&gt;=Preisindex!$A$6,YEAR(ET$4)&gt;=YEAR($F199),$K199="a"),ROUND(VLOOKUP(EY$4,Preisindex,5,FALSE)/VLOOKUP(YEAR($F199),Preisindex,5,FALSE),2),IF(AND($E199&lt;&gt;0,$F199&gt;0,YEAR($F199)&gt;=Preisindex!$A$6,YEAR(ET$4)&gt;=YEAR($F199),$K199="b"),ROUND(VLOOKUP(EY$4,Preisindex,3,FALSE)/VLOOKUP(YEAR($F199),Preisindex,3,FALSE),2),IF(AND($E199&lt;&gt;0,$F199&gt;0,YEAR($F199)&gt;=Preisindex!$A$6,YEAR(ET$4)&gt;=YEAR($F199),$K199="g"),ROUND(VLOOKUP(EY$4,Preisindex,4,FALSE)/VLOOKUP(YEAR($F199),Preisindex,4,FALSE),2),IF(AND($E199&lt;&gt;0,$F199&gt;0,YEAR($F199)&gt;=Preisindex!$A$6,YEAR(ET$4)&gt;=YEAR($F199),$K199="k"),ROUND(VLOOKUP(EY$4,Preisindex,2,FALSE)/VLOOKUP(YEAR($F199),Preisindex,2,FALSE),2),0)))))</f>
        <v>0</v>
      </c>
      <c r="EZ199" s="56">
        <f>IF(AND($E199&lt;&gt;0,$F199&gt;0,YEAR($F199)&lt;Preisindex!$A$6,YEAR(ET$4)&gt;=YEAR($F199),AND($K199&lt;&gt;"a",$K199&lt;&gt;"b",$K199&lt;&gt;"g",$K199&lt;&gt;"k")),1,IF(AND($E199&lt;&gt;0,$F199&gt;0,YEAR($F199)&lt;Preisindex!$A$6,YEAR(ET$4)&gt;=YEAR($F199),$K199="a"),ROUND(VLOOKUP(EY$4,Preisindex,5,FALSE)/VLOOKUP(Preisindex!$A$6,Preisindex,5,FALSE),2),IF(AND($E199&lt;&gt;0,$F199&gt;0,YEAR($F199)&lt;Preisindex!$A$6,YEAR(ET$4)&gt;=YEAR($F199),$K199="b"),ROUND(VLOOKUP(EY$4,Preisindex,3,FALSE)/VLOOKUP(Preisindex!$A$6,Preisindex,3,FALSE),2),IF(AND($E199&lt;&gt;0,$F199&gt;0,YEAR($F199)&lt;Preisindex!$A$6,YEAR(ET$4)&gt;=YEAR($F199),$K199="g"),ROUND(VLOOKUP(EY$4,Preisindex,4,FALSE)/VLOOKUP(Preisindex!$A$6,Preisindex,4,FALSE),2),IF(AND($E199&lt;&gt;0,$F199&gt;0,YEAR($F199)&lt;Preisindex!$A$6,YEAR(ET$4)&gt;=YEAR($F199),$K199="k"),ROUND(VLOOKUP(EY$4,Preisindex,2,FALSE)/VLOOKUP(Preisindex!$A$6,Preisindex,2,FALSE),2),0)))))</f>
        <v>0</v>
      </c>
      <c r="FA199" s="51">
        <f>IF(AND($E199&lt;&gt;0,$F199&gt;0,YEAR($F199)&lt;=EY$4,YEAR($F199)&gt;=Preisindex!$A$6),ROUND($E199*EY199,2),IF(AND($E199&lt;&gt;0,$F199&gt;0,YEAR($F199)&lt;=EY$4,YEAR($F199)&lt;Preisindex!$A$6),ROUND($E199*EZ199,2),0))</f>
        <v>0</v>
      </c>
      <c r="FB199" s="53">
        <f t="shared" si="680"/>
        <v>0</v>
      </c>
      <c r="FC199" s="51">
        <f t="shared" si="656"/>
        <v>0</v>
      </c>
      <c r="FD199" s="51">
        <f t="shared" si="614"/>
        <v>0</v>
      </c>
      <c r="FE199" s="51">
        <f t="shared" si="681"/>
        <v>0</v>
      </c>
      <c r="FF199" s="51">
        <f t="shared" si="615"/>
        <v>0</v>
      </c>
      <c r="FG199" s="51">
        <f t="shared" si="682"/>
        <v>0</v>
      </c>
      <c r="FH199" s="51">
        <f t="shared" si="616"/>
        <v>0</v>
      </c>
      <c r="FI199" s="51">
        <f t="shared" si="683"/>
        <v>0</v>
      </c>
      <c r="FJ199" s="51">
        <f t="shared" si="617"/>
        <v>0</v>
      </c>
      <c r="FK199" s="51">
        <f t="shared" si="684"/>
        <v>0</v>
      </c>
      <c r="FL199" s="51">
        <f t="shared" si="618"/>
        <v>0</v>
      </c>
      <c r="FM199" s="51">
        <f t="shared" si="685"/>
        <v>0</v>
      </c>
      <c r="FN199" s="54">
        <f t="shared" si="686"/>
        <v>0</v>
      </c>
      <c r="FO199" s="55">
        <f t="shared" si="687"/>
        <v>0</v>
      </c>
      <c r="FP199" s="56">
        <f>IF(AND($E199&lt;&gt;0,$F199&gt;0,YEAR($F199)&gt;=Preisindex!$A$6,YEAR(FK$4)&gt;=YEAR($F199),AND($K199&lt;&gt;"a",$K199&lt;&gt;"b",$K199&lt;&gt;"g",$K199&lt;&gt;"k")),1,IF(AND($E199&lt;&gt;0,$F199&gt;0,YEAR($F199)&gt;=Preisindex!$A$6,YEAR(FK$4)&gt;=YEAR($F199),$K199="a"),ROUND(VLOOKUP(FP$4,Preisindex,5,FALSE)/VLOOKUP(YEAR($F199),Preisindex,5,FALSE),2),IF(AND($E199&lt;&gt;0,$F199&gt;0,YEAR($F199)&gt;=Preisindex!$A$6,YEAR(FK$4)&gt;=YEAR($F199),$K199="b"),ROUND(VLOOKUP(FP$4,Preisindex,3,FALSE)/VLOOKUP(YEAR($F199),Preisindex,3,FALSE),2),IF(AND($E199&lt;&gt;0,$F199&gt;0,YEAR($F199)&gt;=Preisindex!$A$6,YEAR(FK$4)&gt;=YEAR($F199),$K199="g"),ROUND(VLOOKUP(FP$4,Preisindex,4,FALSE)/VLOOKUP(YEAR($F199),Preisindex,4,FALSE),2),IF(AND($E199&lt;&gt;0,$F199&gt;0,YEAR($F199)&gt;=Preisindex!$A$6,YEAR(FK$4)&gt;=YEAR($F199),$K199="k"),ROUND(VLOOKUP(FP$4,Preisindex,2,FALSE)/VLOOKUP(YEAR($F199),Preisindex,2,FALSE),2),0)))))</f>
        <v>0</v>
      </c>
      <c r="FQ199" s="56">
        <f>IF(AND($E199&lt;&gt;0,$F199&gt;0,YEAR($F199)&lt;Preisindex!$A$6,YEAR(FK$4)&gt;=YEAR($F199),AND($K199&lt;&gt;"a",$K199&lt;&gt;"b",$K199&lt;&gt;"g",$K199&lt;&gt;"k")),1,IF(AND($E199&lt;&gt;0,$F199&gt;0,YEAR($F199)&lt;Preisindex!$A$6,YEAR(FK$4)&gt;=YEAR($F199),$K199="a"),ROUND(VLOOKUP(FP$4,Preisindex,5,FALSE)/VLOOKUP(Preisindex!$A$6,Preisindex,5,FALSE),2),IF(AND($E199&lt;&gt;0,$F199&gt;0,YEAR($F199)&lt;Preisindex!$A$6,YEAR(FK$4)&gt;=YEAR($F199),$K199="b"),ROUND(VLOOKUP(FP$4,Preisindex,3,FALSE)/VLOOKUP(Preisindex!$A$6,Preisindex,3,FALSE),2),IF(AND($E199&lt;&gt;0,$F199&gt;0,YEAR($F199)&lt;Preisindex!$A$6,YEAR(FK$4)&gt;=YEAR($F199),$K199="g"),ROUND(VLOOKUP(FP$4,Preisindex,4,FALSE)/VLOOKUP(Preisindex!$A$6,Preisindex,4,FALSE),2),IF(AND($E199&lt;&gt;0,$F199&gt;0,YEAR($F199)&lt;Preisindex!$A$6,YEAR(FK$4)&gt;=YEAR($F199),$K199="k"),ROUND(VLOOKUP(FP$4,Preisindex,2,FALSE)/VLOOKUP(Preisindex!$A$6,Preisindex,2,FALSE),2),0)))))</f>
        <v>0</v>
      </c>
      <c r="FR199" s="51">
        <f>IF(AND($E199&lt;&gt;0,$F199&gt;0,YEAR($F199)&lt;=FP$4,YEAR($F199)&gt;=Preisindex!$A$6),ROUND($E199*FP199,2),IF(AND($E199&lt;&gt;0,$F199&gt;0,YEAR($F199)&lt;=FP$4,YEAR($F199)&lt;Preisindex!$A$6),ROUND($E199*FQ199,2),0))</f>
        <v>0</v>
      </c>
      <c r="FS199" s="53">
        <f t="shared" si="688"/>
        <v>0</v>
      </c>
    </row>
    <row r="200" spans="1:175" x14ac:dyDescent="0.3">
      <c r="A200" s="93"/>
      <c r="B200" s="94"/>
      <c r="C200" s="94"/>
      <c r="D200" s="95"/>
      <c r="E200" s="99"/>
      <c r="F200" s="97"/>
      <c r="G200" s="98"/>
      <c r="H200" s="620"/>
      <c r="I200" s="621"/>
      <c r="J200" s="194"/>
      <c r="K200" s="630"/>
      <c r="L200" s="49">
        <f t="shared" si="689"/>
        <v>0</v>
      </c>
      <c r="M200" s="50">
        <f t="shared" si="690"/>
        <v>0</v>
      </c>
      <c r="N200" s="51">
        <f t="shared" si="691"/>
        <v>0</v>
      </c>
      <c r="O200" s="51"/>
      <c r="P200" s="51">
        <f t="shared" si="692"/>
        <v>0</v>
      </c>
      <c r="Q200" s="52"/>
      <c r="R200" s="52"/>
      <c r="S200" s="52"/>
      <c r="T200" s="52"/>
      <c r="U200" s="52"/>
      <c r="V200" s="53">
        <f t="shared" si="693"/>
        <v>0</v>
      </c>
      <c r="W200" s="51">
        <f t="shared" si="694"/>
        <v>0</v>
      </c>
      <c r="X200" s="51">
        <f t="shared" si="695"/>
        <v>0</v>
      </c>
      <c r="Y200" s="51">
        <f t="shared" si="696"/>
        <v>0</v>
      </c>
      <c r="Z200" s="51">
        <f t="shared" si="697"/>
        <v>0</v>
      </c>
      <c r="AA200" s="51">
        <f t="shared" si="698"/>
        <v>0</v>
      </c>
      <c r="AB200" s="51">
        <f t="shared" si="699"/>
        <v>0</v>
      </c>
      <c r="AC200" s="51">
        <f t="shared" si="700"/>
        <v>0</v>
      </c>
      <c r="AD200" s="51">
        <f t="shared" si="701"/>
        <v>0</v>
      </c>
      <c r="AE200" s="51">
        <f t="shared" si="702"/>
        <v>0</v>
      </c>
      <c r="AF200" s="51">
        <f t="shared" si="703"/>
        <v>0</v>
      </c>
      <c r="AG200" s="51">
        <f t="shared" si="704"/>
        <v>0</v>
      </c>
      <c r="AH200" s="54">
        <f t="shared" si="705"/>
        <v>0</v>
      </c>
      <c r="AI200" s="55">
        <f t="shared" si="706"/>
        <v>0</v>
      </c>
      <c r="AJ200" s="56">
        <f>IF(AND($E200&lt;&gt;0,$F200&gt;0,YEAR($F200)&gt;=Preisindex!$A$6,YEAR(AE$4)&gt;=YEAR($F200),AND($K200&lt;&gt;"a",$K200&lt;&gt;"b",$K200&lt;&gt;"g",$K200&lt;&gt;"k")),1,IF(AND($E200&lt;&gt;0,$F200&gt;0,YEAR($F200)&gt;=Preisindex!$A$6,YEAR(AE$4)&gt;=YEAR($F200),$K200="a"),ROUND(VLOOKUP(AJ$4,Preisindex,5,FALSE)/VLOOKUP(YEAR($F200),Preisindex,5,FALSE),2),IF(AND($E200&lt;&gt;0,$F200&gt;0,YEAR($F200)&gt;=Preisindex!$A$6,YEAR(AE$4)&gt;=YEAR($F200),$K200="b"),ROUND(VLOOKUP(AJ$4,Preisindex,3,FALSE)/VLOOKUP(YEAR($F200),Preisindex,3,FALSE),2),IF(AND($E200&lt;&gt;0,$F200&gt;0,YEAR($F200)&gt;=Preisindex!$A$6,YEAR(AE$4)&gt;=YEAR($F200),$K200="g"),ROUND(VLOOKUP(AJ$4,Preisindex,4,FALSE)/VLOOKUP(YEAR($F200),Preisindex,4,FALSE),2),IF(AND($E200&lt;&gt;0,$F200&gt;0,YEAR($F200)&gt;=Preisindex!$A$6,YEAR(AE$4)&gt;=YEAR($F200),$K200="k"),ROUND(VLOOKUP(AJ$4,Preisindex,2,FALSE)/VLOOKUP(YEAR($F200),Preisindex,2,FALSE),2),0)))))</f>
        <v>0</v>
      </c>
      <c r="AK200" s="56">
        <f>IF(AND($E200&lt;&gt;0,$F200&gt;0,YEAR($F200)&lt;Preisindex!$A$6,YEAR(AE$4)&gt;=YEAR($F200),AND($K200&lt;&gt;"a",$K200&lt;&gt;"b",$K200&lt;&gt;"g",$K200&lt;&gt;"k")),1,IF(AND($E200&lt;&gt;0,$F200&gt;0,YEAR($F200)&lt;Preisindex!$A$6,YEAR(AE$4)&gt;=YEAR($F200),$K200="a"),ROUND(VLOOKUP(AJ$4,Preisindex,5,FALSE)/VLOOKUP(Preisindex!$A$6,Preisindex,5,FALSE),2),IF(AND($E200&lt;&gt;0,$F200&gt;0,YEAR($F200)&lt;Preisindex!$A$6,YEAR(AE$4)&gt;=YEAR($F200),$K200="b"),ROUND(VLOOKUP(AJ$4,Preisindex,3,FALSE)/VLOOKUP(Preisindex!$A$6,Preisindex,3,FALSE),2),IF(AND($E200&lt;&gt;0,$F200&gt;0,YEAR($F200)&lt;Preisindex!$A$6,YEAR(AE$4)&gt;=YEAR($F200),$K200="g"),ROUND(VLOOKUP(AJ$4,Preisindex,4,FALSE)/VLOOKUP(Preisindex!$A$6,Preisindex,4,FALSE),2),IF(AND($E200&lt;&gt;0,$F200&gt;0,YEAR($F200)&lt;Preisindex!$A$6,YEAR(AE$4)&gt;=YEAR($F200),$K200="k"),ROUND(VLOOKUP(AJ$4,Preisindex,2,FALSE)/VLOOKUP(Preisindex!$A$6,Preisindex,2,FALSE),2),0)))))</f>
        <v>0</v>
      </c>
      <c r="AL200" s="51">
        <f>IF(AND($E200&lt;&gt;0,$F200&gt;0,YEAR($F200)&lt;=AJ$4,YEAR($F200)&gt;=Preisindex!$A$6),ROUND($E200*AJ200,2),IF(AND($E200&lt;&gt;0,$F200&gt;0,YEAR($F200)&lt;=AJ$4,YEAR($F200)&lt;Preisindex!$A$6),ROUND($E200*AK200,2),0))</f>
        <v>0</v>
      </c>
      <c r="AM200" s="53">
        <f t="shared" si="707"/>
        <v>0</v>
      </c>
      <c r="AN200" s="51">
        <f t="shared" si="623"/>
        <v>0</v>
      </c>
      <c r="AO200" s="51">
        <f t="shared" si="579"/>
        <v>0</v>
      </c>
      <c r="AP200" s="51">
        <f t="shared" si="624"/>
        <v>0</v>
      </c>
      <c r="AQ200" s="51">
        <f t="shared" si="580"/>
        <v>0</v>
      </c>
      <c r="AR200" s="51">
        <f t="shared" si="625"/>
        <v>0</v>
      </c>
      <c r="AS200" s="51">
        <f t="shared" si="581"/>
        <v>0</v>
      </c>
      <c r="AT200" s="51">
        <f t="shared" si="626"/>
        <v>0</v>
      </c>
      <c r="AU200" s="51">
        <f t="shared" si="582"/>
        <v>0</v>
      </c>
      <c r="AV200" s="51">
        <f t="shared" si="627"/>
        <v>0</v>
      </c>
      <c r="AW200" s="51">
        <f t="shared" si="583"/>
        <v>0</v>
      </c>
      <c r="AX200" s="51">
        <f t="shared" si="628"/>
        <v>0</v>
      </c>
      <c r="AY200" s="54">
        <f t="shared" si="629"/>
        <v>0</v>
      </c>
      <c r="AZ200" s="55">
        <f t="shared" si="630"/>
        <v>0</v>
      </c>
      <c r="BA200" s="56">
        <f>IF(AND($E200&lt;&gt;0,$F200&gt;0,YEAR($F200)&gt;=Preisindex!$A$6,YEAR(AV$4)&gt;=YEAR($F200),AND($K200&lt;&gt;"a",$K200&lt;&gt;"b",$K200&lt;&gt;"g",$K200&lt;&gt;"k")),1,IF(AND($E200&lt;&gt;0,$F200&gt;0,YEAR($F200)&gt;=Preisindex!$A$6,YEAR(AV$4)&gt;=YEAR($F200),$K200="a"),ROUND(VLOOKUP(BA$4,Preisindex,5,FALSE)/VLOOKUP(YEAR($F200),Preisindex,5,FALSE),2),IF(AND($E200&lt;&gt;0,$F200&gt;0,YEAR($F200)&gt;=Preisindex!$A$6,YEAR(AV$4)&gt;=YEAR($F200),$K200="b"),ROUND(VLOOKUP(BA$4,Preisindex,3,FALSE)/VLOOKUP(YEAR($F200),Preisindex,3,FALSE),2),IF(AND($E200&lt;&gt;0,$F200&gt;0,YEAR($F200)&gt;=Preisindex!$A$6,YEAR(AV$4)&gt;=YEAR($F200),$K200="g"),ROUND(VLOOKUP(BA$4,Preisindex,4,FALSE)/VLOOKUP(YEAR($F200),Preisindex,4,FALSE),2),IF(AND($E200&lt;&gt;0,$F200&gt;0,YEAR($F200)&gt;=Preisindex!$A$6,YEAR(AV$4)&gt;=YEAR($F200),$K200="k"),ROUND(VLOOKUP(BA$4,Preisindex,2,FALSE)/VLOOKUP(YEAR($F200),Preisindex,2,FALSE),2),0)))))</f>
        <v>0</v>
      </c>
      <c r="BB200" s="56">
        <f>IF(AND($E200&lt;&gt;0,$F200&gt;0,YEAR($F200)&lt;Preisindex!$A$6,YEAR(AV$4)&gt;=YEAR($F200),AND($K200&lt;&gt;"a",$K200&lt;&gt;"b",$K200&lt;&gt;"g",$K200&lt;&gt;"k")),1,IF(AND($E200&lt;&gt;0,$F200&gt;0,YEAR($F200)&lt;Preisindex!$A$6,YEAR(AV$4)&gt;=YEAR($F200),$K200="a"),ROUND(VLOOKUP(BA$4,Preisindex,5,FALSE)/VLOOKUP(Preisindex!$A$6,Preisindex,5,FALSE),2),IF(AND($E200&lt;&gt;0,$F200&gt;0,YEAR($F200)&lt;Preisindex!$A$6,YEAR(AV$4)&gt;=YEAR($F200),$K200="b"),ROUND(VLOOKUP(BA$4,Preisindex,3,FALSE)/VLOOKUP(Preisindex!$A$6,Preisindex,3,FALSE),2),IF(AND($E200&lt;&gt;0,$F200&gt;0,YEAR($F200)&lt;Preisindex!$A$6,YEAR(AV$4)&gt;=YEAR($F200),$K200="g"),ROUND(VLOOKUP(BA$4,Preisindex,4,FALSE)/VLOOKUP(Preisindex!$A$6,Preisindex,4,FALSE),2),IF(AND($E200&lt;&gt;0,$F200&gt;0,YEAR($F200)&lt;Preisindex!$A$6,YEAR(AV$4)&gt;=YEAR($F200),$K200="k"),ROUND(VLOOKUP(BA$4,Preisindex,2,FALSE)/VLOOKUP(Preisindex!$A$6,Preisindex,2,FALSE),2),0)))))</f>
        <v>0</v>
      </c>
      <c r="BC200" s="51">
        <f>IF(AND($E200&lt;&gt;0,$F200&gt;0,YEAR($F200)&lt;=BA$4,YEAR($F200)&gt;=Preisindex!$A$6),ROUND($E200*BA200,2),IF(AND($E200&lt;&gt;0,$F200&gt;0,YEAR($F200)&lt;=BA$4,YEAR($F200)&lt;Preisindex!$A$6),ROUND($E200*BB200,2),0))</f>
        <v>0</v>
      </c>
      <c r="BD200" s="53">
        <f t="shared" si="631"/>
        <v>0</v>
      </c>
      <c r="BE200" s="51">
        <f t="shared" si="623"/>
        <v>0</v>
      </c>
      <c r="BF200" s="51">
        <f t="shared" si="584"/>
        <v>0</v>
      </c>
      <c r="BG200" s="51">
        <f t="shared" si="632"/>
        <v>0</v>
      </c>
      <c r="BH200" s="51">
        <f t="shared" si="585"/>
        <v>0</v>
      </c>
      <c r="BI200" s="51">
        <f t="shared" si="633"/>
        <v>0</v>
      </c>
      <c r="BJ200" s="51">
        <f t="shared" si="586"/>
        <v>0</v>
      </c>
      <c r="BK200" s="51">
        <f t="shared" si="634"/>
        <v>0</v>
      </c>
      <c r="BL200" s="51">
        <f t="shared" si="587"/>
        <v>0</v>
      </c>
      <c r="BM200" s="51">
        <f t="shared" si="635"/>
        <v>0</v>
      </c>
      <c r="BN200" s="51">
        <f t="shared" si="588"/>
        <v>0</v>
      </c>
      <c r="BO200" s="51">
        <f t="shared" si="636"/>
        <v>0</v>
      </c>
      <c r="BP200" s="54">
        <f t="shared" si="637"/>
        <v>0</v>
      </c>
      <c r="BQ200" s="55">
        <f t="shared" si="638"/>
        <v>0</v>
      </c>
      <c r="BR200" s="56">
        <f>IF(AND($E200&lt;&gt;0,$F200&gt;0,YEAR($F200)&gt;=Preisindex!$A$6,YEAR(BM$4)&gt;=YEAR($F200),AND($K200&lt;&gt;"a",$K200&lt;&gt;"b",$K200&lt;&gt;"g",$K200&lt;&gt;"k")),1,IF(AND($E200&lt;&gt;0,$F200&gt;0,YEAR($F200)&gt;=Preisindex!$A$6,YEAR(BM$4)&gt;=YEAR($F200),$K200="a"),ROUND(VLOOKUP(BR$4,Preisindex,5,FALSE)/VLOOKUP(YEAR($F200),Preisindex,5,FALSE),2),IF(AND($E200&lt;&gt;0,$F200&gt;0,YEAR($F200)&gt;=Preisindex!$A$6,YEAR(BM$4)&gt;=YEAR($F200),$K200="b"),ROUND(VLOOKUP(BR$4,Preisindex,3,FALSE)/VLOOKUP(YEAR($F200),Preisindex,3,FALSE),2),IF(AND($E200&lt;&gt;0,$F200&gt;0,YEAR($F200)&gt;=Preisindex!$A$6,YEAR(BM$4)&gt;=YEAR($F200),$K200="g"),ROUND(VLOOKUP(BR$4,Preisindex,4,FALSE)/VLOOKUP(YEAR($F200),Preisindex,4,FALSE),2),IF(AND($E200&lt;&gt;0,$F200&gt;0,YEAR($F200)&gt;=Preisindex!$A$6,YEAR(BM$4)&gt;=YEAR($F200),$K200="k"),ROUND(VLOOKUP(BR$4,Preisindex,2,FALSE)/VLOOKUP(YEAR($F200),Preisindex,2,FALSE),2),0)))))</f>
        <v>0</v>
      </c>
      <c r="BS200" s="56">
        <f>IF(AND($E200&lt;&gt;0,$F200&gt;0,YEAR($F200)&lt;Preisindex!$A$6,YEAR(BM$4)&gt;=YEAR($F200),AND($K200&lt;&gt;"a",$K200&lt;&gt;"b",$K200&lt;&gt;"g",$K200&lt;&gt;"k")),1,IF(AND($E200&lt;&gt;0,$F200&gt;0,YEAR($F200)&lt;Preisindex!$A$6,YEAR(BM$4)&gt;=YEAR($F200),$K200="a"),ROUND(VLOOKUP(BR$4,Preisindex,5,FALSE)/VLOOKUP(Preisindex!$A$6,Preisindex,5,FALSE),2),IF(AND($E200&lt;&gt;0,$F200&gt;0,YEAR($F200)&lt;Preisindex!$A$6,YEAR(BM$4)&gt;=YEAR($F200),$K200="b"),ROUND(VLOOKUP(BR$4,Preisindex,3,FALSE)/VLOOKUP(Preisindex!$A$6,Preisindex,3,FALSE),2),IF(AND($E200&lt;&gt;0,$F200&gt;0,YEAR($F200)&lt;Preisindex!$A$6,YEAR(BM$4)&gt;=YEAR($F200),$K200="g"),ROUND(VLOOKUP(BR$4,Preisindex,4,FALSE)/VLOOKUP(Preisindex!$A$6,Preisindex,4,FALSE),2),IF(AND($E200&lt;&gt;0,$F200&gt;0,YEAR($F200)&lt;Preisindex!$A$6,YEAR(BM$4)&gt;=YEAR($F200),$K200="k"),ROUND(VLOOKUP(BR$4,Preisindex,2,FALSE)/VLOOKUP(Preisindex!$A$6,Preisindex,2,FALSE),2),0)))))</f>
        <v>0</v>
      </c>
      <c r="BT200" s="51">
        <f>IF(AND($E200&lt;&gt;0,$F200&gt;0,YEAR($F200)&lt;=BR$4,YEAR($F200)&gt;=Preisindex!$A$6),ROUND($E200*BR200,2),IF(AND($E200&lt;&gt;0,$F200&gt;0,YEAR($F200)&lt;=BR$4,YEAR($F200)&lt;Preisindex!$A$6),ROUND($E200*BS200,2),0))</f>
        <v>0</v>
      </c>
      <c r="BU200" s="53">
        <f t="shared" si="639"/>
        <v>0</v>
      </c>
      <c r="BV200" s="51">
        <f t="shared" si="623"/>
        <v>0</v>
      </c>
      <c r="BW200" s="51">
        <f t="shared" si="589"/>
        <v>0</v>
      </c>
      <c r="BX200" s="51">
        <f t="shared" si="640"/>
        <v>0</v>
      </c>
      <c r="BY200" s="51">
        <f t="shared" si="590"/>
        <v>0</v>
      </c>
      <c r="BZ200" s="51">
        <f t="shared" si="641"/>
        <v>0</v>
      </c>
      <c r="CA200" s="51">
        <f t="shared" si="591"/>
        <v>0</v>
      </c>
      <c r="CB200" s="51">
        <f t="shared" si="642"/>
        <v>0</v>
      </c>
      <c r="CC200" s="51">
        <f t="shared" si="592"/>
        <v>0</v>
      </c>
      <c r="CD200" s="51">
        <f t="shared" si="643"/>
        <v>0</v>
      </c>
      <c r="CE200" s="51">
        <f t="shared" si="593"/>
        <v>0</v>
      </c>
      <c r="CF200" s="51">
        <f t="shared" si="644"/>
        <v>0</v>
      </c>
      <c r="CG200" s="54">
        <f t="shared" si="645"/>
        <v>0</v>
      </c>
      <c r="CH200" s="55">
        <f t="shared" si="646"/>
        <v>0</v>
      </c>
      <c r="CI200" s="56">
        <f>IF(AND($E200&lt;&gt;0,$F200&gt;0,YEAR($F200)&gt;=Preisindex!$A$6,YEAR(CD$4)&gt;=YEAR($F200),AND($K200&lt;&gt;"a",$K200&lt;&gt;"b",$K200&lt;&gt;"g",$K200&lt;&gt;"k")),1,IF(AND($E200&lt;&gt;0,$F200&gt;0,YEAR($F200)&gt;=Preisindex!$A$6,YEAR(CD$4)&gt;=YEAR($F200),$K200="a"),ROUND(VLOOKUP(CI$4,Preisindex,5,FALSE)/VLOOKUP(YEAR($F200),Preisindex,5,FALSE),2),IF(AND($E200&lt;&gt;0,$F200&gt;0,YEAR($F200)&gt;=Preisindex!$A$6,YEAR(CD$4)&gt;=YEAR($F200),$K200="b"),ROUND(VLOOKUP(CI$4,Preisindex,3,FALSE)/VLOOKUP(YEAR($F200),Preisindex,3,FALSE),2),IF(AND($E200&lt;&gt;0,$F200&gt;0,YEAR($F200)&gt;=Preisindex!$A$6,YEAR(CD$4)&gt;=YEAR($F200),$K200="g"),ROUND(VLOOKUP(CI$4,Preisindex,4,FALSE)/VLOOKUP(YEAR($F200),Preisindex,4,FALSE),2),IF(AND($E200&lt;&gt;0,$F200&gt;0,YEAR($F200)&gt;=Preisindex!$A$6,YEAR(CD$4)&gt;=YEAR($F200),$K200="k"),ROUND(VLOOKUP(CI$4,Preisindex,2,FALSE)/VLOOKUP(YEAR($F200),Preisindex,2,FALSE),2),0)))))</f>
        <v>0</v>
      </c>
      <c r="CJ200" s="56">
        <f>IF(AND($E200&lt;&gt;0,$F200&gt;0,YEAR($F200)&lt;Preisindex!$A$6,YEAR(CD$4)&gt;=YEAR($F200),AND($K200&lt;&gt;"a",$K200&lt;&gt;"b",$K200&lt;&gt;"g",$K200&lt;&gt;"k")),1,IF(AND($E200&lt;&gt;0,$F200&gt;0,YEAR($F200)&lt;Preisindex!$A$6,YEAR(CD$4)&gt;=YEAR($F200),$K200="a"),ROUND(VLOOKUP(CI$4,Preisindex,5,FALSE)/VLOOKUP(Preisindex!$A$6,Preisindex,5,FALSE),2),IF(AND($E200&lt;&gt;0,$F200&gt;0,YEAR($F200)&lt;Preisindex!$A$6,YEAR(CD$4)&gt;=YEAR($F200),$K200="b"),ROUND(VLOOKUP(CI$4,Preisindex,3,FALSE)/VLOOKUP(Preisindex!$A$6,Preisindex,3,FALSE),2),IF(AND($E200&lt;&gt;0,$F200&gt;0,YEAR($F200)&lt;Preisindex!$A$6,YEAR(CD$4)&gt;=YEAR($F200),$K200="g"),ROUND(VLOOKUP(CI$4,Preisindex,4,FALSE)/VLOOKUP(Preisindex!$A$6,Preisindex,4,FALSE),2),IF(AND($E200&lt;&gt;0,$F200&gt;0,YEAR($F200)&lt;Preisindex!$A$6,YEAR(CD$4)&gt;=YEAR($F200),$K200="k"),ROUND(VLOOKUP(CI$4,Preisindex,2,FALSE)/VLOOKUP(Preisindex!$A$6,Preisindex,2,FALSE),2),0)))))</f>
        <v>0</v>
      </c>
      <c r="CK200" s="51">
        <f>IF(AND($E200&lt;&gt;0,$F200&gt;0,YEAR($F200)&lt;=CI$4,YEAR($F200)&gt;=Preisindex!$A$6),ROUND($E200*CI200,2),IF(AND($E200&lt;&gt;0,$F200&gt;0,YEAR($F200)&lt;=CI$4,YEAR($F200)&lt;Preisindex!$A$6),ROUND($E200*CJ200,2),0))</f>
        <v>0</v>
      </c>
      <c r="CL200" s="53">
        <f t="shared" si="647"/>
        <v>0</v>
      </c>
      <c r="CM200" s="51">
        <f t="shared" si="623"/>
        <v>0</v>
      </c>
      <c r="CN200" s="51">
        <f t="shared" si="594"/>
        <v>0</v>
      </c>
      <c r="CO200" s="51">
        <f t="shared" si="648"/>
        <v>0</v>
      </c>
      <c r="CP200" s="51">
        <f t="shared" si="595"/>
        <v>0</v>
      </c>
      <c r="CQ200" s="51">
        <f t="shared" si="649"/>
        <v>0</v>
      </c>
      <c r="CR200" s="51">
        <f t="shared" si="596"/>
        <v>0</v>
      </c>
      <c r="CS200" s="51">
        <f t="shared" si="650"/>
        <v>0</v>
      </c>
      <c r="CT200" s="51">
        <f t="shared" si="597"/>
        <v>0</v>
      </c>
      <c r="CU200" s="51">
        <f t="shared" si="651"/>
        <v>0</v>
      </c>
      <c r="CV200" s="51">
        <f t="shared" si="598"/>
        <v>0</v>
      </c>
      <c r="CW200" s="51">
        <f t="shared" si="652"/>
        <v>0</v>
      </c>
      <c r="CX200" s="54">
        <f t="shared" si="653"/>
        <v>0</v>
      </c>
      <c r="CY200" s="55">
        <f t="shared" si="654"/>
        <v>0</v>
      </c>
      <c r="CZ200" s="56">
        <f>IF(AND($E200&lt;&gt;0,$F200&gt;0,YEAR($F200)&gt;=Preisindex!$A$6,YEAR(CU$4)&gt;=YEAR($F200),AND($K200&lt;&gt;"a",$K200&lt;&gt;"b",$K200&lt;&gt;"g",$K200&lt;&gt;"k")),1,IF(AND($E200&lt;&gt;0,$F200&gt;0,YEAR($F200)&gt;=Preisindex!$A$6,YEAR(CU$4)&gt;=YEAR($F200),$K200="a"),ROUND(VLOOKUP(CZ$4,Preisindex,5,FALSE)/VLOOKUP(YEAR($F200),Preisindex,5,FALSE),2),IF(AND($E200&lt;&gt;0,$F200&gt;0,YEAR($F200)&gt;=Preisindex!$A$6,YEAR(CU$4)&gt;=YEAR($F200),$K200="b"),ROUND(VLOOKUP(CZ$4,Preisindex,3,FALSE)/VLOOKUP(YEAR($F200),Preisindex,3,FALSE),2),IF(AND($E200&lt;&gt;0,$F200&gt;0,YEAR($F200)&gt;=Preisindex!$A$6,YEAR(CU$4)&gt;=YEAR($F200),$K200="g"),ROUND(VLOOKUP(CZ$4,Preisindex,4,FALSE)/VLOOKUP(YEAR($F200),Preisindex,4,FALSE),2),IF(AND($E200&lt;&gt;0,$F200&gt;0,YEAR($F200)&gt;=Preisindex!$A$6,YEAR(CU$4)&gt;=YEAR($F200),$K200="k"),ROUND(VLOOKUP(CZ$4,Preisindex,2,FALSE)/VLOOKUP(YEAR($F200),Preisindex,2,FALSE),2),0)))))</f>
        <v>0</v>
      </c>
      <c r="DA200" s="56">
        <f>IF(AND($E200&lt;&gt;0,$F200&gt;0,YEAR($F200)&lt;Preisindex!$A$6,YEAR(CU$4)&gt;=YEAR($F200),AND($K200&lt;&gt;"a",$K200&lt;&gt;"b",$K200&lt;&gt;"g",$K200&lt;&gt;"k")),1,IF(AND($E200&lt;&gt;0,$F200&gt;0,YEAR($F200)&lt;Preisindex!$A$6,YEAR(CU$4)&gt;=YEAR($F200),$K200="a"),ROUND(VLOOKUP(CZ$4,Preisindex,5,FALSE)/VLOOKUP(Preisindex!$A$6,Preisindex,5,FALSE),2),IF(AND($E200&lt;&gt;0,$F200&gt;0,YEAR($F200)&lt;Preisindex!$A$6,YEAR(CU$4)&gt;=YEAR($F200),$K200="b"),ROUND(VLOOKUP(CZ$4,Preisindex,3,FALSE)/VLOOKUP(Preisindex!$A$6,Preisindex,3,FALSE),2),IF(AND($E200&lt;&gt;0,$F200&gt;0,YEAR($F200)&lt;Preisindex!$A$6,YEAR(CU$4)&gt;=YEAR($F200),$K200="g"),ROUND(VLOOKUP(CZ$4,Preisindex,4,FALSE)/VLOOKUP(Preisindex!$A$6,Preisindex,4,FALSE),2),IF(AND($E200&lt;&gt;0,$F200&gt;0,YEAR($F200)&lt;Preisindex!$A$6,YEAR(CU$4)&gt;=YEAR($F200),$K200="k"),ROUND(VLOOKUP(CZ$4,Preisindex,2,FALSE)/VLOOKUP(Preisindex!$A$6,Preisindex,2,FALSE),2),0)))))</f>
        <v>0</v>
      </c>
      <c r="DB200" s="51">
        <f>IF(AND($E200&lt;&gt;0,$F200&gt;0,YEAR($F200)&lt;=CZ$4,YEAR($F200)&gt;=Preisindex!$A$6),ROUND($E200*CZ200,2),IF(AND($E200&lt;&gt;0,$F200&gt;0,YEAR($F200)&lt;=CZ$4,YEAR($F200)&lt;Preisindex!$A$6),ROUND($E200*DA200,2),0))</f>
        <v>0</v>
      </c>
      <c r="DC200" s="53">
        <f t="shared" si="655"/>
        <v>0</v>
      </c>
      <c r="DD200" s="51">
        <f t="shared" si="656"/>
        <v>0</v>
      </c>
      <c r="DE200" s="51">
        <f t="shared" si="599"/>
        <v>0</v>
      </c>
      <c r="DF200" s="51">
        <f t="shared" si="657"/>
        <v>0</v>
      </c>
      <c r="DG200" s="51">
        <f t="shared" si="600"/>
        <v>0</v>
      </c>
      <c r="DH200" s="51">
        <f t="shared" si="658"/>
        <v>0</v>
      </c>
      <c r="DI200" s="51">
        <f t="shared" si="601"/>
        <v>0</v>
      </c>
      <c r="DJ200" s="51">
        <f t="shared" si="659"/>
        <v>0</v>
      </c>
      <c r="DK200" s="51">
        <f t="shared" si="602"/>
        <v>0</v>
      </c>
      <c r="DL200" s="51">
        <f t="shared" si="660"/>
        <v>0</v>
      </c>
      <c r="DM200" s="51">
        <f t="shared" si="603"/>
        <v>0</v>
      </c>
      <c r="DN200" s="51">
        <f t="shared" si="661"/>
        <v>0</v>
      </c>
      <c r="DO200" s="54">
        <f t="shared" si="662"/>
        <v>0</v>
      </c>
      <c r="DP200" s="55">
        <f t="shared" si="663"/>
        <v>0</v>
      </c>
      <c r="DQ200" s="56">
        <f>IF(AND($E200&lt;&gt;0,$F200&gt;0,YEAR($F200)&gt;=Preisindex!$A$6,YEAR(DL$4)&gt;=YEAR($F200),AND($K200&lt;&gt;"a",$K200&lt;&gt;"b",$K200&lt;&gt;"g",$K200&lt;&gt;"k")),1,IF(AND($E200&lt;&gt;0,$F200&gt;0,YEAR($F200)&gt;=Preisindex!$A$6,YEAR(DL$4)&gt;=YEAR($F200),$K200="a"),ROUND(VLOOKUP(DQ$4,Preisindex,5,FALSE)/VLOOKUP(YEAR($F200),Preisindex,5,FALSE),2),IF(AND($E200&lt;&gt;0,$F200&gt;0,YEAR($F200)&gt;=Preisindex!$A$6,YEAR(DL$4)&gt;=YEAR($F200),$K200="b"),ROUND(VLOOKUP(DQ$4,Preisindex,3,FALSE)/VLOOKUP(YEAR($F200),Preisindex,3,FALSE),2),IF(AND($E200&lt;&gt;0,$F200&gt;0,YEAR($F200)&gt;=Preisindex!$A$6,YEAR(DL$4)&gt;=YEAR($F200),$K200="g"),ROUND(VLOOKUP(DQ$4,Preisindex,4,FALSE)/VLOOKUP(YEAR($F200),Preisindex,4,FALSE),2),IF(AND($E200&lt;&gt;0,$F200&gt;0,YEAR($F200)&gt;=Preisindex!$A$6,YEAR(DL$4)&gt;=YEAR($F200),$K200="k"),ROUND(VLOOKUP(DQ$4,Preisindex,2,FALSE)/VLOOKUP(YEAR($F200),Preisindex,2,FALSE),2),0)))))</f>
        <v>0</v>
      </c>
      <c r="DR200" s="56">
        <f>IF(AND($E200&lt;&gt;0,$F200&gt;0,YEAR($F200)&lt;Preisindex!$A$6,YEAR(DL$4)&gt;=YEAR($F200),AND($K200&lt;&gt;"a",$K200&lt;&gt;"b",$K200&lt;&gt;"g",$K200&lt;&gt;"k")),1,IF(AND($E200&lt;&gt;0,$F200&gt;0,YEAR($F200)&lt;Preisindex!$A$6,YEAR(DL$4)&gt;=YEAR($F200),$K200="a"),ROUND(VLOOKUP(DQ$4,Preisindex,5,FALSE)/VLOOKUP(Preisindex!$A$6,Preisindex,5,FALSE),2),IF(AND($E200&lt;&gt;0,$F200&gt;0,YEAR($F200)&lt;Preisindex!$A$6,YEAR(DL$4)&gt;=YEAR($F200),$K200="b"),ROUND(VLOOKUP(DQ$4,Preisindex,3,FALSE)/VLOOKUP(Preisindex!$A$6,Preisindex,3,FALSE),2),IF(AND($E200&lt;&gt;0,$F200&gt;0,YEAR($F200)&lt;Preisindex!$A$6,YEAR(DL$4)&gt;=YEAR($F200),$K200="g"),ROUND(VLOOKUP(DQ$4,Preisindex,4,FALSE)/VLOOKUP(Preisindex!$A$6,Preisindex,4,FALSE),2),IF(AND($E200&lt;&gt;0,$F200&gt;0,YEAR($F200)&lt;Preisindex!$A$6,YEAR(DL$4)&gt;=YEAR($F200),$K200="k"),ROUND(VLOOKUP(DQ$4,Preisindex,2,FALSE)/VLOOKUP(Preisindex!$A$6,Preisindex,2,FALSE),2),0)))))</f>
        <v>0</v>
      </c>
      <c r="DS200" s="51">
        <f>IF(AND($E200&lt;&gt;0,$F200&gt;0,YEAR($F200)&lt;=DQ$4,YEAR($F200)&gt;=Preisindex!$A$6),ROUND($E200*DQ200,2),IF(AND($E200&lt;&gt;0,$F200&gt;0,YEAR($F200)&lt;=DQ$4,YEAR($F200)&lt;Preisindex!$A$6),ROUND($E200*DR200,2),0))</f>
        <v>0</v>
      </c>
      <c r="DT200" s="53">
        <f t="shared" si="664"/>
        <v>0</v>
      </c>
      <c r="DU200" s="51">
        <f t="shared" si="656"/>
        <v>0</v>
      </c>
      <c r="DV200" s="51">
        <f t="shared" si="604"/>
        <v>0</v>
      </c>
      <c r="DW200" s="51">
        <f t="shared" si="665"/>
        <v>0</v>
      </c>
      <c r="DX200" s="51">
        <f t="shared" si="605"/>
        <v>0</v>
      </c>
      <c r="DY200" s="51">
        <f t="shared" si="666"/>
        <v>0</v>
      </c>
      <c r="DZ200" s="51">
        <f t="shared" si="606"/>
        <v>0</v>
      </c>
      <c r="EA200" s="51">
        <f t="shared" si="667"/>
        <v>0</v>
      </c>
      <c r="EB200" s="51">
        <f t="shared" si="607"/>
        <v>0</v>
      </c>
      <c r="EC200" s="51">
        <f t="shared" si="668"/>
        <v>0</v>
      </c>
      <c r="ED200" s="51">
        <f t="shared" si="608"/>
        <v>0</v>
      </c>
      <c r="EE200" s="51">
        <f t="shared" si="669"/>
        <v>0</v>
      </c>
      <c r="EF200" s="54">
        <f t="shared" si="670"/>
        <v>0</v>
      </c>
      <c r="EG200" s="55">
        <f t="shared" si="671"/>
        <v>0</v>
      </c>
      <c r="EH200" s="56">
        <f>IF(AND($E200&lt;&gt;0,$F200&gt;0,YEAR($F200)&gt;=Preisindex!$A$6,YEAR(EC$4)&gt;=YEAR($F200),AND($K200&lt;&gt;"a",$K200&lt;&gt;"b",$K200&lt;&gt;"g",$K200&lt;&gt;"k")),1,IF(AND($E200&lt;&gt;0,$F200&gt;0,YEAR($F200)&gt;=Preisindex!$A$6,YEAR(EC$4)&gt;=YEAR($F200),$K200="a"),ROUND(VLOOKUP(EH$4,Preisindex,5,FALSE)/VLOOKUP(YEAR($F200),Preisindex,5,FALSE),2),IF(AND($E200&lt;&gt;0,$F200&gt;0,YEAR($F200)&gt;=Preisindex!$A$6,YEAR(EC$4)&gt;=YEAR($F200),$K200="b"),ROUND(VLOOKUP(EH$4,Preisindex,3,FALSE)/VLOOKUP(YEAR($F200),Preisindex,3,FALSE),2),IF(AND($E200&lt;&gt;0,$F200&gt;0,YEAR($F200)&gt;=Preisindex!$A$6,YEAR(EC$4)&gt;=YEAR($F200),$K200="g"),ROUND(VLOOKUP(EH$4,Preisindex,4,FALSE)/VLOOKUP(YEAR($F200),Preisindex,4,FALSE),2),IF(AND($E200&lt;&gt;0,$F200&gt;0,YEAR($F200)&gt;=Preisindex!$A$6,YEAR(EC$4)&gt;=YEAR($F200),$K200="k"),ROUND(VLOOKUP(EH$4,Preisindex,2,FALSE)/VLOOKUP(YEAR($F200),Preisindex,2,FALSE),2),0)))))</f>
        <v>0</v>
      </c>
      <c r="EI200" s="56">
        <f>IF(AND($E200&lt;&gt;0,$F200&gt;0,YEAR($F200)&lt;Preisindex!$A$6,YEAR(EC$4)&gt;=YEAR($F200),AND($K200&lt;&gt;"a",$K200&lt;&gt;"b",$K200&lt;&gt;"g",$K200&lt;&gt;"k")),1,IF(AND($E200&lt;&gt;0,$F200&gt;0,YEAR($F200)&lt;Preisindex!$A$6,YEAR(EC$4)&gt;=YEAR($F200),$K200="a"),ROUND(VLOOKUP(EH$4,Preisindex,5,FALSE)/VLOOKUP(Preisindex!$A$6,Preisindex,5,FALSE),2),IF(AND($E200&lt;&gt;0,$F200&gt;0,YEAR($F200)&lt;Preisindex!$A$6,YEAR(EC$4)&gt;=YEAR($F200),$K200="b"),ROUND(VLOOKUP(EH$4,Preisindex,3,FALSE)/VLOOKUP(Preisindex!$A$6,Preisindex,3,FALSE),2),IF(AND($E200&lt;&gt;0,$F200&gt;0,YEAR($F200)&lt;Preisindex!$A$6,YEAR(EC$4)&gt;=YEAR($F200),$K200="g"),ROUND(VLOOKUP(EH$4,Preisindex,4,FALSE)/VLOOKUP(Preisindex!$A$6,Preisindex,4,FALSE),2),IF(AND($E200&lt;&gt;0,$F200&gt;0,YEAR($F200)&lt;Preisindex!$A$6,YEAR(EC$4)&gt;=YEAR($F200),$K200="k"),ROUND(VLOOKUP(EH$4,Preisindex,2,FALSE)/VLOOKUP(Preisindex!$A$6,Preisindex,2,FALSE),2),0)))))</f>
        <v>0</v>
      </c>
      <c r="EJ200" s="51">
        <f>IF(AND($E200&lt;&gt;0,$F200&gt;0,YEAR($F200)&lt;=EH$4,YEAR($F200)&gt;=Preisindex!$A$6),ROUND($E200*EH200,2),IF(AND($E200&lt;&gt;0,$F200&gt;0,YEAR($F200)&lt;=EH$4,YEAR($F200)&lt;Preisindex!$A$6),ROUND($E200*EI200,2),0))</f>
        <v>0</v>
      </c>
      <c r="EK200" s="53">
        <f t="shared" si="672"/>
        <v>0</v>
      </c>
      <c r="EL200" s="51">
        <f t="shared" si="656"/>
        <v>0</v>
      </c>
      <c r="EM200" s="51">
        <f t="shared" si="609"/>
        <v>0</v>
      </c>
      <c r="EN200" s="51">
        <f t="shared" si="673"/>
        <v>0</v>
      </c>
      <c r="EO200" s="51">
        <f t="shared" si="610"/>
        <v>0</v>
      </c>
      <c r="EP200" s="51">
        <f t="shared" si="674"/>
        <v>0</v>
      </c>
      <c r="EQ200" s="51">
        <f t="shared" si="611"/>
        <v>0</v>
      </c>
      <c r="ER200" s="51">
        <f t="shared" si="675"/>
        <v>0</v>
      </c>
      <c r="ES200" s="51">
        <f t="shared" si="612"/>
        <v>0</v>
      </c>
      <c r="ET200" s="51">
        <f t="shared" si="676"/>
        <v>0</v>
      </c>
      <c r="EU200" s="51">
        <f t="shared" si="613"/>
        <v>0</v>
      </c>
      <c r="EV200" s="51">
        <f t="shared" si="677"/>
        <v>0</v>
      </c>
      <c r="EW200" s="54">
        <f t="shared" si="678"/>
        <v>0</v>
      </c>
      <c r="EX200" s="55">
        <f t="shared" si="679"/>
        <v>0</v>
      </c>
      <c r="EY200" s="56">
        <f>IF(AND($E200&lt;&gt;0,$F200&gt;0,YEAR($F200)&gt;=Preisindex!$A$6,YEAR(ET$4)&gt;=YEAR($F200),AND($K200&lt;&gt;"a",$K200&lt;&gt;"b",$K200&lt;&gt;"g",$K200&lt;&gt;"k")),1,IF(AND($E200&lt;&gt;0,$F200&gt;0,YEAR($F200)&gt;=Preisindex!$A$6,YEAR(ET$4)&gt;=YEAR($F200),$K200="a"),ROUND(VLOOKUP(EY$4,Preisindex,5,FALSE)/VLOOKUP(YEAR($F200),Preisindex,5,FALSE),2),IF(AND($E200&lt;&gt;0,$F200&gt;0,YEAR($F200)&gt;=Preisindex!$A$6,YEAR(ET$4)&gt;=YEAR($F200),$K200="b"),ROUND(VLOOKUP(EY$4,Preisindex,3,FALSE)/VLOOKUP(YEAR($F200),Preisindex,3,FALSE),2),IF(AND($E200&lt;&gt;0,$F200&gt;0,YEAR($F200)&gt;=Preisindex!$A$6,YEAR(ET$4)&gt;=YEAR($F200),$K200="g"),ROUND(VLOOKUP(EY$4,Preisindex,4,FALSE)/VLOOKUP(YEAR($F200),Preisindex,4,FALSE),2),IF(AND($E200&lt;&gt;0,$F200&gt;0,YEAR($F200)&gt;=Preisindex!$A$6,YEAR(ET$4)&gt;=YEAR($F200),$K200="k"),ROUND(VLOOKUP(EY$4,Preisindex,2,FALSE)/VLOOKUP(YEAR($F200),Preisindex,2,FALSE),2),0)))))</f>
        <v>0</v>
      </c>
      <c r="EZ200" s="56">
        <f>IF(AND($E200&lt;&gt;0,$F200&gt;0,YEAR($F200)&lt;Preisindex!$A$6,YEAR(ET$4)&gt;=YEAR($F200),AND($K200&lt;&gt;"a",$K200&lt;&gt;"b",$K200&lt;&gt;"g",$K200&lt;&gt;"k")),1,IF(AND($E200&lt;&gt;0,$F200&gt;0,YEAR($F200)&lt;Preisindex!$A$6,YEAR(ET$4)&gt;=YEAR($F200),$K200="a"),ROUND(VLOOKUP(EY$4,Preisindex,5,FALSE)/VLOOKUP(Preisindex!$A$6,Preisindex,5,FALSE),2),IF(AND($E200&lt;&gt;0,$F200&gt;0,YEAR($F200)&lt;Preisindex!$A$6,YEAR(ET$4)&gt;=YEAR($F200),$K200="b"),ROUND(VLOOKUP(EY$4,Preisindex,3,FALSE)/VLOOKUP(Preisindex!$A$6,Preisindex,3,FALSE),2),IF(AND($E200&lt;&gt;0,$F200&gt;0,YEAR($F200)&lt;Preisindex!$A$6,YEAR(ET$4)&gt;=YEAR($F200),$K200="g"),ROUND(VLOOKUP(EY$4,Preisindex,4,FALSE)/VLOOKUP(Preisindex!$A$6,Preisindex,4,FALSE),2),IF(AND($E200&lt;&gt;0,$F200&gt;0,YEAR($F200)&lt;Preisindex!$A$6,YEAR(ET$4)&gt;=YEAR($F200),$K200="k"),ROUND(VLOOKUP(EY$4,Preisindex,2,FALSE)/VLOOKUP(Preisindex!$A$6,Preisindex,2,FALSE),2),0)))))</f>
        <v>0</v>
      </c>
      <c r="FA200" s="51">
        <f>IF(AND($E200&lt;&gt;0,$F200&gt;0,YEAR($F200)&lt;=EY$4,YEAR($F200)&gt;=Preisindex!$A$6),ROUND($E200*EY200,2),IF(AND($E200&lt;&gt;0,$F200&gt;0,YEAR($F200)&lt;=EY$4,YEAR($F200)&lt;Preisindex!$A$6),ROUND($E200*EZ200,2),0))</f>
        <v>0</v>
      </c>
      <c r="FB200" s="53">
        <f t="shared" si="680"/>
        <v>0</v>
      </c>
      <c r="FC200" s="51">
        <f t="shared" si="656"/>
        <v>0</v>
      </c>
      <c r="FD200" s="51">
        <f t="shared" si="614"/>
        <v>0</v>
      </c>
      <c r="FE200" s="51">
        <f t="shared" si="681"/>
        <v>0</v>
      </c>
      <c r="FF200" s="51">
        <f t="shared" si="615"/>
        <v>0</v>
      </c>
      <c r="FG200" s="51">
        <f t="shared" si="682"/>
        <v>0</v>
      </c>
      <c r="FH200" s="51">
        <f t="shared" si="616"/>
        <v>0</v>
      </c>
      <c r="FI200" s="51">
        <f t="shared" si="683"/>
        <v>0</v>
      </c>
      <c r="FJ200" s="51">
        <f t="shared" si="617"/>
        <v>0</v>
      </c>
      <c r="FK200" s="51">
        <f t="shared" si="684"/>
        <v>0</v>
      </c>
      <c r="FL200" s="51">
        <f t="shared" si="618"/>
        <v>0</v>
      </c>
      <c r="FM200" s="51">
        <f t="shared" si="685"/>
        <v>0</v>
      </c>
      <c r="FN200" s="54">
        <f t="shared" si="686"/>
        <v>0</v>
      </c>
      <c r="FO200" s="55">
        <f t="shared" si="687"/>
        <v>0</v>
      </c>
      <c r="FP200" s="56">
        <f>IF(AND($E200&lt;&gt;0,$F200&gt;0,YEAR($F200)&gt;=Preisindex!$A$6,YEAR(FK$4)&gt;=YEAR($F200),AND($K200&lt;&gt;"a",$K200&lt;&gt;"b",$K200&lt;&gt;"g",$K200&lt;&gt;"k")),1,IF(AND($E200&lt;&gt;0,$F200&gt;0,YEAR($F200)&gt;=Preisindex!$A$6,YEAR(FK$4)&gt;=YEAR($F200),$K200="a"),ROUND(VLOOKUP(FP$4,Preisindex,5,FALSE)/VLOOKUP(YEAR($F200),Preisindex,5,FALSE),2),IF(AND($E200&lt;&gt;0,$F200&gt;0,YEAR($F200)&gt;=Preisindex!$A$6,YEAR(FK$4)&gt;=YEAR($F200),$K200="b"),ROUND(VLOOKUP(FP$4,Preisindex,3,FALSE)/VLOOKUP(YEAR($F200),Preisindex,3,FALSE),2),IF(AND($E200&lt;&gt;0,$F200&gt;0,YEAR($F200)&gt;=Preisindex!$A$6,YEAR(FK$4)&gt;=YEAR($F200),$K200="g"),ROUND(VLOOKUP(FP$4,Preisindex,4,FALSE)/VLOOKUP(YEAR($F200),Preisindex,4,FALSE),2),IF(AND($E200&lt;&gt;0,$F200&gt;0,YEAR($F200)&gt;=Preisindex!$A$6,YEAR(FK$4)&gt;=YEAR($F200),$K200="k"),ROUND(VLOOKUP(FP$4,Preisindex,2,FALSE)/VLOOKUP(YEAR($F200),Preisindex,2,FALSE),2),0)))))</f>
        <v>0</v>
      </c>
      <c r="FQ200" s="56">
        <f>IF(AND($E200&lt;&gt;0,$F200&gt;0,YEAR($F200)&lt;Preisindex!$A$6,YEAR(FK$4)&gt;=YEAR($F200),AND($K200&lt;&gt;"a",$K200&lt;&gt;"b",$K200&lt;&gt;"g",$K200&lt;&gt;"k")),1,IF(AND($E200&lt;&gt;0,$F200&gt;0,YEAR($F200)&lt;Preisindex!$A$6,YEAR(FK$4)&gt;=YEAR($F200),$K200="a"),ROUND(VLOOKUP(FP$4,Preisindex,5,FALSE)/VLOOKUP(Preisindex!$A$6,Preisindex,5,FALSE),2),IF(AND($E200&lt;&gt;0,$F200&gt;0,YEAR($F200)&lt;Preisindex!$A$6,YEAR(FK$4)&gt;=YEAR($F200),$K200="b"),ROUND(VLOOKUP(FP$4,Preisindex,3,FALSE)/VLOOKUP(Preisindex!$A$6,Preisindex,3,FALSE),2),IF(AND($E200&lt;&gt;0,$F200&gt;0,YEAR($F200)&lt;Preisindex!$A$6,YEAR(FK$4)&gt;=YEAR($F200),$K200="g"),ROUND(VLOOKUP(FP$4,Preisindex,4,FALSE)/VLOOKUP(Preisindex!$A$6,Preisindex,4,FALSE),2),IF(AND($E200&lt;&gt;0,$F200&gt;0,YEAR($F200)&lt;Preisindex!$A$6,YEAR(FK$4)&gt;=YEAR($F200),$K200="k"),ROUND(VLOOKUP(FP$4,Preisindex,2,FALSE)/VLOOKUP(Preisindex!$A$6,Preisindex,2,FALSE),2),0)))))</f>
        <v>0</v>
      </c>
      <c r="FR200" s="51">
        <f>IF(AND($E200&lt;&gt;0,$F200&gt;0,YEAR($F200)&lt;=FP$4,YEAR($F200)&gt;=Preisindex!$A$6),ROUND($E200*FP200,2),IF(AND($E200&lt;&gt;0,$F200&gt;0,YEAR($F200)&lt;=FP$4,YEAR($F200)&lt;Preisindex!$A$6),ROUND($E200*FQ200,2),0))</f>
        <v>0</v>
      </c>
      <c r="FS200" s="53">
        <f t="shared" si="688"/>
        <v>0</v>
      </c>
    </row>
    <row r="201" spans="1:175" x14ac:dyDescent="0.3">
      <c r="A201" s="93"/>
      <c r="B201" s="94"/>
      <c r="C201" s="94"/>
      <c r="D201" s="95"/>
      <c r="E201" s="99"/>
      <c r="F201" s="97"/>
      <c r="G201" s="98"/>
      <c r="H201" s="620"/>
      <c r="I201" s="621"/>
      <c r="J201" s="194"/>
      <c r="K201" s="630"/>
      <c r="L201" s="49">
        <f t="shared" si="689"/>
        <v>0</v>
      </c>
      <c r="M201" s="50">
        <f t="shared" si="690"/>
        <v>0</v>
      </c>
      <c r="N201" s="51">
        <f t="shared" si="691"/>
        <v>0</v>
      </c>
      <c r="O201" s="51"/>
      <c r="P201" s="51">
        <f t="shared" si="692"/>
        <v>0</v>
      </c>
      <c r="Q201" s="52"/>
      <c r="R201" s="52"/>
      <c r="S201" s="52"/>
      <c r="T201" s="52"/>
      <c r="U201" s="52"/>
      <c r="V201" s="53">
        <f t="shared" si="693"/>
        <v>0</v>
      </c>
      <c r="W201" s="51">
        <f t="shared" si="694"/>
        <v>0</v>
      </c>
      <c r="X201" s="51">
        <f t="shared" si="695"/>
        <v>0</v>
      </c>
      <c r="Y201" s="51">
        <f t="shared" si="696"/>
        <v>0</v>
      </c>
      <c r="Z201" s="51">
        <f t="shared" si="697"/>
        <v>0</v>
      </c>
      <c r="AA201" s="51">
        <f t="shared" si="698"/>
        <v>0</v>
      </c>
      <c r="AB201" s="51">
        <f t="shared" si="699"/>
        <v>0</v>
      </c>
      <c r="AC201" s="51">
        <f t="shared" si="700"/>
        <v>0</v>
      </c>
      <c r="AD201" s="51">
        <f t="shared" si="701"/>
        <v>0</v>
      </c>
      <c r="AE201" s="51">
        <f t="shared" si="702"/>
        <v>0</v>
      </c>
      <c r="AF201" s="51">
        <f t="shared" si="703"/>
        <v>0</v>
      </c>
      <c r="AG201" s="51">
        <f t="shared" si="704"/>
        <v>0</v>
      </c>
      <c r="AH201" s="54">
        <f t="shared" si="705"/>
        <v>0</v>
      </c>
      <c r="AI201" s="55">
        <f t="shared" si="706"/>
        <v>0</v>
      </c>
      <c r="AJ201" s="56">
        <f>IF(AND($E201&lt;&gt;0,$F201&gt;0,YEAR($F201)&gt;=Preisindex!$A$6,YEAR(AE$4)&gt;=YEAR($F201),AND($K201&lt;&gt;"a",$K201&lt;&gt;"b",$K201&lt;&gt;"g",$K201&lt;&gt;"k")),1,IF(AND($E201&lt;&gt;0,$F201&gt;0,YEAR($F201)&gt;=Preisindex!$A$6,YEAR(AE$4)&gt;=YEAR($F201),$K201="a"),ROUND(VLOOKUP(AJ$4,Preisindex,5,FALSE)/VLOOKUP(YEAR($F201),Preisindex,5,FALSE),2),IF(AND($E201&lt;&gt;0,$F201&gt;0,YEAR($F201)&gt;=Preisindex!$A$6,YEAR(AE$4)&gt;=YEAR($F201),$K201="b"),ROUND(VLOOKUP(AJ$4,Preisindex,3,FALSE)/VLOOKUP(YEAR($F201),Preisindex,3,FALSE),2),IF(AND($E201&lt;&gt;0,$F201&gt;0,YEAR($F201)&gt;=Preisindex!$A$6,YEAR(AE$4)&gt;=YEAR($F201),$K201="g"),ROUND(VLOOKUP(AJ$4,Preisindex,4,FALSE)/VLOOKUP(YEAR($F201),Preisindex,4,FALSE),2),IF(AND($E201&lt;&gt;0,$F201&gt;0,YEAR($F201)&gt;=Preisindex!$A$6,YEAR(AE$4)&gt;=YEAR($F201),$K201="k"),ROUND(VLOOKUP(AJ$4,Preisindex,2,FALSE)/VLOOKUP(YEAR($F201),Preisindex,2,FALSE),2),0)))))</f>
        <v>0</v>
      </c>
      <c r="AK201" s="56">
        <f>IF(AND($E201&lt;&gt;0,$F201&gt;0,YEAR($F201)&lt;Preisindex!$A$6,YEAR(AE$4)&gt;=YEAR($F201),AND($K201&lt;&gt;"a",$K201&lt;&gt;"b",$K201&lt;&gt;"g",$K201&lt;&gt;"k")),1,IF(AND($E201&lt;&gt;0,$F201&gt;0,YEAR($F201)&lt;Preisindex!$A$6,YEAR(AE$4)&gt;=YEAR($F201),$K201="a"),ROUND(VLOOKUP(AJ$4,Preisindex,5,FALSE)/VLOOKUP(Preisindex!$A$6,Preisindex,5,FALSE),2),IF(AND($E201&lt;&gt;0,$F201&gt;0,YEAR($F201)&lt;Preisindex!$A$6,YEAR(AE$4)&gt;=YEAR($F201),$K201="b"),ROUND(VLOOKUP(AJ$4,Preisindex,3,FALSE)/VLOOKUP(Preisindex!$A$6,Preisindex,3,FALSE),2),IF(AND($E201&lt;&gt;0,$F201&gt;0,YEAR($F201)&lt;Preisindex!$A$6,YEAR(AE$4)&gt;=YEAR($F201),$K201="g"),ROUND(VLOOKUP(AJ$4,Preisindex,4,FALSE)/VLOOKUP(Preisindex!$A$6,Preisindex,4,FALSE),2),IF(AND($E201&lt;&gt;0,$F201&gt;0,YEAR($F201)&lt;Preisindex!$A$6,YEAR(AE$4)&gt;=YEAR($F201),$K201="k"),ROUND(VLOOKUP(AJ$4,Preisindex,2,FALSE)/VLOOKUP(Preisindex!$A$6,Preisindex,2,FALSE),2),0)))))</f>
        <v>0</v>
      </c>
      <c r="AL201" s="51">
        <f>IF(AND($E201&lt;&gt;0,$F201&gt;0,YEAR($F201)&lt;=AJ$4,YEAR($F201)&gt;=Preisindex!$A$6),ROUND($E201*AJ201,2),IF(AND($E201&lt;&gt;0,$F201&gt;0,YEAR($F201)&lt;=AJ$4,YEAR($F201)&lt;Preisindex!$A$6),ROUND($E201*AK201,2),0))</f>
        <v>0</v>
      </c>
      <c r="AM201" s="53">
        <f t="shared" si="707"/>
        <v>0</v>
      </c>
      <c r="AN201" s="51">
        <f t="shared" si="623"/>
        <v>0</v>
      </c>
      <c r="AO201" s="51">
        <f t="shared" si="579"/>
        <v>0</v>
      </c>
      <c r="AP201" s="51">
        <f t="shared" si="624"/>
        <v>0</v>
      </c>
      <c r="AQ201" s="51">
        <f t="shared" si="580"/>
        <v>0</v>
      </c>
      <c r="AR201" s="51">
        <f t="shared" si="625"/>
        <v>0</v>
      </c>
      <c r="AS201" s="51">
        <f t="shared" si="581"/>
        <v>0</v>
      </c>
      <c r="AT201" s="51">
        <f t="shared" si="626"/>
        <v>0</v>
      </c>
      <c r="AU201" s="51">
        <f t="shared" si="582"/>
        <v>0</v>
      </c>
      <c r="AV201" s="51">
        <f t="shared" si="627"/>
        <v>0</v>
      </c>
      <c r="AW201" s="51">
        <f t="shared" si="583"/>
        <v>0</v>
      </c>
      <c r="AX201" s="51">
        <f t="shared" si="628"/>
        <v>0</v>
      </c>
      <c r="AY201" s="54">
        <f t="shared" si="629"/>
        <v>0</v>
      </c>
      <c r="AZ201" s="55">
        <f t="shared" si="630"/>
        <v>0</v>
      </c>
      <c r="BA201" s="56">
        <f>IF(AND($E201&lt;&gt;0,$F201&gt;0,YEAR($F201)&gt;=Preisindex!$A$6,YEAR(AV$4)&gt;=YEAR($F201),AND($K201&lt;&gt;"a",$K201&lt;&gt;"b",$K201&lt;&gt;"g",$K201&lt;&gt;"k")),1,IF(AND($E201&lt;&gt;0,$F201&gt;0,YEAR($F201)&gt;=Preisindex!$A$6,YEAR(AV$4)&gt;=YEAR($F201),$K201="a"),ROUND(VLOOKUP(BA$4,Preisindex,5,FALSE)/VLOOKUP(YEAR($F201),Preisindex,5,FALSE),2),IF(AND($E201&lt;&gt;0,$F201&gt;0,YEAR($F201)&gt;=Preisindex!$A$6,YEAR(AV$4)&gt;=YEAR($F201),$K201="b"),ROUND(VLOOKUP(BA$4,Preisindex,3,FALSE)/VLOOKUP(YEAR($F201),Preisindex,3,FALSE),2),IF(AND($E201&lt;&gt;0,$F201&gt;0,YEAR($F201)&gt;=Preisindex!$A$6,YEAR(AV$4)&gt;=YEAR($F201),$K201="g"),ROUND(VLOOKUP(BA$4,Preisindex,4,FALSE)/VLOOKUP(YEAR($F201),Preisindex,4,FALSE),2),IF(AND($E201&lt;&gt;0,$F201&gt;0,YEAR($F201)&gt;=Preisindex!$A$6,YEAR(AV$4)&gt;=YEAR($F201),$K201="k"),ROUND(VLOOKUP(BA$4,Preisindex,2,FALSE)/VLOOKUP(YEAR($F201),Preisindex,2,FALSE),2),0)))))</f>
        <v>0</v>
      </c>
      <c r="BB201" s="56">
        <f>IF(AND($E201&lt;&gt;0,$F201&gt;0,YEAR($F201)&lt;Preisindex!$A$6,YEAR(AV$4)&gt;=YEAR($F201),AND($K201&lt;&gt;"a",$K201&lt;&gt;"b",$K201&lt;&gt;"g",$K201&lt;&gt;"k")),1,IF(AND($E201&lt;&gt;0,$F201&gt;0,YEAR($F201)&lt;Preisindex!$A$6,YEAR(AV$4)&gt;=YEAR($F201),$K201="a"),ROUND(VLOOKUP(BA$4,Preisindex,5,FALSE)/VLOOKUP(Preisindex!$A$6,Preisindex,5,FALSE),2),IF(AND($E201&lt;&gt;0,$F201&gt;0,YEAR($F201)&lt;Preisindex!$A$6,YEAR(AV$4)&gt;=YEAR($F201),$K201="b"),ROUND(VLOOKUP(BA$4,Preisindex,3,FALSE)/VLOOKUP(Preisindex!$A$6,Preisindex,3,FALSE),2),IF(AND($E201&lt;&gt;0,$F201&gt;0,YEAR($F201)&lt;Preisindex!$A$6,YEAR(AV$4)&gt;=YEAR($F201),$K201="g"),ROUND(VLOOKUP(BA$4,Preisindex,4,FALSE)/VLOOKUP(Preisindex!$A$6,Preisindex,4,FALSE),2),IF(AND($E201&lt;&gt;0,$F201&gt;0,YEAR($F201)&lt;Preisindex!$A$6,YEAR(AV$4)&gt;=YEAR($F201),$K201="k"),ROUND(VLOOKUP(BA$4,Preisindex,2,FALSE)/VLOOKUP(Preisindex!$A$6,Preisindex,2,FALSE),2),0)))))</f>
        <v>0</v>
      </c>
      <c r="BC201" s="51">
        <f>IF(AND($E201&lt;&gt;0,$F201&gt;0,YEAR($F201)&lt;=BA$4,YEAR($F201)&gt;=Preisindex!$A$6),ROUND($E201*BA201,2),IF(AND($E201&lt;&gt;0,$F201&gt;0,YEAR($F201)&lt;=BA$4,YEAR($F201)&lt;Preisindex!$A$6),ROUND($E201*BB201,2),0))</f>
        <v>0</v>
      </c>
      <c r="BD201" s="53">
        <f t="shared" si="631"/>
        <v>0</v>
      </c>
      <c r="BE201" s="51">
        <f t="shared" si="623"/>
        <v>0</v>
      </c>
      <c r="BF201" s="51">
        <f t="shared" si="584"/>
        <v>0</v>
      </c>
      <c r="BG201" s="51">
        <f t="shared" si="632"/>
        <v>0</v>
      </c>
      <c r="BH201" s="51">
        <f t="shared" si="585"/>
        <v>0</v>
      </c>
      <c r="BI201" s="51">
        <f t="shared" si="633"/>
        <v>0</v>
      </c>
      <c r="BJ201" s="51">
        <f t="shared" si="586"/>
        <v>0</v>
      </c>
      <c r="BK201" s="51">
        <f t="shared" si="634"/>
        <v>0</v>
      </c>
      <c r="BL201" s="51">
        <f t="shared" si="587"/>
        <v>0</v>
      </c>
      <c r="BM201" s="51">
        <f t="shared" si="635"/>
        <v>0</v>
      </c>
      <c r="BN201" s="51">
        <f t="shared" si="588"/>
        <v>0</v>
      </c>
      <c r="BO201" s="51">
        <f t="shared" si="636"/>
        <v>0</v>
      </c>
      <c r="BP201" s="54">
        <f t="shared" si="637"/>
        <v>0</v>
      </c>
      <c r="BQ201" s="55">
        <f t="shared" si="638"/>
        <v>0</v>
      </c>
      <c r="BR201" s="56">
        <f>IF(AND($E201&lt;&gt;0,$F201&gt;0,YEAR($F201)&gt;=Preisindex!$A$6,YEAR(BM$4)&gt;=YEAR($F201),AND($K201&lt;&gt;"a",$K201&lt;&gt;"b",$K201&lt;&gt;"g",$K201&lt;&gt;"k")),1,IF(AND($E201&lt;&gt;0,$F201&gt;0,YEAR($F201)&gt;=Preisindex!$A$6,YEAR(BM$4)&gt;=YEAR($F201),$K201="a"),ROUND(VLOOKUP(BR$4,Preisindex,5,FALSE)/VLOOKUP(YEAR($F201),Preisindex,5,FALSE),2),IF(AND($E201&lt;&gt;0,$F201&gt;0,YEAR($F201)&gt;=Preisindex!$A$6,YEAR(BM$4)&gt;=YEAR($F201),$K201="b"),ROUND(VLOOKUP(BR$4,Preisindex,3,FALSE)/VLOOKUP(YEAR($F201),Preisindex,3,FALSE),2),IF(AND($E201&lt;&gt;0,$F201&gt;0,YEAR($F201)&gt;=Preisindex!$A$6,YEAR(BM$4)&gt;=YEAR($F201),$K201="g"),ROUND(VLOOKUP(BR$4,Preisindex,4,FALSE)/VLOOKUP(YEAR($F201),Preisindex,4,FALSE),2),IF(AND($E201&lt;&gt;0,$F201&gt;0,YEAR($F201)&gt;=Preisindex!$A$6,YEAR(BM$4)&gt;=YEAR($F201),$K201="k"),ROUND(VLOOKUP(BR$4,Preisindex,2,FALSE)/VLOOKUP(YEAR($F201),Preisindex,2,FALSE),2),0)))))</f>
        <v>0</v>
      </c>
      <c r="BS201" s="56">
        <f>IF(AND($E201&lt;&gt;0,$F201&gt;0,YEAR($F201)&lt;Preisindex!$A$6,YEAR(BM$4)&gt;=YEAR($F201),AND($K201&lt;&gt;"a",$K201&lt;&gt;"b",$K201&lt;&gt;"g",$K201&lt;&gt;"k")),1,IF(AND($E201&lt;&gt;0,$F201&gt;0,YEAR($F201)&lt;Preisindex!$A$6,YEAR(BM$4)&gt;=YEAR($F201),$K201="a"),ROUND(VLOOKUP(BR$4,Preisindex,5,FALSE)/VLOOKUP(Preisindex!$A$6,Preisindex,5,FALSE),2),IF(AND($E201&lt;&gt;0,$F201&gt;0,YEAR($F201)&lt;Preisindex!$A$6,YEAR(BM$4)&gt;=YEAR($F201),$K201="b"),ROUND(VLOOKUP(BR$4,Preisindex,3,FALSE)/VLOOKUP(Preisindex!$A$6,Preisindex,3,FALSE),2),IF(AND($E201&lt;&gt;0,$F201&gt;0,YEAR($F201)&lt;Preisindex!$A$6,YEAR(BM$4)&gt;=YEAR($F201),$K201="g"),ROUND(VLOOKUP(BR$4,Preisindex,4,FALSE)/VLOOKUP(Preisindex!$A$6,Preisindex,4,FALSE),2),IF(AND($E201&lt;&gt;0,$F201&gt;0,YEAR($F201)&lt;Preisindex!$A$6,YEAR(BM$4)&gt;=YEAR($F201),$K201="k"),ROUND(VLOOKUP(BR$4,Preisindex,2,FALSE)/VLOOKUP(Preisindex!$A$6,Preisindex,2,FALSE),2),0)))))</f>
        <v>0</v>
      </c>
      <c r="BT201" s="51">
        <f>IF(AND($E201&lt;&gt;0,$F201&gt;0,YEAR($F201)&lt;=BR$4,YEAR($F201)&gt;=Preisindex!$A$6),ROUND($E201*BR201,2),IF(AND($E201&lt;&gt;0,$F201&gt;0,YEAR($F201)&lt;=BR$4,YEAR($F201)&lt;Preisindex!$A$6),ROUND($E201*BS201,2),0))</f>
        <v>0</v>
      </c>
      <c r="BU201" s="53">
        <f t="shared" si="639"/>
        <v>0</v>
      </c>
      <c r="BV201" s="51">
        <f t="shared" si="623"/>
        <v>0</v>
      </c>
      <c r="BW201" s="51">
        <f t="shared" si="589"/>
        <v>0</v>
      </c>
      <c r="BX201" s="51">
        <f t="shared" si="640"/>
        <v>0</v>
      </c>
      <c r="BY201" s="51">
        <f t="shared" si="590"/>
        <v>0</v>
      </c>
      <c r="BZ201" s="51">
        <f t="shared" si="641"/>
        <v>0</v>
      </c>
      <c r="CA201" s="51">
        <f t="shared" si="591"/>
        <v>0</v>
      </c>
      <c r="CB201" s="51">
        <f t="shared" si="642"/>
        <v>0</v>
      </c>
      <c r="CC201" s="51">
        <f t="shared" si="592"/>
        <v>0</v>
      </c>
      <c r="CD201" s="51">
        <f t="shared" si="643"/>
        <v>0</v>
      </c>
      <c r="CE201" s="51">
        <f t="shared" si="593"/>
        <v>0</v>
      </c>
      <c r="CF201" s="51">
        <f t="shared" si="644"/>
        <v>0</v>
      </c>
      <c r="CG201" s="54">
        <f t="shared" si="645"/>
        <v>0</v>
      </c>
      <c r="CH201" s="55">
        <f t="shared" si="646"/>
        <v>0</v>
      </c>
      <c r="CI201" s="56">
        <f>IF(AND($E201&lt;&gt;0,$F201&gt;0,YEAR($F201)&gt;=Preisindex!$A$6,YEAR(CD$4)&gt;=YEAR($F201),AND($K201&lt;&gt;"a",$K201&lt;&gt;"b",$K201&lt;&gt;"g",$K201&lt;&gt;"k")),1,IF(AND($E201&lt;&gt;0,$F201&gt;0,YEAR($F201)&gt;=Preisindex!$A$6,YEAR(CD$4)&gt;=YEAR($F201),$K201="a"),ROUND(VLOOKUP(CI$4,Preisindex,5,FALSE)/VLOOKUP(YEAR($F201),Preisindex,5,FALSE),2),IF(AND($E201&lt;&gt;0,$F201&gt;0,YEAR($F201)&gt;=Preisindex!$A$6,YEAR(CD$4)&gt;=YEAR($F201),$K201="b"),ROUND(VLOOKUP(CI$4,Preisindex,3,FALSE)/VLOOKUP(YEAR($F201),Preisindex,3,FALSE),2),IF(AND($E201&lt;&gt;0,$F201&gt;0,YEAR($F201)&gt;=Preisindex!$A$6,YEAR(CD$4)&gt;=YEAR($F201),$K201="g"),ROUND(VLOOKUP(CI$4,Preisindex,4,FALSE)/VLOOKUP(YEAR($F201),Preisindex,4,FALSE),2),IF(AND($E201&lt;&gt;0,$F201&gt;0,YEAR($F201)&gt;=Preisindex!$A$6,YEAR(CD$4)&gt;=YEAR($F201),$K201="k"),ROUND(VLOOKUP(CI$4,Preisindex,2,FALSE)/VLOOKUP(YEAR($F201),Preisindex,2,FALSE),2),0)))))</f>
        <v>0</v>
      </c>
      <c r="CJ201" s="56">
        <f>IF(AND($E201&lt;&gt;0,$F201&gt;0,YEAR($F201)&lt;Preisindex!$A$6,YEAR(CD$4)&gt;=YEAR($F201),AND($K201&lt;&gt;"a",$K201&lt;&gt;"b",$K201&lt;&gt;"g",$K201&lt;&gt;"k")),1,IF(AND($E201&lt;&gt;0,$F201&gt;0,YEAR($F201)&lt;Preisindex!$A$6,YEAR(CD$4)&gt;=YEAR($F201),$K201="a"),ROUND(VLOOKUP(CI$4,Preisindex,5,FALSE)/VLOOKUP(Preisindex!$A$6,Preisindex,5,FALSE),2),IF(AND($E201&lt;&gt;0,$F201&gt;0,YEAR($F201)&lt;Preisindex!$A$6,YEAR(CD$4)&gt;=YEAR($F201),$K201="b"),ROUND(VLOOKUP(CI$4,Preisindex,3,FALSE)/VLOOKUP(Preisindex!$A$6,Preisindex,3,FALSE),2),IF(AND($E201&lt;&gt;0,$F201&gt;0,YEAR($F201)&lt;Preisindex!$A$6,YEAR(CD$4)&gt;=YEAR($F201),$K201="g"),ROUND(VLOOKUP(CI$4,Preisindex,4,FALSE)/VLOOKUP(Preisindex!$A$6,Preisindex,4,FALSE),2),IF(AND($E201&lt;&gt;0,$F201&gt;0,YEAR($F201)&lt;Preisindex!$A$6,YEAR(CD$4)&gt;=YEAR($F201),$K201="k"),ROUND(VLOOKUP(CI$4,Preisindex,2,FALSE)/VLOOKUP(Preisindex!$A$6,Preisindex,2,FALSE),2),0)))))</f>
        <v>0</v>
      </c>
      <c r="CK201" s="51">
        <f>IF(AND($E201&lt;&gt;0,$F201&gt;0,YEAR($F201)&lt;=CI$4,YEAR($F201)&gt;=Preisindex!$A$6),ROUND($E201*CI201,2),IF(AND($E201&lt;&gt;0,$F201&gt;0,YEAR($F201)&lt;=CI$4,YEAR($F201)&lt;Preisindex!$A$6),ROUND($E201*CJ201,2),0))</f>
        <v>0</v>
      </c>
      <c r="CL201" s="53">
        <f t="shared" si="647"/>
        <v>0</v>
      </c>
      <c r="CM201" s="51">
        <f t="shared" si="623"/>
        <v>0</v>
      </c>
      <c r="CN201" s="51">
        <f t="shared" si="594"/>
        <v>0</v>
      </c>
      <c r="CO201" s="51">
        <f t="shared" si="648"/>
        <v>0</v>
      </c>
      <c r="CP201" s="51">
        <f t="shared" si="595"/>
        <v>0</v>
      </c>
      <c r="CQ201" s="51">
        <f t="shared" si="649"/>
        <v>0</v>
      </c>
      <c r="CR201" s="51">
        <f t="shared" si="596"/>
        <v>0</v>
      </c>
      <c r="CS201" s="51">
        <f t="shared" si="650"/>
        <v>0</v>
      </c>
      <c r="CT201" s="51">
        <f t="shared" si="597"/>
        <v>0</v>
      </c>
      <c r="CU201" s="51">
        <f t="shared" si="651"/>
        <v>0</v>
      </c>
      <c r="CV201" s="51">
        <f t="shared" si="598"/>
        <v>0</v>
      </c>
      <c r="CW201" s="51">
        <f t="shared" si="652"/>
        <v>0</v>
      </c>
      <c r="CX201" s="54">
        <f t="shared" si="653"/>
        <v>0</v>
      </c>
      <c r="CY201" s="55">
        <f t="shared" si="654"/>
        <v>0</v>
      </c>
      <c r="CZ201" s="56">
        <f>IF(AND($E201&lt;&gt;0,$F201&gt;0,YEAR($F201)&gt;=Preisindex!$A$6,YEAR(CU$4)&gt;=YEAR($F201),AND($K201&lt;&gt;"a",$K201&lt;&gt;"b",$K201&lt;&gt;"g",$K201&lt;&gt;"k")),1,IF(AND($E201&lt;&gt;0,$F201&gt;0,YEAR($F201)&gt;=Preisindex!$A$6,YEAR(CU$4)&gt;=YEAR($F201),$K201="a"),ROUND(VLOOKUP(CZ$4,Preisindex,5,FALSE)/VLOOKUP(YEAR($F201),Preisindex,5,FALSE),2),IF(AND($E201&lt;&gt;0,$F201&gt;0,YEAR($F201)&gt;=Preisindex!$A$6,YEAR(CU$4)&gt;=YEAR($F201),$K201="b"),ROUND(VLOOKUP(CZ$4,Preisindex,3,FALSE)/VLOOKUP(YEAR($F201),Preisindex,3,FALSE),2),IF(AND($E201&lt;&gt;0,$F201&gt;0,YEAR($F201)&gt;=Preisindex!$A$6,YEAR(CU$4)&gt;=YEAR($F201),$K201="g"),ROUND(VLOOKUP(CZ$4,Preisindex,4,FALSE)/VLOOKUP(YEAR($F201),Preisindex,4,FALSE),2),IF(AND($E201&lt;&gt;0,$F201&gt;0,YEAR($F201)&gt;=Preisindex!$A$6,YEAR(CU$4)&gt;=YEAR($F201),$K201="k"),ROUND(VLOOKUP(CZ$4,Preisindex,2,FALSE)/VLOOKUP(YEAR($F201),Preisindex,2,FALSE),2),0)))))</f>
        <v>0</v>
      </c>
      <c r="DA201" s="56">
        <f>IF(AND($E201&lt;&gt;0,$F201&gt;0,YEAR($F201)&lt;Preisindex!$A$6,YEAR(CU$4)&gt;=YEAR($F201),AND($K201&lt;&gt;"a",$K201&lt;&gt;"b",$K201&lt;&gt;"g",$K201&lt;&gt;"k")),1,IF(AND($E201&lt;&gt;0,$F201&gt;0,YEAR($F201)&lt;Preisindex!$A$6,YEAR(CU$4)&gt;=YEAR($F201),$K201="a"),ROUND(VLOOKUP(CZ$4,Preisindex,5,FALSE)/VLOOKUP(Preisindex!$A$6,Preisindex,5,FALSE),2),IF(AND($E201&lt;&gt;0,$F201&gt;0,YEAR($F201)&lt;Preisindex!$A$6,YEAR(CU$4)&gt;=YEAR($F201),$K201="b"),ROUND(VLOOKUP(CZ$4,Preisindex,3,FALSE)/VLOOKUP(Preisindex!$A$6,Preisindex,3,FALSE),2),IF(AND($E201&lt;&gt;0,$F201&gt;0,YEAR($F201)&lt;Preisindex!$A$6,YEAR(CU$4)&gt;=YEAR($F201),$K201="g"),ROUND(VLOOKUP(CZ$4,Preisindex,4,FALSE)/VLOOKUP(Preisindex!$A$6,Preisindex,4,FALSE),2),IF(AND($E201&lt;&gt;0,$F201&gt;0,YEAR($F201)&lt;Preisindex!$A$6,YEAR(CU$4)&gt;=YEAR($F201),$K201="k"),ROUND(VLOOKUP(CZ$4,Preisindex,2,FALSE)/VLOOKUP(Preisindex!$A$6,Preisindex,2,FALSE),2),0)))))</f>
        <v>0</v>
      </c>
      <c r="DB201" s="51">
        <f>IF(AND($E201&lt;&gt;0,$F201&gt;0,YEAR($F201)&lt;=CZ$4,YEAR($F201)&gt;=Preisindex!$A$6),ROUND($E201*CZ201,2),IF(AND($E201&lt;&gt;0,$F201&gt;0,YEAR($F201)&lt;=CZ$4,YEAR($F201)&lt;Preisindex!$A$6),ROUND($E201*DA201,2),0))</f>
        <v>0</v>
      </c>
      <c r="DC201" s="53">
        <f t="shared" si="655"/>
        <v>0</v>
      </c>
      <c r="DD201" s="51">
        <f t="shared" si="656"/>
        <v>0</v>
      </c>
      <c r="DE201" s="51">
        <f t="shared" si="599"/>
        <v>0</v>
      </c>
      <c r="DF201" s="51">
        <f t="shared" si="657"/>
        <v>0</v>
      </c>
      <c r="DG201" s="51">
        <f t="shared" si="600"/>
        <v>0</v>
      </c>
      <c r="DH201" s="51">
        <f t="shared" si="658"/>
        <v>0</v>
      </c>
      <c r="DI201" s="51">
        <f t="shared" si="601"/>
        <v>0</v>
      </c>
      <c r="DJ201" s="51">
        <f t="shared" si="659"/>
        <v>0</v>
      </c>
      <c r="DK201" s="51">
        <f t="shared" si="602"/>
        <v>0</v>
      </c>
      <c r="DL201" s="51">
        <f t="shared" si="660"/>
        <v>0</v>
      </c>
      <c r="DM201" s="51">
        <f t="shared" si="603"/>
        <v>0</v>
      </c>
      <c r="DN201" s="51">
        <f t="shared" si="661"/>
        <v>0</v>
      </c>
      <c r="DO201" s="54">
        <f t="shared" si="662"/>
        <v>0</v>
      </c>
      <c r="DP201" s="55">
        <f t="shared" si="663"/>
        <v>0</v>
      </c>
      <c r="DQ201" s="56">
        <f>IF(AND($E201&lt;&gt;0,$F201&gt;0,YEAR($F201)&gt;=Preisindex!$A$6,YEAR(DL$4)&gt;=YEAR($F201),AND($K201&lt;&gt;"a",$K201&lt;&gt;"b",$K201&lt;&gt;"g",$K201&lt;&gt;"k")),1,IF(AND($E201&lt;&gt;0,$F201&gt;0,YEAR($F201)&gt;=Preisindex!$A$6,YEAR(DL$4)&gt;=YEAR($F201),$K201="a"),ROUND(VLOOKUP(DQ$4,Preisindex,5,FALSE)/VLOOKUP(YEAR($F201),Preisindex,5,FALSE),2),IF(AND($E201&lt;&gt;0,$F201&gt;0,YEAR($F201)&gt;=Preisindex!$A$6,YEAR(DL$4)&gt;=YEAR($F201),$K201="b"),ROUND(VLOOKUP(DQ$4,Preisindex,3,FALSE)/VLOOKUP(YEAR($F201),Preisindex,3,FALSE),2),IF(AND($E201&lt;&gt;0,$F201&gt;0,YEAR($F201)&gt;=Preisindex!$A$6,YEAR(DL$4)&gt;=YEAR($F201),$K201="g"),ROUND(VLOOKUP(DQ$4,Preisindex,4,FALSE)/VLOOKUP(YEAR($F201),Preisindex,4,FALSE),2),IF(AND($E201&lt;&gt;0,$F201&gt;0,YEAR($F201)&gt;=Preisindex!$A$6,YEAR(DL$4)&gt;=YEAR($F201),$K201="k"),ROUND(VLOOKUP(DQ$4,Preisindex,2,FALSE)/VLOOKUP(YEAR($F201),Preisindex,2,FALSE),2),0)))))</f>
        <v>0</v>
      </c>
      <c r="DR201" s="56">
        <f>IF(AND($E201&lt;&gt;0,$F201&gt;0,YEAR($F201)&lt;Preisindex!$A$6,YEAR(DL$4)&gt;=YEAR($F201),AND($K201&lt;&gt;"a",$K201&lt;&gt;"b",$K201&lt;&gt;"g",$K201&lt;&gt;"k")),1,IF(AND($E201&lt;&gt;0,$F201&gt;0,YEAR($F201)&lt;Preisindex!$A$6,YEAR(DL$4)&gt;=YEAR($F201),$K201="a"),ROUND(VLOOKUP(DQ$4,Preisindex,5,FALSE)/VLOOKUP(Preisindex!$A$6,Preisindex,5,FALSE),2),IF(AND($E201&lt;&gt;0,$F201&gt;0,YEAR($F201)&lt;Preisindex!$A$6,YEAR(DL$4)&gt;=YEAR($F201),$K201="b"),ROUND(VLOOKUP(DQ$4,Preisindex,3,FALSE)/VLOOKUP(Preisindex!$A$6,Preisindex,3,FALSE),2),IF(AND($E201&lt;&gt;0,$F201&gt;0,YEAR($F201)&lt;Preisindex!$A$6,YEAR(DL$4)&gt;=YEAR($F201),$K201="g"),ROUND(VLOOKUP(DQ$4,Preisindex,4,FALSE)/VLOOKUP(Preisindex!$A$6,Preisindex,4,FALSE),2),IF(AND($E201&lt;&gt;0,$F201&gt;0,YEAR($F201)&lt;Preisindex!$A$6,YEAR(DL$4)&gt;=YEAR($F201),$K201="k"),ROUND(VLOOKUP(DQ$4,Preisindex,2,FALSE)/VLOOKUP(Preisindex!$A$6,Preisindex,2,FALSE),2),0)))))</f>
        <v>0</v>
      </c>
      <c r="DS201" s="51">
        <f>IF(AND($E201&lt;&gt;0,$F201&gt;0,YEAR($F201)&lt;=DQ$4,YEAR($F201)&gt;=Preisindex!$A$6),ROUND($E201*DQ201,2),IF(AND($E201&lt;&gt;0,$F201&gt;0,YEAR($F201)&lt;=DQ$4,YEAR($F201)&lt;Preisindex!$A$6),ROUND($E201*DR201,2),0))</f>
        <v>0</v>
      </c>
      <c r="DT201" s="53">
        <f t="shared" si="664"/>
        <v>0</v>
      </c>
      <c r="DU201" s="51">
        <f t="shared" si="656"/>
        <v>0</v>
      </c>
      <c r="DV201" s="51">
        <f t="shared" si="604"/>
        <v>0</v>
      </c>
      <c r="DW201" s="51">
        <f t="shared" si="665"/>
        <v>0</v>
      </c>
      <c r="DX201" s="51">
        <f t="shared" si="605"/>
        <v>0</v>
      </c>
      <c r="DY201" s="51">
        <f t="shared" si="666"/>
        <v>0</v>
      </c>
      <c r="DZ201" s="51">
        <f t="shared" si="606"/>
        <v>0</v>
      </c>
      <c r="EA201" s="51">
        <f t="shared" si="667"/>
        <v>0</v>
      </c>
      <c r="EB201" s="51">
        <f t="shared" si="607"/>
        <v>0</v>
      </c>
      <c r="EC201" s="51">
        <f t="shared" si="668"/>
        <v>0</v>
      </c>
      <c r="ED201" s="51">
        <f t="shared" si="608"/>
        <v>0</v>
      </c>
      <c r="EE201" s="51">
        <f t="shared" si="669"/>
        <v>0</v>
      </c>
      <c r="EF201" s="54">
        <f t="shared" si="670"/>
        <v>0</v>
      </c>
      <c r="EG201" s="55">
        <f t="shared" si="671"/>
        <v>0</v>
      </c>
      <c r="EH201" s="56">
        <f>IF(AND($E201&lt;&gt;0,$F201&gt;0,YEAR($F201)&gt;=Preisindex!$A$6,YEAR(EC$4)&gt;=YEAR($F201),AND($K201&lt;&gt;"a",$K201&lt;&gt;"b",$K201&lt;&gt;"g",$K201&lt;&gt;"k")),1,IF(AND($E201&lt;&gt;0,$F201&gt;0,YEAR($F201)&gt;=Preisindex!$A$6,YEAR(EC$4)&gt;=YEAR($F201),$K201="a"),ROUND(VLOOKUP(EH$4,Preisindex,5,FALSE)/VLOOKUP(YEAR($F201),Preisindex,5,FALSE),2),IF(AND($E201&lt;&gt;0,$F201&gt;0,YEAR($F201)&gt;=Preisindex!$A$6,YEAR(EC$4)&gt;=YEAR($F201),$K201="b"),ROUND(VLOOKUP(EH$4,Preisindex,3,FALSE)/VLOOKUP(YEAR($F201),Preisindex,3,FALSE),2),IF(AND($E201&lt;&gt;0,$F201&gt;0,YEAR($F201)&gt;=Preisindex!$A$6,YEAR(EC$4)&gt;=YEAR($F201),$K201="g"),ROUND(VLOOKUP(EH$4,Preisindex,4,FALSE)/VLOOKUP(YEAR($F201),Preisindex,4,FALSE),2),IF(AND($E201&lt;&gt;0,$F201&gt;0,YEAR($F201)&gt;=Preisindex!$A$6,YEAR(EC$4)&gt;=YEAR($F201),$K201="k"),ROUND(VLOOKUP(EH$4,Preisindex,2,FALSE)/VLOOKUP(YEAR($F201),Preisindex,2,FALSE),2),0)))))</f>
        <v>0</v>
      </c>
      <c r="EI201" s="56">
        <f>IF(AND($E201&lt;&gt;0,$F201&gt;0,YEAR($F201)&lt;Preisindex!$A$6,YEAR(EC$4)&gt;=YEAR($F201),AND($K201&lt;&gt;"a",$K201&lt;&gt;"b",$K201&lt;&gt;"g",$K201&lt;&gt;"k")),1,IF(AND($E201&lt;&gt;0,$F201&gt;0,YEAR($F201)&lt;Preisindex!$A$6,YEAR(EC$4)&gt;=YEAR($F201),$K201="a"),ROUND(VLOOKUP(EH$4,Preisindex,5,FALSE)/VLOOKUP(Preisindex!$A$6,Preisindex,5,FALSE),2),IF(AND($E201&lt;&gt;0,$F201&gt;0,YEAR($F201)&lt;Preisindex!$A$6,YEAR(EC$4)&gt;=YEAR($F201),$K201="b"),ROUND(VLOOKUP(EH$4,Preisindex,3,FALSE)/VLOOKUP(Preisindex!$A$6,Preisindex,3,FALSE),2),IF(AND($E201&lt;&gt;0,$F201&gt;0,YEAR($F201)&lt;Preisindex!$A$6,YEAR(EC$4)&gt;=YEAR($F201),$K201="g"),ROUND(VLOOKUP(EH$4,Preisindex,4,FALSE)/VLOOKUP(Preisindex!$A$6,Preisindex,4,FALSE),2),IF(AND($E201&lt;&gt;0,$F201&gt;0,YEAR($F201)&lt;Preisindex!$A$6,YEAR(EC$4)&gt;=YEAR($F201),$K201="k"),ROUND(VLOOKUP(EH$4,Preisindex,2,FALSE)/VLOOKUP(Preisindex!$A$6,Preisindex,2,FALSE),2),0)))))</f>
        <v>0</v>
      </c>
      <c r="EJ201" s="51">
        <f>IF(AND($E201&lt;&gt;0,$F201&gt;0,YEAR($F201)&lt;=EH$4,YEAR($F201)&gt;=Preisindex!$A$6),ROUND($E201*EH201,2),IF(AND($E201&lt;&gt;0,$F201&gt;0,YEAR($F201)&lt;=EH$4,YEAR($F201)&lt;Preisindex!$A$6),ROUND($E201*EI201,2),0))</f>
        <v>0</v>
      </c>
      <c r="EK201" s="53">
        <f t="shared" si="672"/>
        <v>0</v>
      </c>
      <c r="EL201" s="51">
        <f t="shared" si="656"/>
        <v>0</v>
      </c>
      <c r="EM201" s="51">
        <f t="shared" si="609"/>
        <v>0</v>
      </c>
      <c r="EN201" s="51">
        <f t="shared" si="673"/>
        <v>0</v>
      </c>
      <c r="EO201" s="51">
        <f t="shared" si="610"/>
        <v>0</v>
      </c>
      <c r="EP201" s="51">
        <f t="shared" si="674"/>
        <v>0</v>
      </c>
      <c r="EQ201" s="51">
        <f t="shared" si="611"/>
        <v>0</v>
      </c>
      <c r="ER201" s="51">
        <f t="shared" si="675"/>
        <v>0</v>
      </c>
      <c r="ES201" s="51">
        <f t="shared" si="612"/>
        <v>0</v>
      </c>
      <c r="ET201" s="51">
        <f t="shared" si="676"/>
        <v>0</v>
      </c>
      <c r="EU201" s="51">
        <f t="shared" si="613"/>
        <v>0</v>
      </c>
      <c r="EV201" s="51">
        <f t="shared" si="677"/>
        <v>0</v>
      </c>
      <c r="EW201" s="54">
        <f t="shared" si="678"/>
        <v>0</v>
      </c>
      <c r="EX201" s="55">
        <f t="shared" si="679"/>
        <v>0</v>
      </c>
      <c r="EY201" s="56">
        <f>IF(AND($E201&lt;&gt;0,$F201&gt;0,YEAR($F201)&gt;=Preisindex!$A$6,YEAR(ET$4)&gt;=YEAR($F201),AND($K201&lt;&gt;"a",$K201&lt;&gt;"b",$K201&lt;&gt;"g",$K201&lt;&gt;"k")),1,IF(AND($E201&lt;&gt;0,$F201&gt;0,YEAR($F201)&gt;=Preisindex!$A$6,YEAR(ET$4)&gt;=YEAR($F201),$K201="a"),ROUND(VLOOKUP(EY$4,Preisindex,5,FALSE)/VLOOKUP(YEAR($F201),Preisindex,5,FALSE),2),IF(AND($E201&lt;&gt;0,$F201&gt;0,YEAR($F201)&gt;=Preisindex!$A$6,YEAR(ET$4)&gt;=YEAR($F201),$K201="b"),ROUND(VLOOKUP(EY$4,Preisindex,3,FALSE)/VLOOKUP(YEAR($F201),Preisindex,3,FALSE),2),IF(AND($E201&lt;&gt;0,$F201&gt;0,YEAR($F201)&gt;=Preisindex!$A$6,YEAR(ET$4)&gt;=YEAR($F201),$K201="g"),ROUND(VLOOKUP(EY$4,Preisindex,4,FALSE)/VLOOKUP(YEAR($F201),Preisindex,4,FALSE),2),IF(AND($E201&lt;&gt;0,$F201&gt;0,YEAR($F201)&gt;=Preisindex!$A$6,YEAR(ET$4)&gt;=YEAR($F201),$K201="k"),ROUND(VLOOKUP(EY$4,Preisindex,2,FALSE)/VLOOKUP(YEAR($F201),Preisindex,2,FALSE),2),0)))))</f>
        <v>0</v>
      </c>
      <c r="EZ201" s="56">
        <f>IF(AND($E201&lt;&gt;0,$F201&gt;0,YEAR($F201)&lt;Preisindex!$A$6,YEAR(ET$4)&gt;=YEAR($F201),AND($K201&lt;&gt;"a",$K201&lt;&gt;"b",$K201&lt;&gt;"g",$K201&lt;&gt;"k")),1,IF(AND($E201&lt;&gt;0,$F201&gt;0,YEAR($F201)&lt;Preisindex!$A$6,YEAR(ET$4)&gt;=YEAR($F201),$K201="a"),ROUND(VLOOKUP(EY$4,Preisindex,5,FALSE)/VLOOKUP(Preisindex!$A$6,Preisindex,5,FALSE),2),IF(AND($E201&lt;&gt;0,$F201&gt;0,YEAR($F201)&lt;Preisindex!$A$6,YEAR(ET$4)&gt;=YEAR($F201),$K201="b"),ROUND(VLOOKUP(EY$4,Preisindex,3,FALSE)/VLOOKUP(Preisindex!$A$6,Preisindex,3,FALSE),2),IF(AND($E201&lt;&gt;0,$F201&gt;0,YEAR($F201)&lt;Preisindex!$A$6,YEAR(ET$4)&gt;=YEAR($F201),$K201="g"),ROUND(VLOOKUP(EY$4,Preisindex,4,FALSE)/VLOOKUP(Preisindex!$A$6,Preisindex,4,FALSE),2),IF(AND($E201&lt;&gt;0,$F201&gt;0,YEAR($F201)&lt;Preisindex!$A$6,YEAR(ET$4)&gt;=YEAR($F201),$K201="k"),ROUND(VLOOKUP(EY$4,Preisindex,2,FALSE)/VLOOKUP(Preisindex!$A$6,Preisindex,2,FALSE),2),0)))))</f>
        <v>0</v>
      </c>
      <c r="FA201" s="51">
        <f>IF(AND($E201&lt;&gt;0,$F201&gt;0,YEAR($F201)&lt;=EY$4,YEAR($F201)&gt;=Preisindex!$A$6),ROUND($E201*EY201,2),IF(AND($E201&lt;&gt;0,$F201&gt;0,YEAR($F201)&lt;=EY$4,YEAR($F201)&lt;Preisindex!$A$6),ROUND($E201*EZ201,2),0))</f>
        <v>0</v>
      </c>
      <c r="FB201" s="53">
        <f t="shared" si="680"/>
        <v>0</v>
      </c>
      <c r="FC201" s="51">
        <f t="shared" si="656"/>
        <v>0</v>
      </c>
      <c r="FD201" s="51">
        <f t="shared" si="614"/>
        <v>0</v>
      </c>
      <c r="FE201" s="51">
        <f t="shared" si="681"/>
        <v>0</v>
      </c>
      <c r="FF201" s="51">
        <f t="shared" si="615"/>
        <v>0</v>
      </c>
      <c r="FG201" s="51">
        <f t="shared" si="682"/>
        <v>0</v>
      </c>
      <c r="FH201" s="51">
        <f t="shared" si="616"/>
        <v>0</v>
      </c>
      <c r="FI201" s="51">
        <f t="shared" si="683"/>
        <v>0</v>
      </c>
      <c r="FJ201" s="51">
        <f t="shared" si="617"/>
        <v>0</v>
      </c>
      <c r="FK201" s="51">
        <f t="shared" si="684"/>
        <v>0</v>
      </c>
      <c r="FL201" s="51">
        <f t="shared" si="618"/>
        <v>0</v>
      </c>
      <c r="FM201" s="51">
        <f t="shared" si="685"/>
        <v>0</v>
      </c>
      <c r="FN201" s="54">
        <f t="shared" si="686"/>
        <v>0</v>
      </c>
      <c r="FO201" s="55">
        <f t="shared" si="687"/>
        <v>0</v>
      </c>
      <c r="FP201" s="56">
        <f>IF(AND($E201&lt;&gt;0,$F201&gt;0,YEAR($F201)&gt;=Preisindex!$A$6,YEAR(FK$4)&gt;=YEAR($F201),AND($K201&lt;&gt;"a",$K201&lt;&gt;"b",$K201&lt;&gt;"g",$K201&lt;&gt;"k")),1,IF(AND($E201&lt;&gt;0,$F201&gt;0,YEAR($F201)&gt;=Preisindex!$A$6,YEAR(FK$4)&gt;=YEAR($F201),$K201="a"),ROUND(VLOOKUP(FP$4,Preisindex,5,FALSE)/VLOOKUP(YEAR($F201),Preisindex,5,FALSE),2),IF(AND($E201&lt;&gt;0,$F201&gt;0,YEAR($F201)&gt;=Preisindex!$A$6,YEAR(FK$4)&gt;=YEAR($F201),$K201="b"),ROUND(VLOOKUP(FP$4,Preisindex,3,FALSE)/VLOOKUP(YEAR($F201),Preisindex,3,FALSE),2),IF(AND($E201&lt;&gt;0,$F201&gt;0,YEAR($F201)&gt;=Preisindex!$A$6,YEAR(FK$4)&gt;=YEAR($F201),$K201="g"),ROUND(VLOOKUP(FP$4,Preisindex,4,FALSE)/VLOOKUP(YEAR($F201),Preisindex,4,FALSE),2),IF(AND($E201&lt;&gt;0,$F201&gt;0,YEAR($F201)&gt;=Preisindex!$A$6,YEAR(FK$4)&gt;=YEAR($F201),$K201="k"),ROUND(VLOOKUP(FP$4,Preisindex,2,FALSE)/VLOOKUP(YEAR($F201),Preisindex,2,FALSE),2),0)))))</f>
        <v>0</v>
      </c>
      <c r="FQ201" s="56">
        <f>IF(AND($E201&lt;&gt;0,$F201&gt;0,YEAR($F201)&lt;Preisindex!$A$6,YEAR(FK$4)&gt;=YEAR($F201),AND($K201&lt;&gt;"a",$K201&lt;&gt;"b",$K201&lt;&gt;"g",$K201&lt;&gt;"k")),1,IF(AND($E201&lt;&gt;0,$F201&gt;0,YEAR($F201)&lt;Preisindex!$A$6,YEAR(FK$4)&gt;=YEAR($F201),$K201="a"),ROUND(VLOOKUP(FP$4,Preisindex,5,FALSE)/VLOOKUP(Preisindex!$A$6,Preisindex,5,FALSE),2),IF(AND($E201&lt;&gt;0,$F201&gt;0,YEAR($F201)&lt;Preisindex!$A$6,YEAR(FK$4)&gt;=YEAR($F201),$K201="b"),ROUND(VLOOKUP(FP$4,Preisindex,3,FALSE)/VLOOKUP(Preisindex!$A$6,Preisindex,3,FALSE),2),IF(AND($E201&lt;&gt;0,$F201&gt;0,YEAR($F201)&lt;Preisindex!$A$6,YEAR(FK$4)&gt;=YEAR($F201),$K201="g"),ROUND(VLOOKUP(FP$4,Preisindex,4,FALSE)/VLOOKUP(Preisindex!$A$6,Preisindex,4,FALSE),2),IF(AND($E201&lt;&gt;0,$F201&gt;0,YEAR($F201)&lt;Preisindex!$A$6,YEAR(FK$4)&gt;=YEAR($F201),$K201="k"),ROUND(VLOOKUP(FP$4,Preisindex,2,FALSE)/VLOOKUP(Preisindex!$A$6,Preisindex,2,FALSE),2),0)))))</f>
        <v>0</v>
      </c>
      <c r="FR201" s="51">
        <f>IF(AND($E201&lt;&gt;0,$F201&gt;0,YEAR($F201)&lt;=FP$4,YEAR($F201)&gt;=Preisindex!$A$6),ROUND($E201*FP201,2),IF(AND($E201&lt;&gt;0,$F201&gt;0,YEAR($F201)&lt;=FP$4,YEAR($F201)&lt;Preisindex!$A$6),ROUND($E201*FQ201,2),0))</f>
        <v>0</v>
      </c>
      <c r="FS201" s="53">
        <f t="shared" si="688"/>
        <v>0</v>
      </c>
    </row>
    <row r="202" spans="1:175" x14ac:dyDescent="0.3">
      <c r="A202" s="93"/>
      <c r="B202" s="94"/>
      <c r="C202" s="94"/>
      <c r="D202" s="95"/>
      <c r="E202" s="99"/>
      <c r="F202" s="97"/>
      <c r="G202" s="98"/>
      <c r="H202" s="620"/>
      <c r="I202" s="621"/>
      <c r="J202" s="194"/>
      <c r="K202" s="630"/>
      <c r="L202" s="49">
        <f t="shared" si="689"/>
        <v>0</v>
      </c>
      <c r="M202" s="50">
        <f t="shared" si="690"/>
        <v>0</v>
      </c>
      <c r="N202" s="51">
        <f t="shared" si="691"/>
        <v>0</v>
      </c>
      <c r="O202" s="51"/>
      <c r="P202" s="51">
        <f t="shared" si="692"/>
        <v>0</v>
      </c>
      <c r="Q202" s="52"/>
      <c r="R202" s="52"/>
      <c r="S202" s="52"/>
      <c r="T202" s="52"/>
      <c r="U202" s="52"/>
      <c r="V202" s="53">
        <f t="shared" si="693"/>
        <v>0</v>
      </c>
      <c r="W202" s="51">
        <f t="shared" si="694"/>
        <v>0</v>
      </c>
      <c r="X202" s="51">
        <f t="shared" si="695"/>
        <v>0</v>
      </c>
      <c r="Y202" s="51">
        <f t="shared" si="696"/>
        <v>0</v>
      </c>
      <c r="Z202" s="51">
        <f t="shared" si="697"/>
        <v>0</v>
      </c>
      <c r="AA202" s="51">
        <f t="shared" si="698"/>
        <v>0</v>
      </c>
      <c r="AB202" s="51">
        <f t="shared" si="699"/>
        <v>0</v>
      </c>
      <c r="AC202" s="51">
        <f t="shared" si="700"/>
        <v>0</v>
      </c>
      <c r="AD202" s="51">
        <f t="shared" si="701"/>
        <v>0</v>
      </c>
      <c r="AE202" s="51">
        <f t="shared" si="702"/>
        <v>0</v>
      </c>
      <c r="AF202" s="51">
        <f t="shared" si="703"/>
        <v>0</v>
      </c>
      <c r="AG202" s="51">
        <f t="shared" si="704"/>
        <v>0</v>
      </c>
      <c r="AH202" s="54">
        <f t="shared" si="705"/>
        <v>0</v>
      </c>
      <c r="AI202" s="55">
        <f t="shared" si="706"/>
        <v>0</v>
      </c>
      <c r="AJ202" s="56">
        <f>IF(AND($E202&lt;&gt;0,$F202&gt;0,YEAR($F202)&gt;=Preisindex!$A$6,YEAR(AE$4)&gt;=YEAR($F202),AND($K202&lt;&gt;"a",$K202&lt;&gt;"b",$K202&lt;&gt;"g",$K202&lt;&gt;"k")),1,IF(AND($E202&lt;&gt;0,$F202&gt;0,YEAR($F202)&gt;=Preisindex!$A$6,YEAR(AE$4)&gt;=YEAR($F202),$K202="a"),ROUND(VLOOKUP(AJ$4,Preisindex,5,FALSE)/VLOOKUP(YEAR($F202),Preisindex,5,FALSE),2),IF(AND($E202&lt;&gt;0,$F202&gt;0,YEAR($F202)&gt;=Preisindex!$A$6,YEAR(AE$4)&gt;=YEAR($F202),$K202="b"),ROUND(VLOOKUP(AJ$4,Preisindex,3,FALSE)/VLOOKUP(YEAR($F202),Preisindex,3,FALSE),2),IF(AND($E202&lt;&gt;0,$F202&gt;0,YEAR($F202)&gt;=Preisindex!$A$6,YEAR(AE$4)&gt;=YEAR($F202),$K202="g"),ROUND(VLOOKUP(AJ$4,Preisindex,4,FALSE)/VLOOKUP(YEAR($F202),Preisindex,4,FALSE),2),IF(AND($E202&lt;&gt;0,$F202&gt;0,YEAR($F202)&gt;=Preisindex!$A$6,YEAR(AE$4)&gt;=YEAR($F202),$K202="k"),ROUND(VLOOKUP(AJ$4,Preisindex,2,FALSE)/VLOOKUP(YEAR($F202),Preisindex,2,FALSE),2),0)))))</f>
        <v>0</v>
      </c>
      <c r="AK202" s="56">
        <f>IF(AND($E202&lt;&gt;0,$F202&gt;0,YEAR($F202)&lt;Preisindex!$A$6,YEAR(AE$4)&gt;=YEAR($F202),AND($K202&lt;&gt;"a",$K202&lt;&gt;"b",$K202&lt;&gt;"g",$K202&lt;&gt;"k")),1,IF(AND($E202&lt;&gt;0,$F202&gt;0,YEAR($F202)&lt;Preisindex!$A$6,YEAR(AE$4)&gt;=YEAR($F202),$K202="a"),ROUND(VLOOKUP(AJ$4,Preisindex,5,FALSE)/VLOOKUP(Preisindex!$A$6,Preisindex,5,FALSE),2),IF(AND($E202&lt;&gt;0,$F202&gt;0,YEAR($F202)&lt;Preisindex!$A$6,YEAR(AE$4)&gt;=YEAR($F202),$K202="b"),ROUND(VLOOKUP(AJ$4,Preisindex,3,FALSE)/VLOOKUP(Preisindex!$A$6,Preisindex,3,FALSE),2),IF(AND($E202&lt;&gt;0,$F202&gt;0,YEAR($F202)&lt;Preisindex!$A$6,YEAR(AE$4)&gt;=YEAR($F202),$K202="g"),ROUND(VLOOKUP(AJ$4,Preisindex,4,FALSE)/VLOOKUP(Preisindex!$A$6,Preisindex,4,FALSE),2),IF(AND($E202&lt;&gt;0,$F202&gt;0,YEAR($F202)&lt;Preisindex!$A$6,YEAR(AE$4)&gt;=YEAR($F202),$K202="k"),ROUND(VLOOKUP(AJ$4,Preisindex,2,FALSE)/VLOOKUP(Preisindex!$A$6,Preisindex,2,FALSE),2),0)))))</f>
        <v>0</v>
      </c>
      <c r="AL202" s="51">
        <f>IF(AND($E202&lt;&gt;0,$F202&gt;0,YEAR($F202)&lt;=AJ$4,YEAR($F202)&gt;=Preisindex!$A$6),ROUND($E202*AJ202,2),IF(AND($E202&lt;&gt;0,$F202&gt;0,YEAR($F202)&lt;=AJ$4,YEAR($F202)&lt;Preisindex!$A$6),ROUND($E202*AK202,2),0))</f>
        <v>0</v>
      </c>
      <c r="AM202" s="53">
        <f t="shared" si="707"/>
        <v>0</v>
      </c>
      <c r="AN202" s="51">
        <f t="shared" si="623"/>
        <v>0</v>
      </c>
      <c r="AO202" s="51">
        <f t="shared" si="579"/>
        <v>0</v>
      </c>
      <c r="AP202" s="51">
        <f t="shared" si="624"/>
        <v>0</v>
      </c>
      <c r="AQ202" s="51">
        <f t="shared" si="580"/>
        <v>0</v>
      </c>
      <c r="AR202" s="51">
        <f t="shared" si="625"/>
        <v>0</v>
      </c>
      <c r="AS202" s="51">
        <f t="shared" si="581"/>
        <v>0</v>
      </c>
      <c r="AT202" s="51">
        <f t="shared" si="626"/>
        <v>0</v>
      </c>
      <c r="AU202" s="51">
        <f t="shared" si="582"/>
        <v>0</v>
      </c>
      <c r="AV202" s="51">
        <f t="shared" si="627"/>
        <v>0</v>
      </c>
      <c r="AW202" s="51">
        <f t="shared" si="583"/>
        <v>0</v>
      </c>
      <c r="AX202" s="51">
        <f t="shared" si="628"/>
        <v>0</v>
      </c>
      <c r="AY202" s="54">
        <f t="shared" si="629"/>
        <v>0</v>
      </c>
      <c r="AZ202" s="55">
        <f t="shared" si="630"/>
        <v>0</v>
      </c>
      <c r="BA202" s="56">
        <f>IF(AND($E202&lt;&gt;0,$F202&gt;0,YEAR($F202)&gt;=Preisindex!$A$6,YEAR(AV$4)&gt;=YEAR($F202),AND($K202&lt;&gt;"a",$K202&lt;&gt;"b",$K202&lt;&gt;"g",$K202&lt;&gt;"k")),1,IF(AND($E202&lt;&gt;0,$F202&gt;0,YEAR($F202)&gt;=Preisindex!$A$6,YEAR(AV$4)&gt;=YEAR($F202),$K202="a"),ROUND(VLOOKUP(BA$4,Preisindex,5,FALSE)/VLOOKUP(YEAR($F202),Preisindex,5,FALSE),2),IF(AND($E202&lt;&gt;0,$F202&gt;0,YEAR($F202)&gt;=Preisindex!$A$6,YEAR(AV$4)&gt;=YEAR($F202),$K202="b"),ROUND(VLOOKUP(BA$4,Preisindex,3,FALSE)/VLOOKUP(YEAR($F202),Preisindex,3,FALSE),2),IF(AND($E202&lt;&gt;0,$F202&gt;0,YEAR($F202)&gt;=Preisindex!$A$6,YEAR(AV$4)&gt;=YEAR($F202),$K202="g"),ROUND(VLOOKUP(BA$4,Preisindex,4,FALSE)/VLOOKUP(YEAR($F202),Preisindex,4,FALSE),2),IF(AND($E202&lt;&gt;0,$F202&gt;0,YEAR($F202)&gt;=Preisindex!$A$6,YEAR(AV$4)&gt;=YEAR($F202),$K202="k"),ROUND(VLOOKUP(BA$4,Preisindex,2,FALSE)/VLOOKUP(YEAR($F202),Preisindex,2,FALSE),2),0)))))</f>
        <v>0</v>
      </c>
      <c r="BB202" s="56">
        <f>IF(AND($E202&lt;&gt;0,$F202&gt;0,YEAR($F202)&lt;Preisindex!$A$6,YEAR(AV$4)&gt;=YEAR($F202),AND($K202&lt;&gt;"a",$K202&lt;&gt;"b",$K202&lt;&gt;"g",$K202&lt;&gt;"k")),1,IF(AND($E202&lt;&gt;0,$F202&gt;0,YEAR($F202)&lt;Preisindex!$A$6,YEAR(AV$4)&gt;=YEAR($F202),$K202="a"),ROUND(VLOOKUP(BA$4,Preisindex,5,FALSE)/VLOOKUP(Preisindex!$A$6,Preisindex,5,FALSE),2),IF(AND($E202&lt;&gt;0,$F202&gt;0,YEAR($F202)&lt;Preisindex!$A$6,YEAR(AV$4)&gt;=YEAR($F202),$K202="b"),ROUND(VLOOKUP(BA$4,Preisindex,3,FALSE)/VLOOKUP(Preisindex!$A$6,Preisindex,3,FALSE),2),IF(AND($E202&lt;&gt;0,$F202&gt;0,YEAR($F202)&lt;Preisindex!$A$6,YEAR(AV$4)&gt;=YEAR($F202),$K202="g"),ROUND(VLOOKUP(BA$4,Preisindex,4,FALSE)/VLOOKUP(Preisindex!$A$6,Preisindex,4,FALSE),2),IF(AND($E202&lt;&gt;0,$F202&gt;0,YEAR($F202)&lt;Preisindex!$A$6,YEAR(AV$4)&gt;=YEAR($F202),$K202="k"),ROUND(VLOOKUP(BA$4,Preisindex,2,FALSE)/VLOOKUP(Preisindex!$A$6,Preisindex,2,FALSE),2),0)))))</f>
        <v>0</v>
      </c>
      <c r="BC202" s="51">
        <f>IF(AND($E202&lt;&gt;0,$F202&gt;0,YEAR($F202)&lt;=BA$4,YEAR($F202)&gt;=Preisindex!$A$6),ROUND($E202*BA202,2),IF(AND($E202&lt;&gt;0,$F202&gt;0,YEAR($F202)&lt;=BA$4,YEAR($F202)&lt;Preisindex!$A$6),ROUND($E202*BB202,2),0))</f>
        <v>0</v>
      </c>
      <c r="BD202" s="53">
        <f t="shared" si="631"/>
        <v>0</v>
      </c>
      <c r="BE202" s="51">
        <f t="shared" si="623"/>
        <v>0</v>
      </c>
      <c r="BF202" s="51">
        <f t="shared" si="584"/>
        <v>0</v>
      </c>
      <c r="BG202" s="51">
        <f t="shared" si="632"/>
        <v>0</v>
      </c>
      <c r="BH202" s="51">
        <f t="shared" si="585"/>
        <v>0</v>
      </c>
      <c r="BI202" s="51">
        <f t="shared" si="633"/>
        <v>0</v>
      </c>
      <c r="BJ202" s="51">
        <f t="shared" si="586"/>
        <v>0</v>
      </c>
      <c r="BK202" s="51">
        <f t="shared" si="634"/>
        <v>0</v>
      </c>
      <c r="BL202" s="51">
        <f t="shared" si="587"/>
        <v>0</v>
      </c>
      <c r="BM202" s="51">
        <f t="shared" si="635"/>
        <v>0</v>
      </c>
      <c r="BN202" s="51">
        <f t="shared" si="588"/>
        <v>0</v>
      </c>
      <c r="BO202" s="51">
        <f t="shared" si="636"/>
        <v>0</v>
      </c>
      <c r="BP202" s="54">
        <f t="shared" si="637"/>
        <v>0</v>
      </c>
      <c r="BQ202" s="55">
        <f t="shared" si="638"/>
        <v>0</v>
      </c>
      <c r="BR202" s="56">
        <f>IF(AND($E202&lt;&gt;0,$F202&gt;0,YEAR($F202)&gt;=Preisindex!$A$6,YEAR(BM$4)&gt;=YEAR($F202),AND($K202&lt;&gt;"a",$K202&lt;&gt;"b",$K202&lt;&gt;"g",$K202&lt;&gt;"k")),1,IF(AND($E202&lt;&gt;0,$F202&gt;0,YEAR($F202)&gt;=Preisindex!$A$6,YEAR(BM$4)&gt;=YEAR($F202),$K202="a"),ROUND(VLOOKUP(BR$4,Preisindex,5,FALSE)/VLOOKUP(YEAR($F202),Preisindex,5,FALSE),2),IF(AND($E202&lt;&gt;0,$F202&gt;0,YEAR($F202)&gt;=Preisindex!$A$6,YEAR(BM$4)&gt;=YEAR($F202),$K202="b"),ROUND(VLOOKUP(BR$4,Preisindex,3,FALSE)/VLOOKUP(YEAR($F202),Preisindex,3,FALSE),2),IF(AND($E202&lt;&gt;0,$F202&gt;0,YEAR($F202)&gt;=Preisindex!$A$6,YEAR(BM$4)&gt;=YEAR($F202),$K202="g"),ROUND(VLOOKUP(BR$4,Preisindex,4,FALSE)/VLOOKUP(YEAR($F202),Preisindex,4,FALSE),2),IF(AND($E202&lt;&gt;0,$F202&gt;0,YEAR($F202)&gt;=Preisindex!$A$6,YEAR(BM$4)&gt;=YEAR($F202),$K202="k"),ROUND(VLOOKUP(BR$4,Preisindex,2,FALSE)/VLOOKUP(YEAR($F202),Preisindex,2,FALSE),2),0)))))</f>
        <v>0</v>
      </c>
      <c r="BS202" s="56">
        <f>IF(AND($E202&lt;&gt;0,$F202&gt;0,YEAR($F202)&lt;Preisindex!$A$6,YEAR(BM$4)&gt;=YEAR($F202),AND($K202&lt;&gt;"a",$K202&lt;&gt;"b",$K202&lt;&gt;"g",$K202&lt;&gt;"k")),1,IF(AND($E202&lt;&gt;0,$F202&gt;0,YEAR($F202)&lt;Preisindex!$A$6,YEAR(BM$4)&gt;=YEAR($F202),$K202="a"),ROUND(VLOOKUP(BR$4,Preisindex,5,FALSE)/VLOOKUP(Preisindex!$A$6,Preisindex,5,FALSE),2),IF(AND($E202&lt;&gt;0,$F202&gt;0,YEAR($F202)&lt;Preisindex!$A$6,YEAR(BM$4)&gt;=YEAR($F202),$K202="b"),ROUND(VLOOKUP(BR$4,Preisindex,3,FALSE)/VLOOKUP(Preisindex!$A$6,Preisindex,3,FALSE),2),IF(AND($E202&lt;&gt;0,$F202&gt;0,YEAR($F202)&lt;Preisindex!$A$6,YEAR(BM$4)&gt;=YEAR($F202),$K202="g"),ROUND(VLOOKUP(BR$4,Preisindex,4,FALSE)/VLOOKUP(Preisindex!$A$6,Preisindex,4,FALSE),2),IF(AND($E202&lt;&gt;0,$F202&gt;0,YEAR($F202)&lt;Preisindex!$A$6,YEAR(BM$4)&gt;=YEAR($F202),$K202="k"),ROUND(VLOOKUP(BR$4,Preisindex,2,FALSE)/VLOOKUP(Preisindex!$A$6,Preisindex,2,FALSE),2),0)))))</f>
        <v>0</v>
      </c>
      <c r="BT202" s="51">
        <f>IF(AND($E202&lt;&gt;0,$F202&gt;0,YEAR($F202)&lt;=BR$4,YEAR($F202)&gt;=Preisindex!$A$6),ROUND($E202*BR202,2),IF(AND($E202&lt;&gt;0,$F202&gt;0,YEAR($F202)&lt;=BR$4,YEAR($F202)&lt;Preisindex!$A$6),ROUND($E202*BS202,2),0))</f>
        <v>0</v>
      </c>
      <c r="BU202" s="53">
        <f t="shared" si="639"/>
        <v>0</v>
      </c>
      <c r="BV202" s="51">
        <f t="shared" si="623"/>
        <v>0</v>
      </c>
      <c r="BW202" s="51">
        <f t="shared" si="589"/>
        <v>0</v>
      </c>
      <c r="BX202" s="51">
        <f t="shared" si="640"/>
        <v>0</v>
      </c>
      <c r="BY202" s="51">
        <f t="shared" si="590"/>
        <v>0</v>
      </c>
      <c r="BZ202" s="51">
        <f t="shared" si="641"/>
        <v>0</v>
      </c>
      <c r="CA202" s="51">
        <f t="shared" si="591"/>
        <v>0</v>
      </c>
      <c r="CB202" s="51">
        <f t="shared" si="642"/>
        <v>0</v>
      </c>
      <c r="CC202" s="51">
        <f t="shared" si="592"/>
        <v>0</v>
      </c>
      <c r="CD202" s="51">
        <f t="shared" si="643"/>
        <v>0</v>
      </c>
      <c r="CE202" s="51">
        <f t="shared" si="593"/>
        <v>0</v>
      </c>
      <c r="CF202" s="51">
        <f t="shared" si="644"/>
        <v>0</v>
      </c>
      <c r="CG202" s="54">
        <f t="shared" si="645"/>
        <v>0</v>
      </c>
      <c r="CH202" s="55">
        <f t="shared" si="646"/>
        <v>0</v>
      </c>
      <c r="CI202" s="56">
        <f>IF(AND($E202&lt;&gt;0,$F202&gt;0,YEAR($F202)&gt;=Preisindex!$A$6,YEAR(CD$4)&gt;=YEAR($F202),AND($K202&lt;&gt;"a",$K202&lt;&gt;"b",$K202&lt;&gt;"g",$K202&lt;&gt;"k")),1,IF(AND($E202&lt;&gt;0,$F202&gt;0,YEAR($F202)&gt;=Preisindex!$A$6,YEAR(CD$4)&gt;=YEAR($F202),$K202="a"),ROUND(VLOOKUP(CI$4,Preisindex,5,FALSE)/VLOOKUP(YEAR($F202),Preisindex,5,FALSE),2),IF(AND($E202&lt;&gt;0,$F202&gt;0,YEAR($F202)&gt;=Preisindex!$A$6,YEAR(CD$4)&gt;=YEAR($F202),$K202="b"),ROUND(VLOOKUP(CI$4,Preisindex,3,FALSE)/VLOOKUP(YEAR($F202),Preisindex,3,FALSE),2),IF(AND($E202&lt;&gt;0,$F202&gt;0,YEAR($F202)&gt;=Preisindex!$A$6,YEAR(CD$4)&gt;=YEAR($F202),$K202="g"),ROUND(VLOOKUP(CI$4,Preisindex,4,FALSE)/VLOOKUP(YEAR($F202),Preisindex,4,FALSE),2),IF(AND($E202&lt;&gt;0,$F202&gt;0,YEAR($F202)&gt;=Preisindex!$A$6,YEAR(CD$4)&gt;=YEAR($F202),$K202="k"),ROUND(VLOOKUP(CI$4,Preisindex,2,FALSE)/VLOOKUP(YEAR($F202),Preisindex,2,FALSE),2),0)))))</f>
        <v>0</v>
      </c>
      <c r="CJ202" s="56">
        <f>IF(AND($E202&lt;&gt;0,$F202&gt;0,YEAR($F202)&lt;Preisindex!$A$6,YEAR(CD$4)&gt;=YEAR($F202),AND($K202&lt;&gt;"a",$K202&lt;&gt;"b",$K202&lt;&gt;"g",$K202&lt;&gt;"k")),1,IF(AND($E202&lt;&gt;0,$F202&gt;0,YEAR($F202)&lt;Preisindex!$A$6,YEAR(CD$4)&gt;=YEAR($F202),$K202="a"),ROUND(VLOOKUP(CI$4,Preisindex,5,FALSE)/VLOOKUP(Preisindex!$A$6,Preisindex,5,FALSE),2),IF(AND($E202&lt;&gt;0,$F202&gt;0,YEAR($F202)&lt;Preisindex!$A$6,YEAR(CD$4)&gt;=YEAR($F202),$K202="b"),ROUND(VLOOKUP(CI$4,Preisindex,3,FALSE)/VLOOKUP(Preisindex!$A$6,Preisindex,3,FALSE),2),IF(AND($E202&lt;&gt;0,$F202&gt;0,YEAR($F202)&lt;Preisindex!$A$6,YEAR(CD$4)&gt;=YEAR($F202),$K202="g"),ROUND(VLOOKUP(CI$4,Preisindex,4,FALSE)/VLOOKUP(Preisindex!$A$6,Preisindex,4,FALSE),2),IF(AND($E202&lt;&gt;0,$F202&gt;0,YEAR($F202)&lt;Preisindex!$A$6,YEAR(CD$4)&gt;=YEAR($F202),$K202="k"),ROUND(VLOOKUP(CI$4,Preisindex,2,FALSE)/VLOOKUP(Preisindex!$A$6,Preisindex,2,FALSE),2),0)))))</f>
        <v>0</v>
      </c>
      <c r="CK202" s="51">
        <f>IF(AND($E202&lt;&gt;0,$F202&gt;0,YEAR($F202)&lt;=CI$4,YEAR($F202)&gt;=Preisindex!$A$6),ROUND($E202*CI202,2),IF(AND($E202&lt;&gt;0,$F202&gt;0,YEAR($F202)&lt;=CI$4,YEAR($F202)&lt;Preisindex!$A$6),ROUND($E202*CJ202,2),0))</f>
        <v>0</v>
      </c>
      <c r="CL202" s="53">
        <f t="shared" si="647"/>
        <v>0</v>
      </c>
      <c r="CM202" s="51">
        <f t="shared" si="623"/>
        <v>0</v>
      </c>
      <c r="CN202" s="51">
        <f t="shared" si="594"/>
        <v>0</v>
      </c>
      <c r="CO202" s="51">
        <f t="shared" si="648"/>
        <v>0</v>
      </c>
      <c r="CP202" s="51">
        <f t="shared" si="595"/>
        <v>0</v>
      </c>
      <c r="CQ202" s="51">
        <f t="shared" si="649"/>
        <v>0</v>
      </c>
      <c r="CR202" s="51">
        <f t="shared" si="596"/>
        <v>0</v>
      </c>
      <c r="CS202" s="51">
        <f t="shared" si="650"/>
        <v>0</v>
      </c>
      <c r="CT202" s="51">
        <f t="shared" si="597"/>
        <v>0</v>
      </c>
      <c r="CU202" s="51">
        <f t="shared" si="651"/>
        <v>0</v>
      </c>
      <c r="CV202" s="51">
        <f t="shared" si="598"/>
        <v>0</v>
      </c>
      <c r="CW202" s="51">
        <f t="shared" si="652"/>
        <v>0</v>
      </c>
      <c r="CX202" s="54">
        <f t="shared" si="653"/>
        <v>0</v>
      </c>
      <c r="CY202" s="55">
        <f t="shared" si="654"/>
        <v>0</v>
      </c>
      <c r="CZ202" s="56">
        <f>IF(AND($E202&lt;&gt;0,$F202&gt;0,YEAR($F202)&gt;=Preisindex!$A$6,YEAR(CU$4)&gt;=YEAR($F202),AND($K202&lt;&gt;"a",$K202&lt;&gt;"b",$K202&lt;&gt;"g",$K202&lt;&gt;"k")),1,IF(AND($E202&lt;&gt;0,$F202&gt;0,YEAR($F202)&gt;=Preisindex!$A$6,YEAR(CU$4)&gt;=YEAR($F202),$K202="a"),ROUND(VLOOKUP(CZ$4,Preisindex,5,FALSE)/VLOOKUP(YEAR($F202),Preisindex,5,FALSE),2),IF(AND($E202&lt;&gt;0,$F202&gt;0,YEAR($F202)&gt;=Preisindex!$A$6,YEAR(CU$4)&gt;=YEAR($F202),$K202="b"),ROUND(VLOOKUP(CZ$4,Preisindex,3,FALSE)/VLOOKUP(YEAR($F202),Preisindex,3,FALSE),2),IF(AND($E202&lt;&gt;0,$F202&gt;0,YEAR($F202)&gt;=Preisindex!$A$6,YEAR(CU$4)&gt;=YEAR($F202),$K202="g"),ROUND(VLOOKUP(CZ$4,Preisindex,4,FALSE)/VLOOKUP(YEAR($F202),Preisindex,4,FALSE),2),IF(AND($E202&lt;&gt;0,$F202&gt;0,YEAR($F202)&gt;=Preisindex!$A$6,YEAR(CU$4)&gt;=YEAR($F202),$K202="k"),ROUND(VLOOKUP(CZ$4,Preisindex,2,FALSE)/VLOOKUP(YEAR($F202),Preisindex,2,FALSE),2),0)))))</f>
        <v>0</v>
      </c>
      <c r="DA202" s="56">
        <f>IF(AND($E202&lt;&gt;0,$F202&gt;0,YEAR($F202)&lt;Preisindex!$A$6,YEAR(CU$4)&gt;=YEAR($F202),AND($K202&lt;&gt;"a",$K202&lt;&gt;"b",$K202&lt;&gt;"g",$K202&lt;&gt;"k")),1,IF(AND($E202&lt;&gt;0,$F202&gt;0,YEAR($F202)&lt;Preisindex!$A$6,YEAR(CU$4)&gt;=YEAR($F202),$K202="a"),ROUND(VLOOKUP(CZ$4,Preisindex,5,FALSE)/VLOOKUP(Preisindex!$A$6,Preisindex,5,FALSE),2),IF(AND($E202&lt;&gt;0,$F202&gt;0,YEAR($F202)&lt;Preisindex!$A$6,YEAR(CU$4)&gt;=YEAR($F202),$K202="b"),ROUND(VLOOKUP(CZ$4,Preisindex,3,FALSE)/VLOOKUP(Preisindex!$A$6,Preisindex,3,FALSE),2),IF(AND($E202&lt;&gt;0,$F202&gt;0,YEAR($F202)&lt;Preisindex!$A$6,YEAR(CU$4)&gt;=YEAR($F202),$K202="g"),ROUND(VLOOKUP(CZ$4,Preisindex,4,FALSE)/VLOOKUP(Preisindex!$A$6,Preisindex,4,FALSE),2),IF(AND($E202&lt;&gt;0,$F202&gt;0,YEAR($F202)&lt;Preisindex!$A$6,YEAR(CU$4)&gt;=YEAR($F202),$K202="k"),ROUND(VLOOKUP(CZ$4,Preisindex,2,FALSE)/VLOOKUP(Preisindex!$A$6,Preisindex,2,FALSE),2),0)))))</f>
        <v>0</v>
      </c>
      <c r="DB202" s="51">
        <f>IF(AND($E202&lt;&gt;0,$F202&gt;0,YEAR($F202)&lt;=CZ$4,YEAR($F202)&gt;=Preisindex!$A$6),ROUND($E202*CZ202,2),IF(AND($E202&lt;&gt;0,$F202&gt;0,YEAR($F202)&lt;=CZ$4,YEAR($F202)&lt;Preisindex!$A$6),ROUND($E202*DA202,2),0))</f>
        <v>0</v>
      </c>
      <c r="DC202" s="53">
        <f t="shared" si="655"/>
        <v>0</v>
      </c>
      <c r="DD202" s="51">
        <f t="shared" si="656"/>
        <v>0</v>
      </c>
      <c r="DE202" s="51">
        <f t="shared" si="599"/>
        <v>0</v>
      </c>
      <c r="DF202" s="51">
        <f t="shared" si="657"/>
        <v>0</v>
      </c>
      <c r="DG202" s="51">
        <f t="shared" si="600"/>
        <v>0</v>
      </c>
      <c r="DH202" s="51">
        <f t="shared" si="658"/>
        <v>0</v>
      </c>
      <c r="DI202" s="51">
        <f t="shared" si="601"/>
        <v>0</v>
      </c>
      <c r="DJ202" s="51">
        <f t="shared" si="659"/>
        <v>0</v>
      </c>
      <c r="DK202" s="51">
        <f t="shared" si="602"/>
        <v>0</v>
      </c>
      <c r="DL202" s="51">
        <f t="shared" si="660"/>
        <v>0</v>
      </c>
      <c r="DM202" s="51">
        <f t="shared" si="603"/>
        <v>0</v>
      </c>
      <c r="DN202" s="51">
        <f t="shared" si="661"/>
        <v>0</v>
      </c>
      <c r="DO202" s="54">
        <f t="shared" si="662"/>
        <v>0</v>
      </c>
      <c r="DP202" s="55">
        <f t="shared" si="663"/>
        <v>0</v>
      </c>
      <c r="DQ202" s="56">
        <f>IF(AND($E202&lt;&gt;0,$F202&gt;0,YEAR($F202)&gt;=Preisindex!$A$6,YEAR(DL$4)&gt;=YEAR($F202),AND($K202&lt;&gt;"a",$K202&lt;&gt;"b",$K202&lt;&gt;"g",$K202&lt;&gt;"k")),1,IF(AND($E202&lt;&gt;0,$F202&gt;0,YEAR($F202)&gt;=Preisindex!$A$6,YEAR(DL$4)&gt;=YEAR($F202),$K202="a"),ROUND(VLOOKUP(DQ$4,Preisindex,5,FALSE)/VLOOKUP(YEAR($F202),Preisindex,5,FALSE),2),IF(AND($E202&lt;&gt;0,$F202&gt;0,YEAR($F202)&gt;=Preisindex!$A$6,YEAR(DL$4)&gt;=YEAR($F202),$K202="b"),ROUND(VLOOKUP(DQ$4,Preisindex,3,FALSE)/VLOOKUP(YEAR($F202),Preisindex,3,FALSE),2),IF(AND($E202&lt;&gt;0,$F202&gt;0,YEAR($F202)&gt;=Preisindex!$A$6,YEAR(DL$4)&gt;=YEAR($F202),$K202="g"),ROUND(VLOOKUP(DQ$4,Preisindex,4,FALSE)/VLOOKUP(YEAR($F202),Preisindex,4,FALSE),2),IF(AND($E202&lt;&gt;0,$F202&gt;0,YEAR($F202)&gt;=Preisindex!$A$6,YEAR(DL$4)&gt;=YEAR($F202),$K202="k"),ROUND(VLOOKUP(DQ$4,Preisindex,2,FALSE)/VLOOKUP(YEAR($F202),Preisindex,2,FALSE),2),0)))))</f>
        <v>0</v>
      </c>
      <c r="DR202" s="56">
        <f>IF(AND($E202&lt;&gt;0,$F202&gt;0,YEAR($F202)&lt;Preisindex!$A$6,YEAR(DL$4)&gt;=YEAR($F202),AND($K202&lt;&gt;"a",$K202&lt;&gt;"b",$K202&lt;&gt;"g",$K202&lt;&gt;"k")),1,IF(AND($E202&lt;&gt;0,$F202&gt;0,YEAR($F202)&lt;Preisindex!$A$6,YEAR(DL$4)&gt;=YEAR($F202),$K202="a"),ROUND(VLOOKUP(DQ$4,Preisindex,5,FALSE)/VLOOKUP(Preisindex!$A$6,Preisindex,5,FALSE),2),IF(AND($E202&lt;&gt;0,$F202&gt;0,YEAR($F202)&lt;Preisindex!$A$6,YEAR(DL$4)&gt;=YEAR($F202),$K202="b"),ROUND(VLOOKUP(DQ$4,Preisindex,3,FALSE)/VLOOKUP(Preisindex!$A$6,Preisindex,3,FALSE),2),IF(AND($E202&lt;&gt;0,$F202&gt;0,YEAR($F202)&lt;Preisindex!$A$6,YEAR(DL$4)&gt;=YEAR($F202),$K202="g"),ROUND(VLOOKUP(DQ$4,Preisindex,4,FALSE)/VLOOKUP(Preisindex!$A$6,Preisindex,4,FALSE),2),IF(AND($E202&lt;&gt;0,$F202&gt;0,YEAR($F202)&lt;Preisindex!$A$6,YEAR(DL$4)&gt;=YEAR($F202),$K202="k"),ROUND(VLOOKUP(DQ$4,Preisindex,2,FALSE)/VLOOKUP(Preisindex!$A$6,Preisindex,2,FALSE),2),0)))))</f>
        <v>0</v>
      </c>
      <c r="DS202" s="51">
        <f>IF(AND($E202&lt;&gt;0,$F202&gt;0,YEAR($F202)&lt;=DQ$4,YEAR($F202)&gt;=Preisindex!$A$6),ROUND($E202*DQ202,2),IF(AND($E202&lt;&gt;0,$F202&gt;0,YEAR($F202)&lt;=DQ$4,YEAR($F202)&lt;Preisindex!$A$6),ROUND($E202*DR202,2),0))</f>
        <v>0</v>
      </c>
      <c r="DT202" s="53">
        <f t="shared" si="664"/>
        <v>0</v>
      </c>
      <c r="DU202" s="51">
        <f t="shared" si="656"/>
        <v>0</v>
      </c>
      <c r="DV202" s="51">
        <f t="shared" si="604"/>
        <v>0</v>
      </c>
      <c r="DW202" s="51">
        <f t="shared" si="665"/>
        <v>0</v>
      </c>
      <c r="DX202" s="51">
        <f t="shared" si="605"/>
        <v>0</v>
      </c>
      <c r="DY202" s="51">
        <f t="shared" si="666"/>
        <v>0</v>
      </c>
      <c r="DZ202" s="51">
        <f t="shared" si="606"/>
        <v>0</v>
      </c>
      <c r="EA202" s="51">
        <f t="shared" si="667"/>
        <v>0</v>
      </c>
      <c r="EB202" s="51">
        <f t="shared" si="607"/>
        <v>0</v>
      </c>
      <c r="EC202" s="51">
        <f t="shared" si="668"/>
        <v>0</v>
      </c>
      <c r="ED202" s="51">
        <f t="shared" si="608"/>
        <v>0</v>
      </c>
      <c r="EE202" s="51">
        <f t="shared" si="669"/>
        <v>0</v>
      </c>
      <c r="EF202" s="54">
        <f t="shared" si="670"/>
        <v>0</v>
      </c>
      <c r="EG202" s="55">
        <f t="shared" si="671"/>
        <v>0</v>
      </c>
      <c r="EH202" s="56">
        <f>IF(AND($E202&lt;&gt;0,$F202&gt;0,YEAR($F202)&gt;=Preisindex!$A$6,YEAR(EC$4)&gt;=YEAR($F202),AND($K202&lt;&gt;"a",$K202&lt;&gt;"b",$K202&lt;&gt;"g",$K202&lt;&gt;"k")),1,IF(AND($E202&lt;&gt;0,$F202&gt;0,YEAR($F202)&gt;=Preisindex!$A$6,YEAR(EC$4)&gt;=YEAR($F202),$K202="a"),ROUND(VLOOKUP(EH$4,Preisindex,5,FALSE)/VLOOKUP(YEAR($F202),Preisindex,5,FALSE),2),IF(AND($E202&lt;&gt;0,$F202&gt;0,YEAR($F202)&gt;=Preisindex!$A$6,YEAR(EC$4)&gt;=YEAR($F202),$K202="b"),ROUND(VLOOKUP(EH$4,Preisindex,3,FALSE)/VLOOKUP(YEAR($F202),Preisindex,3,FALSE),2),IF(AND($E202&lt;&gt;0,$F202&gt;0,YEAR($F202)&gt;=Preisindex!$A$6,YEAR(EC$4)&gt;=YEAR($F202),$K202="g"),ROUND(VLOOKUP(EH$4,Preisindex,4,FALSE)/VLOOKUP(YEAR($F202),Preisindex,4,FALSE),2),IF(AND($E202&lt;&gt;0,$F202&gt;0,YEAR($F202)&gt;=Preisindex!$A$6,YEAR(EC$4)&gt;=YEAR($F202),$K202="k"),ROUND(VLOOKUP(EH$4,Preisindex,2,FALSE)/VLOOKUP(YEAR($F202),Preisindex,2,FALSE),2),0)))))</f>
        <v>0</v>
      </c>
      <c r="EI202" s="56">
        <f>IF(AND($E202&lt;&gt;0,$F202&gt;0,YEAR($F202)&lt;Preisindex!$A$6,YEAR(EC$4)&gt;=YEAR($F202),AND($K202&lt;&gt;"a",$K202&lt;&gt;"b",$K202&lt;&gt;"g",$K202&lt;&gt;"k")),1,IF(AND($E202&lt;&gt;0,$F202&gt;0,YEAR($F202)&lt;Preisindex!$A$6,YEAR(EC$4)&gt;=YEAR($F202),$K202="a"),ROUND(VLOOKUP(EH$4,Preisindex,5,FALSE)/VLOOKUP(Preisindex!$A$6,Preisindex,5,FALSE),2),IF(AND($E202&lt;&gt;0,$F202&gt;0,YEAR($F202)&lt;Preisindex!$A$6,YEAR(EC$4)&gt;=YEAR($F202),$K202="b"),ROUND(VLOOKUP(EH$4,Preisindex,3,FALSE)/VLOOKUP(Preisindex!$A$6,Preisindex,3,FALSE),2),IF(AND($E202&lt;&gt;0,$F202&gt;0,YEAR($F202)&lt;Preisindex!$A$6,YEAR(EC$4)&gt;=YEAR($F202),$K202="g"),ROUND(VLOOKUP(EH$4,Preisindex,4,FALSE)/VLOOKUP(Preisindex!$A$6,Preisindex,4,FALSE),2),IF(AND($E202&lt;&gt;0,$F202&gt;0,YEAR($F202)&lt;Preisindex!$A$6,YEAR(EC$4)&gt;=YEAR($F202),$K202="k"),ROUND(VLOOKUP(EH$4,Preisindex,2,FALSE)/VLOOKUP(Preisindex!$A$6,Preisindex,2,FALSE),2),0)))))</f>
        <v>0</v>
      </c>
      <c r="EJ202" s="51">
        <f>IF(AND($E202&lt;&gt;0,$F202&gt;0,YEAR($F202)&lt;=EH$4,YEAR($F202)&gt;=Preisindex!$A$6),ROUND($E202*EH202,2),IF(AND($E202&lt;&gt;0,$F202&gt;0,YEAR($F202)&lt;=EH$4,YEAR($F202)&lt;Preisindex!$A$6),ROUND($E202*EI202,2),0))</f>
        <v>0</v>
      </c>
      <c r="EK202" s="53">
        <f t="shared" si="672"/>
        <v>0</v>
      </c>
      <c r="EL202" s="51">
        <f t="shared" si="656"/>
        <v>0</v>
      </c>
      <c r="EM202" s="51">
        <f t="shared" si="609"/>
        <v>0</v>
      </c>
      <c r="EN202" s="51">
        <f t="shared" si="673"/>
        <v>0</v>
      </c>
      <c r="EO202" s="51">
        <f t="shared" si="610"/>
        <v>0</v>
      </c>
      <c r="EP202" s="51">
        <f t="shared" si="674"/>
        <v>0</v>
      </c>
      <c r="EQ202" s="51">
        <f t="shared" si="611"/>
        <v>0</v>
      </c>
      <c r="ER202" s="51">
        <f t="shared" si="675"/>
        <v>0</v>
      </c>
      <c r="ES202" s="51">
        <f t="shared" si="612"/>
        <v>0</v>
      </c>
      <c r="ET202" s="51">
        <f t="shared" si="676"/>
        <v>0</v>
      </c>
      <c r="EU202" s="51">
        <f t="shared" si="613"/>
        <v>0</v>
      </c>
      <c r="EV202" s="51">
        <f t="shared" si="677"/>
        <v>0</v>
      </c>
      <c r="EW202" s="54">
        <f t="shared" si="678"/>
        <v>0</v>
      </c>
      <c r="EX202" s="55">
        <f t="shared" si="679"/>
        <v>0</v>
      </c>
      <c r="EY202" s="56">
        <f>IF(AND($E202&lt;&gt;0,$F202&gt;0,YEAR($F202)&gt;=Preisindex!$A$6,YEAR(ET$4)&gt;=YEAR($F202),AND($K202&lt;&gt;"a",$K202&lt;&gt;"b",$K202&lt;&gt;"g",$K202&lt;&gt;"k")),1,IF(AND($E202&lt;&gt;0,$F202&gt;0,YEAR($F202)&gt;=Preisindex!$A$6,YEAR(ET$4)&gt;=YEAR($F202),$K202="a"),ROUND(VLOOKUP(EY$4,Preisindex,5,FALSE)/VLOOKUP(YEAR($F202),Preisindex,5,FALSE),2),IF(AND($E202&lt;&gt;0,$F202&gt;0,YEAR($F202)&gt;=Preisindex!$A$6,YEAR(ET$4)&gt;=YEAR($F202),$K202="b"),ROUND(VLOOKUP(EY$4,Preisindex,3,FALSE)/VLOOKUP(YEAR($F202),Preisindex,3,FALSE),2),IF(AND($E202&lt;&gt;0,$F202&gt;0,YEAR($F202)&gt;=Preisindex!$A$6,YEAR(ET$4)&gt;=YEAR($F202),$K202="g"),ROUND(VLOOKUP(EY$4,Preisindex,4,FALSE)/VLOOKUP(YEAR($F202),Preisindex,4,FALSE),2),IF(AND($E202&lt;&gt;0,$F202&gt;0,YEAR($F202)&gt;=Preisindex!$A$6,YEAR(ET$4)&gt;=YEAR($F202),$K202="k"),ROUND(VLOOKUP(EY$4,Preisindex,2,FALSE)/VLOOKUP(YEAR($F202),Preisindex,2,FALSE),2),0)))))</f>
        <v>0</v>
      </c>
      <c r="EZ202" s="56">
        <f>IF(AND($E202&lt;&gt;0,$F202&gt;0,YEAR($F202)&lt;Preisindex!$A$6,YEAR(ET$4)&gt;=YEAR($F202),AND($K202&lt;&gt;"a",$K202&lt;&gt;"b",$K202&lt;&gt;"g",$K202&lt;&gt;"k")),1,IF(AND($E202&lt;&gt;0,$F202&gt;0,YEAR($F202)&lt;Preisindex!$A$6,YEAR(ET$4)&gt;=YEAR($F202),$K202="a"),ROUND(VLOOKUP(EY$4,Preisindex,5,FALSE)/VLOOKUP(Preisindex!$A$6,Preisindex,5,FALSE),2),IF(AND($E202&lt;&gt;0,$F202&gt;0,YEAR($F202)&lt;Preisindex!$A$6,YEAR(ET$4)&gt;=YEAR($F202),$K202="b"),ROUND(VLOOKUP(EY$4,Preisindex,3,FALSE)/VLOOKUP(Preisindex!$A$6,Preisindex,3,FALSE),2),IF(AND($E202&lt;&gt;0,$F202&gt;0,YEAR($F202)&lt;Preisindex!$A$6,YEAR(ET$4)&gt;=YEAR($F202),$K202="g"),ROUND(VLOOKUP(EY$4,Preisindex,4,FALSE)/VLOOKUP(Preisindex!$A$6,Preisindex,4,FALSE),2),IF(AND($E202&lt;&gt;0,$F202&gt;0,YEAR($F202)&lt;Preisindex!$A$6,YEAR(ET$4)&gt;=YEAR($F202),$K202="k"),ROUND(VLOOKUP(EY$4,Preisindex,2,FALSE)/VLOOKUP(Preisindex!$A$6,Preisindex,2,FALSE),2),0)))))</f>
        <v>0</v>
      </c>
      <c r="FA202" s="51">
        <f>IF(AND($E202&lt;&gt;0,$F202&gt;0,YEAR($F202)&lt;=EY$4,YEAR($F202)&gt;=Preisindex!$A$6),ROUND($E202*EY202,2),IF(AND($E202&lt;&gt;0,$F202&gt;0,YEAR($F202)&lt;=EY$4,YEAR($F202)&lt;Preisindex!$A$6),ROUND($E202*EZ202,2),0))</f>
        <v>0</v>
      </c>
      <c r="FB202" s="53">
        <f t="shared" si="680"/>
        <v>0</v>
      </c>
      <c r="FC202" s="51">
        <f t="shared" si="656"/>
        <v>0</v>
      </c>
      <c r="FD202" s="51">
        <f t="shared" si="614"/>
        <v>0</v>
      </c>
      <c r="FE202" s="51">
        <f t="shared" si="681"/>
        <v>0</v>
      </c>
      <c r="FF202" s="51">
        <f t="shared" si="615"/>
        <v>0</v>
      </c>
      <c r="FG202" s="51">
        <f t="shared" si="682"/>
        <v>0</v>
      </c>
      <c r="FH202" s="51">
        <f t="shared" si="616"/>
        <v>0</v>
      </c>
      <c r="FI202" s="51">
        <f t="shared" si="683"/>
        <v>0</v>
      </c>
      <c r="FJ202" s="51">
        <f t="shared" si="617"/>
        <v>0</v>
      </c>
      <c r="FK202" s="51">
        <f t="shared" si="684"/>
        <v>0</v>
      </c>
      <c r="FL202" s="51">
        <f t="shared" si="618"/>
        <v>0</v>
      </c>
      <c r="FM202" s="51">
        <f t="shared" si="685"/>
        <v>0</v>
      </c>
      <c r="FN202" s="54">
        <f t="shared" si="686"/>
        <v>0</v>
      </c>
      <c r="FO202" s="55">
        <f t="shared" si="687"/>
        <v>0</v>
      </c>
      <c r="FP202" s="56">
        <f>IF(AND($E202&lt;&gt;0,$F202&gt;0,YEAR($F202)&gt;=Preisindex!$A$6,YEAR(FK$4)&gt;=YEAR($F202),AND($K202&lt;&gt;"a",$K202&lt;&gt;"b",$K202&lt;&gt;"g",$K202&lt;&gt;"k")),1,IF(AND($E202&lt;&gt;0,$F202&gt;0,YEAR($F202)&gt;=Preisindex!$A$6,YEAR(FK$4)&gt;=YEAR($F202),$K202="a"),ROUND(VLOOKUP(FP$4,Preisindex,5,FALSE)/VLOOKUP(YEAR($F202),Preisindex,5,FALSE),2),IF(AND($E202&lt;&gt;0,$F202&gt;0,YEAR($F202)&gt;=Preisindex!$A$6,YEAR(FK$4)&gt;=YEAR($F202),$K202="b"),ROUND(VLOOKUP(FP$4,Preisindex,3,FALSE)/VLOOKUP(YEAR($F202),Preisindex,3,FALSE),2),IF(AND($E202&lt;&gt;0,$F202&gt;0,YEAR($F202)&gt;=Preisindex!$A$6,YEAR(FK$4)&gt;=YEAR($F202),$K202="g"),ROUND(VLOOKUP(FP$4,Preisindex,4,FALSE)/VLOOKUP(YEAR($F202),Preisindex,4,FALSE),2),IF(AND($E202&lt;&gt;0,$F202&gt;0,YEAR($F202)&gt;=Preisindex!$A$6,YEAR(FK$4)&gt;=YEAR($F202),$K202="k"),ROUND(VLOOKUP(FP$4,Preisindex,2,FALSE)/VLOOKUP(YEAR($F202),Preisindex,2,FALSE),2),0)))))</f>
        <v>0</v>
      </c>
      <c r="FQ202" s="56">
        <f>IF(AND($E202&lt;&gt;0,$F202&gt;0,YEAR($F202)&lt;Preisindex!$A$6,YEAR(FK$4)&gt;=YEAR($F202),AND($K202&lt;&gt;"a",$K202&lt;&gt;"b",$K202&lt;&gt;"g",$K202&lt;&gt;"k")),1,IF(AND($E202&lt;&gt;0,$F202&gt;0,YEAR($F202)&lt;Preisindex!$A$6,YEAR(FK$4)&gt;=YEAR($F202),$K202="a"),ROUND(VLOOKUP(FP$4,Preisindex,5,FALSE)/VLOOKUP(Preisindex!$A$6,Preisindex,5,FALSE),2),IF(AND($E202&lt;&gt;0,$F202&gt;0,YEAR($F202)&lt;Preisindex!$A$6,YEAR(FK$4)&gt;=YEAR($F202),$K202="b"),ROUND(VLOOKUP(FP$4,Preisindex,3,FALSE)/VLOOKUP(Preisindex!$A$6,Preisindex,3,FALSE),2),IF(AND($E202&lt;&gt;0,$F202&gt;0,YEAR($F202)&lt;Preisindex!$A$6,YEAR(FK$4)&gt;=YEAR($F202),$K202="g"),ROUND(VLOOKUP(FP$4,Preisindex,4,FALSE)/VLOOKUP(Preisindex!$A$6,Preisindex,4,FALSE),2),IF(AND($E202&lt;&gt;0,$F202&gt;0,YEAR($F202)&lt;Preisindex!$A$6,YEAR(FK$4)&gt;=YEAR($F202),$K202="k"),ROUND(VLOOKUP(FP$4,Preisindex,2,FALSE)/VLOOKUP(Preisindex!$A$6,Preisindex,2,FALSE),2),0)))))</f>
        <v>0</v>
      </c>
      <c r="FR202" s="51">
        <f>IF(AND($E202&lt;&gt;0,$F202&gt;0,YEAR($F202)&lt;=FP$4,YEAR($F202)&gt;=Preisindex!$A$6),ROUND($E202*FP202,2),IF(AND($E202&lt;&gt;0,$F202&gt;0,YEAR($F202)&lt;=FP$4,YEAR($F202)&lt;Preisindex!$A$6),ROUND($E202*FQ202,2),0))</f>
        <v>0</v>
      </c>
      <c r="FS202" s="53">
        <f t="shared" si="688"/>
        <v>0</v>
      </c>
    </row>
    <row r="203" spans="1:175" x14ac:dyDescent="0.3">
      <c r="A203" s="93"/>
      <c r="B203" s="94"/>
      <c r="C203" s="94"/>
      <c r="D203" s="95"/>
      <c r="E203" s="99"/>
      <c r="F203" s="97"/>
      <c r="G203" s="98"/>
      <c r="H203" s="620"/>
      <c r="I203" s="621"/>
      <c r="J203" s="194"/>
      <c r="K203" s="630"/>
      <c r="L203" s="49">
        <f t="shared" si="689"/>
        <v>0</v>
      </c>
      <c r="M203" s="50">
        <f t="shared" si="690"/>
        <v>0</v>
      </c>
      <c r="N203" s="51">
        <f t="shared" si="691"/>
        <v>0</v>
      </c>
      <c r="O203" s="51"/>
      <c r="P203" s="51">
        <f t="shared" si="692"/>
        <v>0</v>
      </c>
      <c r="Q203" s="52"/>
      <c r="R203" s="52"/>
      <c r="S203" s="52"/>
      <c r="T203" s="52"/>
      <c r="U203" s="52"/>
      <c r="V203" s="53">
        <f t="shared" si="693"/>
        <v>0</v>
      </c>
      <c r="W203" s="51">
        <f t="shared" si="694"/>
        <v>0</v>
      </c>
      <c r="X203" s="51">
        <f t="shared" si="695"/>
        <v>0</v>
      </c>
      <c r="Y203" s="51">
        <f t="shared" si="696"/>
        <v>0</v>
      </c>
      <c r="Z203" s="51">
        <f t="shared" si="697"/>
        <v>0</v>
      </c>
      <c r="AA203" s="51">
        <f t="shared" si="698"/>
        <v>0</v>
      </c>
      <c r="AB203" s="51">
        <f t="shared" si="699"/>
        <v>0</v>
      </c>
      <c r="AC203" s="51">
        <f t="shared" si="700"/>
        <v>0</v>
      </c>
      <c r="AD203" s="51">
        <f t="shared" si="701"/>
        <v>0</v>
      </c>
      <c r="AE203" s="51">
        <f t="shared" si="702"/>
        <v>0</v>
      </c>
      <c r="AF203" s="51">
        <f t="shared" si="703"/>
        <v>0</v>
      </c>
      <c r="AG203" s="51">
        <f t="shared" si="704"/>
        <v>0</v>
      </c>
      <c r="AH203" s="54">
        <f t="shared" si="705"/>
        <v>0</v>
      </c>
      <c r="AI203" s="55">
        <f t="shared" si="706"/>
        <v>0</v>
      </c>
      <c r="AJ203" s="56">
        <f>IF(AND($E203&lt;&gt;0,$F203&gt;0,YEAR($F203)&gt;=Preisindex!$A$6,YEAR(AE$4)&gt;=YEAR($F203),AND($K203&lt;&gt;"a",$K203&lt;&gt;"b",$K203&lt;&gt;"g",$K203&lt;&gt;"k")),1,IF(AND($E203&lt;&gt;0,$F203&gt;0,YEAR($F203)&gt;=Preisindex!$A$6,YEAR(AE$4)&gt;=YEAR($F203),$K203="a"),ROUND(VLOOKUP(AJ$4,Preisindex,5,FALSE)/VLOOKUP(YEAR($F203),Preisindex,5,FALSE),2),IF(AND($E203&lt;&gt;0,$F203&gt;0,YEAR($F203)&gt;=Preisindex!$A$6,YEAR(AE$4)&gt;=YEAR($F203),$K203="b"),ROUND(VLOOKUP(AJ$4,Preisindex,3,FALSE)/VLOOKUP(YEAR($F203),Preisindex,3,FALSE),2),IF(AND($E203&lt;&gt;0,$F203&gt;0,YEAR($F203)&gt;=Preisindex!$A$6,YEAR(AE$4)&gt;=YEAR($F203),$K203="g"),ROUND(VLOOKUP(AJ$4,Preisindex,4,FALSE)/VLOOKUP(YEAR($F203),Preisindex,4,FALSE),2),IF(AND($E203&lt;&gt;0,$F203&gt;0,YEAR($F203)&gt;=Preisindex!$A$6,YEAR(AE$4)&gt;=YEAR($F203),$K203="k"),ROUND(VLOOKUP(AJ$4,Preisindex,2,FALSE)/VLOOKUP(YEAR($F203),Preisindex,2,FALSE),2),0)))))</f>
        <v>0</v>
      </c>
      <c r="AK203" s="56">
        <f>IF(AND($E203&lt;&gt;0,$F203&gt;0,YEAR($F203)&lt;Preisindex!$A$6,YEAR(AE$4)&gt;=YEAR($F203),AND($K203&lt;&gt;"a",$K203&lt;&gt;"b",$K203&lt;&gt;"g",$K203&lt;&gt;"k")),1,IF(AND($E203&lt;&gt;0,$F203&gt;0,YEAR($F203)&lt;Preisindex!$A$6,YEAR(AE$4)&gt;=YEAR($F203),$K203="a"),ROUND(VLOOKUP(AJ$4,Preisindex,5,FALSE)/VLOOKUP(Preisindex!$A$6,Preisindex,5,FALSE),2),IF(AND($E203&lt;&gt;0,$F203&gt;0,YEAR($F203)&lt;Preisindex!$A$6,YEAR(AE$4)&gt;=YEAR($F203),$K203="b"),ROUND(VLOOKUP(AJ$4,Preisindex,3,FALSE)/VLOOKUP(Preisindex!$A$6,Preisindex,3,FALSE),2),IF(AND($E203&lt;&gt;0,$F203&gt;0,YEAR($F203)&lt;Preisindex!$A$6,YEAR(AE$4)&gt;=YEAR($F203),$K203="g"),ROUND(VLOOKUP(AJ$4,Preisindex,4,FALSE)/VLOOKUP(Preisindex!$A$6,Preisindex,4,FALSE),2),IF(AND($E203&lt;&gt;0,$F203&gt;0,YEAR($F203)&lt;Preisindex!$A$6,YEAR(AE$4)&gt;=YEAR($F203),$K203="k"),ROUND(VLOOKUP(AJ$4,Preisindex,2,FALSE)/VLOOKUP(Preisindex!$A$6,Preisindex,2,FALSE),2),0)))))</f>
        <v>0</v>
      </c>
      <c r="AL203" s="51">
        <f>IF(AND($E203&lt;&gt;0,$F203&gt;0,YEAR($F203)&lt;=AJ$4,YEAR($F203)&gt;=Preisindex!$A$6),ROUND($E203*AJ203,2),IF(AND($E203&lt;&gt;0,$F203&gt;0,YEAR($F203)&lt;=AJ$4,YEAR($F203)&lt;Preisindex!$A$6),ROUND($E203*AK203,2),0))</f>
        <v>0</v>
      </c>
      <c r="AM203" s="53">
        <f t="shared" si="707"/>
        <v>0</v>
      </c>
      <c r="AN203" s="51">
        <f t="shared" si="623"/>
        <v>0</v>
      </c>
      <c r="AO203" s="51">
        <f t="shared" si="579"/>
        <v>0</v>
      </c>
      <c r="AP203" s="51">
        <f t="shared" si="624"/>
        <v>0</v>
      </c>
      <c r="AQ203" s="51">
        <f t="shared" si="580"/>
        <v>0</v>
      </c>
      <c r="AR203" s="51">
        <f t="shared" si="625"/>
        <v>0</v>
      </c>
      <c r="AS203" s="51">
        <f t="shared" si="581"/>
        <v>0</v>
      </c>
      <c r="AT203" s="51">
        <f t="shared" si="626"/>
        <v>0</v>
      </c>
      <c r="AU203" s="51">
        <f t="shared" si="582"/>
        <v>0</v>
      </c>
      <c r="AV203" s="51">
        <f t="shared" si="627"/>
        <v>0</v>
      </c>
      <c r="AW203" s="51">
        <f t="shared" si="583"/>
        <v>0</v>
      </c>
      <c r="AX203" s="51">
        <f t="shared" si="628"/>
        <v>0</v>
      </c>
      <c r="AY203" s="54">
        <f t="shared" si="629"/>
        <v>0</v>
      </c>
      <c r="AZ203" s="55">
        <f t="shared" si="630"/>
        <v>0</v>
      </c>
      <c r="BA203" s="56">
        <f>IF(AND($E203&lt;&gt;0,$F203&gt;0,YEAR($F203)&gt;=Preisindex!$A$6,YEAR(AV$4)&gt;=YEAR($F203),AND($K203&lt;&gt;"a",$K203&lt;&gt;"b",$K203&lt;&gt;"g",$K203&lt;&gt;"k")),1,IF(AND($E203&lt;&gt;0,$F203&gt;0,YEAR($F203)&gt;=Preisindex!$A$6,YEAR(AV$4)&gt;=YEAR($F203),$K203="a"),ROUND(VLOOKUP(BA$4,Preisindex,5,FALSE)/VLOOKUP(YEAR($F203),Preisindex,5,FALSE),2),IF(AND($E203&lt;&gt;0,$F203&gt;0,YEAR($F203)&gt;=Preisindex!$A$6,YEAR(AV$4)&gt;=YEAR($F203),$K203="b"),ROUND(VLOOKUP(BA$4,Preisindex,3,FALSE)/VLOOKUP(YEAR($F203),Preisindex,3,FALSE),2),IF(AND($E203&lt;&gt;0,$F203&gt;0,YEAR($F203)&gt;=Preisindex!$A$6,YEAR(AV$4)&gt;=YEAR($F203),$K203="g"),ROUND(VLOOKUP(BA$4,Preisindex,4,FALSE)/VLOOKUP(YEAR($F203),Preisindex,4,FALSE),2),IF(AND($E203&lt;&gt;0,$F203&gt;0,YEAR($F203)&gt;=Preisindex!$A$6,YEAR(AV$4)&gt;=YEAR($F203),$K203="k"),ROUND(VLOOKUP(BA$4,Preisindex,2,FALSE)/VLOOKUP(YEAR($F203),Preisindex,2,FALSE),2),0)))))</f>
        <v>0</v>
      </c>
      <c r="BB203" s="56">
        <f>IF(AND($E203&lt;&gt;0,$F203&gt;0,YEAR($F203)&lt;Preisindex!$A$6,YEAR(AV$4)&gt;=YEAR($F203),AND($K203&lt;&gt;"a",$K203&lt;&gt;"b",$K203&lt;&gt;"g",$K203&lt;&gt;"k")),1,IF(AND($E203&lt;&gt;0,$F203&gt;0,YEAR($F203)&lt;Preisindex!$A$6,YEAR(AV$4)&gt;=YEAR($F203),$K203="a"),ROUND(VLOOKUP(BA$4,Preisindex,5,FALSE)/VLOOKUP(Preisindex!$A$6,Preisindex,5,FALSE),2),IF(AND($E203&lt;&gt;0,$F203&gt;0,YEAR($F203)&lt;Preisindex!$A$6,YEAR(AV$4)&gt;=YEAR($F203),$K203="b"),ROUND(VLOOKUP(BA$4,Preisindex,3,FALSE)/VLOOKUP(Preisindex!$A$6,Preisindex,3,FALSE),2),IF(AND($E203&lt;&gt;0,$F203&gt;0,YEAR($F203)&lt;Preisindex!$A$6,YEAR(AV$4)&gt;=YEAR($F203),$K203="g"),ROUND(VLOOKUP(BA$4,Preisindex,4,FALSE)/VLOOKUP(Preisindex!$A$6,Preisindex,4,FALSE),2),IF(AND($E203&lt;&gt;0,$F203&gt;0,YEAR($F203)&lt;Preisindex!$A$6,YEAR(AV$4)&gt;=YEAR($F203),$K203="k"),ROUND(VLOOKUP(BA$4,Preisindex,2,FALSE)/VLOOKUP(Preisindex!$A$6,Preisindex,2,FALSE),2),0)))))</f>
        <v>0</v>
      </c>
      <c r="BC203" s="51">
        <f>IF(AND($E203&lt;&gt;0,$F203&gt;0,YEAR($F203)&lt;=BA$4,YEAR($F203)&gt;=Preisindex!$A$6),ROUND($E203*BA203,2),IF(AND($E203&lt;&gt;0,$F203&gt;0,YEAR($F203)&lt;=BA$4,YEAR($F203)&lt;Preisindex!$A$6),ROUND($E203*BB203,2),0))</f>
        <v>0</v>
      </c>
      <c r="BD203" s="53">
        <f t="shared" si="631"/>
        <v>0</v>
      </c>
      <c r="BE203" s="51">
        <f t="shared" si="623"/>
        <v>0</v>
      </c>
      <c r="BF203" s="51">
        <f t="shared" si="584"/>
        <v>0</v>
      </c>
      <c r="BG203" s="51">
        <f t="shared" si="632"/>
        <v>0</v>
      </c>
      <c r="BH203" s="51">
        <f t="shared" si="585"/>
        <v>0</v>
      </c>
      <c r="BI203" s="51">
        <f t="shared" si="633"/>
        <v>0</v>
      </c>
      <c r="BJ203" s="51">
        <f t="shared" si="586"/>
        <v>0</v>
      </c>
      <c r="BK203" s="51">
        <f t="shared" si="634"/>
        <v>0</v>
      </c>
      <c r="BL203" s="51">
        <f t="shared" si="587"/>
        <v>0</v>
      </c>
      <c r="BM203" s="51">
        <f t="shared" si="635"/>
        <v>0</v>
      </c>
      <c r="BN203" s="51">
        <f t="shared" si="588"/>
        <v>0</v>
      </c>
      <c r="BO203" s="51">
        <f t="shared" si="636"/>
        <v>0</v>
      </c>
      <c r="BP203" s="54">
        <f t="shared" si="637"/>
        <v>0</v>
      </c>
      <c r="BQ203" s="55">
        <f t="shared" si="638"/>
        <v>0</v>
      </c>
      <c r="BR203" s="56">
        <f>IF(AND($E203&lt;&gt;0,$F203&gt;0,YEAR($F203)&gt;=Preisindex!$A$6,YEAR(BM$4)&gt;=YEAR($F203),AND($K203&lt;&gt;"a",$K203&lt;&gt;"b",$K203&lt;&gt;"g",$K203&lt;&gt;"k")),1,IF(AND($E203&lt;&gt;0,$F203&gt;0,YEAR($F203)&gt;=Preisindex!$A$6,YEAR(BM$4)&gt;=YEAR($F203),$K203="a"),ROUND(VLOOKUP(BR$4,Preisindex,5,FALSE)/VLOOKUP(YEAR($F203),Preisindex,5,FALSE),2),IF(AND($E203&lt;&gt;0,$F203&gt;0,YEAR($F203)&gt;=Preisindex!$A$6,YEAR(BM$4)&gt;=YEAR($F203),$K203="b"),ROUND(VLOOKUP(BR$4,Preisindex,3,FALSE)/VLOOKUP(YEAR($F203),Preisindex,3,FALSE),2),IF(AND($E203&lt;&gt;0,$F203&gt;0,YEAR($F203)&gt;=Preisindex!$A$6,YEAR(BM$4)&gt;=YEAR($F203),$K203="g"),ROUND(VLOOKUP(BR$4,Preisindex,4,FALSE)/VLOOKUP(YEAR($F203),Preisindex,4,FALSE),2),IF(AND($E203&lt;&gt;0,$F203&gt;0,YEAR($F203)&gt;=Preisindex!$A$6,YEAR(BM$4)&gt;=YEAR($F203),$K203="k"),ROUND(VLOOKUP(BR$4,Preisindex,2,FALSE)/VLOOKUP(YEAR($F203),Preisindex,2,FALSE),2),0)))))</f>
        <v>0</v>
      </c>
      <c r="BS203" s="56">
        <f>IF(AND($E203&lt;&gt;0,$F203&gt;0,YEAR($F203)&lt;Preisindex!$A$6,YEAR(BM$4)&gt;=YEAR($F203),AND($K203&lt;&gt;"a",$K203&lt;&gt;"b",$K203&lt;&gt;"g",$K203&lt;&gt;"k")),1,IF(AND($E203&lt;&gt;0,$F203&gt;0,YEAR($F203)&lt;Preisindex!$A$6,YEAR(BM$4)&gt;=YEAR($F203),$K203="a"),ROUND(VLOOKUP(BR$4,Preisindex,5,FALSE)/VLOOKUP(Preisindex!$A$6,Preisindex,5,FALSE),2),IF(AND($E203&lt;&gt;0,$F203&gt;0,YEAR($F203)&lt;Preisindex!$A$6,YEAR(BM$4)&gt;=YEAR($F203),$K203="b"),ROUND(VLOOKUP(BR$4,Preisindex,3,FALSE)/VLOOKUP(Preisindex!$A$6,Preisindex,3,FALSE),2),IF(AND($E203&lt;&gt;0,$F203&gt;0,YEAR($F203)&lt;Preisindex!$A$6,YEAR(BM$4)&gt;=YEAR($F203),$K203="g"),ROUND(VLOOKUP(BR$4,Preisindex,4,FALSE)/VLOOKUP(Preisindex!$A$6,Preisindex,4,FALSE),2),IF(AND($E203&lt;&gt;0,$F203&gt;0,YEAR($F203)&lt;Preisindex!$A$6,YEAR(BM$4)&gt;=YEAR($F203),$K203="k"),ROUND(VLOOKUP(BR$4,Preisindex,2,FALSE)/VLOOKUP(Preisindex!$A$6,Preisindex,2,FALSE),2),0)))))</f>
        <v>0</v>
      </c>
      <c r="BT203" s="51">
        <f>IF(AND($E203&lt;&gt;0,$F203&gt;0,YEAR($F203)&lt;=BR$4,YEAR($F203)&gt;=Preisindex!$A$6),ROUND($E203*BR203,2),IF(AND($E203&lt;&gt;0,$F203&gt;0,YEAR($F203)&lt;=BR$4,YEAR($F203)&lt;Preisindex!$A$6),ROUND($E203*BS203,2),0))</f>
        <v>0</v>
      </c>
      <c r="BU203" s="53">
        <f t="shared" si="639"/>
        <v>0</v>
      </c>
      <c r="BV203" s="51">
        <f t="shared" si="623"/>
        <v>0</v>
      </c>
      <c r="BW203" s="51">
        <f t="shared" si="589"/>
        <v>0</v>
      </c>
      <c r="BX203" s="51">
        <f t="shared" si="640"/>
        <v>0</v>
      </c>
      <c r="BY203" s="51">
        <f t="shared" si="590"/>
        <v>0</v>
      </c>
      <c r="BZ203" s="51">
        <f t="shared" si="641"/>
        <v>0</v>
      </c>
      <c r="CA203" s="51">
        <f t="shared" si="591"/>
        <v>0</v>
      </c>
      <c r="CB203" s="51">
        <f t="shared" si="642"/>
        <v>0</v>
      </c>
      <c r="CC203" s="51">
        <f t="shared" si="592"/>
        <v>0</v>
      </c>
      <c r="CD203" s="51">
        <f t="shared" si="643"/>
        <v>0</v>
      </c>
      <c r="CE203" s="51">
        <f t="shared" si="593"/>
        <v>0</v>
      </c>
      <c r="CF203" s="51">
        <f t="shared" si="644"/>
        <v>0</v>
      </c>
      <c r="CG203" s="54">
        <f t="shared" si="645"/>
        <v>0</v>
      </c>
      <c r="CH203" s="55">
        <f t="shared" si="646"/>
        <v>0</v>
      </c>
      <c r="CI203" s="56">
        <f>IF(AND($E203&lt;&gt;0,$F203&gt;0,YEAR($F203)&gt;=Preisindex!$A$6,YEAR(CD$4)&gt;=YEAR($F203),AND($K203&lt;&gt;"a",$K203&lt;&gt;"b",$K203&lt;&gt;"g",$K203&lt;&gt;"k")),1,IF(AND($E203&lt;&gt;0,$F203&gt;0,YEAR($F203)&gt;=Preisindex!$A$6,YEAR(CD$4)&gt;=YEAR($F203),$K203="a"),ROUND(VLOOKUP(CI$4,Preisindex,5,FALSE)/VLOOKUP(YEAR($F203),Preisindex,5,FALSE),2),IF(AND($E203&lt;&gt;0,$F203&gt;0,YEAR($F203)&gt;=Preisindex!$A$6,YEAR(CD$4)&gt;=YEAR($F203),$K203="b"),ROUND(VLOOKUP(CI$4,Preisindex,3,FALSE)/VLOOKUP(YEAR($F203),Preisindex,3,FALSE),2),IF(AND($E203&lt;&gt;0,$F203&gt;0,YEAR($F203)&gt;=Preisindex!$A$6,YEAR(CD$4)&gt;=YEAR($F203),$K203="g"),ROUND(VLOOKUP(CI$4,Preisindex,4,FALSE)/VLOOKUP(YEAR($F203),Preisindex,4,FALSE),2),IF(AND($E203&lt;&gt;0,$F203&gt;0,YEAR($F203)&gt;=Preisindex!$A$6,YEAR(CD$4)&gt;=YEAR($F203),$K203="k"),ROUND(VLOOKUP(CI$4,Preisindex,2,FALSE)/VLOOKUP(YEAR($F203),Preisindex,2,FALSE),2),0)))))</f>
        <v>0</v>
      </c>
      <c r="CJ203" s="56">
        <f>IF(AND($E203&lt;&gt;0,$F203&gt;0,YEAR($F203)&lt;Preisindex!$A$6,YEAR(CD$4)&gt;=YEAR($F203),AND($K203&lt;&gt;"a",$K203&lt;&gt;"b",$K203&lt;&gt;"g",$K203&lt;&gt;"k")),1,IF(AND($E203&lt;&gt;0,$F203&gt;0,YEAR($F203)&lt;Preisindex!$A$6,YEAR(CD$4)&gt;=YEAR($F203),$K203="a"),ROUND(VLOOKUP(CI$4,Preisindex,5,FALSE)/VLOOKUP(Preisindex!$A$6,Preisindex,5,FALSE),2),IF(AND($E203&lt;&gt;0,$F203&gt;0,YEAR($F203)&lt;Preisindex!$A$6,YEAR(CD$4)&gt;=YEAR($F203),$K203="b"),ROUND(VLOOKUP(CI$4,Preisindex,3,FALSE)/VLOOKUP(Preisindex!$A$6,Preisindex,3,FALSE),2),IF(AND($E203&lt;&gt;0,$F203&gt;0,YEAR($F203)&lt;Preisindex!$A$6,YEAR(CD$4)&gt;=YEAR($F203),$K203="g"),ROUND(VLOOKUP(CI$4,Preisindex,4,FALSE)/VLOOKUP(Preisindex!$A$6,Preisindex,4,FALSE),2),IF(AND($E203&lt;&gt;0,$F203&gt;0,YEAR($F203)&lt;Preisindex!$A$6,YEAR(CD$4)&gt;=YEAR($F203),$K203="k"),ROUND(VLOOKUP(CI$4,Preisindex,2,FALSE)/VLOOKUP(Preisindex!$A$6,Preisindex,2,FALSE),2),0)))))</f>
        <v>0</v>
      </c>
      <c r="CK203" s="51">
        <f>IF(AND($E203&lt;&gt;0,$F203&gt;0,YEAR($F203)&lt;=CI$4,YEAR($F203)&gt;=Preisindex!$A$6),ROUND($E203*CI203,2),IF(AND($E203&lt;&gt;0,$F203&gt;0,YEAR($F203)&lt;=CI$4,YEAR($F203)&lt;Preisindex!$A$6),ROUND($E203*CJ203,2),0))</f>
        <v>0</v>
      </c>
      <c r="CL203" s="53">
        <f t="shared" si="647"/>
        <v>0</v>
      </c>
      <c r="CM203" s="51">
        <f t="shared" si="623"/>
        <v>0</v>
      </c>
      <c r="CN203" s="51">
        <f t="shared" si="594"/>
        <v>0</v>
      </c>
      <c r="CO203" s="51">
        <f t="shared" si="648"/>
        <v>0</v>
      </c>
      <c r="CP203" s="51">
        <f t="shared" si="595"/>
        <v>0</v>
      </c>
      <c r="CQ203" s="51">
        <f t="shared" si="649"/>
        <v>0</v>
      </c>
      <c r="CR203" s="51">
        <f t="shared" si="596"/>
        <v>0</v>
      </c>
      <c r="CS203" s="51">
        <f t="shared" si="650"/>
        <v>0</v>
      </c>
      <c r="CT203" s="51">
        <f t="shared" si="597"/>
        <v>0</v>
      </c>
      <c r="CU203" s="51">
        <f t="shared" si="651"/>
        <v>0</v>
      </c>
      <c r="CV203" s="51">
        <f t="shared" si="598"/>
        <v>0</v>
      </c>
      <c r="CW203" s="51">
        <f t="shared" si="652"/>
        <v>0</v>
      </c>
      <c r="CX203" s="54">
        <f t="shared" si="653"/>
        <v>0</v>
      </c>
      <c r="CY203" s="55">
        <f t="shared" si="654"/>
        <v>0</v>
      </c>
      <c r="CZ203" s="56">
        <f>IF(AND($E203&lt;&gt;0,$F203&gt;0,YEAR($F203)&gt;=Preisindex!$A$6,YEAR(CU$4)&gt;=YEAR($F203),AND($K203&lt;&gt;"a",$K203&lt;&gt;"b",$K203&lt;&gt;"g",$K203&lt;&gt;"k")),1,IF(AND($E203&lt;&gt;0,$F203&gt;0,YEAR($F203)&gt;=Preisindex!$A$6,YEAR(CU$4)&gt;=YEAR($F203),$K203="a"),ROUND(VLOOKUP(CZ$4,Preisindex,5,FALSE)/VLOOKUP(YEAR($F203),Preisindex,5,FALSE),2),IF(AND($E203&lt;&gt;0,$F203&gt;0,YEAR($F203)&gt;=Preisindex!$A$6,YEAR(CU$4)&gt;=YEAR($F203),$K203="b"),ROUND(VLOOKUP(CZ$4,Preisindex,3,FALSE)/VLOOKUP(YEAR($F203),Preisindex,3,FALSE),2),IF(AND($E203&lt;&gt;0,$F203&gt;0,YEAR($F203)&gt;=Preisindex!$A$6,YEAR(CU$4)&gt;=YEAR($F203),$K203="g"),ROUND(VLOOKUP(CZ$4,Preisindex,4,FALSE)/VLOOKUP(YEAR($F203),Preisindex,4,FALSE),2),IF(AND($E203&lt;&gt;0,$F203&gt;0,YEAR($F203)&gt;=Preisindex!$A$6,YEAR(CU$4)&gt;=YEAR($F203),$K203="k"),ROUND(VLOOKUP(CZ$4,Preisindex,2,FALSE)/VLOOKUP(YEAR($F203),Preisindex,2,FALSE),2),0)))))</f>
        <v>0</v>
      </c>
      <c r="DA203" s="56">
        <f>IF(AND($E203&lt;&gt;0,$F203&gt;0,YEAR($F203)&lt;Preisindex!$A$6,YEAR(CU$4)&gt;=YEAR($F203),AND($K203&lt;&gt;"a",$K203&lt;&gt;"b",$K203&lt;&gt;"g",$K203&lt;&gt;"k")),1,IF(AND($E203&lt;&gt;0,$F203&gt;0,YEAR($F203)&lt;Preisindex!$A$6,YEAR(CU$4)&gt;=YEAR($F203),$K203="a"),ROUND(VLOOKUP(CZ$4,Preisindex,5,FALSE)/VLOOKUP(Preisindex!$A$6,Preisindex,5,FALSE),2),IF(AND($E203&lt;&gt;0,$F203&gt;0,YEAR($F203)&lt;Preisindex!$A$6,YEAR(CU$4)&gt;=YEAR($F203),$K203="b"),ROUND(VLOOKUP(CZ$4,Preisindex,3,FALSE)/VLOOKUP(Preisindex!$A$6,Preisindex,3,FALSE),2),IF(AND($E203&lt;&gt;0,$F203&gt;0,YEAR($F203)&lt;Preisindex!$A$6,YEAR(CU$4)&gt;=YEAR($F203),$K203="g"),ROUND(VLOOKUP(CZ$4,Preisindex,4,FALSE)/VLOOKUP(Preisindex!$A$6,Preisindex,4,FALSE),2),IF(AND($E203&lt;&gt;0,$F203&gt;0,YEAR($F203)&lt;Preisindex!$A$6,YEAR(CU$4)&gt;=YEAR($F203),$K203="k"),ROUND(VLOOKUP(CZ$4,Preisindex,2,FALSE)/VLOOKUP(Preisindex!$A$6,Preisindex,2,FALSE),2),0)))))</f>
        <v>0</v>
      </c>
      <c r="DB203" s="51">
        <f>IF(AND($E203&lt;&gt;0,$F203&gt;0,YEAR($F203)&lt;=CZ$4,YEAR($F203)&gt;=Preisindex!$A$6),ROUND($E203*CZ203,2),IF(AND($E203&lt;&gt;0,$F203&gt;0,YEAR($F203)&lt;=CZ$4,YEAR($F203)&lt;Preisindex!$A$6),ROUND($E203*DA203,2),0))</f>
        <v>0</v>
      </c>
      <c r="DC203" s="53">
        <f t="shared" si="655"/>
        <v>0</v>
      </c>
      <c r="DD203" s="51">
        <f t="shared" si="656"/>
        <v>0</v>
      </c>
      <c r="DE203" s="51">
        <f t="shared" si="599"/>
        <v>0</v>
      </c>
      <c r="DF203" s="51">
        <f t="shared" si="657"/>
        <v>0</v>
      </c>
      <c r="DG203" s="51">
        <f t="shared" si="600"/>
        <v>0</v>
      </c>
      <c r="DH203" s="51">
        <f t="shared" si="658"/>
        <v>0</v>
      </c>
      <c r="DI203" s="51">
        <f t="shared" si="601"/>
        <v>0</v>
      </c>
      <c r="DJ203" s="51">
        <f t="shared" si="659"/>
        <v>0</v>
      </c>
      <c r="DK203" s="51">
        <f t="shared" si="602"/>
        <v>0</v>
      </c>
      <c r="DL203" s="51">
        <f t="shared" si="660"/>
        <v>0</v>
      </c>
      <c r="DM203" s="51">
        <f t="shared" si="603"/>
        <v>0</v>
      </c>
      <c r="DN203" s="51">
        <f t="shared" si="661"/>
        <v>0</v>
      </c>
      <c r="DO203" s="54">
        <f t="shared" si="662"/>
        <v>0</v>
      </c>
      <c r="DP203" s="55">
        <f t="shared" si="663"/>
        <v>0</v>
      </c>
      <c r="DQ203" s="56">
        <f>IF(AND($E203&lt;&gt;0,$F203&gt;0,YEAR($F203)&gt;=Preisindex!$A$6,YEAR(DL$4)&gt;=YEAR($F203),AND($K203&lt;&gt;"a",$K203&lt;&gt;"b",$K203&lt;&gt;"g",$K203&lt;&gt;"k")),1,IF(AND($E203&lt;&gt;0,$F203&gt;0,YEAR($F203)&gt;=Preisindex!$A$6,YEAR(DL$4)&gt;=YEAR($F203),$K203="a"),ROUND(VLOOKUP(DQ$4,Preisindex,5,FALSE)/VLOOKUP(YEAR($F203),Preisindex,5,FALSE),2),IF(AND($E203&lt;&gt;0,$F203&gt;0,YEAR($F203)&gt;=Preisindex!$A$6,YEAR(DL$4)&gt;=YEAR($F203),$K203="b"),ROUND(VLOOKUP(DQ$4,Preisindex,3,FALSE)/VLOOKUP(YEAR($F203),Preisindex,3,FALSE),2),IF(AND($E203&lt;&gt;0,$F203&gt;0,YEAR($F203)&gt;=Preisindex!$A$6,YEAR(DL$4)&gt;=YEAR($F203),$K203="g"),ROUND(VLOOKUP(DQ$4,Preisindex,4,FALSE)/VLOOKUP(YEAR($F203),Preisindex,4,FALSE),2),IF(AND($E203&lt;&gt;0,$F203&gt;0,YEAR($F203)&gt;=Preisindex!$A$6,YEAR(DL$4)&gt;=YEAR($F203),$K203="k"),ROUND(VLOOKUP(DQ$4,Preisindex,2,FALSE)/VLOOKUP(YEAR($F203),Preisindex,2,FALSE),2),0)))))</f>
        <v>0</v>
      </c>
      <c r="DR203" s="56">
        <f>IF(AND($E203&lt;&gt;0,$F203&gt;0,YEAR($F203)&lt;Preisindex!$A$6,YEAR(DL$4)&gt;=YEAR($F203),AND($K203&lt;&gt;"a",$K203&lt;&gt;"b",$K203&lt;&gt;"g",$K203&lt;&gt;"k")),1,IF(AND($E203&lt;&gt;0,$F203&gt;0,YEAR($F203)&lt;Preisindex!$A$6,YEAR(DL$4)&gt;=YEAR($F203),$K203="a"),ROUND(VLOOKUP(DQ$4,Preisindex,5,FALSE)/VLOOKUP(Preisindex!$A$6,Preisindex,5,FALSE),2),IF(AND($E203&lt;&gt;0,$F203&gt;0,YEAR($F203)&lt;Preisindex!$A$6,YEAR(DL$4)&gt;=YEAR($F203),$K203="b"),ROUND(VLOOKUP(DQ$4,Preisindex,3,FALSE)/VLOOKUP(Preisindex!$A$6,Preisindex,3,FALSE),2),IF(AND($E203&lt;&gt;0,$F203&gt;0,YEAR($F203)&lt;Preisindex!$A$6,YEAR(DL$4)&gt;=YEAR($F203),$K203="g"),ROUND(VLOOKUP(DQ$4,Preisindex,4,FALSE)/VLOOKUP(Preisindex!$A$6,Preisindex,4,FALSE),2),IF(AND($E203&lt;&gt;0,$F203&gt;0,YEAR($F203)&lt;Preisindex!$A$6,YEAR(DL$4)&gt;=YEAR($F203),$K203="k"),ROUND(VLOOKUP(DQ$4,Preisindex,2,FALSE)/VLOOKUP(Preisindex!$A$6,Preisindex,2,FALSE),2),0)))))</f>
        <v>0</v>
      </c>
      <c r="DS203" s="51">
        <f>IF(AND($E203&lt;&gt;0,$F203&gt;0,YEAR($F203)&lt;=DQ$4,YEAR($F203)&gt;=Preisindex!$A$6),ROUND($E203*DQ203,2),IF(AND($E203&lt;&gt;0,$F203&gt;0,YEAR($F203)&lt;=DQ$4,YEAR($F203)&lt;Preisindex!$A$6),ROUND($E203*DR203,2),0))</f>
        <v>0</v>
      </c>
      <c r="DT203" s="53">
        <f t="shared" si="664"/>
        <v>0</v>
      </c>
      <c r="DU203" s="51">
        <f t="shared" si="656"/>
        <v>0</v>
      </c>
      <c r="DV203" s="51">
        <f t="shared" si="604"/>
        <v>0</v>
      </c>
      <c r="DW203" s="51">
        <f t="shared" si="665"/>
        <v>0</v>
      </c>
      <c r="DX203" s="51">
        <f t="shared" si="605"/>
        <v>0</v>
      </c>
      <c r="DY203" s="51">
        <f t="shared" si="666"/>
        <v>0</v>
      </c>
      <c r="DZ203" s="51">
        <f t="shared" si="606"/>
        <v>0</v>
      </c>
      <c r="EA203" s="51">
        <f t="shared" si="667"/>
        <v>0</v>
      </c>
      <c r="EB203" s="51">
        <f t="shared" si="607"/>
        <v>0</v>
      </c>
      <c r="EC203" s="51">
        <f t="shared" si="668"/>
        <v>0</v>
      </c>
      <c r="ED203" s="51">
        <f t="shared" si="608"/>
        <v>0</v>
      </c>
      <c r="EE203" s="51">
        <f t="shared" si="669"/>
        <v>0</v>
      </c>
      <c r="EF203" s="54">
        <f t="shared" si="670"/>
        <v>0</v>
      </c>
      <c r="EG203" s="55">
        <f t="shared" si="671"/>
        <v>0</v>
      </c>
      <c r="EH203" s="56">
        <f>IF(AND($E203&lt;&gt;0,$F203&gt;0,YEAR($F203)&gt;=Preisindex!$A$6,YEAR(EC$4)&gt;=YEAR($F203),AND($K203&lt;&gt;"a",$K203&lt;&gt;"b",$K203&lt;&gt;"g",$K203&lt;&gt;"k")),1,IF(AND($E203&lt;&gt;0,$F203&gt;0,YEAR($F203)&gt;=Preisindex!$A$6,YEAR(EC$4)&gt;=YEAR($F203),$K203="a"),ROUND(VLOOKUP(EH$4,Preisindex,5,FALSE)/VLOOKUP(YEAR($F203),Preisindex,5,FALSE),2),IF(AND($E203&lt;&gt;0,$F203&gt;0,YEAR($F203)&gt;=Preisindex!$A$6,YEAR(EC$4)&gt;=YEAR($F203),$K203="b"),ROUND(VLOOKUP(EH$4,Preisindex,3,FALSE)/VLOOKUP(YEAR($F203),Preisindex,3,FALSE),2),IF(AND($E203&lt;&gt;0,$F203&gt;0,YEAR($F203)&gt;=Preisindex!$A$6,YEAR(EC$4)&gt;=YEAR($F203),$K203="g"),ROUND(VLOOKUP(EH$4,Preisindex,4,FALSE)/VLOOKUP(YEAR($F203),Preisindex,4,FALSE),2),IF(AND($E203&lt;&gt;0,$F203&gt;0,YEAR($F203)&gt;=Preisindex!$A$6,YEAR(EC$4)&gt;=YEAR($F203),$K203="k"),ROUND(VLOOKUP(EH$4,Preisindex,2,FALSE)/VLOOKUP(YEAR($F203),Preisindex,2,FALSE),2),0)))))</f>
        <v>0</v>
      </c>
      <c r="EI203" s="56">
        <f>IF(AND($E203&lt;&gt;0,$F203&gt;0,YEAR($F203)&lt;Preisindex!$A$6,YEAR(EC$4)&gt;=YEAR($F203),AND($K203&lt;&gt;"a",$K203&lt;&gt;"b",$K203&lt;&gt;"g",$K203&lt;&gt;"k")),1,IF(AND($E203&lt;&gt;0,$F203&gt;0,YEAR($F203)&lt;Preisindex!$A$6,YEAR(EC$4)&gt;=YEAR($F203),$K203="a"),ROUND(VLOOKUP(EH$4,Preisindex,5,FALSE)/VLOOKUP(Preisindex!$A$6,Preisindex,5,FALSE),2),IF(AND($E203&lt;&gt;0,$F203&gt;0,YEAR($F203)&lt;Preisindex!$A$6,YEAR(EC$4)&gt;=YEAR($F203),$K203="b"),ROUND(VLOOKUP(EH$4,Preisindex,3,FALSE)/VLOOKUP(Preisindex!$A$6,Preisindex,3,FALSE),2),IF(AND($E203&lt;&gt;0,$F203&gt;0,YEAR($F203)&lt;Preisindex!$A$6,YEAR(EC$4)&gt;=YEAR($F203),$K203="g"),ROUND(VLOOKUP(EH$4,Preisindex,4,FALSE)/VLOOKUP(Preisindex!$A$6,Preisindex,4,FALSE),2),IF(AND($E203&lt;&gt;0,$F203&gt;0,YEAR($F203)&lt;Preisindex!$A$6,YEAR(EC$4)&gt;=YEAR($F203),$K203="k"),ROUND(VLOOKUP(EH$4,Preisindex,2,FALSE)/VLOOKUP(Preisindex!$A$6,Preisindex,2,FALSE),2),0)))))</f>
        <v>0</v>
      </c>
      <c r="EJ203" s="51">
        <f>IF(AND($E203&lt;&gt;0,$F203&gt;0,YEAR($F203)&lt;=EH$4,YEAR($F203)&gt;=Preisindex!$A$6),ROUND($E203*EH203,2),IF(AND($E203&lt;&gt;0,$F203&gt;0,YEAR($F203)&lt;=EH$4,YEAR($F203)&lt;Preisindex!$A$6),ROUND($E203*EI203,2),0))</f>
        <v>0</v>
      </c>
      <c r="EK203" s="53">
        <f t="shared" si="672"/>
        <v>0</v>
      </c>
      <c r="EL203" s="51">
        <f t="shared" si="656"/>
        <v>0</v>
      </c>
      <c r="EM203" s="51">
        <f t="shared" si="609"/>
        <v>0</v>
      </c>
      <c r="EN203" s="51">
        <f t="shared" si="673"/>
        <v>0</v>
      </c>
      <c r="EO203" s="51">
        <f t="shared" si="610"/>
        <v>0</v>
      </c>
      <c r="EP203" s="51">
        <f t="shared" si="674"/>
        <v>0</v>
      </c>
      <c r="EQ203" s="51">
        <f t="shared" si="611"/>
        <v>0</v>
      </c>
      <c r="ER203" s="51">
        <f t="shared" si="675"/>
        <v>0</v>
      </c>
      <c r="ES203" s="51">
        <f t="shared" si="612"/>
        <v>0</v>
      </c>
      <c r="ET203" s="51">
        <f t="shared" si="676"/>
        <v>0</v>
      </c>
      <c r="EU203" s="51">
        <f t="shared" si="613"/>
        <v>0</v>
      </c>
      <c r="EV203" s="51">
        <f t="shared" si="677"/>
        <v>0</v>
      </c>
      <c r="EW203" s="54">
        <f t="shared" si="678"/>
        <v>0</v>
      </c>
      <c r="EX203" s="55">
        <f t="shared" si="679"/>
        <v>0</v>
      </c>
      <c r="EY203" s="56">
        <f>IF(AND($E203&lt;&gt;0,$F203&gt;0,YEAR($F203)&gt;=Preisindex!$A$6,YEAR(ET$4)&gt;=YEAR($F203),AND($K203&lt;&gt;"a",$K203&lt;&gt;"b",$K203&lt;&gt;"g",$K203&lt;&gt;"k")),1,IF(AND($E203&lt;&gt;0,$F203&gt;0,YEAR($F203)&gt;=Preisindex!$A$6,YEAR(ET$4)&gt;=YEAR($F203),$K203="a"),ROUND(VLOOKUP(EY$4,Preisindex,5,FALSE)/VLOOKUP(YEAR($F203),Preisindex,5,FALSE),2),IF(AND($E203&lt;&gt;0,$F203&gt;0,YEAR($F203)&gt;=Preisindex!$A$6,YEAR(ET$4)&gt;=YEAR($F203),$K203="b"),ROUND(VLOOKUP(EY$4,Preisindex,3,FALSE)/VLOOKUP(YEAR($F203),Preisindex,3,FALSE),2),IF(AND($E203&lt;&gt;0,$F203&gt;0,YEAR($F203)&gt;=Preisindex!$A$6,YEAR(ET$4)&gt;=YEAR($F203),$K203="g"),ROUND(VLOOKUP(EY$4,Preisindex,4,FALSE)/VLOOKUP(YEAR($F203),Preisindex,4,FALSE),2),IF(AND($E203&lt;&gt;0,$F203&gt;0,YEAR($F203)&gt;=Preisindex!$A$6,YEAR(ET$4)&gt;=YEAR($F203),$K203="k"),ROUND(VLOOKUP(EY$4,Preisindex,2,FALSE)/VLOOKUP(YEAR($F203),Preisindex,2,FALSE),2),0)))))</f>
        <v>0</v>
      </c>
      <c r="EZ203" s="56">
        <f>IF(AND($E203&lt;&gt;0,$F203&gt;0,YEAR($F203)&lt;Preisindex!$A$6,YEAR(ET$4)&gt;=YEAR($F203),AND($K203&lt;&gt;"a",$K203&lt;&gt;"b",$K203&lt;&gt;"g",$K203&lt;&gt;"k")),1,IF(AND($E203&lt;&gt;0,$F203&gt;0,YEAR($F203)&lt;Preisindex!$A$6,YEAR(ET$4)&gt;=YEAR($F203),$K203="a"),ROUND(VLOOKUP(EY$4,Preisindex,5,FALSE)/VLOOKUP(Preisindex!$A$6,Preisindex,5,FALSE),2),IF(AND($E203&lt;&gt;0,$F203&gt;0,YEAR($F203)&lt;Preisindex!$A$6,YEAR(ET$4)&gt;=YEAR($F203),$K203="b"),ROUND(VLOOKUP(EY$4,Preisindex,3,FALSE)/VLOOKUP(Preisindex!$A$6,Preisindex,3,FALSE),2),IF(AND($E203&lt;&gt;0,$F203&gt;0,YEAR($F203)&lt;Preisindex!$A$6,YEAR(ET$4)&gt;=YEAR($F203),$K203="g"),ROUND(VLOOKUP(EY$4,Preisindex,4,FALSE)/VLOOKUP(Preisindex!$A$6,Preisindex,4,FALSE),2),IF(AND($E203&lt;&gt;0,$F203&gt;0,YEAR($F203)&lt;Preisindex!$A$6,YEAR(ET$4)&gt;=YEAR($F203),$K203="k"),ROUND(VLOOKUP(EY$4,Preisindex,2,FALSE)/VLOOKUP(Preisindex!$A$6,Preisindex,2,FALSE),2),0)))))</f>
        <v>0</v>
      </c>
      <c r="FA203" s="51">
        <f>IF(AND($E203&lt;&gt;0,$F203&gt;0,YEAR($F203)&lt;=EY$4,YEAR($F203)&gt;=Preisindex!$A$6),ROUND($E203*EY203,2),IF(AND($E203&lt;&gt;0,$F203&gt;0,YEAR($F203)&lt;=EY$4,YEAR($F203)&lt;Preisindex!$A$6),ROUND($E203*EZ203,2),0))</f>
        <v>0</v>
      </c>
      <c r="FB203" s="53">
        <f t="shared" si="680"/>
        <v>0</v>
      </c>
      <c r="FC203" s="51">
        <f t="shared" si="656"/>
        <v>0</v>
      </c>
      <c r="FD203" s="51">
        <f t="shared" si="614"/>
        <v>0</v>
      </c>
      <c r="FE203" s="51">
        <f t="shared" si="681"/>
        <v>0</v>
      </c>
      <c r="FF203" s="51">
        <f t="shared" si="615"/>
        <v>0</v>
      </c>
      <c r="FG203" s="51">
        <f t="shared" si="682"/>
        <v>0</v>
      </c>
      <c r="FH203" s="51">
        <f t="shared" si="616"/>
        <v>0</v>
      </c>
      <c r="FI203" s="51">
        <f t="shared" si="683"/>
        <v>0</v>
      </c>
      <c r="FJ203" s="51">
        <f t="shared" si="617"/>
        <v>0</v>
      </c>
      <c r="FK203" s="51">
        <f t="shared" si="684"/>
        <v>0</v>
      </c>
      <c r="FL203" s="51">
        <f t="shared" si="618"/>
        <v>0</v>
      </c>
      <c r="FM203" s="51">
        <f t="shared" si="685"/>
        <v>0</v>
      </c>
      <c r="FN203" s="54">
        <f t="shared" si="686"/>
        <v>0</v>
      </c>
      <c r="FO203" s="55">
        <f t="shared" si="687"/>
        <v>0</v>
      </c>
      <c r="FP203" s="56">
        <f>IF(AND($E203&lt;&gt;0,$F203&gt;0,YEAR($F203)&gt;=Preisindex!$A$6,YEAR(FK$4)&gt;=YEAR($F203),AND($K203&lt;&gt;"a",$K203&lt;&gt;"b",$K203&lt;&gt;"g",$K203&lt;&gt;"k")),1,IF(AND($E203&lt;&gt;0,$F203&gt;0,YEAR($F203)&gt;=Preisindex!$A$6,YEAR(FK$4)&gt;=YEAR($F203),$K203="a"),ROUND(VLOOKUP(FP$4,Preisindex,5,FALSE)/VLOOKUP(YEAR($F203),Preisindex,5,FALSE),2),IF(AND($E203&lt;&gt;0,$F203&gt;0,YEAR($F203)&gt;=Preisindex!$A$6,YEAR(FK$4)&gt;=YEAR($F203),$K203="b"),ROUND(VLOOKUP(FP$4,Preisindex,3,FALSE)/VLOOKUP(YEAR($F203),Preisindex,3,FALSE),2),IF(AND($E203&lt;&gt;0,$F203&gt;0,YEAR($F203)&gt;=Preisindex!$A$6,YEAR(FK$4)&gt;=YEAR($F203),$K203="g"),ROUND(VLOOKUP(FP$4,Preisindex,4,FALSE)/VLOOKUP(YEAR($F203),Preisindex,4,FALSE),2),IF(AND($E203&lt;&gt;0,$F203&gt;0,YEAR($F203)&gt;=Preisindex!$A$6,YEAR(FK$4)&gt;=YEAR($F203),$K203="k"),ROUND(VLOOKUP(FP$4,Preisindex,2,FALSE)/VLOOKUP(YEAR($F203),Preisindex,2,FALSE),2),0)))))</f>
        <v>0</v>
      </c>
      <c r="FQ203" s="56">
        <f>IF(AND($E203&lt;&gt;0,$F203&gt;0,YEAR($F203)&lt;Preisindex!$A$6,YEAR(FK$4)&gt;=YEAR($F203),AND($K203&lt;&gt;"a",$K203&lt;&gt;"b",$K203&lt;&gt;"g",$K203&lt;&gt;"k")),1,IF(AND($E203&lt;&gt;0,$F203&gt;0,YEAR($F203)&lt;Preisindex!$A$6,YEAR(FK$4)&gt;=YEAR($F203),$K203="a"),ROUND(VLOOKUP(FP$4,Preisindex,5,FALSE)/VLOOKUP(Preisindex!$A$6,Preisindex,5,FALSE),2),IF(AND($E203&lt;&gt;0,$F203&gt;0,YEAR($F203)&lt;Preisindex!$A$6,YEAR(FK$4)&gt;=YEAR($F203),$K203="b"),ROUND(VLOOKUP(FP$4,Preisindex,3,FALSE)/VLOOKUP(Preisindex!$A$6,Preisindex,3,FALSE),2),IF(AND($E203&lt;&gt;0,$F203&gt;0,YEAR($F203)&lt;Preisindex!$A$6,YEAR(FK$4)&gt;=YEAR($F203),$K203="g"),ROUND(VLOOKUP(FP$4,Preisindex,4,FALSE)/VLOOKUP(Preisindex!$A$6,Preisindex,4,FALSE),2),IF(AND($E203&lt;&gt;0,$F203&gt;0,YEAR($F203)&lt;Preisindex!$A$6,YEAR(FK$4)&gt;=YEAR($F203),$K203="k"),ROUND(VLOOKUP(FP$4,Preisindex,2,FALSE)/VLOOKUP(Preisindex!$A$6,Preisindex,2,FALSE),2),0)))))</f>
        <v>0</v>
      </c>
      <c r="FR203" s="51">
        <f>IF(AND($E203&lt;&gt;0,$F203&gt;0,YEAR($F203)&lt;=FP$4,YEAR($F203)&gt;=Preisindex!$A$6),ROUND($E203*FP203,2),IF(AND($E203&lt;&gt;0,$F203&gt;0,YEAR($F203)&lt;=FP$4,YEAR($F203)&lt;Preisindex!$A$6),ROUND($E203*FQ203,2),0))</f>
        <v>0</v>
      </c>
      <c r="FS203" s="53">
        <f t="shared" si="688"/>
        <v>0</v>
      </c>
    </row>
    <row r="204" spans="1:175" x14ac:dyDescent="0.3">
      <c r="A204" s="93"/>
      <c r="B204" s="94"/>
      <c r="C204" s="94"/>
      <c r="D204" s="95"/>
      <c r="E204" s="99"/>
      <c r="F204" s="97"/>
      <c r="G204" s="98"/>
      <c r="H204" s="620"/>
      <c r="I204" s="621"/>
      <c r="J204" s="194"/>
      <c r="K204" s="630"/>
      <c r="L204" s="49">
        <f t="shared" si="689"/>
        <v>0</v>
      </c>
      <c r="M204" s="50">
        <f t="shared" si="690"/>
        <v>0</v>
      </c>
      <c r="N204" s="51">
        <f t="shared" si="691"/>
        <v>0</v>
      </c>
      <c r="O204" s="51"/>
      <c r="P204" s="51">
        <f t="shared" si="692"/>
        <v>0</v>
      </c>
      <c r="Q204" s="52"/>
      <c r="R204" s="52"/>
      <c r="S204" s="52"/>
      <c r="T204" s="52"/>
      <c r="U204" s="52"/>
      <c r="V204" s="53">
        <f t="shared" si="693"/>
        <v>0</v>
      </c>
      <c r="W204" s="51">
        <f t="shared" si="694"/>
        <v>0</v>
      </c>
      <c r="X204" s="51">
        <f t="shared" si="695"/>
        <v>0</v>
      </c>
      <c r="Y204" s="51">
        <f t="shared" si="696"/>
        <v>0</v>
      </c>
      <c r="Z204" s="51">
        <f t="shared" si="697"/>
        <v>0</v>
      </c>
      <c r="AA204" s="51">
        <f t="shared" si="698"/>
        <v>0</v>
      </c>
      <c r="AB204" s="51">
        <f t="shared" si="699"/>
        <v>0</v>
      </c>
      <c r="AC204" s="51">
        <f t="shared" si="700"/>
        <v>0</v>
      </c>
      <c r="AD204" s="51">
        <f t="shared" si="701"/>
        <v>0</v>
      </c>
      <c r="AE204" s="51">
        <f t="shared" si="702"/>
        <v>0</v>
      </c>
      <c r="AF204" s="51">
        <f t="shared" si="703"/>
        <v>0</v>
      </c>
      <c r="AG204" s="51">
        <f t="shared" si="704"/>
        <v>0</v>
      </c>
      <c r="AH204" s="54">
        <f t="shared" si="705"/>
        <v>0</v>
      </c>
      <c r="AI204" s="55">
        <f t="shared" si="706"/>
        <v>0</v>
      </c>
      <c r="AJ204" s="56">
        <f>IF(AND($E204&lt;&gt;0,$F204&gt;0,YEAR($F204)&gt;=Preisindex!$A$6,YEAR(AE$4)&gt;=YEAR($F204),AND($K204&lt;&gt;"a",$K204&lt;&gt;"b",$K204&lt;&gt;"g",$K204&lt;&gt;"k")),1,IF(AND($E204&lt;&gt;0,$F204&gt;0,YEAR($F204)&gt;=Preisindex!$A$6,YEAR(AE$4)&gt;=YEAR($F204),$K204="a"),ROUND(VLOOKUP(AJ$4,Preisindex,5,FALSE)/VLOOKUP(YEAR($F204),Preisindex,5,FALSE),2),IF(AND($E204&lt;&gt;0,$F204&gt;0,YEAR($F204)&gt;=Preisindex!$A$6,YEAR(AE$4)&gt;=YEAR($F204),$K204="b"),ROUND(VLOOKUP(AJ$4,Preisindex,3,FALSE)/VLOOKUP(YEAR($F204),Preisindex,3,FALSE),2),IF(AND($E204&lt;&gt;0,$F204&gt;0,YEAR($F204)&gt;=Preisindex!$A$6,YEAR(AE$4)&gt;=YEAR($F204),$K204="g"),ROUND(VLOOKUP(AJ$4,Preisindex,4,FALSE)/VLOOKUP(YEAR($F204),Preisindex,4,FALSE),2),IF(AND($E204&lt;&gt;0,$F204&gt;0,YEAR($F204)&gt;=Preisindex!$A$6,YEAR(AE$4)&gt;=YEAR($F204),$K204="k"),ROUND(VLOOKUP(AJ$4,Preisindex,2,FALSE)/VLOOKUP(YEAR($F204),Preisindex,2,FALSE),2),0)))))</f>
        <v>0</v>
      </c>
      <c r="AK204" s="56">
        <f>IF(AND($E204&lt;&gt;0,$F204&gt;0,YEAR($F204)&lt;Preisindex!$A$6,YEAR(AE$4)&gt;=YEAR($F204),AND($K204&lt;&gt;"a",$K204&lt;&gt;"b",$K204&lt;&gt;"g",$K204&lt;&gt;"k")),1,IF(AND($E204&lt;&gt;0,$F204&gt;0,YEAR($F204)&lt;Preisindex!$A$6,YEAR(AE$4)&gt;=YEAR($F204),$K204="a"),ROUND(VLOOKUP(AJ$4,Preisindex,5,FALSE)/VLOOKUP(Preisindex!$A$6,Preisindex,5,FALSE),2),IF(AND($E204&lt;&gt;0,$F204&gt;0,YEAR($F204)&lt;Preisindex!$A$6,YEAR(AE$4)&gt;=YEAR($F204),$K204="b"),ROUND(VLOOKUP(AJ$4,Preisindex,3,FALSE)/VLOOKUP(Preisindex!$A$6,Preisindex,3,FALSE),2),IF(AND($E204&lt;&gt;0,$F204&gt;0,YEAR($F204)&lt;Preisindex!$A$6,YEAR(AE$4)&gt;=YEAR($F204),$K204="g"),ROUND(VLOOKUP(AJ$4,Preisindex,4,FALSE)/VLOOKUP(Preisindex!$A$6,Preisindex,4,FALSE),2),IF(AND($E204&lt;&gt;0,$F204&gt;0,YEAR($F204)&lt;Preisindex!$A$6,YEAR(AE$4)&gt;=YEAR($F204),$K204="k"),ROUND(VLOOKUP(AJ$4,Preisindex,2,FALSE)/VLOOKUP(Preisindex!$A$6,Preisindex,2,FALSE),2),0)))))</f>
        <v>0</v>
      </c>
      <c r="AL204" s="51">
        <f>IF(AND($E204&lt;&gt;0,$F204&gt;0,YEAR($F204)&lt;=AJ$4,YEAR($F204)&gt;=Preisindex!$A$6),ROUND($E204*AJ204,2),IF(AND($E204&lt;&gt;0,$F204&gt;0,YEAR($F204)&lt;=AJ$4,YEAR($F204)&lt;Preisindex!$A$6),ROUND($E204*AK204,2),0))</f>
        <v>0</v>
      </c>
      <c r="AM204" s="53">
        <f t="shared" si="707"/>
        <v>0</v>
      </c>
      <c r="AN204" s="51">
        <f t="shared" si="623"/>
        <v>0</v>
      </c>
      <c r="AO204" s="51">
        <f t="shared" si="579"/>
        <v>0</v>
      </c>
      <c r="AP204" s="51">
        <f t="shared" si="624"/>
        <v>0</v>
      </c>
      <c r="AQ204" s="51">
        <f t="shared" si="580"/>
        <v>0</v>
      </c>
      <c r="AR204" s="51">
        <f t="shared" si="625"/>
        <v>0</v>
      </c>
      <c r="AS204" s="51">
        <f t="shared" si="581"/>
        <v>0</v>
      </c>
      <c r="AT204" s="51">
        <f t="shared" si="626"/>
        <v>0</v>
      </c>
      <c r="AU204" s="51">
        <f t="shared" si="582"/>
        <v>0</v>
      </c>
      <c r="AV204" s="51">
        <f t="shared" si="627"/>
        <v>0</v>
      </c>
      <c r="AW204" s="51">
        <f t="shared" si="583"/>
        <v>0</v>
      </c>
      <c r="AX204" s="51">
        <f t="shared" si="628"/>
        <v>0</v>
      </c>
      <c r="AY204" s="54">
        <f t="shared" si="629"/>
        <v>0</v>
      </c>
      <c r="AZ204" s="55">
        <f t="shared" si="630"/>
        <v>0</v>
      </c>
      <c r="BA204" s="56">
        <f>IF(AND($E204&lt;&gt;0,$F204&gt;0,YEAR($F204)&gt;=Preisindex!$A$6,YEAR(AV$4)&gt;=YEAR($F204),AND($K204&lt;&gt;"a",$K204&lt;&gt;"b",$K204&lt;&gt;"g",$K204&lt;&gt;"k")),1,IF(AND($E204&lt;&gt;0,$F204&gt;0,YEAR($F204)&gt;=Preisindex!$A$6,YEAR(AV$4)&gt;=YEAR($F204),$K204="a"),ROUND(VLOOKUP(BA$4,Preisindex,5,FALSE)/VLOOKUP(YEAR($F204),Preisindex,5,FALSE),2),IF(AND($E204&lt;&gt;0,$F204&gt;0,YEAR($F204)&gt;=Preisindex!$A$6,YEAR(AV$4)&gt;=YEAR($F204),$K204="b"),ROUND(VLOOKUP(BA$4,Preisindex,3,FALSE)/VLOOKUP(YEAR($F204),Preisindex,3,FALSE),2),IF(AND($E204&lt;&gt;0,$F204&gt;0,YEAR($F204)&gt;=Preisindex!$A$6,YEAR(AV$4)&gt;=YEAR($F204),$K204="g"),ROUND(VLOOKUP(BA$4,Preisindex,4,FALSE)/VLOOKUP(YEAR($F204),Preisindex,4,FALSE),2),IF(AND($E204&lt;&gt;0,$F204&gt;0,YEAR($F204)&gt;=Preisindex!$A$6,YEAR(AV$4)&gt;=YEAR($F204),$K204="k"),ROUND(VLOOKUP(BA$4,Preisindex,2,FALSE)/VLOOKUP(YEAR($F204),Preisindex,2,FALSE),2),0)))))</f>
        <v>0</v>
      </c>
      <c r="BB204" s="56">
        <f>IF(AND($E204&lt;&gt;0,$F204&gt;0,YEAR($F204)&lt;Preisindex!$A$6,YEAR(AV$4)&gt;=YEAR($F204),AND($K204&lt;&gt;"a",$K204&lt;&gt;"b",$K204&lt;&gt;"g",$K204&lt;&gt;"k")),1,IF(AND($E204&lt;&gt;0,$F204&gt;0,YEAR($F204)&lt;Preisindex!$A$6,YEAR(AV$4)&gt;=YEAR($F204),$K204="a"),ROUND(VLOOKUP(BA$4,Preisindex,5,FALSE)/VLOOKUP(Preisindex!$A$6,Preisindex,5,FALSE),2),IF(AND($E204&lt;&gt;0,$F204&gt;0,YEAR($F204)&lt;Preisindex!$A$6,YEAR(AV$4)&gt;=YEAR($F204),$K204="b"),ROUND(VLOOKUP(BA$4,Preisindex,3,FALSE)/VLOOKUP(Preisindex!$A$6,Preisindex,3,FALSE),2),IF(AND($E204&lt;&gt;0,$F204&gt;0,YEAR($F204)&lt;Preisindex!$A$6,YEAR(AV$4)&gt;=YEAR($F204),$K204="g"),ROUND(VLOOKUP(BA$4,Preisindex,4,FALSE)/VLOOKUP(Preisindex!$A$6,Preisindex,4,FALSE),2),IF(AND($E204&lt;&gt;0,$F204&gt;0,YEAR($F204)&lt;Preisindex!$A$6,YEAR(AV$4)&gt;=YEAR($F204),$K204="k"),ROUND(VLOOKUP(BA$4,Preisindex,2,FALSE)/VLOOKUP(Preisindex!$A$6,Preisindex,2,FALSE),2),0)))))</f>
        <v>0</v>
      </c>
      <c r="BC204" s="51">
        <f>IF(AND($E204&lt;&gt;0,$F204&gt;0,YEAR($F204)&lt;=BA$4,YEAR($F204)&gt;=Preisindex!$A$6),ROUND($E204*BA204,2),IF(AND($E204&lt;&gt;0,$F204&gt;0,YEAR($F204)&lt;=BA$4,YEAR($F204)&lt;Preisindex!$A$6),ROUND($E204*BB204,2),0))</f>
        <v>0</v>
      </c>
      <c r="BD204" s="53">
        <f t="shared" si="631"/>
        <v>0</v>
      </c>
      <c r="BE204" s="51">
        <f t="shared" si="623"/>
        <v>0</v>
      </c>
      <c r="BF204" s="51">
        <f t="shared" si="584"/>
        <v>0</v>
      </c>
      <c r="BG204" s="51">
        <f t="shared" si="632"/>
        <v>0</v>
      </c>
      <c r="BH204" s="51">
        <f t="shared" si="585"/>
        <v>0</v>
      </c>
      <c r="BI204" s="51">
        <f t="shared" si="633"/>
        <v>0</v>
      </c>
      <c r="BJ204" s="51">
        <f t="shared" si="586"/>
        <v>0</v>
      </c>
      <c r="BK204" s="51">
        <f t="shared" si="634"/>
        <v>0</v>
      </c>
      <c r="BL204" s="51">
        <f t="shared" si="587"/>
        <v>0</v>
      </c>
      <c r="BM204" s="51">
        <f t="shared" si="635"/>
        <v>0</v>
      </c>
      <c r="BN204" s="51">
        <f t="shared" si="588"/>
        <v>0</v>
      </c>
      <c r="BO204" s="51">
        <f t="shared" si="636"/>
        <v>0</v>
      </c>
      <c r="BP204" s="54">
        <f t="shared" si="637"/>
        <v>0</v>
      </c>
      <c r="BQ204" s="55">
        <f t="shared" si="638"/>
        <v>0</v>
      </c>
      <c r="BR204" s="56">
        <f>IF(AND($E204&lt;&gt;0,$F204&gt;0,YEAR($F204)&gt;=Preisindex!$A$6,YEAR(BM$4)&gt;=YEAR($F204),AND($K204&lt;&gt;"a",$K204&lt;&gt;"b",$K204&lt;&gt;"g",$K204&lt;&gt;"k")),1,IF(AND($E204&lt;&gt;0,$F204&gt;0,YEAR($F204)&gt;=Preisindex!$A$6,YEAR(BM$4)&gt;=YEAR($F204),$K204="a"),ROUND(VLOOKUP(BR$4,Preisindex,5,FALSE)/VLOOKUP(YEAR($F204),Preisindex,5,FALSE),2),IF(AND($E204&lt;&gt;0,$F204&gt;0,YEAR($F204)&gt;=Preisindex!$A$6,YEAR(BM$4)&gt;=YEAR($F204),$K204="b"),ROUND(VLOOKUP(BR$4,Preisindex,3,FALSE)/VLOOKUP(YEAR($F204),Preisindex,3,FALSE),2),IF(AND($E204&lt;&gt;0,$F204&gt;0,YEAR($F204)&gt;=Preisindex!$A$6,YEAR(BM$4)&gt;=YEAR($F204),$K204="g"),ROUND(VLOOKUP(BR$4,Preisindex,4,FALSE)/VLOOKUP(YEAR($F204),Preisindex,4,FALSE),2),IF(AND($E204&lt;&gt;0,$F204&gt;0,YEAR($F204)&gt;=Preisindex!$A$6,YEAR(BM$4)&gt;=YEAR($F204),$K204="k"),ROUND(VLOOKUP(BR$4,Preisindex,2,FALSE)/VLOOKUP(YEAR($F204),Preisindex,2,FALSE),2),0)))))</f>
        <v>0</v>
      </c>
      <c r="BS204" s="56">
        <f>IF(AND($E204&lt;&gt;0,$F204&gt;0,YEAR($F204)&lt;Preisindex!$A$6,YEAR(BM$4)&gt;=YEAR($F204),AND($K204&lt;&gt;"a",$K204&lt;&gt;"b",$K204&lt;&gt;"g",$K204&lt;&gt;"k")),1,IF(AND($E204&lt;&gt;0,$F204&gt;0,YEAR($F204)&lt;Preisindex!$A$6,YEAR(BM$4)&gt;=YEAR($F204),$K204="a"),ROUND(VLOOKUP(BR$4,Preisindex,5,FALSE)/VLOOKUP(Preisindex!$A$6,Preisindex,5,FALSE),2),IF(AND($E204&lt;&gt;0,$F204&gt;0,YEAR($F204)&lt;Preisindex!$A$6,YEAR(BM$4)&gt;=YEAR($F204),$K204="b"),ROUND(VLOOKUP(BR$4,Preisindex,3,FALSE)/VLOOKUP(Preisindex!$A$6,Preisindex,3,FALSE),2),IF(AND($E204&lt;&gt;0,$F204&gt;0,YEAR($F204)&lt;Preisindex!$A$6,YEAR(BM$4)&gt;=YEAR($F204),$K204="g"),ROUND(VLOOKUP(BR$4,Preisindex,4,FALSE)/VLOOKUP(Preisindex!$A$6,Preisindex,4,FALSE),2),IF(AND($E204&lt;&gt;0,$F204&gt;0,YEAR($F204)&lt;Preisindex!$A$6,YEAR(BM$4)&gt;=YEAR($F204),$K204="k"),ROUND(VLOOKUP(BR$4,Preisindex,2,FALSE)/VLOOKUP(Preisindex!$A$6,Preisindex,2,FALSE),2),0)))))</f>
        <v>0</v>
      </c>
      <c r="BT204" s="51">
        <f>IF(AND($E204&lt;&gt;0,$F204&gt;0,YEAR($F204)&lt;=BR$4,YEAR($F204)&gt;=Preisindex!$A$6),ROUND($E204*BR204,2),IF(AND($E204&lt;&gt;0,$F204&gt;0,YEAR($F204)&lt;=BR$4,YEAR($F204)&lt;Preisindex!$A$6),ROUND($E204*BS204,2),0))</f>
        <v>0</v>
      </c>
      <c r="BU204" s="53">
        <f t="shared" si="639"/>
        <v>0</v>
      </c>
      <c r="BV204" s="51">
        <f t="shared" si="623"/>
        <v>0</v>
      </c>
      <c r="BW204" s="51">
        <f t="shared" si="589"/>
        <v>0</v>
      </c>
      <c r="BX204" s="51">
        <f t="shared" si="640"/>
        <v>0</v>
      </c>
      <c r="BY204" s="51">
        <f t="shared" si="590"/>
        <v>0</v>
      </c>
      <c r="BZ204" s="51">
        <f t="shared" si="641"/>
        <v>0</v>
      </c>
      <c r="CA204" s="51">
        <f t="shared" si="591"/>
        <v>0</v>
      </c>
      <c r="CB204" s="51">
        <f t="shared" si="642"/>
        <v>0</v>
      </c>
      <c r="CC204" s="51">
        <f t="shared" si="592"/>
        <v>0</v>
      </c>
      <c r="CD204" s="51">
        <f t="shared" si="643"/>
        <v>0</v>
      </c>
      <c r="CE204" s="51">
        <f t="shared" si="593"/>
        <v>0</v>
      </c>
      <c r="CF204" s="51">
        <f t="shared" si="644"/>
        <v>0</v>
      </c>
      <c r="CG204" s="54">
        <f t="shared" si="645"/>
        <v>0</v>
      </c>
      <c r="CH204" s="55">
        <f t="shared" si="646"/>
        <v>0</v>
      </c>
      <c r="CI204" s="56">
        <f>IF(AND($E204&lt;&gt;0,$F204&gt;0,YEAR($F204)&gt;=Preisindex!$A$6,YEAR(CD$4)&gt;=YEAR($F204),AND($K204&lt;&gt;"a",$K204&lt;&gt;"b",$K204&lt;&gt;"g",$K204&lt;&gt;"k")),1,IF(AND($E204&lt;&gt;0,$F204&gt;0,YEAR($F204)&gt;=Preisindex!$A$6,YEAR(CD$4)&gt;=YEAR($F204),$K204="a"),ROUND(VLOOKUP(CI$4,Preisindex,5,FALSE)/VLOOKUP(YEAR($F204),Preisindex,5,FALSE),2),IF(AND($E204&lt;&gt;0,$F204&gt;0,YEAR($F204)&gt;=Preisindex!$A$6,YEAR(CD$4)&gt;=YEAR($F204),$K204="b"),ROUND(VLOOKUP(CI$4,Preisindex,3,FALSE)/VLOOKUP(YEAR($F204),Preisindex,3,FALSE),2),IF(AND($E204&lt;&gt;0,$F204&gt;0,YEAR($F204)&gt;=Preisindex!$A$6,YEAR(CD$4)&gt;=YEAR($F204),$K204="g"),ROUND(VLOOKUP(CI$4,Preisindex,4,FALSE)/VLOOKUP(YEAR($F204),Preisindex,4,FALSE),2),IF(AND($E204&lt;&gt;0,$F204&gt;0,YEAR($F204)&gt;=Preisindex!$A$6,YEAR(CD$4)&gt;=YEAR($F204),$K204="k"),ROUND(VLOOKUP(CI$4,Preisindex,2,FALSE)/VLOOKUP(YEAR($F204),Preisindex,2,FALSE),2),0)))))</f>
        <v>0</v>
      </c>
      <c r="CJ204" s="56">
        <f>IF(AND($E204&lt;&gt;0,$F204&gt;0,YEAR($F204)&lt;Preisindex!$A$6,YEAR(CD$4)&gt;=YEAR($F204),AND($K204&lt;&gt;"a",$K204&lt;&gt;"b",$K204&lt;&gt;"g",$K204&lt;&gt;"k")),1,IF(AND($E204&lt;&gt;0,$F204&gt;0,YEAR($F204)&lt;Preisindex!$A$6,YEAR(CD$4)&gt;=YEAR($F204),$K204="a"),ROUND(VLOOKUP(CI$4,Preisindex,5,FALSE)/VLOOKUP(Preisindex!$A$6,Preisindex,5,FALSE),2),IF(AND($E204&lt;&gt;0,$F204&gt;0,YEAR($F204)&lt;Preisindex!$A$6,YEAR(CD$4)&gt;=YEAR($F204),$K204="b"),ROUND(VLOOKUP(CI$4,Preisindex,3,FALSE)/VLOOKUP(Preisindex!$A$6,Preisindex,3,FALSE),2),IF(AND($E204&lt;&gt;0,$F204&gt;0,YEAR($F204)&lt;Preisindex!$A$6,YEAR(CD$4)&gt;=YEAR($F204),$K204="g"),ROUND(VLOOKUP(CI$4,Preisindex,4,FALSE)/VLOOKUP(Preisindex!$A$6,Preisindex,4,FALSE),2),IF(AND($E204&lt;&gt;0,$F204&gt;0,YEAR($F204)&lt;Preisindex!$A$6,YEAR(CD$4)&gt;=YEAR($F204),$K204="k"),ROUND(VLOOKUP(CI$4,Preisindex,2,FALSE)/VLOOKUP(Preisindex!$A$6,Preisindex,2,FALSE),2),0)))))</f>
        <v>0</v>
      </c>
      <c r="CK204" s="51">
        <f>IF(AND($E204&lt;&gt;0,$F204&gt;0,YEAR($F204)&lt;=CI$4,YEAR($F204)&gt;=Preisindex!$A$6),ROUND($E204*CI204,2),IF(AND($E204&lt;&gt;0,$F204&gt;0,YEAR($F204)&lt;=CI$4,YEAR($F204)&lt;Preisindex!$A$6),ROUND($E204*CJ204,2),0))</f>
        <v>0</v>
      </c>
      <c r="CL204" s="53">
        <f t="shared" si="647"/>
        <v>0</v>
      </c>
      <c r="CM204" s="51">
        <f t="shared" si="623"/>
        <v>0</v>
      </c>
      <c r="CN204" s="51">
        <f t="shared" si="594"/>
        <v>0</v>
      </c>
      <c r="CO204" s="51">
        <f t="shared" si="648"/>
        <v>0</v>
      </c>
      <c r="CP204" s="51">
        <f t="shared" si="595"/>
        <v>0</v>
      </c>
      <c r="CQ204" s="51">
        <f t="shared" si="649"/>
        <v>0</v>
      </c>
      <c r="CR204" s="51">
        <f t="shared" si="596"/>
        <v>0</v>
      </c>
      <c r="CS204" s="51">
        <f t="shared" si="650"/>
        <v>0</v>
      </c>
      <c r="CT204" s="51">
        <f t="shared" si="597"/>
        <v>0</v>
      </c>
      <c r="CU204" s="51">
        <f t="shared" si="651"/>
        <v>0</v>
      </c>
      <c r="CV204" s="51">
        <f t="shared" si="598"/>
        <v>0</v>
      </c>
      <c r="CW204" s="51">
        <f t="shared" si="652"/>
        <v>0</v>
      </c>
      <c r="CX204" s="54">
        <f t="shared" si="653"/>
        <v>0</v>
      </c>
      <c r="CY204" s="55">
        <f t="shared" si="654"/>
        <v>0</v>
      </c>
      <c r="CZ204" s="56">
        <f>IF(AND($E204&lt;&gt;0,$F204&gt;0,YEAR($F204)&gt;=Preisindex!$A$6,YEAR(CU$4)&gt;=YEAR($F204),AND($K204&lt;&gt;"a",$K204&lt;&gt;"b",$K204&lt;&gt;"g",$K204&lt;&gt;"k")),1,IF(AND($E204&lt;&gt;0,$F204&gt;0,YEAR($F204)&gt;=Preisindex!$A$6,YEAR(CU$4)&gt;=YEAR($F204),$K204="a"),ROUND(VLOOKUP(CZ$4,Preisindex,5,FALSE)/VLOOKUP(YEAR($F204),Preisindex,5,FALSE),2),IF(AND($E204&lt;&gt;0,$F204&gt;0,YEAR($F204)&gt;=Preisindex!$A$6,YEAR(CU$4)&gt;=YEAR($F204),$K204="b"),ROUND(VLOOKUP(CZ$4,Preisindex,3,FALSE)/VLOOKUP(YEAR($F204),Preisindex,3,FALSE),2),IF(AND($E204&lt;&gt;0,$F204&gt;0,YEAR($F204)&gt;=Preisindex!$A$6,YEAR(CU$4)&gt;=YEAR($F204),$K204="g"),ROUND(VLOOKUP(CZ$4,Preisindex,4,FALSE)/VLOOKUP(YEAR($F204),Preisindex,4,FALSE),2),IF(AND($E204&lt;&gt;0,$F204&gt;0,YEAR($F204)&gt;=Preisindex!$A$6,YEAR(CU$4)&gt;=YEAR($F204),$K204="k"),ROUND(VLOOKUP(CZ$4,Preisindex,2,FALSE)/VLOOKUP(YEAR($F204),Preisindex,2,FALSE),2),0)))))</f>
        <v>0</v>
      </c>
      <c r="DA204" s="56">
        <f>IF(AND($E204&lt;&gt;0,$F204&gt;0,YEAR($F204)&lt;Preisindex!$A$6,YEAR(CU$4)&gt;=YEAR($F204),AND($K204&lt;&gt;"a",$K204&lt;&gt;"b",$K204&lt;&gt;"g",$K204&lt;&gt;"k")),1,IF(AND($E204&lt;&gt;0,$F204&gt;0,YEAR($F204)&lt;Preisindex!$A$6,YEAR(CU$4)&gt;=YEAR($F204),$K204="a"),ROUND(VLOOKUP(CZ$4,Preisindex,5,FALSE)/VLOOKUP(Preisindex!$A$6,Preisindex,5,FALSE),2),IF(AND($E204&lt;&gt;0,$F204&gt;0,YEAR($F204)&lt;Preisindex!$A$6,YEAR(CU$4)&gt;=YEAR($F204),$K204="b"),ROUND(VLOOKUP(CZ$4,Preisindex,3,FALSE)/VLOOKUP(Preisindex!$A$6,Preisindex,3,FALSE),2),IF(AND($E204&lt;&gt;0,$F204&gt;0,YEAR($F204)&lt;Preisindex!$A$6,YEAR(CU$4)&gt;=YEAR($F204),$K204="g"),ROUND(VLOOKUP(CZ$4,Preisindex,4,FALSE)/VLOOKUP(Preisindex!$A$6,Preisindex,4,FALSE),2),IF(AND($E204&lt;&gt;0,$F204&gt;0,YEAR($F204)&lt;Preisindex!$A$6,YEAR(CU$4)&gt;=YEAR($F204),$K204="k"),ROUND(VLOOKUP(CZ$4,Preisindex,2,FALSE)/VLOOKUP(Preisindex!$A$6,Preisindex,2,FALSE),2),0)))))</f>
        <v>0</v>
      </c>
      <c r="DB204" s="51">
        <f>IF(AND($E204&lt;&gt;0,$F204&gt;0,YEAR($F204)&lt;=CZ$4,YEAR($F204)&gt;=Preisindex!$A$6),ROUND($E204*CZ204,2),IF(AND($E204&lt;&gt;0,$F204&gt;0,YEAR($F204)&lt;=CZ$4,YEAR($F204)&lt;Preisindex!$A$6),ROUND($E204*DA204,2),0))</f>
        <v>0</v>
      </c>
      <c r="DC204" s="53">
        <f t="shared" si="655"/>
        <v>0</v>
      </c>
      <c r="DD204" s="51">
        <f t="shared" si="656"/>
        <v>0</v>
      </c>
      <c r="DE204" s="51">
        <f t="shared" si="599"/>
        <v>0</v>
      </c>
      <c r="DF204" s="51">
        <f t="shared" si="657"/>
        <v>0</v>
      </c>
      <c r="DG204" s="51">
        <f t="shared" si="600"/>
        <v>0</v>
      </c>
      <c r="DH204" s="51">
        <f t="shared" si="658"/>
        <v>0</v>
      </c>
      <c r="DI204" s="51">
        <f t="shared" si="601"/>
        <v>0</v>
      </c>
      <c r="DJ204" s="51">
        <f t="shared" si="659"/>
        <v>0</v>
      </c>
      <c r="DK204" s="51">
        <f t="shared" si="602"/>
        <v>0</v>
      </c>
      <c r="DL204" s="51">
        <f t="shared" si="660"/>
        <v>0</v>
      </c>
      <c r="DM204" s="51">
        <f t="shared" si="603"/>
        <v>0</v>
      </c>
      <c r="DN204" s="51">
        <f t="shared" si="661"/>
        <v>0</v>
      </c>
      <c r="DO204" s="54">
        <f t="shared" si="662"/>
        <v>0</v>
      </c>
      <c r="DP204" s="55">
        <f t="shared" si="663"/>
        <v>0</v>
      </c>
      <c r="DQ204" s="56">
        <f>IF(AND($E204&lt;&gt;0,$F204&gt;0,YEAR($F204)&gt;=Preisindex!$A$6,YEAR(DL$4)&gt;=YEAR($F204),AND($K204&lt;&gt;"a",$K204&lt;&gt;"b",$K204&lt;&gt;"g",$K204&lt;&gt;"k")),1,IF(AND($E204&lt;&gt;0,$F204&gt;0,YEAR($F204)&gt;=Preisindex!$A$6,YEAR(DL$4)&gt;=YEAR($F204),$K204="a"),ROUND(VLOOKUP(DQ$4,Preisindex,5,FALSE)/VLOOKUP(YEAR($F204),Preisindex,5,FALSE),2),IF(AND($E204&lt;&gt;0,$F204&gt;0,YEAR($F204)&gt;=Preisindex!$A$6,YEAR(DL$4)&gt;=YEAR($F204),$K204="b"),ROUND(VLOOKUP(DQ$4,Preisindex,3,FALSE)/VLOOKUP(YEAR($F204),Preisindex,3,FALSE),2),IF(AND($E204&lt;&gt;0,$F204&gt;0,YEAR($F204)&gt;=Preisindex!$A$6,YEAR(DL$4)&gt;=YEAR($F204),$K204="g"),ROUND(VLOOKUP(DQ$4,Preisindex,4,FALSE)/VLOOKUP(YEAR($F204),Preisindex,4,FALSE),2),IF(AND($E204&lt;&gt;0,$F204&gt;0,YEAR($F204)&gt;=Preisindex!$A$6,YEAR(DL$4)&gt;=YEAR($F204),$K204="k"),ROUND(VLOOKUP(DQ$4,Preisindex,2,FALSE)/VLOOKUP(YEAR($F204),Preisindex,2,FALSE),2),0)))))</f>
        <v>0</v>
      </c>
      <c r="DR204" s="56">
        <f>IF(AND($E204&lt;&gt;0,$F204&gt;0,YEAR($F204)&lt;Preisindex!$A$6,YEAR(DL$4)&gt;=YEAR($F204),AND($K204&lt;&gt;"a",$K204&lt;&gt;"b",$K204&lt;&gt;"g",$K204&lt;&gt;"k")),1,IF(AND($E204&lt;&gt;0,$F204&gt;0,YEAR($F204)&lt;Preisindex!$A$6,YEAR(DL$4)&gt;=YEAR($F204),$K204="a"),ROUND(VLOOKUP(DQ$4,Preisindex,5,FALSE)/VLOOKUP(Preisindex!$A$6,Preisindex,5,FALSE),2),IF(AND($E204&lt;&gt;0,$F204&gt;0,YEAR($F204)&lt;Preisindex!$A$6,YEAR(DL$4)&gt;=YEAR($F204),$K204="b"),ROUND(VLOOKUP(DQ$4,Preisindex,3,FALSE)/VLOOKUP(Preisindex!$A$6,Preisindex,3,FALSE),2),IF(AND($E204&lt;&gt;0,$F204&gt;0,YEAR($F204)&lt;Preisindex!$A$6,YEAR(DL$4)&gt;=YEAR($F204),$K204="g"),ROUND(VLOOKUP(DQ$4,Preisindex,4,FALSE)/VLOOKUP(Preisindex!$A$6,Preisindex,4,FALSE),2),IF(AND($E204&lt;&gt;0,$F204&gt;0,YEAR($F204)&lt;Preisindex!$A$6,YEAR(DL$4)&gt;=YEAR($F204),$K204="k"),ROUND(VLOOKUP(DQ$4,Preisindex,2,FALSE)/VLOOKUP(Preisindex!$A$6,Preisindex,2,FALSE),2),0)))))</f>
        <v>0</v>
      </c>
      <c r="DS204" s="51">
        <f>IF(AND($E204&lt;&gt;0,$F204&gt;0,YEAR($F204)&lt;=DQ$4,YEAR($F204)&gt;=Preisindex!$A$6),ROUND($E204*DQ204,2),IF(AND($E204&lt;&gt;0,$F204&gt;0,YEAR($F204)&lt;=DQ$4,YEAR($F204)&lt;Preisindex!$A$6),ROUND($E204*DR204,2),0))</f>
        <v>0</v>
      </c>
      <c r="DT204" s="53">
        <f t="shared" si="664"/>
        <v>0</v>
      </c>
      <c r="DU204" s="51">
        <f t="shared" si="656"/>
        <v>0</v>
      </c>
      <c r="DV204" s="51">
        <f t="shared" si="604"/>
        <v>0</v>
      </c>
      <c r="DW204" s="51">
        <f t="shared" si="665"/>
        <v>0</v>
      </c>
      <c r="DX204" s="51">
        <f t="shared" si="605"/>
        <v>0</v>
      </c>
      <c r="DY204" s="51">
        <f t="shared" si="666"/>
        <v>0</v>
      </c>
      <c r="DZ204" s="51">
        <f t="shared" si="606"/>
        <v>0</v>
      </c>
      <c r="EA204" s="51">
        <f t="shared" si="667"/>
        <v>0</v>
      </c>
      <c r="EB204" s="51">
        <f t="shared" si="607"/>
        <v>0</v>
      </c>
      <c r="EC204" s="51">
        <f t="shared" si="668"/>
        <v>0</v>
      </c>
      <c r="ED204" s="51">
        <f t="shared" si="608"/>
        <v>0</v>
      </c>
      <c r="EE204" s="51">
        <f t="shared" si="669"/>
        <v>0</v>
      </c>
      <c r="EF204" s="54">
        <f t="shared" si="670"/>
        <v>0</v>
      </c>
      <c r="EG204" s="55">
        <f t="shared" si="671"/>
        <v>0</v>
      </c>
      <c r="EH204" s="56">
        <f>IF(AND($E204&lt;&gt;0,$F204&gt;0,YEAR($F204)&gt;=Preisindex!$A$6,YEAR(EC$4)&gt;=YEAR($F204),AND($K204&lt;&gt;"a",$K204&lt;&gt;"b",$K204&lt;&gt;"g",$K204&lt;&gt;"k")),1,IF(AND($E204&lt;&gt;0,$F204&gt;0,YEAR($F204)&gt;=Preisindex!$A$6,YEAR(EC$4)&gt;=YEAR($F204),$K204="a"),ROUND(VLOOKUP(EH$4,Preisindex,5,FALSE)/VLOOKUP(YEAR($F204),Preisindex,5,FALSE),2),IF(AND($E204&lt;&gt;0,$F204&gt;0,YEAR($F204)&gt;=Preisindex!$A$6,YEAR(EC$4)&gt;=YEAR($F204),$K204="b"),ROUND(VLOOKUP(EH$4,Preisindex,3,FALSE)/VLOOKUP(YEAR($F204),Preisindex,3,FALSE),2),IF(AND($E204&lt;&gt;0,$F204&gt;0,YEAR($F204)&gt;=Preisindex!$A$6,YEAR(EC$4)&gt;=YEAR($F204),$K204="g"),ROUND(VLOOKUP(EH$4,Preisindex,4,FALSE)/VLOOKUP(YEAR($F204),Preisindex,4,FALSE),2),IF(AND($E204&lt;&gt;0,$F204&gt;0,YEAR($F204)&gt;=Preisindex!$A$6,YEAR(EC$4)&gt;=YEAR($F204),$K204="k"),ROUND(VLOOKUP(EH$4,Preisindex,2,FALSE)/VLOOKUP(YEAR($F204),Preisindex,2,FALSE),2),0)))))</f>
        <v>0</v>
      </c>
      <c r="EI204" s="56">
        <f>IF(AND($E204&lt;&gt;0,$F204&gt;0,YEAR($F204)&lt;Preisindex!$A$6,YEAR(EC$4)&gt;=YEAR($F204),AND($K204&lt;&gt;"a",$K204&lt;&gt;"b",$K204&lt;&gt;"g",$K204&lt;&gt;"k")),1,IF(AND($E204&lt;&gt;0,$F204&gt;0,YEAR($F204)&lt;Preisindex!$A$6,YEAR(EC$4)&gt;=YEAR($F204),$K204="a"),ROUND(VLOOKUP(EH$4,Preisindex,5,FALSE)/VLOOKUP(Preisindex!$A$6,Preisindex,5,FALSE),2),IF(AND($E204&lt;&gt;0,$F204&gt;0,YEAR($F204)&lt;Preisindex!$A$6,YEAR(EC$4)&gt;=YEAR($F204),$K204="b"),ROUND(VLOOKUP(EH$4,Preisindex,3,FALSE)/VLOOKUP(Preisindex!$A$6,Preisindex,3,FALSE),2),IF(AND($E204&lt;&gt;0,$F204&gt;0,YEAR($F204)&lt;Preisindex!$A$6,YEAR(EC$4)&gt;=YEAR($F204),$K204="g"),ROUND(VLOOKUP(EH$4,Preisindex,4,FALSE)/VLOOKUP(Preisindex!$A$6,Preisindex,4,FALSE),2),IF(AND($E204&lt;&gt;0,$F204&gt;0,YEAR($F204)&lt;Preisindex!$A$6,YEAR(EC$4)&gt;=YEAR($F204),$K204="k"),ROUND(VLOOKUP(EH$4,Preisindex,2,FALSE)/VLOOKUP(Preisindex!$A$6,Preisindex,2,FALSE),2),0)))))</f>
        <v>0</v>
      </c>
      <c r="EJ204" s="51">
        <f>IF(AND($E204&lt;&gt;0,$F204&gt;0,YEAR($F204)&lt;=EH$4,YEAR($F204)&gt;=Preisindex!$A$6),ROUND($E204*EH204,2),IF(AND($E204&lt;&gt;0,$F204&gt;0,YEAR($F204)&lt;=EH$4,YEAR($F204)&lt;Preisindex!$A$6),ROUND($E204*EI204,2),0))</f>
        <v>0</v>
      </c>
      <c r="EK204" s="53">
        <f t="shared" si="672"/>
        <v>0</v>
      </c>
      <c r="EL204" s="51">
        <f t="shared" si="656"/>
        <v>0</v>
      </c>
      <c r="EM204" s="51">
        <f t="shared" si="609"/>
        <v>0</v>
      </c>
      <c r="EN204" s="51">
        <f t="shared" si="673"/>
        <v>0</v>
      </c>
      <c r="EO204" s="51">
        <f t="shared" si="610"/>
        <v>0</v>
      </c>
      <c r="EP204" s="51">
        <f t="shared" si="674"/>
        <v>0</v>
      </c>
      <c r="EQ204" s="51">
        <f t="shared" si="611"/>
        <v>0</v>
      </c>
      <c r="ER204" s="51">
        <f t="shared" si="675"/>
        <v>0</v>
      </c>
      <c r="ES204" s="51">
        <f t="shared" si="612"/>
        <v>0</v>
      </c>
      <c r="ET204" s="51">
        <f t="shared" si="676"/>
        <v>0</v>
      </c>
      <c r="EU204" s="51">
        <f t="shared" si="613"/>
        <v>0</v>
      </c>
      <c r="EV204" s="51">
        <f t="shared" si="677"/>
        <v>0</v>
      </c>
      <c r="EW204" s="54">
        <f t="shared" si="678"/>
        <v>0</v>
      </c>
      <c r="EX204" s="55">
        <f t="shared" si="679"/>
        <v>0</v>
      </c>
      <c r="EY204" s="56">
        <f>IF(AND($E204&lt;&gt;0,$F204&gt;0,YEAR($F204)&gt;=Preisindex!$A$6,YEAR(ET$4)&gt;=YEAR($F204),AND($K204&lt;&gt;"a",$K204&lt;&gt;"b",$K204&lt;&gt;"g",$K204&lt;&gt;"k")),1,IF(AND($E204&lt;&gt;0,$F204&gt;0,YEAR($F204)&gt;=Preisindex!$A$6,YEAR(ET$4)&gt;=YEAR($F204),$K204="a"),ROUND(VLOOKUP(EY$4,Preisindex,5,FALSE)/VLOOKUP(YEAR($F204),Preisindex,5,FALSE),2),IF(AND($E204&lt;&gt;0,$F204&gt;0,YEAR($F204)&gt;=Preisindex!$A$6,YEAR(ET$4)&gt;=YEAR($F204),$K204="b"),ROUND(VLOOKUP(EY$4,Preisindex,3,FALSE)/VLOOKUP(YEAR($F204),Preisindex,3,FALSE),2),IF(AND($E204&lt;&gt;0,$F204&gt;0,YEAR($F204)&gt;=Preisindex!$A$6,YEAR(ET$4)&gt;=YEAR($F204),$K204="g"),ROUND(VLOOKUP(EY$4,Preisindex,4,FALSE)/VLOOKUP(YEAR($F204),Preisindex,4,FALSE),2),IF(AND($E204&lt;&gt;0,$F204&gt;0,YEAR($F204)&gt;=Preisindex!$A$6,YEAR(ET$4)&gt;=YEAR($F204),$K204="k"),ROUND(VLOOKUP(EY$4,Preisindex,2,FALSE)/VLOOKUP(YEAR($F204),Preisindex,2,FALSE),2),0)))))</f>
        <v>0</v>
      </c>
      <c r="EZ204" s="56">
        <f>IF(AND($E204&lt;&gt;0,$F204&gt;0,YEAR($F204)&lt;Preisindex!$A$6,YEAR(ET$4)&gt;=YEAR($F204),AND($K204&lt;&gt;"a",$K204&lt;&gt;"b",$K204&lt;&gt;"g",$K204&lt;&gt;"k")),1,IF(AND($E204&lt;&gt;0,$F204&gt;0,YEAR($F204)&lt;Preisindex!$A$6,YEAR(ET$4)&gt;=YEAR($F204),$K204="a"),ROUND(VLOOKUP(EY$4,Preisindex,5,FALSE)/VLOOKUP(Preisindex!$A$6,Preisindex,5,FALSE),2),IF(AND($E204&lt;&gt;0,$F204&gt;0,YEAR($F204)&lt;Preisindex!$A$6,YEAR(ET$4)&gt;=YEAR($F204),$K204="b"),ROUND(VLOOKUP(EY$4,Preisindex,3,FALSE)/VLOOKUP(Preisindex!$A$6,Preisindex,3,FALSE),2),IF(AND($E204&lt;&gt;0,$F204&gt;0,YEAR($F204)&lt;Preisindex!$A$6,YEAR(ET$4)&gt;=YEAR($F204),$K204="g"),ROUND(VLOOKUP(EY$4,Preisindex,4,FALSE)/VLOOKUP(Preisindex!$A$6,Preisindex,4,FALSE),2),IF(AND($E204&lt;&gt;0,$F204&gt;0,YEAR($F204)&lt;Preisindex!$A$6,YEAR(ET$4)&gt;=YEAR($F204),$K204="k"),ROUND(VLOOKUP(EY$4,Preisindex,2,FALSE)/VLOOKUP(Preisindex!$A$6,Preisindex,2,FALSE),2),0)))))</f>
        <v>0</v>
      </c>
      <c r="FA204" s="51">
        <f>IF(AND($E204&lt;&gt;0,$F204&gt;0,YEAR($F204)&lt;=EY$4,YEAR($F204)&gt;=Preisindex!$A$6),ROUND($E204*EY204,2),IF(AND($E204&lt;&gt;0,$F204&gt;0,YEAR($F204)&lt;=EY$4,YEAR($F204)&lt;Preisindex!$A$6),ROUND($E204*EZ204,2),0))</f>
        <v>0</v>
      </c>
      <c r="FB204" s="53">
        <f t="shared" si="680"/>
        <v>0</v>
      </c>
      <c r="FC204" s="51">
        <f t="shared" si="656"/>
        <v>0</v>
      </c>
      <c r="FD204" s="51">
        <f t="shared" si="614"/>
        <v>0</v>
      </c>
      <c r="FE204" s="51">
        <f t="shared" si="681"/>
        <v>0</v>
      </c>
      <c r="FF204" s="51">
        <f t="shared" si="615"/>
        <v>0</v>
      </c>
      <c r="FG204" s="51">
        <f t="shared" si="682"/>
        <v>0</v>
      </c>
      <c r="FH204" s="51">
        <f t="shared" si="616"/>
        <v>0</v>
      </c>
      <c r="FI204" s="51">
        <f t="shared" si="683"/>
        <v>0</v>
      </c>
      <c r="FJ204" s="51">
        <f t="shared" si="617"/>
        <v>0</v>
      </c>
      <c r="FK204" s="51">
        <f t="shared" si="684"/>
        <v>0</v>
      </c>
      <c r="FL204" s="51">
        <f t="shared" si="618"/>
        <v>0</v>
      </c>
      <c r="FM204" s="51">
        <f t="shared" si="685"/>
        <v>0</v>
      </c>
      <c r="FN204" s="54">
        <f t="shared" si="686"/>
        <v>0</v>
      </c>
      <c r="FO204" s="55">
        <f t="shared" si="687"/>
        <v>0</v>
      </c>
      <c r="FP204" s="56">
        <f>IF(AND($E204&lt;&gt;0,$F204&gt;0,YEAR($F204)&gt;=Preisindex!$A$6,YEAR(FK$4)&gt;=YEAR($F204),AND($K204&lt;&gt;"a",$K204&lt;&gt;"b",$K204&lt;&gt;"g",$K204&lt;&gt;"k")),1,IF(AND($E204&lt;&gt;0,$F204&gt;0,YEAR($F204)&gt;=Preisindex!$A$6,YEAR(FK$4)&gt;=YEAR($F204),$K204="a"),ROUND(VLOOKUP(FP$4,Preisindex,5,FALSE)/VLOOKUP(YEAR($F204),Preisindex,5,FALSE),2),IF(AND($E204&lt;&gt;0,$F204&gt;0,YEAR($F204)&gt;=Preisindex!$A$6,YEAR(FK$4)&gt;=YEAR($F204),$K204="b"),ROUND(VLOOKUP(FP$4,Preisindex,3,FALSE)/VLOOKUP(YEAR($F204),Preisindex,3,FALSE),2),IF(AND($E204&lt;&gt;0,$F204&gt;0,YEAR($F204)&gt;=Preisindex!$A$6,YEAR(FK$4)&gt;=YEAR($F204),$K204="g"),ROUND(VLOOKUP(FP$4,Preisindex,4,FALSE)/VLOOKUP(YEAR($F204),Preisindex,4,FALSE),2),IF(AND($E204&lt;&gt;0,$F204&gt;0,YEAR($F204)&gt;=Preisindex!$A$6,YEAR(FK$4)&gt;=YEAR($F204),$K204="k"),ROUND(VLOOKUP(FP$4,Preisindex,2,FALSE)/VLOOKUP(YEAR($F204),Preisindex,2,FALSE),2),0)))))</f>
        <v>0</v>
      </c>
      <c r="FQ204" s="56">
        <f>IF(AND($E204&lt;&gt;0,$F204&gt;0,YEAR($F204)&lt;Preisindex!$A$6,YEAR(FK$4)&gt;=YEAR($F204),AND($K204&lt;&gt;"a",$K204&lt;&gt;"b",$K204&lt;&gt;"g",$K204&lt;&gt;"k")),1,IF(AND($E204&lt;&gt;0,$F204&gt;0,YEAR($F204)&lt;Preisindex!$A$6,YEAR(FK$4)&gt;=YEAR($F204),$K204="a"),ROUND(VLOOKUP(FP$4,Preisindex,5,FALSE)/VLOOKUP(Preisindex!$A$6,Preisindex,5,FALSE),2),IF(AND($E204&lt;&gt;0,$F204&gt;0,YEAR($F204)&lt;Preisindex!$A$6,YEAR(FK$4)&gt;=YEAR($F204),$K204="b"),ROUND(VLOOKUP(FP$4,Preisindex,3,FALSE)/VLOOKUP(Preisindex!$A$6,Preisindex,3,FALSE),2),IF(AND($E204&lt;&gt;0,$F204&gt;0,YEAR($F204)&lt;Preisindex!$A$6,YEAR(FK$4)&gt;=YEAR($F204),$K204="g"),ROUND(VLOOKUP(FP$4,Preisindex,4,FALSE)/VLOOKUP(Preisindex!$A$6,Preisindex,4,FALSE),2),IF(AND($E204&lt;&gt;0,$F204&gt;0,YEAR($F204)&lt;Preisindex!$A$6,YEAR(FK$4)&gt;=YEAR($F204),$K204="k"),ROUND(VLOOKUP(FP$4,Preisindex,2,FALSE)/VLOOKUP(Preisindex!$A$6,Preisindex,2,FALSE),2),0)))))</f>
        <v>0</v>
      </c>
      <c r="FR204" s="51">
        <f>IF(AND($E204&lt;&gt;0,$F204&gt;0,YEAR($F204)&lt;=FP$4,YEAR($F204)&gt;=Preisindex!$A$6),ROUND($E204*FP204,2),IF(AND($E204&lt;&gt;0,$F204&gt;0,YEAR($F204)&lt;=FP$4,YEAR($F204)&lt;Preisindex!$A$6),ROUND($E204*FQ204,2),0))</f>
        <v>0</v>
      </c>
      <c r="FS204" s="53">
        <f t="shared" si="688"/>
        <v>0</v>
      </c>
    </row>
    <row r="205" spans="1:175" x14ac:dyDescent="0.3">
      <c r="A205" s="93"/>
      <c r="B205" s="94"/>
      <c r="C205" s="94"/>
      <c r="D205" s="95"/>
      <c r="E205" s="99"/>
      <c r="F205" s="97"/>
      <c r="G205" s="98"/>
      <c r="H205" s="620"/>
      <c r="I205" s="621"/>
      <c r="J205" s="194"/>
      <c r="K205" s="630"/>
      <c r="L205" s="49">
        <f t="shared" si="689"/>
        <v>0</v>
      </c>
      <c r="M205" s="50">
        <f t="shared" si="690"/>
        <v>0</v>
      </c>
      <c r="N205" s="51">
        <f t="shared" si="691"/>
        <v>0</v>
      </c>
      <c r="O205" s="51"/>
      <c r="P205" s="51">
        <f t="shared" si="692"/>
        <v>0</v>
      </c>
      <c r="Q205" s="52"/>
      <c r="R205" s="52"/>
      <c r="S205" s="52"/>
      <c r="T205" s="52"/>
      <c r="U205" s="52"/>
      <c r="V205" s="53">
        <f t="shared" si="693"/>
        <v>0</v>
      </c>
      <c r="W205" s="51">
        <f t="shared" si="694"/>
        <v>0</v>
      </c>
      <c r="X205" s="51">
        <f t="shared" si="695"/>
        <v>0</v>
      </c>
      <c r="Y205" s="51">
        <f t="shared" si="696"/>
        <v>0</v>
      </c>
      <c r="Z205" s="51">
        <f t="shared" si="697"/>
        <v>0</v>
      </c>
      <c r="AA205" s="51">
        <f t="shared" si="698"/>
        <v>0</v>
      </c>
      <c r="AB205" s="51">
        <f t="shared" si="699"/>
        <v>0</v>
      </c>
      <c r="AC205" s="51">
        <f t="shared" si="700"/>
        <v>0</v>
      </c>
      <c r="AD205" s="51">
        <f t="shared" si="701"/>
        <v>0</v>
      </c>
      <c r="AE205" s="51">
        <f t="shared" si="702"/>
        <v>0</v>
      </c>
      <c r="AF205" s="51">
        <f t="shared" si="703"/>
        <v>0</v>
      </c>
      <c r="AG205" s="51">
        <f t="shared" si="704"/>
        <v>0</v>
      </c>
      <c r="AH205" s="54">
        <f t="shared" si="705"/>
        <v>0</v>
      </c>
      <c r="AI205" s="55">
        <f t="shared" si="706"/>
        <v>0</v>
      </c>
      <c r="AJ205" s="56">
        <f>IF(AND($E205&lt;&gt;0,$F205&gt;0,YEAR($F205)&gt;=Preisindex!$A$6,YEAR(AE$4)&gt;=YEAR($F205),AND($K205&lt;&gt;"a",$K205&lt;&gt;"b",$K205&lt;&gt;"g",$K205&lt;&gt;"k")),1,IF(AND($E205&lt;&gt;0,$F205&gt;0,YEAR($F205)&gt;=Preisindex!$A$6,YEAR(AE$4)&gt;=YEAR($F205),$K205="a"),ROUND(VLOOKUP(AJ$4,Preisindex,5,FALSE)/VLOOKUP(YEAR($F205),Preisindex,5,FALSE),2),IF(AND($E205&lt;&gt;0,$F205&gt;0,YEAR($F205)&gt;=Preisindex!$A$6,YEAR(AE$4)&gt;=YEAR($F205),$K205="b"),ROUND(VLOOKUP(AJ$4,Preisindex,3,FALSE)/VLOOKUP(YEAR($F205),Preisindex,3,FALSE),2),IF(AND($E205&lt;&gt;0,$F205&gt;0,YEAR($F205)&gt;=Preisindex!$A$6,YEAR(AE$4)&gt;=YEAR($F205),$K205="g"),ROUND(VLOOKUP(AJ$4,Preisindex,4,FALSE)/VLOOKUP(YEAR($F205),Preisindex,4,FALSE),2),IF(AND($E205&lt;&gt;0,$F205&gt;0,YEAR($F205)&gt;=Preisindex!$A$6,YEAR(AE$4)&gt;=YEAR($F205),$K205="k"),ROUND(VLOOKUP(AJ$4,Preisindex,2,FALSE)/VLOOKUP(YEAR($F205),Preisindex,2,FALSE),2),0)))))</f>
        <v>0</v>
      </c>
      <c r="AK205" s="56">
        <f>IF(AND($E205&lt;&gt;0,$F205&gt;0,YEAR($F205)&lt;Preisindex!$A$6,YEAR(AE$4)&gt;=YEAR($F205),AND($K205&lt;&gt;"a",$K205&lt;&gt;"b",$K205&lt;&gt;"g",$K205&lt;&gt;"k")),1,IF(AND($E205&lt;&gt;0,$F205&gt;0,YEAR($F205)&lt;Preisindex!$A$6,YEAR(AE$4)&gt;=YEAR($F205),$K205="a"),ROUND(VLOOKUP(AJ$4,Preisindex,5,FALSE)/VLOOKUP(Preisindex!$A$6,Preisindex,5,FALSE),2),IF(AND($E205&lt;&gt;0,$F205&gt;0,YEAR($F205)&lt;Preisindex!$A$6,YEAR(AE$4)&gt;=YEAR($F205),$K205="b"),ROUND(VLOOKUP(AJ$4,Preisindex,3,FALSE)/VLOOKUP(Preisindex!$A$6,Preisindex,3,FALSE),2),IF(AND($E205&lt;&gt;0,$F205&gt;0,YEAR($F205)&lt;Preisindex!$A$6,YEAR(AE$4)&gt;=YEAR($F205),$K205="g"),ROUND(VLOOKUP(AJ$4,Preisindex,4,FALSE)/VLOOKUP(Preisindex!$A$6,Preisindex,4,FALSE),2),IF(AND($E205&lt;&gt;0,$F205&gt;0,YEAR($F205)&lt;Preisindex!$A$6,YEAR(AE$4)&gt;=YEAR($F205),$K205="k"),ROUND(VLOOKUP(AJ$4,Preisindex,2,FALSE)/VLOOKUP(Preisindex!$A$6,Preisindex,2,FALSE),2),0)))))</f>
        <v>0</v>
      </c>
      <c r="AL205" s="51">
        <f>IF(AND($E205&lt;&gt;0,$F205&gt;0,YEAR($F205)&lt;=AJ$4,YEAR($F205)&gt;=Preisindex!$A$6),ROUND($E205*AJ205,2),IF(AND($E205&lt;&gt;0,$F205&gt;0,YEAR($F205)&lt;=AJ$4,YEAR($F205)&lt;Preisindex!$A$6),ROUND($E205*AK205,2),0))</f>
        <v>0</v>
      </c>
      <c r="AM205" s="53">
        <f t="shared" si="707"/>
        <v>0</v>
      </c>
      <c r="AN205" s="51">
        <f t="shared" si="623"/>
        <v>0</v>
      </c>
      <c r="AO205" s="51">
        <f t="shared" si="579"/>
        <v>0</v>
      </c>
      <c r="AP205" s="51">
        <f t="shared" si="624"/>
        <v>0</v>
      </c>
      <c r="AQ205" s="51">
        <f t="shared" si="580"/>
        <v>0</v>
      </c>
      <c r="AR205" s="51">
        <f t="shared" si="625"/>
        <v>0</v>
      </c>
      <c r="AS205" s="51">
        <f t="shared" si="581"/>
        <v>0</v>
      </c>
      <c r="AT205" s="51">
        <f t="shared" si="626"/>
        <v>0</v>
      </c>
      <c r="AU205" s="51">
        <f t="shared" si="582"/>
        <v>0</v>
      </c>
      <c r="AV205" s="51">
        <f t="shared" si="627"/>
        <v>0</v>
      </c>
      <c r="AW205" s="51">
        <f t="shared" si="583"/>
        <v>0</v>
      </c>
      <c r="AX205" s="51">
        <f t="shared" si="628"/>
        <v>0</v>
      </c>
      <c r="AY205" s="54">
        <f t="shared" si="629"/>
        <v>0</v>
      </c>
      <c r="AZ205" s="55">
        <f t="shared" si="630"/>
        <v>0</v>
      </c>
      <c r="BA205" s="56">
        <f>IF(AND($E205&lt;&gt;0,$F205&gt;0,YEAR($F205)&gt;=Preisindex!$A$6,YEAR(AV$4)&gt;=YEAR($F205),AND($K205&lt;&gt;"a",$K205&lt;&gt;"b",$K205&lt;&gt;"g",$K205&lt;&gt;"k")),1,IF(AND($E205&lt;&gt;0,$F205&gt;0,YEAR($F205)&gt;=Preisindex!$A$6,YEAR(AV$4)&gt;=YEAR($F205),$K205="a"),ROUND(VLOOKUP(BA$4,Preisindex,5,FALSE)/VLOOKUP(YEAR($F205),Preisindex,5,FALSE),2),IF(AND($E205&lt;&gt;0,$F205&gt;0,YEAR($F205)&gt;=Preisindex!$A$6,YEAR(AV$4)&gt;=YEAR($F205),$K205="b"),ROUND(VLOOKUP(BA$4,Preisindex,3,FALSE)/VLOOKUP(YEAR($F205),Preisindex,3,FALSE),2),IF(AND($E205&lt;&gt;0,$F205&gt;0,YEAR($F205)&gt;=Preisindex!$A$6,YEAR(AV$4)&gt;=YEAR($F205),$K205="g"),ROUND(VLOOKUP(BA$4,Preisindex,4,FALSE)/VLOOKUP(YEAR($F205),Preisindex,4,FALSE),2),IF(AND($E205&lt;&gt;0,$F205&gt;0,YEAR($F205)&gt;=Preisindex!$A$6,YEAR(AV$4)&gt;=YEAR($F205),$K205="k"),ROUND(VLOOKUP(BA$4,Preisindex,2,FALSE)/VLOOKUP(YEAR($F205),Preisindex,2,FALSE),2),0)))))</f>
        <v>0</v>
      </c>
      <c r="BB205" s="56">
        <f>IF(AND($E205&lt;&gt;0,$F205&gt;0,YEAR($F205)&lt;Preisindex!$A$6,YEAR(AV$4)&gt;=YEAR($F205),AND($K205&lt;&gt;"a",$K205&lt;&gt;"b",$K205&lt;&gt;"g",$K205&lt;&gt;"k")),1,IF(AND($E205&lt;&gt;0,$F205&gt;0,YEAR($F205)&lt;Preisindex!$A$6,YEAR(AV$4)&gt;=YEAR($F205),$K205="a"),ROUND(VLOOKUP(BA$4,Preisindex,5,FALSE)/VLOOKUP(Preisindex!$A$6,Preisindex,5,FALSE),2),IF(AND($E205&lt;&gt;0,$F205&gt;0,YEAR($F205)&lt;Preisindex!$A$6,YEAR(AV$4)&gt;=YEAR($F205),$K205="b"),ROUND(VLOOKUP(BA$4,Preisindex,3,FALSE)/VLOOKUP(Preisindex!$A$6,Preisindex,3,FALSE),2),IF(AND($E205&lt;&gt;0,$F205&gt;0,YEAR($F205)&lt;Preisindex!$A$6,YEAR(AV$4)&gt;=YEAR($F205),$K205="g"),ROUND(VLOOKUP(BA$4,Preisindex,4,FALSE)/VLOOKUP(Preisindex!$A$6,Preisindex,4,FALSE),2),IF(AND($E205&lt;&gt;0,$F205&gt;0,YEAR($F205)&lt;Preisindex!$A$6,YEAR(AV$4)&gt;=YEAR($F205),$K205="k"),ROUND(VLOOKUP(BA$4,Preisindex,2,FALSE)/VLOOKUP(Preisindex!$A$6,Preisindex,2,FALSE),2),0)))))</f>
        <v>0</v>
      </c>
      <c r="BC205" s="51">
        <f>IF(AND($E205&lt;&gt;0,$F205&gt;0,YEAR($F205)&lt;=BA$4,YEAR($F205)&gt;=Preisindex!$A$6),ROUND($E205*BA205,2),IF(AND($E205&lt;&gt;0,$F205&gt;0,YEAR($F205)&lt;=BA$4,YEAR($F205)&lt;Preisindex!$A$6),ROUND($E205*BB205,2),0))</f>
        <v>0</v>
      </c>
      <c r="BD205" s="53">
        <f t="shared" si="631"/>
        <v>0</v>
      </c>
      <c r="BE205" s="51">
        <f t="shared" si="623"/>
        <v>0</v>
      </c>
      <c r="BF205" s="51">
        <f t="shared" si="584"/>
        <v>0</v>
      </c>
      <c r="BG205" s="51">
        <f t="shared" si="632"/>
        <v>0</v>
      </c>
      <c r="BH205" s="51">
        <f t="shared" si="585"/>
        <v>0</v>
      </c>
      <c r="BI205" s="51">
        <f t="shared" si="633"/>
        <v>0</v>
      </c>
      <c r="BJ205" s="51">
        <f t="shared" si="586"/>
        <v>0</v>
      </c>
      <c r="BK205" s="51">
        <f t="shared" si="634"/>
        <v>0</v>
      </c>
      <c r="BL205" s="51">
        <f t="shared" si="587"/>
        <v>0</v>
      </c>
      <c r="BM205" s="51">
        <f t="shared" si="635"/>
        <v>0</v>
      </c>
      <c r="BN205" s="51">
        <f t="shared" si="588"/>
        <v>0</v>
      </c>
      <c r="BO205" s="51">
        <f t="shared" si="636"/>
        <v>0</v>
      </c>
      <c r="BP205" s="54">
        <f t="shared" si="637"/>
        <v>0</v>
      </c>
      <c r="BQ205" s="55">
        <f t="shared" si="638"/>
        <v>0</v>
      </c>
      <c r="BR205" s="56">
        <f>IF(AND($E205&lt;&gt;0,$F205&gt;0,YEAR($F205)&gt;=Preisindex!$A$6,YEAR(BM$4)&gt;=YEAR($F205),AND($K205&lt;&gt;"a",$K205&lt;&gt;"b",$K205&lt;&gt;"g",$K205&lt;&gt;"k")),1,IF(AND($E205&lt;&gt;0,$F205&gt;0,YEAR($F205)&gt;=Preisindex!$A$6,YEAR(BM$4)&gt;=YEAR($F205),$K205="a"),ROUND(VLOOKUP(BR$4,Preisindex,5,FALSE)/VLOOKUP(YEAR($F205),Preisindex,5,FALSE),2),IF(AND($E205&lt;&gt;0,$F205&gt;0,YEAR($F205)&gt;=Preisindex!$A$6,YEAR(BM$4)&gt;=YEAR($F205),$K205="b"),ROUND(VLOOKUP(BR$4,Preisindex,3,FALSE)/VLOOKUP(YEAR($F205),Preisindex,3,FALSE),2),IF(AND($E205&lt;&gt;0,$F205&gt;0,YEAR($F205)&gt;=Preisindex!$A$6,YEAR(BM$4)&gt;=YEAR($F205),$K205="g"),ROUND(VLOOKUP(BR$4,Preisindex,4,FALSE)/VLOOKUP(YEAR($F205),Preisindex,4,FALSE),2),IF(AND($E205&lt;&gt;0,$F205&gt;0,YEAR($F205)&gt;=Preisindex!$A$6,YEAR(BM$4)&gt;=YEAR($F205),$K205="k"),ROUND(VLOOKUP(BR$4,Preisindex,2,FALSE)/VLOOKUP(YEAR($F205),Preisindex,2,FALSE),2),0)))))</f>
        <v>0</v>
      </c>
      <c r="BS205" s="56">
        <f>IF(AND($E205&lt;&gt;0,$F205&gt;0,YEAR($F205)&lt;Preisindex!$A$6,YEAR(BM$4)&gt;=YEAR($F205),AND($K205&lt;&gt;"a",$K205&lt;&gt;"b",$K205&lt;&gt;"g",$K205&lt;&gt;"k")),1,IF(AND($E205&lt;&gt;0,$F205&gt;0,YEAR($F205)&lt;Preisindex!$A$6,YEAR(BM$4)&gt;=YEAR($F205),$K205="a"),ROUND(VLOOKUP(BR$4,Preisindex,5,FALSE)/VLOOKUP(Preisindex!$A$6,Preisindex,5,FALSE),2),IF(AND($E205&lt;&gt;0,$F205&gt;0,YEAR($F205)&lt;Preisindex!$A$6,YEAR(BM$4)&gt;=YEAR($F205),$K205="b"),ROUND(VLOOKUP(BR$4,Preisindex,3,FALSE)/VLOOKUP(Preisindex!$A$6,Preisindex,3,FALSE),2),IF(AND($E205&lt;&gt;0,$F205&gt;0,YEAR($F205)&lt;Preisindex!$A$6,YEAR(BM$4)&gt;=YEAR($F205),$K205="g"),ROUND(VLOOKUP(BR$4,Preisindex,4,FALSE)/VLOOKUP(Preisindex!$A$6,Preisindex,4,FALSE),2),IF(AND($E205&lt;&gt;0,$F205&gt;0,YEAR($F205)&lt;Preisindex!$A$6,YEAR(BM$4)&gt;=YEAR($F205),$K205="k"),ROUND(VLOOKUP(BR$4,Preisindex,2,FALSE)/VLOOKUP(Preisindex!$A$6,Preisindex,2,FALSE),2),0)))))</f>
        <v>0</v>
      </c>
      <c r="BT205" s="51">
        <f>IF(AND($E205&lt;&gt;0,$F205&gt;0,YEAR($F205)&lt;=BR$4,YEAR($F205)&gt;=Preisindex!$A$6),ROUND($E205*BR205,2),IF(AND($E205&lt;&gt;0,$F205&gt;0,YEAR($F205)&lt;=BR$4,YEAR($F205)&lt;Preisindex!$A$6),ROUND($E205*BS205,2),0))</f>
        <v>0</v>
      </c>
      <c r="BU205" s="53">
        <f t="shared" si="639"/>
        <v>0</v>
      </c>
      <c r="BV205" s="51">
        <f t="shared" si="623"/>
        <v>0</v>
      </c>
      <c r="BW205" s="51">
        <f t="shared" si="589"/>
        <v>0</v>
      </c>
      <c r="BX205" s="51">
        <f t="shared" si="640"/>
        <v>0</v>
      </c>
      <c r="BY205" s="51">
        <f t="shared" si="590"/>
        <v>0</v>
      </c>
      <c r="BZ205" s="51">
        <f t="shared" si="641"/>
        <v>0</v>
      </c>
      <c r="CA205" s="51">
        <f t="shared" si="591"/>
        <v>0</v>
      </c>
      <c r="CB205" s="51">
        <f t="shared" si="642"/>
        <v>0</v>
      </c>
      <c r="CC205" s="51">
        <f t="shared" si="592"/>
        <v>0</v>
      </c>
      <c r="CD205" s="51">
        <f t="shared" si="643"/>
        <v>0</v>
      </c>
      <c r="CE205" s="51">
        <f t="shared" si="593"/>
        <v>0</v>
      </c>
      <c r="CF205" s="51">
        <f t="shared" si="644"/>
        <v>0</v>
      </c>
      <c r="CG205" s="54">
        <f t="shared" si="645"/>
        <v>0</v>
      </c>
      <c r="CH205" s="55">
        <f t="shared" si="646"/>
        <v>0</v>
      </c>
      <c r="CI205" s="56">
        <f>IF(AND($E205&lt;&gt;0,$F205&gt;0,YEAR($F205)&gt;=Preisindex!$A$6,YEAR(CD$4)&gt;=YEAR($F205),AND($K205&lt;&gt;"a",$K205&lt;&gt;"b",$K205&lt;&gt;"g",$K205&lt;&gt;"k")),1,IF(AND($E205&lt;&gt;0,$F205&gt;0,YEAR($F205)&gt;=Preisindex!$A$6,YEAR(CD$4)&gt;=YEAR($F205),$K205="a"),ROUND(VLOOKUP(CI$4,Preisindex,5,FALSE)/VLOOKUP(YEAR($F205),Preisindex,5,FALSE),2),IF(AND($E205&lt;&gt;0,$F205&gt;0,YEAR($F205)&gt;=Preisindex!$A$6,YEAR(CD$4)&gt;=YEAR($F205),$K205="b"),ROUND(VLOOKUP(CI$4,Preisindex,3,FALSE)/VLOOKUP(YEAR($F205),Preisindex,3,FALSE),2),IF(AND($E205&lt;&gt;0,$F205&gt;0,YEAR($F205)&gt;=Preisindex!$A$6,YEAR(CD$4)&gt;=YEAR($F205),$K205="g"),ROUND(VLOOKUP(CI$4,Preisindex,4,FALSE)/VLOOKUP(YEAR($F205),Preisindex,4,FALSE),2),IF(AND($E205&lt;&gt;0,$F205&gt;0,YEAR($F205)&gt;=Preisindex!$A$6,YEAR(CD$4)&gt;=YEAR($F205),$K205="k"),ROUND(VLOOKUP(CI$4,Preisindex,2,FALSE)/VLOOKUP(YEAR($F205),Preisindex,2,FALSE),2),0)))))</f>
        <v>0</v>
      </c>
      <c r="CJ205" s="56">
        <f>IF(AND($E205&lt;&gt;0,$F205&gt;0,YEAR($F205)&lt;Preisindex!$A$6,YEAR(CD$4)&gt;=YEAR($F205),AND($K205&lt;&gt;"a",$K205&lt;&gt;"b",$K205&lt;&gt;"g",$K205&lt;&gt;"k")),1,IF(AND($E205&lt;&gt;0,$F205&gt;0,YEAR($F205)&lt;Preisindex!$A$6,YEAR(CD$4)&gt;=YEAR($F205),$K205="a"),ROUND(VLOOKUP(CI$4,Preisindex,5,FALSE)/VLOOKUP(Preisindex!$A$6,Preisindex,5,FALSE),2),IF(AND($E205&lt;&gt;0,$F205&gt;0,YEAR($F205)&lt;Preisindex!$A$6,YEAR(CD$4)&gt;=YEAR($F205),$K205="b"),ROUND(VLOOKUP(CI$4,Preisindex,3,FALSE)/VLOOKUP(Preisindex!$A$6,Preisindex,3,FALSE),2),IF(AND($E205&lt;&gt;0,$F205&gt;0,YEAR($F205)&lt;Preisindex!$A$6,YEAR(CD$4)&gt;=YEAR($F205),$K205="g"),ROUND(VLOOKUP(CI$4,Preisindex,4,FALSE)/VLOOKUP(Preisindex!$A$6,Preisindex,4,FALSE),2),IF(AND($E205&lt;&gt;0,$F205&gt;0,YEAR($F205)&lt;Preisindex!$A$6,YEAR(CD$4)&gt;=YEAR($F205),$K205="k"),ROUND(VLOOKUP(CI$4,Preisindex,2,FALSE)/VLOOKUP(Preisindex!$A$6,Preisindex,2,FALSE),2),0)))))</f>
        <v>0</v>
      </c>
      <c r="CK205" s="51">
        <f>IF(AND($E205&lt;&gt;0,$F205&gt;0,YEAR($F205)&lt;=CI$4,YEAR($F205)&gt;=Preisindex!$A$6),ROUND($E205*CI205,2),IF(AND($E205&lt;&gt;0,$F205&gt;0,YEAR($F205)&lt;=CI$4,YEAR($F205)&lt;Preisindex!$A$6),ROUND($E205*CJ205,2),0))</f>
        <v>0</v>
      </c>
      <c r="CL205" s="53">
        <f t="shared" si="647"/>
        <v>0</v>
      </c>
      <c r="CM205" s="51">
        <f t="shared" si="623"/>
        <v>0</v>
      </c>
      <c r="CN205" s="51">
        <f t="shared" si="594"/>
        <v>0</v>
      </c>
      <c r="CO205" s="51">
        <f t="shared" si="648"/>
        <v>0</v>
      </c>
      <c r="CP205" s="51">
        <f t="shared" si="595"/>
        <v>0</v>
      </c>
      <c r="CQ205" s="51">
        <f t="shared" si="649"/>
        <v>0</v>
      </c>
      <c r="CR205" s="51">
        <f t="shared" si="596"/>
        <v>0</v>
      </c>
      <c r="CS205" s="51">
        <f t="shared" si="650"/>
        <v>0</v>
      </c>
      <c r="CT205" s="51">
        <f t="shared" si="597"/>
        <v>0</v>
      </c>
      <c r="CU205" s="51">
        <f t="shared" si="651"/>
        <v>0</v>
      </c>
      <c r="CV205" s="51">
        <f t="shared" si="598"/>
        <v>0</v>
      </c>
      <c r="CW205" s="51">
        <f t="shared" si="652"/>
        <v>0</v>
      </c>
      <c r="CX205" s="54">
        <f t="shared" si="653"/>
        <v>0</v>
      </c>
      <c r="CY205" s="55">
        <f t="shared" si="654"/>
        <v>0</v>
      </c>
      <c r="CZ205" s="56">
        <f>IF(AND($E205&lt;&gt;0,$F205&gt;0,YEAR($F205)&gt;=Preisindex!$A$6,YEAR(CU$4)&gt;=YEAR($F205),AND($K205&lt;&gt;"a",$K205&lt;&gt;"b",$K205&lt;&gt;"g",$K205&lt;&gt;"k")),1,IF(AND($E205&lt;&gt;0,$F205&gt;0,YEAR($F205)&gt;=Preisindex!$A$6,YEAR(CU$4)&gt;=YEAR($F205),$K205="a"),ROUND(VLOOKUP(CZ$4,Preisindex,5,FALSE)/VLOOKUP(YEAR($F205),Preisindex,5,FALSE),2),IF(AND($E205&lt;&gt;0,$F205&gt;0,YEAR($F205)&gt;=Preisindex!$A$6,YEAR(CU$4)&gt;=YEAR($F205),$K205="b"),ROUND(VLOOKUP(CZ$4,Preisindex,3,FALSE)/VLOOKUP(YEAR($F205),Preisindex,3,FALSE),2),IF(AND($E205&lt;&gt;0,$F205&gt;0,YEAR($F205)&gt;=Preisindex!$A$6,YEAR(CU$4)&gt;=YEAR($F205),$K205="g"),ROUND(VLOOKUP(CZ$4,Preisindex,4,FALSE)/VLOOKUP(YEAR($F205),Preisindex,4,FALSE),2),IF(AND($E205&lt;&gt;0,$F205&gt;0,YEAR($F205)&gt;=Preisindex!$A$6,YEAR(CU$4)&gt;=YEAR($F205),$K205="k"),ROUND(VLOOKUP(CZ$4,Preisindex,2,FALSE)/VLOOKUP(YEAR($F205),Preisindex,2,FALSE),2),0)))))</f>
        <v>0</v>
      </c>
      <c r="DA205" s="56">
        <f>IF(AND($E205&lt;&gt;0,$F205&gt;0,YEAR($F205)&lt;Preisindex!$A$6,YEAR(CU$4)&gt;=YEAR($F205),AND($K205&lt;&gt;"a",$K205&lt;&gt;"b",$K205&lt;&gt;"g",$K205&lt;&gt;"k")),1,IF(AND($E205&lt;&gt;0,$F205&gt;0,YEAR($F205)&lt;Preisindex!$A$6,YEAR(CU$4)&gt;=YEAR($F205),$K205="a"),ROUND(VLOOKUP(CZ$4,Preisindex,5,FALSE)/VLOOKUP(Preisindex!$A$6,Preisindex,5,FALSE),2),IF(AND($E205&lt;&gt;0,$F205&gt;0,YEAR($F205)&lt;Preisindex!$A$6,YEAR(CU$4)&gt;=YEAR($F205),$K205="b"),ROUND(VLOOKUP(CZ$4,Preisindex,3,FALSE)/VLOOKUP(Preisindex!$A$6,Preisindex,3,FALSE),2),IF(AND($E205&lt;&gt;0,$F205&gt;0,YEAR($F205)&lt;Preisindex!$A$6,YEAR(CU$4)&gt;=YEAR($F205),$K205="g"),ROUND(VLOOKUP(CZ$4,Preisindex,4,FALSE)/VLOOKUP(Preisindex!$A$6,Preisindex,4,FALSE),2),IF(AND($E205&lt;&gt;0,$F205&gt;0,YEAR($F205)&lt;Preisindex!$A$6,YEAR(CU$4)&gt;=YEAR($F205),$K205="k"),ROUND(VLOOKUP(CZ$4,Preisindex,2,FALSE)/VLOOKUP(Preisindex!$A$6,Preisindex,2,FALSE),2),0)))))</f>
        <v>0</v>
      </c>
      <c r="DB205" s="51">
        <f>IF(AND($E205&lt;&gt;0,$F205&gt;0,YEAR($F205)&lt;=CZ$4,YEAR($F205)&gt;=Preisindex!$A$6),ROUND($E205*CZ205,2),IF(AND($E205&lt;&gt;0,$F205&gt;0,YEAR($F205)&lt;=CZ$4,YEAR($F205)&lt;Preisindex!$A$6),ROUND($E205*DA205,2),0))</f>
        <v>0</v>
      </c>
      <c r="DC205" s="53">
        <f t="shared" si="655"/>
        <v>0</v>
      </c>
      <c r="DD205" s="51">
        <f t="shared" si="656"/>
        <v>0</v>
      </c>
      <c r="DE205" s="51">
        <f t="shared" si="599"/>
        <v>0</v>
      </c>
      <c r="DF205" s="51">
        <f t="shared" si="657"/>
        <v>0</v>
      </c>
      <c r="DG205" s="51">
        <f t="shared" si="600"/>
        <v>0</v>
      </c>
      <c r="DH205" s="51">
        <f t="shared" si="658"/>
        <v>0</v>
      </c>
      <c r="DI205" s="51">
        <f t="shared" si="601"/>
        <v>0</v>
      </c>
      <c r="DJ205" s="51">
        <f t="shared" si="659"/>
        <v>0</v>
      </c>
      <c r="DK205" s="51">
        <f t="shared" si="602"/>
        <v>0</v>
      </c>
      <c r="DL205" s="51">
        <f t="shared" si="660"/>
        <v>0</v>
      </c>
      <c r="DM205" s="51">
        <f t="shared" si="603"/>
        <v>0</v>
      </c>
      <c r="DN205" s="51">
        <f t="shared" si="661"/>
        <v>0</v>
      </c>
      <c r="DO205" s="54">
        <f t="shared" si="662"/>
        <v>0</v>
      </c>
      <c r="DP205" s="55">
        <f t="shared" si="663"/>
        <v>0</v>
      </c>
      <c r="DQ205" s="56">
        <f>IF(AND($E205&lt;&gt;0,$F205&gt;0,YEAR($F205)&gt;=Preisindex!$A$6,YEAR(DL$4)&gt;=YEAR($F205),AND($K205&lt;&gt;"a",$K205&lt;&gt;"b",$K205&lt;&gt;"g",$K205&lt;&gt;"k")),1,IF(AND($E205&lt;&gt;0,$F205&gt;0,YEAR($F205)&gt;=Preisindex!$A$6,YEAR(DL$4)&gt;=YEAR($F205),$K205="a"),ROUND(VLOOKUP(DQ$4,Preisindex,5,FALSE)/VLOOKUP(YEAR($F205),Preisindex,5,FALSE),2),IF(AND($E205&lt;&gt;0,$F205&gt;0,YEAR($F205)&gt;=Preisindex!$A$6,YEAR(DL$4)&gt;=YEAR($F205),$K205="b"),ROUND(VLOOKUP(DQ$4,Preisindex,3,FALSE)/VLOOKUP(YEAR($F205),Preisindex,3,FALSE),2),IF(AND($E205&lt;&gt;0,$F205&gt;0,YEAR($F205)&gt;=Preisindex!$A$6,YEAR(DL$4)&gt;=YEAR($F205),$K205="g"),ROUND(VLOOKUP(DQ$4,Preisindex,4,FALSE)/VLOOKUP(YEAR($F205),Preisindex,4,FALSE),2),IF(AND($E205&lt;&gt;0,$F205&gt;0,YEAR($F205)&gt;=Preisindex!$A$6,YEAR(DL$4)&gt;=YEAR($F205),$K205="k"),ROUND(VLOOKUP(DQ$4,Preisindex,2,FALSE)/VLOOKUP(YEAR($F205),Preisindex,2,FALSE),2),0)))))</f>
        <v>0</v>
      </c>
      <c r="DR205" s="56">
        <f>IF(AND($E205&lt;&gt;0,$F205&gt;0,YEAR($F205)&lt;Preisindex!$A$6,YEAR(DL$4)&gt;=YEAR($F205),AND($K205&lt;&gt;"a",$K205&lt;&gt;"b",$K205&lt;&gt;"g",$K205&lt;&gt;"k")),1,IF(AND($E205&lt;&gt;0,$F205&gt;0,YEAR($F205)&lt;Preisindex!$A$6,YEAR(DL$4)&gt;=YEAR($F205),$K205="a"),ROUND(VLOOKUP(DQ$4,Preisindex,5,FALSE)/VLOOKUP(Preisindex!$A$6,Preisindex,5,FALSE),2),IF(AND($E205&lt;&gt;0,$F205&gt;0,YEAR($F205)&lt;Preisindex!$A$6,YEAR(DL$4)&gt;=YEAR($F205),$K205="b"),ROUND(VLOOKUP(DQ$4,Preisindex,3,FALSE)/VLOOKUP(Preisindex!$A$6,Preisindex,3,FALSE),2),IF(AND($E205&lt;&gt;0,$F205&gt;0,YEAR($F205)&lt;Preisindex!$A$6,YEAR(DL$4)&gt;=YEAR($F205),$K205="g"),ROUND(VLOOKUP(DQ$4,Preisindex,4,FALSE)/VLOOKUP(Preisindex!$A$6,Preisindex,4,FALSE),2),IF(AND($E205&lt;&gt;0,$F205&gt;0,YEAR($F205)&lt;Preisindex!$A$6,YEAR(DL$4)&gt;=YEAR($F205),$K205="k"),ROUND(VLOOKUP(DQ$4,Preisindex,2,FALSE)/VLOOKUP(Preisindex!$A$6,Preisindex,2,FALSE),2),0)))))</f>
        <v>0</v>
      </c>
      <c r="DS205" s="51">
        <f>IF(AND($E205&lt;&gt;0,$F205&gt;0,YEAR($F205)&lt;=DQ$4,YEAR($F205)&gt;=Preisindex!$A$6),ROUND($E205*DQ205,2),IF(AND($E205&lt;&gt;0,$F205&gt;0,YEAR($F205)&lt;=DQ$4,YEAR($F205)&lt;Preisindex!$A$6),ROUND($E205*DR205,2),0))</f>
        <v>0</v>
      </c>
      <c r="DT205" s="53">
        <f t="shared" si="664"/>
        <v>0</v>
      </c>
      <c r="DU205" s="51">
        <f t="shared" si="656"/>
        <v>0</v>
      </c>
      <c r="DV205" s="51">
        <f t="shared" si="604"/>
        <v>0</v>
      </c>
      <c r="DW205" s="51">
        <f t="shared" si="665"/>
        <v>0</v>
      </c>
      <c r="DX205" s="51">
        <f t="shared" si="605"/>
        <v>0</v>
      </c>
      <c r="DY205" s="51">
        <f t="shared" si="666"/>
        <v>0</v>
      </c>
      <c r="DZ205" s="51">
        <f t="shared" si="606"/>
        <v>0</v>
      </c>
      <c r="EA205" s="51">
        <f t="shared" si="667"/>
        <v>0</v>
      </c>
      <c r="EB205" s="51">
        <f t="shared" si="607"/>
        <v>0</v>
      </c>
      <c r="EC205" s="51">
        <f t="shared" si="668"/>
        <v>0</v>
      </c>
      <c r="ED205" s="51">
        <f t="shared" si="608"/>
        <v>0</v>
      </c>
      <c r="EE205" s="51">
        <f t="shared" si="669"/>
        <v>0</v>
      </c>
      <c r="EF205" s="54">
        <f t="shared" si="670"/>
        <v>0</v>
      </c>
      <c r="EG205" s="55">
        <f t="shared" si="671"/>
        <v>0</v>
      </c>
      <c r="EH205" s="56">
        <f>IF(AND($E205&lt;&gt;0,$F205&gt;0,YEAR($F205)&gt;=Preisindex!$A$6,YEAR(EC$4)&gt;=YEAR($F205),AND($K205&lt;&gt;"a",$K205&lt;&gt;"b",$K205&lt;&gt;"g",$K205&lt;&gt;"k")),1,IF(AND($E205&lt;&gt;0,$F205&gt;0,YEAR($F205)&gt;=Preisindex!$A$6,YEAR(EC$4)&gt;=YEAR($F205),$K205="a"),ROUND(VLOOKUP(EH$4,Preisindex,5,FALSE)/VLOOKUP(YEAR($F205),Preisindex,5,FALSE),2),IF(AND($E205&lt;&gt;0,$F205&gt;0,YEAR($F205)&gt;=Preisindex!$A$6,YEAR(EC$4)&gt;=YEAR($F205),$K205="b"),ROUND(VLOOKUP(EH$4,Preisindex,3,FALSE)/VLOOKUP(YEAR($F205),Preisindex,3,FALSE),2),IF(AND($E205&lt;&gt;0,$F205&gt;0,YEAR($F205)&gt;=Preisindex!$A$6,YEAR(EC$4)&gt;=YEAR($F205),$K205="g"),ROUND(VLOOKUP(EH$4,Preisindex,4,FALSE)/VLOOKUP(YEAR($F205),Preisindex,4,FALSE),2),IF(AND($E205&lt;&gt;0,$F205&gt;0,YEAR($F205)&gt;=Preisindex!$A$6,YEAR(EC$4)&gt;=YEAR($F205),$K205="k"),ROUND(VLOOKUP(EH$4,Preisindex,2,FALSE)/VLOOKUP(YEAR($F205),Preisindex,2,FALSE),2),0)))))</f>
        <v>0</v>
      </c>
      <c r="EI205" s="56">
        <f>IF(AND($E205&lt;&gt;0,$F205&gt;0,YEAR($F205)&lt;Preisindex!$A$6,YEAR(EC$4)&gt;=YEAR($F205),AND($K205&lt;&gt;"a",$K205&lt;&gt;"b",$K205&lt;&gt;"g",$K205&lt;&gt;"k")),1,IF(AND($E205&lt;&gt;0,$F205&gt;0,YEAR($F205)&lt;Preisindex!$A$6,YEAR(EC$4)&gt;=YEAR($F205),$K205="a"),ROUND(VLOOKUP(EH$4,Preisindex,5,FALSE)/VLOOKUP(Preisindex!$A$6,Preisindex,5,FALSE),2),IF(AND($E205&lt;&gt;0,$F205&gt;0,YEAR($F205)&lt;Preisindex!$A$6,YEAR(EC$4)&gt;=YEAR($F205),$K205="b"),ROUND(VLOOKUP(EH$4,Preisindex,3,FALSE)/VLOOKUP(Preisindex!$A$6,Preisindex,3,FALSE),2),IF(AND($E205&lt;&gt;0,$F205&gt;0,YEAR($F205)&lt;Preisindex!$A$6,YEAR(EC$4)&gt;=YEAR($F205),$K205="g"),ROUND(VLOOKUP(EH$4,Preisindex,4,FALSE)/VLOOKUP(Preisindex!$A$6,Preisindex,4,FALSE),2),IF(AND($E205&lt;&gt;0,$F205&gt;0,YEAR($F205)&lt;Preisindex!$A$6,YEAR(EC$4)&gt;=YEAR($F205),$K205="k"),ROUND(VLOOKUP(EH$4,Preisindex,2,FALSE)/VLOOKUP(Preisindex!$A$6,Preisindex,2,FALSE),2),0)))))</f>
        <v>0</v>
      </c>
      <c r="EJ205" s="51">
        <f>IF(AND($E205&lt;&gt;0,$F205&gt;0,YEAR($F205)&lt;=EH$4,YEAR($F205)&gt;=Preisindex!$A$6),ROUND($E205*EH205,2),IF(AND($E205&lt;&gt;0,$F205&gt;0,YEAR($F205)&lt;=EH$4,YEAR($F205)&lt;Preisindex!$A$6),ROUND($E205*EI205,2),0))</f>
        <v>0</v>
      </c>
      <c r="EK205" s="53">
        <f t="shared" si="672"/>
        <v>0</v>
      </c>
      <c r="EL205" s="51">
        <f t="shared" si="656"/>
        <v>0</v>
      </c>
      <c r="EM205" s="51">
        <f t="shared" si="609"/>
        <v>0</v>
      </c>
      <c r="EN205" s="51">
        <f t="shared" si="673"/>
        <v>0</v>
      </c>
      <c r="EO205" s="51">
        <f t="shared" si="610"/>
        <v>0</v>
      </c>
      <c r="EP205" s="51">
        <f t="shared" si="674"/>
        <v>0</v>
      </c>
      <c r="EQ205" s="51">
        <f t="shared" si="611"/>
        <v>0</v>
      </c>
      <c r="ER205" s="51">
        <f t="shared" si="675"/>
        <v>0</v>
      </c>
      <c r="ES205" s="51">
        <f t="shared" si="612"/>
        <v>0</v>
      </c>
      <c r="ET205" s="51">
        <f t="shared" si="676"/>
        <v>0</v>
      </c>
      <c r="EU205" s="51">
        <f t="shared" si="613"/>
        <v>0</v>
      </c>
      <c r="EV205" s="51">
        <f t="shared" si="677"/>
        <v>0</v>
      </c>
      <c r="EW205" s="54">
        <f t="shared" si="678"/>
        <v>0</v>
      </c>
      <c r="EX205" s="55">
        <f t="shared" si="679"/>
        <v>0</v>
      </c>
      <c r="EY205" s="56">
        <f>IF(AND($E205&lt;&gt;0,$F205&gt;0,YEAR($F205)&gt;=Preisindex!$A$6,YEAR(ET$4)&gt;=YEAR($F205),AND($K205&lt;&gt;"a",$K205&lt;&gt;"b",$K205&lt;&gt;"g",$K205&lt;&gt;"k")),1,IF(AND($E205&lt;&gt;0,$F205&gt;0,YEAR($F205)&gt;=Preisindex!$A$6,YEAR(ET$4)&gt;=YEAR($F205),$K205="a"),ROUND(VLOOKUP(EY$4,Preisindex,5,FALSE)/VLOOKUP(YEAR($F205),Preisindex,5,FALSE),2),IF(AND($E205&lt;&gt;0,$F205&gt;0,YEAR($F205)&gt;=Preisindex!$A$6,YEAR(ET$4)&gt;=YEAR($F205),$K205="b"),ROUND(VLOOKUP(EY$4,Preisindex,3,FALSE)/VLOOKUP(YEAR($F205),Preisindex,3,FALSE),2),IF(AND($E205&lt;&gt;0,$F205&gt;0,YEAR($F205)&gt;=Preisindex!$A$6,YEAR(ET$4)&gt;=YEAR($F205),$K205="g"),ROUND(VLOOKUP(EY$4,Preisindex,4,FALSE)/VLOOKUP(YEAR($F205),Preisindex,4,FALSE),2),IF(AND($E205&lt;&gt;0,$F205&gt;0,YEAR($F205)&gt;=Preisindex!$A$6,YEAR(ET$4)&gt;=YEAR($F205),$K205="k"),ROUND(VLOOKUP(EY$4,Preisindex,2,FALSE)/VLOOKUP(YEAR($F205),Preisindex,2,FALSE),2),0)))))</f>
        <v>0</v>
      </c>
      <c r="EZ205" s="56">
        <f>IF(AND($E205&lt;&gt;0,$F205&gt;0,YEAR($F205)&lt;Preisindex!$A$6,YEAR(ET$4)&gt;=YEAR($F205),AND($K205&lt;&gt;"a",$K205&lt;&gt;"b",$K205&lt;&gt;"g",$K205&lt;&gt;"k")),1,IF(AND($E205&lt;&gt;0,$F205&gt;0,YEAR($F205)&lt;Preisindex!$A$6,YEAR(ET$4)&gt;=YEAR($F205),$K205="a"),ROUND(VLOOKUP(EY$4,Preisindex,5,FALSE)/VLOOKUP(Preisindex!$A$6,Preisindex,5,FALSE),2),IF(AND($E205&lt;&gt;0,$F205&gt;0,YEAR($F205)&lt;Preisindex!$A$6,YEAR(ET$4)&gt;=YEAR($F205),$K205="b"),ROUND(VLOOKUP(EY$4,Preisindex,3,FALSE)/VLOOKUP(Preisindex!$A$6,Preisindex,3,FALSE),2),IF(AND($E205&lt;&gt;0,$F205&gt;0,YEAR($F205)&lt;Preisindex!$A$6,YEAR(ET$4)&gt;=YEAR($F205),$K205="g"),ROUND(VLOOKUP(EY$4,Preisindex,4,FALSE)/VLOOKUP(Preisindex!$A$6,Preisindex,4,FALSE),2),IF(AND($E205&lt;&gt;0,$F205&gt;0,YEAR($F205)&lt;Preisindex!$A$6,YEAR(ET$4)&gt;=YEAR($F205),$K205="k"),ROUND(VLOOKUP(EY$4,Preisindex,2,FALSE)/VLOOKUP(Preisindex!$A$6,Preisindex,2,FALSE),2),0)))))</f>
        <v>0</v>
      </c>
      <c r="FA205" s="51">
        <f>IF(AND($E205&lt;&gt;0,$F205&gt;0,YEAR($F205)&lt;=EY$4,YEAR($F205)&gt;=Preisindex!$A$6),ROUND($E205*EY205,2),IF(AND($E205&lt;&gt;0,$F205&gt;0,YEAR($F205)&lt;=EY$4,YEAR($F205)&lt;Preisindex!$A$6),ROUND($E205*EZ205,2),0))</f>
        <v>0</v>
      </c>
      <c r="FB205" s="53">
        <f t="shared" si="680"/>
        <v>0</v>
      </c>
      <c r="FC205" s="51">
        <f t="shared" si="656"/>
        <v>0</v>
      </c>
      <c r="FD205" s="51">
        <f t="shared" si="614"/>
        <v>0</v>
      </c>
      <c r="FE205" s="51">
        <f t="shared" si="681"/>
        <v>0</v>
      </c>
      <c r="FF205" s="51">
        <f t="shared" si="615"/>
        <v>0</v>
      </c>
      <c r="FG205" s="51">
        <f t="shared" si="682"/>
        <v>0</v>
      </c>
      <c r="FH205" s="51">
        <f t="shared" si="616"/>
        <v>0</v>
      </c>
      <c r="FI205" s="51">
        <f t="shared" si="683"/>
        <v>0</v>
      </c>
      <c r="FJ205" s="51">
        <f t="shared" si="617"/>
        <v>0</v>
      </c>
      <c r="FK205" s="51">
        <f t="shared" si="684"/>
        <v>0</v>
      </c>
      <c r="FL205" s="51">
        <f t="shared" si="618"/>
        <v>0</v>
      </c>
      <c r="FM205" s="51">
        <f t="shared" si="685"/>
        <v>0</v>
      </c>
      <c r="FN205" s="54">
        <f t="shared" si="686"/>
        <v>0</v>
      </c>
      <c r="FO205" s="55">
        <f t="shared" si="687"/>
        <v>0</v>
      </c>
      <c r="FP205" s="56">
        <f>IF(AND($E205&lt;&gt;0,$F205&gt;0,YEAR($F205)&gt;=Preisindex!$A$6,YEAR(FK$4)&gt;=YEAR($F205),AND($K205&lt;&gt;"a",$K205&lt;&gt;"b",$K205&lt;&gt;"g",$K205&lt;&gt;"k")),1,IF(AND($E205&lt;&gt;0,$F205&gt;0,YEAR($F205)&gt;=Preisindex!$A$6,YEAR(FK$4)&gt;=YEAR($F205),$K205="a"),ROUND(VLOOKUP(FP$4,Preisindex,5,FALSE)/VLOOKUP(YEAR($F205),Preisindex,5,FALSE),2),IF(AND($E205&lt;&gt;0,$F205&gt;0,YEAR($F205)&gt;=Preisindex!$A$6,YEAR(FK$4)&gt;=YEAR($F205),$K205="b"),ROUND(VLOOKUP(FP$4,Preisindex,3,FALSE)/VLOOKUP(YEAR($F205),Preisindex,3,FALSE),2),IF(AND($E205&lt;&gt;0,$F205&gt;0,YEAR($F205)&gt;=Preisindex!$A$6,YEAR(FK$4)&gt;=YEAR($F205),$K205="g"),ROUND(VLOOKUP(FP$4,Preisindex,4,FALSE)/VLOOKUP(YEAR($F205),Preisindex,4,FALSE),2),IF(AND($E205&lt;&gt;0,$F205&gt;0,YEAR($F205)&gt;=Preisindex!$A$6,YEAR(FK$4)&gt;=YEAR($F205),$K205="k"),ROUND(VLOOKUP(FP$4,Preisindex,2,FALSE)/VLOOKUP(YEAR($F205),Preisindex,2,FALSE),2),0)))))</f>
        <v>0</v>
      </c>
      <c r="FQ205" s="56">
        <f>IF(AND($E205&lt;&gt;0,$F205&gt;0,YEAR($F205)&lt;Preisindex!$A$6,YEAR(FK$4)&gt;=YEAR($F205),AND($K205&lt;&gt;"a",$K205&lt;&gt;"b",$K205&lt;&gt;"g",$K205&lt;&gt;"k")),1,IF(AND($E205&lt;&gt;0,$F205&gt;0,YEAR($F205)&lt;Preisindex!$A$6,YEAR(FK$4)&gt;=YEAR($F205),$K205="a"),ROUND(VLOOKUP(FP$4,Preisindex,5,FALSE)/VLOOKUP(Preisindex!$A$6,Preisindex,5,FALSE),2),IF(AND($E205&lt;&gt;0,$F205&gt;0,YEAR($F205)&lt;Preisindex!$A$6,YEAR(FK$4)&gt;=YEAR($F205),$K205="b"),ROUND(VLOOKUP(FP$4,Preisindex,3,FALSE)/VLOOKUP(Preisindex!$A$6,Preisindex,3,FALSE),2),IF(AND($E205&lt;&gt;0,$F205&gt;0,YEAR($F205)&lt;Preisindex!$A$6,YEAR(FK$4)&gt;=YEAR($F205),$K205="g"),ROUND(VLOOKUP(FP$4,Preisindex,4,FALSE)/VLOOKUP(Preisindex!$A$6,Preisindex,4,FALSE),2),IF(AND($E205&lt;&gt;0,$F205&gt;0,YEAR($F205)&lt;Preisindex!$A$6,YEAR(FK$4)&gt;=YEAR($F205),$K205="k"),ROUND(VLOOKUP(FP$4,Preisindex,2,FALSE)/VLOOKUP(Preisindex!$A$6,Preisindex,2,FALSE),2),0)))))</f>
        <v>0</v>
      </c>
      <c r="FR205" s="51">
        <f>IF(AND($E205&lt;&gt;0,$F205&gt;0,YEAR($F205)&lt;=FP$4,YEAR($F205)&gt;=Preisindex!$A$6),ROUND($E205*FP205,2),IF(AND($E205&lt;&gt;0,$F205&gt;0,YEAR($F205)&lt;=FP$4,YEAR($F205)&lt;Preisindex!$A$6),ROUND($E205*FQ205,2),0))</f>
        <v>0</v>
      </c>
      <c r="FS205" s="53">
        <f t="shared" si="688"/>
        <v>0</v>
      </c>
    </row>
    <row r="206" spans="1:175" x14ac:dyDescent="0.3">
      <c r="A206" s="93"/>
      <c r="B206" s="94"/>
      <c r="C206" s="94"/>
      <c r="D206" s="95"/>
      <c r="E206" s="99"/>
      <c r="F206" s="97"/>
      <c r="G206" s="98"/>
      <c r="H206" s="620"/>
      <c r="I206" s="621"/>
      <c r="J206" s="194"/>
      <c r="K206" s="630"/>
      <c r="L206" s="49">
        <f t="shared" si="689"/>
        <v>0</v>
      </c>
      <c r="M206" s="50">
        <f t="shared" si="690"/>
        <v>0</v>
      </c>
      <c r="N206" s="51">
        <f t="shared" si="691"/>
        <v>0</v>
      </c>
      <c r="O206" s="51"/>
      <c r="P206" s="51">
        <f t="shared" si="692"/>
        <v>0</v>
      </c>
      <c r="Q206" s="52"/>
      <c r="R206" s="52"/>
      <c r="S206" s="52"/>
      <c r="T206" s="52"/>
      <c r="U206" s="52"/>
      <c r="V206" s="53">
        <f t="shared" si="693"/>
        <v>0</v>
      </c>
      <c r="W206" s="51">
        <f t="shared" si="694"/>
        <v>0</v>
      </c>
      <c r="X206" s="51">
        <f t="shared" si="695"/>
        <v>0</v>
      </c>
      <c r="Y206" s="51">
        <f t="shared" si="696"/>
        <v>0</v>
      </c>
      <c r="Z206" s="51">
        <f t="shared" si="697"/>
        <v>0</v>
      </c>
      <c r="AA206" s="51">
        <f t="shared" si="698"/>
        <v>0</v>
      </c>
      <c r="AB206" s="51">
        <f t="shared" si="699"/>
        <v>0</v>
      </c>
      <c r="AC206" s="51">
        <f t="shared" si="700"/>
        <v>0</v>
      </c>
      <c r="AD206" s="51">
        <f t="shared" si="701"/>
        <v>0</v>
      </c>
      <c r="AE206" s="51">
        <f t="shared" si="702"/>
        <v>0</v>
      </c>
      <c r="AF206" s="51">
        <f t="shared" si="703"/>
        <v>0</v>
      </c>
      <c r="AG206" s="51">
        <f t="shared" si="704"/>
        <v>0</v>
      </c>
      <c r="AH206" s="54">
        <f t="shared" si="705"/>
        <v>0</v>
      </c>
      <c r="AI206" s="55">
        <f t="shared" si="706"/>
        <v>0</v>
      </c>
      <c r="AJ206" s="56">
        <f>IF(AND($E206&lt;&gt;0,$F206&gt;0,YEAR($F206)&gt;=Preisindex!$A$6,YEAR(AE$4)&gt;=YEAR($F206),AND($K206&lt;&gt;"a",$K206&lt;&gt;"b",$K206&lt;&gt;"g",$K206&lt;&gt;"k")),1,IF(AND($E206&lt;&gt;0,$F206&gt;0,YEAR($F206)&gt;=Preisindex!$A$6,YEAR(AE$4)&gt;=YEAR($F206),$K206="a"),ROUND(VLOOKUP(AJ$4,Preisindex,5,FALSE)/VLOOKUP(YEAR($F206),Preisindex,5,FALSE),2),IF(AND($E206&lt;&gt;0,$F206&gt;0,YEAR($F206)&gt;=Preisindex!$A$6,YEAR(AE$4)&gt;=YEAR($F206),$K206="b"),ROUND(VLOOKUP(AJ$4,Preisindex,3,FALSE)/VLOOKUP(YEAR($F206),Preisindex,3,FALSE),2),IF(AND($E206&lt;&gt;0,$F206&gt;0,YEAR($F206)&gt;=Preisindex!$A$6,YEAR(AE$4)&gt;=YEAR($F206),$K206="g"),ROUND(VLOOKUP(AJ$4,Preisindex,4,FALSE)/VLOOKUP(YEAR($F206),Preisindex,4,FALSE),2),IF(AND($E206&lt;&gt;0,$F206&gt;0,YEAR($F206)&gt;=Preisindex!$A$6,YEAR(AE$4)&gt;=YEAR($F206),$K206="k"),ROUND(VLOOKUP(AJ$4,Preisindex,2,FALSE)/VLOOKUP(YEAR($F206),Preisindex,2,FALSE),2),0)))))</f>
        <v>0</v>
      </c>
      <c r="AK206" s="56">
        <f>IF(AND($E206&lt;&gt;0,$F206&gt;0,YEAR($F206)&lt;Preisindex!$A$6,YEAR(AE$4)&gt;=YEAR($F206),AND($K206&lt;&gt;"a",$K206&lt;&gt;"b",$K206&lt;&gt;"g",$K206&lt;&gt;"k")),1,IF(AND($E206&lt;&gt;0,$F206&gt;0,YEAR($F206)&lt;Preisindex!$A$6,YEAR(AE$4)&gt;=YEAR($F206),$K206="a"),ROUND(VLOOKUP(AJ$4,Preisindex,5,FALSE)/VLOOKUP(Preisindex!$A$6,Preisindex,5,FALSE),2),IF(AND($E206&lt;&gt;0,$F206&gt;0,YEAR($F206)&lt;Preisindex!$A$6,YEAR(AE$4)&gt;=YEAR($F206),$K206="b"),ROUND(VLOOKUP(AJ$4,Preisindex,3,FALSE)/VLOOKUP(Preisindex!$A$6,Preisindex,3,FALSE),2),IF(AND($E206&lt;&gt;0,$F206&gt;0,YEAR($F206)&lt;Preisindex!$A$6,YEAR(AE$4)&gt;=YEAR($F206),$K206="g"),ROUND(VLOOKUP(AJ$4,Preisindex,4,FALSE)/VLOOKUP(Preisindex!$A$6,Preisindex,4,FALSE),2),IF(AND($E206&lt;&gt;0,$F206&gt;0,YEAR($F206)&lt;Preisindex!$A$6,YEAR(AE$4)&gt;=YEAR($F206),$K206="k"),ROUND(VLOOKUP(AJ$4,Preisindex,2,FALSE)/VLOOKUP(Preisindex!$A$6,Preisindex,2,FALSE),2),0)))))</f>
        <v>0</v>
      </c>
      <c r="AL206" s="51">
        <f>IF(AND($E206&lt;&gt;0,$F206&gt;0,YEAR($F206)&lt;=AJ$4,YEAR($F206)&gt;=Preisindex!$A$6),ROUND($E206*AJ206,2),IF(AND($E206&lt;&gt;0,$F206&gt;0,YEAR($F206)&lt;=AJ$4,YEAR($F206)&lt;Preisindex!$A$6),ROUND($E206*AK206,2),0))</f>
        <v>0</v>
      </c>
      <c r="AM206" s="53">
        <f t="shared" si="707"/>
        <v>0</v>
      </c>
      <c r="AN206" s="51">
        <f t="shared" si="623"/>
        <v>0</v>
      </c>
      <c r="AO206" s="51">
        <f t="shared" si="579"/>
        <v>0</v>
      </c>
      <c r="AP206" s="51">
        <f t="shared" si="624"/>
        <v>0</v>
      </c>
      <c r="AQ206" s="51">
        <f t="shared" si="580"/>
        <v>0</v>
      </c>
      <c r="AR206" s="51">
        <f t="shared" si="625"/>
        <v>0</v>
      </c>
      <c r="AS206" s="51">
        <f t="shared" si="581"/>
        <v>0</v>
      </c>
      <c r="AT206" s="51">
        <f t="shared" si="626"/>
        <v>0</v>
      </c>
      <c r="AU206" s="51">
        <f t="shared" si="582"/>
        <v>0</v>
      </c>
      <c r="AV206" s="51">
        <f t="shared" si="627"/>
        <v>0</v>
      </c>
      <c r="AW206" s="51">
        <f t="shared" si="583"/>
        <v>0</v>
      </c>
      <c r="AX206" s="51">
        <f t="shared" si="628"/>
        <v>0</v>
      </c>
      <c r="AY206" s="54">
        <f t="shared" si="629"/>
        <v>0</v>
      </c>
      <c r="AZ206" s="55">
        <f t="shared" si="630"/>
        <v>0</v>
      </c>
      <c r="BA206" s="56">
        <f>IF(AND($E206&lt;&gt;0,$F206&gt;0,YEAR($F206)&gt;=Preisindex!$A$6,YEAR(AV$4)&gt;=YEAR($F206),AND($K206&lt;&gt;"a",$K206&lt;&gt;"b",$K206&lt;&gt;"g",$K206&lt;&gt;"k")),1,IF(AND($E206&lt;&gt;0,$F206&gt;0,YEAR($F206)&gt;=Preisindex!$A$6,YEAR(AV$4)&gt;=YEAR($F206),$K206="a"),ROUND(VLOOKUP(BA$4,Preisindex,5,FALSE)/VLOOKUP(YEAR($F206),Preisindex,5,FALSE),2),IF(AND($E206&lt;&gt;0,$F206&gt;0,YEAR($F206)&gt;=Preisindex!$A$6,YEAR(AV$4)&gt;=YEAR($F206),$K206="b"),ROUND(VLOOKUP(BA$4,Preisindex,3,FALSE)/VLOOKUP(YEAR($F206),Preisindex,3,FALSE),2),IF(AND($E206&lt;&gt;0,$F206&gt;0,YEAR($F206)&gt;=Preisindex!$A$6,YEAR(AV$4)&gt;=YEAR($F206),$K206="g"),ROUND(VLOOKUP(BA$4,Preisindex,4,FALSE)/VLOOKUP(YEAR($F206),Preisindex,4,FALSE),2),IF(AND($E206&lt;&gt;0,$F206&gt;0,YEAR($F206)&gt;=Preisindex!$A$6,YEAR(AV$4)&gt;=YEAR($F206),$K206="k"),ROUND(VLOOKUP(BA$4,Preisindex,2,FALSE)/VLOOKUP(YEAR($F206),Preisindex,2,FALSE),2),0)))))</f>
        <v>0</v>
      </c>
      <c r="BB206" s="56">
        <f>IF(AND($E206&lt;&gt;0,$F206&gt;0,YEAR($F206)&lt;Preisindex!$A$6,YEAR(AV$4)&gt;=YEAR($F206),AND($K206&lt;&gt;"a",$K206&lt;&gt;"b",$K206&lt;&gt;"g",$K206&lt;&gt;"k")),1,IF(AND($E206&lt;&gt;0,$F206&gt;0,YEAR($F206)&lt;Preisindex!$A$6,YEAR(AV$4)&gt;=YEAR($F206),$K206="a"),ROUND(VLOOKUP(BA$4,Preisindex,5,FALSE)/VLOOKUP(Preisindex!$A$6,Preisindex,5,FALSE),2),IF(AND($E206&lt;&gt;0,$F206&gt;0,YEAR($F206)&lt;Preisindex!$A$6,YEAR(AV$4)&gt;=YEAR($F206),$K206="b"),ROUND(VLOOKUP(BA$4,Preisindex,3,FALSE)/VLOOKUP(Preisindex!$A$6,Preisindex,3,FALSE),2),IF(AND($E206&lt;&gt;0,$F206&gt;0,YEAR($F206)&lt;Preisindex!$A$6,YEAR(AV$4)&gt;=YEAR($F206),$K206="g"),ROUND(VLOOKUP(BA$4,Preisindex,4,FALSE)/VLOOKUP(Preisindex!$A$6,Preisindex,4,FALSE),2),IF(AND($E206&lt;&gt;0,$F206&gt;0,YEAR($F206)&lt;Preisindex!$A$6,YEAR(AV$4)&gt;=YEAR($F206),$K206="k"),ROUND(VLOOKUP(BA$4,Preisindex,2,FALSE)/VLOOKUP(Preisindex!$A$6,Preisindex,2,FALSE),2),0)))))</f>
        <v>0</v>
      </c>
      <c r="BC206" s="51">
        <f>IF(AND($E206&lt;&gt;0,$F206&gt;0,YEAR($F206)&lt;=BA$4,YEAR($F206)&gt;=Preisindex!$A$6),ROUND($E206*BA206,2),IF(AND($E206&lt;&gt;0,$F206&gt;0,YEAR($F206)&lt;=BA$4,YEAR($F206)&lt;Preisindex!$A$6),ROUND($E206*BB206,2),0))</f>
        <v>0</v>
      </c>
      <c r="BD206" s="53">
        <f t="shared" si="631"/>
        <v>0</v>
      </c>
      <c r="BE206" s="51">
        <f t="shared" si="623"/>
        <v>0</v>
      </c>
      <c r="BF206" s="51">
        <f t="shared" si="584"/>
        <v>0</v>
      </c>
      <c r="BG206" s="51">
        <f t="shared" si="632"/>
        <v>0</v>
      </c>
      <c r="BH206" s="51">
        <f t="shared" si="585"/>
        <v>0</v>
      </c>
      <c r="BI206" s="51">
        <f t="shared" si="633"/>
        <v>0</v>
      </c>
      <c r="BJ206" s="51">
        <f t="shared" si="586"/>
        <v>0</v>
      </c>
      <c r="BK206" s="51">
        <f t="shared" si="634"/>
        <v>0</v>
      </c>
      <c r="BL206" s="51">
        <f t="shared" si="587"/>
        <v>0</v>
      </c>
      <c r="BM206" s="51">
        <f t="shared" si="635"/>
        <v>0</v>
      </c>
      <c r="BN206" s="51">
        <f t="shared" si="588"/>
        <v>0</v>
      </c>
      <c r="BO206" s="51">
        <f t="shared" si="636"/>
        <v>0</v>
      </c>
      <c r="BP206" s="54">
        <f t="shared" si="637"/>
        <v>0</v>
      </c>
      <c r="BQ206" s="55">
        <f t="shared" si="638"/>
        <v>0</v>
      </c>
      <c r="BR206" s="56">
        <f>IF(AND($E206&lt;&gt;0,$F206&gt;0,YEAR($F206)&gt;=Preisindex!$A$6,YEAR(BM$4)&gt;=YEAR($F206),AND($K206&lt;&gt;"a",$K206&lt;&gt;"b",$K206&lt;&gt;"g",$K206&lt;&gt;"k")),1,IF(AND($E206&lt;&gt;0,$F206&gt;0,YEAR($F206)&gt;=Preisindex!$A$6,YEAR(BM$4)&gt;=YEAR($F206),$K206="a"),ROUND(VLOOKUP(BR$4,Preisindex,5,FALSE)/VLOOKUP(YEAR($F206),Preisindex,5,FALSE),2),IF(AND($E206&lt;&gt;0,$F206&gt;0,YEAR($F206)&gt;=Preisindex!$A$6,YEAR(BM$4)&gt;=YEAR($F206),$K206="b"),ROUND(VLOOKUP(BR$4,Preisindex,3,FALSE)/VLOOKUP(YEAR($F206),Preisindex,3,FALSE),2),IF(AND($E206&lt;&gt;0,$F206&gt;0,YEAR($F206)&gt;=Preisindex!$A$6,YEAR(BM$4)&gt;=YEAR($F206),$K206="g"),ROUND(VLOOKUP(BR$4,Preisindex,4,FALSE)/VLOOKUP(YEAR($F206),Preisindex,4,FALSE),2),IF(AND($E206&lt;&gt;0,$F206&gt;0,YEAR($F206)&gt;=Preisindex!$A$6,YEAR(BM$4)&gt;=YEAR($F206),$K206="k"),ROUND(VLOOKUP(BR$4,Preisindex,2,FALSE)/VLOOKUP(YEAR($F206),Preisindex,2,FALSE),2),0)))))</f>
        <v>0</v>
      </c>
      <c r="BS206" s="56">
        <f>IF(AND($E206&lt;&gt;0,$F206&gt;0,YEAR($F206)&lt;Preisindex!$A$6,YEAR(BM$4)&gt;=YEAR($F206),AND($K206&lt;&gt;"a",$K206&lt;&gt;"b",$K206&lt;&gt;"g",$K206&lt;&gt;"k")),1,IF(AND($E206&lt;&gt;0,$F206&gt;0,YEAR($F206)&lt;Preisindex!$A$6,YEAR(BM$4)&gt;=YEAR($F206),$K206="a"),ROUND(VLOOKUP(BR$4,Preisindex,5,FALSE)/VLOOKUP(Preisindex!$A$6,Preisindex,5,FALSE),2),IF(AND($E206&lt;&gt;0,$F206&gt;0,YEAR($F206)&lt;Preisindex!$A$6,YEAR(BM$4)&gt;=YEAR($F206),$K206="b"),ROUND(VLOOKUP(BR$4,Preisindex,3,FALSE)/VLOOKUP(Preisindex!$A$6,Preisindex,3,FALSE),2),IF(AND($E206&lt;&gt;0,$F206&gt;0,YEAR($F206)&lt;Preisindex!$A$6,YEAR(BM$4)&gt;=YEAR($F206),$K206="g"),ROUND(VLOOKUP(BR$4,Preisindex,4,FALSE)/VLOOKUP(Preisindex!$A$6,Preisindex,4,FALSE),2),IF(AND($E206&lt;&gt;0,$F206&gt;0,YEAR($F206)&lt;Preisindex!$A$6,YEAR(BM$4)&gt;=YEAR($F206),$K206="k"),ROUND(VLOOKUP(BR$4,Preisindex,2,FALSE)/VLOOKUP(Preisindex!$A$6,Preisindex,2,FALSE),2),0)))))</f>
        <v>0</v>
      </c>
      <c r="BT206" s="51">
        <f>IF(AND($E206&lt;&gt;0,$F206&gt;0,YEAR($F206)&lt;=BR$4,YEAR($F206)&gt;=Preisindex!$A$6),ROUND($E206*BR206,2),IF(AND($E206&lt;&gt;0,$F206&gt;0,YEAR($F206)&lt;=BR$4,YEAR($F206)&lt;Preisindex!$A$6),ROUND($E206*BS206,2),0))</f>
        <v>0</v>
      </c>
      <c r="BU206" s="53">
        <f t="shared" si="639"/>
        <v>0</v>
      </c>
      <c r="BV206" s="51">
        <f t="shared" si="623"/>
        <v>0</v>
      </c>
      <c r="BW206" s="51">
        <f t="shared" si="589"/>
        <v>0</v>
      </c>
      <c r="BX206" s="51">
        <f t="shared" si="640"/>
        <v>0</v>
      </c>
      <c r="BY206" s="51">
        <f t="shared" si="590"/>
        <v>0</v>
      </c>
      <c r="BZ206" s="51">
        <f t="shared" si="641"/>
        <v>0</v>
      </c>
      <c r="CA206" s="51">
        <f t="shared" si="591"/>
        <v>0</v>
      </c>
      <c r="CB206" s="51">
        <f t="shared" si="642"/>
        <v>0</v>
      </c>
      <c r="CC206" s="51">
        <f t="shared" si="592"/>
        <v>0</v>
      </c>
      <c r="CD206" s="51">
        <f t="shared" si="643"/>
        <v>0</v>
      </c>
      <c r="CE206" s="51">
        <f t="shared" si="593"/>
        <v>0</v>
      </c>
      <c r="CF206" s="51">
        <f t="shared" si="644"/>
        <v>0</v>
      </c>
      <c r="CG206" s="54">
        <f t="shared" si="645"/>
        <v>0</v>
      </c>
      <c r="CH206" s="55">
        <f t="shared" si="646"/>
        <v>0</v>
      </c>
      <c r="CI206" s="56">
        <f>IF(AND($E206&lt;&gt;0,$F206&gt;0,YEAR($F206)&gt;=Preisindex!$A$6,YEAR(CD$4)&gt;=YEAR($F206),AND($K206&lt;&gt;"a",$K206&lt;&gt;"b",$K206&lt;&gt;"g",$K206&lt;&gt;"k")),1,IF(AND($E206&lt;&gt;0,$F206&gt;0,YEAR($F206)&gt;=Preisindex!$A$6,YEAR(CD$4)&gt;=YEAR($F206),$K206="a"),ROUND(VLOOKUP(CI$4,Preisindex,5,FALSE)/VLOOKUP(YEAR($F206),Preisindex,5,FALSE),2),IF(AND($E206&lt;&gt;0,$F206&gt;0,YEAR($F206)&gt;=Preisindex!$A$6,YEAR(CD$4)&gt;=YEAR($F206),$K206="b"),ROUND(VLOOKUP(CI$4,Preisindex,3,FALSE)/VLOOKUP(YEAR($F206),Preisindex,3,FALSE),2),IF(AND($E206&lt;&gt;0,$F206&gt;0,YEAR($F206)&gt;=Preisindex!$A$6,YEAR(CD$4)&gt;=YEAR($F206),$K206="g"),ROUND(VLOOKUP(CI$4,Preisindex,4,FALSE)/VLOOKUP(YEAR($F206),Preisindex,4,FALSE),2),IF(AND($E206&lt;&gt;0,$F206&gt;0,YEAR($F206)&gt;=Preisindex!$A$6,YEAR(CD$4)&gt;=YEAR($F206),$K206="k"),ROUND(VLOOKUP(CI$4,Preisindex,2,FALSE)/VLOOKUP(YEAR($F206),Preisindex,2,FALSE),2),0)))))</f>
        <v>0</v>
      </c>
      <c r="CJ206" s="56">
        <f>IF(AND($E206&lt;&gt;0,$F206&gt;0,YEAR($F206)&lt;Preisindex!$A$6,YEAR(CD$4)&gt;=YEAR($F206),AND($K206&lt;&gt;"a",$K206&lt;&gt;"b",$K206&lt;&gt;"g",$K206&lt;&gt;"k")),1,IF(AND($E206&lt;&gt;0,$F206&gt;0,YEAR($F206)&lt;Preisindex!$A$6,YEAR(CD$4)&gt;=YEAR($F206),$K206="a"),ROUND(VLOOKUP(CI$4,Preisindex,5,FALSE)/VLOOKUP(Preisindex!$A$6,Preisindex,5,FALSE),2),IF(AND($E206&lt;&gt;0,$F206&gt;0,YEAR($F206)&lt;Preisindex!$A$6,YEAR(CD$4)&gt;=YEAR($F206),$K206="b"),ROUND(VLOOKUP(CI$4,Preisindex,3,FALSE)/VLOOKUP(Preisindex!$A$6,Preisindex,3,FALSE),2),IF(AND($E206&lt;&gt;0,$F206&gt;0,YEAR($F206)&lt;Preisindex!$A$6,YEAR(CD$4)&gt;=YEAR($F206),$K206="g"),ROUND(VLOOKUP(CI$4,Preisindex,4,FALSE)/VLOOKUP(Preisindex!$A$6,Preisindex,4,FALSE),2),IF(AND($E206&lt;&gt;0,$F206&gt;0,YEAR($F206)&lt;Preisindex!$A$6,YEAR(CD$4)&gt;=YEAR($F206),$K206="k"),ROUND(VLOOKUP(CI$4,Preisindex,2,FALSE)/VLOOKUP(Preisindex!$A$6,Preisindex,2,FALSE),2),0)))))</f>
        <v>0</v>
      </c>
      <c r="CK206" s="51">
        <f>IF(AND($E206&lt;&gt;0,$F206&gt;0,YEAR($F206)&lt;=CI$4,YEAR($F206)&gt;=Preisindex!$A$6),ROUND($E206*CI206,2),IF(AND($E206&lt;&gt;0,$F206&gt;0,YEAR($F206)&lt;=CI$4,YEAR($F206)&lt;Preisindex!$A$6),ROUND($E206*CJ206,2),0))</f>
        <v>0</v>
      </c>
      <c r="CL206" s="53">
        <f t="shared" si="647"/>
        <v>0</v>
      </c>
      <c r="CM206" s="51">
        <f t="shared" si="623"/>
        <v>0</v>
      </c>
      <c r="CN206" s="51">
        <f t="shared" si="594"/>
        <v>0</v>
      </c>
      <c r="CO206" s="51">
        <f t="shared" si="648"/>
        <v>0</v>
      </c>
      <c r="CP206" s="51">
        <f t="shared" si="595"/>
        <v>0</v>
      </c>
      <c r="CQ206" s="51">
        <f t="shared" si="649"/>
        <v>0</v>
      </c>
      <c r="CR206" s="51">
        <f t="shared" si="596"/>
        <v>0</v>
      </c>
      <c r="CS206" s="51">
        <f t="shared" si="650"/>
        <v>0</v>
      </c>
      <c r="CT206" s="51">
        <f t="shared" si="597"/>
        <v>0</v>
      </c>
      <c r="CU206" s="51">
        <f t="shared" si="651"/>
        <v>0</v>
      </c>
      <c r="CV206" s="51">
        <f t="shared" si="598"/>
        <v>0</v>
      </c>
      <c r="CW206" s="51">
        <f t="shared" si="652"/>
        <v>0</v>
      </c>
      <c r="CX206" s="54">
        <f t="shared" si="653"/>
        <v>0</v>
      </c>
      <c r="CY206" s="55">
        <f t="shared" si="654"/>
        <v>0</v>
      </c>
      <c r="CZ206" s="56">
        <f>IF(AND($E206&lt;&gt;0,$F206&gt;0,YEAR($F206)&gt;=Preisindex!$A$6,YEAR(CU$4)&gt;=YEAR($F206),AND($K206&lt;&gt;"a",$K206&lt;&gt;"b",$K206&lt;&gt;"g",$K206&lt;&gt;"k")),1,IF(AND($E206&lt;&gt;0,$F206&gt;0,YEAR($F206)&gt;=Preisindex!$A$6,YEAR(CU$4)&gt;=YEAR($F206),$K206="a"),ROUND(VLOOKUP(CZ$4,Preisindex,5,FALSE)/VLOOKUP(YEAR($F206),Preisindex,5,FALSE),2),IF(AND($E206&lt;&gt;0,$F206&gt;0,YEAR($F206)&gt;=Preisindex!$A$6,YEAR(CU$4)&gt;=YEAR($F206),$K206="b"),ROUND(VLOOKUP(CZ$4,Preisindex,3,FALSE)/VLOOKUP(YEAR($F206),Preisindex,3,FALSE),2),IF(AND($E206&lt;&gt;0,$F206&gt;0,YEAR($F206)&gt;=Preisindex!$A$6,YEAR(CU$4)&gt;=YEAR($F206),$K206="g"),ROUND(VLOOKUP(CZ$4,Preisindex,4,FALSE)/VLOOKUP(YEAR($F206),Preisindex,4,FALSE),2),IF(AND($E206&lt;&gt;0,$F206&gt;0,YEAR($F206)&gt;=Preisindex!$A$6,YEAR(CU$4)&gt;=YEAR($F206),$K206="k"),ROUND(VLOOKUP(CZ$4,Preisindex,2,FALSE)/VLOOKUP(YEAR($F206),Preisindex,2,FALSE),2),0)))))</f>
        <v>0</v>
      </c>
      <c r="DA206" s="56">
        <f>IF(AND($E206&lt;&gt;0,$F206&gt;0,YEAR($F206)&lt;Preisindex!$A$6,YEAR(CU$4)&gt;=YEAR($F206),AND($K206&lt;&gt;"a",$K206&lt;&gt;"b",$K206&lt;&gt;"g",$K206&lt;&gt;"k")),1,IF(AND($E206&lt;&gt;0,$F206&gt;0,YEAR($F206)&lt;Preisindex!$A$6,YEAR(CU$4)&gt;=YEAR($F206),$K206="a"),ROUND(VLOOKUP(CZ$4,Preisindex,5,FALSE)/VLOOKUP(Preisindex!$A$6,Preisindex,5,FALSE),2),IF(AND($E206&lt;&gt;0,$F206&gt;0,YEAR($F206)&lt;Preisindex!$A$6,YEAR(CU$4)&gt;=YEAR($F206),$K206="b"),ROUND(VLOOKUP(CZ$4,Preisindex,3,FALSE)/VLOOKUP(Preisindex!$A$6,Preisindex,3,FALSE),2),IF(AND($E206&lt;&gt;0,$F206&gt;0,YEAR($F206)&lt;Preisindex!$A$6,YEAR(CU$4)&gt;=YEAR($F206),$K206="g"),ROUND(VLOOKUP(CZ$4,Preisindex,4,FALSE)/VLOOKUP(Preisindex!$A$6,Preisindex,4,FALSE),2),IF(AND($E206&lt;&gt;0,$F206&gt;0,YEAR($F206)&lt;Preisindex!$A$6,YEAR(CU$4)&gt;=YEAR($F206),$K206="k"),ROUND(VLOOKUP(CZ$4,Preisindex,2,FALSE)/VLOOKUP(Preisindex!$A$6,Preisindex,2,FALSE),2),0)))))</f>
        <v>0</v>
      </c>
      <c r="DB206" s="51">
        <f>IF(AND($E206&lt;&gt;0,$F206&gt;0,YEAR($F206)&lt;=CZ$4,YEAR($F206)&gt;=Preisindex!$A$6),ROUND($E206*CZ206,2),IF(AND($E206&lt;&gt;0,$F206&gt;0,YEAR($F206)&lt;=CZ$4,YEAR($F206)&lt;Preisindex!$A$6),ROUND($E206*DA206,2),0))</f>
        <v>0</v>
      </c>
      <c r="DC206" s="53">
        <f t="shared" si="655"/>
        <v>0</v>
      </c>
      <c r="DD206" s="51">
        <f t="shared" si="656"/>
        <v>0</v>
      </c>
      <c r="DE206" s="51">
        <f t="shared" si="599"/>
        <v>0</v>
      </c>
      <c r="DF206" s="51">
        <f t="shared" si="657"/>
        <v>0</v>
      </c>
      <c r="DG206" s="51">
        <f t="shared" si="600"/>
        <v>0</v>
      </c>
      <c r="DH206" s="51">
        <f t="shared" si="658"/>
        <v>0</v>
      </c>
      <c r="DI206" s="51">
        <f t="shared" si="601"/>
        <v>0</v>
      </c>
      <c r="DJ206" s="51">
        <f t="shared" si="659"/>
        <v>0</v>
      </c>
      <c r="DK206" s="51">
        <f t="shared" si="602"/>
        <v>0</v>
      </c>
      <c r="DL206" s="51">
        <f t="shared" si="660"/>
        <v>0</v>
      </c>
      <c r="DM206" s="51">
        <f t="shared" si="603"/>
        <v>0</v>
      </c>
      <c r="DN206" s="51">
        <f t="shared" si="661"/>
        <v>0</v>
      </c>
      <c r="DO206" s="54">
        <f t="shared" si="662"/>
        <v>0</v>
      </c>
      <c r="DP206" s="55">
        <f t="shared" si="663"/>
        <v>0</v>
      </c>
      <c r="DQ206" s="56">
        <f>IF(AND($E206&lt;&gt;0,$F206&gt;0,YEAR($F206)&gt;=Preisindex!$A$6,YEAR(DL$4)&gt;=YEAR($F206),AND($K206&lt;&gt;"a",$K206&lt;&gt;"b",$K206&lt;&gt;"g",$K206&lt;&gt;"k")),1,IF(AND($E206&lt;&gt;0,$F206&gt;0,YEAR($F206)&gt;=Preisindex!$A$6,YEAR(DL$4)&gt;=YEAR($F206),$K206="a"),ROUND(VLOOKUP(DQ$4,Preisindex,5,FALSE)/VLOOKUP(YEAR($F206),Preisindex,5,FALSE),2),IF(AND($E206&lt;&gt;0,$F206&gt;0,YEAR($F206)&gt;=Preisindex!$A$6,YEAR(DL$4)&gt;=YEAR($F206),$K206="b"),ROUND(VLOOKUP(DQ$4,Preisindex,3,FALSE)/VLOOKUP(YEAR($F206),Preisindex,3,FALSE),2),IF(AND($E206&lt;&gt;0,$F206&gt;0,YEAR($F206)&gt;=Preisindex!$A$6,YEAR(DL$4)&gt;=YEAR($F206),$K206="g"),ROUND(VLOOKUP(DQ$4,Preisindex,4,FALSE)/VLOOKUP(YEAR($F206),Preisindex,4,FALSE),2),IF(AND($E206&lt;&gt;0,$F206&gt;0,YEAR($F206)&gt;=Preisindex!$A$6,YEAR(DL$4)&gt;=YEAR($F206),$K206="k"),ROUND(VLOOKUP(DQ$4,Preisindex,2,FALSE)/VLOOKUP(YEAR($F206),Preisindex,2,FALSE),2),0)))))</f>
        <v>0</v>
      </c>
      <c r="DR206" s="56">
        <f>IF(AND($E206&lt;&gt;0,$F206&gt;0,YEAR($F206)&lt;Preisindex!$A$6,YEAR(DL$4)&gt;=YEAR($F206),AND($K206&lt;&gt;"a",$K206&lt;&gt;"b",$K206&lt;&gt;"g",$K206&lt;&gt;"k")),1,IF(AND($E206&lt;&gt;0,$F206&gt;0,YEAR($F206)&lt;Preisindex!$A$6,YEAR(DL$4)&gt;=YEAR($F206),$K206="a"),ROUND(VLOOKUP(DQ$4,Preisindex,5,FALSE)/VLOOKUP(Preisindex!$A$6,Preisindex,5,FALSE),2),IF(AND($E206&lt;&gt;0,$F206&gt;0,YEAR($F206)&lt;Preisindex!$A$6,YEAR(DL$4)&gt;=YEAR($F206),$K206="b"),ROUND(VLOOKUP(DQ$4,Preisindex,3,FALSE)/VLOOKUP(Preisindex!$A$6,Preisindex,3,FALSE),2),IF(AND($E206&lt;&gt;0,$F206&gt;0,YEAR($F206)&lt;Preisindex!$A$6,YEAR(DL$4)&gt;=YEAR($F206),$K206="g"),ROUND(VLOOKUP(DQ$4,Preisindex,4,FALSE)/VLOOKUP(Preisindex!$A$6,Preisindex,4,FALSE),2),IF(AND($E206&lt;&gt;0,$F206&gt;0,YEAR($F206)&lt;Preisindex!$A$6,YEAR(DL$4)&gt;=YEAR($F206),$K206="k"),ROUND(VLOOKUP(DQ$4,Preisindex,2,FALSE)/VLOOKUP(Preisindex!$A$6,Preisindex,2,FALSE),2),0)))))</f>
        <v>0</v>
      </c>
      <c r="DS206" s="51">
        <f>IF(AND($E206&lt;&gt;0,$F206&gt;0,YEAR($F206)&lt;=DQ$4,YEAR($F206)&gt;=Preisindex!$A$6),ROUND($E206*DQ206,2),IF(AND($E206&lt;&gt;0,$F206&gt;0,YEAR($F206)&lt;=DQ$4,YEAR($F206)&lt;Preisindex!$A$6),ROUND($E206*DR206,2),0))</f>
        <v>0</v>
      </c>
      <c r="DT206" s="53">
        <f t="shared" si="664"/>
        <v>0</v>
      </c>
      <c r="DU206" s="51">
        <f t="shared" si="656"/>
        <v>0</v>
      </c>
      <c r="DV206" s="51">
        <f t="shared" si="604"/>
        <v>0</v>
      </c>
      <c r="DW206" s="51">
        <f t="shared" si="665"/>
        <v>0</v>
      </c>
      <c r="DX206" s="51">
        <f t="shared" si="605"/>
        <v>0</v>
      </c>
      <c r="DY206" s="51">
        <f t="shared" si="666"/>
        <v>0</v>
      </c>
      <c r="DZ206" s="51">
        <f t="shared" si="606"/>
        <v>0</v>
      </c>
      <c r="EA206" s="51">
        <f t="shared" si="667"/>
        <v>0</v>
      </c>
      <c r="EB206" s="51">
        <f t="shared" si="607"/>
        <v>0</v>
      </c>
      <c r="EC206" s="51">
        <f t="shared" si="668"/>
        <v>0</v>
      </c>
      <c r="ED206" s="51">
        <f t="shared" si="608"/>
        <v>0</v>
      </c>
      <c r="EE206" s="51">
        <f t="shared" si="669"/>
        <v>0</v>
      </c>
      <c r="EF206" s="54">
        <f t="shared" si="670"/>
        <v>0</v>
      </c>
      <c r="EG206" s="55">
        <f t="shared" si="671"/>
        <v>0</v>
      </c>
      <c r="EH206" s="56">
        <f>IF(AND($E206&lt;&gt;0,$F206&gt;0,YEAR($F206)&gt;=Preisindex!$A$6,YEAR(EC$4)&gt;=YEAR($F206),AND($K206&lt;&gt;"a",$K206&lt;&gt;"b",$K206&lt;&gt;"g",$K206&lt;&gt;"k")),1,IF(AND($E206&lt;&gt;0,$F206&gt;0,YEAR($F206)&gt;=Preisindex!$A$6,YEAR(EC$4)&gt;=YEAR($F206),$K206="a"),ROUND(VLOOKUP(EH$4,Preisindex,5,FALSE)/VLOOKUP(YEAR($F206),Preisindex,5,FALSE),2),IF(AND($E206&lt;&gt;0,$F206&gt;0,YEAR($F206)&gt;=Preisindex!$A$6,YEAR(EC$4)&gt;=YEAR($F206),$K206="b"),ROUND(VLOOKUP(EH$4,Preisindex,3,FALSE)/VLOOKUP(YEAR($F206),Preisindex,3,FALSE),2),IF(AND($E206&lt;&gt;0,$F206&gt;0,YEAR($F206)&gt;=Preisindex!$A$6,YEAR(EC$4)&gt;=YEAR($F206),$K206="g"),ROUND(VLOOKUP(EH$4,Preisindex,4,FALSE)/VLOOKUP(YEAR($F206),Preisindex,4,FALSE),2),IF(AND($E206&lt;&gt;0,$F206&gt;0,YEAR($F206)&gt;=Preisindex!$A$6,YEAR(EC$4)&gt;=YEAR($F206),$K206="k"),ROUND(VLOOKUP(EH$4,Preisindex,2,FALSE)/VLOOKUP(YEAR($F206),Preisindex,2,FALSE),2),0)))))</f>
        <v>0</v>
      </c>
      <c r="EI206" s="56">
        <f>IF(AND($E206&lt;&gt;0,$F206&gt;0,YEAR($F206)&lt;Preisindex!$A$6,YEAR(EC$4)&gt;=YEAR($F206),AND($K206&lt;&gt;"a",$K206&lt;&gt;"b",$K206&lt;&gt;"g",$K206&lt;&gt;"k")),1,IF(AND($E206&lt;&gt;0,$F206&gt;0,YEAR($F206)&lt;Preisindex!$A$6,YEAR(EC$4)&gt;=YEAR($F206),$K206="a"),ROUND(VLOOKUP(EH$4,Preisindex,5,FALSE)/VLOOKUP(Preisindex!$A$6,Preisindex,5,FALSE),2),IF(AND($E206&lt;&gt;0,$F206&gt;0,YEAR($F206)&lt;Preisindex!$A$6,YEAR(EC$4)&gt;=YEAR($F206),$K206="b"),ROUND(VLOOKUP(EH$4,Preisindex,3,FALSE)/VLOOKUP(Preisindex!$A$6,Preisindex,3,FALSE),2),IF(AND($E206&lt;&gt;0,$F206&gt;0,YEAR($F206)&lt;Preisindex!$A$6,YEAR(EC$4)&gt;=YEAR($F206),$K206="g"),ROUND(VLOOKUP(EH$4,Preisindex,4,FALSE)/VLOOKUP(Preisindex!$A$6,Preisindex,4,FALSE),2),IF(AND($E206&lt;&gt;0,$F206&gt;0,YEAR($F206)&lt;Preisindex!$A$6,YEAR(EC$4)&gt;=YEAR($F206),$K206="k"),ROUND(VLOOKUP(EH$4,Preisindex,2,FALSE)/VLOOKUP(Preisindex!$A$6,Preisindex,2,FALSE),2),0)))))</f>
        <v>0</v>
      </c>
      <c r="EJ206" s="51">
        <f>IF(AND($E206&lt;&gt;0,$F206&gt;0,YEAR($F206)&lt;=EH$4,YEAR($F206)&gt;=Preisindex!$A$6),ROUND($E206*EH206,2),IF(AND($E206&lt;&gt;0,$F206&gt;0,YEAR($F206)&lt;=EH$4,YEAR($F206)&lt;Preisindex!$A$6),ROUND($E206*EI206,2),0))</f>
        <v>0</v>
      </c>
      <c r="EK206" s="53">
        <f t="shared" si="672"/>
        <v>0</v>
      </c>
      <c r="EL206" s="51">
        <f t="shared" si="656"/>
        <v>0</v>
      </c>
      <c r="EM206" s="51">
        <f t="shared" si="609"/>
        <v>0</v>
      </c>
      <c r="EN206" s="51">
        <f t="shared" si="673"/>
        <v>0</v>
      </c>
      <c r="EO206" s="51">
        <f t="shared" si="610"/>
        <v>0</v>
      </c>
      <c r="EP206" s="51">
        <f t="shared" si="674"/>
        <v>0</v>
      </c>
      <c r="EQ206" s="51">
        <f t="shared" si="611"/>
        <v>0</v>
      </c>
      <c r="ER206" s="51">
        <f t="shared" si="675"/>
        <v>0</v>
      </c>
      <c r="ES206" s="51">
        <f t="shared" si="612"/>
        <v>0</v>
      </c>
      <c r="ET206" s="51">
        <f t="shared" si="676"/>
        <v>0</v>
      </c>
      <c r="EU206" s="51">
        <f t="shared" si="613"/>
        <v>0</v>
      </c>
      <c r="EV206" s="51">
        <f t="shared" si="677"/>
        <v>0</v>
      </c>
      <c r="EW206" s="54">
        <f t="shared" si="678"/>
        <v>0</v>
      </c>
      <c r="EX206" s="55">
        <f t="shared" si="679"/>
        <v>0</v>
      </c>
      <c r="EY206" s="56">
        <f>IF(AND($E206&lt;&gt;0,$F206&gt;0,YEAR($F206)&gt;=Preisindex!$A$6,YEAR(ET$4)&gt;=YEAR($F206),AND($K206&lt;&gt;"a",$K206&lt;&gt;"b",$K206&lt;&gt;"g",$K206&lt;&gt;"k")),1,IF(AND($E206&lt;&gt;0,$F206&gt;0,YEAR($F206)&gt;=Preisindex!$A$6,YEAR(ET$4)&gt;=YEAR($F206),$K206="a"),ROUND(VLOOKUP(EY$4,Preisindex,5,FALSE)/VLOOKUP(YEAR($F206),Preisindex,5,FALSE),2),IF(AND($E206&lt;&gt;0,$F206&gt;0,YEAR($F206)&gt;=Preisindex!$A$6,YEAR(ET$4)&gt;=YEAR($F206),$K206="b"),ROUND(VLOOKUP(EY$4,Preisindex,3,FALSE)/VLOOKUP(YEAR($F206),Preisindex,3,FALSE),2),IF(AND($E206&lt;&gt;0,$F206&gt;0,YEAR($F206)&gt;=Preisindex!$A$6,YEAR(ET$4)&gt;=YEAR($F206),$K206="g"),ROUND(VLOOKUP(EY$4,Preisindex,4,FALSE)/VLOOKUP(YEAR($F206),Preisindex,4,FALSE),2),IF(AND($E206&lt;&gt;0,$F206&gt;0,YEAR($F206)&gt;=Preisindex!$A$6,YEAR(ET$4)&gt;=YEAR($F206),$K206="k"),ROUND(VLOOKUP(EY$4,Preisindex,2,FALSE)/VLOOKUP(YEAR($F206),Preisindex,2,FALSE),2),0)))))</f>
        <v>0</v>
      </c>
      <c r="EZ206" s="56">
        <f>IF(AND($E206&lt;&gt;0,$F206&gt;0,YEAR($F206)&lt;Preisindex!$A$6,YEAR(ET$4)&gt;=YEAR($F206),AND($K206&lt;&gt;"a",$K206&lt;&gt;"b",$K206&lt;&gt;"g",$K206&lt;&gt;"k")),1,IF(AND($E206&lt;&gt;0,$F206&gt;0,YEAR($F206)&lt;Preisindex!$A$6,YEAR(ET$4)&gt;=YEAR($F206),$K206="a"),ROUND(VLOOKUP(EY$4,Preisindex,5,FALSE)/VLOOKUP(Preisindex!$A$6,Preisindex,5,FALSE),2),IF(AND($E206&lt;&gt;0,$F206&gt;0,YEAR($F206)&lt;Preisindex!$A$6,YEAR(ET$4)&gt;=YEAR($F206),$K206="b"),ROUND(VLOOKUP(EY$4,Preisindex,3,FALSE)/VLOOKUP(Preisindex!$A$6,Preisindex,3,FALSE),2),IF(AND($E206&lt;&gt;0,$F206&gt;0,YEAR($F206)&lt;Preisindex!$A$6,YEAR(ET$4)&gt;=YEAR($F206),$K206="g"),ROUND(VLOOKUP(EY$4,Preisindex,4,FALSE)/VLOOKUP(Preisindex!$A$6,Preisindex,4,FALSE),2),IF(AND($E206&lt;&gt;0,$F206&gt;0,YEAR($F206)&lt;Preisindex!$A$6,YEAR(ET$4)&gt;=YEAR($F206),$K206="k"),ROUND(VLOOKUP(EY$4,Preisindex,2,FALSE)/VLOOKUP(Preisindex!$A$6,Preisindex,2,FALSE),2),0)))))</f>
        <v>0</v>
      </c>
      <c r="FA206" s="51">
        <f>IF(AND($E206&lt;&gt;0,$F206&gt;0,YEAR($F206)&lt;=EY$4,YEAR($F206)&gt;=Preisindex!$A$6),ROUND($E206*EY206,2),IF(AND($E206&lt;&gt;0,$F206&gt;0,YEAR($F206)&lt;=EY$4,YEAR($F206)&lt;Preisindex!$A$6),ROUND($E206*EZ206,2),0))</f>
        <v>0</v>
      </c>
      <c r="FB206" s="53">
        <f t="shared" si="680"/>
        <v>0</v>
      </c>
      <c r="FC206" s="51">
        <f t="shared" si="656"/>
        <v>0</v>
      </c>
      <c r="FD206" s="51">
        <f t="shared" si="614"/>
        <v>0</v>
      </c>
      <c r="FE206" s="51">
        <f t="shared" si="681"/>
        <v>0</v>
      </c>
      <c r="FF206" s="51">
        <f t="shared" si="615"/>
        <v>0</v>
      </c>
      <c r="FG206" s="51">
        <f t="shared" si="682"/>
        <v>0</v>
      </c>
      <c r="FH206" s="51">
        <f t="shared" si="616"/>
        <v>0</v>
      </c>
      <c r="FI206" s="51">
        <f t="shared" si="683"/>
        <v>0</v>
      </c>
      <c r="FJ206" s="51">
        <f t="shared" si="617"/>
        <v>0</v>
      </c>
      <c r="FK206" s="51">
        <f t="shared" si="684"/>
        <v>0</v>
      </c>
      <c r="FL206" s="51">
        <f t="shared" si="618"/>
        <v>0</v>
      </c>
      <c r="FM206" s="51">
        <f t="shared" si="685"/>
        <v>0</v>
      </c>
      <c r="FN206" s="54">
        <f t="shared" si="686"/>
        <v>0</v>
      </c>
      <c r="FO206" s="55">
        <f t="shared" si="687"/>
        <v>0</v>
      </c>
      <c r="FP206" s="56">
        <f>IF(AND($E206&lt;&gt;0,$F206&gt;0,YEAR($F206)&gt;=Preisindex!$A$6,YEAR(FK$4)&gt;=YEAR($F206),AND($K206&lt;&gt;"a",$K206&lt;&gt;"b",$K206&lt;&gt;"g",$K206&lt;&gt;"k")),1,IF(AND($E206&lt;&gt;0,$F206&gt;0,YEAR($F206)&gt;=Preisindex!$A$6,YEAR(FK$4)&gt;=YEAR($F206),$K206="a"),ROUND(VLOOKUP(FP$4,Preisindex,5,FALSE)/VLOOKUP(YEAR($F206),Preisindex,5,FALSE),2),IF(AND($E206&lt;&gt;0,$F206&gt;0,YEAR($F206)&gt;=Preisindex!$A$6,YEAR(FK$4)&gt;=YEAR($F206),$K206="b"),ROUND(VLOOKUP(FP$4,Preisindex,3,FALSE)/VLOOKUP(YEAR($F206),Preisindex,3,FALSE),2),IF(AND($E206&lt;&gt;0,$F206&gt;0,YEAR($F206)&gt;=Preisindex!$A$6,YEAR(FK$4)&gt;=YEAR($F206),$K206="g"),ROUND(VLOOKUP(FP$4,Preisindex,4,FALSE)/VLOOKUP(YEAR($F206),Preisindex,4,FALSE),2),IF(AND($E206&lt;&gt;0,$F206&gt;0,YEAR($F206)&gt;=Preisindex!$A$6,YEAR(FK$4)&gt;=YEAR($F206),$K206="k"),ROUND(VLOOKUP(FP$4,Preisindex,2,FALSE)/VLOOKUP(YEAR($F206),Preisindex,2,FALSE),2),0)))))</f>
        <v>0</v>
      </c>
      <c r="FQ206" s="56">
        <f>IF(AND($E206&lt;&gt;0,$F206&gt;0,YEAR($F206)&lt;Preisindex!$A$6,YEAR(FK$4)&gt;=YEAR($F206),AND($K206&lt;&gt;"a",$K206&lt;&gt;"b",$K206&lt;&gt;"g",$K206&lt;&gt;"k")),1,IF(AND($E206&lt;&gt;0,$F206&gt;0,YEAR($F206)&lt;Preisindex!$A$6,YEAR(FK$4)&gt;=YEAR($F206),$K206="a"),ROUND(VLOOKUP(FP$4,Preisindex,5,FALSE)/VLOOKUP(Preisindex!$A$6,Preisindex,5,FALSE),2),IF(AND($E206&lt;&gt;0,$F206&gt;0,YEAR($F206)&lt;Preisindex!$A$6,YEAR(FK$4)&gt;=YEAR($F206),$K206="b"),ROUND(VLOOKUP(FP$4,Preisindex,3,FALSE)/VLOOKUP(Preisindex!$A$6,Preisindex,3,FALSE),2),IF(AND($E206&lt;&gt;0,$F206&gt;0,YEAR($F206)&lt;Preisindex!$A$6,YEAR(FK$4)&gt;=YEAR($F206),$K206="g"),ROUND(VLOOKUP(FP$4,Preisindex,4,FALSE)/VLOOKUP(Preisindex!$A$6,Preisindex,4,FALSE),2),IF(AND($E206&lt;&gt;0,$F206&gt;0,YEAR($F206)&lt;Preisindex!$A$6,YEAR(FK$4)&gt;=YEAR($F206),$K206="k"),ROUND(VLOOKUP(FP$4,Preisindex,2,FALSE)/VLOOKUP(Preisindex!$A$6,Preisindex,2,FALSE),2),0)))))</f>
        <v>0</v>
      </c>
      <c r="FR206" s="51">
        <f>IF(AND($E206&lt;&gt;0,$F206&gt;0,YEAR($F206)&lt;=FP$4,YEAR($F206)&gt;=Preisindex!$A$6),ROUND($E206*FP206,2),IF(AND($E206&lt;&gt;0,$F206&gt;0,YEAR($F206)&lt;=FP$4,YEAR($F206)&lt;Preisindex!$A$6),ROUND($E206*FQ206,2),0))</f>
        <v>0</v>
      </c>
      <c r="FS206" s="53">
        <f t="shared" si="688"/>
        <v>0</v>
      </c>
    </row>
    <row r="207" spans="1:175" x14ac:dyDescent="0.3">
      <c r="A207" s="93"/>
      <c r="B207" s="94"/>
      <c r="C207" s="94"/>
      <c r="D207" s="95"/>
      <c r="E207" s="99"/>
      <c r="F207" s="97"/>
      <c r="G207" s="98"/>
      <c r="H207" s="620"/>
      <c r="I207" s="621"/>
      <c r="J207" s="194"/>
      <c r="K207" s="630"/>
      <c r="L207" s="49">
        <f t="shared" si="689"/>
        <v>0</v>
      </c>
      <c r="M207" s="50">
        <f t="shared" si="690"/>
        <v>0</v>
      </c>
      <c r="N207" s="51">
        <f t="shared" si="691"/>
        <v>0</v>
      </c>
      <c r="O207" s="51"/>
      <c r="P207" s="51">
        <f t="shared" si="692"/>
        <v>0</v>
      </c>
      <c r="Q207" s="52"/>
      <c r="R207" s="52"/>
      <c r="S207" s="52"/>
      <c r="T207" s="52"/>
      <c r="U207" s="52"/>
      <c r="V207" s="53">
        <f t="shared" si="693"/>
        <v>0</v>
      </c>
      <c r="W207" s="51">
        <f t="shared" si="694"/>
        <v>0</v>
      </c>
      <c r="X207" s="51">
        <f t="shared" si="695"/>
        <v>0</v>
      </c>
      <c r="Y207" s="51">
        <f t="shared" si="696"/>
        <v>0</v>
      </c>
      <c r="Z207" s="51">
        <f t="shared" si="697"/>
        <v>0</v>
      </c>
      <c r="AA207" s="51">
        <f t="shared" si="698"/>
        <v>0</v>
      </c>
      <c r="AB207" s="51">
        <f t="shared" si="699"/>
        <v>0</v>
      </c>
      <c r="AC207" s="51">
        <f t="shared" si="700"/>
        <v>0</v>
      </c>
      <c r="AD207" s="51">
        <f t="shared" si="701"/>
        <v>0</v>
      </c>
      <c r="AE207" s="51">
        <f t="shared" si="702"/>
        <v>0</v>
      </c>
      <c r="AF207" s="51">
        <f t="shared" si="703"/>
        <v>0</v>
      </c>
      <c r="AG207" s="51">
        <f t="shared" si="704"/>
        <v>0</v>
      </c>
      <c r="AH207" s="54">
        <f t="shared" si="705"/>
        <v>0</v>
      </c>
      <c r="AI207" s="55">
        <f t="shared" si="706"/>
        <v>0</v>
      </c>
      <c r="AJ207" s="56">
        <f>IF(AND($E207&lt;&gt;0,$F207&gt;0,YEAR($F207)&gt;=Preisindex!$A$6,YEAR(AE$4)&gt;=YEAR($F207),AND($K207&lt;&gt;"a",$K207&lt;&gt;"b",$K207&lt;&gt;"g",$K207&lt;&gt;"k")),1,IF(AND($E207&lt;&gt;0,$F207&gt;0,YEAR($F207)&gt;=Preisindex!$A$6,YEAR(AE$4)&gt;=YEAR($F207),$K207="a"),ROUND(VLOOKUP(AJ$4,Preisindex,5,FALSE)/VLOOKUP(YEAR($F207),Preisindex,5,FALSE),2),IF(AND($E207&lt;&gt;0,$F207&gt;0,YEAR($F207)&gt;=Preisindex!$A$6,YEAR(AE$4)&gt;=YEAR($F207),$K207="b"),ROUND(VLOOKUP(AJ$4,Preisindex,3,FALSE)/VLOOKUP(YEAR($F207),Preisindex,3,FALSE),2),IF(AND($E207&lt;&gt;0,$F207&gt;0,YEAR($F207)&gt;=Preisindex!$A$6,YEAR(AE$4)&gt;=YEAR($F207),$K207="g"),ROUND(VLOOKUP(AJ$4,Preisindex,4,FALSE)/VLOOKUP(YEAR($F207),Preisindex,4,FALSE),2),IF(AND($E207&lt;&gt;0,$F207&gt;0,YEAR($F207)&gt;=Preisindex!$A$6,YEAR(AE$4)&gt;=YEAR($F207),$K207="k"),ROUND(VLOOKUP(AJ$4,Preisindex,2,FALSE)/VLOOKUP(YEAR($F207),Preisindex,2,FALSE),2),0)))))</f>
        <v>0</v>
      </c>
      <c r="AK207" s="56">
        <f>IF(AND($E207&lt;&gt;0,$F207&gt;0,YEAR($F207)&lt;Preisindex!$A$6,YEAR(AE$4)&gt;=YEAR($F207),AND($K207&lt;&gt;"a",$K207&lt;&gt;"b",$K207&lt;&gt;"g",$K207&lt;&gt;"k")),1,IF(AND($E207&lt;&gt;0,$F207&gt;0,YEAR($F207)&lt;Preisindex!$A$6,YEAR(AE$4)&gt;=YEAR($F207),$K207="a"),ROUND(VLOOKUP(AJ$4,Preisindex,5,FALSE)/VLOOKUP(Preisindex!$A$6,Preisindex,5,FALSE),2),IF(AND($E207&lt;&gt;0,$F207&gt;0,YEAR($F207)&lt;Preisindex!$A$6,YEAR(AE$4)&gt;=YEAR($F207),$K207="b"),ROUND(VLOOKUP(AJ$4,Preisindex,3,FALSE)/VLOOKUP(Preisindex!$A$6,Preisindex,3,FALSE),2),IF(AND($E207&lt;&gt;0,$F207&gt;0,YEAR($F207)&lt;Preisindex!$A$6,YEAR(AE$4)&gt;=YEAR($F207),$K207="g"),ROUND(VLOOKUP(AJ$4,Preisindex,4,FALSE)/VLOOKUP(Preisindex!$A$6,Preisindex,4,FALSE),2),IF(AND($E207&lt;&gt;0,$F207&gt;0,YEAR($F207)&lt;Preisindex!$A$6,YEAR(AE$4)&gt;=YEAR($F207),$K207="k"),ROUND(VLOOKUP(AJ$4,Preisindex,2,FALSE)/VLOOKUP(Preisindex!$A$6,Preisindex,2,FALSE),2),0)))))</f>
        <v>0</v>
      </c>
      <c r="AL207" s="51">
        <f>IF(AND($E207&lt;&gt;0,$F207&gt;0,YEAR($F207)&lt;=AJ$4,YEAR($F207)&gt;=Preisindex!$A$6),ROUND($E207*AJ207,2),IF(AND($E207&lt;&gt;0,$F207&gt;0,YEAR($F207)&lt;=AJ$4,YEAR($F207)&lt;Preisindex!$A$6),ROUND($E207*AK207,2),0))</f>
        <v>0</v>
      </c>
      <c r="AM207" s="53">
        <f t="shared" si="707"/>
        <v>0</v>
      </c>
      <c r="AN207" s="51">
        <f t="shared" si="623"/>
        <v>0</v>
      </c>
      <c r="AO207" s="51">
        <f t="shared" si="579"/>
        <v>0</v>
      </c>
      <c r="AP207" s="51">
        <f t="shared" si="624"/>
        <v>0</v>
      </c>
      <c r="AQ207" s="51">
        <f t="shared" si="580"/>
        <v>0</v>
      </c>
      <c r="AR207" s="51">
        <f t="shared" si="625"/>
        <v>0</v>
      </c>
      <c r="AS207" s="51">
        <f t="shared" si="581"/>
        <v>0</v>
      </c>
      <c r="AT207" s="51">
        <f t="shared" si="626"/>
        <v>0</v>
      </c>
      <c r="AU207" s="51">
        <f t="shared" si="582"/>
        <v>0</v>
      </c>
      <c r="AV207" s="51">
        <f t="shared" si="627"/>
        <v>0</v>
      </c>
      <c r="AW207" s="51">
        <f t="shared" si="583"/>
        <v>0</v>
      </c>
      <c r="AX207" s="51">
        <f t="shared" si="628"/>
        <v>0</v>
      </c>
      <c r="AY207" s="54">
        <f t="shared" si="629"/>
        <v>0</v>
      </c>
      <c r="AZ207" s="55">
        <f t="shared" si="630"/>
        <v>0</v>
      </c>
      <c r="BA207" s="56">
        <f>IF(AND($E207&lt;&gt;0,$F207&gt;0,YEAR($F207)&gt;=Preisindex!$A$6,YEAR(AV$4)&gt;=YEAR($F207),AND($K207&lt;&gt;"a",$K207&lt;&gt;"b",$K207&lt;&gt;"g",$K207&lt;&gt;"k")),1,IF(AND($E207&lt;&gt;0,$F207&gt;0,YEAR($F207)&gt;=Preisindex!$A$6,YEAR(AV$4)&gt;=YEAR($F207),$K207="a"),ROUND(VLOOKUP(BA$4,Preisindex,5,FALSE)/VLOOKUP(YEAR($F207),Preisindex,5,FALSE),2),IF(AND($E207&lt;&gt;0,$F207&gt;0,YEAR($F207)&gt;=Preisindex!$A$6,YEAR(AV$4)&gt;=YEAR($F207),$K207="b"),ROUND(VLOOKUP(BA$4,Preisindex,3,FALSE)/VLOOKUP(YEAR($F207),Preisindex,3,FALSE),2),IF(AND($E207&lt;&gt;0,$F207&gt;0,YEAR($F207)&gt;=Preisindex!$A$6,YEAR(AV$4)&gt;=YEAR($F207),$K207="g"),ROUND(VLOOKUP(BA$4,Preisindex,4,FALSE)/VLOOKUP(YEAR($F207),Preisindex,4,FALSE),2),IF(AND($E207&lt;&gt;0,$F207&gt;0,YEAR($F207)&gt;=Preisindex!$A$6,YEAR(AV$4)&gt;=YEAR($F207),$K207="k"),ROUND(VLOOKUP(BA$4,Preisindex,2,FALSE)/VLOOKUP(YEAR($F207),Preisindex,2,FALSE),2),0)))))</f>
        <v>0</v>
      </c>
      <c r="BB207" s="56">
        <f>IF(AND($E207&lt;&gt;0,$F207&gt;0,YEAR($F207)&lt;Preisindex!$A$6,YEAR(AV$4)&gt;=YEAR($F207),AND($K207&lt;&gt;"a",$K207&lt;&gt;"b",$K207&lt;&gt;"g",$K207&lt;&gt;"k")),1,IF(AND($E207&lt;&gt;0,$F207&gt;0,YEAR($F207)&lt;Preisindex!$A$6,YEAR(AV$4)&gt;=YEAR($F207),$K207="a"),ROUND(VLOOKUP(BA$4,Preisindex,5,FALSE)/VLOOKUP(Preisindex!$A$6,Preisindex,5,FALSE),2),IF(AND($E207&lt;&gt;0,$F207&gt;0,YEAR($F207)&lt;Preisindex!$A$6,YEAR(AV$4)&gt;=YEAR($F207),$K207="b"),ROUND(VLOOKUP(BA$4,Preisindex,3,FALSE)/VLOOKUP(Preisindex!$A$6,Preisindex,3,FALSE),2),IF(AND($E207&lt;&gt;0,$F207&gt;0,YEAR($F207)&lt;Preisindex!$A$6,YEAR(AV$4)&gt;=YEAR($F207),$K207="g"),ROUND(VLOOKUP(BA$4,Preisindex,4,FALSE)/VLOOKUP(Preisindex!$A$6,Preisindex,4,FALSE),2),IF(AND($E207&lt;&gt;0,$F207&gt;0,YEAR($F207)&lt;Preisindex!$A$6,YEAR(AV$4)&gt;=YEAR($F207),$K207="k"),ROUND(VLOOKUP(BA$4,Preisindex,2,FALSE)/VLOOKUP(Preisindex!$A$6,Preisindex,2,FALSE),2),0)))))</f>
        <v>0</v>
      </c>
      <c r="BC207" s="51">
        <f>IF(AND($E207&lt;&gt;0,$F207&gt;0,YEAR($F207)&lt;=BA$4,YEAR($F207)&gt;=Preisindex!$A$6),ROUND($E207*BA207,2),IF(AND($E207&lt;&gt;0,$F207&gt;0,YEAR($F207)&lt;=BA$4,YEAR($F207)&lt;Preisindex!$A$6),ROUND($E207*BB207,2),0))</f>
        <v>0</v>
      </c>
      <c r="BD207" s="53">
        <f t="shared" si="631"/>
        <v>0</v>
      </c>
      <c r="BE207" s="51">
        <f t="shared" si="623"/>
        <v>0</v>
      </c>
      <c r="BF207" s="51">
        <f t="shared" si="584"/>
        <v>0</v>
      </c>
      <c r="BG207" s="51">
        <f t="shared" si="632"/>
        <v>0</v>
      </c>
      <c r="BH207" s="51">
        <f t="shared" si="585"/>
        <v>0</v>
      </c>
      <c r="BI207" s="51">
        <f t="shared" si="633"/>
        <v>0</v>
      </c>
      <c r="BJ207" s="51">
        <f t="shared" si="586"/>
        <v>0</v>
      </c>
      <c r="BK207" s="51">
        <f t="shared" si="634"/>
        <v>0</v>
      </c>
      <c r="BL207" s="51">
        <f t="shared" si="587"/>
        <v>0</v>
      </c>
      <c r="BM207" s="51">
        <f t="shared" si="635"/>
        <v>0</v>
      </c>
      <c r="BN207" s="51">
        <f t="shared" si="588"/>
        <v>0</v>
      </c>
      <c r="BO207" s="51">
        <f t="shared" si="636"/>
        <v>0</v>
      </c>
      <c r="BP207" s="54">
        <f t="shared" si="637"/>
        <v>0</v>
      </c>
      <c r="BQ207" s="55">
        <f t="shared" si="638"/>
        <v>0</v>
      </c>
      <c r="BR207" s="56">
        <f>IF(AND($E207&lt;&gt;0,$F207&gt;0,YEAR($F207)&gt;=Preisindex!$A$6,YEAR(BM$4)&gt;=YEAR($F207),AND($K207&lt;&gt;"a",$K207&lt;&gt;"b",$K207&lt;&gt;"g",$K207&lt;&gt;"k")),1,IF(AND($E207&lt;&gt;0,$F207&gt;0,YEAR($F207)&gt;=Preisindex!$A$6,YEAR(BM$4)&gt;=YEAR($F207),$K207="a"),ROUND(VLOOKUP(BR$4,Preisindex,5,FALSE)/VLOOKUP(YEAR($F207),Preisindex,5,FALSE),2),IF(AND($E207&lt;&gt;0,$F207&gt;0,YEAR($F207)&gt;=Preisindex!$A$6,YEAR(BM$4)&gt;=YEAR($F207),$K207="b"),ROUND(VLOOKUP(BR$4,Preisindex,3,FALSE)/VLOOKUP(YEAR($F207),Preisindex,3,FALSE),2),IF(AND($E207&lt;&gt;0,$F207&gt;0,YEAR($F207)&gt;=Preisindex!$A$6,YEAR(BM$4)&gt;=YEAR($F207),$K207="g"),ROUND(VLOOKUP(BR$4,Preisindex,4,FALSE)/VLOOKUP(YEAR($F207),Preisindex,4,FALSE),2),IF(AND($E207&lt;&gt;0,$F207&gt;0,YEAR($F207)&gt;=Preisindex!$A$6,YEAR(BM$4)&gt;=YEAR($F207),$K207="k"),ROUND(VLOOKUP(BR$4,Preisindex,2,FALSE)/VLOOKUP(YEAR($F207),Preisindex,2,FALSE),2),0)))))</f>
        <v>0</v>
      </c>
      <c r="BS207" s="56">
        <f>IF(AND($E207&lt;&gt;0,$F207&gt;0,YEAR($F207)&lt;Preisindex!$A$6,YEAR(BM$4)&gt;=YEAR($F207),AND($K207&lt;&gt;"a",$K207&lt;&gt;"b",$K207&lt;&gt;"g",$K207&lt;&gt;"k")),1,IF(AND($E207&lt;&gt;0,$F207&gt;0,YEAR($F207)&lt;Preisindex!$A$6,YEAR(BM$4)&gt;=YEAR($F207),$K207="a"),ROUND(VLOOKUP(BR$4,Preisindex,5,FALSE)/VLOOKUP(Preisindex!$A$6,Preisindex,5,FALSE),2),IF(AND($E207&lt;&gt;0,$F207&gt;0,YEAR($F207)&lt;Preisindex!$A$6,YEAR(BM$4)&gt;=YEAR($F207),$K207="b"),ROUND(VLOOKUP(BR$4,Preisindex,3,FALSE)/VLOOKUP(Preisindex!$A$6,Preisindex,3,FALSE),2),IF(AND($E207&lt;&gt;0,$F207&gt;0,YEAR($F207)&lt;Preisindex!$A$6,YEAR(BM$4)&gt;=YEAR($F207),$K207="g"),ROUND(VLOOKUP(BR$4,Preisindex,4,FALSE)/VLOOKUP(Preisindex!$A$6,Preisindex,4,FALSE),2),IF(AND($E207&lt;&gt;0,$F207&gt;0,YEAR($F207)&lt;Preisindex!$A$6,YEAR(BM$4)&gt;=YEAR($F207),$K207="k"),ROUND(VLOOKUP(BR$4,Preisindex,2,FALSE)/VLOOKUP(Preisindex!$A$6,Preisindex,2,FALSE),2),0)))))</f>
        <v>0</v>
      </c>
      <c r="BT207" s="51">
        <f>IF(AND($E207&lt;&gt;0,$F207&gt;0,YEAR($F207)&lt;=BR$4,YEAR($F207)&gt;=Preisindex!$A$6),ROUND($E207*BR207,2),IF(AND($E207&lt;&gt;0,$F207&gt;0,YEAR($F207)&lt;=BR$4,YEAR($F207)&lt;Preisindex!$A$6),ROUND($E207*BS207,2),0))</f>
        <v>0</v>
      </c>
      <c r="BU207" s="53">
        <f t="shared" si="639"/>
        <v>0</v>
      </c>
      <c r="BV207" s="51">
        <f t="shared" si="623"/>
        <v>0</v>
      </c>
      <c r="BW207" s="51">
        <f t="shared" si="589"/>
        <v>0</v>
      </c>
      <c r="BX207" s="51">
        <f t="shared" si="640"/>
        <v>0</v>
      </c>
      <c r="BY207" s="51">
        <f t="shared" si="590"/>
        <v>0</v>
      </c>
      <c r="BZ207" s="51">
        <f t="shared" si="641"/>
        <v>0</v>
      </c>
      <c r="CA207" s="51">
        <f t="shared" si="591"/>
        <v>0</v>
      </c>
      <c r="CB207" s="51">
        <f t="shared" si="642"/>
        <v>0</v>
      </c>
      <c r="CC207" s="51">
        <f t="shared" si="592"/>
        <v>0</v>
      </c>
      <c r="CD207" s="51">
        <f t="shared" si="643"/>
        <v>0</v>
      </c>
      <c r="CE207" s="51">
        <f t="shared" si="593"/>
        <v>0</v>
      </c>
      <c r="CF207" s="51">
        <f t="shared" si="644"/>
        <v>0</v>
      </c>
      <c r="CG207" s="54">
        <f t="shared" si="645"/>
        <v>0</v>
      </c>
      <c r="CH207" s="55">
        <f t="shared" si="646"/>
        <v>0</v>
      </c>
      <c r="CI207" s="56">
        <f>IF(AND($E207&lt;&gt;0,$F207&gt;0,YEAR($F207)&gt;=Preisindex!$A$6,YEAR(CD$4)&gt;=YEAR($F207),AND($K207&lt;&gt;"a",$K207&lt;&gt;"b",$K207&lt;&gt;"g",$K207&lt;&gt;"k")),1,IF(AND($E207&lt;&gt;0,$F207&gt;0,YEAR($F207)&gt;=Preisindex!$A$6,YEAR(CD$4)&gt;=YEAR($F207),$K207="a"),ROUND(VLOOKUP(CI$4,Preisindex,5,FALSE)/VLOOKUP(YEAR($F207),Preisindex,5,FALSE),2),IF(AND($E207&lt;&gt;0,$F207&gt;0,YEAR($F207)&gt;=Preisindex!$A$6,YEAR(CD$4)&gt;=YEAR($F207),$K207="b"),ROUND(VLOOKUP(CI$4,Preisindex,3,FALSE)/VLOOKUP(YEAR($F207),Preisindex,3,FALSE),2),IF(AND($E207&lt;&gt;0,$F207&gt;0,YEAR($F207)&gt;=Preisindex!$A$6,YEAR(CD$4)&gt;=YEAR($F207),$K207="g"),ROUND(VLOOKUP(CI$4,Preisindex,4,FALSE)/VLOOKUP(YEAR($F207),Preisindex,4,FALSE),2),IF(AND($E207&lt;&gt;0,$F207&gt;0,YEAR($F207)&gt;=Preisindex!$A$6,YEAR(CD$4)&gt;=YEAR($F207),$K207="k"),ROUND(VLOOKUP(CI$4,Preisindex,2,FALSE)/VLOOKUP(YEAR($F207),Preisindex,2,FALSE),2),0)))))</f>
        <v>0</v>
      </c>
      <c r="CJ207" s="56">
        <f>IF(AND($E207&lt;&gt;0,$F207&gt;0,YEAR($F207)&lt;Preisindex!$A$6,YEAR(CD$4)&gt;=YEAR($F207),AND($K207&lt;&gt;"a",$K207&lt;&gt;"b",$K207&lt;&gt;"g",$K207&lt;&gt;"k")),1,IF(AND($E207&lt;&gt;0,$F207&gt;0,YEAR($F207)&lt;Preisindex!$A$6,YEAR(CD$4)&gt;=YEAR($F207),$K207="a"),ROUND(VLOOKUP(CI$4,Preisindex,5,FALSE)/VLOOKUP(Preisindex!$A$6,Preisindex,5,FALSE),2),IF(AND($E207&lt;&gt;0,$F207&gt;0,YEAR($F207)&lt;Preisindex!$A$6,YEAR(CD$4)&gt;=YEAR($F207),$K207="b"),ROUND(VLOOKUP(CI$4,Preisindex,3,FALSE)/VLOOKUP(Preisindex!$A$6,Preisindex,3,FALSE),2),IF(AND($E207&lt;&gt;0,$F207&gt;0,YEAR($F207)&lt;Preisindex!$A$6,YEAR(CD$4)&gt;=YEAR($F207),$K207="g"),ROUND(VLOOKUP(CI$4,Preisindex,4,FALSE)/VLOOKUP(Preisindex!$A$6,Preisindex,4,FALSE),2),IF(AND($E207&lt;&gt;0,$F207&gt;0,YEAR($F207)&lt;Preisindex!$A$6,YEAR(CD$4)&gt;=YEAR($F207),$K207="k"),ROUND(VLOOKUP(CI$4,Preisindex,2,FALSE)/VLOOKUP(Preisindex!$A$6,Preisindex,2,FALSE),2),0)))))</f>
        <v>0</v>
      </c>
      <c r="CK207" s="51">
        <f>IF(AND($E207&lt;&gt;0,$F207&gt;0,YEAR($F207)&lt;=CI$4,YEAR($F207)&gt;=Preisindex!$A$6),ROUND($E207*CI207,2),IF(AND($E207&lt;&gt;0,$F207&gt;0,YEAR($F207)&lt;=CI$4,YEAR($F207)&lt;Preisindex!$A$6),ROUND($E207*CJ207,2),0))</f>
        <v>0</v>
      </c>
      <c r="CL207" s="53">
        <f t="shared" si="647"/>
        <v>0</v>
      </c>
      <c r="CM207" s="51">
        <f t="shared" si="623"/>
        <v>0</v>
      </c>
      <c r="CN207" s="51">
        <f t="shared" si="594"/>
        <v>0</v>
      </c>
      <c r="CO207" s="51">
        <f t="shared" si="648"/>
        <v>0</v>
      </c>
      <c r="CP207" s="51">
        <f t="shared" si="595"/>
        <v>0</v>
      </c>
      <c r="CQ207" s="51">
        <f t="shared" si="649"/>
        <v>0</v>
      </c>
      <c r="CR207" s="51">
        <f t="shared" si="596"/>
        <v>0</v>
      </c>
      <c r="CS207" s="51">
        <f t="shared" si="650"/>
        <v>0</v>
      </c>
      <c r="CT207" s="51">
        <f t="shared" si="597"/>
        <v>0</v>
      </c>
      <c r="CU207" s="51">
        <f t="shared" si="651"/>
        <v>0</v>
      </c>
      <c r="CV207" s="51">
        <f t="shared" si="598"/>
        <v>0</v>
      </c>
      <c r="CW207" s="51">
        <f t="shared" si="652"/>
        <v>0</v>
      </c>
      <c r="CX207" s="54">
        <f t="shared" si="653"/>
        <v>0</v>
      </c>
      <c r="CY207" s="55">
        <f t="shared" si="654"/>
        <v>0</v>
      </c>
      <c r="CZ207" s="56">
        <f>IF(AND($E207&lt;&gt;0,$F207&gt;0,YEAR($F207)&gt;=Preisindex!$A$6,YEAR(CU$4)&gt;=YEAR($F207),AND($K207&lt;&gt;"a",$K207&lt;&gt;"b",$K207&lt;&gt;"g",$K207&lt;&gt;"k")),1,IF(AND($E207&lt;&gt;0,$F207&gt;0,YEAR($F207)&gt;=Preisindex!$A$6,YEAR(CU$4)&gt;=YEAR($F207),$K207="a"),ROUND(VLOOKUP(CZ$4,Preisindex,5,FALSE)/VLOOKUP(YEAR($F207),Preisindex,5,FALSE),2),IF(AND($E207&lt;&gt;0,$F207&gt;0,YEAR($F207)&gt;=Preisindex!$A$6,YEAR(CU$4)&gt;=YEAR($F207),$K207="b"),ROUND(VLOOKUP(CZ$4,Preisindex,3,FALSE)/VLOOKUP(YEAR($F207),Preisindex,3,FALSE),2),IF(AND($E207&lt;&gt;0,$F207&gt;0,YEAR($F207)&gt;=Preisindex!$A$6,YEAR(CU$4)&gt;=YEAR($F207),$K207="g"),ROUND(VLOOKUP(CZ$4,Preisindex,4,FALSE)/VLOOKUP(YEAR($F207),Preisindex,4,FALSE),2),IF(AND($E207&lt;&gt;0,$F207&gt;0,YEAR($F207)&gt;=Preisindex!$A$6,YEAR(CU$4)&gt;=YEAR($F207),$K207="k"),ROUND(VLOOKUP(CZ$4,Preisindex,2,FALSE)/VLOOKUP(YEAR($F207),Preisindex,2,FALSE),2),0)))))</f>
        <v>0</v>
      </c>
      <c r="DA207" s="56">
        <f>IF(AND($E207&lt;&gt;0,$F207&gt;0,YEAR($F207)&lt;Preisindex!$A$6,YEAR(CU$4)&gt;=YEAR($F207),AND($K207&lt;&gt;"a",$K207&lt;&gt;"b",$K207&lt;&gt;"g",$K207&lt;&gt;"k")),1,IF(AND($E207&lt;&gt;0,$F207&gt;0,YEAR($F207)&lt;Preisindex!$A$6,YEAR(CU$4)&gt;=YEAR($F207),$K207="a"),ROUND(VLOOKUP(CZ$4,Preisindex,5,FALSE)/VLOOKUP(Preisindex!$A$6,Preisindex,5,FALSE),2),IF(AND($E207&lt;&gt;0,$F207&gt;0,YEAR($F207)&lt;Preisindex!$A$6,YEAR(CU$4)&gt;=YEAR($F207),$K207="b"),ROUND(VLOOKUP(CZ$4,Preisindex,3,FALSE)/VLOOKUP(Preisindex!$A$6,Preisindex,3,FALSE),2),IF(AND($E207&lt;&gt;0,$F207&gt;0,YEAR($F207)&lt;Preisindex!$A$6,YEAR(CU$4)&gt;=YEAR($F207),$K207="g"),ROUND(VLOOKUP(CZ$4,Preisindex,4,FALSE)/VLOOKUP(Preisindex!$A$6,Preisindex,4,FALSE),2),IF(AND($E207&lt;&gt;0,$F207&gt;0,YEAR($F207)&lt;Preisindex!$A$6,YEAR(CU$4)&gt;=YEAR($F207),$K207="k"),ROUND(VLOOKUP(CZ$4,Preisindex,2,FALSE)/VLOOKUP(Preisindex!$A$6,Preisindex,2,FALSE),2),0)))))</f>
        <v>0</v>
      </c>
      <c r="DB207" s="51">
        <f>IF(AND($E207&lt;&gt;0,$F207&gt;0,YEAR($F207)&lt;=CZ$4,YEAR($F207)&gt;=Preisindex!$A$6),ROUND($E207*CZ207,2),IF(AND($E207&lt;&gt;0,$F207&gt;0,YEAR($F207)&lt;=CZ$4,YEAR($F207)&lt;Preisindex!$A$6),ROUND($E207*DA207,2),0))</f>
        <v>0</v>
      </c>
      <c r="DC207" s="53">
        <f t="shared" si="655"/>
        <v>0</v>
      </c>
      <c r="DD207" s="51">
        <f t="shared" si="656"/>
        <v>0</v>
      </c>
      <c r="DE207" s="51">
        <f t="shared" si="599"/>
        <v>0</v>
      </c>
      <c r="DF207" s="51">
        <f t="shared" si="657"/>
        <v>0</v>
      </c>
      <c r="DG207" s="51">
        <f t="shared" si="600"/>
        <v>0</v>
      </c>
      <c r="DH207" s="51">
        <f t="shared" si="658"/>
        <v>0</v>
      </c>
      <c r="DI207" s="51">
        <f t="shared" si="601"/>
        <v>0</v>
      </c>
      <c r="DJ207" s="51">
        <f t="shared" si="659"/>
        <v>0</v>
      </c>
      <c r="DK207" s="51">
        <f t="shared" si="602"/>
        <v>0</v>
      </c>
      <c r="DL207" s="51">
        <f t="shared" si="660"/>
        <v>0</v>
      </c>
      <c r="DM207" s="51">
        <f t="shared" si="603"/>
        <v>0</v>
      </c>
      <c r="DN207" s="51">
        <f t="shared" si="661"/>
        <v>0</v>
      </c>
      <c r="DO207" s="54">
        <f t="shared" si="662"/>
        <v>0</v>
      </c>
      <c r="DP207" s="55">
        <f t="shared" si="663"/>
        <v>0</v>
      </c>
      <c r="DQ207" s="56">
        <f>IF(AND($E207&lt;&gt;0,$F207&gt;0,YEAR($F207)&gt;=Preisindex!$A$6,YEAR(DL$4)&gt;=YEAR($F207),AND($K207&lt;&gt;"a",$K207&lt;&gt;"b",$K207&lt;&gt;"g",$K207&lt;&gt;"k")),1,IF(AND($E207&lt;&gt;0,$F207&gt;0,YEAR($F207)&gt;=Preisindex!$A$6,YEAR(DL$4)&gt;=YEAR($F207),$K207="a"),ROUND(VLOOKUP(DQ$4,Preisindex,5,FALSE)/VLOOKUP(YEAR($F207),Preisindex,5,FALSE),2),IF(AND($E207&lt;&gt;0,$F207&gt;0,YEAR($F207)&gt;=Preisindex!$A$6,YEAR(DL$4)&gt;=YEAR($F207),$K207="b"),ROUND(VLOOKUP(DQ$4,Preisindex,3,FALSE)/VLOOKUP(YEAR($F207),Preisindex,3,FALSE),2),IF(AND($E207&lt;&gt;0,$F207&gt;0,YEAR($F207)&gt;=Preisindex!$A$6,YEAR(DL$4)&gt;=YEAR($F207),$K207="g"),ROUND(VLOOKUP(DQ$4,Preisindex,4,FALSE)/VLOOKUP(YEAR($F207),Preisindex,4,FALSE),2),IF(AND($E207&lt;&gt;0,$F207&gt;0,YEAR($F207)&gt;=Preisindex!$A$6,YEAR(DL$4)&gt;=YEAR($F207),$K207="k"),ROUND(VLOOKUP(DQ$4,Preisindex,2,FALSE)/VLOOKUP(YEAR($F207),Preisindex,2,FALSE),2),0)))))</f>
        <v>0</v>
      </c>
      <c r="DR207" s="56">
        <f>IF(AND($E207&lt;&gt;0,$F207&gt;0,YEAR($F207)&lt;Preisindex!$A$6,YEAR(DL$4)&gt;=YEAR($F207),AND($K207&lt;&gt;"a",$K207&lt;&gt;"b",$K207&lt;&gt;"g",$K207&lt;&gt;"k")),1,IF(AND($E207&lt;&gt;0,$F207&gt;0,YEAR($F207)&lt;Preisindex!$A$6,YEAR(DL$4)&gt;=YEAR($F207),$K207="a"),ROUND(VLOOKUP(DQ$4,Preisindex,5,FALSE)/VLOOKUP(Preisindex!$A$6,Preisindex,5,FALSE),2),IF(AND($E207&lt;&gt;0,$F207&gt;0,YEAR($F207)&lt;Preisindex!$A$6,YEAR(DL$4)&gt;=YEAR($F207),$K207="b"),ROUND(VLOOKUP(DQ$4,Preisindex,3,FALSE)/VLOOKUP(Preisindex!$A$6,Preisindex,3,FALSE),2),IF(AND($E207&lt;&gt;0,$F207&gt;0,YEAR($F207)&lt;Preisindex!$A$6,YEAR(DL$4)&gt;=YEAR($F207),$K207="g"),ROUND(VLOOKUP(DQ$4,Preisindex,4,FALSE)/VLOOKUP(Preisindex!$A$6,Preisindex,4,FALSE),2),IF(AND($E207&lt;&gt;0,$F207&gt;0,YEAR($F207)&lt;Preisindex!$A$6,YEAR(DL$4)&gt;=YEAR($F207),$K207="k"),ROUND(VLOOKUP(DQ$4,Preisindex,2,FALSE)/VLOOKUP(Preisindex!$A$6,Preisindex,2,FALSE),2),0)))))</f>
        <v>0</v>
      </c>
      <c r="DS207" s="51">
        <f>IF(AND($E207&lt;&gt;0,$F207&gt;0,YEAR($F207)&lt;=DQ$4,YEAR($F207)&gt;=Preisindex!$A$6),ROUND($E207*DQ207,2),IF(AND($E207&lt;&gt;0,$F207&gt;0,YEAR($F207)&lt;=DQ$4,YEAR($F207)&lt;Preisindex!$A$6),ROUND($E207*DR207,2),0))</f>
        <v>0</v>
      </c>
      <c r="DT207" s="53">
        <f t="shared" si="664"/>
        <v>0</v>
      </c>
      <c r="DU207" s="51">
        <f t="shared" si="656"/>
        <v>0</v>
      </c>
      <c r="DV207" s="51">
        <f t="shared" si="604"/>
        <v>0</v>
      </c>
      <c r="DW207" s="51">
        <f t="shared" si="665"/>
        <v>0</v>
      </c>
      <c r="DX207" s="51">
        <f t="shared" si="605"/>
        <v>0</v>
      </c>
      <c r="DY207" s="51">
        <f t="shared" si="666"/>
        <v>0</v>
      </c>
      <c r="DZ207" s="51">
        <f t="shared" si="606"/>
        <v>0</v>
      </c>
      <c r="EA207" s="51">
        <f t="shared" si="667"/>
        <v>0</v>
      </c>
      <c r="EB207" s="51">
        <f t="shared" si="607"/>
        <v>0</v>
      </c>
      <c r="EC207" s="51">
        <f t="shared" si="668"/>
        <v>0</v>
      </c>
      <c r="ED207" s="51">
        <f t="shared" si="608"/>
        <v>0</v>
      </c>
      <c r="EE207" s="51">
        <f t="shared" si="669"/>
        <v>0</v>
      </c>
      <c r="EF207" s="54">
        <f t="shared" si="670"/>
        <v>0</v>
      </c>
      <c r="EG207" s="55">
        <f t="shared" si="671"/>
        <v>0</v>
      </c>
      <c r="EH207" s="56">
        <f>IF(AND($E207&lt;&gt;0,$F207&gt;0,YEAR($F207)&gt;=Preisindex!$A$6,YEAR(EC$4)&gt;=YEAR($F207),AND($K207&lt;&gt;"a",$K207&lt;&gt;"b",$K207&lt;&gt;"g",$K207&lt;&gt;"k")),1,IF(AND($E207&lt;&gt;0,$F207&gt;0,YEAR($F207)&gt;=Preisindex!$A$6,YEAR(EC$4)&gt;=YEAR($F207),$K207="a"),ROUND(VLOOKUP(EH$4,Preisindex,5,FALSE)/VLOOKUP(YEAR($F207),Preisindex,5,FALSE),2),IF(AND($E207&lt;&gt;0,$F207&gt;0,YEAR($F207)&gt;=Preisindex!$A$6,YEAR(EC$4)&gt;=YEAR($F207),$K207="b"),ROUND(VLOOKUP(EH$4,Preisindex,3,FALSE)/VLOOKUP(YEAR($F207),Preisindex,3,FALSE),2),IF(AND($E207&lt;&gt;0,$F207&gt;0,YEAR($F207)&gt;=Preisindex!$A$6,YEAR(EC$4)&gt;=YEAR($F207),$K207="g"),ROUND(VLOOKUP(EH$4,Preisindex,4,FALSE)/VLOOKUP(YEAR($F207),Preisindex,4,FALSE),2),IF(AND($E207&lt;&gt;0,$F207&gt;0,YEAR($F207)&gt;=Preisindex!$A$6,YEAR(EC$4)&gt;=YEAR($F207),$K207="k"),ROUND(VLOOKUP(EH$4,Preisindex,2,FALSE)/VLOOKUP(YEAR($F207),Preisindex,2,FALSE),2),0)))))</f>
        <v>0</v>
      </c>
      <c r="EI207" s="56">
        <f>IF(AND($E207&lt;&gt;0,$F207&gt;0,YEAR($F207)&lt;Preisindex!$A$6,YEAR(EC$4)&gt;=YEAR($F207),AND($K207&lt;&gt;"a",$K207&lt;&gt;"b",$K207&lt;&gt;"g",$K207&lt;&gt;"k")),1,IF(AND($E207&lt;&gt;0,$F207&gt;0,YEAR($F207)&lt;Preisindex!$A$6,YEAR(EC$4)&gt;=YEAR($F207),$K207="a"),ROUND(VLOOKUP(EH$4,Preisindex,5,FALSE)/VLOOKUP(Preisindex!$A$6,Preisindex,5,FALSE),2),IF(AND($E207&lt;&gt;0,$F207&gt;0,YEAR($F207)&lt;Preisindex!$A$6,YEAR(EC$4)&gt;=YEAR($F207),$K207="b"),ROUND(VLOOKUP(EH$4,Preisindex,3,FALSE)/VLOOKUP(Preisindex!$A$6,Preisindex,3,FALSE),2),IF(AND($E207&lt;&gt;0,$F207&gt;0,YEAR($F207)&lt;Preisindex!$A$6,YEAR(EC$4)&gt;=YEAR($F207),$K207="g"),ROUND(VLOOKUP(EH$4,Preisindex,4,FALSE)/VLOOKUP(Preisindex!$A$6,Preisindex,4,FALSE),2),IF(AND($E207&lt;&gt;0,$F207&gt;0,YEAR($F207)&lt;Preisindex!$A$6,YEAR(EC$4)&gt;=YEAR($F207),$K207="k"),ROUND(VLOOKUP(EH$4,Preisindex,2,FALSE)/VLOOKUP(Preisindex!$A$6,Preisindex,2,FALSE),2),0)))))</f>
        <v>0</v>
      </c>
      <c r="EJ207" s="51">
        <f>IF(AND($E207&lt;&gt;0,$F207&gt;0,YEAR($F207)&lt;=EH$4,YEAR($F207)&gt;=Preisindex!$A$6),ROUND($E207*EH207,2),IF(AND($E207&lt;&gt;0,$F207&gt;0,YEAR($F207)&lt;=EH$4,YEAR($F207)&lt;Preisindex!$A$6),ROUND($E207*EI207,2),0))</f>
        <v>0</v>
      </c>
      <c r="EK207" s="53">
        <f t="shared" si="672"/>
        <v>0</v>
      </c>
      <c r="EL207" s="51">
        <f t="shared" si="656"/>
        <v>0</v>
      </c>
      <c r="EM207" s="51">
        <f t="shared" si="609"/>
        <v>0</v>
      </c>
      <c r="EN207" s="51">
        <f t="shared" si="673"/>
        <v>0</v>
      </c>
      <c r="EO207" s="51">
        <f t="shared" si="610"/>
        <v>0</v>
      </c>
      <c r="EP207" s="51">
        <f t="shared" si="674"/>
        <v>0</v>
      </c>
      <c r="EQ207" s="51">
        <f t="shared" si="611"/>
        <v>0</v>
      </c>
      <c r="ER207" s="51">
        <f t="shared" si="675"/>
        <v>0</v>
      </c>
      <c r="ES207" s="51">
        <f t="shared" si="612"/>
        <v>0</v>
      </c>
      <c r="ET207" s="51">
        <f t="shared" si="676"/>
        <v>0</v>
      </c>
      <c r="EU207" s="51">
        <f t="shared" si="613"/>
        <v>0</v>
      </c>
      <c r="EV207" s="51">
        <f t="shared" si="677"/>
        <v>0</v>
      </c>
      <c r="EW207" s="54">
        <f t="shared" si="678"/>
        <v>0</v>
      </c>
      <c r="EX207" s="55">
        <f t="shared" si="679"/>
        <v>0</v>
      </c>
      <c r="EY207" s="56">
        <f>IF(AND($E207&lt;&gt;0,$F207&gt;0,YEAR($F207)&gt;=Preisindex!$A$6,YEAR(ET$4)&gt;=YEAR($F207),AND($K207&lt;&gt;"a",$K207&lt;&gt;"b",$K207&lt;&gt;"g",$K207&lt;&gt;"k")),1,IF(AND($E207&lt;&gt;0,$F207&gt;0,YEAR($F207)&gt;=Preisindex!$A$6,YEAR(ET$4)&gt;=YEAR($F207),$K207="a"),ROUND(VLOOKUP(EY$4,Preisindex,5,FALSE)/VLOOKUP(YEAR($F207),Preisindex,5,FALSE),2),IF(AND($E207&lt;&gt;0,$F207&gt;0,YEAR($F207)&gt;=Preisindex!$A$6,YEAR(ET$4)&gt;=YEAR($F207),$K207="b"),ROUND(VLOOKUP(EY$4,Preisindex,3,FALSE)/VLOOKUP(YEAR($F207),Preisindex,3,FALSE),2),IF(AND($E207&lt;&gt;0,$F207&gt;0,YEAR($F207)&gt;=Preisindex!$A$6,YEAR(ET$4)&gt;=YEAR($F207),$K207="g"),ROUND(VLOOKUP(EY$4,Preisindex,4,FALSE)/VLOOKUP(YEAR($F207),Preisindex,4,FALSE),2),IF(AND($E207&lt;&gt;0,$F207&gt;0,YEAR($F207)&gt;=Preisindex!$A$6,YEAR(ET$4)&gt;=YEAR($F207),$K207="k"),ROUND(VLOOKUP(EY$4,Preisindex,2,FALSE)/VLOOKUP(YEAR($F207),Preisindex,2,FALSE),2),0)))))</f>
        <v>0</v>
      </c>
      <c r="EZ207" s="56">
        <f>IF(AND($E207&lt;&gt;0,$F207&gt;0,YEAR($F207)&lt;Preisindex!$A$6,YEAR(ET$4)&gt;=YEAR($F207),AND($K207&lt;&gt;"a",$K207&lt;&gt;"b",$K207&lt;&gt;"g",$K207&lt;&gt;"k")),1,IF(AND($E207&lt;&gt;0,$F207&gt;0,YEAR($F207)&lt;Preisindex!$A$6,YEAR(ET$4)&gt;=YEAR($F207),$K207="a"),ROUND(VLOOKUP(EY$4,Preisindex,5,FALSE)/VLOOKUP(Preisindex!$A$6,Preisindex,5,FALSE),2),IF(AND($E207&lt;&gt;0,$F207&gt;0,YEAR($F207)&lt;Preisindex!$A$6,YEAR(ET$4)&gt;=YEAR($F207),$K207="b"),ROUND(VLOOKUP(EY$4,Preisindex,3,FALSE)/VLOOKUP(Preisindex!$A$6,Preisindex,3,FALSE),2),IF(AND($E207&lt;&gt;0,$F207&gt;0,YEAR($F207)&lt;Preisindex!$A$6,YEAR(ET$4)&gt;=YEAR($F207),$K207="g"),ROUND(VLOOKUP(EY$4,Preisindex,4,FALSE)/VLOOKUP(Preisindex!$A$6,Preisindex,4,FALSE),2),IF(AND($E207&lt;&gt;0,$F207&gt;0,YEAR($F207)&lt;Preisindex!$A$6,YEAR(ET$4)&gt;=YEAR($F207),$K207="k"),ROUND(VLOOKUP(EY$4,Preisindex,2,FALSE)/VLOOKUP(Preisindex!$A$6,Preisindex,2,FALSE),2),0)))))</f>
        <v>0</v>
      </c>
      <c r="FA207" s="51">
        <f>IF(AND($E207&lt;&gt;0,$F207&gt;0,YEAR($F207)&lt;=EY$4,YEAR($F207)&gt;=Preisindex!$A$6),ROUND($E207*EY207,2),IF(AND($E207&lt;&gt;0,$F207&gt;0,YEAR($F207)&lt;=EY$4,YEAR($F207)&lt;Preisindex!$A$6),ROUND($E207*EZ207,2),0))</f>
        <v>0</v>
      </c>
      <c r="FB207" s="53">
        <f t="shared" si="680"/>
        <v>0</v>
      </c>
      <c r="FC207" s="51">
        <f t="shared" si="656"/>
        <v>0</v>
      </c>
      <c r="FD207" s="51">
        <f t="shared" si="614"/>
        <v>0</v>
      </c>
      <c r="FE207" s="51">
        <f t="shared" si="681"/>
        <v>0</v>
      </c>
      <c r="FF207" s="51">
        <f t="shared" si="615"/>
        <v>0</v>
      </c>
      <c r="FG207" s="51">
        <f t="shared" si="682"/>
        <v>0</v>
      </c>
      <c r="FH207" s="51">
        <f t="shared" si="616"/>
        <v>0</v>
      </c>
      <c r="FI207" s="51">
        <f t="shared" si="683"/>
        <v>0</v>
      </c>
      <c r="FJ207" s="51">
        <f t="shared" si="617"/>
        <v>0</v>
      </c>
      <c r="FK207" s="51">
        <f t="shared" si="684"/>
        <v>0</v>
      </c>
      <c r="FL207" s="51">
        <f t="shared" si="618"/>
        <v>0</v>
      </c>
      <c r="FM207" s="51">
        <f t="shared" si="685"/>
        <v>0</v>
      </c>
      <c r="FN207" s="54">
        <f t="shared" si="686"/>
        <v>0</v>
      </c>
      <c r="FO207" s="55">
        <f t="shared" si="687"/>
        <v>0</v>
      </c>
      <c r="FP207" s="56">
        <f>IF(AND($E207&lt;&gt;0,$F207&gt;0,YEAR($F207)&gt;=Preisindex!$A$6,YEAR(FK$4)&gt;=YEAR($F207),AND($K207&lt;&gt;"a",$K207&lt;&gt;"b",$K207&lt;&gt;"g",$K207&lt;&gt;"k")),1,IF(AND($E207&lt;&gt;0,$F207&gt;0,YEAR($F207)&gt;=Preisindex!$A$6,YEAR(FK$4)&gt;=YEAR($F207),$K207="a"),ROUND(VLOOKUP(FP$4,Preisindex,5,FALSE)/VLOOKUP(YEAR($F207),Preisindex,5,FALSE),2),IF(AND($E207&lt;&gt;0,$F207&gt;0,YEAR($F207)&gt;=Preisindex!$A$6,YEAR(FK$4)&gt;=YEAR($F207),$K207="b"),ROUND(VLOOKUP(FP$4,Preisindex,3,FALSE)/VLOOKUP(YEAR($F207),Preisindex,3,FALSE),2),IF(AND($E207&lt;&gt;0,$F207&gt;0,YEAR($F207)&gt;=Preisindex!$A$6,YEAR(FK$4)&gt;=YEAR($F207),$K207="g"),ROUND(VLOOKUP(FP$4,Preisindex,4,FALSE)/VLOOKUP(YEAR($F207),Preisindex,4,FALSE),2),IF(AND($E207&lt;&gt;0,$F207&gt;0,YEAR($F207)&gt;=Preisindex!$A$6,YEAR(FK$4)&gt;=YEAR($F207),$K207="k"),ROUND(VLOOKUP(FP$4,Preisindex,2,FALSE)/VLOOKUP(YEAR($F207),Preisindex,2,FALSE),2),0)))))</f>
        <v>0</v>
      </c>
      <c r="FQ207" s="56">
        <f>IF(AND($E207&lt;&gt;0,$F207&gt;0,YEAR($F207)&lt;Preisindex!$A$6,YEAR(FK$4)&gt;=YEAR($F207),AND($K207&lt;&gt;"a",$K207&lt;&gt;"b",$K207&lt;&gt;"g",$K207&lt;&gt;"k")),1,IF(AND($E207&lt;&gt;0,$F207&gt;0,YEAR($F207)&lt;Preisindex!$A$6,YEAR(FK$4)&gt;=YEAR($F207),$K207="a"),ROUND(VLOOKUP(FP$4,Preisindex,5,FALSE)/VLOOKUP(Preisindex!$A$6,Preisindex,5,FALSE),2),IF(AND($E207&lt;&gt;0,$F207&gt;0,YEAR($F207)&lt;Preisindex!$A$6,YEAR(FK$4)&gt;=YEAR($F207),$K207="b"),ROUND(VLOOKUP(FP$4,Preisindex,3,FALSE)/VLOOKUP(Preisindex!$A$6,Preisindex,3,FALSE),2),IF(AND($E207&lt;&gt;0,$F207&gt;0,YEAR($F207)&lt;Preisindex!$A$6,YEAR(FK$4)&gt;=YEAR($F207),$K207="g"),ROUND(VLOOKUP(FP$4,Preisindex,4,FALSE)/VLOOKUP(Preisindex!$A$6,Preisindex,4,FALSE),2),IF(AND($E207&lt;&gt;0,$F207&gt;0,YEAR($F207)&lt;Preisindex!$A$6,YEAR(FK$4)&gt;=YEAR($F207),$K207="k"),ROUND(VLOOKUP(FP$4,Preisindex,2,FALSE)/VLOOKUP(Preisindex!$A$6,Preisindex,2,FALSE),2),0)))))</f>
        <v>0</v>
      </c>
      <c r="FR207" s="51">
        <f>IF(AND($E207&lt;&gt;0,$F207&gt;0,YEAR($F207)&lt;=FP$4,YEAR($F207)&gt;=Preisindex!$A$6),ROUND($E207*FP207,2),IF(AND($E207&lt;&gt;0,$F207&gt;0,YEAR($F207)&lt;=FP$4,YEAR($F207)&lt;Preisindex!$A$6),ROUND($E207*FQ207,2),0))</f>
        <v>0</v>
      </c>
      <c r="FS207" s="53">
        <f t="shared" si="688"/>
        <v>0</v>
      </c>
    </row>
    <row r="208" spans="1:175" x14ac:dyDescent="0.3">
      <c r="A208" s="93"/>
      <c r="B208" s="94"/>
      <c r="C208" s="94"/>
      <c r="D208" s="95"/>
      <c r="E208" s="99"/>
      <c r="F208" s="97"/>
      <c r="G208" s="98"/>
      <c r="H208" s="620"/>
      <c r="I208" s="621"/>
      <c r="J208" s="194"/>
      <c r="K208" s="630"/>
      <c r="L208" s="49">
        <f t="shared" si="689"/>
        <v>0</v>
      </c>
      <c r="M208" s="50">
        <f t="shared" si="690"/>
        <v>0</v>
      </c>
      <c r="N208" s="51">
        <f t="shared" si="691"/>
        <v>0</v>
      </c>
      <c r="O208" s="51"/>
      <c r="P208" s="51">
        <f t="shared" si="692"/>
        <v>0</v>
      </c>
      <c r="Q208" s="52"/>
      <c r="R208" s="52"/>
      <c r="S208" s="52"/>
      <c r="T208" s="52"/>
      <c r="U208" s="52"/>
      <c r="V208" s="53">
        <f t="shared" si="693"/>
        <v>0</v>
      </c>
      <c r="W208" s="51">
        <f t="shared" si="694"/>
        <v>0</v>
      </c>
      <c r="X208" s="51">
        <f t="shared" si="695"/>
        <v>0</v>
      </c>
      <c r="Y208" s="51">
        <f t="shared" si="696"/>
        <v>0</v>
      </c>
      <c r="Z208" s="51">
        <f t="shared" si="697"/>
        <v>0</v>
      </c>
      <c r="AA208" s="51">
        <f t="shared" si="698"/>
        <v>0</v>
      </c>
      <c r="AB208" s="51">
        <f t="shared" si="699"/>
        <v>0</v>
      </c>
      <c r="AC208" s="51">
        <f t="shared" si="700"/>
        <v>0</v>
      </c>
      <c r="AD208" s="51">
        <f t="shared" si="701"/>
        <v>0</v>
      </c>
      <c r="AE208" s="51">
        <f t="shared" si="702"/>
        <v>0</v>
      </c>
      <c r="AF208" s="51">
        <f t="shared" si="703"/>
        <v>0</v>
      </c>
      <c r="AG208" s="51">
        <f t="shared" si="704"/>
        <v>0</v>
      </c>
      <c r="AH208" s="54">
        <f t="shared" si="705"/>
        <v>0</v>
      </c>
      <c r="AI208" s="55">
        <f t="shared" si="706"/>
        <v>0</v>
      </c>
      <c r="AJ208" s="56">
        <f>IF(AND($E208&lt;&gt;0,$F208&gt;0,YEAR($F208)&gt;=Preisindex!$A$6,YEAR(AE$4)&gt;=YEAR($F208),AND($K208&lt;&gt;"a",$K208&lt;&gt;"b",$K208&lt;&gt;"g",$K208&lt;&gt;"k")),1,IF(AND($E208&lt;&gt;0,$F208&gt;0,YEAR($F208)&gt;=Preisindex!$A$6,YEAR(AE$4)&gt;=YEAR($F208),$K208="a"),ROUND(VLOOKUP(AJ$4,Preisindex,5,FALSE)/VLOOKUP(YEAR($F208),Preisindex,5,FALSE),2),IF(AND($E208&lt;&gt;0,$F208&gt;0,YEAR($F208)&gt;=Preisindex!$A$6,YEAR(AE$4)&gt;=YEAR($F208),$K208="b"),ROUND(VLOOKUP(AJ$4,Preisindex,3,FALSE)/VLOOKUP(YEAR($F208),Preisindex,3,FALSE),2),IF(AND($E208&lt;&gt;0,$F208&gt;0,YEAR($F208)&gt;=Preisindex!$A$6,YEAR(AE$4)&gt;=YEAR($F208),$K208="g"),ROUND(VLOOKUP(AJ$4,Preisindex,4,FALSE)/VLOOKUP(YEAR($F208),Preisindex,4,FALSE),2),IF(AND($E208&lt;&gt;0,$F208&gt;0,YEAR($F208)&gt;=Preisindex!$A$6,YEAR(AE$4)&gt;=YEAR($F208),$K208="k"),ROUND(VLOOKUP(AJ$4,Preisindex,2,FALSE)/VLOOKUP(YEAR($F208),Preisindex,2,FALSE),2),0)))))</f>
        <v>0</v>
      </c>
      <c r="AK208" s="56">
        <f>IF(AND($E208&lt;&gt;0,$F208&gt;0,YEAR($F208)&lt;Preisindex!$A$6,YEAR(AE$4)&gt;=YEAR($F208),AND($K208&lt;&gt;"a",$K208&lt;&gt;"b",$K208&lt;&gt;"g",$K208&lt;&gt;"k")),1,IF(AND($E208&lt;&gt;0,$F208&gt;0,YEAR($F208)&lt;Preisindex!$A$6,YEAR(AE$4)&gt;=YEAR($F208),$K208="a"),ROUND(VLOOKUP(AJ$4,Preisindex,5,FALSE)/VLOOKUP(Preisindex!$A$6,Preisindex,5,FALSE),2),IF(AND($E208&lt;&gt;0,$F208&gt;0,YEAR($F208)&lt;Preisindex!$A$6,YEAR(AE$4)&gt;=YEAR($F208),$K208="b"),ROUND(VLOOKUP(AJ$4,Preisindex,3,FALSE)/VLOOKUP(Preisindex!$A$6,Preisindex,3,FALSE),2),IF(AND($E208&lt;&gt;0,$F208&gt;0,YEAR($F208)&lt;Preisindex!$A$6,YEAR(AE$4)&gt;=YEAR($F208),$K208="g"),ROUND(VLOOKUP(AJ$4,Preisindex,4,FALSE)/VLOOKUP(Preisindex!$A$6,Preisindex,4,FALSE),2),IF(AND($E208&lt;&gt;0,$F208&gt;0,YEAR($F208)&lt;Preisindex!$A$6,YEAR(AE$4)&gt;=YEAR($F208),$K208="k"),ROUND(VLOOKUP(AJ$4,Preisindex,2,FALSE)/VLOOKUP(Preisindex!$A$6,Preisindex,2,FALSE),2),0)))))</f>
        <v>0</v>
      </c>
      <c r="AL208" s="51">
        <f>IF(AND($E208&lt;&gt;0,$F208&gt;0,YEAR($F208)&lt;=AJ$4,YEAR($F208)&gt;=Preisindex!$A$6),ROUND($E208*AJ208,2),IF(AND($E208&lt;&gt;0,$F208&gt;0,YEAR($F208)&lt;=AJ$4,YEAR($F208)&lt;Preisindex!$A$6),ROUND($E208*AK208,2),0))</f>
        <v>0</v>
      </c>
      <c r="AM208" s="53">
        <f t="shared" si="707"/>
        <v>0</v>
      </c>
      <c r="AN208" s="51">
        <f t="shared" si="623"/>
        <v>0</v>
      </c>
      <c r="AO208" s="51">
        <f t="shared" si="579"/>
        <v>0</v>
      </c>
      <c r="AP208" s="51">
        <f t="shared" si="624"/>
        <v>0</v>
      </c>
      <c r="AQ208" s="51">
        <f t="shared" si="580"/>
        <v>0</v>
      </c>
      <c r="AR208" s="51">
        <f t="shared" si="625"/>
        <v>0</v>
      </c>
      <c r="AS208" s="51">
        <f t="shared" si="581"/>
        <v>0</v>
      </c>
      <c r="AT208" s="51">
        <f t="shared" si="626"/>
        <v>0</v>
      </c>
      <c r="AU208" s="51">
        <f t="shared" si="582"/>
        <v>0</v>
      </c>
      <c r="AV208" s="51">
        <f t="shared" si="627"/>
        <v>0</v>
      </c>
      <c r="AW208" s="51">
        <f t="shared" si="583"/>
        <v>0</v>
      </c>
      <c r="AX208" s="51">
        <f t="shared" si="628"/>
        <v>0</v>
      </c>
      <c r="AY208" s="54">
        <f t="shared" si="629"/>
        <v>0</v>
      </c>
      <c r="AZ208" s="55">
        <f t="shared" si="630"/>
        <v>0</v>
      </c>
      <c r="BA208" s="56">
        <f>IF(AND($E208&lt;&gt;0,$F208&gt;0,YEAR($F208)&gt;=Preisindex!$A$6,YEAR(AV$4)&gt;=YEAR($F208),AND($K208&lt;&gt;"a",$K208&lt;&gt;"b",$K208&lt;&gt;"g",$K208&lt;&gt;"k")),1,IF(AND($E208&lt;&gt;0,$F208&gt;0,YEAR($F208)&gt;=Preisindex!$A$6,YEAR(AV$4)&gt;=YEAR($F208),$K208="a"),ROUND(VLOOKUP(BA$4,Preisindex,5,FALSE)/VLOOKUP(YEAR($F208),Preisindex,5,FALSE),2),IF(AND($E208&lt;&gt;0,$F208&gt;0,YEAR($F208)&gt;=Preisindex!$A$6,YEAR(AV$4)&gt;=YEAR($F208),$K208="b"),ROUND(VLOOKUP(BA$4,Preisindex,3,FALSE)/VLOOKUP(YEAR($F208),Preisindex,3,FALSE),2),IF(AND($E208&lt;&gt;0,$F208&gt;0,YEAR($F208)&gt;=Preisindex!$A$6,YEAR(AV$4)&gt;=YEAR($F208),$K208="g"),ROUND(VLOOKUP(BA$4,Preisindex,4,FALSE)/VLOOKUP(YEAR($F208),Preisindex,4,FALSE),2),IF(AND($E208&lt;&gt;0,$F208&gt;0,YEAR($F208)&gt;=Preisindex!$A$6,YEAR(AV$4)&gt;=YEAR($F208),$K208="k"),ROUND(VLOOKUP(BA$4,Preisindex,2,FALSE)/VLOOKUP(YEAR($F208),Preisindex,2,FALSE),2),0)))))</f>
        <v>0</v>
      </c>
      <c r="BB208" s="56">
        <f>IF(AND($E208&lt;&gt;0,$F208&gt;0,YEAR($F208)&lt;Preisindex!$A$6,YEAR(AV$4)&gt;=YEAR($F208),AND($K208&lt;&gt;"a",$K208&lt;&gt;"b",$K208&lt;&gt;"g",$K208&lt;&gt;"k")),1,IF(AND($E208&lt;&gt;0,$F208&gt;0,YEAR($F208)&lt;Preisindex!$A$6,YEAR(AV$4)&gt;=YEAR($F208),$K208="a"),ROUND(VLOOKUP(BA$4,Preisindex,5,FALSE)/VLOOKUP(Preisindex!$A$6,Preisindex,5,FALSE),2),IF(AND($E208&lt;&gt;0,$F208&gt;0,YEAR($F208)&lt;Preisindex!$A$6,YEAR(AV$4)&gt;=YEAR($F208),$K208="b"),ROUND(VLOOKUP(BA$4,Preisindex,3,FALSE)/VLOOKUP(Preisindex!$A$6,Preisindex,3,FALSE),2),IF(AND($E208&lt;&gt;0,$F208&gt;0,YEAR($F208)&lt;Preisindex!$A$6,YEAR(AV$4)&gt;=YEAR($F208),$K208="g"),ROUND(VLOOKUP(BA$4,Preisindex,4,FALSE)/VLOOKUP(Preisindex!$A$6,Preisindex,4,FALSE),2),IF(AND($E208&lt;&gt;0,$F208&gt;0,YEAR($F208)&lt;Preisindex!$A$6,YEAR(AV$4)&gt;=YEAR($F208),$K208="k"),ROUND(VLOOKUP(BA$4,Preisindex,2,FALSE)/VLOOKUP(Preisindex!$A$6,Preisindex,2,FALSE),2),0)))))</f>
        <v>0</v>
      </c>
      <c r="BC208" s="51">
        <f>IF(AND($E208&lt;&gt;0,$F208&gt;0,YEAR($F208)&lt;=BA$4,YEAR($F208)&gt;=Preisindex!$A$6),ROUND($E208*BA208,2),IF(AND($E208&lt;&gt;0,$F208&gt;0,YEAR($F208)&lt;=BA$4,YEAR($F208)&lt;Preisindex!$A$6),ROUND($E208*BB208,2),0))</f>
        <v>0</v>
      </c>
      <c r="BD208" s="53">
        <f t="shared" si="631"/>
        <v>0</v>
      </c>
      <c r="BE208" s="51">
        <f t="shared" si="623"/>
        <v>0</v>
      </c>
      <c r="BF208" s="51">
        <f t="shared" si="584"/>
        <v>0</v>
      </c>
      <c r="BG208" s="51">
        <f t="shared" si="632"/>
        <v>0</v>
      </c>
      <c r="BH208" s="51">
        <f t="shared" si="585"/>
        <v>0</v>
      </c>
      <c r="BI208" s="51">
        <f t="shared" si="633"/>
        <v>0</v>
      </c>
      <c r="BJ208" s="51">
        <f t="shared" si="586"/>
        <v>0</v>
      </c>
      <c r="BK208" s="51">
        <f t="shared" si="634"/>
        <v>0</v>
      </c>
      <c r="BL208" s="51">
        <f t="shared" si="587"/>
        <v>0</v>
      </c>
      <c r="BM208" s="51">
        <f t="shared" si="635"/>
        <v>0</v>
      </c>
      <c r="BN208" s="51">
        <f t="shared" si="588"/>
        <v>0</v>
      </c>
      <c r="BO208" s="51">
        <f t="shared" si="636"/>
        <v>0</v>
      </c>
      <c r="BP208" s="54">
        <f t="shared" si="637"/>
        <v>0</v>
      </c>
      <c r="BQ208" s="55">
        <f t="shared" si="638"/>
        <v>0</v>
      </c>
      <c r="BR208" s="56">
        <f>IF(AND($E208&lt;&gt;0,$F208&gt;0,YEAR($F208)&gt;=Preisindex!$A$6,YEAR(BM$4)&gt;=YEAR($F208),AND($K208&lt;&gt;"a",$K208&lt;&gt;"b",$K208&lt;&gt;"g",$K208&lt;&gt;"k")),1,IF(AND($E208&lt;&gt;0,$F208&gt;0,YEAR($F208)&gt;=Preisindex!$A$6,YEAR(BM$4)&gt;=YEAR($F208),$K208="a"),ROUND(VLOOKUP(BR$4,Preisindex,5,FALSE)/VLOOKUP(YEAR($F208),Preisindex,5,FALSE),2),IF(AND($E208&lt;&gt;0,$F208&gt;0,YEAR($F208)&gt;=Preisindex!$A$6,YEAR(BM$4)&gt;=YEAR($F208),$K208="b"),ROUND(VLOOKUP(BR$4,Preisindex,3,FALSE)/VLOOKUP(YEAR($F208),Preisindex,3,FALSE),2),IF(AND($E208&lt;&gt;0,$F208&gt;0,YEAR($F208)&gt;=Preisindex!$A$6,YEAR(BM$4)&gt;=YEAR($F208),$K208="g"),ROUND(VLOOKUP(BR$4,Preisindex,4,FALSE)/VLOOKUP(YEAR($F208),Preisindex,4,FALSE),2),IF(AND($E208&lt;&gt;0,$F208&gt;0,YEAR($F208)&gt;=Preisindex!$A$6,YEAR(BM$4)&gt;=YEAR($F208),$K208="k"),ROUND(VLOOKUP(BR$4,Preisindex,2,FALSE)/VLOOKUP(YEAR($F208),Preisindex,2,FALSE),2),0)))))</f>
        <v>0</v>
      </c>
      <c r="BS208" s="56">
        <f>IF(AND($E208&lt;&gt;0,$F208&gt;0,YEAR($F208)&lt;Preisindex!$A$6,YEAR(BM$4)&gt;=YEAR($F208),AND($K208&lt;&gt;"a",$K208&lt;&gt;"b",$K208&lt;&gt;"g",$K208&lt;&gt;"k")),1,IF(AND($E208&lt;&gt;0,$F208&gt;0,YEAR($F208)&lt;Preisindex!$A$6,YEAR(BM$4)&gt;=YEAR($F208),$K208="a"),ROUND(VLOOKUP(BR$4,Preisindex,5,FALSE)/VLOOKUP(Preisindex!$A$6,Preisindex,5,FALSE),2),IF(AND($E208&lt;&gt;0,$F208&gt;0,YEAR($F208)&lt;Preisindex!$A$6,YEAR(BM$4)&gt;=YEAR($F208),$K208="b"),ROUND(VLOOKUP(BR$4,Preisindex,3,FALSE)/VLOOKUP(Preisindex!$A$6,Preisindex,3,FALSE),2),IF(AND($E208&lt;&gt;0,$F208&gt;0,YEAR($F208)&lt;Preisindex!$A$6,YEAR(BM$4)&gt;=YEAR($F208),$K208="g"),ROUND(VLOOKUP(BR$4,Preisindex,4,FALSE)/VLOOKUP(Preisindex!$A$6,Preisindex,4,FALSE),2),IF(AND($E208&lt;&gt;0,$F208&gt;0,YEAR($F208)&lt;Preisindex!$A$6,YEAR(BM$4)&gt;=YEAR($F208),$K208="k"),ROUND(VLOOKUP(BR$4,Preisindex,2,FALSE)/VLOOKUP(Preisindex!$A$6,Preisindex,2,FALSE),2),0)))))</f>
        <v>0</v>
      </c>
      <c r="BT208" s="51">
        <f>IF(AND($E208&lt;&gt;0,$F208&gt;0,YEAR($F208)&lt;=BR$4,YEAR($F208)&gt;=Preisindex!$A$6),ROUND($E208*BR208,2),IF(AND($E208&lt;&gt;0,$F208&gt;0,YEAR($F208)&lt;=BR$4,YEAR($F208)&lt;Preisindex!$A$6),ROUND($E208*BS208,2),0))</f>
        <v>0</v>
      </c>
      <c r="BU208" s="53">
        <f t="shared" si="639"/>
        <v>0</v>
      </c>
      <c r="BV208" s="51">
        <f t="shared" si="623"/>
        <v>0</v>
      </c>
      <c r="BW208" s="51">
        <f t="shared" si="589"/>
        <v>0</v>
      </c>
      <c r="BX208" s="51">
        <f t="shared" si="640"/>
        <v>0</v>
      </c>
      <c r="BY208" s="51">
        <f t="shared" si="590"/>
        <v>0</v>
      </c>
      <c r="BZ208" s="51">
        <f t="shared" si="641"/>
        <v>0</v>
      </c>
      <c r="CA208" s="51">
        <f t="shared" si="591"/>
        <v>0</v>
      </c>
      <c r="CB208" s="51">
        <f t="shared" si="642"/>
        <v>0</v>
      </c>
      <c r="CC208" s="51">
        <f t="shared" si="592"/>
        <v>0</v>
      </c>
      <c r="CD208" s="51">
        <f t="shared" si="643"/>
        <v>0</v>
      </c>
      <c r="CE208" s="51">
        <f t="shared" si="593"/>
        <v>0</v>
      </c>
      <c r="CF208" s="51">
        <f t="shared" si="644"/>
        <v>0</v>
      </c>
      <c r="CG208" s="54">
        <f t="shared" si="645"/>
        <v>0</v>
      </c>
      <c r="CH208" s="55">
        <f t="shared" si="646"/>
        <v>0</v>
      </c>
      <c r="CI208" s="56">
        <f>IF(AND($E208&lt;&gt;0,$F208&gt;0,YEAR($F208)&gt;=Preisindex!$A$6,YEAR(CD$4)&gt;=YEAR($F208),AND($K208&lt;&gt;"a",$K208&lt;&gt;"b",$K208&lt;&gt;"g",$K208&lt;&gt;"k")),1,IF(AND($E208&lt;&gt;0,$F208&gt;0,YEAR($F208)&gt;=Preisindex!$A$6,YEAR(CD$4)&gt;=YEAR($F208),$K208="a"),ROUND(VLOOKUP(CI$4,Preisindex,5,FALSE)/VLOOKUP(YEAR($F208),Preisindex,5,FALSE),2),IF(AND($E208&lt;&gt;0,$F208&gt;0,YEAR($F208)&gt;=Preisindex!$A$6,YEAR(CD$4)&gt;=YEAR($F208),$K208="b"),ROUND(VLOOKUP(CI$4,Preisindex,3,FALSE)/VLOOKUP(YEAR($F208),Preisindex,3,FALSE),2),IF(AND($E208&lt;&gt;0,$F208&gt;0,YEAR($F208)&gt;=Preisindex!$A$6,YEAR(CD$4)&gt;=YEAR($F208),$K208="g"),ROUND(VLOOKUP(CI$4,Preisindex,4,FALSE)/VLOOKUP(YEAR($F208),Preisindex,4,FALSE),2),IF(AND($E208&lt;&gt;0,$F208&gt;0,YEAR($F208)&gt;=Preisindex!$A$6,YEAR(CD$4)&gt;=YEAR($F208),$K208="k"),ROUND(VLOOKUP(CI$4,Preisindex,2,FALSE)/VLOOKUP(YEAR($F208),Preisindex,2,FALSE),2),0)))))</f>
        <v>0</v>
      </c>
      <c r="CJ208" s="56">
        <f>IF(AND($E208&lt;&gt;0,$F208&gt;0,YEAR($F208)&lt;Preisindex!$A$6,YEAR(CD$4)&gt;=YEAR($F208),AND($K208&lt;&gt;"a",$K208&lt;&gt;"b",$K208&lt;&gt;"g",$K208&lt;&gt;"k")),1,IF(AND($E208&lt;&gt;0,$F208&gt;0,YEAR($F208)&lt;Preisindex!$A$6,YEAR(CD$4)&gt;=YEAR($F208),$K208="a"),ROUND(VLOOKUP(CI$4,Preisindex,5,FALSE)/VLOOKUP(Preisindex!$A$6,Preisindex,5,FALSE),2),IF(AND($E208&lt;&gt;0,$F208&gt;0,YEAR($F208)&lt;Preisindex!$A$6,YEAR(CD$4)&gt;=YEAR($F208),$K208="b"),ROUND(VLOOKUP(CI$4,Preisindex,3,FALSE)/VLOOKUP(Preisindex!$A$6,Preisindex,3,FALSE),2),IF(AND($E208&lt;&gt;0,$F208&gt;0,YEAR($F208)&lt;Preisindex!$A$6,YEAR(CD$4)&gt;=YEAR($F208),$K208="g"),ROUND(VLOOKUP(CI$4,Preisindex,4,FALSE)/VLOOKUP(Preisindex!$A$6,Preisindex,4,FALSE),2),IF(AND($E208&lt;&gt;0,$F208&gt;0,YEAR($F208)&lt;Preisindex!$A$6,YEAR(CD$4)&gt;=YEAR($F208),$K208="k"),ROUND(VLOOKUP(CI$4,Preisindex,2,FALSE)/VLOOKUP(Preisindex!$A$6,Preisindex,2,FALSE),2),0)))))</f>
        <v>0</v>
      </c>
      <c r="CK208" s="51">
        <f>IF(AND($E208&lt;&gt;0,$F208&gt;0,YEAR($F208)&lt;=CI$4,YEAR($F208)&gt;=Preisindex!$A$6),ROUND($E208*CI208,2),IF(AND($E208&lt;&gt;0,$F208&gt;0,YEAR($F208)&lt;=CI$4,YEAR($F208)&lt;Preisindex!$A$6),ROUND($E208*CJ208,2),0))</f>
        <v>0</v>
      </c>
      <c r="CL208" s="53">
        <f t="shared" si="647"/>
        <v>0</v>
      </c>
      <c r="CM208" s="51">
        <f t="shared" si="623"/>
        <v>0</v>
      </c>
      <c r="CN208" s="51">
        <f t="shared" si="594"/>
        <v>0</v>
      </c>
      <c r="CO208" s="51">
        <f t="shared" si="648"/>
        <v>0</v>
      </c>
      <c r="CP208" s="51">
        <f t="shared" si="595"/>
        <v>0</v>
      </c>
      <c r="CQ208" s="51">
        <f t="shared" si="649"/>
        <v>0</v>
      </c>
      <c r="CR208" s="51">
        <f t="shared" si="596"/>
        <v>0</v>
      </c>
      <c r="CS208" s="51">
        <f t="shared" si="650"/>
        <v>0</v>
      </c>
      <c r="CT208" s="51">
        <f t="shared" si="597"/>
        <v>0</v>
      </c>
      <c r="CU208" s="51">
        <f t="shared" si="651"/>
        <v>0</v>
      </c>
      <c r="CV208" s="51">
        <f t="shared" si="598"/>
        <v>0</v>
      </c>
      <c r="CW208" s="51">
        <f t="shared" si="652"/>
        <v>0</v>
      </c>
      <c r="CX208" s="54">
        <f t="shared" si="653"/>
        <v>0</v>
      </c>
      <c r="CY208" s="55">
        <f t="shared" si="654"/>
        <v>0</v>
      </c>
      <c r="CZ208" s="56">
        <f>IF(AND($E208&lt;&gt;0,$F208&gt;0,YEAR($F208)&gt;=Preisindex!$A$6,YEAR(CU$4)&gt;=YEAR($F208),AND($K208&lt;&gt;"a",$K208&lt;&gt;"b",$K208&lt;&gt;"g",$K208&lt;&gt;"k")),1,IF(AND($E208&lt;&gt;0,$F208&gt;0,YEAR($F208)&gt;=Preisindex!$A$6,YEAR(CU$4)&gt;=YEAR($F208),$K208="a"),ROUND(VLOOKUP(CZ$4,Preisindex,5,FALSE)/VLOOKUP(YEAR($F208),Preisindex,5,FALSE),2),IF(AND($E208&lt;&gt;0,$F208&gt;0,YEAR($F208)&gt;=Preisindex!$A$6,YEAR(CU$4)&gt;=YEAR($F208),$K208="b"),ROUND(VLOOKUP(CZ$4,Preisindex,3,FALSE)/VLOOKUP(YEAR($F208),Preisindex,3,FALSE),2),IF(AND($E208&lt;&gt;0,$F208&gt;0,YEAR($F208)&gt;=Preisindex!$A$6,YEAR(CU$4)&gt;=YEAR($F208),$K208="g"),ROUND(VLOOKUP(CZ$4,Preisindex,4,FALSE)/VLOOKUP(YEAR($F208),Preisindex,4,FALSE),2),IF(AND($E208&lt;&gt;0,$F208&gt;0,YEAR($F208)&gt;=Preisindex!$A$6,YEAR(CU$4)&gt;=YEAR($F208),$K208="k"),ROUND(VLOOKUP(CZ$4,Preisindex,2,FALSE)/VLOOKUP(YEAR($F208),Preisindex,2,FALSE),2),0)))))</f>
        <v>0</v>
      </c>
      <c r="DA208" s="56">
        <f>IF(AND($E208&lt;&gt;0,$F208&gt;0,YEAR($F208)&lt;Preisindex!$A$6,YEAR(CU$4)&gt;=YEAR($F208),AND($K208&lt;&gt;"a",$K208&lt;&gt;"b",$K208&lt;&gt;"g",$K208&lt;&gt;"k")),1,IF(AND($E208&lt;&gt;0,$F208&gt;0,YEAR($F208)&lt;Preisindex!$A$6,YEAR(CU$4)&gt;=YEAR($F208),$K208="a"),ROUND(VLOOKUP(CZ$4,Preisindex,5,FALSE)/VLOOKUP(Preisindex!$A$6,Preisindex,5,FALSE),2),IF(AND($E208&lt;&gt;0,$F208&gt;0,YEAR($F208)&lt;Preisindex!$A$6,YEAR(CU$4)&gt;=YEAR($F208),$K208="b"),ROUND(VLOOKUP(CZ$4,Preisindex,3,FALSE)/VLOOKUP(Preisindex!$A$6,Preisindex,3,FALSE),2),IF(AND($E208&lt;&gt;0,$F208&gt;0,YEAR($F208)&lt;Preisindex!$A$6,YEAR(CU$4)&gt;=YEAR($F208),$K208="g"),ROUND(VLOOKUP(CZ$4,Preisindex,4,FALSE)/VLOOKUP(Preisindex!$A$6,Preisindex,4,FALSE),2),IF(AND($E208&lt;&gt;0,$F208&gt;0,YEAR($F208)&lt;Preisindex!$A$6,YEAR(CU$4)&gt;=YEAR($F208),$K208="k"),ROUND(VLOOKUP(CZ$4,Preisindex,2,FALSE)/VLOOKUP(Preisindex!$A$6,Preisindex,2,FALSE),2),0)))))</f>
        <v>0</v>
      </c>
      <c r="DB208" s="51">
        <f>IF(AND($E208&lt;&gt;0,$F208&gt;0,YEAR($F208)&lt;=CZ$4,YEAR($F208)&gt;=Preisindex!$A$6),ROUND($E208*CZ208,2),IF(AND($E208&lt;&gt;0,$F208&gt;0,YEAR($F208)&lt;=CZ$4,YEAR($F208)&lt;Preisindex!$A$6),ROUND($E208*DA208,2),0))</f>
        <v>0</v>
      </c>
      <c r="DC208" s="53">
        <f t="shared" si="655"/>
        <v>0</v>
      </c>
      <c r="DD208" s="51">
        <f t="shared" si="656"/>
        <v>0</v>
      </c>
      <c r="DE208" s="51">
        <f t="shared" si="599"/>
        <v>0</v>
      </c>
      <c r="DF208" s="51">
        <f t="shared" si="657"/>
        <v>0</v>
      </c>
      <c r="DG208" s="51">
        <f t="shared" si="600"/>
        <v>0</v>
      </c>
      <c r="DH208" s="51">
        <f t="shared" si="658"/>
        <v>0</v>
      </c>
      <c r="DI208" s="51">
        <f t="shared" si="601"/>
        <v>0</v>
      </c>
      <c r="DJ208" s="51">
        <f t="shared" si="659"/>
        <v>0</v>
      </c>
      <c r="DK208" s="51">
        <f t="shared" si="602"/>
        <v>0</v>
      </c>
      <c r="DL208" s="51">
        <f t="shared" si="660"/>
        <v>0</v>
      </c>
      <c r="DM208" s="51">
        <f t="shared" si="603"/>
        <v>0</v>
      </c>
      <c r="DN208" s="51">
        <f t="shared" si="661"/>
        <v>0</v>
      </c>
      <c r="DO208" s="54">
        <f t="shared" si="662"/>
        <v>0</v>
      </c>
      <c r="DP208" s="55">
        <f t="shared" si="663"/>
        <v>0</v>
      </c>
      <c r="DQ208" s="56">
        <f>IF(AND($E208&lt;&gt;0,$F208&gt;0,YEAR($F208)&gt;=Preisindex!$A$6,YEAR(DL$4)&gt;=YEAR($F208),AND($K208&lt;&gt;"a",$K208&lt;&gt;"b",$K208&lt;&gt;"g",$K208&lt;&gt;"k")),1,IF(AND($E208&lt;&gt;0,$F208&gt;0,YEAR($F208)&gt;=Preisindex!$A$6,YEAR(DL$4)&gt;=YEAR($F208),$K208="a"),ROUND(VLOOKUP(DQ$4,Preisindex,5,FALSE)/VLOOKUP(YEAR($F208),Preisindex,5,FALSE),2),IF(AND($E208&lt;&gt;0,$F208&gt;0,YEAR($F208)&gt;=Preisindex!$A$6,YEAR(DL$4)&gt;=YEAR($F208),$K208="b"),ROUND(VLOOKUP(DQ$4,Preisindex,3,FALSE)/VLOOKUP(YEAR($F208),Preisindex,3,FALSE),2),IF(AND($E208&lt;&gt;0,$F208&gt;0,YEAR($F208)&gt;=Preisindex!$A$6,YEAR(DL$4)&gt;=YEAR($F208),$K208="g"),ROUND(VLOOKUP(DQ$4,Preisindex,4,FALSE)/VLOOKUP(YEAR($F208),Preisindex,4,FALSE),2),IF(AND($E208&lt;&gt;0,$F208&gt;0,YEAR($F208)&gt;=Preisindex!$A$6,YEAR(DL$4)&gt;=YEAR($F208),$K208="k"),ROUND(VLOOKUP(DQ$4,Preisindex,2,FALSE)/VLOOKUP(YEAR($F208),Preisindex,2,FALSE),2),0)))))</f>
        <v>0</v>
      </c>
      <c r="DR208" s="56">
        <f>IF(AND($E208&lt;&gt;0,$F208&gt;0,YEAR($F208)&lt;Preisindex!$A$6,YEAR(DL$4)&gt;=YEAR($F208),AND($K208&lt;&gt;"a",$K208&lt;&gt;"b",$K208&lt;&gt;"g",$K208&lt;&gt;"k")),1,IF(AND($E208&lt;&gt;0,$F208&gt;0,YEAR($F208)&lt;Preisindex!$A$6,YEAR(DL$4)&gt;=YEAR($F208),$K208="a"),ROUND(VLOOKUP(DQ$4,Preisindex,5,FALSE)/VLOOKUP(Preisindex!$A$6,Preisindex,5,FALSE),2),IF(AND($E208&lt;&gt;0,$F208&gt;0,YEAR($F208)&lt;Preisindex!$A$6,YEAR(DL$4)&gt;=YEAR($F208),$K208="b"),ROUND(VLOOKUP(DQ$4,Preisindex,3,FALSE)/VLOOKUP(Preisindex!$A$6,Preisindex,3,FALSE),2),IF(AND($E208&lt;&gt;0,$F208&gt;0,YEAR($F208)&lt;Preisindex!$A$6,YEAR(DL$4)&gt;=YEAR($F208),$K208="g"),ROUND(VLOOKUP(DQ$4,Preisindex,4,FALSE)/VLOOKUP(Preisindex!$A$6,Preisindex,4,FALSE),2),IF(AND($E208&lt;&gt;0,$F208&gt;0,YEAR($F208)&lt;Preisindex!$A$6,YEAR(DL$4)&gt;=YEAR($F208),$K208="k"),ROUND(VLOOKUP(DQ$4,Preisindex,2,FALSE)/VLOOKUP(Preisindex!$A$6,Preisindex,2,FALSE),2),0)))))</f>
        <v>0</v>
      </c>
      <c r="DS208" s="51">
        <f>IF(AND($E208&lt;&gt;0,$F208&gt;0,YEAR($F208)&lt;=DQ$4,YEAR($F208)&gt;=Preisindex!$A$6),ROUND($E208*DQ208,2),IF(AND($E208&lt;&gt;0,$F208&gt;0,YEAR($F208)&lt;=DQ$4,YEAR($F208)&lt;Preisindex!$A$6),ROUND($E208*DR208,2),0))</f>
        <v>0</v>
      </c>
      <c r="DT208" s="53">
        <f t="shared" si="664"/>
        <v>0</v>
      </c>
      <c r="DU208" s="51">
        <f t="shared" si="656"/>
        <v>0</v>
      </c>
      <c r="DV208" s="51">
        <f t="shared" si="604"/>
        <v>0</v>
      </c>
      <c r="DW208" s="51">
        <f t="shared" si="665"/>
        <v>0</v>
      </c>
      <c r="DX208" s="51">
        <f t="shared" si="605"/>
        <v>0</v>
      </c>
      <c r="DY208" s="51">
        <f t="shared" si="666"/>
        <v>0</v>
      </c>
      <c r="DZ208" s="51">
        <f t="shared" si="606"/>
        <v>0</v>
      </c>
      <c r="EA208" s="51">
        <f t="shared" si="667"/>
        <v>0</v>
      </c>
      <c r="EB208" s="51">
        <f t="shared" si="607"/>
        <v>0</v>
      </c>
      <c r="EC208" s="51">
        <f t="shared" si="668"/>
        <v>0</v>
      </c>
      <c r="ED208" s="51">
        <f t="shared" si="608"/>
        <v>0</v>
      </c>
      <c r="EE208" s="51">
        <f t="shared" si="669"/>
        <v>0</v>
      </c>
      <c r="EF208" s="54">
        <f t="shared" si="670"/>
        <v>0</v>
      </c>
      <c r="EG208" s="55">
        <f t="shared" si="671"/>
        <v>0</v>
      </c>
      <c r="EH208" s="56">
        <f>IF(AND($E208&lt;&gt;0,$F208&gt;0,YEAR($F208)&gt;=Preisindex!$A$6,YEAR(EC$4)&gt;=YEAR($F208),AND($K208&lt;&gt;"a",$K208&lt;&gt;"b",$K208&lt;&gt;"g",$K208&lt;&gt;"k")),1,IF(AND($E208&lt;&gt;0,$F208&gt;0,YEAR($F208)&gt;=Preisindex!$A$6,YEAR(EC$4)&gt;=YEAR($F208),$K208="a"),ROUND(VLOOKUP(EH$4,Preisindex,5,FALSE)/VLOOKUP(YEAR($F208),Preisindex,5,FALSE),2),IF(AND($E208&lt;&gt;0,$F208&gt;0,YEAR($F208)&gt;=Preisindex!$A$6,YEAR(EC$4)&gt;=YEAR($F208),$K208="b"),ROUND(VLOOKUP(EH$4,Preisindex,3,FALSE)/VLOOKUP(YEAR($F208),Preisindex,3,FALSE),2),IF(AND($E208&lt;&gt;0,$F208&gt;0,YEAR($F208)&gt;=Preisindex!$A$6,YEAR(EC$4)&gt;=YEAR($F208),$K208="g"),ROUND(VLOOKUP(EH$4,Preisindex,4,FALSE)/VLOOKUP(YEAR($F208),Preisindex,4,FALSE),2),IF(AND($E208&lt;&gt;0,$F208&gt;0,YEAR($F208)&gt;=Preisindex!$A$6,YEAR(EC$4)&gt;=YEAR($F208),$K208="k"),ROUND(VLOOKUP(EH$4,Preisindex,2,FALSE)/VLOOKUP(YEAR($F208),Preisindex,2,FALSE),2),0)))))</f>
        <v>0</v>
      </c>
      <c r="EI208" s="56">
        <f>IF(AND($E208&lt;&gt;0,$F208&gt;0,YEAR($F208)&lt;Preisindex!$A$6,YEAR(EC$4)&gt;=YEAR($F208),AND($K208&lt;&gt;"a",$K208&lt;&gt;"b",$K208&lt;&gt;"g",$K208&lt;&gt;"k")),1,IF(AND($E208&lt;&gt;0,$F208&gt;0,YEAR($F208)&lt;Preisindex!$A$6,YEAR(EC$4)&gt;=YEAR($F208),$K208="a"),ROUND(VLOOKUP(EH$4,Preisindex,5,FALSE)/VLOOKUP(Preisindex!$A$6,Preisindex,5,FALSE),2),IF(AND($E208&lt;&gt;0,$F208&gt;0,YEAR($F208)&lt;Preisindex!$A$6,YEAR(EC$4)&gt;=YEAR($F208),$K208="b"),ROUND(VLOOKUP(EH$4,Preisindex,3,FALSE)/VLOOKUP(Preisindex!$A$6,Preisindex,3,FALSE),2),IF(AND($E208&lt;&gt;0,$F208&gt;0,YEAR($F208)&lt;Preisindex!$A$6,YEAR(EC$4)&gt;=YEAR($F208),$K208="g"),ROUND(VLOOKUP(EH$4,Preisindex,4,FALSE)/VLOOKUP(Preisindex!$A$6,Preisindex,4,FALSE),2),IF(AND($E208&lt;&gt;0,$F208&gt;0,YEAR($F208)&lt;Preisindex!$A$6,YEAR(EC$4)&gt;=YEAR($F208),$K208="k"),ROUND(VLOOKUP(EH$4,Preisindex,2,FALSE)/VLOOKUP(Preisindex!$A$6,Preisindex,2,FALSE),2),0)))))</f>
        <v>0</v>
      </c>
      <c r="EJ208" s="51">
        <f>IF(AND($E208&lt;&gt;0,$F208&gt;0,YEAR($F208)&lt;=EH$4,YEAR($F208)&gt;=Preisindex!$A$6),ROUND($E208*EH208,2),IF(AND($E208&lt;&gt;0,$F208&gt;0,YEAR($F208)&lt;=EH$4,YEAR($F208)&lt;Preisindex!$A$6),ROUND($E208*EI208,2),0))</f>
        <v>0</v>
      </c>
      <c r="EK208" s="53">
        <f t="shared" si="672"/>
        <v>0</v>
      </c>
      <c r="EL208" s="51">
        <f t="shared" si="656"/>
        <v>0</v>
      </c>
      <c r="EM208" s="51">
        <f t="shared" si="609"/>
        <v>0</v>
      </c>
      <c r="EN208" s="51">
        <f t="shared" si="673"/>
        <v>0</v>
      </c>
      <c r="EO208" s="51">
        <f t="shared" si="610"/>
        <v>0</v>
      </c>
      <c r="EP208" s="51">
        <f t="shared" si="674"/>
        <v>0</v>
      </c>
      <c r="EQ208" s="51">
        <f t="shared" si="611"/>
        <v>0</v>
      </c>
      <c r="ER208" s="51">
        <f t="shared" si="675"/>
        <v>0</v>
      </c>
      <c r="ES208" s="51">
        <f t="shared" si="612"/>
        <v>0</v>
      </c>
      <c r="ET208" s="51">
        <f t="shared" si="676"/>
        <v>0</v>
      </c>
      <c r="EU208" s="51">
        <f t="shared" si="613"/>
        <v>0</v>
      </c>
      <c r="EV208" s="51">
        <f t="shared" si="677"/>
        <v>0</v>
      </c>
      <c r="EW208" s="54">
        <f t="shared" si="678"/>
        <v>0</v>
      </c>
      <c r="EX208" s="55">
        <f t="shared" si="679"/>
        <v>0</v>
      </c>
      <c r="EY208" s="56">
        <f>IF(AND($E208&lt;&gt;0,$F208&gt;0,YEAR($F208)&gt;=Preisindex!$A$6,YEAR(ET$4)&gt;=YEAR($F208),AND($K208&lt;&gt;"a",$K208&lt;&gt;"b",$K208&lt;&gt;"g",$K208&lt;&gt;"k")),1,IF(AND($E208&lt;&gt;0,$F208&gt;0,YEAR($F208)&gt;=Preisindex!$A$6,YEAR(ET$4)&gt;=YEAR($F208),$K208="a"),ROUND(VLOOKUP(EY$4,Preisindex,5,FALSE)/VLOOKUP(YEAR($F208),Preisindex,5,FALSE),2),IF(AND($E208&lt;&gt;0,$F208&gt;0,YEAR($F208)&gt;=Preisindex!$A$6,YEAR(ET$4)&gt;=YEAR($F208),$K208="b"),ROUND(VLOOKUP(EY$4,Preisindex,3,FALSE)/VLOOKUP(YEAR($F208),Preisindex,3,FALSE),2),IF(AND($E208&lt;&gt;0,$F208&gt;0,YEAR($F208)&gt;=Preisindex!$A$6,YEAR(ET$4)&gt;=YEAR($F208),$K208="g"),ROUND(VLOOKUP(EY$4,Preisindex,4,FALSE)/VLOOKUP(YEAR($F208),Preisindex,4,FALSE),2),IF(AND($E208&lt;&gt;0,$F208&gt;0,YEAR($F208)&gt;=Preisindex!$A$6,YEAR(ET$4)&gt;=YEAR($F208),$K208="k"),ROUND(VLOOKUP(EY$4,Preisindex,2,FALSE)/VLOOKUP(YEAR($F208),Preisindex,2,FALSE),2),0)))))</f>
        <v>0</v>
      </c>
      <c r="EZ208" s="56">
        <f>IF(AND($E208&lt;&gt;0,$F208&gt;0,YEAR($F208)&lt;Preisindex!$A$6,YEAR(ET$4)&gt;=YEAR($F208),AND($K208&lt;&gt;"a",$K208&lt;&gt;"b",$K208&lt;&gt;"g",$K208&lt;&gt;"k")),1,IF(AND($E208&lt;&gt;0,$F208&gt;0,YEAR($F208)&lt;Preisindex!$A$6,YEAR(ET$4)&gt;=YEAR($F208),$K208="a"),ROUND(VLOOKUP(EY$4,Preisindex,5,FALSE)/VLOOKUP(Preisindex!$A$6,Preisindex,5,FALSE),2),IF(AND($E208&lt;&gt;0,$F208&gt;0,YEAR($F208)&lt;Preisindex!$A$6,YEAR(ET$4)&gt;=YEAR($F208),$K208="b"),ROUND(VLOOKUP(EY$4,Preisindex,3,FALSE)/VLOOKUP(Preisindex!$A$6,Preisindex,3,FALSE),2),IF(AND($E208&lt;&gt;0,$F208&gt;0,YEAR($F208)&lt;Preisindex!$A$6,YEAR(ET$4)&gt;=YEAR($F208),$K208="g"),ROUND(VLOOKUP(EY$4,Preisindex,4,FALSE)/VLOOKUP(Preisindex!$A$6,Preisindex,4,FALSE),2),IF(AND($E208&lt;&gt;0,$F208&gt;0,YEAR($F208)&lt;Preisindex!$A$6,YEAR(ET$4)&gt;=YEAR($F208),$K208="k"),ROUND(VLOOKUP(EY$4,Preisindex,2,FALSE)/VLOOKUP(Preisindex!$A$6,Preisindex,2,FALSE),2),0)))))</f>
        <v>0</v>
      </c>
      <c r="FA208" s="51">
        <f>IF(AND($E208&lt;&gt;0,$F208&gt;0,YEAR($F208)&lt;=EY$4,YEAR($F208)&gt;=Preisindex!$A$6),ROUND($E208*EY208,2),IF(AND($E208&lt;&gt;0,$F208&gt;0,YEAR($F208)&lt;=EY$4,YEAR($F208)&lt;Preisindex!$A$6),ROUND($E208*EZ208,2),0))</f>
        <v>0</v>
      </c>
      <c r="FB208" s="53">
        <f t="shared" si="680"/>
        <v>0</v>
      </c>
      <c r="FC208" s="51">
        <f t="shared" si="656"/>
        <v>0</v>
      </c>
      <c r="FD208" s="51">
        <f t="shared" si="614"/>
        <v>0</v>
      </c>
      <c r="FE208" s="51">
        <f t="shared" si="681"/>
        <v>0</v>
      </c>
      <c r="FF208" s="51">
        <f t="shared" si="615"/>
        <v>0</v>
      </c>
      <c r="FG208" s="51">
        <f t="shared" si="682"/>
        <v>0</v>
      </c>
      <c r="FH208" s="51">
        <f t="shared" si="616"/>
        <v>0</v>
      </c>
      <c r="FI208" s="51">
        <f t="shared" si="683"/>
        <v>0</v>
      </c>
      <c r="FJ208" s="51">
        <f t="shared" si="617"/>
        <v>0</v>
      </c>
      <c r="FK208" s="51">
        <f t="shared" si="684"/>
        <v>0</v>
      </c>
      <c r="FL208" s="51">
        <f t="shared" si="618"/>
        <v>0</v>
      </c>
      <c r="FM208" s="51">
        <f t="shared" si="685"/>
        <v>0</v>
      </c>
      <c r="FN208" s="54">
        <f t="shared" si="686"/>
        <v>0</v>
      </c>
      <c r="FO208" s="55">
        <f t="shared" si="687"/>
        <v>0</v>
      </c>
      <c r="FP208" s="56">
        <f>IF(AND($E208&lt;&gt;0,$F208&gt;0,YEAR($F208)&gt;=Preisindex!$A$6,YEAR(FK$4)&gt;=YEAR($F208),AND($K208&lt;&gt;"a",$K208&lt;&gt;"b",$K208&lt;&gt;"g",$K208&lt;&gt;"k")),1,IF(AND($E208&lt;&gt;0,$F208&gt;0,YEAR($F208)&gt;=Preisindex!$A$6,YEAR(FK$4)&gt;=YEAR($F208),$K208="a"),ROUND(VLOOKUP(FP$4,Preisindex,5,FALSE)/VLOOKUP(YEAR($F208),Preisindex,5,FALSE),2),IF(AND($E208&lt;&gt;0,$F208&gt;0,YEAR($F208)&gt;=Preisindex!$A$6,YEAR(FK$4)&gt;=YEAR($F208),$K208="b"),ROUND(VLOOKUP(FP$4,Preisindex,3,FALSE)/VLOOKUP(YEAR($F208),Preisindex,3,FALSE),2),IF(AND($E208&lt;&gt;0,$F208&gt;0,YEAR($F208)&gt;=Preisindex!$A$6,YEAR(FK$4)&gt;=YEAR($F208),$K208="g"),ROUND(VLOOKUP(FP$4,Preisindex,4,FALSE)/VLOOKUP(YEAR($F208),Preisindex,4,FALSE),2),IF(AND($E208&lt;&gt;0,$F208&gt;0,YEAR($F208)&gt;=Preisindex!$A$6,YEAR(FK$4)&gt;=YEAR($F208),$K208="k"),ROUND(VLOOKUP(FP$4,Preisindex,2,FALSE)/VLOOKUP(YEAR($F208),Preisindex,2,FALSE),2),0)))))</f>
        <v>0</v>
      </c>
      <c r="FQ208" s="56">
        <f>IF(AND($E208&lt;&gt;0,$F208&gt;0,YEAR($F208)&lt;Preisindex!$A$6,YEAR(FK$4)&gt;=YEAR($F208),AND($K208&lt;&gt;"a",$K208&lt;&gt;"b",$K208&lt;&gt;"g",$K208&lt;&gt;"k")),1,IF(AND($E208&lt;&gt;0,$F208&gt;0,YEAR($F208)&lt;Preisindex!$A$6,YEAR(FK$4)&gt;=YEAR($F208),$K208="a"),ROUND(VLOOKUP(FP$4,Preisindex,5,FALSE)/VLOOKUP(Preisindex!$A$6,Preisindex,5,FALSE),2),IF(AND($E208&lt;&gt;0,$F208&gt;0,YEAR($F208)&lt;Preisindex!$A$6,YEAR(FK$4)&gt;=YEAR($F208),$K208="b"),ROUND(VLOOKUP(FP$4,Preisindex,3,FALSE)/VLOOKUP(Preisindex!$A$6,Preisindex,3,FALSE),2),IF(AND($E208&lt;&gt;0,$F208&gt;0,YEAR($F208)&lt;Preisindex!$A$6,YEAR(FK$4)&gt;=YEAR($F208),$K208="g"),ROUND(VLOOKUP(FP$4,Preisindex,4,FALSE)/VLOOKUP(Preisindex!$A$6,Preisindex,4,FALSE),2),IF(AND($E208&lt;&gt;0,$F208&gt;0,YEAR($F208)&lt;Preisindex!$A$6,YEAR(FK$4)&gt;=YEAR($F208),$K208="k"),ROUND(VLOOKUP(FP$4,Preisindex,2,FALSE)/VLOOKUP(Preisindex!$A$6,Preisindex,2,FALSE),2),0)))))</f>
        <v>0</v>
      </c>
      <c r="FR208" s="51">
        <f>IF(AND($E208&lt;&gt;0,$F208&gt;0,YEAR($F208)&lt;=FP$4,YEAR($F208)&gt;=Preisindex!$A$6),ROUND($E208*FP208,2),IF(AND($E208&lt;&gt;0,$F208&gt;0,YEAR($F208)&lt;=FP$4,YEAR($F208)&lt;Preisindex!$A$6),ROUND($E208*FQ208,2),0))</f>
        <v>0</v>
      </c>
      <c r="FS208" s="53">
        <f t="shared" si="688"/>
        <v>0</v>
      </c>
    </row>
    <row r="209" spans="1:175" x14ac:dyDescent="0.3">
      <c r="A209" s="93"/>
      <c r="B209" s="94"/>
      <c r="C209" s="94"/>
      <c r="D209" s="95"/>
      <c r="E209" s="99"/>
      <c r="F209" s="97"/>
      <c r="G209" s="98"/>
      <c r="H209" s="620"/>
      <c r="I209" s="621"/>
      <c r="J209" s="194"/>
      <c r="K209" s="630"/>
      <c r="L209" s="49">
        <f t="shared" si="689"/>
        <v>0</v>
      </c>
      <c r="M209" s="50">
        <f t="shared" si="690"/>
        <v>0</v>
      </c>
      <c r="N209" s="51">
        <f t="shared" si="691"/>
        <v>0</v>
      </c>
      <c r="O209" s="51"/>
      <c r="P209" s="51">
        <f t="shared" si="692"/>
        <v>0</v>
      </c>
      <c r="Q209" s="52"/>
      <c r="R209" s="52"/>
      <c r="S209" s="52"/>
      <c r="T209" s="52"/>
      <c r="U209" s="52"/>
      <c r="V209" s="53">
        <f t="shared" si="693"/>
        <v>0</v>
      </c>
      <c r="W209" s="51">
        <f t="shared" si="694"/>
        <v>0</v>
      </c>
      <c r="X209" s="51">
        <f t="shared" si="695"/>
        <v>0</v>
      </c>
      <c r="Y209" s="51">
        <f t="shared" si="696"/>
        <v>0</v>
      </c>
      <c r="Z209" s="51">
        <f t="shared" si="697"/>
        <v>0</v>
      </c>
      <c r="AA209" s="51">
        <f t="shared" si="698"/>
        <v>0</v>
      </c>
      <c r="AB209" s="51">
        <f t="shared" si="699"/>
        <v>0</v>
      </c>
      <c r="AC209" s="51">
        <f t="shared" si="700"/>
        <v>0</v>
      </c>
      <c r="AD209" s="51">
        <f t="shared" si="701"/>
        <v>0</v>
      </c>
      <c r="AE209" s="51">
        <f t="shared" si="702"/>
        <v>0</v>
      </c>
      <c r="AF209" s="51">
        <f t="shared" si="703"/>
        <v>0</v>
      </c>
      <c r="AG209" s="51">
        <f t="shared" si="704"/>
        <v>0</v>
      </c>
      <c r="AH209" s="54">
        <f t="shared" si="705"/>
        <v>0</v>
      </c>
      <c r="AI209" s="55">
        <f t="shared" si="706"/>
        <v>0</v>
      </c>
      <c r="AJ209" s="56">
        <f>IF(AND($E209&lt;&gt;0,$F209&gt;0,YEAR($F209)&gt;=Preisindex!$A$6,YEAR(AE$4)&gt;=YEAR($F209),AND($K209&lt;&gt;"a",$K209&lt;&gt;"b",$K209&lt;&gt;"g",$K209&lt;&gt;"k")),1,IF(AND($E209&lt;&gt;0,$F209&gt;0,YEAR($F209)&gt;=Preisindex!$A$6,YEAR(AE$4)&gt;=YEAR($F209),$K209="a"),ROUND(VLOOKUP(AJ$4,Preisindex,5,FALSE)/VLOOKUP(YEAR($F209),Preisindex,5,FALSE),2),IF(AND($E209&lt;&gt;0,$F209&gt;0,YEAR($F209)&gt;=Preisindex!$A$6,YEAR(AE$4)&gt;=YEAR($F209),$K209="b"),ROUND(VLOOKUP(AJ$4,Preisindex,3,FALSE)/VLOOKUP(YEAR($F209),Preisindex,3,FALSE),2),IF(AND($E209&lt;&gt;0,$F209&gt;0,YEAR($F209)&gt;=Preisindex!$A$6,YEAR(AE$4)&gt;=YEAR($F209),$K209="g"),ROUND(VLOOKUP(AJ$4,Preisindex,4,FALSE)/VLOOKUP(YEAR($F209),Preisindex,4,FALSE),2),IF(AND($E209&lt;&gt;0,$F209&gt;0,YEAR($F209)&gt;=Preisindex!$A$6,YEAR(AE$4)&gt;=YEAR($F209),$K209="k"),ROUND(VLOOKUP(AJ$4,Preisindex,2,FALSE)/VLOOKUP(YEAR($F209),Preisindex,2,FALSE),2),0)))))</f>
        <v>0</v>
      </c>
      <c r="AK209" s="56">
        <f>IF(AND($E209&lt;&gt;0,$F209&gt;0,YEAR($F209)&lt;Preisindex!$A$6,YEAR(AE$4)&gt;=YEAR($F209),AND($K209&lt;&gt;"a",$K209&lt;&gt;"b",$K209&lt;&gt;"g",$K209&lt;&gt;"k")),1,IF(AND($E209&lt;&gt;0,$F209&gt;0,YEAR($F209)&lt;Preisindex!$A$6,YEAR(AE$4)&gt;=YEAR($F209),$K209="a"),ROUND(VLOOKUP(AJ$4,Preisindex,5,FALSE)/VLOOKUP(Preisindex!$A$6,Preisindex,5,FALSE),2),IF(AND($E209&lt;&gt;0,$F209&gt;0,YEAR($F209)&lt;Preisindex!$A$6,YEAR(AE$4)&gt;=YEAR($F209),$K209="b"),ROUND(VLOOKUP(AJ$4,Preisindex,3,FALSE)/VLOOKUP(Preisindex!$A$6,Preisindex,3,FALSE),2),IF(AND($E209&lt;&gt;0,$F209&gt;0,YEAR($F209)&lt;Preisindex!$A$6,YEAR(AE$4)&gt;=YEAR($F209),$K209="g"),ROUND(VLOOKUP(AJ$4,Preisindex,4,FALSE)/VLOOKUP(Preisindex!$A$6,Preisindex,4,FALSE),2),IF(AND($E209&lt;&gt;0,$F209&gt;0,YEAR($F209)&lt;Preisindex!$A$6,YEAR(AE$4)&gt;=YEAR($F209),$K209="k"),ROUND(VLOOKUP(AJ$4,Preisindex,2,FALSE)/VLOOKUP(Preisindex!$A$6,Preisindex,2,FALSE),2),0)))))</f>
        <v>0</v>
      </c>
      <c r="AL209" s="51">
        <f>IF(AND($E209&lt;&gt;0,$F209&gt;0,YEAR($F209)&lt;=AJ$4,YEAR($F209)&gt;=Preisindex!$A$6),ROUND($E209*AJ209,2),IF(AND($E209&lt;&gt;0,$F209&gt;0,YEAR($F209)&lt;=AJ$4,YEAR($F209)&lt;Preisindex!$A$6),ROUND($E209*AK209,2),0))</f>
        <v>0</v>
      </c>
      <c r="AM209" s="53">
        <f t="shared" si="707"/>
        <v>0</v>
      </c>
      <c r="AN209" s="51">
        <f t="shared" si="623"/>
        <v>0</v>
      </c>
      <c r="AO209" s="51">
        <f t="shared" si="579"/>
        <v>0</v>
      </c>
      <c r="AP209" s="51">
        <f t="shared" si="624"/>
        <v>0</v>
      </c>
      <c r="AQ209" s="51">
        <f t="shared" si="580"/>
        <v>0</v>
      </c>
      <c r="AR209" s="51">
        <f t="shared" si="625"/>
        <v>0</v>
      </c>
      <c r="AS209" s="51">
        <f t="shared" si="581"/>
        <v>0</v>
      </c>
      <c r="AT209" s="51">
        <f t="shared" si="626"/>
        <v>0</v>
      </c>
      <c r="AU209" s="51">
        <f t="shared" si="582"/>
        <v>0</v>
      </c>
      <c r="AV209" s="51">
        <f t="shared" si="627"/>
        <v>0</v>
      </c>
      <c r="AW209" s="51">
        <f t="shared" si="583"/>
        <v>0</v>
      </c>
      <c r="AX209" s="51">
        <f t="shared" si="628"/>
        <v>0</v>
      </c>
      <c r="AY209" s="54">
        <f t="shared" si="629"/>
        <v>0</v>
      </c>
      <c r="AZ209" s="55">
        <f t="shared" si="630"/>
        <v>0</v>
      </c>
      <c r="BA209" s="56">
        <f>IF(AND($E209&lt;&gt;0,$F209&gt;0,YEAR($F209)&gt;=Preisindex!$A$6,YEAR(AV$4)&gt;=YEAR($F209),AND($K209&lt;&gt;"a",$K209&lt;&gt;"b",$K209&lt;&gt;"g",$K209&lt;&gt;"k")),1,IF(AND($E209&lt;&gt;0,$F209&gt;0,YEAR($F209)&gt;=Preisindex!$A$6,YEAR(AV$4)&gt;=YEAR($F209),$K209="a"),ROUND(VLOOKUP(BA$4,Preisindex,5,FALSE)/VLOOKUP(YEAR($F209),Preisindex,5,FALSE),2),IF(AND($E209&lt;&gt;0,$F209&gt;0,YEAR($F209)&gt;=Preisindex!$A$6,YEAR(AV$4)&gt;=YEAR($F209),$K209="b"),ROUND(VLOOKUP(BA$4,Preisindex,3,FALSE)/VLOOKUP(YEAR($F209),Preisindex,3,FALSE),2),IF(AND($E209&lt;&gt;0,$F209&gt;0,YEAR($F209)&gt;=Preisindex!$A$6,YEAR(AV$4)&gt;=YEAR($F209),$K209="g"),ROUND(VLOOKUP(BA$4,Preisindex,4,FALSE)/VLOOKUP(YEAR($F209),Preisindex,4,FALSE),2),IF(AND($E209&lt;&gt;0,$F209&gt;0,YEAR($F209)&gt;=Preisindex!$A$6,YEAR(AV$4)&gt;=YEAR($F209),$K209="k"),ROUND(VLOOKUP(BA$4,Preisindex,2,FALSE)/VLOOKUP(YEAR($F209),Preisindex,2,FALSE),2),0)))))</f>
        <v>0</v>
      </c>
      <c r="BB209" s="56">
        <f>IF(AND($E209&lt;&gt;0,$F209&gt;0,YEAR($F209)&lt;Preisindex!$A$6,YEAR(AV$4)&gt;=YEAR($F209),AND($K209&lt;&gt;"a",$K209&lt;&gt;"b",$K209&lt;&gt;"g",$K209&lt;&gt;"k")),1,IF(AND($E209&lt;&gt;0,$F209&gt;0,YEAR($F209)&lt;Preisindex!$A$6,YEAR(AV$4)&gt;=YEAR($F209),$K209="a"),ROUND(VLOOKUP(BA$4,Preisindex,5,FALSE)/VLOOKUP(Preisindex!$A$6,Preisindex,5,FALSE),2),IF(AND($E209&lt;&gt;0,$F209&gt;0,YEAR($F209)&lt;Preisindex!$A$6,YEAR(AV$4)&gt;=YEAR($F209),$K209="b"),ROUND(VLOOKUP(BA$4,Preisindex,3,FALSE)/VLOOKUP(Preisindex!$A$6,Preisindex,3,FALSE),2),IF(AND($E209&lt;&gt;0,$F209&gt;0,YEAR($F209)&lt;Preisindex!$A$6,YEAR(AV$4)&gt;=YEAR($F209),$K209="g"),ROUND(VLOOKUP(BA$4,Preisindex,4,FALSE)/VLOOKUP(Preisindex!$A$6,Preisindex,4,FALSE),2),IF(AND($E209&lt;&gt;0,$F209&gt;0,YEAR($F209)&lt;Preisindex!$A$6,YEAR(AV$4)&gt;=YEAR($F209),$K209="k"),ROUND(VLOOKUP(BA$4,Preisindex,2,FALSE)/VLOOKUP(Preisindex!$A$6,Preisindex,2,FALSE),2),0)))))</f>
        <v>0</v>
      </c>
      <c r="BC209" s="51">
        <f>IF(AND($E209&lt;&gt;0,$F209&gt;0,YEAR($F209)&lt;=BA$4,YEAR($F209)&gt;=Preisindex!$A$6),ROUND($E209*BA209,2),IF(AND($E209&lt;&gt;0,$F209&gt;0,YEAR($F209)&lt;=BA$4,YEAR($F209)&lt;Preisindex!$A$6),ROUND($E209*BB209,2),0))</f>
        <v>0</v>
      </c>
      <c r="BD209" s="53">
        <f t="shared" si="631"/>
        <v>0</v>
      </c>
      <c r="BE209" s="51">
        <f t="shared" si="623"/>
        <v>0</v>
      </c>
      <c r="BF209" s="51">
        <f t="shared" si="584"/>
        <v>0</v>
      </c>
      <c r="BG209" s="51">
        <f t="shared" si="632"/>
        <v>0</v>
      </c>
      <c r="BH209" s="51">
        <f t="shared" si="585"/>
        <v>0</v>
      </c>
      <c r="BI209" s="51">
        <f t="shared" si="633"/>
        <v>0</v>
      </c>
      <c r="BJ209" s="51">
        <f t="shared" si="586"/>
        <v>0</v>
      </c>
      <c r="BK209" s="51">
        <f t="shared" si="634"/>
        <v>0</v>
      </c>
      <c r="BL209" s="51">
        <f t="shared" si="587"/>
        <v>0</v>
      </c>
      <c r="BM209" s="51">
        <f t="shared" si="635"/>
        <v>0</v>
      </c>
      <c r="BN209" s="51">
        <f t="shared" si="588"/>
        <v>0</v>
      </c>
      <c r="BO209" s="51">
        <f t="shared" si="636"/>
        <v>0</v>
      </c>
      <c r="BP209" s="54">
        <f t="shared" si="637"/>
        <v>0</v>
      </c>
      <c r="BQ209" s="55">
        <f t="shared" si="638"/>
        <v>0</v>
      </c>
      <c r="BR209" s="56">
        <f>IF(AND($E209&lt;&gt;0,$F209&gt;0,YEAR($F209)&gt;=Preisindex!$A$6,YEAR(BM$4)&gt;=YEAR($F209),AND($K209&lt;&gt;"a",$K209&lt;&gt;"b",$K209&lt;&gt;"g",$K209&lt;&gt;"k")),1,IF(AND($E209&lt;&gt;0,$F209&gt;0,YEAR($F209)&gt;=Preisindex!$A$6,YEAR(BM$4)&gt;=YEAR($F209),$K209="a"),ROUND(VLOOKUP(BR$4,Preisindex,5,FALSE)/VLOOKUP(YEAR($F209),Preisindex,5,FALSE),2),IF(AND($E209&lt;&gt;0,$F209&gt;0,YEAR($F209)&gt;=Preisindex!$A$6,YEAR(BM$4)&gt;=YEAR($F209),$K209="b"),ROUND(VLOOKUP(BR$4,Preisindex,3,FALSE)/VLOOKUP(YEAR($F209),Preisindex,3,FALSE),2),IF(AND($E209&lt;&gt;0,$F209&gt;0,YEAR($F209)&gt;=Preisindex!$A$6,YEAR(BM$4)&gt;=YEAR($F209),$K209="g"),ROUND(VLOOKUP(BR$4,Preisindex,4,FALSE)/VLOOKUP(YEAR($F209),Preisindex,4,FALSE),2),IF(AND($E209&lt;&gt;0,$F209&gt;0,YEAR($F209)&gt;=Preisindex!$A$6,YEAR(BM$4)&gt;=YEAR($F209),$K209="k"),ROUND(VLOOKUP(BR$4,Preisindex,2,FALSE)/VLOOKUP(YEAR($F209),Preisindex,2,FALSE),2),0)))))</f>
        <v>0</v>
      </c>
      <c r="BS209" s="56">
        <f>IF(AND($E209&lt;&gt;0,$F209&gt;0,YEAR($F209)&lt;Preisindex!$A$6,YEAR(BM$4)&gt;=YEAR($F209),AND($K209&lt;&gt;"a",$K209&lt;&gt;"b",$K209&lt;&gt;"g",$K209&lt;&gt;"k")),1,IF(AND($E209&lt;&gt;0,$F209&gt;0,YEAR($F209)&lt;Preisindex!$A$6,YEAR(BM$4)&gt;=YEAR($F209),$K209="a"),ROUND(VLOOKUP(BR$4,Preisindex,5,FALSE)/VLOOKUP(Preisindex!$A$6,Preisindex,5,FALSE),2),IF(AND($E209&lt;&gt;0,$F209&gt;0,YEAR($F209)&lt;Preisindex!$A$6,YEAR(BM$4)&gt;=YEAR($F209),$K209="b"),ROUND(VLOOKUP(BR$4,Preisindex,3,FALSE)/VLOOKUP(Preisindex!$A$6,Preisindex,3,FALSE),2),IF(AND($E209&lt;&gt;0,$F209&gt;0,YEAR($F209)&lt;Preisindex!$A$6,YEAR(BM$4)&gt;=YEAR($F209),$K209="g"),ROUND(VLOOKUP(BR$4,Preisindex,4,FALSE)/VLOOKUP(Preisindex!$A$6,Preisindex,4,FALSE),2),IF(AND($E209&lt;&gt;0,$F209&gt;0,YEAR($F209)&lt;Preisindex!$A$6,YEAR(BM$4)&gt;=YEAR($F209),$K209="k"),ROUND(VLOOKUP(BR$4,Preisindex,2,FALSE)/VLOOKUP(Preisindex!$A$6,Preisindex,2,FALSE),2),0)))))</f>
        <v>0</v>
      </c>
      <c r="BT209" s="51">
        <f>IF(AND($E209&lt;&gt;0,$F209&gt;0,YEAR($F209)&lt;=BR$4,YEAR($F209)&gt;=Preisindex!$A$6),ROUND($E209*BR209,2),IF(AND($E209&lt;&gt;0,$F209&gt;0,YEAR($F209)&lt;=BR$4,YEAR($F209)&lt;Preisindex!$A$6),ROUND($E209*BS209,2),0))</f>
        <v>0</v>
      </c>
      <c r="BU209" s="53">
        <f t="shared" si="639"/>
        <v>0</v>
      </c>
      <c r="BV209" s="51">
        <f t="shared" si="623"/>
        <v>0</v>
      </c>
      <c r="BW209" s="51">
        <f t="shared" si="589"/>
        <v>0</v>
      </c>
      <c r="BX209" s="51">
        <f t="shared" si="640"/>
        <v>0</v>
      </c>
      <c r="BY209" s="51">
        <f t="shared" si="590"/>
        <v>0</v>
      </c>
      <c r="BZ209" s="51">
        <f t="shared" si="641"/>
        <v>0</v>
      </c>
      <c r="CA209" s="51">
        <f t="shared" si="591"/>
        <v>0</v>
      </c>
      <c r="CB209" s="51">
        <f t="shared" si="642"/>
        <v>0</v>
      </c>
      <c r="CC209" s="51">
        <f t="shared" si="592"/>
        <v>0</v>
      </c>
      <c r="CD209" s="51">
        <f t="shared" si="643"/>
        <v>0</v>
      </c>
      <c r="CE209" s="51">
        <f t="shared" si="593"/>
        <v>0</v>
      </c>
      <c r="CF209" s="51">
        <f t="shared" si="644"/>
        <v>0</v>
      </c>
      <c r="CG209" s="54">
        <f t="shared" si="645"/>
        <v>0</v>
      </c>
      <c r="CH209" s="55">
        <f t="shared" si="646"/>
        <v>0</v>
      </c>
      <c r="CI209" s="56">
        <f>IF(AND($E209&lt;&gt;0,$F209&gt;0,YEAR($F209)&gt;=Preisindex!$A$6,YEAR(CD$4)&gt;=YEAR($F209),AND($K209&lt;&gt;"a",$K209&lt;&gt;"b",$K209&lt;&gt;"g",$K209&lt;&gt;"k")),1,IF(AND($E209&lt;&gt;0,$F209&gt;0,YEAR($F209)&gt;=Preisindex!$A$6,YEAR(CD$4)&gt;=YEAR($F209),$K209="a"),ROUND(VLOOKUP(CI$4,Preisindex,5,FALSE)/VLOOKUP(YEAR($F209),Preisindex,5,FALSE),2),IF(AND($E209&lt;&gt;0,$F209&gt;0,YEAR($F209)&gt;=Preisindex!$A$6,YEAR(CD$4)&gt;=YEAR($F209),$K209="b"),ROUND(VLOOKUP(CI$4,Preisindex,3,FALSE)/VLOOKUP(YEAR($F209),Preisindex,3,FALSE),2),IF(AND($E209&lt;&gt;0,$F209&gt;0,YEAR($F209)&gt;=Preisindex!$A$6,YEAR(CD$4)&gt;=YEAR($F209),$K209="g"),ROUND(VLOOKUP(CI$4,Preisindex,4,FALSE)/VLOOKUP(YEAR($F209),Preisindex,4,FALSE),2),IF(AND($E209&lt;&gt;0,$F209&gt;0,YEAR($F209)&gt;=Preisindex!$A$6,YEAR(CD$4)&gt;=YEAR($F209),$K209="k"),ROUND(VLOOKUP(CI$4,Preisindex,2,FALSE)/VLOOKUP(YEAR($F209),Preisindex,2,FALSE),2),0)))))</f>
        <v>0</v>
      </c>
      <c r="CJ209" s="56">
        <f>IF(AND($E209&lt;&gt;0,$F209&gt;0,YEAR($F209)&lt;Preisindex!$A$6,YEAR(CD$4)&gt;=YEAR($F209),AND($K209&lt;&gt;"a",$K209&lt;&gt;"b",$K209&lt;&gt;"g",$K209&lt;&gt;"k")),1,IF(AND($E209&lt;&gt;0,$F209&gt;0,YEAR($F209)&lt;Preisindex!$A$6,YEAR(CD$4)&gt;=YEAR($F209),$K209="a"),ROUND(VLOOKUP(CI$4,Preisindex,5,FALSE)/VLOOKUP(Preisindex!$A$6,Preisindex,5,FALSE),2),IF(AND($E209&lt;&gt;0,$F209&gt;0,YEAR($F209)&lt;Preisindex!$A$6,YEAR(CD$4)&gt;=YEAR($F209),$K209="b"),ROUND(VLOOKUP(CI$4,Preisindex,3,FALSE)/VLOOKUP(Preisindex!$A$6,Preisindex,3,FALSE),2),IF(AND($E209&lt;&gt;0,$F209&gt;0,YEAR($F209)&lt;Preisindex!$A$6,YEAR(CD$4)&gt;=YEAR($F209),$K209="g"),ROUND(VLOOKUP(CI$4,Preisindex,4,FALSE)/VLOOKUP(Preisindex!$A$6,Preisindex,4,FALSE),2),IF(AND($E209&lt;&gt;0,$F209&gt;0,YEAR($F209)&lt;Preisindex!$A$6,YEAR(CD$4)&gt;=YEAR($F209),$K209="k"),ROUND(VLOOKUP(CI$4,Preisindex,2,FALSE)/VLOOKUP(Preisindex!$A$6,Preisindex,2,FALSE),2),0)))))</f>
        <v>0</v>
      </c>
      <c r="CK209" s="51">
        <f>IF(AND($E209&lt;&gt;0,$F209&gt;0,YEAR($F209)&lt;=CI$4,YEAR($F209)&gt;=Preisindex!$A$6),ROUND($E209*CI209,2),IF(AND($E209&lt;&gt;0,$F209&gt;0,YEAR($F209)&lt;=CI$4,YEAR($F209)&lt;Preisindex!$A$6),ROUND($E209*CJ209,2),0))</f>
        <v>0</v>
      </c>
      <c r="CL209" s="53">
        <f t="shared" si="647"/>
        <v>0</v>
      </c>
      <c r="CM209" s="51">
        <f t="shared" si="623"/>
        <v>0</v>
      </c>
      <c r="CN209" s="51">
        <f t="shared" si="594"/>
        <v>0</v>
      </c>
      <c r="CO209" s="51">
        <f t="shared" si="648"/>
        <v>0</v>
      </c>
      <c r="CP209" s="51">
        <f t="shared" si="595"/>
        <v>0</v>
      </c>
      <c r="CQ209" s="51">
        <f t="shared" si="649"/>
        <v>0</v>
      </c>
      <c r="CR209" s="51">
        <f t="shared" si="596"/>
        <v>0</v>
      </c>
      <c r="CS209" s="51">
        <f t="shared" si="650"/>
        <v>0</v>
      </c>
      <c r="CT209" s="51">
        <f t="shared" si="597"/>
        <v>0</v>
      </c>
      <c r="CU209" s="51">
        <f t="shared" si="651"/>
        <v>0</v>
      </c>
      <c r="CV209" s="51">
        <f t="shared" si="598"/>
        <v>0</v>
      </c>
      <c r="CW209" s="51">
        <f t="shared" si="652"/>
        <v>0</v>
      </c>
      <c r="CX209" s="54">
        <f t="shared" si="653"/>
        <v>0</v>
      </c>
      <c r="CY209" s="55">
        <f t="shared" si="654"/>
        <v>0</v>
      </c>
      <c r="CZ209" s="56">
        <f>IF(AND($E209&lt;&gt;0,$F209&gt;0,YEAR($F209)&gt;=Preisindex!$A$6,YEAR(CU$4)&gt;=YEAR($F209),AND($K209&lt;&gt;"a",$K209&lt;&gt;"b",$K209&lt;&gt;"g",$K209&lt;&gt;"k")),1,IF(AND($E209&lt;&gt;0,$F209&gt;0,YEAR($F209)&gt;=Preisindex!$A$6,YEAR(CU$4)&gt;=YEAR($F209),$K209="a"),ROUND(VLOOKUP(CZ$4,Preisindex,5,FALSE)/VLOOKUP(YEAR($F209),Preisindex,5,FALSE),2),IF(AND($E209&lt;&gt;0,$F209&gt;0,YEAR($F209)&gt;=Preisindex!$A$6,YEAR(CU$4)&gt;=YEAR($F209),$K209="b"),ROUND(VLOOKUP(CZ$4,Preisindex,3,FALSE)/VLOOKUP(YEAR($F209),Preisindex,3,FALSE),2),IF(AND($E209&lt;&gt;0,$F209&gt;0,YEAR($F209)&gt;=Preisindex!$A$6,YEAR(CU$4)&gt;=YEAR($F209),$K209="g"),ROUND(VLOOKUP(CZ$4,Preisindex,4,FALSE)/VLOOKUP(YEAR($F209),Preisindex,4,FALSE),2),IF(AND($E209&lt;&gt;0,$F209&gt;0,YEAR($F209)&gt;=Preisindex!$A$6,YEAR(CU$4)&gt;=YEAR($F209),$K209="k"),ROUND(VLOOKUP(CZ$4,Preisindex,2,FALSE)/VLOOKUP(YEAR($F209),Preisindex,2,FALSE),2),0)))))</f>
        <v>0</v>
      </c>
      <c r="DA209" s="56">
        <f>IF(AND($E209&lt;&gt;0,$F209&gt;0,YEAR($F209)&lt;Preisindex!$A$6,YEAR(CU$4)&gt;=YEAR($F209),AND($K209&lt;&gt;"a",$K209&lt;&gt;"b",$K209&lt;&gt;"g",$K209&lt;&gt;"k")),1,IF(AND($E209&lt;&gt;0,$F209&gt;0,YEAR($F209)&lt;Preisindex!$A$6,YEAR(CU$4)&gt;=YEAR($F209),$K209="a"),ROUND(VLOOKUP(CZ$4,Preisindex,5,FALSE)/VLOOKUP(Preisindex!$A$6,Preisindex,5,FALSE),2),IF(AND($E209&lt;&gt;0,$F209&gt;0,YEAR($F209)&lt;Preisindex!$A$6,YEAR(CU$4)&gt;=YEAR($F209),$K209="b"),ROUND(VLOOKUP(CZ$4,Preisindex,3,FALSE)/VLOOKUP(Preisindex!$A$6,Preisindex,3,FALSE),2),IF(AND($E209&lt;&gt;0,$F209&gt;0,YEAR($F209)&lt;Preisindex!$A$6,YEAR(CU$4)&gt;=YEAR($F209),$K209="g"),ROUND(VLOOKUP(CZ$4,Preisindex,4,FALSE)/VLOOKUP(Preisindex!$A$6,Preisindex,4,FALSE),2),IF(AND($E209&lt;&gt;0,$F209&gt;0,YEAR($F209)&lt;Preisindex!$A$6,YEAR(CU$4)&gt;=YEAR($F209),$K209="k"),ROUND(VLOOKUP(CZ$4,Preisindex,2,FALSE)/VLOOKUP(Preisindex!$A$6,Preisindex,2,FALSE),2),0)))))</f>
        <v>0</v>
      </c>
      <c r="DB209" s="51">
        <f>IF(AND($E209&lt;&gt;0,$F209&gt;0,YEAR($F209)&lt;=CZ$4,YEAR($F209)&gt;=Preisindex!$A$6),ROUND($E209*CZ209,2),IF(AND($E209&lt;&gt;0,$F209&gt;0,YEAR($F209)&lt;=CZ$4,YEAR($F209)&lt;Preisindex!$A$6),ROUND($E209*DA209,2),0))</f>
        <v>0</v>
      </c>
      <c r="DC209" s="53">
        <f t="shared" si="655"/>
        <v>0</v>
      </c>
      <c r="DD209" s="51">
        <f t="shared" si="656"/>
        <v>0</v>
      </c>
      <c r="DE209" s="51">
        <f t="shared" si="599"/>
        <v>0</v>
      </c>
      <c r="DF209" s="51">
        <f t="shared" si="657"/>
        <v>0</v>
      </c>
      <c r="DG209" s="51">
        <f t="shared" si="600"/>
        <v>0</v>
      </c>
      <c r="DH209" s="51">
        <f t="shared" si="658"/>
        <v>0</v>
      </c>
      <c r="DI209" s="51">
        <f t="shared" si="601"/>
        <v>0</v>
      </c>
      <c r="DJ209" s="51">
        <f t="shared" si="659"/>
        <v>0</v>
      </c>
      <c r="DK209" s="51">
        <f t="shared" si="602"/>
        <v>0</v>
      </c>
      <c r="DL209" s="51">
        <f t="shared" si="660"/>
        <v>0</v>
      </c>
      <c r="DM209" s="51">
        <f t="shared" si="603"/>
        <v>0</v>
      </c>
      <c r="DN209" s="51">
        <f t="shared" si="661"/>
        <v>0</v>
      </c>
      <c r="DO209" s="54">
        <f t="shared" si="662"/>
        <v>0</v>
      </c>
      <c r="DP209" s="55">
        <f t="shared" si="663"/>
        <v>0</v>
      </c>
      <c r="DQ209" s="56">
        <f>IF(AND($E209&lt;&gt;0,$F209&gt;0,YEAR($F209)&gt;=Preisindex!$A$6,YEAR(DL$4)&gt;=YEAR($F209),AND($K209&lt;&gt;"a",$K209&lt;&gt;"b",$K209&lt;&gt;"g",$K209&lt;&gt;"k")),1,IF(AND($E209&lt;&gt;0,$F209&gt;0,YEAR($F209)&gt;=Preisindex!$A$6,YEAR(DL$4)&gt;=YEAR($F209),$K209="a"),ROUND(VLOOKUP(DQ$4,Preisindex,5,FALSE)/VLOOKUP(YEAR($F209),Preisindex,5,FALSE),2),IF(AND($E209&lt;&gt;0,$F209&gt;0,YEAR($F209)&gt;=Preisindex!$A$6,YEAR(DL$4)&gt;=YEAR($F209),$K209="b"),ROUND(VLOOKUP(DQ$4,Preisindex,3,FALSE)/VLOOKUP(YEAR($F209),Preisindex,3,FALSE),2),IF(AND($E209&lt;&gt;0,$F209&gt;0,YEAR($F209)&gt;=Preisindex!$A$6,YEAR(DL$4)&gt;=YEAR($F209),$K209="g"),ROUND(VLOOKUP(DQ$4,Preisindex,4,FALSE)/VLOOKUP(YEAR($F209),Preisindex,4,FALSE),2),IF(AND($E209&lt;&gt;0,$F209&gt;0,YEAR($F209)&gt;=Preisindex!$A$6,YEAR(DL$4)&gt;=YEAR($F209),$K209="k"),ROUND(VLOOKUP(DQ$4,Preisindex,2,FALSE)/VLOOKUP(YEAR($F209),Preisindex,2,FALSE),2),0)))))</f>
        <v>0</v>
      </c>
      <c r="DR209" s="56">
        <f>IF(AND($E209&lt;&gt;0,$F209&gt;0,YEAR($F209)&lt;Preisindex!$A$6,YEAR(DL$4)&gt;=YEAR($F209),AND($K209&lt;&gt;"a",$K209&lt;&gt;"b",$K209&lt;&gt;"g",$K209&lt;&gt;"k")),1,IF(AND($E209&lt;&gt;0,$F209&gt;0,YEAR($F209)&lt;Preisindex!$A$6,YEAR(DL$4)&gt;=YEAR($F209),$K209="a"),ROUND(VLOOKUP(DQ$4,Preisindex,5,FALSE)/VLOOKUP(Preisindex!$A$6,Preisindex,5,FALSE),2),IF(AND($E209&lt;&gt;0,$F209&gt;0,YEAR($F209)&lt;Preisindex!$A$6,YEAR(DL$4)&gt;=YEAR($F209),$K209="b"),ROUND(VLOOKUP(DQ$4,Preisindex,3,FALSE)/VLOOKUP(Preisindex!$A$6,Preisindex,3,FALSE),2),IF(AND($E209&lt;&gt;0,$F209&gt;0,YEAR($F209)&lt;Preisindex!$A$6,YEAR(DL$4)&gt;=YEAR($F209),$K209="g"),ROUND(VLOOKUP(DQ$4,Preisindex,4,FALSE)/VLOOKUP(Preisindex!$A$6,Preisindex,4,FALSE),2),IF(AND($E209&lt;&gt;0,$F209&gt;0,YEAR($F209)&lt;Preisindex!$A$6,YEAR(DL$4)&gt;=YEAR($F209),$K209="k"),ROUND(VLOOKUP(DQ$4,Preisindex,2,FALSE)/VLOOKUP(Preisindex!$A$6,Preisindex,2,FALSE),2),0)))))</f>
        <v>0</v>
      </c>
      <c r="DS209" s="51">
        <f>IF(AND($E209&lt;&gt;0,$F209&gt;0,YEAR($F209)&lt;=DQ$4,YEAR($F209)&gt;=Preisindex!$A$6),ROUND($E209*DQ209,2),IF(AND($E209&lt;&gt;0,$F209&gt;0,YEAR($F209)&lt;=DQ$4,YEAR($F209)&lt;Preisindex!$A$6),ROUND($E209*DR209,2),0))</f>
        <v>0</v>
      </c>
      <c r="DT209" s="53">
        <f t="shared" si="664"/>
        <v>0</v>
      </c>
      <c r="DU209" s="51">
        <f t="shared" si="656"/>
        <v>0</v>
      </c>
      <c r="DV209" s="51">
        <f t="shared" si="604"/>
        <v>0</v>
      </c>
      <c r="DW209" s="51">
        <f t="shared" si="665"/>
        <v>0</v>
      </c>
      <c r="DX209" s="51">
        <f t="shared" si="605"/>
        <v>0</v>
      </c>
      <c r="DY209" s="51">
        <f t="shared" si="666"/>
        <v>0</v>
      </c>
      <c r="DZ209" s="51">
        <f t="shared" si="606"/>
        <v>0</v>
      </c>
      <c r="EA209" s="51">
        <f t="shared" si="667"/>
        <v>0</v>
      </c>
      <c r="EB209" s="51">
        <f t="shared" si="607"/>
        <v>0</v>
      </c>
      <c r="EC209" s="51">
        <f t="shared" si="668"/>
        <v>0</v>
      </c>
      <c r="ED209" s="51">
        <f t="shared" si="608"/>
        <v>0</v>
      </c>
      <c r="EE209" s="51">
        <f t="shared" si="669"/>
        <v>0</v>
      </c>
      <c r="EF209" s="54">
        <f t="shared" si="670"/>
        <v>0</v>
      </c>
      <c r="EG209" s="55">
        <f t="shared" si="671"/>
        <v>0</v>
      </c>
      <c r="EH209" s="56">
        <f>IF(AND($E209&lt;&gt;0,$F209&gt;0,YEAR($F209)&gt;=Preisindex!$A$6,YEAR(EC$4)&gt;=YEAR($F209),AND($K209&lt;&gt;"a",$K209&lt;&gt;"b",$K209&lt;&gt;"g",$K209&lt;&gt;"k")),1,IF(AND($E209&lt;&gt;0,$F209&gt;0,YEAR($F209)&gt;=Preisindex!$A$6,YEAR(EC$4)&gt;=YEAR($F209),$K209="a"),ROUND(VLOOKUP(EH$4,Preisindex,5,FALSE)/VLOOKUP(YEAR($F209),Preisindex,5,FALSE),2),IF(AND($E209&lt;&gt;0,$F209&gt;0,YEAR($F209)&gt;=Preisindex!$A$6,YEAR(EC$4)&gt;=YEAR($F209),$K209="b"),ROUND(VLOOKUP(EH$4,Preisindex,3,FALSE)/VLOOKUP(YEAR($F209),Preisindex,3,FALSE),2),IF(AND($E209&lt;&gt;0,$F209&gt;0,YEAR($F209)&gt;=Preisindex!$A$6,YEAR(EC$4)&gt;=YEAR($F209),$K209="g"),ROUND(VLOOKUP(EH$4,Preisindex,4,FALSE)/VLOOKUP(YEAR($F209),Preisindex,4,FALSE),2),IF(AND($E209&lt;&gt;0,$F209&gt;0,YEAR($F209)&gt;=Preisindex!$A$6,YEAR(EC$4)&gt;=YEAR($F209),$K209="k"),ROUND(VLOOKUP(EH$4,Preisindex,2,FALSE)/VLOOKUP(YEAR($F209),Preisindex,2,FALSE),2),0)))))</f>
        <v>0</v>
      </c>
      <c r="EI209" s="56">
        <f>IF(AND($E209&lt;&gt;0,$F209&gt;0,YEAR($F209)&lt;Preisindex!$A$6,YEAR(EC$4)&gt;=YEAR($F209),AND($K209&lt;&gt;"a",$K209&lt;&gt;"b",$K209&lt;&gt;"g",$K209&lt;&gt;"k")),1,IF(AND($E209&lt;&gt;0,$F209&gt;0,YEAR($F209)&lt;Preisindex!$A$6,YEAR(EC$4)&gt;=YEAR($F209),$K209="a"),ROUND(VLOOKUP(EH$4,Preisindex,5,FALSE)/VLOOKUP(Preisindex!$A$6,Preisindex,5,FALSE),2),IF(AND($E209&lt;&gt;0,$F209&gt;0,YEAR($F209)&lt;Preisindex!$A$6,YEAR(EC$4)&gt;=YEAR($F209),$K209="b"),ROUND(VLOOKUP(EH$4,Preisindex,3,FALSE)/VLOOKUP(Preisindex!$A$6,Preisindex,3,FALSE),2),IF(AND($E209&lt;&gt;0,$F209&gt;0,YEAR($F209)&lt;Preisindex!$A$6,YEAR(EC$4)&gt;=YEAR($F209),$K209="g"),ROUND(VLOOKUP(EH$4,Preisindex,4,FALSE)/VLOOKUP(Preisindex!$A$6,Preisindex,4,FALSE),2),IF(AND($E209&lt;&gt;0,$F209&gt;0,YEAR($F209)&lt;Preisindex!$A$6,YEAR(EC$4)&gt;=YEAR($F209),$K209="k"),ROUND(VLOOKUP(EH$4,Preisindex,2,FALSE)/VLOOKUP(Preisindex!$A$6,Preisindex,2,FALSE),2),0)))))</f>
        <v>0</v>
      </c>
      <c r="EJ209" s="51">
        <f>IF(AND($E209&lt;&gt;0,$F209&gt;0,YEAR($F209)&lt;=EH$4,YEAR($F209)&gt;=Preisindex!$A$6),ROUND($E209*EH209,2),IF(AND($E209&lt;&gt;0,$F209&gt;0,YEAR($F209)&lt;=EH$4,YEAR($F209)&lt;Preisindex!$A$6),ROUND($E209*EI209,2),0))</f>
        <v>0</v>
      </c>
      <c r="EK209" s="53">
        <f t="shared" si="672"/>
        <v>0</v>
      </c>
      <c r="EL209" s="51">
        <f t="shared" si="656"/>
        <v>0</v>
      </c>
      <c r="EM209" s="51">
        <f t="shared" si="609"/>
        <v>0</v>
      </c>
      <c r="EN209" s="51">
        <f t="shared" si="673"/>
        <v>0</v>
      </c>
      <c r="EO209" s="51">
        <f t="shared" si="610"/>
        <v>0</v>
      </c>
      <c r="EP209" s="51">
        <f t="shared" si="674"/>
        <v>0</v>
      </c>
      <c r="EQ209" s="51">
        <f t="shared" si="611"/>
        <v>0</v>
      </c>
      <c r="ER209" s="51">
        <f t="shared" si="675"/>
        <v>0</v>
      </c>
      <c r="ES209" s="51">
        <f t="shared" si="612"/>
        <v>0</v>
      </c>
      <c r="ET209" s="51">
        <f t="shared" si="676"/>
        <v>0</v>
      </c>
      <c r="EU209" s="51">
        <f t="shared" si="613"/>
        <v>0</v>
      </c>
      <c r="EV209" s="51">
        <f t="shared" si="677"/>
        <v>0</v>
      </c>
      <c r="EW209" s="54">
        <f t="shared" si="678"/>
        <v>0</v>
      </c>
      <c r="EX209" s="55">
        <f t="shared" si="679"/>
        <v>0</v>
      </c>
      <c r="EY209" s="56">
        <f>IF(AND($E209&lt;&gt;0,$F209&gt;0,YEAR($F209)&gt;=Preisindex!$A$6,YEAR(ET$4)&gt;=YEAR($F209),AND($K209&lt;&gt;"a",$K209&lt;&gt;"b",$K209&lt;&gt;"g",$K209&lt;&gt;"k")),1,IF(AND($E209&lt;&gt;0,$F209&gt;0,YEAR($F209)&gt;=Preisindex!$A$6,YEAR(ET$4)&gt;=YEAR($F209),$K209="a"),ROUND(VLOOKUP(EY$4,Preisindex,5,FALSE)/VLOOKUP(YEAR($F209),Preisindex,5,FALSE),2),IF(AND($E209&lt;&gt;0,$F209&gt;0,YEAR($F209)&gt;=Preisindex!$A$6,YEAR(ET$4)&gt;=YEAR($F209),$K209="b"),ROUND(VLOOKUP(EY$4,Preisindex,3,FALSE)/VLOOKUP(YEAR($F209),Preisindex,3,FALSE),2),IF(AND($E209&lt;&gt;0,$F209&gt;0,YEAR($F209)&gt;=Preisindex!$A$6,YEAR(ET$4)&gt;=YEAR($F209),$K209="g"),ROUND(VLOOKUP(EY$4,Preisindex,4,FALSE)/VLOOKUP(YEAR($F209),Preisindex,4,FALSE),2),IF(AND($E209&lt;&gt;0,$F209&gt;0,YEAR($F209)&gt;=Preisindex!$A$6,YEAR(ET$4)&gt;=YEAR($F209),$K209="k"),ROUND(VLOOKUP(EY$4,Preisindex,2,FALSE)/VLOOKUP(YEAR($F209),Preisindex,2,FALSE),2),0)))))</f>
        <v>0</v>
      </c>
      <c r="EZ209" s="56">
        <f>IF(AND($E209&lt;&gt;0,$F209&gt;0,YEAR($F209)&lt;Preisindex!$A$6,YEAR(ET$4)&gt;=YEAR($F209),AND($K209&lt;&gt;"a",$K209&lt;&gt;"b",$K209&lt;&gt;"g",$K209&lt;&gt;"k")),1,IF(AND($E209&lt;&gt;0,$F209&gt;0,YEAR($F209)&lt;Preisindex!$A$6,YEAR(ET$4)&gt;=YEAR($F209),$K209="a"),ROUND(VLOOKUP(EY$4,Preisindex,5,FALSE)/VLOOKUP(Preisindex!$A$6,Preisindex,5,FALSE),2),IF(AND($E209&lt;&gt;0,$F209&gt;0,YEAR($F209)&lt;Preisindex!$A$6,YEAR(ET$4)&gt;=YEAR($F209),$K209="b"),ROUND(VLOOKUP(EY$4,Preisindex,3,FALSE)/VLOOKUP(Preisindex!$A$6,Preisindex,3,FALSE),2),IF(AND($E209&lt;&gt;0,$F209&gt;0,YEAR($F209)&lt;Preisindex!$A$6,YEAR(ET$4)&gt;=YEAR($F209),$K209="g"),ROUND(VLOOKUP(EY$4,Preisindex,4,FALSE)/VLOOKUP(Preisindex!$A$6,Preisindex,4,FALSE),2),IF(AND($E209&lt;&gt;0,$F209&gt;0,YEAR($F209)&lt;Preisindex!$A$6,YEAR(ET$4)&gt;=YEAR($F209),$K209="k"),ROUND(VLOOKUP(EY$4,Preisindex,2,FALSE)/VLOOKUP(Preisindex!$A$6,Preisindex,2,FALSE),2),0)))))</f>
        <v>0</v>
      </c>
      <c r="FA209" s="51">
        <f>IF(AND($E209&lt;&gt;0,$F209&gt;0,YEAR($F209)&lt;=EY$4,YEAR($F209)&gt;=Preisindex!$A$6),ROUND($E209*EY209,2),IF(AND($E209&lt;&gt;0,$F209&gt;0,YEAR($F209)&lt;=EY$4,YEAR($F209)&lt;Preisindex!$A$6),ROUND($E209*EZ209,2),0))</f>
        <v>0</v>
      </c>
      <c r="FB209" s="53">
        <f t="shared" si="680"/>
        <v>0</v>
      </c>
      <c r="FC209" s="51">
        <f t="shared" si="656"/>
        <v>0</v>
      </c>
      <c r="FD209" s="51">
        <f t="shared" si="614"/>
        <v>0</v>
      </c>
      <c r="FE209" s="51">
        <f t="shared" si="681"/>
        <v>0</v>
      </c>
      <c r="FF209" s="51">
        <f t="shared" si="615"/>
        <v>0</v>
      </c>
      <c r="FG209" s="51">
        <f t="shared" si="682"/>
        <v>0</v>
      </c>
      <c r="FH209" s="51">
        <f t="shared" si="616"/>
        <v>0</v>
      </c>
      <c r="FI209" s="51">
        <f t="shared" si="683"/>
        <v>0</v>
      </c>
      <c r="FJ209" s="51">
        <f t="shared" si="617"/>
        <v>0</v>
      </c>
      <c r="FK209" s="51">
        <f t="shared" si="684"/>
        <v>0</v>
      </c>
      <c r="FL209" s="51">
        <f t="shared" si="618"/>
        <v>0</v>
      </c>
      <c r="FM209" s="51">
        <f t="shared" si="685"/>
        <v>0</v>
      </c>
      <c r="FN209" s="54">
        <f t="shared" si="686"/>
        <v>0</v>
      </c>
      <c r="FO209" s="55">
        <f t="shared" si="687"/>
        <v>0</v>
      </c>
      <c r="FP209" s="56">
        <f>IF(AND($E209&lt;&gt;0,$F209&gt;0,YEAR($F209)&gt;=Preisindex!$A$6,YEAR(FK$4)&gt;=YEAR($F209),AND($K209&lt;&gt;"a",$K209&lt;&gt;"b",$K209&lt;&gt;"g",$K209&lt;&gt;"k")),1,IF(AND($E209&lt;&gt;0,$F209&gt;0,YEAR($F209)&gt;=Preisindex!$A$6,YEAR(FK$4)&gt;=YEAR($F209),$K209="a"),ROUND(VLOOKUP(FP$4,Preisindex,5,FALSE)/VLOOKUP(YEAR($F209),Preisindex,5,FALSE),2),IF(AND($E209&lt;&gt;0,$F209&gt;0,YEAR($F209)&gt;=Preisindex!$A$6,YEAR(FK$4)&gt;=YEAR($F209),$K209="b"),ROUND(VLOOKUP(FP$4,Preisindex,3,FALSE)/VLOOKUP(YEAR($F209),Preisindex,3,FALSE),2),IF(AND($E209&lt;&gt;0,$F209&gt;0,YEAR($F209)&gt;=Preisindex!$A$6,YEAR(FK$4)&gt;=YEAR($F209),$K209="g"),ROUND(VLOOKUP(FP$4,Preisindex,4,FALSE)/VLOOKUP(YEAR($F209),Preisindex,4,FALSE),2),IF(AND($E209&lt;&gt;0,$F209&gt;0,YEAR($F209)&gt;=Preisindex!$A$6,YEAR(FK$4)&gt;=YEAR($F209),$K209="k"),ROUND(VLOOKUP(FP$4,Preisindex,2,FALSE)/VLOOKUP(YEAR($F209),Preisindex,2,FALSE),2),0)))))</f>
        <v>0</v>
      </c>
      <c r="FQ209" s="56">
        <f>IF(AND($E209&lt;&gt;0,$F209&gt;0,YEAR($F209)&lt;Preisindex!$A$6,YEAR(FK$4)&gt;=YEAR($F209),AND($K209&lt;&gt;"a",$K209&lt;&gt;"b",$K209&lt;&gt;"g",$K209&lt;&gt;"k")),1,IF(AND($E209&lt;&gt;0,$F209&gt;0,YEAR($F209)&lt;Preisindex!$A$6,YEAR(FK$4)&gt;=YEAR($F209),$K209="a"),ROUND(VLOOKUP(FP$4,Preisindex,5,FALSE)/VLOOKUP(Preisindex!$A$6,Preisindex,5,FALSE),2),IF(AND($E209&lt;&gt;0,$F209&gt;0,YEAR($F209)&lt;Preisindex!$A$6,YEAR(FK$4)&gt;=YEAR($F209),$K209="b"),ROUND(VLOOKUP(FP$4,Preisindex,3,FALSE)/VLOOKUP(Preisindex!$A$6,Preisindex,3,FALSE),2),IF(AND($E209&lt;&gt;0,$F209&gt;0,YEAR($F209)&lt;Preisindex!$A$6,YEAR(FK$4)&gt;=YEAR($F209),$K209="g"),ROUND(VLOOKUP(FP$4,Preisindex,4,FALSE)/VLOOKUP(Preisindex!$A$6,Preisindex,4,FALSE),2),IF(AND($E209&lt;&gt;0,$F209&gt;0,YEAR($F209)&lt;Preisindex!$A$6,YEAR(FK$4)&gt;=YEAR($F209),$K209="k"),ROUND(VLOOKUP(FP$4,Preisindex,2,FALSE)/VLOOKUP(Preisindex!$A$6,Preisindex,2,FALSE),2),0)))))</f>
        <v>0</v>
      </c>
      <c r="FR209" s="51">
        <f>IF(AND($E209&lt;&gt;0,$F209&gt;0,YEAR($F209)&lt;=FP$4,YEAR($F209)&gt;=Preisindex!$A$6),ROUND($E209*FP209,2),IF(AND($E209&lt;&gt;0,$F209&gt;0,YEAR($F209)&lt;=FP$4,YEAR($F209)&lt;Preisindex!$A$6),ROUND($E209*FQ209,2),0))</f>
        <v>0</v>
      </c>
      <c r="FS209" s="53">
        <f t="shared" si="688"/>
        <v>0</v>
      </c>
    </row>
    <row r="210" spans="1:175" x14ac:dyDescent="0.3">
      <c r="A210" s="93"/>
      <c r="B210" s="94"/>
      <c r="C210" s="94"/>
      <c r="D210" s="95"/>
      <c r="E210" s="99"/>
      <c r="F210" s="97"/>
      <c r="G210" s="98"/>
      <c r="H210" s="620"/>
      <c r="I210" s="621"/>
      <c r="J210" s="194"/>
      <c r="K210" s="630"/>
      <c r="L210" s="49">
        <f t="shared" si="689"/>
        <v>0</v>
      </c>
      <c r="M210" s="50">
        <f t="shared" si="690"/>
        <v>0</v>
      </c>
      <c r="N210" s="51">
        <f t="shared" si="691"/>
        <v>0</v>
      </c>
      <c r="O210" s="51"/>
      <c r="P210" s="51">
        <f t="shared" si="692"/>
        <v>0</v>
      </c>
      <c r="Q210" s="52"/>
      <c r="R210" s="52"/>
      <c r="S210" s="52"/>
      <c r="T210" s="52"/>
      <c r="U210" s="52"/>
      <c r="V210" s="53">
        <f t="shared" si="693"/>
        <v>0</v>
      </c>
      <c r="W210" s="51">
        <f t="shared" si="694"/>
        <v>0</v>
      </c>
      <c r="X210" s="51">
        <f t="shared" si="695"/>
        <v>0</v>
      </c>
      <c r="Y210" s="51">
        <f t="shared" si="696"/>
        <v>0</v>
      </c>
      <c r="Z210" s="51">
        <f t="shared" si="697"/>
        <v>0</v>
      </c>
      <c r="AA210" s="51">
        <f t="shared" si="698"/>
        <v>0</v>
      </c>
      <c r="AB210" s="51">
        <f t="shared" si="699"/>
        <v>0</v>
      </c>
      <c r="AC210" s="51">
        <f t="shared" si="700"/>
        <v>0</v>
      </c>
      <c r="AD210" s="51">
        <f t="shared" si="701"/>
        <v>0</v>
      </c>
      <c r="AE210" s="51">
        <f t="shared" si="702"/>
        <v>0</v>
      </c>
      <c r="AF210" s="51">
        <f t="shared" si="703"/>
        <v>0</v>
      </c>
      <c r="AG210" s="51">
        <f t="shared" si="704"/>
        <v>0</v>
      </c>
      <c r="AH210" s="54">
        <f t="shared" si="705"/>
        <v>0</v>
      </c>
      <c r="AI210" s="55">
        <f t="shared" si="706"/>
        <v>0</v>
      </c>
      <c r="AJ210" s="56">
        <f>IF(AND($E210&lt;&gt;0,$F210&gt;0,YEAR($F210)&gt;=Preisindex!$A$6,YEAR(AE$4)&gt;=YEAR($F210),AND($K210&lt;&gt;"a",$K210&lt;&gt;"b",$K210&lt;&gt;"g",$K210&lt;&gt;"k")),1,IF(AND($E210&lt;&gt;0,$F210&gt;0,YEAR($F210)&gt;=Preisindex!$A$6,YEAR(AE$4)&gt;=YEAR($F210),$K210="a"),ROUND(VLOOKUP(AJ$4,Preisindex,5,FALSE)/VLOOKUP(YEAR($F210),Preisindex,5,FALSE),2),IF(AND($E210&lt;&gt;0,$F210&gt;0,YEAR($F210)&gt;=Preisindex!$A$6,YEAR(AE$4)&gt;=YEAR($F210),$K210="b"),ROUND(VLOOKUP(AJ$4,Preisindex,3,FALSE)/VLOOKUP(YEAR($F210),Preisindex,3,FALSE),2),IF(AND($E210&lt;&gt;0,$F210&gt;0,YEAR($F210)&gt;=Preisindex!$A$6,YEAR(AE$4)&gt;=YEAR($F210),$K210="g"),ROUND(VLOOKUP(AJ$4,Preisindex,4,FALSE)/VLOOKUP(YEAR($F210),Preisindex,4,FALSE),2),IF(AND($E210&lt;&gt;0,$F210&gt;0,YEAR($F210)&gt;=Preisindex!$A$6,YEAR(AE$4)&gt;=YEAR($F210),$K210="k"),ROUND(VLOOKUP(AJ$4,Preisindex,2,FALSE)/VLOOKUP(YEAR($F210),Preisindex,2,FALSE),2),0)))))</f>
        <v>0</v>
      </c>
      <c r="AK210" s="56">
        <f>IF(AND($E210&lt;&gt;0,$F210&gt;0,YEAR($F210)&lt;Preisindex!$A$6,YEAR(AE$4)&gt;=YEAR($F210),AND($K210&lt;&gt;"a",$K210&lt;&gt;"b",$K210&lt;&gt;"g",$K210&lt;&gt;"k")),1,IF(AND($E210&lt;&gt;0,$F210&gt;0,YEAR($F210)&lt;Preisindex!$A$6,YEAR(AE$4)&gt;=YEAR($F210),$K210="a"),ROUND(VLOOKUP(AJ$4,Preisindex,5,FALSE)/VLOOKUP(Preisindex!$A$6,Preisindex,5,FALSE),2),IF(AND($E210&lt;&gt;0,$F210&gt;0,YEAR($F210)&lt;Preisindex!$A$6,YEAR(AE$4)&gt;=YEAR($F210),$K210="b"),ROUND(VLOOKUP(AJ$4,Preisindex,3,FALSE)/VLOOKUP(Preisindex!$A$6,Preisindex,3,FALSE),2),IF(AND($E210&lt;&gt;0,$F210&gt;0,YEAR($F210)&lt;Preisindex!$A$6,YEAR(AE$4)&gt;=YEAR($F210),$K210="g"),ROUND(VLOOKUP(AJ$4,Preisindex,4,FALSE)/VLOOKUP(Preisindex!$A$6,Preisindex,4,FALSE),2),IF(AND($E210&lt;&gt;0,$F210&gt;0,YEAR($F210)&lt;Preisindex!$A$6,YEAR(AE$4)&gt;=YEAR($F210),$K210="k"),ROUND(VLOOKUP(AJ$4,Preisindex,2,FALSE)/VLOOKUP(Preisindex!$A$6,Preisindex,2,FALSE),2),0)))))</f>
        <v>0</v>
      </c>
      <c r="AL210" s="51">
        <f>IF(AND($E210&lt;&gt;0,$F210&gt;0,YEAR($F210)&lt;=AJ$4,YEAR($F210)&gt;=Preisindex!$A$6),ROUND($E210*AJ210,2),IF(AND($E210&lt;&gt;0,$F210&gt;0,YEAR($F210)&lt;=AJ$4,YEAR($F210)&lt;Preisindex!$A$6),ROUND($E210*AK210,2),0))</f>
        <v>0</v>
      </c>
      <c r="AM210" s="53">
        <f t="shared" si="707"/>
        <v>0</v>
      </c>
      <c r="AN210" s="51">
        <f t="shared" si="623"/>
        <v>0</v>
      </c>
      <c r="AO210" s="51">
        <f t="shared" si="579"/>
        <v>0</v>
      </c>
      <c r="AP210" s="51">
        <f t="shared" si="624"/>
        <v>0</v>
      </c>
      <c r="AQ210" s="51">
        <f t="shared" si="580"/>
        <v>0</v>
      </c>
      <c r="AR210" s="51">
        <f t="shared" si="625"/>
        <v>0</v>
      </c>
      <c r="AS210" s="51">
        <f t="shared" si="581"/>
        <v>0</v>
      </c>
      <c r="AT210" s="51">
        <f t="shared" si="626"/>
        <v>0</v>
      </c>
      <c r="AU210" s="51">
        <f t="shared" si="582"/>
        <v>0</v>
      </c>
      <c r="AV210" s="51">
        <f t="shared" si="627"/>
        <v>0</v>
      </c>
      <c r="AW210" s="51">
        <f t="shared" si="583"/>
        <v>0</v>
      </c>
      <c r="AX210" s="51">
        <f t="shared" si="628"/>
        <v>0</v>
      </c>
      <c r="AY210" s="54">
        <f t="shared" si="629"/>
        <v>0</v>
      </c>
      <c r="AZ210" s="55">
        <f t="shared" si="630"/>
        <v>0</v>
      </c>
      <c r="BA210" s="56">
        <f>IF(AND($E210&lt;&gt;0,$F210&gt;0,YEAR($F210)&gt;=Preisindex!$A$6,YEAR(AV$4)&gt;=YEAR($F210),AND($K210&lt;&gt;"a",$K210&lt;&gt;"b",$K210&lt;&gt;"g",$K210&lt;&gt;"k")),1,IF(AND($E210&lt;&gt;0,$F210&gt;0,YEAR($F210)&gt;=Preisindex!$A$6,YEAR(AV$4)&gt;=YEAR($F210),$K210="a"),ROUND(VLOOKUP(BA$4,Preisindex,5,FALSE)/VLOOKUP(YEAR($F210),Preisindex,5,FALSE),2),IF(AND($E210&lt;&gt;0,$F210&gt;0,YEAR($F210)&gt;=Preisindex!$A$6,YEAR(AV$4)&gt;=YEAR($F210),$K210="b"),ROUND(VLOOKUP(BA$4,Preisindex,3,FALSE)/VLOOKUP(YEAR($F210),Preisindex,3,FALSE),2),IF(AND($E210&lt;&gt;0,$F210&gt;0,YEAR($F210)&gt;=Preisindex!$A$6,YEAR(AV$4)&gt;=YEAR($F210),$K210="g"),ROUND(VLOOKUP(BA$4,Preisindex,4,FALSE)/VLOOKUP(YEAR($F210),Preisindex,4,FALSE),2),IF(AND($E210&lt;&gt;0,$F210&gt;0,YEAR($F210)&gt;=Preisindex!$A$6,YEAR(AV$4)&gt;=YEAR($F210),$K210="k"),ROUND(VLOOKUP(BA$4,Preisindex,2,FALSE)/VLOOKUP(YEAR($F210),Preisindex,2,FALSE),2),0)))))</f>
        <v>0</v>
      </c>
      <c r="BB210" s="56">
        <f>IF(AND($E210&lt;&gt;0,$F210&gt;0,YEAR($F210)&lt;Preisindex!$A$6,YEAR(AV$4)&gt;=YEAR($F210),AND($K210&lt;&gt;"a",$K210&lt;&gt;"b",$K210&lt;&gt;"g",$K210&lt;&gt;"k")),1,IF(AND($E210&lt;&gt;0,$F210&gt;0,YEAR($F210)&lt;Preisindex!$A$6,YEAR(AV$4)&gt;=YEAR($F210),$K210="a"),ROUND(VLOOKUP(BA$4,Preisindex,5,FALSE)/VLOOKUP(Preisindex!$A$6,Preisindex,5,FALSE),2),IF(AND($E210&lt;&gt;0,$F210&gt;0,YEAR($F210)&lt;Preisindex!$A$6,YEAR(AV$4)&gt;=YEAR($F210),$K210="b"),ROUND(VLOOKUP(BA$4,Preisindex,3,FALSE)/VLOOKUP(Preisindex!$A$6,Preisindex,3,FALSE),2),IF(AND($E210&lt;&gt;0,$F210&gt;0,YEAR($F210)&lt;Preisindex!$A$6,YEAR(AV$4)&gt;=YEAR($F210),$K210="g"),ROUND(VLOOKUP(BA$4,Preisindex,4,FALSE)/VLOOKUP(Preisindex!$A$6,Preisindex,4,FALSE),2),IF(AND($E210&lt;&gt;0,$F210&gt;0,YEAR($F210)&lt;Preisindex!$A$6,YEAR(AV$4)&gt;=YEAR($F210),$K210="k"),ROUND(VLOOKUP(BA$4,Preisindex,2,FALSE)/VLOOKUP(Preisindex!$A$6,Preisindex,2,FALSE),2),0)))))</f>
        <v>0</v>
      </c>
      <c r="BC210" s="51">
        <f>IF(AND($E210&lt;&gt;0,$F210&gt;0,YEAR($F210)&lt;=BA$4,YEAR($F210)&gt;=Preisindex!$A$6),ROUND($E210*BA210,2),IF(AND($E210&lt;&gt;0,$F210&gt;0,YEAR($F210)&lt;=BA$4,YEAR($F210)&lt;Preisindex!$A$6),ROUND($E210*BB210,2),0))</f>
        <v>0</v>
      </c>
      <c r="BD210" s="53">
        <f t="shared" si="631"/>
        <v>0</v>
      </c>
      <c r="BE210" s="51">
        <f t="shared" si="623"/>
        <v>0</v>
      </c>
      <c r="BF210" s="51">
        <f t="shared" si="584"/>
        <v>0</v>
      </c>
      <c r="BG210" s="51">
        <f t="shared" si="632"/>
        <v>0</v>
      </c>
      <c r="BH210" s="51">
        <f t="shared" si="585"/>
        <v>0</v>
      </c>
      <c r="BI210" s="51">
        <f t="shared" si="633"/>
        <v>0</v>
      </c>
      <c r="BJ210" s="51">
        <f t="shared" si="586"/>
        <v>0</v>
      </c>
      <c r="BK210" s="51">
        <f t="shared" si="634"/>
        <v>0</v>
      </c>
      <c r="BL210" s="51">
        <f t="shared" si="587"/>
        <v>0</v>
      </c>
      <c r="BM210" s="51">
        <f t="shared" si="635"/>
        <v>0</v>
      </c>
      <c r="BN210" s="51">
        <f t="shared" si="588"/>
        <v>0</v>
      </c>
      <c r="BO210" s="51">
        <f t="shared" si="636"/>
        <v>0</v>
      </c>
      <c r="BP210" s="54">
        <f t="shared" si="637"/>
        <v>0</v>
      </c>
      <c r="BQ210" s="55">
        <f t="shared" si="638"/>
        <v>0</v>
      </c>
      <c r="BR210" s="56">
        <f>IF(AND($E210&lt;&gt;0,$F210&gt;0,YEAR($F210)&gt;=Preisindex!$A$6,YEAR(BM$4)&gt;=YEAR($F210),AND($K210&lt;&gt;"a",$K210&lt;&gt;"b",$K210&lt;&gt;"g",$K210&lt;&gt;"k")),1,IF(AND($E210&lt;&gt;0,$F210&gt;0,YEAR($F210)&gt;=Preisindex!$A$6,YEAR(BM$4)&gt;=YEAR($F210),$K210="a"),ROUND(VLOOKUP(BR$4,Preisindex,5,FALSE)/VLOOKUP(YEAR($F210),Preisindex,5,FALSE),2),IF(AND($E210&lt;&gt;0,$F210&gt;0,YEAR($F210)&gt;=Preisindex!$A$6,YEAR(BM$4)&gt;=YEAR($F210),$K210="b"),ROUND(VLOOKUP(BR$4,Preisindex,3,FALSE)/VLOOKUP(YEAR($F210),Preisindex,3,FALSE),2),IF(AND($E210&lt;&gt;0,$F210&gt;0,YEAR($F210)&gt;=Preisindex!$A$6,YEAR(BM$4)&gt;=YEAR($F210),$K210="g"),ROUND(VLOOKUP(BR$4,Preisindex,4,FALSE)/VLOOKUP(YEAR($F210),Preisindex,4,FALSE),2),IF(AND($E210&lt;&gt;0,$F210&gt;0,YEAR($F210)&gt;=Preisindex!$A$6,YEAR(BM$4)&gt;=YEAR($F210),$K210="k"),ROUND(VLOOKUP(BR$4,Preisindex,2,FALSE)/VLOOKUP(YEAR($F210),Preisindex,2,FALSE),2),0)))))</f>
        <v>0</v>
      </c>
      <c r="BS210" s="56">
        <f>IF(AND($E210&lt;&gt;0,$F210&gt;0,YEAR($F210)&lt;Preisindex!$A$6,YEAR(BM$4)&gt;=YEAR($F210),AND($K210&lt;&gt;"a",$K210&lt;&gt;"b",$K210&lt;&gt;"g",$K210&lt;&gt;"k")),1,IF(AND($E210&lt;&gt;0,$F210&gt;0,YEAR($F210)&lt;Preisindex!$A$6,YEAR(BM$4)&gt;=YEAR($F210),$K210="a"),ROUND(VLOOKUP(BR$4,Preisindex,5,FALSE)/VLOOKUP(Preisindex!$A$6,Preisindex,5,FALSE),2),IF(AND($E210&lt;&gt;0,$F210&gt;0,YEAR($F210)&lt;Preisindex!$A$6,YEAR(BM$4)&gt;=YEAR($F210),$K210="b"),ROUND(VLOOKUP(BR$4,Preisindex,3,FALSE)/VLOOKUP(Preisindex!$A$6,Preisindex,3,FALSE),2),IF(AND($E210&lt;&gt;0,$F210&gt;0,YEAR($F210)&lt;Preisindex!$A$6,YEAR(BM$4)&gt;=YEAR($F210),$K210="g"),ROUND(VLOOKUP(BR$4,Preisindex,4,FALSE)/VLOOKUP(Preisindex!$A$6,Preisindex,4,FALSE),2),IF(AND($E210&lt;&gt;0,$F210&gt;0,YEAR($F210)&lt;Preisindex!$A$6,YEAR(BM$4)&gt;=YEAR($F210),$K210="k"),ROUND(VLOOKUP(BR$4,Preisindex,2,FALSE)/VLOOKUP(Preisindex!$A$6,Preisindex,2,FALSE),2),0)))))</f>
        <v>0</v>
      </c>
      <c r="BT210" s="51">
        <f>IF(AND($E210&lt;&gt;0,$F210&gt;0,YEAR($F210)&lt;=BR$4,YEAR($F210)&gt;=Preisindex!$A$6),ROUND($E210*BR210,2),IF(AND($E210&lt;&gt;0,$F210&gt;0,YEAR($F210)&lt;=BR$4,YEAR($F210)&lt;Preisindex!$A$6),ROUND($E210*BS210,2),0))</f>
        <v>0</v>
      </c>
      <c r="BU210" s="53">
        <f t="shared" si="639"/>
        <v>0</v>
      </c>
      <c r="BV210" s="51">
        <f t="shared" si="623"/>
        <v>0</v>
      </c>
      <c r="BW210" s="51">
        <f t="shared" si="589"/>
        <v>0</v>
      </c>
      <c r="BX210" s="51">
        <f t="shared" si="640"/>
        <v>0</v>
      </c>
      <c r="BY210" s="51">
        <f t="shared" si="590"/>
        <v>0</v>
      </c>
      <c r="BZ210" s="51">
        <f t="shared" si="641"/>
        <v>0</v>
      </c>
      <c r="CA210" s="51">
        <f t="shared" si="591"/>
        <v>0</v>
      </c>
      <c r="CB210" s="51">
        <f t="shared" si="642"/>
        <v>0</v>
      </c>
      <c r="CC210" s="51">
        <f t="shared" si="592"/>
        <v>0</v>
      </c>
      <c r="CD210" s="51">
        <f t="shared" si="643"/>
        <v>0</v>
      </c>
      <c r="CE210" s="51">
        <f t="shared" si="593"/>
        <v>0</v>
      </c>
      <c r="CF210" s="51">
        <f t="shared" si="644"/>
        <v>0</v>
      </c>
      <c r="CG210" s="54">
        <f t="shared" si="645"/>
        <v>0</v>
      </c>
      <c r="CH210" s="55">
        <f t="shared" si="646"/>
        <v>0</v>
      </c>
      <c r="CI210" s="56">
        <f>IF(AND($E210&lt;&gt;0,$F210&gt;0,YEAR($F210)&gt;=Preisindex!$A$6,YEAR(CD$4)&gt;=YEAR($F210),AND($K210&lt;&gt;"a",$K210&lt;&gt;"b",$K210&lt;&gt;"g",$K210&lt;&gt;"k")),1,IF(AND($E210&lt;&gt;0,$F210&gt;0,YEAR($F210)&gt;=Preisindex!$A$6,YEAR(CD$4)&gt;=YEAR($F210),$K210="a"),ROUND(VLOOKUP(CI$4,Preisindex,5,FALSE)/VLOOKUP(YEAR($F210),Preisindex,5,FALSE),2),IF(AND($E210&lt;&gt;0,$F210&gt;0,YEAR($F210)&gt;=Preisindex!$A$6,YEAR(CD$4)&gt;=YEAR($F210),$K210="b"),ROUND(VLOOKUP(CI$4,Preisindex,3,FALSE)/VLOOKUP(YEAR($F210),Preisindex,3,FALSE),2),IF(AND($E210&lt;&gt;0,$F210&gt;0,YEAR($F210)&gt;=Preisindex!$A$6,YEAR(CD$4)&gt;=YEAR($F210),$K210="g"),ROUND(VLOOKUP(CI$4,Preisindex,4,FALSE)/VLOOKUP(YEAR($F210),Preisindex,4,FALSE),2),IF(AND($E210&lt;&gt;0,$F210&gt;0,YEAR($F210)&gt;=Preisindex!$A$6,YEAR(CD$4)&gt;=YEAR($F210),$K210="k"),ROUND(VLOOKUP(CI$4,Preisindex,2,FALSE)/VLOOKUP(YEAR($F210),Preisindex,2,FALSE),2),0)))))</f>
        <v>0</v>
      </c>
      <c r="CJ210" s="56">
        <f>IF(AND($E210&lt;&gt;0,$F210&gt;0,YEAR($F210)&lt;Preisindex!$A$6,YEAR(CD$4)&gt;=YEAR($F210),AND($K210&lt;&gt;"a",$K210&lt;&gt;"b",$K210&lt;&gt;"g",$K210&lt;&gt;"k")),1,IF(AND($E210&lt;&gt;0,$F210&gt;0,YEAR($F210)&lt;Preisindex!$A$6,YEAR(CD$4)&gt;=YEAR($F210),$K210="a"),ROUND(VLOOKUP(CI$4,Preisindex,5,FALSE)/VLOOKUP(Preisindex!$A$6,Preisindex,5,FALSE),2),IF(AND($E210&lt;&gt;0,$F210&gt;0,YEAR($F210)&lt;Preisindex!$A$6,YEAR(CD$4)&gt;=YEAR($F210),$K210="b"),ROUND(VLOOKUP(CI$4,Preisindex,3,FALSE)/VLOOKUP(Preisindex!$A$6,Preisindex,3,FALSE),2),IF(AND($E210&lt;&gt;0,$F210&gt;0,YEAR($F210)&lt;Preisindex!$A$6,YEAR(CD$4)&gt;=YEAR($F210),$K210="g"),ROUND(VLOOKUP(CI$4,Preisindex,4,FALSE)/VLOOKUP(Preisindex!$A$6,Preisindex,4,FALSE),2),IF(AND($E210&lt;&gt;0,$F210&gt;0,YEAR($F210)&lt;Preisindex!$A$6,YEAR(CD$4)&gt;=YEAR($F210),$K210="k"),ROUND(VLOOKUP(CI$4,Preisindex,2,FALSE)/VLOOKUP(Preisindex!$A$6,Preisindex,2,FALSE),2),0)))))</f>
        <v>0</v>
      </c>
      <c r="CK210" s="51">
        <f>IF(AND($E210&lt;&gt;0,$F210&gt;0,YEAR($F210)&lt;=CI$4,YEAR($F210)&gt;=Preisindex!$A$6),ROUND($E210*CI210,2),IF(AND($E210&lt;&gt;0,$F210&gt;0,YEAR($F210)&lt;=CI$4,YEAR($F210)&lt;Preisindex!$A$6),ROUND($E210*CJ210,2),0))</f>
        <v>0</v>
      </c>
      <c r="CL210" s="53">
        <f t="shared" si="647"/>
        <v>0</v>
      </c>
      <c r="CM210" s="51">
        <f t="shared" si="623"/>
        <v>0</v>
      </c>
      <c r="CN210" s="51">
        <f t="shared" si="594"/>
        <v>0</v>
      </c>
      <c r="CO210" s="51">
        <f t="shared" si="648"/>
        <v>0</v>
      </c>
      <c r="CP210" s="51">
        <f t="shared" si="595"/>
        <v>0</v>
      </c>
      <c r="CQ210" s="51">
        <f t="shared" si="649"/>
        <v>0</v>
      </c>
      <c r="CR210" s="51">
        <f t="shared" si="596"/>
        <v>0</v>
      </c>
      <c r="CS210" s="51">
        <f t="shared" si="650"/>
        <v>0</v>
      </c>
      <c r="CT210" s="51">
        <f t="shared" si="597"/>
        <v>0</v>
      </c>
      <c r="CU210" s="51">
        <f t="shared" si="651"/>
        <v>0</v>
      </c>
      <c r="CV210" s="51">
        <f t="shared" si="598"/>
        <v>0</v>
      </c>
      <c r="CW210" s="51">
        <f t="shared" si="652"/>
        <v>0</v>
      </c>
      <c r="CX210" s="54">
        <f t="shared" si="653"/>
        <v>0</v>
      </c>
      <c r="CY210" s="55">
        <f t="shared" si="654"/>
        <v>0</v>
      </c>
      <c r="CZ210" s="56">
        <f>IF(AND($E210&lt;&gt;0,$F210&gt;0,YEAR($F210)&gt;=Preisindex!$A$6,YEAR(CU$4)&gt;=YEAR($F210),AND($K210&lt;&gt;"a",$K210&lt;&gt;"b",$K210&lt;&gt;"g",$K210&lt;&gt;"k")),1,IF(AND($E210&lt;&gt;0,$F210&gt;0,YEAR($F210)&gt;=Preisindex!$A$6,YEAR(CU$4)&gt;=YEAR($F210),$K210="a"),ROUND(VLOOKUP(CZ$4,Preisindex,5,FALSE)/VLOOKUP(YEAR($F210),Preisindex,5,FALSE),2),IF(AND($E210&lt;&gt;0,$F210&gt;0,YEAR($F210)&gt;=Preisindex!$A$6,YEAR(CU$4)&gt;=YEAR($F210),$K210="b"),ROUND(VLOOKUP(CZ$4,Preisindex,3,FALSE)/VLOOKUP(YEAR($F210),Preisindex,3,FALSE),2),IF(AND($E210&lt;&gt;0,$F210&gt;0,YEAR($F210)&gt;=Preisindex!$A$6,YEAR(CU$4)&gt;=YEAR($F210),$K210="g"),ROUND(VLOOKUP(CZ$4,Preisindex,4,FALSE)/VLOOKUP(YEAR($F210),Preisindex,4,FALSE),2),IF(AND($E210&lt;&gt;0,$F210&gt;0,YEAR($F210)&gt;=Preisindex!$A$6,YEAR(CU$4)&gt;=YEAR($F210),$K210="k"),ROUND(VLOOKUP(CZ$4,Preisindex,2,FALSE)/VLOOKUP(YEAR($F210),Preisindex,2,FALSE),2),0)))))</f>
        <v>0</v>
      </c>
      <c r="DA210" s="56">
        <f>IF(AND($E210&lt;&gt;0,$F210&gt;0,YEAR($F210)&lt;Preisindex!$A$6,YEAR(CU$4)&gt;=YEAR($F210),AND($K210&lt;&gt;"a",$K210&lt;&gt;"b",$K210&lt;&gt;"g",$K210&lt;&gt;"k")),1,IF(AND($E210&lt;&gt;0,$F210&gt;0,YEAR($F210)&lt;Preisindex!$A$6,YEAR(CU$4)&gt;=YEAR($F210),$K210="a"),ROUND(VLOOKUP(CZ$4,Preisindex,5,FALSE)/VLOOKUP(Preisindex!$A$6,Preisindex,5,FALSE),2),IF(AND($E210&lt;&gt;0,$F210&gt;0,YEAR($F210)&lt;Preisindex!$A$6,YEAR(CU$4)&gt;=YEAR($F210),$K210="b"),ROUND(VLOOKUP(CZ$4,Preisindex,3,FALSE)/VLOOKUP(Preisindex!$A$6,Preisindex,3,FALSE),2),IF(AND($E210&lt;&gt;0,$F210&gt;0,YEAR($F210)&lt;Preisindex!$A$6,YEAR(CU$4)&gt;=YEAR($F210),$K210="g"),ROUND(VLOOKUP(CZ$4,Preisindex,4,FALSE)/VLOOKUP(Preisindex!$A$6,Preisindex,4,FALSE),2),IF(AND($E210&lt;&gt;0,$F210&gt;0,YEAR($F210)&lt;Preisindex!$A$6,YEAR(CU$4)&gt;=YEAR($F210),$K210="k"),ROUND(VLOOKUP(CZ$4,Preisindex,2,FALSE)/VLOOKUP(Preisindex!$A$6,Preisindex,2,FALSE),2),0)))))</f>
        <v>0</v>
      </c>
      <c r="DB210" s="51">
        <f>IF(AND($E210&lt;&gt;0,$F210&gt;0,YEAR($F210)&lt;=CZ$4,YEAR($F210)&gt;=Preisindex!$A$6),ROUND($E210*CZ210,2),IF(AND($E210&lt;&gt;0,$F210&gt;0,YEAR($F210)&lt;=CZ$4,YEAR($F210)&lt;Preisindex!$A$6),ROUND($E210*DA210,2),0))</f>
        <v>0</v>
      </c>
      <c r="DC210" s="53">
        <f t="shared" si="655"/>
        <v>0</v>
      </c>
      <c r="DD210" s="51">
        <f t="shared" si="656"/>
        <v>0</v>
      </c>
      <c r="DE210" s="51">
        <f t="shared" si="599"/>
        <v>0</v>
      </c>
      <c r="DF210" s="51">
        <f t="shared" si="657"/>
        <v>0</v>
      </c>
      <c r="DG210" s="51">
        <f t="shared" si="600"/>
        <v>0</v>
      </c>
      <c r="DH210" s="51">
        <f t="shared" si="658"/>
        <v>0</v>
      </c>
      <c r="DI210" s="51">
        <f t="shared" si="601"/>
        <v>0</v>
      </c>
      <c r="DJ210" s="51">
        <f t="shared" si="659"/>
        <v>0</v>
      </c>
      <c r="DK210" s="51">
        <f t="shared" si="602"/>
        <v>0</v>
      </c>
      <c r="DL210" s="51">
        <f t="shared" si="660"/>
        <v>0</v>
      </c>
      <c r="DM210" s="51">
        <f t="shared" si="603"/>
        <v>0</v>
      </c>
      <c r="DN210" s="51">
        <f t="shared" si="661"/>
        <v>0</v>
      </c>
      <c r="DO210" s="54">
        <f t="shared" si="662"/>
        <v>0</v>
      </c>
      <c r="DP210" s="55">
        <f t="shared" si="663"/>
        <v>0</v>
      </c>
      <c r="DQ210" s="56">
        <f>IF(AND($E210&lt;&gt;0,$F210&gt;0,YEAR($F210)&gt;=Preisindex!$A$6,YEAR(DL$4)&gt;=YEAR($F210),AND($K210&lt;&gt;"a",$K210&lt;&gt;"b",$K210&lt;&gt;"g",$K210&lt;&gt;"k")),1,IF(AND($E210&lt;&gt;0,$F210&gt;0,YEAR($F210)&gt;=Preisindex!$A$6,YEAR(DL$4)&gt;=YEAR($F210),$K210="a"),ROUND(VLOOKUP(DQ$4,Preisindex,5,FALSE)/VLOOKUP(YEAR($F210),Preisindex,5,FALSE),2),IF(AND($E210&lt;&gt;0,$F210&gt;0,YEAR($F210)&gt;=Preisindex!$A$6,YEAR(DL$4)&gt;=YEAR($F210),$K210="b"),ROUND(VLOOKUP(DQ$4,Preisindex,3,FALSE)/VLOOKUP(YEAR($F210),Preisindex,3,FALSE),2),IF(AND($E210&lt;&gt;0,$F210&gt;0,YEAR($F210)&gt;=Preisindex!$A$6,YEAR(DL$4)&gt;=YEAR($F210),$K210="g"),ROUND(VLOOKUP(DQ$4,Preisindex,4,FALSE)/VLOOKUP(YEAR($F210),Preisindex,4,FALSE),2),IF(AND($E210&lt;&gt;0,$F210&gt;0,YEAR($F210)&gt;=Preisindex!$A$6,YEAR(DL$4)&gt;=YEAR($F210),$K210="k"),ROUND(VLOOKUP(DQ$4,Preisindex,2,FALSE)/VLOOKUP(YEAR($F210),Preisindex,2,FALSE),2),0)))))</f>
        <v>0</v>
      </c>
      <c r="DR210" s="56">
        <f>IF(AND($E210&lt;&gt;0,$F210&gt;0,YEAR($F210)&lt;Preisindex!$A$6,YEAR(DL$4)&gt;=YEAR($F210),AND($K210&lt;&gt;"a",$K210&lt;&gt;"b",$K210&lt;&gt;"g",$K210&lt;&gt;"k")),1,IF(AND($E210&lt;&gt;0,$F210&gt;0,YEAR($F210)&lt;Preisindex!$A$6,YEAR(DL$4)&gt;=YEAR($F210),$K210="a"),ROUND(VLOOKUP(DQ$4,Preisindex,5,FALSE)/VLOOKUP(Preisindex!$A$6,Preisindex,5,FALSE),2),IF(AND($E210&lt;&gt;0,$F210&gt;0,YEAR($F210)&lt;Preisindex!$A$6,YEAR(DL$4)&gt;=YEAR($F210),$K210="b"),ROUND(VLOOKUP(DQ$4,Preisindex,3,FALSE)/VLOOKUP(Preisindex!$A$6,Preisindex,3,FALSE),2),IF(AND($E210&lt;&gt;0,$F210&gt;0,YEAR($F210)&lt;Preisindex!$A$6,YEAR(DL$4)&gt;=YEAR($F210),$K210="g"),ROUND(VLOOKUP(DQ$4,Preisindex,4,FALSE)/VLOOKUP(Preisindex!$A$6,Preisindex,4,FALSE),2),IF(AND($E210&lt;&gt;0,$F210&gt;0,YEAR($F210)&lt;Preisindex!$A$6,YEAR(DL$4)&gt;=YEAR($F210),$K210="k"),ROUND(VLOOKUP(DQ$4,Preisindex,2,FALSE)/VLOOKUP(Preisindex!$A$6,Preisindex,2,FALSE),2),0)))))</f>
        <v>0</v>
      </c>
      <c r="DS210" s="51">
        <f>IF(AND($E210&lt;&gt;0,$F210&gt;0,YEAR($F210)&lt;=DQ$4,YEAR($F210)&gt;=Preisindex!$A$6),ROUND($E210*DQ210,2),IF(AND($E210&lt;&gt;0,$F210&gt;0,YEAR($F210)&lt;=DQ$4,YEAR($F210)&lt;Preisindex!$A$6),ROUND($E210*DR210,2),0))</f>
        <v>0</v>
      </c>
      <c r="DT210" s="53">
        <f t="shared" si="664"/>
        <v>0</v>
      </c>
      <c r="DU210" s="51">
        <f t="shared" si="656"/>
        <v>0</v>
      </c>
      <c r="DV210" s="51">
        <f t="shared" si="604"/>
        <v>0</v>
      </c>
      <c r="DW210" s="51">
        <f t="shared" si="665"/>
        <v>0</v>
      </c>
      <c r="DX210" s="51">
        <f t="shared" si="605"/>
        <v>0</v>
      </c>
      <c r="DY210" s="51">
        <f t="shared" si="666"/>
        <v>0</v>
      </c>
      <c r="DZ210" s="51">
        <f t="shared" si="606"/>
        <v>0</v>
      </c>
      <c r="EA210" s="51">
        <f t="shared" si="667"/>
        <v>0</v>
      </c>
      <c r="EB210" s="51">
        <f t="shared" si="607"/>
        <v>0</v>
      </c>
      <c r="EC210" s="51">
        <f t="shared" si="668"/>
        <v>0</v>
      </c>
      <c r="ED210" s="51">
        <f t="shared" si="608"/>
        <v>0</v>
      </c>
      <c r="EE210" s="51">
        <f t="shared" si="669"/>
        <v>0</v>
      </c>
      <c r="EF210" s="54">
        <f t="shared" si="670"/>
        <v>0</v>
      </c>
      <c r="EG210" s="55">
        <f t="shared" si="671"/>
        <v>0</v>
      </c>
      <c r="EH210" s="56">
        <f>IF(AND($E210&lt;&gt;0,$F210&gt;0,YEAR($F210)&gt;=Preisindex!$A$6,YEAR(EC$4)&gt;=YEAR($F210),AND($K210&lt;&gt;"a",$K210&lt;&gt;"b",$K210&lt;&gt;"g",$K210&lt;&gt;"k")),1,IF(AND($E210&lt;&gt;0,$F210&gt;0,YEAR($F210)&gt;=Preisindex!$A$6,YEAR(EC$4)&gt;=YEAR($F210),$K210="a"),ROUND(VLOOKUP(EH$4,Preisindex,5,FALSE)/VLOOKUP(YEAR($F210),Preisindex,5,FALSE),2),IF(AND($E210&lt;&gt;0,$F210&gt;0,YEAR($F210)&gt;=Preisindex!$A$6,YEAR(EC$4)&gt;=YEAR($F210),$K210="b"),ROUND(VLOOKUP(EH$4,Preisindex,3,FALSE)/VLOOKUP(YEAR($F210),Preisindex,3,FALSE),2),IF(AND($E210&lt;&gt;0,$F210&gt;0,YEAR($F210)&gt;=Preisindex!$A$6,YEAR(EC$4)&gt;=YEAR($F210),$K210="g"),ROUND(VLOOKUP(EH$4,Preisindex,4,FALSE)/VLOOKUP(YEAR($F210),Preisindex,4,FALSE),2),IF(AND($E210&lt;&gt;0,$F210&gt;0,YEAR($F210)&gt;=Preisindex!$A$6,YEAR(EC$4)&gt;=YEAR($F210),$K210="k"),ROUND(VLOOKUP(EH$4,Preisindex,2,FALSE)/VLOOKUP(YEAR($F210),Preisindex,2,FALSE),2),0)))))</f>
        <v>0</v>
      </c>
      <c r="EI210" s="56">
        <f>IF(AND($E210&lt;&gt;0,$F210&gt;0,YEAR($F210)&lt;Preisindex!$A$6,YEAR(EC$4)&gt;=YEAR($F210),AND($K210&lt;&gt;"a",$K210&lt;&gt;"b",$K210&lt;&gt;"g",$K210&lt;&gt;"k")),1,IF(AND($E210&lt;&gt;0,$F210&gt;0,YEAR($F210)&lt;Preisindex!$A$6,YEAR(EC$4)&gt;=YEAR($F210),$K210="a"),ROUND(VLOOKUP(EH$4,Preisindex,5,FALSE)/VLOOKUP(Preisindex!$A$6,Preisindex,5,FALSE),2),IF(AND($E210&lt;&gt;0,$F210&gt;0,YEAR($F210)&lt;Preisindex!$A$6,YEAR(EC$4)&gt;=YEAR($F210),$K210="b"),ROUND(VLOOKUP(EH$4,Preisindex,3,FALSE)/VLOOKUP(Preisindex!$A$6,Preisindex,3,FALSE),2),IF(AND($E210&lt;&gt;0,$F210&gt;0,YEAR($F210)&lt;Preisindex!$A$6,YEAR(EC$4)&gt;=YEAR($F210),$K210="g"),ROUND(VLOOKUP(EH$4,Preisindex,4,FALSE)/VLOOKUP(Preisindex!$A$6,Preisindex,4,FALSE),2),IF(AND($E210&lt;&gt;0,$F210&gt;0,YEAR($F210)&lt;Preisindex!$A$6,YEAR(EC$4)&gt;=YEAR($F210),$K210="k"),ROUND(VLOOKUP(EH$4,Preisindex,2,FALSE)/VLOOKUP(Preisindex!$A$6,Preisindex,2,FALSE),2),0)))))</f>
        <v>0</v>
      </c>
      <c r="EJ210" s="51">
        <f>IF(AND($E210&lt;&gt;0,$F210&gt;0,YEAR($F210)&lt;=EH$4,YEAR($F210)&gt;=Preisindex!$A$6),ROUND($E210*EH210,2),IF(AND($E210&lt;&gt;0,$F210&gt;0,YEAR($F210)&lt;=EH$4,YEAR($F210)&lt;Preisindex!$A$6),ROUND($E210*EI210,2),0))</f>
        <v>0</v>
      </c>
      <c r="EK210" s="53">
        <f t="shared" si="672"/>
        <v>0</v>
      </c>
      <c r="EL210" s="51">
        <f t="shared" si="656"/>
        <v>0</v>
      </c>
      <c r="EM210" s="51">
        <f t="shared" si="609"/>
        <v>0</v>
      </c>
      <c r="EN210" s="51">
        <f t="shared" si="673"/>
        <v>0</v>
      </c>
      <c r="EO210" s="51">
        <f t="shared" si="610"/>
        <v>0</v>
      </c>
      <c r="EP210" s="51">
        <f t="shared" si="674"/>
        <v>0</v>
      </c>
      <c r="EQ210" s="51">
        <f t="shared" si="611"/>
        <v>0</v>
      </c>
      <c r="ER210" s="51">
        <f t="shared" si="675"/>
        <v>0</v>
      </c>
      <c r="ES210" s="51">
        <f t="shared" si="612"/>
        <v>0</v>
      </c>
      <c r="ET210" s="51">
        <f t="shared" si="676"/>
        <v>0</v>
      </c>
      <c r="EU210" s="51">
        <f t="shared" si="613"/>
        <v>0</v>
      </c>
      <c r="EV210" s="51">
        <f t="shared" si="677"/>
        <v>0</v>
      </c>
      <c r="EW210" s="54">
        <f t="shared" si="678"/>
        <v>0</v>
      </c>
      <c r="EX210" s="55">
        <f t="shared" si="679"/>
        <v>0</v>
      </c>
      <c r="EY210" s="56">
        <f>IF(AND($E210&lt;&gt;0,$F210&gt;0,YEAR($F210)&gt;=Preisindex!$A$6,YEAR(ET$4)&gt;=YEAR($F210),AND($K210&lt;&gt;"a",$K210&lt;&gt;"b",$K210&lt;&gt;"g",$K210&lt;&gt;"k")),1,IF(AND($E210&lt;&gt;0,$F210&gt;0,YEAR($F210)&gt;=Preisindex!$A$6,YEAR(ET$4)&gt;=YEAR($F210),$K210="a"),ROUND(VLOOKUP(EY$4,Preisindex,5,FALSE)/VLOOKUP(YEAR($F210),Preisindex,5,FALSE),2),IF(AND($E210&lt;&gt;0,$F210&gt;0,YEAR($F210)&gt;=Preisindex!$A$6,YEAR(ET$4)&gt;=YEAR($F210),$K210="b"),ROUND(VLOOKUP(EY$4,Preisindex,3,FALSE)/VLOOKUP(YEAR($F210),Preisindex,3,FALSE),2),IF(AND($E210&lt;&gt;0,$F210&gt;0,YEAR($F210)&gt;=Preisindex!$A$6,YEAR(ET$4)&gt;=YEAR($F210),$K210="g"),ROUND(VLOOKUP(EY$4,Preisindex,4,FALSE)/VLOOKUP(YEAR($F210),Preisindex,4,FALSE),2),IF(AND($E210&lt;&gt;0,$F210&gt;0,YEAR($F210)&gt;=Preisindex!$A$6,YEAR(ET$4)&gt;=YEAR($F210),$K210="k"),ROUND(VLOOKUP(EY$4,Preisindex,2,FALSE)/VLOOKUP(YEAR($F210),Preisindex,2,FALSE),2),0)))))</f>
        <v>0</v>
      </c>
      <c r="EZ210" s="56">
        <f>IF(AND($E210&lt;&gt;0,$F210&gt;0,YEAR($F210)&lt;Preisindex!$A$6,YEAR(ET$4)&gt;=YEAR($F210),AND($K210&lt;&gt;"a",$K210&lt;&gt;"b",$K210&lt;&gt;"g",$K210&lt;&gt;"k")),1,IF(AND($E210&lt;&gt;0,$F210&gt;0,YEAR($F210)&lt;Preisindex!$A$6,YEAR(ET$4)&gt;=YEAR($F210),$K210="a"),ROUND(VLOOKUP(EY$4,Preisindex,5,FALSE)/VLOOKUP(Preisindex!$A$6,Preisindex,5,FALSE),2),IF(AND($E210&lt;&gt;0,$F210&gt;0,YEAR($F210)&lt;Preisindex!$A$6,YEAR(ET$4)&gt;=YEAR($F210),$K210="b"),ROUND(VLOOKUP(EY$4,Preisindex,3,FALSE)/VLOOKUP(Preisindex!$A$6,Preisindex,3,FALSE),2),IF(AND($E210&lt;&gt;0,$F210&gt;0,YEAR($F210)&lt;Preisindex!$A$6,YEAR(ET$4)&gt;=YEAR($F210),$K210="g"),ROUND(VLOOKUP(EY$4,Preisindex,4,FALSE)/VLOOKUP(Preisindex!$A$6,Preisindex,4,FALSE),2),IF(AND($E210&lt;&gt;0,$F210&gt;0,YEAR($F210)&lt;Preisindex!$A$6,YEAR(ET$4)&gt;=YEAR($F210),$K210="k"),ROUND(VLOOKUP(EY$4,Preisindex,2,FALSE)/VLOOKUP(Preisindex!$A$6,Preisindex,2,FALSE),2),0)))))</f>
        <v>0</v>
      </c>
      <c r="FA210" s="51">
        <f>IF(AND($E210&lt;&gt;0,$F210&gt;0,YEAR($F210)&lt;=EY$4,YEAR($F210)&gt;=Preisindex!$A$6),ROUND($E210*EY210,2),IF(AND($E210&lt;&gt;0,$F210&gt;0,YEAR($F210)&lt;=EY$4,YEAR($F210)&lt;Preisindex!$A$6),ROUND($E210*EZ210,2),0))</f>
        <v>0</v>
      </c>
      <c r="FB210" s="53">
        <f t="shared" si="680"/>
        <v>0</v>
      </c>
      <c r="FC210" s="51">
        <f t="shared" si="656"/>
        <v>0</v>
      </c>
      <c r="FD210" s="51">
        <f t="shared" si="614"/>
        <v>0</v>
      </c>
      <c r="FE210" s="51">
        <f t="shared" si="681"/>
        <v>0</v>
      </c>
      <c r="FF210" s="51">
        <f t="shared" si="615"/>
        <v>0</v>
      </c>
      <c r="FG210" s="51">
        <f t="shared" si="682"/>
        <v>0</v>
      </c>
      <c r="FH210" s="51">
        <f t="shared" si="616"/>
        <v>0</v>
      </c>
      <c r="FI210" s="51">
        <f t="shared" si="683"/>
        <v>0</v>
      </c>
      <c r="FJ210" s="51">
        <f t="shared" si="617"/>
        <v>0</v>
      </c>
      <c r="FK210" s="51">
        <f t="shared" si="684"/>
        <v>0</v>
      </c>
      <c r="FL210" s="51">
        <f t="shared" si="618"/>
        <v>0</v>
      </c>
      <c r="FM210" s="51">
        <f t="shared" si="685"/>
        <v>0</v>
      </c>
      <c r="FN210" s="54">
        <f t="shared" si="686"/>
        <v>0</v>
      </c>
      <c r="FO210" s="55">
        <f t="shared" si="687"/>
        <v>0</v>
      </c>
      <c r="FP210" s="56">
        <f>IF(AND($E210&lt;&gt;0,$F210&gt;0,YEAR($F210)&gt;=Preisindex!$A$6,YEAR(FK$4)&gt;=YEAR($F210),AND($K210&lt;&gt;"a",$K210&lt;&gt;"b",$K210&lt;&gt;"g",$K210&lt;&gt;"k")),1,IF(AND($E210&lt;&gt;0,$F210&gt;0,YEAR($F210)&gt;=Preisindex!$A$6,YEAR(FK$4)&gt;=YEAR($F210),$K210="a"),ROUND(VLOOKUP(FP$4,Preisindex,5,FALSE)/VLOOKUP(YEAR($F210),Preisindex,5,FALSE),2),IF(AND($E210&lt;&gt;0,$F210&gt;0,YEAR($F210)&gt;=Preisindex!$A$6,YEAR(FK$4)&gt;=YEAR($F210),$K210="b"),ROUND(VLOOKUP(FP$4,Preisindex,3,FALSE)/VLOOKUP(YEAR($F210),Preisindex,3,FALSE),2),IF(AND($E210&lt;&gt;0,$F210&gt;0,YEAR($F210)&gt;=Preisindex!$A$6,YEAR(FK$4)&gt;=YEAR($F210),$K210="g"),ROUND(VLOOKUP(FP$4,Preisindex,4,FALSE)/VLOOKUP(YEAR($F210),Preisindex,4,FALSE),2),IF(AND($E210&lt;&gt;0,$F210&gt;0,YEAR($F210)&gt;=Preisindex!$A$6,YEAR(FK$4)&gt;=YEAR($F210),$K210="k"),ROUND(VLOOKUP(FP$4,Preisindex,2,FALSE)/VLOOKUP(YEAR($F210),Preisindex,2,FALSE),2),0)))))</f>
        <v>0</v>
      </c>
      <c r="FQ210" s="56">
        <f>IF(AND($E210&lt;&gt;0,$F210&gt;0,YEAR($F210)&lt;Preisindex!$A$6,YEAR(FK$4)&gt;=YEAR($F210),AND($K210&lt;&gt;"a",$K210&lt;&gt;"b",$K210&lt;&gt;"g",$K210&lt;&gt;"k")),1,IF(AND($E210&lt;&gt;0,$F210&gt;0,YEAR($F210)&lt;Preisindex!$A$6,YEAR(FK$4)&gt;=YEAR($F210),$K210="a"),ROUND(VLOOKUP(FP$4,Preisindex,5,FALSE)/VLOOKUP(Preisindex!$A$6,Preisindex,5,FALSE),2),IF(AND($E210&lt;&gt;0,$F210&gt;0,YEAR($F210)&lt;Preisindex!$A$6,YEAR(FK$4)&gt;=YEAR($F210),$K210="b"),ROUND(VLOOKUP(FP$4,Preisindex,3,FALSE)/VLOOKUP(Preisindex!$A$6,Preisindex,3,FALSE),2),IF(AND($E210&lt;&gt;0,$F210&gt;0,YEAR($F210)&lt;Preisindex!$A$6,YEAR(FK$4)&gt;=YEAR($F210),$K210="g"),ROUND(VLOOKUP(FP$4,Preisindex,4,FALSE)/VLOOKUP(Preisindex!$A$6,Preisindex,4,FALSE),2),IF(AND($E210&lt;&gt;0,$F210&gt;0,YEAR($F210)&lt;Preisindex!$A$6,YEAR(FK$4)&gt;=YEAR($F210),$K210="k"),ROUND(VLOOKUP(FP$4,Preisindex,2,FALSE)/VLOOKUP(Preisindex!$A$6,Preisindex,2,FALSE),2),0)))))</f>
        <v>0</v>
      </c>
      <c r="FR210" s="51">
        <f>IF(AND($E210&lt;&gt;0,$F210&gt;0,YEAR($F210)&lt;=FP$4,YEAR($F210)&gt;=Preisindex!$A$6),ROUND($E210*FP210,2),IF(AND($E210&lt;&gt;0,$F210&gt;0,YEAR($F210)&lt;=FP$4,YEAR($F210)&lt;Preisindex!$A$6),ROUND($E210*FQ210,2),0))</f>
        <v>0</v>
      </c>
      <c r="FS210" s="53">
        <f t="shared" si="688"/>
        <v>0</v>
      </c>
    </row>
    <row r="211" spans="1:175" x14ac:dyDescent="0.3">
      <c r="A211" s="93"/>
      <c r="B211" s="94"/>
      <c r="C211" s="94"/>
      <c r="D211" s="95"/>
      <c r="E211" s="99"/>
      <c r="F211" s="97"/>
      <c r="G211" s="98"/>
      <c r="H211" s="620"/>
      <c r="I211" s="621"/>
      <c r="J211" s="194"/>
      <c r="K211" s="630"/>
      <c r="L211" s="49">
        <f t="shared" si="689"/>
        <v>0</v>
      </c>
      <c r="M211" s="50">
        <f t="shared" si="690"/>
        <v>0</v>
      </c>
      <c r="N211" s="51">
        <f t="shared" si="691"/>
        <v>0</v>
      </c>
      <c r="O211" s="51"/>
      <c r="P211" s="51">
        <f t="shared" si="692"/>
        <v>0</v>
      </c>
      <c r="Q211" s="52"/>
      <c r="R211" s="52"/>
      <c r="S211" s="52"/>
      <c r="T211" s="52"/>
      <c r="U211" s="52"/>
      <c r="V211" s="53">
        <f t="shared" si="693"/>
        <v>0</v>
      </c>
      <c r="W211" s="51">
        <f t="shared" si="694"/>
        <v>0</v>
      </c>
      <c r="X211" s="51">
        <f t="shared" si="695"/>
        <v>0</v>
      </c>
      <c r="Y211" s="51">
        <f t="shared" si="696"/>
        <v>0</v>
      </c>
      <c r="Z211" s="51">
        <f t="shared" si="697"/>
        <v>0</v>
      </c>
      <c r="AA211" s="51">
        <f t="shared" si="698"/>
        <v>0</v>
      </c>
      <c r="AB211" s="51">
        <f t="shared" si="699"/>
        <v>0</v>
      </c>
      <c r="AC211" s="51">
        <f t="shared" si="700"/>
        <v>0</v>
      </c>
      <c r="AD211" s="51">
        <f t="shared" si="701"/>
        <v>0</v>
      </c>
      <c r="AE211" s="51">
        <f t="shared" si="702"/>
        <v>0</v>
      </c>
      <c r="AF211" s="51">
        <f t="shared" si="703"/>
        <v>0</v>
      </c>
      <c r="AG211" s="51">
        <f t="shared" si="704"/>
        <v>0</v>
      </c>
      <c r="AH211" s="54">
        <f t="shared" si="705"/>
        <v>0</v>
      </c>
      <c r="AI211" s="55">
        <f t="shared" si="706"/>
        <v>0</v>
      </c>
      <c r="AJ211" s="56">
        <f>IF(AND($E211&lt;&gt;0,$F211&gt;0,YEAR($F211)&gt;=Preisindex!$A$6,YEAR(AE$4)&gt;=YEAR($F211),AND($K211&lt;&gt;"a",$K211&lt;&gt;"b",$K211&lt;&gt;"g",$K211&lt;&gt;"k")),1,IF(AND($E211&lt;&gt;0,$F211&gt;0,YEAR($F211)&gt;=Preisindex!$A$6,YEAR(AE$4)&gt;=YEAR($F211),$K211="a"),ROUND(VLOOKUP(AJ$4,Preisindex,5,FALSE)/VLOOKUP(YEAR($F211),Preisindex,5,FALSE),2),IF(AND($E211&lt;&gt;0,$F211&gt;0,YEAR($F211)&gt;=Preisindex!$A$6,YEAR(AE$4)&gt;=YEAR($F211),$K211="b"),ROUND(VLOOKUP(AJ$4,Preisindex,3,FALSE)/VLOOKUP(YEAR($F211),Preisindex,3,FALSE),2),IF(AND($E211&lt;&gt;0,$F211&gt;0,YEAR($F211)&gt;=Preisindex!$A$6,YEAR(AE$4)&gt;=YEAR($F211),$K211="g"),ROUND(VLOOKUP(AJ$4,Preisindex,4,FALSE)/VLOOKUP(YEAR($F211),Preisindex,4,FALSE),2),IF(AND($E211&lt;&gt;0,$F211&gt;0,YEAR($F211)&gt;=Preisindex!$A$6,YEAR(AE$4)&gt;=YEAR($F211),$K211="k"),ROUND(VLOOKUP(AJ$4,Preisindex,2,FALSE)/VLOOKUP(YEAR($F211),Preisindex,2,FALSE),2),0)))))</f>
        <v>0</v>
      </c>
      <c r="AK211" s="56">
        <f>IF(AND($E211&lt;&gt;0,$F211&gt;0,YEAR($F211)&lt;Preisindex!$A$6,YEAR(AE$4)&gt;=YEAR($F211),AND($K211&lt;&gt;"a",$K211&lt;&gt;"b",$K211&lt;&gt;"g",$K211&lt;&gt;"k")),1,IF(AND($E211&lt;&gt;0,$F211&gt;0,YEAR($F211)&lt;Preisindex!$A$6,YEAR(AE$4)&gt;=YEAR($F211),$K211="a"),ROUND(VLOOKUP(AJ$4,Preisindex,5,FALSE)/VLOOKUP(Preisindex!$A$6,Preisindex,5,FALSE),2),IF(AND($E211&lt;&gt;0,$F211&gt;0,YEAR($F211)&lt;Preisindex!$A$6,YEAR(AE$4)&gt;=YEAR($F211),$K211="b"),ROUND(VLOOKUP(AJ$4,Preisindex,3,FALSE)/VLOOKUP(Preisindex!$A$6,Preisindex,3,FALSE),2),IF(AND($E211&lt;&gt;0,$F211&gt;0,YEAR($F211)&lt;Preisindex!$A$6,YEAR(AE$4)&gt;=YEAR($F211),$K211="g"),ROUND(VLOOKUP(AJ$4,Preisindex,4,FALSE)/VLOOKUP(Preisindex!$A$6,Preisindex,4,FALSE),2),IF(AND($E211&lt;&gt;0,$F211&gt;0,YEAR($F211)&lt;Preisindex!$A$6,YEAR(AE$4)&gt;=YEAR($F211),$K211="k"),ROUND(VLOOKUP(AJ$4,Preisindex,2,FALSE)/VLOOKUP(Preisindex!$A$6,Preisindex,2,FALSE),2),0)))))</f>
        <v>0</v>
      </c>
      <c r="AL211" s="51">
        <f>IF(AND($E211&lt;&gt;0,$F211&gt;0,YEAR($F211)&lt;=AJ$4,YEAR($F211)&gt;=Preisindex!$A$6),ROUND($E211*AJ211,2),IF(AND($E211&lt;&gt;0,$F211&gt;0,YEAR($F211)&lt;=AJ$4,YEAR($F211)&lt;Preisindex!$A$6),ROUND($E211*AK211,2),0))</f>
        <v>0</v>
      </c>
      <c r="AM211" s="53">
        <f t="shared" si="707"/>
        <v>0</v>
      </c>
      <c r="AN211" s="51">
        <f t="shared" si="623"/>
        <v>0</v>
      </c>
      <c r="AO211" s="51">
        <f t="shared" si="579"/>
        <v>0</v>
      </c>
      <c r="AP211" s="51">
        <f t="shared" si="624"/>
        <v>0</v>
      </c>
      <c r="AQ211" s="51">
        <f t="shared" si="580"/>
        <v>0</v>
      </c>
      <c r="AR211" s="51">
        <f t="shared" si="625"/>
        <v>0</v>
      </c>
      <c r="AS211" s="51">
        <f t="shared" si="581"/>
        <v>0</v>
      </c>
      <c r="AT211" s="51">
        <f t="shared" si="626"/>
        <v>0</v>
      </c>
      <c r="AU211" s="51">
        <f t="shared" si="582"/>
        <v>0</v>
      </c>
      <c r="AV211" s="51">
        <f t="shared" si="627"/>
        <v>0</v>
      </c>
      <c r="AW211" s="51">
        <f t="shared" si="583"/>
        <v>0</v>
      </c>
      <c r="AX211" s="51">
        <f t="shared" si="628"/>
        <v>0</v>
      </c>
      <c r="AY211" s="54">
        <f t="shared" si="629"/>
        <v>0</v>
      </c>
      <c r="AZ211" s="55">
        <f t="shared" si="630"/>
        <v>0</v>
      </c>
      <c r="BA211" s="56">
        <f>IF(AND($E211&lt;&gt;0,$F211&gt;0,YEAR($F211)&gt;=Preisindex!$A$6,YEAR(AV$4)&gt;=YEAR($F211),AND($K211&lt;&gt;"a",$K211&lt;&gt;"b",$K211&lt;&gt;"g",$K211&lt;&gt;"k")),1,IF(AND($E211&lt;&gt;0,$F211&gt;0,YEAR($F211)&gt;=Preisindex!$A$6,YEAR(AV$4)&gt;=YEAR($F211),$K211="a"),ROUND(VLOOKUP(BA$4,Preisindex,5,FALSE)/VLOOKUP(YEAR($F211),Preisindex,5,FALSE),2),IF(AND($E211&lt;&gt;0,$F211&gt;0,YEAR($F211)&gt;=Preisindex!$A$6,YEAR(AV$4)&gt;=YEAR($F211),$K211="b"),ROUND(VLOOKUP(BA$4,Preisindex,3,FALSE)/VLOOKUP(YEAR($F211),Preisindex,3,FALSE),2),IF(AND($E211&lt;&gt;0,$F211&gt;0,YEAR($F211)&gt;=Preisindex!$A$6,YEAR(AV$4)&gt;=YEAR($F211),$K211="g"),ROUND(VLOOKUP(BA$4,Preisindex,4,FALSE)/VLOOKUP(YEAR($F211),Preisindex,4,FALSE),2),IF(AND($E211&lt;&gt;0,$F211&gt;0,YEAR($F211)&gt;=Preisindex!$A$6,YEAR(AV$4)&gt;=YEAR($F211),$K211="k"),ROUND(VLOOKUP(BA$4,Preisindex,2,FALSE)/VLOOKUP(YEAR($F211),Preisindex,2,FALSE),2),0)))))</f>
        <v>0</v>
      </c>
      <c r="BB211" s="56">
        <f>IF(AND($E211&lt;&gt;0,$F211&gt;0,YEAR($F211)&lt;Preisindex!$A$6,YEAR(AV$4)&gt;=YEAR($F211),AND($K211&lt;&gt;"a",$K211&lt;&gt;"b",$K211&lt;&gt;"g",$K211&lt;&gt;"k")),1,IF(AND($E211&lt;&gt;0,$F211&gt;0,YEAR($F211)&lt;Preisindex!$A$6,YEAR(AV$4)&gt;=YEAR($F211),$K211="a"),ROUND(VLOOKUP(BA$4,Preisindex,5,FALSE)/VLOOKUP(Preisindex!$A$6,Preisindex,5,FALSE),2),IF(AND($E211&lt;&gt;0,$F211&gt;0,YEAR($F211)&lt;Preisindex!$A$6,YEAR(AV$4)&gt;=YEAR($F211),$K211="b"),ROUND(VLOOKUP(BA$4,Preisindex,3,FALSE)/VLOOKUP(Preisindex!$A$6,Preisindex,3,FALSE),2),IF(AND($E211&lt;&gt;0,$F211&gt;0,YEAR($F211)&lt;Preisindex!$A$6,YEAR(AV$4)&gt;=YEAR($F211),$K211="g"),ROUND(VLOOKUP(BA$4,Preisindex,4,FALSE)/VLOOKUP(Preisindex!$A$6,Preisindex,4,FALSE),2),IF(AND($E211&lt;&gt;0,$F211&gt;0,YEAR($F211)&lt;Preisindex!$A$6,YEAR(AV$4)&gt;=YEAR($F211),$K211="k"),ROUND(VLOOKUP(BA$4,Preisindex,2,FALSE)/VLOOKUP(Preisindex!$A$6,Preisindex,2,FALSE),2),0)))))</f>
        <v>0</v>
      </c>
      <c r="BC211" s="51">
        <f>IF(AND($E211&lt;&gt;0,$F211&gt;0,YEAR($F211)&lt;=BA$4,YEAR($F211)&gt;=Preisindex!$A$6),ROUND($E211*BA211,2),IF(AND($E211&lt;&gt;0,$F211&gt;0,YEAR($F211)&lt;=BA$4,YEAR($F211)&lt;Preisindex!$A$6),ROUND($E211*BB211,2),0))</f>
        <v>0</v>
      </c>
      <c r="BD211" s="53">
        <f t="shared" si="631"/>
        <v>0</v>
      </c>
      <c r="BE211" s="51">
        <f t="shared" si="623"/>
        <v>0</v>
      </c>
      <c r="BF211" s="51">
        <f t="shared" si="584"/>
        <v>0</v>
      </c>
      <c r="BG211" s="51">
        <f t="shared" si="632"/>
        <v>0</v>
      </c>
      <c r="BH211" s="51">
        <f t="shared" si="585"/>
        <v>0</v>
      </c>
      <c r="BI211" s="51">
        <f t="shared" si="633"/>
        <v>0</v>
      </c>
      <c r="BJ211" s="51">
        <f t="shared" si="586"/>
        <v>0</v>
      </c>
      <c r="BK211" s="51">
        <f t="shared" si="634"/>
        <v>0</v>
      </c>
      <c r="BL211" s="51">
        <f t="shared" si="587"/>
        <v>0</v>
      </c>
      <c r="BM211" s="51">
        <f t="shared" si="635"/>
        <v>0</v>
      </c>
      <c r="BN211" s="51">
        <f t="shared" si="588"/>
        <v>0</v>
      </c>
      <c r="BO211" s="51">
        <f t="shared" si="636"/>
        <v>0</v>
      </c>
      <c r="BP211" s="54">
        <f t="shared" si="637"/>
        <v>0</v>
      </c>
      <c r="BQ211" s="55">
        <f t="shared" si="638"/>
        <v>0</v>
      </c>
      <c r="BR211" s="56">
        <f>IF(AND($E211&lt;&gt;0,$F211&gt;0,YEAR($F211)&gt;=Preisindex!$A$6,YEAR(BM$4)&gt;=YEAR($F211),AND($K211&lt;&gt;"a",$K211&lt;&gt;"b",$K211&lt;&gt;"g",$K211&lt;&gt;"k")),1,IF(AND($E211&lt;&gt;0,$F211&gt;0,YEAR($F211)&gt;=Preisindex!$A$6,YEAR(BM$4)&gt;=YEAR($F211),$K211="a"),ROUND(VLOOKUP(BR$4,Preisindex,5,FALSE)/VLOOKUP(YEAR($F211),Preisindex,5,FALSE),2),IF(AND($E211&lt;&gt;0,$F211&gt;0,YEAR($F211)&gt;=Preisindex!$A$6,YEAR(BM$4)&gt;=YEAR($F211),$K211="b"),ROUND(VLOOKUP(BR$4,Preisindex,3,FALSE)/VLOOKUP(YEAR($F211),Preisindex,3,FALSE),2),IF(AND($E211&lt;&gt;0,$F211&gt;0,YEAR($F211)&gt;=Preisindex!$A$6,YEAR(BM$4)&gt;=YEAR($F211),$K211="g"),ROUND(VLOOKUP(BR$4,Preisindex,4,FALSE)/VLOOKUP(YEAR($F211),Preisindex,4,FALSE),2),IF(AND($E211&lt;&gt;0,$F211&gt;0,YEAR($F211)&gt;=Preisindex!$A$6,YEAR(BM$4)&gt;=YEAR($F211),$K211="k"),ROUND(VLOOKUP(BR$4,Preisindex,2,FALSE)/VLOOKUP(YEAR($F211),Preisindex,2,FALSE),2),0)))))</f>
        <v>0</v>
      </c>
      <c r="BS211" s="56">
        <f>IF(AND($E211&lt;&gt;0,$F211&gt;0,YEAR($F211)&lt;Preisindex!$A$6,YEAR(BM$4)&gt;=YEAR($F211),AND($K211&lt;&gt;"a",$K211&lt;&gt;"b",$K211&lt;&gt;"g",$K211&lt;&gt;"k")),1,IF(AND($E211&lt;&gt;0,$F211&gt;0,YEAR($F211)&lt;Preisindex!$A$6,YEAR(BM$4)&gt;=YEAR($F211),$K211="a"),ROUND(VLOOKUP(BR$4,Preisindex,5,FALSE)/VLOOKUP(Preisindex!$A$6,Preisindex,5,FALSE),2),IF(AND($E211&lt;&gt;0,$F211&gt;0,YEAR($F211)&lt;Preisindex!$A$6,YEAR(BM$4)&gt;=YEAR($F211),$K211="b"),ROUND(VLOOKUP(BR$4,Preisindex,3,FALSE)/VLOOKUP(Preisindex!$A$6,Preisindex,3,FALSE),2),IF(AND($E211&lt;&gt;0,$F211&gt;0,YEAR($F211)&lt;Preisindex!$A$6,YEAR(BM$4)&gt;=YEAR($F211),$K211="g"),ROUND(VLOOKUP(BR$4,Preisindex,4,FALSE)/VLOOKUP(Preisindex!$A$6,Preisindex,4,FALSE),2),IF(AND($E211&lt;&gt;0,$F211&gt;0,YEAR($F211)&lt;Preisindex!$A$6,YEAR(BM$4)&gt;=YEAR($F211),$K211="k"),ROUND(VLOOKUP(BR$4,Preisindex,2,FALSE)/VLOOKUP(Preisindex!$A$6,Preisindex,2,FALSE),2),0)))))</f>
        <v>0</v>
      </c>
      <c r="BT211" s="51">
        <f>IF(AND($E211&lt;&gt;0,$F211&gt;0,YEAR($F211)&lt;=BR$4,YEAR($F211)&gt;=Preisindex!$A$6),ROUND($E211*BR211,2),IF(AND($E211&lt;&gt;0,$F211&gt;0,YEAR($F211)&lt;=BR$4,YEAR($F211)&lt;Preisindex!$A$6),ROUND($E211*BS211,2),0))</f>
        <v>0</v>
      </c>
      <c r="BU211" s="53">
        <f t="shared" si="639"/>
        <v>0</v>
      </c>
      <c r="BV211" s="51">
        <f t="shared" si="623"/>
        <v>0</v>
      </c>
      <c r="BW211" s="51">
        <f t="shared" si="589"/>
        <v>0</v>
      </c>
      <c r="BX211" s="51">
        <f t="shared" si="640"/>
        <v>0</v>
      </c>
      <c r="BY211" s="51">
        <f t="shared" si="590"/>
        <v>0</v>
      </c>
      <c r="BZ211" s="51">
        <f t="shared" si="641"/>
        <v>0</v>
      </c>
      <c r="CA211" s="51">
        <f t="shared" si="591"/>
        <v>0</v>
      </c>
      <c r="CB211" s="51">
        <f t="shared" si="642"/>
        <v>0</v>
      </c>
      <c r="CC211" s="51">
        <f t="shared" si="592"/>
        <v>0</v>
      </c>
      <c r="CD211" s="51">
        <f t="shared" si="643"/>
        <v>0</v>
      </c>
      <c r="CE211" s="51">
        <f t="shared" si="593"/>
        <v>0</v>
      </c>
      <c r="CF211" s="51">
        <f t="shared" si="644"/>
        <v>0</v>
      </c>
      <c r="CG211" s="54">
        <f t="shared" si="645"/>
        <v>0</v>
      </c>
      <c r="CH211" s="55">
        <f t="shared" si="646"/>
        <v>0</v>
      </c>
      <c r="CI211" s="56">
        <f>IF(AND($E211&lt;&gt;0,$F211&gt;0,YEAR($F211)&gt;=Preisindex!$A$6,YEAR(CD$4)&gt;=YEAR($F211),AND($K211&lt;&gt;"a",$K211&lt;&gt;"b",$K211&lt;&gt;"g",$K211&lt;&gt;"k")),1,IF(AND($E211&lt;&gt;0,$F211&gt;0,YEAR($F211)&gt;=Preisindex!$A$6,YEAR(CD$4)&gt;=YEAR($F211),$K211="a"),ROUND(VLOOKUP(CI$4,Preisindex,5,FALSE)/VLOOKUP(YEAR($F211),Preisindex,5,FALSE),2),IF(AND($E211&lt;&gt;0,$F211&gt;0,YEAR($F211)&gt;=Preisindex!$A$6,YEAR(CD$4)&gt;=YEAR($F211),$K211="b"),ROUND(VLOOKUP(CI$4,Preisindex,3,FALSE)/VLOOKUP(YEAR($F211),Preisindex,3,FALSE),2),IF(AND($E211&lt;&gt;0,$F211&gt;0,YEAR($F211)&gt;=Preisindex!$A$6,YEAR(CD$4)&gt;=YEAR($F211),$K211="g"),ROUND(VLOOKUP(CI$4,Preisindex,4,FALSE)/VLOOKUP(YEAR($F211),Preisindex,4,FALSE),2),IF(AND($E211&lt;&gt;0,$F211&gt;0,YEAR($F211)&gt;=Preisindex!$A$6,YEAR(CD$4)&gt;=YEAR($F211),$K211="k"),ROUND(VLOOKUP(CI$4,Preisindex,2,FALSE)/VLOOKUP(YEAR($F211),Preisindex,2,FALSE),2),0)))))</f>
        <v>0</v>
      </c>
      <c r="CJ211" s="56">
        <f>IF(AND($E211&lt;&gt;0,$F211&gt;0,YEAR($F211)&lt;Preisindex!$A$6,YEAR(CD$4)&gt;=YEAR($F211),AND($K211&lt;&gt;"a",$K211&lt;&gt;"b",$K211&lt;&gt;"g",$K211&lt;&gt;"k")),1,IF(AND($E211&lt;&gt;0,$F211&gt;0,YEAR($F211)&lt;Preisindex!$A$6,YEAR(CD$4)&gt;=YEAR($F211),$K211="a"),ROUND(VLOOKUP(CI$4,Preisindex,5,FALSE)/VLOOKUP(Preisindex!$A$6,Preisindex,5,FALSE),2),IF(AND($E211&lt;&gt;0,$F211&gt;0,YEAR($F211)&lt;Preisindex!$A$6,YEAR(CD$4)&gt;=YEAR($F211),$K211="b"),ROUND(VLOOKUP(CI$4,Preisindex,3,FALSE)/VLOOKUP(Preisindex!$A$6,Preisindex,3,FALSE),2),IF(AND($E211&lt;&gt;0,$F211&gt;0,YEAR($F211)&lt;Preisindex!$A$6,YEAR(CD$4)&gt;=YEAR($F211),$K211="g"),ROUND(VLOOKUP(CI$4,Preisindex,4,FALSE)/VLOOKUP(Preisindex!$A$6,Preisindex,4,FALSE),2),IF(AND($E211&lt;&gt;0,$F211&gt;0,YEAR($F211)&lt;Preisindex!$A$6,YEAR(CD$4)&gt;=YEAR($F211),$K211="k"),ROUND(VLOOKUP(CI$4,Preisindex,2,FALSE)/VLOOKUP(Preisindex!$A$6,Preisindex,2,FALSE),2),0)))))</f>
        <v>0</v>
      </c>
      <c r="CK211" s="51">
        <f>IF(AND($E211&lt;&gt;0,$F211&gt;0,YEAR($F211)&lt;=CI$4,YEAR($F211)&gt;=Preisindex!$A$6),ROUND($E211*CI211,2),IF(AND($E211&lt;&gt;0,$F211&gt;0,YEAR($F211)&lt;=CI$4,YEAR($F211)&lt;Preisindex!$A$6),ROUND($E211*CJ211,2),0))</f>
        <v>0</v>
      </c>
      <c r="CL211" s="53">
        <f t="shared" si="647"/>
        <v>0</v>
      </c>
      <c r="CM211" s="51">
        <f t="shared" si="623"/>
        <v>0</v>
      </c>
      <c r="CN211" s="51">
        <f t="shared" si="594"/>
        <v>0</v>
      </c>
      <c r="CO211" s="51">
        <f t="shared" si="648"/>
        <v>0</v>
      </c>
      <c r="CP211" s="51">
        <f t="shared" si="595"/>
        <v>0</v>
      </c>
      <c r="CQ211" s="51">
        <f t="shared" si="649"/>
        <v>0</v>
      </c>
      <c r="CR211" s="51">
        <f t="shared" si="596"/>
        <v>0</v>
      </c>
      <c r="CS211" s="51">
        <f t="shared" si="650"/>
        <v>0</v>
      </c>
      <c r="CT211" s="51">
        <f t="shared" si="597"/>
        <v>0</v>
      </c>
      <c r="CU211" s="51">
        <f t="shared" si="651"/>
        <v>0</v>
      </c>
      <c r="CV211" s="51">
        <f t="shared" si="598"/>
        <v>0</v>
      </c>
      <c r="CW211" s="51">
        <f t="shared" si="652"/>
        <v>0</v>
      </c>
      <c r="CX211" s="54">
        <f t="shared" si="653"/>
        <v>0</v>
      </c>
      <c r="CY211" s="55">
        <f t="shared" si="654"/>
        <v>0</v>
      </c>
      <c r="CZ211" s="56">
        <f>IF(AND($E211&lt;&gt;0,$F211&gt;0,YEAR($F211)&gt;=Preisindex!$A$6,YEAR(CU$4)&gt;=YEAR($F211),AND($K211&lt;&gt;"a",$K211&lt;&gt;"b",$K211&lt;&gt;"g",$K211&lt;&gt;"k")),1,IF(AND($E211&lt;&gt;0,$F211&gt;0,YEAR($F211)&gt;=Preisindex!$A$6,YEAR(CU$4)&gt;=YEAR($F211),$K211="a"),ROUND(VLOOKUP(CZ$4,Preisindex,5,FALSE)/VLOOKUP(YEAR($F211),Preisindex,5,FALSE),2),IF(AND($E211&lt;&gt;0,$F211&gt;0,YEAR($F211)&gt;=Preisindex!$A$6,YEAR(CU$4)&gt;=YEAR($F211),$K211="b"),ROUND(VLOOKUP(CZ$4,Preisindex,3,FALSE)/VLOOKUP(YEAR($F211),Preisindex,3,FALSE),2),IF(AND($E211&lt;&gt;0,$F211&gt;0,YEAR($F211)&gt;=Preisindex!$A$6,YEAR(CU$4)&gt;=YEAR($F211),$K211="g"),ROUND(VLOOKUP(CZ$4,Preisindex,4,FALSE)/VLOOKUP(YEAR($F211),Preisindex,4,FALSE),2),IF(AND($E211&lt;&gt;0,$F211&gt;0,YEAR($F211)&gt;=Preisindex!$A$6,YEAR(CU$4)&gt;=YEAR($F211),$K211="k"),ROUND(VLOOKUP(CZ$4,Preisindex,2,FALSE)/VLOOKUP(YEAR($F211),Preisindex,2,FALSE),2),0)))))</f>
        <v>0</v>
      </c>
      <c r="DA211" s="56">
        <f>IF(AND($E211&lt;&gt;0,$F211&gt;0,YEAR($F211)&lt;Preisindex!$A$6,YEAR(CU$4)&gt;=YEAR($F211),AND($K211&lt;&gt;"a",$K211&lt;&gt;"b",$K211&lt;&gt;"g",$K211&lt;&gt;"k")),1,IF(AND($E211&lt;&gt;0,$F211&gt;0,YEAR($F211)&lt;Preisindex!$A$6,YEAR(CU$4)&gt;=YEAR($F211),$K211="a"),ROUND(VLOOKUP(CZ$4,Preisindex,5,FALSE)/VLOOKUP(Preisindex!$A$6,Preisindex,5,FALSE),2),IF(AND($E211&lt;&gt;0,$F211&gt;0,YEAR($F211)&lt;Preisindex!$A$6,YEAR(CU$4)&gt;=YEAR($F211),$K211="b"),ROUND(VLOOKUP(CZ$4,Preisindex,3,FALSE)/VLOOKUP(Preisindex!$A$6,Preisindex,3,FALSE),2),IF(AND($E211&lt;&gt;0,$F211&gt;0,YEAR($F211)&lt;Preisindex!$A$6,YEAR(CU$4)&gt;=YEAR($F211),$K211="g"),ROUND(VLOOKUP(CZ$4,Preisindex,4,FALSE)/VLOOKUP(Preisindex!$A$6,Preisindex,4,FALSE),2),IF(AND($E211&lt;&gt;0,$F211&gt;0,YEAR($F211)&lt;Preisindex!$A$6,YEAR(CU$4)&gt;=YEAR($F211),$K211="k"),ROUND(VLOOKUP(CZ$4,Preisindex,2,FALSE)/VLOOKUP(Preisindex!$A$6,Preisindex,2,FALSE),2),0)))))</f>
        <v>0</v>
      </c>
      <c r="DB211" s="51">
        <f>IF(AND($E211&lt;&gt;0,$F211&gt;0,YEAR($F211)&lt;=CZ$4,YEAR($F211)&gt;=Preisindex!$A$6),ROUND($E211*CZ211,2),IF(AND($E211&lt;&gt;0,$F211&gt;0,YEAR($F211)&lt;=CZ$4,YEAR($F211)&lt;Preisindex!$A$6),ROUND($E211*DA211,2),0))</f>
        <v>0</v>
      </c>
      <c r="DC211" s="53">
        <f t="shared" si="655"/>
        <v>0</v>
      </c>
      <c r="DD211" s="51">
        <f t="shared" si="656"/>
        <v>0</v>
      </c>
      <c r="DE211" s="51">
        <f t="shared" si="599"/>
        <v>0</v>
      </c>
      <c r="DF211" s="51">
        <f t="shared" si="657"/>
        <v>0</v>
      </c>
      <c r="DG211" s="51">
        <f t="shared" si="600"/>
        <v>0</v>
      </c>
      <c r="DH211" s="51">
        <f t="shared" si="658"/>
        <v>0</v>
      </c>
      <c r="DI211" s="51">
        <f t="shared" si="601"/>
        <v>0</v>
      </c>
      <c r="DJ211" s="51">
        <f t="shared" si="659"/>
        <v>0</v>
      </c>
      <c r="DK211" s="51">
        <f t="shared" si="602"/>
        <v>0</v>
      </c>
      <c r="DL211" s="51">
        <f t="shared" si="660"/>
        <v>0</v>
      </c>
      <c r="DM211" s="51">
        <f t="shared" si="603"/>
        <v>0</v>
      </c>
      <c r="DN211" s="51">
        <f t="shared" si="661"/>
        <v>0</v>
      </c>
      <c r="DO211" s="54">
        <f t="shared" si="662"/>
        <v>0</v>
      </c>
      <c r="DP211" s="55">
        <f t="shared" si="663"/>
        <v>0</v>
      </c>
      <c r="DQ211" s="56">
        <f>IF(AND($E211&lt;&gt;0,$F211&gt;0,YEAR($F211)&gt;=Preisindex!$A$6,YEAR(DL$4)&gt;=YEAR($F211),AND($K211&lt;&gt;"a",$K211&lt;&gt;"b",$K211&lt;&gt;"g",$K211&lt;&gt;"k")),1,IF(AND($E211&lt;&gt;0,$F211&gt;0,YEAR($F211)&gt;=Preisindex!$A$6,YEAR(DL$4)&gt;=YEAR($F211),$K211="a"),ROUND(VLOOKUP(DQ$4,Preisindex,5,FALSE)/VLOOKUP(YEAR($F211),Preisindex,5,FALSE),2),IF(AND($E211&lt;&gt;0,$F211&gt;0,YEAR($F211)&gt;=Preisindex!$A$6,YEAR(DL$4)&gt;=YEAR($F211),$K211="b"),ROUND(VLOOKUP(DQ$4,Preisindex,3,FALSE)/VLOOKUP(YEAR($F211),Preisindex,3,FALSE),2),IF(AND($E211&lt;&gt;0,$F211&gt;0,YEAR($F211)&gt;=Preisindex!$A$6,YEAR(DL$4)&gt;=YEAR($F211),$K211="g"),ROUND(VLOOKUP(DQ$4,Preisindex,4,FALSE)/VLOOKUP(YEAR($F211),Preisindex,4,FALSE),2),IF(AND($E211&lt;&gt;0,$F211&gt;0,YEAR($F211)&gt;=Preisindex!$A$6,YEAR(DL$4)&gt;=YEAR($F211),$K211="k"),ROUND(VLOOKUP(DQ$4,Preisindex,2,FALSE)/VLOOKUP(YEAR($F211),Preisindex,2,FALSE),2),0)))))</f>
        <v>0</v>
      </c>
      <c r="DR211" s="56">
        <f>IF(AND($E211&lt;&gt;0,$F211&gt;0,YEAR($F211)&lt;Preisindex!$A$6,YEAR(DL$4)&gt;=YEAR($F211),AND($K211&lt;&gt;"a",$K211&lt;&gt;"b",$K211&lt;&gt;"g",$K211&lt;&gt;"k")),1,IF(AND($E211&lt;&gt;0,$F211&gt;0,YEAR($F211)&lt;Preisindex!$A$6,YEAR(DL$4)&gt;=YEAR($F211),$K211="a"),ROUND(VLOOKUP(DQ$4,Preisindex,5,FALSE)/VLOOKUP(Preisindex!$A$6,Preisindex,5,FALSE),2),IF(AND($E211&lt;&gt;0,$F211&gt;0,YEAR($F211)&lt;Preisindex!$A$6,YEAR(DL$4)&gt;=YEAR($F211),$K211="b"),ROUND(VLOOKUP(DQ$4,Preisindex,3,FALSE)/VLOOKUP(Preisindex!$A$6,Preisindex,3,FALSE),2),IF(AND($E211&lt;&gt;0,$F211&gt;0,YEAR($F211)&lt;Preisindex!$A$6,YEAR(DL$4)&gt;=YEAR($F211),$K211="g"),ROUND(VLOOKUP(DQ$4,Preisindex,4,FALSE)/VLOOKUP(Preisindex!$A$6,Preisindex,4,FALSE),2),IF(AND($E211&lt;&gt;0,$F211&gt;0,YEAR($F211)&lt;Preisindex!$A$6,YEAR(DL$4)&gt;=YEAR($F211),$K211="k"),ROUND(VLOOKUP(DQ$4,Preisindex,2,FALSE)/VLOOKUP(Preisindex!$A$6,Preisindex,2,FALSE),2),0)))))</f>
        <v>0</v>
      </c>
      <c r="DS211" s="51">
        <f>IF(AND($E211&lt;&gt;0,$F211&gt;0,YEAR($F211)&lt;=DQ$4,YEAR($F211)&gt;=Preisindex!$A$6),ROUND($E211*DQ211,2),IF(AND($E211&lt;&gt;0,$F211&gt;0,YEAR($F211)&lt;=DQ$4,YEAR($F211)&lt;Preisindex!$A$6),ROUND($E211*DR211,2),0))</f>
        <v>0</v>
      </c>
      <c r="DT211" s="53">
        <f t="shared" si="664"/>
        <v>0</v>
      </c>
      <c r="DU211" s="51">
        <f t="shared" si="656"/>
        <v>0</v>
      </c>
      <c r="DV211" s="51">
        <f t="shared" si="604"/>
        <v>0</v>
      </c>
      <c r="DW211" s="51">
        <f t="shared" si="665"/>
        <v>0</v>
      </c>
      <c r="DX211" s="51">
        <f t="shared" si="605"/>
        <v>0</v>
      </c>
      <c r="DY211" s="51">
        <f t="shared" si="666"/>
        <v>0</v>
      </c>
      <c r="DZ211" s="51">
        <f t="shared" si="606"/>
        <v>0</v>
      </c>
      <c r="EA211" s="51">
        <f t="shared" si="667"/>
        <v>0</v>
      </c>
      <c r="EB211" s="51">
        <f t="shared" si="607"/>
        <v>0</v>
      </c>
      <c r="EC211" s="51">
        <f t="shared" si="668"/>
        <v>0</v>
      </c>
      <c r="ED211" s="51">
        <f t="shared" si="608"/>
        <v>0</v>
      </c>
      <c r="EE211" s="51">
        <f t="shared" si="669"/>
        <v>0</v>
      </c>
      <c r="EF211" s="54">
        <f t="shared" si="670"/>
        <v>0</v>
      </c>
      <c r="EG211" s="55">
        <f t="shared" si="671"/>
        <v>0</v>
      </c>
      <c r="EH211" s="56">
        <f>IF(AND($E211&lt;&gt;0,$F211&gt;0,YEAR($F211)&gt;=Preisindex!$A$6,YEAR(EC$4)&gt;=YEAR($F211),AND($K211&lt;&gt;"a",$K211&lt;&gt;"b",$K211&lt;&gt;"g",$K211&lt;&gt;"k")),1,IF(AND($E211&lt;&gt;0,$F211&gt;0,YEAR($F211)&gt;=Preisindex!$A$6,YEAR(EC$4)&gt;=YEAR($F211),$K211="a"),ROUND(VLOOKUP(EH$4,Preisindex,5,FALSE)/VLOOKUP(YEAR($F211),Preisindex,5,FALSE),2),IF(AND($E211&lt;&gt;0,$F211&gt;0,YEAR($F211)&gt;=Preisindex!$A$6,YEAR(EC$4)&gt;=YEAR($F211),$K211="b"),ROUND(VLOOKUP(EH$4,Preisindex,3,FALSE)/VLOOKUP(YEAR($F211),Preisindex,3,FALSE),2),IF(AND($E211&lt;&gt;0,$F211&gt;0,YEAR($F211)&gt;=Preisindex!$A$6,YEAR(EC$4)&gt;=YEAR($F211),$K211="g"),ROUND(VLOOKUP(EH$4,Preisindex,4,FALSE)/VLOOKUP(YEAR($F211),Preisindex,4,FALSE),2),IF(AND($E211&lt;&gt;0,$F211&gt;0,YEAR($F211)&gt;=Preisindex!$A$6,YEAR(EC$4)&gt;=YEAR($F211),$K211="k"),ROUND(VLOOKUP(EH$4,Preisindex,2,FALSE)/VLOOKUP(YEAR($F211),Preisindex,2,FALSE),2),0)))))</f>
        <v>0</v>
      </c>
      <c r="EI211" s="56">
        <f>IF(AND($E211&lt;&gt;0,$F211&gt;0,YEAR($F211)&lt;Preisindex!$A$6,YEAR(EC$4)&gt;=YEAR($F211),AND($K211&lt;&gt;"a",$K211&lt;&gt;"b",$K211&lt;&gt;"g",$K211&lt;&gt;"k")),1,IF(AND($E211&lt;&gt;0,$F211&gt;0,YEAR($F211)&lt;Preisindex!$A$6,YEAR(EC$4)&gt;=YEAR($F211),$K211="a"),ROUND(VLOOKUP(EH$4,Preisindex,5,FALSE)/VLOOKUP(Preisindex!$A$6,Preisindex,5,FALSE),2),IF(AND($E211&lt;&gt;0,$F211&gt;0,YEAR($F211)&lt;Preisindex!$A$6,YEAR(EC$4)&gt;=YEAR($F211),$K211="b"),ROUND(VLOOKUP(EH$4,Preisindex,3,FALSE)/VLOOKUP(Preisindex!$A$6,Preisindex,3,FALSE),2),IF(AND($E211&lt;&gt;0,$F211&gt;0,YEAR($F211)&lt;Preisindex!$A$6,YEAR(EC$4)&gt;=YEAR($F211),$K211="g"),ROUND(VLOOKUP(EH$4,Preisindex,4,FALSE)/VLOOKUP(Preisindex!$A$6,Preisindex,4,FALSE),2),IF(AND($E211&lt;&gt;0,$F211&gt;0,YEAR($F211)&lt;Preisindex!$A$6,YEAR(EC$4)&gt;=YEAR($F211),$K211="k"),ROUND(VLOOKUP(EH$4,Preisindex,2,FALSE)/VLOOKUP(Preisindex!$A$6,Preisindex,2,FALSE),2),0)))))</f>
        <v>0</v>
      </c>
      <c r="EJ211" s="51">
        <f>IF(AND($E211&lt;&gt;0,$F211&gt;0,YEAR($F211)&lt;=EH$4,YEAR($F211)&gt;=Preisindex!$A$6),ROUND($E211*EH211,2),IF(AND($E211&lt;&gt;0,$F211&gt;0,YEAR($F211)&lt;=EH$4,YEAR($F211)&lt;Preisindex!$A$6),ROUND($E211*EI211,2),0))</f>
        <v>0</v>
      </c>
      <c r="EK211" s="53">
        <f t="shared" si="672"/>
        <v>0</v>
      </c>
      <c r="EL211" s="51">
        <f t="shared" si="656"/>
        <v>0</v>
      </c>
      <c r="EM211" s="51">
        <f t="shared" si="609"/>
        <v>0</v>
      </c>
      <c r="EN211" s="51">
        <f t="shared" si="673"/>
        <v>0</v>
      </c>
      <c r="EO211" s="51">
        <f t="shared" si="610"/>
        <v>0</v>
      </c>
      <c r="EP211" s="51">
        <f t="shared" si="674"/>
        <v>0</v>
      </c>
      <c r="EQ211" s="51">
        <f t="shared" si="611"/>
        <v>0</v>
      </c>
      <c r="ER211" s="51">
        <f t="shared" si="675"/>
        <v>0</v>
      </c>
      <c r="ES211" s="51">
        <f t="shared" si="612"/>
        <v>0</v>
      </c>
      <c r="ET211" s="51">
        <f t="shared" si="676"/>
        <v>0</v>
      </c>
      <c r="EU211" s="51">
        <f t="shared" si="613"/>
        <v>0</v>
      </c>
      <c r="EV211" s="51">
        <f t="shared" si="677"/>
        <v>0</v>
      </c>
      <c r="EW211" s="54">
        <f t="shared" si="678"/>
        <v>0</v>
      </c>
      <c r="EX211" s="55">
        <f t="shared" si="679"/>
        <v>0</v>
      </c>
      <c r="EY211" s="56">
        <f>IF(AND($E211&lt;&gt;0,$F211&gt;0,YEAR($F211)&gt;=Preisindex!$A$6,YEAR(ET$4)&gt;=YEAR($F211),AND($K211&lt;&gt;"a",$K211&lt;&gt;"b",$K211&lt;&gt;"g",$K211&lt;&gt;"k")),1,IF(AND($E211&lt;&gt;0,$F211&gt;0,YEAR($F211)&gt;=Preisindex!$A$6,YEAR(ET$4)&gt;=YEAR($F211),$K211="a"),ROUND(VLOOKUP(EY$4,Preisindex,5,FALSE)/VLOOKUP(YEAR($F211),Preisindex,5,FALSE),2),IF(AND($E211&lt;&gt;0,$F211&gt;0,YEAR($F211)&gt;=Preisindex!$A$6,YEAR(ET$4)&gt;=YEAR($F211),$K211="b"),ROUND(VLOOKUP(EY$4,Preisindex,3,FALSE)/VLOOKUP(YEAR($F211),Preisindex,3,FALSE),2),IF(AND($E211&lt;&gt;0,$F211&gt;0,YEAR($F211)&gt;=Preisindex!$A$6,YEAR(ET$4)&gt;=YEAR($F211),$K211="g"),ROUND(VLOOKUP(EY$4,Preisindex,4,FALSE)/VLOOKUP(YEAR($F211),Preisindex,4,FALSE),2),IF(AND($E211&lt;&gt;0,$F211&gt;0,YEAR($F211)&gt;=Preisindex!$A$6,YEAR(ET$4)&gt;=YEAR($F211),$K211="k"),ROUND(VLOOKUP(EY$4,Preisindex,2,FALSE)/VLOOKUP(YEAR($F211),Preisindex,2,FALSE),2),0)))))</f>
        <v>0</v>
      </c>
      <c r="EZ211" s="56">
        <f>IF(AND($E211&lt;&gt;0,$F211&gt;0,YEAR($F211)&lt;Preisindex!$A$6,YEAR(ET$4)&gt;=YEAR($F211),AND($K211&lt;&gt;"a",$K211&lt;&gt;"b",$K211&lt;&gt;"g",$K211&lt;&gt;"k")),1,IF(AND($E211&lt;&gt;0,$F211&gt;0,YEAR($F211)&lt;Preisindex!$A$6,YEAR(ET$4)&gt;=YEAR($F211),$K211="a"),ROUND(VLOOKUP(EY$4,Preisindex,5,FALSE)/VLOOKUP(Preisindex!$A$6,Preisindex,5,FALSE),2),IF(AND($E211&lt;&gt;0,$F211&gt;0,YEAR($F211)&lt;Preisindex!$A$6,YEAR(ET$4)&gt;=YEAR($F211),$K211="b"),ROUND(VLOOKUP(EY$4,Preisindex,3,FALSE)/VLOOKUP(Preisindex!$A$6,Preisindex,3,FALSE),2),IF(AND($E211&lt;&gt;0,$F211&gt;0,YEAR($F211)&lt;Preisindex!$A$6,YEAR(ET$4)&gt;=YEAR($F211),$K211="g"),ROUND(VLOOKUP(EY$4,Preisindex,4,FALSE)/VLOOKUP(Preisindex!$A$6,Preisindex,4,FALSE),2),IF(AND($E211&lt;&gt;0,$F211&gt;0,YEAR($F211)&lt;Preisindex!$A$6,YEAR(ET$4)&gt;=YEAR($F211),$K211="k"),ROUND(VLOOKUP(EY$4,Preisindex,2,FALSE)/VLOOKUP(Preisindex!$A$6,Preisindex,2,FALSE),2),0)))))</f>
        <v>0</v>
      </c>
      <c r="FA211" s="51">
        <f>IF(AND($E211&lt;&gt;0,$F211&gt;0,YEAR($F211)&lt;=EY$4,YEAR($F211)&gt;=Preisindex!$A$6),ROUND($E211*EY211,2),IF(AND($E211&lt;&gt;0,$F211&gt;0,YEAR($F211)&lt;=EY$4,YEAR($F211)&lt;Preisindex!$A$6),ROUND($E211*EZ211,2),0))</f>
        <v>0</v>
      </c>
      <c r="FB211" s="53">
        <f t="shared" si="680"/>
        <v>0</v>
      </c>
      <c r="FC211" s="51">
        <f t="shared" si="656"/>
        <v>0</v>
      </c>
      <c r="FD211" s="51">
        <f t="shared" si="614"/>
        <v>0</v>
      </c>
      <c r="FE211" s="51">
        <f t="shared" si="681"/>
        <v>0</v>
      </c>
      <c r="FF211" s="51">
        <f t="shared" si="615"/>
        <v>0</v>
      </c>
      <c r="FG211" s="51">
        <f t="shared" si="682"/>
        <v>0</v>
      </c>
      <c r="FH211" s="51">
        <f t="shared" si="616"/>
        <v>0</v>
      </c>
      <c r="FI211" s="51">
        <f t="shared" si="683"/>
        <v>0</v>
      </c>
      <c r="FJ211" s="51">
        <f t="shared" si="617"/>
        <v>0</v>
      </c>
      <c r="FK211" s="51">
        <f t="shared" si="684"/>
        <v>0</v>
      </c>
      <c r="FL211" s="51">
        <f t="shared" si="618"/>
        <v>0</v>
      </c>
      <c r="FM211" s="51">
        <f t="shared" si="685"/>
        <v>0</v>
      </c>
      <c r="FN211" s="54">
        <f t="shared" si="686"/>
        <v>0</v>
      </c>
      <c r="FO211" s="55">
        <f t="shared" si="687"/>
        <v>0</v>
      </c>
      <c r="FP211" s="56">
        <f>IF(AND($E211&lt;&gt;0,$F211&gt;0,YEAR($F211)&gt;=Preisindex!$A$6,YEAR(FK$4)&gt;=YEAR($F211),AND($K211&lt;&gt;"a",$K211&lt;&gt;"b",$K211&lt;&gt;"g",$K211&lt;&gt;"k")),1,IF(AND($E211&lt;&gt;0,$F211&gt;0,YEAR($F211)&gt;=Preisindex!$A$6,YEAR(FK$4)&gt;=YEAR($F211),$K211="a"),ROUND(VLOOKUP(FP$4,Preisindex,5,FALSE)/VLOOKUP(YEAR($F211),Preisindex,5,FALSE),2),IF(AND($E211&lt;&gt;0,$F211&gt;0,YEAR($F211)&gt;=Preisindex!$A$6,YEAR(FK$4)&gt;=YEAR($F211),$K211="b"),ROUND(VLOOKUP(FP$4,Preisindex,3,FALSE)/VLOOKUP(YEAR($F211),Preisindex,3,FALSE),2),IF(AND($E211&lt;&gt;0,$F211&gt;0,YEAR($F211)&gt;=Preisindex!$A$6,YEAR(FK$4)&gt;=YEAR($F211),$K211="g"),ROUND(VLOOKUP(FP$4,Preisindex,4,FALSE)/VLOOKUP(YEAR($F211),Preisindex,4,FALSE),2),IF(AND($E211&lt;&gt;0,$F211&gt;0,YEAR($F211)&gt;=Preisindex!$A$6,YEAR(FK$4)&gt;=YEAR($F211),$K211="k"),ROUND(VLOOKUP(FP$4,Preisindex,2,FALSE)/VLOOKUP(YEAR($F211),Preisindex,2,FALSE),2),0)))))</f>
        <v>0</v>
      </c>
      <c r="FQ211" s="56">
        <f>IF(AND($E211&lt;&gt;0,$F211&gt;0,YEAR($F211)&lt;Preisindex!$A$6,YEAR(FK$4)&gt;=YEAR($F211),AND($K211&lt;&gt;"a",$K211&lt;&gt;"b",$K211&lt;&gt;"g",$K211&lt;&gt;"k")),1,IF(AND($E211&lt;&gt;0,$F211&gt;0,YEAR($F211)&lt;Preisindex!$A$6,YEAR(FK$4)&gt;=YEAR($F211),$K211="a"),ROUND(VLOOKUP(FP$4,Preisindex,5,FALSE)/VLOOKUP(Preisindex!$A$6,Preisindex,5,FALSE),2),IF(AND($E211&lt;&gt;0,$F211&gt;0,YEAR($F211)&lt;Preisindex!$A$6,YEAR(FK$4)&gt;=YEAR($F211),$K211="b"),ROUND(VLOOKUP(FP$4,Preisindex,3,FALSE)/VLOOKUP(Preisindex!$A$6,Preisindex,3,FALSE),2),IF(AND($E211&lt;&gt;0,$F211&gt;0,YEAR($F211)&lt;Preisindex!$A$6,YEAR(FK$4)&gt;=YEAR($F211),$K211="g"),ROUND(VLOOKUP(FP$4,Preisindex,4,FALSE)/VLOOKUP(Preisindex!$A$6,Preisindex,4,FALSE),2),IF(AND($E211&lt;&gt;0,$F211&gt;0,YEAR($F211)&lt;Preisindex!$A$6,YEAR(FK$4)&gt;=YEAR($F211),$K211="k"),ROUND(VLOOKUP(FP$4,Preisindex,2,FALSE)/VLOOKUP(Preisindex!$A$6,Preisindex,2,FALSE),2),0)))))</f>
        <v>0</v>
      </c>
      <c r="FR211" s="51">
        <f>IF(AND($E211&lt;&gt;0,$F211&gt;0,YEAR($F211)&lt;=FP$4,YEAR($F211)&gt;=Preisindex!$A$6),ROUND($E211*FP211,2),IF(AND($E211&lt;&gt;0,$F211&gt;0,YEAR($F211)&lt;=FP$4,YEAR($F211)&lt;Preisindex!$A$6),ROUND($E211*FQ211,2),0))</f>
        <v>0</v>
      </c>
      <c r="FS211" s="53">
        <f t="shared" si="688"/>
        <v>0</v>
      </c>
    </row>
    <row r="212" spans="1:175" x14ac:dyDescent="0.3">
      <c r="A212" s="93"/>
      <c r="B212" s="94"/>
      <c r="C212" s="94"/>
      <c r="D212" s="95"/>
      <c r="E212" s="99"/>
      <c r="F212" s="97"/>
      <c r="G212" s="98"/>
      <c r="H212" s="620"/>
      <c r="I212" s="621"/>
      <c r="J212" s="194"/>
      <c r="K212" s="630"/>
      <c r="L212" s="49">
        <f t="shared" si="689"/>
        <v>0</v>
      </c>
      <c r="M212" s="50">
        <f t="shared" si="690"/>
        <v>0</v>
      </c>
      <c r="N212" s="51">
        <f t="shared" si="691"/>
        <v>0</v>
      </c>
      <c r="O212" s="51"/>
      <c r="P212" s="51">
        <f t="shared" si="692"/>
        <v>0</v>
      </c>
      <c r="Q212" s="52"/>
      <c r="R212" s="52"/>
      <c r="S212" s="52"/>
      <c r="T212" s="52"/>
      <c r="U212" s="52"/>
      <c r="V212" s="53">
        <f t="shared" si="693"/>
        <v>0</v>
      </c>
      <c r="W212" s="51">
        <f t="shared" si="694"/>
        <v>0</v>
      </c>
      <c r="X212" s="51">
        <f t="shared" si="695"/>
        <v>0</v>
      </c>
      <c r="Y212" s="51">
        <f t="shared" si="696"/>
        <v>0</v>
      </c>
      <c r="Z212" s="51">
        <f t="shared" si="697"/>
        <v>0</v>
      </c>
      <c r="AA212" s="51">
        <f t="shared" si="698"/>
        <v>0</v>
      </c>
      <c r="AB212" s="51">
        <f t="shared" si="699"/>
        <v>0</v>
      </c>
      <c r="AC212" s="51">
        <f t="shared" si="700"/>
        <v>0</v>
      </c>
      <c r="AD212" s="51">
        <f t="shared" si="701"/>
        <v>0</v>
      </c>
      <c r="AE212" s="51">
        <f t="shared" si="702"/>
        <v>0</v>
      </c>
      <c r="AF212" s="51">
        <f t="shared" si="703"/>
        <v>0</v>
      </c>
      <c r="AG212" s="51">
        <f t="shared" si="704"/>
        <v>0</v>
      </c>
      <c r="AH212" s="54">
        <f t="shared" si="705"/>
        <v>0</v>
      </c>
      <c r="AI212" s="55">
        <f t="shared" si="706"/>
        <v>0</v>
      </c>
      <c r="AJ212" s="56">
        <f>IF(AND($E212&lt;&gt;0,$F212&gt;0,YEAR($F212)&gt;=Preisindex!$A$6,YEAR(AE$4)&gt;=YEAR($F212),AND($K212&lt;&gt;"a",$K212&lt;&gt;"b",$K212&lt;&gt;"g",$K212&lt;&gt;"k")),1,IF(AND($E212&lt;&gt;0,$F212&gt;0,YEAR($F212)&gt;=Preisindex!$A$6,YEAR(AE$4)&gt;=YEAR($F212),$K212="a"),ROUND(VLOOKUP(AJ$4,Preisindex,5,FALSE)/VLOOKUP(YEAR($F212),Preisindex,5,FALSE),2),IF(AND($E212&lt;&gt;0,$F212&gt;0,YEAR($F212)&gt;=Preisindex!$A$6,YEAR(AE$4)&gt;=YEAR($F212),$K212="b"),ROUND(VLOOKUP(AJ$4,Preisindex,3,FALSE)/VLOOKUP(YEAR($F212),Preisindex,3,FALSE),2),IF(AND($E212&lt;&gt;0,$F212&gt;0,YEAR($F212)&gt;=Preisindex!$A$6,YEAR(AE$4)&gt;=YEAR($F212),$K212="g"),ROUND(VLOOKUP(AJ$4,Preisindex,4,FALSE)/VLOOKUP(YEAR($F212),Preisindex,4,FALSE),2),IF(AND($E212&lt;&gt;0,$F212&gt;0,YEAR($F212)&gt;=Preisindex!$A$6,YEAR(AE$4)&gt;=YEAR($F212),$K212="k"),ROUND(VLOOKUP(AJ$4,Preisindex,2,FALSE)/VLOOKUP(YEAR($F212),Preisindex,2,FALSE),2),0)))))</f>
        <v>0</v>
      </c>
      <c r="AK212" s="56">
        <f>IF(AND($E212&lt;&gt;0,$F212&gt;0,YEAR($F212)&lt;Preisindex!$A$6,YEAR(AE$4)&gt;=YEAR($F212),AND($K212&lt;&gt;"a",$K212&lt;&gt;"b",$K212&lt;&gt;"g",$K212&lt;&gt;"k")),1,IF(AND($E212&lt;&gt;0,$F212&gt;0,YEAR($F212)&lt;Preisindex!$A$6,YEAR(AE$4)&gt;=YEAR($F212),$K212="a"),ROUND(VLOOKUP(AJ$4,Preisindex,5,FALSE)/VLOOKUP(Preisindex!$A$6,Preisindex,5,FALSE),2),IF(AND($E212&lt;&gt;0,$F212&gt;0,YEAR($F212)&lt;Preisindex!$A$6,YEAR(AE$4)&gt;=YEAR($F212),$K212="b"),ROUND(VLOOKUP(AJ$4,Preisindex,3,FALSE)/VLOOKUP(Preisindex!$A$6,Preisindex,3,FALSE),2),IF(AND($E212&lt;&gt;0,$F212&gt;0,YEAR($F212)&lt;Preisindex!$A$6,YEAR(AE$4)&gt;=YEAR($F212),$K212="g"),ROUND(VLOOKUP(AJ$4,Preisindex,4,FALSE)/VLOOKUP(Preisindex!$A$6,Preisindex,4,FALSE),2),IF(AND($E212&lt;&gt;0,$F212&gt;0,YEAR($F212)&lt;Preisindex!$A$6,YEAR(AE$4)&gt;=YEAR($F212),$K212="k"),ROUND(VLOOKUP(AJ$4,Preisindex,2,FALSE)/VLOOKUP(Preisindex!$A$6,Preisindex,2,FALSE),2),0)))))</f>
        <v>0</v>
      </c>
      <c r="AL212" s="51">
        <f>IF(AND($E212&lt;&gt;0,$F212&gt;0,YEAR($F212)&lt;=AJ$4,YEAR($F212)&gt;=Preisindex!$A$6),ROUND($E212*AJ212,2),IF(AND($E212&lt;&gt;0,$F212&gt;0,YEAR($F212)&lt;=AJ$4,YEAR($F212)&lt;Preisindex!$A$6),ROUND($E212*AK212,2),0))</f>
        <v>0</v>
      </c>
      <c r="AM212" s="53">
        <f t="shared" si="707"/>
        <v>0</v>
      </c>
      <c r="AN212" s="51">
        <f t="shared" si="623"/>
        <v>0</v>
      </c>
      <c r="AO212" s="51">
        <f t="shared" si="579"/>
        <v>0</v>
      </c>
      <c r="AP212" s="51">
        <f t="shared" si="624"/>
        <v>0</v>
      </c>
      <c r="AQ212" s="51">
        <f t="shared" si="580"/>
        <v>0</v>
      </c>
      <c r="AR212" s="51">
        <f t="shared" si="625"/>
        <v>0</v>
      </c>
      <c r="AS212" s="51">
        <f t="shared" si="581"/>
        <v>0</v>
      </c>
      <c r="AT212" s="51">
        <f t="shared" si="626"/>
        <v>0</v>
      </c>
      <c r="AU212" s="51">
        <f t="shared" si="582"/>
        <v>0</v>
      </c>
      <c r="AV212" s="51">
        <f t="shared" si="627"/>
        <v>0</v>
      </c>
      <c r="AW212" s="51">
        <f t="shared" si="583"/>
        <v>0</v>
      </c>
      <c r="AX212" s="51">
        <f t="shared" si="628"/>
        <v>0</v>
      </c>
      <c r="AY212" s="54">
        <f t="shared" si="629"/>
        <v>0</v>
      </c>
      <c r="AZ212" s="55">
        <f t="shared" si="630"/>
        <v>0</v>
      </c>
      <c r="BA212" s="56">
        <f>IF(AND($E212&lt;&gt;0,$F212&gt;0,YEAR($F212)&gt;=Preisindex!$A$6,YEAR(AV$4)&gt;=YEAR($F212),AND($K212&lt;&gt;"a",$K212&lt;&gt;"b",$K212&lt;&gt;"g",$K212&lt;&gt;"k")),1,IF(AND($E212&lt;&gt;0,$F212&gt;0,YEAR($F212)&gt;=Preisindex!$A$6,YEAR(AV$4)&gt;=YEAR($F212),$K212="a"),ROUND(VLOOKUP(BA$4,Preisindex,5,FALSE)/VLOOKUP(YEAR($F212),Preisindex,5,FALSE),2),IF(AND($E212&lt;&gt;0,$F212&gt;0,YEAR($F212)&gt;=Preisindex!$A$6,YEAR(AV$4)&gt;=YEAR($F212),$K212="b"),ROUND(VLOOKUP(BA$4,Preisindex,3,FALSE)/VLOOKUP(YEAR($F212),Preisindex,3,FALSE),2),IF(AND($E212&lt;&gt;0,$F212&gt;0,YEAR($F212)&gt;=Preisindex!$A$6,YEAR(AV$4)&gt;=YEAR($F212),$K212="g"),ROUND(VLOOKUP(BA$4,Preisindex,4,FALSE)/VLOOKUP(YEAR($F212),Preisindex,4,FALSE),2),IF(AND($E212&lt;&gt;0,$F212&gt;0,YEAR($F212)&gt;=Preisindex!$A$6,YEAR(AV$4)&gt;=YEAR($F212),$K212="k"),ROUND(VLOOKUP(BA$4,Preisindex,2,FALSE)/VLOOKUP(YEAR($F212),Preisindex,2,FALSE),2),0)))))</f>
        <v>0</v>
      </c>
      <c r="BB212" s="56">
        <f>IF(AND($E212&lt;&gt;0,$F212&gt;0,YEAR($F212)&lt;Preisindex!$A$6,YEAR(AV$4)&gt;=YEAR($F212),AND($K212&lt;&gt;"a",$K212&lt;&gt;"b",$K212&lt;&gt;"g",$K212&lt;&gt;"k")),1,IF(AND($E212&lt;&gt;0,$F212&gt;0,YEAR($F212)&lt;Preisindex!$A$6,YEAR(AV$4)&gt;=YEAR($F212),$K212="a"),ROUND(VLOOKUP(BA$4,Preisindex,5,FALSE)/VLOOKUP(Preisindex!$A$6,Preisindex,5,FALSE),2),IF(AND($E212&lt;&gt;0,$F212&gt;0,YEAR($F212)&lt;Preisindex!$A$6,YEAR(AV$4)&gt;=YEAR($F212),$K212="b"),ROUND(VLOOKUP(BA$4,Preisindex,3,FALSE)/VLOOKUP(Preisindex!$A$6,Preisindex,3,FALSE),2),IF(AND($E212&lt;&gt;0,$F212&gt;0,YEAR($F212)&lt;Preisindex!$A$6,YEAR(AV$4)&gt;=YEAR($F212),$K212="g"),ROUND(VLOOKUP(BA$4,Preisindex,4,FALSE)/VLOOKUP(Preisindex!$A$6,Preisindex,4,FALSE),2),IF(AND($E212&lt;&gt;0,$F212&gt;0,YEAR($F212)&lt;Preisindex!$A$6,YEAR(AV$4)&gt;=YEAR($F212),$K212="k"),ROUND(VLOOKUP(BA$4,Preisindex,2,FALSE)/VLOOKUP(Preisindex!$A$6,Preisindex,2,FALSE),2),0)))))</f>
        <v>0</v>
      </c>
      <c r="BC212" s="51">
        <f>IF(AND($E212&lt;&gt;0,$F212&gt;0,YEAR($F212)&lt;=BA$4,YEAR($F212)&gt;=Preisindex!$A$6),ROUND($E212*BA212,2),IF(AND($E212&lt;&gt;0,$F212&gt;0,YEAR($F212)&lt;=BA$4,YEAR($F212)&lt;Preisindex!$A$6),ROUND($E212*BB212,2),0))</f>
        <v>0</v>
      </c>
      <c r="BD212" s="53">
        <f t="shared" si="631"/>
        <v>0</v>
      </c>
      <c r="BE212" s="51">
        <f t="shared" si="623"/>
        <v>0</v>
      </c>
      <c r="BF212" s="51">
        <f t="shared" si="584"/>
        <v>0</v>
      </c>
      <c r="BG212" s="51">
        <f t="shared" si="632"/>
        <v>0</v>
      </c>
      <c r="BH212" s="51">
        <f t="shared" si="585"/>
        <v>0</v>
      </c>
      <c r="BI212" s="51">
        <f t="shared" si="633"/>
        <v>0</v>
      </c>
      <c r="BJ212" s="51">
        <f t="shared" si="586"/>
        <v>0</v>
      </c>
      <c r="BK212" s="51">
        <f t="shared" si="634"/>
        <v>0</v>
      </c>
      <c r="BL212" s="51">
        <f t="shared" si="587"/>
        <v>0</v>
      </c>
      <c r="BM212" s="51">
        <f t="shared" si="635"/>
        <v>0</v>
      </c>
      <c r="BN212" s="51">
        <f t="shared" si="588"/>
        <v>0</v>
      </c>
      <c r="BO212" s="51">
        <f t="shared" si="636"/>
        <v>0</v>
      </c>
      <c r="BP212" s="54">
        <f t="shared" si="637"/>
        <v>0</v>
      </c>
      <c r="BQ212" s="55">
        <f t="shared" si="638"/>
        <v>0</v>
      </c>
      <c r="BR212" s="56">
        <f>IF(AND($E212&lt;&gt;0,$F212&gt;0,YEAR($F212)&gt;=Preisindex!$A$6,YEAR(BM$4)&gt;=YEAR($F212),AND($K212&lt;&gt;"a",$K212&lt;&gt;"b",$K212&lt;&gt;"g",$K212&lt;&gt;"k")),1,IF(AND($E212&lt;&gt;0,$F212&gt;0,YEAR($F212)&gt;=Preisindex!$A$6,YEAR(BM$4)&gt;=YEAR($F212),$K212="a"),ROUND(VLOOKUP(BR$4,Preisindex,5,FALSE)/VLOOKUP(YEAR($F212),Preisindex,5,FALSE),2),IF(AND($E212&lt;&gt;0,$F212&gt;0,YEAR($F212)&gt;=Preisindex!$A$6,YEAR(BM$4)&gt;=YEAR($F212),$K212="b"),ROUND(VLOOKUP(BR$4,Preisindex,3,FALSE)/VLOOKUP(YEAR($F212),Preisindex,3,FALSE),2),IF(AND($E212&lt;&gt;0,$F212&gt;0,YEAR($F212)&gt;=Preisindex!$A$6,YEAR(BM$4)&gt;=YEAR($F212),$K212="g"),ROUND(VLOOKUP(BR$4,Preisindex,4,FALSE)/VLOOKUP(YEAR($F212),Preisindex,4,FALSE),2),IF(AND($E212&lt;&gt;0,$F212&gt;0,YEAR($F212)&gt;=Preisindex!$A$6,YEAR(BM$4)&gt;=YEAR($F212),$K212="k"),ROUND(VLOOKUP(BR$4,Preisindex,2,FALSE)/VLOOKUP(YEAR($F212),Preisindex,2,FALSE),2),0)))))</f>
        <v>0</v>
      </c>
      <c r="BS212" s="56">
        <f>IF(AND($E212&lt;&gt;0,$F212&gt;0,YEAR($F212)&lt;Preisindex!$A$6,YEAR(BM$4)&gt;=YEAR($F212),AND($K212&lt;&gt;"a",$K212&lt;&gt;"b",$K212&lt;&gt;"g",$K212&lt;&gt;"k")),1,IF(AND($E212&lt;&gt;0,$F212&gt;0,YEAR($F212)&lt;Preisindex!$A$6,YEAR(BM$4)&gt;=YEAR($F212),$K212="a"),ROUND(VLOOKUP(BR$4,Preisindex,5,FALSE)/VLOOKUP(Preisindex!$A$6,Preisindex,5,FALSE),2),IF(AND($E212&lt;&gt;0,$F212&gt;0,YEAR($F212)&lt;Preisindex!$A$6,YEAR(BM$4)&gt;=YEAR($F212),$K212="b"),ROUND(VLOOKUP(BR$4,Preisindex,3,FALSE)/VLOOKUP(Preisindex!$A$6,Preisindex,3,FALSE),2),IF(AND($E212&lt;&gt;0,$F212&gt;0,YEAR($F212)&lt;Preisindex!$A$6,YEAR(BM$4)&gt;=YEAR($F212),$K212="g"),ROUND(VLOOKUP(BR$4,Preisindex,4,FALSE)/VLOOKUP(Preisindex!$A$6,Preisindex,4,FALSE),2),IF(AND($E212&lt;&gt;0,$F212&gt;0,YEAR($F212)&lt;Preisindex!$A$6,YEAR(BM$4)&gt;=YEAR($F212),$K212="k"),ROUND(VLOOKUP(BR$4,Preisindex,2,FALSE)/VLOOKUP(Preisindex!$A$6,Preisindex,2,FALSE),2),0)))))</f>
        <v>0</v>
      </c>
      <c r="BT212" s="51">
        <f>IF(AND($E212&lt;&gt;0,$F212&gt;0,YEAR($F212)&lt;=BR$4,YEAR($F212)&gt;=Preisindex!$A$6),ROUND($E212*BR212,2),IF(AND($E212&lt;&gt;0,$F212&gt;0,YEAR($F212)&lt;=BR$4,YEAR($F212)&lt;Preisindex!$A$6),ROUND($E212*BS212,2),0))</f>
        <v>0</v>
      </c>
      <c r="BU212" s="53">
        <f t="shared" si="639"/>
        <v>0</v>
      </c>
      <c r="BV212" s="51">
        <f t="shared" si="623"/>
        <v>0</v>
      </c>
      <c r="BW212" s="51">
        <f t="shared" si="589"/>
        <v>0</v>
      </c>
      <c r="BX212" s="51">
        <f t="shared" si="640"/>
        <v>0</v>
      </c>
      <c r="BY212" s="51">
        <f t="shared" si="590"/>
        <v>0</v>
      </c>
      <c r="BZ212" s="51">
        <f t="shared" si="641"/>
        <v>0</v>
      </c>
      <c r="CA212" s="51">
        <f t="shared" si="591"/>
        <v>0</v>
      </c>
      <c r="CB212" s="51">
        <f t="shared" si="642"/>
        <v>0</v>
      </c>
      <c r="CC212" s="51">
        <f t="shared" si="592"/>
        <v>0</v>
      </c>
      <c r="CD212" s="51">
        <f t="shared" si="643"/>
        <v>0</v>
      </c>
      <c r="CE212" s="51">
        <f t="shared" si="593"/>
        <v>0</v>
      </c>
      <c r="CF212" s="51">
        <f t="shared" si="644"/>
        <v>0</v>
      </c>
      <c r="CG212" s="54">
        <f t="shared" si="645"/>
        <v>0</v>
      </c>
      <c r="CH212" s="55">
        <f t="shared" si="646"/>
        <v>0</v>
      </c>
      <c r="CI212" s="56">
        <f>IF(AND($E212&lt;&gt;0,$F212&gt;0,YEAR($F212)&gt;=Preisindex!$A$6,YEAR(CD$4)&gt;=YEAR($F212),AND($K212&lt;&gt;"a",$K212&lt;&gt;"b",$K212&lt;&gt;"g",$K212&lt;&gt;"k")),1,IF(AND($E212&lt;&gt;0,$F212&gt;0,YEAR($F212)&gt;=Preisindex!$A$6,YEAR(CD$4)&gt;=YEAR($F212),$K212="a"),ROUND(VLOOKUP(CI$4,Preisindex,5,FALSE)/VLOOKUP(YEAR($F212),Preisindex,5,FALSE),2),IF(AND($E212&lt;&gt;0,$F212&gt;0,YEAR($F212)&gt;=Preisindex!$A$6,YEAR(CD$4)&gt;=YEAR($F212),$K212="b"),ROUND(VLOOKUP(CI$4,Preisindex,3,FALSE)/VLOOKUP(YEAR($F212),Preisindex,3,FALSE),2),IF(AND($E212&lt;&gt;0,$F212&gt;0,YEAR($F212)&gt;=Preisindex!$A$6,YEAR(CD$4)&gt;=YEAR($F212),$K212="g"),ROUND(VLOOKUP(CI$4,Preisindex,4,FALSE)/VLOOKUP(YEAR($F212),Preisindex,4,FALSE),2),IF(AND($E212&lt;&gt;0,$F212&gt;0,YEAR($F212)&gt;=Preisindex!$A$6,YEAR(CD$4)&gt;=YEAR($F212),$K212="k"),ROUND(VLOOKUP(CI$4,Preisindex,2,FALSE)/VLOOKUP(YEAR($F212),Preisindex,2,FALSE),2),0)))))</f>
        <v>0</v>
      </c>
      <c r="CJ212" s="56">
        <f>IF(AND($E212&lt;&gt;0,$F212&gt;0,YEAR($F212)&lt;Preisindex!$A$6,YEAR(CD$4)&gt;=YEAR($F212),AND($K212&lt;&gt;"a",$K212&lt;&gt;"b",$K212&lt;&gt;"g",$K212&lt;&gt;"k")),1,IF(AND($E212&lt;&gt;0,$F212&gt;0,YEAR($F212)&lt;Preisindex!$A$6,YEAR(CD$4)&gt;=YEAR($F212),$K212="a"),ROUND(VLOOKUP(CI$4,Preisindex,5,FALSE)/VLOOKUP(Preisindex!$A$6,Preisindex,5,FALSE),2),IF(AND($E212&lt;&gt;0,$F212&gt;0,YEAR($F212)&lt;Preisindex!$A$6,YEAR(CD$4)&gt;=YEAR($F212),$K212="b"),ROUND(VLOOKUP(CI$4,Preisindex,3,FALSE)/VLOOKUP(Preisindex!$A$6,Preisindex,3,FALSE),2),IF(AND($E212&lt;&gt;0,$F212&gt;0,YEAR($F212)&lt;Preisindex!$A$6,YEAR(CD$4)&gt;=YEAR($F212),$K212="g"),ROUND(VLOOKUP(CI$4,Preisindex,4,FALSE)/VLOOKUP(Preisindex!$A$6,Preisindex,4,FALSE),2),IF(AND($E212&lt;&gt;0,$F212&gt;0,YEAR($F212)&lt;Preisindex!$A$6,YEAR(CD$4)&gt;=YEAR($F212),$K212="k"),ROUND(VLOOKUP(CI$4,Preisindex,2,FALSE)/VLOOKUP(Preisindex!$A$6,Preisindex,2,FALSE),2),0)))))</f>
        <v>0</v>
      </c>
      <c r="CK212" s="51">
        <f>IF(AND($E212&lt;&gt;0,$F212&gt;0,YEAR($F212)&lt;=CI$4,YEAR($F212)&gt;=Preisindex!$A$6),ROUND($E212*CI212,2),IF(AND($E212&lt;&gt;0,$F212&gt;0,YEAR($F212)&lt;=CI$4,YEAR($F212)&lt;Preisindex!$A$6),ROUND($E212*CJ212,2),0))</f>
        <v>0</v>
      </c>
      <c r="CL212" s="53">
        <f t="shared" si="647"/>
        <v>0</v>
      </c>
      <c r="CM212" s="51">
        <f t="shared" si="623"/>
        <v>0</v>
      </c>
      <c r="CN212" s="51">
        <f t="shared" si="594"/>
        <v>0</v>
      </c>
      <c r="CO212" s="51">
        <f t="shared" si="648"/>
        <v>0</v>
      </c>
      <c r="CP212" s="51">
        <f t="shared" si="595"/>
        <v>0</v>
      </c>
      <c r="CQ212" s="51">
        <f t="shared" si="649"/>
        <v>0</v>
      </c>
      <c r="CR212" s="51">
        <f t="shared" si="596"/>
        <v>0</v>
      </c>
      <c r="CS212" s="51">
        <f t="shared" si="650"/>
        <v>0</v>
      </c>
      <c r="CT212" s="51">
        <f t="shared" si="597"/>
        <v>0</v>
      </c>
      <c r="CU212" s="51">
        <f t="shared" si="651"/>
        <v>0</v>
      </c>
      <c r="CV212" s="51">
        <f t="shared" si="598"/>
        <v>0</v>
      </c>
      <c r="CW212" s="51">
        <f t="shared" si="652"/>
        <v>0</v>
      </c>
      <c r="CX212" s="54">
        <f t="shared" si="653"/>
        <v>0</v>
      </c>
      <c r="CY212" s="55">
        <f t="shared" si="654"/>
        <v>0</v>
      </c>
      <c r="CZ212" s="56">
        <f>IF(AND($E212&lt;&gt;0,$F212&gt;0,YEAR($F212)&gt;=Preisindex!$A$6,YEAR(CU$4)&gt;=YEAR($F212),AND($K212&lt;&gt;"a",$K212&lt;&gt;"b",$K212&lt;&gt;"g",$K212&lt;&gt;"k")),1,IF(AND($E212&lt;&gt;0,$F212&gt;0,YEAR($F212)&gt;=Preisindex!$A$6,YEAR(CU$4)&gt;=YEAR($F212),$K212="a"),ROUND(VLOOKUP(CZ$4,Preisindex,5,FALSE)/VLOOKUP(YEAR($F212),Preisindex,5,FALSE),2),IF(AND($E212&lt;&gt;0,$F212&gt;0,YEAR($F212)&gt;=Preisindex!$A$6,YEAR(CU$4)&gt;=YEAR($F212),$K212="b"),ROUND(VLOOKUP(CZ$4,Preisindex,3,FALSE)/VLOOKUP(YEAR($F212),Preisindex,3,FALSE),2),IF(AND($E212&lt;&gt;0,$F212&gt;0,YEAR($F212)&gt;=Preisindex!$A$6,YEAR(CU$4)&gt;=YEAR($F212),$K212="g"),ROUND(VLOOKUP(CZ$4,Preisindex,4,FALSE)/VLOOKUP(YEAR($F212),Preisindex,4,FALSE),2),IF(AND($E212&lt;&gt;0,$F212&gt;0,YEAR($F212)&gt;=Preisindex!$A$6,YEAR(CU$4)&gt;=YEAR($F212),$K212="k"),ROUND(VLOOKUP(CZ$4,Preisindex,2,FALSE)/VLOOKUP(YEAR($F212),Preisindex,2,FALSE),2),0)))))</f>
        <v>0</v>
      </c>
      <c r="DA212" s="56">
        <f>IF(AND($E212&lt;&gt;0,$F212&gt;0,YEAR($F212)&lt;Preisindex!$A$6,YEAR(CU$4)&gt;=YEAR($F212),AND($K212&lt;&gt;"a",$K212&lt;&gt;"b",$K212&lt;&gt;"g",$K212&lt;&gt;"k")),1,IF(AND($E212&lt;&gt;0,$F212&gt;0,YEAR($F212)&lt;Preisindex!$A$6,YEAR(CU$4)&gt;=YEAR($F212),$K212="a"),ROUND(VLOOKUP(CZ$4,Preisindex,5,FALSE)/VLOOKUP(Preisindex!$A$6,Preisindex,5,FALSE),2),IF(AND($E212&lt;&gt;0,$F212&gt;0,YEAR($F212)&lt;Preisindex!$A$6,YEAR(CU$4)&gt;=YEAR($F212),$K212="b"),ROUND(VLOOKUP(CZ$4,Preisindex,3,FALSE)/VLOOKUP(Preisindex!$A$6,Preisindex,3,FALSE),2),IF(AND($E212&lt;&gt;0,$F212&gt;0,YEAR($F212)&lt;Preisindex!$A$6,YEAR(CU$4)&gt;=YEAR($F212),$K212="g"),ROUND(VLOOKUP(CZ$4,Preisindex,4,FALSE)/VLOOKUP(Preisindex!$A$6,Preisindex,4,FALSE),2),IF(AND($E212&lt;&gt;0,$F212&gt;0,YEAR($F212)&lt;Preisindex!$A$6,YEAR(CU$4)&gt;=YEAR($F212),$K212="k"),ROUND(VLOOKUP(CZ$4,Preisindex,2,FALSE)/VLOOKUP(Preisindex!$A$6,Preisindex,2,FALSE),2),0)))))</f>
        <v>0</v>
      </c>
      <c r="DB212" s="51">
        <f>IF(AND($E212&lt;&gt;0,$F212&gt;0,YEAR($F212)&lt;=CZ$4,YEAR($F212)&gt;=Preisindex!$A$6),ROUND($E212*CZ212,2),IF(AND($E212&lt;&gt;0,$F212&gt;0,YEAR($F212)&lt;=CZ$4,YEAR($F212)&lt;Preisindex!$A$6),ROUND($E212*DA212,2),0))</f>
        <v>0</v>
      </c>
      <c r="DC212" s="53">
        <f t="shared" si="655"/>
        <v>0</v>
      </c>
      <c r="DD212" s="51">
        <f t="shared" si="656"/>
        <v>0</v>
      </c>
      <c r="DE212" s="51">
        <f t="shared" si="599"/>
        <v>0</v>
      </c>
      <c r="DF212" s="51">
        <f t="shared" si="657"/>
        <v>0</v>
      </c>
      <c r="DG212" s="51">
        <f t="shared" si="600"/>
        <v>0</v>
      </c>
      <c r="DH212" s="51">
        <f t="shared" si="658"/>
        <v>0</v>
      </c>
      <c r="DI212" s="51">
        <f t="shared" si="601"/>
        <v>0</v>
      </c>
      <c r="DJ212" s="51">
        <f t="shared" si="659"/>
        <v>0</v>
      </c>
      <c r="DK212" s="51">
        <f t="shared" si="602"/>
        <v>0</v>
      </c>
      <c r="DL212" s="51">
        <f t="shared" si="660"/>
        <v>0</v>
      </c>
      <c r="DM212" s="51">
        <f t="shared" si="603"/>
        <v>0</v>
      </c>
      <c r="DN212" s="51">
        <f t="shared" si="661"/>
        <v>0</v>
      </c>
      <c r="DO212" s="54">
        <f t="shared" si="662"/>
        <v>0</v>
      </c>
      <c r="DP212" s="55">
        <f t="shared" si="663"/>
        <v>0</v>
      </c>
      <c r="DQ212" s="56">
        <f>IF(AND($E212&lt;&gt;0,$F212&gt;0,YEAR($F212)&gt;=Preisindex!$A$6,YEAR(DL$4)&gt;=YEAR($F212),AND($K212&lt;&gt;"a",$K212&lt;&gt;"b",$K212&lt;&gt;"g",$K212&lt;&gt;"k")),1,IF(AND($E212&lt;&gt;0,$F212&gt;0,YEAR($F212)&gt;=Preisindex!$A$6,YEAR(DL$4)&gt;=YEAR($F212),$K212="a"),ROUND(VLOOKUP(DQ$4,Preisindex,5,FALSE)/VLOOKUP(YEAR($F212),Preisindex,5,FALSE),2),IF(AND($E212&lt;&gt;0,$F212&gt;0,YEAR($F212)&gt;=Preisindex!$A$6,YEAR(DL$4)&gt;=YEAR($F212),$K212="b"),ROUND(VLOOKUP(DQ$4,Preisindex,3,FALSE)/VLOOKUP(YEAR($F212),Preisindex,3,FALSE),2),IF(AND($E212&lt;&gt;0,$F212&gt;0,YEAR($F212)&gt;=Preisindex!$A$6,YEAR(DL$4)&gt;=YEAR($F212),$K212="g"),ROUND(VLOOKUP(DQ$4,Preisindex,4,FALSE)/VLOOKUP(YEAR($F212),Preisindex,4,FALSE),2),IF(AND($E212&lt;&gt;0,$F212&gt;0,YEAR($F212)&gt;=Preisindex!$A$6,YEAR(DL$4)&gt;=YEAR($F212),$K212="k"),ROUND(VLOOKUP(DQ$4,Preisindex,2,FALSE)/VLOOKUP(YEAR($F212),Preisindex,2,FALSE),2),0)))))</f>
        <v>0</v>
      </c>
      <c r="DR212" s="56">
        <f>IF(AND($E212&lt;&gt;0,$F212&gt;0,YEAR($F212)&lt;Preisindex!$A$6,YEAR(DL$4)&gt;=YEAR($F212),AND($K212&lt;&gt;"a",$K212&lt;&gt;"b",$K212&lt;&gt;"g",$K212&lt;&gt;"k")),1,IF(AND($E212&lt;&gt;0,$F212&gt;0,YEAR($F212)&lt;Preisindex!$A$6,YEAR(DL$4)&gt;=YEAR($F212),$K212="a"),ROUND(VLOOKUP(DQ$4,Preisindex,5,FALSE)/VLOOKUP(Preisindex!$A$6,Preisindex,5,FALSE),2),IF(AND($E212&lt;&gt;0,$F212&gt;0,YEAR($F212)&lt;Preisindex!$A$6,YEAR(DL$4)&gt;=YEAR($F212),$K212="b"),ROUND(VLOOKUP(DQ$4,Preisindex,3,FALSE)/VLOOKUP(Preisindex!$A$6,Preisindex,3,FALSE),2),IF(AND($E212&lt;&gt;0,$F212&gt;0,YEAR($F212)&lt;Preisindex!$A$6,YEAR(DL$4)&gt;=YEAR($F212),$K212="g"),ROUND(VLOOKUP(DQ$4,Preisindex,4,FALSE)/VLOOKUP(Preisindex!$A$6,Preisindex,4,FALSE),2),IF(AND($E212&lt;&gt;0,$F212&gt;0,YEAR($F212)&lt;Preisindex!$A$6,YEAR(DL$4)&gt;=YEAR($F212),$K212="k"),ROUND(VLOOKUP(DQ$4,Preisindex,2,FALSE)/VLOOKUP(Preisindex!$A$6,Preisindex,2,FALSE),2),0)))))</f>
        <v>0</v>
      </c>
      <c r="DS212" s="51">
        <f>IF(AND($E212&lt;&gt;0,$F212&gt;0,YEAR($F212)&lt;=DQ$4,YEAR($F212)&gt;=Preisindex!$A$6),ROUND($E212*DQ212,2),IF(AND($E212&lt;&gt;0,$F212&gt;0,YEAR($F212)&lt;=DQ$4,YEAR($F212)&lt;Preisindex!$A$6),ROUND($E212*DR212,2),0))</f>
        <v>0</v>
      </c>
      <c r="DT212" s="53">
        <f t="shared" si="664"/>
        <v>0</v>
      </c>
      <c r="DU212" s="51">
        <f t="shared" si="656"/>
        <v>0</v>
      </c>
      <c r="DV212" s="51">
        <f t="shared" si="604"/>
        <v>0</v>
      </c>
      <c r="DW212" s="51">
        <f t="shared" si="665"/>
        <v>0</v>
      </c>
      <c r="DX212" s="51">
        <f t="shared" si="605"/>
        <v>0</v>
      </c>
      <c r="DY212" s="51">
        <f t="shared" si="666"/>
        <v>0</v>
      </c>
      <c r="DZ212" s="51">
        <f t="shared" si="606"/>
        <v>0</v>
      </c>
      <c r="EA212" s="51">
        <f t="shared" si="667"/>
        <v>0</v>
      </c>
      <c r="EB212" s="51">
        <f t="shared" si="607"/>
        <v>0</v>
      </c>
      <c r="EC212" s="51">
        <f t="shared" si="668"/>
        <v>0</v>
      </c>
      <c r="ED212" s="51">
        <f t="shared" si="608"/>
        <v>0</v>
      </c>
      <c r="EE212" s="51">
        <f t="shared" si="669"/>
        <v>0</v>
      </c>
      <c r="EF212" s="54">
        <f t="shared" si="670"/>
        <v>0</v>
      </c>
      <c r="EG212" s="55">
        <f t="shared" si="671"/>
        <v>0</v>
      </c>
      <c r="EH212" s="56">
        <f>IF(AND($E212&lt;&gt;0,$F212&gt;0,YEAR($F212)&gt;=Preisindex!$A$6,YEAR(EC$4)&gt;=YEAR($F212),AND($K212&lt;&gt;"a",$K212&lt;&gt;"b",$K212&lt;&gt;"g",$K212&lt;&gt;"k")),1,IF(AND($E212&lt;&gt;0,$F212&gt;0,YEAR($F212)&gt;=Preisindex!$A$6,YEAR(EC$4)&gt;=YEAR($F212),$K212="a"),ROUND(VLOOKUP(EH$4,Preisindex,5,FALSE)/VLOOKUP(YEAR($F212),Preisindex,5,FALSE),2),IF(AND($E212&lt;&gt;0,$F212&gt;0,YEAR($F212)&gt;=Preisindex!$A$6,YEAR(EC$4)&gt;=YEAR($F212),$K212="b"),ROUND(VLOOKUP(EH$4,Preisindex,3,FALSE)/VLOOKUP(YEAR($F212),Preisindex,3,FALSE),2),IF(AND($E212&lt;&gt;0,$F212&gt;0,YEAR($F212)&gt;=Preisindex!$A$6,YEAR(EC$4)&gt;=YEAR($F212),$K212="g"),ROUND(VLOOKUP(EH$4,Preisindex,4,FALSE)/VLOOKUP(YEAR($F212),Preisindex,4,FALSE),2),IF(AND($E212&lt;&gt;0,$F212&gt;0,YEAR($F212)&gt;=Preisindex!$A$6,YEAR(EC$4)&gt;=YEAR($F212),$K212="k"),ROUND(VLOOKUP(EH$4,Preisindex,2,FALSE)/VLOOKUP(YEAR($F212),Preisindex,2,FALSE),2),0)))))</f>
        <v>0</v>
      </c>
      <c r="EI212" s="56">
        <f>IF(AND($E212&lt;&gt;0,$F212&gt;0,YEAR($F212)&lt;Preisindex!$A$6,YEAR(EC$4)&gt;=YEAR($F212),AND($K212&lt;&gt;"a",$K212&lt;&gt;"b",$K212&lt;&gt;"g",$K212&lt;&gt;"k")),1,IF(AND($E212&lt;&gt;0,$F212&gt;0,YEAR($F212)&lt;Preisindex!$A$6,YEAR(EC$4)&gt;=YEAR($F212),$K212="a"),ROUND(VLOOKUP(EH$4,Preisindex,5,FALSE)/VLOOKUP(Preisindex!$A$6,Preisindex,5,FALSE),2),IF(AND($E212&lt;&gt;0,$F212&gt;0,YEAR($F212)&lt;Preisindex!$A$6,YEAR(EC$4)&gt;=YEAR($F212),$K212="b"),ROUND(VLOOKUP(EH$4,Preisindex,3,FALSE)/VLOOKUP(Preisindex!$A$6,Preisindex,3,FALSE),2),IF(AND($E212&lt;&gt;0,$F212&gt;0,YEAR($F212)&lt;Preisindex!$A$6,YEAR(EC$4)&gt;=YEAR($F212),$K212="g"),ROUND(VLOOKUP(EH$4,Preisindex,4,FALSE)/VLOOKUP(Preisindex!$A$6,Preisindex,4,FALSE),2),IF(AND($E212&lt;&gt;0,$F212&gt;0,YEAR($F212)&lt;Preisindex!$A$6,YEAR(EC$4)&gt;=YEAR($F212),$K212="k"),ROUND(VLOOKUP(EH$4,Preisindex,2,FALSE)/VLOOKUP(Preisindex!$A$6,Preisindex,2,FALSE),2),0)))))</f>
        <v>0</v>
      </c>
      <c r="EJ212" s="51">
        <f>IF(AND($E212&lt;&gt;0,$F212&gt;0,YEAR($F212)&lt;=EH$4,YEAR($F212)&gt;=Preisindex!$A$6),ROUND($E212*EH212,2),IF(AND($E212&lt;&gt;0,$F212&gt;0,YEAR($F212)&lt;=EH$4,YEAR($F212)&lt;Preisindex!$A$6),ROUND($E212*EI212,2),0))</f>
        <v>0</v>
      </c>
      <c r="EK212" s="53">
        <f t="shared" si="672"/>
        <v>0</v>
      </c>
      <c r="EL212" s="51">
        <f t="shared" si="656"/>
        <v>0</v>
      </c>
      <c r="EM212" s="51">
        <f t="shared" si="609"/>
        <v>0</v>
      </c>
      <c r="EN212" s="51">
        <f t="shared" si="673"/>
        <v>0</v>
      </c>
      <c r="EO212" s="51">
        <f t="shared" si="610"/>
        <v>0</v>
      </c>
      <c r="EP212" s="51">
        <f t="shared" si="674"/>
        <v>0</v>
      </c>
      <c r="EQ212" s="51">
        <f t="shared" si="611"/>
        <v>0</v>
      </c>
      <c r="ER212" s="51">
        <f t="shared" si="675"/>
        <v>0</v>
      </c>
      <c r="ES212" s="51">
        <f t="shared" si="612"/>
        <v>0</v>
      </c>
      <c r="ET212" s="51">
        <f t="shared" si="676"/>
        <v>0</v>
      </c>
      <c r="EU212" s="51">
        <f t="shared" si="613"/>
        <v>0</v>
      </c>
      <c r="EV212" s="51">
        <f t="shared" si="677"/>
        <v>0</v>
      </c>
      <c r="EW212" s="54">
        <f t="shared" si="678"/>
        <v>0</v>
      </c>
      <c r="EX212" s="55">
        <f t="shared" si="679"/>
        <v>0</v>
      </c>
      <c r="EY212" s="56">
        <f>IF(AND($E212&lt;&gt;0,$F212&gt;0,YEAR($F212)&gt;=Preisindex!$A$6,YEAR(ET$4)&gt;=YEAR($F212),AND($K212&lt;&gt;"a",$K212&lt;&gt;"b",$K212&lt;&gt;"g",$K212&lt;&gt;"k")),1,IF(AND($E212&lt;&gt;0,$F212&gt;0,YEAR($F212)&gt;=Preisindex!$A$6,YEAR(ET$4)&gt;=YEAR($F212),$K212="a"),ROUND(VLOOKUP(EY$4,Preisindex,5,FALSE)/VLOOKUP(YEAR($F212),Preisindex,5,FALSE),2),IF(AND($E212&lt;&gt;0,$F212&gt;0,YEAR($F212)&gt;=Preisindex!$A$6,YEAR(ET$4)&gt;=YEAR($F212),$K212="b"),ROUND(VLOOKUP(EY$4,Preisindex,3,FALSE)/VLOOKUP(YEAR($F212),Preisindex,3,FALSE),2),IF(AND($E212&lt;&gt;0,$F212&gt;0,YEAR($F212)&gt;=Preisindex!$A$6,YEAR(ET$4)&gt;=YEAR($F212),$K212="g"),ROUND(VLOOKUP(EY$4,Preisindex,4,FALSE)/VLOOKUP(YEAR($F212),Preisindex,4,FALSE),2),IF(AND($E212&lt;&gt;0,$F212&gt;0,YEAR($F212)&gt;=Preisindex!$A$6,YEAR(ET$4)&gt;=YEAR($F212),$K212="k"),ROUND(VLOOKUP(EY$4,Preisindex,2,FALSE)/VLOOKUP(YEAR($F212),Preisindex,2,FALSE),2),0)))))</f>
        <v>0</v>
      </c>
      <c r="EZ212" s="56">
        <f>IF(AND($E212&lt;&gt;0,$F212&gt;0,YEAR($F212)&lt;Preisindex!$A$6,YEAR(ET$4)&gt;=YEAR($F212),AND($K212&lt;&gt;"a",$K212&lt;&gt;"b",$K212&lt;&gt;"g",$K212&lt;&gt;"k")),1,IF(AND($E212&lt;&gt;0,$F212&gt;0,YEAR($F212)&lt;Preisindex!$A$6,YEAR(ET$4)&gt;=YEAR($F212),$K212="a"),ROUND(VLOOKUP(EY$4,Preisindex,5,FALSE)/VLOOKUP(Preisindex!$A$6,Preisindex,5,FALSE),2),IF(AND($E212&lt;&gt;0,$F212&gt;0,YEAR($F212)&lt;Preisindex!$A$6,YEAR(ET$4)&gt;=YEAR($F212),$K212="b"),ROUND(VLOOKUP(EY$4,Preisindex,3,FALSE)/VLOOKUP(Preisindex!$A$6,Preisindex,3,FALSE),2),IF(AND($E212&lt;&gt;0,$F212&gt;0,YEAR($F212)&lt;Preisindex!$A$6,YEAR(ET$4)&gt;=YEAR($F212),$K212="g"),ROUND(VLOOKUP(EY$4,Preisindex,4,FALSE)/VLOOKUP(Preisindex!$A$6,Preisindex,4,FALSE),2),IF(AND($E212&lt;&gt;0,$F212&gt;0,YEAR($F212)&lt;Preisindex!$A$6,YEAR(ET$4)&gt;=YEAR($F212),$K212="k"),ROUND(VLOOKUP(EY$4,Preisindex,2,FALSE)/VLOOKUP(Preisindex!$A$6,Preisindex,2,FALSE),2),0)))))</f>
        <v>0</v>
      </c>
      <c r="FA212" s="51">
        <f>IF(AND($E212&lt;&gt;0,$F212&gt;0,YEAR($F212)&lt;=EY$4,YEAR($F212)&gt;=Preisindex!$A$6),ROUND($E212*EY212,2),IF(AND($E212&lt;&gt;0,$F212&gt;0,YEAR($F212)&lt;=EY$4,YEAR($F212)&lt;Preisindex!$A$6),ROUND($E212*EZ212,2),0))</f>
        <v>0</v>
      </c>
      <c r="FB212" s="53">
        <f t="shared" si="680"/>
        <v>0</v>
      </c>
      <c r="FC212" s="51">
        <f t="shared" si="656"/>
        <v>0</v>
      </c>
      <c r="FD212" s="51">
        <f t="shared" si="614"/>
        <v>0</v>
      </c>
      <c r="FE212" s="51">
        <f t="shared" si="681"/>
        <v>0</v>
      </c>
      <c r="FF212" s="51">
        <f t="shared" si="615"/>
        <v>0</v>
      </c>
      <c r="FG212" s="51">
        <f t="shared" si="682"/>
        <v>0</v>
      </c>
      <c r="FH212" s="51">
        <f t="shared" si="616"/>
        <v>0</v>
      </c>
      <c r="FI212" s="51">
        <f t="shared" si="683"/>
        <v>0</v>
      </c>
      <c r="FJ212" s="51">
        <f t="shared" si="617"/>
        <v>0</v>
      </c>
      <c r="FK212" s="51">
        <f t="shared" si="684"/>
        <v>0</v>
      </c>
      <c r="FL212" s="51">
        <f t="shared" si="618"/>
        <v>0</v>
      </c>
      <c r="FM212" s="51">
        <f t="shared" si="685"/>
        <v>0</v>
      </c>
      <c r="FN212" s="54">
        <f t="shared" si="686"/>
        <v>0</v>
      </c>
      <c r="FO212" s="55">
        <f t="shared" si="687"/>
        <v>0</v>
      </c>
      <c r="FP212" s="56">
        <f>IF(AND($E212&lt;&gt;0,$F212&gt;0,YEAR($F212)&gt;=Preisindex!$A$6,YEAR(FK$4)&gt;=YEAR($F212),AND($K212&lt;&gt;"a",$K212&lt;&gt;"b",$K212&lt;&gt;"g",$K212&lt;&gt;"k")),1,IF(AND($E212&lt;&gt;0,$F212&gt;0,YEAR($F212)&gt;=Preisindex!$A$6,YEAR(FK$4)&gt;=YEAR($F212),$K212="a"),ROUND(VLOOKUP(FP$4,Preisindex,5,FALSE)/VLOOKUP(YEAR($F212),Preisindex,5,FALSE),2),IF(AND($E212&lt;&gt;0,$F212&gt;0,YEAR($F212)&gt;=Preisindex!$A$6,YEAR(FK$4)&gt;=YEAR($F212),$K212="b"),ROUND(VLOOKUP(FP$4,Preisindex,3,FALSE)/VLOOKUP(YEAR($F212),Preisindex,3,FALSE),2),IF(AND($E212&lt;&gt;0,$F212&gt;0,YEAR($F212)&gt;=Preisindex!$A$6,YEAR(FK$4)&gt;=YEAR($F212),$K212="g"),ROUND(VLOOKUP(FP$4,Preisindex,4,FALSE)/VLOOKUP(YEAR($F212),Preisindex,4,FALSE),2),IF(AND($E212&lt;&gt;0,$F212&gt;0,YEAR($F212)&gt;=Preisindex!$A$6,YEAR(FK$4)&gt;=YEAR($F212),$K212="k"),ROUND(VLOOKUP(FP$4,Preisindex,2,FALSE)/VLOOKUP(YEAR($F212),Preisindex,2,FALSE),2),0)))))</f>
        <v>0</v>
      </c>
      <c r="FQ212" s="56">
        <f>IF(AND($E212&lt;&gt;0,$F212&gt;0,YEAR($F212)&lt;Preisindex!$A$6,YEAR(FK$4)&gt;=YEAR($F212),AND($K212&lt;&gt;"a",$K212&lt;&gt;"b",$K212&lt;&gt;"g",$K212&lt;&gt;"k")),1,IF(AND($E212&lt;&gt;0,$F212&gt;0,YEAR($F212)&lt;Preisindex!$A$6,YEAR(FK$4)&gt;=YEAR($F212),$K212="a"),ROUND(VLOOKUP(FP$4,Preisindex,5,FALSE)/VLOOKUP(Preisindex!$A$6,Preisindex,5,FALSE),2),IF(AND($E212&lt;&gt;0,$F212&gt;0,YEAR($F212)&lt;Preisindex!$A$6,YEAR(FK$4)&gt;=YEAR($F212),$K212="b"),ROUND(VLOOKUP(FP$4,Preisindex,3,FALSE)/VLOOKUP(Preisindex!$A$6,Preisindex,3,FALSE),2),IF(AND($E212&lt;&gt;0,$F212&gt;0,YEAR($F212)&lt;Preisindex!$A$6,YEAR(FK$4)&gt;=YEAR($F212),$K212="g"),ROUND(VLOOKUP(FP$4,Preisindex,4,FALSE)/VLOOKUP(Preisindex!$A$6,Preisindex,4,FALSE),2),IF(AND($E212&lt;&gt;0,$F212&gt;0,YEAR($F212)&lt;Preisindex!$A$6,YEAR(FK$4)&gt;=YEAR($F212),$K212="k"),ROUND(VLOOKUP(FP$4,Preisindex,2,FALSE)/VLOOKUP(Preisindex!$A$6,Preisindex,2,FALSE),2),0)))))</f>
        <v>0</v>
      </c>
      <c r="FR212" s="51">
        <f>IF(AND($E212&lt;&gt;0,$F212&gt;0,YEAR($F212)&lt;=FP$4,YEAR($F212)&gt;=Preisindex!$A$6),ROUND($E212*FP212,2),IF(AND($E212&lt;&gt;0,$F212&gt;0,YEAR($F212)&lt;=FP$4,YEAR($F212)&lt;Preisindex!$A$6),ROUND($E212*FQ212,2),0))</f>
        <v>0</v>
      </c>
      <c r="FS212" s="53">
        <f t="shared" si="688"/>
        <v>0</v>
      </c>
    </row>
    <row r="213" spans="1:175" x14ac:dyDescent="0.3">
      <c r="A213" s="93"/>
      <c r="B213" s="94"/>
      <c r="C213" s="94"/>
      <c r="D213" s="95"/>
      <c r="E213" s="99"/>
      <c r="F213" s="97"/>
      <c r="G213" s="98"/>
      <c r="H213" s="620"/>
      <c r="I213" s="621"/>
      <c r="J213" s="194"/>
      <c r="K213" s="630"/>
      <c r="L213" s="49">
        <f t="shared" si="689"/>
        <v>0</v>
      </c>
      <c r="M213" s="50">
        <f t="shared" si="690"/>
        <v>0</v>
      </c>
      <c r="N213" s="51">
        <f t="shared" si="691"/>
        <v>0</v>
      </c>
      <c r="O213" s="51"/>
      <c r="P213" s="51">
        <f t="shared" si="692"/>
        <v>0</v>
      </c>
      <c r="Q213" s="52"/>
      <c r="R213" s="52"/>
      <c r="S213" s="52"/>
      <c r="T213" s="52"/>
      <c r="U213" s="52"/>
      <c r="V213" s="53">
        <f t="shared" si="693"/>
        <v>0</v>
      </c>
      <c r="W213" s="51">
        <f t="shared" si="694"/>
        <v>0</v>
      </c>
      <c r="X213" s="51">
        <f t="shared" si="695"/>
        <v>0</v>
      </c>
      <c r="Y213" s="51">
        <f t="shared" si="696"/>
        <v>0</v>
      </c>
      <c r="Z213" s="51">
        <f t="shared" si="697"/>
        <v>0</v>
      </c>
      <c r="AA213" s="51">
        <f t="shared" si="698"/>
        <v>0</v>
      </c>
      <c r="AB213" s="51">
        <f t="shared" si="699"/>
        <v>0</v>
      </c>
      <c r="AC213" s="51">
        <f t="shared" si="700"/>
        <v>0</v>
      </c>
      <c r="AD213" s="51">
        <f t="shared" si="701"/>
        <v>0</v>
      </c>
      <c r="AE213" s="51">
        <f t="shared" si="702"/>
        <v>0</v>
      </c>
      <c r="AF213" s="51">
        <f t="shared" si="703"/>
        <v>0</v>
      </c>
      <c r="AG213" s="51">
        <f t="shared" si="704"/>
        <v>0</v>
      </c>
      <c r="AH213" s="54">
        <f t="shared" si="705"/>
        <v>0</v>
      </c>
      <c r="AI213" s="55">
        <f t="shared" si="706"/>
        <v>0</v>
      </c>
      <c r="AJ213" s="56">
        <f>IF(AND($E213&lt;&gt;0,$F213&gt;0,YEAR($F213)&gt;=Preisindex!$A$6,YEAR(AE$4)&gt;=YEAR($F213),AND($K213&lt;&gt;"a",$K213&lt;&gt;"b",$K213&lt;&gt;"g",$K213&lt;&gt;"k")),1,IF(AND($E213&lt;&gt;0,$F213&gt;0,YEAR($F213)&gt;=Preisindex!$A$6,YEAR(AE$4)&gt;=YEAR($F213),$K213="a"),ROUND(VLOOKUP(AJ$4,Preisindex,5,FALSE)/VLOOKUP(YEAR($F213),Preisindex,5,FALSE),2),IF(AND($E213&lt;&gt;0,$F213&gt;0,YEAR($F213)&gt;=Preisindex!$A$6,YEAR(AE$4)&gt;=YEAR($F213),$K213="b"),ROUND(VLOOKUP(AJ$4,Preisindex,3,FALSE)/VLOOKUP(YEAR($F213),Preisindex,3,FALSE),2),IF(AND($E213&lt;&gt;0,$F213&gt;0,YEAR($F213)&gt;=Preisindex!$A$6,YEAR(AE$4)&gt;=YEAR($F213),$K213="g"),ROUND(VLOOKUP(AJ$4,Preisindex,4,FALSE)/VLOOKUP(YEAR($F213),Preisindex,4,FALSE),2),IF(AND($E213&lt;&gt;0,$F213&gt;0,YEAR($F213)&gt;=Preisindex!$A$6,YEAR(AE$4)&gt;=YEAR($F213),$K213="k"),ROUND(VLOOKUP(AJ$4,Preisindex,2,FALSE)/VLOOKUP(YEAR($F213),Preisindex,2,FALSE),2),0)))))</f>
        <v>0</v>
      </c>
      <c r="AK213" s="56">
        <f>IF(AND($E213&lt;&gt;0,$F213&gt;0,YEAR($F213)&lt;Preisindex!$A$6,YEAR(AE$4)&gt;=YEAR($F213),AND($K213&lt;&gt;"a",$K213&lt;&gt;"b",$K213&lt;&gt;"g",$K213&lt;&gt;"k")),1,IF(AND($E213&lt;&gt;0,$F213&gt;0,YEAR($F213)&lt;Preisindex!$A$6,YEAR(AE$4)&gt;=YEAR($F213),$K213="a"),ROUND(VLOOKUP(AJ$4,Preisindex,5,FALSE)/VLOOKUP(Preisindex!$A$6,Preisindex,5,FALSE),2),IF(AND($E213&lt;&gt;0,$F213&gt;0,YEAR($F213)&lt;Preisindex!$A$6,YEAR(AE$4)&gt;=YEAR($F213),$K213="b"),ROUND(VLOOKUP(AJ$4,Preisindex,3,FALSE)/VLOOKUP(Preisindex!$A$6,Preisindex,3,FALSE),2),IF(AND($E213&lt;&gt;0,$F213&gt;0,YEAR($F213)&lt;Preisindex!$A$6,YEAR(AE$4)&gt;=YEAR($F213),$K213="g"),ROUND(VLOOKUP(AJ$4,Preisindex,4,FALSE)/VLOOKUP(Preisindex!$A$6,Preisindex,4,FALSE),2),IF(AND($E213&lt;&gt;0,$F213&gt;0,YEAR($F213)&lt;Preisindex!$A$6,YEAR(AE$4)&gt;=YEAR($F213),$K213="k"),ROUND(VLOOKUP(AJ$4,Preisindex,2,FALSE)/VLOOKUP(Preisindex!$A$6,Preisindex,2,FALSE),2),0)))))</f>
        <v>0</v>
      </c>
      <c r="AL213" s="51">
        <f>IF(AND($E213&lt;&gt;0,$F213&gt;0,YEAR($F213)&lt;=AJ$4,YEAR($F213)&gt;=Preisindex!$A$6),ROUND($E213*AJ213,2),IF(AND($E213&lt;&gt;0,$F213&gt;0,YEAR($F213)&lt;=AJ$4,YEAR($F213)&lt;Preisindex!$A$6),ROUND($E213*AK213,2),0))</f>
        <v>0</v>
      </c>
      <c r="AM213" s="53">
        <f t="shared" si="707"/>
        <v>0</v>
      </c>
      <c r="AN213" s="51">
        <f t="shared" ref="AN213:CM228" si="708">IF(YEAR($F213)=AN$4,$E213,0)</f>
        <v>0</v>
      </c>
      <c r="AO213" s="51">
        <f t="shared" si="579"/>
        <v>0</v>
      </c>
      <c r="AP213" s="51">
        <f t="shared" si="624"/>
        <v>0</v>
      </c>
      <c r="AQ213" s="51">
        <f t="shared" si="580"/>
        <v>0</v>
      </c>
      <c r="AR213" s="51">
        <f t="shared" si="625"/>
        <v>0</v>
      </c>
      <c r="AS213" s="51">
        <f t="shared" si="581"/>
        <v>0</v>
      </c>
      <c r="AT213" s="51">
        <f t="shared" si="626"/>
        <v>0</v>
      </c>
      <c r="AU213" s="51">
        <f t="shared" si="582"/>
        <v>0</v>
      </c>
      <c r="AV213" s="51">
        <f t="shared" si="627"/>
        <v>0</v>
      </c>
      <c r="AW213" s="51">
        <f t="shared" si="583"/>
        <v>0</v>
      </c>
      <c r="AX213" s="51">
        <f t="shared" si="628"/>
        <v>0</v>
      </c>
      <c r="AY213" s="54">
        <f t="shared" si="629"/>
        <v>0</v>
      </c>
      <c r="AZ213" s="55">
        <f t="shared" si="630"/>
        <v>0</v>
      </c>
      <c r="BA213" s="56">
        <f>IF(AND($E213&lt;&gt;0,$F213&gt;0,YEAR($F213)&gt;=Preisindex!$A$6,YEAR(AV$4)&gt;=YEAR($F213),AND($K213&lt;&gt;"a",$K213&lt;&gt;"b",$K213&lt;&gt;"g",$K213&lt;&gt;"k")),1,IF(AND($E213&lt;&gt;0,$F213&gt;0,YEAR($F213)&gt;=Preisindex!$A$6,YEAR(AV$4)&gt;=YEAR($F213),$K213="a"),ROUND(VLOOKUP(BA$4,Preisindex,5,FALSE)/VLOOKUP(YEAR($F213),Preisindex,5,FALSE),2),IF(AND($E213&lt;&gt;0,$F213&gt;0,YEAR($F213)&gt;=Preisindex!$A$6,YEAR(AV$4)&gt;=YEAR($F213),$K213="b"),ROUND(VLOOKUP(BA$4,Preisindex,3,FALSE)/VLOOKUP(YEAR($F213),Preisindex,3,FALSE),2),IF(AND($E213&lt;&gt;0,$F213&gt;0,YEAR($F213)&gt;=Preisindex!$A$6,YEAR(AV$4)&gt;=YEAR($F213),$K213="g"),ROUND(VLOOKUP(BA$4,Preisindex,4,FALSE)/VLOOKUP(YEAR($F213),Preisindex,4,FALSE),2),IF(AND($E213&lt;&gt;0,$F213&gt;0,YEAR($F213)&gt;=Preisindex!$A$6,YEAR(AV$4)&gt;=YEAR($F213),$K213="k"),ROUND(VLOOKUP(BA$4,Preisindex,2,FALSE)/VLOOKUP(YEAR($F213),Preisindex,2,FALSE),2),0)))))</f>
        <v>0</v>
      </c>
      <c r="BB213" s="56">
        <f>IF(AND($E213&lt;&gt;0,$F213&gt;0,YEAR($F213)&lt;Preisindex!$A$6,YEAR(AV$4)&gt;=YEAR($F213),AND($K213&lt;&gt;"a",$K213&lt;&gt;"b",$K213&lt;&gt;"g",$K213&lt;&gt;"k")),1,IF(AND($E213&lt;&gt;0,$F213&gt;0,YEAR($F213)&lt;Preisindex!$A$6,YEAR(AV$4)&gt;=YEAR($F213),$K213="a"),ROUND(VLOOKUP(BA$4,Preisindex,5,FALSE)/VLOOKUP(Preisindex!$A$6,Preisindex,5,FALSE),2),IF(AND($E213&lt;&gt;0,$F213&gt;0,YEAR($F213)&lt;Preisindex!$A$6,YEAR(AV$4)&gt;=YEAR($F213),$K213="b"),ROUND(VLOOKUP(BA$4,Preisindex,3,FALSE)/VLOOKUP(Preisindex!$A$6,Preisindex,3,FALSE),2),IF(AND($E213&lt;&gt;0,$F213&gt;0,YEAR($F213)&lt;Preisindex!$A$6,YEAR(AV$4)&gt;=YEAR($F213),$K213="g"),ROUND(VLOOKUP(BA$4,Preisindex,4,FALSE)/VLOOKUP(Preisindex!$A$6,Preisindex,4,FALSE),2),IF(AND($E213&lt;&gt;0,$F213&gt;0,YEAR($F213)&lt;Preisindex!$A$6,YEAR(AV$4)&gt;=YEAR($F213),$K213="k"),ROUND(VLOOKUP(BA$4,Preisindex,2,FALSE)/VLOOKUP(Preisindex!$A$6,Preisindex,2,FALSE),2),0)))))</f>
        <v>0</v>
      </c>
      <c r="BC213" s="51">
        <f>IF(AND($E213&lt;&gt;0,$F213&gt;0,YEAR($F213)&lt;=BA$4,YEAR($F213)&gt;=Preisindex!$A$6),ROUND($E213*BA213,2),IF(AND($E213&lt;&gt;0,$F213&gt;0,YEAR($F213)&lt;=BA$4,YEAR($F213)&lt;Preisindex!$A$6),ROUND($E213*BB213,2),0))</f>
        <v>0</v>
      </c>
      <c r="BD213" s="53">
        <f t="shared" si="631"/>
        <v>0</v>
      </c>
      <c r="BE213" s="51">
        <f t="shared" si="708"/>
        <v>0</v>
      </c>
      <c r="BF213" s="51">
        <f t="shared" si="584"/>
        <v>0</v>
      </c>
      <c r="BG213" s="51">
        <f t="shared" si="632"/>
        <v>0</v>
      </c>
      <c r="BH213" s="51">
        <f t="shared" si="585"/>
        <v>0</v>
      </c>
      <c r="BI213" s="51">
        <f t="shared" si="633"/>
        <v>0</v>
      </c>
      <c r="BJ213" s="51">
        <f t="shared" si="586"/>
        <v>0</v>
      </c>
      <c r="BK213" s="51">
        <f t="shared" si="634"/>
        <v>0</v>
      </c>
      <c r="BL213" s="51">
        <f t="shared" si="587"/>
        <v>0</v>
      </c>
      <c r="BM213" s="51">
        <f t="shared" si="635"/>
        <v>0</v>
      </c>
      <c r="BN213" s="51">
        <f t="shared" si="588"/>
        <v>0</v>
      </c>
      <c r="BO213" s="51">
        <f t="shared" si="636"/>
        <v>0</v>
      </c>
      <c r="BP213" s="54">
        <f t="shared" si="637"/>
        <v>0</v>
      </c>
      <c r="BQ213" s="55">
        <f t="shared" si="638"/>
        <v>0</v>
      </c>
      <c r="BR213" s="56">
        <f>IF(AND($E213&lt;&gt;0,$F213&gt;0,YEAR($F213)&gt;=Preisindex!$A$6,YEAR(BM$4)&gt;=YEAR($F213),AND($K213&lt;&gt;"a",$K213&lt;&gt;"b",$K213&lt;&gt;"g",$K213&lt;&gt;"k")),1,IF(AND($E213&lt;&gt;0,$F213&gt;0,YEAR($F213)&gt;=Preisindex!$A$6,YEAR(BM$4)&gt;=YEAR($F213),$K213="a"),ROUND(VLOOKUP(BR$4,Preisindex,5,FALSE)/VLOOKUP(YEAR($F213),Preisindex,5,FALSE),2),IF(AND($E213&lt;&gt;0,$F213&gt;0,YEAR($F213)&gt;=Preisindex!$A$6,YEAR(BM$4)&gt;=YEAR($F213),$K213="b"),ROUND(VLOOKUP(BR$4,Preisindex,3,FALSE)/VLOOKUP(YEAR($F213),Preisindex,3,FALSE),2),IF(AND($E213&lt;&gt;0,$F213&gt;0,YEAR($F213)&gt;=Preisindex!$A$6,YEAR(BM$4)&gt;=YEAR($F213),$K213="g"),ROUND(VLOOKUP(BR$4,Preisindex,4,FALSE)/VLOOKUP(YEAR($F213),Preisindex,4,FALSE),2),IF(AND($E213&lt;&gt;0,$F213&gt;0,YEAR($F213)&gt;=Preisindex!$A$6,YEAR(BM$4)&gt;=YEAR($F213),$K213="k"),ROUND(VLOOKUP(BR$4,Preisindex,2,FALSE)/VLOOKUP(YEAR($F213),Preisindex,2,FALSE),2),0)))))</f>
        <v>0</v>
      </c>
      <c r="BS213" s="56">
        <f>IF(AND($E213&lt;&gt;0,$F213&gt;0,YEAR($F213)&lt;Preisindex!$A$6,YEAR(BM$4)&gt;=YEAR($F213),AND($K213&lt;&gt;"a",$K213&lt;&gt;"b",$K213&lt;&gt;"g",$K213&lt;&gt;"k")),1,IF(AND($E213&lt;&gt;0,$F213&gt;0,YEAR($F213)&lt;Preisindex!$A$6,YEAR(BM$4)&gt;=YEAR($F213),$K213="a"),ROUND(VLOOKUP(BR$4,Preisindex,5,FALSE)/VLOOKUP(Preisindex!$A$6,Preisindex,5,FALSE),2),IF(AND($E213&lt;&gt;0,$F213&gt;0,YEAR($F213)&lt;Preisindex!$A$6,YEAR(BM$4)&gt;=YEAR($F213),$K213="b"),ROUND(VLOOKUP(BR$4,Preisindex,3,FALSE)/VLOOKUP(Preisindex!$A$6,Preisindex,3,FALSE),2),IF(AND($E213&lt;&gt;0,$F213&gt;0,YEAR($F213)&lt;Preisindex!$A$6,YEAR(BM$4)&gt;=YEAR($F213),$K213="g"),ROUND(VLOOKUP(BR$4,Preisindex,4,FALSE)/VLOOKUP(Preisindex!$A$6,Preisindex,4,FALSE),2),IF(AND($E213&lt;&gt;0,$F213&gt;0,YEAR($F213)&lt;Preisindex!$A$6,YEAR(BM$4)&gt;=YEAR($F213),$K213="k"),ROUND(VLOOKUP(BR$4,Preisindex,2,FALSE)/VLOOKUP(Preisindex!$A$6,Preisindex,2,FALSE),2),0)))))</f>
        <v>0</v>
      </c>
      <c r="BT213" s="51">
        <f>IF(AND($E213&lt;&gt;0,$F213&gt;0,YEAR($F213)&lt;=BR$4,YEAR($F213)&gt;=Preisindex!$A$6),ROUND($E213*BR213,2),IF(AND($E213&lt;&gt;0,$F213&gt;0,YEAR($F213)&lt;=BR$4,YEAR($F213)&lt;Preisindex!$A$6),ROUND($E213*BS213,2),0))</f>
        <v>0</v>
      </c>
      <c r="BU213" s="53">
        <f t="shared" si="639"/>
        <v>0</v>
      </c>
      <c r="BV213" s="51">
        <f t="shared" si="708"/>
        <v>0</v>
      </c>
      <c r="BW213" s="51">
        <f t="shared" si="589"/>
        <v>0</v>
      </c>
      <c r="BX213" s="51">
        <f t="shared" si="640"/>
        <v>0</v>
      </c>
      <c r="BY213" s="51">
        <f t="shared" si="590"/>
        <v>0</v>
      </c>
      <c r="BZ213" s="51">
        <f t="shared" si="641"/>
        <v>0</v>
      </c>
      <c r="CA213" s="51">
        <f t="shared" si="591"/>
        <v>0</v>
      </c>
      <c r="CB213" s="51">
        <f t="shared" si="642"/>
        <v>0</v>
      </c>
      <c r="CC213" s="51">
        <f t="shared" si="592"/>
        <v>0</v>
      </c>
      <c r="CD213" s="51">
        <f t="shared" si="643"/>
        <v>0</v>
      </c>
      <c r="CE213" s="51">
        <f t="shared" si="593"/>
        <v>0</v>
      </c>
      <c r="CF213" s="51">
        <f t="shared" si="644"/>
        <v>0</v>
      </c>
      <c r="CG213" s="54">
        <f t="shared" si="645"/>
        <v>0</v>
      </c>
      <c r="CH213" s="55">
        <f t="shared" si="646"/>
        <v>0</v>
      </c>
      <c r="CI213" s="56">
        <f>IF(AND($E213&lt;&gt;0,$F213&gt;0,YEAR($F213)&gt;=Preisindex!$A$6,YEAR(CD$4)&gt;=YEAR($F213),AND($K213&lt;&gt;"a",$K213&lt;&gt;"b",$K213&lt;&gt;"g",$K213&lt;&gt;"k")),1,IF(AND($E213&lt;&gt;0,$F213&gt;0,YEAR($F213)&gt;=Preisindex!$A$6,YEAR(CD$4)&gt;=YEAR($F213),$K213="a"),ROUND(VLOOKUP(CI$4,Preisindex,5,FALSE)/VLOOKUP(YEAR($F213),Preisindex,5,FALSE),2),IF(AND($E213&lt;&gt;0,$F213&gt;0,YEAR($F213)&gt;=Preisindex!$A$6,YEAR(CD$4)&gt;=YEAR($F213),$K213="b"),ROUND(VLOOKUP(CI$4,Preisindex,3,FALSE)/VLOOKUP(YEAR($F213),Preisindex,3,FALSE),2),IF(AND($E213&lt;&gt;0,$F213&gt;0,YEAR($F213)&gt;=Preisindex!$A$6,YEAR(CD$4)&gt;=YEAR($F213),$K213="g"),ROUND(VLOOKUP(CI$4,Preisindex,4,FALSE)/VLOOKUP(YEAR($F213),Preisindex,4,FALSE),2),IF(AND($E213&lt;&gt;0,$F213&gt;0,YEAR($F213)&gt;=Preisindex!$A$6,YEAR(CD$4)&gt;=YEAR($F213),$K213="k"),ROUND(VLOOKUP(CI$4,Preisindex,2,FALSE)/VLOOKUP(YEAR($F213),Preisindex,2,FALSE),2),0)))))</f>
        <v>0</v>
      </c>
      <c r="CJ213" s="56">
        <f>IF(AND($E213&lt;&gt;0,$F213&gt;0,YEAR($F213)&lt;Preisindex!$A$6,YEAR(CD$4)&gt;=YEAR($F213),AND($K213&lt;&gt;"a",$K213&lt;&gt;"b",$K213&lt;&gt;"g",$K213&lt;&gt;"k")),1,IF(AND($E213&lt;&gt;0,$F213&gt;0,YEAR($F213)&lt;Preisindex!$A$6,YEAR(CD$4)&gt;=YEAR($F213),$K213="a"),ROUND(VLOOKUP(CI$4,Preisindex,5,FALSE)/VLOOKUP(Preisindex!$A$6,Preisindex,5,FALSE),2),IF(AND($E213&lt;&gt;0,$F213&gt;0,YEAR($F213)&lt;Preisindex!$A$6,YEAR(CD$4)&gt;=YEAR($F213),$K213="b"),ROUND(VLOOKUP(CI$4,Preisindex,3,FALSE)/VLOOKUP(Preisindex!$A$6,Preisindex,3,FALSE),2),IF(AND($E213&lt;&gt;0,$F213&gt;0,YEAR($F213)&lt;Preisindex!$A$6,YEAR(CD$4)&gt;=YEAR($F213),$K213="g"),ROUND(VLOOKUP(CI$4,Preisindex,4,FALSE)/VLOOKUP(Preisindex!$A$6,Preisindex,4,FALSE),2),IF(AND($E213&lt;&gt;0,$F213&gt;0,YEAR($F213)&lt;Preisindex!$A$6,YEAR(CD$4)&gt;=YEAR($F213),$K213="k"),ROUND(VLOOKUP(CI$4,Preisindex,2,FALSE)/VLOOKUP(Preisindex!$A$6,Preisindex,2,FALSE),2),0)))))</f>
        <v>0</v>
      </c>
      <c r="CK213" s="51">
        <f>IF(AND($E213&lt;&gt;0,$F213&gt;0,YEAR($F213)&lt;=CI$4,YEAR($F213)&gt;=Preisindex!$A$6),ROUND($E213*CI213,2),IF(AND($E213&lt;&gt;0,$F213&gt;0,YEAR($F213)&lt;=CI$4,YEAR($F213)&lt;Preisindex!$A$6),ROUND($E213*CJ213,2),0))</f>
        <v>0</v>
      </c>
      <c r="CL213" s="53">
        <f t="shared" si="647"/>
        <v>0</v>
      </c>
      <c r="CM213" s="51">
        <f t="shared" si="708"/>
        <v>0</v>
      </c>
      <c r="CN213" s="51">
        <f t="shared" si="594"/>
        <v>0</v>
      </c>
      <c r="CO213" s="51">
        <f t="shared" si="648"/>
        <v>0</v>
      </c>
      <c r="CP213" s="51">
        <f t="shared" si="595"/>
        <v>0</v>
      </c>
      <c r="CQ213" s="51">
        <f t="shared" si="649"/>
        <v>0</v>
      </c>
      <c r="CR213" s="51">
        <f t="shared" si="596"/>
        <v>0</v>
      </c>
      <c r="CS213" s="51">
        <f t="shared" si="650"/>
        <v>0</v>
      </c>
      <c r="CT213" s="51">
        <f t="shared" si="597"/>
        <v>0</v>
      </c>
      <c r="CU213" s="51">
        <f t="shared" si="651"/>
        <v>0</v>
      </c>
      <c r="CV213" s="51">
        <f t="shared" si="598"/>
        <v>0</v>
      </c>
      <c r="CW213" s="51">
        <f t="shared" si="652"/>
        <v>0</v>
      </c>
      <c r="CX213" s="54">
        <f t="shared" si="653"/>
        <v>0</v>
      </c>
      <c r="CY213" s="55">
        <f t="shared" si="654"/>
        <v>0</v>
      </c>
      <c r="CZ213" s="56">
        <f>IF(AND($E213&lt;&gt;0,$F213&gt;0,YEAR($F213)&gt;=Preisindex!$A$6,YEAR(CU$4)&gt;=YEAR($F213),AND($K213&lt;&gt;"a",$K213&lt;&gt;"b",$K213&lt;&gt;"g",$K213&lt;&gt;"k")),1,IF(AND($E213&lt;&gt;0,$F213&gt;0,YEAR($F213)&gt;=Preisindex!$A$6,YEAR(CU$4)&gt;=YEAR($F213),$K213="a"),ROUND(VLOOKUP(CZ$4,Preisindex,5,FALSE)/VLOOKUP(YEAR($F213),Preisindex,5,FALSE),2),IF(AND($E213&lt;&gt;0,$F213&gt;0,YEAR($F213)&gt;=Preisindex!$A$6,YEAR(CU$4)&gt;=YEAR($F213),$K213="b"),ROUND(VLOOKUP(CZ$4,Preisindex,3,FALSE)/VLOOKUP(YEAR($F213),Preisindex,3,FALSE),2),IF(AND($E213&lt;&gt;0,$F213&gt;0,YEAR($F213)&gt;=Preisindex!$A$6,YEAR(CU$4)&gt;=YEAR($F213),$K213="g"),ROUND(VLOOKUP(CZ$4,Preisindex,4,FALSE)/VLOOKUP(YEAR($F213),Preisindex,4,FALSE),2),IF(AND($E213&lt;&gt;0,$F213&gt;0,YEAR($F213)&gt;=Preisindex!$A$6,YEAR(CU$4)&gt;=YEAR($F213),$K213="k"),ROUND(VLOOKUP(CZ$4,Preisindex,2,FALSE)/VLOOKUP(YEAR($F213),Preisindex,2,FALSE),2),0)))))</f>
        <v>0</v>
      </c>
      <c r="DA213" s="56">
        <f>IF(AND($E213&lt;&gt;0,$F213&gt;0,YEAR($F213)&lt;Preisindex!$A$6,YEAR(CU$4)&gt;=YEAR($F213),AND($K213&lt;&gt;"a",$K213&lt;&gt;"b",$K213&lt;&gt;"g",$K213&lt;&gt;"k")),1,IF(AND($E213&lt;&gt;0,$F213&gt;0,YEAR($F213)&lt;Preisindex!$A$6,YEAR(CU$4)&gt;=YEAR($F213),$K213="a"),ROUND(VLOOKUP(CZ$4,Preisindex,5,FALSE)/VLOOKUP(Preisindex!$A$6,Preisindex,5,FALSE),2),IF(AND($E213&lt;&gt;0,$F213&gt;0,YEAR($F213)&lt;Preisindex!$A$6,YEAR(CU$4)&gt;=YEAR($F213),$K213="b"),ROUND(VLOOKUP(CZ$4,Preisindex,3,FALSE)/VLOOKUP(Preisindex!$A$6,Preisindex,3,FALSE),2),IF(AND($E213&lt;&gt;0,$F213&gt;0,YEAR($F213)&lt;Preisindex!$A$6,YEAR(CU$4)&gt;=YEAR($F213),$K213="g"),ROUND(VLOOKUP(CZ$4,Preisindex,4,FALSE)/VLOOKUP(Preisindex!$A$6,Preisindex,4,FALSE),2),IF(AND($E213&lt;&gt;0,$F213&gt;0,YEAR($F213)&lt;Preisindex!$A$6,YEAR(CU$4)&gt;=YEAR($F213),$K213="k"),ROUND(VLOOKUP(CZ$4,Preisindex,2,FALSE)/VLOOKUP(Preisindex!$A$6,Preisindex,2,FALSE),2),0)))))</f>
        <v>0</v>
      </c>
      <c r="DB213" s="51">
        <f>IF(AND($E213&lt;&gt;0,$F213&gt;0,YEAR($F213)&lt;=CZ$4,YEAR($F213)&gt;=Preisindex!$A$6),ROUND($E213*CZ213,2),IF(AND($E213&lt;&gt;0,$F213&gt;0,YEAR($F213)&lt;=CZ$4,YEAR($F213)&lt;Preisindex!$A$6),ROUND($E213*DA213,2),0))</f>
        <v>0</v>
      </c>
      <c r="DC213" s="53">
        <f t="shared" si="655"/>
        <v>0</v>
      </c>
      <c r="DD213" s="51">
        <f t="shared" ref="DD213:FC228" si="709">IF(YEAR($F213)=DD$4,$E213,0)</f>
        <v>0</v>
      </c>
      <c r="DE213" s="51">
        <f t="shared" si="599"/>
        <v>0</v>
      </c>
      <c r="DF213" s="51">
        <f t="shared" si="657"/>
        <v>0</v>
      </c>
      <c r="DG213" s="51">
        <f t="shared" si="600"/>
        <v>0</v>
      </c>
      <c r="DH213" s="51">
        <f t="shared" si="658"/>
        <v>0</v>
      </c>
      <c r="DI213" s="51">
        <f t="shared" si="601"/>
        <v>0</v>
      </c>
      <c r="DJ213" s="51">
        <f t="shared" si="659"/>
        <v>0</v>
      </c>
      <c r="DK213" s="51">
        <f t="shared" si="602"/>
        <v>0</v>
      </c>
      <c r="DL213" s="51">
        <f t="shared" si="660"/>
        <v>0</v>
      </c>
      <c r="DM213" s="51">
        <f t="shared" si="603"/>
        <v>0</v>
      </c>
      <c r="DN213" s="51">
        <f t="shared" si="661"/>
        <v>0</v>
      </c>
      <c r="DO213" s="54">
        <f t="shared" si="662"/>
        <v>0</v>
      </c>
      <c r="DP213" s="55">
        <f t="shared" si="663"/>
        <v>0</v>
      </c>
      <c r="DQ213" s="56">
        <f>IF(AND($E213&lt;&gt;0,$F213&gt;0,YEAR($F213)&gt;=Preisindex!$A$6,YEAR(DL$4)&gt;=YEAR($F213),AND($K213&lt;&gt;"a",$K213&lt;&gt;"b",$K213&lt;&gt;"g",$K213&lt;&gt;"k")),1,IF(AND($E213&lt;&gt;0,$F213&gt;0,YEAR($F213)&gt;=Preisindex!$A$6,YEAR(DL$4)&gt;=YEAR($F213),$K213="a"),ROUND(VLOOKUP(DQ$4,Preisindex,5,FALSE)/VLOOKUP(YEAR($F213),Preisindex,5,FALSE),2),IF(AND($E213&lt;&gt;0,$F213&gt;0,YEAR($F213)&gt;=Preisindex!$A$6,YEAR(DL$4)&gt;=YEAR($F213),$K213="b"),ROUND(VLOOKUP(DQ$4,Preisindex,3,FALSE)/VLOOKUP(YEAR($F213),Preisindex,3,FALSE),2),IF(AND($E213&lt;&gt;0,$F213&gt;0,YEAR($F213)&gt;=Preisindex!$A$6,YEAR(DL$4)&gt;=YEAR($F213),$K213="g"),ROUND(VLOOKUP(DQ$4,Preisindex,4,FALSE)/VLOOKUP(YEAR($F213),Preisindex,4,FALSE),2),IF(AND($E213&lt;&gt;0,$F213&gt;0,YEAR($F213)&gt;=Preisindex!$A$6,YEAR(DL$4)&gt;=YEAR($F213),$K213="k"),ROUND(VLOOKUP(DQ$4,Preisindex,2,FALSE)/VLOOKUP(YEAR($F213),Preisindex,2,FALSE),2),0)))))</f>
        <v>0</v>
      </c>
      <c r="DR213" s="56">
        <f>IF(AND($E213&lt;&gt;0,$F213&gt;0,YEAR($F213)&lt;Preisindex!$A$6,YEAR(DL$4)&gt;=YEAR($F213),AND($K213&lt;&gt;"a",$K213&lt;&gt;"b",$K213&lt;&gt;"g",$K213&lt;&gt;"k")),1,IF(AND($E213&lt;&gt;0,$F213&gt;0,YEAR($F213)&lt;Preisindex!$A$6,YEAR(DL$4)&gt;=YEAR($F213),$K213="a"),ROUND(VLOOKUP(DQ$4,Preisindex,5,FALSE)/VLOOKUP(Preisindex!$A$6,Preisindex,5,FALSE),2),IF(AND($E213&lt;&gt;0,$F213&gt;0,YEAR($F213)&lt;Preisindex!$A$6,YEAR(DL$4)&gt;=YEAR($F213),$K213="b"),ROUND(VLOOKUP(DQ$4,Preisindex,3,FALSE)/VLOOKUP(Preisindex!$A$6,Preisindex,3,FALSE),2),IF(AND($E213&lt;&gt;0,$F213&gt;0,YEAR($F213)&lt;Preisindex!$A$6,YEAR(DL$4)&gt;=YEAR($F213),$K213="g"),ROUND(VLOOKUP(DQ$4,Preisindex,4,FALSE)/VLOOKUP(Preisindex!$A$6,Preisindex,4,FALSE),2),IF(AND($E213&lt;&gt;0,$F213&gt;0,YEAR($F213)&lt;Preisindex!$A$6,YEAR(DL$4)&gt;=YEAR($F213),$K213="k"),ROUND(VLOOKUP(DQ$4,Preisindex,2,FALSE)/VLOOKUP(Preisindex!$A$6,Preisindex,2,FALSE),2),0)))))</f>
        <v>0</v>
      </c>
      <c r="DS213" s="51">
        <f>IF(AND($E213&lt;&gt;0,$F213&gt;0,YEAR($F213)&lt;=DQ$4,YEAR($F213)&gt;=Preisindex!$A$6),ROUND($E213*DQ213,2),IF(AND($E213&lt;&gt;0,$F213&gt;0,YEAR($F213)&lt;=DQ$4,YEAR($F213)&lt;Preisindex!$A$6),ROUND($E213*DR213,2),0))</f>
        <v>0</v>
      </c>
      <c r="DT213" s="53">
        <f t="shared" si="664"/>
        <v>0</v>
      </c>
      <c r="DU213" s="51">
        <f t="shared" si="709"/>
        <v>0</v>
      </c>
      <c r="DV213" s="51">
        <f t="shared" si="604"/>
        <v>0</v>
      </c>
      <c r="DW213" s="51">
        <f t="shared" si="665"/>
        <v>0</v>
      </c>
      <c r="DX213" s="51">
        <f t="shared" si="605"/>
        <v>0</v>
      </c>
      <c r="DY213" s="51">
        <f t="shared" si="666"/>
        <v>0</v>
      </c>
      <c r="DZ213" s="51">
        <f t="shared" si="606"/>
        <v>0</v>
      </c>
      <c r="EA213" s="51">
        <f t="shared" si="667"/>
        <v>0</v>
      </c>
      <c r="EB213" s="51">
        <f t="shared" si="607"/>
        <v>0</v>
      </c>
      <c r="EC213" s="51">
        <f t="shared" si="668"/>
        <v>0</v>
      </c>
      <c r="ED213" s="51">
        <f t="shared" si="608"/>
        <v>0</v>
      </c>
      <c r="EE213" s="51">
        <f t="shared" si="669"/>
        <v>0</v>
      </c>
      <c r="EF213" s="54">
        <f t="shared" si="670"/>
        <v>0</v>
      </c>
      <c r="EG213" s="55">
        <f t="shared" si="671"/>
        <v>0</v>
      </c>
      <c r="EH213" s="56">
        <f>IF(AND($E213&lt;&gt;0,$F213&gt;0,YEAR($F213)&gt;=Preisindex!$A$6,YEAR(EC$4)&gt;=YEAR($F213),AND($K213&lt;&gt;"a",$K213&lt;&gt;"b",$K213&lt;&gt;"g",$K213&lt;&gt;"k")),1,IF(AND($E213&lt;&gt;0,$F213&gt;0,YEAR($F213)&gt;=Preisindex!$A$6,YEAR(EC$4)&gt;=YEAR($F213),$K213="a"),ROUND(VLOOKUP(EH$4,Preisindex,5,FALSE)/VLOOKUP(YEAR($F213),Preisindex,5,FALSE),2),IF(AND($E213&lt;&gt;0,$F213&gt;0,YEAR($F213)&gt;=Preisindex!$A$6,YEAR(EC$4)&gt;=YEAR($F213),$K213="b"),ROUND(VLOOKUP(EH$4,Preisindex,3,FALSE)/VLOOKUP(YEAR($F213),Preisindex,3,FALSE),2),IF(AND($E213&lt;&gt;0,$F213&gt;0,YEAR($F213)&gt;=Preisindex!$A$6,YEAR(EC$4)&gt;=YEAR($F213),$K213="g"),ROUND(VLOOKUP(EH$4,Preisindex,4,FALSE)/VLOOKUP(YEAR($F213),Preisindex,4,FALSE),2),IF(AND($E213&lt;&gt;0,$F213&gt;0,YEAR($F213)&gt;=Preisindex!$A$6,YEAR(EC$4)&gt;=YEAR($F213),$K213="k"),ROUND(VLOOKUP(EH$4,Preisindex,2,FALSE)/VLOOKUP(YEAR($F213),Preisindex,2,FALSE),2),0)))))</f>
        <v>0</v>
      </c>
      <c r="EI213" s="56">
        <f>IF(AND($E213&lt;&gt;0,$F213&gt;0,YEAR($F213)&lt;Preisindex!$A$6,YEAR(EC$4)&gt;=YEAR($F213),AND($K213&lt;&gt;"a",$K213&lt;&gt;"b",$K213&lt;&gt;"g",$K213&lt;&gt;"k")),1,IF(AND($E213&lt;&gt;0,$F213&gt;0,YEAR($F213)&lt;Preisindex!$A$6,YEAR(EC$4)&gt;=YEAR($F213),$K213="a"),ROUND(VLOOKUP(EH$4,Preisindex,5,FALSE)/VLOOKUP(Preisindex!$A$6,Preisindex,5,FALSE),2),IF(AND($E213&lt;&gt;0,$F213&gt;0,YEAR($F213)&lt;Preisindex!$A$6,YEAR(EC$4)&gt;=YEAR($F213),$K213="b"),ROUND(VLOOKUP(EH$4,Preisindex,3,FALSE)/VLOOKUP(Preisindex!$A$6,Preisindex,3,FALSE),2),IF(AND($E213&lt;&gt;0,$F213&gt;0,YEAR($F213)&lt;Preisindex!$A$6,YEAR(EC$4)&gt;=YEAR($F213),$K213="g"),ROUND(VLOOKUP(EH$4,Preisindex,4,FALSE)/VLOOKUP(Preisindex!$A$6,Preisindex,4,FALSE),2),IF(AND($E213&lt;&gt;0,$F213&gt;0,YEAR($F213)&lt;Preisindex!$A$6,YEAR(EC$4)&gt;=YEAR($F213),$K213="k"),ROUND(VLOOKUP(EH$4,Preisindex,2,FALSE)/VLOOKUP(Preisindex!$A$6,Preisindex,2,FALSE),2),0)))))</f>
        <v>0</v>
      </c>
      <c r="EJ213" s="51">
        <f>IF(AND($E213&lt;&gt;0,$F213&gt;0,YEAR($F213)&lt;=EH$4,YEAR($F213)&gt;=Preisindex!$A$6),ROUND($E213*EH213,2),IF(AND($E213&lt;&gt;0,$F213&gt;0,YEAR($F213)&lt;=EH$4,YEAR($F213)&lt;Preisindex!$A$6),ROUND($E213*EI213,2),0))</f>
        <v>0</v>
      </c>
      <c r="EK213" s="53">
        <f t="shared" si="672"/>
        <v>0</v>
      </c>
      <c r="EL213" s="51">
        <f t="shared" si="709"/>
        <v>0</v>
      </c>
      <c r="EM213" s="51">
        <f t="shared" si="609"/>
        <v>0</v>
      </c>
      <c r="EN213" s="51">
        <f t="shared" si="673"/>
        <v>0</v>
      </c>
      <c r="EO213" s="51">
        <f t="shared" si="610"/>
        <v>0</v>
      </c>
      <c r="EP213" s="51">
        <f t="shared" si="674"/>
        <v>0</v>
      </c>
      <c r="EQ213" s="51">
        <f t="shared" si="611"/>
        <v>0</v>
      </c>
      <c r="ER213" s="51">
        <f t="shared" si="675"/>
        <v>0</v>
      </c>
      <c r="ES213" s="51">
        <f t="shared" si="612"/>
        <v>0</v>
      </c>
      <c r="ET213" s="51">
        <f t="shared" si="676"/>
        <v>0</v>
      </c>
      <c r="EU213" s="51">
        <f t="shared" si="613"/>
        <v>0</v>
      </c>
      <c r="EV213" s="51">
        <f t="shared" si="677"/>
        <v>0</v>
      </c>
      <c r="EW213" s="54">
        <f t="shared" si="678"/>
        <v>0</v>
      </c>
      <c r="EX213" s="55">
        <f t="shared" si="679"/>
        <v>0</v>
      </c>
      <c r="EY213" s="56">
        <f>IF(AND($E213&lt;&gt;0,$F213&gt;0,YEAR($F213)&gt;=Preisindex!$A$6,YEAR(ET$4)&gt;=YEAR($F213),AND($K213&lt;&gt;"a",$K213&lt;&gt;"b",$K213&lt;&gt;"g",$K213&lt;&gt;"k")),1,IF(AND($E213&lt;&gt;0,$F213&gt;0,YEAR($F213)&gt;=Preisindex!$A$6,YEAR(ET$4)&gt;=YEAR($F213),$K213="a"),ROUND(VLOOKUP(EY$4,Preisindex,5,FALSE)/VLOOKUP(YEAR($F213),Preisindex,5,FALSE),2),IF(AND($E213&lt;&gt;0,$F213&gt;0,YEAR($F213)&gt;=Preisindex!$A$6,YEAR(ET$4)&gt;=YEAR($F213),$K213="b"),ROUND(VLOOKUP(EY$4,Preisindex,3,FALSE)/VLOOKUP(YEAR($F213),Preisindex,3,FALSE),2),IF(AND($E213&lt;&gt;0,$F213&gt;0,YEAR($F213)&gt;=Preisindex!$A$6,YEAR(ET$4)&gt;=YEAR($F213),$K213="g"),ROUND(VLOOKUP(EY$4,Preisindex,4,FALSE)/VLOOKUP(YEAR($F213),Preisindex,4,FALSE),2),IF(AND($E213&lt;&gt;0,$F213&gt;0,YEAR($F213)&gt;=Preisindex!$A$6,YEAR(ET$4)&gt;=YEAR($F213),$K213="k"),ROUND(VLOOKUP(EY$4,Preisindex,2,FALSE)/VLOOKUP(YEAR($F213),Preisindex,2,FALSE),2),0)))))</f>
        <v>0</v>
      </c>
      <c r="EZ213" s="56">
        <f>IF(AND($E213&lt;&gt;0,$F213&gt;0,YEAR($F213)&lt;Preisindex!$A$6,YEAR(ET$4)&gt;=YEAR($F213),AND($K213&lt;&gt;"a",$K213&lt;&gt;"b",$K213&lt;&gt;"g",$K213&lt;&gt;"k")),1,IF(AND($E213&lt;&gt;0,$F213&gt;0,YEAR($F213)&lt;Preisindex!$A$6,YEAR(ET$4)&gt;=YEAR($F213),$K213="a"),ROUND(VLOOKUP(EY$4,Preisindex,5,FALSE)/VLOOKUP(Preisindex!$A$6,Preisindex,5,FALSE),2),IF(AND($E213&lt;&gt;0,$F213&gt;0,YEAR($F213)&lt;Preisindex!$A$6,YEAR(ET$4)&gt;=YEAR($F213),$K213="b"),ROUND(VLOOKUP(EY$4,Preisindex,3,FALSE)/VLOOKUP(Preisindex!$A$6,Preisindex,3,FALSE),2),IF(AND($E213&lt;&gt;0,$F213&gt;0,YEAR($F213)&lt;Preisindex!$A$6,YEAR(ET$4)&gt;=YEAR($F213),$K213="g"),ROUND(VLOOKUP(EY$4,Preisindex,4,FALSE)/VLOOKUP(Preisindex!$A$6,Preisindex,4,FALSE),2),IF(AND($E213&lt;&gt;0,$F213&gt;0,YEAR($F213)&lt;Preisindex!$A$6,YEAR(ET$4)&gt;=YEAR($F213),$K213="k"),ROUND(VLOOKUP(EY$4,Preisindex,2,FALSE)/VLOOKUP(Preisindex!$A$6,Preisindex,2,FALSE),2),0)))))</f>
        <v>0</v>
      </c>
      <c r="FA213" s="51">
        <f>IF(AND($E213&lt;&gt;0,$F213&gt;0,YEAR($F213)&lt;=EY$4,YEAR($F213)&gt;=Preisindex!$A$6),ROUND($E213*EY213,2),IF(AND($E213&lt;&gt;0,$F213&gt;0,YEAR($F213)&lt;=EY$4,YEAR($F213)&lt;Preisindex!$A$6),ROUND($E213*EZ213,2),0))</f>
        <v>0</v>
      </c>
      <c r="FB213" s="53">
        <f t="shared" si="680"/>
        <v>0</v>
      </c>
      <c r="FC213" s="51">
        <f t="shared" si="709"/>
        <v>0</v>
      </c>
      <c r="FD213" s="51">
        <f t="shared" si="614"/>
        <v>0</v>
      </c>
      <c r="FE213" s="51">
        <f t="shared" si="681"/>
        <v>0</v>
      </c>
      <c r="FF213" s="51">
        <f t="shared" si="615"/>
        <v>0</v>
      </c>
      <c r="FG213" s="51">
        <f t="shared" si="682"/>
        <v>0</v>
      </c>
      <c r="FH213" s="51">
        <f t="shared" si="616"/>
        <v>0</v>
      </c>
      <c r="FI213" s="51">
        <f t="shared" si="683"/>
        <v>0</v>
      </c>
      <c r="FJ213" s="51">
        <f t="shared" si="617"/>
        <v>0</v>
      </c>
      <c r="FK213" s="51">
        <f t="shared" si="684"/>
        <v>0</v>
      </c>
      <c r="FL213" s="51">
        <f t="shared" si="618"/>
        <v>0</v>
      </c>
      <c r="FM213" s="51">
        <f t="shared" si="685"/>
        <v>0</v>
      </c>
      <c r="FN213" s="54">
        <f t="shared" si="686"/>
        <v>0</v>
      </c>
      <c r="FO213" s="55">
        <f t="shared" si="687"/>
        <v>0</v>
      </c>
      <c r="FP213" s="56">
        <f>IF(AND($E213&lt;&gt;0,$F213&gt;0,YEAR($F213)&gt;=Preisindex!$A$6,YEAR(FK$4)&gt;=YEAR($F213),AND($K213&lt;&gt;"a",$K213&lt;&gt;"b",$K213&lt;&gt;"g",$K213&lt;&gt;"k")),1,IF(AND($E213&lt;&gt;0,$F213&gt;0,YEAR($F213)&gt;=Preisindex!$A$6,YEAR(FK$4)&gt;=YEAR($F213),$K213="a"),ROUND(VLOOKUP(FP$4,Preisindex,5,FALSE)/VLOOKUP(YEAR($F213),Preisindex,5,FALSE),2),IF(AND($E213&lt;&gt;0,$F213&gt;0,YEAR($F213)&gt;=Preisindex!$A$6,YEAR(FK$4)&gt;=YEAR($F213),$K213="b"),ROUND(VLOOKUP(FP$4,Preisindex,3,FALSE)/VLOOKUP(YEAR($F213),Preisindex,3,FALSE),2),IF(AND($E213&lt;&gt;0,$F213&gt;0,YEAR($F213)&gt;=Preisindex!$A$6,YEAR(FK$4)&gt;=YEAR($F213),$K213="g"),ROUND(VLOOKUP(FP$4,Preisindex,4,FALSE)/VLOOKUP(YEAR($F213),Preisindex,4,FALSE),2),IF(AND($E213&lt;&gt;0,$F213&gt;0,YEAR($F213)&gt;=Preisindex!$A$6,YEAR(FK$4)&gt;=YEAR($F213),$K213="k"),ROUND(VLOOKUP(FP$4,Preisindex,2,FALSE)/VLOOKUP(YEAR($F213),Preisindex,2,FALSE),2),0)))))</f>
        <v>0</v>
      </c>
      <c r="FQ213" s="56">
        <f>IF(AND($E213&lt;&gt;0,$F213&gt;0,YEAR($F213)&lt;Preisindex!$A$6,YEAR(FK$4)&gt;=YEAR($F213),AND($K213&lt;&gt;"a",$K213&lt;&gt;"b",$K213&lt;&gt;"g",$K213&lt;&gt;"k")),1,IF(AND($E213&lt;&gt;0,$F213&gt;0,YEAR($F213)&lt;Preisindex!$A$6,YEAR(FK$4)&gt;=YEAR($F213),$K213="a"),ROUND(VLOOKUP(FP$4,Preisindex,5,FALSE)/VLOOKUP(Preisindex!$A$6,Preisindex,5,FALSE),2),IF(AND($E213&lt;&gt;0,$F213&gt;0,YEAR($F213)&lt;Preisindex!$A$6,YEAR(FK$4)&gt;=YEAR($F213),$K213="b"),ROUND(VLOOKUP(FP$4,Preisindex,3,FALSE)/VLOOKUP(Preisindex!$A$6,Preisindex,3,FALSE),2),IF(AND($E213&lt;&gt;0,$F213&gt;0,YEAR($F213)&lt;Preisindex!$A$6,YEAR(FK$4)&gt;=YEAR($F213),$K213="g"),ROUND(VLOOKUP(FP$4,Preisindex,4,FALSE)/VLOOKUP(Preisindex!$A$6,Preisindex,4,FALSE),2),IF(AND($E213&lt;&gt;0,$F213&gt;0,YEAR($F213)&lt;Preisindex!$A$6,YEAR(FK$4)&gt;=YEAR($F213),$K213="k"),ROUND(VLOOKUP(FP$4,Preisindex,2,FALSE)/VLOOKUP(Preisindex!$A$6,Preisindex,2,FALSE),2),0)))))</f>
        <v>0</v>
      </c>
      <c r="FR213" s="51">
        <f>IF(AND($E213&lt;&gt;0,$F213&gt;0,YEAR($F213)&lt;=FP$4,YEAR($F213)&gt;=Preisindex!$A$6),ROUND($E213*FP213,2),IF(AND($E213&lt;&gt;0,$F213&gt;0,YEAR($F213)&lt;=FP$4,YEAR($F213)&lt;Preisindex!$A$6),ROUND($E213*FQ213,2),0))</f>
        <v>0</v>
      </c>
      <c r="FS213" s="53">
        <f t="shared" si="688"/>
        <v>0</v>
      </c>
    </row>
    <row r="214" spans="1:175" x14ac:dyDescent="0.3">
      <c r="A214" s="93"/>
      <c r="B214" s="94"/>
      <c r="C214" s="94"/>
      <c r="D214" s="95"/>
      <c r="E214" s="99"/>
      <c r="F214" s="97"/>
      <c r="G214" s="98"/>
      <c r="H214" s="620"/>
      <c r="I214" s="193"/>
      <c r="J214" s="194"/>
      <c r="K214" s="630"/>
      <c r="L214" s="49">
        <f t="shared" si="689"/>
        <v>0</v>
      </c>
      <c r="M214" s="50">
        <f t="shared" si="690"/>
        <v>0</v>
      </c>
      <c r="N214" s="51">
        <f t="shared" si="691"/>
        <v>0</v>
      </c>
      <c r="O214" s="51"/>
      <c r="P214" s="51">
        <f t="shared" si="692"/>
        <v>0</v>
      </c>
      <c r="Q214" s="52"/>
      <c r="R214" s="52"/>
      <c r="S214" s="52"/>
      <c r="T214" s="52"/>
      <c r="U214" s="52"/>
      <c r="V214" s="53">
        <f t="shared" si="693"/>
        <v>0</v>
      </c>
      <c r="W214" s="51">
        <f t="shared" si="694"/>
        <v>0</v>
      </c>
      <c r="X214" s="51">
        <f t="shared" si="695"/>
        <v>0</v>
      </c>
      <c r="Y214" s="51">
        <f t="shared" si="696"/>
        <v>0</v>
      </c>
      <c r="Z214" s="51">
        <f t="shared" si="697"/>
        <v>0</v>
      </c>
      <c r="AA214" s="51">
        <f t="shared" si="698"/>
        <v>0</v>
      </c>
      <c r="AB214" s="51">
        <f t="shared" si="699"/>
        <v>0</v>
      </c>
      <c r="AC214" s="51">
        <f t="shared" si="700"/>
        <v>0</v>
      </c>
      <c r="AD214" s="51">
        <f t="shared" si="701"/>
        <v>0</v>
      </c>
      <c r="AE214" s="51">
        <f t="shared" si="702"/>
        <v>0</v>
      </c>
      <c r="AF214" s="51">
        <f t="shared" si="703"/>
        <v>0</v>
      </c>
      <c r="AG214" s="51">
        <f t="shared" si="704"/>
        <v>0</v>
      </c>
      <c r="AH214" s="54">
        <f t="shared" si="705"/>
        <v>0</v>
      </c>
      <c r="AI214" s="55">
        <f t="shared" si="706"/>
        <v>0</v>
      </c>
      <c r="AJ214" s="56">
        <f>IF(AND($E214&lt;&gt;0,$F214&gt;0,YEAR($F214)&gt;=Preisindex!$A$6,YEAR(AE$4)&gt;=YEAR($F214),AND($K214&lt;&gt;"a",$K214&lt;&gt;"b",$K214&lt;&gt;"g",$K214&lt;&gt;"k")),1,IF(AND($E214&lt;&gt;0,$F214&gt;0,YEAR($F214)&gt;=Preisindex!$A$6,YEAR(AE$4)&gt;=YEAR($F214),$K214="a"),ROUND(VLOOKUP(AJ$4,Preisindex,5,FALSE)/VLOOKUP(YEAR($F214),Preisindex,5,FALSE),2),IF(AND($E214&lt;&gt;0,$F214&gt;0,YEAR($F214)&gt;=Preisindex!$A$6,YEAR(AE$4)&gt;=YEAR($F214),$K214="b"),ROUND(VLOOKUP(AJ$4,Preisindex,3,FALSE)/VLOOKUP(YEAR($F214),Preisindex,3,FALSE),2),IF(AND($E214&lt;&gt;0,$F214&gt;0,YEAR($F214)&gt;=Preisindex!$A$6,YEAR(AE$4)&gt;=YEAR($F214),$K214="g"),ROUND(VLOOKUP(AJ$4,Preisindex,4,FALSE)/VLOOKUP(YEAR($F214),Preisindex,4,FALSE),2),IF(AND($E214&lt;&gt;0,$F214&gt;0,YEAR($F214)&gt;=Preisindex!$A$6,YEAR(AE$4)&gt;=YEAR($F214),$K214="k"),ROUND(VLOOKUP(AJ$4,Preisindex,2,FALSE)/VLOOKUP(YEAR($F214),Preisindex,2,FALSE),2),0)))))</f>
        <v>0</v>
      </c>
      <c r="AK214" s="56">
        <f>IF(AND($E214&lt;&gt;0,$F214&gt;0,YEAR($F214)&lt;Preisindex!$A$6,YEAR(AE$4)&gt;=YEAR($F214),AND($K214&lt;&gt;"a",$K214&lt;&gt;"b",$K214&lt;&gt;"g",$K214&lt;&gt;"k")),1,IF(AND($E214&lt;&gt;0,$F214&gt;0,YEAR($F214)&lt;Preisindex!$A$6,YEAR(AE$4)&gt;=YEAR($F214),$K214="a"),ROUND(VLOOKUP(AJ$4,Preisindex,5,FALSE)/VLOOKUP(Preisindex!$A$6,Preisindex,5,FALSE),2),IF(AND($E214&lt;&gt;0,$F214&gt;0,YEAR($F214)&lt;Preisindex!$A$6,YEAR(AE$4)&gt;=YEAR($F214),$K214="b"),ROUND(VLOOKUP(AJ$4,Preisindex,3,FALSE)/VLOOKUP(Preisindex!$A$6,Preisindex,3,FALSE),2),IF(AND($E214&lt;&gt;0,$F214&gt;0,YEAR($F214)&lt;Preisindex!$A$6,YEAR(AE$4)&gt;=YEAR($F214),$K214="g"),ROUND(VLOOKUP(AJ$4,Preisindex,4,FALSE)/VLOOKUP(Preisindex!$A$6,Preisindex,4,FALSE),2),IF(AND($E214&lt;&gt;0,$F214&gt;0,YEAR($F214)&lt;Preisindex!$A$6,YEAR(AE$4)&gt;=YEAR($F214),$K214="k"),ROUND(VLOOKUP(AJ$4,Preisindex,2,FALSE)/VLOOKUP(Preisindex!$A$6,Preisindex,2,FALSE),2),0)))))</f>
        <v>0</v>
      </c>
      <c r="AL214" s="51">
        <f>IF(AND($E214&lt;&gt;0,$F214&gt;0,YEAR($F214)&lt;=AJ$4,YEAR($F214)&gt;=Preisindex!$A$6),ROUND($E214*AJ214,2),IF(AND($E214&lt;&gt;0,$F214&gt;0,YEAR($F214)&lt;=AJ$4,YEAR($F214)&lt;Preisindex!$A$6),ROUND($E214*AK214,2),0))</f>
        <v>0</v>
      </c>
      <c r="AM214" s="53">
        <f t="shared" si="707"/>
        <v>0</v>
      </c>
      <c r="AN214" s="51">
        <f t="shared" si="708"/>
        <v>0</v>
      </c>
      <c r="AO214" s="51">
        <f t="shared" ref="AO214:AO277" si="710">IF($J214&lt;&gt;"H",AN214,0)</f>
        <v>0</v>
      </c>
      <c r="AP214" s="51">
        <f t="shared" si="624"/>
        <v>0</v>
      </c>
      <c r="AQ214" s="51">
        <f t="shared" ref="AQ214:AQ277" si="711">IF($J214&lt;&gt;"H",AP214,0)</f>
        <v>0</v>
      </c>
      <c r="AR214" s="51">
        <f t="shared" si="625"/>
        <v>0</v>
      </c>
      <c r="AS214" s="51">
        <f t="shared" ref="AS214:AS277" si="712">IF(AT214&lt;&gt;0,ROUND(AT214/$M214*AR214,2),0)</f>
        <v>0</v>
      </c>
      <c r="AT214" s="51">
        <f t="shared" si="626"/>
        <v>0</v>
      </c>
      <c r="AU214" s="51">
        <f t="shared" ref="AU214:AU277" si="713">IF($J214&lt;&gt;"H",AT214,0)</f>
        <v>0</v>
      </c>
      <c r="AV214" s="51">
        <f t="shared" si="627"/>
        <v>0</v>
      </c>
      <c r="AW214" s="51">
        <f t="shared" ref="AW214:AW277" si="714">IF($J214&lt;&gt;"H",AV214,0)</f>
        <v>0</v>
      </c>
      <c r="AX214" s="51">
        <f t="shared" si="628"/>
        <v>0</v>
      </c>
      <c r="AY214" s="54">
        <f t="shared" si="629"/>
        <v>0</v>
      </c>
      <c r="AZ214" s="55">
        <f t="shared" si="630"/>
        <v>0</v>
      </c>
      <c r="BA214" s="56">
        <f>IF(AND($E214&lt;&gt;0,$F214&gt;0,YEAR($F214)&gt;=Preisindex!$A$6,YEAR(AV$4)&gt;=YEAR($F214),AND($K214&lt;&gt;"a",$K214&lt;&gt;"b",$K214&lt;&gt;"g",$K214&lt;&gt;"k")),1,IF(AND($E214&lt;&gt;0,$F214&gt;0,YEAR($F214)&gt;=Preisindex!$A$6,YEAR(AV$4)&gt;=YEAR($F214),$K214="a"),ROUND(VLOOKUP(BA$4,Preisindex,5,FALSE)/VLOOKUP(YEAR($F214),Preisindex,5,FALSE),2),IF(AND($E214&lt;&gt;0,$F214&gt;0,YEAR($F214)&gt;=Preisindex!$A$6,YEAR(AV$4)&gt;=YEAR($F214),$K214="b"),ROUND(VLOOKUP(BA$4,Preisindex,3,FALSE)/VLOOKUP(YEAR($F214),Preisindex,3,FALSE),2),IF(AND($E214&lt;&gt;0,$F214&gt;0,YEAR($F214)&gt;=Preisindex!$A$6,YEAR(AV$4)&gt;=YEAR($F214),$K214="g"),ROUND(VLOOKUP(BA$4,Preisindex,4,FALSE)/VLOOKUP(YEAR($F214),Preisindex,4,FALSE),2),IF(AND($E214&lt;&gt;0,$F214&gt;0,YEAR($F214)&gt;=Preisindex!$A$6,YEAR(AV$4)&gt;=YEAR($F214),$K214="k"),ROUND(VLOOKUP(BA$4,Preisindex,2,FALSE)/VLOOKUP(YEAR($F214),Preisindex,2,FALSE),2),0)))))</f>
        <v>0</v>
      </c>
      <c r="BB214" s="56">
        <f>IF(AND($E214&lt;&gt;0,$F214&gt;0,YEAR($F214)&lt;Preisindex!$A$6,YEAR(AV$4)&gt;=YEAR($F214),AND($K214&lt;&gt;"a",$K214&lt;&gt;"b",$K214&lt;&gt;"g",$K214&lt;&gt;"k")),1,IF(AND($E214&lt;&gt;0,$F214&gt;0,YEAR($F214)&lt;Preisindex!$A$6,YEAR(AV$4)&gt;=YEAR($F214),$K214="a"),ROUND(VLOOKUP(BA$4,Preisindex,5,FALSE)/VLOOKUP(Preisindex!$A$6,Preisindex,5,FALSE),2),IF(AND($E214&lt;&gt;0,$F214&gt;0,YEAR($F214)&lt;Preisindex!$A$6,YEAR(AV$4)&gt;=YEAR($F214),$K214="b"),ROUND(VLOOKUP(BA$4,Preisindex,3,FALSE)/VLOOKUP(Preisindex!$A$6,Preisindex,3,FALSE),2),IF(AND($E214&lt;&gt;0,$F214&gt;0,YEAR($F214)&lt;Preisindex!$A$6,YEAR(AV$4)&gt;=YEAR($F214),$K214="g"),ROUND(VLOOKUP(BA$4,Preisindex,4,FALSE)/VLOOKUP(Preisindex!$A$6,Preisindex,4,FALSE),2),IF(AND($E214&lt;&gt;0,$F214&gt;0,YEAR($F214)&lt;Preisindex!$A$6,YEAR(AV$4)&gt;=YEAR($F214),$K214="k"),ROUND(VLOOKUP(BA$4,Preisindex,2,FALSE)/VLOOKUP(Preisindex!$A$6,Preisindex,2,FALSE),2),0)))))</f>
        <v>0</v>
      </c>
      <c r="BC214" s="51">
        <f>IF(AND($E214&lt;&gt;0,$F214&gt;0,YEAR($F214)&lt;=BA$4,YEAR($F214)&gt;=Preisindex!$A$6),ROUND($E214*BA214,2),IF(AND($E214&lt;&gt;0,$F214&gt;0,YEAR($F214)&lt;=BA$4,YEAR($F214)&lt;Preisindex!$A$6),ROUND($E214*BB214,2),0))</f>
        <v>0</v>
      </c>
      <c r="BD214" s="53">
        <f t="shared" si="631"/>
        <v>0</v>
      </c>
      <c r="BE214" s="51">
        <f t="shared" si="708"/>
        <v>0</v>
      </c>
      <c r="BF214" s="51">
        <f t="shared" ref="BF214:BF277" si="715">IF($J214&lt;&gt;"H",BE214,0)</f>
        <v>0</v>
      </c>
      <c r="BG214" s="51">
        <f t="shared" si="632"/>
        <v>0</v>
      </c>
      <c r="BH214" s="51">
        <f t="shared" ref="BH214:BH277" si="716">IF($J214&lt;&gt;"H",BG214,0)</f>
        <v>0</v>
      </c>
      <c r="BI214" s="51">
        <f t="shared" si="633"/>
        <v>0</v>
      </c>
      <c r="BJ214" s="51">
        <f t="shared" ref="BJ214:BJ277" si="717">IF(BK214&lt;&gt;0,ROUND(BK214/$M214*BI214,2),0)</f>
        <v>0</v>
      </c>
      <c r="BK214" s="51">
        <f t="shared" si="634"/>
        <v>0</v>
      </c>
      <c r="BL214" s="51">
        <f t="shared" ref="BL214:BL277" si="718">IF($J214&lt;&gt;"H",BK214,0)</f>
        <v>0</v>
      </c>
      <c r="BM214" s="51">
        <f t="shared" si="635"/>
        <v>0</v>
      </c>
      <c r="BN214" s="51">
        <f t="shared" ref="BN214:BN277" si="719">IF($J214&lt;&gt;"H",BM214,0)</f>
        <v>0</v>
      </c>
      <c r="BO214" s="51">
        <f t="shared" si="636"/>
        <v>0</v>
      </c>
      <c r="BP214" s="54">
        <f t="shared" si="637"/>
        <v>0</v>
      </c>
      <c r="BQ214" s="55">
        <f t="shared" si="638"/>
        <v>0</v>
      </c>
      <c r="BR214" s="56">
        <f>IF(AND($E214&lt;&gt;0,$F214&gt;0,YEAR($F214)&gt;=Preisindex!$A$6,YEAR(BM$4)&gt;=YEAR($F214),AND($K214&lt;&gt;"a",$K214&lt;&gt;"b",$K214&lt;&gt;"g",$K214&lt;&gt;"k")),1,IF(AND($E214&lt;&gt;0,$F214&gt;0,YEAR($F214)&gt;=Preisindex!$A$6,YEAR(BM$4)&gt;=YEAR($F214),$K214="a"),ROUND(VLOOKUP(BR$4,Preisindex,5,FALSE)/VLOOKUP(YEAR($F214),Preisindex,5,FALSE),2),IF(AND($E214&lt;&gt;0,$F214&gt;0,YEAR($F214)&gt;=Preisindex!$A$6,YEAR(BM$4)&gt;=YEAR($F214),$K214="b"),ROUND(VLOOKUP(BR$4,Preisindex,3,FALSE)/VLOOKUP(YEAR($F214),Preisindex,3,FALSE),2),IF(AND($E214&lt;&gt;0,$F214&gt;0,YEAR($F214)&gt;=Preisindex!$A$6,YEAR(BM$4)&gt;=YEAR($F214),$K214="g"),ROUND(VLOOKUP(BR$4,Preisindex,4,FALSE)/VLOOKUP(YEAR($F214),Preisindex,4,FALSE),2),IF(AND($E214&lt;&gt;0,$F214&gt;0,YEAR($F214)&gt;=Preisindex!$A$6,YEAR(BM$4)&gt;=YEAR($F214),$K214="k"),ROUND(VLOOKUP(BR$4,Preisindex,2,FALSE)/VLOOKUP(YEAR($F214),Preisindex,2,FALSE),2),0)))))</f>
        <v>0</v>
      </c>
      <c r="BS214" s="56">
        <f>IF(AND($E214&lt;&gt;0,$F214&gt;0,YEAR($F214)&lt;Preisindex!$A$6,YEAR(BM$4)&gt;=YEAR($F214),AND($K214&lt;&gt;"a",$K214&lt;&gt;"b",$K214&lt;&gt;"g",$K214&lt;&gt;"k")),1,IF(AND($E214&lt;&gt;0,$F214&gt;0,YEAR($F214)&lt;Preisindex!$A$6,YEAR(BM$4)&gt;=YEAR($F214),$K214="a"),ROUND(VLOOKUP(BR$4,Preisindex,5,FALSE)/VLOOKUP(Preisindex!$A$6,Preisindex,5,FALSE),2),IF(AND($E214&lt;&gt;0,$F214&gt;0,YEAR($F214)&lt;Preisindex!$A$6,YEAR(BM$4)&gt;=YEAR($F214),$K214="b"),ROUND(VLOOKUP(BR$4,Preisindex,3,FALSE)/VLOOKUP(Preisindex!$A$6,Preisindex,3,FALSE),2),IF(AND($E214&lt;&gt;0,$F214&gt;0,YEAR($F214)&lt;Preisindex!$A$6,YEAR(BM$4)&gt;=YEAR($F214),$K214="g"),ROUND(VLOOKUP(BR$4,Preisindex,4,FALSE)/VLOOKUP(Preisindex!$A$6,Preisindex,4,FALSE),2),IF(AND($E214&lt;&gt;0,$F214&gt;0,YEAR($F214)&lt;Preisindex!$A$6,YEAR(BM$4)&gt;=YEAR($F214),$K214="k"),ROUND(VLOOKUP(BR$4,Preisindex,2,FALSE)/VLOOKUP(Preisindex!$A$6,Preisindex,2,FALSE),2),0)))))</f>
        <v>0</v>
      </c>
      <c r="BT214" s="51">
        <f>IF(AND($E214&lt;&gt;0,$F214&gt;0,YEAR($F214)&lt;=BR$4,YEAR($F214)&gt;=Preisindex!$A$6),ROUND($E214*BR214,2),IF(AND($E214&lt;&gt;0,$F214&gt;0,YEAR($F214)&lt;=BR$4,YEAR($F214)&lt;Preisindex!$A$6),ROUND($E214*BS214,2),0))</f>
        <v>0</v>
      </c>
      <c r="BU214" s="53">
        <f t="shared" si="639"/>
        <v>0</v>
      </c>
      <c r="BV214" s="51">
        <f t="shared" si="708"/>
        <v>0</v>
      </c>
      <c r="BW214" s="51">
        <f t="shared" ref="BW214:BW277" si="720">IF($J214&lt;&gt;"H",BV214,0)</f>
        <v>0</v>
      </c>
      <c r="BX214" s="51">
        <f t="shared" si="640"/>
        <v>0</v>
      </c>
      <c r="BY214" s="51">
        <f t="shared" ref="BY214:BY277" si="721">IF($J214&lt;&gt;"H",BX214,0)</f>
        <v>0</v>
      </c>
      <c r="BZ214" s="51">
        <f t="shared" si="641"/>
        <v>0</v>
      </c>
      <c r="CA214" s="51">
        <f t="shared" ref="CA214:CA277" si="722">IF(CB214&lt;&gt;0,ROUND(CB214/$M214*BZ214,2),0)</f>
        <v>0</v>
      </c>
      <c r="CB214" s="51">
        <f t="shared" si="642"/>
        <v>0</v>
      </c>
      <c r="CC214" s="51">
        <f t="shared" ref="CC214:CC277" si="723">IF($J214&lt;&gt;"H",CB214,0)</f>
        <v>0</v>
      </c>
      <c r="CD214" s="51">
        <f t="shared" si="643"/>
        <v>0</v>
      </c>
      <c r="CE214" s="51">
        <f t="shared" ref="CE214:CE277" si="724">IF($J214&lt;&gt;"H",CD214,0)</f>
        <v>0</v>
      </c>
      <c r="CF214" s="51">
        <f t="shared" si="644"/>
        <v>0</v>
      </c>
      <c r="CG214" s="54">
        <f t="shared" si="645"/>
        <v>0</v>
      </c>
      <c r="CH214" s="55">
        <f t="shared" si="646"/>
        <v>0</v>
      </c>
      <c r="CI214" s="56">
        <f>IF(AND($E214&lt;&gt;0,$F214&gt;0,YEAR($F214)&gt;=Preisindex!$A$6,YEAR(CD$4)&gt;=YEAR($F214),AND($K214&lt;&gt;"a",$K214&lt;&gt;"b",$K214&lt;&gt;"g",$K214&lt;&gt;"k")),1,IF(AND($E214&lt;&gt;0,$F214&gt;0,YEAR($F214)&gt;=Preisindex!$A$6,YEAR(CD$4)&gt;=YEAR($F214),$K214="a"),ROUND(VLOOKUP(CI$4,Preisindex,5,FALSE)/VLOOKUP(YEAR($F214),Preisindex,5,FALSE),2),IF(AND($E214&lt;&gt;0,$F214&gt;0,YEAR($F214)&gt;=Preisindex!$A$6,YEAR(CD$4)&gt;=YEAR($F214),$K214="b"),ROUND(VLOOKUP(CI$4,Preisindex,3,FALSE)/VLOOKUP(YEAR($F214),Preisindex,3,FALSE),2),IF(AND($E214&lt;&gt;0,$F214&gt;0,YEAR($F214)&gt;=Preisindex!$A$6,YEAR(CD$4)&gt;=YEAR($F214),$K214="g"),ROUND(VLOOKUP(CI$4,Preisindex,4,FALSE)/VLOOKUP(YEAR($F214),Preisindex,4,FALSE),2),IF(AND($E214&lt;&gt;0,$F214&gt;0,YEAR($F214)&gt;=Preisindex!$A$6,YEAR(CD$4)&gt;=YEAR($F214),$K214="k"),ROUND(VLOOKUP(CI$4,Preisindex,2,FALSE)/VLOOKUP(YEAR($F214),Preisindex,2,FALSE),2),0)))))</f>
        <v>0</v>
      </c>
      <c r="CJ214" s="56">
        <f>IF(AND($E214&lt;&gt;0,$F214&gt;0,YEAR($F214)&lt;Preisindex!$A$6,YEAR(CD$4)&gt;=YEAR($F214),AND($K214&lt;&gt;"a",$K214&lt;&gt;"b",$K214&lt;&gt;"g",$K214&lt;&gt;"k")),1,IF(AND($E214&lt;&gt;0,$F214&gt;0,YEAR($F214)&lt;Preisindex!$A$6,YEAR(CD$4)&gt;=YEAR($F214),$K214="a"),ROUND(VLOOKUP(CI$4,Preisindex,5,FALSE)/VLOOKUP(Preisindex!$A$6,Preisindex,5,FALSE),2),IF(AND($E214&lt;&gt;0,$F214&gt;0,YEAR($F214)&lt;Preisindex!$A$6,YEAR(CD$4)&gt;=YEAR($F214),$K214="b"),ROUND(VLOOKUP(CI$4,Preisindex,3,FALSE)/VLOOKUP(Preisindex!$A$6,Preisindex,3,FALSE),2),IF(AND($E214&lt;&gt;0,$F214&gt;0,YEAR($F214)&lt;Preisindex!$A$6,YEAR(CD$4)&gt;=YEAR($F214),$K214="g"),ROUND(VLOOKUP(CI$4,Preisindex,4,FALSE)/VLOOKUP(Preisindex!$A$6,Preisindex,4,FALSE),2),IF(AND($E214&lt;&gt;0,$F214&gt;0,YEAR($F214)&lt;Preisindex!$A$6,YEAR(CD$4)&gt;=YEAR($F214),$K214="k"),ROUND(VLOOKUP(CI$4,Preisindex,2,FALSE)/VLOOKUP(Preisindex!$A$6,Preisindex,2,FALSE),2),0)))))</f>
        <v>0</v>
      </c>
      <c r="CK214" s="51">
        <f>IF(AND($E214&lt;&gt;0,$F214&gt;0,YEAR($F214)&lt;=CI$4,YEAR($F214)&gt;=Preisindex!$A$6),ROUND($E214*CI214,2),IF(AND($E214&lt;&gt;0,$F214&gt;0,YEAR($F214)&lt;=CI$4,YEAR($F214)&lt;Preisindex!$A$6),ROUND($E214*CJ214,2),0))</f>
        <v>0</v>
      </c>
      <c r="CL214" s="53">
        <f t="shared" si="647"/>
        <v>0</v>
      </c>
      <c r="CM214" s="51">
        <f t="shared" si="708"/>
        <v>0</v>
      </c>
      <c r="CN214" s="51">
        <f t="shared" ref="CN214:CN277" si="725">IF($J214&lt;&gt;"H",CM214,0)</f>
        <v>0</v>
      </c>
      <c r="CO214" s="51">
        <f t="shared" si="648"/>
        <v>0</v>
      </c>
      <c r="CP214" s="51">
        <f t="shared" ref="CP214:CP277" si="726">IF($J214&lt;&gt;"H",CO214,0)</f>
        <v>0</v>
      </c>
      <c r="CQ214" s="51">
        <f t="shared" si="649"/>
        <v>0</v>
      </c>
      <c r="CR214" s="51">
        <f t="shared" ref="CR214:CR277" si="727">IF(CS214&lt;&gt;0,ROUND(CS214/$M214*CQ214,2),0)</f>
        <v>0</v>
      </c>
      <c r="CS214" s="51">
        <f t="shared" si="650"/>
        <v>0</v>
      </c>
      <c r="CT214" s="51">
        <f t="shared" ref="CT214:CT277" si="728">IF($J214&lt;&gt;"H",CS214,0)</f>
        <v>0</v>
      </c>
      <c r="CU214" s="51">
        <f t="shared" si="651"/>
        <v>0</v>
      </c>
      <c r="CV214" s="51">
        <f t="shared" ref="CV214:CV277" si="729">IF($J214&lt;&gt;"H",CU214,0)</f>
        <v>0</v>
      </c>
      <c r="CW214" s="51">
        <f t="shared" si="652"/>
        <v>0</v>
      </c>
      <c r="CX214" s="54">
        <f t="shared" si="653"/>
        <v>0</v>
      </c>
      <c r="CY214" s="55">
        <f t="shared" si="654"/>
        <v>0</v>
      </c>
      <c r="CZ214" s="56">
        <f>IF(AND($E214&lt;&gt;0,$F214&gt;0,YEAR($F214)&gt;=Preisindex!$A$6,YEAR(CU$4)&gt;=YEAR($F214),AND($K214&lt;&gt;"a",$K214&lt;&gt;"b",$K214&lt;&gt;"g",$K214&lt;&gt;"k")),1,IF(AND($E214&lt;&gt;0,$F214&gt;0,YEAR($F214)&gt;=Preisindex!$A$6,YEAR(CU$4)&gt;=YEAR($F214),$K214="a"),ROUND(VLOOKUP(CZ$4,Preisindex,5,FALSE)/VLOOKUP(YEAR($F214),Preisindex,5,FALSE),2),IF(AND($E214&lt;&gt;0,$F214&gt;0,YEAR($F214)&gt;=Preisindex!$A$6,YEAR(CU$4)&gt;=YEAR($F214),$K214="b"),ROUND(VLOOKUP(CZ$4,Preisindex,3,FALSE)/VLOOKUP(YEAR($F214),Preisindex,3,FALSE),2),IF(AND($E214&lt;&gt;0,$F214&gt;0,YEAR($F214)&gt;=Preisindex!$A$6,YEAR(CU$4)&gt;=YEAR($F214),$K214="g"),ROUND(VLOOKUP(CZ$4,Preisindex,4,FALSE)/VLOOKUP(YEAR($F214),Preisindex,4,FALSE),2),IF(AND($E214&lt;&gt;0,$F214&gt;0,YEAR($F214)&gt;=Preisindex!$A$6,YEAR(CU$4)&gt;=YEAR($F214),$K214="k"),ROUND(VLOOKUP(CZ$4,Preisindex,2,FALSE)/VLOOKUP(YEAR($F214),Preisindex,2,FALSE),2),0)))))</f>
        <v>0</v>
      </c>
      <c r="DA214" s="56">
        <f>IF(AND($E214&lt;&gt;0,$F214&gt;0,YEAR($F214)&lt;Preisindex!$A$6,YEAR(CU$4)&gt;=YEAR($F214),AND($K214&lt;&gt;"a",$K214&lt;&gt;"b",$K214&lt;&gt;"g",$K214&lt;&gt;"k")),1,IF(AND($E214&lt;&gt;0,$F214&gt;0,YEAR($F214)&lt;Preisindex!$A$6,YEAR(CU$4)&gt;=YEAR($F214),$K214="a"),ROUND(VLOOKUP(CZ$4,Preisindex,5,FALSE)/VLOOKUP(Preisindex!$A$6,Preisindex,5,FALSE),2),IF(AND($E214&lt;&gt;0,$F214&gt;0,YEAR($F214)&lt;Preisindex!$A$6,YEAR(CU$4)&gt;=YEAR($F214),$K214="b"),ROUND(VLOOKUP(CZ$4,Preisindex,3,FALSE)/VLOOKUP(Preisindex!$A$6,Preisindex,3,FALSE),2),IF(AND($E214&lt;&gt;0,$F214&gt;0,YEAR($F214)&lt;Preisindex!$A$6,YEAR(CU$4)&gt;=YEAR($F214),$K214="g"),ROUND(VLOOKUP(CZ$4,Preisindex,4,FALSE)/VLOOKUP(Preisindex!$A$6,Preisindex,4,FALSE),2),IF(AND($E214&lt;&gt;0,$F214&gt;0,YEAR($F214)&lt;Preisindex!$A$6,YEAR(CU$4)&gt;=YEAR($F214),$K214="k"),ROUND(VLOOKUP(CZ$4,Preisindex,2,FALSE)/VLOOKUP(Preisindex!$A$6,Preisindex,2,FALSE),2),0)))))</f>
        <v>0</v>
      </c>
      <c r="DB214" s="51">
        <f>IF(AND($E214&lt;&gt;0,$F214&gt;0,YEAR($F214)&lt;=CZ$4,YEAR($F214)&gt;=Preisindex!$A$6),ROUND($E214*CZ214,2),IF(AND($E214&lt;&gt;0,$F214&gt;0,YEAR($F214)&lt;=CZ$4,YEAR($F214)&lt;Preisindex!$A$6),ROUND($E214*DA214,2),0))</f>
        <v>0</v>
      </c>
      <c r="DC214" s="53">
        <f t="shared" si="655"/>
        <v>0</v>
      </c>
      <c r="DD214" s="51">
        <f t="shared" si="709"/>
        <v>0</v>
      </c>
      <c r="DE214" s="51">
        <f t="shared" ref="DE214:DE277" si="730">IF($J214&lt;&gt;"H",DD214,0)</f>
        <v>0</v>
      </c>
      <c r="DF214" s="51">
        <f t="shared" si="657"/>
        <v>0</v>
      </c>
      <c r="DG214" s="51">
        <f t="shared" ref="DG214:DG277" si="731">IF($J214&lt;&gt;"H",DF214,0)</f>
        <v>0</v>
      </c>
      <c r="DH214" s="51">
        <f t="shared" si="658"/>
        <v>0</v>
      </c>
      <c r="DI214" s="51">
        <f t="shared" ref="DI214:DI277" si="732">IF(DJ214&lt;&gt;0,ROUND(DJ214/$M214*DH214,2),0)</f>
        <v>0</v>
      </c>
      <c r="DJ214" s="51">
        <f t="shared" si="659"/>
        <v>0</v>
      </c>
      <c r="DK214" s="51">
        <f t="shared" ref="DK214:DK277" si="733">IF($J214&lt;&gt;"H",DJ214,0)</f>
        <v>0</v>
      </c>
      <c r="DL214" s="51">
        <f t="shared" si="660"/>
        <v>0</v>
      </c>
      <c r="DM214" s="51">
        <f t="shared" ref="DM214:DM277" si="734">IF($J214&lt;&gt;"H",DL214,0)</f>
        <v>0</v>
      </c>
      <c r="DN214" s="51">
        <f t="shared" si="661"/>
        <v>0</v>
      </c>
      <c r="DO214" s="54">
        <f t="shared" si="662"/>
        <v>0</v>
      </c>
      <c r="DP214" s="55">
        <f t="shared" si="663"/>
        <v>0</v>
      </c>
      <c r="DQ214" s="56">
        <f>IF(AND($E214&lt;&gt;0,$F214&gt;0,YEAR($F214)&gt;=Preisindex!$A$6,YEAR(DL$4)&gt;=YEAR($F214),AND($K214&lt;&gt;"a",$K214&lt;&gt;"b",$K214&lt;&gt;"g",$K214&lt;&gt;"k")),1,IF(AND($E214&lt;&gt;0,$F214&gt;0,YEAR($F214)&gt;=Preisindex!$A$6,YEAR(DL$4)&gt;=YEAR($F214),$K214="a"),ROUND(VLOOKUP(DQ$4,Preisindex,5,FALSE)/VLOOKUP(YEAR($F214),Preisindex,5,FALSE),2),IF(AND($E214&lt;&gt;0,$F214&gt;0,YEAR($F214)&gt;=Preisindex!$A$6,YEAR(DL$4)&gt;=YEAR($F214),$K214="b"),ROUND(VLOOKUP(DQ$4,Preisindex,3,FALSE)/VLOOKUP(YEAR($F214),Preisindex,3,FALSE),2),IF(AND($E214&lt;&gt;0,$F214&gt;0,YEAR($F214)&gt;=Preisindex!$A$6,YEAR(DL$4)&gt;=YEAR($F214),$K214="g"),ROUND(VLOOKUP(DQ$4,Preisindex,4,FALSE)/VLOOKUP(YEAR($F214),Preisindex,4,FALSE),2),IF(AND($E214&lt;&gt;0,$F214&gt;0,YEAR($F214)&gt;=Preisindex!$A$6,YEAR(DL$4)&gt;=YEAR($F214),$K214="k"),ROUND(VLOOKUP(DQ$4,Preisindex,2,FALSE)/VLOOKUP(YEAR($F214),Preisindex,2,FALSE),2),0)))))</f>
        <v>0</v>
      </c>
      <c r="DR214" s="56">
        <f>IF(AND($E214&lt;&gt;0,$F214&gt;0,YEAR($F214)&lt;Preisindex!$A$6,YEAR(DL$4)&gt;=YEAR($F214),AND($K214&lt;&gt;"a",$K214&lt;&gt;"b",$K214&lt;&gt;"g",$K214&lt;&gt;"k")),1,IF(AND($E214&lt;&gt;0,$F214&gt;0,YEAR($F214)&lt;Preisindex!$A$6,YEAR(DL$4)&gt;=YEAR($F214),$K214="a"),ROUND(VLOOKUP(DQ$4,Preisindex,5,FALSE)/VLOOKUP(Preisindex!$A$6,Preisindex,5,FALSE),2),IF(AND($E214&lt;&gt;0,$F214&gt;0,YEAR($F214)&lt;Preisindex!$A$6,YEAR(DL$4)&gt;=YEAR($F214),$K214="b"),ROUND(VLOOKUP(DQ$4,Preisindex,3,FALSE)/VLOOKUP(Preisindex!$A$6,Preisindex,3,FALSE),2),IF(AND($E214&lt;&gt;0,$F214&gt;0,YEAR($F214)&lt;Preisindex!$A$6,YEAR(DL$4)&gt;=YEAR($F214),$K214="g"),ROUND(VLOOKUP(DQ$4,Preisindex,4,FALSE)/VLOOKUP(Preisindex!$A$6,Preisindex,4,FALSE),2),IF(AND($E214&lt;&gt;0,$F214&gt;0,YEAR($F214)&lt;Preisindex!$A$6,YEAR(DL$4)&gt;=YEAR($F214),$K214="k"),ROUND(VLOOKUP(DQ$4,Preisindex,2,FALSE)/VLOOKUP(Preisindex!$A$6,Preisindex,2,FALSE),2),0)))))</f>
        <v>0</v>
      </c>
      <c r="DS214" s="51">
        <f>IF(AND($E214&lt;&gt;0,$F214&gt;0,YEAR($F214)&lt;=DQ$4,YEAR($F214)&gt;=Preisindex!$A$6),ROUND($E214*DQ214,2),IF(AND($E214&lt;&gt;0,$F214&gt;0,YEAR($F214)&lt;=DQ$4,YEAR($F214)&lt;Preisindex!$A$6),ROUND($E214*DR214,2),0))</f>
        <v>0</v>
      </c>
      <c r="DT214" s="53">
        <f t="shared" si="664"/>
        <v>0</v>
      </c>
      <c r="DU214" s="51">
        <f t="shared" si="709"/>
        <v>0</v>
      </c>
      <c r="DV214" s="51">
        <f t="shared" ref="DV214:DV277" si="735">IF($J214&lt;&gt;"H",DU214,0)</f>
        <v>0</v>
      </c>
      <c r="DW214" s="51">
        <f t="shared" si="665"/>
        <v>0</v>
      </c>
      <c r="DX214" s="51">
        <f t="shared" ref="DX214:DX277" si="736">IF($J214&lt;&gt;"H",DW214,0)</f>
        <v>0</v>
      </c>
      <c r="DY214" s="51">
        <f t="shared" si="666"/>
        <v>0</v>
      </c>
      <c r="DZ214" s="51">
        <f t="shared" ref="DZ214:DZ277" si="737">IF(EA214&lt;&gt;0,ROUND(EA214/$M214*DY214,2),0)</f>
        <v>0</v>
      </c>
      <c r="EA214" s="51">
        <f t="shared" si="667"/>
        <v>0</v>
      </c>
      <c r="EB214" s="51">
        <f t="shared" ref="EB214:EB277" si="738">IF($J214&lt;&gt;"H",EA214,0)</f>
        <v>0</v>
      </c>
      <c r="EC214" s="51">
        <f t="shared" si="668"/>
        <v>0</v>
      </c>
      <c r="ED214" s="51">
        <f t="shared" ref="ED214:ED277" si="739">IF($J214&lt;&gt;"H",EC214,0)</f>
        <v>0</v>
      </c>
      <c r="EE214" s="51">
        <f t="shared" si="669"/>
        <v>0</v>
      </c>
      <c r="EF214" s="54">
        <f t="shared" si="670"/>
        <v>0</v>
      </c>
      <c r="EG214" s="55">
        <f t="shared" si="671"/>
        <v>0</v>
      </c>
      <c r="EH214" s="56">
        <f>IF(AND($E214&lt;&gt;0,$F214&gt;0,YEAR($F214)&gt;=Preisindex!$A$6,YEAR(EC$4)&gt;=YEAR($F214),AND($K214&lt;&gt;"a",$K214&lt;&gt;"b",$K214&lt;&gt;"g",$K214&lt;&gt;"k")),1,IF(AND($E214&lt;&gt;0,$F214&gt;0,YEAR($F214)&gt;=Preisindex!$A$6,YEAR(EC$4)&gt;=YEAR($F214),$K214="a"),ROUND(VLOOKUP(EH$4,Preisindex,5,FALSE)/VLOOKUP(YEAR($F214),Preisindex,5,FALSE),2),IF(AND($E214&lt;&gt;0,$F214&gt;0,YEAR($F214)&gt;=Preisindex!$A$6,YEAR(EC$4)&gt;=YEAR($F214),$K214="b"),ROUND(VLOOKUP(EH$4,Preisindex,3,FALSE)/VLOOKUP(YEAR($F214),Preisindex,3,FALSE),2),IF(AND($E214&lt;&gt;0,$F214&gt;0,YEAR($F214)&gt;=Preisindex!$A$6,YEAR(EC$4)&gt;=YEAR($F214),$K214="g"),ROUND(VLOOKUP(EH$4,Preisindex,4,FALSE)/VLOOKUP(YEAR($F214),Preisindex,4,FALSE),2),IF(AND($E214&lt;&gt;0,$F214&gt;0,YEAR($F214)&gt;=Preisindex!$A$6,YEAR(EC$4)&gt;=YEAR($F214),$K214="k"),ROUND(VLOOKUP(EH$4,Preisindex,2,FALSE)/VLOOKUP(YEAR($F214),Preisindex,2,FALSE),2),0)))))</f>
        <v>0</v>
      </c>
      <c r="EI214" s="56">
        <f>IF(AND($E214&lt;&gt;0,$F214&gt;0,YEAR($F214)&lt;Preisindex!$A$6,YEAR(EC$4)&gt;=YEAR($F214),AND($K214&lt;&gt;"a",$K214&lt;&gt;"b",$K214&lt;&gt;"g",$K214&lt;&gt;"k")),1,IF(AND($E214&lt;&gt;0,$F214&gt;0,YEAR($F214)&lt;Preisindex!$A$6,YEAR(EC$4)&gt;=YEAR($F214),$K214="a"),ROUND(VLOOKUP(EH$4,Preisindex,5,FALSE)/VLOOKUP(Preisindex!$A$6,Preisindex,5,FALSE),2),IF(AND($E214&lt;&gt;0,$F214&gt;0,YEAR($F214)&lt;Preisindex!$A$6,YEAR(EC$4)&gt;=YEAR($F214),$K214="b"),ROUND(VLOOKUP(EH$4,Preisindex,3,FALSE)/VLOOKUP(Preisindex!$A$6,Preisindex,3,FALSE),2),IF(AND($E214&lt;&gt;0,$F214&gt;0,YEAR($F214)&lt;Preisindex!$A$6,YEAR(EC$4)&gt;=YEAR($F214),$K214="g"),ROUND(VLOOKUP(EH$4,Preisindex,4,FALSE)/VLOOKUP(Preisindex!$A$6,Preisindex,4,FALSE),2),IF(AND($E214&lt;&gt;0,$F214&gt;0,YEAR($F214)&lt;Preisindex!$A$6,YEAR(EC$4)&gt;=YEAR($F214),$K214="k"),ROUND(VLOOKUP(EH$4,Preisindex,2,FALSE)/VLOOKUP(Preisindex!$A$6,Preisindex,2,FALSE),2),0)))))</f>
        <v>0</v>
      </c>
      <c r="EJ214" s="51">
        <f>IF(AND($E214&lt;&gt;0,$F214&gt;0,YEAR($F214)&lt;=EH$4,YEAR($F214)&gt;=Preisindex!$A$6),ROUND($E214*EH214,2),IF(AND($E214&lt;&gt;0,$F214&gt;0,YEAR($F214)&lt;=EH$4,YEAR($F214)&lt;Preisindex!$A$6),ROUND($E214*EI214,2),0))</f>
        <v>0</v>
      </c>
      <c r="EK214" s="53">
        <f t="shared" si="672"/>
        <v>0</v>
      </c>
      <c r="EL214" s="51">
        <f t="shared" si="709"/>
        <v>0</v>
      </c>
      <c r="EM214" s="51">
        <f t="shared" ref="EM214:EM277" si="740">IF($J214&lt;&gt;"H",EL214,0)</f>
        <v>0</v>
      </c>
      <c r="EN214" s="51">
        <f t="shared" si="673"/>
        <v>0</v>
      </c>
      <c r="EO214" s="51">
        <f t="shared" ref="EO214:EO277" si="741">IF($J214&lt;&gt;"H",EN214,0)</f>
        <v>0</v>
      </c>
      <c r="EP214" s="51">
        <f t="shared" si="674"/>
        <v>0</v>
      </c>
      <c r="EQ214" s="51">
        <f t="shared" ref="EQ214:EQ277" si="742">IF(ER214&lt;&gt;0,ROUND(ER214/$M214*EP214,2),0)</f>
        <v>0</v>
      </c>
      <c r="ER214" s="51">
        <f t="shared" si="675"/>
        <v>0</v>
      </c>
      <c r="ES214" s="51">
        <f t="shared" ref="ES214:ES277" si="743">IF($J214&lt;&gt;"H",ER214,0)</f>
        <v>0</v>
      </c>
      <c r="ET214" s="51">
        <f t="shared" si="676"/>
        <v>0</v>
      </c>
      <c r="EU214" s="51">
        <f t="shared" ref="EU214:EU277" si="744">IF($J214&lt;&gt;"H",ET214,0)</f>
        <v>0</v>
      </c>
      <c r="EV214" s="51">
        <f t="shared" si="677"/>
        <v>0</v>
      </c>
      <c r="EW214" s="54">
        <f t="shared" si="678"/>
        <v>0</v>
      </c>
      <c r="EX214" s="55">
        <f t="shared" si="679"/>
        <v>0</v>
      </c>
      <c r="EY214" s="56">
        <f>IF(AND($E214&lt;&gt;0,$F214&gt;0,YEAR($F214)&gt;=Preisindex!$A$6,YEAR(ET$4)&gt;=YEAR($F214),AND($K214&lt;&gt;"a",$K214&lt;&gt;"b",$K214&lt;&gt;"g",$K214&lt;&gt;"k")),1,IF(AND($E214&lt;&gt;0,$F214&gt;0,YEAR($F214)&gt;=Preisindex!$A$6,YEAR(ET$4)&gt;=YEAR($F214),$K214="a"),ROUND(VLOOKUP(EY$4,Preisindex,5,FALSE)/VLOOKUP(YEAR($F214),Preisindex,5,FALSE),2),IF(AND($E214&lt;&gt;0,$F214&gt;0,YEAR($F214)&gt;=Preisindex!$A$6,YEAR(ET$4)&gt;=YEAR($F214),$K214="b"),ROUND(VLOOKUP(EY$4,Preisindex,3,FALSE)/VLOOKUP(YEAR($F214),Preisindex,3,FALSE),2),IF(AND($E214&lt;&gt;0,$F214&gt;0,YEAR($F214)&gt;=Preisindex!$A$6,YEAR(ET$4)&gt;=YEAR($F214),$K214="g"),ROUND(VLOOKUP(EY$4,Preisindex,4,FALSE)/VLOOKUP(YEAR($F214),Preisindex,4,FALSE),2),IF(AND($E214&lt;&gt;0,$F214&gt;0,YEAR($F214)&gt;=Preisindex!$A$6,YEAR(ET$4)&gt;=YEAR($F214),$K214="k"),ROUND(VLOOKUP(EY$4,Preisindex,2,FALSE)/VLOOKUP(YEAR($F214),Preisindex,2,FALSE),2),0)))))</f>
        <v>0</v>
      </c>
      <c r="EZ214" s="56">
        <f>IF(AND($E214&lt;&gt;0,$F214&gt;0,YEAR($F214)&lt;Preisindex!$A$6,YEAR(ET$4)&gt;=YEAR($F214),AND($K214&lt;&gt;"a",$K214&lt;&gt;"b",$K214&lt;&gt;"g",$K214&lt;&gt;"k")),1,IF(AND($E214&lt;&gt;0,$F214&gt;0,YEAR($F214)&lt;Preisindex!$A$6,YEAR(ET$4)&gt;=YEAR($F214),$K214="a"),ROUND(VLOOKUP(EY$4,Preisindex,5,FALSE)/VLOOKUP(Preisindex!$A$6,Preisindex,5,FALSE),2),IF(AND($E214&lt;&gt;0,$F214&gt;0,YEAR($F214)&lt;Preisindex!$A$6,YEAR(ET$4)&gt;=YEAR($F214),$K214="b"),ROUND(VLOOKUP(EY$4,Preisindex,3,FALSE)/VLOOKUP(Preisindex!$A$6,Preisindex,3,FALSE),2),IF(AND($E214&lt;&gt;0,$F214&gt;0,YEAR($F214)&lt;Preisindex!$A$6,YEAR(ET$4)&gt;=YEAR($F214),$K214="g"),ROUND(VLOOKUP(EY$4,Preisindex,4,FALSE)/VLOOKUP(Preisindex!$A$6,Preisindex,4,FALSE),2),IF(AND($E214&lt;&gt;0,$F214&gt;0,YEAR($F214)&lt;Preisindex!$A$6,YEAR(ET$4)&gt;=YEAR($F214),$K214="k"),ROUND(VLOOKUP(EY$4,Preisindex,2,FALSE)/VLOOKUP(Preisindex!$A$6,Preisindex,2,FALSE),2),0)))))</f>
        <v>0</v>
      </c>
      <c r="FA214" s="51">
        <f>IF(AND($E214&lt;&gt;0,$F214&gt;0,YEAR($F214)&lt;=EY$4,YEAR($F214)&gt;=Preisindex!$A$6),ROUND($E214*EY214,2),IF(AND($E214&lt;&gt;0,$F214&gt;0,YEAR($F214)&lt;=EY$4,YEAR($F214)&lt;Preisindex!$A$6),ROUND($E214*EZ214,2),0))</f>
        <v>0</v>
      </c>
      <c r="FB214" s="53">
        <f t="shared" si="680"/>
        <v>0</v>
      </c>
      <c r="FC214" s="51">
        <f t="shared" si="709"/>
        <v>0</v>
      </c>
      <c r="FD214" s="51">
        <f t="shared" ref="FD214:FD277" si="745">IF($J214&lt;&gt;"H",FC214,0)</f>
        <v>0</v>
      </c>
      <c r="FE214" s="51">
        <f t="shared" si="681"/>
        <v>0</v>
      </c>
      <c r="FF214" s="51">
        <f t="shared" ref="FF214:FF277" si="746">IF($J214&lt;&gt;"H",FE214,0)</f>
        <v>0</v>
      </c>
      <c r="FG214" s="51">
        <f t="shared" si="682"/>
        <v>0</v>
      </c>
      <c r="FH214" s="51">
        <f t="shared" ref="FH214:FH277" si="747">IF(FI214&lt;&gt;0,ROUND(FI214/$M214*FG214,2),0)</f>
        <v>0</v>
      </c>
      <c r="FI214" s="51">
        <f t="shared" si="683"/>
        <v>0</v>
      </c>
      <c r="FJ214" s="51">
        <f t="shared" ref="FJ214:FJ277" si="748">IF($J214&lt;&gt;"H",FI214,0)</f>
        <v>0</v>
      </c>
      <c r="FK214" s="51">
        <f t="shared" si="684"/>
        <v>0</v>
      </c>
      <c r="FL214" s="51">
        <f t="shared" ref="FL214:FL277" si="749">IF($J214&lt;&gt;"H",FK214,0)</f>
        <v>0</v>
      </c>
      <c r="FM214" s="51">
        <f t="shared" si="685"/>
        <v>0</v>
      </c>
      <c r="FN214" s="54">
        <f t="shared" si="686"/>
        <v>0</v>
      </c>
      <c r="FO214" s="55">
        <f t="shared" si="687"/>
        <v>0</v>
      </c>
      <c r="FP214" s="56">
        <f>IF(AND($E214&lt;&gt;0,$F214&gt;0,YEAR($F214)&gt;=Preisindex!$A$6,YEAR(FK$4)&gt;=YEAR($F214),AND($K214&lt;&gt;"a",$K214&lt;&gt;"b",$K214&lt;&gt;"g",$K214&lt;&gt;"k")),1,IF(AND($E214&lt;&gt;0,$F214&gt;0,YEAR($F214)&gt;=Preisindex!$A$6,YEAR(FK$4)&gt;=YEAR($F214),$K214="a"),ROUND(VLOOKUP(FP$4,Preisindex,5,FALSE)/VLOOKUP(YEAR($F214),Preisindex,5,FALSE),2),IF(AND($E214&lt;&gt;0,$F214&gt;0,YEAR($F214)&gt;=Preisindex!$A$6,YEAR(FK$4)&gt;=YEAR($F214),$K214="b"),ROUND(VLOOKUP(FP$4,Preisindex,3,FALSE)/VLOOKUP(YEAR($F214),Preisindex,3,FALSE),2),IF(AND($E214&lt;&gt;0,$F214&gt;0,YEAR($F214)&gt;=Preisindex!$A$6,YEAR(FK$4)&gt;=YEAR($F214),$K214="g"),ROUND(VLOOKUP(FP$4,Preisindex,4,FALSE)/VLOOKUP(YEAR($F214),Preisindex,4,FALSE),2),IF(AND($E214&lt;&gt;0,$F214&gt;0,YEAR($F214)&gt;=Preisindex!$A$6,YEAR(FK$4)&gt;=YEAR($F214),$K214="k"),ROUND(VLOOKUP(FP$4,Preisindex,2,FALSE)/VLOOKUP(YEAR($F214),Preisindex,2,FALSE),2),0)))))</f>
        <v>0</v>
      </c>
      <c r="FQ214" s="56">
        <f>IF(AND($E214&lt;&gt;0,$F214&gt;0,YEAR($F214)&lt;Preisindex!$A$6,YEAR(FK$4)&gt;=YEAR($F214),AND($K214&lt;&gt;"a",$K214&lt;&gt;"b",$K214&lt;&gt;"g",$K214&lt;&gt;"k")),1,IF(AND($E214&lt;&gt;0,$F214&gt;0,YEAR($F214)&lt;Preisindex!$A$6,YEAR(FK$4)&gt;=YEAR($F214),$K214="a"),ROUND(VLOOKUP(FP$4,Preisindex,5,FALSE)/VLOOKUP(Preisindex!$A$6,Preisindex,5,FALSE),2),IF(AND($E214&lt;&gt;0,$F214&gt;0,YEAR($F214)&lt;Preisindex!$A$6,YEAR(FK$4)&gt;=YEAR($F214),$K214="b"),ROUND(VLOOKUP(FP$4,Preisindex,3,FALSE)/VLOOKUP(Preisindex!$A$6,Preisindex,3,FALSE),2),IF(AND($E214&lt;&gt;0,$F214&gt;0,YEAR($F214)&lt;Preisindex!$A$6,YEAR(FK$4)&gt;=YEAR($F214),$K214="g"),ROUND(VLOOKUP(FP$4,Preisindex,4,FALSE)/VLOOKUP(Preisindex!$A$6,Preisindex,4,FALSE),2),IF(AND($E214&lt;&gt;0,$F214&gt;0,YEAR($F214)&lt;Preisindex!$A$6,YEAR(FK$4)&gt;=YEAR($F214),$K214="k"),ROUND(VLOOKUP(FP$4,Preisindex,2,FALSE)/VLOOKUP(Preisindex!$A$6,Preisindex,2,FALSE),2),0)))))</f>
        <v>0</v>
      </c>
      <c r="FR214" s="51">
        <f>IF(AND($E214&lt;&gt;0,$F214&gt;0,YEAR($F214)&lt;=FP$4,YEAR($F214)&gt;=Preisindex!$A$6),ROUND($E214*FP214,2),IF(AND($E214&lt;&gt;0,$F214&gt;0,YEAR($F214)&lt;=FP$4,YEAR($F214)&lt;Preisindex!$A$6),ROUND($E214*FQ214,2),0))</f>
        <v>0</v>
      </c>
      <c r="FS214" s="53">
        <f t="shared" si="688"/>
        <v>0</v>
      </c>
    </row>
    <row r="215" spans="1:175" x14ac:dyDescent="0.3">
      <c r="A215" s="93"/>
      <c r="B215" s="94"/>
      <c r="C215" s="94"/>
      <c r="D215" s="95"/>
      <c r="E215" s="99"/>
      <c r="F215" s="97"/>
      <c r="G215" s="98"/>
      <c r="H215" s="620"/>
      <c r="I215" s="193"/>
      <c r="J215" s="194"/>
      <c r="K215" s="630"/>
      <c r="L215" s="49">
        <f t="shared" si="689"/>
        <v>0</v>
      </c>
      <c r="M215" s="50">
        <f t="shared" si="690"/>
        <v>0</v>
      </c>
      <c r="N215" s="51">
        <f t="shared" si="691"/>
        <v>0</v>
      </c>
      <c r="O215" s="51"/>
      <c r="P215" s="51">
        <f t="shared" si="692"/>
        <v>0</v>
      </c>
      <c r="Q215" s="52"/>
      <c r="R215" s="52"/>
      <c r="S215" s="52"/>
      <c r="T215" s="52"/>
      <c r="U215" s="52"/>
      <c r="V215" s="53">
        <f t="shared" si="693"/>
        <v>0</v>
      </c>
      <c r="W215" s="51">
        <f t="shared" si="694"/>
        <v>0</v>
      </c>
      <c r="X215" s="51">
        <f t="shared" si="695"/>
        <v>0</v>
      </c>
      <c r="Y215" s="51">
        <f t="shared" si="696"/>
        <v>0</v>
      </c>
      <c r="Z215" s="51">
        <f t="shared" si="697"/>
        <v>0</v>
      </c>
      <c r="AA215" s="51">
        <f t="shared" si="698"/>
        <v>0</v>
      </c>
      <c r="AB215" s="51">
        <f t="shared" si="699"/>
        <v>0</v>
      </c>
      <c r="AC215" s="51">
        <f t="shared" si="700"/>
        <v>0</v>
      </c>
      <c r="AD215" s="51">
        <f t="shared" si="701"/>
        <v>0</v>
      </c>
      <c r="AE215" s="51">
        <f t="shared" si="702"/>
        <v>0</v>
      </c>
      <c r="AF215" s="51">
        <f t="shared" si="703"/>
        <v>0</v>
      </c>
      <c r="AG215" s="51">
        <f t="shared" si="704"/>
        <v>0</v>
      </c>
      <c r="AH215" s="54">
        <f t="shared" si="705"/>
        <v>0</v>
      </c>
      <c r="AI215" s="55">
        <f t="shared" si="706"/>
        <v>0</v>
      </c>
      <c r="AJ215" s="56">
        <f>IF(AND($E215&lt;&gt;0,$F215&gt;0,YEAR($F215)&gt;=Preisindex!$A$6,YEAR(AE$4)&gt;=YEAR($F215),AND($K215&lt;&gt;"a",$K215&lt;&gt;"b",$K215&lt;&gt;"g",$K215&lt;&gt;"k")),1,IF(AND($E215&lt;&gt;0,$F215&gt;0,YEAR($F215)&gt;=Preisindex!$A$6,YEAR(AE$4)&gt;=YEAR($F215),$K215="a"),ROUND(VLOOKUP(AJ$4,Preisindex,5,FALSE)/VLOOKUP(YEAR($F215),Preisindex,5,FALSE),2),IF(AND($E215&lt;&gt;0,$F215&gt;0,YEAR($F215)&gt;=Preisindex!$A$6,YEAR(AE$4)&gt;=YEAR($F215),$K215="b"),ROUND(VLOOKUP(AJ$4,Preisindex,3,FALSE)/VLOOKUP(YEAR($F215),Preisindex,3,FALSE),2),IF(AND($E215&lt;&gt;0,$F215&gt;0,YEAR($F215)&gt;=Preisindex!$A$6,YEAR(AE$4)&gt;=YEAR($F215),$K215="g"),ROUND(VLOOKUP(AJ$4,Preisindex,4,FALSE)/VLOOKUP(YEAR($F215),Preisindex,4,FALSE),2),IF(AND($E215&lt;&gt;0,$F215&gt;0,YEAR($F215)&gt;=Preisindex!$A$6,YEAR(AE$4)&gt;=YEAR($F215),$K215="k"),ROUND(VLOOKUP(AJ$4,Preisindex,2,FALSE)/VLOOKUP(YEAR($F215),Preisindex,2,FALSE),2),0)))))</f>
        <v>0</v>
      </c>
      <c r="AK215" s="56">
        <f>IF(AND($E215&lt;&gt;0,$F215&gt;0,YEAR($F215)&lt;Preisindex!$A$6,YEAR(AE$4)&gt;=YEAR($F215),AND($K215&lt;&gt;"a",$K215&lt;&gt;"b",$K215&lt;&gt;"g",$K215&lt;&gt;"k")),1,IF(AND($E215&lt;&gt;0,$F215&gt;0,YEAR($F215)&lt;Preisindex!$A$6,YEAR(AE$4)&gt;=YEAR($F215),$K215="a"),ROUND(VLOOKUP(AJ$4,Preisindex,5,FALSE)/VLOOKUP(Preisindex!$A$6,Preisindex,5,FALSE),2),IF(AND($E215&lt;&gt;0,$F215&gt;0,YEAR($F215)&lt;Preisindex!$A$6,YEAR(AE$4)&gt;=YEAR($F215),$K215="b"),ROUND(VLOOKUP(AJ$4,Preisindex,3,FALSE)/VLOOKUP(Preisindex!$A$6,Preisindex,3,FALSE),2),IF(AND($E215&lt;&gt;0,$F215&gt;0,YEAR($F215)&lt;Preisindex!$A$6,YEAR(AE$4)&gt;=YEAR($F215),$K215="g"),ROUND(VLOOKUP(AJ$4,Preisindex,4,FALSE)/VLOOKUP(Preisindex!$A$6,Preisindex,4,FALSE),2),IF(AND($E215&lt;&gt;0,$F215&gt;0,YEAR($F215)&lt;Preisindex!$A$6,YEAR(AE$4)&gt;=YEAR($F215),$K215="k"),ROUND(VLOOKUP(AJ$4,Preisindex,2,FALSE)/VLOOKUP(Preisindex!$A$6,Preisindex,2,FALSE),2),0)))))</f>
        <v>0</v>
      </c>
      <c r="AL215" s="51">
        <f>IF(AND($E215&lt;&gt;0,$F215&gt;0,YEAR($F215)&lt;=AJ$4,YEAR($F215)&gt;=Preisindex!$A$6),ROUND($E215*AJ215,2),IF(AND($E215&lt;&gt;0,$F215&gt;0,YEAR($F215)&lt;=AJ$4,YEAR($F215)&lt;Preisindex!$A$6),ROUND($E215*AK215,2),0))</f>
        <v>0</v>
      </c>
      <c r="AM215" s="53">
        <f t="shared" si="707"/>
        <v>0</v>
      </c>
      <c r="AN215" s="51">
        <f t="shared" si="708"/>
        <v>0</v>
      </c>
      <c r="AO215" s="51">
        <f t="shared" si="710"/>
        <v>0</v>
      </c>
      <c r="AP215" s="51">
        <f t="shared" si="624"/>
        <v>0</v>
      </c>
      <c r="AQ215" s="51">
        <f t="shared" si="711"/>
        <v>0</v>
      </c>
      <c r="AR215" s="51">
        <f t="shared" si="625"/>
        <v>0</v>
      </c>
      <c r="AS215" s="51">
        <f t="shared" si="712"/>
        <v>0</v>
      </c>
      <c r="AT215" s="51">
        <f t="shared" si="626"/>
        <v>0</v>
      </c>
      <c r="AU215" s="51">
        <f t="shared" si="713"/>
        <v>0</v>
      </c>
      <c r="AV215" s="51">
        <f t="shared" si="627"/>
        <v>0</v>
      </c>
      <c r="AW215" s="51">
        <f t="shared" si="714"/>
        <v>0</v>
      </c>
      <c r="AX215" s="51">
        <f t="shared" si="628"/>
        <v>0</v>
      </c>
      <c r="AY215" s="54">
        <f t="shared" si="629"/>
        <v>0</v>
      </c>
      <c r="AZ215" s="55">
        <f t="shared" si="630"/>
        <v>0</v>
      </c>
      <c r="BA215" s="56">
        <f>IF(AND($E215&lt;&gt;0,$F215&gt;0,YEAR($F215)&gt;=Preisindex!$A$6,YEAR(AV$4)&gt;=YEAR($F215),AND($K215&lt;&gt;"a",$K215&lt;&gt;"b",$K215&lt;&gt;"g",$K215&lt;&gt;"k")),1,IF(AND($E215&lt;&gt;0,$F215&gt;0,YEAR($F215)&gt;=Preisindex!$A$6,YEAR(AV$4)&gt;=YEAR($F215),$K215="a"),ROUND(VLOOKUP(BA$4,Preisindex,5,FALSE)/VLOOKUP(YEAR($F215),Preisindex,5,FALSE),2),IF(AND($E215&lt;&gt;0,$F215&gt;0,YEAR($F215)&gt;=Preisindex!$A$6,YEAR(AV$4)&gt;=YEAR($F215),$K215="b"),ROUND(VLOOKUP(BA$4,Preisindex,3,FALSE)/VLOOKUP(YEAR($F215),Preisindex,3,FALSE),2),IF(AND($E215&lt;&gt;0,$F215&gt;0,YEAR($F215)&gt;=Preisindex!$A$6,YEAR(AV$4)&gt;=YEAR($F215),$K215="g"),ROUND(VLOOKUP(BA$4,Preisindex,4,FALSE)/VLOOKUP(YEAR($F215),Preisindex,4,FALSE),2),IF(AND($E215&lt;&gt;0,$F215&gt;0,YEAR($F215)&gt;=Preisindex!$A$6,YEAR(AV$4)&gt;=YEAR($F215),$K215="k"),ROUND(VLOOKUP(BA$4,Preisindex,2,FALSE)/VLOOKUP(YEAR($F215),Preisindex,2,FALSE),2),0)))))</f>
        <v>0</v>
      </c>
      <c r="BB215" s="56">
        <f>IF(AND($E215&lt;&gt;0,$F215&gt;0,YEAR($F215)&lt;Preisindex!$A$6,YEAR(AV$4)&gt;=YEAR($F215),AND($K215&lt;&gt;"a",$K215&lt;&gt;"b",$K215&lt;&gt;"g",$K215&lt;&gt;"k")),1,IF(AND($E215&lt;&gt;0,$F215&gt;0,YEAR($F215)&lt;Preisindex!$A$6,YEAR(AV$4)&gt;=YEAR($F215),$K215="a"),ROUND(VLOOKUP(BA$4,Preisindex,5,FALSE)/VLOOKUP(Preisindex!$A$6,Preisindex,5,FALSE),2),IF(AND($E215&lt;&gt;0,$F215&gt;0,YEAR($F215)&lt;Preisindex!$A$6,YEAR(AV$4)&gt;=YEAR($F215),$K215="b"),ROUND(VLOOKUP(BA$4,Preisindex,3,FALSE)/VLOOKUP(Preisindex!$A$6,Preisindex,3,FALSE),2),IF(AND($E215&lt;&gt;0,$F215&gt;0,YEAR($F215)&lt;Preisindex!$A$6,YEAR(AV$4)&gt;=YEAR($F215),$K215="g"),ROUND(VLOOKUP(BA$4,Preisindex,4,FALSE)/VLOOKUP(Preisindex!$A$6,Preisindex,4,FALSE),2),IF(AND($E215&lt;&gt;0,$F215&gt;0,YEAR($F215)&lt;Preisindex!$A$6,YEAR(AV$4)&gt;=YEAR($F215),$K215="k"),ROUND(VLOOKUP(BA$4,Preisindex,2,FALSE)/VLOOKUP(Preisindex!$A$6,Preisindex,2,FALSE),2),0)))))</f>
        <v>0</v>
      </c>
      <c r="BC215" s="51">
        <f>IF(AND($E215&lt;&gt;0,$F215&gt;0,YEAR($F215)&lt;=BA$4,YEAR($F215)&gt;=Preisindex!$A$6),ROUND($E215*BA215,2),IF(AND($E215&lt;&gt;0,$F215&gt;0,YEAR($F215)&lt;=BA$4,YEAR($F215)&lt;Preisindex!$A$6),ROUND($E215*BB215,2),0))</f>
        <v>0</v>
      </c>
      <c r="BD215" s="53">
        <f t="shared" si="631"/>
        <v>0</v>
      </c>
      <c r="BE215" s="51">
        <f t="shared" si="708"/>
        <v>0</v>
      </c>
      <c r="BF215" s="51">
        <f t="shared" si="715"/>
        <v>0</v>
      </c>
      <c r="BG215" s="51">
        <f t="shared" si="632"/>
        <v>0</v>
      </c>
      <c r="BH215" s="51">
        <f t="shared" si="716"/>
        <v>0</v>
      </c>
      <c r="BI215" s="51">
        <f t="shared" si="633"/>
        <v>0</v>
      </c>
      <c r="BJ215" s="51">
        <f t="shared" si="717"/>
        <v>0</v>
      </c>
      <c r="BK215" s="51">
        <f t="shared" si="634"/>
        <v>0</v>
      </c>
      <c r="BL215" s="51">
        <f t="shared" si="718"/>
        <v>0</v>
      </c>
      <c r="BM215" s="51">
        <f t="shared" si="635"/>
        <v>0</v>
      </c>
      <c r="BN215" s="51">
        <f t="shared" si="719"/>
        <v>0</v>
      </c>
      <c r="BO215" s="51">
        <f t="shared" si="636"/>
        <v>0</v>
      </c>
      <c r="BP215" s="54">
        <f t="shared" si="637"/>
        <v>0</v>
      </c>
      <c r="BQ215" s="55">
        <f t="shared" si="638"/>
        <v>0</v>
      </c>
      <c r="BR215" s="56">
        <f>IF(AND($E215&lt;&gt;0,$F215&gt;0,YEAR($F215)&gt;=Preisindex!$A$6,YEAR(BM$4)&gt;=YEAR($F215),AND($K215&lt;&gt;"a",$K215&lt;&gt;"b",$K215&lt;&gt;"g",$K215&lt;&gt;"k")),1,IF(AND($E215&lt;&gt;0,$F215&gt;0,YEAR($F215)&gt;=Preisindex!$A$6,YEAR(BM$4)&gt;=YEAR($F215),$K215="a"),ROUND(VLOOKUP(BR$4,Preisindex,5,FALSE)/VLOOKUP(YEAR($F215),Preisindex,5,FALSE),2),IF(AND($E215&lt;&gt;0,$F215&gt;0,YEAR($F215)&gt;=Preisindex!$A$6,YEAR(BM$4)&gt;=YEAR($F215),$K215="b"),ROUND(VLOOKUP(BR$4,Preisindex,3,FALSE)/VLOOKUP(YEAR($F215),Preisindex,3,FALSE),2),IF(AND($E215&lt;&gt;0,$F215&gt;0,YEAR($F215)&gt;=Preisindex!$A$6,YEAR(BM$4)&gt;=YEAR($F215),$K215="g"),ROUND(VLOOKUP(BR$4,Preisindex,4,FALSE)/VLOOKUP(YEAR($F215),Preisindex,4,FALSE),2),IF(AND($E215&lt;&gt;0,$F215&gt;0,YEAR($F215)&gt;=Preisindex!$A$6,YEAR(BM$4)&gt;=YEAR($F215),$K215="k"),ROUND(VLOOKUP(BR$4,Preisindex,2,FALSE)/VLOOKUP(YEAR($F215),Preisindex,2,FALSE),2),0)))))</f>
        <v>0</v>
      </c>
      <c r="BS215" s="56">
        <f>IF(AND($E215&lt;&gt;0,$F215&gt;0,YEAR($F215)&lt;Preisindex!$A$6,YEAR(BM$4)&gt;=YEAR($F215),AND($K215&lt;&gt;"a",$K215&lt;&gt;"b",$K215&lt;&gt;"g",$K215&lt;&gt;"k")),1,IF(AND($E215&lt;&gt;0,$F215&gt;0,YEAR($F215)&lt;Preisindex!$A$6,YEAR(BM$4)&gt;=YEAR($F215),$K215="a"),ROUND(VLOOKUP(BR$4,Preisindex,5,FALSE)/VLOOKUP(Preisindex!$A$6,Preisindex,5,FALSE),2),IF(AND($E215&lt;&gt;0,$F215&gt;0,YEAR($F215)&lt;Preisindex!$A$6,YEAR(BM$4)&gt;=YEAR($F215),$K215="b"),ROUND(VLOOKUP(BR$4,Preisindex,3,FALSE)/VLOOKUP(Preisindex!$A$6,Preisindex,3,FALSE),2),IF(AND($E215&lt;&gt;0,$F215&gt;0,YEAR($F215)&lt;Preisindex!$A$6,YEAR(BM$4)&gt;=YEAR($F215),$K215="g"),ROUND(VLOOKUP(BR$4,Preisindex,4,FALSE)/VLOOKUP(Preisindex!$A$6,Preisindex,4,FALSE),2),IF(AND($E215&lt;&gt;0,$F215&gt;0,YEAR($F215)&lt;Preisindex!$A$6,YEAR(BM$4)&gt;=YEAR($F215),$K215="k"),ROUND(VLOOKUP(BR$4,Preisindex,2,FALSE)/VLOOKUP(Preisindex!$A$6,Preisindex,2,FALSE),2),0)))))</f>
        <v>0</v>
      </c>
      <c r="BT215" s="51">
        <f>IF(AND($E215&lt;&gt;0,$F215&gt;0,YEAR($F215)&lt;=BR$4,YEAR($F215)&gt;=Preisindex!$A$6),ROUND($E215*BR215,2),IF(AND($E215&lt;&gt;0,$F215&gt;0,YEAR($F215)&lt;=BR$4,YEAR($F215)&lt;Preisindex!$A$6),ROUND($E215*BS215,2),0))</f>
        <v>0</v>
      </c>
      <c r="BU215" s="53">
        <f t="shared" si="639"/>
        <v>0</v>
      </c>
      <c r="BV215" s="51">
        <f t="shared" si="708"/>
        <v>0</v>
      </c>
      <c r="BW215" s="51">
        <f t="shared" si="720"/>
        <v>0</v>
      </c>
      <c r="BX215" s="51">
        <f t="shared" si="640"/>
        <v>0</v>
      </c>
      <c r="BY215" s="51">
        <f t="shared" si="721"/>
        <v>0</v>
      </c>
      <c r="BZ215" s="51">
        <f t="shared" si="641"/>
        <v>0</v>
      </c>
      <c r="CA215" s="51">
        <f t="shared" si="722"/>
        <v>0</v>
      </c>
      <c r="CB215" s="51">
        <f t="shared" si="642"/>
        <v>0</v>
      </c>
      <c r="CC215" s="51">
        <f t="shared" si="723"/>
        <v>0</v>
      </c>
      <c r="CD215" s="51">
        <f t="shared" si="643"/>
        <v>0</v>
      </c>
      <c r="CE215" s="51">
        <f t="shared" si="724"/>
        <v>0</v>
      </c>
      <c r="CF215" s="51">
        <f t="shared" si="644"/>
        <v>0</v>
      </c>
      <c r="CG215" s="54">
        <f t="shared" si="645"/>
        <v>0</v>
      </c>
      <c r="CH215" s="55">
        <f t="shared" si="646"/>
        <v>0</v>
      </c>
      <c r="CI215" s="56">
        <f>IF(AND($E215&lt;&gt;0,$F215&gt;0,YEAR($F215)&gt;=Preisindex!$A$6,YEAR(CD$4)&gt;=YEAR($F215),AND($K215&lt;&gt;"a",$K215&lt;&gt;"b",$K215&lt;&gt;"g",$K215&lt;&gt;"k")),1,IF(AND($E215&lt;&gt;0,$F215&gt;0,YEAR($F215)&gt;=Preisindex!$A$6,YEAR(CD$4)&gt;=YEAR($F215),$K215="a"),ROUND(VLOOKUP(CI$4,Preisindex,5,FALSE)/VLOOKUP(YEAR($F215),Preisindex,5,FALSE),2),IF(AND($E215&lt;&gt;0,$F215&gt;0,YEAR($F215)&gt;=Preisindex!$A$6,YEAR(CD$4)&gt;=YEAR($F215),$K215="b"),ROUND(VLOOKUP(CI$4,Preisindex,3,FALSE)/VLOOKUP(YEAR($F215),Preisindex,3,FALSE),2),IF(AND($E215&lt;&gt;0,$F215&gt;0,YEAR($F215)&gt;=Preisindex!$A$6,YEAR(CD$4)&gt;=YEAR($F215),$K215="g"),ROUND(VLOOKUP(CI$4,Preisindex,4,FALSE)/VLOOKUP(YEAR($F215),Preisindex,4,FALSE),2),IF(AND($E215&lt;&gt;0,$F215&gt;0,YEAR($F215)&gt;=Preisindex!$A$6,YEAR(CD$4)&gt;=YEAR($F215),$K215="k"),ROUND(VLOOKUP(CI$4,Preisindex,2,FALSE)/VLOOKUP(YEAR($F215),Preisindex,2,FALSE),2),0)))))</f>
        <v>0</v>
      </c>
      <c r="CJ215" s="56">
        <f>IF(AND($E215&lt;&gt;0,$F215&gt;0,YEAR($F215)&lt;Preisindex!$A$6,YEAR(CD$4)&gt;=YEAR($F215),AND($K215&lt;&gt;"a",$K215&lt;&gt;"b",$K215&lt;&gt;"g",$K215&lt;&gt;"k")),1,IF(AND($E215&lt;&gt;0,$F215&gt;0,YEAR($F215)&lt;Preisindex!$A$6,YEAR(CD$4)&gt;=YEAR($F215),$K215="a"),ROUND(VLOOKUP(CI$4,Preisindex,5,FALSE)/VLOOKUP(Preisindex!$A$6,Preisindex,5,FALSE),2),IF(AND($E215&lt;&gt;0,$F215&gt;0,YEAR($F215)&lt;Preisindex!$A$6,YEAR(CD$4)&gt;=YEAR($F215),$K215="b"),ROUND(VLOOKUP(CI$4,Preisindex,3,FALSE)/VLOOKUP(Preisindex!$A$6,Preisindex,3,FALSE),2),IF(AND($E215&lt;&gt;0,$F215&gt;0,YEAR($F215)&lt;Preisindex!$A$6,YEAR(CD$4)&gt;=YEAR($F215),$K215="g"),ROUND(VLOOKUP(CI$4,Preisindex,4,FALSE)/VLOOKUP(Preisindex!$A$6,Preisindex,4,FALSE),2),IF(AND($E215&lt;&gt;0,$F215&gt;0,YEAR($F215)&lt;Preisindex!$A$6,YEAR(CD$4)&gt;=YEAR($F215),$K215="k"),ROUND(VLOOKUP(CI$4,Preisindex,2,FALSE)/VLOOKUP(Preisindex!$A$6,Preisindex,2,FALSE),2),0)))))</f>
        <v>0</v>
      </c>
      <c r="CK215" s="51">
        <f>IF(AND($E215&lt;&gt;0,$F215&gt;0,YEAR($F215)&lt;=CI$4,YEAR($F215)&gt;=Preisindex!$A$6),ROUND($E215*CI215,2),IF(AND($E215&lt;&gt;0,$F215&gt;0,YEAR($F215)&lt;=CI$4,YEAR($F215)&lt;Preisindex!$A$6),ROUND($E215*CJ215,2),0))</f>
        <v>0</v>
      </c>
      <c r="CL215" s="53">
        <f t="shared" si="647"/>
        <v>0</v>
      </c>
      <c r="CM215" s="51">
        <f t="shared" si="708"/>
        <v>0</v>
      </c>
      <c r="CN215" s="51">
        <f t="shared" si="725"/>
        <v>0</v>
      </c>
      <c r="CO215" s="51">
        <f t="shared" si="648"/>
        <v>0</v>
      </c>
      <c r="CP215" s="51">
        <f t="shared" si="726"/>
        <v>0</v>
      </c>
      <c r="CQ215" s="51">
        <f t="shared" si="649"/>
        <v>0</v>
      </c>
      <c r="CR215" s="51">
        <f t="shared" si="727"/>
        <v>0</v>
      </c>
      <c r="CS215" s="51">
        <f t="shared" si="650"/>
        <v>0</v>
      </c>
      <c r="CT215" s="51">
        <f t="shared" si="728"/>
        <v>0</v>
      </c>
      <c r="CU215" s="51">
        <f t="shared" si="651"/>
        <v>0</v>
      </c>
      <c r="CV215" s="51">
        <f t="shared" si="729"/>
        <v>0</v>
      </c>
      <c r="CW215" s="51">
        <f t="shared" si="652"/>
        <v>0</v>
      </c>
      <c r="CX215" s="54">
        <f t="shared" si="653"/>
        <v>0</v>
      </c>
      <c r="CY215" s="55">
        <f t="shared" si="654"/>
        <v>0</v>
      </c>
      <c r="CZ215" s="56">
        <f>IF(AND($E215&lt;&gt;0,$F215&gt;0,YEAR($F215)&gt;=Preisindex!$A$6,YEAR(CU$4)&gt;=YEAR($F215),AND($K215&lt;&gt;"a",$K215&lt;&gt;"b",$K215&lt;&gt;"g",$K215&lt;&gt;"k")),1,IF(AND($E215&lt;&gt;0,$F215&gt;0,YEAR($F215)&gt;=Preisindex!$A$6,YEAR(CU$4)&gt;=YEAR($F215),$K215="a"),ROUND(VLOOKUP(CZ$4,Preisindex,5,FALSE)/VLOOKUP(YEAR($F215),Preisindex,5,FALSE),2),IF(AND($E215&lt;&gt;0,$F215&gt;0,YEAR($F215)&gt;=Preisindex!$A$6,YEAR(CU$4)&gt;=YEAR($F215),$K215="b"),ROUND(VLOOKUP(CZ$4,Preisindex,3,FALSE)/VLOOKUP(YEAR($F215),Preisindex,3,FALSE),2),IF(AND($E215&lt;&gt;0,$F215&gt;0,YEAR($F215)&gt;=Preisindex!$A$6,YEAR(CU$4)&gt;=YEAR($F215),$K215="g"),ROUND(VLOOKUP(CZ$4,Preisindex,4,FALSE)/VLOOKUP(YEAR($F215),Preisindex,4,FALSE),2),IF(AND($E215&lt;&gt;0,$F215&gt;0,YEAR($F215)&gt;=Preisindex!$A$6,YEAR(CU$4)&gt;=YEAR($F215),$K215="k"),ROUND(VLOOKUP(CZ$4,Preisindex,2,FALSE)/VLOOKUP(YEAR($F215),Preisindex,2,FALSE),2),0)))))</f>
        <v>0</v>
      </c>
      <c r="DA215" s="56">
        <f>IF(AND($E215&lt;&gt;0,$F215&gt;0,YEAR($F215)&lt;Preisindex!$A$6,YEAR(CU$4)&gt;=YEAR($F215),AND($K215&lt;&gt;"a",$K215&lt;&gt;"b",$K215&lt;&gt;"g",$K215&lt;&gt;"k")),1,IF(AND($E215&lt;&gt;0,$F215&gt;0,YEAR($F215)&lt;Preisindex!$A$6,YEAR(CU$4)&gt;=YEAR($F215),$K215="a"),ROUND(VLOOKUP(CZ$4,Preisindex,5,FALSE)/VLOOKUP(Preisindex!$A$6,Preisindex,5,FALSE),2),IF(AND($E215&lt;&gt;0,$F215&gt;0,YEAR($F215)&lt;Preisindex!$A$6,YEAR(CU$4)&gt;=YEAR($F215),$K215="b"),ROUND(VLOOKUP(CZ$4,Preisindex,3,FALSE)/VLOOKUP(Preisindex!$A$6,Preisindex,3,FALSE),2),IF(AND($E215&lt;&gt;0,$F215&gt;0,YEAR($F215)&lt;Preisindex!$A$6,YEAR(CU$4)&gt;=YEAR($F215),$K215="g"),ROUND(VLOOKUP(CZ$4,Preisindex,4,FALSE)/VLOOKUP(Preisindex!$A$6,Preisindex,4,FALSE),2),IF(AND($E215&lt;&gt;0,$F215&gt;0,YEAR($F215)&lt;Preisindex!$A$6,YEAR(CU$4)&gt;=YEAR($F215),$K215="k"),ROUND(VLOOKUP(CZ$4,Preisindex,2,FALSE)/VLOOKUP(Preisindex!$A$6,Preisindex,2,FALSE),2),0)))))</f>
        <v>0</v>
      </c>
      <c r="DB215" s="51">
        <f>IF(AND($E215&lt;&gt;0,$F215&gt;0,YEAR($F215)&lt;=CZ$4,YEAR($F215)&gt;=Preisindex!$A$6),ROUND($E215*CZ215,2),IF(AND($E215&lt;&gt;0,$F215&gt;0,YEAR($F215)&lt;=CZ$4,YEAR($F215)&lt;Preisindex!$A$6),ROUND($E215*DA215,2),0))</f>
        <v>0</v>
      </c>
      <c r="DC215" s="53">
        <f t="shared" si="655"/>
        <v>0</v>
      </c>
      <c r="DD215" s="51">
        <f t="shared" si="709"/>
        <v>0</v>
      </c>
      <c r="DE215" s="51">
        <f t="shared" si="730"/>
        <v>0</v>
      </c>
      <c r="DF215" s="51">
        <f t="shared" si="657"/>
        <v>0</v>
      </c>
      <c r="DG215" s="51">
        <f t="shared" si="731"/>
        <v>0</v>
      </c>
      <c r="DH215" s="51">
        <f t="shared" si="658"/>
        <v>0</v>
      </c>
      <c r="DI215" s="51">
        <f t="shared" si="732"/>
        <v>0</v>
      </c>
      <c r="DJ215" s="51">
        <f t="shared" si="659"/>
        <v>0</v>
      </c>
      <c r="DK215" s="51">
        <f t="shared" si="733"/>
        <v>0</v>
      </c>
      <c r="DL215" s="51">
        <f t="shared" si="660"/>
        <v>0</v>
      </c>
      <c r="DM215" s="51">
        <f t="shared" si="734"/>
        <v>0</v>
      </c>
      <c r="DN215" s="51">
        <f t="shared" si="661"/>
        <v>0</v>
      </c>
      <c r="DO215" s="54">
        <f t="shared" si="662"/>
        <v>0</v>
      </c>
      <c r="DP215" s="55">
        <f t="shared" si="663"/>
        <v>0</v>
      </c>
      <c r="DQ215" s="56">
        <f>IF(AND($E215&lt;&gt;0,$F215&gt;0,YEAR($F215)&gt;=Preisindex!$A$6,YEAR(DL$4)&gt;=YEAR($F215),AND($K215&lt;&gt;"a",$K215&lt;&gt;"b",$K215&lt;&gt;"g",$K215&lt;&gt;"k")),1,IF(AND($E215&lt;&gt;0,$F215&gt;0,YEAR($F215)&gt;=Preisindex!$A$6,YEAR(DL$4)&gt;=YEAR($F215),$K215="a"),ROUND(VLOOKUP(DQ$4,Preisindex,5,FALSE)/VLOOKUP(YEAR($F215),Preisindex,5,FALSE),2),IF(AND($E215&lt;&gt;0,$F215&gt;0,YEAR($F215)&gt;=Preisindex!$A$6,YEAR(DL$4)&gt;=YEAR($F215),$K215="b"),ROUND(VLOOKUP(DQ$4,Preisindex,3,FALSE)/VLOOKUP(YEAR($F215),Preisindex,3,FALSE),2),IF(AND($E215&lt;&gt;0,$F215&gt;0,YEAR($F215)&gt;=Preisindex!$A$6,YEAR(DL$4)&gt;=YEAR($F215),$K215="g"),ROUND(VLOOKUP(DQ$4,Preisindex,4,FALSE)/VLOOKUP(YEAR($F215),Preisindex,4,FALSE),2),IF(AND($E215&lt;&gt;0,$F215&gt;0,YEAR($F215)&gt;=Preisindex!$A$6,YEAR(DL$4)&gt;=YEAR($F215),$K215="k"),ROUND(VLOOKUP(DQ$4,Preisindex,2,FALSE)/VLOOKUP(YEAR($F215),Preisindex,2,FALSE),2),0)))))</f>
        <v>0</v>
      </c>
      <c r="DR215" s="56">
        <f>IF(AND($E215&lt;&gt;0,$F215&gt;0,YEAR($F215)&lt;Preisindex!$A$6,YEAR(DL$4)&gt;=YEAR($F215),AND($K215&lt;&gt;"a",$K215&lt;&gt;"b",$K215&lt;&gt;"g",$K215&lt;&gt;"k")),1,IF(AND($E215&lt;&gt;0,$F215&gt;0,YEAR($F215)&lt;Preisindex!$A$6,YEAR(DL$4)&gt;=YEAR($F215),$K215="a"),ROUND(VLOOKUP(DQ$4,Preisindex,5,FALSE)/VLOOKUP(Preisindex!$A$6,Preisindex,5,FALSE),2),IF(AND($E215&lt;&gt;0,$F215&gt;0,YEAR($F215)&lt;Preisindex!$A$6,YEAR(DL$4)&gt;=YEAR($F215),$K215="b"),ROUND(VLOOKUP(DQ$4,Preisindex,3,FALSE)/VLOOKUP(Preisindex!$A$6,Preisindex,3,FALSE),2),IF(AND($E215&lt;&gt;0,$F215&gt;0,YEAR($F215)&lt;Preisindex!$A$6,YEAR(DL$4)&gt;=YEAR($F215),$K215="g"),ROUND(VLOOKUP(DQ$4,Preisindex,4,FALSE)/VLOOKUP(Preisindex!$A$6,Preisindex,4,FALSE),2),IF(AND($E215&lt;&gt;0,$F215&gt;0,YEAR($F215)&lt;Preisindex!$A$6,YEAR(DL$4)&gt;=YEAR($F215),$K215="k"),ROUND(VLOOKUP(DQ$4,Preisindex,2,FALSE)/VLOOKUP(Preisindex!$A$6,Preisindex,2,FALSE),2),0)))))</f>
        <v>0</v>
      </c>
      <c r="DS215" s="51">
        <f>IF(AND($E215&lt;&gt;0,$F215&gt;0,YEAR($F215)&lt;=DQ$4,YEAR($F215)&gt;=Preisindex!$A$6),ROUND($E215*DQ215,2),IF(AND($E215&lt;&gt;0,$F215&gt;0,YEAR($F215)&lt;=DQ$4,YEAR($F215)&lt;Preisindex!$A$6),ROUND($E215*DR215,2),0))</f>
        <v>0</v>
      </c>
      <c r="DT215" s="53">
        <f t="shared" si="664"/>
        <v>0</v>
      </c>
      <c r="DU215" s="51">
        <f t="shared" si="709"/>
        <v>0</v>
      </c>
      <c r="DV215" s="51">
        <f t="shared" si="735"/>
        <v>0</v>
      </c>
      <c r="DW215" s="51">
        <f t="shared" si="665"/>
        <v>0</v>
      </c>
      <c r="DX215" s="51">
        <f t="shared" si="736"/>
        <v>0</v>
      </c>
      <c r="DY215" s="51">
        <f t="shared" si="666"/>
        <v>0</v>
      </c>
      <c r="DZ215" s="51">
        <f t="shared" si="737"/>
        <v>0</v>
      </c>
      <c r="EA215" s="51">
        <f t="shared" si="667"/>
        <v>0</v>
      </c>
      <c r="EB215" s="51">
        <f t="shared" si="738"/>
        <v>0</v>
      </c>
      <c r="EC215" s="51">
        <f t="shared" si="668"/>
        <v>0</v>
      </c>
      <c r="ED215" s="51">
        <f t="shared" si="739"/>
        <v>0</v>
      </c>
      <c r="EE215" s="51">
        <f t="shared" si="669"/>
        <v>0</v>
      </c>
      <c r="EF215" s="54">
        <f t="shared" si="670"/>
        <v>0</v>
      </c>
      <c r="EG215" s="55">
        <f t="shared" si="671"/>
        <v>0</v>
      </c>
      <c r="EH215" s="56">
        <f>IF(AND($E215&lt;&gt;0,$F215&gt;0,YEAR($F215)&gt;=Preisindex!$A$6,YEAR(EC$4)&gt;=YEAR($F215),AND($K215&lt;&gt;"a",$K215&lt;&gt;"b",$K215&lt;&gt;"g",$K215&lt;&gt;"k")),1,IF(AND($E215&lt;&gt;0,$F215&gt;0,YEAR($F215)&gt;=Preisindex!$A$6,YEAR(EC$4)&gt;=YEAR($F215),$K215="a"),ROUND(VLOOKUP(EH$4,Preisindex,5,FALSE)/VLOOKUP(YEAR($F215),Preisindex,5,FALSE),2),IF(AND($E215&lt;&gt;0,$F215&gt;0,YEAR($F215)&gt;=Preisindex!$A$6,YEAR(EC$4)&gt;=YEAR($F215),$K215="b"),ROUND(VLOOKUP(EH$4,Preisindex,3,FALSE)/VLOOKUP(YEAR($F215),Preisindex,3,FALSE),2),IF(AND($E215&lt;&gt;0,$F215&gt;0,YEAR($F215)&gt;=Preisindex!$A$6,YEAR(EC$4)&gt;=YEAR($F215),$K215="g"),ROUND(VLOOKUP(EH$4,Preisindex,4,FALSE)/VLOOKUP(YEAR($F215),Preisindex,4,FALSE),2),IF(AND($E215&lt;&gt;0,$F215&gt;0,YEAR($F215)&gt;=Preisindex!$A$6,YEAR(EC$4)&gt;=YEAR($F215),$K215="k"),ROUND(VLOOKUP(EH$4,Preisindex,2,FALSE)/VLOOKUP(YEAR($F215),Preisindex,2,FALSE),2),0)))))</f>
        <v>0</v>
      </c>
      <c r="EI215" s="56">
        <f>IF(AND($E215&lt;&gt;0,$F215&gt;0,YEAR($F215)&lt;Preisindex!$A$6,YEAR(EC$4)&gt;=YEAR($F215),AND($K215&lt;&gt;"a",$K215&lt;&gt;"b",$K215&lt;&gt;"g",$K215&lt;&gt;"k")),1,IF(AND($E215&lt;&gt;0,$F215&gt;0,YEAR($F215)&lt;Preisindex!$A$6,YEAR(EC$4)&gt;=YEAR($F215),$K215="a"),ROUND(VLOOKUP(EH$4,Preisindex,5,FALSE)/VLOOKUP(Preisindex!$A$6,Preisindex,5,FALSE),2),IF(AND($E215&lt;&gt;0,$F215&gt;0,YEAR($F215)&lt;Preisindex!$A$6,YEAR(EC$4)&gt;=YEAR($F215),$K215="b"),ROUND(VLOOKUP(EH$4,Preisindex,3,FALSE)/VLOOKUP(Preisindex!$A$6,Preisindex,3,FALSE),2),IF(AND($E215&lt;&gt;0,$F215&gt;0,YEAR($F215)&lt;Preisindex!$A$6,YEAR(EC$4)&gt;=YEAR($F215),$K215="g"),ROUND(VLOOKUP(EH$4,Preisindex,4,FALSE)/VLOOKUP(Preisindex!$A$6,Preisindex,4,FALSE),2),IF(AND($E215&lt;&gt;0,$F215&gt;0,YEAR($F215)&lt;Preisindex!$A$6,YEAR(EC$4)&gt;=YEAR($F215),$K215="k"),ROUND(VLOOKUP(EH$4,Preisindex,2,FALSE)/VLOOKUP(Preisindex!$A$6,Preisindex,2,FALSE),2),0)))))</f>
        <v>0</v>
      </c>
      <c r="EJ215" s="51">
        <f>IF(AND($E215&lt;&gt;0,$F215&gt;0,YEAR($F215)&lt;=EH$4,YEAR($F215)&gt;=Preisindex!$A$6),ROUND($E215*EH215,2),IF(AND($E215&lt;&gt;0,$F215&gt;0,YEAR($F215)&lt;=EH$4,YEAR($F215)&lt;Preisindex!$A$6),ROUND($E215*EI215,2),0))</f>
        <v>0</v>
      </c>
      <c r="EK215" s="53">
        <f t="shared" si="672"/>
        <v>0</v>
      </c>
      <c r="EL215" s="51">
        <f t="shared" si="709"/>
        <v>0</v>
      </c>
      <c r="EM215" s="51">
        <f t="shared" si="740"/>
        <v>0</v>
      </c>
      <c r="EN215" s="51">
        <f t="shared" si="673"/>
        <v>0</v>
      </c>
      <c r="EO215" s="51">
        <f t="shared" si="741"/>
        <v>0</v>
      </c>
      <c r="EP215" s="51">
        <f t="shared" si="674"/>
        <v>0</v>
      </c>
      <c r="EQ215" s="51">
        <f t="shared" si="742"/>
        <v>0</v>
      </c>
      <c r="ER215" s="51">
        <f t="shared" si="675"/>
        <v>0</v>
      </c>
      <c r="ES215" s="51">
        <f t="shared" si="743"/>
        <v>0</v>
      </c>
      <c r="ET215" s="51">
        <f t="shared" si="676"/>
        <v>0</v>
      </c>
      <c r="EU215" s="51">
        <f t="shared" si="744"/>
        <v>0</v>
      </c>
      <c r="EV215" s="51">
        <f t="shared" si="677"/>
        <v>0</v>
      </c>
      <c r="EW215" s="54">
        <f t="shared" si="678"/>
        <v>0</v>
      </c>
      <c r="EX215" s="55">
        <f t="shared" si="679"/>
        <v>0</v>
      </c>
      <c r="EY215" s="56">
        <f>IF(AND($E215&lt;&gt;0,$F215&gt;0,YEAR($F215)&gt;=Preisindex!$A$6,YEAR(ET$4)&gt;=YEAR($F215),AND($K215&lt;&gt;"a",$K215&lt;&gt;"b",$K215&lt;&gt;"g",$K215&lt;&gt;"k")),1,IF(AND($E215&lt;&gt;0,$F215&gt;0,YEAR($F215)&gt;=Preisindex!$A$6,YEAR(ET$4)&gt;=YEAR($F215),$K215="a"),ROUND(VLOOKUP(EY$4,Preisindex,5,FALSE)/VLOOKUP(YEAR($F215),Preisindex,5,FALSE),2),IF(AND($E215&lt;&gt;0,$F215&gt;0,YEAR($F215)&gt;=Preisindex!$A$6,YEAR(ET$4)&gt;=YEAR($F215),$K215="b"),ROUND(VLOOKUP(EY$4,Preisindex,3,FALSE)/VLOOKUP(YEAR($F215),Preisindex,3,FALSE),2),IF(AND($E215&lt;&gt;0,$F215&gt;0,YEAR($F215)&gt;=Preisindex!$A$6,YEAR(ET$4)&gt;=YEAR($F215),$K215="g"),ROUND(VLOOKUP(EY$4,Preisindex,4,FALSE)/VLOOKUP(YEAR($F215),Preisindex,4,FALSE),2),IF(AND($E215&lt;&gt;0,$F215&gt;0,YEAR($F215)&gt;=Preisindex!$A$6,YEAR(ET$4)&gt;=YEAR($F215),$K215="k"),ROUND(VLOOKUP(EY$4,Preisindex,2,FALSE)/VLOOKUP(YEAR($F215),Preisindex,2,FALSE),2),0)))))</f>
        <v>0</v>
      </c>
      <c r="EZ215" s="56">
        <f>IF(AND($E215&lt;&gt;0,$F215&gt;0,YEAR($F215)&lt;Preisindex!$A$6,YEAR(ET$4)&gt;=YEAR($F215),AND($K215&lt;&gt;"a",$K215&lt;&gt;"b",$K215&lt;&gt;"g",$K215&lt;&gt;"k")),1,IF(AND($E215&lt;&gt;0,$F215&gt;0,YEAR($F215)&lt;Preisindex!$A$6,YEAR(ET$4)&gt;=YEAR($F215),$K215="a"),ROUND(VLOOKUP(EY$4,Preisindex,5,FALSE)/VLOOKUP(Preisindex!$A$6,Preisindex,5,FALSE),2),IF(AND($E215&lt;&gt;0,$F215&gt;0,YEAR($F215)&lt;Preisindex!$A$6,YEAR(ET$4)&gt;=YEAR($F215),$K215="b"),ROUND(VLOOKUP(EY$4,Preisindex,3,FALSE)/VLOOKUP(Preisindex!$A$6,Preisindex,3,FALSE),2),IF(AND($E215&lt;&gt;0,$F215&gt;0,YEAR($F215)&lt;Preisindex!$A$6,YEAR(ET$4)&gt;=YEAR($F215),$K215="g"),ROUND(VLOOKUP(EY$4,Preisindex,4,FALSE)/VLOOKUP(Preisindex!$A$6,Preisindex,4,FALSE),2),IF(AND($E215&lt;&gt;0,$F215&gt;0,YEAR($F215)&lt;Preisindex!$A$6,YEAR(ET$4)&gt;=YEAR($F215),$K215="k"),ROUND(VLOOKUP(EY$4,Preisindex,2,FALSE)/VLOOKUP(Preisindex!$A$6,Preisindex,2,FALSE),2),0)))))</f>
        <v>0</v>
      </c>
      <c r="FA215" s="51">
        <f>IF(AND($E215&lt;&gt;0,$F215&gt;0,YEAR($F215)&lt;=EY$4,YEAR($F215)&gt;=Preisindex!$A$6),ROUND($E215*EY215,2),IF(AND($E215&lt;&gt;0,$F215&gt;0,YEAR($F215)&lt;=EY$4,YEAR($F215)&lt;Preisindex!$A$6),ROUND($E215*EZ215,2),0))</f>
        <v>0</v>
      </c>
      <c r="FB215" s="53">
        <f t="shared" si="680"/>
        <v>0</v>
      </c>
      <c r="FC215" s="51">
        <f t="shared" si="709"/>
        <v>0</v>
      </c>
      <c r="FD215" s="51">
        <f t="shared" si="745"/>
        <v>0</v>
      </c>
      <c r="FE215" s="51">
        <f t="shared" si="681"/>
        <v>0</v>
      </c>
      <c r="FF215" s="51">
        <f t="shared" si="746"/>
        <v>0</v>
      </c>
      <c r="FG215" s="51">
        <f t="shared" si="682"/>
        <v>0</v>
      </c>
      <c r="FH215" s="51">
        <f t="shared" si="747"/>
        <v>0</v>
      </c>
      <c r="FI215" s="51">
        <f t="shared" si="683"/>
        <v>0</v>
      </c>
      <c r="FJ215" s="51">
        <f t="shared" si="748"/>
        <v>0</v>
      </c>
      <c r="FK215" s="51">
        <f t="shared" si="684"/>
        <v>0</v>
      </c>
      <c r="FL215" s="51">
        <f t="shared" si="749"/>
        <v>0</v>
      </c>
      <c r="FM215" s="51">
        <f t="shared" si="685"/>
        <v>0</v>
      </c>
      <c r="FN215" s="54">
        <f t="shared" si="686"/>
        <v>0</v>
      </c>
      <c r="FO215" s="55">
        <f t="shared" si="687"/>
        <v>0</v>
      </c>
      <c r="FP215" s="56">
        <f>IF(AND($E215&lt;&gt;0,$F215&gt;0,YEAR($F215)&gt;=Preisindex!$A$6,YEAR(FK$4)&gt;=YEAR($F215),AND($K215&lt;&gt;"a",$K215&lt;&gt;"b",$K215&lt;&gt;"g",$K215&lt;&gt;"k")),1,IF(AND($E215&lt;&gt;0,$F215&gt;0,YEAR($F215)&gt;=Preisindex!$A$6,YEAR(FK$4)&gt;=YEAR($F215),$K215="a"),ROUND(VLOOKUP(FP$4,Preisindex,5,FALSE)/VLOOKUP(YEAR($F215),Preisindex,5,FALSE),2),IF(AND($E215&lt;&gt;0,$F215&gt;0,YEAR($F215)&gt;=Preisindex!$A$6,YEAR(FK$4)&gt;=YEAR($F215),$K215="b"),ROUND(VLOOKUP(FP$4,Preisindex,3,FALSE)/VLOOKUP(YEAR($F215),Preisindex,3,FALSE),2),IF(AND($E215&lt;&gt;0,$F215&gt;0,YEAR($F215)&gt;=Preisindex!$A$6,YEAR(FK$4)&gt;=YEAR($F215),$K215="g"),ROUND(VLOOKUP(FP$4,Preisindex,4,FALSE)/VLOOKUP(YEAR($F215),Preisindex,4,FALSE),2),IF(AND($E215&lt;&gt;0,$F215&gt;0,YEAR($F215)&gt;=Preisindex!$A$6,YEAR(FK$4)&gt;=YEAR($F215),$K215="k"),ROUND(VLOOKUP(FP$4,Preisindex,2,FALSE)/VLOOKUP(YEAR($F215),Preisindex,2,FALSE),2),0)))))</f>
        <v>0</v>
      </c>
      <c r="FQ215" s="56">
        <f>IF(AND($E215&lt;&gt;0,$F215&gt;0,YEAR($F215)&lt;Preisindex!$A$6,YEAR(FK$4)&gt;=YEAR($F215),AND($K215&lt;&gt;"a",$K215&lt;&gt;"b",$K215&lt;&gt;"g",$K215&lt;&gt;"k")),1,IF(AND($E215&lt;&gt;0,$F215&gt;0,YEAR($F215)&lt;Preisindex!$A$6,YEAR(FK$4)&gt;=YEAR($F215),$K215="a"),ROUND(VLOOKUP(FP$4,Preisindex,5,FALSE)/VLOOKUP(Preisindex!$A$6,Preisindex,5,FALSE),2),IF(AND($E215&lt;&gt;0,$F215&gt;0,YEAR($F215)&lt;Preisindex!$A$6,YEAR(FK$4)&gt;=YEAR($F215),$K215="b"),ROUND(VLOOKUP(FP$4,Preisindex,3,FALSE)/VLOOKUP(Preisindex!$A$6,Preisindex,3,FALSE),2),IF(AND($E215&lt;&gt;0,$F215&gt;0,YEAR($F215)&lt;Preisindex!$A$6,YEAR(FK$4)&gt;=YEAR($F215),$K215="g"),ROUND(VLOOKUP(FP$4,Preisindex,4,FALSE)/VLOOKUP(Preisindex!$A$6,Preisindex,4,FALSE),2),IF(AND($E215&lt;&gt;0,$F215&gt;0,YEAR($F215)&lt;Preisindex!$A$6,YEAR(FK$4)&gt;=YEAR($F215),$K215="k"),ROUND(VLOOKUP(FP$4,Preisindex,2,FALSE)/VLOOKUP(Preisindex!$A$6,Preisindex,2,FALSE),2),0)))))</f>
        <v>0</v>
      </c>
      <c r="FR215" s="51">
        <f>IF(AND($E215&lt;&gt;0,$F215&gt;0,YEAR($F215)&lt;=FP$4,YEAR($F215)&gt;=Preisindex!$A$6),ROUND($E215*FP215,2),IF(AND($E215&lt;&gt;0,$F215&gt;0,YEAR($F215)&lt;=FP$4,YEAR($F215)&lt;Preisindex!$A$6),ROUND($E215*FQ215,2),0))</f>
        <v>0</v>
      </c>
      <c r="FS215" s="53">
        <f t="shared" si="688"/>
        <v>0</v>
      </c>
    </row>
    <row r="216" spans="1:175" x14ac:dyDescent="0.3">
      <c r="A216" s="93"/>
      <c r="B216" s="94"/>
      <c r="C216" s="94"/>
      <c r="D216" s="95"/>
      <c r="E216" s="99"/>
      <c r="F216" s="97"/>
      <c r="G216" s="98"/>
      <c r="H216" s="620"/>
      <c r="I216" s="193"/>
      <c r="J216" s="194"/>
      <c r="K216" s="630"/>
      <c r="L216" s="49">
        <f t="shared" si="689"/>
        <v>0</v>
      </c>
      <c r="M216" s="50">
        <f t="shared" si="690"/>
        <v>0</v>
      </c>
      <c r="N216" s="51">
        <f t="shared" si="691"/>
        <v>0</v>
      </c>
      <c r="O216" s="51"/>
      <c r="P216" s="51">
        <f t="shared" si="692"/>
        <v>0</v>
      </c>
      <c r="Q216" s="52"/>
      <c r="R216" s="52"/>
      <c r="S216" s="52"/>
      <c r="T216" s="52"/>
      <c r="U216" s="52"/>
      <c r="V216" s="53">
        <f t="shared" si="693"/>
        <v>0</v>
      </c>
      <c r="W216" s="51">
        <f t="shared" si="694"/>
        <v>0</v>
      </c>
      <c r="X216" s="51">
        <f t="shared" si="695"/>
        <v>0</v>
      </c>
      <c r="Y216" s="51">
        <f t="shared" si="696"/>
        <v>0</v>
      </c>
      <c r="Z216" s="51">
        <f t="shared" si="697"/>
        <v>0</v>
      </c>
      <c r="AA216" s="51">
        <f t="shared" si="698"/>
        <v>0</v>
      </c>
      <c r="AB216" s="51">
        <f t="shared" si="699"/>
        <v>0</v>
      </c>
      <c r="AC216" s="51">
        <f t="shared" si="700"/>
        <v>0</v>
      </c>
      <c r="AD216" s="51">
        <f t="shared" si="701"/>
        <v>0</v>
      </c>
      <c r="AE216" s="51">
        <f t="shared" si="702"/>
        <v>0</v>
      </c>
      <c r="AF216" s="51">
        <f t="shared" si="703"/>
        <v>0</v>
      </c>
      <c r="AG216" s="51">
        <f t="shared" si="704"/>
        <v>0</v>
      </c>
      <c r="AH216" s="54">
        <f t="shared" si="705"/>
        <v>0</v>
      </c>
      <c r="AI216" s="55">
        <f t="shared" si="706"/>
        <v>0</v>
      </c>
      <c r="AJ216" s="56">
        <f>IF(AND($E216&lt;&gt;0,$F216&gt;0,YEAR($F216)&gt;=Preisindex!$A$6,YEAR(AE$4)&gt;=YEAR($F216),AND($K216&lt;&gt;"a",$K216&lt;&gt;"b",$K216&lt;&gt;"g",$K216&lt;&gt;"k")),1,IF(AND($E216&lt;&gt;0,$F216&gt;0,YEAR($F216)&gt;=Preisindex!$A$6,YEAR(AE$4)&gt;=YEAR($F216),$K216="a"),ROUND(VLOOKUP(AJ$4,Preisindex,5,FALSE)/VLOOKUP(YEAR($F216),Preisindex,5,FALSE),2),IF(AND($E216&lt;&gt;0,$F216&gt;0,YEAR($F216)&gt;=Preisindex!$A$6,YEAR(AE$4)&gt;=YEAR($F216),$K216="b"),ROUND(VLOOKUP(AJ$4,Preisindex,3,FALSE)/VLOOKUP(YEAR($F216),Preisindex,3,FALSE),2),IF(AND($E216&lt;&gt;0,$F216&gt;0,YEAR($F216)&gt;=Preisindex!$A$6,YEAR(AE$4)&gt;=YEAR($F216),$K216="g"),ROUND(VLOOKUP(AJ$4,Preisindex,4,FALSE)/VLOOKUP(YEAR($F216),Preisindex,4,FALSE),2),IF(AND($E216&lt;&gt;0,$F216&gt;0,YEAR($F216)&gt;=Preisindex!$A$6,YEAR(AE$4)&gt;=YEAR($F216),$K216="k"),ROUND(VLOOKUP(AJ$4,Preisindex,2,FALSE)/VLOOKUP(YEAR($F216),Preisindex,2,FALSE),2),0)))))</f>
        <v>0</v>
      </c>
      <c r="AK216" s="56">
        <f>IF(AND($E216&lt;&gt;0,$F216&gt;0,YEAR($F216)&lt;Preisindex!$A$6,YEAR(AE$4)&gt;=YEAR($F216),AND($K216&lt;&gt;"a",$K216&lt;&gt;"b",$K216&lt;&gt;"g",$K216&lt;&gt;"k")),1,IF(AND($E216&lt;&gt;0,$F216&gt;0,YEAR($F216)&lt;Preisindex!$A$6,YEAR(AE$4)&gt;=YEAR($F216),$K216="a"),ROUND(VLOOKUP(AJ$4,Preisindex,5,FALSE)/VLOOKUP(Preisindex!$A$6,Preisindex,5,FALSE),2),IF(AND($E216&lt;&gt;0,$F216&gt;0,YEAR($F216)&lt;Preisindex!$A$6,YEAR(AE$4)&gt;=YEAR($F216),$K216="b"),ROUND(VLOOKUP(AJ$4,Preisindex,3,FALSE)/VLOOKUP(Preisindex!$A$6,Preisindex,3,FALSE),2),IF(AND($E216&lt;&gt;0,$F216&gt;0,YEAR($F216)&lt;Preisindex!$A$6,YEAR(AE$4)&gt;=YEAR($F216),$K216="g"),ROUND(VLOOKUP(AJ$4,Preisindex,4,FALSE)/VLOOKUP(Preisindex!$A$6,Preisindex,4,FALSE),2),IF(AND($E216&lt;&gt;0,$F216&gt;0,YEAR($F216)&lt;Preisindex!$A$6,YEAR(AE$4)&gt;=YEAR($F216),$K216="k"),ROUND(VLOOKUP(AJ$4,Preisindex,2,FALSE)/VLOOKUP(Preisindex!$A$6,Preisindex,2,FALSE),2),0)))))</f>
        <v>0</v>
      </c>
      <c r="AL216" s="51">
        <f>IF(AND($E216&lt;&gt;0,$F216&gt;0,YEAR($F216)&lt;=AJ$4,YEAR($F216)&gt;=Preisindex!$A$6),ROUND($E216*AJ216,2),IF(AND($E216&lt;&gt;0,$F216&gt;0,YEAR($F216)&lt;=AJ$4,YEAR($F216)&lt;Preisindex!$A$6),ROUND($E216*AK216,2),0))</f>
        <v>0</v>
      </c>
      <c r="AM216" s="53">
        <f t="shared" si="707"/>
        <v>0</v>
      </c>
      <c r="AN216" s="51">
        <f t="shared" si="708"/>
        <v>0</v>
      </c>
      <c r="AO216" s="51">
        <f t="shared" si="710"/>
        <v>0</v>
      </c>
      <c r="AP216" s="51">
        <f t="shared" si="624"/>
        <v>0</v>
      </c>
      <c r="AQ216" s="51">
        <f t="shared" si="711"/>
        <v>0</v>
      </c>
      <c r="AR216" s="51">
        <f t="shared" si="625"/>
        <v>0</v>
      </c>
      <c r="AS216" s="51">
        <f t="shared" si="712"/>
        <v>0</v>
      </c>
      <c r="AT216" s="51">
        <f t="shared" si="626"/>
        <v>0</v>
      </c>
      <c r="AU216" s="51">
        <f t="shared" si="713"/>
        <v>0</v>
      </c>
      <c r="AV216" s="51">
        <f t="shared" si="627"/>
        <v>0</v>
      </c>
      <c r="AW216" s="51">
        <f t="shared" si="714"/>
        <v>0</v>
      </c>
      <c r="AX216" s="51">
        <f t="shared" si="628"/>
        <v>0</v>
      </c>
      <c r="AY216" s="54">
        <f t="shared" si="629"/>
        <v>0</v>
      </c>
      <c r="AZ216" s="55">
        <f t="shared" si="630"/>
        <v>0</v>
      </c>
      <c r="BA216" s="56">
        <f>IF(AND($E216&lt;&gt;0,$F216&gt;0,YEAR($F216)&gt;=Preisindex!$A$6,YEAR(AV$4)&gt;=YEAR($F216),AND($K216&lt;&gt;"a",$K216&lt;&gt;"b",$K216&lt;&gt;"g",$K216&lt;&gt;"k")),1,IF(AND($E216&lt;&gt;0,$F216&gt;0,YEAR($F216)&gt;=Preisindex!$A$6,YEAR(AV$4)&gt;=YEAR($F216),$K216="a"),ROUND(VLOOKUP(BA$4,Preisindex,5,FALSE)/VLOOKUP(YEAR($F216),Preisindex,5,FALSE),2),IF(AND($E216&lt;&gt;0,$F216&gt;0,YEAR($F216)&gt;=Preisindex!$A$6,YEAR(AV$4)&gt;=YEAR($F216),$K216="b"),ROUND(VLOOKUP(BA$4,Preisindex,3,FALSE)/VLOOKUP(YEAR($F216),Preisindex,3,FALSE),2),IF(AND($E216&lt;&gt;0,$F216&gt;0,YEAR($F216)&gt;=Preisindex!$A$6,YEAR(AV$4)&gt;=YEAR($F216),$K216="g"),ROUND(VLOOKUP(BA$4,Preisindex,4,FALSE)/VLOOKUP(YEAR($F216),Preisindex,4,FALSE),2),IF(AND($E216&lt;&gt;0,$F216&gt;0,YEAR($F216)&gt;=Preisindex!$A$6,YEAR(AV$4)&gt;=YEAR($F216),$K216="k"),ROUND(VLOOKUP(BA$4,Preisindex,2,FALSE)/VLOOKUP(YEAR($F216),Preisindex,2,FALSE),2),0)))))</f>
        <v>0</v>
      </c>
      <c r="BB216" s="56">
        <f>IF(AND($E216&lt;&gt;0,$F216&gt;0,YEAR($F216)&lt;Preisindex!$A$6,YEAR(AV$4)&gt;=YEAR($F216),AND($K216&lt;&gt;"a",$K216&lt;&gt;"b",$K216&lt;&gt;"g",$K216&lt;&gt;"k")),1,IF(AND($E216&lt;&gt;0,$F216&gt;0,YEAR($F216)&lt;Preisindex!$A$6,YEAR(AV$4)&gt;=YEAR($F216),$K216="a"),ROUND(VLOOKUP(BA$4,Preisindex,5,FALSE)/VLOOKUP(Preisindex!$A$6,Preisindex,5,FALSE),2),IF(AND($E216&lt;&gt;0,$F216&gt;0,YEAR($F216)&lt;Preisindex!$A$6,YEAR(AV$4)&gt;=YEAR($F216),$K216="b"),ROUND(VLOOKUP(BA$4,Preisindex,3,FALSE)/VLOOKUP(Preisindex!$A$6,Preisindex,3,FALSE),2),IF(AND($E216&lt;&gt;0,$F216&gt;0,YEAR($F216)&lt;Preisindex!$A$6,YEAR(AV$4)&gt;=YEAR($F216),$K216="g"),ROUND(VLOOKUP(BA$4,Preisindex,4,FALSE)/VLOOKUP(Preisindex!$A$6,Preisindex,4,FALSE),2),IF(AND($E216&lt;&gt;0,$F216&gt;0,YEAR($F216)&lt;Preisindex!$A$6,YEAR(AV$4)&gt;=YEAR($F216),$K216="k"),ROUND(VLOOKUP(BA$4,Preisindex,2,FALSE)/VLOOKUP(Preisindex!$A$6,Preisindex,2,FALSE),2),0)))))</f>
        <v>0</v>
      </c>
      <c r="BC216" s="51">
        <f>IF(AND($E216&lt;&gt;0,$F216&gt;0,YEAR($F216)&lt;=BA$4,YEAR($F216)&gt;=Preisindex!$A$6),ROUND($E216*BA216,2),IF(AND($E216&lt;&gt;0,$F216&gt;0,YEAR($F216)&lt;=BA$4,YEAR($F216)&lt;Preisindex!$A$6),ROUND($E216*BB216,2),0))</f>
        <v>0</v>
      </c>
      <c r="BD216" s="53">
        <f t="shared" si="631"/>
        <v>0</v>
      </c>
      <c r="BE216" s="51">
        <f t="shared" si="708"/>
        <v>0</v>
      </c>
      <c r="BF216" s="51">
        <f t="shared" si="715"/>
        <v>0</v>
      </c>
      <c r="BG216" s="51">
        <f t="shared" si="632"/>
        <v>0</v>
      </c>
      <c r="BH216" s="51">
        <f t="shared" si="716"/>
        <v>0</v>
      </c>
      <c r="BI216" s="51">
        <f t="shared" si="633"/>
        <v>0</v>
      </c>
      <c r="BJ216" s="51">
        <f t="shared" si="717"/>
        <v>0</v>
      </c>
      <c r="BK216" s="51">
        <f t="shared" si="634"/>
        <v>0</v>
      </c>
      <c r="BL216" s="51">
        <f t="shared" si="718"/>
        <v>0</v>
      </c>
      <c r="BM216" s="51">
        <f t="shared" si="635"/>
        <v>0</v>
      </c>
      <c r="BN216" s="51">
        <f t="shared" si="719"/>
        <v>0</v>
      </c>
      <c r="BO216" s="51">
        <f t="shared" si="636"/>
        <v>0</v>
      </c>
      <c r="BP216" s="54">
        <f t="shared" si="637"/>
        <v>0</v>
      </c>
      <c r="BQ216" s="55">
        <f t="shared" si="638"/>
        <v>0</v>
      </c>
      <c r="BR216" s="56">
        <f>IF(AND($E216&lt;&gt;0,$F216&gt;0,YEAR($F216)&gt;=Preisindex!$A$6,YEAR(BM$4)&gt;=YEAR($F216),AND($K216&lt;&gt;"a",$K216&lt;&gt;"b",$K216&lt;&gt;"g",$K216&lt;&gt;"k")),1,IF(AND($E216&lt;&gt;0,$F216&gt;0,YEAR($F216)&gt;=Preisindex!$A$6,YEAR(BM$4)&gt;=YEAR($F216),$K216="a"),ROUND(VLOOKUP(BR$4,Preisindex,5,FALSE)/VLOOKUP(YEAR($F216),Preisindex,5,FALSE),2),IF(AND($E216&lt;&gt;0,$F216&gt;0,YEAR($F216)&gt;=Preisindex!$A$6,YEAR(BM$4)&gt;=YEAR($F216),$K216="b"),ROUND(VLOOKUP(BR$4,Preisindex,3,FALSE)/VLOOKUP(YEAR($F216),Preisindex,3,FALSE),2),IF(AND($E216&lt;&gt;0,$F216&gt;0,YEAR($F216)&gt;=Preisindex!$A$6,YEAR(BM$4)&gt;=YEAR($F216),$K216="g"),ROUND(VLOOKUP(BR$4,Preisindex,4,FALSE)/VLOOKUP(YEAR($F216),Preisindex,4,FALSE),2),IF(AND($E216&lt;&gt;0,$F216&gt;0,YEAR($F216)&gt;=Preisindex!$A$6,YEAR(BM$4)&gt;=YEAR($F216),$K216="k"),ROUND(VLOOKUP(BR$4,Preisindex,2,FALSE)/VLOOKUP(YEAR($F216),Preisindex,2,FALSE),2),0)))))</f>
        <v>0</v>
      </c>
      <c r="BS216" s="56">
        <f>IF(AND($E216&lt;&gt;0,$F216&gt;0,YEAR($F216)&lt;Preisindex!$A$6,YEAR(BM$4)&gt;=YEAR($F216),AND($K216&lt;&gt;"a",$K216&lt;&gt;"b",$K216&lt;&gt;"g",$K216&lt;&gt;"k")),1,IF(AND($E216&lt;&gt;0,$F216&gt;0,YEAR($F216)&lt;Preisindex!$A$6,YEAR(BM$4)&gt;=YEAR($F216),$K216="a"),ROUND(VLOOKUP(BR$4,Preisindex,5,FALSE)/VLOOKUP(Preisindex!$A$6,Preisindex,5,FALSE),2),IF(AND($E216&lt;&gt;0,$F216&gt;0,YEAR($F216)&lt;Preisindex!$A$6,YEAR(BM$4)&gt;=YEAR($F216),$K216="b"),ROUND(VLOOKUP(BR$4,Preisindex,3,FALSE)/VLOOKUP(Preisindex!$A$6,Preisindex,3,FALSE),2),IF(AND($E216&lt;&gt;0,$F216&gt;0,YEAR($F216)&lt;Preisindex!$A$6,YEAR(BM$4)&gt;=YEAR($F216),$K216="g"),ROUND(VLOOKUP(BR$4,Preisindex,4,FALSE)/VLOOKUP(Preisindex!$A$6,Preisindex,4,FALSE),2),IF(AND($E216&lt;&gt;0,$F216&gt;0,YEAR($F216)&lt;Preisindex!$A$6,YEAR(BM$4)&gt;=YEAR($F216),$K216="k"),ROUND(VLOOKUP(BR$4,Preisindex,2,FALSE)/VLOOKUP(Preisindex!$A$6,Preisindex,2,FALSE),2),0)))))</f>
        <v>0</v>
      </c>
      <c r="BT216" s="51">
        <f>IF(AND($E216&lt;&gt;0,$F216&gt;0,YEAR($F216)&lt;=BR$4,YEAR($F216)&gt;=Preisindex!$A$6),ROUND($E216*BR216,2),IF(AND($E216&lt;&gt;0,$F216&gt;0,YEAR($F216)&lt;=BR$4,YEAR($F216)&lt;Preisindex!$A$6),ROUND($E216*BS216,2),0))</f>
        <v>0</v>
      </c>
      <c r="BU216" s="53">
        <f t="shared" si="639"/>
        <v>0</v>
      </c>
      <c r="BV216" s="51">
        <f t="shared" si="708"/>
        <v>0</v>
      </c>
      <c r="BW216" s="51">
        <f t="shared" si="720"/>
        <v>0</v>
      </c>
      <c r="BX216" s="51">
        <f t="shared" si="640"/>
        <v>0</v>
      </c>
      <c r="BY216" s="51">
        <f t="shared" si="721"/>
        <v>0</v>
      </c>
      <c r="BZ216" s="51">
        <f t="shared" si="641"/>
        <v>0</v>
      </c>
      <c r="CA216" s="51">
        <f t="shared" si="722"/>
        <v>0</v>
      </c>
      <c r="CB216" s="51">
        <f t="shared" si="642"/>
        <v>0</v>
      </c>
      <c r="CC216" s="51">
        <f t="shared" si="723"/>
        <v>0</v>
      </c>
      <c r="CD216" s="51">
        <f t="shared" si="643"/>
        <v>0</v>
      </c>
      <c r="CE216" s="51">
        <f t="shared" si="724"/>
        <v>0</v>
      </c>
      <c r="CF216" s="51">
        <f t="shared" si="644"/>
        <v>0</v>
      </c>
      <c r="CG216" s="54">
        <f t="shared" si="645"/>
        <v>0</v>
      </c>
      <c r="CH216" s="55">
        <f t="shared" si="646"/>
        <v>0</v>
      </c>
      <c r="CI216" s="56">
        <f>IF(AND($E216&lt;&gt;0,$F216&gt;0,YEAR($F216)&gt;=Preisindex!$A$6,YEAR(CD$4)&gt;=YEAR($F216),AND($K216&lt;&gt;"a",$K216&lt;&gt;"b",$K216&lt;&gt;"g",$K216&lt;&gt;"k")),1,IF(AND($E216&lt;&gt;0,$F216&gt;0,YEAR($F216)&gt;=Preisindex!$A$6,YEAR(CD$4)&gt;=YEAR($F216),$K216="a"),ROUND(VLOOKUP(CI$4,Preisindex,5,FALSE)/VLOOKUP(YEAR($F216),Preisindex,5,FALSE),2),IF(AND($E216&lt;&gt;0,$F216&gt;0,YEAR($F216)&gt;=Preisindex!$A$6,YEAR(CD$4)&gt;=YEAR($F216),$K216="b"),ROUND(VLOOKUP(CI$4,Preisindex,3,FALSE)/VLOOKUP(YEAR($F216),Preisindex,3,FALSE),2),IF(AND($E216&lt;&gt;0,$F216&gt;0,YEAR($F216)&gt;=Preisindex!$A$6,YEAR(CD$4)&gt;=YEAR($F216),$K216="g"),ROUND(VLOOKUP(CI$4,Preisindex,4,FALSE)/VLOOKUP(YEAR($F216),Preisindex,4,FALSE),2),IF(AND($E216&lt;&gt;0,$F216&gt;0,YEAR($F216)&gt;=Preisindex!$A$6,YEAR(CD$4)&gt;=YEAR($F216),$K216="k"),ROUND(VLOOKUP(CI$4,Preisindex,2,FALSE)/VLOOKUP(YEAR($F216),Preisindex,2,FALSE),2),0)))))</f>
        <v>0</v>
      </c>
      <c r="CJ216" s="56">
        <f>IF(AND($E216&lt;&gt;0,$F216&gt;0,YEAR($F216)&lt;Preisindex!$A$6,YEAR(CD$4)&gt;=YEAR($F216),AND($K216&lt;&gt;"a",$K216&lt;&gt;"b",$K216&lt;&gt;"g",$K216&lt;&gt;"k")),1,IF(AND($E216&lt;&gt;0,$F216&gt;0,YEAR($F216)&lt;Preisindex!$A$6,YEAR(CD$4)&gt;=YEAR($F216),$K216="a"),ROUND(VLOOKUP(CI$4,Preisindex,5,FALSE)/VLOOKUP(Preisindex!$A$6,Preisindex,5,FALSE),2),IF(AND($E216&lt;&gt;0,$F216&gt;0,YEAR($F216)&lt;Preisindex!$A$6,YEAR(CD$4)&gt;=YEAR($F216),$K216="b"),ROUND(VLOOKUP(CI$4,Preisindex,3,FALSE)/VLOOKUP(Preisindex!$A$6,Preisindex,3,FALSE),2),IF(AND($E216&lt;&gt;0,$F216&gt;0,YEAR($F216)&lt;Preisindex!$A$6,YEAR(CD$4)&gt;=YEAR($F216),$K216="g"),ROUND(VLOOKUP(CI$4,Preisindex,4,FALSE)/VLOOKUP(Preisindex!$A$6,Preisindex,4,FALSE),2),IF(AND($E216&lt;&gt;0,$F216&gt;0,YEAR($F216)&lt;Preisindex!$A$6,YEAR(CD$4)&gt;=YEAR($F216),$K216="k"),ROUND(VLOOKUP(CI$4,Preisindex,2,FALSE)/VLOOKUP(Preisindex!$A$6,Preisindex,2,FALSE),2),0)))))</f>
        <v>0</v>
      </c>
      <c r="CK216" s="51">
        <f>IF(AND($E216&lt;&gt;0,$F216&gt;0,YEAR($F216)&lt;=CI$4,YEAR($F216)&gt;=Preisindex!$A$6),ROUND($E216*CI216,2),IF(AND($E216&lt;&gt;0,$F216&gt;0,YEAR($F216)&lt;=CI$4,YEAR($F216)&lt;Preisindex!$A$6),ROUND($E216*CJ216,2),0))</f>
        <v>0</v>
      </c>
      <c r="CL216" s="53">
        <f t="shared" si="647"/>
        <v>0</v>
      </c>
      <c r="CM216" s="51">
        <f t="shared" si="708"/>
        <v>0</v>
      </c>
      <c r="CN216" s="51">
        <f t="shared" si="725"/>
        <v>0</v>
      </c>
      <c r="CO216" s="51">
        <f t="shared" si="648"/>
        <v>0</v>
      </c>
      <c r="CP216" s="51">
        <f t="shared" si="726"/>
        <v>0</v>
      </c>
      <c r="CQ216" s="51">
        <f t="shared" si="649"/>
        <v>0</v>
      </c>
      <c r="CR216" s="51">
        <f t="shared" si="727"/>
        <v>0</v>
      </c>
      <c r="CS216" s="51">
        <f t="shared" si="650"/>
        <v>0</v>
      </c>
      <c r="CT216" s="51">
        <f t="shared" si="728"/>
        <v>0</v>
      </c>
      <c r="CU216" s="51">
        <f t="shared" si="651"/>
        <v>0</v>
      </c>
      <c r="CV216" s="51">
        <f t="shared" si="729"/>
        <v>0</v>
      </c>
      <c r="CW216" s="51">
        <f t="shared" si="652"/>
        <v>0</v>
      </c>
      <c r="CX216" s="54">
        <f t="shared" si="653"/>
        <v>0</v>
      </c>
      <c r="CY216" s="55">
        <f t="shared" si="654"/>
        <v>0</v>
      </c>
      <c r="CZ216" s="56">
        <f>IF(AND($E216&lt;&gt;0,$F216&gt;0,YEAR($F216)&gt;=Preisindex!$A$6,YEAR(CU$4)&gt;=YEAR($F216),AND($K216&lt;&gt;"a",$K216&lt;&gt;"b",$K216&lt;&gt;"g",$K216&lt;&gt;"k")),1,IF(AND($E216&lt;&gt;0,$F216&gt;0,YEAR($F216)&gt;=Preisindex!$A$6,YEAR(CU$4)&gt;=YEAR($F216),$K216="a"),ROUND(VLOOKUP(CZ$4,Preisindex,5,FALSE)/VLOOKUP(YEAR($F216),Preisindex,5,FALSE),2),IF(AND($E216&lt;&gt;0,$F216&gt;0,YEAR($F216)&gt;=Preisindex!$A$6,YEAR(CU$4)&gt;=YEAR($F216),$K216="b"),ROUND(VLOOKUP(CZ$4,Preisindex,3,FALSE)/VLOOKUP(YEAR($F216),Preisindex,3,FALSE),2),IF(AND($E216&lt;&gt;0,$F216&gt;0,YEAR($F216)&gt;=Preisindex!$A$6,YEAR(CU$4)&gt;=YEAR($F216),$K216="g"),ROUND(VLOOKUP(CZ$4,Preisindex,4,FALSE)/VLOOKUP(YEAR($F216),Preisindex,4,FALSE),2),IF(AND($E216&lt;&gt;0,$F216&gt;0,YEAR($F216)&gt;=Preisindex!$A$6,YEAR(CU$4)&gt;=YEAR($F216),$K216="k"),ROUND(VLOOKUP(CZ$4,Preisindex,2,FALSE)/VLOOKUP(YEAR($F216),Preisindex,2,FALSE),2),0)))))</f>
        <v>0</v>
      </c>
      <c r="DA216" s="56">
        <f>IF(AND($E216&lt;&gt;0,$F216&gt;0,YEAR($F216)&lt;Preisindex!$A$6,YEAR(CU$4)&gt;=YEAR($F216),AND($K216&lt;&gt;"a",$K216&lt;&gt;"b",$K216&lt;&gt;"g",$K216&lt;&gt;"k")),1,IF(AND($E216&lt;&gt;0,$F216&gt;0,YEAR($F216)&lt;Preisindex!$A$6,YEAR(CU$4)&gt;=YEAR($F216),$K216="a"),ROUND(VLOOKUP(CZ$4,Preisindex,5,FALSE)/VLOOKUP(Preisindex!$A$6,Preisindex,5,FALSE),2),IF(AND($E216&lt;&gt;0,$F216&gt;0,YEAR($F216)&lt;Preisindex!$A$6,YEAR(CU$4)&gt;=YEAR($F216),$K216="b"),ROUND(VLOOKUP(CZ$4,Preisindex,3,FALSE)/VLOOKUP(Preisindex!$A$6,Preisindex,3,FALSE),2),IF(AND($E216&lt;&gt;0,$F216&gt;0,YEAR($F216)&lt;Preisindex!$A$6,YEAR(CU$4)&gt;=YEAR($F216),$K216="g"),ROUND(VLOOKUP(CZ$4,Preisindex,4,FALSE)/VLOOKUP(Preisindex!$A$6,Preisindex,4,FALSE),2),IF(AND($E216&lt;&gt;0,$F216&gt;0,YEAR($F216)&lt;Preisindex!$A$6,YEAR(CU$4)&gt;=YEAR($F216),$K216="k"),ROUND(VLOOKUP(CZ$4,Preisindex,2,FALSE)/VLOOKUP(Preisindex!$A$6,Preisindex,2,FALSE),2),0)))))</f>
        <v>0</v>
      </c>
      <c r="DB216" s="51">
        <f>IF(AND($E216&lt;&gt;0,$F216&gt;0,YEAR($F216)&lt;=CZ$4,YEAR($F216)&gt;=Preisindex!$A$6),ROUND($E216*CZ216,2),IF(AND($E216&lt;&gt;0,$F216&gt;0,YEAR($F216)&lt;=CZ$4,YEAR($F216)&lt;Preisindex!$A$6),ROUND($E216*DA216,2),0))</f>
        <v>0</v>
      </c>
      <c r="DC216" s="53">
        <f t="shared" si="655"/>
        <v>0</v>
      </c>
      <c r="DD216" s="51">
        <f t="shared" si="709"/>
        <v>0</v>
      </c>
      <c r="DE216" s="51">
        <f t="shared" si="730"/>
        <v>0</v>
      </c>
      <c r="DF216" s="51">
        <f t="shared" si="657"/>
        <v>0</v>
      </c>
      <c r="DG216" s="51">
        <f t="shared" si="731"/>
        <v>0</v>
      </c>
      <c r="DH216" s="51">
        <f t="shared" si="658"/>
        <v>0</v>
      </c>
      <c r="DI216" s="51">
        <f t="shared" si="732"/>
        <v>0</v>
      </c>
      <c r="DJ216" s="51">
        <f t="shared" si="659"/>
        <v>0</v>
      </c>
      <c r="DK216" s="51">
        <f t="shared" si="733"/>
        <v>0</v>
      </c>
      <c r="DL216" s="51">
        <f t="shared" si="660"/>
        <v>0</v>
      </c>
      <c r="DM216" s="51">
        <f t="shared" si="734"/>
        <v>0</v>
      </c>
      <c r="DN216" s="51">
        <f t="shared" si="661"/>
        <v>0</v>
      </c>
      <c r="DO216" s="54">
        <f t="shared" si="662"/>
        <v>0</v>
      </c>
      <c r="DP216" s="55">
        <f t="shared" si="663"/>
        <v>0</v>
      </c>
      <c r="DQ216" s="56">
        <f>IF(AND($E216&lt;&gt;0,$F216&gt;0,YEAR($F216)&gt;=Preisindex!$A$6,YEAR(DL$4)&gt;=YEAR($F216),AND($K216&lt;&gt;"a",$K216&lt;&gt;"b",$K216&lt;&gt;"g",$K216&lt;&gt;"k")),1,IF(AND($E216&lt;&gt;0,$F216&gt;0,YEAR($F216)&gt;=Preisindex!$A$6,YEAR(DL$4)&gt;=YEAR($F216),$K216="a"),ROUND(VLOOKUP(DQ$4,Preisindex,5,FALSE)/VLOOKUP(YEAR($F216),Preisindex,5,FALSE),2),IF(AND($E216&lt;&gt;0,$F216&gt;0,YEAR($F216)&gt;=Preisindex!$A$6,YEAR(DL$4)&gt;=YEAR($F216),$K216="b"),ROUND(VLOOKUP(DQ$4,Preisindex,3,FALSE)/VLOOKUP(YEAR($F216),Preisindex,3,FALSE),2),IF(AND($E216&lt;&gt;0,$F216&gt;0,YEAR($F216)&gt;=Preisindex!$A$6,YEAR(DL$4)&gt;=YEAR($F216),$K216="g"),ROUND(VLOOKUP(DQ$4,Preisindex,4,FALSE)/VLOOKUP(YEAR($F216),Preisindex,4,FALSE),2),IF(AND($E216&lt;&gt;0,$F216&gt;0,YEAR($F216)&gt;=Preisindex!$A$6,YEAR(DL$4)&gt;=YEAR($F216),$K216="k"),ROUND(VLOOKUP(DQ$4,Preisindex,2,FALSE)/VLOOKUP(YEAR($F216),Preisindex,2,FALSE),2),0)))))</f>
        <v>0</v>
      </c>
      <c r="DR216" s="56">
        <f>IF(AND($E216&lt;&gt;0,$F216&gt;0,YEAR($F216)&lt;Preisindex!$A$6,YEAR(DL$4)&gt;=YEAR($F216),AND($K216&lt;&gt;"a",$K216&lt;&gt;"b",$K216&lt;&gt;"g",$K216&lt;&gt;"k")),1,IF(AND($E216&lt;&gt;0,$F216&gt;0,YEAR($F216)&lt;Preisindex!$A$6,YEAR(DL$4)&gt;=YEAR($F216),$K216="a"),ROUND(VLOOKUP(DQ$4,Preisindex,5,FALSE)/VLOOKUP(Preisindex!$A$6,Preisindex,5,FALSE),2),IF(AND($E216&lt;&gt;0,$F216&gt;0,YEAR($F216)&lt;Preisindex!$A$6,YEAR(DL$4)&gt;=YEAR($F216),$K216="b"),ROUND(VLOOKUP(DQ$4,Preisindex,3,FALSE)/VLOOKUP(Preisindex!$A$6,Preisindex,3,FALSE),2),IF(AND($E216&lt;&gt;0,$F216&gt;0,YEAR($F216)&lt;Preisindex!$A$6,YEAR(DL$4)&gt;=YEAR($F216),$K216="g"),ROUND(VLOOKUP(DQ$4,Preisindex,4,FALSE)/VLOOKUP(Preisindex!$A$6,Preisindex,4,FALSE),2),IF(AND($E216&lt;&gt;0,$F216&gt;0,YEAR($F216)&lt;Preisindex!$A$6,YEAR(DL$4)&gt;=YEAR($F216),$K216="k"),ROUND(VLOOKUP(DQ$4,Preisindex,2,FALSE)/VLOOKUP(Preisindex!$A$6,Preisindex,2,FALSE),2),0)))))</f>
        <v>0</v>
      </c>
      <c r="DS216" s="51">
        <f>IF(AND($E216&lt;&gt;0,$F216&gt;0,YEAR($F216)&lt;=DQ$4,YEAR($F216)&gt;=Preisindex!$A$6),ROUND($E216*DQ216,2),IF(AND($E216&lt;&gt;0,$F216&gt;0,YEAR($F216)&lt;=DQ$4,YEAR($F216)&lt;Preisindex!$A$6),ROUND($E216*DR216,2),0))</f>
        <v>0</v>
      </c>
      <c r="DT216" s="53">
        <f t="shared" si="664"/>
        <v>0</v>
      </c>
      <c r="DU216" s="51">
        <f t="shared" si="709"/>
        <v>0</v>
      </c>
      <c r="DV216" s="51">
        <f t="shared" si="735"/>
        <v>0</v>
      </c>
      <c r="DW216" s="51">
        <f t="shared" si="665"/>
        <v>0</v>
      </c>
      <c r="DX216" s="51">
        <f t="shared" si="736"/>
        <v>0</v>
      </c>
      <c r="DY216" s="51">
        <f t="shared" si="666"/>
        <v>0</v>
      </c>
      <c r="DZ216" s="51">
        <f t="shared" si="737"/>
        <v>0</v>
      </c>
      <c r="EA216" s="51">
        <f t="shared" si="667"/>
        <v>0</v>
      </c>
      <c r="EB216" s="51">
        <f t="shared" si="738"/>
        <v>0</v>
      </c>
      <c r="EC216" s="51">
        <f t="shared" si="668"/>
        <v>0</v>
      </c>
      <c r="ED216" s="51">
        <f t="shared" si="739"/>
        <v>0</v>
      </c>
      <c r="EE216" s="51">
        <f t="shared" si="669"/>
        <v>0</v>
      </c>
      <c r="EF216" s="54">
        <f t="shared" si="670"/>
        <v>0</v>
      </c>
      <c r="EG216" s="55">
        <f t="shared" si="671"/>
        <v>0</v>
      </c>
      <c r="EH216" s="56">
        <f>IF(AND($E216&lt;&gt;0,$F216&gt;0,YEAR($F216)&gt;=Preisindex!$A$6,YEAR(EC$4)&gt;=YEAR($F216),AND($K216&lt;&gt;"a",$K216&lt;&gt;"b",$K216&lt;&gt;"g",$K216&lt;&gt;"k")),1,IF(AND($E216&lt;&gt;0,$F216&gt;0,YEAR($F216)&gt;=Preisindex!$A$6,YEAR(EC$4)&gt;=YEAR($F216),$K216="a"),ROUND(VLOOKUP(EH$4,Preisindex,5,FALSE)/VLOOKUP(YEAR($F216),Preisindex,5,FALSE),2),IF(AND($E216&lt;&gt;0,$F216&gt;0,YEAR($F216)&gt;=Preisindex!$A$6,YEAR(EC$4)&gt;=YEAR($F216),$K216="b"),ROUND(VLOOKUP(EH$4,Preisindex,3,FALSE)/VLOOKUP(YEAR($F216),Preisindex,3,FALSE),2),IF(AND($E216&lt;&gt;0,$F216&gt;0,YEAR($F216)&gt;=Preisindex!$A$6,YEAR(EC$4)&gt;=YEAR($F216),$K216="g"),ROUND(VLOOKUP(EH$4,Preisindex,4,FALSE)/VLOOKUP(YEAR($F216),Preisindex,4,FALSE),2),IF(AND($E216&lt;&gt;0,$F216&gt;0,YEAR($F216)&gt;=Preisindex!$A$6,YEAR(EC$4)&gt;=YEAR($F216),$K216="k"),ROUND(VLOOKUP(EH$4,Preisindex,2,FALSE)/VLOOKUP(YEAR($F216),Preisindex,2,FALSE),2),0)))))</f>
        <v>0</v>
      </c>
      <c r="EI216" s="56">
        <f>IF(AND($E216&lt;&gt;0,$F216&gt;0,YEAR($F216)&lt;Preisindex!$A$6,YEAR(EC$4)&gt;=YEAR($F216),AND($K216&lt;&gt;"a",$K216&lt;&gt;"b",$K216&lt;&gt;"g",$K216&lt;&gt;"k")),1,IF(AND($E216&lt;&gt;0,$F216&gt;0,YEAR($F216)&lt;Preisindex!$A$6,YEAR(EC$4)&gt;=YEAR($F216),$K216="a"),ROUND(VLOOKUP(EH$4,Preisindex,5,FALSE)/VLOOKUP(Preisindex!$A$6,Preisindex,5,FALSE),2),IF(AND($E216&lt;&gt;0,$F216&gt;0,YEAR($F216)&lt;Preisindex!$A$6,YEAR(EC$4)&gt;=YEAR($F216),$K216="b"),ROUND(VLOOKUP(EH$4,Preisindex,3,FALSE)/VLOOKUP(Preisindex!$A$6,Preisindex,3,FALSE),2),IF(AND($E216&lt;&gt;0,$F216&gt;0,YEAR($F216)&lt;Preisindex!$A$6,YEAR(EC$4)&gt;=YEAR($F216),$K216="g"),ROUND(VLOOKUP(EH$4,Preisindex,4,FALSE)/VLOOKUP(Preisindex!$A$6,Preisindex,4,FALSE),2),IF(AND($E216&lt;&gt;0,$F216&gt;0,YEAR($F216)&lt;Preisindex!$A$6,YEAR(EC$4)&gt;=YEAR($F216),$K216="k"),ROUND(VLOOKUP(EH$4,Preisindex,2,FALSE)/VLOOKUP(Preisindex!$A$6,Preisindex,2,FALSE),2),0)))))</f>
        <v>0</v>
      </c>
      <c r="EJ216" s="51">
        <f>IF(AND($E216&lt;&gt;0,$F216&gt;0,YEAR($F216)&lt;=EH$4,YEAR($F216)&gt;=Preisindex!$A$6),ROUND($E216*EH216,2),IF(AND($E216&lt;&gt;0,$F216&gt;0,YEAR($F216)&lt;=EH$4,YEAR($F216)&lt;Preisindex!$A$6),ROUND($E216*EI216,2),0))</f>
        <v>0</v>
      </c>
      <c r="EK216" s="53">
        <f t="shared" si="672"/>
        <v>0</v>
      </c>
      <c r="EL216" s="51">
        <f t="shared" si="709"/>
        <v>0</v>
      </c>
      <c r="EM216" s="51">
        <f t="shared" si="740"/>
        <v>0</v>
      </c>
      <c r="EN216" s="51">
        <f t="shared" si="673"/>
        <v>0</v>
      </c>
      <c r="EO216" s="51">
        <f t="shared" si="741"/>
        <v>0</v>
      </c>
      <c r="EP216" s="51">
        <f t="shared" si="674"/>
        <v>0</v>
      </c>
      <c r="EQ216" s="51">
        <f t="shared" si="742"/>
        <v>0</v>
      </c>
      <c r="ER216" s="51">
        <f t="shared" si="675"/>
        <v>0</v>
      </c>
      <c r="ES216" s="51">
        <f t="shared" si="743"/>
        <v>0</v>
      </c>
      <c r="ET216" s="51">
        <f t="shared" si="676"/>
        <v>0</v>
      </c>
      <c r="EU216" s="51">
        <f t="shared" si="744"/>
        <v>0</v>
      </c>
      <c r="EV216" s="51">
        <f t="shared" si="677"/>
        <v>0</v>
      </c>
      <c r="EW216" s="54">
        <f t="shared" si="678"/>
        <v>0</v>
      </c>
      <c r="EX216" s="55">
        <f t="shared" si="679"/>
        <v>0</v>
      </c>
      <c r="EY216" s="56">
        <f>IF(AND($E216&lt;&gt;0,$F216&gt;0,YEAR($F216)&gt;=Preisindex!$A$6,YEAR(ET$4)&gt;=YEAR($F216),AND($K216&lt;&gt;"a",$K216&lt;&gt;"b",$K216&lt;&gt;"g",$K216&lt;&gt;"k")),1,IF(AND($E216&lt;&gt;0,$F216&gt;0,YEAR($F216)&gt;=Preisindex!$A$6,YEAR(ET$4)&gt;=YEAR($F216),$K216="a"),ROUND(VLOOKUP(EY$4,Preisindex,5,FALSE)/VLOOKUP(YEAR($F216),Preisindex,5,FALSE),2),IF(AND($E216&lt;&gt;0,$F216&gt;0,YEAR($F216)&gt;=Preisindex!$A$6,YEAR(ET$4)&gt;=YEAR($F216),$K216="b"),ROUND(VLOOKUP(EY$4,Preisindex,3,FALSE)/VLOOKUP(YEAR($F216),Preisindex,3,FALSE),2),IF(AND($E216&lt;&gt;0,$F216&gt;0,YEAR($F216)&gt;=Preisindex!$A$6,YEAR(ET$4)&gt;=YEAR($F216),$K216="g"),ROUND(VLOOKUP(EY$4,Preisindex,4,FALSE)/VLOOKUP(YEAR($F216),Preisindex,4,FALSE),2),IF(AND($E216&lt;&gt;0,$F216&gt;0,YEAR($F216)&gt;=Preisindex!$A$6,YEAR(ET$4)&gt;=YEAR($F216),$K216="k"),ROUND(VLOOKUP(EY$4,Preisindex,2,FALSE)/VLOOKUP(YEAR($F216),Preisindex,2,FALSE),2),0)))))</f>
        <v>0</v>
      </c>
      <c r="EZ216" s="56">
        <f>IF(AND($E216&lt;&gt;0,$F216&gt;0,YEAR($F216)&lt;Preisindex!$A$6,YEAR(ET$4)&gt;=YEAR($F216),AND($K216&lt;&gt;"a",$K216&lt;&gt;"b",$K216&lt;&gt;"g",$K216&lt;&gt;"k")),1,IF(AND($E216&lt;&gt;0,$F216&gt;0,YEAR($F216)&lt;Preisindex!$A$6,YEAR(ET$4)&gt;=YEAR($F216),$K216="a"),ROUND(VLOOKUP(EY$4,Preisindex,5,FALSE)/VLOOKUP(Preisindex!$A$6,Preisindex,5,FALSE),2),IF(AND($E216&lt;&gt;0,$F216&gt;0,YEAR($F216)&lt;Preisindex!$A$6,YEAR(ET$4)&gt;=YEAR($F216),$K216="b"),ROUND(VLOOKUP(EY$4,Preisindex,3,FALSE)/VLOOKUP(Preisindex!$A$6,Preisindex,3,FALSE),2),IF(AND($E216&lt;&gt;0,$F216&gt;0,YEAR($F216)&lt;Preisindex!$A$6,YEAR(ET$4)&gt;=YEAR($F216),$K216="g"),ROUND(VLOOKUP(EY$4,Preisindex,4,FALSE)/VLOOKUP(Preisindex!$A$6,Preisindex,4,FALSE),2),IF(AND($E216&lt;&gt;0,$F216&gt;0,YEAR($F216)&lt;Preisindex!$A$6,YEAR(ET$4)&gt;=YEAR($F216),$K216="k"),ROUND(VLOOKUP(EY$4,Preisindex,2,FALSE)/VLOOKUP(Preisindex!$A$6,Preisindex,2,FALSE),2),0)))))</f>
        <v>0</v>
      </c>
      <c r="FA216" s="51">
        <f>IF(AND($E216&lt;&gt;0,$F216&gt;0,YEAR($F216)&lt;=EY$4,YEAR($F216)&gt;=Preisindex!$A$6),ROUND($E216*EY216,2),IF(AND($E216&lt;&gt;0,$F216&gt;0,YEAR($F216)&lt;=EY$4,YEAR($F216)&lt;Preisindex!$A$6),ROUND($E216*EZ216,2),0))</f>
        <v>0</v>
      </c>
      <c r="FB216" s="53">
        <f t="shared" si="680"/>
        <v>0</v>
      </c>
      <c r="FC216" s="51">
        <f t="shared" si="709"/>
        <v>0</v>
      </c>
      <c r="FD216" s="51">
        <f t="shared" si="745"/>
        <v>0</v>
      </c>
      <c r="FE216" s="51">
        <f t="shared" si="681"/>
        <v>0</v>
      </c>
      <c r="FF216" s="51">
        <f t="shared" si="746"/>
        <v>0</v>
      </c>
      <c r="FG216" s="51">
        <f t="shared" si="682"/>
        <v>0</v>
      </c>
      <c r="FH216" s="51">
        <f t="shared" si="747"/>
        <v>0</v>
      </c>
      <c r="FI216" s="51">
        <f t="shared" si="683"/>
        <v>0</v>
      </c>
      <c r="FJ216" s="51">
        <f t="shared" si="748"/>
        <v>0</v>
      </c>
      <c r="FK216" s="51">
        <f t="shared" si="684"/>
        <v>0</v>
      </c>
      <c r="FL216" s="51">
        <f t="shared" si="749"/>
        <v>0</v>
      </c>
      <c r="FM216" s="51">
        <f t="shared" si="685"/>
        <v>0</v>
      </c>
      <c r="FN216" s="54">
        <f t="shared" si="686"/>
        <v>0</v>
      </c>
      <c r="FO216" s="55">
        <f t="shared" si="687"/>
        <v>0</v>
      </c>
      <c r="FP216" s="56">
        <f>IF(AND($E216&lt;&gt;0,$F216&gt;0,YEAR($F216)&gt;=Preisindex!$A$6,YEAR(FK$4)&gt;=YEAR($F216),AND($K216&lt;&gt;"a",$K216&lt;&gt;"b",$K216&lt;&gt;"g",$K216&lt;&gt;"k")),1,IF(AND($E216&lt;&gt;0,$F216&gt;0,YEAR($F216)&gt;=Preisindex!$A$6,YEAR(FK$4)&gt;=YEAR($F216),$K216="a"),ROUND(VLOOKUP(FP$4,Preisindex,5,FALSE)/VLOOKUP(YEAR($F216),Preisindex,5,FALSE),2),IF(AND($E216&lt;&gt;0,$F216&gt;0,YEAR($F216)&gt;=Preisindex!$A$6,YEAR(FK$4)&gt;=YEAR($F216),$K216="b"),ROUND(VLOOKUP(FP$4,Preisindex,3,FALSE)/VLOOKUP(YEAR($F216),Preisindex,3,FALSE),2),IF(AND($E216&lt;&gt;0,$F216&gt;0,YEAR($F216)&gt;=Preisindex!$A$6,YEAR(FK$4)&gt;=YEAR($F216),$K216="g"),ROUND(VLOOKUP(FP$4,Preisindex,4,FALSE)/VLOOKUP(YEAR($F216),Preisindex,4,FALSE),2),IF(AND($E216&lt;&gt;0,$F216&gt;0,YEAR($F216)&gt;=Preisindex!$A$6,YEAR(FK$4)&gt;=YEAR($F216),$K216="k"),ROUND(VLOOKUP(FP$4,Preisindex,2,FALSE)/VLOOKUP(YEAR($F216),Preisindex,2,FALSE),2),0)))))</f>
        <v>0</v>
      </c>
      <c r="FQ216" s="56">
        <f>IF(AND($E216&lt;&gt;0,$F216&gt;0,YEAR($F216)&lt;Preisindex!$A$6,YEAR(FK$4)&gt;=YEAR($F216),AND($K216&lt;&gt;"a",$K216&lt;&gt;"b",$K216&lt;&gt;"g",$K216&lt;&gt;"k")),1,IF(AND($E216&lt;&gt;0,$F216&gt;0,YEAR($F216)&lt;Preisindex!$A$6,YEAR(FK$4)&gt;=YEAR($F216),$K216="a"),ROUND(VLOOKUP(FP$4,Preisindex,5,FALSE)/VLOOKUP(Preisindex!$A$6,Preisindex,5,FALSE),2),IF(AND($E216&lt;&gt;0,$F216&gt;0,YEAR($F216)&lt;Preisindex!$A$6,YEAR(FK$4)&gt;=YEAR($F216),$K216="b"),ROUND(VLOOKUP(FP$4,Preisindex,3,FALSE)/VLOOKUP(Preisindex!$A$6,Preisindex,3,FALSE),2),IF(AND($E216&lt;&gt;0,$F216&gt;0,YEAR($F216)&lt;Preisindex!$A$6,YEAR(FK$4)&gt;=YEAR($F216),$K216="g"),ROUND(VLOOKUP(FP$4,Preisindex,4,FALSE)/VLOOKUP(Preisindex!$A$6,Preisindex,4,FALSE),2),IF(AND($E216&lt;&gt;0,$F216&gt;0,YEAR($F216)&lt;Preisindex!$A$6,YEAR(FK$4)&gt;=YEAR($F216),$K216="k"),ROUND(VLOOKUP(FP$4,Preisindex,2,FALSE)/VLOOKUP(Preisindex!$A$6,Preisindex,2,FALSE),2),0)))))</f>
        <v>0</v>
      </c>
      <c r="FR216" s="51">
        <f>IF(AND($E216&lt;&gt;0,$F216&gt;0,YEAR($F216)&lt;=FP$4,YEAR($F216)&gt;=Preisindex!$A$6),ROUND($E216*FP216,2),IF(AND($E216&lt;&gt;0,$F216&gt;0,YEAR($F216)&lt;=FP$4,YEAR($F216)&lt;Preisindex!$A$6),ROUND($E216*FQ216,2),0))</f>
        <v>0</v>
      </c>
      <c r="FS216" s="53">
        <f t="shared" si="688"/>
        <v>0</v>
      </c>
    </row>
    <row r="217" spans="1:175" x14ac:dyDescent="0.3">
      <c r="A217" s="93"/>
      <c r="B217" s="94"/>
      <c r="C217" s="94"/>
      <c r="D217" s="95"/>
      <c r="E217" s="99"/>
      <c r="F217" s="97"/>
      <c r="G217" s="98"/>
      <c r="H217" s="620"/>
      <c r="I217" s="193"/>
      <c r="J217" s="194"/>
      <c r="K217" s="630"/>
      <c r="L217" s="49">
        <f t="shared" si="689"/>
        <v>0</v>
      </c>
      <c r="M217" s="50">
        <f t="shared" si="690"/>
        <v>0</v>
      </c>
      <c r="N217" s="51">
        <f t="shared" si="691"/>
        <v>0</v>
      </c>
      <c r="O217" s="51"/>
      <c r="P217" s="51">
        <f t="shared" si="692"/>
        <v>0</v>
      </c>
      <c r="Q217" s="52"/>
      <c r="R217" s="52"/>
      <c r="S217" s="52"/>
      <c r="T217" s="52"/>
      <c r="U217" s="52"/>
      <c r="V217" s="53">
        <f t="shared" si="693"/>
        <v>0</v>
      </c>
      <c r="W217" s="51">
        <f t="shared" si="694"/>
        <v>0</v>
      </c>
      <c r="X217" s="51">
        <f t="shared" si="695"/>
        <v>0</v>
      </c>
      <c r="Y217" s="51">
        <f t="shared" si="696"/>
        <v>0</v>
      </c>
      <c r="Z217" s="51">
        <f t="shared" si="697"/>
        <v>0</v>
      </c>
      <c r="AA217" s="51">
        <f t="shared" si="698"/>
        <v>0</v>
      </c>
      <c r="AB217" s="51">
        <f t="shared" si="699"/>
        <v>0</v>
      </c>
      <c r="AC217" s="51">
        <f t="shared" si="700"/>
        <v>0</v>
      </c>
      <c r="AD217" s="51">
        <f t="shared" si="701"/>
        <v>0</v>
      </c>
      <c r="AE217" s="51">
        <f t="shared" si="702"/>
        <v>0</v>
      </c>
      <c r="AF217" s="51">
        <f t="shared" si="703"/>
        <v>0</v>
      </c>
      <c r="AG217" s="51">
        <f t="shared" si="704"/>
        <v>0</v>
      </c>
      <c r="AH217" s="54">
        <f t="shared" si="705"/>
        <v>0</v>
      </c>
      <c r="AI217" s="55">
        <f t="shared" si="706"/>
        <v>0</v>
      </c>
      <c r="AJ217" s="56">
        <f>IF(AND($E217&lt;&gt;0,$F217&gt;0,YEAR($F217)&gt;=Preisindex!$A$6,YEAR(AE$4)&gt;=YEAR($F217),AND($K217&lt;&gt;"a",$K217&lt;&gt;"b",$K217&lt;&gt;"g",$K217&lt;&gt;"k")),1,IF(AND($E217&lt;&gt;0,$F217&gt;0,YEAR($F217)&gt;=Preisindex!$A$6,YEAR(AE$4)&gt;=YEAR($F217),$K217="a"),ROUND(VLOOKUP(AJ$4,Preisindex,5,FALSE)/VLOOKUP(YEAR($F217),Preisindex,5,FALSE),2),IF(AND($E217&lt;&gt;0,$F217&gt;0,YEAR($F217)&gt;=Preisindex!$A$6,YEAR(AE$4)&gt;=YEAR($F217),$K217="b"),ROUND(VLOOKUP(AJ$4,Preisindex,3,FALSE)/VLOOKUP(YEAR($F217),Preisindex,3,FALSE),2),IF(AND($E217&lt;&gt;0,$F217&gt;0,YEAR($F217)&gt;=Preisindex!$A$6,YEAR(AE$4)&gt;=YEAR($F217),$K217="g"),ROUND(VLOOKUP(AJ$4,Preisindex,4,FALSE)/VLOOKUP(YEAR($F217),Preisindex,4,FALSE),2),IF(AND($E217&lt;&gt;0,$F217&gt;0,YEAR($F217)&gt;=Preisindex!$A$6,YEAR(AE$4)&gt;=YEAR($F217),$K217="k"),ROUND(VLOOKUP(AJ$4,Preisindex,2,FALSE)/VLOOKUP(YEAR($F217),Preisindex,2,FALSE),2),0)))))</f>
        <v>0</v>
      </c>
      <c r="AK217" s="56">
        <f>IF(AND($E217&lt;&gt;0,$F217&gt;0,YEAR($F217)&lt;Preisindex!$A$6,YEAR(AE$4)&gt;=YEAR($F217),AND($K217&lt;&gt;"a",$K217&lt;&gt;"b",$K217&lt;&gt;"g",$K217&lt;&gt;"k")),1,IF(AND($E217&lt;&gt;0,$F217&gt;0,YEAR($F217)&lt;Preisindex!$A$6,YEAR(AE$4)&gt;=YEAR($F217),$K217="a"),ROUND(VLOOKUP(AJ$4,Preisindex,5,FALSE)/VLOOKUP(Preisindex!$A$6,Preisindex,5,FALSE),2),IF(AND($E217&lt;&gt;0,$F217&gt;0,YEAR($F217)&lt;Preisindex!$A$6,YEAR(AE$4)&gt;=YEAR($F217),$K217="b"),ROUND(VLOOKUP(AJ$4,Preisindex,3,FALSE)/VLOOKUP(Preisindex!$A$6,Preisindex,3,FALSE),2),IF(AND($E217&lt;&gt;0,$F217&gt;0,YEAR($F217)&lt;Preisindex!$A$6,YEAR(AE$4)&gt;=YEAR($F217),$K217="g"),ROUND(VLOOKUP(AJ$4,Preisindex,4,FALSE)/VLOOKUP(Preisindex!$A$6,Preisindex,4,FALSE),2),IF(AND($E217&lt;&gt;0,$F217&gt;0,YEAR($F217)&lt;Preisindex!$A$6,YEAR(AE$4)&gt;=YEAR($F217),$K217="k"),ROUND(VLOOKUP(AJ$4,Preisindex,2,FALSE)/VLOOKUP(Preisindex!$A$6,Preisindex,2,FALSE),2),0)))))</f>
        <v>0</v>
      </c>
      <c r="AL217" s="51">
        <f>IF(AND($E217&lt;&gt;0,$F217&gt;0,YEAR($F217)&lt;=AJ$4,YEAR($F217)&gt;=Preisindex!$A$6),ROUND($E217*AJ217,2),IF(AND($E217&lt;&gt;0,$F217&gt;0,YEAR($F217)&lt;=AJ$4,YEAR($F217)&lt;Preisindex!$A$6),ROUND($E217*AK217,2),0))</f>
        <v>0</v>
      </c>
      <c r="AM217" s="53">
        <f t="shared" si="707"/>
        <v>0</v>
      </c>
      <c r="AN217" s="51">
        <f t="shared" si="708"/>
        <v>0</v>
      </c>
      <c r="AO217" s="51">
        <f t="shared" si="710"/>
        <v>0</v>
      </c>
      <c r="AP217" s="51">
        <f t="shared" si="624"/>
        <v>0</v>
      </c>
      <c r="AQ217" s="51">
        <f t="shared" si="711"/>
        <v>0</v>
      </c>
      <c r="AR217" s="51">
        <f t="shared" si="625"/>
        <v>0</v>
      </c>
      <c r="AS217" s="51">
        <f t="shared" si="712"/>
        <v>0</v>
      </c>
      <c r="AT217" s="51">
        <f t="shared" si="626"/>
        <v>0</v>
      </c>
      <c r="AU217" s="51">
        <f t="shared" si="713"/>
        <v>0</v>
      </c>
      <c r="AV217" s="51">
        <f t="shared" si="627"/>
        <v>0</v>
      </c>
      <c r="AW217" s="51">
        <f t="shared" si="714"/>
        <v>0</v>
      </c>
      <c r="AX217" s="51">
        <f t="shared" si="628"/>
        <v>0</v>
      </c>
      <c r="AY217" s="54">
        <f t="shared" si="629"/>
        <v>0</v>
      </c>
      <c r="AZ217" s="55">
        <f t="shared" si="630"/>
        <v>0</v>
      </c>
      <c r="BA217" s="56">
        <f>IF(AND($E217&lt;&gt;0,$F217&gt;0,YEAR($F217)&gt;=Preisindex!$A$6,YEAR(AV$4)&gt;=YEAR($F217),AND($K217&lt;&gt;"a",$K217&lt;&gt;"b",$K217&lt;&gt;"g",$K217&lt;&gt;"k")),1,IF(AND($E217&lt;&gt;0,$F217&gt;0,YEAR($F217)&gt;=Preisindex!$A$6,YEAR(AV$4)&gt;=YEAR($F217),$K217="a"),ROUND(VLOOKUP(BA$4,Preisindex,5,FALSE)/VLOOKUP(YEAR($F217),Preisindex,5,FALSE),2),IF(AND($E217&lt;&gt;0,$F217&gt;0,YEAR($F217)&gt;=Preisindex!$A$6,YEAR(AV$4)&gt;=YEAR($F217),$K217="b"),ROUND(VLOOKUP(BA$4,Preisindex,3,FALSE)/VLOOKUP(YEAR($F217),Preisindex,3,FALSE),2),IF(AND($E217&lt;&gt;0,$F217&gt;0,YEAR($F217)&gt;=Preisindex!$A$6,YEAR(AV$4)&gt;=YEAR($F217),$K217="g"),ROUND(VLOOKUP(BA$4,Preisindex,4,FALSE)/VLOOKUP(YEAR($F217),Preisindex,4,FALSE),2),IF(AND($E217&lt;&gt;0,$F217&gt;0,YEAR($F217)&gt;=Preisindex!$A$6,YEAR(AV$4)&gt;=YEAR($F217),$K217="k"),ROUND(VLOOKUP(BA$4,Preisindex,2,FALSE)/VLOOKUP(YEAR($F217),Preisindex,2,FALSE),2),0)))))</f>
        <v>0</v>
      </c>
      <c r="BB217" s="56">
        <f>IF(AND($E217&lt;&gt;0,$F217&gt;0,YEAR($F217)&lt;Preisindex!$A$6,YEAR(AV$4)&gt;=YEAR($F217),AND($K217&lt;&gt;"a",$K217&lt;&gt;"b",$K217&lt;&gt;"g",$K217&lt;&gt;"k")),1,IF(AND($E217&lt;&gt;0,$F217&gt;0,YEAR($F217)&lt;Preisindex!$A$6,YEAR(AV$4)&gt;=YEAR($F217),$K217="a"),ROUND(VLOOKUP(BA$4,Preisindex,5,FALSE)/VLOOKUP(Preisindex!$A$6,Preisindex,5,FALSE),2),IF(AND($E217&lt;&gt;0,$F217&gt;0,YEAR($F217)&lt;Preisindex!$A$6,YEAR(AV$4)&gt;=YEAR($F217),$K217="b"),ROUND(VLOOKUP(BA$4,Preisindex,3,FALSE)/VLOOKUP(Preisindex!$A$6,Preisindex,3,FALSE),2),IF(AND($E217&lt;&gt;0,$F217&gt;0,YEAR($F217)&lt;Preisindex!$A$6,YEAR(AV$4)&gt;=YEAR($F217),$K217="g"),ROUND(VLOOKUP(BA$4,Preisindex,4,FALSE)/VLOOKUP(Preisindex!$A$6,Preisindex,4,FALSE),2),IF(AND($E217&lt;&gt;0,$F217&gt;0,YEAR($F217)&lt;Preisindex!$A$6,YEAR(AV$4)&gt;=YEAR($F217),$K217="k"),ROUND(VLOOKUP(BA$4,Preisindex,2,FALSE)/VLOOKUP(Preisindex!$A$6,Preisindex,2,FALSE),2),0)))))</f>
        <v>0</v>
      </c>
      <c r="BC217" s="51">
        <f>IF(AND($E217&lt;&gt;0,$F217&gt;0,YEAR($F217)&lt;=BA$4,YEAR($F217)&gt;=Preisindex!$A$6),ROUND($E217*BA217,2),IF(AND($E217&lt;&gt;0,$F217&gt;0,YEAR($F217)&lt;=BA$4,YEAR($F217)&lt;Preisindex!$A$6),ROUND($E217*BB217,2),0))</f>
        <v>0</v>
      </c>
      <c r="BD217" s="53">
        <f t="shared" si="631"/>
        <v>0</v>
      </c>
      <c r="BE217" s="51">
        <f t="shared" si="708"/>
        <v>0</v>
      </c>
      <c r="BF217" s="51">
        <f t="shared" si="715"/>
        <v>0</v>
      </c>
      <c r="BG217" s="51">
        <f t="shared" si="632"/>
        <v>0</v>
      </c>
      <c r="BH217" s="51">
        <f t="shared" si="716"/>
        <v>0</v>
      </c>
      <c r="BI217" s="51">
        <f t="shared" si="633"/>
        <v>0</v>
      </c>
      <c r="BJ217" s="51">
        <f t="shared" si="717"/>
        <v>0</v>
      </c>
      <c r="BK217" s="51">
        <f t="shared" si="634"/>
        <v>0</v>
      </c>
      <c r="BL217" s="51">
        <f t="shared" si="718"/>
        <v>0</v>
      </c>
      <c r="BM217" s="51">
        <f t="shared" si="635"/>
        <v>0</v>
      </c>
      <c r="BN217" s="51">
        <f t="shared" si="719"/>
        <v>0</v>
      </c>
      <c r="BO217" s="51">
        <f t="shared" si="636"/>
        <v>0</v>
      </c>
      <c r="BP217" s="54">
        <f t="shared" si="637"/>
        <v>0</v>
      </c>
      <c r="BQ217" s="55">
        <f t="shared" si="638"/>
        <v>0</v>
      </c>
      <c r="BR217" s="56">
        <f>IF(AND($E217&lt;&gt;0,$F217&gt;0,YEAR($F217)&gt;=Preisindex!$A$6,YEAR(BM$4)&gt;=YEAR($F217),AND($K217&lt;&gt;"a",$K217&lt;&gt;"b",$K217&lt;&gt;"g",$K217&lt;&gt;"k")),1,IF(AND($E217&lt;&gt;0,$F217&gt;0,YEAR($F217)&gt;=Preisindex!$A$6,YEAR(BM$4)&gt;=YEAR($F217),$K217="a"),ROUND(VLOOKUP(BR$4,Preisindex,5,FALSE)/VLOOKUP(YEAR($F217),Preisindex,5,FALSE),2),IF(AND($E217&lt;&gt;0,$F217&gt;0,YEAR($F217)&gt;=Preisindex!$A$6,YEAR(BM$4)&gt;=YEAR($F217),$K217="b"),ROUND(VLOOKUP(BR$4,Preisindex,3,FALSE)/VLOOKUP(YEAR($F217),Preisindex,3,FALSE),2),IF(AND($E217&lt;&gt;0,$F217&gt;0,YEAR($F217)&gt;=Preisindex!$A$6,YEAR(BM$4)&gt;=YEAR($F217),$K217="g"),ROUND(VLOOKUP(BR$4,Preisindex,4,FALSE)/VLOOKUP(YEAR($F217),Preisindex,4,FALSE),2),IF(AND($E217&lt;&gt;0,$F217&gt;0,YEAR($F217)&gt;=Preisindex!$A$6,YEAR(BM$4)&gt;=YEAR($F217),$K217="k"),ROUND(VLOOKUP(BR$4,Preisindex,2,FALSE)/VLOOKUP(YEAR($F217),Preisindex,2,FALSE),2),0)))))</f>
        <v>0</v>
      </c>
      <c r="BS217" s="56">
        <f>IF(AND($E217&lt;&gt;0,$F217&gt;0,YEAR($F217)&lt;Preisindex!$A$6,YEAR(BM$4)&gt;=YEAR($F217),AND($K217&lt;&gt;"a",$K217&lt;&gt;"b",$K217&lt;&gt;"g",$K217&lt;&gt;"k")),1,IF(AND($E217&lt;&gt;0,$F217&gt;0,YEAR($F217)&lt;Preisindex!$A$6,YEAR(BM$4)&gt;=YEAR($F217),$K217="a"),ROUND(VLOOKUP(BR$4,Preisindex,5,FALSE)/VLOOKUP(Preisindex!$A$6,Preisindex,5,FALSE),2),IF(AND($E217&lt;&gt;0,$F217&gt;0,YEAR($F217)&lt;Preisindex!$A$6,YEAR(BM$4)&gt;=YEAR($F217),$K217="b"),ROUND(VLOOKUP(BR$4,Preisindex,3,FALSE)/VLOOKUP(Preisindex!$A$6,Preisindex,3,FALSE),2),IF(AND($E217&lt;&gt;0,$F217&gt;0,YEAR($F217)&lt;Preisindex!$A$6,YEAR(BM$4)&gt;=YEAR($F217),$K217="g"),ROUND(VLOOKUP(BR$4,Preisindex,4,FALSE)/VLOOKUP(Preisindex!$A$6,Preisindex,4,FALSE),2),IF(AND($E217&lt;&gt;0,$F217&gt;0,YEAR($F217)&lt;Preisindex!$A$6,YEAR(BM$4)&gt;=YEAR($F217),$K217="k"),ROUND(VLOOKUP(BR$4,Preisindex,2,FALSE)/VLOOKUP(Preisindex!$A$6,Preisindex,2,FALSE),2),0)))))</f>
        <v>0</v>
      </c>
      <c r="BT217" s="51">
        <f>IF(AND($E217&lt;&gt;0,$F217&gt;0,YEAR($F217)&lt;=BR$4,YEAR($F217)&gt;=Preisindex!$A$6),ROUND($E217*BR217,2),IF(AND($E217&lt;&gt;0,$F217&gt;0,YEAR($F217)&lt;=BR$4,YEAR($F217)&lt;Preisindex!$A$6),ROUND($E217*BS217,2),0))</f>
        <v>0</v>
      </c>
      <c r="BU217" s="53">
        <f t="shared" si="639"/>
        <v>0</v>
      </c>
      <c r="BV217" s="51">
        <f t="shared" si="708"/>
        <v>0</v>
      </c>
      <c r="BW217" s="51">
        <f t="shared" si="720"/>
        <v>0</v>
      </c>
      <c r="BX217" s="51">
        <f t="shared" si="640"/>
        <v>0</v>
      </c>
      <c r="BY217" s="51">
        <f t="shared" si="721"/>
        <v>0</v>
      </c>
      <c r="BZ217" s="51">
        <f t="shared" si="641"/>
        <v>0</v>
      </c>
      <c r="CA217" s="51">
        <f t="shared" si="722"/>
        <v>0</v>
      </c>
      <c r="CB217" s="51">
        <f t="shared" si="642"/>
        <v>0</v>
      </c>
      <c r="CC217" s="51">
        <f t="shared" si="723"/>
        <v>0</v>
      </c>
      <c r="CD217" s="51">
        <f t="shared" si="643"/>
        <v>0</v>
      </c>
      <c r="CE217" s="51">
        <f t="shared" si="724"/>
        <v>0</v>
      </c>
      <c r="CF217" s="51">
        <f t="shared" si="644"/>
        <v>0</v>
      </c>
      <c r="CG217" s="54">
        <f t="shared" si="645"/>
        <v>0</v>
      </c>
      <c r="CH217" s="55">
        <f t="shared" si="646"/>
        <v>0</v>
      </c>
      <c r="CI217" s="56">
        <f>IF(AND($E217&lt;&gt;0,$F217&gt;0,YEAR($F217)&gt;=Preisindex!$A$6,YEAR(CD$4)&gt;=YEAR($F217),AND($K217&lt;&gt;"a",$K217&lt;&gt;"b",$K217&lt;&gt;"g",$K217&lt;&gt;"k")),1,IF(AND($E217&lt;&gt;0,$F217&gt;0,YEAR($F217)&gt;=Preisindex!$A$6,YEAR(CD$4)&gt;=YEAR($F217),$K217="a"),ROUND(VLOOKUP(CI$4,Preisindex,5,FALSE)/VLOOKUP(YEAR($F217),Preisindex,5,FALSE),2),IF(AND($E217&lt;&gt;0,$F217&gt;0,YEAR($F217)&gt;=Preisindex!$A$6,YEAR(CD$4)&gt;=YEAR($F217),$K217="b"),ROUND(VLOOKUP(CI$4,Preisindex,3,FALSE)/VLOOKUP(YEAR($F217),Preisindex,3,FALSE),2),IF(AND($E217&lt;&gt;0,$F217&gt;0,YEAR($F217)&gt;=Preisindex!$A$6,YEAR(CD$4)&gt;=YEAR($F217),$K217="g"),ROUND(VLOOKUP(CI$4,Preisindex,4,FALSE)/VLOOKUP(YEAR($F217),Preisindex,4,FALSE),2),IF(AND($E217&lt;&gt;0,$F217&gt;0,YEAR($F217)&gt;=Preisindex!$A$6,YEAR(CD$4)&gt;=YEAR($F217),$K217="k"),ROUND(VLOOKUP(CI$4,Preisindex,2,FALSE)/VLOOKUP(YEAR($F217),Preisindex,2,FALSE),2),0)))))</f>
        <v>0</v>
      </c>
      <c r="CJ217" s="56">
        <f>IF(AND($E217&lt;&gt;0,$F217&gt;0,YEAR($F217)&lt;Preisindex!$A$6,YEAR(CD$4)&gt;=YEAR($F217),AND($K217&lt;&gt;"a",$K217&lt;&gt;"b",$K217&lt;&gt;"g",$K217&lt;&gt;"k")),1,IF(AND($E217&lt;&gt;0,$F217&gt;0,YEAR($F217)&lt;Preisindex!$A$6,YEAR(CD$4)&gt;=YEAR($F217),$K217="a"),ROUND(VLOOKUP(CI$4,Preisindex,5,FALSE)/VLOOKUP(Preisindex!$A$6,Preisindex,5,FALSE),2),IF(AND($E217&lt;&gt;0,$F217&gt;0,YEAR($F217)&lt;Preisindex!$A$6,YEAR(CD$4)&gt;=YEAR($F217),$K217="b"),ROUND(VLOOKUP(CI$4,Preisindex,3,FALSE)/VLOOKUP(Preisindex!$A$6,Preisindex,3,FALSE),2),IF(AND($E217&lt;&gt;0,$F217&gt;0,YEAR($F217)&lt;Preisindex!$A$6,YEAR(CD$4)&gt;=YEAR($F217),$K217="g"),ROUND(VLOOKUP(CI$4,Preisindex,4,FALSE)/VLOOKUP(Preisindex!$A$6,Preisindex,4,FALSE),2),IF(AND($E217&lt;&gt;0,$F217&gt;0,YEAR($F217)&lt;Preisindex!$A$6,YEAR(CD$4)&gt;=YEAR($F217),$K217="k"),ROUND(VLOOKUP(CI$4,Preisindex,2,FALSE)/VLOOKUP(Preisindex!$A$6,Preisindex,2,FALSE),2),0)))))</f>
        <v>0</v>
      </c>
      <c r="CK217" s="51">
        <f>IF(AND($E217&lt;&gt;0,$F217&gt;0,YEAR($F217)&lt;=CI$4,YEAR($F217)&gt;=Preisindex!$A$6),ROUND($E217*CI217,2),IF(AND($E217&lt;&gt;0,$F217&gt;0,YEAR($F217)&lt;=CI$4,YEAR($F217)&lt;Preisindex!$A$6),ROUND($E217*CJ217,2),0))</f>
        <v>0</v>
      </c>
      <c r="CL217" s="53">
        <f t="shared" si="647"/>
        <v>0</v>
      </c>
      <c r="CM217" s="51">
        <f t="shared" si="708"/>
        <v>0</v>
      </c>
      <c r="CN217" s="51">
        <f t="shared" si="725"/>
        <v>0</v>
      </c>
      <c r="CO217" s="51">
        <f t="shared" si="648"/>
        <v>0</v>
      </c>
      <c r="CP217" s="51">
        <f t="shared" si="726"/>
        <v>0</v>
      </c>
      <c r="CQ217" s="51">
        <f t="shared" si="649"/>
        <v>0</v>
      </c>
      <c r="CR217" s="51">
        <f t="shared" si="727"/>
        <v>0</v>
      </c>
      <c r="CS217" s="51">
        <f t="shared" si="650"/>
        <v>0</v>
      </c>
      <c r="CT217" s="51">
        <f t="shared" si="728"/>
        <v>0</v>
      </c>
      <c r="CU217" s="51">
        <f t="shared" si="651"/>
        <v>0</v>
      </c>
      <c r="CV217" s="51">
        <f t="shared" si="729"/>
        <v>0</v>
      </c>
      <c r="CW217" s="51">
        <f t="shared" si="652"/>
        <v>0</v>
      </c>
      <c r="CX217" s="54">
        <f t="shared" si="653"/>
        <v>0</v>
      </c>
      <c r="CY217" s="55">
        <f t="shared" si="654"/>
        <v>0</v>
      </c>
      <c r="CZ217" s="56">
        <f>IF(AND($E217&lt;&gt;0,$F217&gt;0,YEAR($F217)&gt;=Preisindex!$A$6,YEAR(CU$4)&gt;=YEAR($F217),AND($K217&lt;&gt;"a",$K217&lt;&gt;"b",$K217&lt;&gt;"g",$K217&lt;&gt;"k")),1,IF(AND($E217&lt;&gt;0,$F217&gt;0,YEAR($F217)&gt;=Preisindex!$A$6,YEAR(CU$4)&gt;=YEAR($F217),$K217="a"),ROUND(VLOOKUP(CZ$4,Preisindex,5,FALSE)/VLOOKUP(YEAR($F217),Preisindex,5,FALSE),2),IF(AND($E217&lt;&gt;0,$F217&gt;0,YEAR($F217)&gt;=Preisindex!$A$6,YEAR(CU$4)&gt;=YEAR($F217),$K217="b"),ROUND(VLOOKUP(CZ$4,Preisindex,3,FALSE)/VLOOKUP(YEAR($F217),Preisindex,3,FALSE),2),IF(AND($E217&lt;&gt;0,$F217&gt;0,YEAR($F217)&gt;=Preisindex!$A$6,YEAR(CU$4)&gt;=YEAR($F217),$K217="g"),ROUND(VLOOKUP(CZ$4,Preisindex,4,FALSE)/VLOOKUP(YEAR($F217),Preisindex,4,FALSE),2),IF(AND($E217&lt;&gt;0,$F217&gt;0,YEAR($F217)&gt;=Preisindex!$A$6,YEAR(CU$4)&gt;=YEAR($F217),$K217="k"),ROUND(VLOOKUP(CZ$4,Preisindex,2,FALSE)/VLOOKUP(YEAR($F217),Preisindex,2,FALSE),2),0)))))</f>
        <v>0</v>
      </c>
      <c r="DA217" s="56">
        <f>IF(AND($E217&lt;&gt;0,$F217&gt;0,YEAR($F217)&lt;Preisindex!$A$6,YEAR(CU$4)&gt;=YEAR($F217),AND($K217&lt;&gt;"a",$K217&lt;&gt;"b",$K217&lt;&gt;"g",$K217&lt;&gt;"k")),1,IF(AND($E217&lt;&gt;0,$F217&gt;0,YEAR($F217)&lt;Preisindex!$A$6,YEAR(CU$4)&gt;=YEAR($F217),$K217="a"),ROUND(VLOOKUP(CZ$4,Preisindex,5,FALSE)/VLOOKUP(Preisindex!$A$6,Preisindex,5,FALSE),2),IF(AND($E217&lt;&gt;0,$F217&gt;0,YEAR($F217)&lt;Preisindex!$A$6,YEAR(CU$4)&gt;=YEAR($F217),$K217="b"),ROUND(VLOOKUP(CZ$4,Preisindex,3,FALSE)/VLOOKUP(Preisindex!$A$6,Preisindex,3,FALSE),2),IF(AND($E217&lt;&gt;0,$F217&gt;0,YEAR($F217)&lt;Preisindex!$A$6,YEAR(CU$4)&gt;=YEAR($F217),$K217="g"),ROUND(VLOOKUP(CZ$4,Preisindex,4,FALSE)/VLOOKUP(Preisindex!$A$6,Preisindex,4,FALSE),2),IF(AND($E217&lt;&gt;0,$F217&gt;0,YEAR($F217)&lt;Preisindex!$A$6,YEAR(CU$4)&gt;=YEAR($F217),$K217="k"),ROUND(VLOOKUP(CZ$4,Preisindex,2,FALSE)/VLOOKUP(Preisindex!$A$6,Preisindex,2,FALSE),2),0)))))</f>
        <v>0</v>
      </c>
      <c r="DB217" s="51">
        <f>IF(AND($E217&lt;&gt;0,$F217&gt;0,YEAR($F217)&lt;=CZ$4,YEAR($F217)&gt;=Preisindex!$A$6),ROUND($E217*CZ217,2),IF(AND($E217&lt;&gt;0,$F217&gt;0,YEAR($F217)&lt;=CZ$4,YEAR($F217)&lt;Preisindex!$A$6),ROUND($E217*DA217,2),0))</f>
        <v>0</v>
      </c>
      <c r="DC217" s="53">
        <f t="shared" si="655"/>
        <v>0</v>
      </c>
      <c r="DD217" s="51">
        <f t="shared" si="709"/>
        <v>0</v>
      </c>
      <c r="DE217" s="51">
        <f t="shared" si="730"/>
        <v>0</v>
      </c>
      <c r="DF217" s="51">
        <f t="shared" si="657"/>
        <v>0</v>
      </c>
      <c r="DG217" s="51">
        <f t="shared" si="731"/>
        <v>0</v>
      </c>
      <c r="DH217" s="51">
        <f t="shared" si="658"/>
        <v>0</v>
      </c>
      <c r="DI217" s="51">
        <f t="shared" si="732"/>
        <v>0</v>
      </c>
      <c r="DJ217" s="51">
        <f t="shared" si="659"/>
        <v>0</v>
      </c>
      <c r="DK217" s="51">
        <f t="shared" si="733"/>
        <v>0</v>
      </c>
      <c r="DL217" s="51">
        <f t="shared" si="660"/>
        <v>0</v>
      </c>
      <c r="DM217" s="51">
        <f t="shared" si="734"/>
        <v>0</v>
      </c>
      <c r="DN217" s="51">
        <f t="shared" si="661"/>
        <v>0</v>
      </c>
      <c r="DO217" s="54">
        <f t="shared" si="662"/>
        <v>0</v>
      </c>
      <c r="DP217" s="55">
        <f t="shared" si="663"/>
        <v>0</v>
      </c>
      <c r="DQ217" s="56">
        <f>IF(AND($E217&lt;&gt;0,$F217&gt;0,YEAR($F217)&gt;=Preisindex!$A$6,YEAR(DL$4)&gt;=YEAR($F217),AND($K217&lt;&gt;"a",$K217&lt;&gt;"b",$K217&lt;&gt;"g",$K217&lt;&gt;"k")),1,IF(AND($E217&lt;&gt;0,$F217&gt;0,YEAR($F217)&gt;=Preisindex!$A$6,YEAR(DL$4)&gt;=YEAR($F217),$K217="a"),ROUND(VLOOKUP(DQ$4,Preisindex,5,FALSE)/VLOOKUP(YEAR($F217),Preisindex,5,FALSE),2),IF(AND($E217&lt;&gt;0,$F217&gt;0,YEAR($F217)&gt;=Preisindex!$A$6,YEAR(DL$4)&gt;=YEAR($F217),$K217="b"),ROUND(VLOOKUP(DQ$4,Preisindex,3,FALSE)/VLOOKUP(YEAR($F217),Preisindex,3,FALSE),2),IF(AND($E217&lt;&gt;0,$F217&gt;0,YEAR($F217)&gt;=Preisindex!$A$6,YEAR(DL$4)&gt;=YEAR($F217),$K217="g"),ROUND(VLOOKUP(DQ$4,Preisindex,4,FALSE)/VLOOKUP(YEAR($F217),Preisindex,4,FALSE),2),IF(AND($E217&lt;&gt;0,$F217&gt;0,YEAR($F217)&gt;=Preisindex!$A$6,YEAR(DL$4)&gt;=YEAR($F217),$K217="k"),ROUND(VLOOKUP(DQ$4,Preisindex,2,FALSE)/VLOOKUP(YEAR($F217),Preisindex,2,FALSE),2),0)))))</f>
        <v>0</v>
      </c>
      <c r="DR217" s="56">
        <f>IF(AND($E217&lt;&gt;0,$F217&gt;0,YEAR($F217)&lt;Preisindex!$A$6,YEAR(DL$4)&gt;=YEAR($F217),AND($K217&lt;&gt;"a",$K217&lt;&gt;"b",$K217&lt;&gt;"g",$K217&lt;&gt;"k")),1,IF(AND($E217&lt;&gt;0,$F217&gt;0,YEAR($F217)&lt;Preisindex!$A$6,YEAR(DL$4)&gt;=YEAR($F217),$K217="a"),ROUND(VLOOKUP(DQ$4,Preisindex,5,FALSE)/VLOOKUP(Preisindex!$A$6,Preisindex,5,FALSE),2),IF(AND($E217&lt;&gt;0,$F217&gt;0,YEAR($F217)&lt;Preisindex!$A$6,YEAR(DL$4)&gt;=YEAR($F217),$K217="b"),ROUND(VLOOKUP(DQ$4,Preisindex,3,FALSE)/VLOOKUP(Preisindex!$A$6,Preisindex,3,FALSE),2),IF(AND($E217&lt;&gt;0,$F217&gt;0,YEAR($F217)&lt;Preisindex!$A$6,YEAR(DL$4)&gt;=YEAR($F217),$K217="g"),ROUND(VLOOKUP(DQ$4,Preisindex,4,FALSE)/VLOOKUP(Preisindex!$A$6,Preisindex,4,FALSE),2),IF(AND($E217&lt;&gt;0,$F217&gt;0,YEAR($F217)&lt;Preisindex!$A$6,YEAR(DL$4)&gt;=YEAR($F217),$K217="k"),ROUND(VLOOKUP(DQ$4,Preisindex,2,FALSE)/VLOOKUP(Preisindex!$A$6,Preisindex,2,FALSE),2),0)))))</f>
        <v>0</v>
      </c>
      <c r="DS217" s="51">
        <f>IF(AND($E217&lt;&gt;0,$F217&gt;0,YEAR($F217)&lt;=DQ$4,YEAR($F217)&gt;=Preisindex!$A$6),ROUND($E217*DQ217,2),IF(AND($E217&lt;&gt;0,$F217&gt;0,YEAR($F217)&lt;=DQ$4,YEAR($F217)&lt;Preisindex!$A$6),ROUND($E217*DR217,2),0))</f>
        <v>0</v>
      </c>
      <c r="DT217" s="53">
        <f t="shared" si="664"/>
        <v>0</v>
      </c>
      <c r="DU217" s="51">
        <f t="shared" si="709"/>
        <v>0</v>
      </c>
      <c r="DV217" s="51">
        <f t="shared" si="735"/>
        <v>0</v>
      </c>
      <c r="DW217" s="51">
        <f t="shared" si="665"/>
        <v>0</v>
      </c>
      <c r="DX217" s="51">
        <f t="shared" si="736"/>
        <v>0</v>
      </c>
      <c r="DY217" s="51">
        <f t="shared" si="666"/>
        <v>0</v>
      </c>
      <c r="DZ217" s="51">
        <f t="shared" si="737"/>
        <v>0</v>
      </c>
      <c r="EA217" s="51">
        <f t="shared" si="667"/>
        <v>0</v>
      </c>
      <c r="EB217" s="51">
        <f t="shared" si="738"/>
        <v>0</v>
      </c>
      <c r="EC217" s="51">
        <f t="shared" si="668"/>
        <v>0</v>
      </c>
      <c r="ED217" s="51">
        <f t="shared" si="739"/>
        <v>0</v>
      </c>
      <c r="EE217" s="51">
        <f t="shared" si="669"/>
        <v>0</v>
      </c>
      <c r="EF217" s="54">
        <f t="shared" si="670"/>
        <v>0</v>
      </c>
      <c r="EG217" s="55">
        <f t="shared" si="671"/>
        <v>0</v>
      </c>
      <c r="EH217" s="56">
        <f>IF(AND($E217&lt;&gt;0,$F217&gt;0,YEAR($F217)&gt;=Preisindex!$A$6,YEAR(EC$4)&gt;=YEAR($F217),AND($K217&lt;&gt;"a",$K217&lt;&gt;"b",$K217&lt;&gt;"g",$K217&lt;&gt;"k")),1,IF(AND($E217&lt;&gt;0,$F217&gt;0,YEAR($F217)&gt;=Preisindex!$A$6,YEAR(EC$4)&gt;=YEAR($F217),$K217="a"),ROUND(VLOOKUP(EH$4,Preisindex,5,FALSE)/VLOOKUP(YEAR($F217),Preisindex,5,FALSE),2),IF(AND($E217&lt;&gt;0,$F217&gt;0,YEAR($F217)&gt;=Preisindex!$A$6,YEAR(EC$4)&gt;=YEAR($F217),$K217="b"),ROUND(VLOOKUP(EH$4,Preisindex,3,FALSE)/VLOOKUP(YEAR($F217),Preisindex,3,FALSE),2),IF(AND($E217&lt;&gt;0,$F217&gt;0,YEAR($F217)&gt;=Preisindex!$A$6,YEAR(EC$4)&gt;=YEAR($F217),$K217="g"),ROUND(VLOOKUP(EH$4,Preisindex,4,FALSE)/VLOOKUP(YEAR($F217),Preisindex,4,FALSE),2),IF(AND($E217&lt;&gt;0,$F217&gt;0,YEAR($F217)&gt;=Preisindex!$A$6,YEAR(EC$4)&gt;=YEAR($F217),$K217="k"),ROUND(VLOOKUP(EH$4,Preisindex,2,FALSE)/VLOOKUP(YEAR($F217),Preisindex,2,FALSE),2),0)))))</f>
        <v>0</v>
      </c>
      <c r="EI217" s="56">
        <f>IF(AND($E217&lt;&gt;0,$F217&gt;0,YEAR($F217)&lt;Preisindex!$A$6,YEAR(EC$4)&gt;=YEAR($F217),AND($K217&lt;&gt;"a",$K217&lt;&gt;"b",$K217&lt;&gt;"g",$K217&lt;&gt;"k")),1,IF(AND($E217&lt;&gt;0,$F217&gt;0,YEAR($F217)&lt;Preisindex!$A$6,YEAR(EC$4)&gt;=YEAR($F217),$K217="a"),ROUND(VLOOKUP(EH$4,Preisindex,5,FALSE)/VLOOKUP(Preisindex!$A$6,Preisindex,5,FALSE),2),IF(AND($E217&lt;&gt;0,$F217&gt;0,YEAR($F217)&lt;Preisindex!$A$6,YEAR(EC$4)&gt;=YEAR($F217),$K217="b"),ROUND(VLOOKUP(EH$4,Preisindex,3,FALSE)/VLOOKUP(Preisindex!$A$6,Preisindex,3,FALSE),2),IF(AND($E217&lt;&gt;0,$F217&gt;0,YEAR($F217)&lt;Preisindex!$A$6,YEAR(EC$4)&gt;=YEAR($F217),$K217="g"),ROUND(VLOOKUP(EH$4,Preisindex,4,FALSE)/VLOOKUP(Preisindex!$A$6,Preisindex,4,FALSE),2),IF(AND($E217&lt;&gt;0,$F217&gt;0,YEAR($F217)&lt;Preisindex!$A$6,YEAR(EC$4)&gt;=YEAR($F217),$K217="k"),ROUND(VLOOKUP(EH$4,Preisindex,2,FALSE)/VLOOKUP(Preisindex!$A$6,Preisindex,2,FALSE),2),0)))))</f>
        <v>0</v>
      </c>
      <c r="EJ217" s="51">
        <f>IF(AND($E217&lt;&gt;0,$F217&gt;0,YEAR($F217)&lt;=EH$4,YEAR($F217)&gt;=Preisindex!$A$6),ROUND($E217*EH217,2),IF(AND($E217&lt;&gt;0,$F217&gt;0,YEAR($F217)&lt;=EH$4,YEAR($F217)&lt;Preisindex!$A$6),ROUND($E217*EI217,2),0))</f>
        <v>0</v>
      </c>
      <c r="EK217" s="53">
        <f t="shared" si="672"/>
        <v>0</v>
      </c>
      <c r="EL217" s="51">
        <f t="shared" si="709"/>
        <v>0</v>
      </c>
      <c r="EM217" s="51">
        <f t="shared" si="740"/>
        <v>0</v>
      </c>
      <c r="EN217" s="51">
        <f t="shared" si="673"/>
        <v>0</v>
      </c>
      <c r="EO217" s="51">
        <f t="shared" si="741"/>
        <v>0</v>
      </c>
      <c r="EP217" s="51">
        <f t="shared" si="674"/>
        <v>0</v>
      </c>
      <c r="EQ217" s="51">
        <f t="shared" si="742"/>
        <v>0</v>
      </c>
      <c r="ER217" s="51">
        <f t="shared" si="675"/>
        <v>0</v>
      </c>
      <c r="ES217" s="51">
        <f t="shared" si="743"/>
        <v>0</v>
      </c>
      <c r="ET217" s="51">
        <f t="shared" si="676"/>
        <v>0</v>
      </c>
      <c r="EU217" s="51">
        <f t="shared" si="744"/>
        <v>0</v>
      </c>
      <c r="EV217" s="51">
        <f t="shared" si="677"/>
        <v>0</v>
      </c>
      <c r="EW217" s="54">
        <f t="shared" si="678"/>
        <v>0</v>
      </c>
      <c r="EX217" s="55">
        <f t="shared" si="679"/>
        <v>0</v>
      </c>
      <c r="EY217" s="56">
        <f>IF(AND($E217&lt;&gt;0,$F217&gt;0,YEAR($F217)&gt;=Preisindex!$A$6,YEAR(ET$4)&gt;=YEAR($F217),AND($K217&lt;&gt;"a",$K217&lt;&gt;"b",$K217&lt;&gt;"g",$K217&lt;&gt;"k")),1,IF(AND($E217&lt;&gt;0,$F217&gt;0,YEAR($F217)&gt;=Preisindex!$A$6,YEAR(ET$4)&gt;=YEAR($F217),$K217="a"),ROUND(VLOOKUP(EY$4,Preisindex,5,FALSE)/VLOOKUP(YEAR($F217),Preisindex,5,FALSE),2),IF(AND($E217&lt;&gt;0,$F217&gt;0,YEAR($F217)&gt;=Preisindex!$A$6,YEAR(ET$4)&gt;=YEAR($F217),$K217="b"),ROUND(VLOOKUP(EY$4,Preisindex,3,FALSE)/VLOOKUP(YEAR($F217),Preisindex,3,FALSE),2),IF(AND($E217&lt;&gt;0,$F217&gt;0,YEAR($F217)&gt;=Preisindex!$A$6,YEAR(ET$4)&gt;=YEAR($F217),$K217="g"),ROUND(VLOOKUP(EY$4,Preisindex,4,FALSE)/VLOOKUP(YEAR($F217),Preisindex,4,FALSE),2),IF(AND($E217&lt;&gt;0,$F217&gt;0,YEAR($F217)&gt;=Preisindex!$A$6,YEAR(ET$4)&gt;=YEAR($F217),$K217="k"),ROUND(VLOOKUP(EY$4,Preisindex,2,FALSE)/VLOOKUP(YEAR($F217),Preisindex,2,FALSE),2),0)))))</f>
        <v>0</v>
      </c>
      <c r="EZ217" s="56">
        <f>IF(AND($E217&lt;&gt;0,$F217&gt;0,YEAR($F217)&lt;Preisindex!$A$6,YEAR(ET$4)&gt;=YEAR($F217),AND($K217&lt;&gt;"a",$K217&lt;&gt;"b",$K217&lt;&gt;"g",$K217&lt;&gt;"k")),1,IF(AND($E217&lt;&gt;0,$F217&gt;0,YEAR($F217)&lt;Preisindex!$A$6,YEAR(ET$4)&gt;=YEAR($F217),$K217="a"),ROUND(VLOOKUP(EY$4,Preisindex,5,FALSE)/VLOOKUP(Preisindex!$A$6,Preisindex,5,FALSE),2),IF(AND($E217&lt;&gt;0,$F217&gt;0,YEAR($F217)&lt;Preisindex!$A$6,YEAR(ET$4)&gt;=YEAR($F217),$K217="b"),ROUND(VLOOKUP(EY$4,Preisindex,3,FALSE)/VLOOKUP(Preisindex!$A$6,Preisindex,3,FALSE),2),IF(AND($E217&lt;&gt;0,$F217&gt;0,YEAR($F217)&lt;Preisindex!$A$6,YEAR(ET$4)&gt;=YEAR($F217),$K217="g"),ROUND(VLOOKUP(EY$4,Preisindex,4,FALSE)/VLOOKUP(Preisindex!$A$6,Preisindex,4,FALSE),2),IF(AND($E217&lt;&gt;0,$F217&gt;0,YEAR($F217)&lt;Preisindex!$A$6,YEAR(ET$4)&gt;=YEAR($F217),$K217="k"),ROUND(VLOOKUP(EY$4,Preisindex,2,FALSE)/VLOOKUP(Preisindex!$A$6,Preisindex,2,FALSE),2),0)))))</f>
        <v>0</v>
      </c>
      <c r="FA217" s="51">
        <f>IF(AND($E217&lt;&gt;0,$F217&gt;0,YEAR($F217)&lt;=EY$4,YEAR($F217)&gt;=Preisindex!$A$6),ROUND($E217*EY217,2),IF(AND($E217&lt;&gt;0,$F217&gt;0,YEAR($F217)&lt;=EY$4,YEAR($F217)&lt;Preisindex!$A$6),ROUND($E217*EZ217,2),0))</f>
        <v>0</v>
      </c>
      <c r="FB217" s="53">
        <f t="shared" si="680"/>
        <v>0</v>
      </c>
      <c r="FC217" s="51">
        <f t="shared" si="709"/>
        <v>0</v>
      </c>
      <c r="FD217" s="51">
        <f t="shared" si="745"/>
        <v>0</v>
      </c>
      <c r="FE217" s="51">
        <f t="shared" si="681"/>
        <v>0</v>
      </c>
      <c r="FF217" s="51">
        <f t="shared" si="746"/>
        <v>0</v>
      </c>
      <c r="FG217" s="51">
        <f t="shared" si="682"/>
        <v>0</v>
      </c>
      <c r="FH217" s="51">
        <f t="shared" si="747"/>
        <v>0</v>
      </c>
      <c r="FI217" s="51">
        <f t="shared" si="683"/>
        <v>0</v>
      </c>
      <c r="FJ217" s="51">
        <f t="shared" si="748"/>
        <v>0</v>
      </c>
      <c r="FK217" s="51">
        <f t="shared" si="684"/>
        <v>0</v>
      </c>
      <c r="FL217" s="51">
        <f t="shared" si="749"/>
        <v>0</v>
      </c>
      <c r="FM217" s="51">
        <f t="shared" si="685"/>
        <v>0</v>
      </c>
      <c r="FN217" s="54">
        <f t="shared" si="686"/>
        <v>0</v>
      </c>
      <c r="FO217" s="55">
        <f t="shared" si="687"/>
        <v>0</v>
      </c>
      <c r="FP217" s="56">
        <f>IF(AND($E217&lt;&gt;0,$F217&gt;0,YEAR($F217)&gt;=Preisindex!$A$6,YEAR(FK$4)&gt;=YEAR($F217),AND($K217&lt;&gt;"a",$K217&lt;&gt;"b",$K217&lt;&gt;"g",$K217&lt;&gt;"k")),1,IF(AND($E217&lt;&gt;0,$F217&gt;0,YEAR($F217)&gt;=Preisindex!$A$6,YEAR(FK$4)&gt;=YEAR($F217),$K217="a"),ROUND(VLOOKUP(FP$4,Preisindex,5,FALSE)/VLOOKUP(YEAR($F217),Preisindex,5,FALSE),2),IF(AND($E217&lt;&gt;0,$F217&gt;0,YEAR($F217)&gt;=Preisindex!$A$6,YEAR(FK$4)&gt;=YEAR($F217),$K217="b"),ROUND(VLOOKUP(FP$4,Preisindex,3,FALSE)/VLOOKUP(YEAR($F217),Preisindex,3,FALSE),2),IF(AND($E217&lt;&gt;0,$F217&gt;0,YEAR($F217)&gt;=Preisindex!$A$6,YEAR(FK$4)&gt;=YEAR($F217),$K217="g"),ROUND(VLOOKUP(FP$4,Preisindex,4,FALSE)/VLOOKUP(YEAR($F217),Preisindex,4,FALSE),2),IF(AND($E217&lt;&gt;0,$F217&gt;0,YEAR($F217)&gt;=Preisindex!$A$6,YEAR(FK$4)&gt;=YEAR($F217),$K217="k"),ROUND(VLOOKUP(FP$4,Preisindex,2,FALSE)/VLOOKUP(YEAR($F217),Preisindex,2,FALSE),2),0)))))</f>
        <v>0</v>
      </c>
      <c r="FQ217" s="56">
        <f>IF(AND($E217&lt;&gt;0,$F217&gt;0,YEAR($F217)&lt;Preisindex!$A$6,YEAR(FK$4)&gt;=YEAR($F217),AND($K217&lt;&gt;"a",$K217&lt;&gt;"b",$K217&lt;&gt;"g",$K217&lt;&gt;"k")),1,IF(AND($E217&lt;&gt;0,$F217&gt;0,YEAR($F217)&lt;Preisindex!$A$6,YEAR(FK$4)&gt;=YEAR($F217),$K217="a"),ROUND(VLOOKUP(FP$4,Preisindex,5,FALSE)/VLOOKUP(Preisindex!$A$6,Preisindex,5,FALSE),2),IF(AND($E217&lt;&gt;0,$F217&gt;0,YEAR($F217)&lt;Preisindex!$A$6,YEAR(FK$4)&gt;=YEAR($F217),$K217="b"),ROUND(VLOOKUP(FP$4,Preisindex,3,FALSE)/VLOOKUP(Preisindex!$A$6,Preisindex,3,FALSE),2),IF(AND($E217&lt;&gt;0,$F217&gt;0,YEAR($F217)&lt;Preisindex!$A$6,YEAR(FK$4)&gt;=YEAR($F217),$K217="g"),ROUND(VLOOKUP(FP$4,Preisindex,4,FALSE)/VLOOKUP(Preisindex!$A$6,Preisindex,4,FALSE),2),IF(AND($E217&lt;&gt;0,$F217&gt;0,YEAR($F217)&lt;Preisindex!$A$6,YEAR(FK$4)&gt;=YEAR($F217),$K217="k"),ROUND(VLOOKUP(FP$4,Preisindex,2,FALSE)/VLOOKUP(Preisindex!$A$6,Preisindex,2,FALSE),2),0)))))</f>
        <v>0</v>
      </c>
      <c r="FR217" s="51">
        <f>IF(AND($E217&lt;&gt;0,$F217&gt;0,YEAR($F217)&lt;=FP$4,YEAR($F217)&gt;=Preisindex!$A$6),ROUND($E217*FP217,2),IF(AND($E217&lt;&gt;0,$F217&gt;0,YEAR($F217)&lt;=FP$4,YEAR($F217)&lt;Preisindex!$A$6),ROUND($E217*FQ217,2),0))</f>
        <v>0</v>
      </c>
      <c r="FS217" s="53">
        <f t="shared" si="688"/>
        <v>0</v>
      </c>
    </row>
    <row r="218" spans="1:175" x14ac:dyDescent="0.3">
      <c r="A218" s="93"/>
      <c r="B218" s="94"/>
      <c r="C218" s="94"/>
      <c r="D218" s="95"/>
      <c r="E218" s="99"/>
      <c r="F218" s="97"/>
      <c r="G218" s="98"/>
      <c r="H218" s="620"/>
      <c r="I218" s="193"/>
      <c r="J218" s="194"/>
      <c r="K218" s="630"/>
      <c r="L218" s="49">
        <f t="shared" si="689"/>
        <v>0</v>
      </c>
      <c r="M218" s="50">
        <f t="shared" si="690"/>
        <v>0</v>
      </c>
      <c r="N218" s="51">
        <f t="shared" si="691"/>
        <v>0</v>
      </c>
      <c r="O218" s="51"/>
      <c r="P218" s="51">
        <f t="shared" si="692"/>
        <v>0</v>
      </c>
      <c r="Q218" s="52"/>
      <c r="R218" s="52"/>
      <c r="S218" s="52"/>
      <c r="T218" s="52"/>
      <c r="U218" s="52"/>
      <c r="V218" s="53">
        <f t="shared" si="693"/>
        <v>0</v>
      </c>
      <c r="W218" s="51">
        <f t="shared" si="694"/>
        <v>0</v>
      </c>
      <c r="X218" s="51">
        <f t="shared" si="695"/>
        <v>0</v>
      </c>
      <c r="Y218" s="51">
        <f t="shared" si="696"/>
        <v>0</v>
      </c>
      <c r="Z218" s="51">
        <f t="shared" si="697"/>
        <v>0</v>
      </c>
      <c r="AA218" s="51">
        <f t="shared" si="698"/>
        <v>0</v>
      </c>
      <c r="AB218" s="51">
        <f t="shared" si="699"/>
        <v>0</v>
      </c>
      <c r="AC218" s="51">
        <f t="shared" si="700"/>
        <v>0</v>
      </c>
      <c r="AD218" s="51">
        <f t="shared" si="701"/>
        <v>0</v>
      </c>
      <c r="AE218" s="51">
        <f t="shared" si="702"/>
        <v>0</v>
      </c>
      <c r="AF218" s="51">
        <f t="shared" si="703"/>
        <v>0</v>
      </c>
      <c r="AG218" s="51">
        <f t="shared" si="704"/>
        <v>0</v>
      </c>
      <c r="AH218" s="54">
        <f t="shared" si="705"/>
        <v>0</v>
      </c>
      <c r="AI218" s="55">
        <f t="shared" si="706"/>
        <v>0</v>
      </c>
      <c r="AJ218" s="56">
        <f>IF(AND($E218&lt;&gt;0,$F218&gt;0,YEAR($F218)&gt;=Preisindex!$A$6,YEAR(AE$4)&gt;=YEAR($F218),AND($K218&lt;&gt;"a",$K218&lt;&gt;"b",$K218&lt;&gt;"g",$K218&lt;&gt;"k")),1,IF(AND($E218&lt;&gt;0,$F218&gt;0,YEAR($F218)&gt;=Preisindex!$A$6,YEAR(AE$4)&gt;=YEAR($F218),$K218="a"),ROUND(VLOOKUP(AJ$4,Preisindex,5,FALSE)/VLOOKUP(YEAR($F218),Preisindex,5,FALSE),2),IF(AND($E218&lt;&gt;0,$F218&gt;0,YEAR($F218)&gt;=Preisindex!$A$6,YEAR(AE$4)&gt;=YEAR($F218),$K218="b"),ROUND(VLOOKUP(AJ$4,Preisindex,3,FALSE)/VLOOKUP(YEAR($F218),Preisindex,3,FALSE),2),IF(AND($E218&lt;&gt;0,$F218&gt;0,YEAR($F218)&gt;=Preisindex!$A$6,YEAR(AE$4)&gt;=YEAR($F218),$K218="g"),ROUND(VLOOKUP(AJ$4,Preisindex,4,FALSE)/VLOOKUP(YEAR($F218),Preisindex,4,FALSE),2),IF(AND($E218&lt;&gt;0,$F218&gt;0,YEAR($F218)&gt;=Preisindex!$A$6,YEAR(AE$4)&gt;=YEAR($F218),$K218="k"),ROUND(VLOOKUP(AJ$4,Preisindex,2,FALSE)/VLOOKUP(YEAR($F218),Preisindex,2,FALSE),2),0)))))</f>
        <v>0</v>
      </c>
      <c r="AK218" s="56">
        <f>IF(AND($E218&lt;&gt;0,$F218&gt;0,YEAR($F218)&lt;Preisindex!$A$6,YEAR(AE$4)&gt;=YEAR($F218),AND($K218&lt;&gt;"a",$K218&lt;&gt;"b",$K218&lt;&gt;"g",$K218&lt;&gt;"k")),1,IF(AND($E218&lt;&gt;0,$F218&gt;0,YEAR($F218)&lt;Preisindex!$A$6,YEAR(AE$4)&gt;=YEAR($F218),$K218="a"),ROUND(VLOOKUP(AJ$4,Preisindex,5,FALSE)/VLOOKUP(Preisindex!$A$6,Preisindex,5,FALSE),2),IF(AND($E218&lt;&gt;0,$F218&gt;0,YEAR($F218)&lt;Preisindex!$A$6,YEAR(AE$4)&gt;=YEAR($F218),$K218="b"),ROUND(VLOOKUP(AJ$4,Preisindex,3,FALSE)/VLOOKUP(Preisindex!$A$6,Preisindex,3,FALSE),2),IF(AND($E218&lt;&gt;0,$F218&gt;0,YEAR($F218)&lt;Preisindex!$A$6,YEAR(AE$4)&gt;=YEAR($F218),$K218="g"),ROUND(VLOOKUP(AJ$4,Preisindex,4,FALSE)/VLOOKUP(Preisindex!$A$6,Preisindex,4,FALSE),2),IF(AND($E218&lt;&gt;0,$F218&gt;0,YEAR($F218)&lt;Preisindex!$A$6,YEAR(AE$4)&gt;=YEAR($F218),$K218="k"),ROUND(VLOOKUP(AJ$4,Preisindex,2,FALSE)/VLOOKUP(Preisindex!$A$6,Preisindex,2,FALSE),2),0)))))</f>
        <v>0</v>
      </c>
      <c r="AL218" s="51">
        <f>IF(AND($E218&lt;&gt;0,$F218&gt;0,YEAR($F218)&lt;=AJ$4,YEAR($F218)&gt;=Preisindex!$A$6),ROUND($E218*AJ218,2),IF(AND($E218&lt;&gt;0,$F218&gt;0,YEAR($F218)&lt;=AJ$4,YEAR($F218)&lt;Preisindex!$A$6),ROUND($E218*AK218,2),0))</f>
        <v>0</v>
      </c>
      <c r="AM218" s="53">
        <f t="shared" si="707"/>
        <v>0</v>
      </c>
      <c r="AN218" s="51">
        <f t="shared" si="708"/>
        <v>0</v>
      </c>
      <c r="AO218" s="51">
        <f t="shared" si="710"/>
        <v>0</v>
      </c>
      <c r="AP218" s="51">
        <f t="shared" si="624"/>
        <v>0</v>
      </c>
      <c r="AQ218" s="51">
        <f t="shared" si="711"/>
        <v>0</v>
      </c>
      <c r="AR218" s="51">
        <f t="shared" si="625"/>
        <v>0</v>
      </c>
      <c r="AS218" s="51">
        <f t="shared" si="712"/>
        <v>0</v>
      </c>
      <c r="AT218" s="51">
        <f t="shared" si="626"/>
        <v>0</v>
      </c>
      <c r="AU218" s="51">
        <f t="shared" si="713"/>
        <v>0</v>
      </c>
      <c r="AV218" s="51">
        <f t="shared" si="627"/>
        <v>0</v>
      </c>
      <c r="AW218" s="51">
        <f t="shared" si="714"/>
        <v>0</v>
      </c>
      <c r="AX218" s="51">
        <f t="shared" si="628"/>
        <v>0</v>
      </c>
      <c r="AY218" s="54">
        <f t="shared" si="629"/>
        <v>0</v>
      </c>
      <c r="AZ218" s="55">
        <f t="shared" si="630"/>
        <v>0</v>
      </c>
      <c r="BA218" s="56">
        <f>IF(AND($E218&lt;&gt;0,$F218&gt;0,YEAR($F218)&gt;=Preisindex!$A$6,YEAR(AV$4)&gt;=YEAR($F218),AND($K218&lt;&gt;"a",$K218&lt;&gt;"b",$K218&lt;&gt;"g",$K218&lt;&gt;"k")),1,IF(AND($E218&lt;&gt;0,$F218&gt;0,YEAR($F218)&gt;=Preisindex!$A$6,YEAR(AV$4)&gt;=YEAR($F218),$K218="a"),ROUND(VLOOKUP(BA$4,Preisindex,5,FALSE)/VLOOKUP(YEAR($F218),Preisindex,5,FALSE),2),IF(AND($E218&lt;&gt;0,$F218&gt;0,YEAR($F218)&gt;=Preisindex!$A$6,YEAR(AV$4)&gt;=YEAR($F218),$K218="b"),ROUND(VLOOKUP(BA$4,Preisindex,3,FALSE)/VLOOKUP(YEAR($F218),Preisindex,3,FALSE),2),IF(AND($E218&lt;&gt;0,$F218&gt;0,YEAR($F218)&gt;=Preisindex!$A$6,YEAR(AV$4)&gt;=YEAR($F218),$K218="g"),ROUND(VLOOKUP(BA$4,Preisindex,4,FALSE)/VLOOKUP(YEAR($F218),Preisindex,4,FALSE),2),IF(AND($E218&lt;&gt;0,$F218&gt;0,YEAR($F218)&gt;=Preisindex!$A$6,YEAR(AV$4)&gt;=YEAR($F218),$K218="k"),ROUND(VLOOKUP(BA$4,Preisindex,2,FALSE)/VLOOKUP(YEAR($F218),Preisindex,2,FALSE),2),0)))))</f>
        <v>0</v>
      </c>
      <c r="BB218" s="56">
        <f>IF(AND($E218&lt;&gt;0,$F218&gt;0,YEAR($F218)&lt;Preisindex!$A$6,YEAR(AV$4)&gt;=YEAR($F218),AND($K218&lt;&gt;"a",$K218&lt;&gt;"b",$K218&lt;&gt;"g",$K218&lt;&gt;"k")),1,IF(AND($E218&lt;&gt;0,$F218&gt;0,YEAR($F218)&lt;Preisindex!$A$6,YEAR(AV$4)&gt;=YEAR($F218),$K218="a"),ROUND(VLOOKUP(BA$4,Preisindex,5,FALSE)/VLOOKUP(Preisindex!$A$6,Preisindex,5,FALSE),2),IF(AND($E218&lt;&gt;0,$F218&gt;0,YEAR($F218)&lt;Preisindex!$A$6,YEAR(AV$4)&gt;=YEAR($F218),$K218="b"),ROUND(VLOOKUP(BA$4,Preisindex,3,FALSE)/VLOOKUP(Preisindex!$A$6,Preisindex,3,FALSE),2),IF(AND($E218&lt;&gt;0,$F218&gt;0,YEAR($F218)&lt;Preisindex!$A$6,YEAR(AV$4)&gt;=YEAR($F218),$K218="g"),ROUND(VLOOKUP(BA$4,Preisindex,4,FALSE)/VLOOKUP(Preisindex!$A$6,Preisindex,4,FALSE),2),IF(AND($E218&lt;&gt;0,$F218&gt;0,YEAR($F218)&lt;Preisindex!$A$6,YEAR(AV$4)&gt;=YEAR($F218),$K218="k"),ROUND(VLOOKUP(BA$4,Preisindex,2,FALSE)/VLOOKUP(Preisindex!$A$6,Preisindex,2,FALSE),2),0)))))</f>
        <v>0</v>
      </c>
      <c r="BC218" s="51">
        <f>IF(AND($E218&lt;&gt;0,$F218&gt;0,YEAR($F218)&lt;=BA$4,YEAR($F218)&gt;=Preisindex!$A$6),ROUND($E218*BA218,2),IF(AND($E218&lt;&gt;0,$F218&gt;0,YEAR($F218)&lt;=BA$4,YEAR($F218)&lt;Preisindex!$A$6),ROUND($E218*BB218,2),0))</f>
        <v>0</v>
      </c>
      <c r="BD218" s="53">
        <f t="shared" si="631"/>
        <v>0</v>
      </c>
      <c r="BE218" s="51">
        <f t="shared" si="708"/>
        <v>0</v>
      </c>
      <c r="BF218" s="51">
        <f t="shared" si="715"/>
        <v>0</v>
      </c>
      <c r="BG218" s="51">
        <f t="shared" si="632"/>
        <v>0</v>
      </c>
      <c r="BH218" s="51">
        <f t="shared" si="716"/>
        <v>0</v>
      </c>
      <c r="BI218" s="51">
        <f t="shared" si="633"/>
        <v>0</v>
      </c>
      <c r="BJ218" s="51">
        <f t="shared" si="717"/>
        <v>0</v>
      </c>
      <c r="BK218" s="51">
        <f t="shared" si="634"/>
        <v>0</v>
      </c>
      <c r="BL218" s="51">
        <f t="shared" si="718"/>
        <v>0</v>
      </c>
      <c r="BM218" s="51">
        <f t="shared" si="635"/>
        <v>0</v>
      </c>
      <c r="BN218" s="51">
        <f t="shared" si="719"/>
        <v>0</v>
      </c>
      <c r="BO218" s="51">
        <f t="shared" si="636"/>
        <v>0</v>
      </c>
      <c r="BP218" s="54">
        <f t="shared" si="637"/>
        <v>0</v>
      </c>
      <c r="BQ218" s="55">
        <f t="shared" si="638"/>
        <v>0</v>
      </c>
      <c r="BR218" s="56">
        <f>IF(AND($E218&lt;&gt;0,$F218&gt;0,YEAR($F218)&gt;=Preisindex!$A$6,YEAR(BM$4)&gt;=YEAR($F218),AND($K218&lt;&gt;"a",$K218&lt;&gt;"b",$K218&lt;&gt;"g",$K218&lt;&gt;"k")),1,IF(AND($E218&lt;&gt;0,$F218&gt;0,YEAR($F218)&gt;=Preisindex!$A$6,YEAR(BM$4)&gt;=YEAR($F218),$K218="a"),ROUND(VLOOKUP(BR$4,Preisindex,5,FALSE)/VLOOKUP(YEAR($F218),Preisindex,5,FALSE),2),IF(AND($E218&lt;&gt;0,$F218&gt;0,YEAR($F218)&gt;=Preisindex!$A$6,YEAR(BM$4)&gt;=YEAR($F218),$K218="b"),ROUND(VLOOKUP(BR$4,Preisindex,3,FALSE)/VLOOKUP(YEAR($F218),Preisindex,3,FALSE),2),IF(AND($E218&lt;&gt;0,$F218&gt;0,YEAR($F218)&gt;=Preisindex!$A$6,YEAR(BM$4)&gt;=YEAR($F218),$K218="g"),ROUND(VLOOKUP(BR$4,Preisindex,4,FALSE)/VLOOKUP(YEAR($F218),Preisindex,4,FALSE),2),IF(AND($E218&lt;&gt;0,$F218&gt;0,YEAR($F218)&gt;=Preisindex!$A$6,YEAR(BM$4)&gt;=YEAR($F218),$K218="k"),ROUND(VLOOKUP(BR$4,Preisindex,2,FALSE)/VLOOKUP(YEAR($F218),Preisindex,2,FALSE),2),0)))))</f>
        <v>0</v>
      </c>
      <c r="BS218" s="56">
        <f>IF(AND($E218&lt;&gt;0,$F218&gt;0,YEAR($F218)&lt;Preisindex!$A$6,YEAR(BM$4)&gt;=YEAR($F218),AND($K218&lt;&gt;"a",$K218&lt;&gt;"b",$K218&lt;&gt;"g",$K218&lt;&gt;"k")),1,IF(AND($E218&lt;&gt;0,$F218&gt;0,YEAR($F218)&lt;Preisindex!$A$6,YEAR(BM$4)&gt;=YEAR($F218),$K218="a"),ROUND(VLOOKUP(BR$4,Preisindex,5,FALSE)/VLOOKUP(Preisindex!$A$6,Preisindex,5,FALSE),2),IF(AND($E218&lt;&gt;0,$F218&gt;0,YEAR($F218)&lt;Preisindex!$A$6,YEAR(BM$4)&gt;=YEAR($F218),$K218="b"),ROUND(VLOOKUP(BR$4,Preisindex,3,FALSE)/VLOOKUP(Preisindex!$A$6,Preisindex,3,FALSE),2),IF(AND($E218&lt;&gt;0,$F218&gt;0,YEAR($F218)&lt;Preisindex!$A$6,YEAR(BM$4)&gt;=YEAR($F218),$K218="g"),ROUND(VLOOKUP(BR$4,Preisindex,4,FALSE)/VLOOKUP(Preisindex!$A$6,Preisindex,4,FALSE),2),IF(AND($E218&lt;&gt;0,$F218&gt;0,YEAR($F218)&lt;Preisindex!$A$6,YEAR(BM$4)&gt;=YEAR($F218),$K218="k"),ROUND(VLOOKUP(BR$4,Preisindex,2,FALSE)/VLOOKUP(Preisindex!$A$6,Preisindex,2,FALSE),2),0)))))</f>
        <v>0</v>
      </c>
      <c r="BT218" s="51">
        <f>IF(AND($E218&lt;&gt;0,$F218&gt;0,YEAR($F218)&lt;=BR$4,YEAR($F218)&gt;=Preisindex!$A$6),ROUND($E218*BR218,2),IF(AND($E218&lt;&gt;0,$F218&gt;0,YEAR($F218)&lt;=BR$4,YEAR($F218)&lt;Preisindex!$A$6),ROUND($E218*BS218,2),0))</f>
        <v>0</v>
      </c>
      <c r="BU218" s="53">
        <f t="shared" si="639"/>
        <v>0</v>
      </c>
      <c r="BV218" s="51">
        <f t="shared" si="708"/>
        <v>0</v>
      </c>
      <c r="BW218" s="51">
        <f t="shared" si="720"/>
        <v>0</v>
      </c>
      <c r="BX218" s="51">
        <f t="shared" si="640"/>
        <v>0</v>
      </c>
      <c r="BY218" s="51">
        <f t="shared" si="721"/>
        <v>0</v>
      </c>
      <c r="BZ218" s="51">
        <f t="shared" si="641"/>
        <v>0</v>
      </c>
      <c r="CA218" s="51">
        <f t="shared" si="722"/>
        <v>0</v>
      </c>
      <c r="CB218" s="51">
        <f t="shared" si="642"/>
        <v>0</v>
      </c>
      <c r="CC218" s="51">
        <f t="shared" si="723"/>
        <v>0</v>
      </c>
      <c r="CD218" s="51">
        <f t="shared" si="643"/>
        <v>0</v>
      </c>
      <c r="CE218" s="51">
        <f t="shared" si="724"/>
        <v>0</v>
      </c>
      <c r="CF218" s="51">
        <f t="shared" si="644"/>
        <v>0</v>
      </c>
      <c r="CG218" s="54">
        <f t="shared" si="645"/>
        <v>0</v>
      </c>
      <c r="CH218" s="55">
        <f t="shared" si="646"/>
        <v>0</v>
      </c>
      <c r="CI218" s="56">
        <f>IF(AND($E218&lt;&gt;0,$F218&gt;0,YEAR($F218)&gt;=Preisindex!$A$6,YEAR(CD$4)&gt;=YEAR($F218),AND($K218&lt;&gt;"a",$K218&lt;&gt;"b",$K218&lt;&gt;"g",$K218&lt;&gt;"k")),1,IF(AND($E218&lt;&gt;0,$F218&gt;0,YEAR($F218)&gt;=Preisindex!$A$6,YEAR(CD$4)&gt;=YEAR($F218),$K218="a"),ROUND(VLOOKUP(CI$4,Preisindex,5,FALSE)/VLOOKUP(YEAR($F218),Preisindex,5,FALSE),2),IF(AND($E218&lt;&gt;0,$F218&gt;0,YEAR($F218)&gt;=Preisindex!$A$6,YEAR(CD$4)&gt;=YEAR($F218),$K218="b"),ROUND(VLOOKUP(CI$4,Preisindex,3,FALSE)/VLOOKUP(YEAR($F218),Preisindex,3,FALSE),2),IF(AND($E218&lt;&gt;0,$F218&gt;0,YEAR($F218)&gt;=Preisindex!$A$6,YEAR(CD$4)&gt;=YEAR($F218),$K218="g"),ROUND(VLOOKUP(CI$4,Preisindex,4,FALSE)/VLOOKUP(YEAR($F218),Preisindex,4,FALSE),2),IF(AND($E218&lt;&gt;0,$F218&gt;0,YEAR($F218)&gt;=Preisindex!$A$6,YEAR(CD$4)&gt;=YEAR($F218),$K218="k"),ROUND(VLOOKUP(CI$4,Preisindex,2,FALSE)/VLOOKUP(YEAR($F218),Preisindex,2,FALSE),2),0)))))</f>
        <v>0</v>
      </c>
      <c r="CJ218" s="56">
        <f>IF(AND($E218&lt;&gt;0,$F218&gt;0,YEAR($F218)&lt;Preisindex!$A$6,YEAR(CD$4)&gt;=YEAR($F218),AND($K218&lt;&gt;"a",$K218&lt;&gt;"b",$K218&lt;&gt;"g",$K218&lt;&gt;"k")),1,IF(AND($E218&lt;&gt;0,$F218&gt;0,YEAR($F218)&lt;Preisindex!$A$6,YEAR(CD$4)&gt;=YEAR($F218),$K218="a"),ROUND(VLOOKUP(CI$4,Preisindex,5,FALSE)/VLOOKUP(Preisindex!$A$6,Preisindex,5,FALSE),2),IF(AND($E218&lt;&gt;0,$F218&gt;0,YEAR($F218)&lt;Preisindex!$A$6,YEAR(CD$4)&gt;=YEAR($F218),$K218="b"),ROUND(VLOOKUP(CI$4,Preisindex,3,FALSE)/VLOOKUP(Preisindex!$A$6,Preisindex,3,FALSE),2),IF(AND($E218&lt;&gt;0,$F218&gt;0,YEAR($F218)&lt;Preisindex!$A$6,YEAR(CD$4)&gt;=YEAR($F218),$K218="g"),ROUND(VLOOKUP(CI$4,Preisindex,4,FALSE)/VLOOKUP(Preisindex!$A$6,Preisindex,4,FALSE),2),IF(AND($E218&lt;&gt;0,$F218&gt;0,YEAR($F218)&lt;Preisindex!$A$6,YEAR(CD$4)&gt;=YEAR($F218),$K218="k"),ROUND(VLOOKUP(CI$4,Preisindex,2,FALSE)/VLOOKUP(Preisindex!$A$6,Preisindex,2,FALSE),2),0)))))</f>
        <v>0</v>
      </c>
      <c r="CK218" s="51">
        <f>IF(AND($E218&lt;&gt;0,$F218&gt;0,YEAR($F218)&lt;=CI$4,YEAR($F218)&gt;=Preisindex!$A$6),ROUND($E218*CI218,2),IF(AND($E218&lt;&gt;0,$F218&gt;0,YEAR($F218)&lt;=CI$4,YEAR($F218)&lt;Preisindex!$A$6),ROUND($E218*CJ218,2),0))</f>
        <v>0</v>
      </c>
      <c r="CL218" s="53">
        <f t="shared" si="647"/>
        <v>0</v>
      </c>
      <c r="CM218" s="51">
        <f t="shared" si="708"/>
        <v>0</v>
      </c>
      <c r="CN218" s="51">
        <f t="shared" si="725"/>
        <v>0</v>
      </c>
      <c r="CO218" s="51">
        <f t="shared" si="648"/>
        <v>0</v>
      </c>
      <c r="CP218" s="51">
        <f t="shared" si="726"/>
        <v>0</v>
      </c>
      <c r="CQ218" s="51">
        <f t="shared" si="649"/>
        <v>0</v>
      </c>
      <c r="CR218" s="51">
        <f t="shared" si="727"/>
        <v>0</v>
      </c>
      <c r="CS218" s="51">
        <f t="shared" si="650"/>
        <v>0</v>
      </c>
      <c r="CT218" s="51">
        <f t="shared" si="728"/>
        <v>0</v>
      </c>
      <c r="CU218" s="51">
        <f t="shared" si="651"/>
        <v>0</v>
      </c>
      <c r="CV218" s="51">
        <f t="shared" si="729"/>
        <v>0</v>
      </c>
      <c r="CW218" s="51">
        <f t="shared" si="652"/>
        <v>0</v>
      </c>
      <c r="CX218" s="54">
        <f t="shared" si="653"/>
        <v>0</v>
      </c>
      <c r="CY218" s="55">
        <f t="shared" si="654"/>
        <v>0</v>
      </c>
      <c r="CZ218" s="56">
        <f>IF(AND($E218&lt;&gt;0,$F218&gt;0,YEAR($F218)&gt;=Preisindex!$A$6,YEAR(CU$4)&gt;=YEAR($F218),AND($K218&lt;&gt;"a",$K218&lt;&gt;"b",$K218&lt;&gt;"g",$K218&lt;&gt;"k")),1,IF(AND($E218&lt;&gt;0,$F218&gt;0,YEAR($F218)&gt;=Preisindex!$A$6,YEAR(CU$4)&gt;=YEAR($F218),$K218="a"),ROUND(VLOOKUP(CZ$4,Preisindex,5,FALSE)/VLOOKUP(YEAR($F218),Preisindex,5,FALSE),2),IF(AND($E218&lt;&gt;0,$F218&gt;0,YEAR($F218)&gt;=Preisindex!$A$6,YEAR(CU$4)&gt;=YEAR($F218),$K218="b"),ROUND(VLOOKUP(CZ$4,Preisindex,3,FALSE)/VLOOKUP(YEAR($F218),Preisindex,3,FALSE),2),IF(AND($E218&lt;&gt;0,$F218&gt;0,YEAR($F218)&gt;=Preisindex!$A$6,YEAR(CU$4)&gt;=YEAR($F218),$K218="g"),ROUND(VLOOKUP(CZ$4,Preisindex,4,FALSE)/VLOOKUP(YEAR($F218),Preisindex,4,FALSE),2),IF(AND($E218&lt;&gt;0,$F218&gt;0,YEAR($F218)&gt;=Preisindex!$A$6,YEAR(CU$4)&gt;=YEAR($F218),$K218="k"),ROUND(VLOOKUP(CZ$4,Preisindex,2,FALSE)/VLOOKUP(YEAR($F218),Preisindex,2,FALSE),2),0)))))</f>
        <v>0</v>
      </c>
      <c r="DA218" s="56">
        <f>IF(AND($E218&lt;&gt;0,$F218&gt;0,YEAR($F218)&lt;Preisindex!$A$6,YEAR(CU$4)&gt;=YEAR($F218),AND($K218&lt;&gt;"a",$K218&lt;&gt;"b",$K218&lt;&gt;"g",$K218&lt;&gt;"k")),1,IF(AND($E218&lt;&gt;0,$F218&gt;0,YEAR($F218)&lt;Preisindex!$A$6,YEAR(CU$4)&gt;=YEAR($F218),$K218="a"),ROUND(VLOOKUP(CZ$4,Preisindex,5,FALSE)/VLOOKUP(Preisindex!$A$6,Preisindex,5,FALSE),2),IF(AND($E218&lt;&gt;0,$F218&gt;0,YEAR($F218)&lt;Preisindex!$A$6,YEAR(CU$4)&gt;=YEAR($F218),$K218="b"),ROUND(VLOOKUP(CZ$4,Preisindex,3,FALSE)/VLOOKUP(Preisindex!$A$6,Preisindex,3,FALSE),2),IF(AND($E218&lt;&gt;0,$F218&gt;0,YEAR($F218)&lt;Preisindex!$A$6,YEAR(CU$4)&gt;=YEAR($F218),$K218="g"),ROUND(VLOOKUP(CZ$4,Preisindex,4,FALSE)/VLOOKUP(Preisindex!$A$6,Preisindex,4,FALSE),2),IF(AND($E218&lt;&gt;0,$F218&gt;0,YEAR($F218)&lt;Preisindex!$A$6,YEAR(CU$4)&gt;=YEAR($F218),$K218="k"),ROUND(VLOOKUP(CZ$4,Preisindex,2,FALSE)/VLOOKUP(Preisindex!$A$6,Preisindex,2,FALSE),2),0)))))</f>
        <v>0</v>
      </c>
      <c r="DB218" s="51">
        <f>IF(AND($E218&lt;&gt;0,$F218&gt;0,YEAR($F218)&lt;=CZ$4,YEAR($F218)&gt;=Preisindex!$A$6),ROUND($E218*CZ218,2),IF(AND($E218&lt;&gt;0,$F218&gt;0,YEAR($F218)&lt;=CZ$4,YEAR($F218)&lt;Preisindex!$A$6),ROUND($E218*DA218,2),0))</f>
        <v>0</v>
      </c>
      <c r="DC218" s="53">
        <f t="shared" si="655"/>
        <v>0</v>
      </c>
      <c r="DD218" s="51">
        <f t="shared" si="709"/>
        <v>0</v>
      </c>
      <c r="DE218" s="51">
        <f t="shared" si="730"/>
        <v>0</v>
      </c>
      <c r="DF218" s="51">
        <f t="shared" si="657"/>
        <v>0</v>
      </c>
      <c r="DG218" s="51">
        <f t="shared" si="731"/>
        <v>0</v>
      </c>
      <c r="DH218" s="51">
        <f t="shared" si="658"/>
        <v>0</v>
      </c>
      <c r="DI218" s="51">
        <f t="shared" si="732"/>
        <v>0</v>
      </c>
      <c r="DJ218" s="51">
        <f t="shared" si="659"/>
        <v>0</v>
      </c>
      <c r="DK218" s="51">
        <f t="shared" si="733"/>
        <v>0</v>
      </c>
      <c r="DL218" s="51">
        <f t="shared" si="660"/>
        <v>0</v>
      </c>
      <c r="DM218" s="51">
        <f t="shared" si="734"/>
        <v>0</v>
      </c>
      <c r="DN218" s="51">
        <f t="shared" si="661"/>
        <v>0</v>
      </c>
      <c r="DO218" s="54">
        <f t="shared" si="662"/>
        <v>0</v>
      </c>
      <c r="DP218" s="55">
        <f t="shared" si="663"/>
        <v>0</v>
      </c>
      <c r="DQ218" s="56">
        <f>IF(AND($E218&lt;&gt;0,$F218&gt;0,YEAR($F218)&gt;=Preisindex!$A$6,YEAR(DL$4)&gt;=YEAR($F218),AND($K218&lt;&gt;"a",$K218&lt;&gt;"b",$K218&lt;&gt;"g",$K218&lt;&gt;"k")),1,IF(AND($E218&lt;&gt;0,$F218&gt;0,YEAR($F218)&gt;=Preisindex!$A$6,YEAR(DL$4)&gt;=YEAR($F218),$K218="a"),ROUND(VLOOKUP(DQ$4,Preisindex,5,FALSE)/VLOOKUP(YEAR($F218),Preisindex,5,FALSE),2),IF(AND($E218&lt;&gt;0,$F218&gt;0,YEAR($F218)&gt;=Preisindex!$A$6,YEAR(DL$4)&gt;=YEAR($F218),$K218="b"),ROUND(VLOOKUP(DQ$4,Preisindex,3,FALSE)/VLOOKUP(YEAR($F218),Preisindex,3,FALSE),2),IF(AND($E218&lt;&gt;0,$F218&gt;0,YEAR($F218)&gt;=Preisindex!$A$6,YEAR(DL$4)&gt;=YEAR($F218),$K218="g"),ROUND(VLOOKUP(DQ$4,Preisindex,4,FALSE)/VLOOKUP(YEAR($F218),Preisindex,4,FALSE),2),IF(AND($E218&lt;&gt;0,$F218&gt;0,YEAR($F218)&gt;=Preisindex!$A$6,YEAR(DL$4)&gt;=YEAR($F218),$K218="k"),ROUND(VLOOKUP(DQ$4,Preisindex,2,FALSE)/VLOOKUP(YEAR($F218),Preisindex,2,FALSE),2),0)))))</f>
        <v>0</v>
      </c>
      <c r="DR218" s="56">
        <f>IF(AND($E218&lt;&gt;0,$F218&gt;0,YEAR($F218)&lt;Preisindex!$A$6,YEAR(DL$4)&gt;=YEAR($F218),AND($K218&lt;&gt;"a",$K218&lt;&gt;"b",$K218&lt;&gt;"g",$K218&lt;&gt;"k")),1,IF(AND($E218&lt;&gt;0,$F218&gt;0,YEAR($F218)&lt;Preisindex!$A$6,YEAR(DL$4)&gt;=YEAR($F218),$K218="a"),ROUND(VLOOKUP(DQ$4,Preisindex,5,FALSE)/VLOOKUP(Preisindex!$A$6,Preisindex,5,FALSE),2),IF(AND($E218&lt;&gt;0,$F218&gt;0,YEAR($F218)&lt;Preisindex!$A$6,YEAR(DL$4)&gt;=YEAR($F218),$K218="b"),ROUND(VLOOKUP(DQ$4,Preisindex,3,FALSE)/VLOOKUP(Preisindex!$A$6,Preisindex,3,FALSE),2),IF(AND($E218&lt;&gt;0,$F218&gt;0,YEAR($F218)&lt;Preisindex!$A$6,YEAR(DL$4)&gt;=YEAR($F218),$K218="g"),ROUND(VLOOKUP(DQ$4,Preisindex,4,FALSE)/VLOOKUP(Preisindex!$A$6,Preisindex,4,FALSE),2),IF(AND($E218&lt;&gt;0,$F218&gt;0,YEAR($F218)&lt;Preisindex!$A$6,YEAR(DL$4)&gt;=YEAR($F218),$K218="k"),ROUND(VLOOKUP(DQ$4,Preisindex,2,FALSE)/VLOOKUP(Preisindex!$A$6,Preisindex,2,FALSE),2),0)))))</f>
        <v>0</v>
      </c>
      <c r="DS218" s="51">
        <f>IF(AND($E218&lt;&gt;0,$F218&gt;0,YEAR($F218)&lt;=DQ$4,YEAR($F218)&gt;=Preisindex!$A$6),ROUND($E218*DQ218,2),IF(AND($E218&lt;&gt;0,$F218&gt;0,YEAR($F218)&lt;=DQ$4,YEAR($F218)&lt;Preisindex!$A$6),ROUND($E218*DR218,2),0))</f>
        <v>0</v>
      </c>
      <c r="DT218" s="53">
        <f t="shared" si="664"/>
        <v>0</v>
      </c>
      <c r="DU218" s="51">
        <f t="shared" si="709"/>
        <v>0</v>
      </c>
      <c r="DV218" s="51">
        <f t="shared" si="735"/>
        <v>0</v>
      </c>
      <c r="DW218" s="51">
        <f t="shared" si="665"/>
        <v>0</v>
      </c>
      <c r="DX218" s="51">
        <f t="shared" si="736"/>
        <v>0</v>
      </c>
      <c r="DY218" s="51">
        <f t="shared" si="666"/>
        <v>0</v>
      </c>
      <c r="DZ218" s="51">
        <f t="shared" si="737"/>
        <v>0</v>
      </c>
      <c r="EA218" s="51">
        <f t="shared" si="667"/>
        <v>0</v>
      </c>
      <c r="EB218" s="51">
        <f t="shared" si="738"/>
        <v>0</v>
      </c>
      <c r="EC218" s="51">
        <f t="shared" si="668"/>
        <v>0</v>
      </c>
      <c r="ED218" s="51">
        <f t="shared" si="739"/>
        <v>0</v>
      </c>
      <c r="EE218" s="51">
        <f t="shared" si="669"/>
        <v>0</v>
      </c>
      <c r="EF218" s="54">
        <f t="shared" si="670"/>
        <v>0</v>
      </c>
      <c r="EG218" s="55">
        <f t="shared" si="671"/>
        <v>0</v>
      </c>
      <c r="EH218" s="56">
        <f>IF(AND($E218&lt;&gt;0,$F218&gt;0,YEAR($F218)&gt;=Preisindex!$A$6,YEAR(EC$4)&gt;=YEAR($F218),AND($K218&lt;&gt;"a",$K218&lt;&gt;"b",$K218&lt;&gt;"g",$K218&lt;&gt;"k")),1,IF(AND($E218&lt;&gt;0,$F218&gt;0,YEAR($F218)&gt;=Preisindex!$A$6,YEAR(EC$4)&gt;=YEAR($F218),$K218="a"),ROUND(VLOOKUP(EH$4,Preisindex,5,FALSE)/VLOOKUP(YEAR($F218),Preisindex,5,FALSE),2),IF(AND($E218&lt;&gt;0,$F218&gt;0,YEAR($F218)&gt;=Preisindex!$A$6,YEAR(EC$4)&gt;=YEAR($F218),$K218="b"),ROUND(VLOOKUP(EH$4,Preisindex,3,FALSE)/VLOOKUP(YEAR($F218),Preisindex,3,FALSE),2),IF(AND($E218&lt;&gt;0,$F218&gt;0,YEAR($F218)&gt;=Preisindex!$A$6,YEAR(EC$4)&gt;=YEAR($F218),$K218="g"),ROUND(VLOOKUP(EH$4,Preisindex,4,FALSE)/VLOOKUP(YEAR($F218),Preisindex,4,FALSE),2),IF(AND($E218&lt;&gt;0,$F218&gt;0,YEAR($F218)&gt;=Preisindex!$A$6,YEAR(EC$4)&gt;=YEAR($F218),$K218="k"),ROUND(VLOOKUP(EH$4,Preisindex,2,FALSE)/VLOOKUP(YEAR($F218),Preisindex,2,FALSE),2),0)))))</f>
        <v>0</v>
      </c>
      <c r="EI218" s="56">
        <f>IF(AND($E218&lt;&gt;0,$F218&gt;0,YEAR($F218)&lt;Preisindex!$A$6,YEAR(EC$4)&gt;=YEAR($F218),AND($K218&lt;&gt;"a",$K218&lt;&gt;"b",$K218&lt;&gt;"g",$K218&lt;&gt;"k")),1,IF(AND($E218&lt;&gt;0,$F218&gt;0,YEAR($F218)&lt;Preisindex!$A$6,YEAR(EC$4)&gt;=YEAR($F218),$K218="a"),ROUND(VLOOKUP(EH$4,Preisindex,5,FALSE)/VLOOKUP(Preisindex!$A$6,Preisindex,5,FALSE),2),IF(AND($E218&lt;&gt;0,$F218&gt;0,YEAR($F218)&lt;Preisindex!$A$6,YEAR(EC$4)&gt;=YEAR($F218),$K218="b"),ROUND(VLOOKUP(EH$4,Preisindex,3,FALSE)/VLOOKUP(Preisindex!$A$6,Preisindex,3,FALSE),2),IF(AND($E218&lt;&gt;0,$F218&gt;0,YEAR($F218)&lt;Preisindex!$A$6,YEAR(EC$4)&gt;=YEAR($F218),$K218="g"),ROUND(VLOOKUP(EH$4,Preisindex,4,FALSE)/VLOOKUP(Preisindex!$A$6,Preisindex,4,FALSE),2),IF(AND($E218&lt;&gt;0,$F218&gt;0,YEAR($F218)&lt;Preisindex!$A$6,YEAR(EC$4)&gt;=YEAR($F218),$K218="k"),ROUND(VLOOKUP(EH$4,Preisindex,2,FALSE)/VLOOKUP(Preisindex!$A$6,Preisindex,2,FALSE),2),0)))))</f>
        <v>0</v>
      </c>
      <c r="EJ218" s="51">
        <f>IF(AND($E218&lt;&gt;0,$F218&gt;0,YEAR($F218)&lt;=EH$4,YEAR($F218)&gt;=Preisindex!$A$6),ROUND($E218*EH218,2),IF(AND($E218&lt;&gt;0,$F218&gt;0,YEAR($F218)&lt;=EH$4,YEAR($F218)&lt;Preisindex!$A$6),ROUND($E218*EI218,2),0))</f>
        <v>0</v>
      </c>
      <c r="EK218" s="53">
        <f t="shared" si="672"/>
        <v>0</v>
      </c>
      <c r="EL218" s="51">
        <f t="shared" si="709"/>
        <v>0</v>
      </c>
      <c r="EM218" s="51">
        <f t="shared" si="740"/>
        <v>0</v>
      </c>
      <c r="EN218" s="51">
        <f t="shared" si="673"/>
        <v>0</v>
      </c>
      <c r="EO218" s="51">
        <f t="shared" si="741"/>
        <v>0</v>
      </c>
      <c r="EP218" s="51">
        <f t="shared" si="674"/>
        <v>0</v>
      </c>
      <c r="EQ218" s="51">
        <f t="shared" si="742"/>
        <v>0</v>
      </c>
      <c r="ER218" s="51">
        <f t="shared" si="675"/>
        <v>0</v>
      </c>
      <c r="ES218" s="51">
        <f t="shared" si="743"/>
        <v>0</v>
      </c>
      <c r="ET218" s="51">
        <f t="shared" si="676"/>
        <v>0</v>
      </c>
      <c r="EU218" s="51">
        <f t="shared" si="744"/>
        <v>0</v>
      </c>
      <c r="EV218" s="51">
        <f t="shared" si="677"/>
        <v>0</v>
      </c>
      <c r="EW218" s="54">
        <f t="shared" si="678"/>
        <v>0</v>
      </c>
      <c r="EX218" s="55">
        <f t="shared" si="679"/>
        <v>0</v>
      </c>
      <c r="EY218" s="56">
        <f>IF(AND($E218&lt;&gt;0,$F218&gt;0,YEAR($F218)&gt;=Preisindex!$A$6,YEAR(ET$4)&gt;=YEAR($F218),AND($K218&lt;&gt;"a",$K218&lt;&gt;"b",$K218&lt;&gt;"g",$K218&lt;&gt;"k")),1,IF(AND($E218&lt;&gt;0,$F218&gt;0,YEAR($F218)&gt;=Preisindex!$A$6,YEAR(ET$4)&gt;=YEAR($F218),$K218="a"),ROUND(VLOOKUP(EY$4,Preisindex,5,FALSE)/VLOOKUP(YEAR($F218),Preisindex,5,FALSE),2),IF(AND($E218&lt;&gt;0,$F218&gt;0,YEAR($F218)&gt;=Preisindex!$A$6,YEAR(ET$4)&gt;=YEAR($F218),$K218="b"),ROUND(VLOOKUP(EY$4,Preisindex,3,FALSE)/VLOOKUP(YEAR($F218),Preisindex,3,FALSE),2),IF(AND($E218&lt;&gt;0,$F218&gt;0,YEAR($F218)&gt;=Preisindex!$A$6,YEAR(ET$4)&gt;=YEAR($F218),$K218="g"),ROUND(VLOOKUP(EY$4,Preisindex,4,FALSE)/VLOOKUP(YEAR($F218),Preisindex,4,FALSE),2),IF(AND($E218&lt;&gt;0,$F218&gt;0,YEAR($F218)&gt;=Preisindex!$A$6,YEAR(ET$4)&gt;=YEAR($F218),$K218="k"),ROUND(VLOOKUP(EY$4,Preisindex,2,FALSE)/VLOOKUP(YEAR($F218),Preisindex,2,FALSE),2),0)))))</f>
        <v>0</v>
      </c>
      <c r="EZ218" s="56">
        <f>IF(AND($E218&lt;&gt;0,$F218&gt;0,YEAR($F218)&lt;Preisindex!$A$6,YEAR(ET$4)&gt;=YEAR($F218),AND($K218&lt;&gt;"a",$K218&lt;&gt;"b",$K218&lt;&gt;"g",$K218&lt;&gt;"k")),1,IF(AND($E218&lt;&gt;0,$F218&gt;0,YEAR($F218)&lt;Preisindex!$A$6,YEAR(ET$4)&gt;=YEAR($F218),$K218="a"),ROUND(VLOOKUP(EY$4,Preisindex,5,FALSE)/VLOOKUP(Preisindex!$A$6,Preisindex,5,FALSE),2),IF(AND($E218&lt;&gt;0,$F218&gt;0,YEAR($F218)&lt;Preisindex!$A$6,YEAR(ET$4)&gt;=YEAR($F218),$K218="b"),ROUND(VLOOKUP(EY$4,Preisindex,3,FALSE)/VLOOKUP(Preisindex!$A$6,Preisindex,3,FALSE),2),IF(AND($E218&lt;&gt;0,$F218&gt;0,YEAR($F218)&lt;Preisindex!$A$6,YEAR(ET$4)&gt;=YEAR($F218),$K218="g"),ROUND(VLOOKUP(EY$4,Preisindex,4,FALSE)/VLOOKUP(Preisindex!$A$6,Preisindex,4,FALSE),2),IF(AND($E218&lt;&gt;0,$F218&gt;0,YEAR($F218)&lt;Preisindex!$A$6,YEAR(ET$4)&gt;=YEAR($F218),$K218="k"),ROUND(VLOOKUP(EY$4,Preisindex,2,FALSE)/VLOOKUP(Preisindex!$A$6,Preisindex,2,FALSE),2),0)))))</f>
        <v>0</v>
      </c>
      <c r="FA218" s="51">
        <f>IF(AND($E218&lt;&gt;0,$F218&gt;0,YEAR($F218)&lt;=EY$4,YEAR($F218)&gt;=Preisindex!$A$6),ROUND($E218*EY218,2),IF(AND($E218&lt;&gt;0,$F218&gt;0,YEAR($F218)&lt;=EY$4,YEAR($F218)&lt;Preisindex!$A$6),ROUND($E218*EZ218,2),0))</f>
        <v>0</v>
      </c>
      <c r="FB218" s="53">
        <f t="shared" si="680"/>
        <v>0</v>
      </c>
      <c r="FC218" s="51">
        <f t="shared" si="709"/>
        <v>0</v>
      </c>
      <c r="FD218" s="51">
        <f t="shared" si="745"/>
        <v>0</v>
      </c>
      <c r="FE218" s="51">
        <f t="shared" si="681"/>
        <v>0</v>
      </c>
      <c r="FF218" s="51">
        <f t="shared" si="746"/>
        <v>0</v>
      </c>
      <c r="FG218" s="51">
        <f t="shared" si="682"/>
        <v>0</v>
      </c>
      <c r="FH218" s="51">
        <f t="shared" si="747"/>
        <v>0</v>
      </c>
      <c r="FI218" s="51">
        <f t="shared" si="683"/>
        <v>0</v>
      </c>
      <c r="FJ218" s="51">
        <f t="shared" si="748"/>
        <v>0</v>
      </c>
      <c r="FK218" s="51">
        <f t="shared" si="684"/>
        <v>0</v>
      </c>
      <c r="FL218" s="51">
        <f t="shared" si="749"/>
        <v>0</v>
      </c>
      <c r="FM218" s="51">
        <f t="shared" si="685"/>
        <v>0</v>
      </c>
      <c r="FN218" s="54">
        <f t="shared" si="686"/>
        <v>0</v>
      </c>
      <c r="FO218" s="55">
        <f t="shared" si="687"/>
        <v>0</v>
      </c>
      <c r="FP218" s="56">
        <f>IF(AND($E218&lt;&gt;0,$F218&gt;0,YEAR($F218)&gt;=Preisindex!$A$6,YEAR(FK$4)&gt;=YEAR($F218),AND($K218&lt;&gt;"a",$K218&lt;&gt;"b",$K218&lt;&gt;"g",$K218&lt;&gt;"k")),1,IF(AND($E218&lt;&gt;0,$F218&gt;0,YEAR($F218)&gt;=Preisindex!$A$6,YEAR(FK$4)&gt;=YEAR($F218),$K218="a"),ROUND(VLOOKUP(FP$4,Preisindex,5,FALSE)/VLOOKUP(YEAR($F218),Preisindex,5,FALSE),2),IF(AND($E218&lt;&gt;0,$F218&gt;0,YEAR($F218)&gt;=Preisindex!$A$6,YEAR(FK$4)&gt;=YEAR($F218),$K218="b"),ROUND(VLOOKUP(FP$4,Preisindex,3,FALSE)/VLOOKUP(YEAR($F218),Preisindex,3,FALSE),2),IF(AND($E218&lt;&gt;0,$F218&gt;0,YEAR($F218)&gt;=Preisindex!$A$6,YEAR(FK$4)&gt;=YEAR($F218),$K218="g"),ROUND(VLOOKUP(FP$4,Preisindex,4,FALSE)/VLOOKUP(YEAR($F218),Preisindex,4,FALSE),2),IF(AND($E218&lt;&gt;0,$F218&gt;0,YEAR($F218)&gt;=Preisindex!$A$6,YEAR(FK$4)&gt;=YEAR($F218),$K218="k"),ROUND(VLOOKUP(FP$4,Preisindex,2,FALSE)/VLOOKUP(YEAR($F218),Preisindex,2,FALSE),2),0)))))</f>
        <v>0</v>
      </c>
      <c r="FQ218" s="56">
        <f>IF(AND($E218&lt;&gt;0,$F218&gt;0,YEAR($F218)&lt;Preisindex!$A$6,YEAR(FK$4)&gt;=YEAR($F218),AND($K218&lt;&gt;"a",$K218&lt;&gt;"b",$K218&lt;&gt;"g",$K218&lt;&gt;"k")),1,IF(AND($E218&lt;&gt;0,$F218&gt;0,YEAR($F218)&lt;Preisindex!$A$6,YEAR(FK$4)&gt;=YEAR($F218),$K218="a"),ROUND(VLOOKUP(FP$4,Preisindex,5,FALSE)/VLOOKUP(Preisindex!$A$6,Preisindex,5,FALSE),2),IF(AND($E218&lt;&gt;0,$F218&gt;0,YEAR($F218)&lt;Preisindex!$A$6,YEAR(FK$4)&gt;=YEAR($F218),$K218="b"),ROUND(VLOOKUP(FP$4,Preisindex,3,FALSE)/VLOOKUP(Preisindex!$A$6,Preisindex,3,FALSE),2),IF(AND($E218&lt;&gt;0,$F218&gt;0,YEAR($F218)&lt;Preisindex!$A$6,YEAR(FK$4)&gt;=YEAR($F218),$K218="g"),ROUND(VLOOKUP(FP$4,Preisindex,4,FALSE)/VLOOKUP(Preisindex!$A$6,Preisindex,4,FALSE),2),IF(AND($E218&lt;&gt;0,$F218&gt;0,YEAR($F218)&lt;Preisindex!$A$6,YEAR(FK$4)&gt;=YEAR($F218),$K218="k"),ROUND(VLOOKUP(FP$4,Preisindex,2,FALSE)/VLOOKUP(Preisindex!$A$6,Preisindex,2,FALSE),2),0)))))</f>
        <v>0</v>
      </c>
      <c r="FR218" s="51">
        <f>IF(AND($E218&lt;&gt;0,$F218&gt;0,YEAR($F218)&lt;=FP$4,YEAR($F218)&gt;=Preisindex!$A$6),ROUND($E218*FP218,2),IF(AND($E218&lt;&gt;0,$F218&gt;0,YEAR($F218)&lt;=FP$4,YEAR($F218)&lt;Preisindex!$A$6),ROUND($E218*FQ218,2),0))</f>
        <v>0</v>
      </c>
      <c r="FS218" s="53">
        <f t="shared" si="688"/>
        <v>0</v>
      </c>
    </row>
    <row r="219" spans="1:175" x14ac:dyDescent="0.3">
      <c r="A219" s="93"/>
      <c r="B219" s="94"/>
      <c r="C219" s="94"/>
      <c r="D219" s="95"/>
      <c r="E219" s="99"/>
      <c r="F219" s="97"/>
      <c r="G219" s="98"/>
      <c r="H219" s="620"/>
      <c r="I219" s="193"/>
      <c r="J219" s="194"/>
      <c r="K219" s="630"/>
      <c r="L219" s="49">
        <f t="shared" si="689"/>
        <v>0</v>
      </c>
      <c r="M219" s="50">
        <f t="shared" si="690"/>
        <v>0</v>
      </c>
      <c r="N219" s="51">
        <f t="shared" si="691"/>
        <v>0</v>
      </c>
      <c r="O219" s="51"/>
      <c r="P219" s="51">
        <f t="shared" si="692"/>
        <v>0</v>
      </c>
      <c r="Q219" s="52"/>
      <c r="R219" s="52"/>
      <c r="S219" s="52"/>
      <c r="T219" s="52"/>
      <c r="U219" s="52"/>
      <c r="V219" s="53">
        <f t="shared" si="693"/>
        <v>0</v>
      </c>
      <c r="W219" s="51">
        <f t="shared" si="694"/>
        <v>0</v>
      </c>
      <c r="X219" s="51">
        <f t="shared" si="695"/>
        <v>0</v>
      </c>
      <c r="Y219" s="51">
        <f t="shared" si="696"/>
        <v>0</v>
      </c>
      <c r="Z219" s="51">
        <f t="shared" si="697"/>
        <v>0</v>
      </c>
      <c r="AA219" s="51">
        <f t="shared" si="698"/>
        <v>0</v>
      </c>
      <c r="AB219" s="51">
        <f t="shared" si="699"/>
        <v>0</v>
      </c>
      <c r="AC219" s="51">
        <f t="shared" si="700"/>
        <v>0</v>
      </c>
      <c r="AD219" s="51">
        <f t="shared" si="701"/>
        <v>0</v>
      </c>
      <c r="AE219" s="51">
        <f t="shared" si="702"/>
        <v>0</v>
      </c>
      <c r="AF219" s="51">
        <f t="shared" si="703"/>
        <v>0</v>
      </c>
      <c r="AG219" s="51">
        <f t="shared" si="704"/>
        <v>0</v>
      </c>
      <c r="AH219" s="54">
        <f t="shared" si="705"/>
        <v>0</v>
      </c>
      <c r="AI219" s="55">
        <f t="shared" si="706"/>
        <v>0</v>
      </c>
      <c r="AJ219" s="56">
        <f>IF(AND($E219&lt;&gt;0,$F219&gt;0,YEAR($F219)&gt;=Preisindex!$A$6,YEAR(AE$4)&gt;=YEAR($F219),AND($K219&lt;&gt;"a",$K219&lt;&gt;"b",$K219&lt;&gt;"g",$K219&lt;&gt;"k")),1,IF(AND($E219&lt;&gt;0,$F219&gt;0,YEAR($F219)&gt;=Preisindex!$A$6,YEAR(AE$4)&gt;=YEAR($F219),$K219="a"),ROUND(VLOOKUP(AJ$4,Preisindex,5,FALSE)/VLOOKUP(YEAR($F219),Preisindex,5,FALSE),2),IF(AND($E219&lt;&gt;0,$F219&gt;0,YEAR($F219)&gt;=Preisindex!$A$6,YEAR(AE$4)&gt;=YEAR($F219),$K219="b"),ROUND(VLOOKUP(AJ$4,Preisindex,3,FALSE)/VLOOKUP(YEAR($F219),Preisindex,3,FALSE),2),IF(AND($E219&lt;&gt;0,$F219&gt;0,YEAR($F219)&gt;=Preisindex!$A$6,YEAR(AE$4)&gt;=YEAR($F219),$K219="g"),ROUND(VLOOKUP(AJ$4,Preisindex,4,FALSE)/VLOOKUP(YEAR($F219),Preisindex,4,FALSE),2),IF(AND($E219&lt;&gt;0,$F219&gt;0,YEAR($F219)&gt;=Preisindex!$A$6,YEAR(AE$4)&gt;=YEAR($F219),$K219="k"),ROUND(VLOOKUP(AJ$4,Preisindex,2,FALSE)/VLOOKUP(YEAR($F219),Preisindex,2,FALSE),2),0)))))</f>
        <v>0</v>
      </c>
      <c r="AK219" s="56">
        <f>IF(AND($E219&lt;&gt;0,$F219&gt;0,YEAR($F219)&lt;Preisindex!$A$6,YEAR(AE$4)&gt;=YEAR($F219),AND($K219&lt;&gt;"a",$K219&lt;&gt;"b",$K219&lt;&gt;"g",$K219&lt;&gt;"k")),1,IF(AND($E219&lt;&gt;0,$F219&gt;0,YEAR($F219)&lt;Preisindex!$A$6,YEAR(AE$4)&gt;=YEAR($F219),$K219="a"),ROUND(VLOOKUP(AJ$4,Preisindex,5,FALSE)/VLOOKUP(Preisindex!$A$6,Preisindex,5,FALSE),2),IF(AND($E219&lt;&gt;0,$F219&gt;0,YEAR($F219)&lt;Preisindex!$A$6,YEAR(AE$4)&gt;=YEAR($F219),$K219="b"),ROUND(VLOOKUP(AJ$4,Preisindex,3,FALSE)/VLOOKUP(Preisindex!$A$6,Preisindex,3,FALSE),2),IF(AND($E219&lt;&gt;0,$F219&gt;0,YEAR($F219)&lt;Preisindex!$A$6,YEAR(AE$4)&gt;=YEAR($F219),$K219="g"),ROUND(VLOOKUP(AJ$4,Preisindex,4,FALSE)/VLOOKUP(Preisindex!$A$6,Preisindex,4,FALSE),2),IF(AND($E219&lt;&gt;0,$F219&gt;0,YEAR($F219)&lt;Preisindex!$A$6,YEAR(AE$4)&gt;=YEAR($F219),$K219="k"),ROUND(VLOOKUP(AJ$4,Preisindex,2,FALSE)/VLOOKUP(Preisindex!$A$6,Preisindex,2,FALSE),2),0)))))</f>
        <v>0</v>
      </c>
      <c r="AL219" s="51">
        <f>IF(AND($E219&lt;&gt;0,$F219&gt;0,YEAR($F219)&lt;=AJ$4,YEAR($F219)&gt;=Preisindex!$A$6),ROUND($E219*AJ219,2),IF(AND($E219&lt;&gt;0,$F219&gt;0,YEAR($F219)&lt;=AJ$4,YEAR($F219)&lt;Preisindex!$A$6),ROUND($E219*AK219,2),0))</f>
        <v>0</v>
      </c>
      <c r="AM219" s="53">
        <f t="shared" si="707"/>
        <v>0</v>
      </c>
      <c r="AN219" s="51">
        <f t="shared" si="708"/>
        <v>0</v>
      </c>
      <c r="AO219" s="51">
        <f t="shared" si="710"/>
        <v>0</v>
      </c>
      <c r="AP219" s="51">
        <f t="shared" si="624"/>
        <v>0</v>
      </c>
      <c r="AQ219" s="51">
        <f t="shared" si="711"/>
        <v>0</v>
      </c>
      <c r="AR219" s="51">
        <f t="shared" si="625"/>
        <v>0</v>
      </c>
      <c r="AS219" s="51">
        <f t="shared" si="712"/>
        <v>0</v>
      </c>
      <c r="AT219" s="51">
        <f t="shared" si="626"/>
        <v>0</v>
      </c>
      <c r="AU219" s="51">
        <f t="shared" si="713"/>
        <v>0</v>
      </c>
      <c r="AV219" s="51">
        <f t="shared" si="627"/>
        <v>0</v>
      </c>
      <c r="AW219" s="51">
        <f t="shared" si="714"/>
        <v>0</v>
      </c>
      <c r="AX219" s="51">
        <f t="shared" si="628"/>
        <v>0</v>
      </c>
      <c r="AY219" s="54">
        <f t="shared" si="629"/>
        <v>0</v>
      </c>
      <c r="AZ219" s="55">
        <f t="shared" si="630"/>
        <v>0</v>
      </c>
      <c r="BA219" s="56">
        <f>IF(AND($E219&lt;&gt;0,$F219&gt;0,YEAR($F219)&gt;=Preisindex!$A$6,YEAR(AV$4)&gt;=YEAR($F219),AND($K219&lt;&gt;"a",$K219&lt;&gt;"b",$K219&lt;&gt;"g",$K219&lt;&gt;"k")),1,IF(AND($E219&lt;&gt;0,$F219&gt;0,YEAR($F219)&gt;=Preisindex!$A$6,YEAR(AV$4)&gt;=YEAR($F219),$K219="a"),ROUND(VLOOKUP(BA$4,Preisindex,5,FALSE)/VLOOKUP(YEAR($F219),Preisindex,5,FALSE),2),IF(AND($E219&lt;&gt;0,$F219&gt;0,YEAR($F219)&gt;=Preisindex!$A$6,YEAR(AV$4)&gt;=YEAR($F219),$K219="b"),ROUND(VLOOKUP(BA$4,Preisindex,3,FALSE)/VLOOKUP(YEAR($F219),Preisindex,3,FALSE),2),IF(AND($E219&lt;&gt;0,$F219&gt;0,YEAR($F219)&gt;=Preisindex!$A$6,YEAR(AV$4)&gt;=YEAR($F219),$K219="g"),ROUND(VLOOKUP(BA$4,Preisindex,4,FALSE)/VLOOKUP(YEAR($F219),Preisindex,4,FALSE),2),IF(AND($E219&lt;&gt;0,$F219&gt;0,YEAR($F219)&gt;=Preisindex!$A$6,YEAR(AV$4)&gt;=YEAR($F219),$K219="k"),ROUND(VLOOKUP(BA$4,Preisindex,2,FALSE)/VLOOKUP(YEAR($F219),Preisindex,2,FALSE),2),0)))))</f>
        <v>0</v>
      </c>
      <c r="BB219" s="56">
        <f>IF(AND($E219&lt;&gt;0,$F219&gt;0,YEAR($F219)&lt;Preisindex!$A$6,YEAR(AV$4)&gt;=YEAR($F219),AND($K219&lt;&gt;"a",$K219&lt;&gt;"b",$K219&lt;&gt;"g",$K219&lt;&gt;"k")),1,IF(AND($E219&lt;&gt;0,$F219&gt;0,YEAR($F219)&lt;Preisindex!$A$6,YEAR(AV$4)&gt;=YEAR($F219),$K219="a"),ROUND(VLOOKUP(BA$4,Preisindex,5,FALSE)/VLOOKUP(Preisindex!$A$6,Preisindex,5,FALSE),2),IF(AND($E219&lt;&gt;0,$F219&gt;0,YEAR($F219)&lt;Preisindex!$A$6,YEAR(AV$4)&gt;=YEAR($F219),$K219="b"),ROUND(VLOOKUP(BA$4,Preisindex,3,FALSE)/VLOOKUP(Preisindex!$A$6,Preisindex,3,FALSE),2),IF(AND($E219&lt;&gt;0,$F219&gt;0,YEAR($F219)&lt;Preisindex!$A$6,YEAR(AV$4)&gt;=YEAR($F219),$K219="g"),ROUND(VLOOKUP(BA$4,Preisindex,4,FALSE)/VLOOKUP(Preisindex!$A$6,Preisindex,4,FALSE),2),IF(AND($E219&lt;&gt;0,$F219&gt;0,YEAR($F219)&lt;Preisindex!$A$6,YEAR(AV$4)&gt;=YEAR($F219),$K219="k"),ROUND(VLOOKUP(BA$4,Preisindex,2,FALSE)/VLOOKUP(Preisindex!$A$6,Preisindex,2,FALSE),2),0)))))</f>
        <v>0</v>
      </c>
      <c r="BC219" s="51">
        <f>IF(AND($E219&lt;&gt;0,$F219&gt;0,YEAR($F219)&lt;=BA$4,YEAR($F219)&gt;=Preisindex!$A$6),ROUND($E219*BA219,2),IF(AND($E219&lt;&gt;0,$F219&gt;0,YEAR($F219)&lt;=BA$4,YEAR($F219)&lt;Preisindex!$A$6),ROUND($E219*BB219,2),0))</f>
        <v>0</v>
      </c>
      <c r="BD219" s="53">
        <f t="shared" si="631"/>
        <v>0</v>
      </c>
      <c r="BE219" s="51">
        <f t="shared" si="708"/>
        <v>0</v>
      </c>
      <c r="BF219" s="51">
        <f t="shared" si="715"/>
        <v>0</v>
      </c>
      <c r="BG219" s="51">
        <f t="shared" si="632"/>
        <v>0</v>
      </c>
      <c r="BH219" s="51">
        <f t="shared" si="716"/>
        <v>0</v>
      </c>
      <c r="BI219" s="51">
        <f t="shared" si="633"/>
        <v>0</v>
      </c>
      <c r="BJ219" s="51">
        <f t="shared" si="717"/>
        <v>0</v>
      </c>
      <c r="BK219" s="51">
        <f t="shared" si="634"/>
        <v>0</v>
      </c>
      <c r="BL219" s="51">
        <f t="shared" si="718"/>
        <v>0</v>
      </c>
      <c r="BM219" s="51">
        <f t="shared" si="635"/>
        <v>0</v>
      </c>
      <c r="BN219" s="51">
        <f t="shared" si="719"/>
        <v>0</v>
      </c>
      <c r="BO219" s="51">
        <f t="shared" si="636"/>
        <v>0</v>
      </c>
      <c r="BP219" s="54">
        <f t="shared" si="637"/>
        <v>0</v>
      </c>
      <c r="BQ219" s="55">
        <f t="shared" si="638"/>
        <v>0</v>
      </c>
      <c r="BR219" s="56">
        <f>IF(AND($E219&lt;&gt;0,$F219&gt;0,YEAR($F219)&gt;=Preisindex!$A$6,YEAR(BM$4)&gt;=YEAR($F219),AND($K219&lt;&gt;"a",$K219&lt;&gt;"b",$K219&lt;&gt;"g",$K219&lt;&gt;"k")),1,IF(AND($E219&lt;&gt;0,$F219&gt;0,YEAR($F219)&gt;=Preisindex!$A$6,YEAR(BM$4)&gt;=YEAR($F219),$K219="a"),ROUND(VLOOKUP(BR$4,Preisindex,5,FALSE)/VLOOKUP(YEAR($F219),Preisindex,5,FALSE),2),IF(AND($E219&lt;&gt;0,$F219&gt;0,YEAR($F219)&gt;=Preisindex!$A$6,YEAR(BM$4)&gt;=YEAR($F219),$K219="b"),ROUND(VLOOKUP(BR$4,Preisindex,3,FALSE)/VLOOKUP(YEAR($F219),Preisindex,3,FALSE),2),IF(AND($E219&lt;&gt;0,$F219&gt;0,YEAR($F219)&gt;=Preisindex!$A$6,YEAR(BM$4)&gt;=YEAR($F219),$K219="g"),ROUND(VLOOKUP(BR$4,Preisindex,4,FALSE)/VLOOKUP(YEAR($F219),Preisindex,4,FALSE),2),IF(AND($E219&lt;&gt;0,$F219&gt;0,YEAR($F219)&gt;=Preisindex!$A$6,YEAR(BM$4)&gt;=YEAR($F219),$K219="k"),ROUND(VLOOKUP(BR$4,Preisindex,2,FALSE)/VLOOKUP(YEAR($F219),Preisindex,2,FALSE),2),0)))))</f>
        <v>0</v>
      </c>
      <c r="BS219" s="56">
        <f>IF(AND($E219&lt;&gt;0,$F219&gt;0,YEAR($F219)&lt;Preisindex!$A$6,YEAR(BM$4)&gt;=YEAR($F219),AND($K219&lt;&gt;"a",$K219&lt;&gt;"b",$K219&lt;&gt;"g",$K219&lt;&gt;"k")),1,IF(AND($E219&lt;&gt;0,$F219&gt;0,YEAR($F219)&lt;Preisindex!$A$6,YEAR(BM$4)&gt;=YEAR($F219),$K219="a"),ROUND(VLOOKUP(BR$4,Preisindex,5,FALSE)/VLOOKUP(Preisindex!$A$6,Preisindex,5,FALSE),2),IF(AND($E219&lt;&gt;0,$F219&gt;0,YEAR($F219)&lt;Preisindex!$A$6,YEAR(BM$4)&gt;=YEAR($F219),$K219="b"),ROUND(VLOOKUP(BR$4,Preisindex,3,FALSE)/VLOOKUP(Preisindex!$A$6,Preisindex,3,FALSE),2),IF(AND($E219&lt;&gt;0,$F219&gt;0,YEAR($F219)&lt;Preisindex!$A$6,YEAR(BM$4)&gt;=YEAR($F219),$K219="g"),ROUND(VLOOKUP(BR$4,Preisindex,4,FALSE)/VLOOKUP(Preisindex!$A$6,Preisindex,4,FALSE),2),IF(AND($E219&lt;&gt;0,$F219&gt;0,YEAR($F219)&lt;Preisindex!$A$6,YEAR(BM$4)&gt;=YEAR($F219),$K219="k"),ROUND(VLOOKUP(BR$4,Preisindex,2,FALSE)/VLOOKUP(Preisindex!$A$6,Preisindex,2,FALSE),2),0)))))</f>
        <v>0</v>
      </c>
      <c r="BT219" s="51">
        <f>IF(AND($E219&lt;&gt;0,$F219&gt;0,YEAR($F219)&lt;=BR$4,YEAR($F219)&gt;=Preisindex!$A$6),ROUND($E219*BR219,2),IF(AND($E219&lt;&gt;0,$F219&gt;0,YEAR($F219)&lt;=BR$4,YEAR($F219)&lt;Preisindex!$A$6),ROUND($E219*BS219,2),0))</f>
        <v>0</v>
      </c>
      <c r="BU219" s="53">
        <f t="shared" si="639"/>
        <v>0</v>
      </c>
      <c r="BV219" s="51">
        <f t="shared" si="708"/>
        <v>0</v>
      </c>
      <c r="BW219" s="51">
        <f t="shared" si="720"/>
        <v>0</v>
      </c>
      <c r="BX219" s="51">
        <f t="shared" si="640"/>
        <v>0</v>
      </c>
      <c r="BY219" s="51">
        <f t="shared" si="721"/>
        <v>0</v>
      </c>
      <c r="BZ219" s="51">
        <f t="shared" si="641"/>
        <v>0</v>
      </c>
      <c r="CA219" s="51">
        <f t="shared" si="722"/>
        <v>0</v>
      </c>
      <c r="CB219" s="51">
        <f t="shared" si="642"/>
        <v>0</v>
      </c>
      <c r="CC219" s="51">
        <f t="shared" si="723"/>
        <v>0</v>
      </c>
      <c r="CD219" s="51">
        <f t="shared" si="643"/>
        <v>0</v>
      </c>
      <c r="CE219" s="51">
        <f t="shared" si="724"/>
        <v>0</v>
      </c>
      <c r="CF219" s="51">
        <f t="shared" si="644"/>
        <v>0</v>
      </c>
      <c r="CG219" s="54">
        <f t="shared" si="645"/>
        <v>0</v>
      </c>
      <c r="CH219" s="55">
        <f t="shared" si="646"/>
        <v>0</v>
      </c>
      <c r="CI219" s="56">
        <f>IF(AND($E219&lt;&gt;0,$F219&gt;0,YEAR($F219)&gt;=Preisindex!$A$6,YEAR(CD$4)&gt;=YEAR($F219),AND($K219&lt;&gt;"a",$K219&lt;&gt;"b",$K219&lt;&gt;"g",$K219&lt;&gt;"k")),1,IF(AND($E219&lt;&gt;0,$F219&gt;0,YEAR($F219)&gt;=Preisindex!$A$6,YEAR(CD$4)&gt;=YEAR($F219),$K219="a"),ROUND(VLOOKUP(CI$4,Preisindex,5,FALSE)/VLOOKUP(YEAR($F219),Preisindex,5,FALSE),2),IF(AND($E219&lt;&gt;0,$F219&gt;0,YEAR($F219)&gt;=Preisindex!$A$6,YEAR(CD$4)&gt;=YEAR($F219),$K219="b"),ROUND(VLOOKUP(CI$4,Preisindex,3,FALSE)/VLOOKUP(YEAR($F219),Preisindex,3,FALSE),2),IF(AND($E219&lt;&gt;0,$F219&gt;0,YEAR($F219)&gt;=Preisindex!$A$6,YEAR(CD$4)&gt;=YEAR($F219),$K219="g"),ROUND(VLOOKUP(CI$4,Preisindex,4,FALSE)/VLOOKUP(YEAR($F219),Preisindex,4,FALSE),2),IF(AND($E219&lt;&gt;0,$F219&gt;0,YEAR($F219)&gt;=Preisindex!$A$6,YEAR(CD$4)&gt;=YEAR($F219),$K219="k"),ROUND(VLOOKUP(CI$4,Preisindex,2,FALSE)/VLOOKUP(YEAR($F219),Preisindex,2,FALSE),2),0)))))</f>
        <v>0</v>
      </c>
      <c r="CJ219" s="56">
        <f>IF(AND($E219&lt;&gt;0,$F219&gt;0,YEAR($F219)&lt;Preisindex!$A$6,YEAR(CD$4)&gt;=YEAR($F219),AND($K219&lt;&gt;"a",$K219&lt;&gt;"b",$K219&lt;&gt;"g",$K219&lt;&gt;"k")),1,IF(AND($E219&lt;&gt;0,$F219&gt;0,YEAR($F219)&lt;Preisindex!$A$6,YEAR(CD$4)&gt;=YEAR($F219),$K219="a"),ROUND(VLOOKUP(CI$4,Preisindex,5,FALSE)/VLOOKUP(Preisindex!$A$6,Preisindex,5,FALSE),2),IF(AND($E219&lt;&gt;0,$F219&gt;0,YEAR($F219)&lt;Preisindex!$A$6,YEAR(CD$4)&gt;=YEAR($F219),$K219="b"),ROUND(VLOOKUP(CI$4,Preisindex,3,FALSE)/VLOOKUP(Preisindex!$A$6,Preisindex,3,FALSE),2),IF(AND($E219&lt;&gt;0,$F219&gt;0,YEAR($F219)&lt;Preisindex!$A$6,YEAR(CD$4)&gt;=YEAR($F219),$K219="g"),ROUND(VLOOKUP(CI$4,Preisindex,4,FALSE)/VLOOKUP(Preisindex!$A$6,Preisindex,4,FALSE),2),IF(AND($E219&lt;&gt;0,$F219&gt;0,YEAR($F219)&lt;Preisindex!$A$6,YEAR(CD$4)&gt;=YEAR($F219),$K219="k"),ROUND(VLOOKUP(CI$4,Preisindex,2,FALSE)/VLOOKUP(Preisindex!$A$6,Preisindex,2,FALSE),2),0)))))</f>
        <v>0</v>
      </c>
      <c r="CK219" s="51">
        <f>IF(AND($E219&lt;&gt;0,$F219&gt;0,YEAR($F219)&lt;=CI$4,YEAR($F219)&gt;=Preisindex!$A$6),ROUND($E219*CI219,2),IF(AND($E219&lt;&gt;0,$F219&gt;0,YEAR($F219)&lt;=CI$4,YEAR($F219)&lt;Preisindex!$A$6),ROUND($E219*CJ219,2),0))</f>
        <v>0</v>
      </c>
      <c r="CL219" s="53">
        <f t="shared" si="647"/>
        <v>0</v>
      </c>
      <c r="CM219" s="51">
        <f t="shared" si="708"/>
        <v>0</v>
      </c>
      <c r="CN219" s="51">
        <f t="shared" si="725"/>
        <v>0</v>
      </c>
      <c r="CO219" s="51">
        <f t="shared" si="648"/>
        <v>0</v>
      </c>
      <c r="CP219" s="51">
        <f t="shared" si="726"/>
        <v>0</v>
      </c>
      <c r="CQ219" s="51">
        <f t="shared" si="649"/>
        <v>0</v>
      </c>
      <c r="CR219" s="51">
        <f t="shared" si="727"/>
        <v>0</v>
      </c>
      <c r="CS219" s="51">
        <f t="shared" si="650"/>
        <v>0</v>
      </c>
      <c r="CT219" s="51">
        <f t="shared" si="728"/>
        <v>0</v>
      </c>
      <c r="CU219" s="51">
        <f t="shared" si="651"/>
        <v>0</v>
      </c>
      <c r="CV219" s="51">
        <f t="shared" si="729"/>
        <v>0</v>
      </c>
      <c r="CW219" s="51">
        <f t="shared" si="652"/>
        <v>0</v>
      </c>
      <c r="CX219" s="54">
        <f t="shared" si="653"/>
        <v>0</v>
      </c>
      <c r="CY219" s="55">
        <f t="shared" si="654"/>
        <v>0</v>
      </c>
      <c r="CZ219" s="56">
        <f>IF(AND($E219&lt;&gt;0,$F219&gt;0,YEAR($F219)&gt;=Preisindex!$A$6,YEAR(CU$4)&gt;=YEAR($F219),AND($K219&lt;&gt;"a",$K219&lt;&gt;"b",$K219&lt;&gt;"g",$K219&lt;&gt;"k")),1,IF(AND($E219&lt;&gt;0,$F219&gt;0,YEAR($F219)&gt;=Preisindex!$A$6,YEAR(CU$4)&gt;=YEAR($F219),$K219="a"),ROUND(VLOOKUP(CZ$4,Preisindex,5,FALSE)/VLOOKUP(YEAR($F219),Preisindex,5,FALSE),2),IF(AND($E219&lt;&gt;0,$F219&gt;0,YEAR($F219)&gt;=Preisindex!$A$6,YEAR(CU$4)&gt;=YEAR($F219),$K219="b"),ROUND(VLOOKUP(CZ$4,Preisindex,3,FALSE)/VLOOKUP(YEAR($F219),Preisindex,3,FALSE),2),IF(AND($E219&lt;&gt;0,$F219&gt;0,YEAR($F219)&gt;=Preisindex!$A$6,YEAR(CU$4)&gt;=YEAR($F219),$K219="g"),ROUND(VLOOKUP(CZ$4,Preisindex,4,FALSE)/VLOOKUP(YEAR($F219),Preisindex,4,FALSE),2),IF(AND($E219&lt;&gt;0,$F219&gt;0,YEAR($F219)&gt;=Preisindex!$A$6,YEAR(CU$4)&gt;=YEAR($F219),$K219="k"),ROUND(VLOOKUP(CZ$4,Preisindex,2,FALSE)/VLOOKUP(YEAR($F219),Preisindex,2,FALSE),2),0)))))</f>
        <v>0</v>
      </c>
      <c r="DA219" s="56">
        <f>IF(AND($E219&lt;&gt;0,$F219&gt;0,YEAR($F219)&lt;Preisindex!$A$6,YEAR(CU$4)&gt;=YEAR($F219),AND($K219&lt;&gt;"a",$K219&lt;&gt;"b",$K219&lt;&gt;"g",$K219&lt;&gt;"k")),1,IF(AND($E219&lt;&gt;0,$F219&gt;0,YEAR($F219)&lt;Preisindex!$A$6,YEAR(CU$4)&gt;=YEAR($F219),$K219="a"),ROUND(VLOOKUP(CZ$4,Preisindex,5,FALSE)/VLOOKUP(Preisindex!$A$6,Preisindex,5,FALSE),2),IF(AND($E219&lt;&gt;0,$F219&gt;0,YEAR($F219)&lt;Preisindex!$A$6,YEAR(CU$4)&gt;=YEAR($F219),$K219="b"),ROUND(VLOOKUP(CZ$4,Preisindex,3,FALSE)/VLOOKUP(Preisindex!$A$6,Preisindex,3,FALSE),2),IF(AND($E219&lt;&gt;0,$F219&gt;0,YEAR($F219)&lt;Preisindex!$A$6,YEAR(CU$4)&gt;=YEAR($F219),$K219="g"),ROUND(VLOOKUP(CZ$4,Preisindex,4,FALSE)/VLOOKUP(Preisindex!$A$6,Preisindex,4,FALSE),2),IF(AND($E219&lt;&gt;0,$F219&gt;0,YEAR($F219)&lt;Preisindex!$A$6,YEAR(CU$4)&gt;=YEAR($F219),$K219="k"),ROUND(VLOOKUP(CZ$4,Preisindex,2,FALSE)/VLOOKUP(Preisindex!$A$6,Preisindex,2,FALSE),2),0)))))</f>
        <v>0</v>
      </c>
      <c r="DB219" s="51">
        <f>IF(AND($E219&lt;&gt;0,$F219&gt;0,YEAR($F219)&lt;=CZ$4,YEAR($F219)&gt;=Preisindex!$A$6),ROUND($E219*CZ219,2),IF(AND($E219&lt;&gt;0,$F219&gt;0,YEAR($F219)&lt;=CZ$4,YEAR($F219)&lt;Preisindex!$A$6),ROUND($E219*DA219,2),0))</f>
        <v>0</v>
      </c>
      <c r="DC219" s="53">
        <f t="shared" si="655"/>
        <v>0</v>
      </c>
      <c r="DD219" s="51">
        <f t="shared" si="709"/>
        <v>0</v>
      </c>
      <c r="DE219" s="51">
        <f t="shared" si="730"/>
        <v>0</v>
      </c>
      <c r="DF219" s="51">
        <f t="shared" si="657"/>
        <v>0</v>
      </c>
      <c r="DG219" s="51">
        <f t="shared" si="731"/>
        <v>0</v>
      </c>
      <c r="DH219" s="51">
        <f t="shared" si="658"/>
        <v>0</v>
      </c>
      <c r="DI219" s="51">
        <f t="shared" si="732"/>
        <v>0</v>
      </c>
      <c r="DJ219" s="51">
        <f t="shared" si="659"/>
        <v>0</v>
      </c>
      <c r="DK219" s="51">
        <f t="shared" si="733"/>
        <v>0</v>
      </c>
      <c r="DL219" s="51">
        <f t="shared" si="660"/>
        <v>0</v>
      </c>
      <c r="DM219" s="51">
        <f t="shared" si="734"/>
        <v>0</v>
      </c>
      <c r="DN219" s="51">
        <f t="shared" si="661"/>
        <v>0</v>
      </c>
      <c r="DO219" s="54">
        <f t="shared" si="662"/>
        <v>0</v>
      </c>
      <c r="DP219" s="55">
        <f t="shared" si="663"/>
        <v>0</v>
      </c>
      <c r="DQ219" s="56">
        <f>IF(AND($E219&lt;&gt;0,$F219&gt;0,YEAR($F219)&gt;=Preisindex!$A$6,YEAR(DL$4)&gt;=YEAR($F219),AND($K219&lt;&gt;"a",$K219&lt;&gt;"b",$K219&lt;&gt;"g",$K219&lt;&gt;"k")),1,IF(AND($E219&lt;&gt;0,$F219&gt;0,YEAR($F219)&gt;=Preisindex!$A$6,YEAR(DL$4)&gt;=YEAR($F219),$K219="a"),ROUND(VLOOKUP(DQ$4,Preisindex,5,FALSE)/VLOOKUP(YEAR($F219),Preisindex,5,FALSE),2),IF(AND($E219&lt;&gt;0,$F219&gt;0,YEAR($F219)&gt;=Preisindex!$A$6,YEAR(DL$4)&gt;=YEAR($F219),$K219="b"),ROUND(VLOOKUP(DQ$4,Preisindex,3,FALSE)/VLOOKUP(YEAR($F219),Preisindex,3,FALSE),2),IF(AND($E219&lt;&gt;0,$F219&gt;0,YEAR($F219)&gt;=Preisindex!$A$6,YEAR(DL$4)&gt;=YEAR($F219),$K219="g"),ROUND(VLOOKUP(DQ$4,Preisindex,4,FALSE)/VLOOKUP(YEAR($F219),Preisindex,4,FALSE),2),IF(AND($E219&lt;&gt;0,$F219&gt;0,YEAR($F219)&gt;=Preisindex!$A$6,YEAR(DL$4)&gt;=YEAR($F219),$K219="k"),ROUND(VLOOKUP(DQ$4,Preisindex,2,FALSE)/VLOOKUP(YEAR($F219),Preisindex,2,FALSE),2),0)))))</f>
        <v>0</v>
      </c>
      <c r="DR219" s="56">
        <f>IF(AND($E219&lt;&gt;0,$F219&gt;0,YEAR($F219)&lt;Preisindex!$A$6,YEAR(DL$4)&gt;=YEAR($F219),AND($K219&lt;&gt;"a",$K219&lt;&gt;"b",$K219&lt;&gt;"g",$K219&lt;&gt;"k")),1,IF(AND($E219&lt;&gt;0,$F219&gt;0,YEAR($F219)&lt;Preisindex!$A$6,YEAR(DL$4)&gt;=YEAR($F219),$K219="a"),ROUND(VLOOKUP(DQ$4,Preisindex,5,FALSE)/VLOOKUP(Preisindex!$A$6,Preisindex,5,FALSE),2),IF(AND($E219&lt;&gt;0,$F219&gt;0,YEAR($F219)&lt;Preisindex!$A$6,YEAR(DL$4)&gt;=YEAR($F219),$K219="b"),ROUND(VLOOKUP(DQ$4,Preisindex,3,FALSE)/VLOOKUP(Preisindex!$A$6,Preisindex,3,FALSE),2),IF(AND($E219&lt;&gt;0,$F219&gt;0,YEAR($F219)&lt;Preisindex!$A$6,YEAR(DL$4)&gt;=YEAR($F219),$K219="g"),ROUND(VLOOKUP(DQ$4,Preisindex,4,FALSE)/VLOOKUP(Preisindex!$A$6,Preisindex,4,FALSE),2),IF(AND($E219&lt;&gt;0,$F219&gt;0,YEAR($F219)&lt;Preisindex!$A$6,YEAR(DL$4)&gt;=YEAR($F219),$K219="k"),ROUND(VLOOKUP(DQ$4,Preisindex,2,FALSE)/VLOOKUP(Preisindex!$A$6,Preisindex,2,FALSE),2),0)))))</f>
        <v>0</v>
      </c>
      <c r="DS219" s="51">
        <f>IF(AND($E219&lt;&gt;0,$F219&gt;0,YEAR($F219)&lt;=DQ$4,YEAR($F219)&gt;=Preisindex!$A$6),ROUND($E219*DQ219,2),IF(AND($E219&lt;&gt;0,$F219&gt;0,YEAR($F219)&lt;=DQ$4,YEAR($F219)&lt;Preisindex!$A$6),ROUND($E219*DR219,2),0))</f>
        <v>0</v>
      </c>
      <c r="DT219" s="53">
        <f t="shared" si="664"/>
        <v>0</v>
      </c>
      <c r="DU219" s="51">
        <f t="shared" si="709"/>
        <v>0</v>
      </c>
      <c r="DV219" s="51">
        <f t="shared" si="735"/>
        <v>0</v>
      </c>
      <c r="DW219" s="51">
        <f t="shared" si="665"/>
        <v>0</v>
      </c>
      <c r="DX219" s="51">
        <f t="shared" si="736"/>
        <v>0</v>
      </c>
      <c r="DY219" s="51">
        <f t="shared" si="666"/>
        <v>0</v>
      </c>
      <c r="DZ219" s="51">
        <f t="shared" si="737"/>
        <v>0</v>
      </c>
      <c r="EA219" s="51">
        <f t="shared" si="667"/>
        <v>0</v>
      </c>
      <c r="EB219" s="51">
        <f t="shared" si="738"/>
        <v>0</v>
      </c>
      <c r="EC219" s="51">
        <f t="shared" si="668"/>
        <v>0</v>
      </c>
      <c r="ED219" s="51">
        <f t="shared" si="739"/>
        <v>0</v>
      </c>
      <c r="EE219" s="51">
        <f t="shared" si="669"/>
        <v>0</v>
      </c>
      <c r="EF219" s="54">
        <f t="shared" si="670"/>
        <v>0</v>
      </c>
      <c r="EG219" s="55">
        <f t="shared" si="671"/>
        <v>0</v>
      </c>
      <c r="EH219" s="56">
        <f>IF(AND($E219&lt;&gt;0,$F219&gt;0,YEAR($F219)&gt;=Preisindex!$A$6,YEAR(EC$4)&gt;=YEAR($F219),AND($K219&lt;&gt;"a",$K219&lt;&gt;"b",$K219&lt;&gt;"g",$K219&lt;&gt;"k")),1,IF(AND($E219&lt;&gt;0,$F219&gt;0,YEAR($F219)&gt;=Preisindex!$A$6,YEAR(EC$4)&gt;=YEAR($F219),$K219="a"),ROUND(VLOOKUP(EH$4,Preisindex,5,FALSE)/VLOOKUP(YEAR($F219),Preisindex,5,FALSE),2),IF(AND($E219&lt;&gt;0,$F219&gt;0,YEAR($F219)&gt;=Preisindex!$A$6,YEAR(EC$4)&gt;=YEAR($F219),$K219="b"),ROUND(VLOOKUP(EH$4,Preisindex,3,FALSE)/VLOOKUP(YEAR($F219),Preisindex,3,FALSE),2),IF(AND($E219&lt;&gt;0,$F219&gt;0,YEAR($F219)&gt;=Preisindex!$A$6,YEAR(EC$4)&gt;=YEAR($F219),$K219="g"),ROUND(VLOOKUP(EH$4,Preisindex,4,FALSE)/VLOOKUP(YEAR($F219),Preisindex,4,FALSE),2),IF(AND($E219&lt;&gt;0,$F219&gt;0,YEAR($F219)&gt;=Preisindex!$A$6,YEAR(EC$4)&gt;=YEAR($F219),$K219="k"),ROUND(VLOOKUP(EH$4,Preisindex,2,FALSE)/VLOOKUP(YEAR($F219),Preisindex,2,FALSE),2),0)))))</f>
        <v>0</v>
      </c>
      <c r="EI219" s="56">
        <f>IF(AND($E219&lt;&gt;0,$F219&gt;0,YEAR($F219)&lt;Preisindex!$A$6,YEAR(EC$4)&gt;=YEAR($F219),AND($K219&lt;&gt;"a",$K219&lt;&gt;"b",$K219&lt;&gt;"g",$K219&lt;&gt;"k")),1,IF(AND($E219&lt;&gt;0,$F219&gt;0,YEAR($F219)&lt;Preisindex!$A$6,YEAR(EC$4)&gt;=YEAR($F219),$K219="a"),ROUND(VLOOKUP(EH$4,Preisindex,5,FALSE)/VLOOKUP(Preisindex!$A$6,Preisindex,5,FALSE),2),IF(AND($E219&lt;&gt;0,$F219&gt;0,YEAR($F219)&lt;Preisindex!$A$6,YEAR(EC$4)&gt;=YEAR($F219),$K219="b"),ROUND(VLOOKUP(EH$4,Preisindex,3,FALSE)/VLOOKUP(Preisindex!$A$6,Preisindex,3,FALSE),2),IF(AND($E219&lt;&gt;0,$F219&gt;0,YEAR($F219)&lt;Preisindex!$A$6,YEAR(EC$4)&gt;=YEAR($F219),$K219="g"),ROUND(VLOOKUP(EH$4,Preisindex,4,FALSE)/VLOOKUP(Preisindex!$A$6,Preisindex,4,FALSE),2),IF(AND($E219&lt;&gt;0,$F219&gt;0,YEAR($F219)&lt;Preisindex!$A$6,YEAR(EC$4)&gt;=YEAR($F219),$K219="k"),ROUND(VLOOKUP(EH$4,Preisindex,2,FALSE)/VLOOKUP(Preisindex!$A$6,Preisindex,2,FALSE),2),0)))))</f>
        <v>0</v>
      </c>
      <c r="EJ219" s="51">
        <f>IF(AND($E219&lt;&gt;0,$F219&gt;0,YEAR($F219)&lt;=EH$4,YEAR($F219)&gt;=Preisindex!$A$6),ROUND($E219*EH219,2),IF(AND($E219&lt;&gt;0,$F219&gt;0,YEAR($F219)&lt;=EH$4,YEAR($F219)&lt;Preisindex!$A$6),ROUND($E219*EI219,2),0))</f>
        <v>0</v>
      </c>
      <c r="EK219" s="53">
        <f t="shared" si="672"/>
        <v>0</v>
      </c>
      <c r="EL219" s="51">
        <f t="shared" si="709"/>
        <v>0</v>
      </c>
      <c r="EM219" s="51">
        <f t="shared" si="740"/>
        <v>0</v>
      </c>
      <c r="EN219" s="51">
        <f t="shared" si="673"/>
        <v>0</v>
      </c>
      <c r="EO219" s="51">
        <f t="shared" si="741"/>
        <v>0</v>
      </c>
      <c r="EP219" s="51">
        <f t="shared" si="674"/>
        <v>0</v>
      </c>
      <c r="EQ219" s="51">
        <f t="shared" si="742"/>
        <v>0</v>
      </c>
      <c r="ER219" s="51">
        <f t="shared" si="675"/>
        <v>0</v>
      </c>
      <c r="ES219" s="51">
        <f t="shared" si="743"/>
        <v>0</v>
      </c>
      <c r="ET219" s="51">
        <f t="shared" si="676"/>
        <v>0</v>
      </c>
      <c r="EU219" s="51">
        <f t="shared" si="744"/>
        <v>0</v>
      </c>
      <c r="EV219" s="51">
        <f t="shared" si="677"/>
        <v>0</v>
      </c>
      <c r="EW219" s="54">
        <f t="shared" si="678"/>
        <v>0</v>
      </c>
      <c r="EX219" s="55">
        <f t="shared" si="679"/>
        <v>0</v>
      </c>
      <c r="EY219" s="56">
        <f>IF(AND($E219&lt;&gt;0,$F219&gt;0,YEAR($F219)&gt;=Preisindex!$A$6,YEAR(ET$4)&gt;=YEAR($F219),AND($K219&lt;&gt;"a",$K219&lt;&gt;"b",$K219&lt;&gt;"g",$K219&lt;&gt;"k")),1,IF(AND($E219&lt;&gt;0,$F219&gt;0,YEAR($F219)&gt;=Preisindex!$A$6,YEAR(ET$4)&gt;=YEAR($F219),$K219="a"),ROUND(VLOOKUP(EY$4,Preisindex,5,FALSE)/VLOOKUP(YEAR($F219),Preisindex,5,FALSE),2),IF(AND($E219&lt;&gt;0,$F219&gt;0,YEAR($F219)&gt;=Preisindex!$A$6,YEAR(ET$4)&gt;=YEAR($F219),$K219="b"),ROUND(VLOOKUP(EY$4,Preisindex,3,FALSE)/VLOOKUP(YEAR($F219),Preisindex,3,FALSE),2),IF(AND($E219&lt;&gt;0,$F219&gt;0,YEAR($F219)&gt;=Preisindex!$A$6,YEAR(ET$4)&gt;=YEAR($F219),$K219="g"),ROUND(VLOOKUP(EY$4,Preisindex,4,FALSE)/VLOOKUP(YEAR($F219),Preisindex,4,FALSE),2),IF(AND($E219&lt;&gt;0,$F219&gt;0,YEAR($F219)&gt;=Preisindex!$A$6,YEAR(ET$4)&gt;=YEAR($F219),$K219="k"),ROUND(VLOOKUP(EY$4,Preisindex,2,FALSE)/VLOOKUP(YEAR($F219),Preisindex,2,FALSE),2),0)))))</f>
        <v>0</v>
      </c>
      <c r="EZ219" s="56">
        <f>IF(AND($E219&lt;&gt;0,$F219&gt;0,YEAR($F219)&lt;Preisindex!$A$6,YEAR(ET$4)&gt;=YEAR($F219),AND($K219&lt;&gt;"a",$K219&lt;&gt;"b",$K219&lt;&gt;"g",$K219&lt;&gt;"k")),1,IF(AND($E219&lt;&gt;0,$F219&gt;0,YEAR($F219)&lt;Preisindex!$A$6,YEAR(ET$4)&gt;=YEAR($F219),$K219="a"),ROUND(VLOOKUP(EY$4,Preisindex,5,FALSE)/VLOOKUP(Preisindex!$A$6,Preisindex,5,FALSE),2),IF(AND($E219&lt;&gt;0,$F219&gt;0,YEAR($F219)&lt;Preisindex!$A$6,YEAR(ET$4)&gt;=YEAR($F219),$K219="b"),ROUND(VLOOKUP(EY$4,Preisindex,3,FALSE)/VLOOKUP(Preisindex!$A$6,Preisindex,3,FALSE),2),IF(AND($E219&lt;&gt;0,$F219&gt;0,YEAR($F219)&lt;Preisindex!$A$6,YEAR(ET$4)&gt;=YEAR($F219),$K219="g"),ROUND(VLOOKUP(EY$4,Preisindex,4,FALSE)/VLOOKUP(Preisindex!$A$6,Preisindex,4,FALSE),2),IF(AND($E219&lt;&gt;0,$F219&gt;0,YEAR($F219)&lt;Preisindex!$A$6,YEAR(ET$4)&gt;=YEAR($F219),$K219="k"),ROUND(VLOOKUP(EY$4,Preisindex,2,FALSE)/VLOOKUP(Preisindex!$A$6,Preisindex,2,FALSE),2),0)))))</f>
        <v>0</v>
      </c>
      <c r="FA219" s="51">
        <f>IF(AND($E219&lt;&gt;0,$F219&gt;0,YEAR($F219)&lt;=EY$4,YEAR($F219)&gt;=Preisindex!$A$6),ROUND($E219*EY219,2),IF(AND($E219&lt;&gt;0,$F219&gt;0,YEAR($F219)&lt;=EY$4,YEAR($F219)&lt;Preisindex!$A$6),ROUND($E219*EZ219,2),0))</f>
        <v>0</v>
      </c>
      <c r="FB219" s="53">
        <f t="shared" si="680"/>
        <v>0</v>
      </c>
      <c r="FC219" s="51">
        <f t="shared" si="709"/>
        <v>0</v>
      </c>
      <c r="FD219" s="51">
        <f t="shared" si="745"/>
        <v>0</v>
      </c>
      <c r="FE219" s="51">
        <f t="shared" si="681"/>
        <v>0</v>
      </c>
      <c r="FF219" s="51">
        <f t="shared" si="746"/>
        <v>0</v>
      </c>
      <c r="FG219" s="51">
        <f t="shared" si="682"/>
        <v>0</v>
      </c>
      <c r="FH219" s="51">
        <f t="shared" si="747"/>
        <v>0</v>
      </c>
      <c r="FI219" s="51">
        <f t="shared" si="683"/>
        <v>0</v>
      </c>
      <c r="FJ219" s="51">
        <f t="shared" si="748"/>
        <v>0</v>
      </c>
      <c r="FK219" s="51">
        <f t="shared" si="684"/>
        <v>0</v>
      </c>
      <c r="FL219" s="51">
        <f t="shared" si="749"/>
        <v>0</v>
      </c>
      <c r="FM219" s="51">
        <f t="shared" si="685"/>
        <v>0</v>
      </c>
      <c r="FN219" s="54">
        <f t="shared" si="686"/>
        <v>0</v>
      </c>
      <c r="FO219" s="55">
        <f t="shared" si="687"/>
        <v>0</v>
      </c>
      <c r="FP219" s="56">
        <f>IF(AND($E219&lt;&gt;0,$F219&gt;0,YEAR($F219)&gt;=Preisindex!$A$6,YEAR(FK$4)&gt;=YEAR($F219),AND($K219&lt;&gt;"a",$K219&lt;&gt;"b",$K219&lt;&gt;"g",$K219&lt;&gt;"k")),1,IF(AND($E219&lt;&gt;0,$F219&gt;0,YEAR($F219)&gt;=Preisindex!$A$6,YEAR(FK$4)&gt;=YEAR($F219),$K219="a"),ROUND(VLOOKUP(FP$4,Preisindex,5,FALSE)/VLOOKUP(YEAR($F219),Preisindex,5,FALSE),2),IF(AND($E219&lt;&gt;0,$F219&gt;0,YEAR($F219)&gt;=Preisindex!$A$6,YEAR(FK$4)&gt;=YEAR($F219),$K219="b"),ROUND(VLOOKUP(FP$4,Preisindex,3,FALSE)/VLOOKUP(YEAR($F219),Preisindex,3,FALSE),2),IF(AND($E219&lt;&gt;0,$F219&gt;0,YEAR($F219)&gt;=Preisindex!$A$6,YEAR(FK$4)&gt;=YEAR($F219),$K219="g"),ROUND(VLOOKUP(FP$4,Preisindex,4,FALSE)/VLOOKUP(YEAR($F219),Preisindex,4,FALSE),2),IF(AND($E219&lt;&gt;0,$F219&gt;0,YEAR($F219)&gt;=Preisindex!$A$6,YEAR(FK$4)&gt;=YEAR($F219),$K219="k"),ROUND(VLOOKUP(FP$4,Preisindex,2,FALSE)/VLOOKUP(YEAR($F219),Preisindex,2,FALSE),2),0)))))</f>
        <v>0</v>
      </c>
      <c r="FQ219" s="56">
        <f>IF(AND($E219&lt;&gt;0,$F219&gt;0,YEAR($F219)&lt;Preisindex!$A$6,YEAR(FK$4)&gt;=YEAR($F219),AND($K219&lt;&gt;"a",$K219&lt;&gt;"b",$K219&lt;&gt;"g",$K219&lt;&gt;"k")),1,IF(AND($E219&lt;&gt;0,$F219&gt;0,YEAR($F219)&lt;Preisindex!$A$6,YEAR(FK$4)&gt;=YEAR($F219),$K219="a"),ROUND(VLOOKUP(FP$4,Preisindex,5,FALSE)/VLOOKUP(Preisindex!$A$6,Preisindex,5,FALSE),2),IF(AND($E219&lt;&gt;0,$F219&gt;0,YEAR($F219)&lt;Preisindex!$A$6,YEAR(FK$4)&gt;=YEAR($F219),$K219="b"),ROUND(VLOOKUP(FP$4,Preisindex,3,FALSE)/VLOOKUP(Preisindex!$A$6,Preisindex,3,FALSE),2),IF(AND($E219&lt;&gt;0,$F219&gt;0,YEAR($F219)&lt;Preisindex!$A$6,YEAR(FK$4)&gt;=YEAR($F219),$K219="g"),ROUND(VLOOKUP(FP$4,Preisindex,4,FALSE)/VLOOKUP(Preisindex!$A$6,Preisindex,4,FALSE),2),IF(AND($E219&lt;&gt;0,$F219&gt;0,YEAR($F219)&lt;Preisindex!$A$6,YEAR(FK$4)&gt;=YEAR($F219),$K219="k"),ROUND(VLOOKUP(FP$4,Preisindex,2,FALSE)/VLOOKUP(Preisindex!$A$6,Preisindex,2,FALSE),2),0)))))</f>
        <v>0</v>
      </c>
      <c r="FR219" s="51">
        <f>IF(AND($E219&lt;&gt;0,$F219&gt;0,YEAR($F219)&lt;=FP$4,YEAR($F219)&gt;=Preisindex!$A$6),ROUND($E219*FP219,2),IF(AND($E219&lt;&gt;0,$F219&gt;0,YEAR($F219)&lt;=FP$4,YEAR($F219)&lt;Preisindex!$A$6),ROUND($E219*FQ219,2),0))</f>
        <v>0</v>
      </c>
      <c r="FS219" s="53">
        <f t="shared" si="688"/>
        <v>0</v>
      </c>
    </row>
    <row r="220" spans="1:175" x14ac:dyDescent="0.3">
      <c r="A220" s="93"/>
      <c r="B220" s="94"/>
      <c r="C220" s="94"/>
      <c r="D220" s="95"/>
      <c r="E220" s="99"/>
      <c r="F220" s="97"/>
      <c r="G220" s="98"/>
      <c r="H220" s="620"/>
      <c r="I220" s="193"/>
      <c r="J220" s="194"/>
      <c r="K220" s="630"/>
      <c r="L220" s="49">
        <f t="shared" si="689"/>
        <v>0</v>
      </c>
      <c r="M220" s="50">
        <f t="shared" si="690"/>
        <v>0</v>
      </c>
      <c r="N220" s="51">
        <f t="shared" si="691"/>
        <v>0</v>
      </c>
      <c r="O220" s="51"/>
      <c r="P220" s="51">
        <f t="shared" si="692"/>
        <v>0</v>
      </c>
      <c r="Q220" s="52"/>
      <c r="R220" s="52"/>
      <c r="S220" s="52"/>
      <c r="T220" s="52"/>
      <c r="U220" s="52"/>
      <c r="V220" s="53">
        <f t="shared" si="693"/>
        <v>0</v>
      </c>
      <c r="W220" s="51">
        <f t="shared" si="694"/>
        <v>0</v>
      </c>
      <c r="X220" s="51">
        <f t="shared" si="695"/>
        <v>0</v>
      </c>
      <c r="Y220" s="51">
        <f t="shared" si="696"/>
        <v>0</v>
      </c>
      <c r="Z220" s="51">
        <f t="shared" si="697"/>
        <v>0</v>
      </c>
      <c r="AA220" s="51">
        <f t="shared" si="698"/>
        <v>0</v>
      </c>
      <c r="AB220" s="51">
        <f t="shared" si="699"/>
        <v>0</v>
      </c>
      <c r="AC220" s="51">
        <f t="shared" si="700"/>
        <v>0</v>
      </c>
      <c r="AD220" s="51">
        <f t="shared" si="701"/>
        <v>0</v>
      </c>
      <c r="AE220" s="51">
        <f t="shared" si="702"/>
        <v>0</v>
      </c>
      <c r="AF220" s="51">
        <f t="shared" si="703"/>
        <v>0</v>
      </c>
      <c r="AG220" s="51">
        <f t="shared" si="704"/>
        <v>0</v>
      </c>
      <c r="AH220" s="54">
        <f t="shared" si="705"/>
        <v>0</v>
      </c>
      <c r="AI220" s="55">
        <f t="shared" si="706"/>
        <v>0</v>
      </c>
      <c r="AJ220" s="56">
        <f>IF(AND($E220&lt;&gt;0,$F220&gt;0,YEAR($F220)&gt;=Preisindex!$A$6,YEAR(AE$4)&gt;=YEAR($F220),AND($K220&lt;&gt;"a",$K220&lt;&gt;"b",$K220&lt;&gt;"g",$K220&lt;&gt;"k")),1,IF(AND($E220&lt;&gt;0,$F220&gt;0,YEAR($F220)&gt;=Preisindex!$A$6,YEAR(AE$4)&gt;=YEAR($F220),$K220="a"),ROUND(VLOOKUP(AJ$4,Preisindex,5,FALSE)/VLOOKUP(YEAR($F220),Preisindex,5,FALSE),2),IF(AND($E220&lt;&gt;0,$F220&gt;0,YEAR($F220)&gt;=Preisindex!$A$6,YEAR(AE$4)&gt;=YEAR($F220),$K220="b"),ROUND(VLOOKUP(AJ$4,Preisindex,3,FALSE)/VLOOKUP(YEAR($F220),Preisindex,3,FALSE),2),IF(AND($E220&lt;&gt;0,$F220&gt;0,YEAR($F220)&gt;=Preisindex!$A$6,YEAR(AE$4)&gt;=YEAR($F220),$K220="g"),ROUND(VLOOKUP(AJ$4,Preisindex,4,FALSE)/VLOOKUP(YEAR($F220),Preisindex,4,FALSE),2),IF(AND($E220&lt;&gt;0,$F220&gt;0,YEAR($F220)&gt;=Preisindex!$A$6,YEAR(AE$4)&gt;=YEAR($F220),$K220="k"),ROUND(VLOOKUP(AJ$4,Preisindex,2,FALSE)/VLOOKUP(YEAR($F220),Preisindex,2,FALSE),2),0)))))</f>
        <v>0</v>
      </c>
      <c r="AK220" s="56">
        <f>IF(AND($E220&lt;&gt;0,$F220&gt;0,YEAR($F220)&lt;Preisindex!$A$6,YEAR(AE$4)&gt;=YEAR($F220),AND($K220&lt;&gt;"a",$K220&lt;&gt;"b",$K220&lt;&gt;"g",$K220&lt;&gt;"k")),1,IF(AND($E220&lt;&gt;0,$F220&gt;0,YEAR($F220)&lt;Preisindex!$A$6,YEAR(AE$4)&gt;=YEAR($F220),$K220="a"),ROUND(VLOOKUP(AJ$4,Preisindex,5,FALSE)/VLOOKUP(Preisindex!$A$6,Preisindex,5,FALSE),2),IF(AND($E220&lt;&gt;0,$F220&gt;0,YEAR($F220)&lt;Preisindex!$A$6,YEAR(AE$4)&gt;=YEAR($F220),$K220="b"),ROUND(VLOOKUP(AJ$4,Preisindex,3,FALSE)/VLOOKUP(Preisindex!$A$6,Preisindex,3,FALSE),2),IF(AND($E220&lt;&gt;0,$F220&gt;0,YEAR($F220)&lt;Preisindex!$A$6,YEAR(AE$4)&gt;=YEAR($F220),$K220="g"),ROUND(VLOOKUP(AJ$4,Preisindex,4,FALSE)/VLOOKUP(Preisindex!$A$6,Preisindex,4,FALSE),2),IF(AND($E220&lt;&gt;0,$F220&gt;0,YEAR($F220)&lt;Preisindex!$A$6,YEAR(AE$4)&gt;=YEAR($F220),$K220="k"),ROUND(VLOOKUP(AJ$4,Preisindex,2,FALSE)/VLOOKUP(Preisindex!$A$6,Preisindex,2,FALSE),2),0)))))</f>
        <v>0</v>
      </c>
      <c r="AL220" s="51">
        <f>IF(AND($E220&lt;&gt;0,$F220&gt;0,YEAR($F220)&lt;=AJ$4,YEAR($F220)&gt;=Preisindex!$A$6),ROUND($E220*AJ220,2),IF(AND($E220&lt;&gt;0,$F220&gt;0,YEAR($F220)&lt;=AJ$4,YEAR($F220)&lt;Preisindex!$A$6),ROUND($E220*AK220,2),0))</f>
        <v>0</v>
      </c>
      <c r="AM220" s="53">
        <f t="shared" si="707"/>
        <v>0</v>
      </c>
      <c r="AN220" s="51">
        <f t="shared" si="708"/>
        <v>0</v>
      </c>
      <c r="AO220" s="51">
        <f t="shared" si="710"/>
        <v>0</v>
      </c>
      <c r="AP220" s="51">
        <f t="shared" si="624"/>
        <v>0</v>
      </c>
      <c r="AQ220" s="51">
        <f t="shared" si="711"/>
        <v>0</v>
      </c>
      <c r="AR220" s="51">
        <f t="shared" si="625"/>
        <v>0</v>
      </c>
      <c r="AS220" s="51">
        <f t="shared" si="712"/>
        <v>0</v>
      </c>
      <c r="AT220" s="51">
        <f t="shared" si="626"/>
        <v>0</v>
      </c>
      <c r="AU220" s="51">
        <f t="shared" si="713"/>
        <v>0</v>
      </c>
      <c r="AV220" s="51">
        <f t="shared" si="627"/>
        <v>0</v>
      </c>
      <c r="AW220" s="51">
        <f t="shared" si="714"/>
        <v>0</v>
      </c>
      <c r="AX220" s="51">
        <f t="shared" si="628"/>
        <v>0</v>
      </c>
      <c r="AY220" s="54">
        <f t="shared" si="629"/>
        <v>0</v>
      </c>
      <c r="AZ220" s="55">
        <f t="shared" si="630"/>
        <v>0</v>
      </c>
      <c r="BA220" s="56">
        <f>IF(AND($E220&lt;&gt;0,$F220&gt;0,YEAR($F220)&gt;=Preisindex!$A$6,YEAR(AV$4)&gt;=YEAR($F220),AND($K220&lt;&gt;"a",$K220&lt;&gt;"b",$K220&lt;&gt;"g",$K220&lt;&gt;"k")),1,IF(AND($E220&lt;&gt;0,$F220&gt;0,YEAR($F220)&gt;=Preisindex!$A$6,YEAR(AV$4)&gt;=YEAR($F220),$K220="a"),ROUND(VLOOKUP(BA$4,Preisindex,5,FALSE)/VLOOKUP(YEAR($F220),Preisindex,5,FALSE),2),IF(AND($E220&lt;&gt;0,$F220&gt;0,YEAR($F220)&gt;=Preisindex!$A$6,YEAR(AV$4)&gt;=YEAR($F220),$K220="b"),ROUND(VLOOKUP(BA$4,Preisindex,3,FALSE)/VLOOKUP(YEAR($F220),Preisindex,3,FALSE),2),IF(AND($E220&lt;&gt;0,$F220&gt;0,YEAR($F220)&gt;=Preisindex!$A$6,YEAR(AV$4)&gt;=YEAR($F220),$K220="g"),ROUND(VLOOKUP(BA$4,Preisindex,4,FALSE)/VLOOKUP(YEAR($F220),Preisindex,4,FALSE),2),IF(AND($E220&lt;&gt;0,$F220&gt;0,YEAR($F220)&gt;=Preisindex!$A$6,YEAR(AV$4)&gt;=YEAR($F220),$K220="k"),ROUND(VLOOKUP(BA$4,Preisindex,2,FALSE)/VLOOKUP(YEAR($F220),Preisindex,2,FALSE),2),0)))))</f>
        <v>0</v>
      </c>
      <c r="BB220" s="56">
        <f>IF(AND($E220&lt;&gt;0,$F220&gt;0,YEAR($F220)&lt;Preisindex!$A$6,YEAR(AV$4)&gt;=YEAR($F220),AND($K220&lt;&gt;"a",$K220&lt;&gt;"b",$K220&lt;&gt;"g",$K220&lt;&gt;"k")),1,IF(AND($E220&lt;&gt;0,$F220&gt;0,YEAR($F220)&lt;Preisindex!$A$6,YEAR(AV$4)&gt;=YEAR($F220),$K220="a"),ROUND(VLOOKUP(BA$4,Preisindex,5,FALSE)/VLOOKUP(Preisindex!$A$6,Preisindex,5,FALSE),2),IF(AND($E220&lt;&gt;0,$F220&gt;0,YEAR($F220)&lt;Preisindex!$A$6,YEAR(AV$4)&gt;=YEAR($F220),$K220="b"),ROUND(VLOOKUP(BA$4,Preisindex,3,FALSE)/VLOOKUP(Preisindex!$A$6,Preisindex,3,FALSE),2),IF(AND($E220&lt;&gt;0,$F220&gt;0,YEAR($F220)&lt;Preisindex!$A$6,YEAR(AV$4)&gt;=YEAR($F220),$K220="g"),ROUND(VLOOKUP(BA$4,Preisindex,4,FALSE)/VLOOKUP(Preisindex!$A$6,Preisindex,4,FALSE),2),IF(AND($E220&lt;&gt;0,$F220&gt;0,YEAR($F220)&lt;Preisindex!$A$6,YEAR(AV$4)&gt;=YEAR($F220),$K220="k"),ROUND(VLOOKUP(BA$4,Preisindex,2,FALSE)/VLOOKUP(Preisindex!$A$6,Preisindex,2,FALSE),2),0)))))</f>
        <v>0</v>
      </c>
      <c r="BC220" s="51">
        <f>IF(AND($E220&lt;&gt;0,$F220&gt;0,YEAR($F220)&lt;=BA$4,YEAR($F220)&gt;=Preisindex!$A$6),ROUND($E220*BA220,2),IF(AND($E220&lt;&gt;0,$F220&gt;0,YEAR($F220)&lt;=BA$4,YEAR($F220)&lt;Preisindex!$A$6),ROUND($E220*BB220,2),0))</f>
        <v>0</v>
      </c>
      <c r="BD220" s="53">
        <f t="shared" si="631"/>
        <v>0</v>
      </c>
      <c r="BE220" s="51">
        <f t="shared" si="708"/>
        <v>0</v>
      </c>
      <c r="BF220" s="51">
        <f t="shared" si="715"/>
        <v>0</v>
      </c>
      <c r="BG220" s="51">
        <f t="shared" si="632"/>
        <v>0</v>
      </c>
      <c r="BH220" s="51">
        <f t="shared" si="716"/>
        <v>0</v>
      </c>
      <c r="BI220" s="51">
        <f t="shared" si="633"/>
        <v>0</v>
      </c>
      <c r="BJ220" s="51">
        <f t="shared" si="717"/>
        <v>0</v>
      </c>
      <c r="BK220" s="51">
        <f t="shared" si="634"/>
        <v>0</v>
      </c>
      <c r="BL220" s="51">
        <f t="shared" si="718"/>
        <v>0</v>
      </c>
      <c r="BM220" s="51">
        <f t="shared" si="635"/>
        <v>0</v>
      </c>
      <c r="BN220" s="51">
        <f t="shared" si="719"/>
        <v>0</v>
      </c>
      <c r="BO220" s="51">
        <f t="shared" si="636"/>
        <v>0</v>
      </c>
      <c r="BP220" s="54">
        <f t="shared" si="637"/>
        <v>0</v>
      </c>
      <c r="BQ220" s="55">
        <f t="shared" si="638"/>
        <v>0</v>
      </c>
      <c r="BR220" s="56">
        <f>IF(AND($E220&lt;&gt;0,$F220&gt;0,YEAR($F220)&gt;=Preisindex!$A$6,YEAR(BM$4)&gt;=YEAR($F220),AND($K220&lt;&gt;"a",$K220&lt;&gt;"b",$K220&lt;&gt;"g",$K220&lt;&gt;"k")),1,IF(AND($E220&lt;&gt;0,$F220&gt;0,YEAR($F220)&gt;=Preisindex!$A$6,YEAR(BM$4)&gt;=YEAR($F220),$K220="a"),ROUND(VLOOKUP(BR$4,Preisindex,5,FALSE)/VLOOKUP(YEAR($F220),Preisindex,5,FALSE),2),IF(AND($E220&lt;&gt;0,$F220&gt;0,YEAR($F220)&gt;=Preisindex!$A$6,YEAR(BM$4)&gt;=YEAR($F220),$K220="b"),ROUND(VLOOKUP(BR$4,Preisindex,3,FALSE)/VLOOKUP(YEAR($F220),Preisindex,3,FALSE),2),IF(AND($E220&lt;&gt;0,$F220&gt;0,YEAR($F220)&gt;=Preisindex!$A$6,YEAR(BM$4)&gt;=YEAR($F220),$K220="g"),ROUND(VLOOKUP(BR$4,Preisindex,4,FALSE)/VLOOKUP(YEAR($F220),Preisindex,4,FALSE),2),IF(AND($E220&lt;&gt;0,$F220&gt;0,YEAR($F220)&gt;=Preisindex!$A$6,YEAR(BM$4)&gt;=YEAR($F220),$K220="k"),ROUND(VLOOKUP(BR$4,Preisindex,2,FALSE)/VLOOKUP(YEAR($F220),Preisindex,2,FALSE),2),0)))))</f>
        <v>0</v>
      </c>
      <c r="BS220" s="56">
        <f>IF(AND($E220&lt;&gt;0,$F220&gt;0,YEAR($F220)&lt;Preisindex!$A$6,YEAR(BM$4)&gt;=YEAR($F220),AND($K220&lt;&gt;"a",$K220&lt;&gt;"b",$K220&lt;&gt;"g",$K220&lt;&gt;"k")),1,IF(AND($E220&lt;&gt;0,$F220&gt;0,YEAR($F220)&lt;Preisindex!$A$6,YEAR(BM$4)&gt;=YEAR($F220),$K220="a"),ROUND(VLOOKUP(BR$4,Preisindex,5,FALSE)/VLOOKUP(Preisindex!$A$6,Preisindex,5,FALSE),2),IF(AND($E220&lt;&gt;0,$F220&gt;0,YEAR($F220)&lt;Preisindex!$A$6,YEAR(BM$4)&gt;=YEAR($F220),$K220="b"),ROUND(VLOOKUP(BR$4,Preisindex,3,FALSE)/VLOOKUP(Preisindex!$A$6,Preisindex,3,FALSE),2),IF(AND($E220&lt;&gt;0,$F220&gt;0,YEAR($F220)&lt;Preisindex!$A$6,YEAR(BM$4)&gt;=YEAR($F220),$K220="g"),ROUND(VLOOKUP(BR$4,Preisindex,4,FALSE)/VLOOKUP(Preisindex!$A$6,Preisindex,4,FALSE),2),IF(AND($E220&lt;&gt;0,$F220&gt;0,YEAR($F220)&lt;Preisindex!$A$6,YEAR(BM$4)&gt;=YEAR($F220),$K220="k"),ROUND(VLOOKUP(BR$4,Preisindex,2,FALSE)/VLOOKUP(Preisindex!$A$6,Preisindex,2,FALSE),2),0)))))</f>
        <v>0</v>
      </c>
      <c r="BT220" s="51">
        <f>IF(AND($E220&lt;&gt;0,$F220&gt;0,YEAR($F220)&lt;=BR$4,YEAR($F220)&gt;=Preisindex!$A$6),ROUND($E220*BR220,2),IF(AND($E220&lt;&gt;0,$F220&gt;0,YEAR($F220)&lt;=BR$4,YEAR($F220)&lt;Preisindex!$A$6),ROUND($E220*BS220,2),0))</f>
        <v>0</v>
      </c>
      <c r="BU220" s="53">
        <f t="shared" si="639"/>
        <v>0</v>
      </c>
      <c r="BV220" s="51">
        <f t="shared" si="708"/>
        <v>0</v>
      </c>
      <c r="BW220" s="51">
        <f t="shared" si="720"/>
        <v>0</v>
      </c>
      <c r="BX220" s="51">
        <f t="shared" si="640"/>
        <v>0</v>
      </c>
      <c r="BY220" s="51">
        <f t="shared" si="721"/>
        <v>0</v>
      </c>
      <c r="BZ220" s="51">
        <f t="shared" si="641"/>
        <v>0</v>
      </c>
      <c r="CA220" s="51">
        <f t="shared" si="722"/>
        <v>0</v>
      </c>
      <c r="CB220" s="51">
        <f t="shared" si="642"/>
        <v>0</v>
      </c>
      <c r="CC220" s="51">
        <f t="shared" si="723"/>
        <v>0</v>
      </c>
      <c r="CD220" s="51">
        <f t="shared" si="643"/>
        <v>0</v>
      </c>
      <c r="CE220" s="51">
        <f t="shared" si="724"/>
        <v>0</v>
      </c>
      <c r="CF220" s="51">
        <f t="shared" si="644"/>
        <v>0</v>
      </c>
      <c r="CG220" s="54">
        <f t="shared" si="645"/>
        <v>0</v>
      </c>
      <c r="CH220" s="55">
        <f t="shared" si="646"/>
        <v>0</v>
      </c>
      <c r="CI220" s="56">
        <f>IF(AND($E220&lt;&gt;0,$F220&gt;0,YEAR($F220)&gt;=Preisindex!$A$6,YEAR(CD$4)&gt;=YEAR($F220),AND($K220&lt;&gt;"a",$K220&lt;&gt;"b",$K220&lt;&gt;"g",$K220&lt;&gt;"k")),1,IF(AND($E220&lt;&gt;0,$F220&gt;0,YEAR($F220)&gt;=Preisindex!$A$6,YEAR(CD$4)&gt;=YEAR($F220),$K220="a"),ROUND(VLOOKUP(CI$4,Preisindex,5,FALSE)/VLOOKUP(YEAR($F220),Preisindex,5,FALSE),2),IF(AND($E220&lt;&gt;0,$F220&gt;0,YEAR($F220)&gt;=Preisindex!$A$6,YEAR(CD$4)&gt;=YEAR($F220),$K220="b"),ROUND(VLOOKUP(CI$4,Preisindex,3,FALSE)/VLOOKUP(YEAR($F220),Preisindex,3,FALSE),2),IF(AND($E220&lt;&gt;0,$F220&gt;0,YEAR($F220)&gt;=Preisindex!$A$6,YEAR(CD$4)&gt;=YEAR($F220),$K220="g"),ROUND(VLOOKUP(CI$4,Preisindex,4,FALSE)/VLOOKUP(YEAR($F220),Preisindex,4,FALSE),2),IF(AND($E220&lt;&gt;0,$F220&gt;0,YEAR($F220)&gt;=Preisindex!$A$6,YEAR(CD$4)&gt;=YEAR($F220),$K220="k"),ROUND(VLOOKUP(CI$4,Preisindex,2,FALSE)/VLOOKUP(YEAR($F220),Preisindex,2,FALSE),2),0)))))</f>
        <v>0</v>
      </c>
      <c r="CJ220" s="56">
        <f>IF(AND($E220&lt;&gt;0,$F220&gt;0,YEAR($F220)&lt;Preisindex!$A$6,YEAR(CD$4)&gt;=YEAR($F220),AND($K220&lt;&gt;"a",$K220&lt;&gt;"b",$K220&lt;&gt;"g",$K220&lt;&gt;"k")),1,IF(AND($E220&lt;&gt;0,$F220&gt;0,YEAR($F220)&lt;Preisindex!$A$6,YEAR(CD$4)&gt;=YEAR($F220),$K220="a"),ROUND(VLOOKUP(CI$4,Preisindex,5,FALSE)/VLOOKUP(Preisindex!$A$6,Preisindex,5,FALSE),2),IF(AND($E220&lt;&gt;0,$F220&gt;0,YEAR($F220)&lt;Preisindex!$A$6,YEAR(CD$4)&gt;=YEAR($F220),$K220="b"),ROUND(VLOOKUP(CI$4,Preisindex,3,FALSE)/VLOOKUP(Preisindex!$A$6,Preisindex,3,FALSE),2),IF(AND($E220&lt;&gt;0,$F220&gt;0,YEAR($F220)&lt;Preisindex!$A$6,YEAR(CD$4)&gt;=YEAR($F220),$K220="g"),ROUND(VLOOKUP(CI$4,Preisindex,4,FALSE)/VLOOKUP(Preisindex!$A$6,Preisindex,4,FALSE),2),IF(AND($E220&lt;&gt;0,$F220&gt;0,YEAR($F220)&lt;Preisindex!$A$6,YEAR(CD$4)&gt;=YEAR($F220),$K220="k"),ROUND(VLOOKUP(CI$4,Preisindex,2,FALSE)/VLOOKUP(Preisindex!$A$6,Preisindex,2,FALSE),2),0)))))</f>
        <v>0</v>
      </c>
      <c r="CK220" s="51">
        <f>IF(AND($E220&lt;&gt;0,$F220&gt;0,YEAR($F220)&lt;=CI$4,YEAR($F220)&gt;=Preisindex!$A$6),ROUND($E220*CI220,2),IF(AND($E220&lt;&gt;0,$F220&gt;0,YEAR($F220)&lt;=CI$4,YEAR($F220)&lt;Preisindex!$A$6),ROUND($E220*CJ220,2),0))</f>
        <v>0</v>
      </c>
      <c r="CL220" s="53">
        <f t="shared" si="647"/>
        <v>0</v>
      </c>
      <c r="CM220" s="51">
        <f t="shared" si="708"/>
        <v>0</v>
      </c>
      <c r="CN220" s="51">
        <f t="shared" si="725"/>
        <v>0</v>
      </c>
      <c r="CO220" s="51">
        <f t="shared" si="648"/>
        <v>0</v>
      </c>
      <c r="CP220" s="51">
        <f t="shared" si="726"/>
        <v>0</v>
      </c>
      <c r="CQ220" s="51">
        <f t="shared" si="649"/>
        <v>0</v>
      </c>
      <c r="CR220" s="51">
        <f t="shared" si="727"/>
        <v>0</v>
      </c>
      <c r="CS220" s="51">
        <f t="shared" si="650"/>
        <v>0</v>
      </c>
      <c r="CT220" s="51">
        <f t="shared" si="728"/>
        <v>0</v>
      </c>
      <c r="CU220" s="51">
        <f t="shared" si="651"/>
        <v>0</v>
      </c>
      <c r="CV220" s="51">
        <f t="shared" si="729"/>
        <v>0</v>
      </c>
      <c r="CW220" s="51">
        <f t="shared" si="652"/>
        <v>0</v>
      </c>
      <c r="CX220" s="54">
        <f t="shared" si="653"/>
        <v>0</v>
      </c>
      <c r="CY220" s="55">
        <f t="shared" si="654"/>
        <v>0</v>
      </c>
      <c r="CZ220" s="56">
        <f>IF(AND($E220&lt;&gt;0,$F220&gt;0,YEAR($F220)&gt;=Preisindex!$A$6,YEAR(CU$4)&gt;=YEAR($F220),AND($K220&lt;&gt;"a",$K220&lt;&gt;"b",$K220&lt;&gt;"g",$K220&lt;&gt;"k")),1,IF(AND($E220&lt;&gt;0,$F220&gt;0,YEAR($F220)&gt;=Preisindex!$A$6,YEAR(CU$4)&gt;=YEAR($F220),$K220="a"),ROUND(VLOOKUP(CZ$4,Preisindex,5,FALSE)/VLOOKUP(YEAR($F220),Preisindex,5,FALSE),2),IF(AND($E220&lt;&gt;0,$F220&gt;0,YEAR($F220)&gt;=Preisindex!$A$6,YEAR(CU$4)&gt;=YEAR($F220),$K220="b"),ROUND(VLOOKUP(CZ$4,Preisindex,3,FALSE)/VLOOKUP(YEAR($F220),Preisindex,3,FALSE),2),IF(AND($E220&lt;&gt;0,$F220&gt;0,YEAR($F220)&gt;=Preisindex!$A$6,YEAR(CU$4)&gt;=YEAR($F220),$K220="g"),ROUND(VLOOKUP(CZ$4,Preisindex,4,FALSE)/VLOOKUP(YEAR($F220),Preisindex,4,FALSE),2),IF(AND($E220&lt;&gt;0,$F220&gt;0,YEAR($F220)&gt;=Preisindex!$A$6,YEAR(CU$4)&gt;=YEAR($F220),$K220="k"),ROUND(VLOOKUP(CZ$4,Preisindex,2,FALSE)/VLOOKUP(YEAR($F220),Preisindex,2,FALSE),2),0)))))</f>
        <v>0</v>
      </c>
      <c r="DA220" s="56">
        <f>IF(AND($E220&lt;&gt;0,$F220&gt;0,YEAR($F220)&lt;Preisindex!$A$6,YEAR(CU$4)&gt;=YEAR($F220),AND($K220&lt;&gt;"a",$K220&lt;&gt;"b",$K220&lt;&gt;"g",$K220&lt;&gt;"k")),1,IF(AND($E220&lt;&gt;0,$F220&gt;0,YEAR($F220)&lt;Preisindex!$A$6,YEAR(CU$4)&gt;=YEAR($F220),$K220="a"),ROUND(VLOOKUP(CZ$4,Preisindex,5,FALSE)/VLOOKUP(Preisindex!$A$6,Preisindex,5,FALSE),2),IF(AND($E220&lt;&gt;0,$F220&gt;0,YEAR($F220)&lt;Preisindex!$A$6,YEAR(CU$4)&gt;=YEAR($F220),$K220="b"),ROUND(VLOOKUP(CZ$4,Preisindex,3,FALSE)/VLOOKUP(Preisindex!$A$6,Preisindex,3,FALSE),2),IF(AND($E220&lt;&gt;0,$F220&gt;0,YEAR($F220)&lt;Preisindex!$A$6,YEAR(CU$4)&gt;=YEAR($F220),$K220="g"),ROUND(VLOOKUP(CZ$4,Preisindex,4,FALSE)/VLOOKUP(Preisindex!$A$6,Preisindex,4,FALSE),2),IF(AND($E220&lt;&gt;0,$F220&gt;0,YEAR($F220)&lt;Preisindex!$A$6,YEAR(CU$4)&gt;=YEAR($F220),$K220="k"),ROUND(VLOOKUP(CZ$4,Preisindex,2,FALSE)/VLOOKUP(Preisindex!$A$6,Preisindex,2,FALSE),2),0)))))</f>
        <v>0</v>
      </c>
      <c r="DB220" s="51">
        <f>IF(AND($E220&lt;&gt;0,$F220&gt;0,YEAR($F220)&lt;=CZ$4,YEAR($F220)&gt;=Preisindex!$A$6),ROUND($E220*CZ220,2),IF(AND($E220&lt;&gt;0,$F220&gt;0,YEAR($F220)&lt;=CZ$4,YEAR($F220)&lt;Preisindex!$A$6),ROUND($E220*DA220,2),0))</f>
        <v>0</v>
      </c>
      <c r="DC220" s="53">
        <f t="shared" si="655"/>
        <v>0</v>
      </c>
      <c r="DD220" s="51">
        <f t="shared" si="709"/>
        <v>0</v>
      </c>
      <c r="DE220" s="51">
        <f t="shared" si="730"/>
        <v>0</v>
      </c>
      <c r="DF220" s="51">
        <f t="shared" si="657"/>
        <v>0</v>
      </c>
      <c r="DG220" s="51">
        <f t="shared" si="731"/>
        <v>0</v>
      </c>
      <c r="DH220" s="51">
        <f t="shared" si="658"/>
        <v>0</v>
      </c>
      <c r="DI220" s="51">
        <f t="shared" si="732"/>
        <v>0</v>
      </c>
      <c r="DJ220" s="51">
        <f t="shared" si="659"/>
        <v>0</v>
      </c>
      <c r="DK220" s="51">
        <f t="shared" si="733"/>
        <v>0</v>
      </c>
      <c r="DL220" s="51">
        <f t="shared" si="660"/>
        <v>0</v>
      </c>
      <c r="DM220" s="51">
        <f t="shared" si="734"/>
        <v>0</v>
      </c>
      <c r="DN220" s="51">
        <f t="shared" si="661"/>
        <v>0</v>
      </c>
      <c r="DO220" s="54">
        <f t="shared" si="662"/>
        <v>0</v>
      </c>
      <c r="DP220" s="55">
        <f t="shared" si="663"/>
        <v>0</v>
      </c>
      <c r="DQ220" s="56">
        <f>IF(AND($E220&lt;&gt;0,$F220&gt;0,YEAR($F220)&gt;=Preisindex!$A$6,YEAR(DL$4)&gt;=YEAR($F220),AND($K220&lt;&gt;"a",$K220&lt;&gt;"b",$K220&lt;&gt;"g",$K220&lt;&gt;"k")),1,IF(AND($E220&lt;&gt;0,$F220&gt;0,YEAR($F220)&gt;=Preisindex!$A$6,YEAR(DL$4)&gt;=YEAR($F220),$K220="a"),ROUND(VLOOKUP(DQ$4,Preisindex,5,FALSE)/VLOOKUP(YEAR($F220),Preisindex,5,FALSE),2),IF(AND($E220&lt;&gt;0,$F220&gt;0,YEAR($F220)&gt;=Preisindex!$A$6,YEAR(DL$4)&gt;=YEAR($F220),$K220="b"),ROUND(VLOOKUP(DQ$4,Preisindex,3,FALSE)/VLOOKUP(YEAR($F220),Preisindex,3,FALSE),2),IF(AND($E220&lt;&gt;0,$F220&gt;0,YEAR($F220)&gt;=Preisindex!$A$6,YEAR(DL$4)&gt;=YEAR($F220),$K220="g"),ROUND(VLOOKUP(DQ$4,Preisindex,4,FALSE)/VLOOKUP(YEAR($F220),Preisindex,4,FALSE),2),IF(AND($E220&lt;&gt;0,$F220&gt;0,YEAR($F220)&gt;=Preisindex!$A$6,YEAR(DL$4)&gt;=YEAR($F220),$K220="k"),ROUND(VLOOKUP(DQ$4,Preisindex,2,FALSE)/VLOOKUP(YEAR($F220),Preisindex,2,FALSE),2),0)))))</f>
        <v>0</v>
      </c>
      <c r="DR220" s="56">
        <f>IF(AND($E220&lt;&gt;0,$F220&gt;0,YEAR($F220)&lt;Preisindex!$A$6,YEAR(DL$4)&gt;=YEAR($F220),AND($K220&lt;&gt;"a",$K220&lt;&gt;"b",$K220&lt;&gt;"g",$K220&lt;&gt;"k")),1,IF(AND($E220&lt;&gt;0,$F220&gt;0,YEAR($F220)&lt;Preisindex!$A$6,YEAR(DL$4)&gt;=YEAR($F220),$K220="a"),ROUND(VLOOKUP(DQ$4,Preisindex,5,FALSE)/VLOOKUP(Preisindex!$A$6,Preisindex,5,FALSE),2),IF(AND($E220&lt;&gt;0,$F220&gt;0,YEAR($F220)&lt;Preisindex!$A$6,YEAR(DL$4)&gt;=YEAR($F220),$K220="b"),ROUND(VLOOKUP(DQ$4,Preisindex,3,FALSE)/VLOOKUP(Preisindex!$A$6,Preisindex,3,FALSE),2),IF(AND($E220&lt;&gt;0,$F220&gt;0,YEAR($F220)&lt;Preisindex!$A$6,YEAR(DL$4)&gt;=YEAR($F220),$K220="g"),ROUND(VLOOKUP(DQ$4,Preisindex,4,FALSE)/VLOOKUP(Preisindex!$A$6,Preisindex,4,FALSE),2),IF(AND($E220&lt;&gt;0,$F220&gt;0,YEAR($F220)&lt;Preisindex!$A$6,YEAR(DL$4)&gt;=YEAR($F220),$K220="k"),ROUND(VLOOKUP(DQ$4,Preisindex,2,FALSE)/VLOOKUP(Preisindex!$A$6,Preisindex,2,FALSE),2),0)))))</f>
        <v>0</v>
      </c>
      <c r="DS220" s="51">
        <f>IF(AND($E220&lt;&gt;0,$F220&gt;0,YEAR($F220)&lt;=DQ$4,YEAR($F220)&gt;=Preisindex!$A$6),ROUND($E220*DQ220,2),IF(AND($E220&lt;&gt;0,$F220&gt;0,YEAR($F220)&lt;=DQ$4,YEAR($F220)&lt;Preisindex!$A$6),ROUND($E220*DR220,2),0))</f>
        <v>0</v>
      </c>
      <c r="DT220" s="53">
        <f t="shared" si="664"/>
        <v>0</v>
      </c>
      <c r="DU220" s="51">
        <f t="shared" si="709"/>
        <v>0</v>
      </c>
      <c r="DV220" s="51">
        <f t="shared" si="735"/>
        <v>0</v>
      </c>
      <c r="DW220" s="51">
        <f t="shared" si="665"/>
        <v>0</v>
      </c>
      <c r="DX220" s="51">
        <f t="shared" si="736"/>
        <v>0</v>
      </c>
      <c r="DY220" s="51">
        <f t="shared" si="666"/>
        <v>0</v>
      </c>
      <c r="DZ220" s="51">
        <f t="shared" si="737"/>
        <v>0</v>
      </c>
      <c r="EA220" s="51">
        <f t="shared" si="667"/>
        <v>0</v>
      </c>
      <c r="EB220" s="51">
        <f t="shared" si="738"/>
        <v>0</v>
      </c>
      <c r="EC220" s="51">
        <f t="shared" si="668"/>
        <v>0</v>
      </c>
      <c r="ED220" s="51">
        <f t="shared" si="739"/>
        <v>0</v>
      </c>
      <c r="EE220" s="51">
        <f t="shared" si="669"/>
        <v>0</v>
      </c>
      <c r="EF220" s="54">
        <f t="shared" si="670"/>
        <v>0</v>
      </c>
      <c r="EG220" s="55">
        <f t="shared" si="671"/>
        <v>0</v>
      </c>
      <c r="EH220" s="56">
        <f>IF(AND($E220&lt;&gt;0,$F220&gt;0,YEAR($F220)&gt;=Preisindex!$A$6,YEAR(EC$4)&gt;=YEAR($F220),AND($K220&lt;&gt;"a",$K220&lt;&gt;"b",$K220&lt;&gt;"g",$K220&lt;&gt;"k")),1,IF(AND($E220&lt;&gt;0,$F220&gt;0,YEAR($F220)&gt;=Preisindex!$A$6,YEAR(EC$4)&gt;=YEAR($F220),$K220="a"),ROUND(VLOOKUP(EH$4,Preisindex,5,FALSE)/VLOOKUP(YEAR($F220),Preisindex,5,FALSE),2),IF(AND($E220&lt;&gt;0,$F220&gt;0,YEAR($F220)&gt;=Preisindex!$A$6,YEAR(EC$4)&gt;=YEAR($F220),$K220="b"),ROUND(VLOOKUP(EH$4,Preisindex,3,FALSE)/VLOOKUP(YEAR($F220),Preisindex,3,FALSE),2),IF(AND($E220&lt;&gt;0,$F220&gt;0,YEAR($F220)&gt;=Preisindex!$A$6,YEAR(EC$4)&gt;=YEAR($F220),$K220="g"),ROUND(VLOOKUP(EH$4,Preisindex,4,FALSE)/VLOOKUP(YEAR($F220),Preisindex,4,FALSE),2),IF(AND($E220&lt;&gt;0,$F220&gt;0,YEAR($F220)&gt;=Preisindex!$A$6,YEAR(EC$4)&gt;=YEAR($F220),$K220="k"),ROUND(VLOOKUP(EH$4,Preisindex,2,FALSE)/VLOOKUP(YEAR($F220),Preisindex,2,FALSE),2),0)))))</f>
        <v>0</v>
      </c>
      <c r="EI220" s="56">
        <f>IF(AND($E220&lt;&gt;0,$F220&gt;0,YEAR($F220)&lt;Preisindex!$A$6,YEAR(EC$4)&gt;=YEAR($F220),AND($K220&lt;&gt;"a",$K220&lt;&gt;"b",$K220&lt;&gt;"g",$K220&lt;&gt;"k")),1,IF(AND($E220&lt;&gt;0,$F220&gt;0,YEAR($F220)&lt;Preisindex!$A$6,YEAR(EC$4)&gt;=YEAR($F220),$K220="a"),ROUND(VLOOKUP(EH$4,Preisindex,5,FALSE)/VLOOKUP(Preisindex!$A$6,Preisindex,5,FALSE),2),IF(AND($E220&lt;&gt;0,$F220&gt;0,YEAR($F220)&lt;Preisindex!$A$6,YEAR(EC$4)&gt;=YEAR($F220),$K220="b"),ROUND(VLOOKUP(EH$4,Preisindex,3,FALSE)/VLOOKUP(Preisindex!$A$6,Preisindex,3,FALSE),2),IF(AND($E220&lt;&gt;0,$F220&gt;0,YEAR($F220)&lt;Preisindex!$A$6,YEAR(EC$4)&gt;=YEAR($F220),$K220="g"),ROUND(VLOOKUP(EH$4,Preisindex,4,FALSE)/VLOOKUP(Preisindex!$A$6,Preisindex,4,FALSE),2),IF(AND($E220&lt;&gt;0,$F220&gt;0,YEAR($F220)&lt;Preisindex!$A$6,YEAR(EC$4)&gt;=YEAR($F220),$K220="k"),ROUND(VLOOKUP(EH$4,Preisindex,2,FALSE)/VLOOKUP(Preisindex!$A$6,Preisindex,2,FALSE),2),0)))))</f>
        <v>0</v>
      </c>
      <c r="EJ220" s="51">
        <f>IF(AND($E220&lt;&gt;0,$F220&gt;0,YEAR($F220)&lt;=EH$4,YEAR($F220)&gt;=Preisindex!$A$6),ROUND($E220*EH220,2),IF(AND($E220&lt;&gt;0,$F220&gt;0,YEAR($F220)&lt;=EH$4,YEAR($F220)&lt;Preisindex!$A$6),ROUND($E220*EI220,2),0))</f>
        <v>0</v>
      </c>
      <c r="EK220" s="53">
        <f t="shared" si="672"/>
        <v>0</v>
      </c>
      <c r="EL220" s="51">
        <f t="shared" si="709"/>
        <v>0</v>
      </c>
      <c r="EM220" s="51">
        <f t="shared" si="740"/>
        <v>0</v>
      </c>
      <c r="EN220" s="51">
        <f t="shared" si="673"/>
        <v>0</v>
      </c>
      <c r="EO220" s="51">
        <f t="shared" si="741"/>
        <v>0</v>
      </c>
      <c r="EP220" s="51">
        <f t="shared" si="674"/>
        <v>0</v>
      </c>
      <c r="EQ220" s="51">
        <f t="shared" si="742"/>
        <v>0</v>
      </c>
      <c r="ER220" s="51">
        <f t="shared" si="675"/>
        <v>0</v>
      </c>
      <c r="ES220" s="51">
        <f t="shared" si="743"/>
        <v>0</v>
      </c>
      <c r="ET220" s="51">
        <f t="shared" si="676"/>
        <v>0</v>
      </c>
      <c r="EU220" s="51">
        <f t="shared" si="744"/>
        <v>0</v>
      </c>
      <c r="EV220" s="51">
        <f t="shared" si="677"/>
        <v>0</v>
      </c>
      <c r="EW220" s="54">
        <f t="shared" si="678"/>
        <v>0</v>
      </c>
      <c r="EX220" s="55">
        <f t="shared" si="679"/>
        <v>0</v>
      </c>
      <c r="EY220" s="56">
        <f>IF(AND($E220&lt;&gt;0,$F220&gt;0,YEAR($F220)&gt;=Preisindex!$A$6,YEAR(ET$4)&gt;=YEAR($F220),AND($K220&lt;&gt;"a",$K220&lt;&gt;"b",$K220&lt;&gt;"g",$K220&lt;&gt;"k")),1,IF(AND($E220&lt;&gt;0,$F220&gt;0,YEAR($F220)&gt;=Preisindex!$A$6,YEAR(ET$4)&gt;=YEAR($F220),$K220="a"),ROUND(VLOOKUP(EY$4,Preisindex,5,FALSE)/VLOOKUP(YEAR($F220),Preisindex,5,FALSE),2),IF(AND($E220&lt;&gt;0,$F220&gt;0,YEAR($F220)&gt;=Preisindex!$A$6,YEAR(ET$4)&gt;=YEAR($F220),$K220="b"),ROUND(VLOOKUP(EY$4,Preisindex,3,FALSE)/VLOOKUP(YEAR($F220),Preisindex,3,FALSE),2),IF(AND($E220&lt;&gt;0,$F220&gt;0,YEAR($F220)&gt;=Preisindex!$A$6,YEAR(ET$4)&gt;=YEAR($F220),$K220="g"),ROUND(VLOOKUP(EY$4,Preisindex,4,FALSE)/VLOOKUP(YEAR($F220),Preisindex,4,FALSE),2),IF(AND($E220&lt;&gt;0,$F220&gt;0,YEAR($F220)&gt;=Preisindex!$A$6,YEAR(ET$4)&gt;=YEAR($F220),$K220="k"),ROUND(VLOOKUP(EY$4,Preisindex,2,FALSE)/VLOOKUP(YEAR($F220),Preisindex,2,FALSE),2),0)))))</f>
        <v>0</v>
      </c>
      <c r="EZ220" s="56">
        <f>IF(AND($E220&lt;&gt;0,$F220&gt;0,YEAR($F220)&lt;Preisindex!$A$6,YEAR(ET$4)&gt;=YEAR($F220),AND($K220&lt;&gt;"a",$K220&lt;&gt;"b",$K220&lt;&gt;"g",$K220&lt;&gt;"k")),1,IF(AND($E220&lt;&gt;0,$F220&gt;0,YEAR($F220)&lt;Preisindex!$A$6,YEAR(ET$4)&gt;=YEAR($F220),$K220="a"),ROUND(VLOOKUP(EY$4,Preisindex,5,FALSE)/VLOOKUP(Preisindex!$A$6,Preisindex,5,FALSE),2),IF(AND($E220&lt;&gt;0,$F220&gt;0,YEAR($F220)&lt;Preisindex!$A$6,YEAR(ET$4)&gt;=YEAR($F220),$K220="b"),ROUND(VLOOKUP(EY$4,Preisindex,3,FALSE)/VLOOKUP(Preisindex!$A$6,Preisindex,3,FALSE),2),IF(AND($E220&lt;&gt;0,$F220&gt;0,YEAR($F220)&lt;Preisindex!$A$6,YEAR(ET$4)&gt;=YEAR($F220),$K220="g"),ROUND(VLOOKUP(EY$4,Preisindex,4,FALSE)/VLOOKUP(Preisindex!$A$6,Preisindex,4,FALSE),2),IF(AND($E220&lt;&gt;0,$F220&gt;0,YEAR($F220)&lt;Preisindex!$A$6,YEAR(ET$4)&gt;=YEAR($F220),$K220="k"),ROUND(VLOOKUP(EY$4,Preisindex,2,FALSE)/VLOOKUP(Preisindex!$A$6,Preisindex,2,FALSE),2),0)))))</f>
        <v>0</v>
      </c>
      <c r="FA220" s="51">
        <f>IF(AND($E220&lt;&gt;0,$F220&gt;0,YEAR($F220)&lt;=EY$4,YEAR($F220)&gt;=Preisindex!$A$6),ROUND($E220*EY220,2),IF(AND($E220&lt;&gt;0,$F220&gt;0,YEAR($F220)&lt;=EY$4,YEAR($F220)&lt;Preisindex!$A$6),ROUND($E220*EZ220,2),0))</f>
        <v>0</v>
      </c>
      <c r="FB220" s="53">
        <f t="shared" si="680"/>
        <v>0</v>
      </c>
      <c r="FC220" s="51">
        <f t="shared" si="709"/>
        <v>0</v>
      </c>
      <c r="FD220" s="51">
        <f t="shared" si="745"/>
        <v>0</v>
      </c>
      <c r="FE220" s="51">
        <f t="shared" si="681"/>
        <v>0</v>
      </c>
      <c r="FF220" s="51">
        <f t="shared" si="746"/>
        <v>0</v>
      </c>
      <c r="FG220" s="51">
        <f t="shared" si="682"/>
        <v>0</v>
      </c>
      <c r="FH220" s="51">
        <f t="shared" si="747"/>
        <v>0</v>
      </c>
      <c r="FI220" s="51">
        <f t="shared" si="683"/>
        <v>0</v>
      </c>
      <c r="FJ220" s="51">
        <f t="shared" si="748"/>
        <v>0</v>
      </c>
      <c r="FK220" s="51">
        <f t="shared" si="684"/>
        <v>0</v>
      </c>
      <c r="FL220" s="51">
        <f t="shared" si="749"/>
        <v>0</v>
      </c>
      <c r="FM220" s="51">
        <f t="shared" si="685"/>
        <v>0</v>
      </c>
      <c r="FN220" s="54">
        <f t="shared" si="686"/>
        <v>0</v>
      </c>
      <c r="FO220" s="55">
        <f t="shared" si="687"/>
        <v>0</v>
      </c>
      <c r="FP220" s="56">
        <f>IF(AND($E220&lt;&gt;0,$F220&gt;0,YEAR($F220)&gt;=Preisindex!$A$6,YEAR(FK$4)&gt;=YEAR($F220),AND($K220&lt;&gt;"a",$K220&lt;&gt;"b",$K220&lt;&gt;"g",$K220&lt;&gt;"k")),1,IF(AND($E220&lt;&gt;0,$F220&gt;0,YEAR($F220)&gt;=Preisindex!$A$6,YEAR(FK$4)&gt;=YEAR($F220),$K220="a"),ROUND(VLOOKUP(FP$4,Preisindex,5,FALSE)/VLOOKUP(YEAR($F220),Preisindex,5,FALSE),2),IF(AND($E220&lt;&gt;0,$F220&gt;0,YEAR($F220)&gt;=Preisindex!$A$6,YEAR(FK$4)&gt;=YEAR($F220),$K220="b"),ROUND(VLOOKUP(FP$4,Preisindex,3,FALSE)/VLOOKUP(YEAR($F220),Preisindex,3,FALSE),2),IF(AND($E220&lt;&gt;0,$F220&gt;0,YEAR($F220)&gt;=Preisindex!$A$6,YEAR(FK$4)&gt;=YEAR($F220),$K220="g"),ROUND(VLOOKUP(FP$4,Preisindex,4,FALSE)/VLOOKUP(YEAR($F220),Preisindex,4,FALSE),2),IF(AND($E220&lt;&gt;0,$F220&gt;0,YEAR($F220)&gt;=Preisindex!$A$6,YEAR(FK$4)&gt;=YEAR($F220),$K220="k"),ROUND(VLOOKUP(FP$4,Preisindex,2,FALSE)/VLOOKUP(YEAR($F220),Preisindex,2,FALSE),2),0)))))</f>
        <v>0</v>
      </c>
      <c r="FQ220" s="56">
        <f>IF(AND($E220&lt;&gt;0,$F220&gt;0,YEAR($F220)&lt;Preisindex!$A$6,YEAR(FK$4)&gt;=YEAR($F220),AND($K220&lt;&gt;"a",$K220&lt;&gt;"b",$K220&lt;&gt;"g",$K220&lt;&gt;"k")),1,IF(AND($E220&lt;&gt;0,$F220&gt;0,YEAR($F220)&lt;Preisindex!$A$6,YEAR(FK$4)&gt;=YEAR($F220),$K220="a"),ROUND(VLOOKUP(FP$4,Preisindex,5,FALSE)/VLOOKUP(Preisindex!$A$6,Preisindex,5,FALSE),2),IF(AND($E220&lt;&gt;0,$F220&gt;0,YEAR($F220)&lt;Preisindex!$A$6,YEAR(FK$4)&gt;=YEAR($F220),$K220="b"),ROUND(VLOOKUP(FP$4,Preisindex,3,FALSE)/VLOOKUP(Preisindex!$A$6,Preisindex,3,FALSE),2),IF(AND($E220&lt;&gt;0,$F220&gt;0,YEAR($F220)&lt;Preisindex!$A$6,YEAR(FK$4)&gt;=YEAR($F220),$K220="g"),ROUND(VLOOKUP(FP$4,Preisindex,4,FALSE)/VLOOKUP(Preisindex!$A$6,Preisindex,4,FALSE),2),IF(AND($E220&lt;&gt;0,$F220&gt;0,YEAR($F220)&lt;Preisindex!$A$6,YEAR(FK$4)&gt;=YEAR($F220),$K220="k"),ROUND(VLOOKUP(FP$4,Preisindex,2,FALSE)/VLOOKUP(Preisindex!$A$6,Preisindex,2,FALSE),2),0)))))</f>
        <v>0</v>
      </c>
      <c r="FR220" s="51">
        <f>IF(AND($E220&lt;&gt;0,$F220&gt;0,YEAR($F220)&lt;=FP$4,YEAR($F220)&gt;=Preisindex!$A$6),ROUND($E220*FP220,2),IF(AND($E220&lt;&gt;0,$F220&gt;0,YEAR($F220)&lt;=FP$4,YEAR($F220)&lt;Preisindex!$A$6),ROUND($E220*FQ220,2),0))</f>
        <v>0</v>
      </c>
      <c r="FS220" s="53">
        <f t="shared" si="688"/>
        <v>0</v>
      </c>
    </row>
    <row r="221" spans="1:175" x14ac:dyDescent="0.3">
      <c r="A221" s="93"/>
      <c r="B221" s="623"/>
      <c r="C221" s="623"/>
      <c r="D221" s="617"/>
      <c r="E221" s="99"/>
      <c r="F221" s="97"/>
      <c r="G221" s="98"/>
      <c r="H221" s="620"/>
      <c r="I221" s="621"/>
      <c r="J221" s="194"/>
      <c r="K221" s="630"/>
      <c r="L221" s="49">
        <f t="shared" si="689"/>
        <v>0</v>
      </c>
      <c r="M221" s="50">
        <f t="shared" si="690"/>
        <v>0</v>
      </c>
      <c r="N221" s="51">
        <f t="shared" si="691"/>
        <v>0</v>
      </c>
      <c r="O221" s="51"/>
      <c r="P221" s="51">
        <f t="shared" si="692"/>
        <v>0</v>
      </c>
      <c r="Q221" s="52"/>
      <c r="R221" s="52"/>
      <c r="S221" s="52"/>
      <c r="T221" s="52"/>
      <c r="U221" s="52"/>
      <c r="V221" s="53">
        <f t="shared" si="693"/>
        <v>0</v>
      </c>
      <c r="W221" s="51">
        <f t="shared" si="694"/>
        <v>0</v>
      </c>
      <c r="X221" s="51">
        <f t="shared" si="695"/>
        <v>0</v>
      </c>
      <c r="Y221" s="51">
        <f t="shared" si="696"/>
        <v>0</v>
      </c>
      <c r="Z221" s="51">
        <f t="shared" si="697"/>
        <v>0</v>
      </c>
      <c r="AA221" s="51">
        <f t="shared" si="698"/>
        <v>0</v>
      </c>
      <c r="AB221" s="51">
        <f t="shared" si="699"/>
        <v>0</v>
      </c>
      <c r="AC221" s="51">
        <f t="shared" si="700"/>
        <v>0</v>
      </c>
      <c r="AD221" s="51">
        <f t="shared" si="701"/>
        <v>0</v>
      </c>
      <c r="AE221" s="51">
        <f t="shared" si="702"/>
        <v>0</v>
      </c>
      <c r="AF221" s="51">
        <f t="shared" si="703"/>
        <v>0</v>
      </c>
      <c r="AG221" s="51">
        <f t="shared" si="704"/>
        <v>0</v>
      </c>
      <c r="AH221" s="54">
        <f t="shared" si="705"/>
        <v>0</v>
      </c>
      <c r="AI221" s="55">
        <f t="shared" si="706"/>
        <v>0</v>
      </c>
      <c r="AJ221" s="56">
        <f>IF(AND($E221&lt;&gt;0,$F221&gt;0,YEAR($F221)&gt;=Preisindex!$A$6,YEAR(AE$4)&gt;=YEAR($F221),AND($K221&lt;&gt;"a",$K221&lt;&gt;"b",$K221&lt;&gt;"g",$K221&lt;&gt;"k")),1,IF(AND($E221&lt;&gt;0,$F221&gt;0,YEAR($F221)&gt;=Preisindex!$A$6,YEAR(AE$4)&gt;=YEAR($F221),$K221="a"),ROUND(VLOOKUP(AJ$4,Preisindex,5,FALSE)/VLOOKUP(YEAR($F221),Preisindex,5,FALSE),2),IF(AND($E221&lt;&gt;0,$F221&gt;0,YEAR($F221)&gt;=Preisindex!$A$6,YEAR(AE$4)&gt;=YEAR($F221),$K221="b"),ROUND(VLOOKUP(AJ$4,Preisindex,3,FALSE)/VLOOKUP(YEAR($F221),Preisindex,3,FALSE),2),IF(AND($E221&lt;&gt;0,$F221&gt;0,YEAR($F221)&gt;=Preisindex!$A$6,YEAR(AE$4)&gt;=YEAR($F221),$K221="g"),ROUND(VLOOKUP(AJ$4,Preisindex,4,FALSE)/VLOOKUP(YEAR($F221),Preisindex,4,FALSE),2),IF(AND($E221&lt;&gt;0,$F221&gt;0,YEAR($F221)&gt;=Preisindex!$A$6,YEAR(AE$4)&gt;=YEAR($F221),$K221="k"),ROUND(VLOOKUP(AJ$4,Preisindex,2,FALSE)/VLOOKUP(YEAR($F221),Preisindex,2,FALSE),2),0)))))</f>
        <v>0</v>
      </c>
      <c r="AK221" s="56">
        <f>IF(AND($E221&lt;&gt;0,$F221&gt;0,YEAR($F221)&lt;Preisindex!$A$6,YEAR(AE$4)&gt;=YEAR($F221),AND($K221&lt;&gt;"a",$K221&lt;&gt;"b",$K221&lt;&gt;"g",$K221&lt;&gt;"k")),1,IF(AND($E221&lt;&gt;0,$F221&gt;0,YEAR($F221)&lt;Preisindex!$A$6,YEAR(AE$4)&gt;=YEAR($F221),$K221="a"),ROUND(VLOOKUP(AJ$4,Preisindex,5,FALSE)/VLOOKUP(Preisindex!$A$6,Preisindex,5,FALSE),2),IF(AND($E221&lt;&gt;0,$F221&gt;0,YEAR($F221)&lt;Preisindex!$A$6,YEAR(AE$4)&gt;=YEAR($F221),$K221="b"),ROUND(VLOOKUP(AJ$4,Preisindex,3,FALSE)/VLOOKUP(Preisindex!$A$6,Preisindex,3,FALSE),2),IF(AND($E221&lt;&gt;0,$F221&gt;0,YEAR($F221)&lt;Preisindex!$A$6,YEAR(AE$4)&gt;=YEAR($F221),$K221="g"),ROUND(VLOOKUP(AJ$4,Preisindex,4,FALSE)/VLOOKUP(Preisindex!$A$6,Preisindex,4,FALSE),2),IF(AND($E221&lt;&gt;0,$F221&gt;0,YEAR($F221)&lt;Preisindex!$A$6,YEAR(AE$4)&gt;=YEAR($F221),$K221="k"),ROUND(VLOOKUP(AJ$4,Preisindex,2,FALSE)/VLOOKUP(Preisindex!$A$6,Preisindex,2,FALSE),2),0)))))</f>
        <v>0</v>
      </c>
      <c r="AL221" s="51">
        <f>IF(AND($E221&lt;&gt;0,$F221&gt;0,YEAR($F221)&lt;=AJ$4,YEAR($F221)&gt;=Preisindex!$A$6),ROUND($E221*AJ221,2),IF(AND($E221&lt;&gt;0,$F221&gt;0,YEAR($F221)&lt;=AJ$4,YEAR($F221)&lt;Preisindex!$A$6),ROUND($E221*AK221,2),0))</f>
        <v>0</v>
      </c>
      <c r="AM221" s="53">
        <f t="shared" si="707"/>
        <v>0</v>
      </c>
      <c r="AN221" s="51">
        <f t="shared" si="708"/>
        <v>0</v>
      </c>
      <c r="AO221" s="51">
        <f t="shared" si="710"/>
        <v>0</v>
      </c>
      <c r="AP221" s="51">
        <f t="shared" si="624"/>
        <v>0</v>
      </c>
      <c r="AQ221" s="51">
        <f t="shared" si="711"/>
        <v>0</v>
      </c>
      <c r="AR221" s="51">
        <f t="shared" si="625"/>
        <v>0</v>
      </c>
      <c r="AS221" s="51">
        <f t="shared" si="712"/>
        <v>0</v>
      </c>
      <c r="AT221" s="51">
        <f t="shared" si="626"/>
        <v>0</v>
      </c>
      <c r="AU221" s="51">
        <f t="shared" si="713"/>
        <v>0</v>
      </c>
      <c r="AV221" s="51">
        <f t="shared" si="627"/>
        <v>0</v>
      </c>
      <c r="AW221" s="51">
        <f t="shared" si="714"/>
        <v>0</v>
      </c>
      <c r="AX221" s="51">
        <f t="shared" si="628"/>
        <v>0</v>
      </c>
      <c r="AY221" s="54">
        <f t="shared" si="629"/>
        <v>0</v>
      </c>
      <c r="AZ221" s="55">
        <f t="shared" si="630"/>
        <v>0</v>
      </c>
      <c r="BA221" s="56">
        <f>IF(AND($E221&lt;&gt;0,$F221&gt;0,YEAR($F221)&gt;=Preisindex!$A$6,YEAR(AV$4)&gt;=YEAR($F221),AND($K221&lt;&gt;"a",$K221&lt;&gt;"b",$K221&lt;&gt;"g",$K221&lt;&gt;"k")),1,IF(AND($E221&lt;&gt;0,$F221&gt;0,YEAR($F221)&gt;=Preisindex!$A$6,YEAR(AV$4)&gt;=YEAR($F221),$K221="a"),ROUND(VLOOKUP(BA$4,Preisindex,5,FALSE)/VLOOKUP(YEAR($F221),Preisindex,5,FALSE),2),IF(AND($E221&lt;&gt;0,$F221&gt;0,YEAR($F221)&gt;=Preisindex!$A$6,YEAR(AV$4)&gt;=YEAR($F221),$K221="b"),ROUND(VLOOKUP(BA$4,Preisindex,3,FALSE)/VLOOKUP(YEAR($F221),Preisindex,3,FALSE),2),IF(AND($E221&lt;&gt;0,$F221&gt;0,YEAR($F221)&gt;=Preisindex!$A$6,YEAR(AV$4)&gt;=YEAR($F221),$K221="g"),ROUND(VLOOKUP(BA$4,Preisindex,4,FALSE)/VLOOKUP(YEAR($F221),Preisindex,4,FALSE),2),IF(AND($E221&lt;&gt;0,$F221&gt;0,YEAR($F221)&gt;=Preisindex!$A$6,YEAR(AV$4)&gt;=YEAR($F221),$K221="k"),ROUND(VLOOKUP(BA$4,Preisindex,2,FALSE)/VLOOKUP(YEAR($F221),Preisindex,2,FALSE),2),0)))))</f>
        <v>0</v>
      </c>
      <c r="BB221" s="56">
        <f>IF(AND($E221&lt;&gt;0,$F221&gt;0,YEAR($F221)&lt;Preisindex!$A$6,YEAR(AV$4)&gt;=YEAR($F221),AND($K221&lt;&gt;"a",$K221&lt;&gt;"b",$K221&lt;&gt;"g",$K221&lt;&gt;"k")),1,IF(AND($E221&lt;&gt;0,$F221&gt;0,YEAR($F221)&lt;Preisindex!$A$6,YEAR(AV$4)&gt;=YEAR($F221),$K221="a"),ROUND(VLOOKUP(BA$4,Preisindex,5,FALSE)/VLOOKUP(Preisindex!$A$6,Preisindex,5,FALSE),2),IF(AND($E221&lt;&gt;0,$F221&gt;0,YEAR($F221)&lt;Preisindex!$A$6,YEAR(AV$4)&gt;=YEAR($F221),$K221="b"),ROUND(VLOOKUP(BA$4,Preisindex,3,FALSE)/VLOOKUP(Preisindex!$A$6,Preisindex,3,FALSE),2),IF(AND($E221&lt;&gt;0,$F221&gt;0,YEAR($F221)&lt;Preisindex!$A$6,YEAR(AV$4)&gt;=YEAR($F221),$K221="g"),ROUND(VLOOKUP(BA$4,Preisindex,4,FALSE)/VLOOKUP(Preisindex!$A$6,Preisindex,4,FALSE),2),IF(AND($E221&lt;&gt;0,$F221&gt;0,YEAR($F221)&lt;Preisindex!$A$6,YEAR(AV$4)&gt;=YEAR($F221),$K221="k"),ROUND(VLOOKUP(BA$4,Preisindex,2,FALSE)/VLOOKUP(Preisindex!$A$6,Preisindex,2,FALSE),2),0)))))</f>
        <v>0</v>
      </c>
      <c r="BC221" s="51">
        <f>IF(AND($E221&lt;&gt;0,$F221&gt;0,YEAR($F221)&lt;=BA$4,YEAR($F221)&gt;=Preisindex!$A$6),ROUND($E221*BA221,2),IF(AND($E221&lt;&gt;0,$F221&gt;0,YEAR($F221)&lt;=BA$4,YEAR($F221)&lt;Preisindex!$A$6),ROUND($E221*BB221,2),0))</f>
        <v>0</v>
      </c>
      <c r="BD221" s="53">
        <f t="shared" si="631"/>
        <v>0</v>
      </c>
      <c r="BE221" s="51">
        <f t="shared" si="708"/>
        <v>0</v>
      </c>
      <c r="BF221" s="51">
        <f t="shared" si="715"/>
        <v>0</v>
      </c>
      <c r="BG221" s="51">
        <f t="shared" si="632"/>
        <v>0</v>
      </c>
      <c r="BH221" s="51">
        <f t="shared" si="716"/>
        <v>0</v>
      </c>
      <c r="BI221" s="51">
        <f t="shared" si="633"/>
        <v>0</v>
      </c>
      <c r="BJ221" s="51">
        <f t="shared" si="717"/>
        <v>0</v>
      </c>
      <c r="BK221" s="51">
        <f t="shared" si="634"/>
        <v>0</v>
      </c>
      <c r="BL221" s="51">
        <f t="shared" si="718"/>
        <v>0</v>
      </c>
      <c r="BM221" s="51">
        <f t="shared" si="635"/>
        <v>0</v>
      </c>
      <c r="BN221" s="51">
        <f t="shared" si="719"/>
        <v>0</v>
      </c>
      <c r="BO221" s="51">
        <f t="shared" si="636"/>
        <v>0</v>
      </c>
      <c r="BP221" s="54">
        <f t="shared" si="637"/>
        <v>0</v>
      </c>
      <c r="BQ221" s="55">
        <f t="shared" si="638"/>
        <v>0</v>
      </c>
      <c r="BR221" s="56">
        <f>IF(AND($E221&lt;&gt;0,$F221&gt;0,YEAR($F221)&gt;=Preisindex!$A$6,YEAR(BM$4)&gt;=YEAR($F221),AND($K221&lt;&gt;"a",$K221&lt;&gt;"b",$K221&lt;&gt;"g",$K221&lt;&gt;"k")),1,IF(AND($E221&lt;&gt;0,$F221&gt;0,YEAR($F221)&gt;=Preisindex!$A$6,YEAR(BM$4)&gt;=YEAR($F221),$K221="a"),ROUND(VLOOKUP(BR$4,Preisindex,5,FALSE)/VLOOKUP(YEAR($F221),Preisindex,5,FALSE),2),IF(AND($E221&lt;&gt;0,$F221&gt;0,YEAR($F221)&gt;=Preisindex!$A$6,YEAR(BM$4)&gt;=YEAR($F221),$K221="b"),ROUND(VLOOKUP(BR$4,Preisindex,3,FALSE)/VLOOKUP(YEAR($F221),Preisindex,3,FALSE),2),IF(AND($E221&lt;&gt;0,$F221&gt;0,YEAR($F221)&gt;=Preisindex!$A$6,YEAR(BM$4)&gt;=YEAR($F221),$K221="g"),ROUND(VLOOKUP(BR$4,Preisindex,4,FALSE)/VLOOKUP(YEAR($F221),Preisindex,4,FALSE),2),IF(AND($E221&lt;&gt;0,$F221&gt;0,YEAR($F221)&gt;=Preisindex!$A$6,YEAR(BM$4)&gt;=YEAR($F221),$K221="k"),ROUND(VLOOKUP(BR$4,Preisindex,2,FALSE)/VLOOKUP(YEAR($F221),Preisindex,2,FALSE),2),0)))))</f>
        <v>0</v>
      </c>
      <c r="BS221" s="56">
        <f>IF(AND($E221&lt;&gt;0,$F221&gt;0,YEAR($F221)&lt;Preisindex!$A$6,YEAR(BM$4)&gt;=YEAR($F221),AND($K221&lt;&gt;"a",$K221&lt;&gt;"b",$K221&lt;&gt;"g",$K221&lt;&gt;"k")),1,IF(AND($E221&lt;&gt;0,$F221&gt;0,YEAR($F221)&lt;Preisindex!$A$6,YEAR(BM$4)&gt;=YEAR($F221),$K221="a"),ROUND(VLOOKUP(BR$4,Preisindex,5,FALSE)/VLOOKUP(Preisindex!$A$6,Preisindex,5,FALSE),2),IF(AND($E221&lt;&gt;0,$F221&gt;0,YEAR($F221)&lt;Preisindex!$A$6,YEAR(BM$4)&gt;=YEAR($F221),$K221="b"),ROUND(VLOOKUP(BR$4,Preisindex,3,FALSE)/VLOOKUP(Preisindex!$A$6,Preisindex,3,FALSE),2),IF(AND($E221&lt;&gt;0,$F221&gt;0,YEAR($F221)&lt;Preisindex!$A$6,YEAR(BM$4)&gt;=YEAR($F221),$K221="g"),ROUND(VLOOKUP(BR$4,Preisindex,4,FALSE)/VLOOKUP(Preisindex!$A$6,Preisindex,4,FALSE),2),IF(AND($E221&lt;&gt;0,$F221&gt;0,YEAR($F221)&lt;Preisindex!$A$6,YEAR(BM$4)&gt;=YEAR($F221),$K221="k"),ROUND(VLOOKUP(BR$4,Preisindex,2,FALSE)/VLOOKUP(Preisindex!$A$6,Preisindex,2,FALSE),2),0)))))</f>
        <v>0</v>
      </c>
      <c r="BT221" s="51">
        <f>IF(AND($E221&lt;&gt;0,$F221&gt;0,YEAR($F221)&lt;=BR$4,YEAR($F221)&gt;=Preisindex!$A$6),ROUND($E221*BR221,2),IF(AND($E221&lt;&gt;0,$F221&gt;0,YEAR($F221)&lt;=BR$4,YEAR($F221)&lt;Preisindex!$A$6),ROUND($E221*BS221,2),0))</f>
        <v>0</v>
      </c>
      <c r="BU221" s="53">
        <f t="shared" si="639"/>
        <v>0</v>
      </c>
      <c r="BV221" s="51">
        <f t="shared" si="708"/>
        <v>0</v>
      </c>
      <c r="BW221" s="51">
        <f t="shared" si="720"/>
        <v>0</v>
      </c>
      <c r="BX221" s="51">
        <f t="shared" si="640"/>
        <v>0</v>
      </c>
      <c r="BY221" s="51">
        <f t="shared" si="721"/>
        <v>0</v>
      </c>
      <c r="BZ221" s="51">
        <f t="shared" si="641"/>
        <v>0</v>
      </c>
      <c r="CA221" s="51">
        <f t="shared" si="722"/>
        <v>0</v>
      </c>
      <c r="CB221" s="51">
        <f t="shared" si="642"/>
        <v>0</v>
      </c>
      <c r="CC221" s="51">
        <f t="shared" si="723"/>
        <v>0</v>
      </c>
      <c r="CD221" s="51">
        <f t="shared" si="643"/>
        <v>0</v>
      </c>
      <c r="CE221" s="51">
        <f t="shared" si="724"/>
        <v>0</v>
      </c>
      <c r="CF221" s="51">
        <f t="shared" si="644"/>
        <v>0</v>
      </c>
      <c r="CG221" s="54">
        <f t="shared" si="645"/>
        <v>0</v>
      </c>
      <c r="CH221" s="55">
        <f t="shared" si="646"/>
        <v>0</v>
      </c>
      <c r="CI221" s="56">
        <f>IF(AND($E221&lt;&gt;0,$F221&gt;0,YEAR($F221)&gt;=Preisindex!$A$6,YEAR(CD$4)&gt;=YEAR($F221),AND($K221&lt;&gt;"a",$K221&lt;&gt;"b",$K221&lt;&gt;"g",$K221&lt;&gt;"k")),1,IF(AND($E221&lt;&gt;0,$F221&gt;0,YEAR($F221)&gt;=Preisindex!$A$6,YEAR(CD$4)&gt;=YEAR($F221),$K221="a"),ROUND(VLOOKUP(CI$4,Preisindex,5,FALSE)/VLOOKUP(YEAR($F221),Preisindex,5,FALSE),2),IF(AND($E221&lt;&gt;0,$F221&gt;0,YEAR($F221)&gt;=Preisindex!$A$6,YEAR(CD$4)&gt;=YEAR($F221),$K221="b"),ROUND(VLOOKUP(CI$4,Preisindex,3,FALSE)/VLOOKUP(YEAR($F221),Preisindex,3,FALSE),2),IF(AND($E221&lt;&gt;0,$F221&gt;0,YEAR($F221)&gt;=Preisindex!$A$6,YEAR(CD$4)&gt;=YEAR($F221),$K221="g"),ROUND(VLOOKUP(CI$4,Preisindex,4,FALSE)/VLOOKUP(YEAR($F221),Preisindex,4,FALSE),2),IF(AND($E221&lt;&gt;0,$F221&gt;0,YEAR($F221)&gt;=Preisindex!$A$6,YEAR(CD$4)&gt;=YEAR($F221),$K221="k"),ROUND(VLOOKUP(CI$4,Preisindex,2,FALSE)/VLOOKUP(YEAR($F221),Preisindex,2,FALSE),2),0)))))</f>
        <v>0</v>
      </c>
      <c r="CJ221" s="56">
        <f>IF(AND($E221&lt;&gt;0,$F221&gt;0,YEAR($F221)&lt;Preisindex!$A$6,YEAR(CD$4)&gt;=YEAR($F221),AND($K221&lt;&gt;"a",$K221&lt;&gt;"b",$K221&lt;&gt;"g",$K221&lt;&gt;"k")),1,IF(AND($E221&lt;&gt;0,$F221&gt;0,YEAR($F221)&lt;Preisindex!$A$6,YEAR(CD$4)&gt;=YEAR($F221),$K221="a"),ROUND(VLOOKUP(CI$4,Preisindex,5,FALSE)/VLOOKUP(Preisindex!$A$6,Preisindex,5,FALSE),2),IF(AND($E221&lt;&gt;0,$F221&gt;0,YEAR($F221)&lt;Preisindex!$A$6,YEAR(CD$4)&gt;=YEAR($F221),$K221="b"),ROUND(VLOOKUP(CI$4,Preisindex,3,FALSE)/VLOOKUP(Preisindex!$A$6,Preisindex,3,FALSE),2),IF(AND($E221&lt;&gt;0,$F221&gt;0,YEAR($F221)&lt;Preisindex!$A$6,YEAR(CD$4)&gt;=YEAR($F221),$K221="g"),ROUND(VLOOKUP(CI$4,Preisindex,4,FALSE)/VLOOKUP(Preisindex!$A$6,Preisindex,4,FALSE),2),IF(AND($E221&lt;&gt;0,$F221&gt;0,YEAR($F221)&lt;Preisindex!$A$6,YEAR(CD$4)&gt;=YEAR($F221),$K221="k"),ROUND(VLOOKUP(CI$4,Preisindex,2,FALSE)/VLOOKUP(Preisindex!$A$6,Preisindex,2,FALSE),2),0)))))</f>
        <v>0</v>
      </c>
      <c r="CK221" s="51">
        <f>IF(AND($E221&lt;&gt;0,$F221&gt;0,YEAR($F221)&lt;=CI$4,YEAR($F221)&gt;=Preisindex!$A$6),ROUND($E221*CI221,2),IF(AND($E221&lt;&gt;0,$F221&gt;0,YEAR($F221)&lt;=CI$4,YEAR($F221)&lt;Preisindex!$A$6),ROUND($E221*CJ221,2),0))</f>
        <v>0</v>
      </c>
      <c r="CL221" s="53">
        <f t="shared" si="647"/>
        <v>0</v>
      </c>
      <c r="CM221" s="51">
        <f t="shared" si="708"/>
        <v>0</v>
      </c>
      <c r="CN221" s="51">
        <f t="shared" si="725"/>
        <v>0</v>
      </c>
      <c r="CO221" s="51">
        <f t="shared" si="648"/>
        <v>0</v>
      </c>
      <c r="CP221" s="51">
        <f t="shared" si="726"/>
        <v>0</v>
      </c>
      <c r="CQ221" s="51">
        <f t="shared" si="649"/>
        <v>0</v>
      </c>
      <c r="CR221" s="51">
        <f t="shared" si="727"/>
        <v>0</v>
      </c>
      <c r="CS221" s="51">
        <f t="shared" si="650"/>
        <v>0</v>
      </c>
      <c r="CT221" s="51">
        <f t="shared" si="728"/>
        <v>0</v>
      </c>
      <c r="CU221" s="51">
        <f t="shared" si="651"/>
        <v>0</v>
      </c>
      <c r="CV221" s="51">
        <f t="shared" si="729"/>
        <v>0</v>
      </c>
      <c r="CW221" s="51">
        <f t="shared" si="652"/>
        <v>0</v>
      </c>
      <c r="CX221" s="54">
        <f t="shared" si="653"/>
        <v>0</v>
      </c>
      <c r="CY221" s="55">
        <f t="shared" si="654"/>
        <v>0</v>
      </c>
      <c r="CZ221" s="56">
        <f>IF(AND($E221&lt;&gt;0,$F221&gt;0,YEAR($F221)&gt;=Preisindex!$A$6,YEAR(CU$4)&gt;=YEAR($F221),AND($K221&lt;&gt;"a",$K221&lt;&gt;"b",$K221&lt;&gt;"g",$K221&lt;&gt;"k")),1,IF(AND($E221&lt;&gt;0,$F221&gt;0,YEAR($F221)&gt;=Preisindex!$A$6,YEAR(CU$4)&gt;=YEAR($F221),$K221="a"),ROUND(VLOOKUP(CZ$4,Preisindex,5,FALSE)/VLOOKUP(YEAR($F221),Preisindex,5,FALSE),2),IF(AND($E221&lt;&gt;0,$F221&gt;0,YEAR($F221)&gt;=Preisindex!$A$6,YEAR(CU$4)&gt;=YEAR($F221),$K221="b"),ROUND(VLOOKUP(CZ$4,Preisindex,3,FALSE)/VLOOKUP(YEAR($F221),Preisindex,3,FALSE),2),IF(AND($E221&lt;&gt;0,$F221&gt;0,YEAR($F221)&gt;=Preisindex!$A$6,YEAR(CU$4)&gt;=YEAR($F221),$K221="g"),ROUND(VLOOKUP(CZ$4,Preisindex,4,FALSE)/VLOOKUP(YEAR($F221),Preisindex,4,FALSE),2),IF(AND($E221&lt;&gt;0,$F221&gt;0,YEAR($F221)&gt;=Preisindex!$A$6,YEAR(CU$4)&gt;=YEAR($F221),$K221="k"),ROUND(VLOOKUP(CZ$4,Preisindex,2,FALSE)/VLOOKUP(YEAR($F221),Preisindex,2,FALSE),2),0)))))</f>
        <v>0</v>
      </c>
      <c r="DA221" s="56">
        <f>IF(AND($E221&lt;&gt;0,$F221&gt;0,YEAR($F221)&lt;Preisindex!$A$6,YEAR(CU$4)&gt;=YEAR($F221),AND($K221&lt;&gt;"a",$K221&lt;&gt;"b",$K221&lt;&gt;"g",$K221&lt;&gt;"k")),1,IF(AND($E221&lt;&gt;0,$F221&gt;0,YEAR($F221)&lt;Preisindex!$A$6,YEAR(CU$4)&gt;=YEAR($F221),$K221="a"),ROUND(VLOOKUP(CZ$4,Preisindex,5,FALSE)/VLOOKUP(Preisindex!$A$6,Preisindex,5,FALSE),2),IF(AND($E221&lt;&gt;0,$F221&gt;0,YEAR($F221)&lt;Preisindex!$A$6,YEAR(CU$4)&gt;=YEAR($F221),$K221="b"),ROUND(VLOOKUP(CZ$4,Preisindex,3,FALSE)/VLOOKUP(Preisindex!$A$6,Preisindex,3,FALSE),2),IF(AND($E221&lt;&gt;0,$F221&gt;0,YEAR($F221)&lt;Preisindex!$A$6,YEAR(CU$4)&gt;=YEAR($F221),$K221="g"),ROUND(VLOOKUP(CZ$4,Preisindex,4,FALSE)/VLOOKUP(Preisindex!$A$6,Preisindex,4,FALSE),2),IF(AND($E221&lt;&gt;0,$F221&gt;0,YEAR($F221)&lt;Preisindex!$A$6,YEAR(CU$4)&gt;=YEAR($F221),$K221="k"),ROUND(VLOOKUP(CZ$4,Preisindex,2,FALSE)/VLOOKUP(Preisindex!$A$6,Preisindex,2,FALSE),2),0)))))</f>
        <v>0</v>
      </c>
      <c r="DB221" s="51">
        <f>IF(AND($E221&lt;&gt;0,$F221&gt;0,YEAR($F221)&lt;=CZ$4,YEAR($F221)&gt;=Preisindex!$A$6),ROUND($E221*CZ221,2),IF(AND($E221&lt;&gt;0,$F221&gt;0,YEAR($F221)&lt;=CZ$4,YEAR($F221)&lt;Preisindex!$A$6),ROUND($E221*DA221,2),0))</f>
        <v>0</v>
      </c>
      <c r="DC221" s="53">
        <f t="shared" si="655"/>
        <v>0</v>
      </c>
      <c r="DD221" s="51">
        <f t="shared" si="709"/>
        <v>0</v>
      </c>
      <c r="DE221" s="51">
        <f t="shared" si="730"/>
        <v>0</v>
      </c>
      <c r="DF221" s="51">
        <f t="shared" si="657"/>
        <v>0</v>
      </c>
      <c r="DG221" s="51">
        <f t="shared" si="731"/>
        <v>0</v>
      </c>
      <c r="DH221" s="51">
        <f t="shared" si="658"/>
        <v>0</v>
      </c>
      <c r="DI221" s="51">
        <f t="shared" si="732"/>
        <v>0</v>
      </c>
      <c r="DJ221" s="51">
        <f t="shared" si="659"/>
        <v>0</v>
      </c>
      <c r="DK221" s="51">
        <f t="shared" si="733"/>
        <v>0</v>
      </c>
      <c r="DL221" s="51">
        <f t="shared" si="660"/>
        <v>0</v>
      </c>
      <c r="DM221" s="51">
        <f t="shared" si="734"/>
        <v>0</v>
      </c>
      <c r="DN221" s="51">
        <f t="shared" si="661"/>
        <v>0</v>
      </c>
      <c r="DO221" s="54">
        <f t="shared" si="662"/>
        <v>0</v>
      </c>
      <c r="DP221" s="55">
        <f t="shared" si="663"/>
        <v>0</v>
      </c>
      <c r="DQ221" s="56">
        <f>IF(AND($E221&lt;&gt;0,$F221&gt;0,YEAR($F221)&gt;=Preisindex!$A$6,YEAR(DL$4)&gt;=YEAR($F221),AND($K221&lt;&gt;"a",$K221&lt;&gt;"b",$K221&lt;&gt;"g",$K221&lt;&gt;"k")),1,IF(AND($E221&lt;&gt;0,$F221&gt;0,YEAR($F221)&gt;=Preisindex!$A$6,YEAR(DL$4)&gt;=YEAR($F221),$K221="a"),ROUND(VLOOKUP(DQ$4,Preisindex,5,FALSE)/VLOOKUP(YEAR($F221),Preisindex,5,FALSE),2),IF(AND($E221&lt;&gt;0,$F221&gt;0,YEAR($F221)&gt;=Preisindex!$A$6,YEAR(DL$4)&gt;=YEAR($F221),$K221="b"),ROUND(VLOOKUP(DQ$4,Preisindex,3,FALSE)/VLOOKUP(YEAR($F221),Preisindex,3,FALSE),2),IF(AND($E221&lt;&gt;0,$F221&gt;0,YEAR($F221)&gt;=Preisindex!$A$6,YEAR(DL$4)&gt;=YEAR($F221),$K221="g"),ROUND(VLOOKUP(DQ$4,Preisindex,4,FALSE)/VLOOKUP(YEAR($F221),Preisindex,4,FALSE),2),IF(AND($E221&lt;&gt;0,$F221&gt;0,YEAR($F221)&gt;=Preisindex!$A$6,YEAR(DL$4)&gt;=YEAR($F221),$K221="k"),ROUND(VLOOKUP(DQ$4,Preisindex,2,FALSE)/VLOOKUP(YEAR($F221),Preisindex,2,FALSE),2),0)))))</f>
        <v>0</v>
      </c>
      <c r="DR221" s="56">
        <f>IF(AND($E221&lt;&gt;0,$F221&gt;0,YEAR($F221)&lt;Preisindex!$A$6,YEAR(DL$4)&gt;=YEAR($F221),AND($K221&lt;&gt;"a",$K221&lt;&gt;"b",$K221&lt;&gt;"g",$K221&lt;&gt;"k")),1,IF(AND($E221&lt;&gt;0,$F221&gt;0,YEAR($F221)&lt;Preisindex!$A$6,YEAR(DL$4)&gt;=YEAR($F221),$K221="a"),ROUND(VLOOKUP(DQ$4,Preisindex,5,FALSE)/VLOOKUP(Preisindex!$A$6,Preisindex,5,FALSE),2),IF(AND($E221&lt;&gt;0,$F221&gt;0,YEAR($F221)&lt;Preisindex!$A$6,YEAR(DL$4)&gt;=YEAR($F221),$K221="b"),ROUND(VLOOKUP(DQ$4,Preisindex,3,FALSE)/VLOOKUP(Preisindex!$A$6,Preisindex,3,FALSE),2),IF(AND($E221&lt;&gt;0,$F221&gt;0,YEAR($F221)&lt;Preisindex!$A$6,YEAR(DL$4)&gt;=YEAR($F221),$K221="g"),ROUND(VLOOKUP(DQ$4,Preisindex,4,FALSE)/VLOOKUP(Preisindex!$A$6,Preisindex,4,FALSE),2),IF(AND($E221&lt;&gt;0,$F221&gt;0,YEAR($F221)&lt;Preisindex!$A$6,YEAR(DL$4)&gt;=YEAR($F221),$K221="k"),ROUND(VLOOKUP(DQ$4,Preisindex,2,FALSE)/VLOOKUP(Preisindex!$A$6,Preisindex,2,FALSE),2),0)))))</f>
        <v>0</v>
      </c>
      <c r="DS221" s="51">
        <f>IF(AND($E221&lt;&gt;0,$F221&gt;0,YEAR($F221)&lt;=DQ$4,YEAR($F221)&gt;=Preisindex!$A$6),ROUND($E221*DQ221,2),IF(AND($E221&lt;&gt;0,$F221&gt;0,YEAR($F221)&lt;=DQ$4,YEAR($F221)&lt;Preisindex!$A$6),ROUND($E221*DR221,2),0))</f>
        <v>0</v>
      </c>
      <c r="DT221" s="53">
        <f t="shared" si="664"/>
        <v>0</v>
      </c>
      <c r="DU221" s="51">
        <f t="shared" si="709"/>
        <v>0</v>
      </c>
      <c r="DV221" s="51">
        <f t="shared" si="735"/>
        <v>0</v>
      </c>
      <c r="DW221" s="51">
        <f t="shared" si="665"/>
        <v>0</v>
      </c>
      <c r="DX221" s="51">
        <f t="shared" si="736"/>
        <v>0</v>
      </c>
      <c r="DY221" s="51">
        <f t="shared" si="666"/>
        <v>0</v>
      </c>
      <c r="DZ221" s="51">
        <f t="shared" si="737"/>
        <v>0</v>
      </c>
      <c r="EA221" s="51">
        <f t="shared" si="667"/>
        <v>0</v>
      </c>
      <c r="EB221" s="51">
        <f t="shared" si="738"/>
        <v>0</v>
      </c>
      <c r="EC221" s="51">
        <f t="shared" si="668"/>
        <v>0</v>
      </c>
      <c r="ED221" s="51">
        <f t="shared" si="739"/>
        <v>0</v>
      </c>
      <c r="EE221" s="51">
        <f t="shared" si="669"/>
        <v>0</v>
      </c>
      <c r="EF221" s="54">
        <f t="shared" si="670"/>
        <v>0</v>
      </c>
      <c r="EG221" s="55">
        <f t="shared" si="671"/>
        <v>0</v>
      </c>
      <c r="EH221" s="56">
        <f>IF(AND($E221&lt;&gt;0,$F221&gt;0,YEAR($F221)&gt;=Preisindex!$A$6,YEAR(EC$4)&gt;=YEAR($F221),AND($K221&lt;&gt;"a",$K221&lt;&gt;"b",$K221&lt;&gt;"g",$K221&lt;&gt;"k")),1,IF(AND($E221&lt;&gt;0,$F221&gt;0,YEAR($F221)&gt;=Preisindex!$A$6,YEAR(EC$4)&gt;=YEAR($F221),$K221="a"),ROUND(VLOOKUP(EH$4,Preisindex,5,FALSE)/VLOOKUP(YEAR($F221),Preisindex,5,FALSE),2),IF(AND($E221&lt;&gt;0,$F221&gt;0,YEAR($F221)&gt;=Preisindex!$A$6,YEAR(EC$4)&gt;=YEAR($F221),$K221="b"),ROUND(VLOOKUP(EH$4,Preisindex,3,FALSE)/VLOOKUP(YEAR($F221),Preisindex,3,FALSE),2),IF(AND($E221&lt;&gt;0,$F221&gt;0,YEAR($F221)&gt;=Preisindex!$A$6,YEAR(EC$4)&gt;=YEAR($F221),$K221="g"),ROUND(VLOOKUP(EH$4,Preisindex,4,FALSE)/VLOOKUP(YEAR($F221),Preisindex,4,FALSE),2),IF(AND($E221&lt;&gt;0,$F221&gt;0,YEAR($F221)&gt;=Preisindex!$A$6,YEAR(EC$4)&gt;=YEAR($F221),$K221="k"),ROUND(VLOOKUP(EH$4,Preisindex,2,FALSE)/VLOOKUP(YEAR($F221),Preisindex,2,FALSE),2),0)))))</f>
        <v>0</v>
      </c>
      <c r="EI221" s="56">
        <f>IF(AND($E221&lt;&gt;0,$F221&gt;0,YEAR($F221)&lt;Preisindex!$A$6,YEAR(EC$4)&gt;=YEAR($F221),AND($K221&lt;&gt;"a",$K221&lt;&gt;"b",$K221&lt;&gt;"g",$K221&lt;&gt;"k")),1,IF(AND($E221&lt;&gt;0,$F221&gt;0,YEAR($F221)&lt;Preisindex!$A$6,YEAR(EC$4)&gt;=YEAR($F221),$K221="a"),ROUND(VLOOKUP(EH$4,Preisindex,5,FALSE)/VLOOKUP(Preisindex!$A$6,Preisindex,5,FALSE),2),IF(AND($E221&lt;&gt;0,$F221&gt;0,YEAR($F221)&lt;Preisindex!$A$6,YEAR(EC$4)&gt;=YEAR($F221),$K221="b"),ROUND(VLOOKUP(EH$4,Preisindex,3,FALSE)/VLOOKUP(Preisindex!$A$6,Preisindex,3,FALSE),2),IF(AND($E221&lt;&gt;0,$F221&gt;0,YEAR($F221)&lt;Preisindex!$A$6,YEAR(EC$4)&gt;=YEAR($F221),$K221="g"),ROUND(VLOOKUP(EH$4,Preisindex,4,FALSE)/VLOOKUP(Preisindex!$A$6,Preisindex,4,FALSE),2),IF(AND($E221&lt;&gt;0,$F221&gt;0,YEAR($F221)&lt;Preisindex!$A$6,YEAR(EC$4)&gt;=YEAR($F221),$K221="k"),ROUND(VLOOKUP(EH$4,Preisindex,2,FALSE)/VLOOKUP(Preisindex!$A$6,Preisindex,2,FALSE),2),0)))))</f>
        <v>0</v>
      </c>
      <c r="EJ221" s="51">
        <f>IF(AND($E221&lt;&gt;0,$F221&gt;0,YEAR($F221)&lt;=EH$4,YEAR($F221)&gt;=Preisindex!$A$6),ROUND($E221*EH221,2),IF(AND($E221&lt;&gt;0,$F221&gt;0,YEAR($F221)&lt;=EH$4,YEAR($F221)&lt;Preisindex!$A$6),ROUND($E221*EI221,2),0))</f>
        <v>0</v>
      </c>
      <c r="EK221" s="53">
        <f t="shared" si="672"/>
        <v>0</v>
      </c>
      <c r="EL221" s="51">
        <f t="shared" si="709"/>
        <v>0</v>
      </c>
      <c r="EM221" s="51">
        <f t="shared" si="740"/>
        <v>0</v>
      </c>
      <c r="EN221" s="51">
        <f t="shared" si="673"/>
        <v>0</v>
      </c>
      <c r="EO221" s="51">
        <f t="shared" si="741"/>
        <v>0</v>
      </c>
      <c r="EP221" s="51">
        <f t="shared" si="674"/>
        <v>0</v>
      </c>
      <c r="EQ221" s="51">
        <f t="shared" si="742"/>
        <v>0</v>
      </c>
      <c r="ER221" s="51">
        <f t="shared" si="675"/>
        <v>0</v>
      </c>
      <c r="ES221" s="51">
        <f t="shared" si="743"/>
        <v>0</v>
      </c>
      <c r="ET221" s="51">
        <f t="shared" si="676"/>
        <v>0</v>
      </c>
      <c r="EU221" s="51">
        <f t="shared" si="744"/>
        <v>0</v>
      </c>
      <c r="EV221" s="51">
        <f t="shared" si="677"/>
        <v>0</v>
      </c>
      <c r="EW221" s="54">
        <f t="shared" si="678"/>
        <v>0</v>
      </c>
      <c r="EX221" s="55">
        <f t="shared" si="679"/>
        <v>0</v>
      </c>
      <c r="EY221" s="56">
        <f>IF(AND($E221&lt;&gt;0,$F221&gt;0,YEAR($F221)&gt;=Preisindex!$A$6,YEAR(ET$4)&gt;=YEAR($F221),AND($K221&lt;&gt;"a",$K221&lt;&gt;"b",$K221&lt;&gt;"g",$K221&lt;&gt;"k")),1,IF(AND($E221&lt;&gt;0,$F221&gt;0,YEAR($F221)&gt;=Preisindex!$A$6,YEAR(ET$4)&gt;=YEAR($F221),$K221="a"),ROUND(VLOOKUP(EY$4,Preisindex,5,FALSE)/VLOOKUP(YEAR($F221),Preisindex,5,FALSE),2),IF(AND($E221&lt;&gt;0,$F221&gt;0,YEAR($F221)&gt;=Preisindex!$A$6,YEAR(ET$4)&gt;=YEAR($F221),$K221="b"),ROUND(VLOOKUP(EY$4,Preisindex,3,FALSE)/VLOOKUP(YEAR($F221),Preisindex,3,FALSE),2),IF(AND($E221&lt;&gt;0,$F221&gt;0,YEAR($F221)&gt;=Preisindex!$A$6,YEAR(ET$4)&gt;=YEAR($F221),$K221="g"),ROUND(VLOOKUP(EY$4,Preisindex,4,FALSE)/VLOOKUP(YEAR($F221),Preisindex,4,FALSE),2),IF(AND($E221&lt;&gt;0,$F221&gt;0,YEAR($F221)&gt;=Preisindex!$A$6,YEAR(ET$4)&gt;=YEAR($F221),$K221="k"),ROUND(VLOOKUP(EY$4,Preisindex,2,FALSE)/VLOOKUP(YEAR($F221),Preisindex,2,FALSE),2),0)))))</f>
        <v>0</v>
      </c>
      <c r="EZ221" s="56">
        <f>IF(AND($E221&lt;&gt;0,$F221&gt;0,YEAR($F221)&lt;Preisindex!$A$6,YEAR(ET$4)&gt;=YEAR($F221),AND($K221&lt;&gt;"a",$K221&lt;&gt;"b",$K221&lt;&gt;"g",$K221&lt;&gt;"k")),1,IF(AND($E221&lt;&gt;0,$F221&gt;0,YEAR($F221)&lt;Preisindex!$A$6,YEAR(ET$4)&gt;=YEAR($F221),$K221="a"),ROUND(VLOOKUP(EY$4,Preisindex,5,FALSE)/VLOOKUP(Preisindex!$A$6,Preisindex,5,FALSE),2),IF(AND($E221&lt;&gt;0,$F221&gt;0,YEAR($F221)&lt;Preisindex!$A$6,YEAR(ET$4)&gt;=YEAR($F221),$K221="b"),ROUND(VLOOKUP(EY$4,Preisindex,3,FALSE)/VLOOKUP(Preisindex!$A$6,Preisindex,3,FALSE),2),IF(AND($E221&lt;&gt;0,$F221&gt;0,YEAR($F221)&lt;Preisindex!$A$6,YEAR(ET$4)&gt;=YEAR($F221),$K221="g"),ROUND(VLOOKUP(EY$4,Preisindex,4,FALSE)/VLOOKUP(Preisindex!$A$6,Preisindex,4,FALSE),2),IF(AND($E221&lt;&gt;0,$F221&gt;0,YEAR($F221)&lt;Preisindex!$A$6,YEAR(ET$4)&gt;=YEAR($F221),$K221="k"),ROUND(VLOOKUP(EY$4,Preisindex,2,FALSE)/VLOOKUP(Preisindex!$A$6,Preisindex,2,FALSE),2),0)))))</f>
        <v>0</v>
      </c>
      <c r="FA221" s="51">
        <f>IF(AND($E221&lt;&gt;0,$F221&gt;0,YEAR($F221)&lt;=EY$4,YEAR($F221)&gt;=Preisindex!$A$6),ROUND($E221*EY221,2),IF(AND($E221&lt;&gt;0,$F221&gt;0,YEAR($F221)&lt;=EY$4,YEAR($F221)&lt;Preisindex!$A$6),ROUND($E221*EZ221,2),0))</f>
        <v>0</v>
      </c>
      <c r="FB221" s="53">
        <f t="shared" si="680"/>
        <v>0</v>
      </c>
      <c r="FC221" s="51">
        <f t="shared" si="709"/>
        <v>0</v>
      </c>
      <c r="FD221" s="51">
        <f t="shared" si="745"/>
        <v>0</v>
      </c>
      <c r="FE221" s="51">
        <f t="shared" si="681"/>
        <v>0</v>
      </c>
      <c r="FF221" s="51">
        <f t="shared" si="746"/>
        <v>0</v>
      </c>
      <c r="FG221" s="51">
        <f t="shared" si="682"/>
        <v>0</v>
      </c>
      <c r="FH221" s="51">
        <f t="shared" si="747"/>
        <v>0</v>
      </c>
      <c r="FI221" s="51">
        <f t="shared" si="683"/>
        <v>0</v>
      </c>
      <c r="FJ221" s="51">
        <f t="shared" si="748"/>
        <v>0</v>
      </c>
      <c r="FK221" s="51">
        <f t="shared" si="684"/>
        <v>0</v>
      </c>
      <c r="FL221" s="51">
        <f t="shared" si="749"/>
        <v>0</v>
      </c>
      <c r="FM221" s="51">
        <f t="shared" si="685"/>
        <v>0</v>
      </c>
      <c r="FN221" s="54">
        <f t="shared" si="686"/>
        <v>0</v>
      </c>
      <c r="FO221" s="55">
        <f t="shared" si="687"/>
        <v>0</v>
      </c>
      <c r="FP221" s="56">
        <f>IF(AND($E221&lt;&gt;0,$F221&gt;0,YEAR($F221)&gt;=Preisindex!$A$6,YEAR(FK$4)&gt;=YEAR($F221),AND($K221&lt;&gt;"a",$K221&lt;&gt;"b",$K221&lt;&gt;"g",$K221&lt;&gt;"k")),1,IF(AND($E221&lt;&gt;0,$F221&gt;0,YEAR($F221)&gt;=Preisindex!$A$6,YEAR(FK$4)&gt;=YEAR($F221),$K221="a"),ROUND(VLOOKUP(FP$4,Preisindex,5,FALSE)/VLOOKUP(YEAR($F221),Preisindex,5,FALSE),2),IF(AND($E221&lt;&gt;0,$F221&gt;0,YEAR($F221)&gt;=Preisindex!$A$6,YEAR(FK$4)&gt;=YEAR($F221),$K221="b"),ROUND(VLOOKUP(FP$4,Preisindex,3,FALSE)/VLOOKUP(YEAR($F221),Preisindex,3,FALSE),2),IF(AND($E221&lt;&gt;0,$F221&gt;0,YEAR($F221)&gt;=Preisindex!$A$6,YEAR(FK$4)&gt;=YEAR($F221),$K221="g"),ROUND(VLOOKUP(FP$4,Preisindex,4,FALSE)/VLOOKUP(YEAR($F221),Preisindex,4,FALSE),2),IF(AND($E221&lt;&gt;0,$F221&gt;0,YEAR($F221)&gt;=Preisindex!$A$6,YEAR(FK$4)&gt;=YEAR($F221),$K221="k"),ROUND(VLOOKUP(FP$4,Preisindex,2,FALSE)/VLOOKUP(YEAR($F221),Preisindex,2,FALSE),2),0)))))</f>
        <v>0</v>
      </c>
      <c r="FQ221" s="56">
        <f>IF(AND($E221&lt;&gt;0,$F221&gt;0,YEAR($F221)&lt;Preisindex!$A$6,YEAR(FK$4)&gt;=YEAR($F221),AND($K221&lt;&gt;"a",$K221&lt;&gt;"b",$K221&lt;&gt;"g",$K221&lt;&gt;"k")),1,IF(AND($E221&lt;&gt;0,$F221&gt;0,YEAR($F221)&lt;Preisindex!$A$6,YEAR(FK$4)&gt;=YEAR($F221),$K221="a"),ROUND(VLOOKUP(FP$4,Preisindex,5,FALSE)/VLOOKUP(Preisindex!$A$6,Preisindex,5,FALSE),2),IF(AND($E221&lt;&gt;0,$F221&gt;0,YEAR($F221)&lt;Preisindex!$A$6,YEAR(FK$4)&gt;=YEAR($F221),$K221="b"),ROUND(VLOOKUP(FP$4,Preisindex,3,FALSE)/VLOOKUP(Preisindex!$A$6,Preisindex,3,FALSE),2),IF(AND($E221&lt;&gt;0,$F221&gt;0,YEAR($F221)&lt;Preisindex!$A$6,YEAR(FK$4)&gt;=YEAR($F221),$K221="g"),ROUND(VLOOKUP(FP$4,Preisindex,4,FALSE)/VLOOKUP(Preisindex!$A$6,Preisindex,4,FALSE),2),IF(AND($E221&lt;&gt;0,$F221&gt;0,YEAR($F221)&lt;Preisindex!$A$6,YEAR(FK$4)&gt;=YEAR($F221),$K221="k"),ROUND(VLOOKUP(FP$4,Preisindex,2,FALSE)/VLOOKUP(Preisindex!$A$6,Preisindex,2,FALSE),2),0)))))</f>
        <v>0</v>
      </c>
      <c r="FR221" s="51">
        <f>IF(AND($E221&lt;&gt;0,$F221&gt;0,YEAR($F221)&lt;=FP$4,YEAR($F221)&gt;=Preisindex!$A$6),ROUND($E221*FP221,2),IF(AND($E221&lt;&gt;0,$F221&gt;0,YEAR($F221)&lt;=FP$4,YEAR($F221)&lt;Preisindex!$A$6),ROUND($E221*FQ221,2),0))</f>
        <v>0</v>
      </c>
      <c r="FS221" s="53">
        <f t="shared" si="688"/>
        <v>0</v>
      </c>
    </row>
    <row r="222" spans="1:175" x14ac:dyDescent="0.3">
      <c r="A222" s="93"/>
      <c r="B222" s="94"/>
      <c r="C222" s="94"/>
      <c r="D222" s="188"/>
      <c r="E222" s="624"/>
      <c r="F222" s="190"/>
      <c r="G222" s="625"/>
      <c r="H222" s="192"/>
      <c r="I222" s="621"/>
      <c r="J222" s="103"/>
      <c r="K222" s="630"/>
      <c r="L222" s="49">
        <f t="shared" si="689"/>
        <v>0</v>
      </c>
      <c r="M222" s="50">
        <f t="shared" si="690"/>
        <v>0</v>
      </c>
      <c r="N222" s="51">
        <f t="shared" si="691"/>
        <v>0</v>
      </c>
      <c r="O222" s="51"/>
      <c r="P222" s="51">
        <f t="shared" si="692"/>
        <v>0</v>
      </c>
      <c r="Q222" s="52"/>
      <c r="R222" s="52"/>
      <c r="S222" s="52"/>
      <c r="T222" s="52"/>
      <c r="U222" s="52"/>
      <c r="V222" s="53">
        <f t="shared" si="693"/>
        <v>0</v>
      </c>
      <c r="W222" s="51">
        <f t="shared" si="694"/>
        <v>0</v>
      </c>
      <c r="X222" s="51">
        <f t="shared" si="695"/>
        <v>0</v>
      </c>
      <c r="Y222" s="51">
        <f t="shared" si="696"/>
        <v>0</v>
      </c>
      <c r="Z222" s="51">
        <f t="shared" si="697"/>
        <v>0</v>
      </c>
      <c r="AA222" s="51">
        <f t="shared" si="698"/>
        <v>0</v>
      </c>
      <c r="AB222" s="51">
        <f t="shared" si="699"/>
        <v>0</v>
      </c>
      <c r="AC222" s="51">
        <f t="shared" si="700"/>
        <v>0</v>
      </c>
      <c r="AD222" s="51">
        <f t="shared" si="701"/>
        <v>0</v>
      </c>
      <c r="AE222" s="51">
        <f t="shared" si="702"/>
        <v>0</v>
      </c>
      <c r="AF222" s="51">
        <f t="shared" si="703"/>
        <v>0</v>
      </c>
      <c r="AG222" s="51">
        <f t="shared" si="704"/>
        <v>0</v>
      </c>
      <c r="AH222" s="54">
        <f t="shared" si="705"/>
        <v>0</v>
      </c>
      <c r="AI222" s="55">
        <f t="shared" si="706"/>
        <v>0</v>
      </c>
      <c r="AJ222" s="56">
        <f>IF(AND($E222&lt;&gt;0,$F222&gt;0,YEAR($F222)&gt;=Preisindex!$A$6,YEAR(AE$4)&gt;=YEAR($F222),AND($K222&lt;&gt;"a",$K222&lt;&gt;"b",$K222&lt;&gt;"g",$K222&lt;&gt;"k")),1,IF(AND($E222&lt;&gt;0,$F222&gt;0,YEAR($F222)&gt;=Preisindex!$A$6,YEAR(AE$4)&gt;=YEAR($F222),$K222="a"),ROUND(VLOOKUP(AJ$4,Preisindex,5,FALSE)/VLOOKUP(YEAR($F222),Preisindex,5,FALSE),2),IF(AND($E222&lt;&gt;0,$F222&gt;0,YEAR($F222)&gt;=Preisindex!$A$6,YEAR(AE$4)&gt;=YEAR($F222),$K222="b"),ROUND(VLOOKUP(AJ$4,Preisindex,3,FALSE)/VLOOKUP(YEAR($F222),Preisindex,3,FALSE),2),IF(AND($E222&lt;&gt;0,$F222&gt;0,YEAR($F222)&gt;=Preisindex!$A$6,YEAR(AE$4)&gt;=YEAR($F222),$K222="g"),ROUND(VLOOKUP(AJ$4,Preisindex,4,FALSE)/VLOOKUP(YEAR($F222),Preisindex,4,FALSE),2),IF(AND($E222&lt;&gt;0,$F222&gt;0,YEAR($F222)&gt;=Preisindex!$A$6,YEAR(AE$4)&gt;=YEAR($F222),$K222="k"),ROUND(VLOOKUP(AJ$4,Preisindex,2,FALSE)/VLOOKUP(YEAR($F222),Preisindex,2,FALSE),2),0)))))</f>
        <v>0</v>
      </c>
      <c r="AK222" s="56">
        <f>IF(AND($E222&lt;&gt;0,$F222&gt;0,YEAR($F222)&lt;Preisindex!$A$6,YEAR(AE$4)&gt;=YEAR($F222),AND($K222&lt;&gt;"a",$K222&lt;&gt;"b",$K222&lt;&gt;"g",$K222&lt;&gt;"k")),1,IF(AND($E222&lt;&gt;0,$F222&gt;0,YEAR($F222)&lt;Preisindex!$A$6,YEAR(AE$4)&gt;=YEAR($F222),$K222="a"),ROUND(VLOOKUP(AJ$4,Preisindex,5,FALSE)/VLOOKUP(Preisindex!$A$6,Preisindex,5,FALSE),2),IF(AND($E222&lt;&gt;0,$F222&gt;0,YEAR($F222)&lt;Preisindex!$A$6,YEAR(AE$4)&gt;=YEAR($F222),$K222="b"),ROUND(VLOOKUP(AJ$4,Preisindex,3,FALSE)/VLOOKUP(Preisindex!$A$6,Preisindex,3,FALSE),2),IF(AND($E222&lt;&gt;0,$F222&gt;0,YEAR($F222)&lt;Preisindex!$A$6,YEAR(AE$4)&gt;=YEAR($F222),$K222="g"),ROUND(VLOOKUP(AJ$4,Preisindex,4,FALSE)/VLOOKUP(Preisindex!$A$6,Preisindex,4,FALSE),2),IF(AND($E222&lt;&gt;0,$F222&gt;0,YEAR($F222)&lt;Preisindex!$A$6,YEAR(AE$4)&gt;=YEAR($F222),$K222="k"),ROUND(VLOOKUP(AJ$4,Preisindex,2,FALSE)/VLOOKUP(Preisindex!$A$6,Preisindex,2,FALSE),2),0)))))</f>
        <v>0</v>
      </c>
      <c r="AL222" s="51">
        <f>IF(AND($E222&lt;&gt;0,$F222&gt;0,YEAR($F222)&lt;=AJ$4,YEAR($F222)&gt;=Preisindex!$A$6),ROUND($E222*AJ222,2),IF(AND($E222&lt;&gt;0,$F222&gt;0,YEAR($F222)&lt;=AJ$4,YEAR($F222)&lt;Preisindex!$A$6),ROUND($E222*AK222,2),0))</f>
        <v>0</v>
      </c>
      <c r="AM222" s="53">
        <f t="shared" si="707"/>
        <v>0</v>
      </c>
      <c r="AN222" s="51">
        <f t="shared" si="708"/>
        <v>0</v>
      </c>
      <c r="AO222" s="51">
        <f t="shared" si="710"/>
        <v>0</v>
      </c>
      <c r="AP222" s="51">
        <f t="shared" si="624"/>
        <v>0</v>
      </c>
      <c r="AQ222" s="51">
        <f t="shared" si="711"/>
        <v>0</v>
      </c>
      <c r="AR222" s="51">
        <f t="shared" si="625"/>
        <v>0</v>
      </c>
      <c r="AS222" s="51">
        <f t="shared" si="712"/>
        <v>0</v>
      </c>
      <c r="AT222" s="51">
        <f t="shared" si="626"/>
        <v>0</v>
      </c>
      <c r="AU222" s="51">
        <f t="shared" si="713"/>
        <v>0</v>
      </c>
      <c r="AV222" s="51">
        <f t="shared" si="627"/>
        <v>0</v>
      </c>
      <c r="AW222" s="51">
        <f t="shared" si="714"/>
        <v>0</v>
      </c>
      <c r="AX222" s="51">
        <f t="shared" si="628"/>
        <v>0</v>
      </c>
      <c r="AY222" s="54">
        <f t="shared" si="629"/>
        <v>0</v>
      </c>
      <c r="AZ222" s="55">
        <f t="shared" si="630"/>
        <v>0</v>
      </c>
      <c r="BA222" s="56">
        <f>IF(AND($E222&lt;&gt;0,$F222&gt;0,YEAR($F222)&gt;=Preisindex!$A$6,YEAR(AV$4)&gt;=YEAR($F222),AND($K222&lt;&gt;"a",$K222&lt;&gt;"b",$K222&lt;&gt;"g",$K222&lt;&gt;"k")),1,IF(AND($E222&lt;&gt;0,$F222&gt;0,YEAR($F222)&gt;=Preisindex!$A$6,YEAR(AV$4)&gt;=YEAR($F222),$K222="a"),ROUND(VLOOKUP(BA$4,Preisindex,5,FALSE)/VLOOKUP(YEAR($F222),Preisindex,5,FALSE),2),IF(AND($E222&lt;&gt;0,$F222&gt;0,YEAR($F222)&gt;=Preisindex!$A$6,YEAR(AV$4)&gt;=YEAR($F222),$K222="b"),ROUND(VLOOKUP(BA$4,Preisindex,3,FALSE)/VLOOKUP(YEAR($F222),Preisindex,3,FALSE),2),IF(AND($E222&lt;&gt;0,$F222&gt;0,YEAR($F222)&gt;=Preisindex!$A$6,YEAR(AV$4)&gt;=YEAR($F222),$K222="g"),ROUND(VLOOKUP(BA$4,Preisindex,4,FALSE)/VLOOKUP(YEAR($F222),Preisindex,4,FALSE),2),IF(AND($E222&lt;&gt;0,$F222&gt;0,YEAR($F222)&gt;=Preisindex!$A$6,YEAR(AV$4)&gt;=YEAR($F222),$K222="k"),ROUND(VLOOKUP(BA$4,Preisindex,2,FALSE)/VLOOKUP(YEAR($F222),Preisindex,2,FALSE),2),0)))))</f>
        <v>0</v>
      </c>
      <c r="BB222" s="56">
        <f>IF(AND($E222&lt;&gt;0,$F222&gt;0,YEAR($F222)&lt;Preisindex!$A$6,YEAR(AV$4)&gt;=YEAR($F222),AND($K222&lt;&gt;"a",$K222&lt;&gt;"b",$K222&lt;&gt;"g",$K222&lt;&gt;"k")),1,IF(AND($E222&lt;&gt;0,$F222&gt;0,YEAR($F222)&lt;Preisindex!$A$6,YEAR(AV$4)&gt;=YEAR($F222),$K222="a"),ROUND(VLOOKUP(BA$4,Preisindex,5,FALSE)/VLOOKUP(Preisindex!$A$6,Preisindex,5,FALSE),2),IF(AND($E222&lt;&gt;0,$F222&gt;0,YEAR($F222)&lt;Preisindex!$A$6,YEAR(AV$4)&gt;=YEAR($F222),$K222="b"),ROUND(VLOOKUP(BA$4,Preisindex,3,FALSE)/VLOOKUP(Preisindex!$A$6,Preisindex,3,FALSE),2),IF(AND($E222&lt;&gt;0,$F222&gt;0,YEAR($F222)&lt;Preisindex!$A$6,YEAR(AV$4)&gt;=YEAR($F222),$K222="g"),ROUND(VLOOKUP(BA$4,Preisindex,4,FALSE)/VLOOKUP(Preisindex!$A$6,Preisindex,4,FALSE),2),IF(AND($E222&lt;&gt;0,$F222&gt;0,YEAR($F222)&lt;Preisindex!$A$6,YEAR(AV$4)&gt;=YEAR($F222),$K222="k"),ROUND(VLOOKUP(BA$4,Preisindex,2,FALSE)/VLOOKUP(Preisindex!$A$6,Preisindex,2,FALSE),2),0)))))</f>
        <v>0</v>
      </c>
      <c r="BC222" s="51">
        <f>IF(AND($E222&lt;&gt;0,$F222&gt;0,YEAR($F222)&lt;=BA$4,YEAR($F222)&gt;=Preisindex!$A$6),ROUND($E222*BA222,2),IF(AND($E222&lt;&gt;0,$F222&gt;0,YEAR($F222)&lt;=BA$4,YEAR($F222)&lt;Preisindex!$A$6),ROUND($E222*BB222,2),0))</f>
        <v>0</v>
      </c>
      <c r="BD222" s="53">
        <f t="shared" si="631"/>
        <v>0</v>
      </c>
      <c r="BE222" s="51">
        <f t="shared" si="708"/>
        <v>0</v>
      </c>
      <c r="BF222" s="51">
        <f t="shared" si="715"/>
        <v>0</v>
      </c>
      <c r="BG222" s="51">
        <f t="shared" si="632"/>
        <v>0</v>
      </c>
      <c r="BH222" s="51">
        <f t="shared" si="716"/>
        <v>0</v>
      </c>
      <c r="BI222" s="51">
        <f t="shared" si="633"/>
        <v>0</v>
      </c>
      <c r="BJ222" s="51">
        <f t="shared" si="717"/>
        <v>0</v>
      </c>
      <c r="BK222" s="51">
        <f t="shared" si="634"/>
        <v>0</v>
      </c>
      <c r="BL222" s="51">
        <f t="shared" si="718"/>
        <v>0</v>
      </c>
      <c r="BM222" s="51">
        <f t="shared" si="635"/>
        <v>0</v>
      </c>
      <c r="BN222" s="51">
        <f t="shared" si="719"/>
        <v>0</v>
      </c>
      <c r="BO222" s="51">
        <f t="shared" si="636"/>
        <v>0</v>
      </c>
      <c r="BP222" s="54">
        <f t="shared" si="637"/>
        <v>0</v>
      </c>
      <c r="BQ222" s="55">
        <f t="shared" si="638"/>
        <v>0</v>
      </c>
      <c r="BR222" s="56">
        <f>IF(AND($E222&lt;&gt;0,$F222&gt;0,YEAR($F222)&gt;=Preisindex!$A$6,YEAR(BM$4)&gt;=YEAR($F222),AND($K222&lt;&gt;"a",$K222&lt;&gt;"b",$K222&lt;&gt;"g",$K222&lt;&gt;"k")),1,IF(AND($E222&lt;&gt;0,$F222&gt;0,YEAR($F222)&gt;=Preisindex!$A$6,YEAR(BM$4)&gt;=YEAR($F222),$K222="a"),ROUND(VLOOKUP(BR$4,Preisindex,5,FALSE)/VLOOKUP(YEAR($F222),Preisindex,5,FALSE),2),IF(AND($E222&lt;&gt;0,$F222&gt;0,YEAR($F222)&gt;=Preisindex!$A$6,YEAR(BM$4)&gt;=YEAR($F222),$K222="b"),ROUND(VLOOKUP(BR$4,Preisindex,3,FALSE)/VLOOKUP(YEAR($F222),Preisindex,3,FALSE),2),IF(AND($E222&lt;&gt;0,$F222&gt;0,YEAR($F222)&gt;=Preisindex!$A$6,YEAR(BM$4)&gt;=YEAR($F222),$K222="g"),ROUND(VLOOKUP(BR$4,Preisindex,4,FALSE)/VLOOKUP(YEAR($F222),Preisindex,4,FALSE),2),IF(AND($E222&lt;&gt;0,$F222&gt;0,YEAR($F222)&gt;=Preisindex!$A$6,YEAR(BM$4)&gt;=YEAR($F222),$K222="k"),ROUND(VLOOKUP(BR$4,Preisindex,2,FALSE)/VLOOKUP(YEAR($F222),Preisindex,2,FALSE),2),0)))))</f>
        <v>0</v>
      </c>
      <c r="BS222" s="56">
        <f>IF(AND($E222&lt;&gt;0,$F222&gt;0,YEAR($F222)&lt;Preisindex!$A$6,YEAR(BM$4)&gt;=YEAR($F222),AND($K222&lt;&gt;"a",$K222&lt;&gt;"b",$K222&lt;&gt;"g",$K222&lt;&gt;"k")),1,IF(AND($E222&lt;&gt;0,$F222&gt;0,YEAR($F222)&lt;Preisindex!$A$6,YEAR(BM$4)&gt;=YEAR($F222),$K222="a"),ROUND(VLOOKUP(BR$4,Preisindex,5,FALSE)/VLOOKUP(Preisindex!$A$6,Preisindex,5,FALSE),2),IF(AND($E222&lt;&gt;0,$F222&gt;0,YEAR($F222)&lt;Preisindex!$A$6,YEAR(BM$4)&gt;=YEAR($F222),$K222="b"),ROUND(VLOOKUP(BR$4,Preisindex,3,FALSE)/VLOOKUP(Preisindex!$A$6,Preisindex,3,FALSE),2),IF(AND($E222&lt;&gt;0,$F222&gt;0,YEAR($F222)&lt;Preisindex!$A$6,YEAR(BM$4)&gt;=YEAR($F222),$K222="g"),ROUND(VLOOKUP(BR$4,Preisindex,4,FALSE)/VLOOKUP(Preisindex!$A$6,Preisindex,4,FALSE),2),IF(AND($E222&lt;&gt;0,$F222&gt;0,YEAR($F222)&lt;Preisindex!$A$6,YEAR(BM$4)&gt;=YEAR($F222),$K222="k"),ROUND(VLOOKUP(BR$4,Preisindex,2,FALSE)/VLOOKUP(Preisindex!$A$6,Preisindex,2,FALSE),2),0)))))</f>
        <v>0</v>
      </c>
      <c r="BT222" s="51">
        <f>IF(AND($E222&lt;&gt;0,$F222&gt;0,YEAR($F222)&lt;=BR$4,YEAR($F222)&gt;=Preisindex!$A$6),ROUND($E222*BR222,2),IF(AND($E222&lt;&gt;0,$F222&gt;0,YEAR($F222)&lt;=BR$4,YEAR($F222)&lt;Preisindex!$A$6),ROUND($E222*BS222,2),0))</f>
        <v>0</v>
      </c>
      <c r="BU222" s="53">
        <f t="shared" si="639"/>
        <v>0</v>
      </c>
      <c r="BV222" s="51">
        <f t="shared" si="708"/>
        <v>0</v>
      </c>
      <c r="BW222" s="51">
        <f t="shared" si="720"/>
        <v>0</v>
      </c>
      <c r="BX222" s="51">
        <f t="shared" si="640"/>
        <v>0</v>
      </c>
      <c r="BY222" s="51">
        <f t="shared" si="721"/>
        <v>0</v>
      </c>
      <c r="BZ222" s="51">
        <f t="shared" si="641"/>
        <v>0</v>
      </c>
      <c r="CA222" s="51">
        <f t="shared" si="722"/>
        <v>0</v>
      </c>
      <c r="CB222" s="51">
        <f t="shared" si="642"/>
        <v>0</v>
      </c>
      <c r="CC222" s="51">
        <f t="shared" si="723"/>
        <v>0</v>
      </c>
      <c r="CD222" s="51">
        <f t="shared" si="643"/>
        <v>0</v>
      </c>
      <c r="CE222" s="51">
        <f t="shared" si="724"/>
        <v>0</v>
      </c>
      <c r="CF222" s="51">
        <f t="shared" si="644"/>
        <v>0</v>
      </c>
      <c r="CG222" s="54">
        <f t="shared" si="645"/>
        <v>0</v>
      </c>
      <c r="CH222" s="55">
        <f t="shared" si="646"/>
        <v>0</v>
      </c>
      <c r="CI222" s="56">
        <f>IF(AND($E222&lt;&gt;0,$F222&gt;0,YEAR($F222)&gt;=Preisindex!$A$6,YEAR(CD$4)&gt;=YEAR($F222),AND($K222&lt;&gt;"a",$K222&lt;&gt;"b",$K222&lt;&gt;"g",$K222&lt;&gt;"k")),1,IF(AND($E222&lt;&gt;0,$F222&gt;0,YEAR($F222)&gt;=Preisindex!$A$6,YEAR(CD$4)&gt;=YEAR($F222),$K222="a"),ROUND(VLOOKUP(CI$4,Preisindex,5,FALSE)/VLOOKUP(YEAR($F222),Preisindex,5,FALSE),2),IF(AND($E222&lt;&gt;0,$F222&gt;0,YEAR($F222)&gt;=Preisindex!$A$6,YEAR(CD$4)&gt;=YEAR($F222),$K222="b"),ROUND(VLOOKUP(CI$4,Preisindex,3,FALSE)/VLOOKUP(YEAR($F222),Preisindex,3,FALSE),2),IF(AND($E222&lt;&gt;0,$F222&gt;0,YEAR($F222)&gt;=Preisindex!$A$6,YEAR(CD$4)&gt;=YEAR($F222),$K222="g"),ROUND(VLOOKUP(CI$4,Preisindex,4,FALSE)/VLOOKUP(YEAR($F222),Preisindex,4,FALSE),2),IF(AND($E222&lt;&gt;0,$F222&gt;0,YEAR($F222)&gt;=Preisindex!$A$6,YEAR(CD$4)&gt;=YEAR($F222),$K222="k"),ROUND(VLOOKUP(CI$4,Preisindex,2,FALSE)/VLOOKUP(YEAR($F222),Preisindex,2,FALSE),2),0)))))</f>
        <v>0</v>
      </c>
      <c r="CJ222" s="56">
        <f>IF(AND($E222&lt;&gt;0,$F222&gt;0,YEAR($F222)&lt;Preisindex!$A$6,YEAR(CD$4)&gt;=YEAR($F222),AND($K222&lt;&gt;"a",$K222&lt;&gt;"b",$K222&lt;&gt;"g",$K222&lt;&gt;"k")),1,IF(AND($E222&lt;&gt;0,$F222&gt;0,YEAR($F222)&lt;Preisindex!$A$6,YEAR(CD$4)&gt;=YEAR($F222),$K222="a"),ROUND(VLOOKUP(CI$4,Preisindex,5,FALSE)/VLOOKUP(Preisindex!$A$6,Preisindex,5,FALSE),2),IF(AND($E222&lt;&gt;0,$F222&gt;0,YEAR($F222)&lt;Preisindex!$A$6,YEAR(CD$4)&gt;=YEAR($F222),$K222="b"),ROUND(VLOOKUP(CI$4,Preisindex,3,FALSE)/VLOOKUP(Preisindex!$A$6,Preisindex,3,FALSE),2),IF(AND($E222&lt;&gt;0,$F222&gt;0,YEAR($F222)&lt;Preisindex!$A$6,YEAR(CD$4)&gt;=YEAR($F222),$K222="g"),ROUND(VLOOKUP(CI$4,Preisindex,4,FALSE)/VLOOKUP(Preisindex!$A$6,Preisindex,4,FALSE),2),IF(AND($E222&lt;&gt;0,$F222&gt;0,YEAR($F222)&lt;Preisindex!$A$6,YEAR(CD$4)&gt;=YEAR($F222),$K222="k"),ROUND(VLOOKUP(CI$4,Preisindex,2,FALSE)/VLOOKUP(Preisindex!$A$6,Preisindex,2,FALSE),2),0)))))</f>
        <v>0</v>
      </c>
      <c r="CK222" s="51">
        <f>IF(AND($E222&lt;&gt;0,$F222&gt;0,YEAR($F222)&lt;=CI$4,YEAR($F222)&gt;=Preisindex!$A$6),ROUND($E222*CI222,2),IF(AND($E222&lt;&gt;0,$F222&gt;0,YEAR($F222)&lt;=CI$4,YEAR($F222)&lt;Preisindex!$A$6),ROUND($E222*CJ222,2),0))</f>
        <v>0</v>
      </c>
      <c r="CL222" s="53">
        <f t="shared" si="647"/>
        <v>0</v>
      </c>
      <c r="CM222" s="51">
        <f t="shared" si="708"/>
        <v>0</v>
      </c>
      <c r="CN222" s="51">
        <f t="shared" si="725"/>
        <v>0</v>
      </c>
      <c r="CO222" s="51">
        <f t="shared" si="648"/>
        <v>0</v>
      </c>
      <c r="CP222" s="51">
        <f t="shared" si="726"/>
        <v>0</v>
      </c>
      <c r="CQ222" s="51">
        <f t="shared" si="649"/>
        <v>0</v>
      </c>
      <c r="CR222" s="51">
        <f t="shared" si="727"/>
        <v>0</v>
      </c>
      <c r="CS222" s="51">
        <f t="shared" si="650"/>
        <v>0</v>
      </c>
      <c r="CT222" s="51">
        <f t="shared" si="728"/>
        <v>0</v>
      </c>
      <c r="CU222" s="51">
        <f t="shared" si="651"/>
        <v>0</v>
      </c>
      <c r="CV222" s="51">
        <f t="shared" si="729"/>
        <v>0</v>
      </c>
      <c r="CW222" s="51">
        <f t="shared" si="652"/>
        <v>0</v>
      </c>
      <c r="CX222" s="54">
        <f t="shared" si="653"/>
        <v>0</v>
      </c>
      <c r="CY222" s="55">
        <f t="shared" si="654"/>
        <v>0</v>
      </c>
      <c r="CZ222" s="56">
        <f>IF(AND($E222&lt;&gt;0,$F222&gt;0,YEAR($F222)&gt;=Preisindex!$A$6,YEAR(CU$4)&gt;=YEAR($F222),AND($K222&lt;&gt;"a",$K222&lt;&gt;"b",$K222&lt;&gt;"g",$K222&lt;&gt;"k")),1,IF(AND($E222&lt;&gt;0,$F222&gt;0,YEAR($F222)&gt;=Preisindex!$A$6,YEAR(CU$4)&gt;=YEAR($F222),$K222="a"),ROUND(VLOOKUP(CZ$4,Preisindex,5,FALSE)/VLOOKUP(YEAR($F222),Preisindex,5,FALSE),2),IF(AND($E222&lt;&gt;0,$F222&gt;0,YEAR($F222)&gt;=Preisindex!$A$6,YEAR(CU$4)&gt;=YEAR($F222),$K222="b"),ROUND(VLOOKUP(CZ$4,Preisindex,3,FALSE)/VLOOKUP(YEAR($F222),Preisindex,3,FALSE),2),IF(AND($E222&lt;&gt;0,$F222&gt;0,YEAR($F222)&gt;=Preisindex!$A$6,YEAR(CU$4)&gt;=YEAR($F222),$K222="g"),ROUND(VLOOKUP(CZ$4,Preisindex,4,FALSE)/VLOOKUP(YEAR($F222),Preisindex,4,FALSE),2),IF(AND($E222&lt;&gt;0,$F222&gt;0,YEAR($F222)&gt;=Preisindex!$A$6,YEAR(CU$4)&gt;=YEAR($F222),$K222="k"),ROUND(VLOOKUP(CZ$4,Preisindex,2,FALSE)/VLOOKUP(YEAR($F222),Preisindex,2,FALSE),2),0)))))</f>
        <v>0</v>
      </c>
      <c r="DA222" s="56">
        <f>IF(AND($E222&lt;&gt;0,$F222&gt;0,YEAR($F222)&lt;Preisindex!$A$6,YEAR(CU$4)&gt;=YEAR($F222),AND($K222&lt;&gt;"a",$K222&lt;&gt;"b",$K222&lt;&gt;"g",$K222&lt;&gt;"k")),1,IF(AND($E222&lt;&gt;0,$F222&gt;0,YEAR($F222)&lt;Preisindex!$A$6,YEAR(CU$4)&gt;=YEAR($F222),$K222="a"),ROUND(VLOOKUP(CZ$4,Preisindex,5,FALSE)/VLOOKUP(Preisindex!$A$6,Preisindex,5,FALSE),2),IF(AND($E222&lt;&gt;0,$F222&gt;0,YEAR($F222)&lt;Preisindex!$A$6,YEAR(CU$4)&gt;=YEAR($F222),$K222="b"),ROUND(VLOOKUP(CZ$4,Preisindex,3,FALSE)/VLOOKUP(Preisindex!$A$6,Preisindex,3,FALSE),2),IF(AND($E222&lt;&gt;0,$F222&gt;0,YEAR($F222)&lt;Preisindex!$A$6,YEAR(CU$4)&gt;=YEAR($F222),$K222="g"),ROUND(VLOOKUP(CZ$4,Preisindex,4,FALSE)/VLOOKUP(Preisindex!$A$6,Preisindex,4,FALSE),2),IF(AND($E222&lt;&gt;0,$F222&gt;0,YEAR($F222)&lt;Preisindex!$A$6,YEAR(CU$4)&gt;=YEAR($F222),$K222="k"),ROUND(VLOOKUP(CZ$4,Preisindex,2,FALSE)/VLOOKUP(Preisindex!$A$6,Preisindex,2,FALSE),2),0)))))</f>
        <v>0</v>
      </c>
      <c r="DB222" s="51">
        <f>IF(AND($E222&lt;&gt;0,$F222&gt;0,YEAR($F222)&lt;=CZ$4,YEAR($F222)&gt;=Preisindex!$A$6),ROUND($E222*CZ222,2),IF(AND($E222&lt;&gt;0,$F222&gt;0,YEAR($F222)&lt;=CZ$4,YEAR($F222)&lt;Preisindex!$A$6),ROUND($E222*DA222,2),0))</f>
        <v>0</v>
      </c>
      <c r="DC222" s="53">
        <f t="shared" si="655"/>
        <v>0</v>
      </c>
      <c r="DD222" s="51">
        <f t="shared" si="709"/>
        <v>0</v>
      </c>
      <c r="DE222" s="51">
        <f t="shared" si="730"/>
        <v>0</v>
      </c>
      <c r="DF222" s="51">
        <f t="shared" si="657"/>
        <v>0</v>
      </c>
      <c r="DG222" s="51">
        <f t="shared" si="731"/>
        <v>0</v>
      </c>
      <c r="DH222" s="51">
        <f t="shared" si="658"/>
        <v>0</v>
      </c>
      <c r="DI222" s="51">
        <f t="shared" si="732"/>
        <v>0</v>
      </c>
      <c r="DJ222" s="51">
        <f t="shared" si="659"/>
        <v>0</v>
      </c>
      <c r="DK222" s="51">
        <f t="shared" si="733"/>
        <v>0</v>
      </c>
      <c r="DL222" s="51">
        <f t="shared" si="660"/>
        <v>0</v>
      </c>
      <c r="DM222" s="51">
        <f t="shared" si="734"/>
        <v>0</v>
      </c>
      <c r="DN222" s="51">
        <f t="shared" si="661"/>
        <v>0</v>
      </c>
      <c r="DO222" s="54">
        <f t="shared" si="662"/>
        <v>0</v>
      </c>
      <c r="DP222" s="55">
        <f t="shared" si="663"/>
        <v>0</v>
      </c>
      <c r="DQ222" s="56">
        <f>IF(AND($E222&lt;&gt;0,$F222&gt;0,YEAR($F222)&gt;=Preisindex!$A$6,YEAR(DL$4)&gt;=YEAR($F222),AND($K222&lt;&gt;"a",$K222&lt;&gt;"b",$K222&lt;&gt;"g",$K222&lt;&gt;"k")),1,IF(AND($E222&lt;&gt;0,$F222&gt;0,YEAR($F222)&gt;=Preisindex!$A$6,YEAR(DL$4)&gt;=YEAR($F222),$K222="a"),ROUND(VLOOKUP(DQ$4,Preisindex,5,FALSE)/VLOOKUP(YEAR($F222),Preisindex,5,FALSE),2),IF(AND($E222&lt;&gt;0,$F222&gt;0,YEAR($F222)&gt;=Preisindex!$A$6,YEAR(DL$4)&gt;=YEAR($F222),$K222="b"),ROUND(VLOOKUP(DQ$4,Preisindex,3,FALSE)/VLOOKUP(YEAR($F222),Preisindex,3,FALSE),2),IF(AND($E222&lt;&gt;0,$F222&gt;0,YEAR($F222)&gt;=Preisindex!$A$6,YEAR(DL$4)&gt;=YEAR($F222),$K222="g"),ROUND(VLOOKUP(DQ$4,Preisindex,4,FALSE)/VLOOKUP(YEAR($F222),Preisindex,4,FALSE),2),IF(AND($E222&lt;&gt;0,$F222&gt;0,YEAR($F222)&gt;=Preisindex!$A$6,YEAR(DL$4)&gt;=YEAR($F222),$K222="k"),ROUND(VLOOKUP(DQ$4,Preisindex,2,FALSE)/VLOOKUP(YEAR($F222),Preisindex,2,FALSE),2),0)))))</f>
        <v>0</v>
      </c>
      <c r="DR222" s="56">
        <f>IF(AND($E222&lt;&gt;0,$F222&gt;0,YEAR($F222)&lt;Preisindex!$A$6,YEAR(DL$4)&gt;=YEAR($F222),AND($K222&lt;&gt;"a",$K222&lt;&gt;"b",$K222&lt;&gt;"g",$K222&lt;&gt;"k")),1,IF(AND($E222&lt;&gt;0,$F222&gt;0,YEAR($F222)&lt;Preisindex!$A$6,YEAR(DL$4)&gt;=YEAR($F222),$K222="a"),ROUND(VLOOKUP(DQ$4,Preisindex,5,FALSE)/VLOOKUP(Preisindex!$A$6,Preisindex,5,FALSE),2),IF(AND($E222&lt;&gt;0,$F222&gt;0,YEAR($F222)&lt;Preisindex!$A$6,YEAR(DL$4)&gt;=YEAR($F222),$K222="b"),ROUND(VLOOKUP(DQ$4,Preisindex,3,FALSE)/VLOOKUP(Preisindex!$A$6,Preisindex,3,FALSE),2),IF(AND($E222&lt;&gt;0,$F222&gt;0,YEAR($F222)&lt;Preisindex!$A$6,YEAR(DL$4)&gt;=YEAR($F222),$K222="g"),ROUND(VLOOKUP(DQ$4,Preisindex,4,FALSE)/VLOOKUP(Preisindex!$A$6,Preisindex,4,FALSE),2),IF(AND($E222&lt;&gt;0,$F222&gt;0,YEAR($F222)&lt;Preisindex!$A$6,YEAR(DL$4)&gt;=YEAR($F222),$K222="k"),ROUND(VLOOKUP(DQ$4,Preisindex,2,FALSE)/VLOOKUP(Preisindex!$A$6,Preisindex,2,FALSE),2),0)))))</f>
        <v>0</v>
      </c>
      <c r="DS222" s="51">
        <f>IF(AND($E222&lt;&gt;0,$F222&gt;0,YEAR($F222)&lt;=DQ$4,YEAR($F222)&gt;=Preisindex!$A$6),ROUND($E222*DQ222,2),IF(AND($E222&lt;&gt;0,$F222&gt;0,YEAR($F222)&lt;=DQ$4,YEAR($F222)&lt;Preisindex!$A$6),ROUND($E222*DR222,2),0))</f>
        <v>0</v>
      </c>
      <c r="DT222" s="53">
        <f t="shared" si="664"/>
        <v>0</v>
      </c>
      <c r="DU222" s="51">
        <f t="shared" si="709"/>
        <v>0</v>
      </c>
      <c r="DV222" s="51">
        <f t="shared" si="735"/>
        <v>0</v>
      </c>
      <c r="DW222" s="51">
        <f t="shared" si="665"/>
        <v>0</v>
      </c>
      <c r="DX222" s="51">
        <f t="shared" si="736"/>
        <v>0</v>
      </c>
      <c r="DY222" s="51">
        <f t="shared" si="666"/>
        <v>0</v>
      </c>
      <c r="DZ222" s="51">
        <f t="shared" si="737"/>
        <v>0</v>
      </c>
      <c r="EA222" s="51">
        <f t="shared" si="667"/>
        <v>0</v>
      </c>
      <c r="EB222" s="51">
        <f t="shared" si="738"/>
        <v>0</v>
      </c>
      <c r="EC222" s="51">
        <f t="shared" si="668"/>
        <v>0</v>
      </c>
      <c r="ED222" s="51">
        <f t="shared" si="739"/>
        <v>0</v>
      </c>
      <c r="EE222" s="51">
        <f t="shared" si="669"/>
        <v>0</v>
      </c>
      <c r="EF222" s="54">
        <f t="shared" si="670"/>
        <v>0</v>
      </c>
      <c r="EG222" s="55">
        <f t="shared" si="671"/>
        <v>0</v>
      </c>
      <c r="EH222" s="56">
        <f>IF(AND($E222&lt;&gt;0,$F222&gt;0,YEAR($F222)&gt;=Preisindex!$A$6,YEAR(EC$4)&gt;=YEAR($F222),AND($K222&lt;&gt;"a",$K222&lt;&gt;"b",$K222&lt;&gt;"g",$K222&lt;&gt;"k")),1,IF(AND($E222&lt;&gt;0,$F222&gt;0,YEAR($F222)&gt;=Preisindex!$A$6,YEAR(EC$4)&gt;=YEAR($F222),$K222="a"),ROUND(VLOOKUP(EH$4,Preisindex,5,FALSE)/VLOOKUP(YEAR($F222),Preisindex,5,FALSE),2),IF(AND($E222&lt;&gt;0,$F222&gt;0,YEAR($F222)&gt;=Preisindex!$A$6,YEAR(EC$4)&gt;=YEAR($F222),$K222="b"),ROUND(VLOOKUP(EH$4,Preisindex,3,FALSE)/VLOOKUP(YEAR($F222),Preisindex,3,FALSE),2),IF(AND($E222&lt;&gt;0,$F222&gt;0,YEAR($F222)&gt;=Preisindex!$A$6,YEAR(EC$4)&gt;=YEAR($F222),$K222="g"),ROUND(VLOOKUP(EH$4,Preisindex,4,FALSE)/VLOOKUP(YEAR($F222),Preisindex,4,FALSE),2),IF(AND($E222&lt;&gt;0,$F222&gt;0,YEAR($F222)&gt;=Preisindex!$A$6,YEAR(EC$4)&gt;=YEAR($F222),$K222="k"),ROUND(VLOOKUP(EH$4,Preisindex,2,FALSE)/VLOOKUP(YEAR($F222),Preisindex,2,FALSE),2),0)))))</f>
        <v>0</v>
      </c>
      <c r="EI222" s="56">
        <f>IF(AND($E222&lt;&gt;0,$F222&gt;0,YEAR($F222)&lt;Preisindex!$A$6,YEAR(EC$4)&gt;=YEAR($F222),AND($K222&lt;&gt;"a",$K222&lt;&gt;"b",$K222&lt;&gt;"g",$K222&lt;&gt;"k")),1,IF(AND($E222&lt;&gt;0,$F222&gt;0,YEAR($F222)&lt;Preisindex!$A$6,YEAR(EC$4)&gt;=YEAR($F222),$K222="a"),ROUND(VLOOKUP(EH$4,Preisindex,5,FALSE)/VLOOKUP(Preisindex!$A$6,Preisindex,5,FALSE),2),IF(AND($E222&lt;&gt;0,$F222&gt;0,YEAR($F222)&lt;Preisindex!$A$6,YEAR(EC$4)&gt;=YEAR($F222),$K222="b"),ROUND(VLOOKUP(EH$4,Preisindex,3,FALSE)/VLOOKUP(Preisindex!$A$6,Preisindex,3,FALSE),2),IF(AND($E222&lt;&gt;0,$F222&gt;0,YEAR($F222)&lt;Preisindex!$A$6,YEAR(EC$4)&gt;=YEAR($F222),$K222="g"),ROUND(VLOOKUP(EH$4,Preisindex,4,FALSE)/VLOOKUP(Preisindex!$A$6,Preisindex,4,FALSE),2),IF(AND($E222&lt;&gt;0,$F222&gt;0,YEAR($F222)&lt;Preisindex!$A$6,YEAR(EC$4)&gt;=YEAR($F222),$K222="k"),ROUND(VLOOKUP(EH$4,Preisindex,2,FALSE)/VLOOKUP(Preisindex!$A$6,Preisindex,2,FALSE),2),0)))))</f>
        <v>0</v>
      </c>
      <c r="EJ222" s="51">
        <f>IF(AND($E222&lt;&gt;0,$F222&gt;0,YEAR($F222)&lt;=EH$4,YEAR($F222)&gt;=Preisindex!$A$6),ROUND($E222*EH222,2),IF(AND($E222&lt;&gt;0,$F222&gt;0,YEAR($F222)&lt;=EH$4,YEAR($F222)&lt;Preisindex!$A$6),ROUND($E222*EI222,2),0))</f>
        <v>0</v>
      </c>
      <c r="EK222" s="53">
        <f t="shared" si="672"/>
        <v>0</v>
      </c>
      <c r="EL222" s="51">
        <f t="shared" si="709"/>
        <v>0</v>
      </c>
      <c r="EM222" s="51">
        <f t="shared" si="740"/>
        <v>0</v>
      </c>
      <c r="EN222" s="51">
        <f t="shared" si="673"/>
        <v>0</v>
      </c>
      <c r="EO222" s="51">
        <f t="shared" si="741"/>
        <v>0</v>
      </c>
      <c r="EP222" s="51">
        <f t="shared" si="674"/>
        <v>0</v>
      </c>
      <c r="EQ222" s="51">
        <f t="shared" si="742"/>
        <v>0</v>
      </c>
      <c r="ER222" s="51">
        <f t="shared" si="675"/>
        <v>0</v>
      </c>
      <c r="ES222" s="51">
        <f t="shared" si="743"/>
        <v>0</v>
      </c>
      <c r="ET222" s="51">
        <f t="shared" si="676"/>
        <v>0</v>
      </c>
      <c r="EU222" s="51">
        <f t="shared" si="744"/>
        <v>0</v>
      </c>
      <c r="EV222" s="51">
        <f t="shared" si="677"/>
        <v>0</v>
      </c>
      <c r="EW222" s="54">
        <f t="shared" si="678"/>
        <v>0</v>
      </c>
      <c r="EX222" s="55">
        <f t="shared" si="679"/>
        <v>0</v>
      </c>
      <c r="EY222" s="56">
        <f>IF(AND($E222&lt;&gt;0,$F222&gt;0,YEAR($F222)&gt;=Preisindex!$A$6,YEAR(ET$4)&gt;=YEAR($F222),AND($K222&lt;&gt;"a",$K222&lt;&gt;"b",$K222&lt;&gt;"g",$K222&lt;&gt;"k")),1,IF(AND($E222&lt;&gt;0,$F222&gt;0,YEAR($F222)&gt;=Preisindex!$A$6,YEAR(ET$4)&gt;=YEAR($F222),$K222="a"),ROUND(VLOOKUP(EY$4,Preisindex,5,FALSE)/VLOOKUP(YEAR($F222),Preisindex,5,FALSE),2),IF(AND($E222&lt;&gt;0,$F222&gt;0,YEAR($F222)&gt;=Preisindex!$A$6,YEAR(ET$4)&gt;=YEAR($F222),$K222="b"),ROUND(VLOOKUP(EY$4,Preisindex,3,FALSE)/VLOOKUP(YEAR($F222),Preisindex,3,FALSE),2),IF(AND($E222&lt;&gt;0,$F222&gt;0,YEAR($F222)&gt;=Preisindex!$A$6,YEAR(ET$4)&gt;=YEAR($F222),$K222="g"),ROUND(VLOOKUP(EY$4,Preisindex,4,FALSE)/VLOOKUP(YEAR($F222),Preisindex,4,FALSE),2),IF(AND($E222&lt;&gt;0,$F222&gt;0,YEAR($F222)&gt;=Preisindex!$A$6,YEAR(ET$4)&gt;=YEAR($F222),$K222="k"),ROUND(VLOOKUP(EY$4,Preisindex,2,FALSE)/VLOOKUP(YEAR($F222),Preisindex,2,FALSE),2),0)))))</f>
        <v>0</v>
      </c>
      <c r="EZ222" s="56">
        <f>IF(AND($E222&lt;&gt;0,$F222&gt;0,YEAR($F222)&lt;Preisindex!$A$6,YEAR(ET$4)&gt;=YEAR($F222),AND($K222&lt;&gt;"a",$K222&lt;&gt;"b",$K222&lt;&gt;"g",$K222&lt;&gt;"k")),1,IF(AND($E222&lt;&gt;0,$F222&gt;0,YEAR($F222)&lt;Preisindex!$A$6,YEAR(ET$4)&gt;=YEAR($F222),$K222="a"),ROUND(VLOOKUP(EY$4,Preisindex,5,FALSE)/VLOOKUP(Preisindex!$A$6,Preisindex,5,FALSE),2),IF(AND($E222&lt;&gt;0,$F222&gt;0,YEAR($F222)&lt;Preisindex!$A$6,YEAR(ET$4)&gt;=YEAR($F222),$K222="b"),ROUND(VLOOKUP(EY$4,Preisindex,3,FALSE)/VLOOKUP(Preisindex!$A$6,Preisindex,3,FALSE),2),IF(AND($E222&lt;&gt;0,$F222&gt;0,YEAR($F222)&lt;Preisindex!$A$6,YEAR(ET$4)&gt;=YEAR($F222),$K222="g"),ROUND(VLOOKUP(EY$4,Preisindex,4,FALSE)/VLOOKUP(Preisindex!$A$6,Preisindex,4,FALSE),2),IF(AND($E222&lt;&gt;0,$F222&gt;0,YEAR($F222)&lt;Preisindex!$A$6,YEAR(ET$4)&gt;=YEAR($F222),$K222="k"),ROUND(VLOOKUP(EY$4,Preisindex,2,FALSE)/VLOOKUP(Preisindex!$A$6,Preisindex,2,FALSE),2),0)))))</f>
        <v>0</v>
      </c>
      <c r="FA222" s="51">
        <f>IF(AND($E222&lt;&gt;0,$F222&gt;0,YEAR($F222)&lt;=EY$4,YEAR($F222)&gt;=Preisindex!$A$6),ROUND($E222*EY222,2),IF(AND($E222&lt;&gt;0,$F222&gt;0,YEAR($F222)&lt;=EY$4,YEAR($F222)&lt;Preisindex!$A$6),ROUND($E222*EZ222,2),0))</f>
        <v>0</v>
      </c>
      <c r="FB222" s="53">
        <f t="shared" si="680"/>
        <v>0</v>
      </c>
      <c r="FC222" s="51">
        <f t="shared" si="709"/>
        <v>0</v>
      </c>
      <c r="FD222" s="51">
        <f t="shared" si="745"/>
        <v>0</v>
      </c>
      <c r="FE222" s="51">
        <f t="shared" si="681"/>
        <v>0</v>
      </c>
      <c r="FF222" s="51">
        <f t="shared" si="746"/>
        <v>0</v>
      </c>
      <c r="FG222" s="51">
        <f t="shared" si="682"/>
        <v>0</v>
      </c>
      <c r="FH222" s="51">
        <f t="shared" si="747"/>
        <v>0</v>
      </c>
      <c r="FI222" s="51">
        <f t="shared" si="683"/>
        <v>0</v>
      </c>
      <c r="FJ222" s="51">
        <f t="shared" si="748"/>
        <v>0</v>
      </c>
      <c r="FK222" s="51">
        <f t="shared" si="684"/>
        <v>0</v>
      </c>
      <c r="FL222" s="51">
        <f t="shared" si="749"/>
        <v>0</v>
      </c>
      <c r="FM222" s="51">
        <f t="shared" si="685"/>
        <v>0</v>
      </c>
      <c r="FN222" s="54">
        <f t="shared" si="686"/>
        <v>0</v>
      </c>
      <c r="FO222" s="55">
        <f t="shared" si="687"/>
        <v>0</v>
      </c>
      <c r="FP222" s="56">
        <f>IF(AND($E222&lt;&gt;0,$F222&gt;0,YEAR($F222)&gt;=Preisindex!$A$6,YEAR(FK$4)&gt;=YEAR($F222),AND($K222&lt;&gt;"a",$K222&lt;&gt;"b",$K222&lt;&gt;"g",$K222&lt;&gt;"k")),1,IF(AND($E222&lt;&gt;0,$F222&gt;0,YEAR($F222)&gt;=Preisindex!$A$6,YEAR(FK$4)&gt;=YEAR($F222),$K222="a"),ROUND(VLOOKUP(FP$4,Preisindex,5,FALSE)/VLOOKUP(YEAR($F222),Preisindex,5,FALSE),2),IF(AND($E222&lt;&gt;0,$F222&gt;0,YEAR($F222)&gt;=Preisindex!$A$6,YEAR(FK$4)&gt;=YEAR($F222),$K222="b"),ROUND(VLOOKUP(FP$4,Preisindex,3,FALSE)/VLOOKUP(YEAR($F222),Preisindex,3,FALSE),2),IF(AND($E222&lt;&gt;0,$F222&gt;0,YEAR($F222)&gt;=Preisindex!$A$6,YEAR(FK$4)&gt;=YEAR($F222),$K222="g"),ROUND(VLOOKUP(FP$4,Preisindex,4,FALSE)/VLOOKUP(YEAR($F222),Preisindex,4,FALSE),2),IF(AND($E222&lt;&gt;0,$F222&gt;0,YEAR($F222)&gt;=Preisindex!$A$6,YEAR(FK$4)&gt;=YEAR($F222),$K222="k"),ROUND(VLOOKUP(FP$4,Preisindex,2,FALSE)/VLOOKUP(YEAR($F222),Preisindex,2,FALSE),2),0)))))</f>
        <v>0</v>
      </c>
      <c r="FQ222" s="56">
        <f>IF(AND($E222&lt;&gt;0,$F222&gt;0,YEAR($F222)&lt;Preisindex!$A$6,YEAR(FK$4)&gt;=YEAR($F222),AND($K222&lt;&gt;"a",$K222&lt;&gt;"b",$K222&lt;&gt;"g",$K222&lt;&gt;"k")),1,IF(AND($E222&lt;&gt;0,$F222&gt;0,YEAR($F222)&lt;Preisindex!$A$6,YEAR(FK$4)&gt;=YEAR($F222),$K222="a"),ROUND(VLOOKUP(FP$4,Preisindex,5,FALSE)/VLOOKUP(Preisindex!$A$6,Preisindex,5,FALSE),2),IF(AND($E222&lt;&gt;0,$F222&gt;0,YEAR($F222)&lt;Preisindex!$A$6,YEAR(FK$4)&gt;=YEAR($F222),$K222="b"),ROUND(VLOOKUP(FP$4,Preisindex,3,FALSE)/VLOOKUP(Preisindex!$A$6,Preisindex,3,FALSE),2),IF(AND($E222&lt;&gt;0,$F222&gt;0,YEAR($F222)&lt;Preisindex!$A$6,YEAR(FK$4)&gt;=YEAR($F222),$K222="g"),ROUND(VLOOKUP(FP$4,Preisindex,4,FALSE)/VLOOKUP(Preisindex!$A$6,Preisindex,4,FALSE),2),IF(AND($E222&lt;&gt;0,$F222&gt;0,YEAR($F222)&lt;Preisindex!$A$6,YEAR(FK$4)&gt;=YEAR($F222),$K222="k"),ROUND(VLOOKUP(FP$4,Preisindex,2,FALSE)/VLOOKUP(Preisindex!$A$6,Preisindex,2,FALSE),2),0)))))</f>
        <v>0</v>
      </c>
      <c r="FR222" s="51">
        <f>IF(AND($E222&lt;&gt;0,$F222&gt;0,YEAR($F222)&lt;=FP$4,YEAR($F222)&gt;=Preisindex!$A$6),ROUND($E222*FP222,2),IF(AND($E222&lt;&gt;0,$F222&gt;0,YEAR($F222)&lt;=FP$4,YEAR($F222)&lt;Preisindex!$A$6),ROUND($E222*FQ222,2),0))</f>
        <v>0</v>
      </c>
      <c r="FS222" s="53">
        <f t="shared" si="688"/>
        <v>0</v>
      </c>
    </row>
    <row r="223" spans="1:175" x14ac:dyDescent="0.3">
      <c r="A223" s="93"/>
      <c r="B223" s="623"/>
      <c r="C223" s="96"/>
      <c r="D223" s="188"/>
      <c r="E223" s="624"/>
      <c r="F223" s="190"/>
      <c r="G223" s="625"/>
      <c r="H223" s="192"/>
      <c r="I223" s="621"/>
      <c r="J223" s="103"/>
      <c r="K223" s="630"/>
      <c r="L223" s="49">
        <f t="shared" si="689"/>
        <v>0</v>
      </c>
      <c r="M223" s="50">
        <f t="shared" si="690"/>
        <v>0</v>
      </c>
      <c r="N223" s="51">
        <f t="shared" si="691"/>
        <v>0</v>
      </c>
      <c r="O223" s="51"/>
      <c r="P223" s="51">
        <f t="shared" si="692"/>
        <v>0</v>
      </c>
      <c r="Q223" s="52"/>
      <c r="R223" s="52"/>
      <c r="S223" s="52"/>
      <c r="T223" s="52"/>
      <c r="U223" s="52"/>
      <c r="V223" s="53">
        <f t="shared" si="693"/>
        <v>0</v>
      </c>
      <c r="W223" s="51">
        <f t="shared" si="694"/>
        <v>0</v>
      </c>
      <c r="X223" s="51">
        <f t="shared" si="695"/>
        <v>0</v>
      </c>
      <c r="Y223" s="51">
        <f t="shared" si="696"/>
        <v>0</v>
      </c>
      <c r="Z223" s="51">
        <f t="shared" si="697"/>
        <v>0</v>
      </c>
      <c r="AA223" s="51">
        <f t="shared" si="698"/>
        <v>0</v>
      </c>
      <c r="AB223" s="51">
        <f t="shared" si="699"/>
        <v>0</v>
      </c>
      <c r="AC223" s="51">
        <f t="shared" si="700"/>
        <v>0</v>
      </c>
      <c r="AD223" s="51">
        <f t="shared" si="701"/>
        <v>0</v>
      </c>
      <c r="AE223" s="51">
        <f t="shared" si="702"/>
        <v>0</v>
      </c>
      <c r="AF223" s="51">
        <f t="shared" si="703"/>
        <v>0</v>
      </c>
      <c r="AG223" s="51">
        <f t="shared" si="704"/>
        <v>0</v>
      </c>
      <c r="AH223" s="54">
        <f t="shared" si="705"/>
        <v>0</v>
      </c>
      <c r="AI223" s="55">
        <f t="shared" si="706"/>
        <v>0</v>
      </c>
      <c r="AJ223" s="56">
        <f>IF(AND($E223&lt;&gt;0,$F223&gt;0,YEAR($F223)&gt;=Preisindex!$A$6,YEAR(AE$4)&gt;=YEAR($F223),AND($K223&lt;&gt;"a",$K223&lt;&gt;"b",$K223&lt;&gt;"g",$K223&lt;&gt;"k")),1,IF(AND($E223&lt;&gt;0,$F223&gt;0,YEAR($F223)&gt;=Preisindex!$A$6,YEAR(AE$4)&gt;=YEAR($F223),$K223="a"),ROUND(VLOOKUP(AJ$4,Preisindex,5,FALSE)/VLOOKUP(YEAR($F223),Preisindex,5,FALSE),2),IF(AND($E223&lt;&gt;0,$F223&gt;0,YEAR($F223)&gt;=Preisindex!$A$6,YEAR(AE$4)&gt;=YEAR($F223),$K223="b"),ROUND(VLOOKUP(AJ$4,Preisindex,3,FALSE)/VLOOKUP(YEAR($F223),Preisindex,3,FALSE),2),IF(AND($E223&lt;&gt;0,$F223&gt;0,YEAR($F223)&gt;=Preisindex!$A$6,YEAR(AE$4)&gt;=YEAR($F223),$K223="g"),ROUND(VLOOKUP(AJ$4,Preisindex,4,FALSE)/VLOOKUP(YEAR($F223),Preisindex,4,FALSE),2),IF(AND($E223&lt;&gt;0,$F223&gt;0,YEAR($F223)&gt;=Preisindex!$A$6,YEAR(AE$4)&gt;=YEAR($F223),$K223="k"),ROUND(VLOOKUP(AJ$4,Preisindex,2,FALSE)/VLOOKUP(YEAR($F223),Preisindex,2,FALSE),2),0)))))</f>
        <v>0</v>
      </c>
      <c r="AK223" s="56">
        <f>IF(AND($E223&lt;&gt;0,$F223&gt;0,YEAR($F223)&lt;Preisindex!$A$6,YEAR(AE$4)&gt;=YEAR($F223),AND($K223&lt;&gt;"a",$K223&lt;&gt;"b",$K223&lt;&gt;"g",$K223&lt;&gt;"k")),1,IF(AND($E223&lt;&gt;0,$F223&gt;0,YEAR($F223)&lt;Preisindex!$A$6,YEAR(AE$4)&gt;=YEAR($F223),$K223="a"),ROUND(VLOOKUP(AJ$4,Preisindex,5,FALSE)/VLOOKUP(Preisindex!$A$6,Preisindex,5,FALSE),2),IF(AND($E223&lt;&gt;0,$F223&gt;0,YEAR($F223)&lt;Preisindex!$A$6,YEAR(AE$4)&gt;=YEAR($F223),$K223="b"),ROUND(VLOOKUP(AJ$4,Preisindex,3,FALSE)/VLOOKUP(Preisindex!$A$6,Preisindex,3,FALSE),2),IF(AND($E223&lt;&gt;0,$F223&gt;0,YEAR($F223)&lt;Preisindex!$A$6,YEAR(AE$4)&gt;=YEAR($F223),$K223="g"),ROUND(VLOOKUP(AJ$4,Preisindex,4,FALSE)/VLOOKUP(Preisindex!$A$6,Preisindex,4,FALSE),2),IF(AND($E223&lt;&gt;0,$F223&gt;0,YEAR($F223)&lt;Preisindex!$A$6,YEAR(AE$4)&gt;=YEAR($F223),$K223="k"),ROUND(VLOOKUP(AJ$4,Preisindex,2,FALSE)/VLOOKUP(Preisindex!$A$6,Preisindex,2,FALSE),2),0)))))</f>
        <v>0</v>
      </c>
      <c r="AL223" s="51">
        <f>IF(AND($E223&lt;&gt;0,$F223&gt;0,YEAR($F223)&lt;=AJ$4,YEAR($F223)&gt;=Preisindex!$A$6),ROUND($E223*AJ223,2),IF(AND($E223&lt;&gt;0,$F223&gt;0,YEAR($F223)&lt;=AJ$4,YEAR($F223)&lt;Preisindex!$A$6),ROUND($E223*AK223,2),0))</f>
        <v>0</v>
      </c>
      <c r="AM223" s="53">
        <f t="shared" si="707"/>
        <v>0</v>
      </c>
      <c r="AN223" s="51">
        <f t="shared" si="708"/>
        <v>0</v>
      </c>
      <c r="AO223" s="51">
        <f t="shared" si="710"/>
        <v>0</v>
      </c>
      <c r="AP223" s="51">
        <f t="shared" si="624"/>
        <v>0</v>
      </c>
      <c r="AQ223" s="51">
        <f t="shared" si="711"/>
        <v>0</v>
      </c>
      <c r="AR223" s="51">
        <f t="shared" si="625"/>
        <v>0</v>
      </c>
      <c r="AS223" s="51">
        <f t="shared" si="712"/>
        <v>0</v>
      </c>
      <c r="AT223" s="51">
        <f t="shared" si="626"/>
        <v>0</v>
      </c>
      <c r="AU223" s="51">
        <f t="shared" si="713"/>
        <v>0</v>
      </c>
      <c r="AV223" s="51">
        <f t="shared" si="627"/>
        <v>0</v>
      </c>
      <c r="AW223" s="51">
        <f t="shared" si="714"/>
        <v>0</v>
      </c>
      <c r="AX223" s="51">
        <f t="shared" si="628"/>
        <v>0</v>
      </c>
      <c r="AY223" s="54">
        <f t="shared" si="629"/>
        <v>0</v>
      </c>
      <c r="AZ223" s="55">
        <f t="shared" si="630"/>
        <v>0</v>
      </c>
      <c r="BA223" s="56">
        <f>IF(AND($E223&lt;&gt;0,$F223&gt;0,YEAR($F223)&gt;=Preisindex!$A$6,YEAR(AV$4)&gt;=YEAR($F223),AND($K223&lt;&gt;"a",$K223&lt;&gt;"b",$K223&lt;&gt;"g",$K223&lt;&gt;"k")),1,IF(AND($E223&lt;&gt;0,$F223&gt;0,YEAR($F223)&gt;=Preisindex!$A$6,YEAR(AV$4)&gt;=YEAR($F223),$K223="a"),ROUND(VLOOKUP(BA$4,Preisindex,5,FALSE)/VLOOKUP(YEAR($F223),Preisindex,5,FALSE),2),IF(AND($E223&lt;&gt;0,$F223&gt;0,YEAR($F223)&gt;=Preisindex!$A$6,YEAR(AV$4)&gt;=YEAR($F223),$K223="b"),ROUND(VLOOKUP(BA$4,Preisindex,3,FALSE)/VLOOKUP(YEAR($F223),Preisindex,3,FALSE),2),IF(AND($E223&lt;&gt;0,$F223&gt;0,YEAR($F223)&gt;=Preisindex!$A$6,YEAR(AV$4)&gt;=YEAR($F223),$K223="g"),ROUND(VLOOKUP(BA$4,Preisindex,4,FALSE)/VLOOKUP(YEAR($F223),Preisindex,4,FALSE),2),IF(AND($E223&lt;&gt;0,$F223&gt;0,YEAR($F223)&gt;=Preisindex!$A$6,YEAR(AV$4)&gt;=YEAR($F223),$K223="k"),ROUND(VLOOKUP(BA$4,Preisindex,2,FALSE)/VLOOKUP(YEAR($F223),Preisindex,2,FALSE),2),0)))))</f>
        <v>0</v>
      </c>
      <c r="BB223" s="56">
        <f>IF(AND($E223&lt;&gt;0,$F223&gt;0,YEAR($F223)&lt;Preisindex!$A$6,YEAR(AV$4)&gt;=YEAR($F223),AND($K223&lt;&gt;"a",$K223&lt;&gt;"b",$K223&lt;&gt;"g",$K223&lt;&gt;"k")),1,IF(AND($E223&lt;&gt;0,$F223&gt;0,YEAR($F223)&lt;Preisindex!$A$6,YEAR(AV$4)&gt;=YEAR($F223),$K223="a"),ROUND(VLOOKUP(BA$4,Preisindex,5,FALSE)/VLOOKUP(Preisindex!$A$6,Preisindex,5,FALSE),2),IF(AND($E223&lt;&gt;0,$F223&gt;0,YEAR($F223)&lt;Preisindex!$A$6,YEAR(AV$4)&gt;=YEAR($F223),$K223="b"),ROUND(VLOOKUP(BA$4,Preisindex,3,FALSE)/VLOOKUP(Preisindex!$A$6,Preisindex,3,FALSE),2),IF(AND($E223&lt;&gt;0,$F223&gt;0,YEAR($F223)&lt;Preisindex!$A$6,YEAR(AV$4)&gt;=YEAR($F223),$K223="g"),ROUND(VLOOKUP(BA$4,Preisindex,4,FALSE)/VLOOKUP(Preisindex!$A$6,Preisindex,4,FALSE),2),IF(AND($E223&lt;&gt;0,$F223&gt;0,YEAR($F223)&lt;Preisindex!$A$6,YEAR(AV$4)&gt;=YEAR($F223),$K223="k"),ROUND(VLOOKUP(BA$4,Preisindex,2,FALSE)/VLOOKUP(Preisindex!$A$6,Preisindex,2,FALSE),2),0)))))</f>
        <v>0</v>
      </c>
      <c r="BC223" s="51">
        <f>IF(AND($E223&lt;&gt;0,$F223&gt;0,YEAR($F223)&lt;=BA$4,YEAR($F223)&gt;=Preisindex!$A$6),ROUND($E223*BA223,2),IF(AND($E223&lt;&gt;0,$F223&gt;0,YEAR($F223)&lt;=BA$4,YEAR($F223)&lt;Preisindex!$A$6),ROUND($E223*BB223,2),0))</f>
        <v>0</v>
      </c>
      <c r="BD223" s="53">
        <f t="shared" si="631"/>
        <v>0</v>
      </c>
      <c r="BE223" s="51">
        <f t="shared" si="708"/>
        <v>0</v>
      </c>
      <c r="BF223" s="51">
        <f t="shared" si="715"/>
        <v>0</v>
      </c>
      <c r="BG223" s="51">
        <f t="shared" si="632"/>
        <v>0</v>
      </c>
      <c r="BH223" s="51">
        <f t="shared" si="716"/>
        <v>0</v>
      </c>
      <c r="BI223" s="51">
        <f t="shared" si="633"/>
        <v>0</v>
      </c>
      <c r="BJ223" s="51">
        <f t="shared" si="717"/>
        <v>0</v>
      </c>
      <c r="BK223" s="51">
        <f t="shared" si="634"/>
        <v>0</v>
      </c>
      <c r="BL223" s="51">
        <f t="shared" si="718"/>
        <v>0</v>
      </c>
      <c r="BM223" s="51">
        <f t="shared" si="635"/>
        <v>0</v>
      </c>
      <c r="BN223" s="51">
        <f t="shared" si="719"/>
        <v>0</v>
      </c>
      <c r="BO223" s="51">
        <f t="shared" si="636"/>
        <v>0</v>
      </c>
      <c r="BP223" s="54">
        <f t="shared" si="637"/>
        <v>0</v>
      </c>
      <c r="BQ223" s="55">
        <f t="shared" si="638"/>
        <v>0</v>
      </c>
      <c r="BR223" s="56">
        <f>IF(AND($E223&lt;&gt;0,$F223&gt;0,YEAR($F223)&gt;=Preisindex!$A$6,YEAR(BM$4)&gt;=YEAR($F223),AND($K223&lt;&gt;"a",$K223&lt;&gt;"b",$K223&lt;&gt;"g",$K223&lt;&gt;"k")),1,IF(AND($E223&lt;&gt;0,$F223&gt;0,YEAR($F223)&gt;=Preisindex!$A$6,YEAR(BM$4)&gt;=YEAR($F223),$K223="a"),ROUND(VLOOKUP(BR$4,Preisindex,5,FALSE)/VLOOKUP(YEAR($F223),Preisindex,5,FALSE),2),IF(AND($E223&lt;&gt;0,$F223&gt;0,YEAR($F223)&gt;=Preisindex!$A$6,YEAR(BM$4)&gt;=YEAR($F223),$K223="b"),ROUND(VLOOKUP(BR$4,Preisindex,3,FALSE)/VLOOKUP(YEAR($F223),Preisindex,3,FALSE),2),IF(AND($E223&lt;&gt;0,$F223&gt;0,YEAR($F223)&gt;=Preisindex!$A$6,YEAR(BM$4)&gt;=YEAR($F223),$K223="g"),ROUND(VLOOKUP(BR$4,Preisindex,4,FALSE)/VLOOKUP(YEAR($F223),Preisindex,4,FALSE),2),IF(AND($E223&lt;&gt;0,$F223&gt;0,YEAR($F223)&gt;=Preisindex!$A$6,YEAR(BM$4)&gt;=YEAR($F223),$K223="k"),ROUND(VLOOKUP(BR$4,Preisindex,2,FALSE)/VLOOKUP(YEAR($F223),Preisindex,2,FALSE),2),0)))))</f>
        <v>0</v>
      </c>
      <c r="BS223" s="56">
        <f>IF(AND($E223&lt;&gt;0,$F223&gt;0,YEAR($F223)&lt;Preisindex!$A$6,YEAR(BM$4)&gt;=YEAR($F223),AND($K223&lt;&gt;"a",$K223&lt;&gt;"b",$K223&lt;&gt;"g",$K223&lt;&gt;"k")),1,IF(AND($E223&lt;&gt;0,$F223&gt;0,YEAR($F223)&lt;Preisindex!$A$6,YEAR(BM$4)&gt;=YEAR($F223),$K223="a"),ROUND(VLOOKUP(BR$4,Preisindex,5,FALSE)/VLOOKUP(Preisindex!$A$6,Preisindex,5,FALSE),2),IF(AND($E223&lt;&gt;0,$F223&gt;0,YEAR($F223)&lt;Preisindex!$A$6,YEAR(BM$4)&gt;=YEAR($F223),$K223="b"),ROUND(VLOOKUP(BR$4,Preisindex,3,FALSE)/VLOOKUP(Preisindex!$A$6,Preisindex,3,FALSE),2),IF(AND($E223&lt;&gt;0,$F223&gt;0,YEAR($F223)&lt;Preisindex!$A$6,YEAR(BM$4)&gt;=YEAR($F223),$K223="g"),ROUND(VLOOKUP(BR$4,Preisindex,4,FALSE)/VLOOKUP(Preisindex!$A$6,Preisindex,4,FALSE),2),IF(AND($E223&lt;&gt;0,$F223&gt;0,YEAR($F223)&lt;Preisindex!$A$6,YEAR(BM$4)&gt;=YEAR($F223),$K223="k"),ROUND(VLOOKUP(BR$4,Preisindex,2,FALSE)/VLOOKUP(Preisindex!$A$6,Preisindex,2,FALSE),2),0)))))</f>
        <v>0</v>
      </c>
      <c r="BT223" s="51">
        <f>IF(AND($E223&lt;&gt;0,$F223&gt;0,YEAR($F223)&lt;=BR$4,YEAR($F223)&gt;=Preisindex!$A$6),ROUND($E223*BR223,2),IF(AND($E223&lt;&gt;0,$F223&gt;0,YEAR($F223)&lt;=BR$4,YEAR($F223)&lt;Preisindex!$A$6),ROUND($E223*BS223,2),0))</f>
        <v>0</v>
      </c>
      <c r="BU223" s="53">
        <f t="shared" si="639"/>
        <v>0</v>
      </c>
      <c r="BV223" s="51">
        <f t="shared" si="708"/>
        <v>0</v>
      </c>
      <c r="BW223" s="51">
        <f t="shared" si="720"/>
        <v>0</v>
      </c>
      <c r="BX223" s="51">
        <f t="shared" si="640"/>
        <v>0</v>
      </c>
      <c r="BY223" s="51">
        <f t="shared" si="721"/>
        <v>0</v>
      </c>
      <c r="BZ223" s="51">
        <f t="shared" si="641"/>
        <v>0</v>
      </c>
      <c r="CA223" s="51">
        <f t="shared" si="722"/>
        <v>0</v>
      </c>
      <c r="CB223" s="51">
        <f t="shared" si="642"/>
        <v>0</v>
      </c>
      <c r="CC223" s="51">
        <f t="shared" si="723"/>
        <v>0</v>
      </c>
      <c r="CD223" s="51">
        <f t="shared" si="643"/>
        <v>0</v>
      </c>
      <c r="CE223" s="51">
        <f t="shared" si="724"/>
        <v>0</v>
      </c>
      <c r="CF223" s="51">
        <f t="shared" si="644"/>
        <v>0</v>
      </c>
      <c r="CG223" s="54">
        <f t="shared" si="645"/>
        <v>0</v>
      </c>
      <c r="CH223" s="55">
        <f t="shared" si="646"/>
        <v>0</v>
      </c>
      <c r="CI223" s="56">
        <f>IF(AND($E223&lt;&gt;0,$F223&gt;0,YEAR($F223)&gt;=Preisindex!$A$6,YEAR(CD$4)&gt;=YEAR($F223),AND($K223&lt;&gt;"a",$K223&lt;&gt;"b",$K223&lt;&gt;"g",$K223&lt;&gt;"k")),1,IF(AND($E223&lt;&gt;0,$F223&gt;0,YEAR($F223)&gt;=Preisindex!$A$6,YEAR(CD$4)&gt;=YEAR($F223),$K223="a"),ROUND(VLOOKUP(CI$4,Preisindex,5,FALSE)/VLOOKUP(YEAR($F223),Preisindex,5,FALSE),2),IF(AND($E223&lt;&gt;0,$F223&gt;0,YEAR($F223)&gt;=Preisindex!$A$6,YEAR(CD$4)&gt;=YEAR($F223),$K223="b"),ROUND(VLOOKUP(CI$4,Preisindex,3,FALSE)/VLOOKUP(YEAR($F223),Preisindex,3,FALSE),2),IF(AND($E223&lt;&gt;0,$F223&gt;0,YEAR($F223)&gt;=Preisindex!$A$6,YEAR(CD$4)&gt;=YEAR($F223),$K223="g"),ROUND(VLOOKUP(CI$4,Preisindex,4,FALSE)/VLOOKUP(YEAR($F223),Preisindex,4,FALSE),2),IF(AND($E223&lt;&gt;0,$F223&gt;0,YEAR($F223)&gt;=Preisindex!$A$6,YEAR(CD$4)&gt;=YEAR($F223),$K223="k"),ROUND(VLOOKUP(CI$4,Preisindex,2,FALSE)/VLOOKUP(YEAR($F223),Preisindex,2,FALSE),2),0)))))</f>
        <v>0</v>
      </c>
      <c r="CJ223" s="56">
        <f>IF(AND($E223&lt;&gt;0,$F223&gt;0,YEAR($F223)&lt;Preisindex!$A$6,YEAR(CD$4)&gt;=YEAR($F223),AND($K223&lt;&gt;"a",$K223&lt;&gt;"b",$K223&lt;&gt;"g",$K223&lt;&gt;"k")),1,IF(AND($E223&lt;&gt;0,$F223&gt;0,YEAR($F223)&lt;Preisindex!$A$6,YEAR(CD$4)&gt;=YEAR($F223),$K223="a"),ROUND(VLOOKUP(CI$4,Preisindex,5,FALSE)/VLOOKUP(Preisindex!$A$6,Preisindex,5,FALSE),2),IF(AND($E223&lt;&gt;0,$F223&gt;0,YEAR($F223)&lt;Preisindex!$A$6,YEAR(CD$4)&gt;=YEAR($F223),$K223="b"),ROUND(VLOOKUP(CI$4,Preisindex,3,FALSE)/VLOOKUP(Preisindex!$A$6,Preisindex,3,FALSE),2),IF(AND($E223&lt;&gt;0,$F223&gt;0,YEAR($F223)&lt;Preisindex!$A$6,YEAR(CD$4)&gt;=YEAR($F223),$K223="g"),ROUND(VLOOKUP(CI$4,Preisindex,4,FALSE)/VLOOKUP(Preisindex!$A$6,Preisindex,4,FALSE),2),IF(AND($E223&lt;&gt;0,$F223&gt;0,YEAR($F223)&lt;Preisindex!$A$6,YEAR(CD$4)&gt;=YEAR($F223),$K223="k"),ROUND(VLOOKUP(CI$4,Preisindex,2,FALSE)/VLOOKUP(Preisindex!$A$6,Preisindex,2,FALSE),2),0)))))</f>
        <v>0</v>
      </c>
      <c r="CK223" s="51">
        <f>IF(AND($E223&lt;&gt;0,$F223&gt;0,YEAR($F223)&lt;=CI$4,YEAR($F223)&gt;=Preisindex!$A$6),ROUND($E223*CI223,2),IF(AND($E223&lt;&gt;0,$F223&gt;0,YEAR($F223)&lt;=CI$4,YEAR($F223)&lt;Preisindex!$A$6),ROUND($E223*CJ223,2),0))</f>
        <v>0</v>
      </c>
      <c r="CL223" s="53">
        <f t="shared" si="647"/>
        <v>0</v>
      </c>
      <c r="CM223" s="51">
        <f t="shared" si="708"/>
        <v>0</v>
      </c>
      <c r="CN223" s="51">
        <f t="shared" si="725"/>
        <v>0</v>
      </c>
      <c r="CO223" s="51">
        <f t="shared" si="648"/>
        <v>0</v>
      </c>
      <c r="CP223" s="51">
        <f t="shared" si="726"/>
        <v>0</v>
      </c>
      <c r="CQ223" s="51">
        <f t="shared" si="649"/>
        <v>0</v>
      </c>
      <c r="CR223" s="51">
        <f t="shared" si="727"/>
        <v>0</v>
      </c>
      <c r="CS223" s="51">
        <f t="shared" si="650"/>
        <v>0</v>
      </c>
      <c r="CT223" s="51">
        <f t="shared" si="728"/>
        <v>0</v>
      </c>
      <c r="CU223" s="51">
        <f t="shared" si="651"/>
        <v>0</v>
      </c>
      <c r="CV223" s="51">
        <f t="shared" si="729"/>
        <v>0</v>
      </c>
      <c r="CW223" s="51">
        <f t="shared" si="652"/>
        <v>0</v>
      </c>
      <c r="CX223" s="54">
        <f t="shared" si="653"/>
        <v>0</v>
      </c>
      <c r="CY223" s="55">
        <f t="shared" si="654"/>
        <v>0</v>
      </c>
      <c r="CZ223" s="56">
        <f>IF(AND($E223&lt;&gt;0,$F223&gt;0,YEAR($F223)&gt;=Preisindex!$A$6,YEAR(CU$4)&gt;=YEAR($F223),AND($K223&lt;&gt;"a",$K223&lt;&gt;"b",$K223&lt;&gt;"g",$K223&lt;&gt;"k")),1,IF(AND($E223&lt;&gt;0,$F223&gt;0,YEAR($F223)&gt;=Preisindex!$A$6,YEAR(CU$4)&gt;=YEAR($F223),$K223="a"),ROUND(VLOOKUP(CZ$4,Preisindex,5,FALSE)/VLOOKUP(YEAR($F223),Preisindex,5,FALSE),2),IF(AND($E223&lt;&gt;0,$F223&gt;0,YEAR($F223)&gt;=Preisindex!$A$6,YEAR(CU$4)&gt;=YEAR($F223),$K223="b"),ROUND(VLOOKUP(CZ$4,Preisindex,3,FALSE)/VLOOKUP(YEAR($F223),Preisindex,3,FALSE),2),IF(AND($E223&lt;&gt;0,$F223&gt;0,YEAR($F223)&gt;=Preisindex!$A$6,YEAR(CU$4)&gt;=YEAR($F223),$K223="g"),ROUND(VLOOKUP(CZ$4,Preisindex,4,FALSE)/VLOOKUP(YEAR($F223),Preisindex,4,FALSE),2),IF(AND($E223&lt;&gt;0,$F223&gt;0,YEAR($F223)&gt;=Preisindex!$A$6,YEAR(CU$4)&gt;=YEAR($F223),$K223="k"),ROUND(VLOOKUP(CZ$4,Preisindex,2,FALSE)/VLOOKUP(YEAR($F223),Preisindex,2,FALSE),2),0)))))</f>
        <v>0</v>
      </c>
      <c r="DA223" s="56">
        <f>IF(AND($E223&lt;&gt;0,$F223&gt;0,YEAR($F223)&lt;Preisindex!$A$6,YEAR(CU$4)&gt;=YEAR($F223),AND($K223&lt;&gt;"a",$K223&lt;&gt;"b",$K223&lt;&gt;"g",$K223&lt;&gt;"k")),1,IF(AND($E223&lt;&gt;0,$F223&gt;0,YEAR($F223)&lt;Preisindex!$A$6,YEAR(CU$4)&gt;=YEAR($F223),$K223="a"),ROUND(VLOOKUP(CZ$4,Preisindex,5,FALSE)/VLOOKUP(Preisindex!$A$6,Preisindex,5,FALSE),2),IF(AND($E223&lt;&gt;0,$F223&gt;0,YEAR($F223)&lt;Preisindex!$A$6,YEAR(CU$4)&gt;=YEAR($F223),$K223="b"),ROUND(VLOOKUP(CZ$4,Preisindex,3,FALSE)/VLOOKUP(Preisindex!$A$6,Preisindex,3,FALSE),2),IF(AND($E223&lt;&gt;0,$F223&gt;0,YEAR($F223)&lt;Preisindex!$A$6,YEAR(CU$4)&gt;=YEAR($F223),$K223="g"),ROUND(VLOOKUP(CZ$4,Preisindex,4,FALSE)/VLOOKUP(Preisindex!$A$6,Preisindex,4,FALSE),2),IF(AND($E223&lt;&gt;0,$F223&gt;0,YEAR($F223)&lt;Preisindex!$A$6,YEAR(CU$4)&gt;=YEAR($F223),$K223="k"),ROUND(VLOOKUP(CZ$4,Preisindex,2,FALSE)/VLOOKUP(Preisindex!$A$6,Preisindex,2,FALSE),2),0)))))</f>
        <v>0</v>
      </c>
      <c r="DB223" s="51">
        <f>IF(AND($E223&lt;&gt;0,$F223&gt;0,YEAR($F223)&lt;=CZ$4,YEAR($F223)&gt;=Preisindex!$A$6),ROUND($E223*CZ223,2),IF(AND($E223&lt;&gt;0,$F223&gt;0,YEAR($F223)&lt;=CZ$4,YEAR($F223)&lt;Preisindex!$A$6),ROUND($E223*DA223,2),0))</f>
        <v>0</v>
      </c>
      <c r="DC223" s="53">
        <f t="shared" si="655"/>
        <v>0</v>
      </c>
      <c r="DD223" s="51">
        <f t="shared" si="709"/>
        <v>0</v>
      </c>
      <c r="DE223" s="51">
        <f t="shared" si="730"/>
        <v>0</v>
      </c>
      <c r="DF223" s="51">
        <f t="shared" si="657"/>
        <v>0</v>
      </c>
      <c r="DG223" s="51">
        <f t="shared" si="731"/>
        <v>0</v>
      </c>
      <c r="DH223" s="51">
        <f t="shared" si="658"/>
        <v>0</v>
      </c>
      <c r="DI223" s="51">
        <f t="shared" si="732"/>
        <v>0</v>
      </c>
      <c r="DJ223" s="51">
        <f t="shared" si="659"/>
        <v>0</v>
      </c>
      <c r="DK223" s="51">
        <f t="shared" si="733"/>
        <v>0</v>
      </c>
      <c r="DL223" s="51">
        <f t="shared" si="660"/>
        <v>0</v>
      </c>
      <c r="DM223" s="51">
        <f t="shared" si="734"/>
        <v>0</v>
      </c>
      <c r="DN223" s="51">
        <f t="shared" si="661"/>
        <v>0</v>
      </c>
      <c r="DO223" s="54">
        <f t="shared" si="662"/>
        <v>0</v>
      </c>
      <c r="DP223" s="55">
        <f t="shared" si="663"/>
        <v>0</v>
      </c>
      <c r="DQ223" s="56">
        <f>IF(AND($E223&lt;&gt;0,$F223&gt;0,YEAR($F223)&gt;=Preisindex!$A$6,YEAR(DL$4)&gt;=YEAR($F223),AND($K223&lt;&gt;"a",$K223&lt;&gt;"b",$K223&lt;&gt;"g",$K223&lt;&gt;"k")),1,IF(AND($E223&lt;&gt;0,$F223&gt;0,YEAR($F223)&gt;=Preisindex!$A$6,YEAR(DL$4)&gt;=YEAR($F223),$K223="a"),ROUND(VLOOKUP(DQ$4,Preisindex,5,FALSE)/VLOOKUP(YEAR($F223),Preisindex,5,FALSE),2),IF(AND($E223&lt;&gt;0,$F223&gt;0,YEAR($F223)&gt;=Preisindex!$A$6,YEAR(DL$4)&gt;=YEAR($F223),$K223="b"),ROUND(VLOOKUP(DQ$4,Preisindex,3,FALSE)/VLOOKUP(YEAR($F223),Preisindex,3,FALSE),2),IF(AND($E223&lt;&gt;0,$F223&gt;0,YEAR($F223)&gt;=Preisindex!$A$6,YEAR(DL$4)&gt;=YEAR($F223),$K223="g"),ROUND(VLOOKUP(DQ$4,Preisindex,4,FALSE)/VLOOKUP(YEAR($F223),Preisindex,4,FALSE),2),IF(AND($E223&lt;&gt;0,$F223&gt;0,YEAR($F223)&gt;=Preisindex!$A$6,YEAR(DL$4)&gt;=YEAR($F223),$K223="k"),ROUND(VLOOKUP(DQ$4,Preisindex,2,FALSE)/VLOOKUP(YEAR($F223),Preisindex,2,FALSE),2),0)))))</f>
        <v>0</v>
      </c>
      <c r="DR223" s="56">
        <f>IF(AND($E223&lt;&gt;0,$F223&gt;0,YEAR($F223)&lt;Preisindex!$A$6,YEAR(DL$4)&gt;=YEAR($F223),AND($K223&lt;&gt;"a",$K223&lt;&gt;"b",$K223&lt;&gt;"g",$K223&lt;&gt;"k")),1,IF(AND($E223&lt;&gt;0,$F223&gt;0,YEAR($F223)&lt;Preisindex!$A$6,YEAR(DL$4)&gt;=YEAR($F223),$K223="a"),ROUND(VLOOKUP(DQ$4,Preisindex,5,FALSE)/VLOOKUP(Preisindex!$A$6,Preisindex,5,FALSE),2),IF(AND($E223&lt;&gt;0,$F223&gt;0,YEAR($F223)&lt;Preisindex!$A$6,YEAR(DL$4)&gt;=YEAR($F223),$K223="b"),ROUND(VLOOKUP(DQ$4,Preisindex,3,FALSE)/VLOOKUP(Preisindex!$A$6,Preisindex,3,FALSE),2),IF(AND($E223&lt;&gt;0,$F223&gt;0,YEAR($F223)&lt;Preisindex!$A$6,YEAR(DL$4)&gt;=YEAR($F223),$K223="g"),ROUND(VLOOKUP(DQ$4,Preisindex,4,FALSE)/VLOOKUP(Preisindex!$A$6,Preisindex,4,FALSE),2),IF(AND($E223&lt;&gt;0,$F223&gt;0,YEAR($F223)&lt;Preisindex!$A$6,YEAR(DL$4)&gt;=YEAR($F223),$K223="k"),ROUND(VLOOKUP(DQ$4,Preisindex,2,FALSE)/VLOOKUP(Preisindex!$A$6,Preisindex,2,FALSE),2),0)))))</f>
        <v>0</v>
      </c>
      <c r="DS223" s="51">
        <f>IF(AND($E223&lt;&gt;0,$F223&gt;0,YEAR($F223)&lt;=DQ$4,YEAR($F223)&gt;=Preisindex!$A$6),ROUND($E223*DQ223,2),IF(AND($E223&lt;&gt;0,$F223&gt;0,YEAR($F223)&lt;=DQ$4,YEAR($F223)&lt;Preisindex!$A$6),ROUND($E223*DR223,2),0))</f>
        <v>0</v>
      </c>
      <c r="DT223" s="53">
        <f t="shared" si="664"/>
        <v>0</v>
      </c>
      <c r="DU223" s="51">
        <f t="shared" si="709"/>
        <v>0</v>
      </c>
      <c r="DV223" s="51">
        <f t="shared" si="735"/>
        <v>0</v>
      </c>
      <c r="DW223" s="51">
        <f t="shared" si="665"/>
        <v>0</v>
      </c>
      <c r="DX223" s="51">
        <f t="shared" si="736"/>
        <v>0</v>
      </c>
      <c r="DY223" s="51">
        <f t="shared" si="666"/>
        <v>0</v>
      </c>
      <c r="DZ223" s="51">
        <f t="shared" si="737"/>
        <v>0</v>
      </c>
      <c r="EA223" s="51">
        <f t="shared" si="667"/>
        <v>0</v>
      </c>
      <c r="EB223" s="51">
        <f t="shared" si="738"/>
        <v>0</v>
      </c>
      <c r="EC223" s="51">
        <f t="shared" si="668"/>
        <v>0</v>
      </c>
      <c r="ED223" s="51">
        <f t="shared" si="739"/>
        <v>0</v>
      </c>
      <c r="EE223" s="51">
        <f t="shared" si="669"/>
        <v>0</v>
      </c>
      <c r="EF223" s="54">
        <f t="shared" si="670"/>
        <v>0</v>
      </c>
      <c r="EG223" s="55">
        <f t="shared" si="671"/>
        <v>0</v>
      </c>
      <c r="EH223" s="56">
        <f>IF(AND($E223&lt;&gt;0,$F223&gt;0,YEAR($F223)&gt;=Preisindex!$A$6,YEAR(EC$4)&gt;=YEAR($F223),AND($K223&lt;&gt;"a",$K223&lt;&gt;"b",$K223&lt;&gt;"g",$K223&lt;&gt;"k")),1,IF(AND($E223&lt;&gt;0,$F223&gt;0,YEAR($F223)&gt;=Preisindex!$A$6,YEAR(EC$4)&gt;=YEAR($F223),$K223="a"),ROUND(VLOOKUP(EH$4,Preisindex,5,FALSE)/VLOOKUP(YEAR($F223),Preisindex,5,FALSE),2),IF(AND($E223&lt;&gt;0,$F223&gt;0,YEAR($F223)&gt;=Preisindex!$A$6,YEAR(EC$4)&gt;=YEAR($F223),$K223="b"),ROUND(VLOOKUP(EH$4,Preisindex,3,FALSE)/VLOOKUP(YEAR($F223),Preisindex,3,FALSE),2),IF(AND($E223&lt;&gt;0,$F223&gt;0,YEAR($F223)&gt;=Preisindex!$A$6,YEAR(EC$4)&gt;=YEAR($F223),$K223="g"),ROUND(VLOOKUP(EH$4,Preisindex,4,FALSE)/VLOOKUP(YEAR($F223),Preisindex,4,FALSE),2),IF(AND($E223&lt;&gt;0,$F223&gt;0,YEAR($F223)&gt;=Preisindex!$A$6,YEAR(EC$4)&gt;=YEAR($F223),$K223="k"),ROUND(VLOOKUP(EH$4,Preisindex,2,FALSE)/VLOOKUP(YEAR($F223),Preisindex,2,FALSE),2),0)))))</f>
        <v>0</v>
      </c>
      <c r="EI223" s="56">
        <f>IF(AND($E223&lt;&gt;0,$F223&gt;0,YEAR($F223)&lt;Preisindex!$A$6,YEAR(EC$4)&gt;=YEAR($F223),AND($K223&lt;&gt;"a",$K223&lt;&gt;"b",$K223&lt;&gt;"g",$K223&lt;&gt;"k")),1,IF(AND($E223&lt;&gt;0,$F223&gt;0,YEAR($F223)&lt;Preisindex!$A$6,YEAR(EC$4)&gt;=YEAR($F223),$K223="a"),ROUND(VLOOKUP(EH$4,Preisindex,5,FALSE)/VLOOKUP(Preisindex!$A$6,Preisindex,5,FALSE),2),IF(AND($E223&lt;&gt;0,$F223&gt;0,YEAR($F223)&lt;Preisindex!$A$6,YEAR(EC$4)&gt;=YEAR($F223),$K223="b"),ROUND(VLOOKUP(EH$4,Preisindex,3,FALSE)/VLOOKUP(Preisindex!$A$6,Preisindex,3,FALSE),2),IF(AND($E223&lt;&gt;0,$F223&gt;0,YEAR($F223)&lt;Preisindex!$A$6,YEAR(EC$4)&gt;=YEAR($F223),$K223="g"),ROUND(VLOOKUP(EH$4,Preisindex,4,FALSE)/VLOOKUP(Preisindex!$A$6,Preisindex,4,FALSE),2),IF(AND($E223&lt;&gt;0,$F223&gt;0,YEAR($F223)&lt;Preisindex!$A$6,YEAR(EC$4)&gt;=YEAR($F223),$K223="k"),ROUND(VLOOKUP(EH$4,Preisindex,2,FALSE)/VLOOKUP(Preisindex!$A$6,Preisindex,2,FALSE),2),0)))))</f>
        <v>0</v>
      </c>
      <c r="EJ223" s="51">
        <f>IF(AND($E223&lt;&gt;0,$F223&gt;0,YEAR($F223)&lt;=EH$4,YEAR($F223)&gt;=Preisindex!$A$6),ROUND($E223*EH223,2),IF(AND($E223&lt;&gt;0,$F223&gt;0,YEAR($F223)&lt;=EH$4,YEAR($F223)&lt;Preisindex!$A$6),ROUND($E223*EI223,2),0))</f>
        <v>0</v>
      </c>
      <c r="EK223" s="53">
        <f t="shared" si="672"/>
        <v>0</v>
      </c>
      <c r="EL223" s="51">
        <f t="shared" si="709"/>
        <v>0</v>
      </c>
      <c r="EM223" s="51">
        <f t="shared" si="740"/>
        <v>0</v>
      </c>
      <c r="EN223" s="51">
        <f t="shared" si="673"/>
        <v>0</v>
      </c>
      <c r="EO223" s="51">
        <f t="shared" si="741"/>
        <v>0</v>
      </c>
      <c r="EP223" s="51">
        <f t="shared" si="674"/>
        <v>0</v>
      </c>
      <c r="EQ223" s="51">
        <f t="shared" si="742"/>
        <v>0</v>
      </c>
      <c r="ER223" s="51">
        <f t="shared" si="675"/>
        <v>0</v>
      </c>
      <c r="ES223" s="51">
        <f t="shared" si="743"/>
        <v>0</v>
      </c>
      <c r="ET223" s="51">
        <f t="shared" si="676"/>
        <v>0</v>
      </c>
      <c r="EU223" s="51">
        <f t="shared" si="744"/>
        <v>0</v>
      </c>
      <c r="EV223" s="51">
        <f t="shared" si="677"/>
        <v>0</v>
      </c>
      <c r="EW223" s="54">
        <f t="shared" si="678"/>
        <v>0</v>
      </c>
      <c r="EX223" s="55">
        <f t="shared" si="679"/>
        <v>0</v>
      </c>
      <c r="EY223" s="56">
        <f>IF(AND($E223&lt;&gt;0,$F223&gt;0,YEAR($F223)&gt;=Preisindex!$A$6,YEAR(ET$4)&gt;=YEAR($F223),AND($K223&lt;&gt;"a",$K223&lt;&gt;"b",$K223&lt;&gt;"g",$K223&lt;&gt;"k")),1,IF(AND($E223&lt;&gt;0,$F223&gt;0,YEAR($F223)&gt;=Preisindex!$A$6,YEAR(ET$4)&gt;=YEAR($F223),$K223="a"),ROUND(VLOOKUP(EY$4,Preisindex,5,FALSE)/VLOOKUP(YEAR($F223),Preisindex,5,FALSE),2),IF(AND($E223&lt;&gt;0,$F223&gt;0,YEAR($F223)&gt;=Preisindex!$A$6,YEAR(ET$4)&gt;=YEAR($F223),$K223="b"),ROUND(VLOOKUP(EY$4,Preisindex,3,FALSE)/VLOOKUP(YEAR($F223),Preisindex,3,FALSE),2),IF(AND($E223&lt;&gt;0,$F223&gt;0,YEAR($F223)&gt;=Preisindex!$A$6,YEAR(ET$4)&gt;=YEAR($F223),$K223="g"),ROUND(VLOOKUP(EY$4,Preisindex,4,FALSE)/VLOOKUP(YEAR($F223),Preisindex,4,FALSE),2),IF(AND($E223&lt;&gt;0,$F223&gt;0,YEAR($F223)&gt;=Preisindex!$A$6,YEAR(ET$4)&gt;=YEAR($F223),$K223="k"),ROUND(VLOOKUP(EY$4,Preisindex,2,FALSE)/VLOOKUP(YEAR($F223),Preisindex,2,FALSE),2),0)))))</f>
        <v>0</v>
      </c>
      <c r="EZ223" s="56">
        <f>IF(AND($E223&lt;&gt;0,$F223&gt;0,YEAR($F223)&lt;Preisindex!$A$6,YEAR(ET$4)&gt;=YEAR($F223),AND($K223&lt;&gt;"a",$K223&lt;&gt;"b",$K223&lt;&gt;"g",$K223&lt;&gt;"k")),1,IF(AND($E223&lt;&gt;0,$F223&gt;0,YEAR($F223)&lt;Preisindex!$A$6,YEAR(ET$4)&gt;=YEAR($F223),$K223="a"),ROUND(VLOOKUP(EY$4,Preisindex,5,FALSE)/VLOOKUP(Preisindex!$A$6,Preisindex,5,FALSE),2),IF(AND($E223&lt;&gt;0,$F223&gt;0,YEAR($F223)&lt;Preisindex!$A$6,YEAR(ET$4)&gt;=YEAR($F223),$K223="b"),ROUND(VLOOKUP(EY$4,Preisindex,3,FALSE)/VLOOKUP(Preisindex!$A$6,Preisindex,3,FALSE),2),IF(AND($E223&lt;&gt;0,$F223&gt;0,YEAR($F223)&lt;Preisindex!$A$6,YEAR(ET$4)&gt;=YEAR($F223),$K223="g"),ROUND(VLOOKUP(EY$4,Preisindex,4,FALSE)/VLOOKUP(Preisindex!$A$6,Preisindex,4,FALSE),2),IF(AND($E223&lt;&gt;0,$F223&gt;0,YEAR($F223)&lt;Preisindex!$A$6,YEAR(ET$4)&gt;=YEAR($F223),$K223="k"),ROUND(VLOOKUP(EY$4,Preisindex,2,FALSE)/VLOOKUP(Preisindex!$A$6,Preisindex,2,FALSE),2),0)))))</f>
        <v>0</v>
      </c>
      <c r="FA223" s="51">
        <f>IF(AND($E223&lt;&gt;0,$F223&gt;0,YEAR($F223)&lt;=EY$4,YEAR($F223)&gt;=Preisindex!$A$6),ROUND($E223*EY223,2),IF(AND($E223&lt;&gt;0,$F223&gt;0,YEAR($F223)&lt;=EY$4,YEAR($F223)&lt;Preisindex!$A$6),ROUND($E223*EZ223,2),0))</f>
        <v>0</v>
      </c>
      <c r="FB223" s="53">
        <f t="shared" si="680"/>
        <v>0</v>
      </c>
      <c r="FC223" s="51">
        <f t="shared" si="709"/>
        <v>0</v>
      </c>
      <c r="FD223" s="51">
        <f t="shared" si="745"/>
        <v>0</v>
      </c>
      <c r="FE223" s="51">
        <f t="shared" si="681"/>
        <v>0</v>
      </c>
      <c r="FF223" s="51">
        <f t="shared" si="746"/>
        <v>0</v>
      </c>
      <c r="FG223" s="51">
        <f t="shared" si="682"/>
        <v>0</v>
      </c>
      <c r="FH223" s="51">
        <f t="shared" si="747"/>
        <v>0</v>
      </c>
      <c r="FI223" s="51">
        <f t="shared" si="683"/>
        <v>0</v>
      </c>
      <c r="FJ223" s="51">
        <f t="shared" si="748"/>
        <v>0</v>
      </c>
      <c r="FK223" s="51">
        <f t="shared" si="684"/>
        <v>0</v>
      </c>
      <c r="FL223" s="51">
        <f t="shared" si="749"/>
        <v>0</v>
      </c>
      <c r="FM223" s="51">
        <f t="shared" si="685"/>
        <v>0</v>
      </c>
      <c r="FN223" s="54">
        <f t="shared" si="686"/>
        <v>0</v>
      </c>
      <c r="FO223" s="55">
        <f t="shared" si="687"/>
        <v>0</v>
      </c>
      <c r="FP223" s="56">
        <f>IF(AND($E223&lt;&gt;0,$F223&gt;0,YEAR($F223)&gt;=Preisindex!$A$6,YEAR(FK$4)&gt;=YEAR($F223),AND($K223&lt;&gt;"a",$K223&lt;&gt;"b",$K223&lt;&gt;"g",$K223&lt;&gt;"k")),1,IF(AND($E223&lt;&gt;0,$F223&gt;0,YEAR($F223)&gt;=Preisindex!$A$6,YEAR(FK$4)&gt;=YEAR($F223),$K223="a"),ROUND(VLOOKUP(FP$4,Preisindex,5,FALSE)/VLOOKUP(YEAR($F223),Preisindex,5,FALSE),2),IF(AND($E223&lt;&gt;0,$F223&gt;0,YEAR($F223)&gt;=Preisindex!$A$6,YEAR(FK$4)&gt;=YEAR($F223),$K223="b"),ROUND(VLOOKUP(FP$4,Preisindex,3,FALSE)/VLOOKUP(YEAR($F223),Preisindex,3,FALSE),2),IF(AND($E223&lt;&gt;0,$F223&gt;0,YEAR($F223)&gt;=Preisindex!$A$6,YEAR(FK$4)&gt;=YEAR($F223),$K223="g"),ROUND(VLOOKUP(FP$4,Preisindex,4,FALSE)/VLOOKUP(YEAR($F223),Preisindex,4,FALSE),2),IF(AND($E223&lt;&gt;0,$F223&gt;0,YEAR($F223)&gt;=Preisindex!$A$6,YEAR(FK$4)&gt;=YEAR($F223),$K223="k"),ROUND(VLOOKUP(FP$4,Preisindex,2,FALSE)/VLOOKUP(YEAR($F223),Preisindex,2,FALSE),2),0)))))</f>
        <v>0</v>
      </c>
      <c r="FQ223" s="56">
        <f>IF(AND($E223&lt;&gt;0,$F223&gt;0,YEAR($F223)&lt;Preisindex!$A$6,YEAR(FK$4)&gt;=YEAR($F223),AND($K223&lt;&gt;"a",$K223&lt;&gt;"b",$K223&lt;&gt;"g",$K223&lt;&gt;"k")),1,IF(AND($E223&lt;&gt;0,$F223&gt;0,YEAR($F223)&lt;Preisindex!$A$6,YEAR(FK$4)&gt;=YEAR($F223),$K223="a"),ROUND(VLOOKUP(FP$4,Preisindex,5,FALSE)/VLOOKUP(Preisindex!$A$6,Preisindex,5,FALSE),2),IF(AND($E223&lt;&gt;0,$F223&gt;0,YEAR($F223)&lt;Preisindex!$A$6,YEAR(FK$4)&gt;=YEAR($F223),$K223="b"),ROUND(VLOOKUP(FP$4,Preisindex,3,FALSE)/VLOOKUP(Preisindex!$A$6,Preisindex,3,FALSE),2),IF(AND($E223&lt;&gt;0,$F223&gt;0,YEAR($F223)&lt;Preisindex!$A$6,YEAR(FK$4)&gt;=YEAR($F223),$K223="g"),ROUND(VLOOKUP(FP$4,Preisindex,4,FALSE)/VLOOKUP(Preisindex!$A$6,Preisindex,4,FALSE),2),IF(AND($E223&lt;&gt;0,$F223&gt;0,YEAR($F223)&lt;Preisindex!$A$6,YEAR(FK$4)&gt;=YEAR($F223),$K223="k"),ROUND(VLOOKUP(FP$4,Preisindex,2,FALSE)/VLOOKUP(Preisindex!$A$6,Preisindex,2,FALSE),2),0)))))</f>
        <v>0</v>
      </c>
      <c r="FR223" s="51">
        <f>IF(AND($E223&lt;&gt;0,$F223&gt;0,YEAR($F223)&lt;=FP$4,YEAR($F223)&gt;=Preisindex!$A$6),ROUND($E223*FP223,2),IF(AND($E223&lt;&gt;0,$F223&gt;0,YEAR($F223)&lt;=FP$4,YEAR($F223)&lt;Preisindex!$A$6),ROUND($E223*FQ223,2),0))</f>
        <v>0</v>
      </c>
      <c r="FS223" s="53">
        <f t="shared" si="688"/>
        <v>0</v>
      </c>
    </row>
    <row r="224" spans="1:175" x14ac:dyDescent="0.3">
      <c r="A224" s="93"/>
      <c r="B224" s="196"/>
      <c r="C224" s="96"/>
      <c r="D224" s="188"/>
      <c r="E224" s="624"/>
      <c r="F224" s="190"/>
      <c r="G224" s="625"/>
      <c r="H224" s="192"/>
      <c r="I224" s="621"/>
      <c r="J224" s="103"/>
      <c r="K224" s="630"/>
      <c r="L224" s="49">
        <f t="shared" si="689"/>
        <v>0</v>
      </c>
      <c r="M224" s="50">
        <f t="shared" si="690"/>
        <v>0</v>
      </c>
      <c r="N224" s="51">
        <f t="shared" si="691"/>
        <v>0</v>
      </c>
      <c r="O224" s="51"/>
      <c r="P224" s="51">
        <f t="shared" si="692"/>
        <v>0</v>
      </c>
      <c r="Q224" s="52"/>
      <c r="R224" s="52"/>
      <c r="S224" s="52"/>
      <c r="T224" s="52"/>
      <c r="U224" s="52"/>
      <c r="V224" s="53">
        <f t="shared" si="693"/>
        <v>0</v>
      </c>
      <c r="W224" s="51">
        <f t="shared" si="694"/>
        <v>0</v>
      </c>
      <c r="X224" s="51">
        <f t="shared" si="695"/>
        <v>0</v>
      </c>
      <c r="Y224" s="51">
        <f t="shared" si="696"/>
        <v>0</v>
      </c>
      <c r="Z224" s="51">
        <f t="shared" si="697"/>
        <v>0</v>
      </c>
      <c r="AA224" s="51">
        <f t="shared" si="698"/>
        <v>0</v>
      </c>
      <c r="AB224" s="51">
        <f t="shared" si="699"/>
        <v>0</v>
      </c>
      <c r="AC224" s="51">
        <f t="shared" si="700"/>
        <v>0</v>
      </c>
      <c r="AD224" s="51">
        <f t="shared" si="701"/>
        <v>0</v>
      </c>
      <c r="AE224" s="51">
        <f t="shared" si="702"/>
        <v>0</v>
      </c>
      <c r="AF224" s="51">
        <f t="shared" si="703"/>
        <v>0</v>
      </c>
      <c r="AG224" s="51">
        <f t="shared" si="704"/>
        <v>0</v>
      </c>
      <c r="AH224" s="54">
        <f t="shared" si="705"/>
        <v>0</v>
      </c>
      <c r="AI224" s="55">
        <f t="shared" si="706"/>
        <v>0</v>
      </c>
      <c r="AJ224" s="56">
        <f>IF(AND($E224&lt;&gt;0,$F224&gt;0,YEAR($F224)&gt;=Preisindex!$A$6,YEAR(AE$4)&gt;=YEAR($F224),AND($K224&lt;&gt;"a",$K224&lt;&gt;"b",$K224&lt;&gt;"g",$K224&lt;&gt;"k")),1,IF(AND($E224&lt;&gt;0,$F224&gt;0,YEAR($F224)&gt;=Preisindex!$A$6,YEAR(AE$4)&gt;=YEAR($F224),$K224="a"),ROUND(VLOOKUP(AJ$4,Preisindex,5,FALSE)/VLOOKUP(YEAR($F224),Preisindex,5,FALSE),2),IF(AND($E224&lt;&gt;0,$F224&gt;0,YEAR($F224)&gt;=Preisindex!$A$6,YEAR(AE$4)&gt;=YEAR($F224),$K224="b"),ROUND(VLOOKUP(AJ$4,Preisindex,3,FALSE)/VLOOKUP(YEAR($F224),Preisindex,3,FALSE),2),IF(AND($E224&lt;&gt;0,$F224&gt;0,YEAR($F224)&gt;=Preisindex!$A$6,YEAR(AE$4)&gt;=YEAR($F224),$K224="g"),ROUND(VLOOKUP(AJ$4,Preisindex,4,FALSE)/VLOOKUP(YEAR($F224),Preisindex,4,FALSE),2),IF(AND($E224&lt;&gt;0,$F224&gt;0,YEAR($F224)&gt;=Preisindex!$A$6,YEAR(AE$4)&gt;=YEAR($F224),$K224="k"),ROUND(VLOOKUP(AJ$4,Preisindex,2,FALSE)/VLOOKUP(YEAR($F224),Preisindex,2,FALSE),2),0)))))</f>
        <v>0</v>
      </c>
      <c r="AK224" s="56">
        <f>IF(AND($E224&lt;&gt;0,$F224&gt;0,YEAR($F224)&lt;Preisindex!$A$6,YEAR(AE$4)&gt;=YEAR($F224),AND($K224&lt;&gt;"a",$K224&lt;&gt;"b",$K224&lt;&gt;"g",$K224&lt;&gt;"k")),1,IF(AND($E224&lt;&gt;0,$F224&gt;0,YEAR($F224)&lt;Preisindex!$A$6,YEAR(AE$4)&gt;=YEAR($F224),$K224="a"),ROUND(VLOOKUP(AJ$4,Preisindex,5,FALSE)/VLOOKUP(Preisindex!$A$6,Preisindex,5,FALSE),2),IF(AND($E224&lt;&gt;0,$F224&gt;0,YEAR($F224)&lt;Preisindex!$A$6,YEAR(AE$4)&gt;=YEAR($F224),$K224="b"),ROUND(VLOOKUP(AJ$4,Preisindex,3,FALSE)/VLOOKUP(Preisindex!$A$6,Preisindex,3,FALSE),2),IF(AND($E224&lt;&gt;0,$F224&gt;0,YEAR($F224)&lt;Preisindex!$A$6,YEAR(AE$4)&gt;=YEAR($F224),$K224="g"),ROUND(VLOOKUP(AJ$4,Preisindex,4,FALSE)/VLOOKUP(Preisindex!$A$6,Preisindex,4,FALSE),2),IF(AND($E224&lt;&gt;0,$F224&gt;0,YEAR($F224)&lt;Preisindex!$A$6,YEAR(AE$4)&gt;=YEAR($F224),$K224="k"),ROUND(VLOOKUP(AJ$4,Preisindex,2,FALSE)/VLOOKUP(Preisindex!$A$6,Preisindex,2,FALSE),2),0)))))</f>
        <v>0</v>
      </c>
      <c r="AL224" s="51">
        <f>IF(AND($E224&lt;&gt;0,$F224&gt;0,YEAR($F224)&lt;=AJ$4,YEAR($F224)&gt;=Preisindex!$A$6),ROUND($E224*AJ224,2),IF(AND($E224&lt;&gt;0,$F224&gt;0,YEAR($F224)&lt;=AJ$4,YEAR($F224)&lt;Preisindex!$A$6),ROUND($E224*AK224,2),0))</f>
        <v>0</v>
      </c>
      <c r="AM224" s="53">
        <f t="shared" si="707"/>
        <v>0</v>
      </c>
      <c r="AN224" s="51">
        <f t="shared" si="708"/>
        <v>0</v>
      </c>
      <c r="AO224" s="51">
        <f t="shared" si="710"/>
        <v>0</v>
      </c>
      <c r="AP224" s="51">
        <f t="shared" si="624"/>
        <v>0</v>
      </c>
      <c r="AQ224" s="51">
        <f t="shared" si="711"/>
        <v>0</v>
      </c>
      <c r="AR224" s="51">
        <f t="shared" si="625"/>
        <v>0</v>
      </c>
      <c r="AS224" s="51">
        <f t="shared" si="712"/>
        <v>0</v>
      </c>
      <c r="AT224" s="51">
        <f t="shared" si="626"/>
        <v>0</v>
      </c>
      <c r="AU224" s="51">
        <f t="shared" si="713"/>
        <v>0</v>
      </c>
      <c r="AV224" s="51">
        <f t="shared" si="627"/>
        <v>0</v>
      </c>
      <c r="AW224" s="51">
        <f t="shared" si="714"/>
        <v>0</v>
      </c>
      <c r="AX224" s="51">
        <f t="shared" si="628"/>
        <v>0</v>
      </c>
      <c r="AY224" s="54">
        <f t="shared" si="629"/>
        <v>0</v>
      </c>
      <c r="AZ224" s="55">
        <f t="shared" si="630"/>
        <v>0</v>
      </c>
      <c r="BA224" s="56">
        <f>IF(AND($E224&lt;&gt;0,$F224&gt;0,YEAR($F224)&gt;=Preisindex!$A$6,YEAR(AV$4)&gt;=YEAR($F224),AND($K224&lt;&gt;"a",$K224&lt;&gt;"b",$K224&lt;&gt;"g",$K224&lt;&gt;"k")),1,IF(AND($E224&lt;&gt;0,$F224&gt;0,YEAR($F224)&gt;=Preisindex!$A$6,YEAR(AV$4)&gt;=YEAR($F224),$K224="a"),ROUND(VLOOKUP(BA$4,Preisindex,5,FALSE)/VLOOKUP(YEAR($F224),Preisindex,5,FALSE),2),IF(AND($E224&lt;&gt;0,$F224&gt;0,YEAR($F224)&gt;=Preisindex!$A$6,YEAR(AV$4)&gt;=YEAR($F224),$K224="b"),ROUND(VLOOKUP(BA$4,Preisindex,3,FALSE)/VLOOKUP(YEAR($F224),Preisindex,3,FALSE),2),IF(AND($E224&lt;&gt;0,$F224&gt;0,YEAR($F224)&gt;=Preisindex!$A$6,YEAR(AV$4)&gt;=YEAR($F224),$K224="g"),ROUND(VLOOKUP(BA$4,Preisindex,4,FALSE)/VLOOKUP(YEAR($F224),Preisindex,4,FALSE),2),IF(AND($E224&lt;&gt;0,$F224&gt;0,YEAR($F224)&gt;=Preisindex!$A$6,YEAR(AV$4)&gt;=YEAR($F224),$K224="k"),ROUND(VLOOKUP(BA$4,Preisindex,2,FALSE)/VLOOKUP(YEAR($F224),Preisindex,2,FALSE),2),0)))))</f>
        <v>0</v>
      </c>
      <c r="BB224" s="56">
        <f>IF(AND($E224&lt;&gt;0,$F224&gt;0,YEAR($F224)&lt;Preisindex!$A$6,YEAR(AV$4)&gt;=YEAR($F224),AND($K224&lt;&gt;"a",$K224&lt;&gt;"b",$K224&lt;&gt;"g",$K224&lt;&gt;"k")),1,IF(AND($E224&lt;&gt;0,$F224&gt;0,YEAR($F224)&lt;Preisindex!$A$6,YEAR(AV$4)&gt;=YEAR($F224),$K224="a"),ROUND(VLOOKUP(BA$4,Preisindex,5,FALSE)/VLOOKUP(Preisindex!$A$6,Preisindex,5,FALSE),2),IF(AND($E224&lt;&gt;0,$F224&gt;0,YEAR($F224)&lt;Preisindex!$A$6,YEAR(AV$4)&gt;=YEAR($F224),$K224="b"),ROUND(VLOOKUP(BA$4,Preisindex,3,FALSE)/VLOOKUP(Preisindex!$A$6,Preisindex,3,FALSE),2),IF(AND($E224&lt;&gt;0,$F224&gt;0,YEAR($F224)&lt;Preisindex!$A$6,YEAR(AV$4)&gt;=YEAR($F224),$K224="g"),ROUND(VLOOKUP(BA$4,Preisindex,4,FALSE)/VLOOKUP(Preisindex!$A$6,Preisindex,4,FALSE),2),IF(AND($E224&lt;&gt;0,$F224&gt;0,YEAR($F224)&lt;Preisindex!$A$6,YEAR(AV$4)&gt;=YEAR($F224),$K224="k"),ROUND(VLOOKUP(BA$4,Preisindex,2,FALSE)/VLOOKUP(Preisindex!$A$6,Preisindex,2,FALSE),2),0)))))</f>
        <v>0</v>
      </c>
      <c r="BC224" s="51">
        <f>IF(AND($E224&lt;&gt;0,$F224&gt;0,YEAR($F224)&lt;=BA$4,YEAR($F224)&gt;=Preisindex!$A$6),ROUND($E224*BA224,2),IF(AND($E224&lt;&gt;0,$F224&gt;0,YEAR($F224)&lt;=BA$4,YEAR($F224)&lt;Preisindex!$A$6),ROUND($E224*BB224,2),0))</f>
        <v>0</v>
      </c>
      <c r="BD224" s="53">
        <f t="shared" si="631"/>
        <v>0</v>
      </c>
      <c r="BE224" s="51">
        <f t="shared" si="708"/>
        <v>0</v>
      </c>
      <c r="BF224" s="51">
        <f t="shared" si="715"/>
        <v>0</v>
      </c>
      <c r="BG224" s="51">
        <f t="shared" si="632"/>
        <v>0</v>
      </c>
      <c r="BH224" s="51">
        <f t="shared" si="716"/>
        <v>0</v>
      </c>
      <c r="BI224" s="51">
        <f t="shared" si="633"/>
        <v>0</v>
      </c>
      <c r="BJ224" s="51">
        <f t="shared" si="717"/>
        <v>0</v>
      </c>
      <c r="BK224" s="51">
        <f t="shared" si="634"/>
        <v>0</v>
      </c>
      <c r="BL224" s="51">
        <f t="shared" si="718"/>
        <v>0</v>
      </c>
      <c r="BM224" s="51">
        <f t="shared" si="635"/>
        <v>0</v>
      </c>
      <c r="BN224" s="51">
        <f t="shared" si="719"/>
        <v>0</v>
      </c>
      <c r="BO224" s="51">
        <f t="shared" si="636"/>
        <v>0</v>
      </c>
      <c r="BP224" s="54">
        <f t="shared" si="637"/>
        <v>0</v>
      </c>
      <c r="BQ224" s="55">
        <f t="shared" si="638"/>
        <v>0</v>
      </c>
      <c r="BR224" s="56">
        <f>IF(AND($E224&lt;&gt;0,$F224&gt;0,YEAR($F224)&gt;=Preisindex!$A$6,YEAR(BM$4)&gt;=YEAR($F224),AND($K224&lt;&gt;"a",$K224&lt;&gt;"b",$K224&lt;&gt;"g",$K224&lt;&gt;"k")),1,IF(AND($E224&lt;&gt;0,$F224&gt;0,YEAR($F224)&gt;=Preisindex!$A$6,YEAR(BM$4)&gt;=YEAR($F224),$K224="a"),ROUND(VLOOKUP(BR$4,Preisindex,5,FALSE)/VLOOKUP(YEAR($F224),Preisindex,5,FALSE),2),IF(AND($E224&lt;&gt;0,$F224&gt;0,YEAR($F224)&gt;=Preisindex!$A$6,YEAR(BM$4)&gt;=YEAR($F224),$K224="b"),ROUND(VLOOKUP(BR$4,Preisindex,3,FALSE)/VLOOKUP(YEAR($F224),Preisindex,3,FALSE),2),IF(AND($E224&lt;&gt;0,$F224&gt;0,YEAR($F224)&gt;=Preisindex!$A$6,YEAR(BM$4)&gt;=YEAR($F224),$K224="g"),ROUND(VLOOKUP(BR$4,Preisindex,4,FALSE)/VLOOKUP(YEAR($F224),Preisindex,4,FALSE),2),IF(AND($E224&lt;&gt;0,$F224&gt;0,YEAR($F224)&gt;=Preisindex!$A$6,YEAR(BM$4)&gt;=YEAR($F224),$K224="k"),ROUND(VLOOKUP(BR$4,Preisindex,2,FALSE)/VLOOKUP(YEAR($F224),Preisindex,2,FALSE),2),0)))))</f>
        <v>0</v>
      </c>
      <c r="BS224" s="56">
        <f>IF(AND($E224&lt;&gt;0,$F224&gt;0,YEAR($F224)&lt;Preisindex!$A$6,YEAR(BM$4)&gt;=YEAR($F224),AND($K224&lt;&gt;"a",$K224&lt;&gt;"b",$K224&lt;&gt;"g",$K224&lt;&gt;"k")),1,IF(AND($E224&lt;&gt;0,$F224&gt;0,YEAR($F224)&lt;Preisindex!$A$6,YEAR(BM$4)&gt;=YEAR($F224),$K224="a"),ROUND(VLOOKUP(BR$4,Preisindex,5,FALSE)/VLOOKUP(Preisindex!$A$6,Preisindex,5,FALSE),2),IF(AND($E224&lt;&gt;0,$F224&gt;0,YEAR($F224)&lt;Preisindex!$A$6,YEAR(BM$4)&gt;=YEAR($F224),$K224="b"),ROUND(VLOOKUP(BR$4,Preisindex,3,FALSE)/VLOOKUP(Preisindex!$A$6,Preisindex,3,FALSE),2),IF(AND($E224&lt;&gt;0,$F224&gt;0,YEAR($F224)&lt;Preisindex!$A$6,YEAR(BM$4)&gt;=YEAR($F224),$K224="g"),ROUND(VLOOKUP(BR$4,Preisindex,4,FALSE)/VLOOKUP(Preisindex!$A$6,Preisindex,4,FALSE),2),IF(AND($E224&lt;&gt;0,$F224&gt;0,YEAR($F224)&lt;Preisindex!$A$6,YEAR(BM$4)&gt;=YEAR($F224),$K224="k"),ROUND(VLOOKUP(BR$4,Preisindex,2,FALSE)/VLOOKUP(Preisindex!$A$6,Preisindex,2,FALSE),2),0)))))</f>
        <v>0</v>
      </c>
      <c r="BT224" s="51">
        <f>IF(AND($E224&lt;&gt;0,$F224&gt;0,YEAR($F224)&lt;=BR$4,YEAR($F224)&gt;=Preisindex!$A$6),ROUND($E224*BR224,2),IF(AND($E224&lt;&gt;0,$F224&gt;0,YEAR($F224)&lt;=BR$4,YEAR($F224)&lt;Preisindex!$A$6),ROUND($E224*BS224,2),0))</f>
        <v>0</v>
      </c>
      <c r="BU224" s="53">
        <f t="shared" si="639"/>
        <v>0</v>
      </c>
      <c r="BV224" s="51">
        <f t="shared" si="708"/>
        <v>0</v>
      </c>
      <c r="BW224" s="51">
        <f t="shared" si="720"/>
        <v>0</v>
      </c>
      <c r="BX224" s="51">
        <f t="shared" si="640"/>
        <v>0</v>
      </c>
      <c r="BY224" s="51">
        <f t="shared" si="721"/>
        <v>0</v>
      </c>
      <c r="BZ224" s="51">
        <f t="shared" si="641"/>
        <v>0</v>
      </c>
      <c r="CA224" s="51">
        <f t="shared" si="722"/>
        <v>0</v>
      </c>
      <c r="CB224" s="51">
        <f t="shared" si="642"/>
        <v>0</v>
      </c>
      <c r="CC224" s="51">
        <f t="shared" si="723"/>
        <v>0</v>
      </c>
      <c r="CD224" s="51">
        <f t="shared" si="643"/>
        <v>0</v>
      </c>
      <c r="CE224" s="51">
        <f t="shared" si="724"/>
        <v>0</v>
      </c>
      <c r="CF224" s="51">
        <f t="shared" si="644"/>
        <v>0</v>
      </c>
      <c r="CG224" s="54">
        <f t="shared" si="645"/>
        <v>0</v>
      </c>
      <c r="CH224" s="55">
        <f t="shared" si="646"/>
        <v>0</v>
      </c>
      <c r="CI224" s="56">
        <f>IF(AND($E224&lt;&gt;0,$F224&gt;0,YEAR($F224)&gt;=Preisindex!$A$6,YEAR(CD$4)&gt;=YEAR($F224),AND($K224&lt;&gt;"a",$K224&lt;&gt;"b",$K224&lt;&gt;"g",$K224&lt;&gt;"k")),1,IF(AND($E224&lt;&gt;0,$F224&gt;0,YEAR($F224)&gt;=Preisindex!$A$6,YEAR(CD$4)&gt;=YEAR($F224),$K224="a"),ROUND(VLOOKUP(CI$4,Preisindex,5,FALSE)/VLOOKUP(YEAR($F224),Preisindex,5,FALSE),2),IF(AND($E224&lt;&gt;0,$F224&gt;0,YEAR($F224)&gt;=Preisindex!$A$6,YEAR(CD$4)&gt;=YEAR($F224),$K224="b"),ROUND(VLOOKUP(CI$4,Preisindex,3,FALSE)/VLOOKUP(YEAR($F224),Preisindex,3,FALSE),2),IF(AND($E224&lt;&gt;0,$F224&gt;0,YEAR($F224)&gt;=Preisindex!$A$6,YEAR(CD$4)&gt;=YEAR($F224),$K224="g"),ROUND(VLOOKUP(CI$4,Preisindex,4,FALSE)/VLOOKUP(YEAR($F224),Preisindex,4,FALSE),2),IF(AND($E224&lt;&gt;0,$F224&gt;0,YEAR($F224)&gt;=Preisindex!$A$6,YEAR(CD$4)&gt;=YEAR($F224),$K224="k"),ROUND(VLOOKUP(CI$4,Preisindex,2,FALSE)/VLOOKUP(YEAR($F224),Preisindex,2,FALSE),2),0)))))</f>
        <v>0</v>
      </c>
      <c r="CJ224" s="56">
        <f>IF(AND($E224&lt;&gt;0,$F224&gt;0,YEAR($F224)&lt;Preisindex!$A$6,YEAR(CD$4)&gt;=YEAR($F224),AND($K224&lt;&gt;"a",$K224&lt;&gt;"b",$K224&lt;&gt;"g",$K224&lt;&gt;"k")),1,IF(AND($E224&lt;&gt;0,$F224&gt;0,YEAR($F224)&lt;Preisindex!$A$6,YEAR(CD$4)&gt;=YEAR($F224),$K224="a"),ROUND(VLOOKUP(CI$4,Preisindex,5,FALSE)/VLOOKUP(Preisindex!$A$6,Preisindex,5,FALSE),2),IF(AND($E224&lt;&gt;0,$F224&gt;0,YEAR($F224)&lt;Preisindex!$A$6,YEAR(CD$4)&gt;=YEAR($F224),$K224="b"),ROUND(VLOOKUP(CI$4,Preisindex,3,FALSE)/VLOOKUP(Preisindex!$A$6,Preisindex,3,FALSE),2),IF(AND($E224&lt;&gt;0,$F224&gt;0,YEAR($F224)&lt;Preisindex!$A$6,YEAR(CD$4)&gt;=YEAR($F224),$K224="g"),ROUND(VLOOKUP(CI$4,Preisindex,4,FALSE)/VLOOKUP(Preisindex!$A$6,Preisindex,4,FALSE),2),IF(AND($E224&lt;&gt;0,$F224&gt;0,YEAR($F224)&lt;Preisindex!$A$6,YEAR(CD$4)&gt;=YEAR($F224),$K224="k"),ROUND(VLOOKUP(CI$4,Preisindex,2,FALSE)/VLOOKUP(Preisindex!$A$6,Preisindex,2,FALSE),2),0)))))</f>
        <v>0</v>
      </c>
      <c r="CK224" s="51">
        <f>IF(AND($E224&lt;&gt;0,$F224&gt;0,YEAR($F224)&lt;=CI$4,YEAR($F224)&gt;=Preisindex!$A$6),ROUND($E224*CI224,2),IF(AND($E224&lt;&gt;0,$F224&gt;0,YEAR($F224)&lt;=CI$4,YEAR($F224)&lt;Preisindex!$A$6),ROUND($E224*CJ224,2),0))</f>
        <v>0</v>
      </c>
      <c r="CL224" s="53">
        <f t="shared" si="647"/>
        <v>0</v>
      </c>
      <c r="CM224" s="51">
        <f t="shared" si="708"/>
        <v>0</v>
      </c>
      <c r="CN224" s="51">
        <f t="shared" si="725"/>
        <v>0</v>
      </c>
      <c r="CO224" s="51">
        <f t="shared" si="648"/>
        <v>0</v>
      </c>
      <c r="CP224" s="51">
        <f t="shared" si="726"/>
        <v>0</v>
      </c>
      <c r="CQ224" s="51">
        <f t="shared" si="649"/>
        <v>0</v>
      </c>
      <c r="CR224" s="51">
        <f t="shared" si="727"/>
        <v>0</v>
      </c>
      <c r="CS224" s="51">
        <f t="shared" si="650"/>
        <v>0</v>
      </c>
      <c r="CT224" s="51">
        <f t="shared" si="728"/>
        <v>0</v>
      </c>
      <c r="CU224" s="51">
        <f t="shared" si="651"/>
        <v>0</v>
      </c>
      <c r="CV224" s="51">
        <f t="shared" si="729"/>
        <v>0</v>
      </c>
      <c r="CW224" s="51">
        <f t="shared" si="652"/>
        <v>0</v>
      </c>
      <c r="CX224" s="54">
        <f t="shared" si="653"/>
        <v>0</v>
      </c>
      <c r="CY224" s="55">
        <f t="shared" si="654"/>
        <v>0</v>
      </c>
      <c r="CZ224" s="56">
        <f>IF(AND($E224&lt;&gt;0,$F224&gt;0,YEAR($F224)&gt;=Preisindex!$A$6,YEAR(CU$4)&gt;=YEAR($F224),AND($K224&lt;&gt;"a",$K224&lt;&gt;"b",$K224&lt;&gt;"g",$K224&lt;&gt;"k")),1,IF(AND($E224&lt;&gt;0,$F224&gt;0,YEAR($F224)&gt;=Preisindex!$A$6,YEAR(CU$4)&gt;=YEAR($F224),$K224="a"),ROUND(VLOOKUP(CZ$4,Preisindex,5,FALSE)/VLOOKUP(YEAR($F224),Preisindex,5,FALSE),2),IF(AND($E224&lt;&gt;0,$F224&gt;0,YEAR($F224)&gt;=Preisindex!$A$6,YEAR(CU$4)&gt;=YEAR($F224),$K224="b"),ROUND(VLOOKUP(CZ$4,Preisindex,3,FALSE)/VLOOKUP(YEAR($F224),Preisindex,3,FALSE),2),IF(AND($E224&lt;&gt;0,$F224&gt;0,YEAR($F224)&gt;=Preisindex!$A$6,YEAR(CU$4)&gt;=YEAR($F224),$K224="g"),ROUND(VLOOKUP(CZ$4,Preisindex,4,FALSE)/VLOOKUP(YEAR($F224),Preisindex,4,FALSE),2),IF(AND($E224&lt;&gt;0,$F224&gt;0,YEAR($F224)&gt;=Preisindex!$A$6,YEAR(CU$4)&gt;=YEAR($F224),$K224="k"),ROUND(VLOOKUP(CZ$4,Preisindex,2,FALSE)/VLOOKUP(YEAR($F224),Preisindex,2,FALSE),2),0)))))</f>
        <v>0</v>
      </c>
      <c r="DA224" s="56">
        <f>IF(AND($E224&lt;&gt;0,$F224&gt;0,YEAR($F224)&lt;Preisindex!$A$6,YEAR(CU$4)&gt;=YEAR($F224),AND($K224&lt;&gt;"a",$K224&lt;&gt;"b",$K224&lt;&gt;"g",$K224&lt;&gt;"k")),1,IF(AND($E224&lt;&gt;0,$F224&gt;0,YEAR($F224)&lt;Preisindex!$A$6,YEAR(CU$4)&gt;=YEAR($F224),$K224="a"),ROUND(VLOOKUP(CZ$4,Preisindex,5,FALSE)/VLOOKUP(Preisindex!$A$6,Preisindex,5,FALSE),2),IF(AND($E224&lt;&gt;0,$F224&gt;0,YEAR($F224)&lt;Preisindex!$A$6,YEAR(CU$4)&gt;=YEAR($F224),$K224="b"),ROUND(VLOOKUP(CZ$4,Preisindex,3,FALSE)/VLOOKUP(Preisindex!$A$6,Preisindex,3,FALSE),2),IF(AND($E224&lt;&gt;0,$F224&gt;0,YEAR($F224)&lt;Preisindex!$A$6,YEAR(CU$4)&gt;=YEAR($F224),$K224="g"),ROUND(VLOOKUP(CZ$4,Preisindex,4,FALSE)/VLOOKUP(Preisindex!$A$6,Preisindex,4,FALSE),2),IF(AND($E224&lt;&gt;0,$F224&gt;0,YEAR($F224)&lt;Preisindex!$A$6,YEAR(CU$4)&gt;=YEAR($F224),$K224="k"),ROUND(VLOOKUP(CZ$4,Preisindex,2,FALSE)/VLOOKUP(Preisindex!$A$6,Preisindex,2,FALSE),2),0)))))</f>
        <v>0</v>
      </c>
      <c r="DB224" s="51">
        <f>IF(AND($E224&lt;&gt;0,$F224&gt;0,YEAR($F224)&lt;=CZ$4,YEAR($F224)&gt;=Preisindex!$A$6),ROUND($E224*CZ224,2),IF(AND($E224&lt;&gt;0,$F224&gt;0,YEAR($F224)&lt;=CZ$4,YEAR($F224)&lt;Preisindex!$A$6),ROUND($E224*DA224,2),0))</f>
        <v>0</v>
      </c>
      <c r="DC224" s="53">
        <f t="shared" si="655"/>
        <v>0</v>
      </c>
      <c r="DD224" s="51">
        <f t="shared" si="709"/>
        <v>0</v>
      </c>
      <c r="DE224" s="51">
        <f t="shared" si="730"/>
        <v>0</v>
      </c>
      <c r="DF224" s="51">
        <f t="shared" si="657"/>
        <v>0</v>
      </c>
      <c r="DG224" s="51">
        <f t="shared" si="731"/>
        <v>0</v>
      </c>
      <c r="DH224" s="51">
        <f t="shared" si="658"/>
        <v>0</v>
      </c>
      <c r="DI224" s="51">
        <f t="shared" si="732"/>
        <v>0</v>
      </c>
      <c r="DJ224" s="51">
        <f t="shared" si="659"/>
        <v>0</v>
      </c>
      <c r="DK224" s="51">
        <f t="shared" si="733"/>
        <v>0</v>
      </c>
      <c r="DL224" s="51">
        <f t="shared" si="660"/>
        <v>0</v>
      </c>
      <c r="DM224" s="51">
        <f t="shared" si="734"/>
        <v>0</v>
      </c>
      <c r="DN224" s="51">
        <f t="shared" si="661"/>
        <v>0</v>
      </c>
      <c r="DO224" s="54">
        <f t="shared" si="662"/>
        <v>0</v>
      </c>
      <c r="DP224" s="55">
        <f t="shared" si="663"/>
        <v>0</v>
      </c>
      <c r="DQ224" s="56">
        <f>IF(AND($E224&lt;&gt;0,$F224&gt;0,YEAR($F224)&gt;=Preisindex!$A$6,YEAR(DL$4)&gt;=YEAR($F224),AND($K224&lt;&gt;"a",$K224&lt;&gt;"b",$K224&lt;&gt;"g",$K224&lt;&gt;"k")),1,IF(AND($E224&lt;&gt;0,$F224&gt;0,YEAR($F224)&gt;=Preisindex!$A$6,YEAR(DL$4)&gt;=YEAR($F224),$K224="a"),ROUND(VLOOKUP(DQ$4,Preisindex,5,FALSE)/VLOOKUP(YEAR($F224),Preisindex,5,FALSE),2),IF(AND($E224&lt;&gt;0,$F224&gt;0,YEAR($F224)&gt;=Preisindex!$A$6,YEAR(DL$4)&gt;=YEAR($F224),$K224="b"),ROUND(VLOOKUP(DQ$4,Preisindex,3,FALSE)/VLOOKUP(YEAR($F224),Preisindex,3,FALSE),2),IF(AND($E224&lt;&gt;0,$F224&gt;0,YEAR($F224)&gt;=Preisindex!$A$6,YEAR(DL$4)&gt;=YEAR($F224),$K224="g"),ROUND(VLOOKUP(DQ$4,Preisindex,4,FALSE)/VLOOKUP(YEAR($F224),Preisindex,4,FALSE),2),IF(AND($E224&lt;&gt;0,$F224&gt;0,YEAR($F224)&gt;=Preisindex!$A$6,YEAR(DL$4)&gt;=YEAR($F224),$K224="k"),ROUND(VLOOKUP(DQ$4,Preisindex,2,FALSE)/VLOOKUP(YEAR($F224),Preisindex,2,FALSE),2),0)))))</f>
        <v>0</v>
      </c>
      <c r="DR224" s="56">
        <f>IF(AND($E224&lt;&gt;0,$F224&gt;0,YEAR($F224)&lt;Preisindex!$A$6,YEAR(DL$4)&gt;=YEAR($F224),AND($K224&lt;&gt;"a",$K224&lt;&gt;"b",$K224&lt;&gt;"g",$K224&lt;&gt;"k")),1,IF(AND($E224&lt;&gt;0,$F224&gt;0,YEAR($F224)&lt;Preisindex!$A$6,YEAR(DL$4)&gt;=YEAR($F224),$K224="a"),ROUND(VLOOKUP(DQ$4,Preisindex,5,FALSE)/VLOOKUP(Preisindex!$A$6,Preisindex,5,FALSE),2),IF(AND($E224&lt;&gt;0,$F224&gt;0,YEAR($F224)&lt;Preisindex!$A$6,YEAR(DL$4)&gt;=YEAR($F224),$K224="b"),ROUND(VLOOKUP(DQ$4,Preisindex,3,FALSE)/VLOOKUP(Preisindex!$A$6,Preisindex,3,FALSE),2),IF(AND($E224&lt;&gt;0,$F224&gt;0,YEAR($F224)&lt;Preisindex!$A$6,YEAR(DL$4)&gt;=YEAR($F224),$K224="g"),ROUND(VLOOKUP(DQ$4,Preisindex,4,FALSE)/VLOOKUP(Preisindex!$A$6,Preisindex,4,FALSE),2),IF(AND($E224&lt;&gt;0,$F224&gt;0,YEAR($F224)&lt;Preisindex!$A$6,YEAR(DL$4)&gt;=YEAR($F224),$K224="k"),ROUND(VLOOKUP(DQ$4,Preisindex,2,FALSE)/VLOOKUP(Preisindex!$A$6,Preisindex,2,FALSE),2),0)))))</f>
        <v>0</v>
      </c>
      <c r="DS224" s="51">
        <f>IF(AND($E224&lt;&gt;0,$F224&gt;0,YEAR($F224)&lt;=DQ$4,YEAR($F224)&gt;=Preisindex!$A$6),ROUND($E224*DQ224,2),IF(AND($E224&lt;&gt;0,$F224&gt;0,YEAR($F224)&lt;=DQ$4,YEAR($F224)&lt;Preisindex!$A$6),ROUND($E224*DR224,2),0))</f>
        <v>0</v>
      </c>
      <c r="DT224" s="53">
        <f t="shared" si="664"/>
        <v>0</v>
      </c>
      <c r="DU224" s="51">
        <f t="shared" si="709"/>
        <v>0</v>
      </c>
      <c r="DV224" s="51">
        <f t="shared" si="735"/>
        <v>0</v>
      </c>
      <c r="DW224" s="51">
        <f t="shared" si="665"/>
        <v>0</v>
      </c>
      <c r="DX224" s="51">
        <f t="shared" si="736"/>
        <v>0</v>
      </c>
      <c r="DY224" s="51">
        <f t="shared" si="666"/>
        <v>0</v>
      </c>
      <c r="DZ224" s="51">
        <f t="shared" si="737"/>
        <v>0</v>
      </c>
      <c r="EA224" s="51">
        <f t="shared" si="667"/>
        <v>0</v>
      </c>
      <c r="EB224" s="51">
        <f t="shared" si="738"/>
        <v>0</v>
      </c>
      <c r="EC224" s="51">
        <f t="shared" si="668"/>
        <v>0</v>
      </c>
      <c r="ED224" s="51">
        <f t="shared" si="739"/>
        <v>0</v>
      </c>
      <c r="EE224" s="51">
        <f t="shared" si="669"/>
        <v>0</v>
      </c>
      <c r="EF224" s="54">
        <f t="shared" si="670"/>
        <v>0</v>
      </c>
      <c r="EG224" s="55">
        <f t="shared" si="671"/>
        <v>0</v>
      </c>
      <c r="EH224" s="56">
        <f>IF(AND($E224&lt;&gt;0,$F224&gt;0,YEAR($F224)&gt;=Preisindex!$A$6,YEAR(EC$4)&gt;=YEAR($F224),AND($K224&lt;&gt;"a",$K224&lt;&gt;"b",$K224&lt;&gt;"g",$K224&lt;&gt;"k")),1,IF(AND($E224&lt;&gt;0,$F224&gt;0,YEAR($F224)&gt;=Preisindex!$A$6,YEAR(EC$4)&gt;=YEAR($F224),$K224="a"),ROUND(VLOOKUP(EH$4,Preisindex,5,FALSE)/VLOOKUP(YEAR($F224),Preisindex,5,FALSE),2),IF(AND($E224&lt;&gt;0,$F224&gt;0,YEAR($F224)&gt;=Preisindex!$A$6,YEAR(EC$4)&gt;=YEAR($F224),$K224="b"),ROUND(VLOOKUP(EH$4,Preisindex,3,FALSE)/VLOOKUP(YEAR($F224),Preisindex,3,FALSE),2),IF(AND($E224&lt;&gt;0,$F224&gt;0,YEAR($F224)&gt;=Preisindex!$A$6,YEAR(EC$4)&gt;=YEAR($F224),$K224="g"),ROUND(VLOOKUP(EH$4,Preisindex,4,FALSE)/VLOOKUP(YEAR($F224),Preisindex,4,FALSE),2),IF(AND($E224&lt;&gt;0,$F224&gt;0,YEAR($F224)&gt;=Preisindex!$A$6,YEAR(EC$4)&gt;=YEAR($F224),$K224="k"),ROUND(VLOOKUP(EH$4,Preisindex,2,FALSE)/VLOOKUP(YEAR($F224),Preisindex,2,FALSE),2),0)))))</f>
        <v>0</v>
      </c>
      <c r="EI224" s="56">
        <f>IF(AND($E224&lt;&gt;0,$F224&gt;0,YEAR($F224)&lt;Preisindex!$A$6,YEAR(EC$4)&gt;=YEAR($F224),AND($K224&lt;&gt;"a",$K224&lt;&gt;"b",$K224&lt;&gt;"g",$K224&lt;&gt;"k")),1,IF(AND($E224&lt;&gt;0,$F224&gt;0,YEAR($F224)&lt;Preisindex!$A$6,YEAR(EC$4)&gt;=YEAR($F224),$K224="a"),ROUND(VLOOKUP(EH$4,Preisindex,5,FALSE)/VLOOKUP(Preisindex!$A$6,Preisindex,5,FALSE),2),IF(AND($E224&lt;&gt;0,$F224&gt;0,YEAR($F224)&lt;Preisindex!$A$6,YEAR(EC$4)&gt;=YEAR($F224),$K224="b"),ROUND(VLOOKUP(EH$4,Preisindex,3,FALSE)/VLOOKUP(Preisindex!$A$6,Preisindex,3,FALSE),2),IF(AND($E224&lt;&gt;0,$F224&gt;0,YEAR($F224)&lt;Preisindex!$A$6,YEAR(EC$4)&gt;=YEAR($F224),$K224="g"),ROUND(VLOOKUP(EH$4,Preisindex,4,FALSE)/VLOOKUP(Preisindex!$A$6,Preisindex,4,FALSE),2),IF(AND($E224&lt;&gt;0,$F224&gt;0,YEAR($F224)&lt;Preisindex!$A$6,YEAR(EC$4)&gt;=YEAR($F224),$K224="k"),ROUND(VLOOKUP(EH$4,Preisindex,2,FALSE)/VLOOKUP(Preisindex!$A$6,Preisindex,2,FALSE),2),0)))))</f>
        <v>0</v>
      </c>
      <c r="EJ224" s="51">
        <f>IF(AND($E224&lt;&gt;0,$F224&gt;0,YEAR($F224)&lt;=EH$4,YEAR($F224)&gt;=Preisindex!$A$6),ROUND($E224*EH224,2),IF(AND($E224&lt;&gt;0,$F224&gt;0,YEAR($F224)&lt;=EH$4,YEAR($F224)&lt;Preisindex!$A$6),ROUND($E224*EI224,2),0))</f>
        <v>0</v>
      </c>
      <c r="EK224" s="53">
        <f t="shared" si="672"/>
        <v>0</v>
      </c>
      <c r="EL224" s="51">
        <f t="shared" si="709"/>
        <v>0</v>
      </c>
      <c r="EM224" s="51">
        <f t="shared" si="740"/>
        <v>0</v>
      </c>
      <c r="EN224" s="51">
        <f t="shared" si="673"/>
        <v>0</v>
      </c>
      <c r="EO224" s="51">
        <f t="shared" si="741"/>
        <v>0</v>
      </c>
      <c r="EP224" s="51">
        <f t="shared" si="674"/>
        <v>0</v>
      </c>
      <c r="EQ224" s="51">
        <f t="shared" si="742"/>
        <v>0</v>
      </c>
      <c r="ER224" s="51">
        <f t="shared" si="675"/>
        <v>0</v>
      </c>
      <c r="ES224" s="51">
        <f t="shared" si="743"/>
        <v>0</v>
      </c>
      <c r="ET224" s="51">
        <f t="shared" si="676"/>
        <v>0</v>
      </c>
      <c r="EU224" s="51">
        <f t="shared" si="744"/>
        <v>0</v>
      </c>
      <c r="EV224" s="51">
        <f t="shared" si="677"/>
        <v>0</v>
      </c>
      <c r="EW224" s="54">
        <f t="shared" si="678"/>
        <v>0</v>
      </c>
      <c r="EX224" s="55">
        <f t="shared" si="679"/>
        <v>0</v>
      </c>
      <c r="EY224" s="56">
        <f>IF(AND($E224&lt;&gt;0,$F224&gt;0,YEAR($F224)&gt;=Preisindex!$A$6,YEAR(ET$4)&gt;=YEAR($F224),AND($K224&lt;&gt;"a",$K224&lt;&gt;"b",$K224&lt;&gt;"g",$K224&lt;&gt;"k")),1,IF(AND($E224&lt;&gt;0,$F224&gt;0,YEAR($F224)&gt;=Preisindex!$A$6,YEAR(ET$4)&gt;=YEAR($F224),$K224="a"),ROUND(VLOOKUP(EY$4,Preisindex,5,FALSE)/VLOOKUP(YEAR($F224),Preisindex,5,FALSE),2),IF(AND($E224&lt;&gt;0,$F224&gt;0,YEAR($F224)&gt;=Preisindex!$A$6,YEAR(ET$4)&gt;=YEAR($F224),$K224="b"),ROUND(VLOOKUP(EY$4,Preisindex,3,FALSE)/VLOOKUP(YEAR($F224),Preisindex,3,FALSE),2),IF(AND($E224&lt;&gt;0,$F224&gt;0,YEAR($F224)&gt;=Preisindex!$A$6,YEAR(ET$4)&gt;=YEAR($F224),$K224="g"),ROUND(VLOOKUP(EY$4,Preisindex,4,FALSE)/VLOOKUP(YEAR($F224),Preisindex,4,FALSE),2),IF(AND($E224&lt;&gt;0,$F224&gt;0,YEAR($F224)&gt;=Preisindex!$A$6,YEAR(ET$4)&gt;=YEAR($F224),$K224="k"),ROUND(VLOOKUP(EY$4,Preisindex,2,FALSE)/VLOOKUP(YEAR($F224),Preisindex,2,FALSE),2),0)))))</f>
        <v>0</v>
      </c>
      <c r="EZ224" s="56">
        <f>IF(AND($E224&lt;&gt;0,$F224&gt;0,YEAR($F224)&lt;Preisindex!$A$6,YEAR(ET$4)&gt;=YEAR($F224),AND($K224&lt;&gt;"a",$K224&lt;&gt;"b",$K224&lt;&gt;"g",$K224&lt;&gt;"k")),1,IF(AND($E224&lt;&gt;0,$F224&gt;0,YEAR($F224)&lt;Preisindex!$A$6,YEAR(ET$4)&gt;=YEAR($F224),$K224="a"),ROUND(VLOOKUP(EY$4,Preisindex,5,FALSE)/VLOOKUP(Preisindex!$A$6,Preisindex,5,FALSE),2),IF(AND($E224&lt;&gt;0,$F224&gt;0,YEAR($F224)&lt;Preisindex!$A$6,YEAR(ET$4)&gt;=YEAR($F224),$K224="b"),ROUND(VLOOKUP(EY$4,Preisindex,3,FALSE)/VLOOKUP(Preisindex!$A$6,Preisindex,3,FALSE),2),IF(AND($E224&lt;&gt;0,$F224&gt;0,YEAR($F224)&lt;Preisindex!$A$6,YEAR(ET$4)&gt;=YEAR($F224),$K224="g"),ROUND(VLOOKUP(EY$4,Preisindex,4,FALSE)/VLOOKUP(Preisindex!$A$6,Preisindex,4,FALSE),2),IF(AND($E224&lt;&gt;0,$F224&gt;0,YEAR($F224)&lt;Preisindex!$A$6,YEAR(ET$4)&gt;=YEAR($F224),$K224="k"),ROUND(VLOOKUP(EY$4,Preisindex,2,FALSE)/VLOOKUP(Preisindex!$A$6,Preisindex,2,FALSE),2),0)))))</f>
        <v>0</v>
      </c>
      <c r="FA224" s="51">
        <f>IF(AND($E224&lt;&gt;0,$F224&gt;0,YEAR($F224)&lt;=EY$4,YEAR($F224)&gt;=Preisindex!$A$6),ROUND($E224*EY224,2),IF(AND($E224&lt;&gt;0,$F224&gt;0,YEAR($F224)&lt;=EY$4,YEAR($F224)&lt;Preisindex!$A$6),ROUND($E224*EZ224,2),0))</f>
        <v>0</v>
      </c>
      <c r="FB224" s="53">
        <f t="shared" si="680"/>
        <v>0</v>
      </c>
      <c r="FC224" s="51">
        <f t="shared" si="709"/>
        <v>0</v>
      </c>
      <c r="FD224" s="51">
        <f t="shared" si="745"/>
        <v>0</v>
      </c>
      <c r="FE224" s="51">
        <f t="shared" si="681"/>
        <v>0</v>
      </c>
      <c r="FF224" s="51">
        <f t="shared" si="746"/>
        <v>0</v>
      </c>
      <c r="FG224" s="51">
        <f t="shared" si="682"/>
        <v>0</v>
      </c>
      <c r="FH224" s="51">
        <f t="shared" si="747"/>
        <v>0</v>
      </c>
      <c r="FI224" s="51">
        <f t="shared" si="683"/>
        <v>0</v>
      </c>
      <c r="FJ224" s="51">
        <f t="shared" si="748"/>
        <v>0</v>
      </c>
      <c r="FK224" s="51">
        <f t="shared" si="684"/>
        <v>0</v>
      </c>
      <c r="FL224" s="51">
        <f t="shared" si="749"/>
        <v>0</v>
      </c>
      <c r="FM224" s="51">
        <f t="shared" si="685"/>
        <v>0</v>
      </c>
      <c r="FN224" s="54">
        <f t="shared" si="686"/>
        <v>0</v>
      </c>
      <c r="FO224" s="55">
        <f t="shared" si="687"/>
        <v>0</v>
      </c>
      <c r="FP224" s="56">
        <f>IF(AND($E224&lt;&gt;0,$F224&gt;0,YEAR($F224)&gt;=Preisindex!$A$6,YEAR(FK$4)&gt;=YEAR($F224),AND($K224&lt;&gt;"a",$K224&lt;&gt;"b",$K224&lt;&gt;"g",$K224&lt;&gt;"k")),1,IF(AND($E224&lt;&gt;0,$F224&gt;0,YEAR($F224)&gt;=Preisindex!$A$6,YEAR(FK$4)&gt;=YEAR($F224),$K224="a"),ROUND(VLOOKUP(FP$4,Preisindex,5,FALSE)/VLOOKUP(YEAR($F224),Preisindex,5,FALSE),2),IF(AND($E224&lt;&gt;0,$F224&gt;0,YEAR($F224)&gt;=Preisindex!$A$6,YEAR(FK$4)&gt;=YEAR($F224),$K224="b"),ROUND(VLOOKUP(FP$4,Preisindex,3,FALSE)/VLOOKUP(YEAR($F224),Preisindex,3,FALSE),2),IF(AND($E224&lt;&gt;0,$F224&gt;0,YEAR($F224)&gt;=Preisindex!$A$6,YEAR(FK$4)&gt;=YEAR($F224),$K224="g"),ROUND(VLOOKUP(FP$4,Preisindex,4,FALSE)/VLOOKUP(YEAR($F224),Preisindex,4,FALSE),2),IF(AND($E224&lt;&gt;0,$F224&gt;0,YEAR($F224)&gt;=Preisindex!$A$6,YEAR(FK$4)&gt;=YEAR($F224),$K224="k"),ROUND(VLOOKUP(FP$4,Preisindex,2,FALSE)/VLOOKUP(YEAR($F224),Preisindex,2,FALSE),2),0)))))</f>
        <v>0</v>
      </c>
      <c r="FQ224" s="56">
        <f>IF(AND($E224&lt;&gt;0,$F224&gt;0,YEAR($F224)&lt;Preisindex!$A$6,YEAR(FK$4)&gt;=YEAR($F224),AND($K224&lt;&gt;"a",$K224&lt;&gt;"b",$K224&lt;&gt;"g",$K224&lt;&gt;"k")),1,IF(AND($E224&lt;&gt;0,$F224&gt;0,YEAR($F224)&lt;Preisindex!$A$6,YEAR(FK$4)&gt;=YEAR($F224),$K224="a"),ROUND(VLOOKUP(FP$4,Preisindex,5,FALSE)/VLOOKUP(Preisindex!$A$6,Preisindex,5,FALSE),2),IF(AND($E224&lt;&gt;0,$F224&gt;0,YEAR($F224)&lt;Preisindex!$A$6,YEAR(FK$4)&gt;=YEAR($F224),$K224="b"),ROUND(VLOOKUP(FP$4,Preisindex,3,FALSE)/VLOOKUP(Preisindex!$A$6,Preisindex,3,FALSE),2),IF(AND($E224&lt;&gt;0,$F224&gt;0,YEAR($F224)&lt;Preisindex!$A$6,YEAR(FK$4)&gt;=YEAR($F224),$K224="g"),ROUND(VLOOKUP(FP$4,Preisindex,4,FALSE)/VLOOKUP(Preisindex!$A$6,Preisindex,4,FALSE),2),IF(AND($E224&lt;&gt;0,$F224&gt;0,YEAR($F224)&lt;Preisindex!$A$6,YEAR(FK$4)&gt;=YEAR($F224),$K224="k"),ROUND(VLOOKUP(FP$4,Preisindex,2,FALSE)/VLOOKUP(Preisindex!$A$6,Preisindex,2,FALSE),2),0)))))</f>
        <v>0</v>
      </c>
      <c r="FR224" s="51">
        <f>IF(AND($E224&lt;&gt;0,$F224&gt;0,YEAR($F224)&lt;=FP$4,YEAR($F224)&gt;=Preisindex!$A$6),ROUND($E224*FP224,2),IF(AND($E224&lt;&gt;0,$F224&gt;0,YEAR($F224)&lt;=FP$4,YEAR($F224)&lt;Preisindex!$A$6),ROUND($E224*FQ224,2),0))</f>
        <v>0</v>
      </c>
      <c r="FS224" s="53">
        <f t="shared" si="688"/>
        <v>0</v>
      </c>
    </row>
    <row r="225" spans="1:175" x14ac:dyDescent="0.3">
      <c r="A225" s="93"/>
      <c r="B225" s="94"/>
      <c r="C225" s="96"/>
      <c r="D225" s="188"/>
      <c r="E225" s="624"/>
      <c r="F225" s="190"/>
      <c r="G225" s="625"/>
      <c r="H225" s="192"/>
      <c r="I225" s="621"/>
      <c r="J225" s="103"/>
      <c r="K225" s="630"/>
      <c r="L225" s="49">
        <f t="shared" si="689"/>
        <v>0</v>
      </c>
      <c r="M225" s="50">
        <f t="shared" si="690"/>
        <v>0</v>
      </c>
      <c r="N225" s="51">
        <f t="shared" si="691"/>
        <v>0</v>
      </c>
      <c r="O225" s="51"/>
      <c r="P225" s="51">
        <f t="shared" si="692"/>
        <v>0</v>
      </c>
      <c r="Q225" s="52"/>
      <c r="R225" s="52"/>
      <c r="S225" s="52"/>
      <c r="T225" s="52"/>
      <c r="U225" s="52"/>
      <c r="V225" s="53">
        <f t="shared" si="693"/>
        <v>0</v>
      </c>
      <c r="W225" s="51">
        <f t="shared" si="694"/>
        <v>0</v>
      </c>
      <c r="X225" s="51">
        <f t="shared" si="695"/>
        <v>0</v>
      </c>
      <c r="Y225" s="51">
        <f t="shared" si="696"/>
        <v>0</v>
      </c>
      <c r="Z225" s="51">
        <f t="shared" si="697"/>
        <v>0</v>
      </c>
      <c r="AA225" s="51">
        <f t="shared" si="698"/>
        <v>0</v>
      </c>
      <c r="AB225" s="51">
        <f t="shared" si="699"/>
        <v>0</v>
      </c>
      <c r="AC225" s="51">
        <f t="shared" si="700"/>
        <v>0</v>
      </c>
      <c r="AD225" s="51">
        <f t="shared" si="701"/>
        <v>0</v>
      </c>
      <c r="AE225" s="51">
        <f t="shared" si="702"/>
        <v>0</v>
      </c>
      <c r="AF225" s="51">
        <f t="shared" si="703"/>
        <v>0</v>
      </c>
      <c r="AG225" s="51">
        <f t="shared" si="704"/>
        <v>0</v>
      </c>
      <c r="AH225" s="54">
        <f t="shared" si="705"/>
        <v>0</v>
      </c>
      <c r="AI225" s="55">
        <f t="shared" si="706"/>
        <v>0</v>
      </c>
      <c r="AJ225" s="56">
        <f>IF(AND($E225&lt;&gt;0,$F225&gt;0,YEAR($F225)&gt;=Preisindex!$A$6,YEAR(AE$4)&gt;=YEAR($F225),AND($K225&lt;&gt;"a",$K225&lt;&gt;"b",$K225&lt;&gt;"g",$K225&lt;&gt;"k")),1,IF(AND($E225&lt;&gt;0,$F225&gt;0,YEAR($F225)&gt;=Preisindex!$A$6,YEAR(AE$4)&gt;=YEAR($F225),$K225="a"),ROUND(VLOOKUP(AJ$4,Preisindex,5,FALSE)/VLOOKUP(YEAR($F225),Preisindex,5,FALSE),2),IF(AND($E225&lt;&gt;0,$F225&gt;0,YEAR($F225)&gt;=Preisindex!$A$6,YEAR(AE$4)&gt;=YEAR($F225),$K225="b"),ROUND(VLOOKUP(AJ$4,Preisindex,3,FALSE)/VLOOKUP(YEAR($F225),Preisindex,3,FALSE),2),IF(AND($E225&lt;&gt;0,$F225&gt;0,YEAR($F225)&gt;=Preisindex!$A$6,YEAR(AE$4)&gt;=YEAR($F225),$K225="g"),ROUND(VLOOKUP(AJ$4,Preisindex,4,FALSE)/VLOOKUP(YEAR($F225),Preisindex,4,FALSE),2),IF(AND($E225&lt;&gt;0,$F225&gt;0,YEAR($F225)&gt;=Preisindex!$A$6,YEAR(AE$4)&gt;=YEAR($F225),$K225="k"),ROUND(VLOOKUP(AJ$4,Preisindex,2,FALSE)/VLOOKUP(YEAR($F225),Preisindex,2,FALSE),2),0)))))</f>
        <v>0</v>
      </c>
      <c r="AK225" s="56">
        <f>IF(AND($E225&lt;&gt;0,$F225&gt;0,YEAR($F225)&lt;Preisindex!$A$6,YEAR(AE$4)&gt;=YEAR($F225),AND($K225&lt;&gt;"a",$K225&lt;&gt;"b",$K225&lt;&gt;"g",$K225&lt;&gt;"k")),1,IF(AND($E225&lt;&gt;0,$F225&gt;0,YEAR($F225)&lt;Preisindex!$A$6,YEAR(AE$4)&gt;=YEAR($F225),$K225="a"),ROUND(VLOOKUP(AJ$4,Preisindex,5,FALSE)/VLOOKUP(Preisindex!$A$6,Preisindex,5,FALSE),2),IF(AND($E225&lt;&gt;0,$F225&gt;0,YEAR($F225)&lt;Preisindex!$A$6,YEAR(AE$4)&gt;=YEAR($F225),$K225="b"),ROUND(VLOOKUP(AJ$4,Preisindex,3,FALSE)/VLOOKUP(Preisindex!$A$6,Preisindex,3,FALSE),2),IF(AND($E225&lt;&gt;0,$F225&gt;0,YEAR($F225)&lt;Preisindex!$A$6,YEAR(AE$4)&gt;=YEAR($F225),$K225="g"),ROUND(VLOOKUP(AJ$4,Preisindex,4,FALSE)/VLOOKUP(Preisindex!$A$6,Preisindex,4,FALSE),2),IF(AND($E225&lt;&gt;0,$F225&gt;0,YEAR($F225)&lt;Preisindex!$A$6,YEAR(AE$4)&gt;=YEAR($F225),$K225="k"),ROUND(VLOOKUP(AJ$4,Preisindex,2,FALSE)/VLOOKUP(Preisindex!$A$6,Preisindex,2,FALSE),2),0)))))</f>
        <v>0</v>
      </c>
      <c r="AL225" s="51">
        <f>IF(AND($E225&lt;&gt;0,$F225&gt;0,YEAR($F225)&lt;=AJ$4,YEAR($F225)&gt;=Preisindex!$A$6),ROUND($E225*AJ225,2),IF(AND($E225&lt;&gt;0,$F225&gt;0,YEAR($F225)&lt;=AJ$4,YEAR($F225)&lt;Preisindex!$A$6),ROUND($E225*AK225,2),0))</f>
        <v>0</v>
      </c>
      <c r="AM225" s="53">
        <f t="shared" si="707"/>
        <v>0</v>
      </c>
      <c r="AN225" s="51">
        <f t="shared" si="708"/>
        <v>0</v>
      </c>
      <c r="AO225" s="51">
        <f t="shared" si="710"/>
        <v>0</v>
      </c>
      <c r="AP225" s="51">
        <f t="shared" si="624"/>
        <v>0</v>
      </c>
      <c r="AQ225" s="51">
        <f t="shared" si="711"/>
        <v>0</v>
      </c>
      <c r="AR225" s="51">
        <f t="shared" si="625"/>
        <v>0</v>
      </c>
      <c r="AS225" s="51">
        <f t="shared" si="712"/>
        <v>0</v>
      </c>
      <c r="AT225" s="51">
        <f t="shared" si="626"/>
        <v>0</v>
      </c>
      <c r="AU225" s="51">
        <f t="shared" si="713"/>
        <v>0</v>
      </c>
      <c r="AV225" s="51">
        <f t="shared" si="627"/>
        <v>0</v>
      </c>
      <c r="AW225" s="51">
        <f t="shared" si="714"/>
        <v>0</v>
      </c>
      <c r="AX225" s="51">
        <f t="shared" si="628"/>
        <v>0</v>
      </c>
      <c r="AY225" s="54">
        <f t="shared" si="629"/>
        <v>0</v>
      </c>
      <c r="AZ225" s="55">
        <f t="shared" si="630"/>
        <v>0</v>
      </c>
      <c r="BA225" s="56">
        <f>IF(AND($E225&lt;&gt;0,$F225&gt;0,YEAR($F225)&gt;=Preisindex!$A$6,YEAR(AV$4)&gt;=YEAR($F225),AND($K225&lt;&gt;"a",$K225&lt;&gt;"b",$K225&lt;&gt;"g",$K225&lt;&gt;"k")),1,IF(AND($E225&lt;&gt;0,$F225&gt;0,YEAR($F225)&gt;=Preisindex!$A$6,YEAR(AV$4)&gt;=YEAR($F225),$K225="a"),ROUND(VLOOKUP(BA$4,Preisindex,5,FALSE)/VLOOKUP(YEAR($F225),Preisindex,5,FALSE),2),IF(AND($E225&lt;&gt;0,$F225&gt;0,YEAR($F225)&gt;=Preisindex!$A$6,YEAR(AV$4)&gt;=YEAR($F225),$K225="b"),ROUND(VLOOKUP(BA$4,Preisindex,3,FALSE)/VLOOKUP(YEAR($F225),Preisindex,3,FALSE),2),IF(AND($E225&lt;&gt;0,$F225&gt;0,YEAR($F225)&gt;=Preisindex!$A$6,YEAR(AV$4)&gt;=YEAR($F225),$K225="g"),ROUND(VLOOKUP(BA$4,Preisindex,4,FALSE)/VLOOKUP(YEAR($F225),Preisindex,4,FALSE),2),IF(AND($E225&lt;&gt;0,$F225&gt;0,YEAR($F225)&gt;=Preisindex!$A$6,YEAR(AV$4)&gt;=YEAR($F225),$K225="k"),ROUND(VLOOKUP(BA$4,Preisindex,2,FALSE)/VLOOKUP(YEAR($F225),Preisindex,2,FALSE),2),0)))))</f>
        <v>0</v>
      </c>
      <c r="BB225" s="56">
        <f>IF(AND($E225&lt;&gt;0,$F225&gt;0,YEAR($F225)&lt;Preisindex!$A$6,YEAR(AV$4)&gt;=YEAR($F225),AND($K225&lt;&gt;"a",$K225&lt;&gt;"b",$K225&lt;&gt;"g",$K225&lt;&gt;"k")),1,IF(AND($E225&lt;&gt;0,$F225&gt;0,YEAR($F225)&lt;Preisindex!$A$6,YEAR(AV$4)&gt;=YEAR($F225),$K225="a"),ROUND(VLOOKUP(BA$4,Preisindex,5,FALSE)/VLOOKUP(Preisindex!$A$6,Preisindex,5,FALSE),2),IF(AND($E225&lt;&gt;0,$F225&gt;0,YEAR($F225)&lt;Preisindex!$A$6,YEAR(AV$4)&gt;=YEAR($F225),$K225="b"),ROUND(VLOOKUP(BA$4,Preisindex,3,FALSE)/VLOOKUP(Preisindex!$A$6,Preisindex,3,FALSE),2),IF(AND($E225&lt;&gt;0,$F225&gt;0,YEAR($F225)&lt;Preisindex!$A$6,YEAR(AV$4)&gt;=YEAR($F225),$K225="g"),ROUND(VLOOKUP(BA$4,Preisindex,4,FALSE)/VLOOKUP(Preisindex!$A$6,Preisindex,4,FALSE),2),IF(AND($E225&lt;&gt;0,$F225&gt;0,YEAR($F225)&lt;Preisindex!$A$6,YEAR(AV$4)&gt;=YEAR($F225),$K225="k"),ROUND(VLOOKUP(BA$4,Preisindex,2,FALSE)/VLOOKUP(Preisindex!$A$6,Preisindex,2,FALSE),2),0)))))</f>
        <v>0</v>
      </c>
      <c r="BC225" s="51">
        <f>IF(AND($E225&lt;&gt;0,$F225&gt;0,YEAR($F225)&lt;=BA$4,YEAR($F225)&gt;=Preisindex!$A$6),ROUND($E225*BA225,2),IF(AND($E225&lt;&gt;0,$F225&gt;0,YEAR($F225)&lt;=BA$4,YEAR($F225)&lt;Preisindex!$A$6),ROUND($E225*BB225,2),0))</f>
        <v>0</v>
      </c>
      <c r="BD225" s="53">
        <f t="shared" si="631"/>
        <v>0</v>
      </c>
      <c r="BE225" s="51">
        <f t="shared" si="708"/>
        <v>0</v>
      </c>
      <c r="BF225" s="51">
        <f t="shared" si="715"/>
        <v>0</v>
      </c>
      <c r="BG225" s="51">
        <f t="shared" si="632"/>
        <v>0</v>
      </c>
      <c r="BH225" s="51">
        <f t="shared" si="716"/>
        <v>0</v>
      </c>
      <c r="BI225" s="51">
        <f t="shared" si="633"/>
        <v>0</v>
      </c>
      <c r="BJ225" s="51">
        <f t="shared" si="717"/>
        <v>0</v>
      </c>
      <c r="BK225" s="51">
        <f t="shared" si="634"/>
        <v>0</v>
      </c>
      <c r="BL225" s="51">
        <f t="shared" si="718"/>
        <v>0</v>
      </c>
      <c r="BM225" s="51">
        <f t="shared" si="635"/>
        <v>0</v>
      </c>
      <c r="BN225" s="51">
        <f t="shared" si="719"/>
        <v>0</v>
      </c>
      <c r="BO225" s="51">
        <f t="shared" si="636"/>
        <v>0</v>
      </c>
      <c r="BP225" s="54">
        <f t="shared" si="637"/>
        <v>0</v>
      </c>
      <c r="BQ225" s="55">
        <f t="shared" si="638"/>
        <v>0</v>
      </c>
      <c r="BR225" s="56">
        <f>IF(AND($E225&lt;&gt;0,$F225&gt;0,YEAR($F225)&gt;=Preisindex!$A$6,YEAR(BM$4)&gt;=YEAR($F225),AND($K225&lt;&gt;"a",$K225&lt;&gt;"b",$K225&lt;&gt;"g",$K225&lt;&gt;"k")),1,IF(AND($E225&lt;&gt;0,$F225&gt;0,YEAR($F225)&gt;=Preisindex!$A$6,YEAR(BM$4)&gt;=YEAR($F225),$K225="a"),ROUND(VLOOKUP(BR$4,Preisindex,5,FALSE)/VLOOKUP(YEAR($F225),Preisindex,5,FALSE),2),IF(AND($E225&lt;&gt;0,$F225&gt;0,YEAR($F225)&gt;=Preisindex!$A$6,YEAR(BM$4)&gt;=YEAR($F225),$K225="b"),ROUND(VLOOKUP(BR$4,Preisindex,3,FALSE)/VLOOKUP(YEAR($F225),Preisindex,3,FALSE),2),IF(AND($E225&lt;&gt;0,$F225&gt;0,YEAR($F225)&gt;=Preisindex!$A$6,YEAR(BM$4)&gt;=YEAR($F225),$K225="g"),ROUND(VLOOKUP(BR$4,Preisindex,4,FALSE)/VLOOKUP(YEAR($F225),Preisindex,4,FALSE),2),IF(AND($E225&lt;&gt;0,$F225&gt;0,YEAR($F225)&gt;=Preisindex!$A$6,YEAR(BM$4)&gt;=YEAR($F225),$K225="k"),ROUND(VLOOKUP(BR$4,Preisindex,2,FALSE)/VLOOKUP(YEAR($F225),Preisindex,2,FALSE),2),0)))))</f>
        <v>0</v>
      </c>
      <c r="BS225" s="56">
        <f>IF(AND($E225&lt;&gt;0,$F225&gt;0,YEAR($F225)&lt;Preisindex!$A$6,YEAR(BM$4)&gt;=YEAR($F225),AND($K225&lt;&gt;"a",$K225&lt;&gt;"b",$K225&lt;&gt;"g",$K225&lt;&gt;"k")),1,IF(AND($E225&lt;&gt;0,$F225&gt;0,YEAR($F225)&lt;Preisindex!$A$6,YEAR(BM$4)&gt;=YEAR($F225),$K225="a"),ROUND(VLOOKUP(BR$4,Preisindex,5,FALSE)/VLOOKUP(Preisindex!$A$6,Preisindex,5,FALSE),2),IF(AND($E225&lt;&gt;0,$F225&gt;0,YEAR($F225)&lt;Preisindex!$A$6,YEAR(BM$4)&gt;=YEAR($F225),$K225="b"),ROUND(VLOOKUP(BR$4,Preisindex,3,FALSE)/VLOOKUP(Preisindex!$A$6,Preisindex,3,FALSE),2),IF(AND($E225&lt;&gt;0,$F225&gt;0,YEAR($F225)&lt;Preisindex!$A$6,YEAR(BM$4)&gt;=YEAR($F225),$K225="g"),ROUND(VLOOKUP(BR$4,Preisindex,4,FALSE)/VLOOKUP(Preisindex!$A$6,Preisindex,4,FALSE),2),IF(AND($E225&lt;&gt;0,$F225&gt;0,YEAR($F225)&lt;Preisindex!$A$6,YEAR(BM$4)&gt;=YEAR($F225),$K225="k"),ROUND(VLOOKUP(BR$4,Preisindex,2,FALSE)/VLOOKUP(Preisindex!$A$6,Preisindex,2,FALSE),2),0)))))</f>
        <v>0</v>
      </c>
      <c r="BT225" s="51">
        <f>IF(AND($E225&lt;&gt;0,$F225&gt;0,YEAR($F225)&lt;=BR$4,YEAR($F225)&gt;=Preisindex!$A$6),ROUND($E225*BR225,2),IF(AND($E225&lt;&gt;0,$F225&gt;0,YEAR($F225)&lt;=BR$4,YEAR($F225)&lt;Preisindex!$A$6),ROUND($E225*BS225,2),0))</f>
        <v>0</v>
      </c>
      <c r="BU225" s="53">
        <f t="shared" si="639"/>
        <v>0</v>
      </c>
      <c r="BV225" s="51">
        <f t="shared" si="708"/>
        <v>0</v>
      </c>
      <c r="BW225" s="51">
        <f t="shared" si="720"/>
        <v>0</v>
      </c>
      <c r="BX225" s="51">
        <f t="shared" si="640"/>
        <v>0</v>
      </c>
      <c r="BY225" s="51">
        <f t="shared" si="721"/>
        <v>0</v>
      </c>
      <c r="BZ225" s="51">
        <f t="shared" si="641"/>
        <v>0</v>
      </c>
      <c r="CA225" s="51">
        <f t="shared" si="722"/>
        <v>0</v>
      </c>
      <c r="CB225" s="51">
        <f t="shared" si="642"/>
        <v>0</v>
      </c>
      <c r="CC225" s="51">
        <f t="shared" si="723"/>
        <v>0</v>
      </c>
      <c r="CD225" s="51">
        <f t="shared" si="643"/>
        <v>0</v>
      </c>
      <c r="CE225" s="51">
        <f t="shared" si="724"/>
        <v>0</v>
      </c>
      <c r="CF225" s="51">
        <f t="shared" si="644"/>
        <v>0</v>
      </c>
      <c r="CG225" s="54">
        <f t="shared" si="645"/>
        <v>0</v>
      </c>
      <c r="CH225" s="55">
        <f t="shared" si="646"/>
        <v>0</v>
      </c>
      <c r="CI225" s="56">
        <f>IF(AND($E225&lt;&gt;0,$F225&gt;0,YEAR($F225)&gt;=Preisindex!$A$6,YEAR(CD$4)&gt;=YEAR($F225),AND($K225&lt;&gt;"a",$K225&lt;&gt;"b",$K225&lt;&gt;"g",$K225&lt;&gt;"k")),1,IF(AND($E225&lt;&gt;0,$F225&gt;0,YEAR($F225)&gt;=Preisindex!$A$6,YEAR(CD$4)&gt;=YEAR($F225),$K225="a"),ROUND(VLOOKUP(CI$4,Preisindex,5,FALSE)/VLOOKUP(YEAR($F225),Preisindex,5,FALSE),2),IF(AND($E225&lt;&gt;0,$F225&gt;0,YEAR($F225)&gt;=Preisindex!$A$6,YEAR(CD$4)&gt;=YEAR($F225),$K225="b"),ROUND(VLOOKUP(CI$4,Preisindex,3,FALSE)/VLOOKUP(YEAR($F225),Preisindex,3,FALSE),2),IF(AND($E225&lt;&gt;0,$F225&gt;0,YEAR($F225)&gt;=Preisindex!$A$6,YEAR(CD$4)&gt;=YEAR($F225),$K225="g"),ROUND(VLOOKUP(CI$4,Preisindex,4,FALSE)/VLOOKUP(YEAR($F225),Preisindex,4,FALSE),2),IF(AND($E225&lt;&gt;0,$F225&gt;0,YEAR($F225)&gt;=Preisindex!$A$6,YEAR(CD$4)&gt;=YEAR($F225),$K225="k"),ROUND(VLOOKUP(CI$4,Preisindex,2,FALSE)/VLOOKUP(YEAR($F225),Preisindex,2,FALSE),2),0)))))</f>
        <v>0</v>
      </c>
      <c r="CJ225" s="56">
        <f>IF(AND($E225&lt;&gt;0,$F225&gt;0,YEAR($F225)&lt;Preisindex!$A$6,YEAR(CD$4)&gt;=YEAR($F225),AND($K225&lt;&gt;"a",$K225&lt;&gt;"b",$K225&lt;&gt;"g",$K225&lt;&gt;"k")),1,IF(AND($E225&lt;&gt;0,$F225&gt;0,YEAR($F225)&lt;Preisindex!$A$6,YEAR(CD$4)&gt;=YEAR($F225),$K225="a"),ROUND(VLOOKUP(CI$4,Preisindex,5,FALSE)/VLOOKUP(Preisindex!$A$6,Preisindex,5,FALSE),2),IF(AND($E225&lt;&gt;0,$F225&gt;0,YEAR($F225)&lt;Preisindex!$A$6,YEAR(CD$4)&gt;=YEAR($F225),$K225="b"),ROUND(VLOOKUP(CI$4,Preisindex,3,FALSE)/VLOOKUP(Preisindex!$A$6,Preisindex,3,FALSE),2),IF(AND($E225&lt;&gt;0,$F225&gt;0,YEAR($F225)&lt;Preisindex!$A$6,YEAR(CD$4)&gt;=YEAR($F225),$K225="g"),ROUND(VLOOKUP(CI$4,Preisindex,4,FALSE)/VLOOKUP(Preisindex!$A$6,Preisindex,4,FALSE),2),IF(AND($E225&lt;&gt;0,$F225&gt;0,YEAR($F225)&lt;Preisindex!$A$6,YEAR(CD$4)&gt;=YEAR($F225),$K225="k"),ROUND(VLOOKUP(CI$4,Preisindex,2,FALSE)/VLOOKUP(Preisindex!$A$6,Preisindex,2,FALSE),2),0)))))</f>
        <v>0</v>
      </c>
      <c r="CK225" s="51">
        <f>IF(AND($E225&lt;&gt;0,$F225&gt;0,YEAR($F225)&lt;=CI$4,YEAR($F225)&gt;=Preisindex!$A$6),ROUND($E225*CI225,2),IF(AND($E225&lt;&gt;0,$F225&gt;0,YEAR($F225)&lt;=CI$4,YEAR($F225)&lt;Preisindex!$A$6),ROUND($E225*CJ225,2),0))</f>
        <v>0</v>
      </c>
      <c r="CL225" s="53">
        <f t="shared" si="647"/>
        <v>0</v>
      </c>
      <c r="CM225" s="51">
        <f t="shared" si="708"/>
        <v>0</v>
      </c>
      <c r="CN225" s="51">
        <f t="shared" si="725"/>
        <v>0</v>
      </c>
      <c r="CO225" s="51">
        <f t="shared" si="648"/>
        <v>0</v>
      </c>
      <c r="CP225" s="51">
        <f t="shared" si="726"/>
        <v>0</v>
      </c>
      <c r="CQ225" s="51">
        <f t="shared" si="649"/>
        <v>0</v>
      </c>
      <c r="CR225" s="51">
        <f t="shared" si="727"/>
        <v>0</v>
      </c>
      <c r="CS225" s="51">
        <f t="shared" si="650"/>
        <v>0</v>
      </c>
      <c r="CT225" s="51">
        <f t="shared" si="728"/>
        <v>0</v>
      </c>
      <c r="CU225" s="51">
        <f t="shared" si="651"/>
        <v>0</v>
      </c>
      <c r="CV225" s="51">
        <f t="shared" si="729"/>
        <v>0</v>
      </c>
      <c r="CW225" s="51">
        <f t="shared" si="652"/>
        <v>0</v>
      </c>
      <c r="CX225" s="54">
        <f t="shared" si="653"/>
        <v>0</v>
      </c>
      <c r="CY225" s="55">
        <f t="shared" si="654"/>
        <v>0</v>
      </c>
      <c r="CZ225" s="56">
        <f>IF(AND($E225&lt;&gt;0,$F225&gt;0,YEAR($F225)&gt;=Preisindex!$A$6,YEAR(CU$4)&gt;=YEAR($F225),AND($K225&lt;&gt;"a",$K225&lt;&gt;"b",$K225&lt;&gt;"g",$K225&lt;&gt;"k")),1,IF(AND($E225&lt;&gt;0,$F225&gt;0,YEAR($F225)&gt;=Preisindex!$A$6,YEAR(CU$4)&gt;=YEAR($F225),$K225="a"),ROUND(VLOOKUP(CZ$4,Preisindex,5,FALSE)/VLOOKUP(YEAR($F225),Preisindex,5,FALSE),2),IF(AND($E225&lt;&gt;0,$F225&gt;0,YEAR($F225)&gt;=Preisindex!$A$6,YEAR(CU$4)&gt;=YEAR($F225),$K225="b"),ROUND(VLOOKUP(CZ$4,Preisindex,3,FALSE)/VLOOKUP(YEAR($F225),Preisindex,3,FALSE),2),IF(AND($E225&lt;&gt;0,$F225&gt;0,YEAR($F225)&gt;=Preisindex!$A$6,YEAR(CU$4)&gt;=YEAR($F225),$K225="g"),ROUND(VLOOKUP(CZ$4,Preisindex,4,FALSE)/VLOOKUP(YEAR($F225),Preisindex,4,FALSE),2),IF(AND($E225&lt;&gt;0,$F225&gt;0,YEAR($F225)&gt;=Preisindex!$A$6,YEAR(CU$4)&gt;=YEAR($F225),$K225="k"),ROUND(VLOOKUP(CZ$4,Preisindex,2,FALSE)/VLOOKUP(YEAR($F225),Preisindex,2,FALSE),2),0)))))</f>
        <v>0</v>
      </c>
      <c r="DA225" s="56">
        <f>IF(AND($E225&lt;&gt;0,$F225&gt;0,YEAR($F225)&lt;Preisindex!$A$6,YEAR(CU$4)&gt;=YEAR($F225),AND($K225&lt;&gt;"a",$K225&lt;&gt;"b",$K225&lt;&gt;"g",$K225&lt;&gt;"k")),1,IF(AND($E225&lt;&gt;0,$F225&gt;0,YEAR($F225)&lt;Preisindex!$A$6,YEAR(CU$4)&gt;=YEAR($F225),$K225="a"),ROUND(VLOOKUP(CZ$4,Preisindex,5,FALSE)/VLOOKUP(Preisindex!$A$6,Preisindex,5,FALSE),2),IF(AND($E225&lt;&gt;0,$F225&gt;0,YEAR($F225)&lt;Preisindex!$A$6,YEAR(CU$4)&gt;=YEAR($F225),$K225="b"),ROUND(VLOOKUP(CZ$4,Preisindex,3,FALSE)/VLOOKUP(Preisindex!$A$6,Preisindex,3,FALSE),2),IF(AND($E225&lt;&gt;0,$F225&gt;0,YEAR($F225)&lt;Preisindex!$A$6,YEAR(CU$4)&gt;=YEAR($F225),$K225="g"),ROUND(VLOOKUP(CZ$4,Preisindex,4,FALSE)/VLOOKUP(Preisindex!$A$6,Preisindex,4,FALSE),2),IF(AND($E225&lt;&gt;0,$F225&gt;0,YEAR($F225)&lt;Preisindex!$A$6,YEAR(CU$4)&gt;=YEAR($F225),$K225="k"),ROUND(VLOOKUP(CZ$4,Preisindex,2,FALSE)/VLOOKUP(Preisindex!$A$6,Preisindex,2,FALSE),2),0)))))</f>
        <v>0</v>
      </c>
      <c r="DB225" s="51">
        <f>IF(AND($E225&lt;&gt;0,$F225&gt;0,YEAR($F225)&lt;=CZ$4,YEAR($F225)&gt;=Preisindex!$A$6),ROUND($E225*CZ225,2),IF(AND($E225&lt;&gt;0,$F225&gt;0,YEAR($F225)&lt;=CZ$4,YEAR($F225)&lt;Preisindex!$A$6),ROUND($E225*DA225,2),0))</f>
        <v>0</v>
      </c>
      <c r="DC225" s="53">
        <f t="shared" si="655"/>
        <v>0</v>
      </c>
      <c r="DD225" s="51">
        <f t="shared" si="709"/>
        <v>0</v>
      </c>
      <c r="DE225" s="51">
        <f t="shared" si="730"/>
        <v>0</v>
      </c>
      <c r="DF225" s="51">
        <f t="shared" si="657"/>
        <v>0</v>
      </c>
      <c r="DG225" s="51">
        <f t="shared" si="731"/>
        <v>0</v>
      </c>
      <c r="DH225" s="51">
        <f t="shared" si="658"/>
        <v>0</v>
      </c>
      <c r="DI225" s="51">
        <f t="shared" si="732"/>
        <v>0</v>
      </c>
      <c r="DJ225" s="51">
        <f t="shared" si="659"/>
        <v>0</v>
      </c>
      <c r="DK225" s="51">
        <f t="shared" si="733"/>
        <v>0</v>
      </c>
      <c r="DL225" s="51">
        <f t="shared" si="660"/>
        <v>0</v>
      </c>
      <c r="DM225" s="51">
        <f t="shared" si="734"/>
        <v>0</v>
      </c>
      <c r="DN225" s="51">
        <f t="shared" si="661"/>
        <v>0</v>
      </c>
      <c r="DO225" s="54">
        <f t="shared" si="662"/>
        <v>0</v>
      </c>
      <c r="DP225" s="55">
        <f t="shared" si="663"/>
        <v>0</v>
      </c>
      <c r="DQ225" s="56">
        <f>IF(AND($E225&lt;&gt;0,$F225&gt;0,YEAR($F225)&gt;=Preisindex!$A$6,YEAR(DL$4)&gt;=YEAR($F225),AND($K225&lt;&gt;"a",$K225&lt;&gt;"b",$K225&lt;&gt;"g",$K225&lt;&gt;"k")),1,IF(AND($E225&lt;&gt;0,$F225&gt;0,YEAR($F225)&gt;=Preisindex!$A$6,YEAR(DL$4)&gt;=YEAR($F225),$K225="a"),ROUND(VLOOKUP(DQ$4,Preisindex,5,FALSE)/VLOOKUP(YEAR($F225),Preisindex,5,FALSE),2),IF(AND($E225&lt;&gt;0,$F225&gt;0,YEAR($F225)&gt;=Preisindex!$A$6,YEAR(DL$4)&gt;=YEAR($F225),$K225="b"),ROUND(VLOOKUP(DQ$4,Preisindex,3,FALSE)/VLOOKUP(YEAR($F225),Preisindex,3,FALSE),2),IF(AND($E225&lt;&gt;0,$F225&gt;0,YEAR($F225)&gt;=Preisindex!$A$6,YEAR(DL$4)&gt;=YEAR($F225),$K225="g"),ROUND(VLOOKUP(DQ$4,Preisindex,4,FALSE)/VLOOKUP(YEAR($F225),Preisindex,4,FALSE),2),IF(AND($E225&lt;&gt;0,$F225&gt;0,YEAR($F225)&gt;=Preisindex!$A$6,YEAR(DL$4)&gt;=YEAR($F225),$K225="k"),ROUND(VLOOKUP(DQ$4,Preisindex,2,FALSE)/VLOOKUP(YEAR($F225),Preisindex,2,FALSE),2),0)))))</f>
        <v>0</v>
      </c>
      <c r="DR225" s="56">
        <f>IF(AND($E225&lt;&gt;0,$F225&gt;0,YEAR($F225)&lt;Preisindex!$A$6,YEAR(DL$4)&gt;=YEAR($F225),AND($K225&lt;&gt;"a",$K225&lt;&gt;"b",$K225&lt;&gt;"g",$K225&lt;&gt;"k")),1,IF(AND($E225&lt;&gt;0,$F225&gt;0,YEAR($F225)&lt;Preisindex!$A$6,YEAR(DL$4)&gt;=YEAR($F225),$K225="a"),ROUND(VLOOKUP(DQ$4,Preisindex,5,FALSE)/VLOOKUP(Preisindex!$A$6,Preisindex,5,FALSE),2),IF(AND($E225&lt;&gt;0,$F225&gt;0,YEAR($F225)&lt;Preisindex!$A$6,YEAR(DL$4)&gt;=YEAR($F225),$K225="b"),ROUND(VLOOKUP(DQ$4,Preisindex,3,FALSE)/VLOOKUP(Preisindex!$A$6,Preisindex,3,FALSE),2),IF(AND($E225&lt;&gt;0,$F225&gt;0,YEAR($F225)&lt;Preisindex!$A$6,YEAR(DL$4)&gt;=YEAR($F225),$K225="g"),ROUND(VLOOKUP(DQ$4,Preisindex,4,FALSE)/VLOOKUP(Preisindex!$A$6,Preisindex,4,FALSE),2),IF(AND($E225&lt;&gt;0,$F225&gt;0,YEAR($F225)&lt;Preisindex!$A$6,YEAR(DL$4)&gt;=YEAR($F225),$K225="k"),ROUND(VLOOKUP(DQ$4,Preisindex,2,FALSE)/VLOOKUP(Preisindex!$A$6,Preisindex,2,FALSE),2),0)))))</f>
        <v>0</v>
      </c>
      <c r="DS225" s="51">
        <f>IF(AND($E225&lt;&gt;0,$F225&gt;0,YEAR($F225)&lt;=DQ$4,YEAR($F225)&gt;=Preisindex!$A$6),ROUND($E225*DQ225,2),IF(AND($E225&lt;&gt;0,$F225&gt;0,YEAR($F225)&lt;=DQ$4,YEAR($F225)&lt;Preisindex!$A$6),ROUND($E225*DR225,2),0))</f>
        <v>0</v>
      </c>
      <c r="DT225" s="53">
        <f t="shared" si="664"/>
        <v>0</v>
      </c>
      <c r="DU225" s="51">
        <f t="shared" si="709"/>
        <v>0</v>
      </c>
      <c r="DV225" s="51">
        <f t="shared" si="735"/>
        <v>0</v>
      </c>
      <c r="DW225" s="51">
        <f t="shared" si="665"/>
        <v>0</v>
      </c>
      <c r="DX225" s="51">
        <f t="shared" si="736"/>
        <v>0</v>
      </c>
      <c r="DY225" s="51">
        <f t="shared" si="666"/>
        <v>0</v>
      </c>
      <c r="DZ225" s="51">
        <f t="shared" si="737"/>
        <v>0</v>
      </c>
      <c r="EA225" s="51">
        <f t="shared" si="667"/>
        <v>0</v>
      </c>
      <c r="EB225" s="51">
        <f t="shared" si="738"/>
        <v>0</v>
      </c>
      <c r="EC225" s="51">
        <f t="shared" si="668"/>
        <v>0</v>
      </c>
      <c r="ED225" s="51">
        <f t="shared" si="739"/>
        <v>0</v>
      </c>
      <c r="EE225" s="51">
        <f t="shared" si="669"/>
        <v>0</v>
      </c>
      <c r="EF225" s="54">
        <f t="shared" si="670"/>
        <v>0</v>
      </c>
      <c r="EG225" s="55">
        <f t="shared" si="671"/>
        <v>0</v>
      </c>
      <c r="EH225" s="56">
        <f>IF(AND($E225&lt;&gt;0,$F225&gt;0,YEAR($F225)&gt;=Preisindex!$A$6,YEAR(EC$4)&gt;=YEAR($F225),AND($K225&lt;&gt;"a",$K225&lt;&gt;"b",$K225&lt;&gt;"g",$K225&lt;&gt;"k")),1,IF(AND($E225&lt;&gt;0,$F225&gt;0,YEAR($F225)&gt;=Preisindex!$A$6,YEAR(EC$4)&gt;=YEAR($F225),$K225="a"),ROUND(VLOOKUP(EH$4,Preisindex,5,FALSE)/VLOOKUP(YEAR($F225),Preisindex,5,FALSE),2),IF(AND($E225&lt;&gt;0,$F225&gt;0,YEAR($F225)&gt;=Preisindex!$A$6,YEAR(EC$4)&gt;=YEAR($F225),$K225="b"),ROUND(VLOOKUP(EH$4,Preisindex,3,FALSE)/VLOOKUP(YEAR($F225),Preisindex,3,FALSE),2),IF(AND($E225&lt;&gt;0,$F225&gt;0,YEAR($F225)&gt;=Preisindex!$A$6,YEAR(EC$4)&gt;=YEAR($F225),$K225="g"),ROUND(VLOOKUP(EH$4,Preisindex,4,FALSE)/VLOOKUP(YEAR($F225),Preisindex,4,FALSE),2),IF(AND($E225&lt;&gt;0,$F225&gt;0,YEAR($F225)&gt;=Preisindex!$A$6,YEAR(EC$4)&gt;=YEAR($F225),$K225="k"),ROUND(VLOOKUP(EH$4,Preisindex,2,FALSE)/VLOOKUP(YEAR($F225),Preisindex,2,FALSE),2),0)))))</f>
        <v>0</v>
      </c>
      <c r="EI225" s="56">
        <f>IF(AND($E225&lt;&gt;0,$F225&gt;0,YEAR($F225)&lt;Preisindex!$A$6,YEAR(EC$4)&gt;=YEAR($F225),AND($K225&lt;&gt;"a",$K225&lt;&gt;"b",$K225&lt;&gt;"g",$K225&lt;&gt;"k")),1,IF(AND($E225&lt;&gt;0,$F225&gt;0,YEAR($F225)&lt;Preisindex!$A$6,YEAR(EC$4)&gt;=YEAR($F225),$K225="a"),ROUND(VLOOKUP(EH$4,Preisindex,5,FALSE)/VLOOKUP(Preisindex!$A$6,Preisindex,5,FALSE),2),IF(AND($E225&lt;&gt;0,$F225&gt;0,YEAR($F225)&lt;Preisindex!$A$6,YEAR(EC$4)&gt;=YEAR($F225),$K225="b"),ROUND(VLOOKUP(EH$4,Preisindex,3,FALSE)/VLOOKUP(Preisindex!$A$6,Preisindex,3,FALSE),2),IF(AND($E225&lt;&gt;0,$F225&gt;0,YEAR($F225)&lt;Preisindex!$A$6,YEAR(EC$4)&gt;=YEAR($F225),$K225="g"),ROUND(VLOOKUP(EH$4,Preisindex,4,FALSE)/VLOOKUP(Preisindex!$A$6,Preisindex,4,FALSE),2),IF(AND($E225&lt;&gt;0,$F225&gt;0,YEAR($F225)&lt;Preisindex!$A$6,YEAR(EC$4)&gt;=YEAR($F225),$K225="k"),ROUND(VLOOKUP(EH$4,Preisindex,2,FALSE)/VLOOKUP(Preisindex!$A$6,Preisindex,2,FALSE),2),0)))))</f>
        <v>0</v>
      </c>
      <c r="EJ225" s="51">
        <f>IF(AND($E225&lt;&gt;0,$F225&gt;0,YEAR($F225)&lt;=EH$4,YEAR($F225)&gt;=Preisindex!$A$6),ROUND($E225*EH225,2),IF(AND($E225&lt;&gt;0,$F225&gt;0,YEAR($F225)&lt;=EH$4,YEAR($F225)&lt;Preisindex!$A$6),ROUND($E225*EI225,2),0))</f>
        <v>0</v>
      </c>
      <c r="EK225" s="53">
        <f t="shared" si="672"/>
        <v>0</v>
      </c>
      <c r="EL225" s="51">
        <f t="shared" si="709"/>
        <v>0</v>
      </c>
      <c r="EM225" s="51">
        <f t="shared" si="740"/>
        <v>0</v>
      </c>
      <c r="EN225" s="51">
        <f t="shared" si="673"/>
        <v>0</v>
      </c>
      <c r="EO225" s="51">
        <f t="shared" si="741"/>
        <v>0</v>
      </c>
      <c r="EP225" s="51">
        <f t="shared" si="674"/>
        <v>0</v>
      </c>
      <c r="EQ225" s="51">
        <f t="shared" si="742"/>
        <v>0</v>
      </c>
      <c r="ER225" s="51">
        <f t="shared" si="675"/>
        <v>0</v>
      </c>
      <c r="ES225" s="51">
        <f t="shared" si="743"/>
        <v>0</v>
      </c>
      <c r="ET225" s="51">
        <f t="shared" si="676"/>
        <v>0</v>
      </c>
      <c r="EU225" s="51">
        <f t="shared" si="744"/>
        <v>0</v>
      </c>
      <c r="EV225" s="51">
        <f t="shared" si="677"/>
        <v>0</v>
      </c>
      <c r="EW225" s="54">
        <f t="shared" si="678"/>
        <v>0</v>
      </c>
      <c r="EX225" s="55">
        <f t="shared" si="679"/>
        <v>0</v>
      </c>
      <c r="EY225" s="56">
        <f>IF(AND($E225&lt;&gt;0,$F225&gt;0,YEAR($F225)&gt;=Preisindex!$A$6,YEAR(ET$4)&gt;=YEAR($F225),AND($K225&lt;&gt;"a",$K225&lt;&gt;"b",$K225&lt;&gt;"g",$K225&lt;&gt;"k")),1,IF(AND($E225&lt;&gt;0,$F225&gt;0,YEAR($F225)&gt;=Preisindex!$A$6,YEAR(ET$4)&gt;=YEAR($F225),$K225="a"),ROUND(VLOOKUP(EY$4,Preisindex,5,FALSE)/VLOOKUP(YEAR($F225),Preisindex,5,FALSE),2),IF(AND($E225&lt;&gt;0,$F225&gt;0,YEAR($F225)&gt;=Preisindex!$A$6,YEAR(ET$4)&gt;=YEAR($F225),$K225="b"),ROUND(VLOOKUP(EY$4,Preisindex,3,FALSE)/VLOOKUP(YEAR($F225),Preisindex,3,FALSE),2),IF(AND($E225&lt;&gt;0,$F225&gt;0,YEAR($F225)&gt;=Preisindex!$A$6,YEAR(ET$4)&gt;=YEAR($F225),$K225="g"),ROUND(VLOOKUP(EY$4,Preisindex,4,FALSE)/VLOOKUP(YEAR($F225),Preisindex,4,FALSE),2),IF(AND($E225&lt;&gt;0,$F225&gt;0,YEAR($F225)&gt;=Preisindex!$A$6,YEAR(ET$4)&gt;=YEAR($F225),$K225="k"),ROUND(VLOOKUP(EY$4,Preisindex,2,FALSE)/VLOOKUP(YEAR($F225),Preisindex,2,FALSE),2),0)))))</f>
        <v>0</v>
      </c>
      <c r="EZ225" s="56">
        <f>IF(AND($E225&lt;&gt;0,$F225&gt;0,YEAR($F225)&lt;Preisindex!$A$6,YEAR(ET$4)&gt;=YEAR($F225),AND($K225&lt;&gt;"a",$K225&lt;&gt;"b",$K225&lt;&gt;"g",$K225&lt;&gt;"k")),1,IF(AND($E225&lt;&gt;0,$F225&gt;0,YEAR($F225)&lt;Preisindex!$A$6,YEAR(ET$4)&gt;=YEAR($F225),$K225="a"),ROUND(VLOOKUP(EY$4,Preisindex,5,FALSE)/VLOOKUP(Preisindex!$A$6,Preisindex,5,FALSE),2),IF(AND($E225&lt;&gt;0,$F225&gt;0,YEAR($F225)&lt;Preisindex!$A$6,YEAR(ET$4)&gt;=YEAR($F225),$K225="b"),ROUND(VLOOKUP(EY$4,Preisindex,3,FALSE)/VLOOKUP(Preisindex!$A$6,Preisindex,3,FALSE),2),IF(AND($E225&lt;&gt;0,$F225&gt;0,YEAR($F225)&lt;Preisindex!$A$6,YEAR(ET$4)&gt;=YEAR($F225),$K225="g"),ROUND(VLOOKUP(EY$4,Preisindex,4,FALSE)/VLOOKUP(Preisindex!$A$6,Preisindex,4,FALSE),2),IF(AND($E225&lt;&gt;0,$F225&gt;0,YEAR($F225)&lt;Preisindex!$A$6,YEAR(ET$4)&gt;=YEAR($F225),$K225="k"),ROUND(VLOOKUP(EY$4,Preisindex,2,FALSE)/VLOOKUP(Preisindex!$A$6,Preisindex,2,FALSE),2),0)))))</f>
        <v>0</v>
      </c>
      <c r="FA225" s="51">
        <f>IF(AND($E225&lt;&gt;0,$F225&gt;0,YEAR($F225)&lt;=EY$4,YEAR($F225)&gt;=Preisindex!$A$6),ROUND($E225*EY225,2),IF(AND($E225&lt;&gt;0,$F225&gt;0,YEAR($F225)&lt;=EY$4,YEAR($F225)&lt;Preisindex!$A$6),ROUND($E225*EZ225,2),0))</f>
        <v>0</v>
      </c>
      <c r="FB225" s="53">
        <f t="shared" si="680"/>
        <v>0</v>
      </c>
      <c r="FC225" s="51">
        <f t="shared" si="709"/>
        <v>0</v>
      </c>
      <c r="FD225" s="51">
        <f t="shared" si="745"/>
        <v>0</v>
      </c>
      <c r="FE225" s="51">
        <f t="shared" si="681"/>
        <v>0</v>
      </c>
      <c r="FF225" s="51">
        <f t="shared" si="746"/>
        <v>0</v>
      </c>
      <c r="FG225" s="51">
        <f t="shared" si="682"/>
        <v>0</v>
      </c>
      <c r="FH225" s="51">
        <f t="shared" si="747"/>
        <v>0</v>
      </c>
      <c r="FI225" s="51">
        <f t="shared" si="683"/>
        <v>0</v>
      </c>
      <c r="FJ225" s="51">
        <f t="shared" si="748"/>
        <v>0</v>
      </c>
      <c r="FK225" s="51">
        <f t="shared" si="684"/>
        <v>0</v>
      </c>
      <c r="FL225" s="51">
        <f t="shared" si="749"/>
        <v>0</v>
      </c>
      <c r="FM225" s="51">
        <f t="shared" si="685"/>
        <v>0</v>
      </c>
      <c r="FN225" s="54">
        <f t="shared" si="686"/>
        <v>0</v>
      </c>
      <c r="FO225" s="55">
        <f t="shared" si="687"/>
        <v>0</v>
      </c>
      <c r="FP225" s="56">
        <f>IF(AND($E225&lt;&gt;0,$F225&gt;0,YEAR($F225)&gt;=Preisindex!$A$6,YEAR(FK$4)&gt;=YEAR($F225),AND($K225&lt;&gt;"a",$K225&lt;&gt;"b",$K225&lt;&gt;"g",$K225&lt;&gt;"k")),1,IF(AND($E225&lt;&gt;0,$F225&gt;0,YEAR($F225)&gt;=Preisindex!$A$6,YEAR(FK$4)&gt;=YEAR($F225),$K225="a"),ROUND(VLOOKUP(FP$4,Preisindex,5,FALSE)/VLOOKUP(YEAR($F225),Preisindex,5,FALSE),2),IF(AND($E225&lt;&gt;0,$F225&gt;0,YEAR($F225)&gt;=Preisindex!$A$6,YEAR(FK$4)&gt;=YEAR($F225),$K225="b"),ROUND(VLOOKUP(FP$4,Preisindex,3,FALSE)/VLOOKUP(YEAR($F225),Preisindex,3,FALSE),2),IF(AND($E225&lt;&gt;0,$F225&gt;0,YEAR($F225)&gt;=Preisindex!$A$6,YEAR(FK$4)&gt;=YEAR($F225),$K225="g"),ROUND(VLOOKUP(FP$4,Preisindex,4,FALSE)/VLOOKUP(YEAR($F225),Preisindex,4,FALSE),2),IF(AND($E225&lt;&gt;0,$F225&gt;0,YEAR($F225)&gt;=Preisindex!$A$6,YEAR(FK$4)&gt;=YEAR($F225),$K225="k"),ROUND(VLOOKUP(FP$4,Preisindex,2,FALSE)/VLOOKUP(YEAR($F225),Preisindex,2,FALSE),2),0)))))</f>
        <v>0</v>
      </c>
      <c r="FQ225" s="56">
        <f>IF(AND($E225&lt;&gt;0,$F225&gt;0,YEAR($F225)&lt;Preisindex!$A$6,YEAR(FK$4)&gt;=YEAR($F225),AND($K225&lt;&gt;"a",$K225&lt;&gt;"b",$K225&lt;&gt;"g",$K225&lt;&gt;"k")),1,IF(AND($E225&lt;&gt;0,$F225&gt;0,YEAR($F225)&lt;Preisindex!$A$6,YEAR(FK$4)&gt;=YEAR($F225),$K225="a"),ROUND(VLOOKUP(FP$4,Preisindex,5,FALSE)/VLOOKUP(Preisindex!$A$6,Preisindex,5,FALSE),2),IF(AND($E225&lt;&gt;0,$F225&gt;0,YEAR($F225)&lt;Preisindex!$A$6,YEAR(FK$4)&gt;=YEAR($F225),$K225="b"),ROUND(VLOOKUP(FP$4,Preisindex,3,FALSE)/VLOOKUP(Preisindex!$A$6,Preisindex,3,FALSE),2),IF(AND($E225&lt;&gt;0,$F225&gt;0,YEAR($F225)&lt;Preisindex!$A$6,YEAR(FK$4)&gt;=YEAR($F225),$K225="g"),ROUND(VLOOKUP(FP$4,Preisindex,4,FALSE)/VLOOKUP(Preisindex!$A$6,Preisindex,4,FALSE),2),IF(AND($E225&lt;&gt;0,$F225&gt;0,YEAR($F225)&lt;Preisindex!$A$6,YEAR(FK$4)&gt;=YEAR($F225),$K225="k"),ROUND(VLOOKUP(FP$4,Preisindex,2,FALSE)/VLOOKUP(Preisindex!$A$6,Preisindex,2,FALSE),2),0)))))</f>
        <v>0</v>
      </c>
      <c r="FR225" s="51">
        <f>IF(AND($E225&lt;&gt;0,$F225&gt;0,YEAR($F225)&lt;=FP$4,YEAR($F225)&gt;=Preisindex!$A$6),ROUND($E225*FP225,2),IF(AND($E225&lt;&gt;0,$F225&gt;0,YEAR($F225)&lt;=FP$4,YEAR($F225)&lt;Preisindex!$A$6),ROUND($E225*FQ225,2),0))</f>
        <v>0</v>
      </c>
      <c r="FS225" s="53">
        <f t="shared" si="688"/>
        <v>0</v>
      </c>
    </row>
    <row r="226" spans="1:175" x14ac:dyDescent="0.3">
      <c r="A226" s="93"/>
      <c r="B226" s="94"/>
      <c r="C226" s="94"/>
      <c r="D226" s="188"/>
      <c r="E226" s="624"/>
      <c r="F226" s="190"/>
      <c r="G226" s="625"/>
      <c r="H226" s="192"/>
      <c r="I226" s="621"/>
      <c r="J226" s="103"/>
      <c r="K226" s="630"/>
      <c r="L226" s="49">
        <f t="shared" si="689"/>
        <v>0</v>
      </c>
      <c r="M226" s="50">
        <f t="shared" si="690"/>
        <v>0</v>
      </c>
      <c r="N226" s="51">
        <f t="shared" si="691"/>
        <v>0</v>
      </c>
      <c r="O226" s="51"/>
      <c r="P226" s="51">
        <f t="shared" si="692"/>
        <v>0</v>
      </c>
      <c r="Q226" s="52"/>
      <c r="R226" s="52"/>
      <c r="S226" s="52"/>
      <c r="T226" s="52"/>
      <c r="U226" s="52"/>
      <c r="V226" s="53">
        <f t="shared" si="693"/>
        <v>0</v>
      </c>
      <c r="W226" s="51">
        <f t="shared" si="694"/>
        <v>0</v>
      </c>
      <c r="X226" s="51">
        <f t="shared" si="695"/>
        <v>0</v>
      </c>
      <c r="Y226" s="51">
        <f t="shared" si="696"/>
        <v>0</v>
      </c>
      <c r="Z226" s="51">
        <f t="shared" si="697"/>
        <v>0</v>
      </c>
      <c r="AA226" s="51">
        <f t="shared" si="698"/>
        <v>0</v>
      </c>
      <c r="AB226" s="51">
        <f t="shared" si="699"/>
        <v>0</v>
      </c>
      <c r="AC226" s="51">
        <f t="shared" si="700"/>
        <v>0</v>
      </c>
      <c r="AD226" s="51">
        <f t="shared" si="701"/>
        <v>0</v>
      </c>
      <c r="AE226" s="51">
        <f t="shared" si="702"/>
        <v>0</v>
      </c>
      <c r="AF226" s="51">
        <f t="shared" si="703"/>
        <v>0</v>
      </c>
      <c r="AG226" s="51">
        <f t="shared" si="704"/>
        <v>0</v>
      </c>
      <c r="AH226" s="54">
        <f t="shared" si="705"/>
        <v>0</v>
      </c>
      <c r="AI226" s="55">
        <f t="shared" si="706"/>
        <v>0</v>
      </c>
      <c r="AJ226" s="56">
        <f>IF(AND($E226&lt;&gt;0,$F226&gt;0,YEAR($F226)&gt;=Preisindex!$A$6,YEAR(AE$4)&gt;=YEAR($F226),AND($K226&lt;&gt;"a",$K226&lt;&gt;"b",$K226&lt;&gt;"g",$K226&lt;&gt;"k")),1,IF(AND($E226&lt;&gt;0,$F226&gt;0,YEAR($F226)&gt;=Preisindex!$A$6,YEAR(AE$4)&gt;=YEAR($F226),$K226="a"),ROUND(VLOOKUP(AJ$4,Preisindex,5,FALSE)/VLOOKUP(YEAR($F226),Preisindex,5,FALSE),2),IF(AND($E226&lt;&gt;0,$F226&gt;0,YEAR($F226)&gt;=Preisindex!$A$6,YEAR(AE$4)&gt;=YEAR($F226),$K226="b"),ROUND(VLOOKUP(AJ$4,Preisindex,3,FALSE)/VLOOKUP(YEAR($F226),Preisindex,3,FALSE),2),IF(AND($E226&lt;&gt;0,$F226&gt;0,YEAR($F226)&gt;=Preisindex!$A$6,YEAR(AE$4)&gt;=YEAR($F226),$K226="g"),ROUND(VLOOKUP(AJ$4,Preisindex,4,FALSE)/VLOOKUP(YEAR($F226),Preisindex,4,FALSE),2),IF(AND($E226&lt;&gt;0,$F226&gt;0,YEAR($F226)&gt;=Preisindex!$A$6,YEAR(AE$4)&gt;=YEAR($F226),$K226="k"),ROUND(VLOOKUP(AJ$4,Preisindex,2,FALSE)/VLOOKUP(YEAR($F226),Preisindex,2,FALSE),2),0)))))</f>
        <v>0</v>
      </c>
      <c r="AK226" s="56">
        <f>IF(AND($E226&lt;&gt;0,$F226&gt;0,YEAR($F226)&lt;Preisindex!$A$6,YEAR(AE$4)&gt;=YEAR($F226),AND($K226&lt;&gt;"a",$K226&lt;&gt;"b",$K226&lt;&gt;"g",$K226&lt;&gt;"k")),1,IF(AND($E226&lt;&gt;0,$F226&gt;0,YEAR($F226)&lt;Preisindex!$A$6,YEAR(AE$4)&gt;=YEAR($F226),$K226="a"),ROUND(VLOOKUP(AJ$4,Preisindex,5,FALSE)/VLOOKUP(Preisindex!$A$6,Preisindex,5,FALSE),2),IF(AND($E226&lt;&gt;0,$F226&gt;0,YEAR($F226)&lt;Preisindex!$A$6,YEAR(AE$4)&gt;=YEAR($F226),$K226="b"),ROUND(VLOOKUP(AJ$4,Preisindex,3,FALSE)/VLOOKUP(Preisindex!$A$6,Preisindex,3,FALSE),2),IF(AND($E226&lt;&gt;0,$F226&gt;0,YEAR($F226)&lt;Preisindex!$A$6,YEAR(AE$4)&gt;=YEAR($F226),$K226="g"),ROUND(VLOOKUP(AJ$4,Preisindex,4,FALSE)/VLOOKUP(Preisindex!$A$6,Preisindex,4,FALSE),2),IF(AND($E226&lt;&gt;0,$F226&gt;0,YEAR($F226)&lt;Preisindex!$A$6,YEAR(AE$4)&gt;=YEAR($F226),$K226="k"),ROUND(VLOOKUP(AJ$4,Preisindex,2,FALSE)/VLOOKUP(Preisindex!$A$6,Preisindex,2,FALSE),2),0)))))</f>
        <v>0</v>
      </c>
      <c r="AL226" s="51">
        <f>IF(AND($E226&lt;&gt;0,$F226&gt;0,YEAR($F226)&lt;=AJ$4,YEAR($F226)&gt;=Preisindex!$A$6),ROUND($E226*AJ226,2),IF(AND($E226&lt;&gt;0,$F226&gt;0,YEAR($F226)&lt;=AJ$4,YEAR($F226)&lt;Preisindex!$A$6),ROUND($E226*AK226,2),0))</f>
        <v>0</v>
      </c>
      <c r="AM226" s="53">
        <f t="shared" si="707"/>
        <v>0</v>
      </c>
      <c r="AN226" s="51">
        <f t="shared" si="708"/>
        <v>0</v>
      </c>
      <c r="AO226" s="51">
        <f t="shared" si="710"/>
        <v>0</v>
      </c>
      <c r="AP226" s="51">
        <f t="shared" si="624"/>
        <v>0</v>
      </c>
      <c r="AQ226" s="51">
        <f t="shared" si="711"/>
        <v>0</v>
      </c>
      <c r="AR226" s="51">
        <f t="shared" si="625"/>
        <v>0</v>
      </c>
      <c r="AS226" s="51">
        <f t="shared" si="712"/>
        <v>0</v>
      </c>
      <c r="AT226" s="51">
        <f t="shared" si="626"/>
        <v>0</v>
      </c>
      <c r="AU226" s="51">
        <f t="shared" si="713"/>
        <v>0</v>
      </c>
      <c r="AV226" s="51">
        <f t="shared" si="627"/>
        <v>0</v>
      </c>
      <c r="AW226" s="51">
        <f t="shared" si="714"/>
        <v>0</v>
      </c>
      <c r="AX226" s="51">
        <f t="shared" si="628"/>
        <v>0</v>
      </c>
      <c r="AY226" s="54">
        <f t="shared" si="629"/>
        <v>0</v>
      </c>
      <c r="AZ226" s="55">
        <f t="shared" si="630"/>
        <v>0</v>
      </c>
      <c r="BA226" s="56">
        <f>IF(AND($E226&lt;&gt;0,$F226&gt;0,YEAR($F226)&gt;=Preisindex!$A$6,YEAR(AV$4)&gt;=YEAR($F226),AND($K226&lt;&gt;"a",$K226&lt;&gt;"b",$K226&lt;&gt;"g",$K226&lt;&gt;"k")),1,IF(AND($E226&lt;&gt;0,$F226&gt;0,YEAR($F226)&gt;=Preisindex!$A$6,YEAR(AV$4)&gt;=YEAR($F226),$K226="a"),ROUND(VLOOKUP(BA$4,Preisindex,5,FALSE)/VLOOKUP(YEAR($F226),Preisindex,5,FALSE),2),IF(AND($E226&lt;&gt;0,$F226&gt;0,YEAR($F226)&gt;=Preisindex!$A$6,YEAR(AV$4)&gt;=YEAR($F226),$K226="b"),ROUND(VLOOKUP(BA$4,Preisindex,3,FALSE)/VLOOKUP(YEAR($F226),Preisindex,3,FALSE),2),IF(AND($E226&lt;&gt;0,$F226&gt;0,YEAR($F226)&gt;=Preisindex!$A$6,YEAR(AV$4)&gt;=YEAR($F226),$K226="g"),ROUND(VLOOKUP(BA$4,Preisindex,4,FALSE)/VLOOKUP(YEAR($F226),Preisindex,4,FALSE),2),IF(AND($E226&lt;&gt;0,$F226&gt;0,YEAR($F226)&gt;=Preisindex!$A$6,YEAR(AV$4)&gt;=YEAR($F226),$K226="k"),ROUND(VLOOKUP(BA$4,Preisindex,2,FALSE)/VLOOKUP(YEAR($F226),Preisindex,2,FALSE),2),0)))))</f>
        <v>0</v>
      </c>
      <c r="BB226" s="56">
        <f>IF(AND($E226&lt;&gt;0,$F226&gt;0,YEAR($F226)&lt;Preisindex!$A$6,YEAR(AV$4)&gt;=YEAR($F226),AND($K226&lt;&gt;"a",$K226&lt;&gt;"b",$K226&lt;&gt;"g",$K226&lt;&gt;"k")),1,IF(AND($E226&lt;&gt;0,$F226&gt;0,YEAR($F226)&lt;Preisindex!$A$6,YEAR(AV$4)&gt;=YEAR($F226),$K226="a"),ROUND(VLOOKUP(BA$4,Preisindex,5,FALSE)/VLOOKUP(Preisindex!$A$6,Preisindex,5,FALSE),2),IF(AND($E226&lt;&gt;0,$F226&gt;0,YEAR($F226)&lt;Preisindex!$A$6,YEAR(AV$4)&gt;=YEAR($F226),$K226="b"),ROUND(VLOOKUP(BA$4,Preisindex,3,FALSE)/VLOOKUP(Preisindex!$A$6,Preisindex,3,FALSE),2),IF(AND($E226&lt;&gt;0,$F226&gt;0,YEAR($F226)&lt;Preisindex!$A$6,YEAR(AV$4)&gt;=YEAR($F226),$K226="g"),ROUND(VLOOKUP(BA$4,Preisindex,4,FALSE)/VLOOKUP(Preisindex!$A$6,Preisindex,4,FALSE),2),IF(AND($E226&lt;&gt;0,$F226&gt;0,YEAR($F226)&lt;Preisindex!$A$6,YEAR(AV$4)&gt;=YEAR($F226),$K226="k"),ROUND(VLOOKUP(BA$4,Preisindex,2,FALSE)/VLOOKUP(Preisindex!$A$6,Preisindex,2,FALSE),2),0)))))</f>
        <v>0</v>
      </c>
      <c r="BC226" s="51">
        <f>IF(AND($E226&lt;&gt;0,$F226&gt;0,YEAR($F226)&lt;=BA$4,YEAR($F226)&gt;=Preisindex!$A$6),ROUND($E226*BA226,2),IF(AND($E226&lt;&gt;0,$F226&gt;0,YEAR($F226)&lt;=BA$4,YEAR($F226)&lt;Preisindex!$A$6),ROUND($E226*BB226,2),0))</f>
        <v>0</v>
      </c>
      <c r="BD226" s="53">
        <f t="shared" si="631"/>
        <v>0</v>
      </c>
      <c r="BE226" s="51">
        <f t="shared" si="708"/>
        <v>0</v>
      </c>
      <c r="BF226" s="51">
        <f t="shared" si="715"/>
        <v>0</v>
      </c>
      <c r="BG226" s="51">
        <f t="shared" si="632"/>
        <v>0</v>
      </c>
      <c r="BH226" s="51">
        <f t="shared" si="716"/>
        <v>0</v>
      </c>
      <c r="BI226" s="51">
        <f t="shared" si="633"/>
        <v>0</v>
      </c>
      <c r="BJ226" s="51">
        <f t="shared" si="717"/>
        <v>0</v>
      </c>
      <c r="BK226" s="51">
        <f t="shared" si="634"/>
        <v>0</v>
      </c>
      <c r="BL226" s="51">
        <f t="shared" si="718"/>
        <v>0</v>
      </c>
      <c r="BM226" s="51">
        <f t="shared" si="635"/>
        <v>0</v>
      </c>
      <c r="BN226" s="51">
        <f t="shared" si="719"/>
        <v>0</v>
      </c>
      <c r="BO226" s="51">
        <f t="shared" si="636"/>
        <v>0</v>
      </c>
      <c r="BP226" s="54">
        <f t="shared" si="637"/>
        <v>0</v>
      </c>
      <c r="BQ226" s="55">
        <f t="shared" si="638"/>
        <v>0</v>
      </c>
      <c r="BR226" s="56">
        <f>IF(AND($E226&lt;&gt;0,$F226&gt;0,YEAR($F226)&gt;=Preisindex!$A$6,YEAR(BM$4)&gt;=YEAR($F226),AND($K226&lt;&gt;"a",$K226&lt;&gt;"b",$K226&lt;&gt;"g",$K226&lt;&gt;"k")),1,IF(AND($E226&lt;&gt;0,$F226&gt;0,YEAR($F226)&gt;=Preisindex!$A$6,YEAR(BM$4)&gt;=YEAR($F226),$K226="a"),ROUND(VLOOKUP(BR$4,Preisindex,5,FALSE)/VLOOKUP(YEAR($F226),Preisindex,5,FALSE),2),IF(AND($E226&lt;&gt;0,$F226&gt;0,YEAR($F226)&gt;=Preisindex!$A$6,YEAR(BM$4)&gt;=YEAR($F226),$K226="b"),ROUND(VLOOKUP(BR$4,Preisindex,3,FALSE)/VLOOKUP(YEAR($F226),Preisindex,3,FALSE),2),IF(AND($E226&lt;&gt;0,$F226&gt;0,YEAR($F226)&gt;=Preisindex!$A$6,YEAR(BM$4)&gt;=YEAR($F226),$K226="g"),ROUND(VLOOKUP(BR$4,Preisindex,4,FALSE)/VLOOKUP(YEAR($F226),Preisindex,4,FALSE),2),IF(AND($E226&lt;&gt;0,$F226&gt;0,YEAR($F226)&gt;=Preisindex!$A$6,YEAR(BM$4)&gt;=YEAR($F226),$K226="k"),ROUND(VLOOKUP(BR$4,Preisindex,2,FALSE)/VLOOKUP(YEAR($F226),Preisindex,2,FALSE),2),0)))))</f>
        <v>0</v>
      </c>
      <c r="BS226" s="56">
        <f>IF(AND($E226&lt;&gt;0,$F226&gt;0,YEAR($F226)&lt;Preisindex!$A$6,YEAR(BM$4)&gt;=YEAR($F226),AND($K226&lt;&gt;"a",$K226&lt;&gt;"b",$K226&lt;&gt;"g",$K226&lt;&gt;"k")),1,IF(AND($E226&lt;&gt;0,$F226&gt;0,YEAR($F226)&lt;Preisindex!$A$6,YEAR(BM$4)&gt;=YEAR($F226),$K226="a"),ROUND(VLOOKUP(BR$4,Preisindex,5,FALSE)/VLOOKUP(Preisindex!$A$6,Preisindex,5,FALSE),2),IF(AND($E226&lt;&gt;0,$F226&gt;0,YEAR($F226)&lt;Preisindex!$A$6,YEAR(BM$4)&gt;=YEAR($F226),$K226="b"),ROUND(VLOOKUP(BR$4,Preisindex,3,FALSE)/VLOOKUP(Preisindex!$A$6,Preisindex,3,FALSE),2),IF(AND($E226&lt;&gt;0,$F226&gt;0,YEAR($F226)&lt;Preisindex!$A$6,YEAR(BM$4)&gt;=YEAR($F226),$K226="g"),ROUND(VLOOKUP(BR$4,Preisindex,4,FALSE)/VLOOKUP(Preisindex!$A$6,Preisindex,4,FALSE),2),IF(AND($E226&lt;&gt;0,$F226&gt;0,YEAR($F226)&lt;Preisindex!$A$6,YEAR(BM$4)&gt;=YEAR($F226),$K226="k"),ROUND(VLOOKUP(BR$4,Preisindex,2,FALSE)/VLOOKUP(Preisindex!$A$6,Preisindex,2,FALSE),2),0)))))</f>
        <v>0</v>
      </c>
      <c r="BT226" s="51">
        <f>IF(AND($E226&lt;&gt;0,$F226&gt;0,YEAR($F226)&lt;=BR$4,YEAR($F226)&gt;=Preisindex!$A$6),ROUND($E226*BR226,2),IF(AND($E226&lt;&gt;0,$F226&gt;0,YEAR($F226)&lt;=BR$4,YEAR($F226)&lt;Preisindex!$A$6),ROUND($E226*BS226,2),0))</f>
        <v>0</v>
      </c>
      <c r="BU226" s="53">
        <f t="shared" si="639"/>
        <v>0</v>
      </c>
      <c r="BV226" s="51">
        <f t="shared" si="708"/>
        <v>0</v>
      </c>
      <c r="BW226" s="51">
        <f t="shared" si="720"/>
        <v>0</v>
      </c>
      <c r="BX226" s="51">
        <f t="shared" si="640"/>
        <v>0</v>
      </c>
      <c r="BY226" s="51">
        <f t="shared" si="721"/>
        <v>0</v>
      </c>
      <c r="BZ226" s="51">
        <f t="shared" si="641"/>
        <v>0</v>
      </c>
      <c r="CA226" s="51">
        <f t="shared" si="722"/>
        <v>0</v>
      </c>
      <c r="CB226" s="51">
        <f t="shared" si="642"/>
        <v>0</v>
      </c>
      <c r="CC226" s="51">
        <f t="shared" si="723"/>
        <v>0</v>
      </c>
      <c r="CD226" s="51">
        <f t="shared" si="643"/>
        <v>0</v>
      </c>
      <c r="CE226" s="51">
        <f t="shared" si="724"/>
        <v>0</v>
      </c>
      <c r="CF226" s="51">
        <f t="shared" si="644"/>
        <v>0</v>
      </c>
      <c r="CG226" s="54">
        <f t="shared" si="645"/>
        <v>0</v>
      </c>
      <c r="CH226" s="55">
        <f t="shared" si="646"/>
        <v>0</v>
      </c>
      <c r="CI226" s="56">
        <f>IF(AND($E226&lt;&gt;0,$F226&gt;0,YEAR($F226)&gt;=Preisindex!$A$6,YEAR(CD$4)&gt;=YEAR($F226),AND($K226&lt;&gt;"a",$K226&lt;&gt;"b",$K226&lt;&gt;"g",$K226&lt;&gt;"k")),1,IF(AND($E226&lt;&gt;0,$F226&gt;0,YEAR($F226)&gt;=Preisindex!$A$6,YEAR(CD$4)&gt;=YEAR($F226),$K226="a"),ROUND(VLOOKUP(CI$4,Preisindex,5,FALSE)/VLOOKUP(YEAR($F226),Preisindex,5,FALSE),2),IF(AND($E226&lt;&gt;0,$F226&gt;0,YEAR($F226)&gt;=Preisindex!$A$6,YEAR(CD$4)&gt;=YEAR($F226),$K226="b"),ROUND(VLOOKUP(CI$4,Preisindex,3,FALSE)/VLOOKUP(YEAR($F226),Preisindex,3,FALSE),2),IF(AND($E226&lt;&gt;0,$F226&gt;0,YEAR($F226)&gt;=Preisindex!$A$6,YEAR(CD$4)&gt;=YEAR($F226),$K226="g"),ROUND(VLOOKUP(CI$4,Preisindex,4,FALSE)/VLOOKUP(YEAR($F226),Preisindex,4,FALSE),2),IF(AND($E226&lt;&gt;0,$F226&gt;0,YEAR($F226)&gt;=Preisindex!$A$6,YEAR(CD$4)&gt;=YEAR($F226),$K226="k"),ROUND(VLOOKUP(CI$4,Preisindex,2,FALSE)/VLOOKUP(YEAR($F226),Preisindex,2,FALSE),2),0)))))</f>
        <v>0</v>
      </c>
      <c r="CJ226" s="56">
        <f>IF(AND($E226&lt;&gt;0,$F226&gt;0,YEAR($F226)&lt;Preisindex!$A$6,YEAR(CD$4)&gt;=YEAR($F226),AND($K226&lt;&gt;"a",$K226&lt;&gt;"b",$K226&lt;&gt;"g",$K226&lt;&gt;"k")),1,IF(AND($E226&lt;&gt;0,$F226&gt;0,YEAR($F226)&lt;Preisindex!$A$6,YEAR(CD$4)&gt;=YEAR($F226),$K226="a"),ROUND(VLOOKUP(CI$4,Preisindex,5,FALSE)/VLOOKUP(Preisindex!$A$6,Preisindex,5,FALSE),2),IF(AND($E226&lt;&gt;0,$F226&gt;0,YEAR($F226)&lt;Preisindex!$A$6,YEAR(CD$4)&gt;=YEAR($F226),$K226="b"),ROUND(VLOOKUP(CI$4,Preisindex,3,FALSE)/VLOOKUP(Preisindex!$A$6,Preisindex,3,FALSE),2),IF(AND($E226&lt;&gt;0,$F226&gt;0,YEAR($F226)&lt;Preisindex!$A$6,YEAR(CD$4)&gt;=YEAR($F226),$K226="g"),ROUND(VLOOKUP(CI$4,Preisindex,4,FALSE)/VLOOKUP(Preisindex!$A$6,Preisindex,4,FALSE),2),IF(AND($E226&lt;&gt;0,$F226&gt;0,YEAR($F226)&lt;Preisindex!$A$6,YEAR(CD$4)&gt;=YEAR($F226),$K226="k"),ROUND(VLOOKUP(CI$4,Preisindex,2,FALSE)/VLOOKUP(Preisindex!$A$6,Preisindex,2,FALSE),2),0)))))</f>
        <v>0</v>
      </c>
      <c r="CK226" s="51">
        <f>IF(AND($E226&lt;&gt;0,$F226&gt;0,YEAR($F226)&lt;=CI$4,YEAR($F226)&gt;=Preisindex!$A$6),ROUND($E226*CI226,2),IF(AND($E226&lt;&gt;0,$F226&gt;0,YEAR($F226)&lt;=CI$4,YEAR($F226)&lt;Preisindex!$A$6),ROUND($E226*CJ226,2),0))</f>
        <v>0</v>
      </c>
      <c r="CL226" s="53">
        <f t="shared" si="647"/>
        <v>0</v>
      </c>
      <c r="CM226" s="51">
        <f t="shared" si="708"/>
        <v>0</v>
      </c>
      <c r="CN226" s="51">
        <f t="shared" si="725"/>
        <v>0</v>
      </c>
      <c r="CO226" s="51">
        <f t="shared" si="648"/>
        <v>0</v>
      </c>
      <c r="CP226" s="51">
        <f t="shared" si="726"/>
        <v>0</v>
      </c>
      <c r="CQ226" s="51">
        <f t="shared" si="649"/>
        <v>0</v>
      </c>
      <c r="CR226" s="51">
        <f t="shared" si="727"/>
        <v>0</v>
      </c>
      <c r="CS226" s="51">
        <f t="shared" si="650"/>
        <v>0</v>
      </c>
      <c r="CT226" s="51">
        <f t="shared" si="728"/>
        <v>0</v>
      </c>
      <c r="CU226" s="51">
        <f t="shared" si="651"/>
        <v>0</v>
      </c>
      <c r="CV226" s="51">
        <f t="shared" si="729"/>
        <v>0</v>
      </c>
      <c r="CW226" s="51">
        <f t="shared" si="652"/>
        <v>0</v>
      </c>
      <c r="CX226" s="54">
        <f t="shared" si="653"/>
        <v>0</v>
      </c>
      <c r="CY226" s="55">
        <f t="shared" si="654"/>
        <v>0</v>
      </c>
      <c r="CZ226" s="56">
        <f>IF(AND($E226&lt;&gt;0,$F226&gt;0,YEAR($F226)&gt;=Preisindex!$A$6,YEAR(CU$4)&gt;=YEAR($F226),AND($K226&lt;&gt;"a",$K226&lt;&gt;"b",$K226&lt;&gt;"g",$K226&lt;&gt;"k")),1,IF(AND($E226&lt;&gt;0,$F226&gt;0,YEAR($F226)&gt;=Preisindex!$A$6,YEAR(CU$4)&gt;=YEAR($F226),$K226="a"),ROUND(VLOOKUP(CZ$4,Preisindex,5,FALSE)/VLOOKUP(YEAR($F226),Preisindex,5,FALSE),2),IF(AND($E226&lt;&gt;0,$F226&gt;0,YEAR($F226)&gt;=Preisindex!$A$6,YEAR(CU$4)&gt;=YEAR($F226),$K226="b"),ROUND(VLOOKUP(CZ$4,Preisindex,3,FALSE)/VLOOKUP(YEAR($F226),Preisindex,3,FALSE),2),IF(AND($E226&lt;&gt;0,$F226&gt;0,YEAR($F226)&gt;=Preisindex!$A$6,YEAR(CU$4)&gt;=YEAR($F226),$K226="g"),ROUND(VLOOKUP(CZ$4,Preisindex,4,FALSE)/VLOOKUP(YEAR($F226),Preisindex,4,FALSE),2),IF(AND($E226&lt;&gt;0,$F226&gt;0,YEAR($F226)&gt;=Preisindex!$A$6,YEAR(CU$4)&gt;=YEAR($F226),$K226="k"),ROUND(VLOOKUP(CZ$4,Preisindex,2,FALSE)/VLOOKUP(YEAR($F226),Preisindex,2,FALSE),2),0)))))</f>
        <v>0</v>
      </c>
      <c r="DA226" s="56">
        <f>IF(AND($E226&lt;&gt;0,$F226&gt;0,YEAR($F226)&lt;Preisindex!$A$6,YEAR(CU$4)&gt;=YEAR($F226),AND($K226&lt;&gt;"a",$K226&lt;&gt;"b",$K226&lt;&gt;"g",$K226&lt;&gt;"k")),1,IF(AND($E226&lt;&gt;0,$F226&gt;0,YEAR($F226)&lt;Preisindex!$A$6,YEAR(CU$4)&gt;=YEAR($F226),$K226="a"),ROUND(VLOOKUP(CZ$4,Preisindex,5,FALSE)/VLOOKUP(Preisindex!$A$6,Preisindex,5,FALSE),2),IF(AND($E226&lt;&gt;0,$F226&gt;0,YEAR($F226)&lt;Preisindex!$A$6,YEAR(CU$4)&gt;=YEAR($F226),$K226="b"),ROUND(VLOOKUP(CZ$4,Preisindex,3,FALSE)/VLOOKUP(Preisindex!$A$6,Preisindex,3,FALSE),2),IF(AND($E226&lt;&gt;0,$F226&gt;0,YEAR($F226)&lt;Preisindex!$A$6,YEAR(CU$4)&gt;=YEAR($F226),$K226="g"),ROUND(VLOOKUP(CZ$4,Preisindex,4,FALSE)/VLOOKUP(Preisindex!$A$6,Preisindex,4,FALSE),2),IF(AND($E226&lt;&gt;0,$F226&gt;0,YEAR($F226)&lt;Preisindex!$A$6,YEAR(CU$4)&gt;=YEAR($F226),$K226="k"),ROUND(VLOOKUP(CZ$4,Preisindex,2,FALSE)/VLOOKUP(Preisindex!$A$6,Preisindex,2,FALSE),2),0)))))</f>
        <v>0</v>
      </c>
      <c r="DB226" s="51">
        <f>IF(AND($E226&lt;&gt;0,$F226&gt;0,YEAR($F226)&lt;=CZ$4,YEAR($F226)&gt;=Preisindex!$A$6),ROUND($E226*CZ226,2),IF(AND($E226&lt;&gt;0,$F226&gt;0,YEAR($F226)&lt;=CZ$4,YEAR($F226)&lt;Preisindex!$A$6),ROUND($E226*DA226,2),0))</f>
        <v>0</v>
      </c>
      <c r="DC226" s="53">
        <f t="shared" si="655"/>
        <v>0</v>
      </c>
      <c r="DD226" s="51">
        <f t="shared" si="709"/>
        <v>0</v>
      </c>
      <c r="DE226" s="51">
        <f t="shared" si="730"/>
        <v>0</v>
      </c>
      <c r="DF226" s="51">
        <f t="shared" si="657"/>
        <v>0</v>
      </c>
      <c r="DG226" s="51">
        <f t="shared" si="731"/>
        <v>0</v>
      </c>
      <c r="DH226" s="51">
        <f t="shared" si="658"/>
        <v>0</v>
      </c>
      <c r="DI226" s="51">
        <f t="shared" si="732"/>
        <v>0</v>
      </c>
      <c r="DJ226" s="51">
        <f t="shared" si="659"/>
        <v>0</v>
      </c>
      <c r="DK226" s="51">
        <f t="shared" si="733"/>
        <v>0</v>
      </c>
      <c r="DL226" s="51">
        <f t="shared" si="660"/>
        <v>0</v>
      </c>
      <c r="DM226" s="51">
        <f t="shared" si="734"/>
        <v>0</v>
      </c>
      <c r="DN226" s="51">
        <f t="shared" si="661"/>
        <v>0</v>
      </c>
      <c r="DO226" s="54">
        <f t="shared" si="662"/>
        <v>0</v>
      </c>
      <c r="DP226" s="55">
        <f t="shared" si="663"/>
        <v>0</v>
      </c>
      <c r="DQ226" s="56">
        <f>IF(AND($E226&lt;&gt;0,$F226&gt;0,YEAR($F226)&gt;=Preisindex!$A$6,YEAR(DL$4)&gt;=YEAR($F226),AND($K226&lt;&gt;"a",$K226&lt;&gt;"b",$K226&lt;&gt;"g",$K226&lt;&gt;"k")),1,IF(AND($E226&lt;&gt;0,$F226&gt;0,YEAR($F226)&gt;=Preisindex!$A$6,YEAR(DL$4)&gt;=YEAR($F226),$K226="a"),ROUND(VLOOKUP(DQ$4,Preisindex,5,FALSE)/VLOOKUP(YEAR($F226),Preisindex,5,FALSE),2),IF(AND($E226&lt;&gt;0,$F226&gt;0,YEAR($F226)&gt;=Preisindex!$A$6,YEAR(DL$4)&gt;=YEAR($F226),$K226="b"),ROUND(VLOOKUP(DQ$4,Preisindex,3,FALSE)/VLOOKUP(YEAR($F226),Preisindex,3,FALSE),2),IF(AND($E226&lt;&gt;0,$F226&gt;0,YEAR($F226)&gt;=Preisindex!$A$6,YEAR(DL$4)&gt;=YEAR($F226),$K226="g"),ROUND(VLOOKUP(DQ$4,Preisindex,4,FALSE)/VLOOKUP(YEAR($F226),Preisindex,4,FALSE),2),IF(AND($E226&lt;&gt;0,$F226&gt;0,YEAR($F226)&gt;=Preisindex!$A$6,YEAR(DL$4)&gt;=YEAR($F226),$K226="k"),ROUND(VLOOKUP(DQ$4,Preisindex,2,FALSE)/VLOOKUP(YEAR($F226),Preisindex,2,FALSE),2),0)))))</f>
        <v>0</v>
      </c>
      <c r="DR226" s="56">
        <f>IF(AND($E226&lt;&gt;0,$F226&gt;0,YEAR($F226)&lt;Preisindex!$A$6,YEAR(DL$4)&gt;=YEAR($F226),AND($K226&lt;&gt;"a",$K226&lt;&gt;"b",$K226&lt;&gt;"g",$K226&lt;&gt;"k")),1,IF(AND($E226&lt;&gt;0,$F226&gt;0,YEAR($F226)&lt;Preisindex!$A$6,YEAR(DL$4)&gt;=YEAR($F226),$K226="a"),ROUND(VLOOKUP(DQ$4,Preisindex,5,FALSE)/VLOOKUP(Preisindex!$A$6,Preisindex,5,FALSE),2),IF(AND($E226&lt;&gt;0,$F226&gt;0,YEAR($F226)&lt;Preisindex!$A$6,YEAR(DL$4)&gt;=YEAR($F226),$K226="b"),ROUND(VLOOKUP(DQ$4,Preisindex,3,FALSE)/VLOOKUP(Preisindex!$A$6,Preisindex,3,FALSE),2),IF(AND($E226&lt;&gt;0,$F226&gt;0,YEAR($F226)&lt;Preisindex!$A$6,YEAR(DL$4)&gt;=YEAR($F226),$K226="g"),ROUND(VLOOKUP(DQ$4,Preisindex,4,FALSE)/VLOOKUP(Preisindex!$A$6,Preisindex,4,FALSE),2),IF(AND($E226&lt;&gt;0,$F226&gt;0,YEAR($F226)&lt;Preisindex!$A$6,YEAR(DL$4)&gt;=YEAR($F226),$K226="k"),ROUND(VLOOKUP(DQ$4,Preisindex,2,FALSE)/VLOOKUP(Preisindex!$A$6,Preisindex,2,FALSE),2),0)))))</f>
        <v>0</v>
      </c>
      <c r="DS226" s="51">
        <f>IF(AND($E226&lt;&gt;0,$F226&gt;0,YEAR($F226)&lt;=DQ$4,YEAR($F226)&gt;=Preisindex!$A$6),ROUND($E226*DQ226,2),IF(AND($E226&lt;&gt;0,$F226&gt;0,YEAR($F226)&lt;=DQ$4,YEAR($F226)&lt;Preisindex!$A$6),ROUND($E226*DR226,2),0))</f>
        <v>0</v>
      </c>
      <c r="DT226" s="53">
        <f t="shared" si="664"/>
        <v>0</v>
      </c>
      <c r="DU226" s="51">
        <f t="shared" si="709"/>
        <v>0</v>
      </c>
      <c r="DV226" s="51">
        <f t="shared" si="735"/>
        <v>0</v>
      </c>
      <c r="DW226" s="51">
        <f t="shared" si="665"/>
        <v>0</v>
      </c>
      <c r="DX226" s="51">
        <f t="shared" si="736"/>
        <v>0</v>
      </c>
      <c r="DY226" s="51">
        <f t="shared" si="666"/>
        <v>0</v>
      </c>
      <c r="DZ226" s="51">
        <f t="shared" si="737"/>
        <v>0</v>
      </c>
      <c r="EA226" s="51">
        <f t="shared" si="667"/>
        <v>0</v>
      </c>
      <c r="EB226" s="51">
        <f t="shared" si="738"/>
        <v>0</v>
      </c>
      <c r="EC226" s="51">
        <f t="shared" si="668"/>
        <v>0</v>
      </c>
      <c r="ED226" s="51">
        <f t="shared" si="739"/>
        <v>0</v>
      </c>
      <c r="EE226" s="51">
        <f t="shared" si="669"/>
        <v>0</v>
      </c>
      <c r="EF226" s="54">
        <f t="shared" si="670"/>
        <v>0</v>
      </c>
      <c r="EG226" s="55">
        <f t="shared" si="671"/>
        <v>0</v>
      </c>
      <c r="EH226" s="56">
        <f>IF(AND($E226&lt;&gt;0,$F226&gt;0,YEAR($F226)&gt;=Preisindex!$A$6,YEAR(EC$4)&gt;=YEAR($F226),AND($K226&lt;&gt;"a",$K226&lt;&gt;"b",$K226&lt;&gt;"g",$K226&lt;&gt;"k")),1,IF(AND($E226&lt;&gt;0,$F226&gt;0,YEAR($F226)&gt;=Preisindex!$A$6,YEAR(EC$4)&gt;=YEAR($F226),$K226="a"),ROUND(VLOOKUP(EH$4,Preisindex,5,FALSE)/VLOOKUP(YEAR($F226),Preisindex,5,FALSE),2),IF(AND($E226&lt;&gt;0,$F226&gt;0,YEAR($F226)&gt;=Preisindex!$A$6,YEAR(EC$4)&gt;=YEAR($F226),$K226="b"),ROUND(VLOOKUP(EH$4,Preisindex,3,FALSE)/VLOOKUP(YEAR($F226),Preisindex,3,FALSE),2),IF(AND($E226&lt;&gt;0,$F226&gt;0,YEAR($F226)&gt;=Preisindex!$A$6,YEAR(EC$4)&gt;=YEAR($F226),$K226="g"),ROUND(VLOOKUP(EH$4,Preisindex,4,FALSE)/VLOOKUP(YEAR($F226),Preisindex,4,FALSE),2),IF(AND($E226&lt;&gt;0,$F226&gt;0,YEAR($F226)&gt;=Preisindex!$A$6,YEAR(EC$4)&gt;=YEAR($F226),$K226="k"),ROUND(VLOOKUP(EH$4,Preisindex,2,FALSE)/VLOOKUP(YEAR($F226),Preisindex,2,FALSE),2),0)))))</f>
        <v>0</v>
      </c>
      <c r="EI226" s="56">
        <f>IF(AND($E226&lt;&gt;0,$F226&gt;0,YEAR($F226)&lt;Preisindex!$A$6,YEAR(EC$4)&gt;=YEAR($F226),AND($K226&lt;&gt;"a",$K226&lt;&gt;"b",$K226&lt;&gt;"g",$K226&lt;&gt;"k")),1,IF(AND($E226&lt;&gt;0,$F226&gt;0,YEAR($F226)&lt;Preisindex!$A$6,YEAR(EC$4)&gt;=YEAR($F226),$K226="a"),ROUND(VLOOKUP(EH$4,Preisindex,5,FALSE)/VLOOKUP(Preisindex!$A$6,Preisindex,5,FALSE),2),IF(AND($E226&lt;&gt;0,$F226&gt;0,YEAR($F226)&lt;Preisindex!$A$6,YEAR(EC$4)&gt;=YEAR($F226),$K226="b"),ROUND(VLOOKUP(EH$4,Preisindex,3,FALSE)/VLOOKUP(Preisindex!$A$6,Preisindex,3,FALSE),2),IF(AND($E226&lt;&gt;0,$F226&gt;0,YEAR($F226)&lt;Preisindex!$A$6,YEAR(EC$4)&gt;=YEAR($F226),$K226="g"),ROUND(VLOOKUP(EH$4,Preisindex,4,FALSE)/VLOOKUP(Preisindex!$A$6,Preisindex,4,FALSE),2),IF(AND($E226&lt;&gt;0,$F226&gt;0,YEAR($F226)&lt;Preisindex!$A$6,YEAR(EC$4)&gt;=YEAR($F226),$K226="k"),ROUND(VLOOKUP(EH$4,Preisindex,2,FALSE)/VLOOKUP(Preisindex!$A$6,Preisindex,2,FALSE),2),0)))))</f>
        <v>0</v>
      </c>
      <c r="EJ226" s="51">
        <f>IF(AND($E226&lt;&gt;0,$F226&gt;0,YEAR($F226)&lt;=EH$4,YEAR($F226)&gt;=Preisindex!$A$6),ROUND($E226*EH226,2),IF(AND($E226&lt;&gt;0,$F226&gt;0,YEAR($F226)&lt;=EH$4,YEAR($F226)&lt;Preisindex!$A$6),ROUND($E226*EI226,2),0))</f>
        <v>0</v>
      </c>
      <c r="EK226" s="53">
        <f t="shared" si="672"/>
        <v>0</v>
      </c>
      <c r="EL226" s="51">
        <f t="shared" si="709"/>
        <v>0</v>
      </c>
      <c r="EM226" s="51">
        <f t="shared" si="740"/>
        <v>0</v>
      </c>
      <c r="EN226" s="51">
        <f t="shared" si="673"/>
        <v>0</v>
      </c>
      <c r="EO226" s="51">
        <f t="shared" si="741"/>
        <v>0</v>
      </c>
      <c r="EP226" s="51">
        <f t="shared" si="674"/>
        <v>0</v>
      </c>
      <c r="EQ226" s="51">
        <f t="shared" si="742"/>
        <v>0</v>
      </c>
      <c r="ER226" s="51">
        <f t="shared" si="675"/>
        <v>0</v>
      </c>
      <c r="ES226" s="51">
        <f t="shared" si="743"/>
        <v>0</v>
      </c>
      <c r="ET226" s="51">
        <f t="shared" si="676"/>
        <v>0</v>
      </c>
      <c r="EU226" s="51">
        <f t="shared" si="744"/>
        <v>0</v>
      </c>
      <c r="EV226" s="51">
        <f t="shared" si="677"/>
        <v>0</v>
      </c>
      <c r="EW226" s="54">
        <f t="shared" si="678"/>
        <v>0</v>
      </c>
      <c r="EX226" s="55">
        <f t="shared" si="679"/>
        <v>0</v>
      </c>
      <c r="EY226" s="56">
        <f>IF(AND($E226&lt;&gt;0,$F226&gt;0,YEAR($F226)&gt;=Preisindex!$A$6,YEAR(ET$4)&gt;=YEAR($F226),AND($K226&lt;&gt;"a",$K226&lt;&gt;"b",$K226&lt;&gt;"g",$K226&lt;&gt;"k")),1,IF(AND($E226&lt;&gt;0,$F226&gt;0,YEAR($F226)&gt;=Preisindex!$A$6,YEAR(ET$4)&gt;=YEAR($F226),$K226="a"),ROUND(VLOOKUP(EY$4,Preisindex,5,FALSE)/VLOOKUP(YEAR($F226),Preisindex,5,FALSE),2),IF(AND($E226&lt;&gt;0,$F226&gt;0,YEAR($F226)&gt;=Preisindex!$A$6,YEAR(ET$4)&gt;=YEAR($F226),$K226="b"),ROUND(VLOOKUP(EY$4,Preisindex,3,FALSE)/VLOOKUP(YEAR($F226),Preisindex,3,FALSE),2),IF(AND($E226&lt;&gt;0,$F226&gt;0,YEAR($F226)&gt;=Preisindex!$A$6,YEAR(ET$4)&gt;=YEAR($F226),$K226="g"),ROUND(VLOOKUP(EY$4,Preisindex,4,FALSE)/VLOOKUP(YEAR($F226),Preisindex,4,FALSE),2),IF(AND($E226&lt;&gt;0,$F226&gt;0,YEAR($F226)&gt;=Preisindex!$A$6,YEAR(ET$4)&gt;=YEAR($F226),$K226="k"),ROUND(VLOOKUP(EY$4,Preisindex,2,FALSE)/VLOOKUP(YEAR($F226),Preisindex,2,FALSE),2),0)))))</f>
        <v>0</v>
      </c>
      <c r="EZ226" s="56">
        <f>IF(AND($E226&lt;&gt;0,$F226&gt;0,YEAR($F226)&lt;Preisindex!$A$6,YEAR(ET$4)&gt;=YEAR($F226),AND($K226&lt;&gt;"a",$K226&lt;&gt;"b",$K226&lt;&gt;"g",$K226&lt;&gt;"k")),1,IF(AND($E226&lt;&gt;0,$F226&gt;0,YEAR($F226)&lt;Preisindex!$A$6,YEAR(ET$4)&gt;=YEAR($F226),$K226="a"),ROUND(VLOOKUP(EY$4,Preisindex,5,FALSE)/VLOOKUP(Preisindex!$A$6,Preisindex,5,FALSE),2),IF(AND($E226&lt;&gt;0,$F226&gt;0,YEAR($F226)&lt;Preisindex!$A$6,YEAR(ET$4)&gt;=YEAR($F226),$K226="b"),ROUND(VLOOKUP(EY$4,Preisindex,3,FALSE)/VLOOKUP(Preisindex!$A$6,Preisindex,3,FALSE),2),IF(AND($E226&lt;&gt;0,$F226&gt;0,YEAR($F226)&lt;Preisindex!$A$6,YEAR(ET$4)&gt;=YEAR($F226),$K226="g"),ROUND(VLOOKUP(EY$4,Preisindex,4,FALSE)/VLOOKUP(Preisindex!$A$6,Preisindex,4,FALSE),2),IF(AND($E226&lt;&gt;0,$F226&gt;0,YEAR($F226)&lt;Preisindex!$A$6,YEAR(ET$4)&gt;=YEAR($F226),$K226="k"),ROUND(VLOOKUP(EY$4,Preisindex,2,FALSE)/VLOOKUP(Preisindex!$A$6,Preisindex,2,FALSE),2),0)))))</f>
        <v>0</v>
      </c>
      <c r="FA226" s="51">
        <f>IF(AND($E226&lt;&gt;0,$F226&gt;0,YEAR($F226)&lt;=EY$4,YEAR($F226)&gt;=Preisindex!$A$6),ROUND($E226*EY226,2),IF(AND($E226&lt;&gt;0,$F226&gt;0,YEAR($F226)&lt;=EY$4,YEAR($F226)&lt;Preisindex!$A$6),ROUND($E226*EZ226,2),0))</f>
        <v>0</v>
      </c>
      <c r="FB226" s="53">
        <f t="shared" si="680"/>
        <v>0</v>
      </c>
      <c r="FC226" s="51">
        <f t="shared" si="709"/>
        <v>0</v>
      </c>
      <c r="FD226" s="51">
        <f t="shared" si="745"/>
        <v>0</v>
      </c>
      <c r="FE226" s="51">
        <f t="shared" si="681"/>
        <v>0</v>
      </c>
      <c r="FF226" s="51">
        <f t="shared" si="746"/>
        <v>0</v>
      </c>
      <c r="FG226" s="51">
        <f t="shared" si="682"/>
        <v>0</v>
      </c>
      <c r="FH226" s="51">
        <f t="shared" si="747"/>
        <v>0</v>
      </c>
      <c r="FI226" s="51">
        <f t="shared" si="683"/>
        <v>0</v>
      </c>
      <c r="FJ226" s="51">
        <f t="shared" si="748"/>
        <v>0</v>
      </c>
      <c r="FK226" s="51">
        <f t="shared" si="684"/>
        <v>0</v>
      </c>
      <c r="FL226" s="51">
        <f t="shared" si="749"/>
        <v>0</v>
      </c>
      <c r="FM226" s="51">
        <f t="shared" si="685"/>
        <v>0</v>
      </c>
      <c r="FN226" s="54">
        <f t="shared" si="686"/>
        <v>0</v>
      </c>
      <c r="FO226" s="55">
        <f t="shared" si="687"/>
        <v>0</v>
      </c>
      <c r="FP226" s="56">
        <f>IF(AND($E226&lt;&gt;0,$F226&gt;0,YEAR($F226)&gt;=Preisindex!$A$6,YEAR(FK$4)&gt;=YEAR($F226),AND($K226&lt;&gt;"a",$K226&lt;&gt;"b",$K226&lt;&gt;"g",$K226&lt;&gt;"k")),1,IF(AND($E226&lt;&gt;0,$F226&gt;0,YEAR($F226)&gt;=Preisindex!$A$6,YEAR(FK$4)&gt;=YEAR($F226),$K226="a"),ROUND(VLOOKUP(FP$4,Preisindex,5,FALSE)/VLOOKUP(YEAR($F226),Preisindex,5,FALSE),2),IF(AND($E226&lt;&gt;0,$F226&gt;0,YEAR($F226)&gt;=Preisindex!$A$6,YEAR(FK$4)&gt;=YEAR($F226),$K226="b"),ROUND(VLOOKUP(FP$4,Preisindex,3,FALSE)/VLOOKUP(YEAR($F226),Preisindex,3,FALSE),2),IF(AND($E226&lt;&gt;0,$F226&gt;0,YEAR($F226)&gt;=Preisindex!$A$6,YEAR(FK$4)&gt;=YEAR($F226),$K226="g"),ROUND(VLOOKUP(FP$4,Preisindex,4,FALSE)/VLOOKUP(YEAR($F226),Preisindex,4,FALSE),2),IF(AND($E226&lt;&gt;0,$F226&gt;0,YEAR($F226)&gt;=Preisindex!$A$6,YEAR(FK$4)&gt;=YEAR($F226),$K226="k"),ROUND(VLOOKUP(FP$4,Preisindex,2,FALSE)/VLOOKUP(YEAR($F226),Preisindex,2,FALSE),2),0)))))</f>
        <v>0</v>
      </c>
      <c r="FQ226" s="56">
        <f>IF(AND($E226&lt;&gt;0,$F226&gt;0,YEAR($F226)&lt;Preisindex!$A$6,YEAR(FK$4)&gt;=YEAR($F226),AND($K226&lt;&gt;"a",$K226&lt;&gt;"b",$K226&lt;&gt;"g",$K226&lt;&gt;"k")),1,IF(AND($E226&lt;&gt;0,$F226&gt;0,YEAR($F226)&lt;Preisindex!$A$6,YEAR(FK$4)&gt;=YEAR($F226),$K226="a"),ROUND(VLOOKUP(FP$4,Preisindex,5,FALSE)/VLOOKUP(Preisindex!$A$6,Preisindex,5,FALSE),2),IF(AND($E226&lt;&gt;0,$F226&gt;0,YEAR($F226)&lt;Preisindex!$A$6,YEAR(FK$4)&gt;=YEAR($F226),$K226="b"),ROUND(VLOOKUP(FP$4,Preisindex,3,FALSE)/VLOOKUP(Preisindex!$A$6,Preisindex,3,FALSE),2),IF(AND($E226&lt;&gt;0,$F226&gt;0,YEAR($F226)&lt;Preisindex!$A$6,YEAR(FK$4)&gt;=YEAR($F226),$K226="g"),ROUND(VLOOKUP(FP$4,Preisindex,4,FALSE)/VLOOKUP(Preisindex!$A$6,Preisindex,4,FALSE),2),IF(AND($E226&lt;&gt;0,$F226&gt;0,YEAR($F226)&lt;Preisindex!$A$6,YEAR(FK$4)&gt;=YEAR($F226),$K226="k"),ROUND(VLOOKUP(FP$4,Preisindex,2,FALSE)/VLOOKUP(Preisindex!$A$6,Preisindex,2,FALSE),2),0)))))</f>
        <v>0</v>
      </c>
      <c r="FR226" s="51">
        <f>IF(AND($E226&lt;&gt;0,$F226&gt;0,YEAR($F226)&lt;=FP$4,YEAR($F226)&gt;=Preisindex!$A$6),ROUND($E226*FP226,2),IF(AND($E226&lt;&gt;0,$F226&gt;0,YEAR($F226)&lt;=FP$4,YEAR($F226)&lt;Preisindex!$A$6),ROUND($E226*FQ226,2),0))</f>
        <v>0</v>
      </c>
      <c r="FS226" s="53">
        <f t="shared" si="688"/>
        <v>0</v>
      </c>
    </row>
    <row r="227" spans="1:175" x14ac:dyDescent="0.3">
      <c r="A227" s="93"/>
      <c r="B227" s="623"/>
      <c r="C227" s="96"/>
      <c r="D227" s="188"/>
      <c r="E227" s="624"/>
      <c r="F227" s="190"/>
      <c r="G227" s="625"/>
      <c r="H227" s="192"/>
      <c r="I227" s="621"/>
      <c r="J227" s="103"/>
      <c r="K227" s="630"/>
      <c r="L227" s="49">
        <f t="shared" si="689"/>
        <v>0</v>
      </c>
      <c r="M227" s="50">
        <f t="shared" si="690"/>
        <v>0</v>
      </c>
      <c r="N227" s="51">
        <f t="shared" si="691"/>
        <v>0</v>
      </c>
      <c r="O227" s="51"/>
      <c r="P227" s="51">
        <f t="shared" si="692"/>
        <v>0</v>
      </c>
      <c r="Q227" s="52"/>
      <c r="R227" s="52"/>
      <c r="S227" s="52"/>
      <c r="T227" s="52"/>
      <c r="U227" s="52"/>
      <c r="V227" s="53">
        <f t="shared" si="693"/>
        <v>0</v>
      </c>
      <c r="W227" s="51">
        <f t="shared" si="694"/>
        <v>0</v>
      </c>
      <c r="X227" s="51">
        <f t="shared" si="695"/>
        <v>0</v>
      </c>
      <c r="Y227" s="51">
        <f t="shared" si="696"/>
        <v>0</v>
      </c>
      <c r="Z227" s="51">
        <f t="shared" si="697"/>
        <v>0</v>
      </c>
      <c r="AA227" s="51">
        <f t="shared" si="698"/>
        <v>0</v>
      </c>
      <c r="AB227" s="51">
        <f t="shared" si="699"/>
        <v>0</v>
      </c>
      <c r="AC227" s="51">
        <f t="shared" si="700"/>
        <v>0</v>
      </c>
      <c r="AD227" s="51">
        <f t="shared" si="701"/>
        <v>0</v>
      </c>
      <c r="AE227" s="51">
        <f t="shared" si="702"/>
        <v>0</v>
      </c>
      <c r="AF227" s="51">
        <f t="shared" si="703"/>
        <v>0</v>
      </c>
      <c r="AG227" s="51">
        <f t="shared" si="704"/>
        <v>0</v>
      </c>
      <c r="AH227" s="54">
        <f t="shared" si="705"/>
        <v>0</v>
      </c>
      <c r="AI227" s="55">
        <f t="shared" si="706"/>
        <v>0</v>
      </c>
      <c r="AJ227" s="56">
        <f>IF(AND($E227&lt;&gt;0,$F227&gt;0,YEAR($F227)&gt;=Preisindex!$A$6,YEAR(AE$4)&gt;=YEAR($F227),AND($K227&lt;&gt;"a",$K227&lt;&gt;"b",$K227&lt;&gt;"g",$K227&lt;&gt;"k")),1,IF(AND($E227&lt;&gt;0,$F227&gt;0,YEAR($F227)&gt;=Preisindex!$A$6,YEAR(AE$4)&gt;=YEAR($F227),$K227="a"),ROUND(VLOOKUP(AJ$4,Preisindex,5,FALSE)/VLOOKUP(YEAR($F227),Preisindex,5,FALSE),2),IF(AND($E227&lt;&gt;0,$F227&gt;0,YEAR($F227)&gt;=Preisindex!$A$6,YEAR(AE$4)&gt;=YEAR($F227),$K227="b"),ROUND(VLOOKUP(AJ$4,Preisindex,3,FALSE)/VLOOKUP(YEAR($F227),Preisindex,3,FALSE),2),IF(AND($E227&lt;&gt;0,$F227&gt;0,YEAR($F227)&gt;=Preisindex!$A$6,YEAR(AE$4)&gt;=YEAR($F227),$K227="g"),ROUND(VLOOKUP(AJ$4,Preisindex,4,FALSE)/VLOOKUP(YEAR($F227),Preisindex,4,FALSE),2),IF(AND($E227&lt;&gt;0,$F227&gt;0,YEAR($F227)&gt;=Preisindex!$A$6,YEAR(AE$4)&gt;=YEAR($F227),$K227="k"),ROUND(VLOOKUP(AJ$4,Preisindex,2,FALSE)/VLOOKUP(YEAR($F227),Preisindex,2,FALSE),2),0)))))</f>
        <v>0</v>
      </c>
      <c r="AK227" s="56">
        <f>IF(AND($E227&lt;&gt;0,$F227&gt;0,YEAR($F227)&lt;Preisindex!$A$6,YEAR(AE$4)&gt;=YEAR($F227),AND($K227&lt;&gt;"a",$K227&lt;&gt;"b",$K227&lt;&gt;"g",$K227&lt;&gt;"k")),1,IF(AND($E227&lt;&gt;0,$F227&gt;0,YEAR($F227)&lt;Preisindex!$A$6,YEAR(AE$4)&gt;=YEAR($F227),$K227="a"),ROUND(VLOOKUP(AJ$4,Preisindex,5,FALSE)/VLOOKUP(Preisindex!$A$6,Preisindex,5,FALSE),2),IF(AND($E227&lt;&gt;0,$F227&gt;0,YEAR($F227)&lt;Preisindex!$A$6,YEAR(AE$4)&gt;=YEAR($F227),$K227="b"),ROUND(VLOOKUP(AJ$4,Preisindex,3,FALSE)/VLOOKUP(Preisindex!$A$6,Preisindex,3,FALSE),2),IF(AND($E227&lt;&gt;0,$F227&gt;0,YEAR($F227)&lt;Preisindex!$A$6,YEAR(AE$4)&gt;=YEAR($F227),$K227="g"),ROUND(VLOOKUP(AJ$4,Preisindex,4,FALSE)/VLOOKUP(Preisindex!$A$6,Preisindex,4,FALSE),2),IF(AND($E227&lt;&gt;0,$F227&gt;0,YEAR($F227)&lt;Preisindex!$A$6,YEAR(AE$4)&gt;=YEAR($F227),$K227="k"),ROUND(VLOOKUP(AJ$4,Preisindex,2,FALSE)/VLOOKUP(Preisindex!$A$6,Preisindex,2,FALSE),2),0)))))</f>
        <v>0</v>
      </c>
      <c r="AL227" s="51">
        <f>IF(AND($E227&lt;&gt;0,$F227&gt;0,YEAR($F227)&lt;=AJ$4,YEAR($F227)&gt;=Preisindex!$A$6),ROUND($E227*AJ227,2),IF(AND($E227&lt;&gt;0,$F227&gt;0,YEAR($F227)&lt;=AJ$4,YEAR($F227)&lt;Preisindex!$A$6),ROUND($E227*AK227,2),0))</f>
        <v>0</v>
      </c>
      <c r="AM227" s="53">
        <f t="shared" si="707"/>
        <v>0</v>
      </c>
      <c r="AN227" s="51">
        <f t="shared" si="708"/>
        <v>0</v>
      </c>
      <c r="AO227" s="51">
        <f t="shared" si="710"/>
        <v>0</v>
      </c>
      <c r="AP227" s="51">
        <f t="shared" si="624"/>
        <v>0</v>
      </c>
      <c r="AQ227" s="51">
        <f t="shared" si="711"/>
        <v>0</v>
      </c>
      <c r="AR227" s="51">
        <f t="shared" si="625"/>
        <v>0</v>
      </c>
      <c r="AS227" s="51">
        <f t="shared" si="712"/>
        <v>0</v>
      </c>
      <c r="AT227" s="51">
        <f t="shared" si="626"/>
        <v>0</v>
      </c>
      <c r="AU227" s="51">
        <f t="shared" si="713"/>
        <v>0</v>
      </c>
      <c r="AV227" s="51">
        <f t="shared" si="627"/>
        <v>0</v>
      </c>
      <c r="AW227" s="51">
        <f t="shared" si="714"/>
        <v>0</v>
      </c>
      <c r="AX227" s="51">
        <f t="shared" si="628"/>
        <v>0</v>
      </c>
      <c r="AY227" s="54">
        <f t="shared" si="629"/>
        <v>0</v>
      </c>
      <c r="AZ227" s="55">
        <f t="shared" si="630"/>
        <v>0</v>
      </c>
      <c r="BA227" s="56">
        <f>IF(AND($E227&lt;&gt;0,$F227&gt;0,YEAR($F227)&gt;=Preisindex!$A$6,YEAR(AV$4)&gt;=YEAR($F227),AND($K227&lt;&gt;"a",$K227&lt;&gt;"b",$K227&lt;&gt;"g",$K227&lt;&gt;"k")),1,IF(AND($E227&lt;&gt;0,$F227&gt;0,YEAR($F227)&gt;=Preisindex!$A$6,YEAR(AV$4)&gt;=YEAR($F227),$K227="a"),ROUND(VLOOKUP(BA$4,Preisindex,5,FALSE)/VLOOKUP(YEAR($F227),Preisindex,5,FALSE),2),IF(AND($E227&lt;&gt;0,$F227&gt;0,YEAR($F227)&gt;=Preisindex!$A$6,YEAR(AV$4)&gt;=YEAR($F227),$K227="b"),ROUND(VLOOKUP(BA$4,Preisindex,3,FALSE)/VLOOKUP(YEAR($F227),Preisindex,3,FALSE),2),IF(AND($E227&lt;&gt;0,$F227&gt;0,YEAR($F227)&gt;=Preisindex!$A$6,YEAR(AV$4)&gt;=YEAR($F227),$K227="g"),ROUND(VLOOKUP(BA$4,Preisindex,4,FALSE)/VLOOKUP(YEAR($F227),Preisindex,4,FALSE),2),IF(AND($E227&lt;&gt;0,$F227&gt;0,YEAR($F227)&gt;=Preisindex!$A$6,YEAR(AV$4)&gt;=YEAR($F227),$K227="k"),ROUND(VLOOKUP(BA$4,Preisindex,2,FALSE)/VLOOKUP(YEAR($F227),Preisindex,2,FALSE),2),0)))))</f>
        <v>0</v>
      </c>
      <c r="BB227" s="56">
        <f>IF(AND($E227&lt;&gt;0,$F227&gt;0,YEAR($F227)&lt;Preisindex!$A$6,YEAR(AV$4)&gt;=YEAR($F227),AND($K227&lt;&gt;"a",$K227&lt;&gt;"b",$K227&lt;&gt;"g",$K227&lt;&gt;"k")),1,IF(AND($E227&lt;&gt;0,$F227&gt;0,YEAR($F227)&lt;Preisindex!$A$6,YEAR(AV$4)&gt;=YEAR($F227),$K227="a"),ROUND(VLOOKUP(BA$4,Preisindex,5,FALSE)/VLOOKUP(Preisindex!$A$6,Preisindex,5,FALSE),2),IF(AND($E227&lt;&gt;0,$F227&gt;0,YEAR($F227)&lt;Preisindex!$A$6,YEAR(AV$4)&gt;=YEAR($F227),$K227="b"),ROUND(VLOOKUP(BA$4,Preisindex,3,FALSE)/VLOOKUP(Preisindex!$A$6,Preisindex,3,FALSE),2),IF(AND($E227&lt;&gt;0,$F227&gt;0,YEAR($F227)&lt;Preisindex!$A$6,YEAR(AV$4)&gt;=YEAR($F227),$K227="g"),ROUND(VLOOKUP(BA$4,Preisindex,4,FALSE)/VLOOKUP(Preisindex!$A$6,Preisindex,4,FALSE),2),IF(AND($E227&lt;&gt;0,$F227&gt;0,YEAR($F227)&lt;Preisindex!$A$6,YEAR(AV$4)&gt;=YEAR($F227),$K227="k"),ROUND(VLOOKUP(BA$4,Preisindex,2,FALSE)/VLOOKUP(Preisindex!$A$6,Preisindex,2,FALSE),2),0)))))</f>
        <v>0</v>
      </c>
      <c r="BC227" s="51">
        <f>IF(AND($E227&lt;&gt;0,$F227&gt;0,YEAR($F227)&lt;=BA$4,YEAR($F227)&gt;=Preisindex!$A$6),ROUND($E227*BA227,2),IF(AND($E227&lt;&gt;0,$F227&gt;0,YEAR($F227)&lt;=BA$4,YEAR($F227)&lt;Preisindex!$A$6),ROUND($E227*BB227,2),0))</f>
        <v>0</v>
      </c>
      <c r="BD227" s="53">
        <f t="shared" si="631"/>
        <v>0</v>
      </c>
      <c r="BE227" s="51">
        <f t="shared" si="708"/>
        <v>0</v>
      </c>
      <c r="BF227" s="51">
        <f t="shared" si="715"/>
        <v>0</v>
      </c>
      <c r="BG227" s="51">
        <f t="shared" si="632"/>
        <v>0</v>
      </c>
      <c r="BH227" s="51">
        <f t="shared" si="716"/>
        <v>0</v>
      </c>
      <c r="BI227" s="51">
        <f t="shared" si="633"/>
        <v>0</v>
      </c>
      <c r="BJ227" s="51">
        <f t="shared" si="717"/>
        <v>0</v>
      </c>
      <c r="BK227" s="51">
        <f t="shared" si="634"/>
        <v>0</v>
      </c>
      <c r="BL227" s="51">
        <f t="shared" si="718"/>
        <v>0</v>
      </c>
      <c r="BM227" s="51">
        <f t="shared" si="635"/>
        <v>0</v>
      </c>
      <c r="BN227" s="51">
        <f t="shared" si="719"/>
        <v>0</v>
      </c>
      <c r="BO227" s="51">
        <f t="shared" si="636"/>
        <v>0</v>
      </c>
      <c r="BP227" s="54">
        <f t="shared" si="637"/>
        <v>0</v>
      </c>
      <c r="BQ227" s="55">
        <f t="shared" si="638"/>
        <v>0</v>
      </c>
      <c r="BR227" s="56">
        <f>IF(AND($E227&lt;&gt;0,$F227&gt;0,YEAR($F227)&gt;=Preisindex!$A$6,YEAR(BM$4)&gt;=YEAR($F227),AND($K227&lt;&gt;"a",$K227&lt;&gt;"b",$K227&lt;&gt;"g",$K227&lt;&gt;"k")),1,IF(AND($E227&lt;&gt;0,$F227&gt;0,YEAR($F227)&gt;=Preisindex!$A$6,YEAR(BM$4)&gt;=YEAR($F227),$K227="a"),ROUND(VLOOKUP(BR$4,Preisindex,5,FALSE)/VLOOKUP(YEAR($F227),Preisindex,5,FALSE),2),IF(AND($E227&lt;&gt;0,$F227&gt;0,YEAR($F227)&gt;=Preisindex!$A$6,YEAR(BM$4)&gt;=YEAR($F227),$K227="b"),ROUND(VLOOKUP(BR$4,Preisindex,3,FALSE)/VLOOKUP(YEAR($F227),Preisindex,3,FALSE),2),IF(AND($E227&lt;&gt;0,$F227&gt;0,YEAR($F227)&gt;=Preisindex!$A$6,YEAR(BM$4)&gt;=YEAR($F227),$K227="g"),ROUND(VLOOKUP(BR$4,Preisindex,4,FALSE)/VLOOKUP(YEAR($F227),Preisindex,4,FALSE),2),IF(AND($E227&lt;&gt;0,$F227&gt;0,YEAR($F227)&gt;=Preisindex!$A$6,YEAR(BM$4)&gt;=YEAR($F227),$K227="k"),ROUND(VLOOKUP(BR$4,Preisindex,2,FALSE)/VLOOKUP(YEAR($F227),Preisindex,2,FALSE),2),0)))))</f>
        <v>0</v>
      </c>
      <c r="BS227" s="56">
        <f>IF(AND($E227&lt;&gt;0,$F227&gt;0,YEAR($F227)&lt;Preisindex!$A$6,YEAR(BM$4)&gt;=YEAR($F227),AND($K227&lt;&gt;"a",$K227&lt;&gt;"b",$K227&lt;&gt;"g",$K227&lt;&gt;"k")),1,IF(AND($E227&lt;&gt;0,$F227&gt;0,YEAR($F227)&lt;Preisindex!$A$6,YEAR(BM$4)&gt;=YEAR($F227),$K227="a"),ROUND(VLOOKUP(BR$4,Preisindex,5,FALSE)/VLOOKUP(Preisindex!$A$6,Preisindex,5,FALSE),2),IF(AND($E227&lt;&gt;0,$F227&gt;0,YEAR($F227)&lt;Preisindex!$A$6,YEAR(BM$4)&gt;=YEAR($F227),$K227="b"),ROUND(VLOOKUP(BR$4,Preisindex,3,FALSE)/VLOOKUP(Preisindex!$A$6,Preisindex,3,FALSE),2),IF(AND($E227&lt;&gt;0,$F227&gt;0,YEAR($F227)&lt;Preisindex!$A$6,YEAR(BM$4)&gt;=YEAR($F227),$K227="g"),ROUND(VLOOKUP(BR$4,Preisindex,4,FALSE)/VLOOKUP(Preisindex!$A$6,Preisindex,4,FALSE),2),IF(AND($E227&lt;&gt;0,$F227&gt;0,YEAR($F227)&lt;Preisindex!$A$6,YEAR(BM$4)&gt;=YEAR($F227),$K227="k"),ROUND(VLOOKUP(BR$4,Preisindex,2,FALSE)/VLOOKUP(Preisindex!$A$6,Preisindex,2,FALSE),2),0)))))</f>
        <v>0</v>
      </c>
      <c r="BT227" s="51">
        <f>IF(AND($E227&lt;&gt;0,$F227&gt;0,YEAR($F227)&lt;=BR$4,YEAR($F227)&gt;=Preisindex!$A$6),ROUND($E227*BR227,2),IF(AND($E227&lt;&gt;0,$F227&gt;0,YEAR($F227)&lt;=BR$4,YEAR($F227)&lt;Preisindex!$A$6),ROUND($E227*BS227,2),0))</f>
        <v>0</v>
      </c>
      <c r="BU227" s="53">
        <f t="shared" si="639"/>
        <v>0</v>
      </c>
      <c r="BV227" s="51">
        <f t="shared" si="708"/>
        <v>0</v>
      </c>
      <c r="BW227" s="51">
        <f t="shared" si="720"/>
        <v>0</v>
      </c>
      <c r="BX227" s="51">
        <f t="shared" si="640"/>
        <v>0</v>
      </c>
      <c r="BY227" s="51">
        <f t="shared" si="721"/>
        <v>0</v>
      </c>
      <c r="BZ227" s="51">
        <f t="shared" si="641"/>
        <v>0</v>
      </c>
      <c r="CA227" s="51">
        <f t="shared" si="722"/>
        <v>0</v>
      </c>
      <c r="CB227" s="51">
        <f t="shared" si="642"/>
        <v>0</v>
      </c>
      <c r="CC227" s="51">
        <f t="shared" si="723"/>
        <v>0</v>
      </c>
      <c r="CD227" s="51">
        <f t="shared" si="643"/>
        <v>0</v>
      </c>
      <c r="CE227" s="51">
        <f t="shared" si="724"/>
        <v>0</v>
      </c>
      <c r="CF227" s="51">
        <f t="shared" si="644"/>
        <v>0</v>
      </c>
      <c r="CG227" s="54">
        <f t="shared" si="645"/>
        <v>0</v>
      </c>
      <c r="CH227" s="55">
        <f t="shared" si="646"/>
        <v>0</v>
      </c>
      <c r="CI227" s="56">
        <f>IF(AND($E227&lt;&gt;0,$F227&gt;0,YEAR($F227)&gt;=Preisindex!$A$6,YEAR(CD$4)&gt;=YEAR($F227),AND($K227&lt;&gt;"a",$K227&lt;&gt;"b",$K227&lt;&gt;"g",$K227&lt;&gt;"k")),1,IF(AND($E227&lt;&gt;0,$F227&gt;0,YEAR($F227)&gt;=Preisindex!$A$6,YEAR(CD$4)&gt;=YEAR($F227),$K227="a"),ROUND(VLOOKUP(CI$4,Preisindex,5,FALSE)/VLOOKUP(YEAR($F227),Preisindex,5,FALSE),2),IF(AND($E227&lt;&gt;0,$F227&gt;0,YEAR($F227)&gt;=Preisindex!$A$6,YEAR(CD$4)&gt;=YEAR($F227),$K227="b"),ROUND(VLOOKUP(CI$4,Preisindex,3,FALSE)/VLOOKUP(YEAR($F227),Preisindex,3,FALSE),2),IF(AND($E227&lt;&gt;0,$F227&gt;0,YEAR($F227)&gt;=Preisindex!$A$6,YEAR(CD$4)&gt;=YEAR($F227),$K227="g"),ROUND(VLOOKUP(CI$4,Preisindex,4,FALSE)/VLOOKUP(YEAR($F227),Preisindex,4,FALSE),2),IF(AND($E227&lt;&gt;0,$F227&gt;0,YEAR($F227)&gt;=Preisindex!$A$6,YEAR(CD$4)&gt;=YEAR($F227),$K227="k"),ROUND(VLOOKUP(CI$4,Preisindex,2,FALSE)/VLOOKUP(YEAR($F227),Preisindex,2,FALSE),2),0)))))</f>
        <v>0</v>
      </c>
      <c r="CJ227" s="56">
        <f>IF(AND($E227&lt;&gt;0,$F227&gt;0,YEAR($F227)&lt;Preisindex!$A$6,YEAR(CD$4)&gt;=YEAR($F227),AND($K227&lt;&gt;"a",$K227&lt;&gt;"b",$K227&lt;&gt;"g",$K227&lt;&gt;"k")),1,IF(AND($E227&lt;&gt;0,$F227&gt;0,YEAR($F227)&lt;Preisindex!$A$6,YEAR(CD$4)&gt;=YEAR($F227),$K227="a"),ROUND(VLOOKUP(CI$4,Preisindex,5,FALSE)/VLOOKUP(Preisindex!$A$6,Preisindex,5,FALSE),2),IF(AND($E227&lt;&gt;0,$F227&gt;0,YEAR($F227)&lt;Preisindex!$A$6,YEAR(CD$4)&gt;=YEAR($F227),$K227="b"),ROUND(VLOOKUP(CI$4,Preisindex,3,FALSE)/VLOOKUP(Preisindex!$A$6,Preisindex,3,FALSE),2),IF(AND($E227&lt;&gt;0,$F227&gt;0,YEAR($F227)&lt;Preisindex!$A$6,YEAR(CD$4)&gt;=YEAR($F227),$K227="g"),ROUND(VLOOKUP(CI$4,Preisindex,4,FALSE)/VLOOKUP(Preisindex!$A$6,Preisindex,4,FALSE),2),IF(AND($E227&lt;&gt;0,$F227&gt;0,YEAR($F227)&lt;Preisindex!$A$6,YEAR(CD$4)&gt;=YEAR($F227),$K227="k"),ROUND(VLOOKUP(CI$4,Preisindex,2,FALSE)/VLOOKUP(Preisindex!$A$6,Preisindex,2,FALSE),2),0)))))</f>
        <v>0</v>
      </c>
      <c r="CK227" s="51">
        <f>IF(AND($E227&lt;&gt;0,$F227&gt;0,YEAR($F227)&lt;=CI$4,YEAR($F227)&gt;=Preisindex!$A$6),ROUND($E227*CI227,2),IF(AND($E227&lt;&gt;0,$F227&gt;0,YEAR($F227)&lt;=CI$4,YEAR($F227)&lt;Preisindex!$A$6),ROUND($E227*CJ227,2),0))</f>
        <v>0</v>
      </c>
      <c r="CL227" s="53">
        <f t="shared" si="647"/>
        <v>0</v>
      </c>
      <c r="CM227" s="51">
        <f t="shared" si="708"/>
        <v>0</v>
      </c>
      <c r="CN227" s="51">
        <f t="shared" si="725"/>
        <v>0</v>
      </c>
      <c r="CO227" s="51">
        <f t="shared" si="648"/>
        <v>0</v>
      </c>
      <c r="CP227" s="51">
        <f t="shared" si="726"/>
        <v>0</v>
      </c>
      <c r="CQ227" s="51">
        <f t="shared" si="649"/>
        <v>0</v>
      </c>
      <c r="CR227" s="51">
        <f t="shared" si="727"/>
        <v>0</v>
      </c>
      <c r="CS227" s="51">
        <f t="shared" si="650"/>
        <v>0</v>
      </c>
      <c r="CT227" s="51">
        <f t="shared" si="728"/>
        <v>0</v>
      </c>
      <c r="CU227" s="51">
        <f t="shared" si="651"/>
        <v>0</v>
      </c>
      <c r="CV227" s="51">
        <f t="shared" si="729"/>
        <v>0</v>
      </c>
      <c r="CW227" s="51">
        <f t="shared" si="652"/>
        <v>0</v>
      </c>
      <c r="CX227" s="54">
        <f t="shared" si="653"/>
        <v>0</v>
      </c>
      <c r="CY227" s="55">
        <f t="shared" si="654"/>
        <v>0</v>
      </c>
      <c r="CZ227" s="56">
        <f>IF(AND($E227&lt;&gt;0,$F227&gt;0,YEAR($F227)&gt;=Preisindex!$A$6,YEAR(CU$4)&gt;=YEAR($F227),AND($K227&lt;&gt;"a",$K227&lt;&gt;"b",$K227&lt;&gt;"g",$K227&lt;&gt;"k")),1,IF(AND($E227&lt;&gt;0,$F227&gt;0,YEAR($F227)&gt;=Preisindex!$A$6,YEAR(CU$4)&gt;=YEAR($F227),$K227="a"),ROUND(VLOOKUP(CZ$4,Preisindex,5,FALSE)/VLOOKUP(YEAR($F227),Preisindex,5,FALSE),2),IF(AND($E227&lt;&gt;0,$F227&gt;0,YEAR($F227)&gt;=Preisindex!$A$6,YEAR(CU$4)&gt;=YEAR($F227),$K227="b"),ROUND(VLOOKUP(CZ$4,Preisindex,3,FALSE)/VLOOKUP(YEAR($F227),Preisindex,3,FALSE),2),IF(AND($E227&lt;&gt;0,$F227&gt;0,YEAR($F227)&gt;=Preisindex!$A$6,YEAR(CU$4)&gt;=YEAR($F227),$K227="g"),ROUND(VLOOKUP(CZ$4,Preisindex,4,FALSE)/VLOOKUP(YEAR($F227),Preisindex,4,FALSE),2),IF(AND($E227&lt;&gt;0,$F227&gt;0,YEAR($F227)&gt;=Preisindex!$A$6,YEAR(CU$4)&gt;=YEAR($F227),$K227="k"),ROUND(VLOOKUP(CZ$4,Preisindex,2,FALSE)/VLOOKUP(YEAR($F227),Preisindex,2,FALSE),2),0)))))</f>
        <v>0</v>
      </c>
      <c r="DA227" s="56">
        <f>IF(AND($E227&lt;&gt;0,$F227&gt;0,YEAR($F227)&lt;Preisindex!$A$6,YEAR(CU$4)&gt;=YEAR($F227),AND($K227&lt;&gt;"a",$K227&lt;&gt;"b",$K227&lt;&gt;"g",$K227&lt;&gt;"k")),1,IF(AND($E227&lt;&gt;0,$F227&gt;0,YEAR($F227)&lt;Preisindex!$A$6,YEAR(CU$4)&gt;=YEAR($F227),$K227="a"),ROUND(VLOOKUP(CZ$4,Preisindex,5,FALSE)/VLOOKUP(Preisindex!$A$6,Preisindex,5,FALSE),2),IF(AND($E227&lt;&gt;0,$F227&gt;0,YEAR($F227)&lt;Preisindex!$A$6,YEAR(CU$4)&gt;=YEAR($F227),$K227="b"),ROUND(VLOOKUP(CZ$4,Preisindex,3,FALSE)/VLOOKUP(Preisindex!$A$6,Preisindex,3,FALSE),2),IF(AND($E227&lt;&gt;0,$F227&gt;0,YEAR($F227)&lt;Preisindex!$A$6,YEAR(CU$4)&gt;=YEAR($F227),$K227="g"),ROUND(VLOOKUP(CZ$4,Preisindex,4,FALSE)/VLOOKUP(Preisindex!$A$6,Preisindex,4,FALSE),2),IF(AND($E227&lt;&gt;0,$F227&gt;0,YEAR($F227)&lt;Preisindex!$A$6,YEAR(CU$4)&gt;=YEAR($F227),$K227="k"),ROUND(VLOOKUP(CZ$4,Preisindex,2,FALSE)/VLOOKUP(Preisindex!$A$6,Preisindex,2,FALSE),2),0)))))</f>
        <v>0</v>
      </c>
      <c r="DB227" s="51">
        <f>IF(AND($E227&lt;&gt;0,$F227&gt;0,YEAR($F227)&lt;=CZ$4,YEAR($F227)&gt;=Preisindex!$A$6),ROUND($E227*CZ227,2),IF(AND($E227&lt;&gt;0,$F227&gt;0,YEAR($F227)&lt;=CZ$4,YEAR($F227)&lt;Preisindex!$A$6),ROUND($E227*DA227,2),0))</f>
        <v>0</v>
      </c>
      <c r="DC227" s="53">
        <f t="shared" si="655"/>
        <v>0</v>
      </c>
      <c r="DD227" s="51">
        <f t="shared" si="709"/>
        <v>0</v>
      </c>
      <c r="DE227" s="51">
        <f t="shared" si="730"/>
        <v>0</v>
      </c>
      <c r="DF227" s="51">
        <f t="shared" si="657"/>
        <v>0</v>
      </c>
      <c r="DG227" s="51">
        <f t="shared" si="731"/>
        <v>0</v>
      </c>
      <c r="DH227" s="51">
        <f t="shared" si="658"/>
        <v>0</v>
      </c>
      <c r="DI227" s="51">
        <f t="shared" si="732"/>
        <v>0</v>
      </c>
      <c r="DJ227" s="51">
        <f t="shared" si="659"/>
        <v>0</v>
      </c>
      <c r="DK227" s="51">
        <f t="shared" si="733"/>
        <v>0</v>
      </c>
      <c r="DL227" s="51">
        <f t="shared" si="660"/>
        <v>0</v>
      </c>
      <c r="DM227" s="51">
        <f t="shared" si="734"/>
        <v>0</v>
      </c>
      <c r="DN227" s="51">
        <f t="shared" si="661"/>
        <v>0</v>
      </c>
      <c r="DO227" s="54">
        <f t="shared" si="662"/>
        <v>0</v>
      </c>
      <c r="DP227" s="55">
        <f t="shared" si="663"/>
        <v>0</v>
      </c>
      <c r="DQ227" s="56">
        <f>IF(AND($E227&lt;&gt;0,$F227&gt;0,YEAR($F227)&gt;=Preisindex!$A$6,YEAR(DL$4)&gt;=YEAR($F227),AND($K227&lt;&gt;"a",$K227&lt;&gt;"b",$K227&lt;&gt;"g",$K227&lt;&gt;"k")),1,IF(AND($E227&lt;&gt;0,$F227&gt;0,YEAR($F227)&gt;=Preisindex!$A$6,YEAR(DL$4)&gt;=YEAR($F227),$K227="a"),ROUND(VLOOKUP(DQ$4,Preisindex,5,FALSE)/VLOOKUP(YEAR($F227),Preisindex,5,FALSE),2),IF(AND($E227&lt;&gt;0,$F227&gt;0,YEAR($F227)&gt;=Preisindex!$A$6,YEAR(DL$4)&gt;=YEAR($F227),$K227="b"),ROUND(VLOOKUP(DQ$4,Preisindex,3,FALSE)/VLOOKUP(YEAR($F227),Preisindex,3,FALSE),2),IF(AND($E227&lt;&gt;0,$F227&gt;0,YEAR($F227)&gt;=Preisindex!$A$6,YEAR(DL$4)&gt;=YEAR($F227),$K227="g"),ROUND(VLOOKUP(DQ$4,Preisindex,4,FALSE)/VLOOKUP(YEAR($F227),Preisindex,4,FALSE),2),IF(AND($E227&lt;&gt;0,$F227&gt;0,YEAR($F227)&gt;=Preisindex!$A$6,YEAR(DL$4)&gt;=YEAR($F227),$K227="k"),ROUND(VLOOKUP(DQ$4,Preisindex,2,FALSE)/VLOOKUP(YEAR($F227),Preisindex,2,FALSE),2),0)))))</f>
        <v>0</v>
      </c>
      <c r="DR227" s="56">
        <f>IF(AND($E227&lt;&gt;0,$F227&gt;0,YEAR($F227)&lt;Preisindex!$A$6,YEAR(DL$4)&gt;=YEAR($F227),AND($K227&lt;&gt;"a",$K227&lt;&gt;"b",$K227&lt;&gt;"g",$K227&lt;&gt;"k")),1,IF(AND($E227&lt;&gt;0,$F227&gt;0,YEAR($F227)&lt;Preisindex!$A$6,YEAR(DL$4)&gt;=YEAR($F227),$K227="a"),ROUND(VLOOKUP(DQ$4,Preisindex,5,FALSE)/VLOOKUP(Preisindex!$A$6,Preisindex,5,FALSE),2),IF(AND($E227&lt;&gt;0,$F227&gt;0,YEAR($F227)&lt;Preisindex!$A$6,YEAR(DL$4)&gt;=YEAR($F227),$K227="b"),ROUND(VLOOKUP(DQ$4,Preisindex,3,FALSE)/VLOOKUP(Preisindex!$A$6,Preisindex,3,FALSE),2),IF(AND($E227&lt;&gt;0,$F227&gt;0,YEAR($F227)&lt;Preisindex!$A$6,YEAR(DL$4)&gt;=YEAR($F227),$K227="g"),ROUND(VLOOKUP(DQ$4,Preisindex,4,FALSE)/VLOOKUP(Preisindex!$A$6,Preisindex,4,FALSE),2),IF(AND($E227&lt;&gt;0,$F227&gt;0,YEAR($F227)&lt;Preisindex!$A$6,YEAR(DL$4)&gt;=YEAR($F227),$K227="k"),ROUND(VLOOKUP(DQ$4,Preisindex,2,FALSE)/VLOOKUP(Preisindex!$A$6,Preisindex,2,FALSE),2),0)))))</f>
        <v>0</v>
      </c>
      <c r="DS227" s="51">
        <f>IF(AND($E227&lt;&gt;0,$F227&gt;0,YEAR($F227)&lt;=DQ$4,YEAR($F227)&gt;=Preisindex!$A$6),ROUND($E227*DQ227,2),IF(AND($E227&lt;&gt;0,$F227&gt;0,YEAR($F227)&lt;=DQ$4,YEAR($F227)&lt;Preisindex!$A$6),ROUND($E227*DR227,2),0))</f>
        <v>0</v>
      </c>
      <c r="DT227" s="53">
        <f t="shared" si="664"/>
        <v>0</v>
      </c>
      <c r="DU227" s="51">
        <f t="shared" si="709"/>
        <v>0</v>
      </c>
      <c r="DV227" s="51">
        <f t="shared" si="735"/>
        <v>0</v>
      </c>
      <c r="DW227" s="51">
        <f t="shared" si="665"/>
        <v>0</v>
      </c>
      <c r="DX227" s="51">
        <f t="shared" si="736"/>
        <v>0</v>
      </c>
      <c r="DY227" s="51">
        <f t="shared" si="666"/>
        <v>0</v>
      </c>
      <c r="DZ227" s="51">
        <f t="shared" si="737"/>
        <v>0</v>
      </c>
      <c r="EA227" s="51">
        <f t="shared" si="667"/>
        <v>0</v>
      </c>
      <c r="EB227" s="51">
        <f t="shared" si="738"/>
        <v>0</v>
      </c>
      <c r="EC227" s="51">
        <f t="shared" si="668"/>
        <v>0</v>
      </c>
      <c r="ED227" s="51">
        <f t="shared" si="739"/>
        <v>0</v>
      </c>
      <c r="EE227" s="51">
        <f t="shared" si="669"/>
        <v>0</v>
      </c>
      <c r="EF227" s="54">
        <f t="shared" si="670"/>
        <v>0</v>
      </c>
      <c r="EG227" s="55">
        <f t="shared" si="671"/>
        <v>0</v>
      </c>
      <c r="EH227" s="56">
        <f>IF(AND($E227&lt;&gt;0,$F227&gt;0,YEAR($F227)&gt;=Preisindex!$A$6,YEAR(EC$4)&gt;=YEAR($F227),AND($K227&lt;&gt;"a",$K227&lt;&gt;"b",$K227&lt;&gt;"g",$K227&lt;&gt;"k")),1,IF(AND($E227&lt;&gt;0,$F227&gt;0,YEAR($F227)&gt;=Preisindex!$A$6,YEAR(EC$4)&gt;=YEAR($F227),$K227="a"),ROUND(VLOOKUP(EH$4,Preisindex,5,FALSE)/VLOOKUP(YEAR($F227),Preisindex,5,FALSE),2),IF(AND($E227&lt;&gt;0,$F227&gt;0,YEAR($F227)&gt;=Preisindex!$A$6,YEAR(EC$4)&gt;=YEAR($F227),$K227="b"),ROUND(VLOOKUP(EH$4,Preisindex,3,FALSE)/VLOOKUP(YEAR($F227),Preisindex,3,FALSE),2),IF(AND($E227&lt;&gt;0,$F227&gt;0,YEAR($F227)&gt;=Preisindex!$A$6,YEAR(EC$4)&gt;=YEAR($F227),$K227="g"),ROUND(VLOOKUP(EH$4,Preisindex,4,FALSE)/VLOOKUP(YEAR($F227),Preisindex,4,FALSE),2),IF(AND($E227&lt;&gt;0,$F227&gt;0,YEAR($F227)&gt;=Preisindex!$A$6,YEAR(EC$4)&gt;=YEAR($F227),$K227="k"),ROUND(VLOOKUP(EH$4,Preisindex,2,FALSE)/VLOOKUP(YEAR($F227),Preisindex,2,FALSE),2),0)))))</f>
        <v>0</v>
      </c>
      <c r="EI227" s="56">
        <f>IF(AND($E227&lt;&gt;0,$F227&gt;0,YEAR($F227)&lt;Preisindex!$A$6,YEAR(EC$4)&gt;=YEAR($F227),AND($K227&lt;&gt;"a",$K227&lt;&gt;"b",$K227&lt;&gt;"g",$K227&lt;&gt;"k")),1,IF(AND($E227&lt;&gt;0,$F227&gt;0,YEAR($F227)&lt;Preisindex!$A$6,YEAR(EC$4)&gt;=YEAR($F227),$K227="a"),ROUND(VLOOKUP(EH$4,Preisindex,5,FALSE)/VLOOKUP(Preisindex!$A$6,Preisindex,5,FALSE),2),IF(AND($E227&lt;&gt;0,$F227&gt;0,YEAR($F227)&lt;Preisindex!$A$6,YEAR(EC$4)&gt;=YEAR($F227),$K227="b"),ROUND(VLOOKUP(EH$4,Preisindex,3,FALSE)/VLOOKUP(Preisindex!$A$6,Preisindex,3,FALSE),2),IF(AND($E227&lt;&gt;0,$F227&gt;0,YEAR($F227)&lt;Preisindex!$A$6,YEAR(EC$4)&gt;=YEAR($F227),$K227="g"),ROUND(VLOOKUP(EH$4,Preisindex,4,FALSE)/VLOOKUP(Preisindex!$A$6,Preisindex,4,FALSE),2),IF(AND($E227&lt;&gt;0,$F227&gt;0,YEAR($F227)&lt;Preisindex!$A$6,YEAR(EC$4)&gt;=YEAR($F227),$K227="k"),ROUND(VLOOKUP(EH$4,Preisindex,2,FALSE)/VLOOKUP(Preisindex!$A$6,Preisindex,2,FALSE),2),0)))))</f>
        <v>0</v>
      </c>
      <c r="EJ227" s="51">
        <f>IF(AND($E227&lt;&gt;0,$F227&gt;0,YEAR($F227)&lt;=EH$4,YEAR($F227)&gt;=Preisindex!$A$6),ROUND($E227*EH227,2),IF(AND($E227&lt;&gt;0,$F227&gt;0,YEAR($F227)&lt;=EH$4,YEAR($F227)&lt;Preisindex!$A$6),ROUND($E227*EI227,2),0))</f>
        <v>0</v>
      </c>
      <c r="EK227" s="53">
        <f t="shared" si="672"/>
        <v>0</v>
      </c>
      <c r="EL227" s="51">
        <f t="shared" si="709"/>
        <v>0</v>
      </c>
      <c r="EM227" s="51">
        <f t="shared" si="740"/>
        <v>0</v>
      </c>
      <c r="EN227" s="51">
        <f t="shared" si="673"/>
        <v>0</v>
      </c>
      <c r="EO227" s="51">
        <f t="shared" si="741"/>
        <v>0</v>
      </c>
      <c r="EP227" s="51">
        <f t="shared" si="674"/>
        <v>0</v>
      </c>
      <c r="EQ227" s="51">
        <f t="shared" si="742"/>
        <v>0</v>
      </c>
      <c r="ER227" s="51">
        <f t="shared" si="675"/>
        <v>0</v>
      </c>
      <c r="ES227" s="51">
        <f t="shared" si="743"/>
        <v>0</v>
      </c>
      <c r="ET227" s="51">
        <f t="shared" si="676"/>
        <v>0</v>
      </c>
      <c r="EU227" s="51">
        <f t="shared" si="744"/>
        <v>0</v>
      </c>
      <c r="EV227" s="51">
        <f t="shared" si="677"/>
        <v>0</v>
      </c>
      <c r="EW227" s="54">
        <f t="shared" si="678"/>
        <v>0</v>
      </c>
      <c r="EX227" s="55">
        <f t="shared" si="679"/>
        <v>0</v>
      </c>
      <c r="EY227" s="56">
        <f>IF(AND($E227&lt;&gt;0,$F227&gt;0,YEAR($F227)&gt;=Preisindex!$A$6,YEAR(ET$4)&gt;=YEAR($F227),AND($K227&lt;&gt;"a",$K227&lt;&gt;"b",$K227&lt;&gt;"g",$K227&lt;&gt;"k")),1,IF(AND($E227&lt;&gt;0,$F227&gt;0,YEAR($F227)&gt;=Preisindex!$A$6,YEAR(ET$4)&gt;=YEAR($F227),$K227="a"),ROUND(VLOOKUP(EY$4,Preisindex,5,FALSE)/VLOOKUP(YEAR($F227),Preisindex,5,FALSE),2),IF(AND($E227&lt;&gt;0,$F227&gt;0,YEAR($F227)&gt;=Preisindex!$A$6,YEAR(ET$4)&gt;=YEAR($F227),$K227="b"),ROUND(VLOOKUP(EY$4,Preisindex,3,FALSE)/VLOOKUP(YEAR($F227),Preisindex,3,FALSE),2),IF(AND($E227&lt;&gt;0,$F227&gt;0,YEAR($F227)&gt;=Preisindex!$A$6,YEAR(ET$4)&gt;=YEAR($F227),$K227="g"),ROUND(VLOOKUP(EY$4,Preisindex,4,FALSE)/VLOOKUP(YEAR($F227),Preisindex,4,FALSE),2),IF(AND($E227&lt;&gt;0,$F227&gt;0,YEAR($F227)&gt;=Preisindex!$A$6,YEAR(ET$4)&gt;=YEAR($F227),$K227="k"),ROUND(VLOOKUP(EY$4,Preisindex,2,FALSE)/VLOOKUP(YEAR($F227),Preisindex,2,FALSE),2),0)))))</f>
        <v>0</v>
      </c>
      <c r="EZ227" s="56">
        <f>IF(AND($E227&lt;&gt;0,$F227&gt;0,YEAR($F227)&lt;Preisindex!$A$6,YEAR(ET$4)&gt;=YEAR($F227),AND($K227&lt;&gt;"a",$K227&lt;&gt;"b",$K227&lt;&gt;"g",$K227&lt;&gt;"k")),1,IF(AND($E227&lt;&gt;0,$F227&gt;0,YEAR($F227)&lt;Preisindex!$A$6,YEAR(ET$4)&gt;=YEAR($F227),$K227="a"),ROUND(VLOOKUP(EY$4,Preisindex,5,FALSE)/VLOOKUP(Preisindex!$A$6,Preisindex,5,FALSE),2),IF(AND($E227&lt;&gt;0,$F227&gt;0,YEAR($F227)&lt;Preisindex!$A$6,YEAR(ET$4)&gt;=YEAR($F227),$K227="b"),ROUND(VLOOKUP(EY$4,Preisindex,3,FALSE)/VLOOKUP(Preisindex!$A$6,Preisindex,3,FALSE),2),IF(AND($E227&lt;&gt;0,$F227&gt;0,YEAR($F227)&lt;Preisindex!$A$6,YEAR(ET$4)&gt;=YEAR($F227),$K227="g"),ROUND(VLOOKUP(EY$4,Preisindex,4,FALSE)/VLOOKUP(Preisindex!$A$6,Preisindex,4,FALSE),2),IF(AND($E227&lt;&gt;0,$F227&gt;0,YEAR($F227)&lt;Preisindex!$A$6,YEAR(ET$4)&gt;=YEAR($F227),$K227="k"),ROUND(VLOOKUP(EY$4,Preisindex,2,FALSE)/VLOOKUP(Preisindex!$A$6,Preisindex,2,FALSE),2),0)))))</f>
        <v>0</v>
      </c>
      <c r="FA227" s="51">
        <f>IF(AND($E227&lt;&gt;0,$F227&gt;0,YEAR($F227)&lt;=EY$4,YEAR($F227)&gt;=Preisindex!$A$6),ROUND($E227*EY227,2),IF(AND($E227&lt;&gt;0,$F227&gt;0,YEAR($F227)&lt;=EY$4,YEAR($F227)&lt;Preisindex!$A$6),ROUND($E227*EZ227,2),0))</f>
        <v>0</v>
      </c>
      <c r="FB227" s="53">
        <f t="shared" si="680"/>
        <v>0</v>
      </c>
      <c r="FC227" s="51">
        <f t="shared" si="709"/>
        <v>0</v>
      </c>
      <c r="FD227" s="51">
        <f t="shared" si="745"/>
        <v>0</v>
      </c>
      <c r="FE227" s="51">
        <f t="shared" si="681"/>
        <v>0</v>
      </c>
      <c r="FF227" s="51">
        <f t="shared" si="746"/>
        <v>0</v>
      </c>
      <c r="FG227" s="51">
        <f t="shared" si="682"/>
        <v>0</v>
      </c>
      <c r="FH227" s="51">
        <f t="shared" si="747"/>
        <v>0</v>
      </c>
      <c r="FI227" s="51">
        <f t="shared" si="683"/>
        <v>0</v>
      </c>
      <c r="FJ227" s="51">
        <f t="shared" si="748"/>
        <v>0</v>
      </c>
      <c r="FK227" s="51">
        <f t="shared" si="684"/>
        <v>0</v>
      </c>
      <c r="FL227" s="51">
        <f t="shared" si="749"/>
        <v>0</v>
      </c>
      <c r="FM227" s="51">
        <f t="shared" si="685"/>
        <v>0</v>
      </c>
      <c r="FN227" s="54">
        <f t="shared" si="686"/>
        <v>0</v>
      </c>
      <c r="FO227" s="55">
        <f t="shared" si="687"/>
        <v>0</v>
      </c>
      <c r="FP227" s="56">
        <f>IF(AND($E227&lt;&gt;0,$F227&gt;0,YEAR($F227)&gt;=Preisindex!$A$6,YEAR(FK$4)&gt;=YEAR($F227),AND($K227&lt;&gt;"a",$K227&lt;&gt;"b",$K227&lt;&gt;"g",$K227&lt;&gt;"k")),1,IF(AND($E227&lt;&gt;0,$F227&gt;0,YEAR($F227)&gt;=Preisindex!$A$6,YEAR(FK$4)&gt;=YEAR($F227),$K227="a"),ROUND(VLOOKUP(FP$4,Preisindex,5,FALSE)/VLOOKUP(YEAR($F227),Preisindex,5,FALSE),2),IF(AND($E227&lt;&gt;0,$F227&gt;0,YEAR($F227)&gt;=Preisindex!$A$6,YEAR(FK$4)&gt;=YEAR($F227),$K227="b"),ROUND(VLOOKUP(FP$4,Preisindex,3,FALSE)/VLOOKUP(YEAR($F227),Preisindex,3,FALSE),2),IF(AND($E227&lt;&gt;0,$F227&gt;0,YEAR($F227)&gt;=Preisindex!$A$6,YEAR(FK$4)&gt;=YEAR($F227),$K227="g"),ROUND(VLOOKUP(FP$4,Preisindex,4,FALSE)/VLOOKUP(YEAR($F227),Preisindex,4,FALSE),2),IF(AND($E227&lt;&gt;0,$F227&gt;0,YEAR($F227)&gt;=Preisindex!$A$6,YEAR(FK$4)&gt;=YEAR($F227),$K227="k"),ROUND(VLOOKUP(FP$4,Preisindex,2,FALSE)/VLOOKUP(YEAR($F227),Preisindex,2,FALSE),2),0)))))</f>
        <v>0</v>
      </c>
      <c r="FQ227" s="56">
        <f>IF(AND($E227&lt;&gt;0,$F227&gt;0,YEAR($F227)&lt;Preisindex!$A$6,YEAR(FK$4)&gt;=YEAR($F227),AND($K227&lt;&gt;"a",$K227&lt;&gt;"b",$K227&lt;&gt;"g",$K227&lt;&gt;"k")),1,IF(AND($E227&lt;&gt;0,$F227&gt;0,YEAR($F227)&lt;Preisindex!$A$6,YEAR(FK$4)&gt;=YEAR($F227),$K227="a"),ROUND(VLOOKUP(FP$4,Preisindex,5,FALSE)/VLOOKUP(Preisindex!$A$6,Preisindex,5,FALSE),2),IF(AND($E227&lt;&gt;0,$F227&gt;0,YEAR($F227)&lt;Preisindex!$A$6,YEAR(FK$4)&gt;=YEAR($F227),$K227="b"),ROUND(VLOOKUP(FP$4,Preisindex,3,FALSE)/VLOOKUP(Preisindex!$A$6,Preisindex,3,FALSE),2),IF(AND($E227&lt;&gt;0,$F227&gt;0,YEAR($F227)&lt;Preisindex!$A$6,YEAR(FK$4)&gt;=YEAR($F227),$K227="g"),ROUND(VLOOKUP(FP$4,Preisindex,4,FALSE)/VLOOKUP(Preisindex!$A$6,Preisindex,4,FALSE),2),IF(AND($E227&lt;&gt;0,$F227&gt;0,YEAR($F227)&lt;Preisindex!$A$6,YEAR(FK$4)&gt;=YEAR($F227),$K227="k"),ROUND(VLOOKUP(FP$4,Preisindex,2,FALSE)/VLOOKUP(Preisindex!$A$6,Preisindex,2,FALSE),2),0)))))</f>
        <v>0</v>
      </c>
      <c r="FR227" s="51">
        <f>IF(AND($E227&lt;&gt;0,$F227&gt;0,YEAR($F227)&lt;=FP$4,YEAR($F227)&gt;=Preisindex!$A$6),ROUND($E227*FP227,2),IF(AND($E227&lt;&gt;0,$F227&gt;0,YEAR($F227)&lt;=FP$4,YEAR($F227)&lt;Preisindex!$A$6),ROUND($E227*FQ227,2),0))</f>
        <v>0</v>
      </c>
      <c r="FS227" s="53">
        <f t="shared" si="688"/>
        <v>0</v>
      </c>
    </row>
    <row r="228" spans="1:175" x14ac:dyDescent="0.3">
      <c r="A228" s="93"/>
      <c r="B228" s="94"/>
      <c r="C228" s="96"/>
      <c r="D228" s="188"/>
      <c r="E228" s="624"/>
      <c r="F228" s="190"/>
      <c r="G228" s="625"/>
      <c r="H228" s="192"/>
      <c r="I228" s="621"/>
      <c r="J228" s="103"/>
      <c r="K228" s="630"/>
      <c r="L228" s="49">
        <f t="shared" si="689"/>
        <v>0</v>
      </c>
      <c r="M228" s="50">
        <f t="shared" si="690"/>
        <v>0</v>
      </c>
      <c r="N228" s="51">
        <f t="shared" si="691"/>
        <v>0</v>
      </c>
      <c r="O228" s="51"/>
      <c r="P228" s="51">
        <f t="shared" si="692"/>
        <v>0</v>
      </c>
      <c r="Q228" s="52"/>
      <c r="R228" s="52"/>
      <c r="S228" s="52"/>
      <c r="T228" s="52"/>
      <c r="U228" s="52"/>
      <c r="V228" s="53">
        <f t="shared" si="693"/>
        <v>0</v>
      </c>
      <c r="W228" s="51">
        <f t="shared" si="694"/>
        <v>0</v>
      </c>
      <c r="X228" s="51">
        <f t="shared" si="695"/>
        <v>0</v>
      </c>
      <c r="Y228" s="51">
        <f t="shared" si="696"/>
        <v>0</v>
      </c>
      <c r="Z228" s="51">
        <f t="shared" si="697"/>
        <v>0</v>
      </c>
      <c r="AA228" s="51">
        <f t="shared" si="698"/>
        <v>0</v>
      </c>
      <c r="AB228" s="51">
        <f t="shared" si="699"/>
        <v>0</v>
      </c>
      <c r="AC228" s="51">
        <f t="shared" si="700"/>
        <v>0</v>
      </c>
      <c r="AD228" s="51">
        <f t="shared" si="701"/>
        <v>0</v>
      </c>
      <c r="AE228" s="51">
        <f t="shared" si="702"/>
        <v>0</v>
      </c>
      <c r="AF228" s="51">
        <f t="shared" si="703"/>
        <v>0</v>
      </c>
      <c r="AG228" s="51">
        <f t="shared" si="704"/>
        <v>0</v>
      </c>
      <c r="AH228" s="54">
        <f t="shared" si="705"/>
        <v>0</v>
      </c>
      <c r="AI228" s="55">
        <f t="shared" si="706"/>
        <v>0</v>
      </c>
      <c r="AJ228" s="56">
        <f>IF(AND($E228&lt;&gt;0,$F228&gt;0,YEAR($F228)&gt;=Preisindex!$A$6,YEAR(AE$4)&gt;=YEAR($F228),AND($K228&lt;&gt;"a",$K228&lt;&gt;"b",$K228&lt;&gt;"g",$K228&lt;&gt;"k")),1,IF(AND($E228&lt;&gt;0,$F228&gt;0,YEAR($F228)&gt;=Preisindex!$A$6,YEAR(AE$4)&gt;=YEAR($F228),$K228="a"),ROUND(VLOOKUP(AJ$4,Preisindex,5,FALSE)/VLOOKUP(YEAR($F228),Preisindex,5,FALSE),2),IF(AND($E228&lt;&gt;0,$F228&gt;0,YEAR($F228)&gt;=Preisindex!$A$6,YEAR(AE$4)&gt;=YEAR($F228),$K228="b"),ROUND(VLOOKUP(AJ$4,Preisindex,3,FALSE)/VLOOKUP(YEAR($F228),Preisindex,3,FALSE),2),IF(AND($E228&lt;&gt;0,$F228&gt;0,YEAR($F228)&gt;=Preisindex!$A$6,YEAR(AE$4)&gt;=YEAR($F228),$K228="g"),ROUND(VLOOKUP(AJ$4,Preisindex,4,FALSE)/VLOOKUP(YEAR($F228),Preisindex,4,FALSE),2),IF(AND($E228&lt;&gt;0,$F228&gt;0,YEAR($F228)&gt;=Preisindex!$A$6,YEAR(AE$4)&gt;=YEAR($F228),$K228="k"),ROUND(VLOOKUP(AJ$4,Preisindex,2,FALSE)/VLOOKUP(YEAR($F228),Preisindex,2,FALSE),2),0)))))</f>
        <v>0</v>
      </c>
      <c r="AK228" s="56">
        <f>IF(AND($E228&lt;&gt;0,$F228&gt;0,YEAR($F228)&lt;Preisindex!$A$6,YEAR(AE$4)&gt;=YEAR($F228),AND($K228&lt;&gt;"a",$K228&lt;&gt;"b",$K228&lt;&gt;"g",$K228&lt;&gt;"k")),1,IF(AND($E228&lt;&gt;0,$F228&gt;0,YEAR($F228)&lt;Preisindex!$A$6,YEAR(AE$4)&gt;=YEAR($F228),$K228="a"),ROUND(VLOOKUP(AJ$4,Preisindex,5,FALSE)/VLOOKUP(Preisindex!$A$6,Preisindex,5,FALSE),2),IF(AND($E228&lt;&gt;0,$F228&gt;0,YEAR($F228)&lt;Preisindex!$A$6,YEAR(AE$4)&gt;=YEAR($F228),$K228="b"),ROUND(VLOOKUP(AJ$4,Preisindex,3,FALSE)/VLOOKUP(Preisindex!$A$6,Preisindex,3,FALSE),2),IF(AND($E228&lt;&gt;0,$F228&gt;0,YEAR($F228)&lt;Preisindex!$A$6,YEAR(AE$4)&gt;=YEAR($F228),$K228="g"),ROUND(VLOOKUP(AJ$4,Preisindex,4,FALSE)/VLOOKUP(Preisindex!$A$6,Preisindex,4,FALSE),2),IF(AND($E228&lt;&gt;0,$F228&gt;0,YEAR($F228)&lt;Preisindex!$A$6,YEAR(AE$4)&gt;=YEAR($F228),$K228="k"),ROUND(VLOOKUP(AJ$4,Preisindex,2,FALSE)/VLOOKUP(Preisindex!$A$6,Preisindex,2,FALSE),2),0)))))</f>
        <v>0</v>
      </c>
      <c r="AL228" s="51">
        <f>IF(AND($E228&lt;&gt;0,$F228&gt;0,YEAR($F228)&lt;=AJ$4,YEAR($F228)&gt;=Preisindex!$A$6),ROUND($E228*AJ228,2),IF(AND($E228&lt;&gt;0,$F228&gt;0,YEAR($F228)&lt;=AJ$4,YEAR($F228)&lt;Preisindex!$A$6),ROUND($E228*AK228,2),0))</f>
        <v>0</v>
      </c>
      <c r="AM228" s="53">
        <f t="shared" si="707"/>
        <v>0</v>
      </c>
      <c r="AN228" s="51">
        <f t="shared" si="708"/>
        <v>0</v>
      </c>
      <c r="AO228" s="51">
        <f t="shared" si="710"/>
        <v>0</v>
      </c>
      <c r="AP228" s="51">
        <f t="shared" si="624"/>
        <v>0</v>
      </c>
      <c r="AQ228" s="51">
        <f t="shared" si="711"/>
        <v>0</v>
      </c>
      <c r="AR228" s="51">
        <f t="shared" si="625"/>
        <v>0</v>
      </c>
      <c r="AS228" s="51">
        <f t="shared" si="712"/>
        <v>0</v>
      </c>
      <c r="AT228" s="51">
        <f t="shared" si="626"/>
        <v>0</v>
      </c>
      <c r="AU228" s="51">
        <f t="shared" si="713"/>
        <v>0</v>
      </c>
      <c r="AV228" s="51">
        <f t="shared" si="627"/>
        <v>0</v>
      </c>
      <c r="AW228" s="51">
        <f t="shared" si="714"/>
        <v>0</v>
      </c>
      <c r="AX228" s="51">
        <f t="shared" si="628"/>
        <v>0</v>
      </c>
      <c r="AY228" s="54">
        <f t="shared" si="629"/>
        <v>0</v>
      </c>
      <c r="AZ228" s="55">
        <f t="shared" si="630"/>
        <v>0</v>
      </c>
      <c r="BA228" s="56">
        <f>IF(AND($E228&lt;&gt;0,$F228&gt;0,YEAR($F228)&gt;=Preisindex!$A$6,YEAR(AV$4)&gt;=YEAR($F228),AND($K228&lt;&gt;"a",$K228&lt;&gt;"b",$K228&lt;&gt;"g",$K228&lt;&gt;"k")),1,IF(AND($E228&lt;&gt;0,$F228&gt;0,YEAR($F228)&gt;=Preisindex!$A$6,YEAR(AV$4)&gt;=YEAR($F228),$K228="a"),ROUND(VLOOKUP(BA$4,Preisindex,5,FALSE)/VLOOKUP(YEAR($F228),Preisindex,5,FALSE),2),IF(AND($E228&lt;&gt;0,$F228&gt;0,YEAR($F228)&gt;=Preisindex!$A$6,YEAR(AV$4)&gt;=YEAR($F228),$K228="b"),ROUND(VLOOKUP(BA$4,Preisindex,3,FALSE)/VLOOKUP(YEAR($F228),Preisindex,3,FALSE),2),IF(AND($E228&lt;&gt;0,$F228&gt;0,YEAR($F228)&gt;=Preisindex!$A$6,YEAR(AV$4)&gt;=YEAR($F228),$K228="g"),ROUND(VLOOKUP(BA$4,Preisindex,4,FALSE)/VLOOKUP(YEAR($F228),Preisindex,4,FALSE),2),IF(AND($E228&lt;&gt;0,$F228&gt;0,YEAR($F228)&gt;=Preisindex!$A$6,YEAR(AV$4)&gt;=YEAR($F228),$K228="k"),ROUND(VLOOKUP(BA$4,Preisindex,2,FALSE)/VLOOKUP(YEAR($F228),Preisindex,2,FALSE),2),0)))))</f>
        <v>0</v>
      </c>
      <c r="BB228" s="56">
        <f>IF(AND($E228&lt;&gt;0,$F228&gt;0,YEAR($F228)&lt;Preisindex!$A$6,YEAR(AV$4)&gt;=YEAR($F228),AND($K228&lt;&gt;"a",$K228&lt;&gt;"b",$K228&lt;&gt;"g",$K228&lt;&gt;"k")),1,IF(AND($E228&lt;&gt;0,$F228&gt;0,YEAR($F228)&lt;Preisindex!$A$6,YEAR(AV$4)&gt;=YEAR($F228),$K228="a"),ROUND(VLOOKUP(BA$4,Preisindex,5,FALSE)/VLOOKUP(Preisindex!$A$6,Preisindex,5,FALSE),2),IF(AND($E228&lt;&gt;0,$F228&gt;0,YEAR($F228)&lt;Preisindex!$A$6,YEAR(AV$4)&gt;=YEAR($F228),$K228="b"),ROUND(VLOOKUP(BA$4,Preisindex,3,FALSE)/VLOOKUP(Preisindex!$A$6,Preisindex,3,FALSE),2),IF(AND($E228&lt;&gt;0,$F228&gt;0,YEAR($F228)&lt;Preisindex!$A$6,YEAR(AV$4)&gt;=YEAR($F228),$K228="g"),ROUND(VLOOKUP(BA$4,Preisindex,4,FALSE)/VLOOKUP(Preisindex!$A$6,Preisindex,4,FALSE),2),IF(AND($E228&lt;&gt;0,$F228&gt;0,YEAR($F228)&lt;Preisindex!$A$6,YEAR(AV$4)&gt;=YEAR($F228),$K228="k"),ROUND(VLOOKUP(BA$4,Preisindex,2,FALSE)/VLOOKUP(Preisindex!$A$6,Preisindex,2,FALSE),2),0)))))</f>
        <v>0</v>
      </c>
      <c r="BC228" s="51">
        <f>IF(AND($E228&lt;&gt;0,$F228&gt;0,YEAR($F228)&lt;=BA$4,YEAR($F228)&gt;=Preisindex!$A$6),ROUND($E228*BA228,2),IF(AND($E228&lt;&gt;0,$F228&gt;0,YEAR($F228)&lt;=BA$4,YEAR($F228)&lt;Preisindex!$A$6),ROUND($E228*BB228,2),0))</f>
        <v>0</v>
      </c>
      <c r="BD228" s="53">
        <f t="shared" si="631"/>
        <v>0</v>
      </c>
      <c r="BE228" s="51">
        <f t="shared" si="708"/>
        <v>0</v>
      </c>
      <c r="BF228" s="51">
        <f t="shared" si="715"/>
        <v>0</v>
      </c>
      <c r="BG228" s="51">
        <f t="shared" si="632"/>
        <v>0</v>
      </c>
      <c r="BH228" s="51">
        <f t="shared" si="716"/>
        <v>0</v>
      </c>
      <c r="BI228" s="51">
        <f t="shared" si="633"/>
        <v>0</v>
      </c>
      <c r="BJ228" s="51">
        <f t="shared" si="717"/>
        <v>0</v>
      </c>
      <c r="BK228" s="51">
        <f t="shared" si="634"/>
        <v>0</v>
      </c>
      <c r="BL228" s="51">
        <f t="shared" si="718"/>
        <v>0</v>
      </c>
      <c r="BM228" s="51">
        <f t="shared" si="635"/>
        <v>0</v>
      </c>
      <c r="BN228" s="51">
        <f t="shared" si="719"/>
        <v>0</v>
      </c>
      <c r="BO228" s="51">
        <f t="shared" si="636"/>
        <v>0</v>
      </c>
      <c r="BP228" s="54">
        <f t="shared" si="637"/>
        <v>0</v>
      </c>
      <c r="BQ228" s="55">
        <f t="shared" si="638"/>
        <v>0</v>
      </c>
      <c r="BR228" s="56">
        <f>IF(AND($E228&lt;&gt;0,$F228&gt;0,YEAR($F228)&gt;=Preisindex!$A$6,YEAR(BM$4)&gt;=YEAR($F228),AND($K228&lt;&gt;"a",$K228&lt;&gt;"b",$K228&lt;&gt;"g",$K228&lt;&gt;"k")),1,IF(AND($E228&lt;&gt;0,$F228&gt;0,YEAR($F228)&gt;=Preisindex!$A$6,YEAR(BM$4)&gt;=YEAR($F228),$K228="a"),ROUND(VLOOKUP(BR$4,Preisindex,5,FALSE)/VLOOKUP(YEAR($F228),Preisindex,5,FALSE),2),IF(AND($E228&lt;&gt;0,$F228&gt;0,YEAR($F228)&gt;=Preisindex!$A$6,YEAR(BM$4)&gt;=YEAR($F228),$K228="b"),ROUND(VLOOKUP(BR$4,Preisindex,3,FALSE)/VLOOKUP(YEAR($F228),Preisindex,3,FALSE),2),IF(AND($E228&lt;&gt;0,$F228&gt;0,YEAR($F228)&gt;=Preisindex!$A$6,YEAR(BM$4)&gt;=YEAR($F228),$K228="g"),ROUND(VLOOKUP(BR$4,Preisindex,4,FALSE)/VLOOKUP(YEAR($F228),Preisindex,4,FALSE),2),IF(AND($E228&lt;&gt;0,$F228&gt;0,YEAR($F228)&gt;=Preisindex!$A$6,YEAR(BM$4)&gt;=YEAR($F228),$K228="k"),ROUND(VLOOKUP(BR$4,Preisindex,2,FALSE)/VLOOKUP(YEAR($F228),Preisindex,2,FALSE),2),0)))))</f>
        <v>0</v>
      </c>
      <c r="BS228" s="56">
        <f>IF(AND($E228&lt;&gt;0,$F228&gt;0,YEAR($F228)&lt;Preisindex!$A$6,YEAR(BM$4)&gt;=YEAR($F228),AND($K228&lt;&gt;"a",$K228&lt;&gt;"b",$K228&lt;&gt;"g",$K228&lt;&gt;"k")),1,IF(AND($E228&lt;&gt;0,$F228&gt;0,YEAR($F228)&lt;Preisindex!$A$6,YEAR(BM$4)&gt;=YEAR($F228),$K228="a"),ROUND(VLOOKUP(BR$4,Preisindex,5,FALSE)/VLOOKUP(Preisindex!$A$6,Preisindex,5,FALSE),2),IF(AND($E228&lt;&gt;0,$F228&gt;0,YEAR($F228)&lt;Preisindex!$A$6,YEAR(BM$4)&gt;=YEAR($F228),$K228="b"),ROUND(VLOOKUP(BR$4,Preisindex,3,FALSE)/VLOOKUP(Preisindex!$A$6,Preisindex,3,FALSE),2),IF(AND($E228&lt;&gt;0,$F228&gt;0,YEAR($F228)&lt;Preisindex!$A$6,YEAR(BM$4)&gt;=YEAR($F228),$K228="g"),ROUND(VLOOKUP(BR$4,Preisindex,4,FALSE)/VLOOKUP(Preisindex!$A$6,Preisindex,4,FALSE),2),IF(AND($E228&lt;&gt;0,$F228&gt;0,YEAR($F228)&lt;Preisindex!$A$6,YEAR(BM$4)&gt;=YEAR($F228),$K228="k"),ROUND(VLOOKUP(BR$4,Preisindex,2,FALSE)/VLOOKUP(Preisindex!$A$6,Preisindex,2,FALSE),2),0)))))</f>
        <v>0</v>
      </c>
      <c r="BT228" s="51">
        <f>IF(AND($E228&lt;&gt;0,$F228&gt;0,YEAR($F228)&lt;=BR$4,YEAR($F228)&gt;=Preisindex!$A$6),ROUND($E228*BR228,2),IF(AND($E228&lt;&gt;0,$F228&gt;0,YEAR($F228)&lt;=BR$4,YEAR($F228)&lt;Preisindex!$A$6),ROUND($E228*BS228,2),0))</f>
        <v>0</v>
      </c>
      <c r="BU228" s="53">
        <f t="shared" si="639"/>
        <v>0</v>
      </c>
      <c r="BV228" s="51">
        <f t="shared" si="708"/>
        <v>0</v>
      </c>
      <c r="BW228" s="51">
        <f t="shared" si="720"/>
        <v>0</v>
      </c>
      <c r="BX228" s="51">
        <f t="shared" si="640"/>
        <v>0</v>
      </c>
      <c r="BY228" s="51">
        <f t="shared" si="721"/>
        <v>0</v>
      </c>
      <c r="BZ228" s="51">
        <f t="shared" si="641"/>
        <v>0</v>
      </c>
      <c r="CA228" s="51">
        <f t="shared" si="722"/>
        <v>0</v>
      </c>
      <c r="CB228" s="51">
        <f t="shared" si="642"/>
        <v>0</v>
      </c>
      <c r="CC228" s="51">
        <f t="shared" si="723"/>
        <v>0</v>
      </c>
      <c r="CD228" s="51">
        <f t="shared" si="643"/>
        <v>0</v>
      </c>
      <c r="CE228" s="51">
        <f t="shared" si="724"/>
        <v>0</v>
      </c>
      <c r="CF228" s="51">
        <f t="shared" si="644"/>
        <v>0</v>
      </c>
      <c r="CG228" s="54">
        <f t="shared" si="645"/>
        <v>0</v>
      </c>
      <c r="CH228" s="55">
        <f t="shared" si="646"/>
        <v>0</v>
      </c>
      <c r="CI228" s="56">
        <f>IF(AND($E228&lt;&gt;0,$F228&gt;0,YEAR($F228)&gt;=Preisindex!$A$6,YEAR(CD$4)&gt;=YEAR($F228),AND($K228&lt;&gt;"a",$K228&lt;&gt;"b",$K228&lt;&gt;"g",$K228&lt;&gt;"k")),1,IF(AND($E228&lt;&gt;0,$F228&gt;0,YEAR($F228)&gt;=Preisindex!$A$6,YEAR(CD$4)&gt;=YEAR($F228),$K228="a"),ROUND(VLOOKUP(CI$4,Preisindex,5,FALSE)/VLOOKUP(YEAR($F228),Preisindex,5,FALSE),2),IF(AND($E228&lt;&gt;0,$F228&gt;0,YEAR($F228)&gt;=Preisindex!$A$6,YEAR(CD$4)&gt;=YEAR($F228),$K228="b"),ROUND(VLOOKUP(CI$4,Preisindex,3,FALSE)/VLOOKUP(YEAR($F228),Preisindex,3,FALSE),2),IF(AND($E228&lt;&gt;0,$F228&gt;0,YEAR($F228)&gt;=Preisindex!$A$6,YEAR(CD$4)&gt;=YEAR($F228),$K228="g"),ROUND(VLOOKUP(CI$4,Preisindex,4,FALSE)/VLOOKUP(YEAR($F228),Preisindex,4,FALSE),2),IF(AND($E228&lt;&gt;0,$F228&gt;0,YEAR($F228)&gt;=Preisindex!$A$6,YEAR(CD$4)&gt;=YEAR($F228),$K228="k"),ROUND(VLOOKUP(CI$4,Preisindex,2,FALSE)/VLOOKUP(YEAR($F228),Preisindex,2,FALSE),2),0)))))</f>
        <v>0</v>
      </c>
      <c r="CJ228" s="56">
        <f>IF(AND($E228&lt;&gt;0,$F228&gt;0,YEAR($F228)&lt;Preisindex!$A$6,YEAR(CD$4)&gt;=YEAR($F228),AND($K228&lt;&gt;"a",$K228&lt;&gt;"b",$K228&lt;&gt;"g",$K228&lt;&gt;"k")),1,IF(AND($E228&lt;&gt;0,$F228&gt;0,YEAR($F228)&lt;Preisindex!$A$6,YEAR(CD$4)&gt;=YEAR($F228),$K228="a"),ROUND(VLOOKUP(CI$4,Preisindex,5,FALSE)/VLOOKUP(Preisindex!$A$6,Preisindex,5,FALSE),2),IF(AND($E228&lt;&gt;0,$F228&gt;0,YEAR($F228)&lt;Preisindex!$A$6,YEAR(CD$4)&gt;=YEAR($F228),$K228="b"),ROUND(VLOOKUP(CI$4,Preisindex,3,FALSE)/VLOOKUP(Preisindex!$A$6,Preisindex,3,FALSE),2),IF(AND($E228&lt;&gt;0,$F228&gt;0,YEAR($F228)&lt;Preisindex!$A$6,YEAR(CD$4)&gt;=YEAR($F228),$K228="g"),ROUND(VLOOKUP(CI$4,Preisindex,4,FALSE)/VLOOKUP(Preisindex!$A$6,Preisindex,4,FALSE),2),IF(AND($E228&lt;&gt;0,$F228&gt;0,YEAR($F228)&lt;Preisindex!$A$6,YEAR(CD$4)&gt;=YEAR($F228),$K228="k"),ROUND(VLOOKUP(CI$4,Preisindex,2,FALSE)/VLOOKUP(Preisindex!$A$6,Preisindex,2,FALSE),2),0)))))</f>
        <v>0</v>
      </c>
      <c r="CK228" s="51">
        <f>IF(AND($E228&lt;&gt;0,$F228&gt;0,YEAR($F228)&lt;=CI$4,YEAR($F228)&gt;=Preisindex!$A$6),ROUND($E228*CI228,2),IF(AND($E228&lt;&gt;0,$F228&gt;0,YEAR($F228)&lt;=CI$4,YEAR($F228)&lt;Preisindex!$A$6),ROUND($E228*CJ228,2),0))</f>
        <v>0</v>
      </c>
      <c r="CL228" s="53">
        <f t="shared" si="647"/>
        <v>0</v>
      </c>
      <c r="CM228" s="51">
        <f t="shared" si="708"/>
        <v>0</v>
      </c>
      <c r="CN228" s="51">
        <f t="shared" si="725"/>
        <v>0</v>
      </c>
      <c r="CO228" s="51">
        <f t="shared" si="648"/>
        <v>0</v>
      </c>
      <c r="CP228" s="51">
        <f t="shared" si="726"/>
        <v>0</v>
      </c>
      <c r="CQ228" s="51">
        <f t="shared" si="649"/>
        <v>0</v>
      </c>
      <c r="CR228" s="51">
        <f t="shared" si="727"/>
        <v>0</v>
      </c>
      <c r="CS228" s="51">
        <f t="shared" si="650"/>
        <v>0</v>
      </c>
      <c r="CT228" s="51">
        <f t="shared" si="728"/>
        <v>0</v>
      </c>
      <c r="CU228" s="51">
        <f t="shared" si="651"/>
        <v>0</v>
      </c>
      <c r="CV228" s="51">
        <f t="shared" si="729"/>
        <v>0</v>
      </c>
      <c r="CW228" s="51">
        <f t="shared" si="652"/>
        <v>0</v>
      </c>
      <c r="CX228" s="54">
        <f t="shared" si="653"/>
        <v>0</v>
      </c>
      <c r="CY228" s="55">
        <f t="shared" si="654"/>
        <v>0</v>
      </c>
      <c r="CZ228" s="56">
        <f>IF(AND($E228&lt;&gt;0,$F228&gt;0,YEAR($F228)&gt;=Preisindex!$A$6,YEAR(CU$4)&gt;=YEAR($F228),AND($K228&lt;&gt;"a",$K228&lt;&gt;"b",$K228&lt;&gt;"g",$K228&lt;&gt;"k")),1,IF(AND($E228&lt;&gt;0,$F228&gt;0,YEAR($F228)&gt;=Preisindex!$A$6,YEAR(CU$4)&gt;=YEAR($F228),$K228="a"),ROUND(VLOOKUP(CZ$4,Preisindex,5,FALSE)/VLOOKUP(YEAR($F228),Preisindex,5,FALSE),2),IF(AND($E228&lt;&gt;0,$F228&gt;0,YEAR($F228)&gt;=Preisindex!$A$6,YEAR(CU$4)&gt;=YEAR($F228),$K228="b"),ROUND(VLOOKUP(CZ$4,Preisindex,3,FALSE)/VLOOKUP(YEAR($F228),Preisindex,3,FALSE),2),IF(AND($E228&lt;&gt;0,$F228&gt;0,YEAR($F228)&gt;=Preisindex!$A$6,YEAR(CU$4)&gt;=YEAR($F228),$K228="g"),ROUND(VLOOKUP(CZ$4,Preisindex,4,FALSE)/VLOOKUP(YEAR($F228),Preisindex,4,FALSE),2),IF(AND($E228&lt;&gt;0,$F228&gt;0,YEAR($F228)&gt;=Preisindex!$A$6,YEAR(CU$4)&gt;=YEAR($F228),$K228="k"),ROUND(VLOOKUP(CZ$4,Preisindex,2,FALSE)/VLOOKUP(YEAR($F228),Preisindex,2,FALSE),2),0)))))</f>
        <v>0</v>
      </c>
      <c r="DA228" s="56">
        <f>IF(AND($E228&lt;&gt;0,$F228&gt;0,YEAR($F228)&lt;Preisindex!$A$6,YEAR(CU$4)&gt;=YEAR($F228),AND($K228&lt;&gt;"a",$K228&lt;&gt;"b",$K228&lt;&gt;"g",$K228&lt;&gt;"k")),1,IF(AND($E228&lt;&gt;0,$F228&gt;0,YEAR($F228)&lt;Preisindex!$A$6,YEAR(CU$4)&gt;=YEAR($F228),$K228="a"),ROUND(VLOOKUP(CZ$4,Preisindex,5,FALSE)/VLOOKUP(Preisindex!$A$6,Preisindex,5,FALSE),2),IF(AND($E228&lt;&gt;0,$F228&gt;0,YEAR($F228)&lt;Preisindex!$A$6,YEAR(CU$4)&gt;=YEAR($F228),$K228="b"),ROUND(VLOOKUP(CZ$4,Preisindex,3,FALSE)/VLOOKUP(Preisindex!$A$6,Preisindex,3,FALSE),2),IF(AND($E228&lt;&gt;0,$F228&gt;0,YEAR($F228)&lt;Preisindex!$A$6,YEAR(CU$4)&gt;=YEAR($F228),$K228="g"),ROUND(VLOOKUP(CZ$4,Preisindex,4,FALSE)/VLOOKUP(Preisindex!$A$6,Preisindex,4,FALSE),2),IF(AND($E228&lt;&gt;0,$F228&gt;0,YEAR($F228)&lt;Preisindex!$A$6,YEAR(CU$4)&gt;=YEAR($F228),$K228="k"),ROUND(VLOOKUP(CZ$4,Preisindex,2,FALSE)/VLOOKUP(Preisindex!$A$6,Preisindex,2,FALSE),2),0)))))</f>
        <v>0</v>
      </c>
      <c r="DB228" s="51">
        <f>IF(AND($E228&lt;&gt;0,$F228&gt;0,YEAR($F228)&lt;=CZ$4,YEAR($F228)&gt;=Preisindex!$A$6),ROUND($E228*CZ228,2),IF(AND($E228&lt;&gt;0,$F228&gt;0,YEAR($F228)&lt;=CZ$4,YEAR($F228)&lt;Preisindex!$A$6),ROUND($E228*DA228,2),0))</f>
        <v>0</v>
      </c>
      <c r="DC228" s="53">
        <f t="shared" si="655"/>
        <v>0</v>
      </c>
      <c r="DD228" s="51">
        <f t="shared" si="709"/>
        <v>0</v>
      </c>
      <c r="DE228" s="51">
        <f t="shared" si="730"/>
        <v>0</v>
      </c>
      <c r="DF228" s="51">
        <f t="shared" si="657"/>
        <v>0</v>
      </c>
      <c r="DG228" s="51">
        <f t="shared" si="731"/>
        <v>0</v>
      </c>
      <c r="DH228" s="51">
        <f t="shared" si="658"/>
        <v>0</v>
      </c>
      <c r="DI228" s="51">
        <f t="shared" si="732"/>
        <v>0</v>
      </c>
      <c r="DJ228" s="51">
        <f t="shared" si="659"/>
        <v>0</v>
      </c>
      <c r="DK228" s="51">
        <f t="shared" si="733"/>
        <v>0</v>
      </c>
      <c r="DL228" s="51">
        <f t="shared" si="660"/>
        <v>0</v>
      </c>
      <c r="DM228" s="51">
        <f t="shared" si="734"/>
        <v>0</v>
      </c>
      <c r="DN228" s="51">
        <f t="shared" si="661"/>
        <v>0</v>
      </c>
      <c r="DO228" s="54">
        <f t="shared" si="662"/>
        <v>0</v>
      </c>
      <c r="DP228" s="55">
        <f t="shared" si="663"/>
        <v>0</v>
      </c>
      <c r="DQ228" s="56">
        <f>IF(AND($E228&lt;&gt;0,$F228&gt;0,YEAR($F228)&gt;=Preisindex!$A$6,YEAR(DL$4)&gt;=YEAR($F228),AND($K228&lt;&gt;"a",$K228&lt;&gt;"b",$K228&lt;&gt;"g",$K228&lt;&gt;"k")),1,IF(AND($E228&lt;&gt;0,$F228&gt;0,YEAR($F228)&gt;=Preisindex!$A$6,YEAR(DL$4)&gt;=YEAR($F228),$K228="a"),ROUND(VLOOKUP(DQ$4,Preisindex,5,FALSE)/VLOOKUP(YEAR($F228),Preisindex,5,FALSE),2),IF(AND($E228&lt;&gt;0,$F228&gt;0,YEAR($F228)&gt;=Preisindex!$A$6,YEAR(DL$4)&gt;=YEAR($F228),$K228="b"),ROUND(VLOOKUP(DQ$4,Preisindex,3,FALSE)/VLOOKUP(YEAR($F228),Preisindex,3,FALSE),2),IF(AND($E228&lt;&gt;0,$F228&gt;0,YEAR($F228)&gt;=Preisindex!$A$6,YEAR(DL$4)&gt;=YEAR($F228),$K228="g"),ROUND(VLOOKUP(DQ$4,Preisindex,4,FALSE)/VLOOKUP(YEAR($F228),Preisindex,4,FALSE),2),IF(AND($E228&lt;&gt;0,$F228&gt;0,YEAR($F228)&gt;=Preisindex!$A$6,YEAR(DL$4)&gt;=YEAR($F228),$K228="k"),ROUND(VLOOKUP(DQ$4,Preisindex,2,FALSE)/VLOOKUP(YEAR($F228),Preisindex,2,FALSE),2),0)))))</f>
        <v>0</v>
      </c>
      <c r="DR228" s="56">
        <f>IF(AND($E228&lt;&gt;0,$F228&gt;0,YEAR($F228)&lt;Preisindex!$A$6,YEAR(DL$4)&gt;=YEAR($F228),AND($K228&lt;&gt;"a",$K228&lt;&gt;"b",$K228&lt;&gt;"g",$K228&lt;&gt;"k")),1,IF(AND($E228&lt;&gt;0,$F228&gt;0,YEAR($F228)&lt;Preisindex!$A$6,YEAR(DL$4)&gt;=YEAR($F228),$K228="a"),ROUND(VLOOKUP(DQ$4,Preisindex,5,FALSE)/VLOOKUP(Preisindex!$A$6,Preisindex,5,FALSE),2),IF(AND($E228&lt;&gt;0,$F228&gt;0,YEAR($F228)&lt;Preisindex!$A$6,YEAR(DL$4)&gt;=YEAR($F228),$K228="b"),ROUND(VLOOKUP(DQ$4,Preisindex,3,FALSE)/VLOOKUP(Preisindex!$A$6,Preisindex,3,FALSE),2),IF(AND($E228&lt;&gt;0,$F228&gt;0,YEAR($F228)&lt;Preisindex!$A$6,YEAR(DL$4)&gt;=YEAR($F228),$K228="g"),ROUND(VLOOKUP(DQ$4,Preisindex,4,FALSE)/VLOOKUP(Preisindex!$A$6,Preisindex,4,FALSE),2),IF(AND($E228&lt;&gt;0,$F228&gt;0,YEAR($F228)&lt;Preisindex!$A$6,YEAR(DL$4)&gt;=YEAR($F228),$K228="k"),ROUND(VLOOKUP(DQ$4,Preisindex,2,FALSE)/VLOOKUP(Preisindex!$A$6,Preisindex,2,FALSE),2),0)))))</f>
        <v>0</v>
      </c>
      <c r="DS228" s="51">
        <f>IF(AND($E228&lt;&gt;0,$F228&gt;0,YEAR($F228)&lt;=DQ$4,YEAR($F228)&gt;=Preisindex!$A$6),ROUND($E228*DQ228,2),IF(AND($E228&lt;&gt;0,$F228&gt;0,YEAR($F228)&lt;=DQ$4,YEAR($F228)&lt;Preisindex!$A$6),ROUND($E228*DR228,2),0))</f>
        <v>0</v>
      </c>
      <c r="DT228" s="53">
        <f t="shared" si="664"/>
        <v>0</v>
      </c>
      <c r="DU228" s="51">
        <f t="shared" si="709"/>
        <v>0</v>
      </c>
      <c r="DV228" s="51">
        <f t="shared" si="735"/>
        <v>0</v>
      </c>
      <c r="DW228" s="51">
        <f t="shared" si="665"/>
        <v>0</v>
      </c>
      <c r="DX228" s="51">
        <f t="shared" si="736"/>
        <v>0</v>
      </c>
      <c r="DY228" s="51">
        <f t="shared" si="666"/>
        <v>0</v>
      </c>
      <c r="DZ228" s="51">
        <f t="shared" si="737"/>
        <v>0</v>
      </c>
      <c r="EA228" s="51">
        <f t="shared" si="667"/>
        <v>0</v>
      </c>
      <c r="EB228" s="51">
        <f t="shared" si="738"/>
        <v>0</v>
      </c>
      <c r="EC228" s="51">
        <f t="shared" si="668"/>
        <v>0</v>
      </c>
      <c r="ED228" s="51">
        <f t="shared" si="739"/>
        <v>0</v>
      </c>
      <c r="EE228" s="51">
        <f t="shared" si="669"/>
        <v>0</v>
      </c>
      <c r="EF228" s="54">
        <f t="shared" si="670"/>
        <v>0</v>
      </c>
      <c r="EG228" s="55">
        <f t="shared" si="671"/>
        <v>0</v>
      </c>
      <c r="EH228" s="56">
        <f>IF(AND($E228&lt;&gt;0,$F228&gt;0,YEAR($F228)&gt;=Preisindex!$A$6,YEAR(EC$4)&gt;=YEAR($F228),AND($K228&lt;&gt;"a",$K228&lt;&gt;"b",$K228&lt;&gt;"g",$K228&lt;&gt;"k")),1,IF(AND($E228&lt;&gt;0,$F228&gt;0,YEAR($F228)&gt;=Preisindex!$A$6,YEAR(EC$4)&gt;=YEAR($F228),$K228="a"),ROUND(VLOOKUP(EH$4,Preisindex,5,FALSE)/VLOOKUP(YEAR($F228),Preisindex,5,FALSE),2),IF(AND($E228&lt;&gt;0,$F228&gt;0,YEAR($F228)&gt;=Preisindex!$A$6,YEAR(EC$4)&gt;=YEAR($F228),$K228="b"),ROUND(VLOOKUP(EH$4,Preisindex,3,FALSE)/VLOOKUP(YEAR($F228),Preisindex,3,FALSE),2),IF(AND($E228&lt;&gt;0,$F228&gt;0,YEAR($F228)&gt;=Preisindex!$A$6,YEAR(EC$4)&gt;=YEAR($F228),$K228="g"),ROUND(VLOOKUP(EH$4,Preisindex,4,FALSE)/VLOOKUP(YEAR($F228),Preisindex,4,FALSE),2),IF(AND($E228&lt;&gt;0,$F228&gt;0,YEAR($F228)&gt;=Preisindex!$A$6,YEAR(EC$4)&gt;=YEAR($F228),$K228="k"),ROUND(VLOOKUP(EH$4,Preisindex,2,FALSE)/VLOOKUP(YEAR($F228),Preisindex,2,FALSE),2),0)))))</f>
        <v>0</v>
      </c>
      <c r="EI228" s="56">
        <f>IF(AND($E228&lt;&gt;0,$F228&gt;0,YEAR($F228)&lt;Preisindex!$A$6,YEAR(EC$4)&gt;=YEAR($F228),AND($K228&lt;&gt;"a",$K228&lt;&gt;"b",$K228&lt;&gt;"g",$K228&lt;&gt;"k")),1,IF(AND($E228&lt;&gt;0,$F228&gt;0,YEAR($F228)&lt;Preisindex!$A$6,YEAR(EC$4)&gt;=YEAR($F228),$K228="a"),ROUND(VLOOKUP(EH$4,Preisindex,5,FALSE)/VLOOKUP(Preisindex!$A$6,Preisindex,5,FALSE),2),IF(AND($E228&lt;&gt;0,$F228&gt;0,YEAR($F228)&lt;Preisindex!$A$6,YEAR(EC$4)&gt;=YEAR($F228),$K228="b"),ROUND(VLOOKUP(EH$4,Preisindex,3,FALSE)/VLOOKUP(Preisindex!$A$6,Preisindex,3,FALSE),2),IF(AND($E228&lt;&gt;0,$F228&gt;0,YEAR($F228)&lt;Preisindex!$A$6,YEAR(EC$4)&gt;=YEAR($F228),$K228="g"),ROUND(VLOOKUP(EH$4,Preisindex,4,FALSE)/VLOOKUP(Preisindex!$A$6,Preisindex,4,FALSE),2),IF(AND($E228&lt;&gt;0,$F228&gt;0,YEAR($F228)&lt;Preisindex!$A$6,YEAR(EC$4)&gt;=YEAR($F228),$K228="k"),ROUND(VLOOKUP(EH$4,Preisindex,2,FALSE)/VLOOKUP(Preisindex!$A$6,Preisindex,2,FALSE),2),0)))))</f>
        <v>0</v>
      </c>
      <c r="EJ228" s="51">
        <f>IF(AND($E228&lt;&gt;0,$F228&gt;0,YEAR($F228)&lt;=EH$4,YEAR($F228)&gt;=Preisindex!$A$6),ROUND($E228*EH228,2),IF(AND($E228&lt;&gt;0,$F228&gt;0,YEAR($F228)&lt;=EH$4,YEAR($F228)&lt;Preisindex!$A$6),ROUND($E228*EI228,2),0))</f>
        <v>0</v>
      </c>
      <c r="EK228" s="53">
        <f t="shared" si="672"/>
        <v>0</v>
      </c>
      <c r="EL228" s="51">
        <f t="shared" si="709"/>
        <v>0</v>
      </c>
      <c r="EM228" s="51">
        <f t="shared" si="740"/>
        <v>0</v>
      </c>
      <c r="EN228" s="51">
        <f t="shared" si="673"/>
        <v>0</v>
      </c>
      <c r="EO228" s="51">
        <f t="shared" si="741"/>
        <v>0</v>
      </c>
      <c r="EP228" s="51">
        <f t="shared" si="674"/>
        <v>0</v>
      </c>
      <c r="EQ228" s="51">
        <f t="shared" si="742"/>
        <v>0</v>
      </c>
      <c r="ER228" s="51">
        <f t="shared" si="675"/>
        <v>0</v>
      </c>
      <c r="ES228" s="51">
        <f t="shared" si="743"/>
        <v>0</v>
      </c>
      <c r="ET228" s="51">
        <f t="shared" si="676"/>
        <v>0</v>
      </c>
      <c r="EU228" s="51">
        <f t="shared" si="744"/>
        <v>0</v>
      </c>
      <c r="EV228" s="51">
        <f t="shared" si="677"/>
        <v>0</v>
      </c>
      <c r="EW228" s="54">
        <f t="shared" si="678"/>
        <v>0</v>
      </c>
      <c r="EX228" s="55">
        <f t="shared" si="679"/>
        <v>0</v>
      </c>
      <c r="EY228" s="56">
        <f>IF(AND($E228&lt;&gt;0,$F228&gt;0,YEAR($F228)&gt;=Preisindex!$A$6,YEAR(ET$4)&gt;=YEAR($F228),AND($K228&lt;&gt;"a",$K228&lt;&gt;"b",$K228&lt;&gt;"g",$K228&lt;&gt;"k")),1,IF(AND($E228&lt;&gt;0,$F228&gt;0,YEAR($F228)&gt;=Preisindex!$A$6,YEAR(ET$4)&gt;=YEAR($F228),$K228="a"),ROUND(VLOOKUP(EY$4,Preisindex,5,FALSE)/VLOOKUP(YEAR($F228),Preisindex,5,FALSE),2),IF(AND($E228&lt;&gt;0,$F228&gt;0,YEAR($F228)&gt;=Preisindex!$A$6,YEAR(ET$4)&gt;=YEAR($F228),$K228="b"),ROUND(VLOOKUP(EY$4,Preisindex,3,FALSE)/VLOOKUP(YEAR($F228),Preisindex,3,FALSE),2),IF(AND($E228&lt;&gt;0,$F228&gt;0,YEAR($F228)&gt;=Preisindex!$A$6,YEAR(ET$4)&gt;=YEAR($F228),$K228="g"),ROUND(VLOOKUP(EY$4,Preisindex,4,FALSE)/VLOOKUP(YEAR($F228),Preisindex,4,FALSE),2),IF(AND($E228&lt;&gt;0,$F228&gt;0,YEAR($F228)&gt;=Preisindex!$A$6,YEAR(ET$4)&gt;=YEAR($F228),$K228="k"),ROUND(VLOOKUP(EY$4,Preisindex,2,FALSE)/VLOOKUP(YEAR($F228),Preisindex,2,FALSE),2),0)))))</f>
        <v>0</v>
      </c>
      <c r="EZ228" s="56">
        <f>IF(AND($E228&lt;&gt;0,$F228&gt;0,YEAR($F228)&lt;Preisindex!$A$6,YEAR(ET$4)&gt;=YEAR($F228),AND($K228&lt;&gt;"a",$K228&lt;&gt;"b",$K228&lt;&gt;"g",$K228&lt;&gt;"k")),1,IF(AND($E228&lt;&gt;0,$F228&gt;0,YEAR($F228)&lt;Preisindex!$A$6,YEAR(ET$4)&gt;=YEAR($F228),$K228="a"),ROUND(VLOOKUP(EY$4,Preisindex,5,FALSE)/VLOOKUP(Preisindex!$A$6,Preisindex,5,FALSE),2),IF(AND($E228&lt;&gt;0,$F228&gt;0,YEAR($F228)&lt;Preisindex!$A$6,YEAR(ET$4)&gt;=YEAR($F228),$K228="b"),ROUND(VLOOKUP(EY$4,Preisindex,3,FALSE)/VLOOKUP(Preisindex!$A$6,Preisindex,3,FALSE),2),IF(AND($E228&lt;&gt;0,$F228&gt;0,YEAR($F228)&lt;Preisindex!$A$6,YEAR(ET$4)&gt;=YEAR($F228),$K228="g"),ROUND(VLOOKUP(EY$4,Preisindex,4,FALSE)/VLOOKUP(Preisindex!$A$6,Preisindex,4,FALSE),2),IF(AND($E228&lt;&gt;0,$F228&gt;0,YEAR($F228)&lt;Preisindex!$A$6,YEAR(ET$4)&gt;=YEAR($F228),$K228="k"),ROUND(VLOOKUP(EY$4,Preisindex,2,FALSE)/VLOOKUP(Preisindex!$A$6,Preisindex,2,FALSE),2),0)))))</f>
        <v>0</v>
      </c>
      <c r="FA228" s="51">
        <f>IF(AND($E228&lt;&gt;0,$F228&gt;0,YEAR($F228)&lt;=EY$4,YEAR($F228)&gt;=Preisindex!$A$6),ROUND($E228*EY228,2),IF(AND($E228&lt;&gt;0,$F228&gt;0,YEAR($F228)&lt;=EY$4,YEAR($F228)&lt;Preisindex!$A$6),ROUND($E228*EZ228,2),0))</f>
        <v>0</v>
      </c>
      <c r="FB228" s="53">
        <f t="shared" si="680"/>
        <v>0</v>
      </c>
      <c r="FC228" s="51">
        <f t="shared" si="709"/>
        <v>0</v>
      </c>
      <c r="FD228" s="51">
        <f t="shared" si="745"/>
        <v>0</v>
      </c>
      <c r="FE228" s="51">
        <f t="shared" si="681"/>
        <v>0</v>
      </c>
      <c r="FF228" s="51">
        <f t="shared" si="746"/>
        <v>0</v>
      </c>
      <c r="FG228" s="51">
        <f t="shared" si="682"/>
        <v>0</v>
      </c>
      <c r="FH228" s="51">
        <f t="shared" si="747"/>
        <v>0</v>
      </c>
      <c r="FI228" s="51">
        <f t="shared" si="683"/>
        <v>0</v>
      </c>
      <c r="FJ228" s="51">
        <f t="shared" si="748"/>
        <v>0</v>
      </c>
      <c r="FK228" s="51">
        <f t="shared" si="684"/>
        <v>0</v>
      </c>
      <c r="FL228" s="51">
        <f t="shared" si="749"/>
        <v>0</v>
      </c>
      <c r="FM228" s="51">
        <f t="shared" si="685"/>
        <v>0</v>
      </c>
      <c r="FN228" s="54">
        <f t="shared" si="686"/>
        <v>0</v>
      </c>
      <c r="FO228" s="55">
        <f t="shared" si="687"/>
        <v>0</v>
      </c>
      <c r="FP228" s="56">
        <f>IF(AND($E228&lt;&gt;0,$F228&gt;0,YEAR($F228)&gt;=Preisindex!$A$6,YEAR(FK$4)&gt;=YEAR($F228),AND($K228&lt;&gt;"a",$K228&lt;&gt;"b",$K228&lt;&gt;"g",$K228&lt;&gt;"k")),1,IF(AND($E228&lt;&gt;0,$F228&gt;0,YEAR($F228)&gt;=Preisindex!$A$6,YEAR(FK$4)&gt;=YEAR($F228),$K228="a"),ROUND(VLOOKUP(FP$4,Preisindex,5,FALSE)/VLOOKUP(YEAR($F228),Preisindex,5,FALSE),2),IF(AND($E228&lt;&gt;0,$F228&gt;0,YEAR($F228)&gt;=Preisindex!$A$6,YEAR(FK$4)&gt;=YEAR($F228),$K228="b"),ROUND(VLOOKUP(FP$4,Preisindex,3,FALSE)/VLOOKUP(YEAR($F228),Preisindex,3,FALSE),2),IF(AND($E228&lt;&gt;0,$F228&gt;0,YEAR($F228)&gt;=Preisindex!$A$6,YEAR(FK$4)&gt;=YEAR($F228),$K228="g"),ROUND(VLOOKUP(FP$4,Preisindex,4,FALSE)/VLOOKUP(YEAR($F228),Preisindex,4,FALSE),2),IF(AND($E228&lt;&gt;0,$F228&gt;0,YEAR($F228)&gt;=Preisindex!$A$6,YEAR(FK$4)&gt;=YEAR($F228),$K228="k"),ROUND(VLOOKUP(FP$4,Preisindex,2,FALSE)/VLOOKUP(YEAR($F228),Preisindex,2,FALSE),2),0)))))</f>
        <v>0</v>
      </c>
      <c r="FQ228" s="56">
        <f>IF(AND($E228&lt;&gt;0,$F228&gt;0,YEAR($F228)&lt;Preisindex!$A$6,YEAR(FK$4)&gt;=YEAR($F228),AND($K228&lt;&gt;"a",$K228&lt;&gt;"b",$K228&lt;&gt;"g",$K228&lt;&gt;"k")),1,IF(AND($E228&lt;&gt;0,$F228&gt;0,YEAR($F228)&lt;Preisindex!$A$6,YEAR(FK$4)&gt;=YEAR($F228),$K228="a"),ROUND(VLOOKUP(FP$4,Preisindex,5,FALSE)/VLOOKUP(Preisindex!$A$6,Preisindex,5,FALSE),2),IF(AND($E228&lt;&gt;0,$F228&gt;0,YEAR($F228)&lt;Preisindex!$A$6,YEAR(FK$4)&gt;=YEAR($F228),$K228="b"),ROUND(VLOOKUP(FP$4,Preisindex,3,FALSE)/VLOOKUP(Preisindex!$A$6,Preisindex,3,FALSE),2),IF(AND($E228&lt;&gt;0,$F228&gt;0,YEAR($F228)&lt;Preisindex!$A$6,YEAR(FK$4)&gt;=YEAR($F228),$K228="g"),ROUND(VLOOKUP(FP$4,Preisindex,4,FALSE)/VLOOKUP(Preisindex!$A$6,Preisindex,4,FALSE),2),IF(AND($E228&lt;&gt;0,$F228&gt;0,YEAR($F228)&lt;Preisindex!$A$6,YEAR(FK$4)&gt;=YEAR($F228),$K228="k"),ROUND(VLOOKUP(FP$4,Preisindex,2,FALSE)/VLOOKUP(Preisindex!$A$6,Preisindex,2,FALSE),2),0)))))</f>
        <v>0</v>
      </c>
      <c r="FR228" s="51">
        <f>IF(AND($E228&lt;&gt;0,$F228&gt;0,YEAR($F228)&lt;=FP$4,YEAR($F228)&gt;=Preisindex!$A$6),ROUND($E228*FP228,2),IF(AND($E228&lt;&gt;0,$F228&gt;0,YEAR($F228)&lt;=FP$4,YEAR($F228)&lt;Preisindex!$A$6),ROUND($E228*FQ228,2),0))</f>
        <v>0</v>
      </c>
      <c r="FS228" s="53">
        <f t="shared" si="688"/>
        <v>0</v>
      </c>
    </row>
    <row r="229" spans="1:175" x14ac:dyDescent="0.3">
      <c r="A229" s="93"/>
      <c r="B229" s="94"/>
      <c r="C229" s="96"/>
      <c r="D229" s="188"/>
      <c r="E229" s="624"/>
      <c r="F229" s="190"/>
      <c r="G229" s="625"/>
      <c r="H229" s="192"/>
      <c r="I229" s="621"/>
      <c r="J229" s="103"/>
      <c r="K229" s="630"/>
      <c r="L229" s="49">
        <f t="shared" si="689"/>
        <v>0</v>
      </c>
      <c r="M229" s="50">
        <f t="shared" si="690"/>
        <v>0</v>
      </c>
      <c r="N229" s="51">
        <f t="shared" si="691"/>
        <v>0</v>
      </c>
      <c r="O229" s="51"/>
      <c r="P229" s="51">
        <f t="shared" si="692"/>
        <v>0</v>
      </c>
      <c r="Q229" s="52"/>
      <c r="R229" s="52"/>
      <c r="S229" s="52"/>
      <c r="T229" s="52"/>
      <c r="U229" s="52"/>
      <c r="V229" s="53">
        <f t="shared" si="693"/>
        <v>0</v>
      </c>
      <c r="W229" s="51">
        <f t="shared" si="694"/>
        <v>0</v>
      </c>
      <c r="X229" s="51">
        <f t="shared" si="695"/>
        <v>0</v>
      </c>
      <c r="Y229" s="51">
        <f t="shared" si="696"/>
        <v>0</v>
      </c>
      <c r="Z229" s="51">
        <f t="shared" si="697"/>
        <v>0</v>
      </c>
      <c r="AA229" s="51">
        <f t="shared" si="698"/>
        <v>0</v>
      </c>
      <c r="AB229" s="51">
        <f t="shared" si="699"/>
        <v>0</v>
      </c>
      <c r="AC229" s="51">
        <f t="shared" si="700"/>
        <v>0</v>
      </c>
      <c r="AD229" s="51">
        <f t="shared" si="701"/>
        <v>0</v>
      </c>
      <c r="AE229" s="51">
        <f t="shared" si="702"/>
        <v>0</v>
      </c>
      <c r="AF229" s="51">
        <f t="shared" si="703"/>
        <v>0</v>
      </c>
      <c r="AG229" s="51">
        <f t="shared" si="704"/>
        <v>0</v>
      </c>
      <c r="AH229" s="54">
        <f t="shared" si="705"/>
        <v>0</v>
      </c>
      <c r="AI229" s="55">
        <f t="shared" si="706"/>
        <v>0</v>
      </c>
      <c r="AJ229" s="56">
        <f>IF(AND($E229&lt;&gt;0,$F229&gt;0,YEAR($F229)&gt;=Preisindex!$A$6,YEAR(AE$4)&gt;=YEAR($F229),AND($K229&lt;&gt;"a",$K229&lt;&gt;"b",$K229&lt;&gt;"g",$K229&lt;&gt;"k")),1,IF(AND($E229&lt;&gt;0,$F229&gt;0,YEAR($F229)&gt;=Preisindex!$A$6,YEAR(AE$4)&gt;=YEAR($F229),$K229="a"),ROUND(VLOOKUP(AJ$4,Preisindex,5,FALSE)/VLOOKUP(YEAR($F229),Preisindex,5,FALSE),2),IF(AND($E229&lt;&gt;0,$F229&gt;0,YEAR($F229)&gt;=Preisindex!$A$6,YEAR(AE$4)&gt;=YEAR($F229),$K229="b"),ROUND(VLOOKUP(AJ$4,Preisindex,3,FALSE)/VLOOKUP(YEAR($F229),Preisindex,3,FALSE),2),IF(AND($E229&lt;&gt;0,$F229&gt;0,YEAR($F229)&gt;=Preisindex!$A$6,YEAR(AE$4)&gt;=YEAR($F229),$K229="g"),ROUND(VLOOKUP(AJ$4,Preisindex,4,FALSE)/VLOOKUP(YEAR($F229),Preisindex,4,FALSE),2),IF(AND($E229&lt;&gt;0,$F229&gt;0,YEAR($F229)&gt;=Preisindex!$A$6,YEAR(AE$4)&gt;=YEAR($F229),$K229="k"),ROUND(VLOOKUP(AJ$4,Preisindex,2,FALSE)/VLOOKUP(YEAR($F229),Preisindex,2,FALSE),2),0)))))</f>
        <v>0</v>
      </c>
      <c r="AK229" s="56">
        <f>IF(AND($E229&lt;&gt;0,$F229&gt;0,YEAR($F229)&lt;Preisindex!$A$6,YEAR(AE$4)&gt;=YEAR($F229),AND($K229&lt;&gt;"a",$K229&lt;&gt;"b",$K229&lt;&gt;"g",$K229&lt;&gt;"k")),1,IF(AND($E229&lt;&gt;0,$F229&gt;0,YEAR($F229)&lt;Preisindex!$A$6,YEAR(AE$4)&gt;=YEAR($F229),$K229="a"),ROUND(VLOOKUP(AJ$4,Preisindex,5,FALSE)/VLOOKUP(Preisindex!$A$6,Preisindex,5,FALSE),2),IF(AND($E229&lt;&gt;0,$F229&gt;0,YEAR($F229)&lt;Preisindex!$A$6,YEAR(AE$4)&gt;=YEAR($F229),$K229="b"),ROUND(VLOOKUP(AJ$4,Preisindex,3,FALSE)/VLOOKUP(Preisindex!$A$6,Preisindex,3,FALSE),2),IF(AND($E229&lt;&gt;0,$F229&gt;0,YEAR($F229)&lt;Preisindex!$A$6,YEAR(AE$4)&gt;=YEAR($F229),$K229="g"),ROUND(VLOOKUP(AJ$4,Preisindex,4,FALSE)/VLOOKUP(Preisindex!$A$6,Preisindex,4,FALSE),2),IF(AND($E229&lt;&gt;0,$F229&gt;0,YEAR($F229)&lt;Preisindex!$A$6,YEAR(AE$4)&gt;=YEAR($F229),$K229="k"),ROUND(VLOOKUP(AJ$4,Preisindex,2,FALSE)/VLOOKUP(Preisindex!$A$6,Preisindex,2,FALSE),2),0)))))</f>
        <v>0</v>
      </c>
      <c r="AL229" s="51">
        <f>IF(AND($E229&lt;&gt;0,$F229&gt;0,YEAR($F229)&lt;=AJ$4,YEAR($F229)&gt;=Preisindex!$A$6),ROUND($E229*AJ229,2),IF(AND($E229&lt;&gt;0,$F229&gt;0,YEAR($F229)&lt;=AJ$4,YEAR($F229)&lt;Preisindex!$A$6),ROUND($E229*AK229,2),0))</f>
        <v>0</v>
      </c>
      <c r="AM229" s="53">
        <f t="shared" si="707"/>
        <v>0</v>
      </c>
      <c r="AN229" s="51">
        <f t="shared" ref="AN229:CM244" si="750">IF(YEAR($F229)=AN$4,$E229,0)</f>
        <v>0</v>
      </c>
      <c r="AO229" s="51">
        <f t="shared" si="710"/>
        <v>0</v>
      </c>
      <c r="AP229" s="51">
        <f t="shared" si="624"/>
        <v>0</v>
      </c>
      <c r="AQ229" s="51">
        <f t="shared" si="711"/>
        <v>0</v>
      </c>
      <c r="AR229" s="51">
        <f t="shared" si="625"/>
        <v>0</v>
      </c>
      <c r="AS229" s="51">
        <f t="shared" si="712"/>
        <v>0</v>
      </c>
      <c r="AT229" s="51">
        <f t="shared" si="626"/>
        <v>0</v>
      </c>
      <c r="AU229" s="51">
        <f t="shared" si="713"/>
        <v>0</v>
      </c>
      <c r="AV229" s="51">
        <f t="shared" si="627"/>
        <v>0</v>
      </c>
      <c r="AW229" s="51">
        <f t="shared" si="714"/>
        <v>0</v>
      </c>
      <c r="AX229" s="51">
        <f t="shared" si="628"/>
        <v>0</v>
      </c>
      <c r="AY229" s="54">
        <f t="shared" si="629"/>
        <v>0</v>
      </c>
      <c r="AZ229" s="55">
        <f t="shared" si="630"/>
        <v>0</v>
      </c>
      <c r="BA229" s="56">
        <f>IF(AND($E229&lt;&gt;0,$F229&gt;0,YEAR($F229)&gt;=Preisindex!$A$6,YEAR(AV$4)&gt;=YEAR($F229),AND($K229&lt;&gt;"a",$K229&lt;&gt;"b",$K229&lt;&gt;"g",$K229&lt;&gt;"k")),1,IF(AND($E229&lt;&gt;0,$F229&gt;0,YEAR($F229)&gt;=Preisindex!$A$6,YEAR(AV$4)&gt;=YEAR($F229),$K229="a"),ROUND(VLOOKUP(BA$4,Preisindex,5,FALSE)/VLOOKUP(YEAR($F229),Preisindex,5,FALSE),2),IF(AND($E229&lt;&gt;0,$F229&gt;0,YEAR($F229)&gt;=Preisindex!$A$6,YEAR(AV$4)&gt;=YEAR($F229),$K229="b"),ROUND(VLOOKUP(BA$4,Preisindex,3,FALSE)/VLOOKUP(YEAR($F229),Preisindex,3,FALSE),2),IF(AND($E229&lt;&gt;0,$F229&gt;0,YEAR($F229)&gt;=Preisindex!$A$6,YEAR(AV$4)&gt;=YEAR($F229),$K229="g"),ROUND(VLOOKUP(BA$4,Preisindex,4,FALSE)/VLOOKUP(YEAR($F229),Preisindex,4,FALSE),2),IF(AND($E229&lt;&gt;0,$F229&gt;0,YEAR($F229)&gt;=Preisindex!$A$6,YEAR(AV$4)&gt;=YEAR($F229),$K229="k"),ROUND(VLOOKUP(BA$4,Preisindex,2,FALSE)/VLOOKUP(YEAR($F229),Preisindex,2,FALSE),2),0)))))</f>
        <v>0</v>
      </c>
      <c r="BB229" s="56">
        <f>IF(AND($E229&lt;&gt;0,$F229&gt;0,YEAR($F229)&lt;Preisindex!$A$6,YEAR(AV$4)&gt;=YEAR($F229),AND($K229&lt;&gt;"a",$K229&lt;&gt;"b",$K229&lt;&gt;"g",$K229&lt;&gt;"k")),1,IF(AND($E229&lt;&gt;0,$F229&gt;0,YEAR($F229)&lt;Preisindex!$A$6,YEAR(AV$4)&gt;=YEAR($F229),$K229="a"),ROUND(VLOOKUP(BA$4,Preisindex,5,FALSE)/VLOOKUP(Preisindex!$A$6,Preisindex,5,FALSE),2),IF(AND($E229&lt;&gt;0,$F229&gt;0,YEAR($F229)&lt;Preisindex!$A$6,YEAR(AV$4)&gt;=YEAR($F229),$K229="b"),ROUND(VLOOKUP(BA$4,Preisindex,3,FALSE)/VLOOKUP(Preisindex!$A$6,Preisindex,3,FALSE),2),IF(AND($E229&lt;&gt;0,$F229&gt;0,YEAR($F229)&lt;Preisindex!$A$6,YEAR(AV$4)&gt;=YEAR($F229),$K229="g"),ROUND(VLOOKUP(BA$4,Preisindex,4,FALSE)/VLOOKUP(Preisindex!$A$6,Preisindex,4,FALSE),2),IF(AND($E229&lt;&gt;0,$F229&gt;0,YEAR($F229)&lt;Preisindex!$A$6,YEAR(AV$4)&gt;=YEAR($F229),$K229="k"),ROUND(VLOOKUP(BA$4,Preisindex,2,FALSE)/VLOOKUP(Preisindex!$A$6,Preisindex,2,FALSE),2),0)))))</f>
        <v>0</v>
      </c>
      <c r="BC229" s="51">
        <f>IF(AND($E229&lt;&gt;0,$F229&gt;0,YEAR($F229)&lt;=BA$4,YEAR($F229)&gt;=Preisindex!$A$6),ROUND($E229*BA229,2),IF(AND($E229&lt;&gt;0,$F229&gt;0,YEAR($F229)&lt;=BA$4,YEAR($F229)&lt;Preisindex!$A$6),ROUND($E229*BB229,2),0))</f>
        <v>0</v>
      </c>
      <c r="BD229" s="53">
        <f t="shared" si="631"/>
        <v>0</v>
      </c>
      <c r="BE229" s="51">
        <f t="shared" si="750"/>
        <v>0</v>
      </c>
      <c r="BF229" s="51">
        <f t="shared" si="715"/>
        <v>0</v>
      </c>
      <c r="BG229" s="51">
        <f t="shared" si="632"/>
        <v>0</v>
      </c>
      <c r="BH229" s="51">
        <f t="shared" si="716"/>
        <v>0</v>
      </c>
      <c r="BI229" s="51">
        <f t="shared" si="633"/>
        <v>0</v>
      </c>
      <c r="BJ229" s="51">
        <f t="shared" si="717"/>
        <v>0</v>
      </c>
      <c r="BK229" s="51">
        <f t="shared" si="634"/>
        <v>0</v>
      </c>
      <c r="BL229" s="51">
        <f t="shared" si="718"/>
        <v>0</v>
      </c>
      <c r="BM229" s="51">
        <f t="shared" si="635"/>
        <v>0</v>
      </c>
      <c r="BN229" s="51">
        <f t="shared" si="719"/>
        <v>0</v>
      </c>
      <c r="BO229" s="51">
        <f t="shared" si="636"/>
        <v>0</v>
      </c>
      <c r="BP229" s="54">
        <f t="shared" si="637"/>
        <v>0</v>
      </c>
      <c r="BQ229" s="55">
        <f t="shared" si="638"/>
        <v>0</v>
      </c>
      <c r="BR229" s="56">
        <f>IF(AND($E229&lt;&gt;0,$F229&gt;0,YEAR($F229)&gt;=Preisindex!$A$6,YEAR(BM$4)&gt;=YEAR($F229),AND($K229&lt;&gt;"a",$K229&lt;&gt;"b",$K229&lt;&gt;"g",$K229&lt;&gt;"k")),1,IF(AND($E229&lt;&gt;0,$F229&gt;0,YEAR($F229)&gt;=Preisindex!$A$6,YEAR(BM$4)&gt;=YEAR($F229),$K229="a"),ROUND(VLOOKUP(BR$4,Preisindex,5,FALSE)/VLOOKUP(YEAR($F229),Preisindex,5,FALSE),2),IF(AND($E229&lt;&gt;0,$F229&gt;0,YEAR($F229)&gt;=Preisindex!$A$6,YEAR(BM$4)&gt;=YEAR($F229),$K229="b"),ROUND(VLOOKUP(BR$4,Preisindex,3,FALSE)/VLOOKUP(YEAR($F229),Preisindex,3,FALSE),2),IF(AND($E229&lt;&gt;0,$F229&gt;0,YEAR($F229)&gt;=Preisindex!$A$6,YEAR(BM$4)&gt;=YEAR($F229),$K229="g"),ROUND(VLOOKUP(BR$4,Preisindex,4,FALSE)/VLOOKUP(YEAR($F229),Preisindex,4,FALSE),2),IF(AND($E229&lt;&gt;0,$F229&gt;0,YEAR($F229)&gt;=Preisindex!$A$6,YEAR(BM$4)&gt;=YEAR($F229),$K229="k"),ROUND(VLOOKUP(BR$4,Preisindex,2,FALSE)/VLOOKUP(YEAR($F229),Preisindex,2,FALSE),2),0)))))</f>
        <v>0</v>
      </c>
      <c r="BS229" s="56">
        <f>IF(AND($E229&lt;&gt;0,$F229&gt;0,YEAR($F229)&lt;Preisindex!$A$6,YEAR(BM$4)&gt;=YEAR($F229),AND($K229&lt;&gt;"a",$K229&lt;&gt;"b",$K229&lt;&gt;"g",$K229&lt;&gt;"k")),1,IF(AND($E229&lt;&gt;0,$F229&gt;0,YEAR($F229)&lt;Preisindex!$A$6,YEAR(BM$4)&gt;=YEAR($F229),$K229="a"),ROUND(VLOOKUP(BR$4,Preisindex,5,FALSE)/VLOOKUP(Preisindex!$A$6,Preisindex,5,FALSE),2),IF(AND($E229&lt;&gt;0,$F229&gt;0,YEAR($F229)&lt;Preisindex!$A$6,YEAR(BM$4)&gt;=YEAR($F229),$K229="b"),ROUND(VLOOKUP(BR$4,Preisindex,3,FALSE)/VLOOKUP(Preisindex!$A$6,Preisindex,3,FALSE),2),IF(AND($E229&lt;&gt;0,$F229&gt;0,YEAR($F229)&lt;Preisindex!$A$6,YEAR(BM$4)&gt;=YEAR($F229),$K229="g"),ROUND(VLOOKUP(BR$4,Preisindex,4,FALSE)/VLOOKUP(Preisindex!$A$6,Preisindex,4,FALSE),2),IF(AND($E229&lt;&gt;0,$F229&gt;0,YEAR($F229)&lt;Preisindex!$A$6,YEAR(BM$4)&gt;=YEAR($F229),$K229="k"),ROUND(VLOOKUP(BR$4,Preisindex,2,FALSE)/VLOOKUP(Preisindex!$A$6,Preisindex,2,FALSE),2),0)))))</f>
        <v>0</v>
      </c>
      <c r="BT229" s="51">
        <f>IF(AND($E229&lt;&gt;0,$F229&gt;0,YEAR($F229)&lt;=BR$4,YEAR($F229)&gt;=Preisindex!$A$6),ROUND($E229*BR229,2),IF(AND($E229&lt;&gt;0,$F229&gt;0,YEAR($F229)&lt;=BR$4,YEAR($F229)&lt;Preisindex!$A$6),ROUND($E229*BS229,2),0))</f>
        <v>0</v>
      </c>
      <c r="BU229" s="53">
        <f t="shared" si="639"/>
        <v>0</v>
      </c>
      <c r="BV229" s="51">
        <f t="shared" si="750"/>
        <v>0</v>
      </c>
      <c r="BW229" s="51">
        <f t="shared" si="720"/>
        <v>0</v>
      </c>
      <c r="BX229" s="51">
        <f t="shared" si="640"/>
        <v>0</v>
      </c>
      <c r="BY229" s="51">
        <f t="shared" si="721"/>
        <v>0</v>
      </c>
      <c r="BZ229" s="51">
        <f t="shared" si="641"/>
        <v>0</v>
      </c>
      <c r="CA229" s="51">
        <f t="shared" si="722"/>
        <v>0</v>
      </c>
      <c r="CB229" s="51">
        <f t="shared" si="642"/>
        <v>0</v>
      </c>
      <c r="CC229" s="51">
        <f t="shared" si="723"/>
        <v>0</v>
      </c>
      <c r="CD229" s="51">
        <f t="shared" si="643"/>
        <v>0</v>
      </c>
      <c r="CE229" s="51">
        <f t="shared" si="724"/>
        <v>0</v>
      </c>
      <c r="CF229" s="51">
        <f t="shared" si="644"/>
        <v>0</v>
      </c>
      <c r="CG229" s="54">
        <f t="shared" si="645"/>
        <v>0</v>
      </c>
      <c r="CH229" s="55">
        <f t="shared" si="646"/>
        <v>0</v>
      </c>
      <c r="CI229" s="56">
        <f>IF(AND($E229&lt;&gt;0,$F229&gt;0,YEAR($F229)&gt;=Preisindex!$A$6,YEAR(CD$4)&gt;=YEAR($F229),AND($K229&lt;&gt;"a",$K229&lt;&gt;"b",$K229&lt;&gt;"g",$K229&lt;&gt;"k")),1,IF(AND($E229&lt;&gt;0,$F229&gt;0,YEAR($F229)&gt;=Preisindex!$A$6,YEAR(CD$4)&gt;=YEAR($F229),$K229="a"),ROUND(VLOOKUP(CI$4,Preisindex,5,FALSE)/VLOOKUP(YEAR($F229),Preisindex,5,FALSE),2),IF(AND($E229&lt;&gt;0,$F229&gt;0,YEAR($F229)&gt;=Preisindex!$A$6,YEAR(CD$4)&gt;=YEAR($F229),$K229="b"),ROUND(VLOOKUP(CI$4,Preisindex,3,FALSE)/VLOOKUP(YEAR($F229),Preisindex,3,FALSE),2),IF(AND($E229&lt;&gt;0,$F229&gt;0,YEAR($F229)&gt;=Preisindex!$A$6,YEAR(CD$4)&gt;=YEAR($F229),$K229="g"),ROUND(VLOOKUP(CI$4,Preisindex,4,FALSE)/VLOOKUP(YEAR($F229),Preisindex,4,FALSE),2),IF(AND($E229&lt;&gt;0,$F229&gt;0,YEAR($F229)&gt;=Preisindex!$A$6,YEAR(CD$4)&gt;=YEAR($F229),$K229="k"),ROUND(VLOOKUP(CI$4,Preisindex,2,FALSE)/VLOOKUP(YEAR($F229),Preisindex,2,FALSE),2),0)))))</f>
        <v>0</v>
      </c>
      <c r="CJ229" s="56">
        <f>IF(AND($E229&lt;&gt;0,$F229&gt;0,YEAR($F229)&lt;Preisindex!$A$6,YEAR(CD$4)&gt;=YEAR($F229),AND($K229&lt;&gt;"a",$K229&lt;&gt;"b",$K229&lt;&gt;"g",$K229&lt;&gt;"k")),1,IF(AND($E229&lt;&gt;0,$F229&gt;0,YEAR($F229)&lt;Preisindex!$A$6,YEAR(CD$4)&gt;=YEAR($F229),$K229="a"),ROUND(VLOOKUP(CI$4,Preisindex,5,FALSE)/VLOOKUP(Preisindex!$A$6,Preisindex,5,FALSE),2),IF(AND($E229&lt;&gt;0,$F229&gt;0,YEAR($F229)&lt;Preisindex!$A$6,YEAR(CD$4)&gt;=YEAR($F229),$K229="b"),ROUND(VLOOKUP(CI$4,Preisindex,3,FALSE)/VLOOKUP(Preisindex!$A$6,Preisindex,3,FALSE),2),IF(AND($E229&lt;&gt;0,$F229&gt;0,YEAR($F229)&lt;Preisindex!$A$6,YEAR(CD$4)&gt;=YEAR($F229),$K229="g"),ROUND(VLOOKUP(CI$4,Preisindex,4,FALSE)/VLOOKUP(Preisindex!$A$6,Preisindex,4,FALSE),2),IF(AND($E229&lt;&gt;0,$F229&gt;0,YEAR($F229)&lt;Preisindex!$A$6,YEAR(CD$4)&gt;=YEAR($F229),$K229="k"),ROUND(VLOOKUP(CI$4,Preisindex,2,FALSE)/VLOOKUP(Preisindex!$A$6,Preisindex,2,FALSE),2),0)))))</f>
        <v>0</v>
      </c>
      <c r="CK229" s="51">
        <f>IF(AND($E229&lt;&gt;0,$F229&gt;0,YEAR($F229)&lt;=CI$4,YEAR($F229)&gt;=Preisindex!$A$6),ROUND($E229*CI229,2),IF(AND($E229&lt;&gt;0,$F229&gt;0,YEAR($F229)&lt;=CI$4,YEAR($F229)&lt;Preisindex!$A$6),ROUND($E229*CJ229,2),0))</f>
        <v>0</v>
      </c>
      <c r="CL229" s="53">
        <f t="shared" si="647"/>
        <v>0</v>
      </c>
      <c r="CM229" s="51">
        <f t="shared" si="750"/>
        <v>0</v>
      </c>
      <c r="CN229" s="51">
        <f t="shared" si="725"/>
        <v>0</v>
      </c>
      <c r="CO229" s="51">
        <f t="shared" si="648"/>
        <v>0</v>
      </c>
      <c r="CP229" s="51">
        <f t="shared" si="726"/>
        <v>0</v>
      </c>
      <c r="CQ229" s="51">
        <f t="shared" si="649"/>
        <v>0</v>
      </c>
      <c r="CR229" s="51">
        <f t="shared" si="727"/>
        <v>0</v>
      </c>
      <c r="CS229" s="51">
        <f t="shared" si="650"/>
        <v>0</v>
      </c>
      <c r="CT229" s="51">
        <f t="shared" si="728"/>
        <v>0</v>
      </c>
      <c r="CU229" s="51">
        <f t="shared" si="651"/>
        <v>0</v>
      </c>
      <c r="CV229" s="51">
        <f t="shared" si="729"/>
        <v>0</v>
      </c>
      <c r="CW229" s="51">
        <f t="shared" si="652"/>
        <v>0</v>
      </c>
      <c r="CX229" s="54">
        <f t="shared" si="653"/>
        <v>0</v>
      </c>
      <c r="CY229" s="55">
        <f t="shared" si="654"/>
        <v>0</v>
      </c>
      <c r="CZ229" s="56">
        <f>IF(AND($E229&lt;&gt;0,$F229&gt;0,YEAR($F229)&gt;=Preisindex!$A$6,YEAR(CU$4)&gt;=YEAR($F229),AND($K229&lt;&gt;"a",$K229&lt;&gt;"b",$K229&lt;&gt;"g",$K229&lt;&gt;"k")),1,IF(AND($E229&lt;&gt;0,$F229&gt;0,YEAR($F229)&gt;=Preisindex!$A$6,YEAR(CU$4)&gt;=YEAR($F229),$K229="a"),ROUND(VLOOKUP(CZ$4,Preisindex,5,FALSE)/VLOOKUP(YEAR($F229),Preisindex,5,FALSE),2),IF(AND($E229&lt;&gt;0,$F229&gt;0,YEAR($F229)&gt;=Preisindex!$A$6,YEAR(CU$4)&gt;=YEAR($F229),$K229="b"),ROUND(VLOOKUP(CZ$4,Preisindex,3,FALSE)/VLOOKUP(YEAR($F229),Preisindex,3,FALSE),2),IF(AND($E229&lt;&gt;0,$F229&gt;0,YEAR($F229)&gt;=Preisindex!$A$6,YEAR(CU$4)&gt;=YEAR($F229),$K229="g"),ROUND(VLOOKUP(CZ$4,Preisindex,4,FALSE)/VLOOKUP(YEAR($F229),Preisindex,4,FALSE),2),IF(AND($E229&lt;&gt;0,$F229&gt;0,YEAR($F229)&gt;=Preisindex!$A$6,YEAR(CU$4)&gt;=YEAR($F229),$K229="k"),ROUND(VLOOKUP(CZ$4,Preisindex,2,FALSE)/VLOOKUP(YEAR($F229),Preisindex,2,FALSE),2),0)))))</f>
        <v>0</v>
      </c>
      <c r="DA229" s="56">
        <f>IF(AND($E229&lt;&gt;0,$F229&gt;0,YEAR($F229)&lt;Preisindex!$A$6,YEAR(CU$4)&gt;=YEAR($F229),AND($K229&lt;&gt;"a",$K229&lt;&gt;"b",$K229&lt;&gt;"g",$K229&lt;&gt;"k")),1,IF(AND($E229&lt;&gt;0,$F229&gt;0,YEAR($F229)&lt;Preisindex!$A$6,YEAR(CU$4)&gt;=YEAR($F229),$K229="a"),ROUND(VLOOKUP(CZ$4,Preisindex,5,FALSE)/VLOOKUP(Preisindex!$A$6,Preisindex,5,FALSE),2),IF(AND($E229&lt;&gt;0,$F229&gt;0,YEAR($F229)&lt;Preisindex!$A$6,YEAR(CU$4)&gt;=YEAR($F229),$K229="b"),ROUND(VLOOKUP(CZ$4,Preisindex,3,FALSE)/VLOOKUP(Preisindex!$A$6,Preisindex,3,FALSE),2),IF(AND($E229&lt;&gt;0,$F229&gt;0,YEAR($F229)&lt;Preisindex!$A$6,YEAR(CU$4)&gt;=YEAR($F229),$K229="g"),ROUND(VLOOKUP(CZ$4,Preisindex,4,FALSE)/VLOOKUP(Preisindex!$A$6,Preisindex,4,FALSE),2),IF(AND($E229&lt;&gt;0,$F229&gt;0,YEAR($F229)&lt;Preisindex!$A$6,YEAR(CU$4)&gt;=YEAR($F229),$K229="k"),ROUND(VLOOKUP(CZ$4,Preisindex,2,FALSE)/VLOOKUP(Preisindex!$A$6,Preisindex,2,FALSE),2),0)))))</f>
        <v>0</v>
      </c>
      <c r="DB229" s="51">
        <f>IF(AND($E229&lt;&gt;0,$F229&gt;0,YEAR($F229)&lt;=CZ$4,YEAR($F229)&gt;=Preisindex!$A$6),ROUND($E229*CZ229,2),IF(AND($E229&lt;&gt;0,$F229&gt;0,YEAR($F229)&lt;=CZ$4,YEAR($F229)&lt;Preisindex!$A$6),ROUND($E229*DA229,2),0))</f>
        <v>0</v>
      </c>
      <c r="DC229" s="53">
        <f t="shared" si="655"/>
        <v>0</v>
      </c>
      <c r="DD229" s="51">
        <f t="shared" ref="DD229:FC244" si="751">IF(YEAR($F229)=DD$4,$E229,0)</f>
        <v>0</v>
      </c>
      <c r="DE229" s="51">
        <f t="shared" si="730"/>
        <v>0</v>
      </c>
      <c r="DF229" s="51">
        <f t="shared" si="657"/>
        <v>0</v>
      </c>
      <c r="DG229" s="51">
        <f t="shared" si="731"/>
        <v>0</v>
      </c>
      <c r="DH229" s="51">
        <f t="shared" si="658"/>
        <v>0</v>
      </c>
      <c r="DI229" s="51">
        <f t="shared" si="732"/>
        <v>0</v>
      </c>
      <c r="DJ229" s="51">
        <f t="shared" si="659"/>
        <v>0</v>
      </c>
      <c r="DK229" s="51">
        <f t="shared" si="733"/>
        <v>0</v>
      </c>
      <c r="DL229" s="51">
        <f t="shared" si="660"/>
        <v>0</v>
      </c>
      <c r="DM229" s="51">
        <f t="shared" si="734"/>
        <v>0</v>
      </c>
      <c r="DN229" s="51">
        <f t="shared" si="661"/>
        <v>0</v>
      </c>
      <c r="DO229" s="54">
        <f t="shared" si="662"/>
        <v>0</v>
      </c>
      <c r="DP229" s="55">
        <f t="shared" si="663"/>
        <v>0</v>
      </c>
      <c r="DQ229" s="56">
        <f>IF(AND($E229&lt;&gt;0,$F229&gt;0,YEAR($F229)&gt;=Preisindex!$A$6,YEAR(DL$4)&gt;=YEAR($F229),AND($K229&lt;&gt;"a",$K229&lt;&gt;"b",$K229&lt;&gt;"g",$K229&lt;&gt;"k")),1,IF(AND($E229&lt;&gt;0,$F229&gt;0,YEAR($F229)&gt;=Preisindex!$A$6,YEAR(DL$4)&gt;=YEAR($F229),$K229="a"),ROUND(VLOOKUP(DQ$4,Preisindex,5,FALSE)/VLOOKUP(YEAR($F229),Preisindex,5,FALSE),2),IF(AND($E229&lt;&gt;0,$F229&gt;0,YEAR($F229)&gt;=Preisindex!$A$6,YEAR(DL$4)&gt;=YEAR($F229),$K229="b"),ROUND(VLOOKUP(DQ$4,Preisindex,3,FALSE)/VLOOKUP(YEAR($F229),Preisindex,3,FALSE),2),IF(AND($E229&lt;&gt;0,$F229&gt;0,YEAR($F229)&gt;=Preisindex!$A$6,YEAR(DL$4)&gt;=YEAR($F229),$K229="g"),ROUND(VLOOKUP(DQ$4,Preisindex,4,FALSE)/VLOOKUP(YEAR($F229),Preisindex,4,FALSE),2),IF(AND($E229&lt;&gt;0,$F229&gt;0,YEAR($F229)&gt;=Preisindex!$A$6,YEAR(DL$4)&gt;=YEAR($F229),$K229="k"),ROUND(VLOOKUP(DQ$4,Preisindex,2,FALSE)/VLOOKUP(YEAR($F229),Preisindex,2,FALSE),2),0)))))</f>
        <v>0</v>
      </c>
      <c r="DR229" s="56">
        <f>IF(AND($E229&lt;&gt;0,$F229&gt;0,YEAR($F229)&lt;Preisindex!$A$6,YEAR(DL$4)&gt;=YEAR($F229),AND($K229&lt;&gt;"a",$K229&lt;&gt;"b",$K229&lt;&gt;"g",$K229&lt;&gt;"k")),1,IF(AND($E229&lt;&gt;0,$F229&gt;0,YEAR($F229)&lt;Preisindex!$A$6,YEAR(DL$4)&gt;=YEAR($F229),$K229="a"),ROUND(VLOOKUP(DQ$4,Preisindex,5,FALSE)/VLOOKUP(Preisindex!$A$6,Preisindex,5,FALSE),2),IF(AND($E229&lt;&gt;0,$F229&gt;0,YEAR($F229)&lt;Preisindex!$A$6,YEAR(DL$4)&gt;=YEAR($F229),$K229="b"),ROUND(VLOOKUP(DQ$4,Preisindex,3,FALSE)/VLOOKUP(Preisindex!$A$6,Preisindex,3,FALSE),2),IF(AND($E229&lt;&gt;0,$F229&gt;0,YEAR($F229)&lt;Preisindex!$A$6,YEAR(DL$4)&gt;=YEAR($F229),$K229="g"),ROUND(VLOOKUP(DQ$4,Preisindex,4,FALSE)/VLOOKUP(Preisindex!$A$6,Preisindex,4,FALSE),2),IF(AND($E229&lt;&gt;0,$F229&gt;0,YEAR($F229)&lt;Preisindex!$A$6,YEAR(DL$4)&gt;=YEAR($F229),$K229="k"),ROUND(VLOOKUP(DQ$4,Preisindex,2,FALSE)/VLOOKUP(Preisindex!$A$6,Preisindex,2,FALSE),2),0)))))</f>
        <v>0</v>
      </c>
      <c r="DS229" s="51">
        <f>IF(AND($E229&lt;&gt;0,$F229&gt;0,YEAR($F229)&lt;=DQ$4,YEAR($F229)&gt;=Preisindex!$A$6),ROUND($E229*DQ229,2),IF(AND($E229&lt;&gt;0,$F229&gt;0,YEAR($F229)&lt;=DQ$4,YEAR($F229)&lt;Preisindex!$A$6),ROUND($E229*DR229,2),0))</f>
        <v>0</v>
      </c>
      <c r="DT229" s="53">
        <f t="shared" si="664"/>
        <v>0</v>
      </c>
      <c r="DU229" s="51">
        <f t="shared" si="751"/>
        <v>0</v>
      </c>
      <c r="DV229" s="51">
        <f t="shared" si="735"/>
        <v>0</v>
      </c>
      <c r="DW229" s="51">
        <f t="shared" si="665"/>
        <v>0</v>
      </c>
      <c r="DX229" s="51">
        <f t="shared" si="736"/>
        <v>0</v>
      </c>
      <c r="DY229" s="51">
        <f t="shared" si="666"/>
        <v>0</v>
      </c>
      <c r="DZ229" s="51">
        <f t="shared" si="737"/>
        <v>0</v>
      </c>
      <c r="EA229" s="51">
        <f t="shared" si="667"/>
        <v>0</v>
      </c>
      <c r="EB229" s="51">
        <f t="shared" si="738"/>
        <v>0</v>
      </c>
      <c r="EC229" s="51">
        <f t="shared" si="668"/>
        <v>0</v>
      </c>
      <c r="ED229" s="51">
        <f t="shared" si="739"/>
        <v>0</v>
      </c>
      <c r="EE229" s="51">
        <f t="shared" si="669"/>
        <v>0</v>
      </c>
      <c r="EF229" s="54">
        <f t="shared" si="670"/>
        <v>0</v>
      </c>
      <c r="EG229" s="55">
        <f t="shared" si="671"/>
        <v>0</v>
      </c>
      <c r="EH229" s="56">
        <f>IF(AND($E229&lt;&gt;0,$F229&gt;0,YEAR($F229)&gt;=Preisindex!$A$6,YEAR(EC$4)&gt;=YEAR($F229),AND($K229&lt;&gt;"a",$K229&lt;&gt;"b",$K229&lt;&gt;"g",$K229&lt;&gt;"k")),1,IF(AND($E229&lt;&gt;0,$F229&gt;0,YEAR($F229)&gt;=Preisindex!$A$6,YEAR(EC$4)&gt;=YEAR($F229),$K229="a"),ROUND(VLOOKUP(EH$4,Preisindex,5,FALSE)/VLOOKUP(YEAR($F229),Preisindex,5,FALSE),2),IF(AND($E229&lt;&gt;0,$F229&gt;0,YEAR($F229)&gt;=Preisindex!$A$6,YEAR(EC$4)&gt;=YEAR($F229),$K229="b"),ROUND(VLOOKUP(EH$4,Preisindex,3,FALSE)/VLOOKUP(YEAR($F229),Preisindex,3,FALSE),2),IF(AND($E229&lt;&gt;0,$F229&gt;0,YEAR($F229)&gt;=Preisindex!$A$6,YEAR(EC$4)&gt;=YEAR($F229),$K229="g"),ROUND(VLOOKUP(EH$4,Preisindex,4,FALSE)/VLOOKUP(YEAR($F229),Preisindex,4,FALSE),2),IF(AND($E229&lt;&gt;0,$F229&gt;0,YEAR($F229)&gt;=Preisindex!$A$6,YEAR(EC$4)&gt;=YEAR($F229),$K229="k"),ROUND(VLOOKUP(EH$4,Preisindex,2,FALSE)/VLOOKUP(YEAR($F229),Preisindex,2,FALSE),2),0)))))</f>
        <v>0</v>
      </c>
      <c r="EI229" s="56">
        <f>IF(AND($E229&lt;&gt;0,$F229&gt;0,YEAR($F229)&lt;Preisindex!$A$6,YEAR(EC$4)&gt;=YEAR($F229),AND($K229&lt;&gt;"a",$K229&lt;&gt;"b",$K229&lt;&gt;"g",$K229&lt;&gt;"k")),1,IF(AND($E229&lt;&gt;0,$F229&gt;0,YEAR($F229)&lt;Preisindex!$A$6,YEAR(EC$4)&gt;=YEAR($F229),$K229="a"),ROUND(VLOOKUP(EH$4,Preisindex,5,FALSE)/VLOOKUP(Preisindex!$A$6,Preisindex,5,FALSE),2),IF(AND($E229&lt;&gt;0,$F229&gt;0,YEAR($F229)&lt;Preisindex!$A$6,YEAR(EC$4)&gt;=YEAR($F229),$K229="b"),ROUND(VLOOKUP(EH$4,Preisindex,3,FALSE)/VLOOKUP(Preisindex!$A$6,Preisindex,3,FALSE),2),IF(AND($E229&lt;&gt;0,$F229&gt;0,YEAR($F229)&lt;Preisindex!$A$6,YEAR(EC$4)&gt;=YEAR($F229),$K229="g"),ROUND(VLOOKUP(EH$4,Preisindex,4,FALSE)/VLOOKUP(Preisindex!$A$6,Preisindex,4,FALSE),2),IF(AND($E229&lt;&gt;0,$F229&gt;0,YEAR($F229)&lt;Preisindex!$A$6,YEAR(EC$4)&gt;=YEAR($F229),$K229="k"),ROUND(VLOOKUP(EH$4,Preisindex,2,FALSE)/VLOOKUP(Preisindex!$A$6,Preisindex,2,FALSE),2),0)))))</f>
        <v>0</v>
      </c>
      <c r="EJ229" s="51">
        <f>IF(AND($E229&lt;&gt;0,$F229&gt;0,YEAR($F229)&lt;=EH$4,YEAR($F229)&gt;=Preisindex!$A$6),ROUND($E229*EH229,2),IF(AND($E229&lt;&gt;0,$F229&gt;0,YEAR($F229)&lt;=EH$4,YEAR($F229)&lt;Preisindex!$A$6),ROUND($E229*EI229,2),0))</f>
        <v>0</v>
      </c>
      <c r="EK229" s="53">
        <f t="shared" si="672"/>
        <v>0</v>
      </c>
      <c r="EL229" s="51">
        <f t="shared" si="751"/>
        <v>0</v>
      </c>
      <c r="EM229" s="51">
        <f t="shared" si="740"/>
        <v>0</v>
      </c>
      <c r="EN229" s="51">
        <f t="shared" si="673"/>
        <v>0</v>
      </c>
      <c r="EO229" s="51">
        <f t="shared" si="741"/>
        <v>0</v>
      </c>
      <c r="EP229" s="51">
        <f t="shared" si="674"/>
        <v>0</v>
      </c>
      <c r="EQ229" s="51">
        <f t="shared" si="742"/>
        <v>0</v>
      </c>
      <c r="ER229" s="51">
        <f t="shared" si="675"/>
        <v>0</v>
      </c>
      <c r="ES229" s="51">
        <f t="shared" si="743"/>
        <v>0</v>
      </c>
      <c r="ET229" s="51">
        <f t="shared" si="676"/>
        <v>0</v>
      </c>
      <c r="EU229" s="51">
        <f t="shared" si="744"/>
        <v>0</v>
      </c>
      <c r="EV229" s="51">
        <f t="shared" si="677"/>
        <v>0</v>
      </c>
      <c r="EW229" s="54">
        <f t="shared" si="678"/>
        <v>0</v>
      </c>
      <c r="EX229" s="55">
        <f t="shared" si="679"/>
        <v>0</v>
      </c>
      <c r="EY229" s="56">
        <f>IF(AND($E229&lt;&gt;0,$F229&gt;0,YEAR($F229)&gt;=Preisindex!$A$6,YEAR(ET$4)&gt;=YEAR($F229),AND($K229&lt;&gt;"a",$K229&lt;&gt;"b",$K229&lt;&gt;"g",$K229&lt;&gt;"k")),1,IF(AND($E229&lt;&gt;0,$F229&gt;0,YEAR($F229)&gt;=Preisindex!$A$6,YEAR(ET$4)&gt;=YEAR($F229),$K229="a"),ROUND(VLOOKUP(EY$4,Preisindex,5,FALSE)/VLOOKUP(YEAR($F229),Preisindex,5,FALSE),2),IF(AND($E229&lt;&gt;0,$F229&gt;0,YEAR($F229)&gt;=Preisindex!$A$6,YEAR(ET$4)&gt;=YEAR($F229),$K229="b"),ROUND(VLOOKUP(EY$4,Preisindex,3,FALSE)/VLOOKUP(YEAR($F229),Preisindex,3,FALSE),2),IF(AND($E229&lt;&gt;0,$F229&gt;0,YEAR($F229)&gt;=Preisindex!$A$6,YEAR(ET$4)&gt;=YEAR($F229),$K229="g"),ROUND(VLOOKUP(EY$4,Preisindex,4,FALSE)/VLOOKUP(YEAR($F229),Preisindex,4,FALSE),2),IF(AND($E229&lt;&gt;0,$F229&gt;0,YEAR($F229)&gt;=Preisindex!$A$6,YEAR(ET$4)&gt;=YEAR($F229),$K229="k"),ROUND(VLOOKUP(EY$4,Preisindex,2,FALSE)/VLOOKUP(YEAR($F229),Preisindex,2,FALSE),2),0)))))</f>
        <v>0</v>
      </c>
      <c r="EZ229" s="56">
        <f>IF(AND($E229&lt;&gt;0,$F229&gt;0,YEAR($F229)&lt;Preisindex!$A$6,YEAR(ET$4)&gt;=YEAR($F229),AND($K229&lt;&gt;"a",$K229&lt;&gt;"b",$K229&lt;&gt;"g",$K229&lt;&gt;"k")),1,IF(AND($E229&lt;&gt;0,$F229&gt;0,YEAR($F229)&lt;Preisindex!$A$6,YEAR(ET$4)&gt;=YEAR($F229),$K229="a"),ROUND(VLOOKUP(EY$4,Preisindex,5,FALSE)/VLOOKUP(Preisindex!$A$6,Preisindex,5,FALSE),2),IF(AND($E229&lt;&gt;0,$F229&gt;0,YEAR($F229)&lt;Preisindex!$A$6,YEAR(ET$4)&gt;=YEAR($F229),$K229="b"),ROUND(VLOOKUP(EY$4,Preisindex,3,FALSE)/VLOOKUP(Preisindex!$A$6,Preisindex,3,FALSE),2),IF(AND($E229&lt;&gt;0,$F229&gt;0,YEAR($F229)&lt;Preisindex!$A$6,YEAR(ET$4)&gt;=YEAR($F229),$K229="g"),ROUND(VLOOKUP(EY$4,Preisindex,4,FALSE)/VLOOKUP(Preisindex!$A$6,Preisindex,4,FALSE),2),IF(AND($E229&lt;&gt;0,$F229&gt;0,YEAR($F229)&lt;Preisindex!$A$6,YEAR(ET$4)&gt;=YEAR($F229),$K229="k"),ROUND(VLOOKUP(EY$4,Preisindex,2,FALSE)/VLOOKUP(Preisindex!$A$6,Preisindex,2,FALSE),2),0)))))</f>
        <v>0</v>
      </c>
      <c r="FA229" s="51">
        <f>IF(AND($E229&lt;&gt;0,$F229&gt;0,YEAR($F229)&lt;=EY$4,YEAR($F229)&gt;=Preisindex!$A$6),ROUND($E229*EY229,2),IF(AND($E229&lt;&gt;0,$F229&gt;0,YEAR($F229)&lt;=EY$4,YEAR($F229)&lt;Preisindex!$A$6),ROUND($E229*EZ229,2),0))</f>
        <v>0</v>
      </c>
      <c r="FB229" s="53">
        <f t="shared" si="680"/>
        <v>0</v>
      </c>
      <c r="FC229" s="51">
        <f t="shared" si="751"/>
        <v>0</v>
      </c>
      <c r="FD229" s="51">
        <f t="shared" si="745"/>
        <v>0</v>
      </c>
      <c r="FE229" s="51">
        <f t="shared" si="681"/>
        <v>0</v>
      </c>
      <c r="FF229" s="51">
        <f t="shared" si="746"/>
        <v>0</v>
      </c>
      <c r="FG229" s="51">
        <f t="shared" si="682"/>
        <v>0</v>
      </c>
      <c r="FH229" s="51">
        <f t="shared" si="747"/>
        <v>0</v>
      </c>
      <c r="FI229" s="51">
        <f t="shared" si="683"/>
        <v>0</v>
      </c>
      <c r="FJ229" s="51">
        <f t="shared" si="748"/>
        <v>0</v>
      </c>
      <c r="FK229" s="51">
        <f t="shared" si="684"/>
        <v>0</v>
      </c>
      <c r="FL229" s="51">
        <f t="shared" si="749"/>
        <v>0</v>
      </c>
      <c r="FM229" s="51">
        <f t="shared" si="685"/>
        <v>0</v>
      </c>
      <c r="FN229" s="54">
        <f t="shared" si="686"/>
        <v>0</v>
      </c>
      <c r="FO229" s="55">
        <f t="shared" si="687"/>
        <v>0</v>
      </c>
      <c r="FP229" s="56">
        <f>IF(AND($E229&lt;&gt;0,$F229&gt;0,YEAR($F229)&gt;=Preisindex!$A$6,YEAR(FK$4)&gt;=YEAR($F229),AND($K229&lt;&gt;"a",$K229&lt;&gt;"b",$K229&lt;&gt;"g",$K229&lt;&gt;"k")),1,IF(AND($E229&lt;&gt;0,$F229&gt;0,YEAR($F229)&gt;=Preisindex!$A$6,YEAR(FK$4)&gt;=YEAR($F229),$K229="a"),ROUND(VLOOKUP(FP$4,Preisindex,5,FALSE)/VLOOKUP(YEAR($F229),Preisindex,5,FALSE),2),IF(AND($E229&lt;&gt;0,$F229&gt;0,YEAR($F229)&gt;=Preisindex!$A$6,YEAR(FK$4)&gt;=YEAR($F229),$K229="b"),ROUND(VLOOKUP(FP$4,Preisindex,3,FALSE)/VLOOKUP(YEAR($F229),Preisindex,3,FALSE),2),IF(AND($E229&lt;&gt;0,$F229&gt;0,YEAR($F229)&gt;=Preisindex!$A$6,YEAR(FK$4)&gt;=YEAR($F229),$K229="g"),ROUND(VLOOKUP(FP$4,Preisindex,4,FALSE)/VLOOKUP(YEAR($F229),Preisindex,4,FALSE),2),IF(AND($E229&lt;&gt;0,$F229&gt;0,YEAR($F229)&gt;=Preisindex!$A$6,YEAR(FK$4)&gt;=YEAR($F229),$K229="k"),ROUND(VLOOKUP(FP$4,Preisindex,2,FALSE)/VLOOKUP(YEAR($F229),Preisindex,2,FALSE),2),0)))))</f>
        <v>0</v>
      </c>
      <c r="FQ229" s="56">
        <f>IF(AND($E229&lt;&gt;0,$F229&gt;0,YEAR($F229)&lt;Preisindex!$A$6,YEAR(FK$4)&gt;=YEAR($F229),AND($K229&lt;&gt;"a",$K229&lt;&gt;"b",$K229&lt;&gt;"g",$K229&lt;&gt;"k")),1,IF(AND($E229&lt;&gt;0,$F229&gt;0,YEAR($F229)&lt;Preisindex!$A$6,YEAR(FK$4)&gt;=YEAR($F229),$K229="a"),ROUND(VLOOKUP(FP$4,Preisindex,5,FALSE)/VLOOKUP(Preisindex!$A$6,Preisindex,5,FALSE),2),IF(AND($E229&lt;&gt;0,$F229&gt;0,YEAR($F229)&lt;Preisindex!$A$6,YEAR(FK$4)&gt;=YEAR($F229),$K229="b"),ROUND(VLOOKUP(FP$4,Preisindex,3,FALSE)/VLOOKUP(Preisindex!$A$6,Preisindex,3,FALSE),2),IF(AND($E229&lt;&gt;0,$F229&gt;0,YEAR($F229)&lt;Preisindex!$A$6,YEAR(FK$4)&gt;=YEAR($F229),$K229="g"),ROUND(VLOOKUP(FP$4,Preisindex,4,FALSE)/VLOOKUP(Preisindex!$A$6,Preisindex,4,FALSE),2),IF(AND($E229&lt;&gt;0,$F229&gt;0,YEAR($F229)&lt;Preisindex!$A$6,YEAR(FK$4)&gt;=YEAR($F229),$K229="k"),ROUND(VLOOKUP(FP$4,Preisindex,2,FALSE)/VLOOKUP(Preisindex!$A$6,Preisindex,2,FALSE),2),0)))))</f>
        <v>0</v>
      </c>
      <c r="FR229" s="51">
        <f>IF(AND($E229&lt;&gt;0,$F229&gt;0,YEAR($F229)&lt;=FP$4,YEAR($F229)&gt;=Preisindex!$A$6),ROUND($E229*FP229,2),IF(AND($E229&lt;&gt;0,$F229&gt;0,YEAR($F229)&lt;=FP$4,YEAR($F229)&lt;Preisindex!$A$6),ROUND($E229*FQ229,2),0))</f>
        <v>0</v>
      </c>
      <c r="FS229" s="53">
        <f t="shared" si="688"/>
        <v>0</v>
      </c>
    </row>
    <row r="230" spans="1:175" x14ac:dyDescent="0.3">
      <c r="A230" s="93"/>
      <c r="B230" s="94"/>
      <c r="C230" s="94"/>
      <c r="D230" s="188"/>
      <c r="E230" s="624"/>
      <c r="F230" s="190"/>
      <c r="G230" s="625"/>
      <c r="H230" s="192"/>
      <c r="I230" s="621"/>
      <c r="J230" s="103"/>
      <c r="K230" s="630"/>
      <c r="L230" s="49">
        <f t="shared" si="689"/>
        <v>0</v>
      </c>
      <c r="M230" s="50">
        <f t="shared" si="690"/>
        <v>0</v>
      </c>
      <c r="N230" s="51">
        <f t="shared" si="691"/>
        <v>0</v>
      </c>
      <c r="O230" s="51"/>
      <c r="P230" s="51">
        <f t="shared" si="692"/>
        <v>0</v>
      </c>
      <c r="Q230" s="52"/>
      <c r="R230" s="52"/>
      <c r="S230" s="52"/>
      <c r="T230" s="52"/>
      <c r="U230" s="52"/>
      <c r="V230" s="53">
        <f t="shared" si="693"/>
        <v>0</v>
      </c>
      <c r="W230" s="51">
        <f t="shared" si="694"/>
        <v>0</v>
      </c>
      <c r="X230" s="51">
        <f t="shared" si="695"/>
        <v>0</v>
      </c>
      <c r="Y230" s="51">
        <f t="shared" si="696"/>
        <v>0</v>
      </c>
      <c r="Z230" s="51">
        <f t="shared" si="697"/>
        <v>0</v>
      </c>
      <c r="AA230" s="51">
        <f t="shared" si="698"/>
        <v>0</v>
      </c>
      <c r="AB230" s="51">
        <f t="shared" si="699"/>
        <v>0</v>
      </c>
      <c r="AC230" s="51">
        <f t="shared" si="700"/>
        <v>0</v>
      </c>
      <c r="AD230" s="51">
        <f t="shared" si="701"/>
        <v>0</v>
      </c>
      <c r="AE230" s="51">
        <f t="shared" si="702"/>
        <v>0</v>
      </c>
      <c r="AF230" s="51">
        <f t="shared" si="703"/>
        <v>0</v>
      </c>
      <c r="AG230" s="51">
        <f t="shared" si="704"/>
        <v>0</v>
      </c>
      <c r="AH230" s="54">
        <f t="shared" si="705"/>
        <v>0</v>
      </c>
      <c r="AI230" s="55">
        <f t="shared" si="706"/>
        <v>0</v>
      </c>
      <c r="AJ230" s="56">
        <f>IF(AND($E230&lt;&gt;0,$F230&gt;0,YEAR($F230)&gt;=Preisindex!$A$6,YEAR(AE$4)&gt;=YEAR($F230),AND($K230&lt;&gt;"a",$K230&lt;&gt;"b",$K230&lt;&gt;"g",$K230&lt;&gt;"k")),1,IF(AND($E230&lt;&gt;0,$F230&gt;0,YEAR($F230)&gt;=Preisindex!$A$6,YEAR(AE$4)&gt;=YEAR($F230),$K230="a"),ROUND(VLOOKUP(AJ$4,Preisindex,5,FALSE)/VLOOKUP(YEAR($F230),Preisindex,5,FALSE),2),IF(AND($E230&lt;&gt;0,$F230&gt;0,YEAR($F230)&gt;=Preisindex!$A$6,YEAR(AE$4)&gt;=YEAR($F230),$K230="b"),ROUND(VLOOKUP(AJ$4,Preisindex,3,FALSE)/VLOOKUP(YEAR($F230),Preisindex,3,FALSE),2),IF(AND($E230&lt;&gt;0,$F230&gt;0,YEAR($F230)&gt;=Preisindex!$A$6,YEAR(AE$4)&gt;=YEAR($F230),$K230="g"),ROUND(VLOOKUP(AJ$4,Preisindex,4,FALSE)/VLOOKUP(YEAR($F230),Preisindex,4,FALSE),2),IF(AND($E230&lt;&gt;0,$F230&gt;0,YEAR($F230)&gt;=Preisindex!$A$6,YEAR(AE$4)&gt;=YEAR($F230),$K230="k"),ROUND(VLOOKUP(AJ$4,Preisindex,2,FALSE)/VLOOKUP(YEAR($F230),Preisindex,2,FALSE),2),0)))))</f>
        <v>0</v>
      </c>
      <c r="AK230" s="56">
        <f>IF(AND($E230&lt;&gt;0,$F230&gt;0,YEAR($F230)&lt;Preisindex!$A$6,YEAR(AE$4)&gt;=YEAR($F230),AND($K230&lt;&gt;"a",$K230&lt;&gt;"b",$K230&lt;&gt;"g",$K230&lt;&gt;"k")),1,IF(AND($E230&lt;&gt;0,$F230&gt;0,YEAR($F230)&lt;Preisindex!$A$6,YEAR(AE$4)&gt;=YEAR($F230),$K230="a"),ROUND(VLOOKUP(AJ$4,Preisindex,5,FALSE)/VLOOKUP(Preisindex!$A$6,Preisindex,5,FALSE),2),IF(AND($E230&lt;&gt;0,$F230&gt;0,YEAR($F230)&lt;Preisindex!$A$6,YEAR(AE$4)&gt;=YEAR($F230),$K230="b"),ROUND(VLOOKUP(AJ$4,Preisindex,3,FALSE)/VLOOKUP(Preisindex!$A$6,Preisindex,3,FALSE),2),IF(AND($E230&lt;&gt;0,$F230&gt;0,YEAR($F230)&lt;Preisindex!$A$6,YEAR(AE$4)&gt;=YEAR($F230),$K230="g"),ROUND(VLOOKUP(AJ$4,Preisindex,4,FALSE)/VLOOKUP(Preisindex!$A$6,Preisindex,4,FALSE),2),IF(AND($E230&lt;&gt;0,$F230&gt;0,YEAR($F230)&lt;Preisindex!$A$6,YEAR(AE$4)&gt;=YEAR($F230),$K230="k"),ROUND(VLOOKUP(AJ$4,Preisindex,2,FALSE)/VLOOKUP(Preisindex!$A$6,Preisindex,2,FALSE),2),0)))))</f>
        <v>0</v>
      </c>
      <c r="AL230" s="51">
        <f>IF(AND($E230&lt;&gt;0,$F230&gt;0,YEAR($F230)&lt;=AJ$4,YEAR($F230)&gt;=Preisindex!$A$6),ROUND($E230*AJ230,2),IF(AND($E230&lt;&gt;0,$F230&gt;0,YEAR($F230)&lt;=AJ$4,YEAR($F230)&lt;Preisindex!$A$6),ROUND($E230*AK230,2),0))</f>
        <v>0</v>
      </c>
      <c r="AM230" s="53">
        <f t="shared" si="707"/>
        <v>0</v>
      </c>
      <c r="AN230" s="51">
        <f t="shared" si="750"/>
        <v>0</v>
      </c>
      <c r="AO230" s="51">
        <f t="shared" si="710"/>
        <v>0</v>
      </c>
      <c r="AP230" s="51">
        <f t="shared" si="624"/>
        <v>0</v>
      </c>
      <c r="AQ230" s="51">
        <f t="shared" si="711"/>
        <v>0</v>
      </c>
      <c r="AR230" s="51">
        <f t="shared" si="625"/>
        <v>0</v>
      </c>
      <c r="AS230" s="51">
        <f t="shared" si="712"/>
        <v>0</v>
      </c>
      <c r="AT230" s="51">
        <f t="shared" si="626"/>
        <v>0</v>
      </c>
      <c r="AU230" s="51">
        <f t="shared" si="713"/>
        <v>0</v>
      </c>
      <c r="AV230" s="51">
        <f t="shared" si="627"/>
        <v>0</v>
      </c>
      <c r="AW230" s="51">
        <f t="shared" si="714"/>
        <v>0</v>
      </c>
      <c r="AX230" s="51">
        <f t="shared" si="628"/>
        <v>0</v>
      </c>
      <c r="AY230" s="54">
        <f t="shared" si="629"/>
        <v>0</v>
      </c>
      <c r="AZ230" s="55">
        <f t="shared" si="630"/>
        <v>0</v>
      </c>
      <c r="BA230" s="56">
        <f>IF(AND($E230&lt;&gt;0,$F230&gt;0,YEAR($F230)&gt;=Preisindex!$A$6,YEAR(AV$4)&gt;=YEAR($F230),AND($K230&lt;&gt;"a",$K230&lt;&gt;"b",$K230&lt;&gt;"g",$K230&lt;&gt;"k")),1,IF(AND($E230&lt;&gt;0,$F230&gt;0,YEAR($F230)&gt;=Preisindex!$A$6,YEAR(AV$4)&gt;=YEAR($F230),$K230="a"),ROUND(VLOOKUP(BA$4,Preisindex,5,FALSE)/VLOOKUP(YEAR($F230),Preisindex,5,FALSE),2),IF(AND($E230&lt;&gt;0,$F230&gt;0,YEAR($F230)&gt;=Preisindex!$A$6,YEAR(AV$4)&gt;=YEAR($F230),$K230="b"),ROUND(VLOOKUP(BA$4,Preisindex,3,FALSE)/VLOOKUP(YEAR($F230),Preisindex,3,FALSE),2),IF(AND($E230&lt;&gt;0,$F230&gt;0,YEAR($F230)&gt;=Preisindex!$A$6,YEAR(AV$4)&gt;=YEAR($F230),$K230="g"),ROUND(VLOOKUP(BA$4,Preisindex,4,FALSE)/VLOOKUP(YEAR($F230),Preisindex,4,FALSE),2),IF(AND($E230&lt;&gt;0,$F230&gt;0,YEAR($F230)&gt;=Preisindex!$A$6,YEAR(AV$4)&gt;=YEAR($F230),$K230="k"),ROUND(VLOOKUP(BA$4,Preisindex,2,FALSE)/VLOOKUP(YEAR($F230),Preisindex,2,FALSE),2),0)))))</f>
        <v>0</v>
      </c>
      <c r="BB230" s="56">
        <f>IF(AND($E230&lt;&gt;0,$F230&gt;0,YEAR($F230)&lt;Preisindex!$A$6,YEAR(AV$4)&gt;=YEAR($F230),AND($K230&lt;&gt;"a",$K230&lt;&gt;"b",$K230&lt;&gt;"g",$K230&lt;&gt;"k")),1,IF(AND($E230&lt;&gt;0,$F230&gt;0,YEAR($F230)&lt;Preisindex!$A$6,YEAR(AV$4)&gt;=YEAR($F230),$K230="a"),ROUND(VLOOKUP(BA$4,Preisindex,5,FALSE)/VLOOKUP(Preisindex!$A$6,Preisindex,5,FALSE),2),IF(AND($E230&lt;&gt;0,$F230&gt;0,YEAR($F230)&lt;Preisindex!$A$6,YEAR(AV$4)&gt;=YEAR($F230),$K230="b"),ROUND(VLOOKUP(BA$4,Preisindex,3,FALSE)/VLOOKUP(Preisindex!$A$6,Preisindex,3,FALSE),2),IF(AND($E230&lt;&gt;0,$F230&gt;0,YEAR($F230)&lt;Preisindex!$A$6,YEAR(AV$4)&gt;=YEAR($F230),$K230="g"),ROUND(VLOOKUP(BA$4,Preisindex,4,FALSE)/VLOOKUP(Preisindex!$A$6,Preisindex,4,FALSE),2),IF(AND($E230&lt;&gt;0,$F230&gt;0,YEAR($F230)&lt;Preisindex!$A$6,YEAR(AV$4)&gt;=YEAR($F230),$K230="k"),ROUND(VLOOKUP(BA$4,Preisindex,2,FALSE)/VLOOKUP(Preisindex!$A$6,Preisindex,2,FALSE),2),0)))))</f>
        <v>0</v>
      </c>
      <c r="BC230" s="51">
        <f>IF(AND($E230&lt;&gt;0,$F230&gt;0,YEAR($F230)&lt;=BA$4,YEAR($F230)&gt;=Preisindex!$A$6),ROUND($E230*BA230,2),IF(AND($E230&lt;&gt;0,$F230&gt;0,YEAR($F230)&lt;=BA$4,YEAR($F230)&lt;Preisindex!$A$6),ROUND($E230*BB230,2),0))</f>
        <v>0</v>
      </c>
      <c r="BD230" s="53">
        <f t="shared" si="631"/>
        <v>0</v>
      </c>
      <c r="BE230" s="51">
        <f t="shared" si="750"/>
        <v>0</v>
      </c>
      <c r="BF230" s="51">
        <f t="shared" si="715"/>
        <v>0</v>
      </c>
      <c r="BG230" s="51">
        <f t="shared" si="632"/>
        <v>0</v>
      </c>
      <c r="BH230" s="51">
        <f t="shared" si="716"/>
        <v>0</v>
      </c>
      <c r="BI230" s="51">
        <f t="shared" si="633"/>
        <v>0</v>
      </c>
      <c r="BJ230" s="51">
        <f t="shared" si="717"/>
        <v>0</v>
      </c>
      <c r="BK230" s="51">
        <f t="shared" si="634"/>
        <v>0</v>
      </c>
      <c r="BL230" s="51">
        <f t="shared" si="718"/>
        <v>0</v>
      </c>
      <c r="BM230" s="51">
        <f t="shared" si="635"/>
        <v>0</v>
      </c>
      <c r="BN230" s="51">
        <f t="shared" si="719"/>
        <v>0</v>
      </c>
      <c r="BO230" s="51">
        <f t="shared" si="636"/>
        <v>0</v>
      </c>
      <c r="BP230" s="54">
        <f t="shared" si="637"/>
        <v>0</v>
      </c>
      <c r="BQ230" s="55">
        <f t="shared" si="638"/>
        <v>0</v>
      </c>
      <c r="BR230" s="56">
        <f>IF(AND($E230&lt;&gt;0,$F230&gt;0,YEAR($F230)&gt;=Preisindex!$A$6,YEAR(BM$4)&gt;=YEAR($F230),AND($K230&lt;&gt;"a",$K230&lt;&gt;"b",$K230&lt;&gt;"g",$K230&lt;&gt;"k")),1,IF(AND($E230&lt;&gt;0,$F230&gt;0,YEAR($F230)&gt;=Preisindex!$A$6,YEAR(BM$4)&gt;=YEAR($F230),$K230="a"),ROUND(VLOOKUP(BR$4,Preisindex,5,FALSE)/VLOOKUP(YEAR($F230),Preisindex,5,FALSE),2),IF(AND($E230&lt;&gt;0,$F230&gt;0,YEAR($F230)&gt;=Preisindex!$A$6,YEAR(BM$4)&gt;=YEAR($F230),$K230="b"),ROUND(VLOOKUP(BR$4,Preisindex,3,FALSE)/VLOOKUP(YEAR($F230),Preisindex,3,FALSE),2),IF(AND($E230&lt;&gt;0,$F230&gt;0,YEAR($F230)&gt;=Preisindex!$A$6,YEAR(BM$4)&gt;=YEAR($F230),$K230="g"),ROUND(VLOOKUP(BR$4,Preisindex,4,FALSE)/VLOOKUP(YEAR($F230),Preisindex,4,FALSE),2),IF(AND($E230&lt;&gt;0,$F230&gt;0,YEAR($F230)&gt;=Preisindex!$A$6,YEAR(BM$4)&gt;=YEAR($F230),$K230="k"),ROUND(VLOOKUP(BR$4,Preisindex,2,FALSE)/VLOOKUP(YEAR($F230),Preisindex,2,FALSE),2),0)))))</f>
        <v>0</v>
      </c>
      <c r="BS230" s="56">
        <f>IF(AND($E230&lt;&gt;0,$F230&gt;0,YEAR($F230)&lt;Preisindex!$A$6,YEAR(BM$4)&gt;=YEAR($F230),AND($K230&lt;&gt;"a",$K230&lt;&gt;"b",$K230&lt;&gt;"g",$K230&lt;&gt;"k")),1,IF(AND($E230&lt;&gt;0,$F230&gt;0,YEAR($F230)&lt;Preisindex!$A$6,YEAR(BM$4)&gt;=YEAR($F230),$K230="a"),ROUND(VLOOKUP(BR$4,Preisindex,5,FALSE)/VLOOKUP(Preisindex!$A$6,Preisindex,5,FALSE),2),IF(AND($E230&lt;&gt;0,$F230&gt;0,YEAR($F230)&lt;Preisindex!$A$6,YEAR(BM$4)&gt;=YEAR($F230),$K230="b"),ROUND(VLOOKUP(BR$4,Preisindex,3,FALSE)/VLOOKUP(Preisindex!$A$6,Preisindex,3,FALSE),2),IF(AND($E230&lt;&gt;0,$F230&gt;0,YEAR($F230)&lt;Preisindex!$A$6,YEAR(BM$4)&gt;=YEAR($F230),$K230="g"),ROUND(VLOOKUP(BR$4,Preisindex,4,FALSE)/VLOOKUP(Preisindex!$A$6,Preisindex,4,FALSE),2),IF(AND($E230&lt;&gt;0,$F230&gt;0,YEAR($F230)&lt;Preisindex!$A$6,YEAR(BM$4)&gt;=YEAR($F230),$K230="k"),ROUND(VLOOKUP(BR$4,Preisindex,2,FALSE)/VLOOKUP(Preisindex!$A$6,Preisindex,2,FALSE),2),0)))))</f>
        <v>0</v>
      </c>
      <c r="BT230" s="51">
        <f>IF(AND($E230&lt;&gt;0,$F230&gt;0,YEAR($F230)&lt;=BR$4,YEAR($F230)&gt;=Preisindex!$A$6),ROUND($E230*BR230,2),IF(AND($E230&lt;&gt;0,$F230&gt;0,YEAR($F230)&lt;=BR$4,YEAR($F230)&lt;Preisindex!$A$6),ROUND($E230*BS230,2),0))</f>
        <v>0</v>
      </c>
      <c r="BU230" s="53">
        <f t="shared" si="639"/>
        <v>0</v>
      </c>
      <c r="BV230" s="51">
        <f t="shared" si="750"/>
        <v>0</v>
      </c>
      <c r="BW230" s="51">
        <f t="shared" si="720"/>
        <v>0</v>
      </c>
      <c r="BX230" s="51">
        <f t="shared" si="640"/>
        <v>0</v>
      </c>
      <c r="BY230" s="51">
        <f t="shared" si="721"/>
        <v>0</v>
      </c>
      <c r="BZ230" s="51">
        <f t="shared" si="641"/>
        <v>0</v>
      </c>
      <c r="CA230" s="51">
        <f t="shared" si="722"/>
        <v>0</v>
      </c>
      <c r="CB230" s="51">
        <f t="shared" si="642"/>
        <v>0</v>
      </c>
      <c r="CC230" s="51">
        <f t="shared" si="723"/>
        <v>0</v>
      </c>
      <c r="CD230" s="51">
        <f t="shared" si="643"/>
        <v>0</v>
      </c>
      <c r="CE230" s="51">
        <f t="shared" si="724"/>
        <v>0</v>
      </c>
      <c r="CF230" s="51">
        <f t="shared" si="644"/>
        <v>0</v>
      </c>
      <c r="CG230" s="54">
        <f t="shared" si="645"/>
        <v>0</v>
      </c>
      <c r="CH230" s="55">
        <f t="shared" si="646"/>
        <v>0</v>
      </c>
      <c r="CI230" s="56">
        <f>IF(AND($E230&lt;&gt;0,$F230&gt;0,YEAR($F230)&gt;=Preisindex!$A$6,YEAR(CD$4)&gt;=YEAR($F230),AND($K230&lt;&gt;"a",$K230&lt;&gt;"b",$K230&lt;&gt;"g",$K230&lt;&gt;"k")),1,IF(AND($E230&lt;&gt;0,$F230&gt;0,YEAR($F230)&gt;=Preisindex!$A$6,YEAR(CD$4)&gt;=YEAR($F230),$K230="a"),ROUND(VLOOKUP(CI$4,Preisindex,5,FALSE)/VLOOKUP(YEAR($F230),Preisindex,5,FALSE),2),IF(AND($E230&lt;&gt;0,$F230&gt;0,YEAR($F230)&gt;=Preisindex!$A$6,YEAR(CD$4)&gt;=YEAR($F230),$K230="b"),ROUND(VLOOKUP(CI$4,Preisindex,3,FALSE)/VLOOKUP(YEAR($F230),Preisindex,3,FALSE),2),IF(AND($E230&lt;&gt;0,$F230&gt;0,YEAR($F230)&gt;=Preisindex!$A$6,YEAR(CD$4)&gt;=YEAR($F230),$K230="g"),ROUND(VLOOKUP(CI$4,Preisindex,4,FALSE)/VLOOKUP(YEAR($F230),Preisindex,4,FALSE),2),IF(AND($E230&lt;&gt;0,$F230&gt;0,YEAR($F230)&gt;=Preisindex!$A$6,YEAR(CD$4)&gt;=YEAR($F230),$K230="k"),ROUND(VLOOKUP(CI$4,Preisindex,2,FALSE)/VLOOKUP(YEAR($F230),Preisindex,2,FALSE),2),0)))))</f>
        <v>0</v>
      </c>
      <c r="CJ230" s="56">
        <f>IF(AND($E230&lt;&gt;0,$F230&gt;0,YEAR($F230)&lt;Preisindex!$A$6,YEAR(CD$4)&gt;=YEAR($F230),AND($K230&lt;&gt;"a",$K230&lt;&gt;"b",$K230&lt;&gt;"g",$K230&lt;&gt;"k")),1,IF(AND($E230&lt;&gt;0,$F230&gt;0,YEAR($F230)&lt;Preisindex!$A$6,YEAR(CD$4)&gt;=YEAR($F230),$K230="a"),ROUND(VLOOKUP(CI$4,Preisindex,5,FALSE)/VLOOKUP(Preisindex!$A$6,Preisindex,5,FALSE),2),IF(AND($E230&lt;&gt;0,$F230&gt;0,YEAR($F230)&lt;Preisindex!$A$6,YEAR(CD$4)&gt;=YEAR($F230),$K230="b"),ROUND(VLOOKUP(CI$4,Preisindex,3,FALSE)/VLOOKUP(Preisindex!$A$6,Preisindex,3,FALSE),2),IF(AND($E230&lt;&gt;0,$F230&gt;0,YEAR($F230)&lt;Preisindex!$A$6,YEAR(CD$4)&gt;=YEAR($F230),$K230="g"),ROUND(VLOOKUP(CI$4,Preisindex,4,FALSE)/VLOOKUP(Preisindex!$A$6,Preisindex,4,FALSE),2),IF(AND($E230&lt;&gt;0,$F230&gt;0,YEAR($F230)&lt;Preisindex!$A$6,YEAR(CD$4)&gt;=YEAR($F230),$K230="k"),ROUND(VLOOKUP(CI$4,Preisindex,2,FALSE)/VLOOKUP(Preisindex!$A$6,Preisindex,2,FALSE),2),0)))))</f>
        <v>0</v>
      </c>
      <c r="CK230" s="51">
        <f>IF(AND($E230&lt;&gt;0,$F230&gt;0,YEAR($F230)&lt;=CI$4,YEAR($F230)&gt;=Preisindex!$A$6),ROUND($E230*CI230,2),IF(AND($E230&lt;&gt;0,$F230&gt;0,YEAR($F230)&lt;=CI$4,YEAR($F230)&lt;Preisindex!$A$6),ROUND($E230*CJ230,2),0))</f>
        <v>0</v>
      </c>
      <c r="CL230" s="53">
        <f t="shared" si="647"/>
        <v>0</v>
      </c>
      <c r="CM230" s="51">
        <f t="shared" si="750"/>
        <v>0</v>
      </c>
      <c r="CN230" s="51">
        <f t="shared" si="725"/>
        <v>0</v>
      </c>
      <c r="CO230" s="51">
        <f t="shared" si="648"/>
        <v>0</v>
      </c>
      <c r="CP230" s="51">
        <f t="shared" si="726"/>
        <v>0</v>
      </c>
      <c r="CQ230" s="51">
        <f t="shared" si="649"/>
        <v>0</v>
      </c>
      <c r="CR230" s="51">
        <f t="shared" si="727"/>
        <v>0</v>
      </c>
      <c r="CS230" s="51">
        <f t="shared" si="650"/>
        <v>0</v>
      </c>
      <c r="CT230" s="51">
        <f t="shared" si="728"/>
        <v>0</v>
      </c>
      <c r="CU230" s="51">
        <f t="shared" si="651"/>
        <v>0</v>
      </c>
      <c r="CV230" s="51">
        <f t="shared" si="729"/>
        <v>0</v>
      </c>
      <c r="CW230" s="51">
        <f t="shared" si="652"/>
        <v>0</v>
      </c>
      <c r="CX230" s="54">
        <f t="shared" si="653"/>
        <v>0</v>
      </c>
      <c r="CY230" s="55">
        <f t="shared" si="654"/>
        <v>0</v>
      </c>
      <c r="CZ230" s="56">
        <f>IF(AND($E230&lt;&gt;0,$F230&gt;0,YEAR($F230)&gt;=Preisindex!$A$6,YEAR(CU$4)&gt;=YEAR($F230),AND($K230&lt;&gt;"a",$K230&lt;&gt;"b",$K230&lt;&gt;"g",$K230&lt;&gt;"k")),1,IF(AND($E230&lt;&gt;0,$F230&gt;0,YEAR($F230)&gt;=Preisindex!$A$6,YEAR(CU$4)&gt;=YEAR($F230),$K230="a"),ROUND(VLOOKUP(CZ$4,Preisindex,5,FALSE)/VLOOKUP(YEAR($F230),Preisindex,5,FALSE),2),IF(AND($E230&lt;&gt;0,$F230&gt;0,YEAR($F230)&gt;=Preisindex!$A$6,YEAR(CU$4)&gt;=YEAR($F230),$K230="b"),ROUND(VLOOKUP(CZ$4,Preisindex,3,FALSE)/VLOOKUP(YEAR($F230),Preisindex,3,FALSE),2),IF(AND($E230&lt;&gt;0,$F230&gt;0,YEAR($F230)&gt;=Preisindex!$A$6,YEAR(CU$4)&gt;=YEAR($F230),$K230="g"),ROUND(VLOOKUP(CZ$4,Preisindex,4,FALSE)/VLOOKUP(YEAR($F230),Preisindex,4,FALSE),2),IF(AND($E230&lt;&gt;0,$F230&gt;0,YEAR($F230)&gt;=Preisindex!$A$6,YEAR(CU$4)&gt;=YEAR($F230),$K230="k"),ROUND(VLOOKUP(CZ$4,Preisindex,2,FALSE)/VLOOKUP(YEAR($F230),Preisindex,2,FALSE),2),0)))))</f>
        <v>0</v>
      </c>
      <c r="DA230" s="56">
        <f>IF(AND($E230&lt;&gt;0,$F230&gt;0,YEAR($F230)&lt;Preisindex!$A$6,YEAR(CU$4)&gt;=YEAR($F230),AND($K230&lt;&gt;"a",$K230&lt;&gt;"b",$K230&lt;&gt;"g",$K230&lt;&gt;"k")),1,IF(AND($E230&lt;&gt;0,$F230&gt;0,YEAR($F230)&lt;Preisindex!$A$6,YEAR(CU$4)&gt;=YEAR($F230),$K230="a"),ROUND(VLOOKUP(CZ$4,Preisindex,5,FALSE)/VLOOKUP(Preisindex!$A$6,Preisindex,5,FALSE),2),IF(AND($E230&lt;&gt;0,$F230&gt;0,YEAR($F230)&lt;Preisindex!$A$6,YEAR(CU$4)&gt;=YEAR($F230),$K230="b"),ROUND(VLOOKUP(CZ$4,Preisindex,3,FALSE)/VLOOKUP(Preisindex!$A$6,Preisindex,3,FALSE),2),IF(AND($E230&lt;&gt;0,$F230&gt;0,YEAR($F230)&lt;Preisindex!$A$6,YEAR(CU$4)&gt;=YEAR($F230),$K230="g"),ROUND(VLOOKUP(CZ$4,Preisindex,4,FALSE)/VLOOKUP(Preisindex!$A$6,Preisindex,4,FALSE),2),IF(AND($E230&lt;&gt;0,$F230&gt;0,YEAR($F230)&lt;Preisindex!$A$6,YEAR(CU$4)&gt;=YEAR($F230),$K230="k"),ROUND(VLOOKUP(CZ$4,Preisindex,2,FALSE)/VLOOKUP(Preisindex!$A$6,Preisindex,2,FALSE),2),0)))))</f>
        <v>0</v>
      </c>
      <c r="DB230" s="51">
        <f>IF(AND($E230&lt;&gt;0,$F230&gt;0,YEAR($F230)&lt;=CZ$4,YEAR($F230)&gt;=Preisindex!$A$6),ROUND($E230*CZ230,2),IF(AND($E230&lt;&gt;0,$F230&gt;0,YEAR($F230)&lt;=CZ$4,YEAR($F230)&lt;Preisindex!$A$6),ROUND($E230*DA230,2),0))</f>
        <v>0</v>
      </c>
      <c r="DC230" s="53">
        <f t="shared" si="655"/>
        <v>0</v>
      </c>
      <c r="DD230" s="51">
        <f t="shared" si="751"/>
        <v>0</v>
      </c>
      <c r="DE230" s="51">
        <f t="shared" si="730"/>
        <v>0</v>
      </c>
      <c r="DF230" s="51">
        <f t="shared" si="657"/>
        <v>0</v>
      </c>
      <c r="DG230" s="51">
        <f t="shared" si="731"/>
        <v>0</v>
      </c>
      <c r="DH230" s="51">
        <f t="shared" si="658"/>
        <v>0</v>
      </c>
      <c r="DI230" s="51">
        <f t="shared" si="732"/>
        <v>0</v>
      </c>
      <c r="DJ230" s="51">
        <f t="shared" si="659"/>
        <v>0</v>
      </c>
      <c r="DK230" s="51">
        <f t="shared" si="733"/>
        <v>0</v>
      </c>
      <c r="DL230" s="51">
        <f t="shared" si="660"/>
        <v>0</v>
      </c>
      <c r="DM230" s="51">
        <f t="shared" si="734"/>
        <v>0</v>
      </c>
      <c r="DN230" s="51">
        <f t="shared" si="661"/>
        <v>0</v>
      </c>
      <c r="DO230" s="54">
        <f t="shared" si="662"/>
        <v>0</v>
      </c>
      <c r="DP230" s="55">
        <f t="shared" si="663"/>
        <v>0</v>
      </c>
      <c r="DQ230" s="56">
        <f>IF(AND($E230&lt;&gt;0,$F230&gt;0,YEAR($F230)&gt;=Preisindex!$A$6,YEAR(DL$4)&gt;=YEAR($F230),AND($K230&lt;&gt;"a",$K230&lt;&gt;"b",$K230&lt;&gt;"g",$K230&lt;&gt;"k")),1,IF(AND($E230&lt;&gt;0,$F230&gt;0,YEAR($F230)&gt;=Preisindex!$A$6,YEAR(DL$4)&gt;=YEAR($F230),$K230="a"),ROUND(VLOOKUP(DQ$4,Preisindex,5,FALSE)/VLOOKUP(YEAR($F230),Preisindex,5,FALSE),2),IF(AND($E230&lt;&gt;0,$F230&gt;0,YEAR($F230)&gt;=Preisindex!$A$6,YEAR(DL$4)&gt;=YEAR($F230),$K230="b"),ROUND(VLOOKUP(DQ$4,Preisindex,3,FALSE)/VLOOKUP(YEAR($F230),Preisindex,3,FALSE),2),IF(AND($E230&lt;&gt;0,$F230&gt;0,YEAR($F230)&gt;=Preisindex!$A$6,YEAR(DL$4)&gt;=YEAR($F230),$K230="g"),ROUND(VLOOKUP(DQ$4,Preisindex,4,FALSE)/VLOOKUP(YEAR($F230),Preisindex,4,FALSE),2),IF(AND($E230&lt;&gt;0,$F230&gt;0,YEAR($F230)&gt;=Preisindex!$A$6,YEAR(DL$4)&gt;=YEAR($F230),$K230="k"),ROUND(VLOOKUP(DQ$4,Preisindex,2,FALSE)/VLOOKUP(YEAR($F230),Preisindex,2,FALSE),2),0)))))</f>
        <v>0</v>
      </c>
      <c r="DR230" s="56">
        <f>IF(AND($E230&lt;&gt;0,$F230&gt;0,YEAR($F230)&lt;Preisindex!$A$6,YEAR(DL$4)&gt;=YEAR($F230),AND($K230&lt;&gt;"a",$K230&lt;&gt;"b",$K230&lt;&gt;"g",$K230&lt;&gt;"k")),1,IF(AND($E230&lt;&gt;0,$F230&gt;0,YEAR($F230)&lt;Preisindex!$A$6,YEAR(DL$4)&gt;=YEAR($F230),$K230="a"),ROUND(VLOOKUP(DQ$4,Preisindex,5,FALSE)/VLOOKUP(Preisindex!$A$6,Preisindex,5,FALSE),2),IF(AND($E230&lt;&gt;0,$F230&gt;0,YEAR($F230)&lt;Preisindex!$A$6,YEAR(DL$4)&gt;=YEAR($F230),$K230="b"),ROUND(VLOOKUP(DQ$4,Preisindex,3,FALSE)/VLOOKUP(Preisindex!$A$6,Preisindex,3,FALSE),2),IF(AND($E230&lt;&gt;0,$F230&gt;0,YEAR($F230)&lt;Preisindex!$A$6,YEAR(DL$4)&gt;=YEAR($F230),$K230="g"),ROUND(VLOOKUP(DQ$4,Preisindex,4,FALSE)/VLOOKUP(Preisindex!$A$6,Preisindex,4,FALSE),2),IF(AND($E230&lt;&gt;0,$F230&gt;0,YEAR($F230)&lt;Preisindex!$A$6,YEAR(DL$4)&gt;=YEAR($F230),$K230="k"),ROUND(VLOOKUP(DQ$4,Preisindex,2,FALSE)/VLOOKUP(Preisindex!$A$6,Preisindex,2,FALSE),2),0)))))</f>
        <v>0</v>
      </c>
      <c r="DS230" s="51">
        <f>IF(AND($E230&lt;&gt;0,$F230&gt;0,YEAR($F230)&lt;=DQ$4,YEAR($F230)&gt;=Preisindex!$A$6),ROUND($E230*DQ230,2),IF(AND($E230&lt;&gt;0,$F230&gt;0,YEAR($F230)&lt;=DQ$4,YEAR($F230)&lt;Preisindex!$A$6),ROUND($E230*DR230,2),0))</f>
        <v>0</v>
      </c>
      <c r="DT230" s="53">
        <f t="shared" si="664"/>
        <v>0</v>
      </c>
      <c r="DU230" s="51">
        <f t="shared" si="751"/>
        <v>0</v>
      </c>
      <c r="DV230" s="51">
        <f t="shared" si="735"/>
        <v>0</v>
      </c>
      <c r="DW230" s="51">
        <f t="shared" si="665"/>
        <v>0</v>
      </c>
      <c r="DX230" s="51">
        <f t="shared" si="736"/>
        <v>0</v>
      </c>
      <c r="DY230" s="51">
        <f t="shared" si="666"/>
        <v>0</v>
      </c>
      <c r="DZ230" s="51">
        <f t="shared" si="737"/>
        <v>0</v>
      </c>
      <c r="EA230" s="51">
        <f t="shared" si="667"/>
        <v>0</v>
      </c>
      <c r="EB230" s="51">
        <f t="shared" si="738"/>
        <v>0</v>
      </c>
      <c r="EC230" s="51">
        <f t="shared" si="668"/>
        <v>0</v>
      </c>
      <c r="ED230" s="51">
        <f t="shared" si="739"/>
        <v>0</v>
      </c>
      <c r="EE230" s="51">
        <f t="shared" si="669"/>
        <v>0</v>
      </c>
      <c r="EF230" s="54">
        <f t="shared" si="670"/>
        <v>0</v>
      </c>
      <c r="EG230" s="55">
        <f t="shared" si="671"/>
        <v>0</v>
      </c>
      <c r="EH230" s="56">
        <f>IF(AND($E230&lt;&gt;0,$F230&gt;0,YEAR($F230)&gt;=Preisindex!$A$6,YEAR(EC$4)&gt;=YEAR($F230),AND($K230&lt;&gt;"a",$K230&lt;&gt;"b",$K230&lt;&gt;"g",$K230&lt;&gt;"k")),1,IF(AND($E230&lt;&gt;0,$F230&gt;0,YEAR($F230)&gt;=Preisindex!$A$6,YEAR(EC$4)&gt;=YEAR($F230),$K230="a"),ROUND(VLOOKUP(EH$4,Preisindex,5,FALSE)/VLOOKUP(YEAR($F230),Preisindex,5,FALSE),2),IF(AND($E230&lt;&gt;0,$F230&gt;0,YEAR($F230)&gt;=Preisindex!$A$6,YEAR(EC$4)&gt;=YEAR($F230),$K230="b"),ROUND(VLOOKUP(EH$4,Preisindex,3,FALSE)/VLOOKUP(YEAR($F230),Preisindex,3,FALSE),2),IF(AND($E230&lt;&gt;0,$F230&gt;0,YEAR($F230)&gt;=Preisindex!$A$6,YEAR(EC$4)&gt;=YEAR($F230),$K230="g"),ROUND(VLOOKUP(EH$4,Preisindex,4,FALSE)/VLOOKUP(YEAR($F230),Preisindex,4,FALSE),2),IF(AND($E230&lt;&gt;0,$F230&gt;0,YEAR($F230)&gt;=Preisindex!$A$6,YEAR(EC$4)&gt;=YEAR($F230),$K230="k"),ROUND(VLOOKUP(EH$4,Preisindex,2,FALSE)/VLOOKUP(YEAR($F230),Preisindex,2,FALSE),2),0)))))</f>
        <v>0</v>
      </c>
      <c r="EI230" s="56">
        <f>IF(AND($E230&lt;&gt;0,$F230&gt;0,YEAR($F230)&lt;Preisindex!$A$6,YEAR(EC$4)&gt;=YEAR($F230),AND($K230&lt;&gt;"a",$K230&lt;&gt;"b",$K230&lt;&gt;"g",$K230&lt;&gt;"k")),1,IF(AND($E230&lt;&gt;0,$F230&gt;0,YEAR($F230)&lt;Preisindex!$A$6,YEAR(EC$4)&gt;=YEAR($F230),$K230="a"),ROUND(VLOOKUP(EH$4,Preisindex,5,FALSE)/VLOOKUP(Preisindex!$A$6,Preisindex,5,FALSE),2),IF(AND($E230&lt;&gt;0,$F230&gt;0,YEAR($F230)&lt;Preisindex!$A$6,YEAR(EC$4)&gt;=YEAR($F230),$K230="b"),ROUND(VLOOKUP(EH$4,Preisindex,3,FALSE)/VLOOKUP(Preisindex!$A$6,Preisindex,3,FALSE),2),IF(AND($E230&lt;&gt;0,$F230&gt;0,YEAR($F230)&lt;Preisindex!$A$6,YEAR(EC$4)&gt;=YEAR($F230),$K230="g"),ROUND(VLOOKUP(EH$4,Preisindex,4,FALSE)/VLOOKUP(Preisindex!$A$6,Preisindex,4,FALSE),2),IF(AND($E230&lt;&gt;0,$F230&gt;0,YEAR($F230)&lt;Preisindex!$A$6,YEAR(EC$4)&gt;=YEAR($F230),$K230="k"),ROUND(VLOOKUP(EH$4,Preisindex,2,FALSE)/VLOOKUP(Preisindex!$A$6,Preisindex,2,FALSE),2),0)))))</f>
        <v>0</v>
      </c>
      <c r="EJ230" s="51">
        <f>IF(AND($E230&lt;&gt;0,$F230&gt;0,YEAR($F230)&lt;=EH$4,YEAR($F230)&gt;=Preisindex!$A$6),ROUND($E230*EH230,2),IF(AND($E230&lt;&gt;0,$F230&gt;0,YEAR($F230)&lt;=EH$4,YEAR($F230)&lt;Preisindex!$A$6),ROUND($E230*EI230,2),0))</f>
        <v>0</v>
      </c>
      <c r="EK230" s="53">
        <f t="shared" si="672"/>
        <v>0</v>
      </c>
      <c r="EL230" s="51">
        <f t="shared" si="751"/>
        <v>0</v>
      </c>
      <c r="EM230" s="51">
        <f t="shared" si="740"/>
        <v>0</v>
      </c>
      <c r="EN230" s="51">
        <f t="shared" si="673"/>
        <v>0</v>
      </c>
      <c r="EO230" s="51">
        <f t="shared" si="741"/>
        <v>0</v>
      </c>
      <c r="EP230" s="51">
        <f t="shared" si="674"/>
        <v>0</v>
      </c>
      <c r="EQ230" s="51">
        <f t="shared" si="742"/>
        <v>0</v>
      </c>
      <c r="ER230" s="51">
        <f t="shared" si="675"/>
        <v>0</v>
      </c>
      <c r="ES230" s="51">
        <f t="shared" si="743"/>
        <v>0</v>
      </c>
      <c r="ET230" s="51">
        <f t="shared" si="676"/>
        <v>0</v>
      </c>
      <c r="EU230" s="51">
        <f t="shared" si="744"/>
        <v>0</v>
      </c>
      <c r="EV230" s="51">
        <f t="shared" si="677"/>
        <v>0</v>
      </c>
      <c r="EW230" s="54">
        <f t="shared" si="678"/>
        <v>0</v>
      </c>
      <c r="EX230" s="55">
        <f t="shared" si="679"/>
        <v>0</v>
      </c>
      <c r="EY230" s="56">
        <f>IF(AND($E230&lt;&gt;0,$F230&gt;0,YEAR($F230)&gt;=Preisindex!$A$6,YEAR(ET$4)&gt;=YEAR($F230),AND($K230&lt;&gt;"a",$K230&lt;&gt;"b",$K230&lt;&gt;"g",$K230&lt;&gt;"k")),1,IF(AND($E230&lt;&gt;0,$F230&gt;0,YEAR($F230)&gt;=Preisindex!$A$6,YEAR(ET$4)&gt;=YEAR($F230),$K230="a"),ROUND(VLOOKUP(EY$4,Preisindex,5,FALSE)/VLOOKUP(YEAR($F230),Preisindex,5,FALSE),2),IF(AND($E230&lt;&gt;0,$F230&gt;0,YEAR($F230)&gt;=Preisindex!$A$6,YEAR(ET$4)&gt;=YEAR($F230),$K230="b"),ROUND(VLOOKUP(EY$4,Preisindex,3,FALSE)/VLOOKUP(YEAR($F230),Preisindex,3,FALSE),2),IF(AND($E230&lt;&gt;0,$F230&gt;0,YEAR($F230)&gt;=Preisindex!$A$6,YEAR(ET$4)&gt;=YEAR($F230),$K230="g"),ROUND(VLOOKUP(EY$4,Preisindex,4,FALSE)/VLOOKUP(YEAR($F230),Preisindex,4,FALSE),2),IF(AND($E230&lt;&gt;0,$F230&gt;0,YEAR($F230)&gt;=Preisindex!$A$6,YEAR(ET$4)&gt;=YEAR($F230),$K230="k"),ROUND(VLOOKUP(EY$4,Preisindex,2,FALSE)/VLOOKUP(YEAR($F230),Preisindex,2,FALSE),2),0)))))</f>
        <v>0</v>
      </c>
      <c r="EZ230" s="56">
        <f>IF(AND($E230&lt;&gt;0,$F230&gt;0,YEAR($F230)&lt;Preisindex!$A$6,YEAR(ET$4)&gt;=YEAR($F230),AND($K230&lt;&gt;"a",$K230&lt;&gt;"b",$K230&lt;&gt;"g",$K230&lt;&gt;"k")),1,IF(AND($E230&lt;&gt;0,$F230&gt;0,YEAR($F230)&lt;Preisindex!$A$6,YEAR(ET$4)&gt;=YEAR($F230),$K230="a"),ROUND(VLOOKUP(EY$4,Preisindex,5,FALSE)/VLOOKUP(Preisindex!$A$6,Preisindex,5,FALSE),2),IF(AND($E230&lt;&gt;0,$F230&gt;0,YEAR($F230)&lt;Preisindex!$A$6,YEAR(ET$4)&gt;=YEAR($F230),$K230="b"),ROUND(VLOOKUP(EY$4,Preisindex,3,FALSE)/VLOOKUP(Preisindex!$A$6,Preisindex,3,FALSE),2),IF(AND($E230&lt;&gt;0,$F230&gt;0,YEAR($F230)&lt;Preisindex!$A$6,YEAR(ET$4)&gt;=YEAR($F230),$K230="g"),ROUND(VLOOKUP(EY$4,Preisindex,4,FALSE)/VLOOKUP(Preisindex!$A$6,Preisindex,4,FALSE),2),IF(AND($E230&lt;&gt;0,$F230&gt;0,YEAR($F230)&lt;Preisindex!$A$6,YEAR(ET$4)&gt;=YEAR($F230),$K230="k"),ROUND(VLOOKUP(EY$4,Preisindex,2,FALSE)/VLOOKUP(Preisindex!$A$6,Preisindex,2,FALSE),2),0)))))</f>
        <v>0</v>
      </c>
      <c r="FA230" s="51">
        <f>IF(AND($E230&lt;&gt;0,$F230&gt;0,YEAR($F230)&lt;=EY$4,YEAR($F230)&gt;=Preisindex!$A$6),ROUND($E230*EY230,2),IF(AND($E230&lt;&gt;0,$F230&gt;0,YEAR($F230)&lt;=EY$4,YEAR($F230)&lt;Preisindex!$A$6),ROUND($E230*EZ230,2),0))</f>
        <v>0</v>
      </c>
      <c r="FB230" s="53">
        <f t="shared" si="680"/>
        <v>0</v>
      </c>
      <c r="FC230" s="51">
        <f t="shared" si="751"/>
        <v>0</v>
      </c>
      <c r="FD230" s="51">
        <f t="shared" si="745"/>
        <v>0</v>
      </c>
      <c r="FE230" s="51">
        <f t="shared" si="681"/>
        <v>0</v>
      </c>
      <c r="FF230" s="51">
        <f t="shared" si="746"/>
        <v>0</v>
      </c>
      <c r="FG230" s="51">
        <f t="shared" si="682"/>
        <v>0</v>
      </c>
      <c r="FH230" s="51">
        <f t="shared" si="747"/>
        <v>0</v>
      </c>
      <c r="FI230" s="51">
        <f t="shared" si="683"/>
        <v>0</v>
      </c>
      <c r="FJ230" s="51">
        <f t="shared" si="748"/>
        <v>0</v>
      </c>
      <c r="FK230" s="51">
        <f t="shared" si="684"/>
        <v>0</v>
      </c>
      <c r="FL230" s="51">
        <f t="shared" si="749"/>
        <v>0</v>
      </c>
      <c r="FM230" s="51">
        <f t="shared" si="685"/>
        <v>0</v>
      </c>
      <c r="FN230" s="54">
        <f t="shared" si="686"/>
        <v>0</v>
      </c>
      <c r="FO230" s="55">
        <f t="shared" si="687"/>
        <v>0</v>
      </c>
      <c r="FP230" s="56">
        <f>IF(AND($E230&lt;&gt;0,$F230&gt;0,YEAR($F230)&gt;=Preisindex!$A$6,YEAR(FK$4)&gt;=YEAR($F230),AND($K230&lt;&gt;"a",$K230&lt;&gt;"b",$K230&lt;&gt;"g",$K230&lt;&gt;"k")),1,IF(AND($E230&lt;&gt;0,$F230&gt;0,YEAR($F230)&gt;=Preisindex!$A$6,YEAR(FK$4)&gt;=YEAR($F230),$K230="a"),ROUND(VLOOKUP(FP$4,Preisindex,5,FALSE)/VLOOKUP(YEAR($F230),Preisindex,5,FALSE),2),IF(AND($E230&lt;&gt;0,$F230&gt;0,YEAR($F230)&gt;=Preisindex!$A$6,YEAR(FK$4)&gt;=YEAR($F230),$K230="b"),ROUND(VLOOKUP(FP$4,Preisindex,3,FALSE)/VLOOKUP(YEAR($F230),Preisindex,3,FALSE),2),IF(AND($E230&lt;&gt;0,$F230&gt;0,YEAR($F230)&gt;=Preisindex!$A$6,YEAR(FK$4)&gt;=YEAR($F230),$K230="g"),ROUND(VLOOKUP(FP$4,Preisindex,4,FALSE)/VLOOKUP(YEAR($F230),Preisindex,4,FALSE),2),IF(AND($E230&lt;&gt;0,$F230&gt;0,YEAR($F230)&gt;=Preisindex!$A$6,YEAR(FK$4)&gt;=YEAR($F230),$K230="k"),ROUND(VLOOKUP(FP$4,Preisindex,2,FALSE)/VLOOKUP(YEAR($F230),Preisindex,2,FALSE),2),0)))))</f>
        <v>0</v>
      </c>
      <c r="FQ230" s="56">
        <f>IF(AND($E230&lt;&gt;0,$F230&gt;0,YEAR($F230)&lt;Preisindex!$A$6,YEAR(FK$4)&gt;=YEAR($F230),AND($K230&lt;&gt;"a",$K230&lt;&gt;"b",$K230&lt;&gt;"g",$K230&lt;&gt;"k")),1,IF(AND($E230&lt;&gt;0,$F230&gt;0,YEAR($F230)&lt;Preisindex!$A$6,YEAR(FK$4)&gt;=YEAR($F230),$K230="a"),ROUND(VLOOKUP(FP$4,Preisindex,5,FALSE)/VLOOKUP(Preisindex!$A$6,Preisindex,5,FALSE),2),IF(AND($E230&lt;&gt;0,$F230&gt;0,YEAR($F230)&lt;Preisindex!$A$6,YEAR(FK$4)&gt;=YEAR($F230),$K230="b"),ROUND(VLOOKUP(FP$4,Preisindex,3,FALSE)/VLOOKUP(Preisindex!$A$6,Preisindex,3,FALSE),2),IF(AND($E230&lt;&gt;0,$F230&gt;0,YEAR($F230)&lt;Preisindex!$A$6,YEAR(FK$4)&gt;=YEAR($F230),$K230="g"),ROUND(VLOOKUP(FP$4,Preisindex,4,FALSE)/VLOOKUP(Preisindex!$A$6,Preisindex,4,FALSE),2),IF(AND($E230&lt;&gt;0,$F230&gt;0,YEAR($F230)&lt;Preisindex!$A$6,YEAR(FK$4)&gt;=YEAR($F230),$K230="k"),ROUND(VLOOKUP(FP$4,Preisindex,2,FALSE)/VLOOKUP(Preisindex!$A$6,Preisindex,2,FALSE),2),0)))))</f>
        <v>0</v>
      </c>
      <c r="FR230" s="51">
        <f>IF(AND($E230&lt;&gt;0,$F230&gt;0,YEAR($F230)&lt;=FP$4,YEAR($F230)&gt;=Preisindex!$A$6),ROUND($E230*FP230,2),IF(AND($E230&lt;&gt;0,$F230&gt;0,YEAR($F230)&lt;=FP$4,YEAR($F230)&lt;Preisindex!$A$6),ROUND($E230*FQ230,2),0))</f>
        <v>0</v>
      </c>
      <c r="FS230" s="53">
        <f t="shared" si="688"/>
        <v>0</v>
      </c>
    </row>
    <row r="231" spans="1:175" x14ac:dyDescent="0.3">
      <c r="A231" s="93"/>
      <c r="B231" s="94"/>
      <c r="C231" s="94"/>
      <c r="D231" s="188"/>
      <c r="E231" s="624"/>
      <c r="F231" s="190"/>
      <c r="G231" s="625"/>
      <c r="H231" s="192"/>
      <c r="I231" s="621"/>
      <c r="J231" s="103"/>
      <c r="K231" s="630"/>
      <c r="L231" s="49">
        <f t="shared" si="689"/>
        <v>0</v>
      </c>
      <c r="M231" s="50">
        <f t="shared" si="690"/>
        <v>0</v>
      </c>
      <c r="N231" s="51">
        <f t="shared" si="691"/>
        <v>0</v>
      </c>
      <c r="O231" s="51"/>
      <c r="P231" s="51">
        <f t="shared" si="692"/>
        <v>0</v>
      </c>
      <c r="Q231" s="52"/>
      <c r="R231" s="52"/>
      <c r="S231" s="52"/>
      <c r="T231" s="52"/>
      <c r="U231" s="52"/>
      <c r="V231" s="53">
        <f t="shared" si="693"/>
        <v>0</v>
      </c>
      <c r="W231" s="51">
        <f t="shared" si="694"/>
        <v>0</v>
      </c>
      <c r="X231" s="51">
        <f t="shared" si="695"/>
        <v>0</v>
      </c>
      <c r="Y231" s="51">
        <f t="shared" si="696"/>
        <v>0</v>
      </c>
      <c r="Z231" s="51">
        <f t="shared" si="697"/>
        <v>0</v>
      </c>
      <c r="AA231" s="51">
        <f t="shared" si="698"/>
        <v>0</v>
      </c>
      <c r="AB231" s="51">
        <f t="shared" si="699"/>
        <v>0</v>
      </c>
      <c r="AC231" s="51">
        <f t="shared" si="700"/>
        <v>0</v>
      </c>
      <c r="AD231" s="51">
        <f t="shared" si="701"/>
        <v>0</v>
      </c>
      <c r="AE231" s="51">
        <f t="shared" si="702"/>
        <v>0</v>
      </c>
      <c r="AF231" s="51">
        <f t="shared" si="703"/>
        <v>0</v>
      </c>
      <c r="AG231" s="51">
        <f t="shared" si="704"/>
        <v>0</v>
      </c>
      <c r="AH231" s="54">
        <f t="shared" si="705"/>
        <v>0</v>
      </c>
      <c r="AI231" s="55">
        <f t="shared" si="706"/>
        <v>0</v>
      </c>
      <c r="AJ231" s="56">
        <f>IF(AND($E231&lt;&gt;0,$F231&gt;0,YEAR($F231)&gt;=Preisindex!$A$6,YEAR(AE$4)&gt;=YEAR($F231),AND($K231&lt;&gt;"a",$K231&lt;&gt;"b",$K231&lt;&gt;"g",$K231&lt;&gt;"k")),1,IF(AND($E231&lt;&gt;0,$F231&gt;0,YEAR($F231)&gt;=Preisindex!$A$6,YEAR(AE$4)&gt;=YEAR($F231),$K231="a"),ROUND(VLOOKUP(AJ$4,Preisindex,5,FALSE)/VLOOKUP(YEAR($F231),Preisindex,5,FALSE),2),IF(AND($E231&lt;&gt;0,$F231&gt;0,YEAR($F231)&gt;=Preisindex!$A$6,YEAR(AE$4)&gt;=YEAR($F231),$K231="b"),ROUND(VLOOKUP(AJ$4,Preisindex,3,FALSE)/VLOOKUP(YEAR($F231),Preisindex,3,FALSE),2),IF(AND($E231&lt;&gt;0,$F231&gt;0,YEAR($F231)&gt;=Preisindex!$A$6,YEAR(AE$4)&gt;=YEAR($F231),$K231="g"),ROUND(VLOOKUP(AJ$4,Preisindex,4,FALSE)/VLOOKUP(YEAR($F231),Preisindex,4,FALSE),2),IF(AND($E231&lt;&gt;0,$F231&gt;0,YEAR($F231)&gt;=Preisindex!$A$6,YEAR(AE$4)&gt;=YEAR($F231),$K231="k"),ROUND(VLOOKUP(AJ$4,Preisindex,2,FALSE)/VLOOKUP(YEAR($F231),Preisindex,2,FALSE),2),0)))))</f>
        <v>0</v>
      </c>
      <c r="AK231" s="56">
        <f>IF(AND($E231&lt;&gt;0,$F231&gt;0,YEAR($F231)&lt;Preisindex!$A$6,YEAR(AE$4)&gt;=YEAR($F231),AND($K231&lt;&gt;"a",$K231&lt;&gt;"b",$K231&lt;&gt;"g",$K231&lt;&gt;"k")),1,IF(AND($E231&lt;&gt;0,$F231&gt;0,YEAR($F231)&lt;Preisindex!$A$6,YEAR(AE$4)&gt;=YEAR($F231),$K231="a"),ROUND(VLOOKUP(AJ$4,Preisindex,5,FALSE)/VLOOKUP(Preisindex!$A$6,Preisindex,5,FALSE),2),IF(AND($E231&lt;&gt;0,$F231&gt;0,YEAR($F231)&lt;Preisindex!$A$6,YEAR(AE$4)&gt;=YEAR($F231),$K231="b"),ROUND(VLOOKUP(AJ$4,Preisindex,3,FALSE)/VLOOKUP(Preisindex!$A$6,Preisindex,3,FALSE),2),IF(AND($E231&lt;&gt;0,$F231&gt;0,YEAR($F231)&lt;Preisindex!$A$6,YEAR(AE$4)&gt;=YEAR($F231),$K231="g"),ROUND(VLOOKUP(AJ$4,Preisindex,4,FALSE)/VLOOKUP(Preisindex!$A$6,Preisindex,4,FALSE),2),IF(AND($E231&lt;&gt;0,$F231&gt;0,YEAR($F231)&lt;Preisindex!$A$6,YEAR(AE$4)&gt;=YEAR($F231),$K231="k"),ROUND(VLOOKUP(AJ$4,Preisindex,2,FALSE)/VLOOKUP(Preisindex!$A$6,Preisindex,2,FALSE),2),0)))))</f>
        <v>0</v>
      </c>
      <c r="AL231" s="51">
        <f>IF(AND($E231&lt;&gt;0,$F231&gt;0,YEAR($F231)&lt;=AJ$4,YEAR($F231)&gt;=Preisindex!$A$6),ROUND($E231*AJ231,2),IF(AND($E231&lt;&gt;0,$F231&gt;0,YEAR($F231)&lt;=AJ$4,YEAR($F231)&lt;Preisindex!$A$6),ROUND($E231*AK231,2),0))</f>
        <v>0</v>
      </c>
      <c r="AM231" s="53">
        <f t="shared" si="707"/>
        <v>0</v>
      </c>
      <c r="AN231" s="51">
        <f t="shared" si="750"/>
        <v>0</v>
      </c>
      <c r="AO231" s="51">
        <f t="shared" si="710"/>
        <v>0</v>
      </c>
      <c r="AP231" s="51">
        <f t="shared" si="624"/>
        <v>0</v>
      </c>
      <c r="AQ231" s="51">
        <f t="shared" si="711"/>
        <v>0</v>
      </c>
      <c r="AR231" s="51">
        <f t="shared" si="625"/>
        <v>0</v>
      </c>
      <c r="AS231" s="51">
        <f t="shared" si="712"/>
        <v>0</v>
      </c>
      <c r="AT231" s="51">
        <f t="shared" si="626"/>
        <v>0</v>
      </c>
      <c r="AU231" s="51">
        <f t="shared" si="713"/>
        <v>0</v>
      </c>
      <c r="AV231" s="51">
        <f t="shared" si="627"/>
        <v>0</v>
      </c>
      <c r="AW231" s="51">
        <f t="shared" si="714"/>
        <v>0</v>
      </c>
      <c r="AX231" s="51">
        <f t="shared" si="628"/>
        <v>0</v>
      </c>
      <c r="AY231" s="54">
        <f t="shared" si="629"/>
        <v>0</v>
      </c>
      <c r="AZ231" s="55">
        <f t="shared" si="630"/>
        <v>0</v>
      </c>
      <c r="BA231" s="56">
        <f>IF(AND($E231&lt;&gt;0,$F231&gt;0,YEAR($F231)&gt;=Preisindex!$A$6,YEAR(AV$4)&gt;=YEAR($F231),AND($K231&lt;&gt;"a",$K231&lt;&gt;"b",$K231&lt;&gt;"g",$K231&lt;&gt;"k")),1,IF(AND($E231&lt;&gt;0,$F231&gt;0,YEAR($F231)&gt;=Preisindex!$A$6,YEAR(AV$4)&gt;=YEAR($F231),$K231="a"),ROUND(VLOOKUP(BA$4,Preisindex,5,FALSE)/VLOOKUP(YEAR($F231),Preisindex,5,FALSE),2),IF(AND($E231&lt;&gt;0,$F231&gt;0,YEAR($F231)&gt;=Preisindex!$A$6,YEAR(AV$4)&gt;=YEAR($F231),$K231="b"),ROUND(VLOOKUP(BA$4,Preisindex,3,FALSE)/VLOOKUP(YEAR($F231),Preisindex,3,FALSE),2),IF(AND($E231&lt;&gt;0,$F231&gt;0,YEAR($F231)&gt;=Preisindex!$A$6,YEAR(AV$4)&gt;=YEAR($F231),$K231="g"),ROUND(VLOOKUP(BA$4,Preisindex,4,FALSE)/VLOOKUP(YEAR($F231),Preisindex,4,FALSE),2),IF(AND($E231&lt;&gt;0,$F231&gt;0,YEAR($F231)&gt;=Preisindex!$A$6,YEAR(AV$4)&gt;=YEAR($F231),$K231="k"),ROUND(VLOOKUP(BA$4,Preisindex,2,FALSE)/VLOOKUP(YEAR($F231),Preisindex,2,FALSE),2),0)))))</f>
        <v>0</v>
      </c>
      <c r="BB231" s="56">
        <f>IF(AND($E231&lt;&gt;0,$F231&gt;0,YEAR($F231)&lt;Preisindex!$A$6,YEAR(AV$4)&gt;=YEAR($F231),AND($K231&lt;&gt;"a",$K231&lt;&gt;"b",$K231&lt;&gt;"g",$K231&lt;&gt;"k")),1,IF(AND($E231&lt;&gt;0,$F231&gt;0,YEAR($F231)&lt;Preisindex!$A$6,YEAR(AV$4)&gt;=YEAR($F231),$K231="a"),ROUND(VLOOKUP(BA$4,Preisindex,5,FALSE)/VLOOKUP(Preisindex!$A$6,Preisindex,5,FALSE),2),IF(AND($E231&lt;&gt;0,$F231&gt;0,YEAR($F231)&lt;Preisindex!$A$6,YEAR(AV$4)&gt;=YEAR($F231),$K231="b"),ROUND(VLOOKUP(BA$4,Preisindex,3,FALSE)/VLOOKUP(Preisindex!$A$6,Preisindex,3,FALSE),2),IF(AND($E231&lt;&gt;0,$F231&gt;0,YEAR($F231)&lt;Preisindex!$A$6,YEAR(AV$4)&gt;=YEAR($F231),$K231="g"),ROUND(VLOOKUP(BA$4,Preisindex,4,FALSE)/VLOOKUP(Preisindex!$A$6,Preisindex,4,FALSE),2),IF(AND($E231&lt;&gt;0,$F231&gt;0,YEAR($F231)&lt;Preisindex!$A$6,YEAR(AV$4)&gt;=YEAR($F231),$K231="k"),ROUND(VLOOKUP(BA$4,Preisindex,2,FALSE)/VLOOKUP(Preisindex!$A$6,Preisindex,2,FALSE),2),0)))))</f>
        <v>0</v>
      </c>
      <c r="BC231" s="51">
        <f>IF(AND($E231&lt;&gt;0,$F231&gt;0,YEAR($F231)&lt;=BA$4,YEAR($F231)&gt;=Preisindex!$A$6),ROUND($E231*BA231,2),IF(AND($E231&lt;&gt;0,$F231&gt;0,YEAR($F231)&lt;=BA$4,YEAR($F231)&lt;Preisindex!$A$6),ROUND($E231*BB231,2),0))</f>
        <v>0</v>
      </c>
      <c r="BD231" s="53">
        <f t="shared" si="631"/>
        <v>0</v>
      </c>
      <c r="BE231" s="51">
        <f t="shared" si="750"/>
        <v>0</v>
      </c>
      <c r="BF231" s="51">
        <f t="shared" si="715"/>
        <v>0</v>
      </c>
      <c r="BG231" s="51">
        <f t="shared" si="632"/>
        <v>0</v>
      </c>
      <c r="BH231" s="51">
        <f t="shared" si="716"/>
        <v>0</v>
      </c>
      <c r="BI231" s="51">
        <f t="shared" si="633"/>
        <v>0</v>
      </c>
      <c r="BJ231" s="51">
        <f t="shared" si="717"/>
        <v>0</v>
      </c>
      <c r="BK231" s="51">
        <f t="shared" si="634"/>
        <v>0</v>
      </c>
      <c r="BL231" s="51">
        <f t="shared" si="718"/>
        <v>0</v>
      </c>
      <c r="BM231" s="51">
        <f t="shared" si="635"/>
        <v>0</v>
      </c>
      <c r="BN231" s="51">
        <f t="shared" si="719"/>
        <v>0</v>
      </c>
      <c r="BO231" s="51">
        <f t="shared" si="636"/>
        <v>0</v>
      </c>
      <c r="BP231" s="54">
        <f t="shared" si="637"/>
        <v>0</v>
      </c>
      <c r="BQ231" s="55">
        <f t="shared" si="638"/>
        <v>0</v>
      </c>
      <c r="BR231" s="56">
        <f>IF(AND($E231&lt;&gt;0,$F231&gt;0,YEAR($F231)&gt;=Preisindex!$A$6,YEAR(BM$4)&gt;=YEAR($F231),AND($K231&lt;&gt;"a",$K231&lt;&gt;"b",$K231&lt;&gt;"g",$K231&lt;&gt;"k")),1,IF(AND($E231&lt;&gt;0,$F231&gt;0,YEAR($F231)&gt;=Preisindex!$A$6,YEAR(BM$4)&gt;=YEAR($F231),$K231="a"),ROUND(VLOOKUP(BR$4,Preisindex,5,FALSE)/VLOOKUP(YEAR($F231),Preisindex,5,FALSE),2),IF(AND($E231&lt;&gt;0,$F231&gt;0,YEAR($F231)&gt;=Preisindex!$A$6,YEAR(BM$4)&gt;=YEAR($F231),$K231="b"),ROUND(VLOOKUP(BR$4,Preisindex,3,FALSE)/VLOOKUP(YEAR($F231),Preisindex,3,FALSE),2),IF(AND($E231&lt;&gt;0,$F231&gt;0,YEAR($F231)&gt;=Preisindex!$A$6,YEAR(BM$4)&gt;=YEAR($F231),$K231="g"),ROUND(VLOOKUP(BR$4,Preisindex,4,FALSE)/VLOOKUP(YEAR($F231),Preisindex,4,FALSE),2),IF(AND($E231&lt;&gt;0,$F231&gt;0,YEAR($F231)&gt;=Preisindex!$A$6,YEAR(BM$4)&gt;=YEAR($F231),$K231="k"),ROUND(VLOOKUP(BR$4,Preisindex,2,FALSE)/VLOOKUP(YEAR($F231),Preisindex,2,FALSE),2),0)))))</f>
        <v>0</v>
      </c>
      <c r="BS231" s="56">
        <f>IF(AND($E231&lt;&gt;0,$F231&gt;0,YEAR($F231)&lt;Preisindex!$A$6,YEAR(BM$4)&gt;=YEAR($F231),AND($K231&lt;&gt;"a",$K231&lt;&gt;"b",$K231&lt;&gt;"g",$K231&lt;&gt;"k")),1,IF(AND($E231&lt;&gt;0,$F231&gt;0,YEAR($F231)&lt;Preisindex!$A$6,YEAR(BM$4)&gt;=YEAR($F231),$K231="a"),ROUND(VLOOKUP(BR$4,Preisindex,5,FALSE)/VLOOKUP(Preisindex!$A$6,Preisindex,5,FALSE),2),IF(AND($E231&lt;&gt;0,$F231&gt;0,YEAR($F231)&lt;Preisindex!$A$6,YEAR(BM$4)&gt;=YEAR($F231),$K231="b"),ROUND(VLOOKUP(BR$4,Preisindex,3,FALSE)/VLOOKUP(Preisindex!$A$6,Preisindex,3,FALSE),2),IF(AND($E231&lt;&gt;0,$F231&gt;0,YEAR($F231)&lt;Preisindex!$A$6,YEAR(BM$4)&gt;=YEAR($F231),$K231="g"),ROUND(VLOOKUP(BR$4,Preisindex,4,FALSE)/VLOOKUP(Preisindex!$A$6,Preisindex,4,FALSE),2),IF(AND($E231&lt;&gt;0,$F231&gt;0,YEAR($F231)&lt;Preisindex!$A$6,YEAR(BM$4)&gt;=YEAR($F231),$K231="k"),ROUND(VLOOKUP(BR$4,Preisindex,2,FALSE)/VLOOKUP(Preisindex!$A$6,Preisindex,2,FALSE),2),0)))))</f>
        <v>0</v>
      </c>
      <c r="BT231" s="51">
        <f>IF(AND($E231&lt;&gt;0,$F231&gt;0,YEAR($F231)&lt;=BR$4,YEAR($F231)&gt;=Preisindex!$A$6),ROUND($E231*BR231,2),IF(AND($E231&lt;&gt;0,$F231&gt;0,YEAR($F231)&lt;=BR$4,YEAR($F231)&lt;Preisindex!$A$6),ROUND($E231*BS231,2),0))</f>
        <v>0</v>
      </c>
      <c r="BU231" s="53">
        <f t="shared" si="639"/>
        <v>0</v>
      </c>
      <c r="BV231" s="51">
        <f t="shared" si="750"/>
        <v>0</v>
      </c>
      <c r="BW231" s="51">
        <f t="shared" si="720"/>
        <v>0</v>
      </c>
      <c r="BX231" s="51">
        <f t="shared" si="640"/>
        <v>0</v>
      </c>
      <c r="BY231" s="51">
        <f t="shared" si="721"/>
        <v>0</v>
      </c>
      <c r="BZ231" s="51">
        <f t="shared" si="641"/>
        <v>0</v>
      </c>
      <c r="CA231" s="51">
        <f t="shared" si="722"/>
        <v>0</v>
      </c>
      <c r="CB231" s="51">
        <f t="shared" si="642"/>
        <v>0</v>
      </c>
      <c r="CC231" s="51">
        <f t="shared" si="723"/>
        <v>0</v>
      </c>
      <c r="CD231" s="51">
        <f t="shared" si="643"/>
        <v>0</v>
      </c>
      <c r="CE231" s="51">
        <f t="shared" si="724"/>
        <v>0</v>
      </c>
      <c r="CF231" s="51">
        <f t="shared" si="644"/>
        <v>0</v>
      </c>
      <c r="CG231" s="54">
        <f t="shared" si="645"/>
        <v>0</v>
      </c>
      <c r="CH231" s="55">
        <f t="shared" si="646"/>
        <v>0</v>
      </c>
      <c r="CI231" s="56">
        <f>IF(AND($E231&lt;&gt;0,$F231&gt;0,YEAR($F231)&gt;=Preisindex!$A$6,YEAR(CD$4)&gt;=YEAR($F231),AND($K231&lt;&gt;"a",$K231&lt;&gt;"b",$K231&lt;&gt;"g",$K231&lt;&gt;"k")),1,IF(AND($E231&lt;&gt;0,$F231&gt;0,YEAR($F231)&gt;=Preisindex!$A$6,YEAR(CD$4)&gt;=YEAR($F231),$K231="a"),ROUND(VLOOKUP(CI$4,Preisindex,5,FALSE)/VLOOKUP(YEAR($F231),Preisindex,5,FALSE),2),IF(AND($E231&lt;&gt;0,$F231&gt;0,YEAR($F231)&gt;=Preisindex!$A$6,YEAR(CD$4)&gt;=YEAR($F231),$K231="b"),ROUND(VLOOKUP(CI$4,Preisindex,3,FALSE)/VLOOKUP(YEAR($F231),Preisindex,3,FALSE),2),IF(AND($E231&lt;&gt;0,$F231&gt;0,YEAR($F231)&gt;=Preisindex!$A$6,YEAR(CD$4)&gt;=YEAR($F231),$K231="g"),ROUND(VLOOKUP(CI$4,Preisindex,4,FALSE)/VLOOKUP(YEAR($F231),Preisindex,4,FALSE),2),IF(AND($E231&lt;&gt;0,$F231&gt;0,YEAR($F231)&gt;=Preisindex!$A$6,YEAR(CD$4)&gt;=YEAR($F231),$K231="k"),ROUND(VLOOKUP(CI$4,Preisindex,2,FALSE)/VLOOKUP(YEAR($F231),Preisindex,2,FALSE),2),0)))))</f>
        <v>0</v>
      </c>
      <c r="CJ231" s="56">
        <f>IF(AND($E231&lt;&gt;0,$F231&gt;0,YEAR($F231)&lt;Preisindex!$A$6,YEAR(CD$4)&gt;=YEAR($F231),AND($K231&lt;&gt;"a",$K231&lt;&gt;"b",$K231&lt;&gt;"g",$K231&lt;&gt;"k")),1,IF(AND($E231&lt;&gt;0,$F231&gt;0,YEAR($F231)&lt;Preisindex!$A$6,YEAR(CD$4)&gt;=YEAR($F231),$K231="a"),ROUND(VLOOKUP(CI$4,Preisindex,5,FALSE)/VLOOKUP(Preisindex!$A$6,Preisindex,5,FALSE),2),IF(AND($E231&lt;&gt;0,$F231&gt;0,YEAR($F231)&lt;Preisindex!$A$6,YEAR(CD$4)&gt;=YEAR($F231),$K231="b"),ROUND(VLOOKUP(CI$4,Preisindex,3,FALSE)/VLOOKUP(Preisindex!$A$6,Preisindex,3,FALSE),2),IF(AND($E231&lt;&gt;0,$F231&gt;0,YEAR($F231)&lt;Preisindex!$A$6,YEAR(CD$4)&gt;=YEAR($F231),$K231="g"),ROUND(VLOOKUP(CI$4,Preisindex,4,FALSE)/VLOOKUP(Preisindex!$A$6,Preisindex,4,FALSE),2),IF(AND($E231&lt;&gt;0,$F231&gt;0,YEAR($F231)&lt;Preisindex!$A$6,YEAR(CD$4)&gt;=YEAR($F231),$K231="k"),ROUND(VLOOKUP(CI$4,Preisindex,2,FALSE)/VLOOKUP(Preisindex!$A$6,Preisindex,2,FALSE),2),0)))))</f>
        <v>0</v>
      </c>
      <c r="CK231" s="51">
        <f>IF(AND($E231&lt;&gt;0,$F231&gt;0,YEAR($F231)&lt;=CI$4,YEAR($F231)&gt;=Preisindex!$A$6),ROUND($E231*CI231,2),IF(AND($E231&lt;&gt;0,$F231&gt;0,YEAR($F231)&lt;=CI$4,YEAR($F231)&lt;Preisindex!$A$6),ROUND($E231*CJ231,2),0))</f>
        <v>0</v>
      </c>
      <c r="CL231" s="53">
        <f t="shared" si="647"/>
        <v>0</v>
      </c>
      <c r="CM231" s="51">
        <f t="shared" si="750"/>
        <v>0</v>
      </c>
      <c r="CN231" s="51">
        <f t="shared" si="725"/>
        <v>0</v>
      </c>
      <c r="CO231" s="51">
        <f t="shared" si="648"/>
        <v>0</v>
      </c>
      <c r="CP231" s="51">
        <f t="shared" si="726"/>
        <v>0</v>
      </c>
      <c r="CQ231" s="51">
        <f t="shared" si="649"/>
        <v>0</v>
      </c>
      <c r="CR231" s="51">
        <f t="shared" si="727"/>
        <v>0</v>
      </c>
      <c r="CS231" s="51">
        <f t="shared" si="650"/>
        <v>0</v>
      </c>
      <c r="CT231" s="51">
        <f t="shared" si="728"/>
        <v>0</v>
      </c>
      <c r="CU231" s="51">
        <f t="shared" si="651"/>
        <v>0</v>
      </c>
      <c r="CV231" s="51">
        <f t="shared" si="729"/>
        <v>0</v>
      </c>
      <c r="CW231" s="51">
        <f t="shared" si="652"/>
        <v>0</v>
      </c>
      <c r="CX231" s="54">
        <f t="shared" si="653"/>
        <v>0</v>
      </c>
      <c r="CY231" s="55">
        <f t="shared" si="654"/>
        <v>0</v>
      </c>
      <c r="CZ231" s="56">
        <f>IF(AND($E231&lt;&gt;0,$F231&gt;0,YEAR($F231)&gt;=Preisindex!$A$6,YEAR(CU$4)&gt;=YEAR($F231),AND($K231&lt;&gt;"a",$K231&lt;&gt;"b",$K231&lt;&gt;"g",$K231&lt;&gt;"k")),1,IF(AND($E231&lt;&gt;0,$F231&gt;0,YEAR($F231)&gt;=Preisindex!$A$6,YEAR(CU$4)&gt;=YEAR($F231),$K231="a"),ROUND(VLOOKUP(CZ$4,Preisindex,5,FALSE)/VLOOKUP(YEAR($F231),Preisindex,5,FALSE),2),IF(AND($E231&lt;&gt;0,$F231&gt;0,YEAR($F231)&gt;=Preisindex!$A$6,YEAR(CU$4)&gt;=YEAR($F231),$K231="b"),ROUND(VLOOKUP(CZ$4,Preisindex,3,FALSE)/VLOOKUP(YEAR($F231),Preisindex,3,FALSE),2),IF(AND($E231&lt;&gt;0,$F231&gt;0,YEAR($F231)&gt;=Preisindex!$A$6,YEAR(CU$4)&gt;=YEAR($F231),$K231="g"),ROUND(VLOOKUP(CZ$4,Preisindex,4,FALSE)/VLOOKUP(YEAR($F231),Preisindex,4,FALSE),2),IF(AND($E231&lt;&gt;0,$F231&gt;0,YEAR($F231)&gt;=Preisindex!$A$6,YEAR(CU$4)&gt;=YEAR($F231),$K231="k"),ROUND(VLOOKUP(CZ$4,Preisindex,2,FALSE)/VLOOKUP(YEAR($F231),Preisindex,2,FALSE),2),0)))))</f>
        <v>0</v>
      </c>
      <c r="DA231" s="56">
        <f>IF(AND($E231&lt;&gt;0,$F231&gt;0,YEAR($F231)&lt;Preisindex!$A$6,YEAR(CU$4)&gt;=YEAR($F231),AND($K231&lt;&gt;"a",$K231&lt;&gt;"b",$K231&lt;&gt;"g",$K231&lt;&gt;"k")),1,IF(AND($E231&lt;&gt;0,$F231&gt;0,YEAR($F231)&lt;Preisindex!$A$6,YEAR(CU$4)&gt;=YEAR($F231),$K231="a"),ROUND(VLOOKUP(CZ$4,Preisindex,5,FALSE)/VLOOKUP(Preisindex!$A$6,Preisindex,5,FALSE),2),IF(AND($E231&lt;&gt;0,$F231&gt;0,YEAR($F231)&lt;Preisindex!$A$6,YEAR(CU$4)&gt;=YEAR($F231),$K231="b"),ROUND(VLOOKUP(CZ$4,Preisindex,3,FALSE)/VLOOKUP(Preisindex!$A$6,Preisindex,3,FALSE),2),IF(AND($E231&lt;&gt;0,$F231&gt;0,YEAR($F231)&lt;Preisindex!$A$6,YEAR(CU$4)&gt;=YEAR($F231),$K231="g"),ROUND(VLOOKUP(CZ$4,Preisindex,4,FALSE)/VLOOKUP(Preisindex!$A$6,Preisindex,4,FALSE),2),IF(AND($E231&lt;&gt;0,$F231&gt;0,YEAR($F231)&lt;Preisindex!$A$6,YEAR(CU$4)&gt;=YEAR($F231),$K231="k"),ROUND(VLOOKUP(CZ$4,Preisindex,2,FALSE)/VLOOKUP(Preisindex!$A$6,Preisindex,2,FALSE),2),0)))))</f>
        <v>0</v>
      </c>
      <c r="DB231" s="51">
        <f>IF(AND($E231&lt;&gt;0,$F231&gt;0,YEAR($F231)&lt;=CZ$4,YEAR($F231)&gt;=Preisindex!$A$6),ROUND($E231*CZ231,2),IF(AND($E231&lt;&gt;0,$F231&gt;0,YEAR($F231)&lt;=CZ$4,YEAR($F231)&lt;Preisindex!$A$6),ROUND($E231*DA231,2),0))</f>
        <v>0</v>
      </c>
      <c r="DC231" s="53">
        <f t="shared" si="655"/>
        <v>0</v>
      </c>
      <c r="DD231" s="51">
        <f t="shared" si="751"/>
        <v>0</v>
      </c>
      <c r="DE231" s="51">
        <f t="shared" si="730"/>
        <v>0</v>
      </c>
      <c r="DF231" s="51">
        <f t="shared" si="657"/>
        <v>0</v>
      </c>
      <c r="DG231" s="51">
        <f t="shared" si="731"/>
        <v>0</v>
      </c>
      <c r="DH231" s="51">
        <f t="shared" si="658"/>
        <v>0</v>
      </c>
      <c r="DI231" s="51">
        <f t="shared" si="732"/>
        <v>0</v>
      </c>
      <c r="DJ231" s="51">
        <f t="shared" si="659"/>
        <v>0</v>
      </c>
      <c r="DK231" s="51">
        <f t="shared" si="733"/>
        <v>0</v>
      </c>
      <c r="DL231" s="51">
        <f t="shared" si="660"/>
        <v>0</v>
      </c>
      <c r="DM231" s="51">
        <f t="shared" si="734"/>
        <v>0</v>
      </c>
      <c r="DN231" s="51">
        <f t="shared" si="661"/>
        <v>0</v>
      </c>
      <c r="DO231" s="54">
        <f t="shared" si="662"/>
        <v>0</v>
      </c>
      <c r="DP231" s="55">
        <f t="shared" si="663"/>
        <v>0</v>
      </c>
      <c r="DQ231" s="56">
        <f>IF(AND($E231&lt;&gt;0,$F231&gt;0,YEAR($F231)&gt;=Preisindex!$A$6,YEAR(DL$4)&gt;=YEAR($F231),AND($K231&lt;&gt;"a",$K231&lt;&gt;"b",$K231&lt;&gt;"g",$K231&lt;&gt;"k")),1,IF(AND($E231&lt;&gt;0,$F231&gt;0,YEAR($F231)&gt;=Preisindex!$A$6,YEAR(DL$4)&gt;=YEAR($F231),$K231="a"),ROUND(VLOOKUP(DQ$4,Preisindex,5,FALSE)/VLOOKUP(YEAR($F231),Preisindex,5,FALSE),2),IF(AND($E231&lt;&gt;0,$F231&gt;0,YEAR($F231)&gt;=Preisindex!$A$6,YEAR(DL$4)&gt;=YEAR($F231),$K231="b"),ROUND(VLOOKUP(DQ$4,Preisindex,3,FALSE)/VLOOKUP(YEAR($F231),Preisindex,3,FALSE),2),IF(AND($E231&lt;&gt;0,$F231&gt;0,YEAR($F231)&gt;=Preisindex!$A$6,YEAR(DL$4)&gt;=YEAR($F231),$K231="g"),ROUND(VLOOKUP(DQ$4,Preisindex,4,FALSE)/VLOOKUP(YEAR($F231),Preisindex,4,FALSE),2),IF(AND($E231&lt;&gt;0,$F231&gt;0,YEAR($F231)&gt;=Preisindex!$A$6,YEAR(DL$4)&gt;=YEAR($F231),$K231="k"),ROUND(VLOOKUP(DQ$4,Preisindex,2,FALSE)/VLOOKUP(YEAR($F231),Preisindex,2,FALSE),2),0)))))</f>
        <v>0</v>
      </c>
      <c r="DR231" s="56">
        <f>IF(AND($E231&lt;&gt;0,$F231&gt;0,YEAR($F231)&lt;Preisindex!$A$6,YEAR(DL$4)&gt;=YEAR($F231),AND($K231&lt;&gt;"a",$K231&lt;&gt;"b",$K231&lt;&gt;"g",$K231&lt;&gt;"k")),1,IF(AND($E231&lt;&gt;0,$F231&gt;0,YEAR($F231)&lt;Preisindex!$A$6,YEAR(DL$4)&gt;=YEAR($F231),$K231="a"),ROUND(VLOOKUP(DQ$4,Preisindex,5,FALSE)/VLOOKUP(Preisindex!$A$6,Preisindex,5,FALSE),2),IF(AND($E231&lt;&gt;0,$F231&gt;0,YEAR($F231)&lt;Preisindex!$A$6,YEAR(DL$4)&gt;=YEAR($F231),$K231="b"),ROUND(VLOOKUP(DQ$4,Preisindex,3,FALSE)/VLOOKUP(Preisindex!$A$6,Preisindex,3,FALSE),2),IF(AND($E231&lt;&gt;0,$F231&gt;0,YEAR($F231)&lt;Preisindex!$A$6,YEAR(DL$4)&gt;=YEAR($F231),$K231="g"),ROUND(VLOOKUP(DQ$4,Preisindex,4,FALSE)/VLOOKUP(Preisindex!$A$6,Preisindex,4,FALSE),2),IF(AND($E231&lt;&gt;0,$F231&gt;0,YEAR($F231)&lt;Preisindex!$A$6,YEAR(DL$4)&gt;=YEAR($F231),$K231="k"),ROUND(VLOOKUP(DQ$4,Preisindex,2,FALSE)/VLOOKUP(Preisindex!$A$6,Preisindex,2,FALSE),2),0)))))</f>
        <v>0</v>
      </c>
      <c r="DS231" s="51">
        <f>IF(AND($E231&lt;&gt;0,$F231&gt;0,YEAR($F231)&lt;=DQ$4,YEAR($F231)&gt;=Preisindex!$A$6),ROUND($E231*DQ231,2),IF(AND($E231&lt;&gt;0,$F231&gt;0,YEAR($F231)&lt;=DQ$4,YEAR($F231)&lt;Preisindex!$A$6),ROUND($E231*DR231,2),0))</f>
        <v>0</v>
      </c>
      <c r="DT231" s="53">
        <f t="shared" si="664"/>
        <v>0</v>
      </c>
      <c r="DU231" s="51">
        <f t="shared" si="751"/>
        <v>0</v>
      </c>
      <c r="DV231" s="51">
        <f t="shared" si="735"/>
        <v>0</v>
      </c>
      <c r="DW231" s="51">
        <f t="shared" si="665"/>
        <v>0</v>
      </c>
      <c r="DX231" s="51">
        <f t="shared" si="736"/>
        <v>0</v>
      </c>
      <c r="DY231" s="51">
        <f t="shared" si="666"/>
        <v>0</v>
      </c>
      <c r="DZ231" s="51">
        <f t="shared" si="737"/>
        <v>0</v>
      </c>
      <c r="EA231" s="51">
        <f t="shared" si="667"/>
        <v>0</v>
      </c>
      <c r="EB231" s="51">
        <f t="shared" si="738"/>
        <v>0</v>
      </c>
      <c r="EC231" s="51">
        <f t="shared" si="668"/>
        <v>0</v>
      </c>
      <c r="ED231" s="51">
        <f t="shared" si="739"/>
        <v>0</v>
      </c>
      <c r="EE231" s="51">
        <f t="shared" si="669"/>
        <v>0</v>
      </c>
      <c r="EF231" s="54">
        <f t="shared" si="670"/>
        <v>0</v>
      </c>
      <c r="EG231" s="55">
        <f t="shared" si="671"/>
        <v>0</v>
      </c>
      <c r="EH231" s="56">
        <f>IF(AND($E231&lt;&gt;0,$F231&gt;0,YEAR($F231)&gt;=Preisindex!$A$6,YEAR(EC$4)&gt;=YEAR($F231),AND($K231&lt;&gt;"a",$K231&lt;&gt;"b",$K231&lt;&gt;"g",$K231&lt;&gt;"k")),1,IF(AND($E231&lt;&gt;0,$F231&gt;0,YEAR($F231)&gt;=Preisindex!$A$6,YEAR(EC$4)&gt;=YEAR($F231),$K231="a"),ROUND(VLOOKUP(EH$4,Preisindex,5,FALSE)/VLOOKUP(YEAR($F231),Preisindex,5,FALSE),2),IF(AND($E231&lt;&gt;0,$F231&gt;0,YEAR($F231)&gt;=Preisindex!$A$6,YEAR(EC$4)&gt;=YEAR($F231),$K231="b"),ROUND(VLOOKUP(EH$4,Preisindex,3,FALSE)/VLOOKUP(YEAR($F231),Preisindex,3,FALSE),2),IF(AND($E231&lt;&gt;0,$F231&gt;0,YEAR($F231)&gt;=Preisindex!$A$6,YEAR(EC$4)&gt;=YEAR($F231),$K231="g"),ROUND(VLOOKUP(EH$4,Preisindex,4,FALSE)/VLOOKUP(YEAR($F231),Preisindex,4,FALSE),2),IF(AND($E231&lt;&gt;0,$F231&gt;0,YEAR($F231)&gt;=Preisindex!$A$6,YEAR(EC$4)&gt;=YEAR($F231),$K231="k"),ROUND(VLOOKUP(EH$4,Preisindex,2,FALSE)/VLOOKUP(YEAR($F231),Preisindex,2,FALSE),2),0)))))</f>
        <v>0</v>
      </c>
      <c r="EI231" s="56">
        <f>IF(AND($E231&lt;&gt;0,$F231&gt;0,YEAR($F231)&lt;Preisindex!$A$6,YEAR(EC$4)&gt;=YEAR($F231),AND($K231&lt;&gt;"a",$K231&lt;&gt;"b",$K231&lt;&gt;"g",$K231&lt;&gt;"k")),1,IF(AND($E231&lt;&gt;0,$F231&gt;0,YEAR($F231)&lt;Preisindex!$A$6,YEAR(EC$4)&gt;=YEAR($F231),$K231="a"),ROUND(VLOOKUP(EH$4,Preisindex,5,FALSE)/VLOOKUP(Preisindex!$A$6,Preisindex,5,FALSE),2),IF(AND($E231&lt;&gt;0,$F231&gt;0,YEAR($F231)&lt;Preisindex!$A$6,YEAR(EC$4)&gt;=YEAR($F231),$K231="b"),ROUND(VLOOKUP(EH$4,Preisindex,3,FALSE)/VLOOKUP(Preisindex!$A$6,Preisindex,3,FALSE),2),IF(AND($E231&lt;&gt;0,$F231&gt;0,YEAR($F231)&lt;Preisindex!$A$6,YEAR(EC$4)&gt;=YEAR($F231),$K231="g"),ROUND(VLOOKUP(EH$4,Preisindex,4,FALSE)/VLOOKUP(Preisindex!$A$6,Preisindex,4,FALSE),2),IF(AND($E231&lt;&gt;0,$F231&gt;0,YEAR($F231)&lt;Preisindex!$A$6,YEAR(EC$4)&gt;=YEAR($F231),$K231="k"),ROUND(VLOOKUP(EH$4,Preisindex,2,FALSE)/VLOOKUP(Preisindex!$A$6,Preisindex,2,FALSE),2),0)))))</f>
        <v>0</v>
      </c>
      <c r="EJ231" s="51">
        <f>IF(AND($E231&lt;&gt;0,$F231&gt;0,YEAR($F231)&lt;=EH$4,YEAR($F231)&gt;=Preisindex!$A$6),ROUND($E231*EH231,2),IF(AND($E231&lt;&gt;0,$F231&gt;0,YEAR($F231)&lt;=EH$4,YEAR($F231)&lt;Preisindex!$A$6),ROUND($E231*EI231,2),0))</f>
        <v>0</v>
      </c>
      <c r="EK231" s="53">
        <f t="shared" si="672"/>
        <v>0</v>
      </c>
      <c r="EL231" s="51">
        <f t="shared" si="751"/>
        <v>0</v>
      </c>
      <c r="EM231" s="51">
        <f t="shared" si="740"/>
        <v>0</v>
      </c>
      <c r="EN231" s="51">
        <f t="shared" si="673"/>
        <v>0</v>
      </c>
      <c r="EO231" s="51">
        <f t="shared" si="741"/>
        <v>0</v>
      </c>
      <c r="EP231" s="51">
        <f t="shared" si="674"/>
        <v>0</v>
      </c>
      <c r="EQ231" s="51">
        <f t="shared" si="742"/>
        <v>0</v>
      </c>
      <c r="ER231" s="51">
        <f t="shared" si="675"/>
        <v>0</v>
      </c>
      <c r="ES231" s="51">
        <f t="shared" si="743"/>
        <v>0</v>
      </c>
      <c r="ET231" s="51">
        <f t="shared" si="676"/>
        <v>0</v>
      </c>
      <c r="EU231" s="51">
        <f t="shared" si="744"/>
        <v>0</v>
      </c>
      <c r="EV231" s="51">
        <f t="shared" si="677"/>
        <v>0</v>
      </c>
      <c r="EW231" s="54">
        <f t="shared" si="678"/>
        <v>0</v>
      </c>
      <c r="EX231" s="55">
        <f t="shared" si="679"/>
        <v>0</v>
      </c>
      <c r="EY231" s="56">
        <f>IF(AND($E231&lt;&gt;0,$F231&gt;0,YEAR($F231)&gt;=Preisindex!$A$6,YEAR(ET$4)&gt;=YEAR($F231),AND($K231&lt;&gt;"a",$K231&lt;&gt;"b",$K231&lt;&gt;"g",$K231&lt;&gt;"k")),1,IF(AND($E231&lt;&gt;0,$F231&gt;0,YEAR($F231)&gt;=Preisindex!$A$6,YEAR(ET$4)&gt;=YEAR($F231),$K231="a"),ROUND(VLOOKUP(EY$4,Preisindex,5,FALSE)/VLOOKUP(YEAR($F231),Preisindex,5,FALSE),2),IF(AND($E231&lt;&gt;0,$F231&gt;0,YEAR($F231)&gt;=Preisindex!$A$6,YEAR(ET$4)&gt;=YEAR($F231),$K231="b"),ROUND(VLOOKUP(EY$4,Preisindex,3,FALSE)/VLOOKUP(YEAR($F231),Preisindex,3,FALSE),2),IF(AND($E231&lt;&gt;0,$F231&gt;0,YEAR($F231)&gt;=Preisindex!$A$6,YEAR(ET$4)&gt;=YEAR($F231),$K231="g"),ROUND(VLOOKUP(EY$4,Preisindex,4,FALSE)/VLOOKUP(YEAR($F231),Preisindex,4,FALSE),2),IF(AND($E231&lt;&gt;0,$F231&gt;0,YEAR($F231)&gt;=Preisindex!$A$6,YEAR(ET$4)&gt;=YEAR($F231),$K231="k"),ROUND(VLOOKUP(EY$4,Preisindex,2,FALSE)/VLOOKUP(YEAR($F231),Preisindex,2,FALSE),2),0)))))</f>
        <v>0</v>
      </c>
      <c r="EZ231" s="56">
        <f>IF(AND($E231&lt;&gt;0,$F231&gt;0,YEAR($F231)&lt;Preisindex!$A$6,YEAR(ET$4)&gt;=YEAR($F231),AND($K231&lt;&gt;"a",$K231&lt;&gt;"b",$K231&lt;&gt;"g",$K231&lt;&gt;"k")),1,IF(AND($E231&lt;&gt;0,$F231&gt;0,YEAR($F231)&lt;Preisindex!$A$6,YEAR(ET$4)&gt;=YEAR($F231),$K231="a"),ROUND(VLOOKUP(EY$4,Preisindex,5,FALSE)/VLOOKUP(Preisindex!$A$6,Preisindex,5,FALSE),2),IF(AND($E231&lt;&gt;0,$F231&gt;0,YEAR($F231)&lt;Preisindex!$A$6,YEAR(ET$4)&gt;=YEAR($F231),$K231="b"),ROUND(VLOOKUP(EY$4,Preisindex,3,FALSE)/VLOOKUP(Preisindex!$A$6,Preisindex,3,FALSE),2),IF(AND($E231&lt;&gt;0,$F231&gt;0,YEAR($F231)&lt;Preisindex!$A$6,YEAR(ET$4)&gt;=YEAR($F231),$K231="g"),ROUND(VLOOKUP(EY$4,Preisindex,4,FALSE)/VLOOKUP(Preisindex!$A$6,Preisindex,4,FALSE),2),IF(AND($E231&lt;&gt;0,$F231&gt;0,YEAR($F231)&lt;Preisindex!$A$6,YEAR(ET$4)&gt;=YEAR($F231),$K231="k"),ROUND(VLOOKUP(EY$4,Preisindex,2,FALSE)/VLOOKUP(Preisindex!$A$6,Preisindex,2,FALSE),2),0)))))</f>
        <v>0</v>
      </c>
      <c r="FA231" s="51">
        <f>IF(AND($E231&lt;&gt;0,$F231&gt;0,YEAR($F231)&lt;=EY$4,YEAR($F231)&gt;=Preisindex!$A$6),ROUND($E231*EY231,2),IF(AND($E231&lt;&gt;0,$F231&gt;0,YEAR($F231)&lt;=EY$4,YEAR($F231)&lt;Preisindex!$A$6),ROUND($E231*EZ231,2),0))</f>
        <v>0</v>
      </c>
      <c r="FB231" s="53">
        <f t="shared" si="680"/>
        <v>0</v>
      </c>
      <c r="FC231" s="51">
        <f t="shared" si="751"/>
        <v>0</v>
      </c>
      <c r="FD231" s="51">
        <f t="shared" si="745"/>
        <v>0</v>
      </c>
      <c r="FE231" s="51">
        <f t="shared" si="681"/>
        <v>0</v>
      </c>
      <c r="FF231" s="51">
        <f t="shared" si="746"/>
        <v>0</v>
      </c>
      <c r="FG231" s="51">
        <f t="shared" si="682"/>
        <v>0</v>
      </c>
      <c r="FH231" s="51">
        <f t="shared" si="747"/>
        <v>0</v>
      </c>
      <c r="FI231" s="51">
        <f t="shared" si="683"/>
        <v>0</v>
      </c>
      <c r="FJ231" s="51">
        <f t="shared" si="748"/>
        <v>0</v>
      </c>
      <c r="FK231" s="51">
        <f t="shared" si="684"/>
        <v>0</v>
      </c>
      <c r="FL231" s="51">
        <f t="shared" si="749"/>
        <v>0</v>
      </c>
      <c r="FM231" s="51">
        <f t="shared" si="685"/>
        <v>0</v>
      </c>
      <c r="FN231" s="54">
        <f t="shared" si="686"/>
        <v>0</v>
      </c>
      <c r="FO231" s="55">
        <f t="shared" si="687"/>
        <v>0</v>
      </c>
      <c r="FP231" s="56">
        <f>IF(AND($E231&lt;&gt;0,$F231&gt;0,YEAR($F231)&gt;=Preisindex!$A$6,YEAR(FK$4)&gt;=YEAR($F231),AND($K231&lt;&gt;"a",$K231&lt;&gt;"b",$K231&lt;&gt;"g",$K231&lt;&gt;"k")),1,IF(AND($E231&lt;&gt;0,$F231&gt;0,YEAR($F231)&gt;=Preisindex!$A$6,YEAR(FK$4)&gt;=YEAR($F231),$K231="a"),ROUND(VLOOKUP(FP$4,Preisindex,5,FALSE)/VLOOKUP(YEAR($F231),Preisindex,5,FALSE),2),IF(AND($E231&lt;&gt;0,$F231&gt;0,YEAR($F231)&gt;=Preisindex!$A$6,YEAR(FK$4)&gt;=YEAR($F231),$K231="b"),ROUND(VLOOKUP(FP$4,Preisindex,3,FALSE)/VLOOKUP(YEAR($F231),Preisindex,3,FALSE),2),IF(AND($E231&lt;&gt;0,$F231&gt;0,YEAR($F231)&gt;=Preisindex!$A$6,YEAR(FK$4)&gt;=YEAR($F231),$K231="g"),ROUND(VLOOKUP(FP$4,Preisindex,4,FALSE)/VLOOKUP(YEAR($F231),Preisindex,4,FALSE),2),IF(AND($E231&lt;&gt;0,$F231&gt;0,YEAR($F231)&gt;=Preisindex!$A$6,YEAR(FK$4)&gt;=YEAR($F231),$K231="k"),ROUND(VLOOKUP(FP$4,Preisindex,2,FALSE)/VLOOKUP(YEAR($F231),Preisindex,2,FALSE),2),0)))))</f>
        <v>0</v>
      </c>
      <c r="FQ231" s="56">
        <f>IF(AND($E231&lt;&gt;0,$F231&gt;0,YEAR($F231)&lt;Preisindex!$A$6,YEAR(FK$4)&gt;=YEAR($F231),AND($K231&lt;&gt;"a",$K231&lt;&gt;"b",$K231&lt;&gt;"g",$K231&lt;&gt;"k")),1,IF(AND($E231&lt;&gt;0,$F231&gt;0,YEAR($F231)&lt;Preisindex!$A$6,YEAR(FK$4)&gt;=YEAR($F231),$K231="a"),ROUND(VLOOKUP(FP$4,Preisindex,5,FALSE)/VLOOKUP(Preisindex!$A$6,Preisindex,5,FALSE),2),IF(AND($E231&lt;&gt;0,$F231&gt;0,YEAR($F231)&lt;Preisindex!$A$6,YEAR(FK$4)&gt;=YEAR($F231),$K231="b"),ROUND(VLOOKUP(FP$4,Preisindex,3,FALSE)/VLOOKUP(Preisindex!$A$6,Preisindex,3,FALSE),2),IF(AND($E231&lt;&gt;0,$F231&gt;0,YEAR($F231)&lt;Preisindex!$A$6,YEAR(FK$4)&gt;=YEAR($F231),$K231="g"),ROUND(VLOOKUP(FP$4,Preisindex,4,FALSE)/VLOOKUP(Preisindex!$A$6,Preisindex,4,FALSE),2),IF(AND($E231&lt;&gt;0,$F231&gt;0,YEAR($F231)&lt;Preisindex!$A$6,YEAR(FK$4)&gt;=YEAR($F231),$K231="k"),ROUND(VLOOKUP(FP$4,Preisindex,2,FALSE)/VLOOKUP(Preisindex!$A$6,Preisindex,2,FALSE),2),0)))))</f>
        <v>0</v>
      </c>
      <c r="FR231" s="51">
        <f>IF(AND($E231&lt;&gt;0,$F231&gt;0,YEAR($F231)&lt;=FP$4,YEAR($F231)&gt;=Preisindex!$A$6),ROUND($E231*FP231,2),IF(AND($E231&lt;&gt;0,$F231&gt;0,YEAR($F231)&lt;=FP$4,YEAR($F231)&lt;Preisindex!$A$6),ROUND($E231*FQ231,2),0))</f>
        <v>0</v>
      </c>
      <c r="FS231" s="53">
        <f t="shared" si="688"/>
        <v>0</v>
      </c>
    </row>
    <row r="232" spans="1:175" x14ac:dyDescent="0.3">
      <c r="A232" s="93"/>
      <c r="B232" s="94"/>
      <c r="C232" s="94"/>
      <c r="D232" s="188"/>
      <c r="E232" s="624"/>
      <c r="F232" s="190"/>
      <c r="G232" s="625"/>
      <c r="H232" s="192"/>
      <c r="I232" s="621"/>
      <c r="J232" s="103"/>
      <c r="K232" s="630"/>
      <c r="L232" s="49">
        <f t="shared" si="689"/>
        <v>0</v>
      </c>
      <c r="M232" s="50">
        <f t="shared" si="690"/>
        <v>0</v>
      </c>
      <c r="N232" s="51">
        <f t="shared" si="691"/>
        <v>0</v>
      </c>
      <c r="O232" s="51"/>
      <c r="P232" s="51">
        <f t="shared" si="692"/>
        <v>0</v>
      </c>
      <c r="Q232" s="52"/>
      <c r="R232" s="52"/>
      <c r="S232" s="52"/>
      <c r="T232" s="52"/>
      <c r="U232" s="52"/>
      <c r="V232" s="53">
        <f t="shared" si="693"/>
        <v>0</v>
      </c>
      <c r="W232" s="51">
        <f t="shared" si="694"/>
        <v>0</v>
      </c>
      <c r="X232" s="51">
        <f t="shared" si="695"/>
        <v>0</v>
      </c>
      <c r="Y232" s="51">
        <f t="shared" si="696"/>
        <v>0</v>
      </c>
      <c r="Z232" s="51">
        <f t="shared" si="697"/>
        <v>0</v>
      </c>
      <c r="AA232" s="51">
        <f t="shared" si="698"/>
        <v>0</v>
      </c>
      <c r="AB232" s="51">
        <f t="shared" si="699"/>
        <v>0</v>
      </c>
      <c r="AC232" s="51">
        <f t="shared" si="700"/>
        <v>0</v>
      </c>
      <c r="AD232" s="51">
        <f t="shared" si="701"/>
        <v>0</v>
      </c>
      <c r="AE232" s="51">
        <f t="shared" si="702"/>
        <v>0</v>
      </c>
      <c r="AF232" s="51">
        <f t="shared" si="703"/>
        <v>0</v>
      </c>
      <c r="AG232" s="51">
        <f t="shared" si="704"/>
        <v>0</v>
      </c>
      <c r="AH232" s="54">
        <f t="shared" si="705"/>
        <v>0</v>
      </c>
      <c r="AI232" s="55">
        <f t="shared" si="706"/>
        <v>0</v>
      </c>
      <c r="AJ232" s="56">
        <f>IF(AND($E232&lt;&gt;0,$F232&gt;0,YEAR($F232)&gt;=Preisindex!$A$6,YEAR(AE$4)&gt;=YEAR($F232),AND($K232&lt;&gt;"a",$K232&lt;&gt;"b",$K232&lt;&gt;"g",$K232&lt;&gt;"k")),1,IF(AND($E232&lt;&gt;0,$F232&gt;0,YEAR($F232)&gt;=Preisindex!$A$6,YEAR(AE$4)&gt;=YEAR($F232),$K232="a"),ROUND(VLOOKUP(AJ$4,Preisindex,5,FALSE)/VLOOKUP(YEAR($F232),Preisindex,5,FALSE),2),IF(AND($E232&lt;&gt;0,$F232&gt;0,YEAR($F232)&gt;=Preisindex!$A$6,YEAR(AE$4)&gt;=YEAR($F232),$K232="b"),ROUND(VLOOKUP(AJ$4,Preisindex,3,FALSE)/VLOOKUP(YEAR($F232),Preisindex,3,FALSE),2),IF(AND($E232&lt;&gt;0,$F232&gt;0,YEAR($F232)&gt;=Preisindex!$A$6,YEAR(AE$4)&gt;=YEAR($F232),$K232="g"),ROUND(VLOOKUP(AJ$4,Preisindex,4,FALSE)/VLOOKUP(YEAR($F232),Preisindex,4,FALSE),2),IF(AND($E232&lt;&gt;0,$F232&gt;0,YEAR($F232)&gt;=Preisindex!$A$6,YEAR(AE$4)&gt;=YEAR($F232),$K232="k"),ROUND(VLOOKUP(AJ$4,Preisindex,2,FALSE)/VLOOKUP(YEAR($F232),Preisindex,2,FALSE),2),0)))))</f>
        <v>0</v>
      </c>
      <c r="AK232" s="56">
        <f>IF(AND($E232&lt;&gt;0,$F232&gt;0,YEAR($F232)&lt;Preisindex!$A$6,YEAR(AE$4)&gt;=YEAR($F232),AND($K232&lt;&gt;"a",$K232&lt;&gt;"b",$K232&lt;&gt;"g",$K232&lt;&gt;"k")),1,IF(AND($E232&lt;&gt;0,$F232&gt;0,YEAR($F232)&lt;Preisindex!$A$6,YEAR(AE$4)&gt;=YEAR($F232),$K232="a"),ROUND(VLOOKUP(AJ$4,Preisindex,5,FALSE)/VLOOKUP(Preisindex!$A$6,Preisindex,5,FALSE),2),IF(AND($E232&lt;&gt;0,$F232&gt;0,YEAR($F232)&lt;Preisindex!$A$6,YEAR(AE$4)&gt;=YEAR($F232),$K232="b"),ROUND(VLOOKUP(AJ$4,Preisindex,3,FALSE)/VLOOKUP(Preisindex!$A$6,Preisindex,3,FALSE),2),IF(AND($E232&lt;&gt;0,$F232&gt;0,YEAR($F232)&lt;Preisindex!$A$6,YEAR(AE$4)&gt;=YEAR($F232),$K232="g"),ROUND(VLOOKUP(AJ$4,Preisindex,4,FALSE)/VLOOKUP(Preisindex!$A$6,Preisindex,4,FALSE),2),IF(AND($E232&lt;&gt;0,$F232&gt;0,YEAR($F232)&lt;Preisindex!$A$6,YEAR(AE$4)&gt;=YEAR($F232),$K232="k"),ROUND(VLOOKUP(AJ$4,Preisindex,2,FALSE)/VLOOKUP(Preisindex!$A$6,Preisindex,2,FALSE),2),0)))))</f>
        <v>0</v>
      </c>
      <c r="AL232" s="51">
        <f>IF(AND($E232&lt;&gt;0,$F232&gt;0,YEAR($F232)&lt;=AJ$4,YEAR($F232)&gt;=Preisindex!$A$6),ROUND($E232*AJ232,2),IF(AND($E232&lt;&gt;0,$F232&gt;0,YEAR($F232)&lt;=AJ$4,YEAR($F232)&lt;Preisindex!$A$6),ROUND($E232*AK232,2),0))</f>
        <v>0</v>
      </c>
      <c r="AM232" s="53">
        <f t="shared" si="707"/>
        <v>0</v>
      </c>
      <c r="AN232" s="51">
        <f t="shared" si="750"/>
        <v>0</v>
      </c>
      <c r="AO232" s="51">
        <f t="shared" si="710"/>
        <v>0</v>
      </c>
      <c r="AP232" s="51">
        <f t="shared" si="624"/>
        <v>0</v>
      </c>
      <c r="AQ232" s="51">
        <f t="shared" si="711"/>
        <v>0</v>
      </c>
      <c r="AR232" s="51">
        <f t="shared" si="625"/>
        <v>0</v>
      </c>
      <c r="AS232" s="51">
        <f t="shared" si="712"/>
        <v>0</v>
      </c>
      <c r="AT232" s="51">
        <f t="shared" si="626"/>
        <v>0</v>
      </c>
      <c r="AU232" s="51">
        <f t="shared" si="713"/>
        <v>0</v>
      </c>
      <c r="AV232" s="51">
        <f t="shared" si="627"/>
        <v>0</v>
      </c>
      <c r="AW232" s="51">
        <f t="shared" si="714"/>
        <v>0</v>
      </c>
      <c r="AX232" s="51">
        <f t="shared" si="628"/>
        <v>0</v>
      </c>
      <c r="AY232" s="54">
        <f t="shared" si="629"/>
        <v>0</v>
      </c>
      <c r="AZ232" s="55">
        <f t="shared" si="630"/>
        <v>0</v>
      </c>
      <c r="BA232" s="56">
        <f>IF(AND($E232&lt;&gt;0,$F232&gt;0,YEAR($F232)&gt;=Preisindex!$A$6,YEAR(AV$4)&gt;=YEAR($F232),AND($K232&lt;&gt;"a",$K232&lt;&gt;"b",$K232&lt;&gt;"g",$K232&lt;&gt;"k")),1,IF(AND($E232&lt;&gt;0,$F232&gt;0,YEAR($F232)&gt;=Preisindex!$A$6,YEAR(AV$4)&gt;=YEAR($F232),$K232="a"),ROUND(VLOOKUP(BA$4,Preisindex,5,FALSE)/VLOOKUP(YEAR($F232),Preisindex,5,FALSE),2),IF(AND($E232&lt;&gt;0,$F232&gt;0,YEAR($F232)&gt;=Preisindex!$A$6,YEAR(AV$4)&gt;=YEAR($F232),$K232="b"),ROUND(VLOOKUP(BA$4,Preisindex,3,FALSE)/VLOOKUP(YEAR($F232),Preisindex,3,FALSE),2),IF(AND($E232&lt;&gt;0,$F232&gt;0,YEAR($F232)&gt;=Preisindex!$A$6,YEAR(AV$4)&gt;=YEAR($F232),$K232="g"),ROUND(VLOOKUP(BA$4,Preisindex,4,FALSE)/VLOOKUP(YEAR($F232),Preisindex,4,FALSE),2),IF(AND($E232&lt;&gt;0,$F232&gt;0,YEAR($F232)&gt;=Preisindex!$A$6,YEAR(AV$4)&gt;=YEAR($F232),$K232="k"),ROUND(VLOOKUP(BA$4,Preisindex,2,FALSE)/VLOOKUP(YEAR($F232),Preisindex,2,FALSE),2),0)))))</f>
        <v>0</v>
      </c>
      <c r="BB232" s="56">
        <f>IF(AND($E232&lt;&gt;0,$F232&gt;0,YEAR($F232)&lt;Preisindex!$A$6,YEAR(AV$4)&gt;=YEAR($F232),AND($K232&lt;&gt;"a",$K232&lt;&gt;"b",$K232&lt;&gt;"g",$K232&lt;&gt;"k")),1,IF(AND($E232&lt;&gt;0,$F232&gt;0,YEAR($F232)&lt;Preisindex!$A$6,YEAR(AV$4)&gt;=YEAR($F232),$K232="a"),ROUND(VLOOKUP(BA$4,Preisindex,5,FALSE)/VLOOKUP(Preisindex!$A$6,Preisindex,5,FALSE),2),IF(AND($E232&lt;&gt;0,$F232&gt;0,YEAR($F232)&lt;Preisindex!$A$6,YEAR(AV$4)&gt;=YEAR($F232),$K232="b"),ROUND(VLOOKUP(BA$4,Preisindex,3,FALSE)/VLOOKUP(Preisindex!$A$6,Preisindex,3,FALSE),2),IF(AND($E232&lt;&gt;0,$F232&gt;0,YEAR($F232)&lt;Preisindex!$A$6,YEAR(AV$4)&gt;=YEAR($F232),$K232="g"),ROUND(VLOOKUP(BA$4,Preisindex,4,FALSE)/VLOOKUP(Preisindex!$A$6,Preisindex,4,FALSE),2),IF(AND($E232&lt;&gt;0,$F232&gt;0,YEAR($F232)&lt;Preisindex!$A$6,YEAR(AV$4)&gt;=YEAR($F232),$K232="k"),ROUND(VLOOKUP(BA$4,Preisindex,2,FALSE)/VLOOKUP(Preisindex!$A$6,Preisindex,2,FALSE),2),0)))))</f>
        <v>0</v>
      </c>
      <c r="BC232" s="51">
        <f>IF(AND($E232&lt;&gt;0,$F232&gt;0,YEAR($F232)&lt;=BA$4,YEAR($F232)&gt;=Preisindex!$A$6),ROUND($E232*BA232,2),IF(AND($E232&lt;&gt;0,$F232&gt;0,YEAR($F232)&lt;=BA$4,YEAR($F232)&lt;Preisindex!$A$6),ROUND($E232*BB232,2),0))</f>
        <v>0</v>
      </c>
      <c r="BD232" s="53">
        <f t="shared" si="631"/>
        <v>0</v>
      </c>
      <c r="BE232" s="51">
        <f t="shared" si="750"/>
        <v>0</v>
      </c>
      <c r="BF232" s="51">
        <f t="shared" si="715"/>
        <v>0</v>
      </c>
      <c r="BG232" s="51">
        <f t="shared" si="632"/>
        <v>0</v>
      </c>
      <c r="BH232" s="51">
        <f t="shared" si="716"/>
        <v>0</v>
      </c>
      <c r="BI232" s="51">
        <f t="shared" si="633"/>
        <v>0</v>
      </c>
      <c r="BJ232" s="51">
        <f t="shared" si="717"/>
        <v>0</v>
      </c>
      <c r="BK232" s="51">
        <f t="shared" si="634"/>
        <v>0</v>
      </c>
      <c r="BL232" s="51">
        <f t="shared" si="718"/>
        <v>0</v>
      </c>
      <c r="BM232" s="51">
        <f t="shared" si="635"/>
        <v>0</v>
      </c>
      <c r="BN232" s="51">
        <f t="shared" si="719"/>
        <v>0</v>
      </c>
      <c r="BO232" s="51">
        <f t="shared" si="636"/>
        <v>0</v>
      </c>
      <c r="BP232" s="54">
        <f t="shared" si="637"/>
        <v>0</v>
      </c>
      <c r="BQ232" s="55">
        <f t="shared" si="638"/>
        <v>0</v>
      </c>
      <c r="BR232" s="56">
        <f>IF(AND($E232&lt;&gt;0,$F232&gt;0,YEAR($F232)&gt;=Preisindex!$A$6,YEAR(BM$4)&gt;=YEAR($F232),AND($K232&lt;&gt;"a",$K232&lt;&gt;"b",$K232&lt;&gt;"g",$K232&lt;&gt;"k")),1,IF(AND($E232&lt;&gt;0,$F232&gt;0,YEAR($F232)&gt;=Preisindex!$A$6,YEAR(BM$4)&gt;=YEAR($F232),$K232="a"),ROUND(VLOOKUP(BR$4,Preisindex,5,FALSE)/VLOOKUP(YEAR($F232),Preisindex,5,FALSE),2),IF(AND($E232&lt;&gt;0,$F232&gt;0,YEAR($F232)&gt;=Preisindex!$A$6,YEAR(BM$4)&gt;=YEAR($F232),$K232="b"),ROUND(VLOOKUP(BR$4,Preisindex,3,FALSE)/VLOOKUP(YEAR($F232),Preisindex,3,FALSE),2),IF(AND($E232&lt;&gt;0,$F232&gt;0,YEAR($F232)&gt;=Preisindex!$A$6,YEAR(BM$4)&gt;=YEAR($F232),$K232="g"),ROUND(VLOOKUP(BR$4,Preisindex,4,FALSE)/VLOOKUP(YEAR($F232),Preisindex,4,FALSE),2),IF(AND($E232&lt;&gt;0,$F232&gt;0,YEAR($F232)&gt;=Preisindex!$A$6,YEAR(BM$4)&gt;=YEAR($F232),$K232="k"),ROUND(VLOOKUP(BR$4,Preisindex,2,FALSE)/VLOOKUP(YEAR($F232),Preisindex,2,FALSE),2),0)))))</f>
        <v>0</v>
      </c>
      <c r="BS232" s="56">
        <f>IF(AND($E232&lt;&gt;0,$F232&gt;0,YEAR($F232)&lt;Preisindex!$A$6,YEAR(BM$4)&gt;=YEAR($F232),AND($K232&lt;&gt;"a",$K232&lt;&gt;"b",$K232&lt;&gt;"g",$K232&lt;&gt;"k")),1,IF(AND($E232&lt;&gt;0,$F232&gt;0,YEAR($F232)&lt;Preisindex!$A$6,YEAR(BM$4)&gt;=YEAR($F232),$K232="a"),ROUND(VLOOKUP(BR$4,Preisindex,5,FALSE)/VLOOKUP(Preisindex!$A$6,Preisindex,5,FALSE),2),IF(AND($E232&lt;&gt;0,$F232&gt;0,YEAR($F232)&lt;Preisindex!$A$6,YEAR(BM$4)&gt;=YEAR($F232),$K232="b"),ROUND(VLOOKUP(BR$4,Preisindex,3,FALSE)/VLOOKUP(Preisindex!$A$6,Preisindex,3,FALSE),2),IF(AND($E232&lt;&gt;0,$F232&gt;0,YEAR($F232)&lt;Preisindex!$A$6,YEAR(BM$4)&gt;=YEAR($F232),$K232="g"),ROUND(VLOOKUP(BR$4,Preisindex,4,FALSE)/VLOOKUP(Preisindex!$A$6,Preisindex,4,FALSE),2),IF(AND($E232&lt;&gt;0,$F232&gt;0,YEAR($F232)&lt;Preisindex!$A$6,YEAR(BM$4)&gt;=YEAR($F232),$K232="k"),ROUND(VLOOKUP(BR$4,Preisindex,2,FALSE)/VLOOKUP(Preisindex!$A$6,Preisindex,2,FALSE),2),0)))))</f>
        <v>0</v>
      </c>
      <c r="BT232" s="51">
        <f>IF(AND($E232&lt;&gt;0,$F232&gt;0,YEAR($F232)&lt;=BR$4,YEAR($F232)&gt;=Preisindex!$A$6),ROUND($E232*BR232,2),IF(AND($E232&lt;&gt;0,$F232&gt;0,YEAR($F232)&lt;=BR$4,YEAR($F232)&lt;Preisindex!$A$6),ROUND($E232*BS232,2),0))</f>
        <v>0</v>
      </c>
      <c r="BU232" s="53">
        <f t="shared" si="639"/>
        <v>0</v>
      </c>
      <c r="BV232" s="51">
        <f t="shared" si="750"/>
        <v>0</v>
      </c>
      <c r="BW232" s="51">
        <f t="shared" si="720"/>
        <v>0</v>
      </c>
      <c r="BX232" s="51">
        <f t="shared" si="640"/>
        <v>0</v>
      </c>
      <c r="BY232" s="51">
        <f t="shared" si="721"/>
        <v>0</v>
      </c>
      <c r="BZ232" s="51">
        <f t="shared" si="641"/>
        <v>0</v>
      </c>
      <c r="CA232" s="51">
        <f t="shared" si="722"/>
        <v>0</v>
      </c>
      <c r="CB232" s="51">
        <f t="shared" si="642"/>
        <v>0</v>
      </c>
      <c r="CC232" s="51">
        <f t="shared" si="723"/>
        <v>0</v>
      </c>
      <c r="CD232" s="51">
        <f t="shared" si="643"/>
        <v>0</v>
      </c>
      <c r="CE232" s="51">
        <f t="shared" si="724"/>
        <v>0</v>
      </c>
      <c r="CF232" s="51">
        <f t="shared" si="644"/>
        <v>0</v>
      </c>
      <c r="CG232" s="54">
        <f t="shared" si="645"/>
        <v>0</v>
      </c>
      <c r="CH232" s="55">
        <f t="shared" si="646"/>
        <v>0</v>
      </c>
      <c r="CI232" s="56">
        <f>IF(AND($E232&lt;&gt;0,$F232&gt;0,YEAR($F232)&gt;=Preisindex!$A$6,YEAR(CD$4)&gt;=YEAR($F232),AND($K232&lt;&gt;"a",$K232&lt;&gt;"b",$K232&lt;&gt;"g",$K232&lt;&gt;"k")),1,IF(AND($E232&lt;&gt;0,$F232&gt;0,YEAR($F232)&gt;=Preisindex!$A$6,YEAR(CD$4)&gt;=YEAR($F232),$K232="a"),ROUND(VLOOKUP(CI$4,Preisindex,5,FALSE)/VLOOKUP(YEAR($F232),Preisindex,5,FALSE),2),IF(AND($E232&lt;&gt;0,$F232&gt;0,YEAR($F232)&gt;=Preisindex!$A$6,YEAR(CD$4)&gt;=YEAR($F232),$K232="b"),ROUND(VLOOKUP(CI$4,Preisindex,3,FALSE)/VLOOKUP(YEAR($F232),Preisindex,3,FALSE),2),IF(AND($E232&lt;&gt;0,$F232&gt;0,YEAR($F232)&gt;=Preisindex!$A$6,YEAR(CD$4)&gt;=YEAR($F232),$K232="g"),ROUND(VLOOKUP(CI$4,Preisindex,4,FALSE)/VLOOKUP(YEAR($F232),Preisindex,4,FALSE),2),IF(AND($E232&lt;&gt;0,$F232&gt;0,YEAR($F232)&gt;=Preisindex!$A$6,YEAR(CD$4)&gt;=YEAR($F232),$K232="k"),ROUND(VLOOKUP(CI$4,Preisindex,2,FALSE)/VLOOKUP(YEAR($F232),Preisindex,2,FALSE),2),0)))))</f>
        <v>0</v>
      </c>
      <c r="CJ232" s="56">
        <f>IF(AND($E232&lt;&gt;0,$F232&gt;0,YEAR($F232)&lt;Preisindex!$A$6,YEAR(CD$4)&gt;=YEAR($F232),AND($K232&lt;&gt;"a",$K232&lt;&gt;"b",$K232&lt;&gt;"g",$K232&lt;&gt;"k")),1,IF(AND($E232&lt;&gt;0,$F232&gt;0,YEAR($F232)&lt;Preisindex!$A$6,YEAR(CD$4)&gt;=YEAR($F232),$K232="a"),ROUND(VLOOKUP(CI$4,Preisindex,5,FALSE)/VLOOKUP(Preisindex!$A$6,Preisindex,5,FALSE),2),IF(AND($E232&lt;&gt;0,$F232&gt;0,YEAR($F232)&lt;Preisindex!$A$6,YEAR(CD$4)&gt;=YEAR($F232),$K232="b"),ROUND(VLOOKUP(CI$4,Preisindex,3,FALSE)/VLOOKUP(Preisindex!$A$6,Preisindex,3,FALSE),2),IF(AND($E232&lt;&gt;0,$F232&gt;0,YEAR($F232)&lt;Preisindex!$A$6,YEAR(CD$4)&gt;=YEAR($F232),$K232="g"),ROUND(VLOOKUP(CI$4,Preisindex,4,FALSE)/VLOOKUP(Preisindex!$A$6,Preisindex,4,FALSE),2),IF(AND($E232&lt;&gt;0,$F232&gt;0,YEAR($F232)&lt;Preisindex!$A$6,YEAR(CD$4)&gt;=YEAR($F232),$K232="k"),ROUND(VLOOKUP(CI$4,Preisindex,2,FALSE)/VLOOKUP(Preisindex!$A$6,Preisindex,2,FALSE),2),0)))))</f>
        <v>0</v>
      </c>
      <c r="CK232" s="51">
        <f>IF(AND($E232&lt;&gt;0,$F232&gt;0,YEAR($F232)&lt;=CI$4,YEAR($F232)&gt;=Preisindex!$A$6),ROUND($E232*CI232,2),IF(AND($E232&lt;&gt;0,$F232&gt;0,YEAR($F232)&lt;=CI$4,YEAR($F232)&lt;Preisindex!$A$6),ROUND($E232*CJ232,2),0))</f>
        <v>0</v>
      </c>
      <c r="CL232" s="53">
        <f t="shared" si="647"/>
        <v>0</v>
      </c>
      <c r="CM232" s="51">
        <f t="shared" si="750"/>
        <v>0</v>
      </c>
      <c r="CN232" s="51">
        <f t="shared" si="725"/>
        <v>0</v>
      </c>
      <c r="CO232" s="51">
        <f t="shared" si="648"/>
        <v>0</v>
      </c>
      <c r="CP232" s="51">
        <f t="shared" si="726"/>
        <v>0</v>
      </c>
      <c r="CQ232" s="51">
        <f t="shared" si="649"/>
        <v>0</v>
      </c>
      <c r="CR232" s="51">
        <f t="shared" si="727"/>
        <v>0</v>
      </c>
      <c r="CS232" s="51">
        <f t="shared" si="650"/>
        <v>0</v>
      </c>
      <c r="CT232" s="51">
        <f t="shared" si="728"/>
        <v>0</v>
      </c>
      <c r="CU232" s="51">
        <f t="shared" si="651"/>
        <v>0</v>
      </c>
      <c r="CV232" s="51">
        <f t="shared" si="729"/>
        <v>0</v>
      </c>
      <c r="CW232" s="51">
        <f t="shared" si="652"/>
        <v>0</v>
      </c>
      <c r="CX232" s="54">
        <f t="shared" si="653"/>
        <v>0</v>
      </c>
      <c r="CY232" s="55">
        <f t="shared" si="654"/>
        <v>0</v>
      </c>
      <c r="CZ232" s="56">
        <f>IF(AND($E232&lt;&gt;0,$F232&gt;0,YEAR($F232)&gt;=Preisindex!$A$6,YEAR(CU$4)&gt;=YEAR($F232),AND($K232&lt;&gt;"a",$K232&lt;&gt;"b",$K232&lt;&gt;"g",$K232&lt;&gt;"k")),1,IF(AND($E232&lt;&gt;0,$F232&gt;0,YEAR($F232)&gt;=Preisindex!$A$6,YEAR(CU$4)&gt;=YEAR($F232),$K232="a"),ROUND(VLOOKUP(CZ$4,Preisindex,5,FALSE)/VLOOKUP(YEAR($F232),Preisindex,5,FALSE),2),IF(AND($E232&lt;&gt;0,$F232&gt;0,YEAR($F232)&gt;=Preisindex!$A$6,YEAR(CU$4)&gt;=YEAR($F232),$K232="b"),ROUND(VLOOKUP(CZ$4,Preisindex,3,FALSE)/VLOOKUP(YEAR($F232),Preisindex,3,FALSE),2),IF(AND($E232&lt;&gt;0,$F232&gt;0,YEAR($F232)&gt;=Preisindex!$A$6,YEAR(CU$4)&gt;=YEAR($F232),$K232="g"),ROUND(VLOOKUP(CZ$4,Preisindex,4,FALSE)/VLOOKUP(YEAR($F232),Preisindex,4,FALSE),2),IF(AND($E232&lt;&gt;0,$F232&gt;0,YEAR($F232)&gt;=Preisindex!$A$6,YEAR(CU$4)&gt;=YEAR($F232),$K232="k"),ROUND(VLOOKUP(CZ$4,Preisindex,2,FALSE)/VLOOKUP(YEAR($F232),Preisindex,2,FALSE),2),0)))))</f>
        <v>0</v>
      </c>
      <c r="DA232" s="56">
        <f>IF(AND($E232&lt;&gt;0,$F232&gt;0,YEAR($F232)&lt;Preisindex!$A$6,YEAR(CU$4)&gt;=YEAR($F232),AND($K232&lt;&gt;"a",$K232&lt;&gt;"b",$K232&lt;&gt;"g",$K232&lt;&gt;"k")),1,IF(AND($E232&lt;&gt;0,$F232&gt;0,YEAR($F232)&lt;Preisindex!$A$6,YEAR(CU$4)&gt;=YEAR($F232),$K232="a"),ROUND(VLOOKUP(CZ$4,Preisindex,5,FALSE)/VLOOKUP(Preisindex!$A$6,Preisindex,5,FALSE),2),IF(AND($E232&lt;&gt;0,$F232&gt;0,YEAR($F232)&lt;Preisindex!$A$6,YEAR(CU$4)&gt;=YEAR($F232),$K232="b"),ROUND(VLOOKUP(CZ$4,Preisindex,3,FALSE)/VLOOKUP(Preisindex!$A$6,Preisindex,3,FALSE),2),IF(AND($E232&lt;&gt;0,$F232&gt;0,YEAR($F232)&lt;Preisindex!$A$6,YEAR(CU$4)&gt;=YEAR($F232),$K232="g"),ROUND(VLOOKUP(CZ$4,Preisindex,4,FALSE)/VLOOKUP(Preisindex!$A$6,Preisindex,4,FALSE),2),IF(AND($E232&lt;&gt;0,$F232&gt;0,YEAR($F232)&lt;Preisindex!$A$6,YEAR(CU$4)&gt;=YEAR($F232),$K232="k"),ROUND(VLOOKUP(CZ$4,Preisindex,2,FALSE)/VLOOKUP(Preisindex!$A$6,Preisindex,2,FALSE),2),0)))))</f>
        <v>0</v>
      </c>
      <c r="DB232" s="51">
        <f>IF(AND($E232&lt;&gt;0,$F232&gt;0,YEAR($F232)&lt;=CZ$4,YEAR($F232)&gt;=Preisindex!$A$6),ROUND($E232*CZ232,2),IF(AND($E232&lt;&gt;0,$F232&gt;0,YEAR($F232)&lt;=CZ$4,YEAR($F232)&lt;Preisindex!$A$6),ROUND($E232*DA232,2),0))</f>
        <v>0</v>
      </c>
      <c r="DC232" s="53">
        <f t="shared" si="655"/>
        <v>0</v>
      </c>
      <c r="DD232" s="51">
        <f t="shared" si="751"/>
        <v>0</v>
      </c>
      <c r="DE232" s="51">
        <f t="shared" si="730"/>
        <v>0</v>
      </c>
      <c r="DF232" s="51">
        <f t="shared" si="657"/>
        <v>0</v>
      </c>
      <c r="DG232" s="51">
        <f t="shared" si="731"/>
        <v>0</v>
      </c>
      <c r="DH232" s="51">
        <f t="shared" si="658"/>
        <v>0</v>
      </c>
      <c r="DI232" s="51">
        <f t="shared" si="732"/>
        <v>0</v>
      </c>
      <c r="DJ232" s="51">
        <f t="shared" si="659"/>
        <v>0</v>
      </c>
      <c r="DK232" s="51">
        <f t="shared" si="733"/>
        <v>0</v>
      </c>
      <c r="DL232" s="51">
        <f t="shared" si="660"/>
        <v>0</v>
      </c>
      <c r="DM232" s="51">
        <f t="shared" si="734"/>
        <v>0</v>
      </c>
      <c r="DN232" s="51">
        <f t="shared" si="661"/>
        <v>0</v>
      </c>
      <c r="DO232" s="54">
        <f t="shared" si="662"/>
        <v>0</v>
      </c>
      <c r="DP232" s="55">
        <f t="shared" si="663"/>
        <v>0</v>
      </c>
      <c r="DQ232" s="56">
        <f>IF(AND($E232&lt;&gt;0,$F232&gt;0,YEAR($F232)&gt;=Preisindex!$A$6,YEAR(DL$4)&gt;=YEAR($F232),AND($K232&lt;&gt;"a",$K232&lt;&gt;"b",$K232&lt;&gt;"g",$K232&lt;&gt;"k")),1,IF(AND($E232&lt;&gt;0,$F232&gt;0,YEAR($F232)&gt;=Preisindex!$A$6,YEAR(DL$4)&gt;=YEAR($F232),$K232="a"),ROUND(VLOOKUP(DQ$4,Preisindex,5,FALSE)/VLOOKUP(YEAR($F232),Preisindex,5,FALSE),2),IF(AND($E232&lt;&gt;0,$F232&gt;0,YEAR($F232)&gt;=Preisindex!$A$6,YEAR(DL$4)&gt;=YEAR($F232),$K232="b"),ROUND(VLOOKUP(DQ$4,Preisindex,3,FALSE)/VLOOKUP(YEAR($F232),Preisindex,3,FALSE),2),IF(AND($E232&lt;&gt;0,$F232&gt;0,YEAR($F232)&gt;=Preisindex!$A$6,YEAR(DL$4)&gt;=YEAR($F232),$K232="g"),ROUND(VLOOKUP(DQ$4,Preisindex,4,FALSE)/VLOOKUP(YEAR($F232),Preisindex,4,FALSE),2),IF(AND($E232&lt;&gt;0,$F232&gt;0,YEAR($F232)&gt;=Preisindex!$A$6,YEAR(DL$4)&gt;=YEAR($F232),$K232="k"),ROUND(VLOOKUP(DQ$4,Preisindex,2,FALSE)/VLOOKUP(YEAR($F232),Preisindex,2,FALSE),2),0)))))</f>
        <v>0</v>
      </c>
      <c r="DR232" s="56">
        <f>IF(AND($E232&lt;&gt;0,$F232&gt;0,YEAR($F232)&lt;Preisindex!$A$6,YEAR(DL$4)&gt;=YEAR($F232),AND($K232&lt;&gt;"a",$K232&lt;&gt;"b",$K232&lt;&gt;"g",$K232&lt;&gt;"k")),1,IF(AND($E232&lt;&gt;0,$F232&gt;0,YEAR($F232)&lt;Preisindex!$A$6,YEAR(DL$4)&gt;=YEAR($F232),$K232="a"),ROUND(VLOOKUP(DQ$4,Preisindex,5,FALSE)/VLOOKUP(Preisindex!$A$6,Preisindex,5,FALSE),2),IF(AND($E232&lt;&gt;0,$F232&gt;0,YEAR($F232)&lt;Preisindex!$A$6,YEAR(DL$4)&gt;=YEAR($F232),$K232="b"),ROUND(VLOOKUP(DQ$4,Preisindex,3,FALSE)/VLOOKUP(Preisindex!$A$6,Preisindex,3,FALSE),2),IF(AND($E232&lt;&gt;0,$F232&gt;0,YEAR($F232)&lt;Preisindex!$A$6,YEAR(DL$4)&gt;=YEAR($F232),$K232="g"),ROUND(VLOOKUP(DQ$4,Preisindex,4,FALSE)/VLOOKUP(Preisindex!$A$6,Preisindex,4,FALSE),2),IF(AND($E232&lt;&gt;0,$F232&gt;0,YEAR($F232)&lt;Preisindex!$A$6,YEAR(DL$4)&gt;=YEAR($F232),$K232="k"),ROUND(VLOOKUP(DQ$4,Preisindex,2,FALSE)/VLOOKUP(Preisindex!$A$6,Preisindex,2,FALSE),2),0)))))</f>
        <v>0</v>
      </c>
      <c r="DS232" s="51">
        <f>IF(AND($E232&lt;&gt;0,$F232&gt;0,YEAR($F232)&lt;=DQ$4,YEAR($F232)&gt;=Preisindex!$A$6),ROUND($E232*DQ232,2),IF(AND($E232&lt;&gt;0,$F232&gt;0,YEAR($F232)&lt;=DQ$4,YEAR($F232)&lt;Preisindex!$A$6),ROUND($E232*DR232,2),0))</f>
        <v>0</v>
      </c>
      <c r="DT232" s="53">
        <f t="shared" si="664"/>
        <v>0</v>
      </c>
      <c r="DU232" s="51">
        <f t="shared" si="751"/>
        <v>0</v>
      </c>
      <c r="DV232" s="51">
        <f t="shared" si="735"/>
        <v>0</v>
      </c>
      <c r="DW232" s="51">
        <f t="shared" si="665"/>
        <v>0</v>
      </c>
      <c r="DX232" s="51">
        <f t="shared" si="736"/>
        <v>0</v>
      </c>
      <c r="DY232" s="51">
        <f t="shared" si="666"/>
        <v>0</v>
      </c>
      <c r="DZ232" s="51">
        <f t="shared" si="737"/>
        <v>0</v>
      </c>
      <c r="EA232" s="51">
        <f t="shared" si="667"/>
        <v>0</v>
      </c>
      <c r="EB232" s="51">
        <f t="shared" si="738"/>
        <v>0</v>
      </c>
      <c r="EC232" s="51">
        <f t="shared" si="668"/>
        <v>0</v>
      </c>
      <c r="ED232" s="51">
        <f t="shared" si="739"/>
        <v>0</v>
      </c>
      <c r="EE232" s="51">
        <f t="shared" si="669"/>
        <v>0</v>
      </c>
      <c r="EF232" s="54">
        <f t="shared" si="670"/>
        <v>0</v>
      </c>
      <c r="EG232" s="55">
        <f t="shared" si="671"/>
        <v>0</v>
      </c>
      <c r="EH232" s="56">
        <f>IF(AND($E232&lt;&gt;0,$F232&gt;0,YEAR($F232)&gt;=Preisindex!$A$6,YEAR(EC$4)&gt;=YEAR($F232),AND($K232&lt;&gt;"a",$K232&lt;&gt;"b",$K232&lt;&gt;"g",$K232&lt;&gt;"k")),1,IF(AND($E232&lt;&gt;0,$F232&gt;0,YEAR($F232)&gt;=Preisindex!$A$6,YEAR(EC$4)&gt;=YEAR($F232),$K232="a"),ROUND(VLOOKUP(EH$4,Preisindex,5,FALSE)/VLOOKUP(YEAR($F232),Preisindex,5,FALSE),2),IF(AND($E232&lt;&gt;0,$F232&gt;0,YEAR($F232)&gt;=Preisindex!$A$6,YEAR(EC$4)&gt;=YEAR($F232),$K232="b"),ROUND(VLOOKUP(EH$4,Preisindex,3,FALSE)/VLOOKUP(YEAR($F232),Preisindex,3,FALSE),2),IF(AND($E232&lt;&gt;0,$F232&gt;0,YEAR($F232)&gt;=Preisindex!$A$6,YEAR(EC$4)&gt;=YEAR($F232),$K232="g"),ROUND(VLOOKUP(EH$4,Preisindex,4,FALSE)/VLOOKUP(YEAR($F232),Preisindex,4,FALSE),2),IF(AND($E232&lt;&gt;0,$F232&gt;0,YEAR($F232)&gt;=Preisindex!$A$6,YEAR(EC$4)&gt;=YEAR($F232),$K232="k"),ROUND(VLOOKUP(EH$4,Preisindex,2,FALSE)/VLOOKUP(YEAR($F232),Preisindex,2,FALSE),2),0)))))</f>
        <v>0</v>
      </c>
      <c r="EI232" s="56">
        <f>IF(AND($E232&lt;&gt;0,$F232&gt;0,YEAR($F232)&lt;Preisindex!$A$6,YEAR(EC$4)&gt;=YEAR($F232),AND($K232&lt;&gt;"a",$K232&lt;&gt;"b",$K232&lt;&gt;"g",$K232&lt;&gt;"k")),1,IF(AND($E232&lt;&gt;0,$F232&gt;0,YEAR($F232)&lt;Preisindex!$A$6,YEAR(EC$4)&gt;=YEAR($F232),$K232="a"),ROUND(VLOOKUP(EH$4,Preisindex,5,FALSE)/VLOOKUP(Preisindex!$A$6,Preisindex,5,FALSE),2),IF(AND($E232&lt;&gt;0,$F232&gt;0,YEAR($F232)&lt;Preisindex!$A$6,YEAR(EC$4)&gt;=YEAR($F232),$K232="b"),ROUND(VLOOKUP(EH$4,Preisindex,3,FALSE)/VLOOKUP(Preisindex!$A$6,Preisindex,3,FALSE),2),IF(AND($E232&lt;&gt;0,$F232&gt;0,YEAR($F232)&lt;Preisindex!$A$6,YEAR(EC$4)&gt;=YEAR($F232),$K232="g"),ROUND(VLOOKUP(EH$4,Preisindex,4,FALSE)/VLOOKUP(Preisindex!$A$6,Preisindex,4,FALSE),2),IF(AND($E232&lt;&gt;0,$F232&gt;0,YEAR($F232)&lt;Preisindex!$A$6,YEAR(EC$4)&gt;=YEAR($F232),$K232="k"),ROUND(VLOOKUP(EH$4,Preisindex,2,FALSE)/VLOOKUP(Preisindex!$A$6,Preisindex,2,FALSE),2),0)))))</f>
        <v>0</v>
      </c>
      <c r="EJ232" s="51">
        <f>IF(AND($E232&lt;&gt;0,$F232&gt;0,YEAR($F232)&lt;=EH$4,YEAR($F232)&gt;=Preisindex!$A$6),ROUND($E232*EH232,2),IF(AND($E232&lt;&gt;0,$F232&gt;0,YEAR($F232)&lt;=EH$4,YEAR($F232)&lt;Preisindex!$A$6),ROUND($E232*EI232,2),0))</f>
        <v>0</v>
      </c>
      <c r="EK232" s="53">
        <f t="shared" si="672"/>
        <v>0</v>
      </c>
      <c r="EL232" s="51">
        <f t="shared" si="751"/>
        <v>0</v>
      </c>
      <c r="EM232" s="51">
        <f t="shared" si="740"/>
        <v>0</v>
      </c>
      <c r="EN232" s="51">
        <f t="shared" si="673"/>
        <v>0</v>
      </c>
      <c r="EO232" s="51">
        <f t="shared" si="741"/>
        <v>0</v>
      </c>
      <c r="EP232" s="51">
        <f t="shared" si="674"/>
        <v>0</v>
      </c>
      <c r="EQ232" s="51">
        <f t="shared" si="742"/>
        <v>0</v>
      </c>
      <c r="ER232" s="51">
        <f t="shared" si="675"/>
        <v>0</v>
      </c>
      <c r="ES232" s="51">
        <f t="shared" si="743"/>
        <v>0</v>
      </c>
      <c r="ET232" s="51">
        <f t="shared" si="676"/>
        <v>0</v>
      </c>
      <c r="EU232" s="51">
        <f t="shared" si="744"/>
        <v>0</v>
      </c>
      <c r="EV232" s="51">
        <f t="shared" si="677"/>
        <v>0</v>
      </c>
      <c r="EW232" s="54">
        <f t="shared" si="678"/>
        <v>0</v>
      </c>
      <c r="EX232" s="55">
        <f t="shared" si="679"/>
        <v>0</v>
      </c>
      <c r="EY232" s="56">
        <f>IF(AND($E232&lt;&gt;0,$F232&gt;0,YEAR($F232)&gt;=Preisindex!$A$6,YEAR(ET$4)&gt;=YEAR($F232),AND($K232&lt;&gt;"a",$K232&lt;&gt;"b",$K232&lt;&gt;"g",$K232&lt;&gt;"k")),1,IF(AND($E232&lt;&gt;0,$F232&gt;0,YEAR($F232)&gt;=Preisindex!$A$6,YEAR(ET$4)&gt;=YEAR($F232),$K232="a"),ROUND(VLOOKUP(EY$4,Preisindex,5,FALSE)/VLOOKUP(YEAR($F232),Preisindex,5,FALSE),2),IF(AND($E232&lt;&gt;0,$F232&gt;0,YEAR($F232)&gt;=Preisindex!$A$6,YEAR(ET$4)&gt;=YEAR($F232),$K232="b"),ROUND(VLOOKUP(EY$4,Preisindex,3,FALSE)/VLOOKUP(YEAR($F232),Preisindex,3,FALSE),2),IF(AND($E232&lt;&gt;0,$F232&gt;0,YEAR($F232)&gt;=Preisindex!$A$6,YEAR(ET$4)&gt;=YEAR($F232),$K232="g"),ROUND(VLOOKUP(EY$4,Preisindex,4,FALSE)/VLOOKUP(YEAR($F232),Preisindex,4,FALSE),2),IF(AND($E232&lt;&gt;0,$F232&gt;0,YEAR($F232)&gt;=Preisindex!$A$6,YEAR(ET$4)&gt;=YEAR($F232),$K232="k"),ROUND(VLOOKUP(EY$4,Preisindex,2,FALSE)/VLOOKUP(YEAR($F232),Preisindex,2,FALSE),2),0)))))</f>
        <v>0</v>
      </c>
      <c r="EZ232" s="56">
        <f>IF(AND($E232&lt;&gt;0,$F232&gt;0,YEAR($F232)&lt;Preisindex!$A$6,YEAR(ET$4)&gt;=YEAR($F232),AND($K232&lt;&gt;"a",$K232&lt;&gt;"b",$K232&lt;&gt;"g",$K232&lt;&gt;"k")),1,IF(AND($E232&lt;&gt;0,$F232&gt;0,YEAR($F232)&lt;Preisindex!$A$6,YEAR(ET$4)&gt;=YEAR($F232),$K232="a"),ROUND(VLOOKUP(EY$4,Preisindex,5,FALSE)/VLOOKUP(Preisindex!$A$6,Preisindex,5,FALSE),2),IF(AND($E232&lt;&gt;0,$F232&gt;0,YEAR($F232)&lt;Preisindex!$A$6,YEAR(ET$4)&gt;=YEAR($F232),$K232="b"),ROUND(VLOOKUP(EY$4,Preisindex,3,FALSE)/VLOOKUP(Preisindex!$A$6,Preisindex,3,FALSE),2),IF(AND($E232&lt;&gt;0,$F232&gt;0,YEAR($F232)&lt;Preisindex!$A$6,YEAR(ET$4)&gt;=YEAR($F232),$K232="g"),ROUND(VLOOKUP(EY$4,Preisindex,4,FALSE)/VLOOKUP(Preisindex!$A$6,Preisindex,4,FALSE),2),IF(AND($E232&lt;&gt;0,$F232&gt;0,YEAR($F232)&lt;Preisindex!$A$6,YEAR(ET$4)&gt;=YEAR($F232),$K232="k"),ROUND(VLOOKUP(EY$4,Preisindex,2,FALSE)/VLOOKUP(Preisindex!$A$6,Preisindex,2,FALSE),2),0)))))</f>
        <v>0</v>
      </c>
      <c r="FA232" s="51">
        <f>IF(AND($E232&lt;&gt;0,$F232&gt;0,YEAR($F232)&lt;=EY$4,YEAR($F232)&gt;=Preisindex!$A$6),ROUND($E232*EY232,2),IF(AND($E232&lt;&gt;0,$F232&gt;0,YEAR($F232)&lt;=EY$4,YEAR($F232)&lt;Preisindex!$A$6),ROUND($E232*EZ232,2),0))</f>
        <v>0</v>
      </c>
      <c r="FB232" s="53">
        <f t="shared" si="680"/>
        <v>0</v>
      </c>
      <c r="FC232" s="51">
        <f t="shared" si="751"/>
        <v>0</v>
      </c>
      <c r="FD232" s="51">
        <f t="shared" si="745"/>
        <v>0</v>
      </c>
      <c r="FE232" s="51">
        <f t="shared" si="681"/>
        <v>0</v>
      </c>
      <c r="FF232" s="51">
        <f t="shared" si="746"/>
        <v>0</v>
      </c>
      <c r="FG232" s="51">
        <f t="shared" si="682"/>
        <v>0</v>
      </c>
      <c r="FH232" s="51">
        <f t="shared" si="747"/>
        <v>0</v>
      </c>
      <c r="FI232" s="51">
        <f t="shared" si="683"/>
        <v>0</v>
      </c>
      <c r="FJ232" s="51">
        <f t="shared" si="748"/>
        <v>0</v>
      </c>
      <c r="FK232" s="51">
        <f t="shared" si="684"/>
        <v>0</v>
      </c>
      <c r="FL232" s="51">
        <f t="shared" si="749"/>
        <v>0</v>
      </c>
      <c r="FM232" s="51">
        <f t="shared" si="685"/>
        <v>0</v>
      </c>
      <c r="FN232" s="54">
        <f t="shared" si="686"/>
        <v>0</v>
      </c>
      <c r="FO232" s="55">
        <f t="shared" si="687"/>
        <v>0</v>
      </c>
      <c r="FP232" s="56">
        <f>IF(AND($E232&lt;&gt;0,$F232&gt;0,YEAR($F232)&gt;=Preisindex!$A$6,YEAR(FK$4)&gt;=YEAR($F232),AND($K232&lt;&gt;"a",$K232&lt;&gt;"b",$K232&lt;&gt;"g",$K232&lt;&gt;"k")),1,IF(AND($E232&lt;&gt;0,$F232&gt;0,YEAR($F232)&gt;=Preisindex!$A$6,YEAR(FK$4)&gt;=YEAR($F232),$K232="a"),ROUND(VLOOKUP(FP$4,Preisindex,5,FALSE)/VLOOKUP(YEAR($F232),Preisindex,5,FALSE),2),IF(AND($E232&lt;&gt;0,$F232&gt;0,YEAR($F232)&gt;=Preisindex!$A$6,YEAR(FK$4)&gt;=YEAR($F232),$K232="b"),ROUND(VLOOKUP(FP$4,Preisindex,3,FALSE)/VLOOKUP(YEAR($F232),Preisindex,3,FALSE),2),IF(AND($E232&lt;&gt;0,$F232&gt;0,YEAR($F232)&gt;=Preisindex!$A$6,YEAR(FK$4)&gt;=YEAR($F232),$K232="g"),ROUND(VLOOKUP(FP$4,Preisindex,4,FALSE)/VLOOKUP(YEAR($F232),Preisindex,4,FALSE),2),IF(AND($E232&lt;&gt;0,$F232&gt;0,YEAR($F232)&gt;=Preisindex!$A$6,YEAR(FK$4)&gt;=YEAR($F232),$K232="k"),ROUND(VLOOKUP(FP$4,Preisindex,2,FALSE)/VLOOKUP(YEAR($F232),Preisindex,2,FALSE),2),0)))))</f>
        <v>0</v>
      </c>
      <c r="FQ232" s="56">
        <f>IF(AND($E232&lt;&gt;0,$F232&gt;0,YEAR($F232)&lt;Preisindex!$A$6,YEAR(FK$4)&gt;=YEAR($F232),AND($K232&lt;&gt;"a",$K232&lt;&gt;"b",$K232&lt;&gt;"g",$K232&lt;&gt;"k")),1,IF(AND($E232&lt;&gt;0,$F232&gt;0,YEAR($F232)&lt;Preisindex!$A$6,YEAR(FK$4)&gt;=YEAR($F232),$K232="a"),ROUND(VLOOKUP(FP$4,Preisindex,5,FALSE)/VLOOKUP(Preisindex!$A$6,Preisindex,5,FALSE),2),IF(AND($E232&lt;&gt;0,$F232&gt;0,YEAR($F232)&lt;Preisindex!$A$6,YEAR(FK$4)&gt;=YEAR($F232),$K232="b"),ROUND(VLOOKUP(FP$4,Preisindex,3,FALSE)/VLOOKUP(Preisindex!$A$6,Preisindex,3,FALSE),2),IF(AND($E232&lt;&gt;0,$F232&gt;0,YEAR($F232)&lt;Preisindex!$A$6,YEAR(FK$4)&gt;=YEAR($F232),$K232="g"),ROUND(VLOOKUP(FP$4,Preisindex,4,FALSE)/VLOOKUP(Preisindex!$A$6,Preisindex,4,FALSE),2),IF(AND($E232&lt;&gt;0,$F232&gt;0,YEAR($F232)&lt;Preisindex!$A$6,YEAR(FK$4)&gt;=YEAR($F232),$K232="k"),ROUND(VLOOKUP(FP$4,Preisindex,2,FALSE)/VLOOKUP(Preisindex!$A$6,Preisindex,2,FALSE),2),0)))))</f>
        <v>0</v>
      </c>
      <c r="FR232" s="51">
        <f>IF(AND($E232&lt;&gt;0,$F232&gt;0,YEAR($F232)&lt;=FP$4,YEAR($F232)&gt;=Preisindex!$A$6),ROUND($E232*FP232,2),IF(AND($E232&lt;&gt;0,$F232&gt;0,YEAR($F232)&lt;=FP$4,YEAR($F232)&lt;Preisindex!$A$6),ROUND($E232*FQ232,2),0))</f>
        <v>0</v>
      </c>
      <c r="FS232" s="53">
        <f t="shared" si="688"/>
        <v>0</v>
      </c>
    </row>
    <row r="233" spans="1:175" x14ac:dyDescent="0.3">
      <c r="A233" s="93"/>
      <c r="B233" s="94"/>
      <c r="C233" s="94"/>
      <c r="D233" s="188"/>
      <c r="E233" s="624"/>
      <c r="F233" s="190"/>
      <c r="G233" s="625"/>
      <c r="H233" s="192"/>
      <c r="I233" s="621"/>
      <c r="J233" s="103"/>
      <c r="K233" s="630"/>
      <c r="L233" s="49">
        <f t="shared" si="689"/>
        <v>0</v>
      </c>
      <c r="M233" s="50">
        <f t="shared" si="690"/>
        <v>0</v>
      </c>
      <c r="N233" s="51">
        <f t="shared" si="691"/>
        <v>0</v>
      </c>
      <c r="O233" s="51"/>
      <c r="P233" s="51">
        <f t="shared" si="692"/>
        <v>0</v>
      </c>
      <c r="Q233" s="52"/>
      <c r="R233" s="52"/>
      <c r="S233" s="52"/>
      <c r="T233" s="52"/>
      <c r="U233" s="52"/>
      <c r="V233" s="53">
        <f t="shared" si="693"/>
        <v>0</v>
      </c>
      <c r="W233" s="51">
        <f t="shared" si="694"/>
        <v>0</v>
      </c>
      <c r="X233" s="51">
        <f t="shared" si="695"/>
        <v>0</v>
      </c>
      <c r="Y233" s="51">
        <f t="shared" si="696"/>
        <v>0</v>
      </c>
      <c r="Z233" s="51">
        <f t="shared" si="697"/>
        <v>0</v>
      </c>
      <c r="AA233" s="51">
        <f t="shared" si="698"/>
        <v>0</v>
      </c>
      <c r="AB233" s="51">
        <f t="shared" si="699"/>
        <v>0</v>
      </c>
      <c r="AC233" s="51">
        <f t="shared" si="700"/>
        <v>0</v>
      </c>
      <c r="AD233" s="51">
        <f t="shared" si="701"/>
        <v>0</v>
      </c>
      <c r="AE233" s="51">
        <f t="shared" si="702"/>
        <v>0</v>
      </c>
      <c r="AF233" s="51">
        <f t="shared" si="703"/>
        <v>0</v>
      </c>
      <c r="AG233" s="51">
        <f t="shared" si="704"/>
        <v>0</v>
      </c>
      <c r="AH233" s="54">
        <f t="shared" si="705"/>
        <v>0</v>
      </c>
      <c r="AI233" s="55">
        <f t="shared" si="706"/>
        <v>0</v>
      </c>
      <c r="AJ233" s="56">
        <f>IF(AND($E233&lt;&gt;0,$F233&gt;0,YEAR($F233)&gt;=Preisindex!$A$6,YEAR(AE$4)&gt;=YEAR($F233),AND($K233&lt;&gt;"a",$K233&lt;&gt;"b",$K233&lt;&gt;"g",$K233&lt;&gt;"k")),1,IF(AND($E233&lt;&gt;0,$F233&gt;0,YEAR($F233)&gt;=Preisindex!$A$6,YEAR(AE$4)&gt;=YEAR($F233),$K233="a"),ROUND(VLOOKUP(AJ$4,Preisindex,5,FALSE)/VLOOKUP(YEAR($F233),Preisindex,5,FALSE),2),IF(AND($E233&lt;&gt;0,$F233&gt;0,YEAR($F233)&gt;=Preisindex!$A$6,YEAR(AE$4)&gt;=YEAR($F233),$K233="b"),ROUND(VLOOKUP(AJ$4,Preisindex,3,FALSE)/VLOOKUP(YEAR($F233),Preisindex,3,FALSE),2),IF(AND($E233&lt;&gt;0,$F233&gt;0,YEAR($F233)&gt;=Preisindex!$A$6,YEAR(AE$4)&gt;=YEAR($F233),$K233="g"),ROUND(VLOOKUP(AJ$4,Preisindex,4,FALSE)/VLOOKUP(YEAR($F233),Preisindex,4,FALSE),2),IF(AND($E233&lt;&gt;0,$F233&gt;0,YEAR($F233)&gt;=Preisindex!$A$6,YEAR(AE$4)&gt;=YEAR($F233),$K233="k"),ROUND(VLOOKUP(AJ$4,Preisindex,2,FALSE)/VLOOKUP(YEAR($F233),Preisindex,2,FALSE),2),0)))))</f>
        <v>0</v>
      </c>
      <c r="AK233" s="56">
        <f>IF(AND($E233&lt;&gt;0,$F233&gt;0,YEAR($F233)&lt;Preisindex!$A$6,YEAR(AE$4)&gt;=YEAR($F233),AND($K233&lt;&gt;"a",$K233&lt;&gt;"b",$K233&lt;&gt;"g",$K233&lt;&gt;"k")),1,IF(AND($E233&lt;&gt;0,$F233&gt;0,YEAR($F233)&lt;Preisindex!$A$6,YEAR(AE$4)&gt;=YEAR($F233),$K233="a"),ROUND(VLOOKUP(AJ$4,Preisindex,5,FALSE)/VLOOKUP(Preisindex!$A$6,Preisindex,5,FALSE),2),IF(AND($E233&lt;&gt;0,$F233&gt;0,YEAR($F233)&lt;Preisindex!$A$6,YEAR(AE$4)&gt;=YEAR($F233),$K233="b"),ROUND(VLOOKUP(AJ$4,Preisindex,3,FALSE)/VLOOKUP(Preisindex!$A$6,Preisindex,3,FALSE),2),IF(AND($E233&lt;&gt;0,$F233&gt;0,YEAR($F233)&lt;Preisindex!$A$6,YEAR(AE$4)&gt;=YEAR($F233),$K233="g"),ROUND(VLOOKUP(AJ$4,Preisindex,4,FALSE)/VLOOKUP(Preisindex!$A$6,Preisindex,4,FALSE),2),IF(AND($E233&lt;&gt;0,$F233&gt;0,YEAR($F233)&lt;Preisindex!$A$6,YEAR(AE$4)&gt;=YEAR($F233),$K233="k"),ROUND(VLOOKUP(AJ$4,Preisindex,2,FALSE)/VLOOKUP(Preisindex!$A$6,Preisindex,2,FALSE),2),0)))))</f>
        <v>0</v>
      </c>
      <c r="AL233" s="51">
        <f>IF(AND($E233&lt;&gt;0,$F233&gt;0,YEAR($F233)&lt;=AJ$4,YEAR($F233)&gt;=Preisindex!$A$6),ROUND($E233*AJ233,2),IF(AND($E233&lt;&gt;0,$F233&gt;0,YEAR($F233)&lt;=AJ$4,YEAR($F233)&lt;Preisindex!$A$6),ROUND($E233*AK233,2),0))</f>
        <v>0</v>
      </c>
      <c r="AM233" s="53">
        <f t="shared" si="707"/>
        <v>0</v>
      </c>
      <c r="AN233" s="51">
        <f t="shared" si="750"/>
        <v>0</v>
      </c>
      <c r="AO233" s="51">
        <f t="shared" si="710"/>
        <v>0</v>
      </c>
      <c r="AP233" s="51">
        <f t="shared" si="624"/>
        <v>0</v>
      </c>
      <c r="AQ233" s="51">
        <f t="shared" si="711"/>
        <v>0</v>
      </c>
      <c r="AR233" s="51">
        <f t="shared" si="625"/>
        <v>0</v>
      </c>
      <c r="AS233" s="51">
        <f t="shared" si="712"/>
        <v>0</v>
      </c>
      <c r="AT233" s="51">
        <f t="shared" si="626"/>
        <v>0</v>
      </c>
      <c r="AU233" s="51">
        <f t="shared" si="713"/>
        <v>0</v>
      </c>
      <c r="AV233" s="51">
        <f t="shared" si="627"/>
        <v>0</v>
      </c>
      <c r="AW233" s="51">
        <f t="shared" si="714"/>
        <v>0</v>
      </c>
      <c r="AX233" s="51">
        <f t="shared" si="628"/>
        <v>0</v>
      </c>
      <c r="AY233" s="54">
        <f t="shared" si="629"/>
        <v>0</v>
      </c>
      <c r="AZ233" s="55">
        <f t="shared" si="630"/>
        <v>0</v>
      </c>
      <c r="BA233" s="56">
        <f>IF(AND($E233&lt;&gt;0,$F233&gt;0,YEAR($F233)&gt;=Preisindex!$A$6,YEAR(AV$4)&gt;=YEAR($F233),AND($K233&lt;&gt;"a",$K233&lt;&gt;"b",$K233&lt;&gt;"g",$K233&lt;&gt;"k")),1,IF(AND($E233&lt;&gt;0,$F233&gt;0,YEAR($F233)&gt;=Preisindex!$A$6,YEAR(AV$4)&gt;=YEAR($F233),$K233="a"),ROUND(VLOOKUP(BA$4,Preisindex,5,FALSE)/VLOOKUP(YEAR($F233),Preisindex,5,FALSE),2),IF(AND($E233&lt;&gt;0,$F233&gt;0,YEAR($F233)&gt;=Preisindex!$A$6,YEAR(AV$4)&gt;=YEAR($F233),$K233="b"),ROUND(VLOOKUP(BA$4,Preisindex,3,FALSE)/VLOOKUP(YEAR($F233),Preisindex,3,FALSE),2),IF(AND($E233&lt;&gt;0,$F233&gt;0,YEAR($F233)&gt;=Preisindex!$A$6,YEAR(AV$4)&gt;=YEAR($F233),$K233="g"),ROUND(VLOOKUP(BA$4,Preisindex,4,FALSE)/VLOOKUP(YEAR($F233),Preisindex,4,FALSE),2),IF(AND($E233&lt;&gt;0,$F233&gt;0,YEAR($F233)&gt;=Preisindex!$A$6,YEAR(AV$4)&gt;=YEAR($F233),$K233="k"),ROUND(VLOOKUP(BA$4,Preisindex,2,FALSE)/VLOOKUP(YEAR($F233),Preisindex,2,FALSE),2),0)))))</f>
        <v>0</v>
      </c>
      <c r="BB233" s="56">
        <f>IF(AND($E233&lt;&gt;0,$F233&gt;0,YEAR($F233)&lt;Preisindex!$A$6,YEAR(AV$4)&gt;=YEAR($F233),AND($K233&lt;&gt;"a",$K233&lt;&gt;"b",$K233&lt;&gt;"g",$K233&lt;&gt;"k")),1,IF(AND($E233&lt;&gt;0,$F233&gt;0,YEAR($F233)&lt;Preisindex!$A$6,YEAR(AV$4)&gt;=YEAR($F233),$K233="a"),ROUND(VLOOKUP(BA$4,Preisindex,5,FALSE)/VLOOKUP(Preisindex!$A$6,Preisindex,5,FALSE),2),IF(AND($E233&lt;&gt;0,$F233&gt;0,YEAR($F233)&lt;Preisindex!$A$6,YEAR(AV$4)&gt;=YEAR($F233),$K233="b"),ROUND(VLOOKUP(BA$4,Preisindex,3,FALSE)/VLOOKUP(Preisindex!$A$6,Preisindex,3,FALSE),2),IF(AND($E233&lt;&gt;0,$F233&gt;0,YEAR($F233)&lt;Preisindex!$A$6,YEAR(AV$4)&gt;=YEAR($F233),$K233="g"),ROUND(VLOOKUP(BA$4,Preisindex,4,FALSE)/VLOOKUP(Preisindex!$A$6,Preisindex,4,FALSE),2),IF(AND($E233&lt;&gt;0,$F233&gt;0,YEAR($F233)&lt;Preisindex!$A$6,YEAR(AV$4)&gt;=YEAR($F233),$K233="k"),ROUND(VLOOKUP(BA$4,Preisindex,2,FALSE)/VLOOKUP(Preisindex!$A$6,Preisindex,2,FALSE),2),0)))))</f>
        <v>0</v>
      </c>
      <c r="BC233" s="51">
        <f>IF(AND($E233&lt;&gt;0,$F233&gt;0,YEAR($F233)&lt;=BA$4,YEAR($F233)&gt;=Preisindex!$A$6),ROUND($E233*BA233,2),IF(AND($E233&lt;&gt;0,$F233&gt;0,YEAR($F233)&lt;=BA$4,YEAR($F233)&lt;Preisindex!$A$6),ROUND($E233*BB233,2),0))</f>
        <v>0</v>
      </c>
      <c r="BD233" s="53">
        <f t="shared" si="631"/>
        <v>0</v>
      </c>
      <c r="BE233" s="51">
        <f t="shared" si="750"/>
        <v>0</v>
      </c>
      <c r="BF233" s="51">
        <f t="shared" si="715"/>
        <v>0</v>
      </c>
      <c r="BG233" s="51">
        <f t="shared" si="632"/>
        <v>0</v>
      </c>
      <c r="BH233" s="51">
        <f t="shared" si="716"/>
        <v>0</v>
      </c>
      <c r="BI233" s="51">
        <f t="shared" si="633"/>
        <v>0</v>
      </c>
      <c r="BJ233" s="51">
        <f t="shared" si="717"/>
        <v>0</v>
      </c>
      <c r="BK233" s="51">
        <f t="shared" si="634"/>
        <v>0</v>
      </c>
      <c r="BL233" s="51">
        <f t="shared" si="718"/>
        <v>0</v>
      </c>
      <c r="BM233" s="51">
        <f t="shared" si="635"/>
        <v>0</v>
      </c>
      <c r="BN233" s="51">
        <f t="shared" si="719"/>
        <v>0</v>
      </c>
      <c r="BO233" s="51">
        <f t="shared" si="636"/>
        <v>0</v>
      </c>
      <c r="BP233" s="54">
        <f t="shared" si="637"/>
        <v>0</v>
      </c>
      <c r="BQ233" s="55">
        <f t="shared" si="638"/>
        <v>0</v>
      </c>
      <c r="BR233" s="56">
        <f>IF(AND($E233&lt;&gt;0,$F233&gt;0,YEAR($F233)&gt;=Preisindex!$A$6,YEAR(BM$4)&gt;=YEAR($F233),AND($K233&lt;&gt;"a",$K233&lt;&gt;"b",$K233&lt;&gt;"g",$K233&lt;&gt;"k")),1,IF(AND($E233&lt;&gt;0,$F233&gt;0,YEAR($F233)&gt;=Preisindex!$A$6,YEAR(BM$4)&gt;=YEAR($F233),$K233="a"),ROUND(VLOOKUP(BR$4,Preisindex,5,FALSE)/VLOOKUP(YEAR($F233),Preisindex,5,FALSE),2),IF(AND($E233&lt;&gt;0,$F233&gt;0,YEAR($F233)&gt;=Preisindex!$A$6,YEAR(BM$4)&gt;=YEAR($F233),$K233="b"),ROUND(VLOOKUP(BR$4,Preisindex,3,FALSE)/VLOOKUP(YEAR($F233),Preisindex,3,FALSE),2),IF(AND($E233&lt;&gt;0,$F233&gt;0,YEAR($F233)&gt;=Preisindex!$A$6,YEAR(BM$4)&gt;=YEAR($F233),$K233="g"),ROUND(VLOOKUP(BR$4,Preisindex,4,FALSE)/VLOOKUP(YEAR($F233),Preisindex,4,FALSE),2),IF(AND($E233&lt;&gt;0,$F233&gt;0,YEAR($F233)&gt;=Preisindex!$A$6,YEAR(BM$4)&gt;=YEAR($F233),$K233="k"),ROUND(VLOOKUP(BR$4,Preisindex,2,FALSE)/VLOOKUP(YEAR($F233),Preisindex,2,FALSE),2),0)))))</f>
        <v>0</v>
      </c>
      <c r="BS233" s="56">
        <f>IF(AND($E233&lt;&gt;0,$F233&gt;0,YEAR($F233)&lt;Preisindex!$A$6,YEAR(BM$4)&gt;=YEAR($F233),AND($K233&lt;&gt;"a",$K233&lt;&gt;"b",$K233&lt;&gt;"g",$K233&lt;&gt;"k")),1,IF(AND($E233&lt;&gt;0,$F233&gt;0,YEAR($F233)&lt;Preisindex!$A$6,YEAR(BM$4)&gt;=YEAR($F233),$K233="a"),ROUND(VLOOKUP(BR$4,Preisindex,5,FALSE)/VLOOKUP(Preisindex!$A$6,Preisindex,5,FALSE),2),IF(AND($E233&lt;&gt;0,$F233&gt;0,YEAR($F233)&lt;Preisindex!$A$6,YEAR(BM$4)&gt;=YEAR($F233),$K233="b"),ROUND(VLOOKUP(BR$4,Preisindex,3,FALSE)/VLOOKUP(Preisindex!$A$6,Preisindex,3,FALSE),2),IF(AND($E233&lt;&gt;0,$F233&gt;0,YEAR($F233)&lt;Preisindex!$A$6,YEAR(BM$4)&gt;=YEAR($F233),$K233="g"),ROUND(VLOOKUP(BR$4,Preisindex,4,FALSE)/VLOOKUP(Preisindex!$A$6,Preisindex,4,FALSE),2),IF(AND($E233&lt;&gt;0,$F233&gt;0,YEAR($F233)&lt;Preisindex!$A$6,YEAR(BM$4)&gt;=YEAR($F233),$K233="k"),ROUND(VLOOKUP(BR$4,Preisindex,2,FALSE)/VLOOKUP(Preisindex!$A$6,Preisindex,2,FALSE),2),0)))))</f>
        <v>0</v>
      </c>
      <c r="BT233" s="51">
        <f>IF(AND($E233&lt;&gt;0,$F233&gt;0,YEAR($F233)&lt;=BR$4,YEAR($F233)&gt;=Preisindex!$A$6),ROUND($E233*BR233,2),IF(AND($E233&lt;&gt;0,$F233&gt;0,YEAR($F233)&lt;=BR$4,YEAR($F233)&lt;Preisindex!$A$6),ROUND($E233*BS233,2),0))</f>
        <v>0</v>
      </c>
      <c r="BU233" s="53">
        <f t="shared" si="639"/>
        <v>0</v>
      </c>
      <c r="BV233" s="51">
        <f t="shared" si="750"/>
        <v>0</v>
      </c>
      <c r="BW233" s="51">
        <f t="shared" si="720"/>
        <v>0</v>
      </c>
      <c r="BX233" s="51">
        <f t="shared" si="640"/>
        <v>0</v>
      </c>
      <c r="BY233" s="51">
        <f t="shared" si="721"/>
        <v>0</v>
      </c>
      <c r="BZ233" s="51">
        <f t="shared" si="641"/>
        <v>0</v>
      </c>
      <c r="CA233" s="51">
        <f t="shared" si="722"/>
        <v>0</v>
      </c>
      <c r="CB233" s="51">
        <f t="shared" si="642"/>
        <v>0</v>
      </c>
      <c r="CC233" s="51">
        <f t="shared" si="723"/>
        <v>0</v>
      </c>
      <c r="CD233" s="51">
        <f t="shared" si="643"/>
        <v>0</v>
      </c>
      <c r="CE233" s="51">
        <f t="shared" si="724"/>
        <v>0</v>
      </c>
      <c r="CF233" s="51">
        <f t="shared" si="644"/>
        <v>0</v>
      </c>
      <c r="CG233" s="54">
        <f t="shared" si="645"/>
        <v>0</v>
      </c>
      <c r="CH233" s="55">
        <f t="shared" si="646"/>
        <v>0</v>
      </c>
      <c r="CI233" s="56">
        <f>IF(AND($E233&lt;&gt;0,$F233&gt;0,YEAR($F233)&gt;=Preisindex!$A$6,YEAR(CD$4)&gt;=YEAR($F233),AND($K233&lt;&gt;"a",$K233&lt;&gt;"b",$K233&lt;&gt;"g",$K233&lt;&gt;"k")),1,IF(AND($E233&lt;&gt;0,$F233&gt;0,YEAR($F233)&gt;=Preisindex!$A$6,YEAR(CD$4)&gt;=YEAR($F233),$K233="a"),ROUND(VLOOKUP(CI$4,Preisindex,5,FALSE)/VLOOKUP(YEAR($F233),Preisindex,5,FALSE),2),IF(AND($E233&lt;&gt;0,$F233&gt;0,YEAR($F233)&gt;=Preisindex!$A$6,YEAR(CD$4)&gt;=YEAR($F233),$K233="b"),ROUND(VLOOKUP(CI$4,Preisindex,3,FALSE)/VLOOKUP(YEAR($F233),Preisindex,3,FALSE),2),IF(AND($E233&lt;&gt;0,$F233&gt;0,YEAR($F233)&gt;=Preisindex!$A$6,YEAR(CD$4)&gt;=YEAR($F233),$K233="g"),ROUND(VLOOKUP(CI$4,Preisindex,4,FALSE)/VLOOKUP(YEAR($F233),Preisindex,4,FALSE),2),IF(AND($E233&lt;&gt;0,$F233&gt;0,YEAR($F233)&gt;=Preisindex!$A$6,YEAR(CD$4)&gt;=YEAR($F233),$K233="k"),ROUND(VLOOKUP(CI$4,Preisindex,2,FALSE)/VLOOKUP(YEAR($F233),Preisindex,2,FALSE),2),0)))))</f>
        <v>0</v>
      </c>
      <c r="CJ233" s="56">
        <f>IF(AND($E233&lt;&gt;0,$F233&gt;0,YEAR($F233)&lt;Preisindex!$A$6,YEAR(CD$4)&gt;=YEAR($F233),AND($K233&lt;&gt;"a",$K233&lt;&gt;"b",$K233&lt;&gt;"g",$K233&lt;&gt;"k")),1,IF(AND($E233&lt;&gt;0,$F233&gt;0,YEAR($F233)&lt;Preisindex!$A$6,YEAR(CD$4)&gt;=YEAR($F233),$K233="a"),ROUND(VLOOKUP(CI$4,Preisindex,5,FALSE)/VLOOKUP(Preisindex!$A$6,Preisindex,5,FALSE),2),IF(AND($E233&lt;&gt;0,$F233&gt;0,YEAR($F233)&lt;Preisindex!$A$6,YEAR(CD$4)&gt;=YEAR($F233),$K233="b"),ROUND(VLOOKUP(CI$4,Preisindex,3,FALSE)/VLOOKUP(Preisindex!$A$6,Preisindex,3,FALSE),2),IF(AND($E233&lt;&gt;0,$F233&gt;0,YEAR($F233)&lt;Preisindex!$A$6,YEAR(CD$4)&gt;=YEAR($F233),$K233="g"),ROUND(VLOOKUP(CI$4,Preisindex,4,FALSE)/VLOOKUP(Preisindex!$A$6,Preisindex,4,FALSE),2),IF(AND($E233&lt;&gt;0,$F233&gt;0,YEAR($F233)&lt;Preisindex!$A$6,YEAR(CD$4)&gt;=YEAR($F233),$K233="k"),ROUND(VLOOKUP(CI$4,Preisindex,2,FALSE)/VLOOKUP(Preisindex!$A$6,Preisindex,2,FALSE),2),0)))))</f>
        <v>0</v>
      </c>
      <c r="CK233" s="51">
        <f>IF(AND($E233&lt;&gt;0,$F233&gt;0,YEAR($F233)&lt;=CI$4,YEAR($F233)&gt;=Preisindex!$A$6),ROUND($E233*CI233,2),IF(AND($E233&lt;&gt;0,$F233&gt;0,YEAR($F233)&lt;=CI$4,YEAR($F233)&lt;Preisindex!$A$6),ROUND($E233*CJ233,2),0))</f>
        <v>0</v>
      </c>
      <c r="CL233" s="53">
        <f t="shared" si="647"/>
        <v>0</v>
      </c>
      <c r="CM233" s="51">
        <f t="shared" si="750"/>
        <v>0</v>
      </c>
      <c r="CN233" s="51">
        <f t="shared" si="725"/>
        <v>0</v>
      </c>
      <c r="CO233" s="51">
        <f t="shared" si="648"/>
        <v>0</v>
      </c>
      <c r="CP233" s="51">
        <f t="shared" si="726"/>
        <v>0</v>
      </c>
      <c r="CQ233" s="51">
        <f t="shared" si="649"/>
        <v>0</v>
      </c>
      <c r="CR233" s="51">
        <f t="shared" si="727"/>
        <v>0</v>
      </c>
      <c r="CS233" s="51">
        <f t="shared" si="650"/>
        <v>0</v>
      </c>
      <c r="CT233" s="51">
        <f t="shared" si="728"/>
        <v>0</v>
      </c>
      <c r="CU233" s="51">
        <f t="shared" si="651"/>
        <v>0</v>
      </c>
      <c r="CV233" s="51">
        <f t="shared" si="729"/>
        <v>0</v>
      </c>
      <c r="CW233" s="51">
        <f t="shared" si="652"/>
        <v>0</v>
      </c>
      <c r="CX233" s="54">
        <f t="shared" si="653"/>
        <v>0</v>
      </c>
      <c r="CY233" s="55">
        <f t="shared" si="654"/>
        <v>0</v>
      </c>
      <c r="CZ233" s="56">
        <f>IF(AND($E233&lt;&gt;0,$F233&gt;0,YEAR($F233)&gt;=Preisindex!$A$6,YEAR(CU$4)&gt;=YEAR($F233),AND($K233&lt;&gt;"a",$K233&lt;&gt;"b",$K233&lt;&gt;"g",$K233&lt;&gt;"k")),1,IF(AND($E233&lt;&gt;0,$F233&gt;0,YEAR($F233)&gt;=Preisindex!$A$6,YEAR(CU$4)&gt;=YEAR($F233),$K233="a"),ROUND(VLOOKUP(CZ$4,Preisindex,5,FALSE)/VLOOKUP(YEAR($F233),Preisindex,5,FALSE),2),IF(AND($E233&lt;&gt;0,$F233&gt;0,YEAR($F233)&gt;=Preisindex!$A$6,YEAR(CU$4)&gt;=YEAR($F233),$K233="b"),ROUND(VLOOKUP(CZ$4,Preisindex,3,FALSE)/VLOOKUP(YEAR($F233),Preisindex,3,FALSE),2),IF(AND($E233&lt;&gt;0,$F233&gt;0,YEAR($F233)&gt;=Preisindex!$A$6,YEAR(CU$4)&gt;=YEAR($F233),$K233="g"),ROUND(VLOOKUP(CZ$4,Preisindex,4,FALSE)/VLOOKUP(YEAR($F233),Preisindex,4,FALSE),2),IF(AND($E233&lt;&gt;0,$F233&gt;0,YEAR($F233)&gt;=Preisindex!$A$6,YEAR(CU$4)&gt;=YEAR($F233),$K233="k"),ROUND(VLOOKUP(CZ$4,Preisindex,2,FALSE)/VLOOKUP(YEAR($F233),Preisindex,2,FALSE),2),0)))))</f>
        <v>0</v>
      </c>
      <c r="DA233" s="56">
        <f>IF(AND($E233&lt;&gt;0,$F233&gt;0,YEAR($F233)&lt;Preisindex!$A$6,YEAR(CU$4)&gt;=YEAR($F233),AND($K233&lt;&gt;"a",$K233&lt;&gt;"b",$K233&lt;&gt;"g",$K233&lt;&gt;"k")),1,IF(AND($E233&lt;&gt;0,$F233&gt;0,YEAR($F233)&lt;Preisindex!$A$6,YEAR(CU$4)&gt;=YEAR($F233),$K233="a"),ROUND(VLOOKUP(CZ$4,Preisindex,5,FALSE)/VLOOKUP(Preisindex!$A$6,Preisindex,5,FALSE),2),IF(AND($E233&lt;&gt;0,$F233&gt;0,YEAR($F233)&lt;Preisindex!$A$6,YEAR(CU$4)&gt;=YEAR($F233),$K233="b"),ROUND(VLOOKUP(CZ$4,Preisindex,3,FALSE)/VLOOKUP(Preisindex!$A$6,Preisindex,3,FALSE),2),IF(AND($E233&lt;&gt;0,$F233&gt;0,YEAR($F233)&lt;Preisindex!$A$6,YEAR(CU$4)&gt;=YEAR($F233),$K233="g"),ROUND(VLOOKUP(CZ$4,Preisindex,4,FALSE)/VLOOKUP(Preisindex!$A$6,Preisindex,4,FALSE),2),IF(AND($E233&lt;&gt;0,$F233&gt;0,YEAR($F233)&lt;Preisindex!$A$6,YEAR(CU$4)&gt;=YEAR($F233),$K233="k"),ROUND(VLOOKUP(CZ$4,Preisindex,2,FALSE)/VLOOKUP(Preisindex!$A$6,Preisindex,2,FALSE),2),0)))))</f>
        <v>0</v>
      </c>
      <c r="DB233" s="51">
        <f>IF(AND($E233&lt;&gt;0,$F233&gt;0,YEAR($F233)&lt;=CZ$4,YEAR($F233)&gt;=Preisindex!$A$6),ROUND($E233*CZ233,2),IF(AND($E233&lt;&gt;0,$F233&gt;0,YEAR($F233)&lt;=CZ$4,YEAR($F233)&lt;Preisindex!$A$6),ROUND($E233*DA233,2),0))</f>
        <v>0</v>
      </c>
      <c r="DC233" s="53">
        <f t="shared" si="655"/>
        <v>0</v>
      </c>
      <c r="DD233" s="51">
        <f t="shared" si="751"/>
        <v>0</v>
      </c>
      <c r="DE233" s="51">
        <f t="shared" si="730"/>
        <v>0</v>
      </c>
      <c r="DF233" s="51">
        <f t="shared" si="657"/>
        <v>0</v>
      </c>
      <c r="DG233" s="51">
        <f t="shared" si="731"/>
        <v>0</v>
      </c>
      <c r="DH233" s="51">
        <f t="shared" si="658"/>
        <v>0</v>
      </c>
      <c r="DI233" s="51">
        <f t="shared" si="732"/>
        <v>0</v>
      </c>
      <c r="DJ233" s="51">
        <f t="shared" si="659"/>
        <v>0</v>
      </c>
      <c r="DK233" s="51">
        <f t="shared" si="733"/>
        <v>0</v>
      </c>
      <c r="DL233" s="51">
        <f t="shared" si="660"/>
        <v>0</v>
      </c>
      <c r="DM233" s="51">
        <f t="shared" si="734"/>
        <v>0</v>
      </c>
      <c r="DN233" s="51">
        <f t="shared" si="661"/>
        <v>0</v>
      </c>
      <c r="DO233" s="54">
        <f t="shared" si="662"/>
        <v>0</v>
      </c>
      <c r="DP233" s="55">
        <f t="shared" si="663"/>
        <v>0</v>
      </c>
      <c r="DQ233" s="56">
        <f>IF(AND($E233&lt;&gt;0,$F233&gt;0,YEAR($F233)&gt;=Preisindex!$A$6,YEAR(DL$4)&gt;=YEAR($F233),AND($K233&lt;&gt;"a",$K233&lt;&gt;"b",$K233&lt;&gt;"g",$K233&lt;&gt;"k")),1,IF(AND($E233&lt;&gt;0,$F233&gt;0,YEAR($F233)&gt;=Preisindex!$A$6,YEAR(DL$4)&gt;=YEAR($F233),$K233="a"),ROUND(VLOOKUP(DQ$4,Preisindex,5,FALSE)/VLOOKUP(YEAR($F233),Preisindex,5,FALSE),2),IF(AND($E233&lt;&gt;0,$F233&gt;0,YEAR($F233)&gt;=Preisindex!$A$6,YEAR(DL$4)&gt;=YEAR($F233),$K233="b"),ROUND(VLOOKUP(DQ$4,Preisindex,3,FALSE)/VLOOKUP(YEAR($F233),Preisindex,3,FALSE),2),IF(AND($E233&lt;&gt;0,$F233&gt;0,YEAR($F233)&gt;=Preisindex!$A$6,YEAR(DL$4)&gt;=YEAR($F233),$K233="g"),ROUND(VLOOKUP(DQ$4,Preisindex,4,FALSE)/VLOOKUP(YEAR($F233),Preisindex,4,FALSE),2),IF(AND($E233&lt;&gt;0,$F233&gt;0,YEAR($F233)&gt;=Preisindex!$A$6,YEAR(DL$4)&gt;=YEAR($F233),$K233="k"),ROUND(VLOOKUP(DQ$4,Preisindex,2,FALSE)/VLOOKUP(YEAR($F233),Preisindex,2,FALSE),2),0)))))</f>
        <v>0</v>
      </c>
      <c r="DR233" s="56">
        <f>IF(AND($E233&lt;&gt;0,$F233&gt;0,YEAR($F233)&lt;Preisindex!$A$6,YEAR(DL$4)&gt;=YEAR($F233),AND($K233&lt;&gt;"a",$K233&lt;&gt;"b",$K233&lt;&gt;"g",$K233&lt;&gt;"k")),1,IF(AND($E233&lt;&gt;0,$F233&gt;0,YEAR($F233)&lt;Preisindex!$A$6,YEAR(DL$4)&gt;=YEAR($F233),$K233="a"),ROUND(VLOOKUP(DQ$4,Preisindex,5,FALSE)/VLOOKUP(Preisindex!$A$6,Preisindex,5,FALSE),2),IF(AND($E233&lt;&gt;0,$F233&gt;0,YEAR($F233)&lt;Preisindex!$A$6,YEAR(DL$4)&gt;=YEAR($F233),$K233="b"),ROUND(VLOOKUP(DQ$4,Preisindex,3,FALSE)/VLOOKUP(Preisindex!$A$6,Preisindex,3,FALSE),2),IF(AND($E233&lt;&gt;0,$F233&gt;0,YEAR($F233)&lt;Preisindex!$A$6,YEAR(DL$4)&gt;=YEAR($F233),$K233="g"),ROUND(VLOOKUP(DQ$4,Preisindex,4,FALSE)/VLOOKUP(Preisindex!$A$6,Preisindex,4,FALSE),2),IF(AND($E233&lt;&gt;0,$F233&gt;0,YEAR($F233)&lt;Preisindex!$A$6,YEAR(DL$4)&gt;=YEAR($F233),$K233="k"),ROUND(VLOOKUP(DQ$4,Preisindex,2,FALSE)/VLOOKUP(Preisindex!$A$6,Preisindex,2,FALSE),2),0)))))</f>
        <v>0</v>
      </c>
      <c r="DS233" s="51">
        <f>IF(AND($E233&lt;&gt;0,$F233&gt;0,YEAR($F233)&lt;=DQ$4,YEAR($F233)&gt;=Preisindex!$A$6),ROUND($E233*DQ233,2),IF(AND($E233&lt;&gt;0,$F233&gt;0,YEAR($F233)&lt;=DQ$4,YEAR($F233)&lt;Preisindex!$A$6),ROUND($E233*DR233,2),0))</f>
        <v>0</v>
      </c>
      <c r="DT233" s="53">
        <f t="shared" si="664"/>
        <v>0</v>
      </c>
      <c r="DU233" s="51">
        <f t="shared" si="751"/>
        <v>0</v>
      </c>
      <c r="DV233" s="51">
        <f t="shared" si="735"/>
        <v>0</v>
      </c>
      <c r="DW233" s="51">
        <f t="shared" si="665"/>
        <v>0</v>
      </c>
      <c r="DX233" s="51">
        <f t="shared" si="736"/>
        <v>0</v>
      </c>
      <c r="DY233" s="51">
        <f t="shared" si="666"/>
        <v>0</v>
      </c>
      <c r="DZ233" s="51">
        <f t="shared" si="737"/>
        <v>0</v>
      </c>
      <c r="EA233" s="51">
        <f t="shared" si="667"/>
        <v>0</v>
      </c>
      <c r="EB233" s="51">
        <f t="shared" si="738"/>
        <v>0</v>
      </c>
      <c r="EC233" s="51">
        <f t="shared" si="668"/>
        <v>0</v>
      </c>
      <c r="ED233" s="51">
        <f t="shared" si="739"/>
        <v>0</v>
      </c>
      <c r="EE233" s="51">
        <f t="shared" si="669"/>
        <v>0</v>
      </c>
      <c r="EF233" s="54">
        <f t="shared" si="670"/>
        <v>0</v>
      </c>
      <c r="EG233" s="55">
        <f t="shared" si="671"/>
        <v>0</v>
      </c>
      <c r="EH233" s="56">
        <f>IF(AND($E233&lt;&gt;0,$F233&gt;0,YEAR($F233)&gt;=Preisindex!$A$6,YEAR(EC$4)&gt;=YEAR($F233),AND($K233&lt;&gt;"a",$K233&lt;&gt;"b",$K233&lt;&gt;"g",$K233&lt;&gt;"k")),1,IF(AND($E233&lt;&gt;0,$F233&gt;0,YEAR($F233)&gt;=Preisindex!$A$6,YEAR(EC$4)&gt;=YEAR($F233),$K233="a"),ROUND(VLOOKUP(EH$4,Preisindex,5,FALSE)/VLOOKUP(YEAR($F233),Preisindex,5,FALSE),2),IF(AND($E233&lt;&gt;0,$F233&gt;0,YEAR($F233)&gt;=Preisindex!$A$6,YEAR(EC$4)&gt;=YEAR($F233),$K233="b"),ROUND(VLOOKUP(EH$4,Preisindex,3,FALSE)/VLOOKUP(YEAR($F233),Preisindex,3,FALSE),2),IF(AND($E233&lt;&gt;0,$F233&gt;0,YEAR($F233)&gt;=Preisindex!$A$6,YEAR(EC$4)&gt;=YEAR($F233),$K233="g"),ROUND(VLOOKUP(EH$4,Preisindex,4,FALSE)/VLOOKUP(YEAR($F233),Preisindex,4,FALSE),2),IF(AND($E233&lt;&gt;0,$F233&gt;0,YEAR($F233)&gt;=Preisindex!$A$6,YEAR(EC$4)&gt;=YEAR($F233),$K233="k"),ROUND(VLOOKUP(EH$4,Preisindex,2,FALSE)/VLOOKUP(YEAR($F233),Preisindex,2,FALSE),2),0)))))</f>
        <v>0</v>
      </c>
      <c r="EI233" s="56">
        <f>IF(AND($E233&lt;&gt;0,$F233&gt;0,YEAR($F233)&lt;Preisindex!$A$6,YEAR(EC$4)&gt;=YEAR($F233),AND($K233&lt;&gt;"a",$K233&lt;&gt;"b",$K233&lt;&gt;"g",$K233&lt;&gt;"k")),1,IF(AND($E233&lt;&gt;0,$F233&gt;0,YEAR($F233)&lt;Preisindex!$A$6,YEAR(EC$4)&gt;=YEAR($F233),$K233="a"),ROUND(VLOOKUP(EH$4,Preisindex,5,FALSE)/VLOOKUP(Preisindex!$A$6,Preisindex,5,FALSE),2),IF(AND($E233&lt;&gt;0,$F233&gt;0,YEAR($F233)&lt;Preisindex!$A$6,YEAR(EC$4)&gt;=YEAR($F233),$K233="b"),ROUND(VLOOKUP(EH$4,Preisindex,3,FALSE)/VLOOKUP(Preisindex!$A$6,Preisindex,3,FALSE),2),IF(AND($E233&lt;&gt;0,$F233&gt;0,YEAR($F233)&lt;Preisindex!$A$6,YEAR(EC$4)&gt;=YEAR($F233),$K233="g"),ROUND(VLOOKUP(EH$4,Preisindex,4,FALSE)/VLOOKUP(Preisindex!$A$6,Preisindex,4,FALSE),2),IF(AND($E233&lt;&gt;0,$F233&gt;0,YEAR($F233)&lt;Preisindex!$A$6,YEAR(EC$4)&gt;=YEAR($F233),$K233="k"),ROUND(VLOOKUP(EH$4,Preisindex,2,FALSE)/VLOOKUP(Preisindex!$A$6,Preisindex,2,FALSE),2),0)))))</f>
        <v>0</v>
      </c>
      <c r="EJ233" s="51">
        <f>IF(AND($E233&lt;&gt;0,$F233&gt;0,YEAR($F233)&lt;=EH$4,YEAR($F233)&gt;=Preisindex!$A$6),ROUND($E233*EH233,2),IF(AND($E233&lt;&gt;0,$F233&gt;0,YEAR($F233)&lt;=EH$4,YEAR($F233)&lt;Preisindex!$A$6),ROUND($E233*EI233,2),0))</f>
        <v>0</v>
      </c>
      <c r="EK233" s="53">
        <f t="shared" si="672"/>
        <v>0</v>
      </c>
      <c r="EL233" s="51">
        <f t="shared" si="751"/>
        <v>0</v>
      </c>
      <c r="EM233" s="51">
        <f t="shared" si="740"/>
        <v>0</v>
      </c>
      <c r="EN233" s="51">
        <f t="shared" si="673"/>
        <v>0</v>
      </c>
      <c r="EO233" s="51">
        <f t="shared" si="741"/>
        <v>0</v>
      </c>
      <c r="EP233" s="51">
        <f t="shared" si="674"/>
        <v>0</v>
      </c>
      <c r="EQ233" s="51">
        <f t="shared" si="742"/>
        <v>0</v>
      </c>
      <c r="ER233" s="51">
        <f t="shared" si="675"/>
        <v>0</v>
      </c>
      <c r="ES233" s="51">
        <f t="shared" si="743"/>
        <v>0</v>
      </c>
      <c r="ET233" s="51">
        <f t="shared" si="676"/>
        <v>0</v>
      </c>
      <c r="EU233" s="51">
        <f t="shared" si="744"/>
        <v>0</v>
      </c>
      <c r="EV233" s="51">
        <f t="shared" si="677"/>
        <v>0</v>
      </c>
      <c r="EW233" s="54">
        <f t="shared" si="678"/>
        <v>0</v>
      </c>
      <c r="EX233" s="55">
        <f t="shared" si="679"/>
        <v>0</v>
      </c>
      <c r="EY233" s="56">
        <f>IF(AND($E233&lt;&gt;0,$F233&gt;0,YEAR($F233)&gt;=Preisindex!$A$6,YEAR(ET$4)&gt;=YEAR($F233),AND($K233&lt;&gt;"a",$K233&lt;&gt;"b",$K233&lt;&gt;"g",$K233&lt;&gt;"k")),1,IF(AND($E233&lt;&gt;0,$F233&gt;0,YEAR($F233)&gt;=Preisindex!$A$6,YEAR(ET$4)&gt;=YEAR($F233),$K233="a"),ROUND(VLOOKUP(EY$4,Preisindex,5,FALSE)/VLOOKUP(YEAR($F233),Preisindex,5,FALSE),2),IF(AND($E233&lt;&gt;0,$F233&gt;0,YEAR($F233)&gt;=Preisindex!$A$6,YEAR(ET$4)&gt;=YEAR($F233),$K233="b"),ROUND(VLOOKUP(EY$4,Preisindex,3,FALSE)/VLOOKUP(YEAR($F233),Preisindex,3,FALSE),2),IF(AND($E233&lt;&gt;0,$F233&gt;0,YEAR($F233)&gt;=Preisindex!$A$6,YEAR(ET$4)&gt;=YEAR($F233),$K233="g"),ROUND(VLOOKUP(EY$4,Preisindex,4,FALSE)/VLOOKUP(YEAR($F233),Preisindex,4,FALSE),2),IF(AND($E233&lt;&gt;0,$F233&gt;0,YEAR($F233)&gt;=Preisindex!$A$6,YEAR(ET$4)&gt;=YEAR($F233),$K233="k"),ROUND(VLOOKUP(EY$4,Preisindex,2,FALSE)/VLOOKUP(YEAR($F233),Preisindex,2,FALSE),2),0)))))</f>
        <v>0</v>
      </c>
      <c r="EZ233" s="56">
        <f>IF(AND($E233&lt;&gt;0,$F233&gt;0,YEAR($F233)&lt;Preisindex!$A$6,YEAR(ET$4)&gt;=YEAR($F233),AND($K233&lt;&gt;"a",$K233&lt;&gt;"b",$K233&lt;&gt;"g",$K233&lt;&gt;"k")),1,IF(AND($E233&lt;&gt;0,$F233&gt;0,YEAR($F233)&lt;Preisindex!$A$6,YEAR(ET$4)&gt;=YEAR($F233),$K233="a"),ROUND(VLOOKUP(EY$4,Preisindex,5,FALSE)/VLOOKUP(Preisindex!$A$6,Preisindex,5,FALSE),2),IF(AND($E233&lt;&gt;0,$F233&gt;0,YEAR($F233)&lt;Preisindex!$A$6,YEAR(ET$4)&gt;=YEAR($F233),$K233="b"),ROUND(VLOOKUP(EY$4,Preisindex,3,FALSE)/VLOOKUP(Preisindex!$A$6,Preisindex,3,FALSE),2),IF(AND($E233&lt;&gt;0,$F233&gt;0,YEAR($F233)&lt;Preisindex!$A$6,YEAR(ET$4)&gt;=YEAR($F233),$K233="g"),ROUND(VLOOKUP(EY$4,Preisindex,4,FALSE)/VLOOKUP(Preisindex!$A$6,Preisindex,4,FALSE),2),IF(AND($E233&lt;&gt;0,$F233&gt;0,YEAR($F233)&lt;Preisindex!$A$6,YEAR(ET$4)&gt;=YEAR($F233),$K233="k"),ROUND(VLOOKUP(EY$4,Preisindex,2,FALSE)/VLOOKUP(Preisindex!$A$6,Preisindex,2,FALSE),2),0)))))</f>
        <v>0</v>
      </c>
      <c r="FA233" s="51">
        <f>IF(AND($E233&lt;&gt;0,$F233&gt;0,YEAR($F233)&lt;=EY$4,YEAR($F233)&gt;=Preisindex!$A$6),ROUND($E233*EY233,2),IF(AND($E233&lt;&gt;0,$F233&gt;0,YEAR($F233)&lt;=EY$4,YEAR($F233)&lt;Preisindex!$A$6),ROUND($E233*EZ233,2),0))</f>
        <v>0</v>
      </c>
      <c r="FB233" s="53">
        <f t="shared" si="680"/>
        <v>0</v>
      </c>
      <c r="FC233" s="51">
        <f t="shared" si="751"/>
        <v>0</v>
      </c>
      <c r="FD233" s="51">
        <f t="shared" si="745"/>
        <v>0</v>
      </c>
      <c r="FE233" s="51">
        <f t="shared" si="681"/>
        <v>0</v>
      </c>
      <c r="FF233" s="51">
        <f t="shared" si="746"/>
        <v>0</v>
      </c>
      <c r="FG233" s="51">
        <f t="shared" si="682"/>
        <v>0</v>
      </c>
      <c r="FH233" s="51">
        <f t="shared" si="747"/>
        <v>0</v>
      </c>
      <c r="FI233" s="51">
        <f t="shared" si="683"/>
        <v>0</v>
      </c>
      <c r="FJ233" s="51">
        <f t="shared" si="748"/>
        <v>0</v>
      </c>
      <c r="FK233" s="51">
        <f t="shared" si="684"/>
        <v>0</v>
      </c>
      <c r="FL233" s="51">
        <f t="shared" si="749"/>
        <v>0</v>
      </c>
      <c r="FM233" s="51">
        <f t="shared" si="685"/>
        <v>0</v>
      </c>
      <c r="FN233" s="54">
        <f t="shared" si="686"/>
        <v>0</v>
      </c>
      <c r="FO233" s="55">
        <f t="shared" si="687"/>
        <v>0</v>
      </c>
      <c r="FP233" s="56">
        <f>IF(AND($E233&lt;&gt;0,$F233&gt;0,YEAR($F233)&gt;=Preisindex!$A$6,YEAR(FK$4)&gt;=YEAR($F233),AND($K233&lt;&gt;"a",$K233&lt;&gt;"b",$K233&lt;&gt;"g",$K233&lt;&gt;"k")),1,IF(AND($E233&lt;&gt;0,$F233&gt;0,YEAR($F233)&gt;=Preisindex!$A$6,YEAR(FK$4)&gt;=YEAR($F233),$K233="a"),ROUND(VLOOKUP(FP$4,Preisindex,5,FALSE)/VLOOKUP(YEAR($F233),Preisindex,5,FALSE),2),IF(AND($E233&lt;&gt;0,$F233&gt;0,YEAR($F233)&gt;=Preisindex!$A$6,YEAR(FK$4)&gt;=YEAR($F233),$K233="b"),ROUND(VLOOKUP(FP$4,Preisindex,3,FALSE)/VLOOKUP(YEAR($F233),Preisindex,3,FALSE),2),IF(AND($E233&lt;&gt;0,$F233&gt;0,YEAR($F233)&gt;=Preisindex!$A$6,YEAR(FK$4)&gt;=YEAR($F233),$K233="g"),ROUND(VLOOKUP(FP$4,Preisindex,4,FALSE)/VLOOKUP(YEAR($F233),Preisindex,4,FALSE),2),IF(AND($E233&lt;&gt;0,$F233&gt;0,YEAR($F233)&gt;=Preisindex!$A$6,YEAR(FK$4)&gt;=YEAR($F233),$K233="k"),ROUND(VLOOKUP(FP$4,Preisindex,2,FALSE)/VLOOKUP(YEAR($F233),Preisindex,2,FALSE),2),0)))))</f>
        <v>0</v>
      </c>
      <c r="FQ233" s="56">
        <f>IF(AND($E233&lt;&gt;0,$F233&gt;0,YEAR($F233)&lt;Preisindex!$A$6,YEAR(FK$4)&gt;=YEAR($F233),AND($K233&lt;&gt;"a",$K233&lt;&gt;"b",$K233&lt;&gt;"g",$K233&lt;&gt;"k")),1,IF(AND($E233&lt;&gt;0,$F233&gt;0,YEAR($F233)&lt;Preisindex!$A$6,YEAR(FK$4)&gt;=YEAR($F233),$K233="a"),ROUND(VLOOKUP(FP$4,Preisindex,5,FALSE)/VLOOKUP(Preisindex!$A$6,Preisindex,5,FALSE),2),IF(AND($E233&lt;&gt;0,$F233&gt;0,YEAR($F233)&lt;Preisindex!$A$6,YEAR(FK$4)&gt;=YEAR($F233),$K233="b"),ROUND(VLOOKUP(FP$4,Preisindex,3,FALSE)/VLOOKUP(Preisindex!$A$6,Preisindex,3,FALSE),2),IF(AND($E233&lt;&gt;0,$F233&gt;0,YEAR($F233)&lt;Preisindex!$A$6,YEAR(FK$4)&gt;=YEAR($F233),$K233="g"),ROUND(VLOOKUP(FP$4,Preisindex,4,FALSE)/VLOOKUP(Preisindex!$A$6,Preisindex,4,FALSE),2),IF(AND($E233&lt;&gt;0,$F233&gt;0,YEAR($F233)&lt;Preisindex!$A$6,YEAR(FK$4)&gt;=YEAR($F233),$K233="k"),ROUND(VLOOKUP(FP$4,Preisindex,2,FALSE)/VLOOKUP(Preisindex!$A$6,Preisindex,2,FALSE),2),0)))))</f>
        <v>0</v>
      </c>
      <c r="FR233" s="51">
        <f>IF(AND($E233&lt;&gt;0,$F233&gt;0,YEAR($F233)&lt;=FP$4,YEAR($F233)&gt;=Preisindex!$A$6),ROUND($E233*FP233,2),IF(AND($E233&lt;&gt;0,$F233&gt;0,YEAR($F233)&lt;=FP$4,YEAR($F233)&lt;Preisindex!$A$6),ROUND($E233*FQ233,2),0))</f>
        <v>0</v>
      </c>
      <c r="FS233" s="53">
        <f t="shared" si="688"/>
        <v>0</v>
      </c>
    </row>
    <row r="234" spans="1:175" x14ac:dyDescent="0.3">
      <c r="A234" s="93"/>
      <c r="B234" s="94"/>
      <c r="C234" s="94"/>
      <c r="D234" s="188"/>
      <c r="E234" s="624"/>
      <c r="F234" s="190"/>
      <c r="G234" s="625"/>
      <c r="H234" s="192"/>
      <c r="I234" s="621"/>
      <c r="J234" s="103"/>
      <c r="K234" s="630"/>
      <c r="L234" s="49">
        <f t="shared" si="689"/>
        <v>0</v>
      </c>
      <c r="M234" s="50">
        <f t="shared" si="690"/>
        <v>0</v>
      </c>
      <c r="N234" s="51">
        <f t="shared" si="691"/>
        <v>0</v>
      </c>
      <c r="O234" s="51"/>
      <c r="P234" s="51">
        <f t="shared" si="692"/>
        <v>0</v>
      </c>
      <c r="Q234" s="52"/>
      <c r="R234" s="52"/>
      <c r="S234" s="52"/>
      <c r="T234" s="52"/>
      <c r="U234" s="52"/>
      <c r="V234" s="53">
        <f t="shared" si="693"/>
        <v>0</v>
      </c>
      <c r="W234" s="51">
        <f t="shared" si="694"/>
        <v>0</v>
      </c>
      <c r="X234" s="51">
        <f t="shared" si="695"/>
        <v>0</v>
      </c>
      <c r="Y234" s="51">
        <f t="shared" si="696"/>
        <v>0</v>
      </c>
      <c r="Z234" s="51">
        <f t="shared" si="697"/>
        <v>0</v>
      </c>
      <c r="AA234" s="51">
        <f t="shared" si="698"/>
        <v>0</v>
      </c>
      <c r="AB234" s="51">
        <f t="shared" si="699"/>
        <v>0</v>
      </c>
      <c r="AC234" s="51">
        <f t="shared" si="700"/>
        <v>0</v>
      </c>
      <c r="AD234" s="51">
        <f t="shared" si="701"/>
        <v>0</v>
      </c>
      <c r="AE234" s="51">
        <f t="shared" si="702"/>
        <v>0</v>
      </c>
      <c r="AF234" s="51">
        <f t="shared" si="703"/>
        <v>0</v>
      </c>
      <c r="AG234" s="51">
        <f t="shared" si="704"/>
        <v>0</v>
      </c>
      <c r="AH234" s="54">
        <f t="shared" si="705"/>
        <v>0</v>
      </c>
      <c r="AI234" s="55">
        <f t="shared" si="706"/>
        <v>0</v>
      </c>
      <c r="AJ234" s="56">
        <f>IF(AND($E234&lt;&gt;0,$F234&gt;0,YEAR($F234)&gt;=Preisindex!$A$6,YEAR(AE$4)&gt;=YEAR($F234),AND($K234&lt;&gt;"a",$K234&lt;&gt;"b",$K234&lt;&gt;"g",$K234&lt;&gt;"k")),1,IF(AND($E234&lt;&gt;0,$F234&gt;0,YEAR($F234)&gt;=Preisindex!$A$6,YEAR(AE$4)&gt;=YEAR($F234),$K234="a"),ROUND(VLOOKUP(AJ$4,Preisindex,5,FALSE)/VLOOKUP(YEAR($F234),Preisindex,5,FALSE),2),IF(AND($E234&lt;&gt;0,$F234&gt;0,YEAR($F234)&gt;=Preisindex!$A$6,YEAR(AE$4)&gt;=YEAR($F234),$K234="b"),ROUND(VLOOKUP(AJ$4,Preisindex,3,FALSE)/VLOOKUP(YEAR($F234),Preisindex,3,FALSE),2),IF(AND($E234&lt;&gt;0,$F234&gt;0,YEAR($F234)&gt;=Preisindex!$A$6,YEAR(AE$4)&gt;=YEAR($F234),$K234="g"),ROUND(VLOOKUP(AJ$4,Preisindex,4,FALSE)/VLOOKUP(YEAR($F234),Preisindex,4,FALSE),2),IF(AND($E234&lt;&gt;0,$F234&gt;0,YEAR($F234)&gt;=Preisindex!$A$6,YEAR(AE$4)&gt;=YEAR($F234),$K234="k"),ROUND(VLOOKUP(AJ$4,Preisindex,2,FALSE)/VLOOKUP(YEAR($F234),Preisindex,2,FALSE),2),0)))))</f>
        <v>0</v>
      </c>
      <c r="AK234" s="56">
        <f>IF(AND($E234&lt;&gt;0,$F234&gt;0,YEAR($F234)&lt;Preisindex!$A$6,YEAR(AE$4)&gt;=YEAR($F234),AND($K234&lt;&gt;"a",$K234&lt;&gt;"b",$K234&lt;&gt;"g",$K234&lt;&gt;"k")),1,IF(AND($E234&lt;&gt;0,$F234&gt;0,YEAR($F234)&lt;Preisindex!$A$6,YEAR(AE$4)&gt;=YEAR($F234),$K234="a"),ROUND(VLOOKUP(AJ$4,Preisindex,5,FALSE)/VLOOKUP(Preisindex!$A$6,Preisindex,5,FALSE),2),IF(AND($E234&lt;&gt;0,$F234&gt;0,YEAR($F234)&lt;Preisindex!$A$6,YEAR(AE$4)&gt;=YEAR($F234),$K234="b"),ROUND(VLOOKUP(AJ$4,Preisindex,3,FALSE)/VLOOKUP(Preisindex!$A$6,Preisindex,3,FALSE),2),IF(AND($E234&lt;&gt;0,$F234&gt;0,YEAR($F234)&lt;Preisindex!$A$6,YEAR(AE$4)&gt;=YEAR($F234),$K234="g"),ROUND(VLOOKUP(AJ$4,Preisindex,4,FALSE)/VLOOKUP(Preisindex!$A$6,Preisindex,4,FALSE),2),IF(AND($E234&lt;&gt;0,$F234&gt;0,YEAR($F234)&lt;Preisindex!$A$6,YEAR(AE$4)&gt;=YEAR($F234),$K234="k"),ROUND(VLOOKUP(AJ$4,Preisindex,2,FALSE)/VLOOKUP(Preisindex!$A$6,Preisindex,2,FALSE),2),0)))))</f>
        <v>0</v>
      </c>
      <c r="AL234" s="51">
        <f>IF(AND($E234&lt;&gt;0,$F234&gt;0,YEAR($F234)&lt;=AJ$4,YEAR($F234)&gt;=Preisindex!$A$6),ROUND($E234*AJ234,2),IF(AND($E234&lt;&gt;0,$F234&gt;0,YEAR($F234)&lt;=AJ$4,YEAR($F234)&lt;Preisindex!$A$6),ROUND($E234*AK234,2),0))</f>
        <v>0</v>
      </c>
      <c r="AM234" s="53">
        <f t="shared" si="707"/>
        <v>0</v>
      </c>
      <c r="AN234" s="51">
        <f t="shared" si="750"/>
        <v>0</v>
      </c>
      <c r="AO234" s="51">
        <f t="shared" si="710"/>
        <v>0</v>
      </c>
      <c r="AP234" s="51">
        <f t="shared" si="624"/>
        <v>0</v>
      </c>
      <c r="AQ234" s="51">
        <f t="shared" si="711"/>
        <v>0</v>
      </c>
      <c r="AR234" s="51">
        <f t="shared" si="625"/>
        <v>0</v>
      </c>
      <c r="AS234" s="51">
        <f t="shared" si="712"/>
        <v>0</v>
      </c>
      <c r="AT234" s="51">
        <f t="shared" si="626"/>
        <v>0</v>
      </c>
      <c r="AU234" s="51">
        <f t="shared" si="713"/>
        <v>0</v>
      </c>
      <c r="AV234" s="51">
        <f t="shared" si="627"/>
        <v>0</v>
      </c>
      <c r="AW234" s="51">
        <f t="shared" si="714"/>
        <v>0</v>
      </c>
      <c r="AX234" s="51">
        <f t="shared" si="628"/>
        <v>0</v>
      </c>
      <c r="AY234" s="54">
        <f t="shared" si="629"/>
        <v>0</v>
      </c>
      <c r="AZ234" s="55">
        <f t="shared" si="630"/>
        <v>0</v>
      </c>
      <c r="BA234" s="56">
        <f>IF(AND($E234&lt;&gt;0,$F234&gt;0,YEAR($F234)&gt;=Preisindex!$A$6,YEAR(AV$4)&gt;=YEAR($F234),AND($K234&lt;&gt;"a",$K234&lt;&gt;"b",$K234&lt;&gt;"g",$K234&lt;&gt;"k")),1,IF(AND($E234&lt;&gt;0,$F234&gt;0,YEAR($F234)&gt;=Preisindex!$A$6,YEAR(AV$4)&gt;=YEAR($F234),$K234="a"),ROUND(VLOOKUP(BA$4,Preisindex,5,FALSE)/VLOOKUP(YEAR($F234),Preisindex,5,FALSE),2),IF(AND($E234&lt;&gt;0,$F234&gt;0,YEAR($F234)&gt;=Preisindex!$A$6,YEAR(AV$4)&gt;=YEAR($F234),$K234="b"),ROUND(VLOOKUP(BA$4,Preisindex,3,FALSE)/VLOOKUP(YEAR($F234),Preisindex,3,FALSE),2),IF(AND($E234&lt;&gt;0,$F234&gt;0,YEAR($F234)&gt;=Preisindex!$A$6,YEAR(AV$4)&gt;=YEAR($F234),$K234="g"),ROUND(VLOOKUP(BA$4,Preisindex,4,FALSE)/VLOOKUP(YEAR($F234),Preisindex,4,FALSE),2),IF(AND($E234&lt;&gt;0,$F234&gt;0,YEAR($F234)&gt;=Preisindex!$A$6,YEAR(AV$4)&gt;=YEAR($F234),$K234="k"),ROUND(VLOOKUP(BA$4,Preisindex,2,FALSE)/VLOOKUP(YEAR($F234),Preisindex,2,FALSE),2),0)))))</f>
        <v>0</v>
      </c>
      <c r="BB234" s="56">
        <f>IF(AND($E234&lt;&gt;0,$F234&gt;0,YEAR($F234)&lt;Preisindex!$A$6,YEAR(AV$4)&gt;=YEAR($F234),AND($K234&lt;&gt;"a",$K234&lt;&gt;"b",$K234&lt;&gt;"g",$K234&lt;&gt;"k")),1,IF(AND($E234&lt;&gt;0,$F234&gt;0,YEAR($F234)&lt;Preisindex!$A$6,YEAR(AV$4)&gt;=YEAR($F234),$K234="a"),ROUND(VLOOKUP(BA$4,Preisindex,5,FALSE)/VLOOKUP(Preisindex!$A$6,Preisindex,5,FALSE),2),IF(AND($E234&lt;&gt;0,$F234&gt;0,YEAR($F234)&lt;Preisindex!$A$6,YEAR(AV$4)&gt;=YEAR($F234),$K234="b"),ROUND(VLOOKUP(BA$4,Preisindex,3,FALSE)/VLOOKUP(Preisindex!$A$6,Preisindex,3,FALSE),2),IF(AND($E234&lt;&gt;0,$F234&gt;0,YEAR($F234)&lt;Preisindex!$A$6,YEAR(AV$4)&gt;=YEAR($F234),$K234="g"),ROUND(VLOOKUP(BA$4,Preisindex,4,FALSE)/VLOOKUP(Preisindex!$A$6,Preisindex,4,FALSE),2),IF(AND($E234&lt;&gt;0,$F234&gt;0,YEAR($F234)&lt;Preisindex!$A$6,YEAR(AV$4)&gt;=YEAR($F234),$K234="k"),ROUND(VLOOKUP(BA$4,Preisindex,2,FALSE)/VLOOKUP(Preisindex!$A$6,Preisindex,2,FALSE),2),0)))))</f>
        <v>0</v>
      </c>
      <c r="BC234" s="51">
        <f>IF(AND($E234&lt;&gt;0,$F234&gt;0,YEAR($F234)&lt;=BA$4,YEAR($F234)&gt;=Preisindex!$A$6),ROUND($E234*BA234,2),IF(AND($E234&lt;&gt;0,$F234&gt;0,YEAR($F234)&lt;=BA$4,YEAR($F234)&lt;Preisindex!$A$6),ROUND($E234*BB234,2),0))</f>
        <v>0</v>
      </c>
      <c r="BD234" s="53">
        <f t="shared" si="631"/>
        <v>0</v>
      </c>
      <c r="BE234" s="51">
        <f t="shared" si="750"/>
        <v>0</v>
      </c>
      <c r="BF234" s="51">
        <f t="shared" si="715"/>
        <v>0</v>
      </c>
      <c r="BG234" s="51">
        <f t="shared" si="632"/>
        <v>0</v>
      </c>
      <c r="BH234" s="51">
        <f t="shared" si="716"/>
        <v>0</v>
      </c>
      <c r="BI234" s="51">
        <f t="shared" si="633"/>
        <v>0</v>
      </c>
      <c r="BJ234" s="51">
        <f t="shared" si="717"/>
        <v>0</v>
      </c>
      <c r="BK234" s="51">
        <f t="shared" si="634"/>
        <v>0</v>
      </c>
      <c r="BL234" s="51">
        <f t="shared" si="718"/>
        <v>0</v>
      </c>
      <c r="BM234" s="51">
        <f t="shared" si="635"/>
        <v>0</v>
      </c>
      <c r="BN234" s="51">
        <f t="shared" si="719"/>
        <v>0</v>
      </c>
      <c r="BO234" s="51">
        <f t="shared" si="636"/>
        <v>0</v>
      </c>
      <c r="BP234" s="54">
        <f t="shared" si="637"/>
        <v>0</v>
      </c>
      <c r="BQ234" s="55">
        <f t="shared" si="638"/>
        <v>0</v>
      </c>
      <c r="BR234" s="56">
        <f>IF(AND($E234&lt;&gt;0,$F234&gt;0,YEAR($F234)&gt;=Preisindex!$A$6,YEAR(BM$4)&gt;=YEAR($F234),AND($K234&lt;&gt;"a",$K234&lt;&gt;"b",$K234&lt;&gt;"g",$K234&lt;&gt;"k")),1,IF(AND($E234&lt;&gt;0,$F234&gt;0,YEAR($F234)&gt;=Preisindex!$A$6,YEAR(BM$4)&gt;=YEAR($F234),$K234="a"),ROUND(VLOOKUP(BR$4,Preisindex,5,FALSE)/VLOOKUP(YEAR($F234),Preisindex,5,FALSE),2),IF(AND($E234&lt;&gt;0,$F234&gt;0,YEAR($F234)&gt;=Preisindex!$A$6,YEAR(BM$4)&gt;=YEAR($F234),$K234="b"),ROUND(VLOOKUP(BR$4,Preisindex,3,FALSE)/VLOOKUP(YEAR($F234),Preisindex,3,FALSE),2),IF(AND($E234&lt;&gt;0,$F234&gt;0,YEAR($F234)&gt;=Preisindex!$A$6,YEAR(BM$4)&gt;=YEAR($F234),$K234="g"),ROUND(VLOOKUP(BR$4,Preisindex,4,FALSE)/VLOOKUP(YEAR($F234),Preisindex,4,FALSE),2),IF(AND($E234&lt;&gt;0,$F234&gt;0,YEAR($F234)&gt;=Preisindex!$A$6,YEAR(BM$4)&gt;=YEAR($F234),$K234="k"),ROUND(VLOOKUP(BR$4,Preisindex,2,FALSE)/VLOOKUP(YEAR($F234),Preisindex,2,FALSE),2),0)))))</f>
        <v>0</v>
      </c>
      <c r="BS234" s="56">
        <f>IF(AND($E234&lt;&gt;0,$F234&gt;0,YEAR($F234)&lt;Preisindex!$A$6,YEAR(BM$4)&gt;=YEAR($F234),AND($K234&lt;&gt;"a",$K234&lt;&gt;"b",$K234&lt;&gt;"g",$K234&lt;&gt;"k")),1,IF(AND($E234&lt;&gt;0,$F234&gt;0,YEAR($F234)&lt;Preisindex!$A$6,YEAR(BM$4)&gt;=YEAR($F234),$K234="a"),ROUND(VLOOKUP(BR$4,Preisindex,5,FALSE)/VLOOKUP(Preisindex!$A$6,Preisindex,5,FALSE),2),IF(AND($E234&lt;&gt;0,$F234&gt;0,YEAR($F234)&lt;Preisindex!$A$6,YEAR(BM$4)&gt;=YEAR($F234),$K234="b"),ROUND(VLOOKUP(BR$4,Preisindex,3,FALSE)/VLOOKUP(Preisindex!$A$6,Preisindex,3,FALSE),2),IF(AND($E234&lt;&gt;0,$F234&gt;0,YEAR($F234)&lt;Preisindex!$A$6,YEAR(BM$4)&gt;=YEAR($F234),$K234="g"),ROUND(VLOOKUP(BR$4,Preisindex,4,FALSE)/VLOOKUP(Preisindex!$A$6,Preisindex,4,FALSE),2),IF(AND($E234&lt;&gt;0,$F234&gt;0,YEAR($F234)&lt;Preisindex!$A$6,YEAR(BM$4)&gt;=YEAR($F234),$K234="k"),ROUND(VLOOKUP(BR$4,Preisindex,2,FALSE)/VLOOKUP(Preisindex!$A$6,Preisindex,2,FALSE),2),0)))))</f>
        <v>0</v>
      </c>
      <c r="BT234" s="51">
        <f>IF(AND($E234&lt;&gt;0,$F234&gt;0,YEAR($F234)&lt;=BR$4,YEAR($F234)&gt;=Preisindex!$A$6),ROUND($E234*BR234,2),IF(AND($E234&lt;&gt;0,$F234&gt;0,YEAR($F234)&lt;=BR$4,YEAR($F234)&lt;Preisindex!$A$6),ROUND($E234*BS234,2),0))</f>
        <v>0</v>
      </c>
      <c r="BU234" s="53">
        <f t="shared" si="639"/>
        <v>0</v>
      </c>
      <c r="BV234" s="51">
        <f t="shared" si="750"/>
        <v>0</v>
      </c>
      <c r="BW234" s="51">
        <f t="shared" si="720"/>
        <v>0</v>
      </c>
      <c r="BX234" s="51">
        <f t="shared" si="640"/>
        <v>0</v>
      </c>
      <c r="BY234" s="51">
        <f t="shared" si="721"/>
        <v>0</v>
      </c>
      <c r="BZ234" s="51">
        <f t="shared" si="641"/>
        <v>0</v>
      </c>
      <c r="CA234" s="51">
        <f t="shared" si="722"/>
        <v>0</v>
      </c>
      <c r="CB234" s="51">
        <f t="shared" si="642"/>
        <v>0</v>
      </c>
      <c r="CC234" s="51">
        <f t="shared" si="723"/>
        <v>0</v>
      </c>
      <c r="CD234" s="51">
        <f t="shared" si="643"/>
        <v>0</v>
      </c>
      <c r="CE234" s="51">
        <f t="shared" si="724"/>
        <v>0</v>
      </c>
      <c r="CF234" s="51">
        <f t="shared" si="644"/>
        <v>0</v>
      </c>
      <c r="CG234" s="54">
        <f t="shared" si="645"/>
        <v>0</v>
      </c>
      <c r="CH234" s="55">
        <f t="shared" si="646"/>
        <v>0</v>
      </c>
      <c r="CI234" s="56">
        <f>IF(AND($E234&lt;&gt;0,$F234&gt;0,YEAR($F234)&gt;=Preisindex!$A$6,YEAR(CD$4)&gt;=YEAR($F234),AND($K234&lt;&gt;"a",$K234&lt;&gt;"b",$K234&lt;&gt;"g",$K234&lt;&gt;"k")),1,IF(AND($E234&lt;&gt;0,$F234&gt;0,YEAR($F234)&gt;=Preisindex!$A$6,YEAR(CD$4)&gt;=YEAR($F234),$K234="a"),ROUND(VLOOKUP(CI$4,Preisindex,5,FALSE)/VLOOKUP(YEAR($F234),Preisindex,5,FALSE),2),IF(AND($E234&lt;&gt;0,$F234&gt;0,YEAR($F234)&gt;=Preisindex!$A$6,YEAR(CD$4)&gt;=YEAR($F234),$K234="b"),ROUND(VLOOKUP(CI$4,Preisindex,3,FALSE)/VLOOKUP(YEAR($F234),Preisindex,3,FALSE),2),IF(AND($E234&lt;&gt;0,$F234&gt;0,YEAR($F234)&gt;=Preisindex!$A$6,YEAR(CD$4)&gt;=YEAR($F234),$K234="g"),ROUND(VLOOKUP(CI$4,Preisindex,4,FALSE)/VLOOKUP(YEAR($F234),Preisindex,4,FALSE),2),IF(AND($E234&lt;&gt;0,$F234&gt;0,YEAR($F234)&gt;=Preisindex!$A$6,YEAR(CD$4)&gt;=YEAR($F234),$K234="k"),ROUND(VLOOKUP(CI$4,Preisindex,2,FALSE)/VLOOKUP(YEAR($F234),Preisindex,2,FALSE),2),0)))))</f>
        <v>0</v>
      </c>
      <c r="CJ234" s="56">
        <f>IF(AND($E234&lt;&gt;0,$F234&gt;0,YEAR($F234)&lt;Preisindex!$A$6,YEAR(CD$4)&gt;=YEAR($F234),AND($K234&lt;&gt;"a",$K234&lt;&gt;"b",$K234&lt;&gt;"g",$K234&lt;&gt;"k")),1,IF(AND($E234&lt;&gt;0,$F234&gt;0,YEAR($F234)&lt;Preisindex!$A$6,YEAR(CD$4)&gt;=YEAR($F234),$K234="a"),ROUND(VLOOKUP(CI$4,Preisindex,5,FALSE)/VLOOKUP(Preisindex!$A$6,Preisindex,5,FALSE),2),IF(AND($E234&lt;&gt;0,$F234&gt;0,YEAR($F234)&lt;Preisindex!$A$6,YEAR(CD$4)&gt;=YEAR($F234),$K234="b"),ROUND(VLOOKUP(CI$4,Preisindex,3,FALSE)/VLOOKUP(Preisindex!$A$6,Preisindex,3,FALSE),2),IF(AND($E234&lt;&gt;0,$F234&gt;0,YEAR($F234)&lt;Preisindex!$A$6,YEAR(CD$4)&gt;=YEAR($F234),$K234="g"),ROUND(VLOOKUP(CI$4,Preisindex,4,FALSE)/VLOOKUP(Preisindex!$A$6,Preisindex,4,FALSE),2),IF(AND($E234&lt;&gt;0,$F234&gt;0,YEAR($F234)&lt;Preisindex!$A$6,YEAR(CD$4)&gt;=YEAR($F234),$K234="k"),ROUND(VLOOKUP(CI$4,Preisindex,2,FALSE)/VLOOKUP(Preisindex!$A$6,Preisindex,2,FALSE),2),0)))))</f>
        <v>0</v>
      </c>
      <c r="CK234" s="51">
        <f>IF(AND($E234&lt;&gt;0,$F234&gt;0,YEAR($F234)&lt;=CI$4,YEAR($F234)&gt;=Preisindex!$A$6),ROUND($E234*CI234,2),IF(AND($E234&lt;&gt;0,$F234&gt;0,YEAR($F234)&lt;=CI$4,YEAR($F234)&lt;Preisindex!$A$6),ROUND($E234*CJ234,2),0))</f>
        <v>0</v>
      </c>
      <c r="CL234" s="53">
        <f t="shared" si="647"/>
        <v>0</v>
      </c>
      <c r="CM234" s="51">
        <f t="shared" si="750"/>
        <v>0</v>
      </c>
      <c r="CN234" s="51">
        <f t="shared" si="725"/>
        <v>0</v>
      </c>
      <c r="CO234" s="51">
        <f t="shared" si="648"/>
        <v>0</v>
      </c>
      <c r="CP234" s="51">
        <f t="shared" si="726"/>
        <v>0</v>
      </c>
      <c r="CQ234" s="51">
        <f t="shared" si="649"/>
        <v>0</v>
      </c>
      <c r="CR234" s="51">
        <f t="shared" si="727"/>
        <v>0</v>
      </c>
      <c r="CS234" s="51">
        <f t="shared" si="650"/>
        <v>0</v>
      </c>
      <c r="CT234" s="51">
        <f t="shared" si="728"/>
        <v>0</v>
      </c>
      <c r="CU234" s="51">
        <f t="shared" si="651"/>
        <v>0</v>
      </c>
      <c r="CV234" s="51">
        <f t="shared" si="729"/>
        <v>0</v>
      </c>
      <c r="CW234" s="51">
        <f t="shared" si="652"/>
        <v>0</v>
      </c>
      <c r="CX234" s="54">
        <f t="shared" si="653"/>
        <v>0</v>
      </c>
      <c r="CY234" s="55">
        <f t="shared" si="654"/>
        <v>0</v>
      </c>
      <c r="CZ234" s="56">
        <f>IF(AND($E234&lt;&gt;0,$F234&gt;0,YEAR($F234)&gt;=Preisindex!$A$6,YEAR(CU$4)&gt;=YEAR($F234),AND($K234&lt;&gt;"a",$K234&lt;&gt;"b",$K234&lt;&gt;"g",$K234&lt;&gt;"k")),1,IF(AND($E234&lt;&gt;0,$F234&gt;0,YEAR($F234)&gt;=Preisindex!$A$6,YEAR(CU$4)&gt;=YEAR($F234),$K234="a"),ROUND(VLOOKUP(CZ$4,Preisindex,5,FALSE)/VLOOKUP(YEAR($F234),Preisindex,5,FALSE),2),IF(AND($E234&lt;&gt;0,$F234&gt;0,YEAR($F234)&gt;=Preisindex!$A$6,YEAR(CU$4)&gt;=YEAR($F234),$K234="b"),ROUND(VLOOKUP(CZ$4,Preisindex,3,FALSE)/VLOOKUP(YEAR($F234),Preisindex,3,FALSE),2),IF(AND($E234&lt;&gt;0,$F234&gt;0,YEAR($F234)&gt;=Preisindex!$A$6,YEAR(CU$4)&gt;=YEAR($F234),$K234="g"),ROUND(VLOOKUP(CZ$4,Preisindex,4,FALSE)/VLOOKUP(YEAR($F234),Preisindex,4,FALSE),2),IF(AND($E234&lt;&gt;0,$F234&gt;0,YEAR($F234)&gt;=Preisindex!$A$6,YEAR(CU$4)&gt;=YEAR($F234),$K234="k"),ROUND(VLOOKUP(CZ$4,Preisindex,2,FALSE)/VLOOKUP(YEAR($F234),Preisindex,2,FALSE),2),0)))))</f>
        <v>0</v>
      </c>
      <c r="DA234" s="56">
        <f>IF(AND($E234&lt;&gt;0,$F234&gt;0,YEAR($F234)&lt;Preisindex!$A$6,YEAR(CU$4)&gt;=YEAR($F234),AND($K234&lt;&gt;"a",$K234&lt;&gt;"b",$K234&lt;&gt;"g",$K234&lt;&gt;"k")),1,IF(AND($E234&lt;&gt;0,$F234&gt;0,YEAR($F234)&lt;Preisindex!$A$6,YEAR(CU$4)&gt;=YEAR($F234),$K234="a"),ROUND(VLOOKUP(CZ$4,Preisindex,5,FALSE)/VLOOKUP(Preisindex!$A$6,Preisindex,5,FALSE),2),IF(AND($E234&lt;&gt;0,$F234&gt;0,YEAR($F234)&lt;Preisindex!$A$6,YEAR(CU$4)&gt;=YEAR($F234),$K234="b"),ROUND(VLOOKUP(CZ$4,Preisindex,3,FALSE)/VLOOKUP(Preisindex!$A$6,Preisindex,3,FALSE),2),IF(AND($E234&lt;&gt;0,$F234&gt;0,YEAR($F234)&lt;Preisindex!$A$6,YEAR(CU$4)&gt;=YEAR($F234),$K234="g"),ROUND(VLOOKUP(CZ$4,Preisindex,4,FALSE)/VLOOKUP(Preisindex!$A$6,Preisindex,4,FALSE),2),IF(AND($E234&lt;&gt;0,$F234&gt;0,YEAR($F234)&lt;Preisindex!$A$6,YEAR(CU$4)&gt;=YEAR($F234),$K234="k"),ROUND(VLOOKUP(CZ$4,Preisindex,2,FALSE)/VLOOKUP(Preisindex!$A$6,Preisindex,2,FALSE),2),0)))))</f>
        <v>0</v>
      </c>
      <c r="DB234" s="51">
        <f>IF(AND($E234&lt;&gt;0,$F234&gt;0,YEAR($F234)&lt;=CZ$4,YEAR($F234)&gt;=Preisindex!$A$6),ROUND($E234*CZ234,2),IF(AND($E234&lt;&gt;0,$F234&gt;0,YEAR($F234)&lt;=CZ$4,YEAR($F234)&lt;Preisindex!$A$6),ROUND($E234*DA234,2),0))</f>
        <v>0</v>
      </c>
      <c r="DC234" s="53">
        <f t="shared" si="655"/>
        <v>0</v>
      </c>
      <c r="DD234" s="51">
        <f t="shared" si="751"/>
        <v>0</v>
      </c>
      <c r="DE234" s="51">
        <f t="shared" si="730"/>
        <v>0</v>
      </c>
      <c r="DF234" s="51">
        <f t="shared" si="657"/>
        <v>0</v>
      </c>
      <c r="DG234" s="51">
        <f t="shared" si="731"/>
        <v>0</v>
      </c>
      <c r="DH234" s="51">
        <f t="shared" si="658"/>
        <v>0</v>
      </c>
      <c r="DI234" s="51">
        <f t="shared" si="732"/>
        <v>0</v>
      </c>
      <c r="DJ234" s="51">
        <f t="shared" si="659"/>
        <v>0</v>
      </c>
      <c r="DK234" s="51">
        <f t="shared" si="733"/>
        <v>0</v>
      </c>
      <c r="DL234" s="51">
        <f t="shared" si="660"/>
        <v>0</v>
      </c>
      <c r="DM234" s="51">
        <f t="shared" si="734"/>
        <v>0</v>
      </c>
      <c r="DN234" s="51">
        <f t="shared" si="661"/>
        <v>0</v>
      </c>
      <c r="DO234" s="54">
        <f t="shared" si="662"/>
        <v>0</v>
      </c>
      <c r="DP234" s="55">
        <f t="shared" si="663"/>
        <v>0</v>
      </c>
      <c r="DQ234" s="56">
        <f>IF(AND($E234&lt;&gt;0,$F234&gt;0,YEAR($F234)&gt;=Preisindex!$A$6,YEAR(DL$4)&gt;=YEAR($F234),AND($K234&lt;&gt;"a",$K234&lt;&gt;"b",$K234&lt;&gt;"g",$K234&lt;&gt;"k")),1,IF(AND($E234&lt;&gt;0,$F234&gt;0,YEAR($F234)&gt;=Preisindex!$A$6,YEAR(DL$4)&gt;=YEAR($F234),$K234="a"),ROUND(VLOOKUP(DQ$4,Preisindex,5,FALSE)/VLOOKUP(YEAR($F234),Preisindex,5,FALSE),2),IF(AND($E234&lt;&gt;0,$F234&gt;0,YEAR($F234)&gt;=Preisindex!$A$6,YEAR(DL$4)&gt;=YEAR($F234),$K234="b"),ROUND(VLOOKUP(DQ$4,Preisindex,3,FALSE)/VLOOKUP(YEAR($F234),Preisindex,3,FALSE),2),IF(AND($E234&lt;&gt;0,$F234&gt;0,YEAR($F234)&gt;=Preisindex!$A$6,YEAR(DL$4)&gt;=YEAR($F234),$K234="g"),ROUND(VLOOKUP(DQ$4,Preisindex,4,FALSE)/VLOOKUP(YEAR($F234),Preisindex,4,FALSE),2),IF(AND($E234&lt;&gt;0,$F234&gt;0,YEAR($F234)&gt;=Preisindex!$A$6,YEAR(DL$4)&gt;=YEAR($F234),$K234="k"),ROUND(VLOOKUP(DQ$4,Preisindex,2,FALSE)/VLOOKUP(YEAR($F234),Preisindex,2,FALSE),2),0)))))</f>
        <v>0</v>
      </c>
      <c r="DR234" s="56">
        <f>IF(AND($E234&lt;&gt;0,$F234&gt;0,YEAR($F234)&lt;Preisindex!$A$6,YEAR(DL$4)&gt;=YEAR($F234),AND($K234&lt;&gt;"a",$K234&lt;&gt;"b",$K234&lt;&gt;"g",$K234&lt;&gt;"k")),1,IF(AND($E234&lt;&gt;0,$F234&gt;0,YEAR($F234)&lt;Preisindex!$A$6,YEAR(DL$4)&gt;=YEAR($F234),$K234="a"),ROUND(VLOOKUP(DQ$4,Preisindex,5,FALSE)/VLOOKUP(Preisindex!$A$6,Preisindex,5,FALSE),2),IF(AND($E234&lt;&gt;0,$F234&gt;0,YEAR($F234)&lt;Preisindex!$A$6,YEAR(DL$4)&gt;=YEAR($F234),$K234="b"),ROUND(VLOOKUP(DQ$4,Preisindex,3,FALSE)/VLOOKUP(Preisindex!$A$6,Preisindex,3,FALSE),2),IF(AND($E234&lt;&gt;0,$F234&gt;0,YEAR($F234)&lt;Preisindex!$A$6,YEAR(DL$4)&gt;=YEAR($F234),$K234="g"),ROUND(VLOOKUP(DQ$4,Preisindex,4,FALSE)/VLOOKUP(Preisindex!$A$6,Preisindex,4,FALSE),2),IF(AND($E234&lt;&gt;0,$F234&gt;0,YEAR($F234)&lt;Preisindex!$A$6,YEAR(DL$4)&gt;=YEAR($F234),$K234="k"),ROUND(VLOOKUP(DQ$4,Preisindex,2,FALSE)/VLOOKUP(Preisindex!$A$6,Preisindex,2,FALSE),2),0)))))</f>
        <v>0</v>
      </c>
      <c r="DS234" s="51">
        <f>IF(AND($E234&lt;&gt;0,$F234&gt;0,YEAR($F234)&lt;=DQ$4,YEAR($F234)&gt;=Preisindex!$A$6),ROUND($E234*DQ234,2),IF(AND($E234&lt;&gt;0,$F234&gt;0,YEAR($F234)&lt;=DQ$4,YEAR($F234)&lt;Preisindex!$A$6),ROUND($E234*DR234,2),0))</f>
        <v>0</v>
      </c>
      <c r="DT234" s="53">
        <f t="shared" si="664"/>
        <v>0</v>
      </c>
      <c r="DU234" s="51">
        <f t="shared" si="751"/>
        <v>0</v>
      </c>
      <c r="DV234" s="51">
        <f t="shared" si="735"/>
        <v>0</v>
      </c>
      <c r="DW234" s="51">
        <f t="shared" si="665"/>
        <v>0</v>
      </c>
      <c r="DX234" s="51">
        <f t="shared" si="736"/>
        <v>0</v>
      </c>
      <c r="DY234" s="51">
        <f t="shared" si="666"/>
        <v>0</v>
      </c>
      <c r="DZ234" s="51">
        <f t="shared" si="737"/>
        <v>0</v>
      </c>
      <c r="EA234" s="51">
        <f t="shared" si="667"/>
        <v>0</v>
      </c>
      <c r="EB234" s="51">
        <f t="shared" si="738"/>
        <v>0</v>
      </c>
      <c r="EC234" s="51">
        <f t="shared" si="668"/>
        <v>0</v>
      </c>
      <c r="ED234" s="51">
        <f t="shared" si="739"/>
        <v>0</v>
      </c>
      <c r="EE234" s="51">
        <f t="shared" si="669"/>
        <v>0</v>
      </c>
      <c r="EF234" s="54">
        <f t="shared" si="670"/>
        <v>0</v>
      </c>
      <c r="EG234" s="55">
        <f t="shared" si="671"/>
        <v>0</v>
      </c>
      <c r="EH234" s="56">
        <f>IF(AND($E234&lt;&gt;0,$F234&gt;0,YEAR($F234)&gt;=Preisindex!$A$6,YEAR(EC$4)&gt;=YEAR($F234),AND($K234&lt;&gt;"a",$K234&lt;&gt;"b",$K234&lt;&gt;"g",$K234&lt;&gt;"k")),1,IF(AND($E234&lt;&gt;0,$F234&gt;0,YEAR($F234)&gt;=Preisindex!$A$6,YEAR(EC$4)&gt;=YEAR($F234),$K234="a"),ROUND(VLOOKUP(EH$4,Preisindex,5,FALSE)/VLOOKUP(YEAR($F234),Preisindex,5,FALSE),2),IF(AND($E234&lt;&gt;0,$F234&gt;0,YEAR($F234)&gt;=Preisindex!$A$6,YEAR(EC$4)&gt;=YEAR($F234),$K234="b"),ROUND(VLOOKUP(EH$4,Preisindex,3,FALSE)/VLOOKUP(YEAR($F234),Preisindex,3,FALSE),2),IF(AND($E234&lt;&gt;0,$F234&gt;0,YEAR($F234)&gt;=Preisindex!$A$6,YEAR(EC$4)&gt;=YEAR($F234),$K234="g"),ROUND(VLOOKUP(EH$4,Preisindex,4,FALSE)/VLOOKUP(YEAR($F234),Preisindex,4,FALSE),2),IF(AND($E234&lt;&gt;0,$F234&gt;0,YEAR($F234)&gt;=Preisindex!$A$6,YEAR(EC$4)&gt;=YEAR($F234),$K234="k"),ROUND(VLOOKUP(EH$4,Preisindex,2,FALSE)/VLOOKUP(YEAR($F234),Preisindex,2,FALSE),2),0)))))</f>
        <v>0</v>
      </c>
      <c r="EI234" s="56">
        <f>IF(AND($E234&lt;&gt;0,$F234&gt;0,YEAR($F234)&lt;Preisindex!$A$6,YEAR(EC$4)&gt;=YEAR($F234),AND($K234&lt;&gt;"a",$K234&lt;&gt;"b",$K234&lt;&gt;"g",$K234&lt;&gt;"k")),1,IF(AND($E234&lt;&gt;0,$F234&gt;0,YEAR($F234)&lt;Preisindex!$A$6,YEAR(EC$4)&gt;=YEAR($F234),$K234="a"),ROUND(VLOOKUP(EH$4,Preisindex,5,FALSE)/VLOOKUP(Preisindex!$A$6,Preisindex,5,FALSE),2),IF(AND($E234&lt;&gt;0,$F234&gt;0,YEAR($F234)&lt;Preisindex!$A$6,YEAR(EC$4)&gt;=YEAR($F234),$K234="b"),ROUND(VLOOKUP(EH$4,Preisindex,3,FALSE)/VLOOKUP(Preisindex!$A$6,Preisindex,3,FALSE),2),IF(AND($E234&lt;&gt;0,$F234&gt;0,YEAR($F234)&lt;Preisindex!$A$6,YEAR(EC$4)&gt;=YEAR($F234),$K234="g"),ROUND(VLOOKUP(EH$4,Preisindex,4,FALSE)/VLOOKUP(Preisindex!$A$6,Preisindex,4,FALSE),2),IF(AND($E234&lt;&gt;0,$F234&gt;0,YEAR($F234)&lt;Preisindex!$A$6,YEAR(EC$4)&gt;=YEAR($F234),$K234="k"),ROUND(VLOOKUP(EH$4,Preisindex,2,FALSE)/VLOOKUP(Preisindex!$A$6,Preisindex,2,FALSE),2),0)))))</f>
        <v>0</v>
      </c>
      <c r="EJ234" s="51">
        <f>IF(AND($E234&lt;&gt;0,$F234&gt;0,YEAR($F234)&lt;=EH$4,YEAR($F234)&gt;=Preisindex!$A$6),ROUND($E234*EH234,2),IF(AND($E234&lt;&gt;0,$F234&gt;0,YEAR($F234)&lt;=EH$4,YEAR($F234)&lt;Preisindex!$A$6),ROUND($E234*EI234,2),0))</f>
        <v>0</v>
      </c>
      <c r="EK234" s="53">
        <f t="shared" si="672"/>
        <v>0</v>
      </c>
      <c r="EL234" s="51">
        <f t="shared" si="751"/>
        <v>0</v>
      </c>
      <c r="EM234" s="51">
        <f t="shared" si="740"/>
        <v>0</v>
      </c>
      <c r="EN234" s="51">
        <f t="shared" si="673"/>
        <v>0</v>
      </c>
      <c r="EO234" s="51">
        <f t="shared" si="741"/>
        <v>0</v>
      </c>
      <c r="EP234" s="51">
        <f t="shared" si="674"/>
        <v>0</v>
      </c>
      <c r="EQ234" s="51">
        <f t="shared" si="742"/>
        <v>0</v>
      </c>
      <c r="ER234" s="51">
        <f t="shared" si="675"/>
        <v>0</v>
      </c>
      <c r="ES234" s="51">
        <f t="shared" si="743"/>
        <v>0</v>
      </c>
      <c r="ET234" s="51">
        <f t="shared" si="676"/>
        <v>0</v>
      </c>
      <c r="EU234" s="51">
        <f t="shared" si="744"/>
        <v>0</v>
      </c>
      <c r="EV234" s="51">
        <f t="shared" si="677"/>
        <v>0</v>
      </c>
      <c r="EW234" s="54">
        <f t="shared" si="678"/>
        <v>0</v>
      </c>
      <c r="EX234" s="55">
        <f t="shared" si="679"/>
        <v>0</v>
      </c>
      <c r="EY234" s="56">
        <f>IF(AND($E234&lt;&gt;0,$F234&gt;0,YEAR($F234)&gt;=Preisindex!$A$6,YEAR(ET$4)&gt;=YEAR($F234),AND($K234&lt;&gt;"a",$K234&lt;&gt;"b",$K234&lt;&gt;"g",$K234&lt;&gt;"k")),1,IF(AND($E234&lt;&gt;0,$F234&gt;0,YEAR($F234)&gt;=Preisindex!$A$6,YEAR(ET$4)&gt;=YEAR($F234),$K234="a"),ROUND(VLOOKUP(EY$4,Preisindex,5,FALSE)/VLOOKUP(YEAR($F234),Preisindex,5,FALSE),2),IF(AND($E234&lt;&gt;0,$F234&gt;0,YEAR($F234)&gt;=Preisindex!$A$6,YEAR(ET$4)&gt;=YEAR($F234),$K234="b"),ROUND(VLOOKUP(EY$4,Preisindex,3,FALSE)/VLOOKUP(YEAR($F234),Preisindex,3,FALSE),2),IF(AND($E234&lt;&gt;0,$F234&gt;0,YEAR($F234)&gt;=Preisindex!$A$6,YEAR(ET$4)&gt;=YEAR($F234),$K234="g"),ROUND(VLOOKUP(EY$4,Preisindex,4,FALSE)/VLOOKUP(YEAR($F234),Preisindex,4,FALSE),2),IF(AND($E234&lt;&gt;0,$F234&gt;0,YEAR($F234)&gt;=Preisindex!$A$6,YEAR(ET$4)&gt;=YEAR($F234),$K234="k"),ROUND(VLOOKUP(EY$4,Preisindex,2,FALSE)/VLOOKUP(YEAR($F234),Preisindex,2,FALSE),2),0)))))</f>
        <v>0</v>
      </c>
      <c r="EZ234" s="56">
        <f>IF(AND($E234&lt;&gt;0,$F234&gt;0,YEAR($F234)&lt;Preisindex!$A$6,YEAR(ET$4)&gt;=YEAR($F234),AND($K234&lt;&gt;"a",$K234&lt;&gt;"b",$K234&lt;&gt;"g",$K234&lt;&gt;"k")),1,IF(AND($E234&lt;&gt;0,$F234&gt;0,YEAR($F234)&lt;Preisindex!$A$6,YEAR(ET$4)&gt;=YEAR($F234),$K234="a"),ROUND(VLOOKUP(EY$4,Preisindex,5,FALSE)/VLOOKUP(Preisindex!$A$6,Preisindex,5,FALSE),2),IF(AND($E234&lt;&gt;0,$F234&gt;0,YEAR($F234)&lt;Preisindex!$A$6,YEAR(ET$4)&gt;=YEAR($F234),$K234="b"),ROUND(VLOOKUP(EY$4,Preisindex,3,FALSE)/VLOOKUP(Preisindex!$A$6,Preisindex,3,FALSE),2),IF(AND($E234&lt;&gt;0,$F234&gt;0,YEAR($F234)&lt;Preisindex!$A$6,YEAR(ET$4)&gt;=YEAR($F234),$K234="g"),ROUND(VLOOKUP(EY$4,Preisindex,4,FALSE)/VLOOKUP(Preisindex!$A$6,Preisindex,4,FALSE),2),IF(AND($E234&lt;&gt;0,$F234&gt;0,YEAR($F234)&lt;Preisindex!$A$6,YEAR(ET$4)&gt;=YEAR($F234),$K234="k"),ROUND(VLOOKUP(EY$4,Preisindex,2,FALSE)/VLOOKUP(Preisindex!$A$6,Preisindex,2,FALSE),2),0)))))</f>
        <v>0</v>
      </c>
      <c r="FA234" s="51">
        <f>IF(AND($E234&lt;&gt;0,$F234&gt;0,YEAR($F234)&lt;=EY$4,YEAR($F234)&gt;=Preisindex!$A$6),ROUND($E234*EY234,2),IF(AND($E234&lt;&gt;0,$F234&gt;0,YEAR($F234)&lt;=EY$4,YEAR($F234)&lt;Preisindex!$A$6),ROUND($E234*EZ234,2),0))</f>
        <v>0</v>
      </c>
      <c r="FB234" s="53">
        <f t="shared" si="680"/>
        <v>0</v>
      </c>
      <c r="FC234" s="51">
        <f t="shared" si="751"/>
        <v>0</v>
      </c>
      <c r="FD234" s="51">
        <f t="shared" si="745"/>
        <v>0</v>
      </c>
      <c r="FE234" s="51">
        <f t="shared" si="681"/>
        <v>0</v>
      </c>
      <c r="FF234" s="51">
        <f t="shared" si="746"/>
        <v>0</v>
      </c>
      <c r="FG234" s="51">
        <f t="shared" si="682"/>
        <v>0</v>
      </c>
      <c r="FH234" s="51">
        <f t="shared" si="747"/>
        <v>0</v>
      </c>
      <c r="FI234" s="51">
        <f t="shared" si="683"/>
        <v>0</v>
      </c>
      <c r="FJ234" s="51">
        <f t="shared" si="748"/>
        <v>0</v>
      </c>
      <c r="FK234" s="51">
        <f t="shared" si="684"/>
        <v>0</v>
      </c>
      <c r="FL234" s="51">
        <f t="shared" si="749"/>
        <v>0</v>
      </c>
      <c r="FM234" s="51">
        <f t="shared" si="685"/>
        <v>0</v>
      </c>
      <c r="FN234" s="54">
        <f t="shared" si="686"/>
        <v>0</v>
      </c>
      <c r="FO234" s="55">
        <f t="shared" si="687"/>
        <v>0</v>
      </c>
      <c r="FP234" s="56">
        <f>IF(AND($E234&lt;&gt;0,$F234&gt;0,YEAR($F234)&gt;=Preisindex!$A$6,YEAR(FK$4)&gt;=YEAR($F234),AND($K234&lt;&gt;"a",$K234&lt;&gt;"b",$K234&lt;&gt;"g",$K234&lt;&gt;"k")),1,IF(AND($E234&lt;&gt;0,$F234&gt;0,YEAR($F234)&gt;=Preisindex!$A$6,YEAR(FK$4)&gt;=YEAR($F234),$K234="a"),ROUND(VLOOKUP(FP$4,Preisindex,5,FALSE)/VLOOKUP(YEAR($F234),Preisindex,5,FALSE),2),IF(AND($E234&lt;&gt;0,$F234&gt;0,YEAR($F234)&gt;=Preisindex!$A$6,YEAR(FK$4)&gt;=YEAR($F234),$K234="b"),ROUND(VLOOKUP(FP$4,Preisindex,3,FALSE)/VLOOKUP(YEAR($F234),Preisindex,3,FALSE),2),IF(AND($E234&lt;&gt;0,$F234&gt;0,YEAR($F234)&gt;=Preisindex!$A$6,YEAR(FK$4)&gt;=YEAR($F234),$K234="g"),ROUND(VLOOKUP(FP$4,Preisindex,4,FALSE)/VLOOKUP(YEAR($F234),Preisindex,4,FALSE),2),IF(AND($E234&lt;&gt;0,$F234&gt;0,YEAR($F234)&gt;=Preisindex!$A$6,YEAR(FK$4)&gt;=YEAR($F234),$K234="k"),ROUND(VLOOKUP(FP$4,Preisindex,2,FALSE)/VLOOKUP(YEAR($F234),Preisindex,2,FALSE),2),0)))))</f>
        <v>0</v>
      </c>
      <c r="FQ234" s="56">
        <f>IF(AND($E234&lt;&gt;0,$F234&gt;0,YEAR($F234)&lt;Preisindex!$A$6,YEAR(FK$4)&gt;=YEAR($F234),AND($K234&lt;&gt;"a",$K234&lt;&gt;"b",$K234&lt;&gt;"g",$K234&lt;&gt;"k")),1,IF(AND($E234&lt;&gt;0,$F234&gt;0,YEAR($F234)&lt;Preisindex!$A$6,YEAR(FK$4)&gt;=YEAR($F234),$K234="a"),ROUND(VLOOKUP(FP$4,Preisindex,5,FALSE)/VLOOKUP(Preisindex!$A$6,Preisindex,5,FALSE),2),IF(AND($E234&lt;&gt;0,$F234&gt;0,YEAR($F234)&lt;Preisindex!$A$6,YEAR(FK$4)&gt;=YEAR($F234),$K234="b"),ROUND(VLOOKUP(FP$4,Preisindex,3,FALSE)/VLOOKUP(Preisindex!$A$6,Preisindex,3,FALSE),2),IF(AND($E234&lt;&gt;0,$F234&gt;0,YEAR($F234)&lt;Preisindex!$A$6,YEAR(FK$4)&gt;=YEAR($F234),$K234="g"),ROUND(VLOOKUP(FP$4,Preisindex,4,FALSE)/VLOOKUP(Preisindex!$A$6,Preisindex,4,FALSE),2),IF(AND($E234&lt;&gt;0,$F234&gt;0,YEAR($F234)&lt;Preisindex!$A$6,YEAR(FK$4)&gt;=YEAR($F234),$K234="k"),ROUND(VLOOKUP(FP$4,Preisindex,2,FALSE)/VLOOKUP(Preisindex!$A$6,Preisindex,2,FALSE),2),0)))))</f>
        <v>0</v>
      </c>
      <c r="FR234" s="51">
        <f>IF(AND($E234&lt;&gt;0,$F234&gt;0,YEAR($F234)&lt;=FP$4,YEAR($F234)&gt;=Preisindex!$A$6),ROUND($E234*FP234,2),IF(AND($E234&lt;&gt;0,$F234&gt;0,YEAR($F234)&lt;=FP$4,YEAR($F234)&lt;Preisindex!$A$6),ROUND($E234*FQ234,2),0))</f>
        <v>0</v>
      </c>
      <c r="FS234" s="53">
        <f t="shared" si="688"/>
        <v>0</v>
      </c>
    </row>
    <row r="235" spans="1:175" x14ac:dyDescent="0.3">
      <c r="A235" s="93"/>
      <c r="B235" s="94"/>
      <c r="C235" s="94"/>
      <c r="D235" s="95"/>
      <c r="E235" s="624"/>
      <c r="F235" s="190"/>
      <c r="G235" s="625"/>
      <c r="H235" s="192"/>
      <c r="I235" s="621"/>
      <c r="J235" s="103"/>
      <c r="K235" s="630"/>
      <c r="L235" s="49">
        <f t="shared" si="689"/>
        <v>0</v>
      </c>
      <c r="M235" s="50">
        <f t="shared" si="690"/>
        <v>0</v>
      </c>
      <c r="N235" s="51">
        <f t="shared" si="691"/>
        <v>0</v>
      </c>
      <c r="O235" s="51"/>
      <c r="P235" s="51">
        <f t="shared" si="692"/>
        <v>0</v>
      </c>
      <c r="Q235" s="52"/>
      <c r="R235" s="52"/>
      <c r="S235" s="52"/>
      <c r="T235" s="52"/>
      <c r="U235" s="52"/>
      <c r="V235" s="53">
        <f t="shared" si="693"/>
        <v>0</v>
      </c>
      <c r="W235" s="51">
        <f t="shared" si="694"/>
        <v>0</v>
      </c>
      <c r="X235" s="51">
        <f t="shared" si="695"/>
        <v>0</v>
      </c>
      <c r="Y235" s="51">
        <f t="shared" si="696"/>
        <v>0</v>
      </c>
      <c r="Z235" s="51">
        <f t="shared" si="697"/>
        <v>0</v>
      </c>
      <c r="AA235" s="51">
        <f t="shared" si="698"/>
        <v>0</v>
      </c>
      <c r="AB235" s="51">
        <f t="shared" si="699"/>
        <v>0</v>
      </c>
      <c r="AC235" s="51">
        <f t="shared" si="700"/>
        <v>0</v>
      </c>
      <c r="AD235" s="51">
        <f t="shared" si="701"/>
        <v>0</v>
      </c>
      <c r="AE235" s="51">
        <f t="shared" si="702"/>
        <v>0</v>
      </c>
      <c r="AF235" s="51">
        <f t="shared" si="703"/>
        <v>0</v>
      </c>
      <c r="AG235" s="51">
        <f t="shared" si="704"/>
        <v>0</v>
      </c>
      <c r="AH235" s="54">
        <f t="shared" si="705"/>
        <v>0</v>
      </c>
      <c r="AI235" s="55">
        <f t="shared" si="706"/>
        <v>0</v>
      </c>
      <c r="AJ235" s="56">
        <f>IF(AND($E235&lt;&gt;0,$F235&gt;0,YEAR($F235)&gt;=Preisindex!$A$6,YEAR(AE$4)&gt;=YEAR($F235),AND($K235&lt;&gt;"a",$K235&lt;&gt;"b",$K235&lt;&gt;"g",$K235&lt;&gt;"k")),1,IF(AND($E235&lt;&gt;0,$F235&gt;0,YEAR($F235)&gt;=Preisindex!$A$6,YEAR(AE$4)&gt;=YEAR($F235),$K235="a"),ROUND(VLOOKUP(AJ$4,Preisindex,5,FALSE)/VLOOKUP(YEAR($F235),Preisindex,5,FALSE),2),IF(AND($E235&lt;&gt;0,$F235&gt;0,YEAR($F235)&gt;=Preisindex!$A$6,YEAR(AE$4)&gt;=YEAR($F235),$K235="b"),ROUND(VLOOKUP(AJ$4,Preisindex,3,FALSE)/VLOOKUP(YEAR($F235),Preisindex,3,FALSE),2),IF(AND($E235&lt;&gt;0,$F235&gt;0,YEAR($F235)&gt;=Preisindex!$A$6,YEAR(AE$4)&gt;=YEAR($F235),$K235="g"),ROUND(VLOOKUP(AJ$4,Preisindex,4,FALSE)/VLOOKUP(YEAR($F235),Preisindex,4,FALSE),2),IF(AND($E235&lt;&gt;0,$F235&gt;0,YEAR($F235)&gt;=Preisindex!$A$6,YEAR(AE$4)&gt;=YEAR($F235),$K235="k"),ROUND(VLOOKUP(AJ$4,Preisindex,2,FALSE)/VLOOKUP(YEAR($F235),Preisindex,2,FALSE),2),0)))))</f>
        <v>0</v>
      </c>
      <c r="AK235" s="56">
        <f>IF(AND($E235&lt;&gt;0,$F235&gt;0,YEAR($F235)&lt;Preisindex!$A$6,YEAR(AE$4)&gt;=YEAR($F235),AND($K235&lt;&gt;"a",$K235&lt;&gt;"b",$K235&lt;&gt;"g",$K235&lt;&gt;"k")),1,IF(AND($E235&lt;&gt;0,$F235&gt;0,YEAR($F235)&lt;Preisindex!$A$6,YEAR(AE$4)&gt;=YEAR($F235),$K235="a"),ROUND(VLOOKUP(AJ$4,Preisindex,5,FALSE)/VLOOKUP(Preisindex!$A$6,Preisindex,5,FALSE),2),IF(AND($E235&lt;&gt;0,$F235&gt;0,YEAR($F235)&lt;Preisindex!$A$6,YEAR(AE$4)&gt;=YEAR($F235),$K235="b"),ROUND(VLOOKUP(AJ$4,Preisindex,3,FALSE)/VLOOKUP(Preisindex!$A$6,Preisindex,3,FALSE),2),IF(AND($E235&lt;&gt;0,$F235&gt;0,YEAR($F235)&lt;Preisindex!$A$6,YEAR(AE$4)&gt;=YEAR($F235),$K235="g"),ROUND(VLOOKUP(AJ$4,Preisindex,4,FALSE)/VLOOKUP(Preisindex!$A$6,Preisindex,4,FALSE),2),IF(AND($E235&lt;&gt;0,$F235&gt;0,YEAR($F235)&lt;Preisindex!$A$6,YEAR(AE$4)&gt;=YEAR($F235),$K235="k"),ROUND(VLOOKUP(AJ$4,Preisindex,2,FALSE)/VLOOKUP(Preisindex!$A$6,Preisindex,2,FALSE),2),0)))))</f>
        <v>0</v>
      </c>
      <c r="AL235" s="51">
        <f>IF(AND($E235&lt;&gt;0,$F235&gt;0,YEAR($F235)&lt;=AJ$4,YEAR($F235)&gt;=Preisindex!$A$6),ROUND($E235*AJ235,2),IF(AND($E235&lt;&gt;0,$F235&gt;0,YEAR($F235)&lt;=AJ$4,YEAR($F235)&lt;Preisindex!$A$6),ROUND($E235*AK235,2),0))</f>
        <v>0</v>
      </c>
      <c r="AM235" s="53">
        <f t="shared" si="707"/>
        <v>0</v>
      </c>
      <c r="AN235" s="51">
        <f t="shared" si="750"/>
        <v>0</v>
      </c>
      <c r="AO235" s="51">
        <f t="shared" si="710"/>
        <v>0</v>
      </c>
      <c r="AP235" s="51">
        <f t="shared" si="624"/>
        <v>0</v>
      </c>
      <c r="AQ235" s="51">
        <f t="shared" si="711"/>
        <v>0</v>
      </c>
      <c r="AR235" s="51">
        <f t="shared" si="625"/>
        <v>0</v>
      </c>
      <c r="AS235" s="51">
        <f t="shared" si="712"/>
        <v>0</v>
      </c>
      <c r="AT235" s="51">
        <f t="shared" si="626"/>
        <v>0</v>
      </c>
      <c r="AU235" s="51">
        <f t="shared" si="713"/>
        <v>0</v>
      </c>
      <c r="AV235" s="51">
        <f t="shared" si="627"/>
        <v>0</v>
      </c>
      <c r="AW235" s="51">
        <f t="shared" si="714"/>
        <v>0</v>
      </c>
      <c r="AX235" s="51">
        <f t="shared" si="628"/>
        <v>0</v>
      </c>
      <c r="AY235" s="54">
        <f t="shared" si="629"/>
        <v>0</v>
      </c>
      <c r="AZ235" s="55">
        <f t="shared" si="630"/>
        <v>0</v>
      </c>
      <c r="BA235" s="56">
        <f>IF(AND($E235&lt;&gt;0,$F235&gt;0,YEAR($F235)&gt;=Preisindex!$A$6,YEAR(AV$4)&gt;=YEAR($F235),AND($K235&lt;&gt;"a",$K235&lt;&gt;"b",$K235&lt;&gt;"g",$K235&lt;&gt;"k")),1,IF(AND($E235&lt;&gt;0,$F235&gt;0,YEAR($F235)&gt;=Preisindex!$A$6,YEAR(AV$4)&gt;=YEAR($F235),$K235="a"),ROUND(VLOOKUP(BA$4,Preisindex,5,FALSE)/VLOOKUP(YEAR($F235),Preisindex,5,FALSE),2),IF(AND($E235&lt;&gt;0,$F235&gt;0,YEAR($F235)&gt;=Preisindex!$A$6,YEAR(AV$4)&gt;=YEAR($F235),$K235="b"),ROUND(VLOOKUP(BA$4,Preisindex,3,FALSE)/VLOOKUP(YEAR($F235),Preisindex,3,FALSE),2),IF(AND($E235&lt;&gt;0,$F235&gt;0,YEAR($F235)&gt;=Preisindex!$A$6,YEAR(AV$4)&gt;=YEAR($F235),$K235="g"),ROUND(VLOOKUP(BA$4,Preisindex,4,FALSE)/VLOOKUP(YEAR($F235),Preisindex,4,FALSE),2),IF(AND($E235&lt;&gt;0,$F235&gt;0,YEAR($F235)&gt;=Preisindex!$A$6,YEAR(AV$4)&gt;=YEAR($F235),$K235="k"),ROUND(VLOOKUP(BA$4,Preisindex,2,FALSE)/VLOOKUP(YEAR($F235),Preisindex,2,FALSE),2),0)))))</f>
        <v>0</v>
      </c>
      <c r="BB235" s="56">
        <f>IF(AND($E235&lt;&gt;0,$F235&gt;0,YEAR($F235)&lt;Preisindex!$A$6,YEAR(AV$4)&gt;=YEAR($F235),AND($K235&lt;&gt;"a",$K235&lt;&gt;"b",$K235&lt;&gt;"g",$K235&lt;&gt;"k")),1,IF(AND($E235&lt;&gt;0,$F235&gt;0,YEAR($F235)&lt;Preisindex!$A$6,YEAR(AV$4)&gt;=YEAR($F235),$K235="a"),ROUND(VLOOKUP(BA$4,Preisindex,5,FALSE)/VLOOKUP(Preisindex!$A$6,Preisindex,5,FALSE),2),IF(AND($E235&lt;&gt;0,$F235&gt;0,YEAR($F235)&lt;Preisindex!$A$6,YEAR(AV$4)&gt;=YEAR($F235),$K235="b"),ROUND(VLOOKUP(BA$4,Preisindex,3,FALSE)/VLOOKUP(Preisindex!$A$6,Preisindex,3,FALSE),2),IF(AND($E235&lt;&gt;0,$F235&gt;0,YEAR($F235)&lt;Preisindex!$A$6,YEAR(AV$4)&gt;=YEAR($F235),$K235="g"),ROUND(VLOOKUP(BA$4,Preisindex,4,FALSE)/VLOOKUP(Preisindex!$A$6,Preisindex,4,FALSE),2),IF(AND($E235&lt;&gt;0,$F235&gt;0,YEAR($F235)&lt;Preisindex!$A$6,YEAR(AV$4)&gt;=YEAR($F235),$K235="k"),ROUND(VLOOKUP(BA$4,Preisindex,2,FALSE)/VLOOKUP(Preisindex!$A$6,Preisindex,2,FALSE),2),0)))))</f>
        <v>0</v>
      </c>
      <c r="BC235" s="51">
        <f>IF(AND($E235&lt;&gt;0,$F235&gt;0,YEAR($F235)&lt;=BA$4,YEAR($F235)&gt;=Preisindex!$A$6),ROUND($E235*BA235,2),IF(AND($E235&lt;&gt;0,$F235&gt;0,YEAR($F235)&lt;=BA$4,YEAR($F235)&lt;Preisindex!$A$6),ROUND($E235*BB235,2),0))</f>
        <v>0</v>
      </c>
      <c r="BD235" s="53">
        <f t="shared" si="631"/>
        <v>0</v>
      </c>
      <c r="BE235" s="51">
        <f t="shared" si="750"/>
        <v>0</v>
      </c>
      <c r="BF235" s="51">
        <f t="shared" si="715"/>
        <v>0</v>
      </c>
      <c r="BG235" s="51">
        <f t="shared" si="632"/>
        <v>0</v>
      </c>
      <c r="BH235" s="51">
        <f t="shared" si="716"/>
        <v>0</v>
      </c>
      <c r="BI235" s="51">
        <f t="shared" si="633"/>
        <v>0</v>
      </c>
      <c r="BJ235" s="51">
        <f t="shared" si="717"/>
        <v>0</v>
      </c>
      <c r="BK235" s="51">
        <f t="shared" si="634"/>
        <v>0</v>
      </c>
      <c r="BL235" s="51">
        <f t="shared" si="718"/>
        <v>0</v>
      </c>
      <c r="BM235" s="51">
        <f t="shared" si="635"/>
        <v>0</v>
      </c>
      <c r="BN235" s="51">
        <f t="shared" si="719"/>
        <v>0</v>
      </c>
      <c r="BO235" s="51">
        <f t="shared" si="636"/>
        <v>0</v>
      </c>
      <c r="BP235" s="54">
        <f t="shared" si="637"/>
        <v>0</v>
      </c>
      <c r="BQ235" s="55">
        <f t="shared" si="638"/>
        <v>0</v>
      </c>
      <c r="BR235" s="56">
        <f>IF(AND($E235&lt;&gt;0,$F235&gt;0,YEAR($F235)&gt;=Preisindex!$A$6,YEAR(BM$4)&gt;=YEAR($F235),AND($K235&lt;&gt;"a",$K235&lt;&gt;"b",$K235&lt;&gt;"g",$K235&lt;&gt;"k")),1,IF(AND($E235&lt;&gt;0,$F235&gt;0,YEAR($F235)&gt;=Preisindex!$A$6,YEAR(BM$4)&gt;=YEAR($F235),$K235="a"),ROUND(VLOOKUP(BR$4,Preisindex,5,FALSE)/VLOOKUP(YEAR($F235),Preisindex,5,FALSE),2),IF(AND($E235&lt;&gt;0,$F235&gt;0,YEAR($F235)&gt;=Preisindex!$A$6,YEAR(BM$4)&gt;=YEAR($F235),$K235="b"),ROUND(VLOOKUP(BR$4,Preisindex,3,FALSE)/VLOOKUP(YEAR($F235),Preisindex,3,FALSE),2),IF(AND($E235&lt;&gt;0,$F235&gt;0,YEAR($F235)&gt;=Preisindex!$A$6,YEAR(BM$4)&gt;=YEAR($F235),$K235="g"),ROUND(VLOOKUP(BR$4,Preisindex,4,FALSE)/VLOOKUP(YEAR($F235),Preisindex,4,FALSE),2),IF(AND($E235&lt;&gt;0,$F235&gt;0,YEAR($F235)&gt;=Preisindex!$A$6,YEAR(BM$4)&gt;=YEAR($F235),$K235="k"),ROUND(VLOOKUP(BR$4,Preisindex,2,FALSE)/VLOOKUP(YEAR($F235),Preisindex,2,FALSE),2),0)))))</f>
        <v>0</v>
      </c>
      <c r="BS235" s="56">
        <f>IF(AND($E235&lt;&gt;0,$F235&gt;0,YEAR($F235)&lt;Preisindex!$A$6,YEAR(BM$4)&gt;=YEAR($F235),AND($K235&lt;&gt;"a",$K235&lt;&gt;"b",$K235&lt;&gt;"g",$K235&lt;&gt;"k")),1,IF(AND($E235&lt;&gt;0,$F235&gt;0,YEAR($F235)&lt;Preisindex!$A$6,YEAR(BM$4)&gt;=YEAR($F235),$K235="a"),ROUND(VLOOKUP(BR$4,Preisindex,5,FALSE)/VLOOKUP(Preisindex!$A$6,Preisindex,5,FALSE),2),IF(AND($E235&lt;&gt;0,$F235&gt;0,YEAR($F235)&lt;Preisindex!$A$6,YEAR(BM$4)&gt;=YEAR($F235),$K235="b"),ROUND(VLOOKUP(BR$4,Preisindex,3,FALSE)/VLOOKUP(Preisindex!$A$6,Preisindex,3,FALSE),2),IF(AND($E235&lt;&gt;0,$F235&gt;0,YEAR($F235)&lt;Preisindex!$A$6,YEAR(BM$4)&gt;=YEAR($F235),$K235="g"),ROUND(VLOOKUP(BR$4,Preisindex,4,FALSE)/VLOOKUP(Preisindex!$A$6,Preisindex,4,FALSE),2),IF(AND($E235&lt;&gt;0,$F235&gt;0,YEAR($F235)&lt;Preisindex!$A$6,YEAR(BM$4)&gt;=YEAR($F235),$K235="k"),ROUND(VLOOKUP(BR$4,Preisindex,2,FALSE)/VLOOKUP(Preisindex!$A$6,Preisindex,2,FALSE),2),0)))))</f>
        <v>0</v>
      </c>
      <c r="BT235" s="51">
        <f>IF(AND($E235&lt;&gt;0,$F235&gt;0,YEAR($F235)&lt;=BR$4,YEAR($F235)&gt;=Preisindex!$A$6),ROUND($E235*BR235,2),IF(AND($E235&lt;&gt;0,$F235&gt;0,YEAR($F235)&lt;=BR$4,YEAR($F235)&lt;Preisindex!$A$6),ROUND($E235*BS235,2),0))</f>
        <v>0</v>
      </c>
      <c r="BU235" s="53">
        <f t="shared" si="639"/>
        <v>0</v>
      </c>
      <c r="BV235" s="51">
        <f t="shared" si="750"/>
        <v>0</v>
      </c>
      <c r="BW235" s="51">
        <f t="shared" si="720"/>
        <v>0</v>
      </c>
      <c r="BX235" s="51">
        <f t="shared" si="640"/>
        <v>0</v>
      </c>
      <c r="BY235" s="51">
        <f t="shared" si="721"/>
        <v>0</v>
      </c>
      <c r="BZ235" s="51">
        <f t="shared" si="641"/>
        <v>0</v>
      </c>
      <c r="CA235" s="51">
        <f t="shared" si="722"/>
        <v>0</v>
      </c>
      <c r="CB235" s="51">
        <f t="shared" si="642"/>
        <v>0</v>
      </c>
      <c r="CC235" s="51">
        <f t="shared" si="723"/>
        <v>0</v>
      </c>
      <c r="CD235" s="51">
        <f t="shared" si="643"/>
        <v>0</v>
      </c>
      <c r="CE235" s="51">
        <f t="shared" si="724"/>
        <v>0</v>
      </c>
      <c r="CF235" s="51">
        <f t="shared" si="644"/>
        <v>0</v>
      </c>
      <c r="CG235" s="54">
        <f t="shared" si="645"/>
        <v>0</v>
      </c>
      <c r="CH235" s="55">
        <f t="shared" si="646"/>
        <v>0</v>
      </c>
      <c r="CI235" s="56">
        <f>IF(AND($E235&lt;&gt;0,$F235&gt;0,YEAR($F235)&gt;=Preisindex!$A$6,YEAR(CD$4)&gt;=YEAR($F235),AND($K235&lt;&gt;"a",$K235&lt;&gt;"b",$K235&lt;&gt;"g",$K235&lt;&gt;"k")),1,IF(AND($E235&lt;&gt;0,$F235&gt;0,YEAR($F235)&gt;=Preisindex!$A$6,YEAR(CD$4)&gt;=YEAR($F235),$K235="a"),ROUND(VLOOKUP(CI$4,Preisindex,5,FALSE)/VLOOKUP(YEAR($F235),Preisindex,5,FALSE),2),IF(AND($E235&lt;&gt;0,$F235&gt;0,YEAR($F235)&gt;=Preisindex!$A$6,YEAR(CD$4)&gt;=YEAR($F235),$K235="b"),ROUND(VLOOKUP(CI$4,Preisindex,3,FALSE)/VLOOKUP(YEAR($F235),Preisindex,3,FALSE),2),IF(AND($E235&lt;&gt;0,$F235&gt;0,YEAR($F235)&gt;=Preisindex!$A$6,YEAR(CD$4)&gt;=YEAR($F235),$K235="g"),ROUND(VLOOKUP(CI$4,Preisindex,4,FALSE)/VLOOKUP(YEAR($F235),Preisindex,4,FALSE),2),IF(AND($E235&lt;&gt;0,$F235&gt;0,YEAR($F235)&gt;=Preisindex!$A$6,YEAR(CD$4)&gt;=YEAR($F235),$K235="k"),ROUND(VLOOKUP(CI$4,Preisindex,2,FALSE)/VLOOKUP(YEAR($F235),Preisindex,2,FALSE),2),0)))))</f>
        <v>0</v>
      </c>
      <c r="CJ235" s="56">
        <f>IF(AND($E235&lt;&gt;0,$F235&gt;0,YEAR($F235)&lt;Preisindex!$A$6,YEAR(CD$4)&gt;=YEAR($F235),AND($K235&lt;&gt;"a",$K235&lt;&gt;"b",$K235&lt;&gt;"g",$K235&lt;&gt;"k")),1,IF(AND($E235&lt;&gt;0,$F235&gt;0,YEAR($F235)&lt;Preisindex!$A$6,YEAR(CD$4)&gt;=YEAR($F235),$K235="a"),ROUND(VLOOKUP(CI$4,Preisindex,5,FALSE)/VLOOKUP(Preisindex!$A$6,Preisindex,5,FALSE),2),IF(AND($E235&lt;&gt;0,$F235&gt;0,YEAR($F235)&lt;Preisindex!$A$6,YEAR(CD$4)&gt;=YEAR($F235),$K235="b"),ROUND(VLOOKUP(CI$4,Preisindex,3,FALSE)/VLOOKUP(Preisindex!$A$6,Preisindex,3,FALSE),2),IF(AND($E235&lt;&gt;0,$F235&gt;0,YEAR($F235)&lt;Preisindex!$A$6,YEAR(CD$4)&gt;=YEAR($F235),$K235="g"),ROUND(VLOOKUP(CI$4,Preisindex,4,FALSE)/VLOOKUP(Preisindex!$A$6,Preisindex,4,FALSE),2),IF(AND($E235&lt;&gt;0,$F235&gt;0,YEAR($F235)&lt;Preisindex!$A$6,YEAR(CD$4)&gt;=YEAR($F235),$K235="k"),ROUND(VLOOKUP(CI$4,Preisindex,2,FALSE)/VLOOKUP(Preisindex!$A$6,Preisindex,2,FALSE),2),0)))))</f>
        <v>0</v>
      </c>
      <c r="CK235" s="51">
        <f>IF(AND($E235&lt;&gt;0,$F235&gt;0,YEAR($F235)&lt;=CI$4,YEAR($F235)&gt;=Preisindex!$A$6),ROUND($E235*CI235,2),IF(AND($E235&lt;&gt;0,$F235&gt;0,YEAR($F235)&lt;=CI$4,YEAR($F235)&lt;Preisindex!$A$6),ROUND($E235*CJ235,2),0))</f>
        <v>0</v>
      </c>
      <c r="CL235" s="53">
        <f t="shared" si="647"/>
        <v>0</v>
      </c>
      <c r="CM235" s="51">
        <f t="shared" si="750"/>
        <v>0</v>
      </c>
      <c r="CN235" s="51">
        <f t="shared" si="725"/>
        <v>0</v>
      </c>
      <c r="CO235" s="51">
        <f t="shared" si="648"/>
        <v>0</v>
      </c>
      <c r="CP235" s="51">
        <f t="shared" si="726"/>
        <v>0</v>
      </c>
      <c r="CQ235" s="51">
        <f t="shared" si="649"/>
        <v>0</v>
      </c>
      <c r="CR235" s="51">
        <f t="shared" si="727"/>
        <v>0</v>
      </c>
      <c r="CS235" s="51">
        <f t="shared" si="650"/>
        <v>0</v>
      </c>
      <c r="CT235" s="51">
        <f t="shared" si="728"/>
        <v>0</v>
      </c>
      <c r="CU235" s="51">
        <f t="shared" si="651"/>
        <v>0</v>
      </c>
      <c r="CV235" s="51">
        <f t="shared" si="729"/>
        <v>0</v>
      </c>
      <c r="CW235" s="51">
        <f t="shared" si="652"/>
        <v>0</v>
      </c>
      <c r="CX235" s="54">
        <f t="shared" si="653"/>
        <v>0</v>
      </c>
      <c r="CY235" s="55">
        <f t="shared" si="654"/>
        <v>0</v>
      </c>
      <c r="CZ235" s="56">
        <f>IF(AND($E235&lt;&gt;0,$F235&gt;0,YEAR($F235)&gt;=Preisindex!$A$6,YEAR(CU$4)&gt;=YEAR($F235),AND($K235&lt;&gt;"a",$K235&lt;&gt;"b",$K235&lt;&gt;"g",$K235&lt;&gt;"k")),1,IF(AND($E235&lt;&gt;0,$F235&gt;0,YEAR($F235)&gt;=Preisindex!$A$6,YEAR(CU$4)&gt;=YEAR($F235),$K235="a"),ROUND(VLOOKUP(CZ$4,Preisindex,5,FALSE)/VLOOKUP(YEAR($F235),Preisindex,5,FALSE),2),IF(AND($E235&lt;&gt;0,$F235&gt;0,YEAR($F235)&gt;=Preisindex!$A$6,YEAR(CU$4)&gt;=YEAR($F235),$K235="b"),ROUND(VLOOKUP(CZ$4,Preisindex,3,FALSE)/VLOOKUP(YEAR($F235),Preisindex,3,FALSE),2),IF(AND($E235&lt;&gt;0,$F235&gt;0,YEAR($F235)&gt;=Preisindex!$A$6,YEAR(CU$4)&gt;=YEAR($F235),$K235="g"),ROUND(VLOOKUP(CZ$4,Preisindex,4,FALSE)/VLOOKUP(YEAR($F235),Preisindex,4,FALSE),2),IF(AND($E235&lt;&gt;0,$F235&gt;0,YEAR($F235)&gt;=Preisindex!$A$6,YEAR(CU$4)&gt;=YEAR($F235),$K235="k"),ROUND(VLOOKUP(CZ$4,Preisindex,2,FALSE)/VLOOKUP(YEAR($F235),Preisindex,2,FALSE),2),0)))))</f>
        <v>0</v>
      </c>
      <c r="DA235" s="56">
        <f>IF(AND($E235&lt;&gt;0,$F235&gt;0,YEAR($F235)&lt;Preisindex!$A$6,YEAR(CU$4)&gt;=YEAR($F235),AND($K235&lt;&gt;"a",$K235&lt;&gt;"b",$K235&lt;&gt;"g",$K235&lt;&gt;"k")),1,IF(AND($E235&lt;&gt;0,$F235&gt;0,YEAR($F235)&lt;Preisindex!$A$6,YEAR(CU$4)&gt;=YEAR($F235),$K235="a"),ROUND(VLOOKUP(CZ$4,Preisindex,5,FALSE)/VLOOKUP(Preisindex!$A$6,Preisindex,5,FALSE),2),IF(AND($E235&lt;&gt;0,$F235&gt;0,YEAR($F235)&lt;Preisindex!$A$6,YEAR(CU$4)&gt;=YEAR($F235),$K235="b"),ROUND(VLOOKUP(CZ$4,Preisindex,3,FALSE)/VLOOKUP(Preisindex!$A$6,Preisindex,3,FALSE),2),IF(AND($E235&lt;&gt;0,$F235&gt;0,YEAR($F235)&lt;Preisindex!$A$6,YEAR(CU$4)&gt;=YEAR($F235),$K235="g"),ROUND(VLOOKUP(CZ$4,Preisindex,4,FALSE)/VLOOKUP(Preisindex!$A$6,Preisindex,4,FALSE),2),IF(AND($E235&lt;&gt;0,$F235&gt;0,YEAR($F235)&lt;Preisindex!$A$6,YEAR(CU$4)&gt;=YEAR($F235),$K235="k"),ROUND(VLOOKUP(CZ$4,Preisindex,2,FALSE)/VLOOKUP(Preisindex!$A$6,Preisindex,2,FALSE),2),0)))))</f>
        <v>0</v>
      </c>
      <c r="DB235" s="51">
        <f>IF(AND($E235&lt;&gt;0,$F235&gt;0,YEAR($F235)&lt;=CZ$4,YEAR($F235)&gt;=Preisindex!$A$6),ROUND($E235*CZ235,2),IF(AND($E235&lt;&gt;0,$F235&gt;0,YEAR($F235)&lt;=CZ$4,YEAR($F235)&lt;Preisindex!$A$6),ROUND($E235*DA235,2),0))</f>
        <v>0</v>
      </c>
      <c r="DC235" s="53">
        <f t="shared" si="655"/>
        <v>0</v>
      </c>
      <c r="DD235" s="51">
        <f t="shared" si="751"/>
        <v>0</v>
      </c>
      <c r="DE235" s="51">
        <f t="shared" si="730"/>
        <v>0</v>
      </c>
      <c r="DF235" s="51">
        <f t="shared" si="657"/>
        <v>0</v>
      </c>
      <c r="DG235" s="51">
        <f t="shared" si="731"/>
        <v>0</v>
      </c>
      <c r="DH235" s="51">
        <f t="shared" si="658"/>
        <v>0</v>
      </c>
      <c r="DI235" s="51">
        <f t="shared" si="732"/>
        <v>0</v>
      </c>
      <c r="DJ235" s="51">
        <f t="shared" si="659"/>
        <v>0</v>
      </c>
      <c r="DK235" s="51">
        <f t="shared" si="733"/>
        <v>0</v>
      </c>
      <c r="DL235" s="51">
        <f t="shared" si="660"/>
        <v>0</v>
      </c>
      <c r="DM235" s="51">
        <f t="shared" si="734"/>
        <v>0</v>
      </c>
      <c r="DN235" s="51">
        <f t="shared" si="661"/>
        <v>0</v>
      </c>
      <c r="DO235" s="54">
        <f t="shared" si="662"/>
        <v>0</v>
      </c>
      <c r="DP235" s="55">
        <f t="shared" si="663"/>
        <v>0</v>
      </c>
      <c r="DQ235" s="56">
        <f>IF(AND($E235&lt;&gt;0,$F235&gt;0,YEAR($F235)&gt;=Preisindex!$A$6,YEAR(DL$4)&gt;=YEAR($F235),AND($K235&lt;&gt;"a",$K235&lt;&gt;"b",$K235&lt;&gt;"g",$K235&lt;&gt;"k")),1,IF(AND($E235&lt;&gt;0,$F235&gt;0,YEAR($F235)&gt;=Preisindex!$A$6,YEAR(DL$4)&gt;=YEAR($F235),$K235="a"),ROUND(VLOOKUP(DQ$4,Preisindex,5,FALSE)/VLOOKUP(YEAR($F235),Preisindex,5,FALSE),2),IF(AND($E235&lt;&gt;0,$F235&gt;0,YEAR($F235)&gt;=Preisindex!$A$6,YEAR(DL$4)&gt;=YEAR($F235),$K235="b"),ROUND(VLOOKUP(DQ$4,Preisindex,3,FALSE)/VLOOKUP(YEAR($F235),Preisindex,3,FALSE),2),IF(AND($E235&lt;&gt;0,$F235&gt;0,YEAR($F235)&gt;=Preisindex!$A$6,YEAR(DL$4)&gt;=YEAR($F235),$K235="g"),ROUND(VLOOKUP(DQ$4,Preisindex,4,FALSE)/VLOOKUP(YEAR($F235),Preisindex,4,FALSE),2),IF(AND($E235&lt;&gt;0,$F235&gt;0,YEAR($F235)&gt;=Preisindex!$A$6,YEAR(DL$4)&gt;=YEAR($F235),$K235="k"),ROUND(VLOOKUP(DQ$4,Preisindex,2,FALSE)/VLOOKUP(YEAR($F235),Preisindex,2,FALSE),2),0)))))</f>
        <v>0</v>
      </c>
      <c r="DR235" s="56">
        <f>IF(AND($E235&lt;&gt;0,$F235&gt;0,YEAR($F235)&lt;Preisindex!$A$6,YEAR(DL$4)&gt;=YEAR($F235),AND($K235&lt;&gt;"a",$K235&lt;&gt;"b",$K235&lt;&gt;"g",$K235&lt;&gt;"k")),1,IF(AND($E235&lt;&gt;0,$F235&gt;0,YEAR($F235)&lt;Preisindex!$A$6,YEAR(DL$4)&gt;=YEAR($F235),$K235="a"),ROUND(VLOOKUP(DQ$4,Preisindex,5,FALSE)/VLOOKUP(Preisindex!$A$6,Preisindex,5,FALSE),2),IF(AND($E235&lt;&gt;0,$F235&gt;0,YEAR($F235)&lt;Preisindex!$A$6,YEAR(DL$4)&gt;=YEAR($F235),$K235="b"),ROUND(VLOOKUP(DQ$4,Preisindex,3,FALSE)/VLOOKUP(Preisindex!$A$6,Preisindex,3,FALSE),2),IF(AND($E235&lt;&gt;0,$F235&gt;0,YEAR($F235)&lt;Preisindex!$A$6,YEAR(DL$4)&gt;=YEAR($F235),$K235="g"),ROUND(VLOOKUP(DQ$4,Preisindex,4,FALSE)/VLOOKUP(Preisindex!$A$6,Preisindex,4,FALSE),2),IF(AND($E235&lt;&gt;0,$F235&gt;0,YEAR($F235)&lt;Preisindex!$A$6,YEAR(DL$4)&gt;=YEAR($F235),$K235="k"),ROUND(VLOOKUP(DQ$4,Preisindex,2,FALSE)/VLOOKUP(Preisindex!$A$6,Preisindex,2,FALSE),2),0)))))</f>
        <v>0</v>
      </c>
      <c r="DS235" s="51">
        <f>IF(AND($E235&lt;&gt;0,$F235&gt;0,YEAR($F235)&lt;=DQ$4,YEAR($F235)&gt;=Preisindex!$A$6),ROUND($E235*DQ235,2),IF(AND($E235&lt;&gt;0,$F235&gt;0,YEAR($F235)&lt;=DQ$4,YEAR($F235)&lt;Preisindex!$A$6),ROUND($E235*DR235,2),0))</f>
        <v>0</v>
      </c>
      <c r="DT235" s="53">
        <f t="shared" si="664"/>
        <v>0</v>
      </c>
      <c r="DU235" s="51">
        <f t="shared" si="751"/>
        <v>0</v>
      </c>
      <c r="DV235" s="51">
        <f t="shared" si="735"/>
        <v>0</v>
      </c>
      <c r="DW235" s="51">
        <f t="shared" si="665"/>
        <v>0</v>
      </c>
      <c r="DX235" s="51">
        <f t="shared" si="736"/>
        <v>0</v>
      </c>
      <c r="DY235" s="51">
        <f t="shared" si="666"/>
        <v>0</v>
      </c>
      <c r="DZ235" s="51">
        <f t="shared" si="737"/>
        <v>0</v>
      </c>
      <c r="EA235" s="51">
        <f t="shared" si="667"/>
        <v>0</v>
      </c>
      <c r="EB235" s="51">
        <f t="shared" si="738"/>
        <v>0</v>
      </c>
      <c r="EC235" s="51">
        <f t="shared" si="668"/>
        <v>0</v>
      </c>
      <c r="ED235" s="51">
        <f t="shared" si="739"/>
        <v>0</v>
      </c>
      <c r="EE235" s="51">
        <f t="shared" si="669"/>
        <v>0</v>
      </c>
      <c r="EF235" s="54">
        <f t="shared" si="670"/>
        <v>0</v>
      </c>
      <c r="EG235" s="55">
        <f t="shared" si="671"/>
        <v>0</v>
      </c>
      <c r="EH235" s="56">
        <f>IF(AND($E235&lt;&gt;0,$F235&gt;0,YEAR($F235)&gt;=Preisindex!$A$6,YEAR(EC$4)&gt;=YEAR($F235),AND($K235&lt;&gt;"a",$K235&lt;&gt;"b",$K235&lt;&gt;"g",$K235&lt;&gt;"k")),1,IF(AND($E235&lt;&gt;0,$F235&gt;0,YEAR($F235)&gt;=Preisindex!$A$6,YEAR(EC$4)&gt;=YEAR($F235),$K235="a"),ROUND(VLOOKUP(EH$4,Preisindex,5,FALSE)/VLOOKUP(YEAR($F235),Preisindex,5,FALSE),2),IF(AND($E235&lt;&gt;0,$F235&gt;0,YEAR($F235)&gt;=Preisindex!$A$6,YEAR(EC$4)&gt;=YEAR($F235),$K235="b"),ROUND(VLOOKUP(EH$4,Preisindex,3,FALSE)/VLOOKUP(YEAR($F235),Preisindex,3,FALSE),2),IF(AND($E235&lt;&gt;0,$F235&gt;0,YEAR($F235)&gt;=Preisindex!$A$6,YEAR(EC$4)&gt;=YEAR($F235),$K235="g"),ROUND(VLOOKUP(EH$4,Preisindex,4,FALSE)/VLOOKUP(YEAR($F235),Preisindex,4,FALSE),2),IF(AND($E235&lt;&gt;0,$F235&gt;0,YEAR($F235)&gt;=Preisindex!$A$6,YEAR(EC$4)&gt;=YEAR($F235),$K235="k"),ROUND(VLOOKUP(EH$4,Preisindex,2,FALSE)/VLOOKUP(YEAR($F235),Preisindex,2,FALSE),2),0)))))</f>
        <v>0</v>
      </c>
      <c r="EI235" s="56">
        <f>IF(AND($E235&lt;&gt;0,$F235&gt;0,YEAR($F235)&lt;Preisindex!$A$6,YEAR(EC$4)&gt;=YEAR($F235),AND($K235&lt;&gt;"a",$K235&lt;&gt;"b",$K235&lt;&gt;"g",$K235&lt;&gt;"k")),1,IF(AND($E235&lt;&gt;0,$F235&gt;0,YEAR($F235)&lt;Preisindex!$A$6,YEAR(EC$4)&gt;=YEAR($F235),$K235="a"),ROUND(VLOOKUP(EH$4,Preisindex,5,FALSE)/VLOOKUP(Preisindex!$A$6,Preisindex,5,FALSE),2),IF(AND($E235&lt;&gt;0,$F235&gt;0,YEAR($F235)&lt;Preisindex!$A$6,YEAR(EC$4)&gt;=YEAR($F235),$K235="b"),ROUND(VLOOKUP(EH$4,Preisindex,3,FALSE)/VLOOKUP(Preisindex!$A$6,Preisindex,3,FALSE),2),IF(AND($E235&lt;&gt;0,$F235&gt;0,YEAR($F235)&lt;Preisindex!$A$6,YEAR(EC$4)&gt;=YEAR($F235),$K235="g"),ROUND(VLOOKUP(EH$4,Preisindex,4,FALSE)/VLOOKUP(Preisindex!$A$6,Preisindex,4,FALSE),2),IF(AND($E235&lt;&gt;0,$F235&gt;0,YEAR($F235)&lt;Preisindex!$A$6,YEAR(EC$4)&gt;=YEAR($F235),$K235="k"),ROUND(VLOOKUP(EH$4,Preisindex,2,FALSE)/VLOOKUP(Preisindex!$A$6,Preisindex,2,FALSE),2),0)))))</f>
        <v>0</v>
      </c>
      <c r="EJ235" s="51">
        <f>IF(AND($E235&lt;&gt;0,$F235&gt;0,YEAR($F235)&lt;=EH$4,YEAR($F235)&gt;=Preisindex!$A$6),ROUND($E235*EH235,2),IF(AND($E235&lt;&gt;0,$F235&gt;0,YEAR($F235)&lt;=EH$4,YEAR($F235)&lt;Preisindex!$A$6),ROUND($E235*EI235,2),0))</f>
        <v>0</v>
      </c>
      <c r="EK235" s="53">
        <f t="shared" si="672"/>
        <v>0</v>
      </c>
      <c r="EL235" s="51">
        <f t="shared" si="751"/>
        <v>0</v>
      </c>
      <c r="EM235" s="51">
        <f t="shared" si="740"/>
        <v>0</v>
      </c>
      <c r="EN235" s="51">
        <f t="shared" si="673"/>
        <v>0</v>
      </c>
      <c r="EO235" s="51">
        <f t="shared" si="741"/>
        <v>0</v>
      </c>
      <c r="EP235" s="51">
        <f t="shared" si="674"/>
        <v>0</v>
      </c>
      <c r="EQ235" s="51">
        <f t="shared" si="742"/>
        <v>0</v>
      </c>
      <c r="ER235" s="51">
        <f t="shared" si="675"/>
        <v>0</v>
      </c>
      <c r="ES235" s="51">
        <f t="shared" si="743"/>
        <v>0</v>
      </c>
      <c r="ET235" s="51">
        <f t="shared" si="676"/>
        <v>0</v>
      </c>
      <c r="EU235" s="51">
        <f t="shared" si="744"/>
        <v>0</v>
      </c>
      <c r="EV235" s="51">
        <f t="shared" si="677"/>
        <v>0</v>
      </c>
      <c r="EW235" s="54">
        <f t="shared" si="678"/>
        <v>0</v>
      </c>
      <c r="EX235" s="55">
        <f t="shared" si="679"/>
        <v>0</v>
      </c>
      <c r="EY235" s="56">
        <f>IF(AND($E235&lt;&gt;0,$F235&gt;0,YEAR($F235)&gt;=Preisindex!$A$6,YEAR(ET$4)&gt;=YEAR($F235),AND($K235&lt;&gt;"a",$K235&lt;&gt;"b",$K235&lt;&gt;"g",$K235&lt;&gt;"k")),1,IF(AND($E235&lt;&gt;0,$F235&gt;0,YEAR($F235)&gt;=Preisindex!$A$6,YEAR(ET$4)&gt;=YEAR($F235),$K235="a"),ROUND(VLOOKUP(EY$4,Preisindex,5,FALSE)/VLOOKUP(YEAR($F235),Preisindex,5,FALSE),2),IF(AND($E235&lt;&gt;0,$F235&gt;0,YEAR($F235)&gt;=Preisindex!$A$6,YEAR(ET$4)&gt;=YEAR($F235),$K235="b"),ROUND(VLOOKUP(EY$4,Preisindex,3,FALSE)/VLOOKUP(YEAR($F235),Preisindex,3,FALSE),2),IF(AND($E235&lt;&gt;0,$F235&gt;0,YEAR($F235)&gt;=Preisindex!$A$6,YEAR(ET$4)&gt;=YEAR($F235),$K235="g"),ROUND(VLOOKUP(EY$4,Preisindex,4,FALSE)/VLOOKUP(YEAR($F235),Preisindex,4,FALSE),2),IF(AND($E235&lt;&gt;0,$F235&gt;0,YEAR($F235)&gt;=Preisindex!$A$6,YEAR(ET$4)&gt;=YEAR($F235),$K235="k"),ROUND(VLOOKUP(EY$4,Preisindex,2,FALSE)/VLOOKUP(YEAR($F235),Preisindex,2,FALSE),2),0)))))</f>
        <v>0</v>
      </c>
      <c r="EZ235" s="56">
        <f>IF(AND($E235&lt;&gt;0,$F235&gt;0,YEAR($F235)&lt;Preisindex!$A$6,YEAR(ET$4)&gt;=YEAR($F235),AND($K235&lt;&gt;"a",$K235&lt;&gt;"b",$K235&lt;&gt;"g",$K235&lt;&gt;"k")),1,IF(AND($E235&lt;&gt;0,$F235&gt;0,YEAR($F235)&lt;Preisindex!$A$6,YEAR(ET$4)&gt;=YEAR($F235),$K235="a"),ROUND(VLOOKUP(EY$4,Preisindex,5,FALSE)/VLOOKUP(Preisindex!$A$6,Preisindex,5,FALSE),2),IF(AND($E235&lt;&gt;0,$F235&gt;0,YEAR($F235)&lt;Preisindex!$A$6,YEAR(ET$4)&gt;=YEAR($F235),$K235="b"),ROUND(VLOOKUP(EY$4,Preisindex,3,FALSE)/VLOOKUP(Preisindex!$A$6,Preisindex,3,FALSE),2),IF(AND($E235&lt;&gt;0,$F235&gt;0,YEAR($F235)&lt;Preisindex!$A$6,YEAR(ET$4)&gt;=YEAR($F235),$K235="g"),ROUND(VLOOKUP(EY$4,Preisindex,4,FALSE)/VLOOKUP(Preisindex!$A$6,Preisindex,4,FALSE),2),IF(AND($E235&lt;&gt;0,$F235&gt;0,YEAR($F235)&lt;Preisindex!$A$6,YEAR(ET$4)&gt;=YEAR($F235),$K235="k"),ROUND(VLOOKUP(EY$4,Preisindex,2,FALSE)/VLOOKUP(Preisindex!$A$6,Preisindex,2,FALSE),2),0)))))</f>
        <v>0</v>
      </c>
      <c r="FA235" s="51">
        <f>IF(AND($E235&lt;&gt;0,$F235&gt;0,YEAR($F235)&lt;=EY$4,YEAR($F235)&gt;=Preisindex!$A$6),ROUND($E235*EY235,2),IF(AND($E235&lt;&gt;0,$F235&gt;0,YEAR($F235)&lt;=EY$4,YEAR($F235)&lt;Preisindex!$A$6),ROUND($E235*EZ235,2),0))</f>
        <v>0</v>
      </c>
      <c r="FB235" s="53">
        <f t="shared" si="680"/>
        <v>0</v>
      </c>
      <c r="FC235" s="51">
        <f t="shared" si="751"/>
        <v>0</v>
      </c>
      <c r="FD235" s="51">
        <f t="shared" si="745"/>
        <v>0</v>
      </c>
      <c r="FE235" s="51">
        <f t="shared" si="681"/>
        <v>0</v>
      </c>
      <c r="FF235" s="51">
        <f t="shared" si="746"/>
        <v>0</v>
      </c>
      <c r="FG235" s="51">
        <f t="shared" si="682"/>
        <v>0</v>
      </c>
      <c r="FH235" s="51">
        <f t="shared" si="747"/>
        <v>0</v>
      </c>
      <c r="FI235" s="51">
        <f t="shared" si="683"/>
        <v>0</v>
      </c>
      <c r="FJ235" s="51">
        <f t="shared" si="748"/>
        <v>0</v>
      </c>
      <c r="FK235" s="51">
        <f t="shared" si="684"/>
        <v>0</v>
      </c>
      <c r="FL235" s="51">
        <f t="shared" si="749"/>
        <v>0</v>
      </c>
      <c r="FM235" s="51">
        <f t="shared" si="685"/>
        <v>0</v>
      </c>
      <c r="FN235" s="54">
        <f t="shared" si="686"/>
        <v>0</v>
      </c>
      <c r="FO235" s="55">
        <f t="shared" si="687"/>
        <v>0</v>
      </c>
      <c r="FP235" s="56">
        <f>IF(AND($E235&lt;&gt;0,$F235&gt;0,YEAR($F235)&gt;=Preisindex!$A$6,YEAR(FK$4)&gt;=YEAR($F235),AND($K235&lt;&gt;"a",$K235&lt;&gt;"b",$K235&lt;&gt;"g",$K235&lt;&gt;"k")),1,IF(AND($E235&lt;&gt;0,$F235&gt;0,YEAR($F235)&gt;=Preisindex!$A$6,YEAR(FK$4)&gt;=YEAR($F235),$K235="a"),ROUND(VLOOKUP(FP$4,Preisindex,5,FALSE)/VLOOKUP(YEAR($F235),Preisindex,5,FALSE),2),IF(AND($E235&lt;&gt;0,$F235&gt;0,YEAR($F235)&gt;=Preisindex!$A$6,YEAR(FK$4)&gt;=YEAR($F235),$K235="b"),ROUND(VLOOKUP(FP$4,Preisindex,3,FALSE)/VLOOKUP(YEAR($F235),Preisindex,3,FALSE),2),IF(AND($E235&lt;&gt;0,$F235&gt;0,YEAR($F235)&gt;=Preisindex!$A$6,YEAR(FK$4)&gt;=YEAR($F235),$K235="g"),ROUND(VLOOKUP(FP$4,Preisindex,4,FALSE)/VLOOKUP(YEAR($F235),Preisindex,4,FALSE),2),IF(AND($E235&lt;&gt;0,$F235&gt;0,YEAR($F235)&gt;=Preisindex!$A$6,YEAR(FK$4)&gt;=YEAR($F235),$K235="k"),ROUND(VLOOKUP(FP$4,Preisindex,2,FALSE)/VLOOKUP(YEAR($F235),Preisindex,2,FALSE),2),0)))))</f>
        <v>0</v>
      </c>
      <c r="FQ235" s="56">
        <f>IF(AND($E235&lt;&gt;0,$F235&gt;0,YEAR($F235)&lt;Preisindex!$A$6,YEAR(FK$4)&gt;=YEAR($F235),AND($K235&lt;&gt;"a",$K235&lt;&gt;"b",$K235&lt;&gt;"g",$K235&lt;&gt;"k")),1,IF(AND($E235&lt;&gt;0,$F235&gt;0,YEAR($F235)&lt;Preisindex!$A$6,YEAR(FK$4)&gt;=YEAR($F235),$K235="a"),ROUND(VLOOKUP(FP$4,Preisindex,5,FALSE)/VLOOKUP(Preisindex!$A$6,Preisindex,5,FALSE),2),IF(AND($E235&lt;&gt;0,$F235&gt;0,YEAR($F235)&lt;Preisindex!$A$6,YEAR(FK$4)&gt;=YEAR($F235),$K235="b"),ROUND(VLOOKUP(FP$4,Preisindex,3,FALSE)/VLOOKUP(Preisindex!$A$6,Preisindex,3,FALSE),2),IF(AND($E235&lt;&gt;0,$F235&gt;0,YEAR($F235)&lt;Preisindex!$A$6,YEAR(FK$4)&gt;=YEAR($F235),$K235="g"),ROUND(VLOOKUP(FP$4,Preisindex,4,FALSE)/VLOOKUP(Preisindex!$A$6,Preisindex,4,FALSE),2),IF(AND($E235&lt;&gt;0,$F235&gt;0,YEAR($F235)&lt;Preisindex!$A$6,YEAR(FK$4)&gt;=YEAR($F235),$K235="k"),ROUND(VLOOKUP(FP$4,Preisindex,2,FALSE)/VLOOKUP(Preisindex!$A$6,Preisindex,2,FALSE),2),0)))))</f>
        <v>0</v>
      </c>
      <c r="FR235" s="51">
        <f>IF(AND($E235&lt;&gt;0,$F235&gt;0,YEAR($F235)&lt;=FP$4,YEAR($F235)&gt;=Preisindex!$A$6),ROUND($E235*FP235,2),IF(AND($E235&lt;&gt;0,$F235&gt;0,YEAR($F235)&lt;=FP$4,YEAR($F235)&lt;Preisindex!$A$6),ROUND($E235*FQ235,2),0))</f>
        <v>0</v>
      </c>
      <c r="FS235" s="53">
        <f t="shared" si="688"/>
        <v>0</v>
      </c>
    </row>
    <row r="236" spans="1:175" x14ac:dyDescent="0.3">
      <c r="A236" s="93"/>
      <c r="B236" s="94"/>
      <c r="C236" s="94"/>
      <c r="D236" s="188"/>
      <c r="E236" s="624"/>
      <c r="F236" s="190"/>
      <c r="G236" s="625"/>
      <c r="H236" s="192"/>
      <c r="I236" s="621"/>
      <c r="J236" s="103"/>
      <c r="K236" s="630"/>
      <c r="L236" s="49">
        <f t="shared" si="689"/>
        <v>0</v>
      </c>
      <c r="M236" s="50">
        <f t="shared" si="690"/>
        <v>0</v>
      </c>
      <c r="N236" s="51">
        <f t="shared" si="691"/>
        <v>0</v>
      </c>
      <c r="O236" s="51"/>
      <c r="P236" s="51">
        <f t="shared" si="692"/>
        <v>0</v>
      </c>
      <c r="Q236" s="52"/>
      <c r="R236" s="52"/>
      <c r="S236" s="52"/>
      <c r="T236" s="52"/>
      <c r="U236" s="52"/>
      <c r="V236" s="53">
        <f t="shared" si="693"/>
        <v>0</v>
      </c>
      <c r="W236" s="51">
        <f t="shared" si="694"/>
        <v>0</v>
      </c>
      <c r="X236" s="51">
        <f t="shared" si="695"/>
        <v>0</v>
      </c>
      <c r="Y236" s="51">
        <f t="shared" si="696"/>
        <v>0</v>
      </c>
      <c r="Z236" s="51">
        <f t="shared" si="697"/>
        <v>0</v>
      </c>
      <c r="AA236" s="51">
        <f t="shared" si="698"/>
        <v>0</v>
      </c>
      <c r="AB236" s="51">
        <f t="shared" si="699"/>
        <v>0</v>
      </c>
      <c r="AC236" s="51">
        <f t="shared" si="700"/>
        <v>0</v>
      </c>
      <c r="AD236" s="51">
        <f t="shared" si="701"/>
        <v>0</v>
      </c>
      <c r="AE236" s="51">
        <f t="shared" si="702"/>
        <v>0</v>
      </c>
      <c r="AF236" s="51">
        <f t="shared" si="703"/>
        <v>0</v>
      </c>
      <c r="AG236" s="51">
        <f t="shared" si="704"/>
        <v>0</v>
      </c>
      <c r="AH236" s="54">
        <f t="shared" si="705"/>
        <v>0</v>
      </c>
      <c r="AI236" s="55">
        <f t="shared" si="706"/>
        <v>0</v>
      </c>
      <c r="AJ236" s="56">
        <f>IF(AND($E236&lt;&gt;0,$F236&gt;0,YEAR($F236)&gt;=Preisindex!$A$6,YEAR(AE$4)&gt;=YEAR($F236),AND($K236&lt;&gt;"a",$K236&lt;&gt;"b",$K236&lt;&gt;"g",$K236&lt;&gt;"k")),1,IF(AND($E236&lt;&gt;0,$F236&gt;0,YEAR($F236)&gt;=Preisindex!$A$6,YEAR(AE$4)&gt;=YEAR($F236),$K236="a"),ROUND(VLOOKUP(AJ$4,Preisindex,5,FALSE)/VLOOKUP(YEAR($F236),Preisindex,5,FALSE),2),IF(AND($E236&lt;&gt;0,$F236&gt;0,YEAR($F236)&gt;=Preisindex!$A$6,YEAR(AE$4)&gt;=YEAR($F236),$K236="b"),ROUND(VLOOKUP(AJ$4,Preisindex,3,FALSE)/VLOOKUP(YEAR($F236),Preisindex,3,FALSE),2),IF(AND($E236&lt;&gt;0,$F236&gt;0,YEAR($F236)&gt;=Preisindex!$A$6,YEAR(AE$4)&gt;=YEAR($F236),$K236="g"),ROUND(VLOOKUP(AJ$4,Preisindex,4,FALSE)/VLOOKUP(YEAR($F236),Preisindex,4,FALSE),2),IF(AND($E236&lt;&gt;0,$F236&gt;0,YEAR($F236)&gt;=Preisindex!$A$6,YEAR(AE$4)&gt;=YEAR($F236),$K236="k"),ROUND(VLOOKUP(AJ$4,Preisindex,2,FALSE)/VLOOKUP(YEAR($F236),Preisindex,2,FALSE),2),0)))))</f>
        <v>0</v>
      </c>
      <c r="AK236" s="56">
        <f>IF(AND($E236&lt;&gt;0,$F236&gt;0,YEAR($F236)&lt;Preisindex!$A$6,YEAR(AE$4)&gt;=YEAR($F236),AND($K236&lt;&gt;"a",$K236&lt;&gt;"b",$K236&lt;&gt;"g",$K236&lt;&gt;"k")),1,IF(AND($E236&lt;&gt;0,$F236&gt;0,YEAR($F236)&lt;Preisindex!$A$6,YEAR(AE$4)&gt;=YEAR($F236),$K236="a"),ROUND(VLOOKUP(AJ$4,Preisindex,5,FALSE)/VLOOKUP(Preisindex!$A$6,Preisindex,5,FALSE),2),IF(AND($E236&lt;&gt;0,$F236&gt;0,YEAR($F236)&lt;Preisindex!$A$6,YEAR(AE$4)&gt;=YEAR($F236),$K236="b"),ROUND(VLOOKUP(AJ$4,Preisindex,3,FALSE)/VLOOKUP(Preisindex!$A$6,Preisindex,3,FALSE),2),IF(AND($E236&lt;&gt;0,$F236&gt;0,YEAR($F236)&lt;Preisindex!$A$6,YEAR(AE$4)&gt;=YEAR($F236),$K236="g"),ROUND(VLOOKUP(AJ$4,Preisindex,4,FALSE)/VLOOKUP(Preisindex!$A$6,Preisindex,4,FALSE),2),IF(AND($E236&lt;&gt;0,$F236&gt;0,YEAR($F236)&lt;Preisindex!$A$6,YEAR(AE$4)&gt;=YEAR($F236),$K236="k"),ROUND(VLOOKUP(AJ$4,Preisindex,2,FALSE)/VLOOKUP(Preisindex!$A$6,Preisindex,2,FALSE),2),0)))))</f>
        <v>0</v>
      </c>
      <c r="AL236" s="51">
        <f>IF(AND($E236&lt;&gt;0,$F236&gt;0,YEAR($F236)&lt;=AJ$4,YEAR($F236)&gt;=Preisindex!$A$6),ROUND($E236*AJ236,2),IF(AND($E236&lt;&gt;0,$F236&gt;0,YEAR($F236)&lt;=AJ$4,YEAR($F236)&lt;Preisindex!$A$6),ROUND($E236*AK236,2),0))</f>
        <v>0</v>
      </c>
      <c r="AM236" s="53">
        <f t="shared" si="707"/>
        <v>0</v>
      </c>
      <c r="AN236" s="51">
        <f t="shared" si="750"/>
        <v>0</v>
      </c>
      <c r="AO236" s="51">
        <f t="shared" si="710"/>
        <v>0</v>
      </c>
      <c r="AP236" s="51">
        <f t="shared" si="624"/>
        <v>0</v>
      </c>
      <c r="AQ236" s="51">
        <f t="shared" si="711"/>
        <v>0</v>
      </c>
      <c r="AR236" s="51">
        <f t="shared" si="625"/>
        <v>0</v>
      </c>
      <c r="AS236" s="51">
        <f t="shared" si="712"/>
        <v>0</v>
      </c>
      <c r="AT236" s="51">
        <f t="shared" si="626"/>
        <v>0</v>
      </c>
      <c r="AU236" s="51">
        <f t="shared" si="713"/>
        <v>0</v>
      </c>
      <c r="AV236" s="51">
        <f t="shared" si="627"/>
        <v>0</v>
      </c>
      <c r="AW236" s="51">
        <f t="shared" si="714"/>
        <v>0</v>
      </c>
      <c r="AX236" s="51">
        <f t="shared" si="628"/>
        <v>0</v>
      </c>
      <c r="AY236" s="54">
        <f t="shared" si="629"/>
        <v>0</v>
      </c>
      <c r="AZ236" s="55">
        <f t="shared" si="630"/>
        <v>0</v>
      </c>
      <c r="BA236" s="56">
        <f>IF(AND($E236&lt;&gt;0,$F236&gt;0,YEAR($F236)&gt;=Preisindex!$A$6,YEAR(AV$4)&gt;=YEAR($F236),AND($K236&lt;&gt;"a",$K236&lt;&gt;"b",$K236&lt;&gt;"g",$K236&lt;&gt;"k")),1,IF(AND($E236&lt;&gt;0,$F236&gt;0,YEAR($F236)&gt;=Preisindex!$A$6,YEAR(AV$4)&gt;=YEAR($F236),$K236="a"),ROUND(VLOOKUP(BA$4,Preisindex,5,FALSE)/VLOOKUP(YEAR($F236),Preisindex,5,FALSE),2),IF(AND($E236&lt;&gt;0,$F236&gt;0,YEAR($F236)&gt;=Preisindex!$A$6,YEAR(AV$4)&gt;=YEAR($F236),$K236="b"),ROUND(VLOOKUP(BA$4,Preisindex,3,FALSE)/VLOOKUP(YEAR($F236),Preisindex,3,FALSE),2),IF(AND($E236&lt;&gt;0,$F236&gt;0,YEAR($F236)&gt;=Preisindex!$A$6,YEAR(AV$4)&gt;=YEAR($F236),$K236="g"),ROUND(VLOOKUP(BA$4,Preisindex,4,FALSE)/VLOOKUP(YEAR($F236),Preisindex,4,FALSE),2),IF(AND($E236&lt;&gt;0,$F236&gt;0,YEAR($F236)&gt;=Preisindex!$A$6,YEAR(AV$4)&gt;=YEAR($F236),$K236="k"),ROUND(VLOOKUP(BA$4,Preisindex,2,FALSE)/VLOOKUP(YEAR($F236),Preisindex,2,FALSE),2),0)))))</f>
        <v>0</v>
      </c>
      <c r="BB236" s="56">
        <f>IF(AND($E236&lt;&gt;0,$F236&gt;0,YEAR($F236)&lt;Preisindex!$A$6,YEAR(AV$4)&gt;=YEAR($F236),AND($K236&lt;&gt;"a",$K236&lt;&gt;"b",$K236&lt;&gt;"g",$K236&lt;&gt;"k")),1,IF(AND($E236&lt;&gt;0,$F236&gt;0,YEAR($F236)&lt;Preisindex!$A$6,YEAR(AV$4)&gt;=YEAR($F236),$K236="a"),ROUND(VLOOKUP(BA$4,Preisindex,5,FALSE)/VLOOKUP(Preisindex!$A$6,Preisindex,5,FALSE),2),IF(AND($E236&lt;&gt;0,$F236&gt;0,YEAR($F236)&lt;Preisindex!$A$6,YEAR(AV$4)&gt;=YEAR($F236),$K236="b"),ROUND(VLOOKUP(BA$4,Preisindex,3,FALSE)/VLOOKUP(Preisindex!$A$6,Preisindex,3,FALSE),2),IF(AND($E236&lt;&gt;0,$F236&gt;0,YEAR($F236)&lt;Preisindex!$A$6,YEAR(AV$4)&gt;=YEAR($F236),$K236="g"),ROUND(VLOOKUP(BA$4,Preisindex,4,FALSE)/VLOOKUP(Preisindex!$A$6,Preisindex,4,FALSE),2),IF(AND($E236&lt;&gt;0,$F236&gt;0,YEAR($F236)&lt;Preisindex!$A$6,YEAR(AV$4)&gt;=YEAR($F236),$K236="k"),ROUND(VLOOKUP(BA$4,Preisindex,2,FALSE)/VLOOKUP(Preisindex!$A$6,Preisindex,2,FALSE),2),0)))))</f>
        <v>0</v>
      </c>
      <c r="BC236" s="51">
        <f>IF(AND($E236&lt;&gt;0,$F236&gt;0,YEAR($F236)&lt;=BA$4,YEAR($F236)&gt;=Preisindex!$A$6),ROUND($E236*BA236,2),IF(AND($E236&lt;&gt;0,$F236&gt;0,YEAR($F236)&lt;=BA$4,YEAR($F236)&lt;Preisindex!$A$6),ROUND($E236*BB236,2),0))</f>
        <v>0</v>
      </c>
      <c r="BD236" s="53">
        <f t="shared" si="631"/>
        <v>0</v>
      </c>
      <c r="BE236" s="51">
        <f t="shared" si="750"/>
        <v>0</v>
      </c>
      <c r="BF236" s="51">
        <f t="shared" si="715"/>
        <v>0</v>
      </c>
      <c r="BG236" s="51">
        <f t="shared" si="632"/>
        <v>0</v>
      </c>
      <c r="BH236" s="51">
        <f t="shared" si="716"/>
        <v>0</v>
      </c>
      <c r="BI236" s="51">
        <f t="shared" si="633"/>
        <v>0</v>
      </c>
      <c r="BJ236" s="51">
        <f t="shared" si="717"/>
        <v>0</v>
      </c>
      <c r="BK236" s="51">
        <f t="shared" si="634"/>
        <v>0</v>
      </c>
      <c r="BL236" s="51">
        <f t="shared" si="718"/>
        <v>0</v>
      </c>
      <c r="BM236" s="51">
        <f t="shared" si="635"/>
        <v>0</v>
      </c>
      <c r="BN236" s="51">
        <f t="shared" si="719"/>
        <v>0</v>
      </c>
      <c r="BO236" s="51">
        <f t="shared" si="636"/>
        <v>0</v>
      </c>
      <c r="BP236" s="54">
        <f t="shared" si="637"/>
        <v>0</v>
      </c>
      <c r="BQ236" s="55">
        <f t="shared" si="638"/>
        <v>0</v>
      </c>
      <c r="BR236" s="56">
        <f>IF(AND($E236&lt;&gt;0,$F236&gt;0,YEAR($F236)&gt;=Preisindex!$A$6,YEAR(BM$4)&gt;=YEAR($F236),AND($K236&lt;&gt;"a",$K236&lt;&gt;"b",$K236&lt;&gt;"g",$K236&lt;&gt;"k")),1,IF(AND($E236&lt;&gt;0,$F236&gt;0,YEAR($F236)&gt;=Preisindex!$A$6,YEAR(BM$4)&gt;=YEAR($F236),$K236="a"),ROUND(VLOOKUP(BR$4,Preisindex,5,FALSE)/VLOOKUP(YEAR($F236),Preisindex,5,FALSE),2),IF(AND($E236&lt;&gt;0,$F236&gt;0,YEAR($F236)&gt;=Preisindex!$A$6,YEAR(BM$4)&gt;=YEAR($F236),$K236="b"),ROUND(VLOOKUP(BR$4,Preisindex,3,FALSE)/VLOOKUP(YEAR($F236),Preisindex,3,FALSE),2),IF(AND($E236&lt;&gt;0,$F236&gt;0,YEAR($F236)&gt;=Preisindex!$A$6,YEAR(BM$4)&gt;=YEAR($F236),$K236="g"),ROUND(VLOOKUP(BR$4,Preisindex,4,FALSE)/VLOOKUP(YEAR($F236),Preisindex,4,FALSE),2),IF(AND($E236&lt;&gt;0,$F236&gt;0,YEAR($F236)&gt;=Preisindex!$A$6,YEAR(BM$4)&gt;=YEAR($F236),$K236="k"),ROUND(VLOOKUP(BR$4,Preisindex,2,FALSE)/VLOOKUP(YEAR($F236),Preisindex,2,FALSE),2),0)))))</f>
        <v>0</v>
      </c>
      <c r="BS236" s="56">
        <f>IF(AND($E236&lt;&gt;0,$F236&gt;0,YEAR($F236)&lt;Preisindex!$A$6,YEAR(BM$4)&gt;=YEAR($F236),AND($K236&lt;&gt;"a",$K236&lt;&gt;"b",$K236&lt;&gt;"g",$K236&lt;&gt;"k")),1,IF(AND($E236&lt;&gt;0,$F236&gt;0,YEAR($F236)&lt;Preisindex!$A$6,YEAR(BM$4)&gt;=YEAR($F236),$K236="a"),ROUND(VLOOKUP(BR$4,Preisindex,5,FALSE)/VLOOKUP(Preisindex!$A$6,Preisindex,5,FALSE),2),IF(AND($E236&lt;&gt;0,$F236&gt;0,YEAR($F236)&lt;Preisindex!$A$6,YEAR(BM$4)&gt;=YEAR($F236),$K236="b"),ROUND(VLOOKUP(BR$4,Preisindex,3,FALSE)/VLOOKUP(Preisindex!$A$6,Preisindex,3,FALSE),2),IF(AND($E236&lt;&gt;0,$F236&gt;0,YEAR($F236)&lt;Preisindex!$A$6,YEAR(BM$4)&gt;=YEAR($F236),$K236="g"),ROUND(VLOOKUP(BR$4,Preisindex,4,FALSE)/VLOOKUP(Preisindex!$A$6,Preisindex,4,FALSE),2),IF(AND($E236&lt;&gt;0,$F236&gt;0,YEAR($F236)&lt;Preisindex!$A$6,YEAR(BM$4)&gt;=YEAR($F236),$K236="k"),ROUND(VLOOKUP(BR$4,Preisindex,2,FALSE)/VLOOKUP(Preisindex!$A$6,Preisindex,2,FALSE),2),0)))))</f>
        <v>0</v>
      </c>
      <c r="BT236" s="51">
        <f>IF(AND($E236&lt;&gt;0,$F236&gt;0,YEAR($F236)&lt;=BR$4,YEAR($F236)&gt;=Preisindex!$A$6),ROUND($E236*BR236,2),IF(AND($E236&lt;&gt;0,$F236&gt;0,YEAR($F236)&lt;=BR$4,YEAR($F236)&lt;Preisindex!$A$6),ROUND($E236*BS236,2),0))</f>
        <v>0</v>
      </c>
      <c r="BU236" s="53">
        <f t="shared" si="639"/>
        <v>0</v>
      </c>
      <c r="BV236" s="51">
        <f t="shared" si="750"/>
        <v>0</v>
      </c>
      <c r="BW236" s="51">
        <f t="shared" si="720"/>
        <v>0</v>
      </c>
      <c r="BX236" s="51">
        <f t="shared" si="640"/>
        <v>0</v>
      </c>
      <c r="BY236" s="51">
        <f t="shared" si="721"/>
        <v>0</v>
      </c>
      <c r="BZ236" s="51">
        <f t="shared" si="641"/>
        <v>0</v>
      </c>
      <c r="CA236" s="51">
        <f t="shared" si="722"/>
        <v>0</v>
      </c>
      <c r="CB236" s="51">
        <f t="shared" si="642"/>
        <v>0</v>
      </c>
      <c r="CC236" s="51">
        <f t="shared" si="723"/>
        <v>0</v>
      </c>
      <c r="CD236" s="51">
        <f t="shared" si="643"/>
        <v>0</v>
      </c>
      <c r="CE236" s="51">
        <f t="shared" si="724"/>
        <v>0</v>
      </c>
      <c r="CF236" s="51">
        <f t="shared" si="644"/>
        <v>0</v>
      </c>
      <c r="CG236" s="54">
        <f t="shared" si="645"/>
        <v>0</v>
      </c>
      <c r="CH236" s="55">
        <f t="shared" si="646"/>
        <v>0</v>
      </c>
      <c r="CI236" s="56">
        <f>IF(AND($E236&lt;&gt;0,$F236&gt;0,YEAR($F236)&gt;=Preisindex!$A$6,YEAR(CD$4)&gt;=YEAR($F236),AND($K236&lt;&gt;"a",$K236&lt;&gt;"b",$K236&lt;&gt;"g",$K236&lt;&gt;"k")),1,IF(AND($E236&lt;&gt;0,$F236&gt;0,YEAR($F236)&gt;=Preisindex!$A$6,YEAR(CD$4)&gt;=YEAR($F236),$K236="a"),ROUND(VLOOKUP(CI$4,Preisindex,5,FALSE)/VLOOKUP(YEAR($F236),Preisindex,5,FALSE),2),IF(AND($E236&lt;&gt;0,$F236&gt;0,YEAR($F236)&gt;=Preisindex!$A$6,YEAR(CD$4)&gt;=YEAR($F236),$K236="b"),ROUND(VLOOKUP(CI$4,Preisindex,3,FALSE)/VLOOKUP(YEAR($F236),Preisindex,3,FALSE),2),IF(AND($E236&lt;&gt;0,$F236&gt;0,YEAR($F236)&gt;=Preisindex!$A$6,YEAR(CD$4)&gt;=YEAR($F236),$K236="g"),ROUND(VLOOKUP(CI$4,Preisindex,4,FALSE)/VLOOKUP(YEAR($F236),Preisindex,4,FALSE),2),IF(AND($E236&lt;&gt;0,$F236&gt;0,YEAR($F236)&gt;=Preisindex!$A$6,YEAR(CD$4)&gt;=YEAR($F236),$K236="k"),ROUND(VLOOKUP(CI$4,Preisindex,2,FALSE)/VLOOKUP(YEAR($F236),Preisindex,2,FALSE),2),0)))))</f>
        <v>0</v>
      </c>
      <c r="CJ236" s="56">
        <f>IF(AND($E236&lt;&gt;0,$F236&gt;0,YEAR($F236)&lt;Preisindex!$A$6,YEAR(CD$4)&gt;=YEAR($F236),AND($K236&lt;&gt;"a",$K236&lt;&gt;"b",$K236&lt;&gt;"g",$K236&lt;&gt;"k")),1,IF(AND($E236&lt;&gt;0,$F236&gt;0,YEAR($F236)&lt;Preisindex!$A$6,YEAR(CD$4)&gt;=YEAR($F236),$K236="a"),ROUND(VLOOKUP(CI$4,Preisindex,5,FALSE)/VLOOKUP(Preisindex!$A$6,Preisindex,5,FALSE),2),IF(AND($E236&lt;&gt;0,$F236&gt;0,YEAR($F236)&lt;Preisindex!$A$6,YEAR(CD$4)&gt;=YEAR($F236),$K236="b"),ROUND(VLOOKUP(CI$4,Preisindex,3,FALSE)/VLOOKUP(Preisindex!$A$6,Preisindex,3,FALSE),2),IF(AND($E236&lt;&gt;0,$F236&gt;0,YEAR($F236)&lt;Preisindex!$A$6,YEAR(CD$4)&gt;=YEAR($F236),$K236="g"),ROUND(VLOOKUP(CI$4,Preisindex,4,FALSE)/VLOOKUP(Preisindex!$A$6,Preisindex,4,FALSE),2),IF(AND($E236&lt;&gt;0,$F236&gt;0,YEAR($F236)&lt;Preisindex!$A$6,YEAR(CD$4)&gt;=YEAR($F236),$K236="k"),ROUND(VLOOKUP(CI$4,Preisindex,2,FALSE)/VLOOKUP(Preisindex!$A$6,Preisindex,2,FALSE),2),0)))))</f>
        <v>0</v>
      </c>
      <c r="CK236" s="51">
        <f>IF(AND($E236&lt;&gt;0,$F236&gt;0,YEAR($F236)&lt;=CI$4,YEAR($F236)&gt;=Preisindex!$A$6),ROUND($E236*CI236,2),IF(AND($E236&lt;&gt;0,$F236&gt;0,YEAR($F236)&lt;=CI$4,YEAR($F236)&lt;Preisindex!$A$6),ROUND($E236*CJ236,2),0))</f>
        <v>0</v>
      </c>
      <c r="CL236" s="53">
        <f t="shared" si="647"/>
        <v>0</v>
      </c>
      <c r="CM236" s="51">
        <f t="shared" si="750"/>
        <v>0</v>
      </c>
      <c r="CN236" s="51">
        <f t="shared" si="725"/>
        <v>0</v>
      </c>
      <c r="CO236" s="51">
        <f t="shared" si="648"/>
        <v>0</v>
      </c>
      <c r="CP236" s="51">
        <f t="shared" si="726"/>
        <v>0</v>
      </c>
      <c r="CQ236" s="51">
        <f t="shared" si="649"/>
        <v>0</v>
      </c>
      <c r="CR236" s="51">
        <f t="shared" si="727"/>
        <v>0</v>
      </c>
      <c r="CS236" s="51">
        <f t="shared" si="650"/>
        <v>0</v>
      </c>
      <c r="CT236" s="51">
        <f t="shared" si="728"/>
        <v>0</v>
      </c>
      <c r="CU236" s="51">
        <f t="shared" si="651"/>
        <v>0</v>
      </c>
      <c r="CV236" s="51">
        <f t="shared" si="729"/>
        <v>0</v>
      </c>
      <c r="CW236" s="51">
        <f t="shared" si="652"/>
        <v>0</v>
      </c>
      <c r="CX236" s="54">
        <f t="shared" si="653"/>
        <v>0</v>
      </c>
      <c r="CY236" s="55">
        <f t="shared" si="654"/>
        <v>0</v>
      </c>
      <c r="CZ236" s="56">
        <f>IF(AND($E236&lt;&gt;0,$F236&gt;0,YEAR($F236)&gt;=Preisindex!$A$6,YEAR(CU$4)&gt;=YEAR($F236),AND($K236&lt;&gt;"a",$K236&lt;&gt;"b",$K236&lt;&gt;"g",$K236&lt;&gt;"k")),1,IF(AND($E236&lt;&gt;0,$F236&gt;0,YEAR($F236)&gt;=Preisindex!$A$6,YEAR(CU$4)&gt;=YEAR($F236),$K236="a"),ROUND(VLOOKUP(CZ$4,Preisindex,5,FALSE)/VLOOKUP(YEAR($F236),Preisindex,5,FALSE),2),IF(AND($E236&lt;&gt;0,$F236&gt;0,YEAR($F236)&gt;=Preisindex!$A$6,YEAR(CU$4)&gt;=YEAR($F236),$K236="b"),ROUND(VLOOKUP(CZ$4,Preisindex,3,FALSE)/VLOOKUP(YEAR($F236),Preisindex,3,FALSE),2),IF(AND($E236&lt;&gt;0,$F236&gt;0,YEAR($F236)&gt;=Preisindex!$A$6,YEAR(CU$4)&gt;=YEAR($F236),$K236="g"),ROUND(VLOOKUP(CZ$4,Preisindex,4,FALSE)/VLOOKUP(YEAR($F236),Preisindex,4,FALSE),2),IF(AND($E236&lt;&gt;0,$F236&gt;0,YEAR($F236)&gt;=Preisindex!$A$6,YEAR(CU$4)&gt;=YEAR($F236),$K236="k"),ROUND(VLOOKUP(CZ$4,Preisindex,2,FALSE)/VLOOKUP(YEAR($F236),Preisindex,2,FALSE),2),0)))))</f>
        <v>0</v>
      </c>
      <c r="DA236" s="56">
        <f>IF(AND($E236&lt;&gt;0,$F236&gt;0,YEAR($F236)&lt;Preisindex!$A$6,YEAR(CU$4)&gt;=YEAR($F236),AND($K236&lt;&gt;"a",$K236&lt;&gt;"b",$K236&lt;&gt;"g",$K236&lt;&gt;"k")),1,IF(AND($E236&lt;&gt;0,$F236&gt;0,YEAR($F236)&lt;Preisindex!$A$6,YEAR(CU$4)&gt;=YEAR($F236),$K236="a"),ROUND(VLOOKUP(CZ$4,Preisindex,5,FALSE)/VLOOKUP(Preisindex!$A$6,Preisindex,5,FALSE),2),IF(AND($E236&lt;&gt;0,$F236&gt;0,YEAR($F236)&lt;Preisindex!$A$6,YEAR(CU$4)&gt;=YEAR($F236),$K236="b"),ROUND(VLOOKUP(CZ$4,Preisindex,3,FALSE)/VLOOKUP(Preisindex!$A$6,Preisindex,3,FALSE),2),IF(AND($E236&lt;&gt;0,$F236&gt;0,YEAR($F236)&lt;Preisindex!$A$6,YEAR(CU$4)&gt;=YEAR($F236),$K236="g"),ROUND(VLOOKUP(CZ$4,Preisindex,4,FALSE)/VLOOKUP(Preisindex!$A$6,Preisindex,4,FALSE),2),IF(AND($E236&lt;&gt;0,$F236&gt;0,YEAR($F236)&lt;Preisindex!$A$6,YEAR(CU$4)&gt;=YEAR($F236),$K236="k"),ROUND(VLOOKUP(CZ$4,Preisindex,2,FALSE)/VLOOKUP(Preisindex!$A$6,Preisindex,2,FALSE),2),0)))))</f>
        <v>0</v>
      </c>
      <c r="DB236" s="51">
        <f>IF(AND($E236&lt;&gt;0,$F236&gt;0,YEAR($F236)&lt;=CZ$4,YEAR($F236)&gt;=Preisindex!$A$6),ROUND($E236*CZ236,2),IF(AND($E236&lt;&gt;0,$F236&gt;0,YEAR($F236)&lt;=CZ$4,YEAR($F236)&lt;Preisindex!$A$6),ROUND($E236*DA236,2),0))</f>
        <v>0</v>
      </c>
      <c r="DC236" s="53">
        <f t="shared" si="655"/>
        <v>0</v>
      </c>
      <c r="DD236" s="51">
        <f t="shared" si="751"/>
        <v>0</v>
      </c>
      <c r="DE236" s="51">
        <f t="shared" si="730"/>
        <v>0</v>
      </c>
      <c r="DF236" s="51">
        <f t="shared" si="657"/>
        <v>0</v>
      </c>
      <c r="DG236" s="51">
        <f t="shared" si="731"/>
        <v>0</v>
      </c>
      <c r="DH236" s="51">
        <f t="shared" si="658"/>
        <v>0</v>
      </c>
      <c r="DI236" s="51">
        <f t="shared" si="732"/>
        <v>0</v>
      </c>
      <c r="DJ236" s="51">
        <f t="shared" si="659"/>
        <v>0</v>
      </c>
      <c r="DK236" s="51">
        <f t="shared" si="733"/>
        <v>0</v>
      </c>
      <c r="DL236" s="51">
        <f t="shared" si="660"/>
        <v>0</v>
      </c>
      <c r="DM236" s="51">
        <f t="shared" si="734"/>
        <v>0</v>
      </c>
      <c r="DN236" s="51">
        <f t="shared" si="661"/>
        <v>0</v>
      </c>
      <c r="DO236" s="54">
        <f t="shared" si="662"/>
        <v>0</v>
      </c>
      <c r="DP236" s="55">
        <f t="shared" si="663"/>
        <v>0</v>
      </c>
      <c r="DQ236" s="56">
        <f>IF(AND($E236&lt;&gt;0,$F236&gt;0,YEAR($F236)&gt;=Preisindex!$A$6,YEAR(DL$4)&gt;=YEAR($F236),AND($K236&lt;&gt;"a",$K236&lt;&gt;"b",$K236&lt;&gt;"g",$K236&lt;&gt;"k")),1,IF(AND($E236&lt;&gt;0,$F236&gt;0,YEAR($F236)&gt;=Preisindex!$A$6,YEAR(DL$4)&gt;=YEAR($F236),$K236="a"),ROUND(VLOOKUP(DQ$4,Preisindex,5,FALSE)/VLOOKUP(YEAR($F236),Preisindex,5,FALSE),2),IF(AND($E236&lt;&gt;0,$F236&gt;0,YEAR($F236)&gt;=Preisindex!$A$6,YEAR(DL$4)&gt;=YEAR($F236),$K236="b"),ROUND(VLOOKUP(DQ$4,Preisindex,3,FALSE)/VLOOKUP(YEAR($F236),Preisindex,3,FALSE),2),IF(AND($E236&lt;&gt;0,$F236&gt;0,YEAR($F236)&gt;=Preisindex!$A$6,YEAR(DL$4)&gt;=YEAR($F236),$K236="g"),ROUND(VLOOKUP(DQ$4,Preisindex,4,FALSE)/VLOOKUP(YEAR($F236),Preisindex,4,FALSE),2),IF(AND($E236&lt;&gt;0,$F236&gt;0,YEAR($F236)&gt;=Preisindex!$A$6,YEAR(DL$4)&gt;=YEAR($F236),$K236="k"),ROUND(VLOOKUP(DQ$4,Preisindex,2,FALSE)/VLOOKUP(YEAR($F236),Preisindex,2,FALSE),2),0)))))</f>
        <v>0</v>
      </c>
      <c r="DR236" s="56">
        <f>IF(AND($E236&lt;&gt;0,$F236&gt;0,YEAR($F236)&lt;Preisindex!$A$6,YEAR(DL$4)&gt;=YEAR($F236),AND($K236&lt;&gt;"a",$K236&lt;&gt;"b",$K236&lt;&gt;"g",$K236&lt;&gt;"k")),1,IF(AND($E236&lt;&gt;0,$F236&gt;0,YEAR($F236)&lt;Preisindex!$A$6,YEAR(DL$4)&gt;=YEAR($F236),$K236="a"),ROUND(VLOOKUP(DQ$4,Preisindex,5,FALSE)/VLOOKUP(Preisindex!$A$6,Preisindex,5,FALSE),2),IF(AND($E236&lt;&gt;0,$F236&gt;0,YEAR($F236)&lt;Preisindex!$A$6,YEAR(DL$4)&gt;=YEAR($F236),$K236="b"),ROUND(VLOOKUP(DQ$4,Preisindex,3,FALSE)/VLOOKUP(Preisindex!$A$6,Preisindex,3,FALSE),2),IF(AND($E236&lt;&gt;0,$F236&gt;0,YEAR($F236)&lt;Preisindex!$A$6,YEAR(DL$4)&gt;=YEAR($F236),$K236="g"),ROUND(VLOOKUP(DQ$4,Preisindex,4,FALSE)/VLOOKUP(Preisindex!$A$6,Preisindex,4,FALSE),2),IF(AND($E236&lt;&gt;0,$F236&gt;0,YEAR($F236)&lt;Preisindex!$A$6,YEAR(DL$4)&gt;=YEAR($F236),$K236="k"),ROUND(VLOOKUP(DQ$4,Preisindex,2,FALSE)/VLOOKUP(Preisindex!$A$6,Preisindex,2,FALSE),2),0)))))</f>
        <v>0</v>
      </c>
      <c r="DS236" s="51">
        <f>IF(AND($E236&lt;&gt;0,$F236&gt;0,YEAR($F236)&lt;=DQ$4,YEAR($F236)&gt;=Preisindex!$A$6),ROUND($E236*DQ236,2),IF(AND($E236&lt;&gt;0,$F236&gt;0,YEAR($F236)&lt;=DQ$4,YEAR($F236)&lt;Preisindex!$A$6),ROUND($E236*DR236,2),0))</f>
        <v>0</v>
      </c>
      <c r="DT236" s="53">
        <f t="shared" si="664"/>
        <v>0</v>
      </c>
      <c r="DU236" s="51">
        <f t="shared" si="751"/>
        <v>0</v>
      </c>
      <c r="DV236" s="51">
        <f t="shared" si="735"/>
        <v>0</v>
      </c>
      <c r="DW236" s="51">
        <f t="shared" si="665"/>
        <v>0</v>
      </c>
      <c r="DX236" s="51">
        <f t="shared" si="736"/>
        <v>0</v>
      </c>
      <c r="DY236" s="51">
        <f t="shared" si="666"/>
        <v>0</v>
      </c>
      <c r="DZ236" s="51">
        <f t="shared" si="737"/>
        <v>0</v>
      </c>
      <c r="EA236" s="51">
        <f t="shared" si="667"/>
        <v>0</v>
      </c>
      <c r="EB236" s="51">
        <f t="shared" si="738"/>
        <v>0</v>
      </c>
      <c r="EC236" s="51">
        <f t="shared" si="668"/>
        <v>0</v>
      </c>
      <c r="ED236" s="51">
        <f t="shared" si="739"/>
        <v>0</v>
      </c>
      <c r="EE236" s="51">
        <f t="shared" si="669"/>
        <v>0</v>
      </c>
      <c r="EF236" s="54">
        <f t="shared" si="670"/>
        <v>0</v>
      </c>
      <c r="EG236" s="55">
        <f t="shared" si="671"/>
        <v>0</v>
      </c>
      <c r="EH236" s="56">
        <f>IF(AND($E236&lt;&gt;0,$F236&gt;0,YEAR($F236)&gt;=Preisindex!$A$6,YEAR(EC$4)&gt;=YEAR($F236),AND($K236&lt;&gt;"a",$K236&lt;&gt;"b",$K236&lt;&gt;"g",$K236&lt;&gt;"k")),1,IF(AND($E236&lt;&gt;0,$F236&gt;0,YEAR($F236)&gt;=Preisindex!$A$6,YEAR(EC$4)&gt;=YEAR($F236),$K236="a"),ROUND(VLOOKUP(EH$4,Preisindex,5,FALSE)/VLOOKUP(YEAR($F236),Preisindex,5,FALSE),2),IF(AND($E236&lt;&gt;0,$F236&gt;0,YEAR($F236)&gt;=Preisindex!$A$6,YEAR(EC$4)&gt;=YEAR($F236),$K236="b"),ROUND(VLOOKUP(EH$4,Preisindex,3,FALSE)/VLOOKUP(YEAR($F236),Preisindex,3,FALSE),2),IF(AND($E236&lt;&gt;0,$F236&gt;0,YEAR($F236)&gt;=Preisindex!$A$6,YEAR(EC$4)&gt;=YEAR($F236),$K236="g"),ROUND(VLOOKUP(EH$4,Preisindex,4,FALSE)/VLOOKUP(YEAR($F236),Preisindex,4,FALSE),2),IF(AND($E236&lt;&gt;0,$F236&gt;0,YEAR($F236)&gt;=Preisindex!$A$6,YEAR(EC$4)&gt;=YEAR($F236),$K236="k"),ROUND(VLOOKUP(EH$4,Preisindex,2,FALSE)/VLOOKUP(YEAR($F236),Preisindex,2,FALSE),2),0)))))</f>
        <v>0</v>
      </c>
      <c r="EI236" s="56">
        <f>IF(AND($E236&lt;&gt;0,$F236&gt;0,YEAR($F236)&lt;Preisindex!$A$6,YEAR(EC$4)&gt;=YEAR($F236),AND($K236&lt;&gt;"a",$K236&lt;&gt;"b",$K236&lt;&gt;"g",$K236&lt;&gt;"k")),1,IF(AND($E236&lt;&gt;0,$F236&gt;0,YEAR($F236)&lt;Preisindex!$A$6,YEAR(EC$4)&gt;=YEAR($F236),$K236="a"),ROUND(VLOOKUP(EH$4,Preisindex,5,FALSE)/VLOOKUP(Preisindex!$A$6,Preisindex,5,FALSE),2),IF(AND($E236&lt;&gt;0,$F236&gt;0,YEAR($F236)&lt;Preisindex!$A$6,YEAR(EC$4)&gt;=YEAR($F236),$K236="b"),ROUND(VLOOKUP(EH$4,Preisindex,3,FALSE)/VLOOKUP(Preisindex!$A$6,Preisindex,3,FALSE),2),IF(AND($E236&lt;&gt;0,$F236&gt;0,YEAR($F236)&lt;Preisindex!$A$6,YEAR(EC$4)&gt;=YEAR($F236),$K236="g"),ROUND(VLOOKUP(EH$4,Preisindex,4,FALSE)/VLOOKUP(Preisindex!$A$6,Preisindex,4,FALSE),2),IF(AND($E236&lt;&gt;0,$F236&gt;0,YEAR($F236)&lt;Preisindex!$A$6,YEAR(EC$4)&gt;=YEAR($F236),$K236="k"),ROUND(VLOOKUP(EH$4,Preisindex,2,FALSE)/VLOOKUP(Preisindex!$A$6,Preisindex,2,FALSE),2),0)))))</f>
        <v>0</v>
      </c>
      <c r="EJ236" s="51">
        <f>IF(AND($E236&lt;&gt;0,$F236&gt;0,YEAR($F236)&lt;=EH$4,YEAR($F236)&gt;=Preisindex!$A$6),ROUND($E236*EH236,2),IF(AND($E236&lt;&gt;0,$F236&gt;0,YEAR($F236)&lt;=EH$4,YEAR($F236)&lt;Preisindex!$A$6),ROUND($E236*EI236,2),0))</f>
        <v>0</v>
      </c>
      <c r="EK236" s="53">
        <f t="shared" si="672"/>
        <v>0</v>
      </c>
      <c r="EL236" s="51">
        <f t="shared" si="751"/>
        <v>0</v>
      </c>
      <c r="EM236" s="51">
        <f t="shared" si="740"/>
        <v>0</v>
      </c>
      <c r="EN236" s="51">
        <f t="shared" si="673"/>
        <v>0</v>
      </c>
      <c r="EO236" s="51">
        <f t="shared" si="741"/>
        <v>0</v>
      </c>
      <c r="EP236" s="51">
        <f t="shared" si="674"/>
        <v>0</v>
      </c>
      <c r="EQ236" s="51">
        <f t="shared" si="742"/>
        <v>0</v>
      </c>
      <c r="ER236" s="51">
        <f t="shared" si="675"/>
        <v>0</v>
      </c>
      <c r="ES236" s="51">
        <f t="shared" si="743"/>
        <v>0</v>
      </c>
      <c r="ET236" s="51">
        <f t="shared" si="676"/>
        <v>0</v>
      </c>
      <c r="EU236" s="51">
        <f t="shared" si="744"/>
        <v>0</v>
      </c>
      <c r="EV236" s="51">
        <f t="shared" si="677"/>
        <v>0</v>
      </c>
      <c r="EW236" s="54">
        <f t="shared" si="678"/>
        <v>0</v>
      </c>
      <c r="EX236" s="55">
        <f t="shared" si="679"/>
        <v>0</v>
      </c>
      <c r="EY236" s="56">
        <f>IF(AND($E236&lt;&gt;0,$F236&gt;0,YEAR($F236)&gt;=Preisindex!$A$6,YEAR(ET$4)&gt;=YEAR($F236),AND($K236&lt;&gt;"a",$K236&lt;&gt;"b",$K236&lt;&gt;"g",$K236&lt;&gt;"k")),1,IF(AND($E236&lt;&gt;0,$F236&gt;0,YEAR($F236)&gt;=Preisindex!$A$6,YEAR(ET$4)&gt;=YEAR($F236),$K236="a"),ROUND(VLOOKUP(EY$4,Preisindex,5,FALSE)/VLOOKUP(YEAR($F236),Preisindex,5,FALSE),2),IF(AND($E236&lt;&gt;0,$F236&gt;0,YEAR($F236)&gt;=Preisindex!$A$6,YEAR(ET$4)&gt;=YEAR($F236),$K236="b"),ROUND(VLOOKUP(EY$4,Preisindex,3,FALSE)/VLOOKUP(YEAR($F236),Preisindex,3,FALSE),2),IF(AND($E236&lt;&gt;0,$F236&gt;0,YEAR($F236)&gt;=Preisindex!$A$6,YEAR(ET$4)&gt;=YEAR($F236),$K236="g"),ROUND(VLOOKUP(EY$4,Preisindex,4,FALSE)/VLOOKUP(YEAR($F236),Preisindex,4,FALSE),2),IF(AND($E236&lt;&gt;0,$F236&gt;0,YEAR($F236)&gt;=Preisindex!$A$6,YEAR(ET$4)&gt;=YEAR($F236),$K236="k"),ROUND(VLOOKUP(EY$4,Preisindex,2,FALSE)/VLOOKUP(YEAR($F236),Preisindex,2,FALSE),2),0)))))</f>
        <v>0</v>
      </c>
      <c r="EZ236" s="56">
        <f>IF(AND($E236&lt;&gt;0,$F236&gt;0,YEAR($F236)&lt;Preisindex!$A$6,YEAR(ET$4)&gt;=YEAR($F236),AND($K236&lt;&gt;"a",$K236&lt;&gt;"b",$K236&lt;&gt;"g",$K236&lt;&gt;"k")),1,IF(AND($E236&lt;&gt;0,$F236&gt;0,YEAR($F236)&lt;Preisindex!$A$6,YEAR(ET$4)&gt;=YEAR($F236),$K236="a"),ROUND(VLOOKUP(EY$4,Preisindex,5,FALSE)/VLOOKUP(Preisindex!$A$6,Preisindex,5,FALSE),2),IF(AND($E236&lt;&gt;0,$F236&gt;0,YEAR($F236)&lt;Preisindex!$A$6,YEAR(ET$4)&gt;=YEAR($F236),$K236="b"),ROUND(VLOOKUP(EY$4,Preisindex,3,FALSE)/VLOOKUP(Preisindex!$A$6,Preisindex,3,FALSE),2),IF(AND($E236&lt;&gt;0,$F236&gt;0,YEAR($F236)&lt;Preisindex!$A$6,YEAR(ET$4)&gt;=YEAR($F236),$K236="g"),ROUND(VLOOKUP(EY$4,Preisindex,4,FALSE)/VLOOKUP(Preisindex!$A$6,Preisindex,4,FALSE),2),IF(AND($E236&lt;&gt;0,$F236&gt;0,YEAR($F236)&lt;Preisindex!$A$6,YEAR(ET$4)&gt;=YEAR($F236),$K236="k"),ROUND(VLOOKUP(EY$4,Preisindex,2,FALSE)/VLOOKUP(Preisindex!$A$6,Preisindex,2,FALSE),2),0)))))</f>
        <v>0</v>
      </c>
      <c r="FA236" s="51">
        <f>IF(AND($E236&lt;&gt;0,$F236&gt;0,YEAR($F236)&lt;=EY$4,YEAR($F236)&gt;=Preisindex!$A$6),ROUND($E236*EY236,2),IF(AND($E236&lt;&gt;0,$F236&gt;0,YEAR($F236)&lt;=EY$4,YEAR($F236)&lt;Preisindex!$A$6),ROUND($E236*EZ236,2),0))</f>
        <v>0</v>
      </c>
      <c r="FB236" s="53">
        <f t="shared" si="680"/>
        <v>0</v>
      </c>
      <c r="FC236" s="51">
        <f t="shared" si="751"/>
        <v>0</v>
      </c>
      <c r="FD236" s="51">
        <f t="shared" si="745"/>
        <v>0</v>
      </c>
      <c r="FE236" s="51">
        <f t="shared" si="681"/>
        <v>0</v>
      </c>
      <c r="FF236" s="51">
        <f t="shared" si="746"/>
        <v>0</v>
      </c>
      <c r="FG236" s="51">
        <f t="shared" si="682"/>
        <v>0</v>
      </c>
      <c r="FH236" s="51">
        <f t="shared" si="747"/>
        <v>0</v>
      </c>
      <c r="FI236" s="51">
        <f t="shared" si="683"/>
        <v>0</v>
      </c>
      <c r="FJ236" s="51">
        <f t="shared" si="748"/>
        <v>0</v>
      </c>
      <c r="FK236" s="51">
        <f t="shared" si="684"/>
        <v>0</v>
      </c>
      <c r="FL236" s="51">
        <f t="shared" si="749"/>
        <v>0</v>
      </c>
      <c r="FM236" s="51">
        <f t="shared" si="685"/>
        <v>0</v>
      </c>
      <c r="FN236" s="54">
        <f t="shared" si="686"/>
        <v>0</v>
      </c>
      <c r="FO236" s="55">
        <f t="shared" si="687"/>
        <v>0</v>
      </c>
      <c r="FP236" s="56">
        <f>IF(AND($E236&lt;&gt;0,$F236&gt;0,YEAR($F236)&gt;=Preisindex!$A$6,YEAR(FK$4)&gt;=YEAR($F236),AND($K236&lt;&gt;"a",$K236&lt;&gt;"b",$K236&lt;&gt;"g",$K236&lt;&gt;"k")),1,IF(AND($E236&lt;&gt;0,$F236&gt;0,YEAR($F236)&gt;=Preisindex!$A$6,YEAR(FK$4)&gt;=YEAR($F236),$K236="a"),ROUND(VLOOKUP(FP$4,Preisindex,5,FALSE)/VLOOKUP(YEAR($F236),Preisindex,5,FALSE),2),IF(AND($E236&lt;&gt;0,$F236&gt;0,YEAR($F236)&gt;=Preisindex!$A$6,YEAR(FK$4)&gt;=YEAR($F236),$K236="b"),ROUND(VLOOKUP(FP$4,Preisindex,3,FALSE)/VLOOKUP(YEAR($F236),Preisindex,3,FALSE),2),IF(AND($E236&lt;&gt;0,$F236&gt;0,YEAR($F236)&gt;=Preisindex!$A$6,YEAR(FK$4)&gt;=YEAR($F236),$K236="g"),ROUND(VLOOKUP(FP$4,Preisindex,4,FALSE)/VLOOKUP(YEAR($F236),Preisindex,4,FALSE),2),IF(AND($E236&lt;&gt;0,$F236&gt;0,YEAR($F236)&gt;=Preisindex!$A$6,YEAR(FK$4)&gt;=YEAR($F236),$K236="k"),ROUND(VLOOKUP(FP$4,Preisindex,2,FALSE)/VLOOKUP(YEAR($F236),Preisindex,2,FALSE),2),0)))))</f>
        <v>0</v>
      </c>
      <c r="FQ236" s="56">
        <f>IF(AND($E236&lt;&gt;0,$F236&gt;0,YEAR($F236)&lt;Preisindex!$A$6,YEAR(FK$4)&gt;=YEAR($F236),AND($K236&lt;&gt;"a",$K236&lt;&gt;"b",$K236&lt;&gt;"g",$K236&lt;&gt;"k")),1,IF(AND($E236&lt;&gt;0,$F236&gt;0,YEAR($F236)&lt;Preisindex!$A$6,YEAR(FK$4)&gt;=YEAR($F236),$K236="a"),ROUND(VLOOKUP(FP$4,Preisindex,5,FALSE)/VLOOKUP(Preisindex!$A$6,Preisindex,5,FALSE),2),IF(AND($E236&lt;&gt;0,$F236&gt;0,YEAR($F236)&lt;Preisindex!$A$6,YEAR(FK$4)&gt;=YEAR($F236),$K236="b"),ROUND(VLOOKUP(FP$4,Preisindex,3,FALSE)/VLOOKUP(Preisindex!$A$6,Preisindex,3,FALSE),2),IF(AND($E236&lt;&gt;0,$F236&gt;0,YEAR($F236)&lt;Preisindex!$A$6,YEAR(FK$4)&gt;=YEAR($F236),$K236="g"),ROUND(VLOOKUP(FP$4,Preisindex,4,FALSE)/VLOOKUP(Preisindex!$A$6,Preisindex,4,FALSE),2),IF(AND($E236&lt;&gt;0,$F236&gt;0,YEAR($F236)&lt;Preisindex!$A$6,YEAR(FK$4)&gt;=YEAR($F236),$K236="k"),ROUND(VLOOKUP(FP$4,Preisindex,2,FALSE)/VLOOKUP(Preisindex!$A$6,Preisindex,2,FALSE),2),0)))))</f>
        <v>0</v>
      </c>
      <c r="FR236" s="51">
        <f>IF(AND($E236&lt;&gt;0,$F236&gt;0,YEAR($F236)&lt;=FP$4,YEAR($F236)&gt;=Preisindex!$A$6),ROUND($E236*FP236,2),IF(AND($E236&lt;&gt;0,$F236&gt;0,YEAR($F236)&lt;=FP$4,YEAR($F236)&lt;Preisindex!$A$6),ROUND($E236*FQ236,2),0))</f>
        <v>0</v>
      </c>
      <c r="FS236" s="53">
        <f t="shared" si="688"/>
        <v>0</v>
      </c>
    </row>
    <row r="237" spans="1:175" x14ac:dyDescent="0.3">
      <c r="A237" s="93"/>
      <c r="B237" s="94"/>
      <c r="C237" s="94"/>
      <c r="D237" s="188"/>
      <c r="E237" s="624"/>
      <c r="F237" s="190"/>
      <c r="G237" s="625"/>
      <c r="H237" s="192"/>
      <c r="I237" s="621"/>
      <c r="J237" s="103"/>
      <c r="K237" s="630"/>
      <c r="L237" s="49">
        <f t="shared" si="689"/>
        <v>0</v>
      </c>
      <c r="M237" s="50">
        <f t="shared" si="690"/>
        <v>0</v>
      </c>
      <c r="N237" s="51">
        <f t="shared" si="691"/>
        <v>0</v>
      </c>
      <c r="O237" s="51"/>
      <c r="P237" s="51">
        <f t="shared" si="692"/>
        <v>0</v>
      </c>
      <c r="Q237" s="52"/>
      <c r="R237" s="52"/>
      <c r="S237" s="52"/>
      <c r="T237" s="52"/>
      <c r="U237" s="52"/>
      <c r="V237" s="53">
        <f t="shared" si="693"/>
        <v>0</v>
      </c>
      <c r="W237" s="51">
        <f t="shared" si="694"/>
        <v>0</v>
      </c>
      <c r="X237" s="51">
        <f t="shared" si="695"/>
        <v>0</v>
      </c>
      <c r="Y237" s="51">
        <f t="shared" si="696"/>
        <v>0</v>
      </c>
      <c r="Z237" s="51">
        <f t="shared" si="697"/>
        <v>0</v>
      </c>
      <c r="AA237" s="51">
        <f t="shared" si="698"/>
        <v>0</v>
      </c>
      <c r="AB237" s="51">
        <f t="shared" si="699"/>
        <v>0</v>
      </c>
      <c r="AC237" s="51">
        <f t="shared" si="700"/>
        <v>0</v>
      </c>
      <c r="AD237" s="51">
        <f t="shared" si="701"/>
        <v>0</v>
      </c>
      <c r="AE237" s="51">
        <f t="shared" si="702"/>
        <v>0</v>
      </c>
      <c r="AF237" s="51">
        <f t="shared" si="703"/>
        <v>0</v>
      </c>
      <c r="AG237" s="51">
        <f t="shared" si="704"/>
        <v>0</v>
      </c>
      <c r="AH237" s="54">
        <f t="shared" si="705"/>
        <v>0</v>
      </c>
      <c r="AI237" s="55">
        <f t="shared" si="706"/>
        <v>0</v>
      </c>
      <c r="AJ237" s="56">
        <f>IF(AND($E237&lt;&gt;0,$F237&gt;0,YEAR($F237)&gt;=Preisindex!$A$6,YEAR(AE$4)&gt;=YEAR($F237),AND($K237&lt;&gt;"a",$K237&lt;&gt;"b",$K237&lt;&gt;"g",$K237&lt;&gt;"k")),1,IF(AND($E237&lt;&gt;0,$F237&gt;0,YEAR($F237)&gt;=Preisindex!$A$6,YEAR(AE$4)&gt;=YEAR($F237),$K237="a"),ROUND(VLOOKUP(AJ$4,Preisindex,5,FALSE)/VLOOKUP(YEAR($F237),Preisindex,5,FALSE),2),IF(AND($E237&lt;&gt;0,$F237&gt;0,YEAR($F237)&gt;=Preisindex!$A$6,YEAR(AE$4)&gt;=YEAR($F237),$K237="b"),ROUND(VLOOKUP(AJ$4,Preisindex,3,FALSE)/VLOOKUP(YEAR($F237),Preisindex,3,FALSE),2),IF(AND($E237&lt;&gt;0,$F237&gt;0,YEAR($F237)&gt;=Preisindex!$A$6,YEAR(AE$4)&gt;=YEAR($F237),$K237="g"),ROUND(VLOOKUP(AJ$4,Preisindex,4,FALSE)/VLOOKUP(YEAR($F237),Preisindex,4,FALSE),2),IF(AND($E237&lt;&gt;0,$F237&gt;0,YEAR($F237)&gt;=Preisindex!$A$6,YEAR(AE$4)&gt;=YEAR($F237),$K237="k"),ROUND(VLOOKUP(AJ$4,Preisindex,2,FALSE)/VLOOKUP(YEAR($F237),Preisindex,2,FALSE),2),0)))))</f>
        <v>0</v>
      </c>
      <c r="AK237" s="56">
        <f>IF(AND($E237&lt;&gt;0,$F237&gt;0,YEAR($F237)&lt;Preisindex!$A$6,YEAR(AE$4)&gt;=YEAR($F237),AND($K237&lt;&gt;"a",$K237&lt;&gt;"b",$K237&lt;&gt;"g",$K237&lt;&gt;"k")),1,IF(AND($E237&lt;&gt;0,$F237&gt;0,YEAR($F237)&lt;Preisindex!$A$6,YEAR(AE$4)&gt;=YEAR($F237),$K237="a"),ROUND(VLOOKUP(AJ$4,Preisindex,5,FALSE)/VLOOKUP(Preisindex!$A$6,Preisindex,5,FALSE),2),IF(AND($E237&lt;&gt;0,$F237&gt;0,YEAR($F237)&lt;Preisindex!$A$6,YEAR(AE$4)&gt;=YEAR($F237),$K237="b"),ROUND(VLOOKUP(AJ$4,Preisindex,3,FALSE)/VLOOKUP(Preisindex!$A$6,Preisindex,3,FALSE),2),IF(AND($E237&lt;&gt;0,$F237&gt;0,YEAR($F237)&lt;Preisindex!$A$6,YEAR(AE$4)&gt;=YEAR($F237),$K237="g"),ROUND(VLOOKUP(AJ$4,Preisindex,4,FALSE)/VLOOKUP(Preisindex!$A$6,Preisindex,4,FALSE),2),IF(AND($E237&lt;&gt;0,$F237&gt;0,YEAR($F237)&lt;Preisindex!$A$6,YEAR(AE$4)&gt;=YEAR($F237),$K237="k"),ROUND(VLOOKUP(AJ$4,Preisindex,2,FALSE)/VLOOKUP(Preisindex!$A$6,Preisindex,2,FALSE),2),0)))))</f>
        <v>0</v>
      </c>
      <c r="AL237" s="51">
        <f>IF(AND($E237&lt;&gt;0,$F237&gt;0,YEAR($F237)&lt;=AJ$4,YEAR($F237)&gt;=Preisindex!$A$6),ROUND($E237*AJ237,2),IF(AND($E237&lt;&gt;0,$F237&gt;0,YEAR($F237)&lt;=AJ$4,YEAR($F237)&lt;Preisindex!$A$6),ROUND($E237*AK237,2),0))</f>
        <v>0</v>
      </c>
      <c r="AM237" s="53">
        <f t="shared" si="707"/>
        <v>0</v>
      </c>
      <c r="AN237" s="51">
        <f t="shared" si="750"/>
        <v>0</v>
      </c>
      <c r="AO237" s="51">
        <f t="shared" si="710"/>
        <v>0</v>
      </c>
      <c r="AP237" s="51">
        <f t="shared" si="624"/>
        <v>0</v>
      </c>
      <c r="AQ237" s="51">
        <f t="shared" si="711"/>
        <v>0</v>
      </c>
      <c r="AR237" s="51">
        <f t="shared" si="625"/>
        <v>0</v>
      </c>
      <c r="AS237" s="51">
        <f t="shared" si="712"/>
        <v>0</v>
      </c>
      <c r="AT237" s="51">
        <f t="shared" si="626"/>
        <v>0</v>
      </c>
      <c r="AU237" s="51">
        <f t="shared" si="713"/>
        <v>0</v>
      </c>
      <c r="AV237" s="51">
        <f t="shared" si="627"/>
        <v>0</v>
      </c>
      <c r="AW237" s="51">
        <f t="shared" si="714"/>
        <v>0</v>
      </c>
      <c r="AX237" s="51">
        <f t="shared" si="628"/>
        <v>0</v>
      </c>
      <c r="AY237" s="54">
        <f t="shared" si="629"/>
        <v>0</v>
      </c>
      <c r="AZ237" s="55">
        <f t="shared" si="630"/>
        <v>0</v>
      </c>
      <c r="BA237" s="56">
        <f>IF(AND($E237&lt;&gt;0,$F237&gt;0,YEAR($F237)&gt;=Preisindex!$A$6,YEAR(AV$4)&gt;=YEAR($F237),AND($K237&lt;&gt;"a",$K237&lt;&gt;"b",$K237&lt;&gt;"g",$K237&lt;&gt;"k")),1,IF(AND($E237&lt;&gt;0,$F237&gt;0,YEAR($F237)&gt;=Preisindex!$A$6,YEAR(AV$4)&gt;=YEAR($F237),$K237="a"),ROUND(VLOOKUP(BA$4,Preisindex,5,FALSE)/VLOOKUP(YEAR($F237),Preisindex,5,FALSE),2),IF(AND($E237&lt;&gt;0,$F237&gt;0,YEAR($F237)&gt;=Preisindex!$A$6,YEAR(AV$4)&gt;=YEAR($F237),$K237="b"),ROUND(VLOOKUP(BA$4,Preisindex,3,FALSE)/VLOOKUP(YEAR($F237),Preisindex,3,FALSE),2),IF(AND($E237&lt;&gt;0,$F237&gt;0,YEAR($F237)&gt;=Preisindex!$A$6,YEAR(AV$4)&gt;=YEAR($F237),$K237="g"),ROUND(VLOOKUP(BA$4,Preisindex,4,FALSE)/VLOOKUP(YEAR($F237),Preisindex,4,FALSE),2),IF(AND($E237&lt;&gt;0,$F237&gt;0,YEAR($F237)&gt;=Preisindex!$A$6,YEAR(AV$4)&gt;=YEAR($F237),$K237="k"),ROUND(VLOOKUP(BA$4,Preisindex,2,FALSE)/VLOOKUP(YEAR($F237),Preisindex,2,FALSE),2),0)))))</f>
        <v>0</v>
      </c>
      <c r="BB237" s="56">
        <f>IF(AND($E237&lt;&gt;0,$F237&gt;0,YEAR($F237)&lt;Preisindex!$A$6,YEAR(AV$4)&gt;=YEAR($F237),AND($K237&lt;&gt;"a",$K237&lt;&gt;"b",$K237&lt;&gt;"g",$K237&lt;&gt;"k")),1,IF(AND($E237&lt;&gt;0,$F237&gt;0,YEAR($F237)&lt;Preisindex!$A$6,YEAR(AV$4)&gt;=YEAR($F237),$K237="a"),ROUND(VLOOKUP(BA$4,Preisindex,5,FALSE)/VLOOKUP(Preisindex!$A$6,Preisindex,5,FALSE),2),IF(AND($E237&lt;&gt;0,$F237&gt;0,YEAR($F237)&lt;Preisindex!$A$6,YEAR(AV$4)&gt;=YEAR($F237),$K237="b"),ROUND(VLOOKUP(BA$4,Preisindex,3,FALSE)/VLOOKUP(Preisindex!$A$6,Preisindex,3,FALSE),2),IF(AND($E237&lt;&gt;0,$F237&gt;0,YEAR($F237)&lt;Preisindex!$A$6,YEAR(AV$4)&gt;=YEAR($F237),$K237="g"),ROUND(VLOOKUP(BA$4,Preisindex,4,FALSE)/VLOOKUP(Preisindex!$A$6,Preisindex,4,FALSE),2),IF(AND($E237&lt;&gt;0,$F237&gt;0,YEAR($F237)&lt;Preisindex!$A$6,YEAR(AV$4)&gt;=YEAR($F237),$K237="k"),ROUND(VLOOKUP(BA$4,Preisindex,2,FALSE)/VLOOKUP(Preisindex!$A$6,Preisindex,2,FALSE),2),0)))))</f>
        <v>0</v>
      </c>
      <c r="BC237" s="51">
        <f>IF(AND($E237&lt;&gt;0,$F237&gt;0,YEAR($F237)&lt;=BA$4,YEAR($F237)&gt;=Preisindex!$A$6),ROUND($E237*BA237,2),IF(AND($E237&lt;&gt;0,$F237&gt;0,YEAR($F237)&lt;=BA$4,YEAR($F237)&lt;Preisindex!$A$6),ROUND($E237*BB237,2),0))</f>
        <v>0</v>
      </c>
      <c r="BD237" s="53">
        <f t="shared" si="631"/>
        <v>0</v>
      </c>
      <c r="BE237" s="51">
        <f t="shared" si="750"/>
        <v>0</v>
      </c>
      <c r="BF237" s="51">
        <f t="shared" si="715"/>
        <v>0</v>
      </c>
      <c r="BG237" s="51">
        <f t="shared" si="632"/>
        <v>0</v>
      </c>
      <c r="BH237" s="51">
        <f t="shared" si="716"/>
        <v>0</v>
      </c>
      <c r="BI237" s="51">
        <f t="shared" si="633"/>
        <v>0</v>
      </c>
      <c r="BJ237" s="51">
        <f t="shared" si="717"/>
        <v>0</v>
      </c>
      <c r="BK237" s="51">
        <f t="shared" si="634"/>
        <v>0</v>
      </c>
      <c r="BL237" s="51">
        <f t="shared" si="718"/>
        <v>0</v>
      </c>
      <c r="BM237" s="51">
        <f t="shared" si="635"/>
        <v>0</v>
      </c>
      <c r="BN237" s="51">
        <f t="shared" si="719"/>
        <v>0</v>
      </c>
      <c r="BO237" s="51">
        <f t="shared" si="636"/>
        <v>0</v>
      </c>
      <c r="BP237" s="54">
        <f t="shared" si="637"/>
        <v>0</v>
      </c>
      <c r="BQ237" s="55">
        <f t="shared" si="638"/>
        <v>0</v>
      </c>
      <c r="BR237" s="56">
        <f>IF(AND($E237&lt;&gt;0,$F237&gt;0,YEAR($F237)&gt;=Preisindex!$A$6,YEAR(BM$4)&gt;=YEAR($F237),AND($K237&lt;&gt;"a",$K237&lt;&gt;"b",$K237&lt;&gt;"g",$K237&lt;&gt;"k")),1,IF(AND($E237&lt;&gt;0,$F237&gt;0,YEAR($F237)&gt;=Preisindex!$A$6,YEAR(BM$4)&gt;=YEAR($F237),$K237="a"),ROUND(VLOOKUP(BR$4,Preisindex,5,FALSE)/VLOOKUP(YEAR($F237),Preisindex,5,FALSE),2),IF(AND($E237&lt;&gt;0,$F237&gt;0,YEAR($F237)&gt;=Preisindex!$A$6,YEAR(BM$4)&gt;=YEAR($F237),$K237="b"),ROUND(VLOOKUP(BR$4,Preisindex,3,FALSE)/VLOOKUP(YEAR($F237),Preisindex,3,FALSE),2),IF(AND($E237&lt;&gt;0,$F237&gt;0,YEAR($F237)&gt;=Preisindex!$A$6,YEAR(BM$4)&gt;=YEAR($F237),$K237="g"),ROUND(VLOOKUP(BR$4,Preisindex,4,FALSE)/VLOOKUP(YEAR($F237),Preisindex,4,FALSE),2),IF(AND($E237&lt;&gt;0,$F237&gt;0,YEAR($F237)&gt;=Preisindex!$A$6,YEAR(BM$4)&gt;=YEAR($F237),$K237="k"),ROUND(VLOOKUP(BR$4,Preisindex,2,FALSE)/VLOOKUP(YEAR($F237),Preisindex,2,FALSE),2),0)))))</f>
        <v>0</v>
      </c>
      <c r="BS237" s="56">
        <f>IF(AND($E237&lt;&gt;0,$F237&gt;0,YEAR($F237)&lt;Preisindex!$A$6,YEAR(BM$4)&gt;=YEAR($F237),AND($K237&lt;&gt;"a",$K237&lt;&gt;"b",$K237&lt;&gt;"g",$K237&lt;&gt;"k")),1,IF(AND($E237&lt;&gt;0,$F237&gt;0,YEAR($F237)&lt;Preisindex!$A$6,YEAR(BM$4)&gt;=YEAR($F237),$K237="a"),ROUND(VLOOKUP(BR$4,Preisindex,5,FALSE)/VLOOKUP(Preisindex!$A$6,Preisindex,5,FALSE),2),IF(AND($E237&lt;&gt;0,$F237&gt;0,YEAR($F237)&lt;Preisindex!$A$6,YEAR(BM$4)&gt;=YEAR($F237),$K237="b"),ROUND(VLOOKUP(BR$4,Preisindex,3,FALSE)/VLOOKUP(Preisindex!$A$6,Preisindex,3,FALSE),2),IF(AND($E237&lt;&gt;0,$F237&gt;0,YEAR($F237)&lt;Preisindex!$A$6,YEAR(BM$4)&gt;=YEAR($F237),$K237="g"),ROUND(VLOOKUP(BR$4,Preisindex,4,FALSE)/VLOOKUP(Preisindex!$A$6,Preisindex,4,FALSE),2),IF(AND($E237&lt;&gt;0,$F237&gt;0,YEAR($F237)&lt;Preisindex!$A$6,YEAR(BM$4)&gt;=YEAR($F237),$K237="k"),ROUND(VLOOKUP(BR$4,Preisindex,2,FALSE)/VLOOKUP(Preisindex!$A$6,Preisindex,2,FALSE),2),0)))))</f>
        <v>0</v>
      </c>
      <c r="BT237" s="51">
        <f>IF(AND($E237&lt;&gt;0,$F237&gt;0,YEAR($F237)&lt;=BR$4,YEAR($F237)&gt;=Preisindex!$A$6),ROUND($E237*BR237,2),IF(AND($E237&lt;&gt;0,$F237&gt;0,YEAR($F237)&lt;=BR$4,YEAR($F237)&lt;Preisindex!$A$6),ROUND($E237*BS237,2),0))</f>
        <v>0</v>
      </c>
      <c r="BU237" s="53">
        <f t="shared" si="639"/>
        <v>0</v>
      </c>
      <c r="BV237" s="51">
        <f t="shared" si="750"/>
        <v>0</v>
      </c>
      <c r="BW237" s="51">
        <f t="shared" si="720"/>
        <v>0</v>
      </c>
      <c r="BX237" s="51">
        <f t="shared" si="640"/>
        <v>0</v>
      </c>
      <c r="BY237" s="51">
        <f t="shared" si="721"/>
        <v>0</v>
      </c>
      <c r="BZ237" s="51">
        <f t="shared" si="641"/>
        <v>0</v>
      </c>
      <c r="CA237" s="51">
        <f t="shared" si="722"/>
        <v>0</v>
      </c>
      <c r="CB237" s="51">
        <f t="shared" si="642"/>
        <v>0</v>
      </c>
      <c r="CC237" s="51">
        <f t="shared" si="723"/>
        <v>0</v>
      </c>
      <c r="CD237" s="51">
        <f t="shared" si="643"/>
        <v>0</v>
      </c>
      <c r="CE237" s="51">
        <f t="shared" si="724"/>
        <v>0</v>
      </c>
      <c r="CF237" s="51">
        <f t="shared" si="644"/>
        <v>0</v>
      </c>
      <c r="CG237" s="54">
        <f t="shared" si="645"/>
        <v>0</v>
      </c>
      <c r="CH237" s="55">
        <f t="shared" si="646"/>
        <v>0</v>
      </c>
      <c r="CI237" s="56">
        <f>IF(AND($E237&lt;&gt;0,$F237&gt;0,YEAR($F237)&gt;=Preisindex!$A$6,YEAR(CD$4)&gt;=YEAR($F237),AND($K237&lt;&gt;"a",$K237&lt;&gt;"b",$K237&lt;&gt;"g",$K237&lt;&gt;"k")),1,IF(AND($E237&lt;&gt;0,$F237&gt;0,YEAR($F237)&gt;=Preisindex!$A$6,YEAR(CD$4)&gt;=YEAR($F237),$K237="a"),ROUND(VLOOKUP(CI$4,Preisindex,5,FALSE)/VLOOKUP(YEAR($F237),Preisindex,5,FALSE),2),IF(AND($E237&lt;&gt;0,$F237&gt;0,YEAR($F237)&gt;=Preisindex!$A$6,YEAR(CD$4)&gt;=YEAR($F237),$K237="b"),ROUND(VLOOKUP(CI$4,Preisindex,3,FALSE)/VLOOKUP(YEAR($F237),Preisindex,3,FALSE),2),IF(AND($E237&lt;&gt;0,$F237&gt;0,YEAR($F237)&gt;=Preisindex!$A$6,YEAR(CD$4)&gt;=YEAR($F237),$K237="g"),ROUND(VLOOKUP(CI$4,Preisindex,4,FALSE)/VLOOKUP(YEAR($F237),Preisindex,4,FALSE),2),IF(AND($E237&lt;&gt;0,$F237&gt;0,YEAR($F237)&gt;=Preisindex!$A$6,YEAR(CD$4)&gt;=YEAR($F237),$K237="k"),ROUND(VLOOKUP(CI$4,Preisindex,2,FALSE)/VLOOKUP(YEAR($F237),Preisindex,2,FALSE),2),0)))))</f>
        <v>0</v>
      </c>
      <c r="CJ237" s="56">
        <f>IF(AND($E237&lt;&gt;0,$F237&gt;0,YEAR($F237)&lt;Preisindex!$A$6,YEAR(CD$4)&gt;=YEAR($F237),AND($K237&lt;&gt;"a",$K237&lt;&gt;"b",$K237&lt;&gt;"g",$K237&lt;&gt;"k")),1,IF(AND($E237&lt;&gt;0,$F237&gt;0,YEAR($F237)&lt;Preisindex!$A$6,YEAR(CD$4)&gt;=YEAR($F237),$K237="a"),ROUND(VLOOKUP(CI$4,Preisindex,5,FALSE)/VLOOKUP(Preisindex!$A$6,Preisindex,5,FALSE),2),IF(AND($E237&lt;&gt;0,$F237&gt;0,YEAR($F237)&lt;Preisindex!$A$6,YEAR(CD$4)&gt;=YEAR($F237),$K237="b"),ROUND(VLOOKUP(CI$4,Preisindex,3,FALSE)/VLOOKUP(Preisindex!$A$6,Preisindex,3,FALSE),2),IF(AND($E237&lt;&gt;0,$F237&gt;0,YEAR($F237)&lt;Preisindex!$A$6,YEAR(CD$4)&gt;=YEAR($F237),$K237="g"),ROUND(VLOOKUP(CI$4,Preisindex,4,FALSE)/VLOOKUP(Preisindex!$A$6,Preisindex,4,FALSE),2),IF(AND($E237&lt;&gt;0,$F237&gt;0,YEAR($F237)&lt;Preisindex!$A$6,YEAR(CD$4)&gt;=YEAR($F237),$K237="k"),ROUND(VLOOKUP(CI$4,Preisindex,2,FALSE)/VLOOKUP(Preisindex!$A$6,Preisindex,2,FALSE),2),0)))))</f>
        <v>0</v>
      </c>
      <c r="CK237" s="51">
        <f>IF(AND($E237&lt;&gt;0,$F237&gt;0,YEAR($F237)&lt;=CI$4,YEAR($F237)&gt;=Preisindex!$A$6),ROUND($E237*CI237,2),IF(AND($E237&lt;&gt;0,$F237&gt;0,YEAR($F237)&lt;=CI$4,YEAR($F237)&lt;Preisindex!$A$6),ROUND($E237*CJ237,2),0))</f>
        <v>0</v>
      </c>
      <c r="CL237" s="53">
        <f t="shared" si="647"/>
        <v>0</v>
      </c>
      <c r="CM237" s="51">
        <f t="shared" si="750"/>
        <v>0</v>
      </c>
      <c r="CN237" s="51">
        <f t="shared" si="725"/>
        <v>0</v>
      </c>
      <c r="CO237" s="51">
        <f t="shared" si="648"/>
        <v>0</v>
      </c>
      <c r="CP237" s="51">
        <f t="shared" si="726"/>
        <v>0</v>
      </c>
      <c r="CQ237" s="51">
        <f t="shared" si="649"/>
        <v>0</v>
      </c>
      <c r="CR237" s="51">
        <f t="shared" si="727"/>
        <v>0</v>
      </c>
      <c r="CS237" s="51">
        <f t="shared" si="650"/>
        <v>0</v>
      </c>
      <c r="CT237" s="51">
        <f t="shared" si="728"/>
        <v>0</v>
      </c>
      <c r="CU237" s="51">
        <f t="shared" si="651"/>
        <v>0</v>
      </c>
      <c r="CV237" s="51">
        <f t="shared" si="729"/>
        <v>0</v>
      </c>
      <c r="CW237" s="51">
        <f t="shared" si="652"/>
        <v>0</v>
      </c>
      <c r="CX237" s="54">
        <f t="shared" si="653"/>
        <v>0</v>
      </c>
      <c r="CY237" s="55">
        <f t="shared" si="654"/>
        <v>0</v>
      </c>
      <c r="CZ237" s="56">
        <f>IF(AND($E237&lt;&gt;0,$F237&gt;0,YEAR($F237)&gt;=Preisindex!$A$6,YEAR(CU$4)&gt;=YEAR($F237),AND($K237&lt;&gt;"a",$K237&lt;&gt;"b",$K237&lt;&gt;"g",$K237&lt;&gt;"k")),1,IF(AND($E237&lt;&gt;0,$F237&gt;0,YEAR($F237)&gt;=Preisindex!$A$6,YEAR(CU$4)&gt;=YEAR($F237),$K237="a"),ROUND(VLOOKUP(CZ$4,Preisindex,5,FALSE)/VLOOKUP(YEAR($F237),Preisindex,5,FALSE),2),IF(AND($E237&lt;&gt;0,$F237&gt;0,YEAR($F237)&gt;=Preisindex!$A$6,YEAR(CU$4)&gt;=YEAR($F237),$K237="b"),ROUND(VLOOKUP(CZ$4,Preisindex,3,FALSE)/VLOOKUP(YEAR($F237),Preisindex,3,FALSE),2),IF(AND($E237&lt;&gt;0,$F237&gt;0,YEAR($F237)&gt;=Preisindex!$A$6,YEAR(CU$4)&gt;=YEAR($F237),$K237="g"),ROUND(VLOOKUP(CZ$4,Preisindex,4,FALSE)/VLOOKUP(YEAR($F237),Preisindex,4,FALSE),2),IF(AND($E237&lt;&gt;0,$F237&gt;0,YEAR($F237)&gt;=Preisindex!$A$6,YEAR(CU$4)&gt;=YEAR($F237),$K237="k"),ROUND(VLOOKUP(CZ$4,Preisindex,2,FALSE)/VLOOKUP(YEAR($F237),Preisindex,2,FALSE),2),0)))))</f>
        <v>0</v>
      </c>
      <c r="DA237" s="56">
        <f>IF(AND($E237&lt;&gt;0,$F237&gt;0,YEAR($F237)&lt;Preisindex!$A$6,YEAR(CU$4)&gt;=YEAR($F237),AND($K237&lt;&gt;"a",$K237&lt;&gt;"b",$K237&lt;&gt;"g",$K237&lt;&gt;"k")),1,IF(AND($E237&lt;&gt;0,$F237&gt;0,YEAR($F237)&lt;Preisindex!$A$6,YEAR(CU$4)&gt;=YEAR($F237),$K237="a"),ROUND(VLOOKUP(CZ$4,Preisindex,5,FALSE)/VLOOKUP(Preisindex!$A$6,Preisindex,5,FALSE),2),IF(AND($E237&lt;&gt;0,$F237&gt;0,YEAR($F237)&lt;Preisindex!$A$6,YEAR(CU$4)&gt;=YEAR($F237),$K237="b"),ROUND(VLOOKUP(CZ$4,Preisindex,3,FALSE)/VLOOKUP(Preisindex!$A$6,Preisindex,3,FALSE),2),IF(AND($E237&lt;&gt;0,$F237&gt;0,YEAR($F237)&lt;Preisindex!$A$6,YEAR(CU$4)&gt;=YEAR($F237),$K237="g"),ROUND(VLOOKUP(CZ$4,Preisindex,4,FALSE)/VLOOKUP(Preisindex!$A$6,Preisindex,4,FALSE),2),IF(AND($E237&lt;&gt;0,$F237&gt;0,YEAR($F237)&lt;Preisindex!$A$6,YEAR(CU$4)&gt;=YEAR($F237),$K237="k"),ROUND(VLOOKUP(CZ$4,Preisindex,2,FALSE)/VLOOKUP(Preisindex!$A$6,Preisindex,2,FALSE),2),0)))))</f>
        <v>0</v>
      </c>
      <c r="DB237" s="51">
        <f>IF(AND($E237&lt;&gt;0,$F237&gt;0,YEAR($F237)&lt;=CZ$4,YEAR($F237)&gt;=Preisindex!$A$6),ROUND($E237*CZ237,2),IF(AND($E237&lt;&gt;0,$F237&gt;0,YEAR($F237)&lt;=CZ$4,YEAR($F237)&lt;Preisindex!$A$6),ROUND($E237*DA237,2),0))</f>
        <v>0</v>
      </c>
      <c r="DC237" s="53">
        <f t="shared" si="655"/>
        <v>0</v>
      </c>
      <c r="DD237" s="51">
        <f t="shared" si="751"/>
        <v>0</v>
      </c>
      <c r="DE237" s="51">
        <f t="shared" si="730"/>
        <v>0</v>
      </c>
      <c r="DF237" s="51">
        <f t="shared" si="657"/>
        <v>0</v>
      </c>
      <c r="DG237" s="51">
        <f t="shared" si="731"/>
        <v>0</v>
      </c>
      <c r="DH237" s="51">
        <f t="shared" si="658"/>
        <v>0</v>
      </c>
      <c r="DI237" s="51">
        <f t="shared" si="732"/>
        <v>0</v>
      </c>
      <c r="DJ237" s="51">
        <f t="shared" si="659"/>
        <v>0</v>
      </c>
      <c r="DK237" s="51">
        <f t="shared" si="733"/>
        <v>0</v>
      </c>
      <c r="DL237" s="51">
        <f t="shared" si="660"/>
        <v>0</v>
      </c>
      <c r="DM237" s="51">
        <f t="shared" si="734"/>
        <v>0</v>
      </c>
      <c r="DN237" s="51">
        <f t="shared" si="661"/>
        <v>0</v>
      </c>
      <c r="DO237" s="54">
        <f t="shared" si="662"/>
        <v>0</v>
      </c>
      <c r="DP237" s="55">
        <f t="shared" si="663"/>
        <v>0</v>
      </c>
      <c r="DQ237" s="56">
        <f>IF(AND($E237&lt;&gt;0,$F237&gt;0,YEAR($F237)&gt;=Preisindex!$A$6,YEAR(DL$4)&gt;=YEAR($F237),AND($K237&lt;&gt;"a",$K237&lt;&gt;"b",$K237&lt;&gt;"g",$K237&lt;&gt;"k")),1,IF(AND($E237&lt;&gt;0,$F237&gt;0,YEAR($F237)&gt;=Preisindex!$A$6,YEAR(DL$4)&gt;=YEAR($F237),$K237="a"),ROUND(VLOOKUP(DQ$4,Preisindex,5,FALSE)/VLOOKUP(YEAR($F237),Preisindex,5,FALSE),2),IF(AND($E237&lt;&gt;0,$F237&gt;0,YEAR($F237)&gt;=Preisindex!$A$6,YEAR(DL$4)&gt;=YEAR($F237),$K237="b"),ROUND(VLOOKUP(DQ$4,Preisindex,3,FALSE)/VLOOKUP(YEAR($F237),Preisindex,3,FALSE),2),IF(AND($E237&lt;&gt;0,$F237&gt;0,YEAR($F237)&gt;=Preisindex!$A$6,YEAR(DL$4)&gt;=YEAR($F237),$K237="g"),ROUND(VLOOKUP(DQ$4,Preisindex,4,FALSE)/VLOOKUP(YEAR($F237),Preisindex,4,FALSE),2),IF(AND($E237&lt;&gt;0,$F237&gt;0,YEAR($F237)&gt;=Preisindex!$A$6,YEAR(DL$4)&gt;=YEAR($F237),$K237="k"),ROUND(VLOOKUP(DQ$4,Preisindex,2,FALSE)/VLOOKUP(YEAR($F237),Preisindex,2,FALSE),2),0)))))</f>
        <v>0</v>
      </c>
      <c r="DR237" s="56">
        <f>IF(AND($E237&lt;&gt;0,$F237&gt;0,YEAR($F237)&lt;Preisindex!$A$6,YEAR(DL$4)&gt;=YEAR($F237),AND($K237&lt;&gt;"a",$K237&lt;&gt;"b",$K237&lt;&gt;"g",$K237&lt;&gt;"k")),1,IF(AND($E237&lt;&gt;0,$F237&gt;0,YEAR($F237)&lt;Preisindex!$A$6,YEAR(DL$4)&gt;=YEAR($F237),$K237="a"),ROUND(VLOOKUP(DQ$4,Preisindex,5,FALSE)/VLOOKUP(Preisindex!$A$6,Preisindex,5,FALSE),2),IF(AND($E237&lt;&gt;0,$F237&gt;0,YEAR($F237)&lt;Preisindex!$A$6,YEAR(DL$4)&gt;=YEAR($F237),$K237="b"),ROUND(VLOOKUP(DQ$4,Preisindex,3,FALSE)/VLOOKUP(Preisindex!$A$6,Preisindex,3,FALSE),2),IF(AND($E237&lt;&gt;0,$F237&gt;0,YEAR($F237)&lt;Preisindex!$A$6,YEAR(DL$4)&gt;=YEAR($F237),$K237="g"),ROUND(VLOOKUP(DQ$4,Preisindex,4,FALSE)/VLOOKUP(Preisindex!$A$6,Preisindex,4,FALSE),2),IF(AND($E237&lt;&gt;0,$F237&gt;0,YEAR($F237)&lt;Preisindex!$A$6,YEAR(DL$4)&gt;=YEAR($F237),$K237="k"),ROUND(VLOOKUP(DQ$4,Preisindex,2,FALSE)/VLOOKUP(Preisindex!$A$6,Preisindex,2,FALSE),2),0)))))</f>
        <v>0</v>
      </c>
      <c r="DS237" s="51">
        <f>IF(AND($E237&lt;&gt;0,$F237&gt;0,YEAR($F237)&lt;=DQ$4,YEAR($F237)&gt;=Preisindex!$A$6),ROUND($E237*DQ237,2),IF(AND($E237&lt;&gt;0,$F237&gt;0,YEAR($F237)&lt;=DQ$4,YEAR($F237)&lt;Preisindex!$A$6),ROUND($E237*DR237,2),0))</f>
        <v>0</v>
      </c>
      <c r="DT237" s="53">
        <f t="shared" si="664"/>
        <v>0</v>
      </c>
      <c r="DU237" s="51">
        <f t="shared" si="751"/>
        <v>0</v>
      </c>
      <c r="DV237" s="51">
        <f t="shared" si="735"/>
        <v>0</v>
      </c>
      <c r="DW237" s="51">
        <f t="shared" si="665"/>
        <v>0</v>
      </c>
      <c r="DX237" s="51">
        <f t="shared" si="736"/>
        <v>0</v>
      </c>
      <c r="DY237" s="51">
        <f t="shared" si="666"/>
        <v>0</v>
      </c>
      <c r="DZ237" s="51">
        <f t="shared" si="737"/>
        <v>0</v>
      </c>
      <c r="EA237" s="51">
        <f t="shared" si="667"/>
        <v>0</v>
      </c>
      <c r="EB237" s="51">
        <f t="shared" si="738"/>
        <v>0</v>
      </c>
      <c r="EC237" s="51">
        <f t="shared" si="668"/>
        <v>0</v>
      </c>
      <c r="ED237" s="51">
        <f t="shared" si="739"/>
        <v>0</v>
      </c>
      <c r="EE237" s="51">
        <f t="shared" si="669"/>
        <v>0</v>
      </c>
      <c r="EF237" s="54">
        <f t="shared" si="670"/>
        <v>0</v>
      </c>
      <c r="EG237" s="55">
        <f t="shared" si="671"/>
        <v>0</v>
      </c>
      <c r="EH237" s="56">
        <f>IF(AND($E237&lt;&gt;0,$F237&gt;0,YEAR($F237)&gt;=Preisindex!$A$6,YEAR(EC$4)&gt;=YEAR($F237),AND($K237&lt;&gt;"a",$K237&lt;&gt;"b",$K237&lt;&gt;"g",$K237&lt;&gt;"k")),1,IF(AND($E237&lt;&gt;0,$F237&gt;0,YEAR($F237)&gt;=Preisindex!$A$6,YEAR(EC$4)&gt;=YEAR($F237),$K237="a"),ROUND(VLOOKUP(EH$4,Preisindex,5,FALSE)/VLOOKUP(YEAR($F237),Preisindex,5,FALSE),2),IF(AND($E237&lt;&gt;0,$F237&gt;0,YEAR($F237)&gt;=Preisindex!$A$6,YEAR(EC$4)&gt;=YEAR($F237),$K237="b"),ROUND(VLOOKUP(EH$4,Preisindex,3,FALSE)/VLOOKUP(YEAR($F237),Preisindex,3,FALSE),2),IF(AND($E237&lt;&gt;0,$F237&gt;0,YEAR($F237)&gt;=Preisindex!$A$6,YEAR(EC$4)&gt;=YEAR($F237),$K237="g"),ROUND(VLOOKUP(EH$4,Preisindex,4,FALSE)/VLOOKUP(YEAR($F237),Preisindex,4,FALSE),2),IF(AND($E237&lt;&gt;0,$F237&gt;0,YEAR($F237)&gt;=Preisindex!$A$6,YEAR(EC$4)&gt;=YEAR($F237),$K237="k"),ROUND(VLOOKUP(EH$4,Preisindex,2,FALSE)/VLOOKUP(YEAR($F237),Preisindex,2,FALSE),2),0)))))</f>
        <v>0</v>
      </c>
      <c r="EI237" s="56">
        <f>IF(AND($E237&lt;&gt;0,$F237&gt;0,YEAR($F237)&lt;Preisindex!$A$6,YEAR(EC$4)&gt;=YEAR($F237),AND($K237&lt;&gt;"a",$K237&lt;&gt;"b",$K237&lt;&gt;"g",$K237&lt;&gt;"k")),1,IF(AND($E237&lt;&gt;0,$F237&gt;0,YEAR($F237)&lt;Preisindex!$A$6,YEAR(EC$4)&gt;=YEAR($F237),$K237="a"),ROUND(VLOOKUP(EH$4,Preisindex,5,FALSE)/VLOOKUP(Preisindex!$A$6,Preisindex,5,FALSE),2),IF(AND($E237&lt;&gt;0,$F237&gt;0,YEAR($F237)&lt;Preisindex!$A$6,YEAR(EC$4)&gt;=YEAR($F237),$K237="b"),ROUND(VLOOKUP(EH$4,Preisindex,3,FALSE)/VLOOKUP(Preisindex!$A$6,Preisindex,3,FALSE),2),IF(AND($E237&lt;&gt;0,$F237&gt;0,YEAR($F237)&lt;Preisindex!$A$6,YEAR(EC$4)&gt;=YEAR($F237),$K237="g"),ROUND(VLOOKUP(EH$4,Preisindex,4,FALSE)/VLOOKUP(Preisindex!$A$6,Preisindex,4,FALSE),2),IF(AND($E237&lt;&gt;0,$F237&gt;0,YEAR($F237)&lt;Preisindex!$A$6,YEAR(EC$4)&gt;=YEAR($F237),$K237="k"),ROUND(VLOOKUP(EH$4,Preisindex,2,FALSE)/VLOOKUP(Preisindex!$A$6,Preisindex,2,FALSE),2),0)))))</f>
        <v>0</v>
      </c>
      <c r="EJ237" s="51">
        <f>IF(AND($E237&lt;&gt;0,$F237&gt;0,YEAR($F237)&lt;=EH$4,YEAR($F237)&gt;=Preisindex!$A$6),ROUND($E237*EH237,2),IF(AND($E237&lt;&gt;0,$F237&gt;0,YEAR($F237)&lt;=EH$4,YEAR($F237)&lt;Preisindex!$A$6),ROUND($E237*EI237,2),0))</f>
        <v>0</v>
      </c>
      <c r="EK237" s="53">
        <f t="shared" si="672"/>
        <v>0</v>
      </c>
      <c r="EL237" s="51">
        <f t="shared" si="751"/>
        <v>0</v>
      </c>
      <c r="EM237" s="51">
        <f t="shared" si="740"/>
        <v>0</v>
      </c>
      <c r="EN237" s="51">
        <f t="shared" si="673"/>
        <v>0</v>
      </c>
      <c r="EO237" s="51">
        <f t="shared" si="741"/>
        <v>0</v>
      </c>
      <c r="EP237" s="51">
        <f t="shared" si="674"/>
        <v>0</v>
      </c>
      <c r="EQ237" s="51">
        <f t="shared" si="742"/>
        <v>0</v>
      </c>
      <c r="ER237" s="51">
        <f t="shared" si="675"/>
        <v>0</v>
      </c>
      <c r="ES237" s="51">
        <f t="shared" si="743"/>
        <v>0</v>
      </c>
      <c r="ET237" s="51">
        <f t="shared" si="676"/>
        <v>0</v>
      </c>
      <c r="EU237" s="51">
        <f t="shared" si="744"/>
        <v>0</v>
      </c>
      <c r="EV237" s="51">
        <f t="shared" si="677"/>
        <v>0</v>
      </c>
      <c r="EW237" s="54">
        <f t="shared" si="678"/>
        <v>0</v>
      </c>
      <c r="EX237" s="55">
        <f t="shared" si="679"/>
        <v>0</v>
      </c>
      <c r="EY237" s="56">
        <f>IF(AND($E237&lt;&gt;0,$F237&gt;0,YEAR($F237)&gt;=Preisindex!$A$6,YEAR(ET$4)&gt;=YEAR($F237),AND($K237&lt;&gt;"a",$K237&lt;&gt;"b",$K237&lt;&gt;"g",$K237&lt;&gt;"k")),1,IF(AND($E237&lt;&gt;0,$F237&gt;0,YEAR($F237)&gt;=Preisindex!$A$6,YEAR(ET$4)&gt;=YEAR($F237),$K237="a"),ROUND(VLOOKUP(EY$4,Preisindex,5,FALSE)/VLOOKUP(YEAR($F237),Preisindex,5,FALSE),2),IF(AND($E237&lt;&gt;0,$F237&gt;0,YEAR($F237)&gt;=Preisindex!$A$6,YEAR(ET$4)&gt;=YEAR($F237),$K237="b"),ROUND(VLOOKUP(EY$4,Preisindex,3,FALSE)/VLOOKUP(YEAR($F237),Preisindex,3,FALSE),2),IF(AND($E237&lt;&gt;0,$F237&gt;0,YEAR($F237)&gt;=Preisindex!$A$6,YEAR(ET$4)&gt;=YEAR($F237),$K237="g"),ROUND(VLOOKUP(EY$4,Preisindex,4,FALSE)/VLOOKUP(YEAR($F237),Preisindex,4,FALSE),2),IF(AND($E237&lt;&gt;0,$F237&gt;0,YEAR($F237)&gt;=Preisindex!$A$6,YEAR(ET$4)&gt;=YEAR($F237),$K237="k"),ROUND(VLOOKUP(EY$4,Preisindex,2,FALSE)/VLOOKUP(YEAR($F237),Preisindex,2,FALSE),2),0)))))</f>
        <v>0</v>
      </c>
      <c r="EZ237" s="56">
        <f>IF(AND($E237&lt;&gt;0,$F237&gt;0,YEAR($F237)&lt;Preisindex!$A$6,YEAR(ET$4)&gt;=YEAR($F237),AND($K237&lt;&gt;"a",$K237&lt;&gt;"b",$K237&lt;&gt;"g",$K237&lt;&gt;"k")),1,IF(AND($E237&lt;&gt;0,$F237&gt;0,YEAR($F237)&lt;Preisindex!$A$6,YEAR(ET$4)&gt;=YEAR($F237),$K237="a"),ROUND(VLOOKUP(EY$4,Preisindex,5,FALSE)/VLOOKUP(Preisindex!$A$6,Preisindex,5,FALSE),2),IF(AND($E237&lt;&gt;0,$F237&gt;0,YEAR($F237)&lt;Preisindex!$A$6,YEAR(ET$4)&gt;=YEAR($F237),$K237="b"),ROUND(VLOOKUP(EY$4,Preisindex,3,FALSE)/VLOOKUP(Preisindex!$A$6,Preisindex,3,FALSE),2),IF(AND($E237&lt;&gt;0,$F237&gt;0,YEAR($F237)&lt;Preisindex!$A$6,YEAR(ET$4)&gt;=YEAR($F237),$K237="g"),ROUND(VLOOKUP(EY$4,Preisindex,4,FALSE)/VLOOKUP(Preisindex!$A$6,Preisindex,4,FALSE),2),IF(AND($E237&lt;&gt;0,$F237&gt;0,YEAR($F237)&lt;Preisindex!$A$6,YEAR(ET$4)&gt;=YEAR($F237),$K237="k"),ROUND(VLOOKUP(EY$4,Preisindex,2,FALSE)/VLOOKUP(Preisindex!$A$6,Preisindex,2,FALSE),2),0)))))</f>
        <v>0</v>
      </c>
      <c r="FA237" s="51">
        <f>IF(AND($E237&lt;&gt;0,$F237&gt;0,YEAR($F237)&lt;=EY$4,YEAR($F237)&gt;=Preisindex!$A$6),ROUND($E237*EY237,2),IF(AND($E237&lt;&gt;0,$F237&gt;0,YEAR($F237)&lt;=EY$4,YEAR($F237)&lt;Preisindex!$A$6),ROUND($E237*EZ237,2),0))</f>
        <v>0</v>
      </c>
      <c r="FB237" s="53">
        <f t="shared" si="680"/>
        <v>0</v>
      </c>
      <c r="FC237" s="51">
        <f t="shared" si="751"/>
        <v>0</v>
      </c>
      <c r="FD237" s="51">
        <f t="shared" si="745"/>
        <v>0</v>
      </c>
      <c r="FE237" s="51">
        <f t="shared" si="681"/>
        <v>0</v>
      </c>
      <c r="FF237" s="51">
        <f t="shared" si="746"/>
        <v>0</v>
      </c>
      <c r="FG237" s="51">
        <f t="shared" si="682"/>
        <v>0</v>
      </c>
      <c r="FH237" s="51">
        <f t="shared" si="747"/>
        <v>0</v>
      </c>
      <c r="FI237" s="51">
        <f t="shared" si="683"/>
        <v>0</v>
      </c>
      <c r="FJ237" s="51">
        <f t="shared" si="748"/>
        <v>0</v>
      </c>
      <c r="FK237" s="51">
        <f t="shared" si="684"/>
        <v>0</v>
      </c>
      <c r="FL237" s="51">
        <f t="shared" si="749"/>
        <v>0</v>
      </c>
      <c r="FM237" s="51">
        <f t="shared" si="685"/>
        <v>0</v>
      </c>
      <c r="FN237" s="54">
        <f t="shared" si="686"/>
        <v>0</v>
      </c>
      <c r="FO237" s="55">
        <f t="shared" si="687"/>
        <v>0</v>
      </c>
      <c r="FP237" s="56">
        <f>IF(AND($E237&lt;&gt;0,$F237&gt;0,YEAR($F237)&gt;=Preisindex!$A$6,YEAR(FK$4)&gt;=YEAR($F237),AND($K237&lt;&gt;"a",$K237&lt;&gt;"b",$K237&lt;&gt;"g",$K237&lt;&gt;"k")),1,IF(AND($E237&lt;&gt;0,$F237&gt;0,YEAR($F237)&gt;=Preisindex!$A$6,YEAR(FK$4)&gt;=YEAR($F237),$K237="a"),ROUND(VLOOKUP(FP$4,Preisindex,5,FALSE)/VLOOKUP(YEAR($F237),Preisindex,5,FALSE),2),IF(AND($E237&lt;&gt;0,$F237&gt;0,YEAR($F237)&gt;=Preisindex!$A$6,YEAR(FK$4)&gt;=YEAR($F237),$K237="b"),ROUND(VLOOKUP(FP$4,Preisindex,3,FALSE)/VLOOKUP(YEAR($F237),Preisindex,3,FALSE),2),IF(AND($E237&lt;&gt;0,$F237&gt;0,YEAR($F237)&gt;=Preisindex!$A$6,YEAR(FK$4)&gt;=YEAR($F237),$K237="g"),ROUND(VLOOKUP(FP$4,Preisindex,4,FALSE)/VLOOKUP(YEAR($F237),Preisindex,4,FALSE),2),IF(AND($E237&lt;&gt;0,$F237&gt;0,YEAR($F237)&gt;=Preisindex!$A$6,YEAR(FK$4)&gt;=YEAR($F237),$K237="k"),ROUND(VLOOKUP(FP$4,Preisindex,2,FALSE)/VLOOKUP(YEAR($F237),Preisindex,2,FALSE),2),0)))))</f>
        <v>0</v>
      </c>
      <c r="FQ237" s="56">
        <f>IF(AND($E237&lt;&gt;0,$F237&gt;0,YEAR($F237)&lt;Preisindex!$A$6,YEAR(FK$4)&gt;=YEAR($F237),AND($K237&lt;&gt;"a",$K237&lt;&gt;"b",$K237&lt;&gt;"g",$K237&lt;&gt;"k")),1,IF(AND($E237&lt;&gt;0,$F237&gt;0,YEAR($F237)&lt;Preisindex!$A$6,YEAR(FK$4)&gt;=YEAR($F237),$K237="a"),ROUND(VLOOKUP(FP$4,Preisindex,5,FALSE)/VLOOKUP(Preisindex!$A$6,Preisindex,5,FALSE),2),IF(AND($E237&lt;&gt;0,$F237&gt;0,YEAR($F237)&lt;Preisindex!$A$6,YEAR(FK$4)&gt;=YEAR($F237),$K237="b"),ROUND(VLOOKUP(FP$4,Preisindex,3,FALSE)/VLOOKUP(Preisindex!$A$6,Preisindex,3,FALSE),2),IF(AND($E237&lt;&gt;0,$F237&gt;0,YEAR($F237)&lt;Preisindex!$A$6,YEAR(FK$4)&gt;=YEAR($F237),$K237="g"),ROUND(VLOOKUP(FP$4,Preisindex,4,FALSE)/VLOOKUP(Preisindex!$A$6,Preisindex,4,FALSE),2),IF(AND($E237&lt;&gt;0,$F237&gt;0,YEAR($F237)&lt;Preisindex!$A$6,YEAR(FK$4)&gt;=YEAR($F237),$K237="k"),ROUND(VLOOKUP(FP$4,Preisindex,2,FALSE)/VLOOKUP(Preisindex!$A$6,Preisindex,2,FALSE),2),0)))))</f>
        <v>0</v>
      </c>
      <c r="FR237" s="51">
        <f>IF(AND($E237&lt;&gt;0,$F237&gt;0,YEAR($F237)&lt;=FP$4,YEAR($F237)&gt;=Preisindex!$A$6),ROUND($E237*FP237,2),IF(AND($E237&lt;&gt;0,$F237&gt;0,YEAR($F237)&lt;=FP$4,YEAR($F237)&lt;Preisindex!$A$6),ROUND($E237*FQ237,2),0))</f>
        <v>0</v>
      </c>
      <c r="FS237" s="53">
        <f t="shared" si="688"/>
        <v>0</v>
      </c>
    </row>
    <row r="238" spans="1:175" x14ac:dyDescent="0.3">
      <c r="A238" s="93"/>
      <c r="B238" s="94"/>
      <c r="C238" s="94"/>
      <c r="D238" s="188"/>
      <c r="E238" s="624"/>
      <c r="F238" s="190"/>
      <c r="G238" s="625"/>
      <c r="H238" s="192"/>
      <c r="I238" s="621"/>
      <c r="J238" s="103"/>
      <c r="K238" s="630"/>
      <c r="L238" s="49">
        <f t="shared" si="689"/>
        <v>0</v>
      </c>
      <c r="M238" s="50">
        <f t="shared" si="690"/>
        <v>0</v>
      </c>
      <c r="N238" s="51">
        <f t="shared" si="691"/>
        <v>0</v>
      </c>
      <c r="O238" s="51"/>
      <c r="P238" s="51">
        <f t="shared" si="692"/>
        <v>0</v>
      </c>
      <c r="Q238" s="52"/>
      <c r="R238" s="52"/>
      <c r="S238" s="52"/>
      <c r="T238" s="52"/>
      <c r="U238" s="52"/>
      <c r="V238" s="53">
        <f t="shared" si="693"/>
        <v>0</v>
      </c>
      <c r="W238" s="51">
        <f t="shared" si="694"/>
        <v>0</v>
      </c>
      <c r="X238" s="51">
        <f t="shared" si="695"/>
        <v>0</v>
      </c>
      <c r="Y238" s="51">
        <f t="shared" si="696"/>
        <v>0</v>
      </c>
      <c r="Z238" s="51">
        <f t="shared" si="697"/>
        <v>0</v>
      </c>
      <c r="AA238" s="51">
        <f t="shared" si="698"/>
        <v>0</v>
      </c>
      <c r="AB238" s="51">
        <f t="shared" si="699"/>
        <v>0</v>
      </c>
      <c r="AC238" s="51">
        <f t="shared" si="700"/>
        <v>0</v>
      </c>
      <c r="AD238" s="51">
        <f t="shared" si="701"/>
        <v>0</v>
      </c>
      <c r="AE238" s="51">
        <f t="shared" si="702"/>
        <v>0</v>
      </c>
      <c r="AF238" s="51">
        <f t="shared" si="703"/>
        <v>0</v>
      </c>
      <c r="AG238" s="51">
        <f t="shared" si="704"/>
        <v>0</v>
      </c>
      <c r="AH238" s="54">
        <f t="shared" si="705"/>
        <v>0</v>
      </c>
      <c r="AI238" s="55">
        <f t="shared" si="706"/>
        <v>0</v>
      </c>
      <c r="AJ238" s="56">
        <f>IF(AND($E238&lt;&gt;0,$F238&gt;0,YEAR($F238)&gt;=Preisindex!$A$6,YEAR(AE$4)&gt;=YEAR($F238),AND($K238&lt;&gt;"a",$K238&lt;&gt;"b",$K238&lt;&gt;"g",$K238&lt;&gt;"k")),1,IF(AND($E238&lt;&gt;0,$F238&gt;0,YEAR($F238)&gt;=Preisindex!$A$6,YEAR(AE$4)&gt;=YEAR($F238),$K238="a"),ROUND(VLOOKUP(AJ$4,Preisindex,5,FALSE)/VLOOKUP(YEAR($F238),Preisindex,5,FALSE),2),IF(AND($E238&lt;&gt;0,$F238&gt;0,YEAR($F238)&gt;=Preisindex!$A$6,YEAR(AE$4)&gt;=YEAR($F238),$K238="b"),ROUND(VLOOKUP(AJ$4,Preisindex,3,FALSE)/VLOOKUP(YEAR($F238),Preisindex,3,FALSE),2),IF(AND($E238&lt;&gt;0,$F238&gt;0,YEAR($F238)&gt;=Preisindex!$A$6,YEAR(AE$4)&gt;=YEAR($F238),$K238="g"),ROUND(VLOOKUP(AJ$4,Preisindex,4,FALSE)/VLOOKUP(YEAR($F238),Preisindex,4,FALSE),2),IF(AND($E238&lt;&gt;0,$F238&gt;0,YEAR($F238)&gt;=Preisindex!$A$6,YEAR(AE$4)&gt;=YEAR($F238),$K238="k"),ROUND(VLOOKUP(AJ$4,Preisindex,2,FALSE)/VLOOKUP(YEAR($F238),Preisindex,2,FALSE),2),0)))))</f>
        <v>0</v>
      </c>
      <c r="AK238" s="56">
        <f>IF(AND($E238&lt;&gt;0,$F238&gt;0,YEAR($F238)&lt;Preisindex!$A$6,YEAR(AE$4)&gt;=YEAR($F238),AND($K238&lt;&gt;"a",$K238&lt;&gt;"b",$K238&lt;&gt;"g",$K238&lt;&gt;"k")),1,IF(AND($E238&lt;&gt;0,$F238&gt;0,YEAR($F238)&lt;Preisindex!$A$6,YEAR(AE$4)&gt;=YEAR($F238),$K238="a"),ROUND(VLOOKUP(AJ$4,Preisindex,5,FALSE)/VLOOKUP(Preisindex!$A$6,Preisindex,5,FALSE),2),IF(AND($E238&lt;&gt;0,$F238&gt;0,YEAR($F238)&lt;Preisindex!$A$6,YEAR(AE$4)&gt;=YEAR($F238),$K238="b"),ROUND(VLOOKUP(AJ$4,Preisindex,3,FALSE)/VLOOKUP(Preisindex!$A$6,Preisindex,3,FALSE),2),IF(AND($E238&lt;&gt;0,$F238&gt;0,YEAR($F238)&lt;Preisindex!$A$6,YEAR(AE$4)&gt;=YEAR($F238),$K238="g"),ROUND(VLOOKUP(AJ$4,Preisindex,4,FALSE)/VLOOKUP(Preisindex!$A$6,Preisindex,4,FALSE),2),IF(AND($E238&lt;&gt;0,$F238&gt;0,YEAR($F238)&lt;Preisindex!$A$6,YEAR(AE$4)&gt;=YEAR($F238),$K238="k"),ROUND(VLOOKUP(AJ$4,Preisindex,2,FALSE)/VLOOKUP(Preisindex!$A$6,Preisindex,2,FALSE),2),0)))))</f>
        <v>0</v>
      </c>
      <c r="AL238" s="51">
        <f>IF(AND($E238&lt;&gt;0,$F238&gt;0,YEAR($F238)&lt;=AJ$4,YEAR($F238)&gt;=Preisindex!$A$6),ROUND($E238*AJ238,2),IF(AND($E238&lt;&gt;0,$F238&gt;0,YEAR($F238)&lt;=AJ$4,YEAR($F238)&lt;Preisindex!$A$6),ROUND($E238*AK238,2),0))</f>
        <v>0</v>
      </c>
      <c r="AM238" s="53">
        <f t="shared" si="707"/>
        <v>0</v>
      </c>
      <c r="AN238" s="51">
        <f t="shared" si="750"/>
        <v>0</v>
      </c>
      <c r="AO238" s="51">
        <f t="shared" si="710"/>
        <v>0</v>
      </c>
      <c r="AP238" s="51">
        <f t="shared" si="624"/>
        <v>0</v>
      </c>
      <c r="AQ238" s="51">
        <f t="shared" si="711"/>
        <v>0</v>
      </c>
      <c r="AR238" s="51">
        <f t="shared" si="625"/>
        <v>0</v>
      </c>
      <c r="AS238" s="51">
        <f t="shared" si="712"/>
        <v>0</v>
      </c>
      <c r="AT238" s="51">
        <f t="shared" si="626"/>
        <v>0</v>
      </c>
      <c r="AU238" s="51">
        <f t="shared" si="713"/>
        <v>0</v>
      </c>
      <c r="AV238" s="51">
        <f t="shared" si="627"/>
        <v>0</v>
      </c>
      <c r="AW238" s="51">
        <f t="shared" si="714"/>
        <v>0</v>
      </c>
      <c r="AX238" s="51">
        <f t="shared" si="628"/>
        <v>0</v>
      </c>
      <c r="AY238" s="54">
        <f t="shared" si="629"/>
        <v>0</v>
      </c>
      <c r="AZ238" s="55">
        <f t="shared" si="630"/>
        <v>0</v>
      </c>
      <c r="BA238" s="56">
        <f>IF(AND($E238&lt;&gt;0,$F238&gt;0,YEAR($F238)&gt;=Preisindex!$A$6,YEAR(AV$4)&gt;=YEAR($F238),AND($K238&lt;&gt;"a",$K238&lt;&gt;"b",$K238&lt;&gt;"g",$K238&lt;&gt;"k")),1,IF(AND($E238&lt;&gt;0,$F238&gt;0,YEAR($F238)&gt;=Preisindex!$A$6,YEAR(AV$4)&gt;=YEAR($F238),$K238="a"),ROUND(VLOOKUP(BA$4,Preisindex,5,FALSE)/VLOOKUP(YEAR($F238),Preisindex,5,FALSE),2),IF(AND($E238&lt;&gt;0,$F238&gt;0,YEAR($F238)&gt;=Preisindex!$A$6,YEAR(AV$4)&gt;=YEAR($F238),$K238="b"),ROUND(VLOOKUP(BA$4,Preisindex,3,FALSE)/VLOOKUP(YEAR($F238),Preisindex,3,FALSE),2),IF(AND($E238&lt;&gt;0,$F238&gt;0,YEAR($F238)&gt;=Preisindex!$A$6,YEAR(AV$4)&gt;=YEAR($F238),$K238="g"),ROUND(VLOOKUP(BA$4,Preisindex,4,FALSE)/VLOOKUP(YEAR($F238),Preisindex,4,FALSE),2),IF(AND($E238&lt;&gt;0,$F238&gt;0,YEAR($F238)&gt;=Preisindex!$A$6,YEAR(AV$4)&gt;=YEAR($F238),$K238="k"),ROUND(VLOOKUP(BA$4,Preisindex,2,FALSE)/VLOOKUP(YEAR($F238),Preisindex,2,FALSE),2),0)))))</f>
        <v>0</v>
      </c>
      <c r="BB238" s="56">
        <f>IF(AND($E238&lt;&gt;0,$F238&gt;0,YEAR($F238)&lt;Preisindex!$A$6,YEAR(AV$4)&gt;=YEAR($F238),AND($K238&lt;&gt;"a",$K238&lt;&gt;"b",$K238&lt;&gt;"g",$K238&lt;&gt;"k")),1,IF(AND($E238&lt;&gt;0,$F238&gt;0,YEAR($F238)&lt;Preisindex!$A$6,YEAR(AV$4)&gt;=YEAR($F238),$K238="a"),ROUND(VLOOKUP(BA$4,Preisindex,5,FALSE)/VLOOKUP(Preisindex!$A$6,Preisindex,5,FALSE),2),IF(AND($E238&lt;&gt;0,$F238&gt;0,YEAR($F238)&lt;Preisindex!$A$6,YEAR(AV$4)&gt;=YEAR($F238),$K238="b"),ROUND(VLOOKUP(BA$4,Preisindex,3,FALSE)/VLOOKUP(Preisindex!$A$6,Preisindex,3,FALSE),2),IF(AND($E238&lt;&gt;0,$F238&gt;0,YEAR($F238)&lt;Preisindex!$A$6,YEAR(AV$4)&gt;=YEAR($F238),$K238="g"),ROUND(VLOOKUP(BA$4,Preisindex,4,FALSE)/VLOOKUP(Preisindex!$A$6,Preisindex,4,FALSE),2),IF(AND($E238&lt;&gt;0,$F238&gt;0,YEAR($F238)&lt;Preisindex!$A$6,YEAR(AV$4)&gt;=YEAR($F238),$K238="k"),ROUND(VLOOKUP(BA$4,Preisindex,2,FALSE)/VLOOKUP(Preisindex!$A$6,Preisindex,2,FALSE),2),0)))))</f>
        <v>0</v>
      </c>
      <c r="BC238" s="51">
        <f>IF(AND($E238&lt;&gt;0,$F238&gt;0,YEAR($F238)&lt;=BA$4,YEAR($F238)&gt;=Preisindex!$A$6),ROUND($E238*BA238,2),IF(AND($E238&lt;&gt;0,$F238&gt;0,YEAR($F238)&lt;=BA$4,YEAR($F238)&lt;Preisindex!$A$6),ROUND($E238*BB238,2),0))</f>
        <v>0</v>
      </c>
      <c r="BD238" s="53">
        <f t="shared" si="631"/>
        <v>0</v>
      </c>
      <c r="BE238" s="51">
        <f t="shared" si="750"/>
        <v>0</v>
      </c>
      <c r="BF238" s="51">
        <f t="shared" si="715"/>
        <v>0</v>
      </c>
      <c r="BG238" s="51">
        <f t="shared" si="632"/>
        <v>0</v>
      </c>
      <c r="BH238" s="51">
        <f t="shared" si="716"/>
        <v>0</v>
      </c>
      <c r="BI238" s="51">
        <f t="shared" si="633"/>
        <v>0</v>
      </c>
      <c r="BJ238" s="51">
        <f t="shared" si="717"/>
        <v>0</v>
      </c>
      <c r="BK238" s="51">
        <f t="shared" si="634"/>
        <v>0</v>
      </c>
      <c r="BL238" s="51">
        <f t="shared" si="718"/>
        <v>0</v>
      </c>
      <c r="BM238" s="51">
        <f t="shared" si="635"/>
        <v>0</v>
      </c>
      <c r="BN238" s="51">
        <f t="shared" si="719"/>
        <v>0</v>
      </c>
      <c r="BO238" s="51">
        <f t="shared" si="636"/>
        <v>0</v>
      </c>
      <c r="BP238" s="54">
        <f t="shared" si="637"/>
        <v>0</v>
      </c>
      <c r="BQ238" s="55">
        <f t="shared" si="638"/>
        <v>0</v>
      </c>
      <c r="BR238" s="56">
        <f>IF(AND($E238&lt;&gt;0,$F238&gt;0,YEAR($F238)&gt;=Preisindex!$A$6,YEAR(BM$4)&gt;=YEAR($F238),AND($K238&lt;&gt;"a",$K238&lt;&gt;"b",$K238&lt;&gt;"g",$K238&lt;&gt;"k")),1,IF(AND($E238&lt;&gt;0,$F238&gt;0,YEAR($F238)&gt;=Preisindex!$A$6,YEAR(BM$4)&gt;=YEAR($F238),$K238="a"),ROUND(VLOOKUP(BR$4,Preisindex,5,FALSE)/VLOOKUP(YEAR($F238),Preisindex,5,FALSE),2),IF(AND($E238&lt;&gt;0,$F238&gt;0,YEAR($F238)&gt;=Preisindex!$A$6,YEAR(BM$4)&gt;=YEAR($F238),$K238="b"),ROUND(VLOOKUP(BR$4,Preisindex,3,FALSE)/VLOOKUP(YEAR($F238),Preisindex,3,FALSE),2),IF(AND($E238&lt;&gt;0,$F238&gt;0,YEAR($F238)&gt;=Preisindex!$A$6,YEAR(BM$4)&gt;=YEAR($F238),$K238="g"),ROUND(VLOOKUP(BR$4,Preisindex,4,FALSE)/VLOOKUP(YEAR($F238),Preisindex,4,FALSE),2),IF(AND($E238&lt;&gt;0,$F238&gt;0,YEAR($F238)&gt;=Preisindex!$A$6,YEAR(BM$4)&gt;=YEAR($F238),$K238="k"),ROUND(VLOOKUP(BR$4,Preisindex,2,FALSE)/VLOOKUP(YEAR($F238),Preisindex,2,FALSE),2),0)))))</f>
        <v>0</v>
      </c>
      <c r="BS238" s="56">
        <f>IF(AND($E238&lt;&gt;0,$F238&gt;0,YEAR($F238)&lt;Preisindex!$A$6,YEAR(BM$4)&gt;=YEAR($F238),AND($K238&lt;&gt;"a",$K238&lt;&gt;"b",$K238&lt;&gt;"g",$K238&lt;&gt;"k")),1,IF(AND($E238&lt;&gt;0,$F238&gt;0,YEAR($F238)&lt;Preisindex!$A$6,YEAR(BM$4)&gt;=YEAR($F238),$K238="a"),ROUND(VLOOKUP(BR$4,Preisindex,5,FALSE)/VLOOKUP(Preisindex!$A$6,Preisindex,5,FALSE),2),IF(AND($E238&lt;&gt;0,$F238&gt;0,YEAR($F238)&lt;Preisindex!$A$6,YEAR(BM$4)&gt;=YEAR($F238),$K238="b"),ROUND(VLOOKUP(BR$4,Preisindex,3,FALSE)/VLOOKUP(Preisindex!$A$6,Preisindex,3,FALSE),2),IF(AND($E238&lt;&gt;0,$F238&gt;0,YEAR($F238)&lt;Preisindex!$A$6,YEAR(BM$4)&gt;=YEAR($F238),$K238="g"),ROUND(VLOOKUP(BR$4,Preisindex,4,FALSE)/VLOOKUP(Preisindex!$A$6,Preisindex,4,FALSE),2),IF(AND($E238&lt;&gt;0,$F238&gt;0,YEAR($F238)&lt;Preisindex!$A$6,YEAR(BM$4)&gt;=YEAR($F238),$K238="k"),ROUND(VLOOKUP(BR$4,Preisindex,2,FALSE)/VLOOKUP(Preisindex!$A$6,Preisindex,2,FALSE),2),0)))))</f>
        <v>0</v>
      </c>
      <c r="BT238" s="51">
        <f>IF(AND($E238&lt;&gt;0,$F238&gt;0,YEAR($F238)&lt;=BR$4,YEAR($F238)&gt;=Preisindex!$A$6),ROUND($E238*BR238,2),IF(AND($E238&lt;&gt;0,$F238&gt;0,YEAR($F238)&lt;=BR$4,YEAR($F238)&lt;Preisindex!$A$6),ROUND($E238*BS238,2),0))</f>
        <v>0</v>
      </c>
      <c r="BU238" s="53">
        <f t="shared" si="639"/>
        <v>0</v>
      </c>
      <c r="BV238" s="51">
        <f t="shared" si="750"/>
        <v>0</v>
      </c>
      <c r="BW238" s="51">
        <f t="shared" si="720"/>
        <v>0</v>
      </c>
      <c r="BX238" s="51">
        <f t="shared" si="640"/>
        <v>0</v>
      </c>
      <c r="BY238" s="51">
        <f t="shared" si="721"/>
        <v>0</v>
      </c>
      <c r="BZ238" s="51">
        <f t="shared" si="641"/>
        <v>0</v>
      </c>
      <c r="CA238" s="51">
        <f t="shared" si="722"/>
        <v>0</v>
      </c>
      <c r="CB238" s="51">
        <f t="shared" si="642"/>
        <v>0</v>
      </c>
      <c r="CC238" s="51">
        <f t="shared" si="723"/>
        <v>0</v>
      </c>
      <c r="CD238" s="51">
        <f t="shared" si="643"/>
        <v>0</v>
      </c>
      <c r="CE238" s="51">
        <f t="shared" si="724"/>
        <v>0</v>
      </c>
      <c r="CF238" s="51">
        <f t="shared" si="644"/>
        <v>0</v>
      </c>
      <c r="CG238" s="54">
        <f t="shared" si="645"/>
        <v>0</v>
      </c>
      <c r="CH238" s="55">
        <f t="shared" si="646"/>
        <v>0</v>
      </c>
      <c r="CI238" s="56">
        <f>IF(AND($E238&lt;&gt;0,$F238&gt;0,YEAR($F238)&gt;=Preisindex!$A$6,YEAR(CD$4)&gt;=YEAR($F238),AND($K238&lt;&gt;"a",$K238&lt;&gt;"b",$K238&lt;&gt;"g",$K238&lt;&gt;"k")),1,IF(AND($E238&lt;&gt;0,$F238&gt;0,YEAR($F238)&gt;=Preisindex!$A$6,YEAR(CD$4)&gt;=YEAR($F238),$K238="a"),ROUND(VLOOKUP(CI$4,Preisindex,5,FALSE)/VLOOKUP(YEAR($F238),Preisindex,5,FALSE),2),IF(AND($E238&lt;&gt;0,$F238&gt;0,YEAR($F238)&gt;=Preisindex!$A$6,YEAR(CD$4)&gt;=YEAR($F238),$K238="b"),ROUND(VLOOKUP(CI$4,Preisindex,3,FALSE)/VLOOKUP(YEAR($F238),Preisindex,3,FALSE),2),IF(AND($E238&lt;&gt;0,$F238&gt;0,YEAR($F238)&gt;=Preisindex!$A$6,YEAR(CD$4)&gt;=YEAR($F238),$K238="g"),ROUND(VLOOKUP(CI$4,Preisindex,4,FALSE)/VLOOKUP(YEAR($F238),Preisindex,4,FALSE),2),IF(AND($E238&lt;&gt;0,$F238&gt;0,YEAR($F238)&gt;=Preisindex!$A$6,YEAR(CD$4)&gt;=YEAR($F238),$K238="k"),ROUND(VLOOKUP(CI$4,Preisindex,2,FALSE)/VLOOKUP(YEAR($F238),Preisindex,2,FALSE),2),0)))))</f>
        <v>0</v>
      </c>
      <c r="CJ238" s="56">
        <f>IF(AND($E238&lt;&gt;0,$F238&gt;0,YEAR($F238)&lt;Preisindex!$A$6,YEAR(CD$4)&gt;=YEAR($F238),AND($K238&lt;&gt;"a",$K238&lt;&gt;"b",$K238&lt;&gt;"g",$K238&lt;&gt;"k")),1,IF(AND($E238&lt;&gt;0,$F238&gt;0,YEAR($F238)&lt;Preisindex!$A$6,YEAR(CD$4)&gt;=YEAR($F238),$K238="a"),ROUND(VLOOKUP(CI$4,Preisindex,5,FALSE)/VLOOKUP(Preisindex!$A$6,Preisindex,5,FALSE),2),IF(AND($E238&lt;&gt;0,$F238&gt;0,YEAR($F238)&lt;Preisindex!$A$6,YEAR(CD$4)&gt;=YEAR($F238),$K238="b"),ROUND(VLOOKUP(CI$4,Preisindex,3,FALSE)/VLOOKUP(Preisindex!$A$6,Preisindex,3,FALSE),2),IF(AND($E238&lt;&gt;0,$F238&gt;0,YEAR($F238)&lt;Preisindex!$A$6,YEAR(CD$4)&gt;=YEAR($F238),$K238="g"),ROUND(VLOOKUP(CI$4,Preisindex,4,FALSE)/VLOOKUP(Preisindex!$A$6,Preisindex,4,FALSE),2),IF(AND($E238&lt;&gt;0,$F238&gt;0,YEAR($F238)&lt;Preisindex!$A$6,YEAR(CD$4)&gt;=YEAR($F238),$K238="k"),ROUND(VLOOKUP(CI$4,Preisindex,2,FALSE)/VLOOKUP(Preisindex!$A$6,Preisindex,2,FALSE),2),0)))))</f>
        <v>0</v>
      </c>
      <c r="CK238" s="51">
        <f>IF(AND($E238&lt;&gt;0,$F238&gt;0,YEAR($F238)&lt;=CI$4,YEAR($F238)&gt;=Preisindex!$A$6),ROUND($E238*CI238,2),IF(AND($E238&lt;&gt;0,$F238&gt;0,YEAR($F238)&lt;=CI$4,YEAR($F238)&lt;Preisindex!$A$6),ROUND($E238*CJ238,2),0))</f>
        <v>0</v>
      </c>
      <c r="CL238" s="53">
        <f t="shared" si="647"/>
        <v>0</v>
      </c>
      <c r="CM238" s="51">
        <f t="shared" si="750"/>
        <v>0</v>
      </c>
      <c r="CN238" s="51">
        <f t="shared" si="725"/>
        <v>0</v>
      </c>
      <c r="CO238" s="51">
        <f t="shared" si="648"/>
        <v>0</v>
      </c>
      <c r="CP238" s="51">
        <f t="shared" si="726"/>
        <v>0</v>
      </c>
      <c r="CQ238" s="51">
        <f t="shared" si="649"/>
        <v>0</v>
      </c>
      <c r="CR238" s="51">
        <f t="shared" si="727"/>
        <v>0</v>
      </c>
      <c r="CS238" s="51">
        <f t="shared" si="650"/>
        <v>0</v>
      </c>
      <c r="CT238" s="51">
        <f t="shared" si="728"/>
        <v>0</v>
      </c>
      <c r="CU238" s="51">
        <f t="shared" si="651"/>
        <v>0</v>
      </c>
      <c r="CV238" s="51">
        <f t="shared" si="729"/>
        <v>0</v>
      </c>
      <c r="CW238" s="51">
        <f t="shared" si="652"/>
        <v>0</v>
      </c>
      <c r="CX238" s="54">
        <f t="shared" si="653"/>
        <v>0</v>
      </c>
      <c r="CY238" s="55">
        <f t="shared" si="654"/>
        <v>0</v>
      </c>
      <c r="CZ238" s="56">
        <f>IF(AND($E238&lt;&gt;0,$F238&gt;0,YEAR($F238)&gt;=Preisindex!$A$6,YEAR(CU$4)&gt;=YEAR($F238),AND($K238&lt;&gt;"a",$K238&lt;&gt;"b",$K238&lt;&gt;"g",$K238&lt;&gt;"k")),1,IF(AND($E238&lt;&gt;0,$F238&gt;0,YEAR($F238)&gt;=Preisindex!$A$6,YEAR(CU$4)&gt;=YEAR($F238),$K238="a"),ROUND(VLOOKUP(CZ$4,Preisindex,5,FALSE)/VLOOKUP(YEAR($F238),Preisindex,5,FALSE),2),IF(AND($E238&lt;&gt;0,$F238&gt;0,YEAR($F238)&gt;=Preisindex!$A$6,YEAR(CU$4)&gt;=YEAR($F238),$K238="b"),ROUND(VLOOKUP(CZ$4,Preisindex,3,FALSE)/VLOOKUP(YEAR($F238),Preisindex,3,FALSE),2),IF(AND($E238&lt;&gt;0,$F238&gt;0,YEAR($F238)&gt;=Preisindex!$A$6,YEAR(CU$4)&gt;=YEAR($F238),$K238="g"),ROUND(VLOOKUP(CZ$4,Preisindex,4,FALSE)/VLOOKUP(YEAR($F238),Preisindex,4,FALSE),2),IF(AND($E238&lt;&gt;0,$F238&gt;0,YEAR($F238)&gt;=Preisindex!$A$6,YEAR(CU$4)&gt;=YEAR($F238),$K238="k"),ROUND(VLOOKUP(CZ$4,Preisindex,2,FALSE)/VLOOKUP(YEAR($F238),Preisindex,2,FALSE),2),0)))))</f>
        <v>0</v>
      </c>
      <c r="DA238" s="56">
        <f>IF(AND($E238&lt;&gt;0,$F238&gt;0,YEAR($F238)&lt;Preisindex!$A$6,YEAR(CU$4)&gt;=YEAR($F238),AND($K238&lt;&gt;"a",$K238&lt;&gt;"b",$K238&lt;&gt;"g",$K238&lt;&gt;"k")),1,IF(AND($E238&lt;&gt;0,$F238&gt;0,YEAR($F238)&lt;Preisindex!$A$6,YEAR(CU$4)&gt;=YEAR($F238),$K238="a"),ROUND(VLOOKUP(CZ$4,Preisindex,5,FALSE)/VLOOKUP(Preisindex!$A$6,Preisindex,5,FALSE),2),IF(AND($E238&lt;&gt;0,$F238&gt;0,YEAR($F238)&lt;Preisindex!$A$6,YEAR(CU$4)&gt;=YEAR($F238),$K238="b"),ROUND(VLOOKUP(CZ$4,Preisindex,3,FALSE)/VLOOKUP(Preisindex!$A$6,Preisindex,3,FALSE),2),IF(AND($E238&lt;&gt;0,$F238&gt;0,YEAR($F238)&lt;Preisindex!$A$6,YEAR(CU$4)&gt;=YEAR($F238),$K238="g"),ROUND(VLOOKUP(CZ$4,Preisindex,4,FALSE)/VLOOKUP(Preisindex!$A$6,Preisindex,4,FALSE),2),IF(AND($E238&lt;&gt;0,$F238&gt;0,YEAR($F238)&lt;Preisindex!$A$6,YEAR(CU$4)&gt;=YEAR($F238),$K238="k"),ROUND(VLOOKUP(CZ$4,Preisindex,2,FALSE)/VLOOKUP(Preisindex!$A$6,Preisindex,2,FALSE),2),0)))))</f>
        <v>0</v>
      </c>
      <c r="DB238" s="51">
        <f>IF(AND($E238&lt;&gt;0,$F238&gt;0,YEAR($F238)&lt;=CZ$4,YEAR($F238)&gt;=Preisindex!$A$6),ROUND($E238*CZ238,2),IF(AND($E238&lt;&gt;0,$F238&gt;0,YEAR($F238)&lt;=CZ$4,YEAR($F238)&lt;Preisindex!$A$6),ROUND($E238*DA238,2),0))</f>
        <v>0</v>
      </c>
      <c r="DC238" s="53">
        <f t="shared" si="655"/>
        <v>0</v>
      </c>
      <c r="DD238" s="51">
        <f t="shared" si="751"/>
        <v>0</v>
      </c>
      <c r="DE238" s="51">
        <f t="shared" si="730"/>
        <v>0</v>
      </c>
      <c r="DF238" s="51">
        <f t="shared" si="657"/>
        <v>0</v>
      </c>
      <c r="DG238" s="51">
        <f t="shared" si="731"/>
        <v>0</v>
      </c>
      <c r="DH238" s="51">
        <f t="shared" si="658"/>
        <v>0</v>
      </c>
      <c r="DI238" s="51">
        <f t="shared" si="732"/>
        <v>0</v>
      </c>
      <c r="DJ238" s="51">
        <f t="shared" si="659"/>
        <v>0</v>
      </c>
      <c r="DK238" s="51">
        <f t="shared" si="733"/>
        <v>0</v>
      </c>
      <c r="DL238" s="51">
        <f t="shared" si="660"/>
        <v>0</v>
      </c>
      <c r="DM238" s="51">
        <f t="shared" si="734"/>
        <v>0</v>
      </c>
      <c r="DN238" s="51">
        <f t="shared" si="661"/>
        <v>0</v>
      </c>
      <c r="DO238" s="54">
        <f t="shared" si="662"/>
        <v>0</v>
      </c>
      <c r="DP238" s="55">
        <f t="shared" si="663"/>
        <v>0</v>
      </c>
      <c r="DQ238" s="56">
        <f>IF(AND($E238&lt;&gt;0,$F238&gt;0,YEAR($F238)&gt;=Preisindex!$A$6,YEAR(DL$4)&gt;=YEAR($F238),AND($K238&lt;&gt;"a",$K238&lt;&gt;"b",$K238&lt;&gt;"g",$K238&lt;&gt;"k")),1,IF(AND($E238&lt;&gt;0,$F238&gt;0,YEAR($F238)&gt;=Preisindex!$A$6,YEAR(DL$4)&gt;=YEAR($F238),$K238="a"),ROUND(VLOOKUP(DQ$4,Preisindex,5,FALSE)/VLOOKUP(YEAR($F238),Preisindex,5,FALSE),2),IF(AND($E238&lt;&gt;0,$F238&gt;0,YEAR($F238)&gt;=Preisindex!$A$6,YEAR(DL$4)&gt;=YEAR($F238),$K238="b"),ROUND(VLOOKUP(DQ$4,Preisindex,3,FALSE)/VLOOKUP(YEAR($F238),Preisindex,3,FALSE),2),IF(AND($E238&lt;&gt;0,$F238&gt;0,YEAR($F238)&gt;=Preisindex!$A$6,YEAR(DL$4)&gt;=YEAR($F238),$K238="g"),ROUND(VLOOKUP(DQ$4,Preisindex,4,FALSE)/VLOOKUP(YEAR($F238),Preisindex,4,FALSE),2),IF(AND($E238&lt;&gt;0,$F238&gt;0,YEAR($F238)&gt;=Preisindex!$A$6,YEAR(DL$4)&gt;=YEAR($F238),$K238="k"),ROUND(VLOOKUP(DQ$4,Preisindex,2,FALSE)/VLOOKUP(YEAR($F238),Preisindex,2,FALSE),2),0)))))</f>
        <v>0</v>
      </c>
      <c r="DR238" s="56">
        <f>IF(AND($E238&lt;&gt;0,$F238&gt;0,YEAR($F238)&lt;Preisindex!$A$6,YEAR(DL$4)&gt;=YEAR($F238),AND($K238&lt;&gt;"a",$K238&lt;&gt;"b",$K238&lt;&gt;"g",$K238&lt;&gt;"k")),1,IF(AND($E238&lt;&gt;0,$F238&gt;0,YEAR($F238)&lt;Preisindex!$A$6,YEAR(DL$4)&gt;=YEAR($F238),$K238="a"),ROUND(VLOOKUP(DQ$4,Preisindex,5,FALSE)/VLOOKUP(Preisindex!$A$6,Preisindex,5,FALSE),2),IF(AND($E238&lt;&gt;0,$F238&gt;0,YEAR($F238)&lt;Preisindex!$A$6,YEAR(DL$4)&gt;=YEAR($F238),$K238="b"),ROUND(VLOOKUP(DQ$4,Preisindex,3,FALSE)/VLOOKUP(Preisindex!$A$6,Preisindex,3,FALSE),2),IF(AND($E238&lt;&gt;0,$F238&gt;0,YEAR($F238)&lt;Preisindex!$A$6,YEAR(DL$4)&gt;=YEAR($F238),$K238="g"),ROUND(VLOOKUP(DQ$4,Preisindex,4,FALSE)/VLOOKUP(Preisindex!$A$6,Preisindex,4,FALSE),2),IF(AND($E238&lt;&gt;0,$F238&gt;0,YEAR($F238)&lt;Preisindex!$A$6,YEAR(DL$4)&gt;=YEAR($F238),$K238="k"),ROUND(VLOOKUP(DQ$4,Preisindex,2,FALSE)/VLOOKUP(Preisindex!$A$6,Preisindex,2,FALSE),2),0)))))</f>
        <v>0</v>
      </c>
      <c r="DS238" s="51">
        <f>IF(AND($E238&lt;&gt;0,$F238&gt;0,YEAR($F238)&lt;=DQ$4,YEAR($F238)&gt;=Preisindex!$A$6),ROUND($E238*DQ238,2),IF(AND($E238&lt;&gt;0,$F238&gt;0,YEAR($F238)&lt;=DQ$4,YEAR($F238)&lt;Preisindex!$A$6),ROUND($E238*DR238,2),0))</f>
        <v>0</v>
      </c>
      <c r="DT238" s="53">
        <f t="shared" si="664"/>
        <v>0</v>
      </c>
      <c r="DU238" s="51">
        <f t="shared" si="751"/>
        <v>0</v>
      </c>
      <c r="DV238" s="51">
        <f t="shared" si="735"/>
        <v>0</v>
      </c>
      <c r="DW238" s="51">
        <f t="shared" si="665"/>
        <v>0</v>
      </c>
      <c r="DX238" s="51">
        <f t="shared" si="736"/>
        <v>0</v>
      </c>
      <c r="DY238" s="51">
        <f t="shared" si="666"/>
        <v>0</v>
      </c>
      <c r="DZ238" s="51">
        <f t="shared" si="737"/>
        <v>0</v>
      </c>
      <c r="EA238" s="51">
        <f t="shared" si="667"/>
        <v>0</v>
      </c>
      <c r="EB238" s="51">
        <f t="shared" si="738"/>
        <v>0</v>
      </c>
      <c r="EC238" s="51">
        <f t="shared" si="668"/>
        <v>0</v>
      </c>
      <c r="ED238" s="51">
        <f t="shared" si="739"/>
        <v>0</v>
      </c>
      <c r="EE238" s="51">
        <f t="shared" si="669"/>
        <v>0</v>
      </c>
      <c r="EF238" s="54">
        <f t="shared" si="670"/>
        <v>0</v>
      </c>
      <c r="EG238" s="55">
        <f t="shared" si="671"/>
        <v>0</v>
      </c>
      <c r="EH238" s="56">
        <f>IF(AND($E238&lt;&gt;0,$F238&gt;0,YEAR($F238)&gt;=Preisindex!$A$6,YEAR(EC$4)&gt;=YEAR($F238),AND($K238&lt;&gt;"a",$K238&lt;&gt;"b",$K238&lt;&gt;"g",$K238&lt;&gt;"k")),1,IF(AND($E238&lt;&gt;0,$F238&gt;0,YEAR($F238)&gt;=Preisindex!$A$6,YEAR(EC$4)&gt;=YEAR($F238),$K238="a"),ROUND(VLOOKUP(EH$4,Preisindex,5,FALSE)/VLOOKUP(YEAR($F238),Preisindex,5,FALSE),2),IF(AND($E238&lt;&gt;0,$F238&gt;0,YEAR($F238)&gt;=Preisindex!$A$6,YEAR(EC$4)&gt;=YEAR($F238),$K238="b"),ROUND(VLOOKUP(EH$4,Preisindex,3,FALSE)/VLOOKUP(YEAR($F238),Preisindex,3,FALSE),2),IF(AND($E238&lt;&gt;0,$F238&gt;0,YEAR($F238)&gt;=Preisindex!$A$6,YEAR(EC$4)&gt;=YEAR($F238),$K238="g"),ROUND(VLOOKUP(EH$4,Preisindex,4,FALSE)/VLOOKUP(YEAR($F238),Preisindex,4,FALSE),2),IF(AND($E238&lt;&gt;0,$F238&gt;0,YEAR($F238)&gt;=Preisindex!$A$6,YEAR(EC$4)&gt;=YEAR($F238),$K238="k"),ROUND(VLOOKUP(EH$4,Preisindex,2,FALSE)/VLOOKUP(YEAR($F238),Preisindex,2,FALSE),2),0)))))</f>
        <v>0</v>
      </c>
      <c r="EI238" s="56">
        <f>IF(AND($E238&lt;&gt;0,$F238&gt;0,YEAR($F238)&lt;Preisindex!$A$6,YEAR(EC$4)&gt;=YEAR($F238),AND($K238&lt;&gt;"a",$K238&lt;&gt;"b",$K238&lt;&gt;"g",$K238&lt;&gt;"k")),1,IF(AND($E238&lt;&gt;0,$F238&gt;0,YEAR($F238)&lt;Preisindex!$A$6,YEAR(EC$4)&gt;=YEAR($F238),$K238="a"),ROUND(VLOOKUP(EH$4,Preisindex,5,FALSE)/VLOOKUP(Preisindex!$A$6,Preisindex,5,FALSE),2),IF(AND($E238&lt;&gt;0,$F238&gt;0,YEAR($F238)&lt;Preisindex!$A$6,YEAR(EC$4)&gt;=YEAR($F238),$K238="b"),ROUND(VLOOKUP(EH$4,Preisindex,3,FALSE)/VLOOKUP(Preisindex!$A$6,Preisindex,3,FALSE),2),IF(AND($E238&lt;&gt;0,$F238&gt;0,YEAR($F238)&lt;Preisindex!$A$6,YEAR(EC$4)&gt;=YEAR($F238),$K238="g"),ROUND(VLOOKUP(EH$4,Preisindex,4,FALSE)/VLOOKUP(Preisindex!$A$6,Preisindex,4,FALSE),2),IF(AND($E238&lt;&gt;0,$F238&gt;0,YEAR($F238)&lt;Preisindex!$A$6,YEAR(EC$4)&gt;=YEAR($F238),$K238="k"),ROUND(VLOOKUP(EH$4,Preisindex,2,FALSE)/VLOOKUP(Preisindex!$A$6,Preisindex,2,FALSE),2),0)))))</f>
        <v>0</v>
      </c>
      <c r="EJ238" s="51">
        <f>IF(AND($E238&lt;&gt;0,$F238&gt;0,YEAR($F238)&lt;=EH$4,YEAR($F238)&gt;=Preisindex!$A$6),ROUND($E238*EH238,2),IF(AND($E238&lt;&gt;0,$F238&gt;0,YEAR($F238)&lt;=EH$4,YEAR($F238)&lt;Preisindex!$A$6),ROUND($E238*EI238,2),0))</f>
        <v>0</v>
      </c>
      <c r="EK238" s="53">
        <f t="shared" si="672"/>
        <v>0</v>
      </c>
      <c r="EL238" s="51">
        <f t="shared" si="751"/>
        <v>0</v>
      </c>
      <c r="EM238" s="51">
        <f t="shared" si="740"/>
        <v>0</v>
      </c>
      <c r="EN238" s="51">
        <f t="shared" si="673"/>
        <v>0</v>
      </c>
      <c r="EO238" s="51">
        <f t="shared" si="741"/>
        <v>0</v>
      </c>
      <c r="EP238" s="51">
        <f t="shared" si="674"/>
        <v>0</v>
      </c>
      <c r="EQ238" s="51">
        <f t="shared" si="742"/>
        <v>0</v>
      </c>
      <c r="ER238" s="51">
        <f t="shared" si="675"/>
        <v>0</v>
      </c>
      <c r="ES238" s="51">
        <f t="shared" si="743"/>
        <v>0</v>
      </c>
      <c r="ET238" s="51">
        <f t="shared" si="676"/>
        <v>0</v>
      </c>
      <c r="EU238" s="51">
        <f t="shared" si="744"/>
        <v>0</v>
      </c>
      <c r="EV238" s="51">
        <f t="shared" si="677"/>
        <v>0</v>
      </c>
      <c r="EW238" s="54">
        <f t="shared" si="678"/>
        <v>0</v>
      </c>
      <c r="EX238" s="55">
        <f t="shared" si="679"/>
        <v>0</v>
      </c>
      <c r="EY238" s="56">
        <f>IF(AND($E238&lt;&gt;0,$F238&gt;0,YEAR($F238)&gt;=Preisindex!$A$6,YEAR(ET$4)&gt;=YEAR($F238),AND($K238&lt;&gt;"a",$K238&lt;&gt;"b",$K238&lt;&gt;"g",$K238&lt;&gt;"k")),1,IF(AND($E238&lt;&gt;0,$F238&gt;0,YEAR($F238)&gt;=Preisindex!$A$6,YEAR(ET$4)&gt;=YEAR($F238),$K238="a"),ROUND(VLOOKUP(EY$4,Preisindex,5,FALSE)/VLOOKUP(YEAR($F238),Preisindex,5,FALSE),2),IF(AND($E238&lt;&gt;0,$F238&gt;0,YEAR($F238)&gt;=Preisindex!$A$6,YEAR(ET$4)&gt;=YEAR($F238),$K238="b"),ROUND(VLOOKUP(EY$4,Preisindex,3,FALSE)/VLOOKUP(YEAR($F238),Preisindex,3,FALSE),2),IF(AND($E238&lt;&gt;0,$F238&gt;0,YEAR($F238)&gt;=Preisindex!$A$6,YEAR(ET$4)&gt;=YEAR($F238),$K238="g"),ROUND(VLOOKUP(EY$4,Preisindex,4,FALSE)/VLOOKUP(YEAR($F238),Preisindex,4,FALSE),2),IF(AND($E238&lt;&gt;0,$F238&gt;0,YEAR($F238)&gt;=Preisindex!$A$6,YEAR(ET$4)&gt;=YEAR($F238),$K238="k"),ROUND(VLOOKUP(EY$4,Preisindex,2,FALSE)/VLOOKUP(YEAR($F238),Preisindex,2,FALSE),2),0)))))</f>
        <v>0</v>
      </c>
      <c r="EZ238" s="56">
        <f>IF(AND($E238&lt;&gt;0,$F238&gt;0,YEAR($F238)&lt;Preisindex!$A$6,YEAR(ET$4)&gt;=YEAR($F238),AND($K238&lt;&gt;"a",$K238&lt;&gt;"b",$K238&lt;&gt;"g",$K238&lt;&gt;"k")),1,IF(AND($E238&lt;&gt;0,$F238&gt;0,YEAR($F238)&lt;Preisindex!$A$6,YEAR(ET$4)&gt;=YEAR($F238),$K238="a"),ROUND(VLOOKUP(EY$4,Preisindex,5,FALSE)/VLOOKUP(Preisindex!$A$6,Preisindex,5,FALSE),2),IF(AND($E238&lt;&gt;0,$F238&gt;0,YEAR($F238)&lt;Preisindex!$A$6,YEAR(ET$4)&gt;=YEAR($F238),$K238="b"),ROUND(VLOOKUP(EY$4,Preisindex,3,FALSE)/VLOOKUP(Preisindex!$A$6,Preisindex,3,FALSE),2),IF(AND($E238&lt;&gt;0,$F238&gt;0,YEAR($F238)&lt;Preisindex!$A$6,YEAR(ET$4)&gt;=YEAR($F238),$K238="g"),ROUND(VLOOKUP(EY$4,Preisindex,4,FALSE)/VLOOKUP(Preisindex!$A$6,Preisindex,4,FALSE),2),IF(AND($E238&lt;&gt;0,$F238&gt;0,YEAR($F238)&lt;Preisindex!$A$6,YEAR(ET$4)&gt;=YEAR($F238),$K238="k"),ROUND(VLOOKUP(EY$4,Preisindex,2,FALSE)/VLOOKUP(Preisindex!$A$6,Preisindex,2,FALSE),2),0)))))</f>
        <v>0</v>
      </c>
      <c r="FA238" s="51">
        <f>IF(AND($E238&lt;&gt;0,$F238&gt;0,YEAR($F238)&lt;=EY$4,YEAR($F238)&gt;=Preisindex!$A$6),ROUND($E238*EY238,2),IF(AND($E238&lt;&gt;0,$F238&gt;0,YEAR($F238)&lt;=EY$4,YEAR($F238)&lt;Preisindex!$A$6),ROUND($E238*EZ238,2),0))</f>
        <v>0</v>
      </c>
      <c r="FB238" s="53">
        <f t="shared" si="680"/>
        <v>0</v>
      </c>
      <c r="FC238" s="51">
        <f t="shared" si="751"/>
        <v>0</v>
      </c>
      <c r="FD238" s="51">
        <f t="shared" si="745"/>
        <v>0</v>
      </c>
      <c r="FE238" s="51">
        <f t="shared" si="681"/>
        <v>0</v>
      </c>
      <c r="FF238" s="51">
        <f t="shared" si="746"/>
        <v>0</v>
      </c>
      <c r="FG238" s="51">
        <f t="shared" si="682"/>
        <v>0</v>
      </c>
      <c r="FH238" s="51">
        <f t="shared" si="747"/>
        <v>0</v>
      </c>
      <c r="FI238" s="51">
        <f t="shared" si="683"/>
        <v>0</v>
      </c>
      <c r="FJ238" s="51">
        <f t="shared" si="748"/>
        <v>0</v>
      </c>
      <c r="FK238" s="51">
        <f t="shared" si="684"/>
        <v>0</v>
      </c>
      <c r="FL238" s="51">
        <f t="shared" si="749"/>
        <v>0</v>
      </c>
      <c r="FM238" s="51">
        <f t="shared" si="685"/>
        <v>0</v>
      </c>
      <c r="FN238" s="54">
        <f t="shared" si="686"/>
        <v>0</v>
      </c>
      <c r="FO238" s="55">
        <f t="shared" si="687"/>
        <v>0</v>
      </c>
      <c r="FP238" s="56">
        <f>IF(AND($E238&lt;&gt;0,$F238&gt;0,YEAR($F238)&gt;=Preisindex!$A$6,YEAR(FK$4)&gt;=YEAR($F238),AND($K238&lt;&gt;"a",$K238&lt;&gt;"b",$K238&lt;&gt;"g",$K238&lt;&gt;"k")),1,IF(AND($E238&lt;&gt;0,$F238&gt;0,YEAR($F238)&gt;=Preisindex!$A$6,YEAR(FK$4)&gt;=YEAR($F238),$K238="a"),ROUND(VLOOKUP(FP$4,Preisindex,5,FALSE)/VLOOKUP(YEAR($F238),Preisindex,5,FALSE),2),IF(AND($E238&lt;&gt;0,$F238&gt;0,YEAR($F238)&gt;=Preisindex!$A$6,YEAR(FK$4)&gt;=YEAR($F238),$K238="b"),ROUND(VLOOKUP(FP$4,Preisindex,3,FALSE)/VLOOKUP(YEAR($F238),Preisindex,3,FALSE),2),IF(AND($E238&lt;&gt;0,$F238&gt;0,YEAR($F238)&gt;=Preisindex!$A$6,YEAR(FK$4)&gt;=YEAR($F238),$K238="g"),ROUND(VLOOKUP(FP$4,Preisindex,4,FALSE)/VLOOKUP(YEAR($F238),Preisindex,4,FALSE),2),IF(AND($E238&lt;&gt;0,$F238&gt;0,YEAR($F238)&gt;=Preisindex!$A$6,YEAR(FK$4)&gt;=YEAR($F238),$K238="k"),ROUND(VLOOKUP(FP$4,Preisindex,2,FALSE)/VLOOKUP(YEAR($F238),Preisindex,2,FALSE),2),0)))))</f>
        <v>0</v>
      </c>
      <c r="FQ238" s="56">
        <f>IF(AND($E238&lt;&gt;0,$F238&gt;0,YEAR($F238)&lt;Preisindex!$A$6,YEAR(FK$4)&gt;=YEAR($F238),AND($K238&lt;&gt;"a",$K238&lt;&gt;"b",$K238&lt;&gt;"g",$K238&lt;&gt;"k")),1,IF(AND($E238&lt;&gt;0,$F238&gt;0,YEAR($F238)&lt;Preisindex!$A$6,YEAR(FK$4)&gt;=YEAR($F238),$K238="a"),ROUND(VLOOKUP(FP$4,Preisindex,5,FALSE)/VLOOKUP(Preisindex!$A$6,Preisindex,5,FALSE),2),IF(AND($E238&lt;&gt;0,$F238&gt;0,YEAR($F238)&lt;Preisindex!$A$6,YEAR(FK$4)&gt;=YEAR($F238),$K238="b"),ROUND(VLOOKUP(FP$4,Preisindex,3,FALSE)/VLOOKUP(Preisindex!$A$6,Preisindex,3,FALSE),2),IF(AND($E238&lt;&gt;0,$F238&gt;0,YEAR($F238)&lt;Preisindex!$A$6,YEAR(FK$4)&gt;=YEAR($F238),$K238="g"),ROUND(VLOOKUP(FP$4,Preisindex,4,FALSE)/VLOOKUP(Preisindex!$A$6,Preisindex,4,FALSE),2),IF(AND($E238&lt;&gt;0,$F238&gt;0,YEAR($F238)&lt;Preisindex!$A$6,YEAR(FK$4)&gt;=YEAR($F238),$K238="k"),ROUND(VLOOKUP(FP$4,Preisindex,2,FALSE)/VLOOKUP(Preisindex!$A$6,Preisindex,2,FALSE),2),0)))))</f>
        <v>0</v>
      </c>
      <c r="FR238" s="51">
        <f>IF(AND($E238&lt;&gt;0,$F238&gt;0,YEAR($F238)&lt;=FP$4,YEAR($F238)&gt;=Preisindex!$A$6),ROUND($E238*FP238,2),IF(AND($E238&lt;&gt;0,$F238&gt;0,YEAR($F238)&lt;=FP$4,YEAR($F238)&lt;Preisindex!$A$6),ROUND($E238*FQ238,2),0))</f>
        <v>0</v>
      </c>
      <c r="FS238" s="53">
        <f t="shared" si="688"/>
        <v>0</v>
      </c>
    </row>
    <row r="239" spans="1:175" x14ac:dyDescent="0.3">
      <c r="A239" s="93"/>
      <c r="B239" s="94"/>
      <c r="C239" s="94"/>
      <c r="D239" s="188"/>
      <c r="E239" s="624"/>
      <c r="F239" s="190"/>
      <c r="G239" s="625"/>
      <c r="H239" s="192"/>
      <c r="I239" s="621"/>
      <c r="J239" s="103"/>
      <c r="K239" s="630"/>
      <c r="L239" s="49">
        <f t="shared" si="689"/>
        <v>0</v>
      </c>
      <c r="M239" s="50">
        <f t="shared" si="690"/>
        <v>0</v>
      </c>
      <c r="N239" s="51">
        <f t="shared" si="691"/>
        <v>0</v>
      </c>
      <c r="O239" s="51"/>
      <c r="P239" s="51">
        <f t="shared" si="692"/>
        <v>0</v>
      </c>
      <c r="Q239" s="52"/>
      <c r="R239" s="52"/>
      <c r="S239" s="52"/>
      <c r="T239" s="52"/>
      <c r="U239" s="52"/>
      <c r="V239" s="53">
        <f t="shared" si="693"/>
        <v>0</v>
      </c>
      <c r="W239" s="51">
        <f t="shared" si="694"/>
        <v>0</v>
      </c>
      <c r="X239" s="51">
        <f t="shared" si="695"/>
        <v>0</v>
      </c>
      <c r="Y239" s="51">
        <f t="shared" si="696"/>
        <v>0</v>
      </c>
      <c r="Z239" s="51">
        <f t="shared" si="697"/>
        <v>0</v>
      </c>
      <c r="AA239" s="51">
        <f t="shared" si="698"/>
        <v>0</v>
      </c>
      <c r="AB239" s="51">
        <f t="shared" si="699"/>
        <v>0</v>
      </c>
      <c r="AC239" s="51">
        <f t="shared" si="700"/>
        <v>0</v>
      </c>
      <c r="AD239" s="51">
        <f t="shared" si="701"/>
        <v>0</v>
      </c>
      <c r="AE239" s="51">
        <f t="shared" si="702"/>
        <v>0</v>
      </c>
      <c r="AF239" s="51">
        <f t="shared" si="703"/>
        <v>0</v>
      </c>
      <c r="AG239" s="51">
        <f t="shared" si="704"/>
        <v>0</v>
      </c>
      <c r="AH239" s="54">
        <f t="shared" si="705"/>
        <v>0</v>
      </c>
      <c r="AI239" s="55">
        <f t="shared" si="706"/>
        <v>0</v>
      </c>
      <c r="AJ239" s="56">
        <f>IF(AND($E239&lt;&gt;0,$F239&gt;0,YEAR($F239)&gt;=Preisindex!$A$6,YEAR(AE$4)&gt;=YEAR($F239),AND($K239&lt;&gt;"a",$K239&lt;&gt;"b",$K239&lt;&gt;"g",$K239&lt;&gt;"k")),1,IF(AND($E239&lt;&gt;0,$F239&gt;0,YEAR($F239)&gt;=Preisindex!$A$6,YEAR(AE$4)&gt;=YEAR($F239),$K239="a"),ROUND(VLOOKUP(AJ$4,Preisindex,5,FALSE)/VLOOKUP(YEAR($F239),Preisindex,5,FALSE),2),IF(AND($E239&lt;&gt;0,$F239&gt;0,YEAR($F239)&gt;=Preisindex!$A$6,YEAR(AE$4)&gt;=YEAR($F239),$K239="b"),ROUND(VLOOKUP(AJ$4,Preisindex,3,FALSE)/VLOOKUP(YEAR($F239),Preisindex,3,FALSE),2),IF(AND($E239&lt;&gt;0,$F239&gt;0,YEAR($F239)&gt;=Preisindex!$A$6,YEAR(AE$4)&gt;=YEAR($F239),$K239="g"),ROUND(VLOOKUP(AJ$4,Preisindex,4,FALSE)/VLOOKUP(YEAR($F239),Preisindex,4,FALSE),2),IF(AND($E239&lt;&gt;0,$F239&gt;0,YEAR($F239)&gt;=Preisindex!$A$6,YEAR(AE$4)&gt;=YEAR($F239),$K239="k"),ROUND(VLOOKUP(AJ$4,Preisindex,2,FALSE)/VLOOKUP(YEAR($F239),Preisindex,2,FALSE),2),0)))))</f>
        <v>0</v>
      </c>
      <c r="AK239" s="56">
        <f>IF(AND($E239&lt;&gt;0,$F239&gt;0,YEAR($F239)&lt;Preisindex!$A$6,YEAR(AE$4)&gt;=YEAR($F239),AND($K239&lt;&gt;"a",$K239&lt;&gt;"b",$K239&lt;&gt;"g",$K239&lt;&gt;"k")),1,IF(AND($E239&lt;&gt;0,$F239&gt;0,YEAR($F239)&lt;Preisindex!$A$6,YEAR(AE$4)&gt;=YEAR($F239),$K239="a"),ROUND(VLOOKUP(AJ$4,Preisindex,5,FALSE)/VLOOKUP(Preisindex!$A$6,Preisindex,5,FALSE),2),IF(AND($E239&lt;&gt;0,$F239&gt;0,YEAR($F239)&lt;Preisindex!$A$6,YEAR(AE$4)&gt;=YEAR($F239),$K239="b"),ROUND(VLOOKUP(AJ$4,Preisindex,3,FALSE)/VLOOKUP(Preisindex!$A$6,Preisindex,3,FALSE),2),IF(AND($E239&lt;&gt;0,$F239&gt;0,YEAR($F239)&lt;Preisindex!$A$6,YEAR(AE$4)&gt;=YEAR($F239),$K239="g"),ROUND(VLOOKUP(AJ$4,Preisindex,4,FALSE)/VLOOKUP(Preisindex!$A$6,Preisindex,4,FALSE),2),IF(AND($E239&lt;&gt;0,$F239&gt;0,YEAR($F239)&lt;Preisindex!$A$6,YEAR(AE$4)&gt;=YEAR($F239),$K239="k"),ROUND(VLOOKUP(AJ$4,Preisindex,2,FALSE)/VLOOKUP(Preisindex!$A$6,Preisindex,2,FALSE),2),0)))))</f>
        <v>0</v>
      </c>
      <c r="AL239" s="51">
        <f>IF(AND($E239&lt;&gt;0,$F239&gt;0,YEAR($F239)&lt;=AJ$4,YEAR($F239)&gt;=Preisindex!$A$6),ROUND($E239*AJ239,2),IF(AND($E239&lt;&gt;0,$F239&gt;0,YEAR($F239)&lt;=AJ$4,YEAR($F239)&lt;Preisindex!$A$6),ROUND($E239*AK239,2),0))</f>
        <v>0</v>
      </c>
      <c r="AM239" s="53">
        <f t="shared" si="707"/>
        <v>0</v>
      </c>
      <c r="AN239" s="51">
        <f t="shared" si="750"/>
        <v>0</v>
      </c>
      <c r="AO239" s="51">
        <f t="shared" si="710"/>
        <v>0</v>
      </c>
      <c r="AP239" s="51">
        <f t="shared" si="624"/>
        <v>0</v>
      </c>
      <c r="AQ239" s="51">
        <f t="shared" si="711"/>
        <v>0</v>
      </c>
      <c r="AR239" s="51">
        <f t="shared" si="625"/>
        <v>0</v>
      </c>
      <c r="AS239" s="51">
        <f t="shared" si="712"/>
        <v>0</v>
      </c>
      <c r="AT239" s="51">
        <f t="shared" si="626"/>
        <v>0</v>
      </c>
      <c r="AU239" s="51">
        <f t="shared" si="713"/>
        <v>0</v>
      </c>
      <c r="AV239" s="51">
        <f t="shared" si="627"/>
        <v>0</v>
      </c>
      <c r="AW239" s="51">
        <f t="shared" si="714"/>
        <v>0</v>
      </c>
      <c r="AX239" s="51">
        <f t="shared" si="628"/>
        <v>0</v>
      </c>
      <c r="AY239" s="54">
        <f t="shared" si="629"/>
        <v>0</v>
      </c>
      <c r="AZ239" s="55">
        <f t="shared" si="630"/>
        <v>0</v>
      </c>
      <c r="BA239" s="56">
        <f>IF(AND($E239&lt;&gt;0,$F239&gt;0,YEAR($F239)&gt;=Preisindex!$A$6,YEAR(AV$4)&gt;=YEAR($F239),AND($K239&lt;&gt;"a",$K239&lt;&gt;"b",$K239&lt;&gt;"g",$K239&lt;&gt;"k")),1,IF(AND($E239&lt;&gt;0,$F239&gt;0,YEAR($F239)&gt;=Preisindex!$A$6,YEAR(AV$4)&gt;=YEAR($F239),$K239="a"),ROUND(VLOOKUP(BA$4,Preisindex,5,FALSE)/VLOOKUP(YEAR($F239),Preisindex,5,FALSE),2),IF(AND($E239&lt;&gt;0,$F239&gt;0,YEAR($F239)&gt;=Preisindex!$A$6,YEAR(AV$4)&gt;=YEAR($F239),$K239="b"),ROUND(VLOOKUP(BA$4,Preisindex,3,FALSE)/VLOOKUP(YEAR($F239),Preisindex,3,FALSE),2),IF(AND($E239&lt;&gt;0,$F239&gt;0,YEAR($F239)&gt;=Preisindex!$A$6,YEAR(AV$4)&gt;=YEAR($F239),$K239="g"),ROUND(VLOOKUP(BA$4,Preisindex,4,FALSE)/VLOOKUP(YEAR($F239),Preisindex,4,FALSE),2),IF(AND($E239&lt;&gt;0,$F239&gt;0,YEAR($F239)&gt;=Preisindex!$A$6,YEAR(AV$4)&gt;=YEAR($F239),$K239="k"),ROUND(VLOOKUP(BA$4,Preisindex,2,FALSE)/VLOOKUP(YEAR($F239),Preisindex,2,FALSE),2),0)))))</f>
        <v>0</v>
      </c>
      <c r="BB239" s="56">
        <f>IF(AND($E239&lt;&gt;0,$F239&gt;0,YEAR($F239)&lt;Preisindex!$A$6,YEAR(AV$4)&gt;=YEAR($F239),AND($K239&lt;&gt;"a",$K239&lt;&gt;"b",$K239&lt;&gt;"g",$K239&lt;&gt;"k")),1,IF(AND($E239&lt;&gt;0,$F239&gt;0,YEAR($F239)&lt;Preisindex!$A$6,YEAR(AV$4)&gt;=YEAR($F239),$K239="a"),ROUND(VLOOKUP(BA$4,Preisindex,5,FALSE)/VLOOKUP(Preisindex!$A$6,Preisindex,5,FALSE),2),IF(AND($E239&lt;&gt;0,$F239&gt;0,YEAR($F239)&lt;Preisindex!$A$6,YEAR(AV$4)&gt;=YEAR($F239),$K239="b"),ROUND(VLOOKUP(BA$4,Preisindex,3,FALSE)/VLOOKUP(Preisindex!$A$6,Preisindex,3,FALSE),2),IF(AND($E239&lt;&gt;0,$F239&gt;0,YEAR($F239)&lt;Preisindex!$A$6,YEAR(AV$4)&gt;=YEAR($F239),$K239="g"),ROUND(VLOOKUP(BA$4,Preisindex,4,FALSE)/VLOOKUP(Preisindex!$A$6,Preisindex,4,FALSE),2),IF(AND($E239&lt;&gt;0,$F239&gt;0,YEAR($F239)&lt;Preisindex!$A$6,YEAR(AV$4)&gt;=YEAR($F239),$K239="k"),ROUND(VLOOKUP(BA$4,Preisindex,2,FALSE)/VLOOKUP(Preisindex!$A$6,Preisindex,2,FALSE),2),0)))))</f>
        <v>0</v>
      </c>
      <c r="BC239" s="51">
        <f>IF(AND($E239&lt;&gt;0,$F239&gt;0,YEAR($F239)&lt;=BA$4,YEAR($F239)&gt;=Preisindex!$A$6),ROUND($E239*BA239,2),IF(AND($E239&lt;&gt;0,$F239&gt;0,YEAR($F239)&lt;=BA$4,YEAR($F239)&lt;Preisindex!$A$6),ROUND($E239*BB239,2),0))</f>
        <v>0</v>
      </c>
      <c r="BD239" s="53">
        <f t="shared" si="631"/>
        <v>0</v>
      </c>
      <c r="BE239" s="51">
        <f t="shared" si="750"/>
        <v>0</v>
      </c>
      <c r="BF239" s="51">
        <f t="shared" si="715"/>
        <v>0</v>
      </c>
      <c r="BG239" s="51">
        <f t="shared" si="632"/>
        <v>0</v>
      </c>
      <c r="BH239" s="51">
        <f t="shared" si="716"/>
        <v>0</v>
      </c>
      <c r="BI239" s="51">
        <f t="shared" si="633"/>
        <v>0</v>
      </c>
      <c r="BJ239" s="51">
        <f t="shared" si="717"/>
        <v>0</v>
      </c>
      <c r="BK239" s="51">
        <f t="shared" si="634"/>
        <v>0</v>
      </c>
      <c r="BL239" s="51">
        <f t="shared" si="718"/>
        <v>0</v>
      </c>
      <c r="BM239" s="51">
        <f t="shared" si="635"/>
        <v>0</v>
      </c>
      <c r="BN239" s="51">
        <f t="shared" si="719"/>
        <v>0</v>
      </c>
      <c r="BO239" s="51">
        <f t="shared" si="636"/>
        <v>0</v>
      </c>
      <c r="BP239" s="54">
        <f t="shared" si="637"/>
        <v>0</v>
      </c>
      <c r="BQ239" s="55">
        <f t="shared" si="638"/>
        <v>0</v>
      </c>
      <c r="BR239" s="56">
        <f>IF(AND($E239&lt;&gt;0,$F239&gt;0,YEAR($F239)&gt;=Preisindex!$A$6,YEAR(BM$4)&gt;=YEAR($F239),AND($K239&lt;&gt;"a",$K239&lt;&gt;"b",$K239&lt;&gt;"g",$K239&lt;&gt;"k")),1,IF(AND($E239&lt;&gt;0,$F239&gt;0,YEAR($F239)&gt;=Preisindex!$A$6,YEAR(BM$4)&gt;=YEAR($F239),$K239="a"),ROUND(VLOOKUP(BR$4,Preisindex,5,FALSE)/VLOOKUP(YEAR($F239),Preisindex,5,FALSE),2),IF(AND($E239&lt;&gt;0,$F239&gt;0,YEAR($F239)&gt;=Preisindex!$A$6,YEAR(BM$4)&gt;=YEAR($F239),$K239="b"),ROUND(VLOOKUP(BR$4,Preisindex,3,FALSE)/VLOOKUP(YEAR($F239),Preisindex,3,FALSE),2),IF(AND($E239&lt;&gt;0,$F239&gt;0,YEAR($F239)&gt;=Preisindex!$A$6,YEAR(BM$4)&gt;=YEAR($F239),$K239="g"),ROUND(VLOOKUP(BR$4,Preisindex,4,FALSE)/VLOOKUP(YEAR($F239),Preisindex,4,FALSE),2),IF(AND($E239&lt;&gt;0,$F239&gt;0,YEAR($F239)&gt;=Preisindex!$A$6,YEAR(BM$4)&gt;=YEAR($F239),$K239="k"),ROUND(VLOOKUP(BR$4,Preisindex,2,FALSE)/VLOOKUP(YEAR($F239),Preisindex,2,FALSE),2),0)))))</f>
        <v>0</v>
      </c>
      <c r="BS239" s="56">
        <f>IF(AND($E239&lt;&gt;0,$F239&gt;0,YEAR($F239)&lt;Preisindex!$A$6,YEAR(BM$4)&gt;=YEAR($F239),AND($K239&lt;&gt;"a",$K239&lt;&gt;"b",$K239&lt;&gt;"g",$K239&lt;&gt;"k")),1,IF(AND($E239&lt;&gt;0,$F239&gt;0,YEAR($F239)&lt;Preisindex!$A$6,YEAR(BM$4)&gt;=YEAR($F239),$K239="a"),ROUND(VLOOKUP(BR$4,Preisindex,5,FALSE)/VLOOKUP(Preisindex!$A$6,Preisindex,5,FALSE),2),IF(AND($E239&lt;&gt;0,$F239&gt;0,YEAR($F239)&lt;Preisindex!$A$6,YEAR(BM$4)&gt;=YEAR($F239),$K239="b"),ROUND(VLOOKUP(BR$4,Preisindex,3,FALSE)/VLOOKUP(Preisindex!$A$6,Preisindex,3,FALSE),2),IF(AND($E239&lt;&gt;0,$F239&gt;0,YEAR($F239)&lt;Preisindex!$A$6,YEAR(BM$4)&gt;=YEAR($F239),$K239="g"),ROUND(VLOOKUP(BR$4,Preisindex,4,FALSE)/VLOOKUP(Preisindex!$A$6,Preisindex,4,FALSE),2),IF(AND($E239&lt;&gt;0,$F239&gt;0,YEAR($F239)&lt;Preisindex!$A$6,YEAR(BM$4)&gt;=YEAR($F239),$K239="k"),ROUND(VLOOKUP(BR$4,Preisindex,2,FALSE)/VLOOKUP(Preisindex!$A$6,Preisindex,2,FALSE),2),0)))))</f>
        <v>0</v>
      </c>
      <c r="BT239" s="51">
        <f>IF(AND($E239&lt;&gt;0,$F239&gt;0,YEAR($F239)&lt;=BR$4,YEAR($F239)&gt;=Preisindex!$A$6),ROUND($E239*BR239,2),IF(AND($E239&lt;&gt;0,$F239&gt;0,YEAR($F239)&lt;=BR$4,YEAR($F239)&lt;Preisindex!$A$6),ROUND($E239*BS239,2),0))</f>
        <v>0</v>
      </c>
      <c r="BU239" s="53">
        <f t="shared" si="639"/>
        <v>0</v>
      </c>
      <c r="BV239" s="51">
        <f t="shared" si="750"/>
        <v>0</v>
      </c>
      <c r="BW239" s="51">
        <f t="shared" si="720"/>
        <v>0</v>
      </c>
      <c r="BX239" s="51">
        <f t="shared" si="640"/>
        <v>0</v>
      </c>
      <c r="BY239" s="51">
        <f t="shared" si="721"/>
        <v>0</v>
      </c>
      <c r="BZ239" s="51">
        <f t="shared" si="641"/>
        <v>0</v>
      </c>
      <c r="CA239" s="51">
        <f t="shared" si="722"/>
        <v>0</v>
      </c>
      <c r="CB239" s="51">
        <f t="shared" si="642"/>
        <v>0</v>
      </c>
      <c r="CC239" s="51">
        <f t="shared" si="723"/>
        <v>0</v>
      </c>
      <c r="CD239" s="51">
        <f t="shared" si="643"/>
        <v>0</v>
      </c>
      <c r="CE239" s="51">
        <f t="shared" si="724"/>
        <v>0</v>
      </c>
      <c r="CF239" s="51">
        <f t="shared" si="644"/>
        <v>0</v>
      </c>
      <c r="CG239" s="54">
        <f t="shared" si="645"/>
        <v>0</v>
      </c>
      <c r="CH239" s="55">
        <f t="shared" si="646"/>
        <v>0</v>
      </c>
      <c r="CI239" s="56">
        <f>IF(AND($E239&lt;&gt;0,$F239&gt;0,YEAR($F239)&gt;=Preisindex!$A$6,YEAR(CD$4)&gt;=YEAR($F239),AND($K239&lt;&gt;"a",$K239&lt;&gt;"b",$K239&lt;&gt;"g",$K239&lt;&gt;"k")),1,IF(AND($E239&lt;&gt;0,$F239&gt;0,YEAR($F239)&gt;=Preisindex!$A$6,YEAR(CD$4)&gt;=YEAR($F239),$K239="a"),ROUND(VLOOKUP(CI$4,Preisindex,5,FALSE)/VLOOKUP(YEAR($F239),Preisindex,5,FALSE),2),IF(AND($E239&lt;&gt;0,$F239&gt;0,YEAR($F239)&gt;=Preisindex!$A$6,YEAR(CD$4)&gt;=YEAR($F239),$K239="b"),ROUND(VLOOKUP(CI$4,Preisindex,3,FALSE)/VLOOKUP(YEAR($F239),Preisindex,3,FALSE),2),IF(AND($E239&lt;&gt;0,$F239&gt;0,YEAR($F239)&gt;=Preisindex!$A$6,YEAR(CD$4)&gt;=YEAR($F239),$K239="g"),ROUND(VLOOKUP(CI$4,Preisindex,4,FALSE)/VLOOKUP(YEAR($F239),Preisindex,4,FALSE),2),IF(AND($E239&lt;&gt;0,$F239&gt;0,YEAR($F239)&gt;=Preisindex!$A$6,YEAR(CD$4)&gt;=YEAR($F239),$K239="k"),ROUND(VLOOKUP(CI$4,Preisindex,2,FALSE)/VLOOKUP(YEAR($F239),Preisindex,2,FALSE),2),0)))))</f>
        <v>0</v>
      </c>
      <c r="CJ239" s="56">
        <f>IF(AND($E239&lt;&gt;0,$F239&gt;0,YEAR($F239)&lt;Preisindex!$A$6,YEAR(CD$4)&gt;=YEAR($F239),AND($K239&lt;&gt;"a",$K239&lt;&gt;"b",$K239&lt;&gt;"g",$K239&lt;&gt;"k")),1,IF(AND($E239&lt;&gt;0,$F239&gt;0,YEAR($F239)&lt;Preisindex!$A$6,YEAR(CD$4)&gt;=YEAR($F239),$K239="a"),ROUND(VLOOKUP(CI$4,Preisindex,5,FALSE)/VLOOKUP(Preisindex!$A$6,Preisindex,5,FALSE),2),IF(AND($E239&lt;&gt;0,$F239&gt;0,YEAR($F239)&lt;Preisindex!$A$6,YEAR(CD$4)&gt;=YEAR($F239),$K239="b"),ROUND(VLOOKUP(CI$4,Preisindex,3,FALSE)/VLOOKUP(Preisindex!$A$6,Preisindex,3,FALSE),2),IF(AND($E239&lt;&gt;0,$F239&gt;0,YEAR($F239)&lt;Preisindex!$A$6,YEAR(CD$4)&gt;=YEAR($F239),$K239="g"),ROUND(VLOOKUP(CI$4,Preisindex,4,FALSE)/VLOOKUP(Preisindex!$A$6,Preisindex,4,FALSE),2),IF(AND($E239&lt;&gt;0,$F239&gt;0,YEAR($F239)&lt;Preisindex!$A$6,YEAR(CD$4)&gt;=YEAR($F239),$K239="k"),ROUND(VLOOKUP(CI$4,Preisindex,2,FALSE)/VLOOKUP(Preisindex!$A$6,Preisindex,2,FALSE),2),0)))))</f>
        <v>0</v>
      </c>
      <c r="CK239" s="51">
        <f>IF(AND($E239&lt;&gt;0,$F239&gt;0,YEAR($F239)&lt;=CI$4,YEAR($F239)&gt;=Preisindex!$A$6),ROUND($E239*CI239,2),IF(AND($E239&lt;&gt;0,$F239&gt;0,YEAR($F239)&lt;=CI$4,YEAR($F239)&lt;Preisindex!$A$6),ROUND($E239*CJ239,2),0))</f>
        <v>0</v>
      </c>
      <c r="CL239" s="53">
        <f t="shared" si="647"/>
        <v>0</v>
      </c>
      <c r="CM239" s="51">
        <f t="shared" si="750"/>
        <v>0</v>
      </c>
      <c r="CN239" s="51">
        <f t="shared" si="725"/>
        <v>0</v>
      </c>
      <c r="CO239" s="51">
        <f t="shared" si="648"/>
        <v>0</v>
      </c>
      <c r="CP239" s="51">
        <f t="shared" si="726"/>
        <v>0</v>
      </c>
      <c r="CQ239" s="51">
        <f t="shared" si="649"/>
        <v>0</v>
      </c>
      <c r="CR239" s="51">
        <f t="shared" si="727"/>
        <v>0</v>
      </c>
      <c r="CS239" s="51">
        <f t="shared" si="650"/>
        <v>0</v>
      </c>
      <c r="CT239" s="51">
        <f t="shared" si="728"/>
        <v>0</v>
      </c>
      <c r="CU239" s="51">
        <f t="shared" si="651"/>
        <v>0</v>
      </c>
      <c r="CV239" s="51">
        <f t="shared" si="729"/>
        <v>0</v>
      </c>
      <c r="CW239" s="51">
        <f t="shared" si="652"/>
        <v>0</v>
      </c>
      <c r="CX239" s="54">
        <f t="shared" si="653"/>
        <v>0</v>
      </c>
      <c r="CY239" s="55">
        <f t="shared" si="654"/>
        <v>0</v>
      </c>
      <c r="CZ239" s="56">
        <f>IF(AND($E239&lt;&gt;0,$F239&gt;0,YEAR($F239)&gt;=Preisindex!$A$6,YEAR(CU$4)&gt;=YEAR($F239),AND($K239&lt;&gt;"a",$K239&lt;&gt;"b",$K239&lt;&gt;"g",$K239&lt;&gt;"k")),1,IF(AND($E239&lt;&gt;0,$F239&gt;0,YEAR($F239)&gt;=Preisindex!$A$6,YEAR(CU$4)&gt;=YEAR($F239),$K239="a"),ROUND(VLOOKUP(CZ$4,Preisindex,5,FALSE)/VLOOKUP(YEAR($F239),Preisindex,5,FALSE),2),IF(AND($E239&lt;&gt;0,$F239&gt;0,YEAR($F239)&gt;=Preisindex!$A$6,YEAR(CU$4)&gt;=YEAR($F239),$K239="b"),ROUND(VLOOKUP(CZ$4,Preisindex,3,FALSE)/VLOOKUP(YEAR($F239),Preisindex,3,FALSE),2),IF(AND($E239&lt;&gt;0,$F239&gt;0,YEAR($F239)&gt;=Preisindex!$A$6,YEAR(CU$4)&gt;=YEAR($F239),$K239="g"),ROUND(VLOOKUP(CZ$4,Preisindex,4,FALSE)/VLOOKUP(YEAR($F239),Preisindex,4,FALSE),2),IF(AND($E239&lt;&gt;0,$F239&gt;0,YEAR($F239)&gt;=Preisindex!$A$6,YEAR(CU$4)&gt;=YEAR($F239),$K239="k"),ROUND(VLOOKUP(CZ$4,Preisindex,2,FALSE)/VLOOKUP(YEAR($F239),Preisindex,2,FALSE),2),0)))))</f>
        <v>0</v>
      </c>
      <c r="DA239" s="56">
        <f>IF(AND($E239&lt;&gt;0,$F239&gt;0,YEAR($F239)&lt;Preisindex!$A$6,YEAR(CU$4)&gt;=YEAR($F239),AND($K239&lt;&gt;"a",$K239&lt;&gt;"b",$K239&lt;&gt;"g",$K239&lt;&gt;"k")),1,IF(AND($E239&lt;&gt;0,$F239&gt;0,YEAR($F239)&lt;Preisindex!$A$6,YEAR(CU$4)&gt;=YEAR($F239),$K239="a"),ROUND(VLOOKUP(CZ$4,Preisindex,5,FALSE)/VLOOKUP(Preisindex!$A$6,Preisindex,5,FALSE),2),IF(AND($E239&lt;&gt;0,$F239&gt;0,YEAR($F239)&lt;Preisindex!$A$6,YEAR(CU$4)&gt;=YEAR($F239),$K239="b"),ROUND(VLOOKUP(CZ$4,Preisindex,3,FALSE)/VLOOKUP(Preisindex!$A$6,Preisindex,3,FALSE),2),IF(AND($E239&lt;&gt;0,$F239&gt;0,YEAR($F239)&lt;Preisindex!$A$6,YEAR(CU$4)&gt;=YEAR($F239),$K239="g"),ROUND(VLOOKUP(CZ$4,Preisindex,4,FALSE)/VLOOKUP(Preisindex!$A$6,Preisindex,4,FALSE),2),IF(AND($E239&lt;&gt;0,$F239&gt;0,YEAR($F239)&lt;Preisindex!$A$6,YEAR(CU$4)&gt;=YEAR($F239),$K239="k"),ROUND(VLOOKUP(CZ$4,Preisindex,2,FALSE)/VLOOKUP(Preisindex!$A$6,Preisindex,2,FALSE),2),0)))))</f>
        <v>0</v>
      </c>
      <c r="DB239" s="51">
        <f>IF(AND($E239&lt;&gt;0,$F239&gt;0,YEAR($F239)&lt;=CZ$4,YEAR($F239)&gt;=Preisindex!$A$6),ROUND($E239*CZ239,2),IF(AND($E239&lt;&gt;0,$F239&gt;0,YEAR($F239)&lt;=CZ$4,YEAR($F239)&lt;Preisindex!$A$6),ROUND($E239*DA239,2),0))</f>
        <v>0</v>
      </c>
      <c r="DC239" s="53">
        <f t="shared" si="655"/>
        <v>0</v>
      </c>
      <c r="DD239" s="51">
        <f t="shared" si="751"/>
        <v>0</v>
      </c>
      <c r="DE239" s="51">
        <f t="shared" si="730"/>
        <v>0</v>
      </c>
      <c r="DF239" s="51">
        <f t="shared" si="657"/>
        <v>0</v>
      </c>
      <c r="DG239" s="51">
        <f t="shared" si="731"/>
        <v>0</v>
      </c>
      <c r="DH239" s="51">
        <f t="shared" si="658"/>
        <v>0</v>
      </c>
      <c r="DI239" s="51">
        <f t="shared" si="732"/>
        <v>0</v>
      </c>
      <c r="DJ239" s="51">
        <f t="shared" si="659"/>
        <v>0</v>
      </c>
      <c r="DK239" s="51">
        <f t="shared" si="733"/>
        <v>0</v>
      </c>
      <c r="DL239" s="51">
        <f t="shared" si="660"/>
        <v>0</v>
      </c>
      <c r="DM239" s="51">
        <f t="shared" si="734"/>
        <v>0</v>
      </c>
      <c r="DN239" s="51">
        <f t="shared" si="661"/>
        <v>0</v>
      </c>
      <c r="DO239" s="54">
        <f t="shared" si="662"/>
        <v>0</v>
      </c>
      <c r="DP239" s="55">
        <f t="shared" si="663"/>
        <v>0</v>
      </c>
      <c r="DQ239" s="56">
        <f>IF(AND($E239&lt;&gt;0,$F239&gt;0,YEAR($F239)&gt;=Preisindex!$A$6,YEAR(DL$4)&gt;=YEAR($F239),AND($K239&lt;&gt;"a",$K239&lt;&gt;"b",$K239&lt;&gt;"g",$K239&lt;&gt;"k")),1,IF(AND($E239&lt;&gt;0,$F239&gt;0,YEAR($F239)&gt;=Preisindex!$A$6,YEAR(DL$4)&gt;=YEAR($F239),$K239="a"),ROUND(VLOOKUP(DQ$4,Preisindex,5,FALSE)/VLOOKUP(YEAR($F239),Preisindex,5,FALSE),2),IF(AND($E239&lt;&gt;0,$F239&gt;0,YEAR($F239)&gt;=Preisindex!$A$6,YEAR(DL$4)&gt;=YEAR($F239),$K239="b"),ROUND(VLOOKUP(DQ$4,Preisindex,3,FALSE)/VLOOKUP(YEAR($F239),Preisindex,3,FALSE),2),IF(AND($E239&lt;&gt;0,$F239&gt;0,YEAR($F239)&gt;=Preisindex!$A$6,YEAR(DL$4)&gt;=YEAR($F239),$K239="g"),ROUND(VLOOKUP(DQ$4,Preisindex,4,FALSE)/VLOOKUP(YEAR($F239),Preisindex,4,FALSE),2),IF(AND($E239&lt;&gt;0,$F239&gt;0,YEAR($F239)&gt;=Preisindex!$A$6,YEAR(DL$4)&gt;=YEAR($F239),$K239="k"),ROUND(VLOOKUP(DQ$4,Preisindex,2,FALSE)/VLOOKUP(YEAR($F239),Preisindex,2,FALSE),2),0)))))</f>
        <v>0</v>
      </c>
      <c r="DR239" s="56">
        <f>IF(AND($E239&lt;&gt;0,$F239&gt;0,YEAR($F239)&lt;Preisindex!$A$6,YEAR(DL$4)&gt;=YEAR($F239),AND($K239&lt;&gt;"a",$K239&lt;&gt;"b",$K239&lt;&gt;"g",$K239&lt;&gt;"k")),1,IF(AND($E239&lt;&gt;0,$F239&gt;0,YEAR($F239)&lt;Preisindex!$A$6,YEAR(DL$4)&gt;=YEAR($F239),$K239="a"),ROUND(VLOOKUP(DQ$4,Preisindex,5,FALSE)/VLOOKUP(Preisindex!$A$6,Preisindex,5,FALSE),2),IF(AND($E239&lt;&gt;0,$F239&gt;0,YEAR($F239)&lt;Preisindex!$A$6,YEAR(DL$4)&gt;=YEAR($F239),$K239="b"),ROUND(VLOOKUP(DQ$4,Preisindex,3,FALSE)/VLOOKUP(Preisindex!$A$6,Preisindex,3,FALSE),2),IF(AND($E239&lt;&gt;0,$F239&gt;0,YEAR($F239)&lt;Preisindex!$A$6,YEAR(DL$4)&gt;=YEAR($F239),$K239="g"),ROUND(VLOOKUP(DQ$4,Preisindex,4,FALSE)/VLOOKUP(Preisindex!$A$6,Preisindex,4,FALSE),2),IF(AND($E239&lt;&gt;0,$F239&gt;0,YEAR($F239)&lt;Preisindex!$A$6,YEAR(DL$4)&gt;=YEAR($F239),$K239="k"),ROUND(VLOOKUP(DQ$4,Preisindex,2,FALSE)/VLOOKUP(Preisindex!$A$6,Preisindex,2,FALSE),2),0)))))</f>
        <v>0</v>
      </c>
      <c r="DS239" s="51">
        <f>IF(AND($E239&lt;&gt;0,$F239&gt;0,YEAR($F239)&lt;=DQ$4,YEAR($F239)&gt;=Preisindex!$A$6),ROUND($E239*DQ239,2),IF(AND($E239&lt;&gt;0,$F239&gt;0,YEAR($F239)&lt;=DQ$4,YEAR($F239)&lt;Preisindex!$A$6),ROUND($E239*DR239,2),0))</f>
        <v>0</v>
      </c>
      <c r="DT239" s="53">
        <f t="shared" si="664"/>
        <v>0</v>
      </c>
      <c r="DU239" s="51">
        <f t="shared" si="751"/>
        <v>0</v>
      </c>
      <c r="DV239" s="51">
        <f t="shared" si="735"/>
        <v>0</v>
      </c>
      <c r="DW239" s="51">
        <f t="shared" si="665"/>
        <v>0</v>
      </c>
      <c r="DX239" s="51">
        <f t="shared" si="736"/>
        <v>0</v>
      </c>
      <c r="DY239" s="51">
        <f t="shared" si="666"/>
        <v>0</v>
      </c>
      <c r="DZ239" s="51">
        <f t="shared" si="737"/>
        <v>0</v>
      </c>
      <c r="EA239" s="51">
        <f t="shared" si="667"/>
        <v>0</v>
      </c>
      <c r="EB239" s="51">
        <f t="shared" si="738"/>
        <v>0</v>
      </c>
      <c r="EC239" s="51">
        <f t="shared" si="668"/>
        <v>0</v>
      </c>
      <c r="ED239" s="51">
        <f t="shared" si="739"/>
        <v>0</v>
      </c>
      <c r="EE239" s="51">
        <f t="shared" si="669"/>
        <v>0</v>
      </c>
      <c r="EF239" s="54">
        <f t="shared" si="670"/>
        <v>0</v>
      </c>
      <c r="EG239" s="55">
        <f t="shared" si="671"/>
        <v>0</v>
      </c>
      <c r="EH239" s="56">
        <f>IF(AND($E239&lt;&gt;0,$F239&gt;0,YEAR($F239)&gt;=Preisindex!$A$6,YEAR(EC$4)&gt;=YEAR($F239),AND($K239&lt;&gt;"a",$K239&lt;&gt;"b",$K239&lt;&gt;"g",$K239&lt;&gt;"k")),1,IF(AND($E239&lt;&gt;0,$F239&gt;0,YEAR($F239)&gt;=Preisindex!$A$6,YEAR(EC$4)&gt;=YEAR($F239),$K239="a"),ROUND(VLOOKUP(EH$4,Preisindex,5,FALSE)/VLOOKUP(YEAR($F239),Preisindex,5,FALSE),2),IF(AND($E239&lt;&gt;0,$F239&gt;0,YEAR($F239)&gt;=Preisindex!$A$6,YEAR(EC$4)&gt;=YEAR($F239),$K239="b"),ROUND(VLOOKUP(EH$4,Preisindex,3,FALSE)/VLOOKUP(YEAR($F239),Preisindex,3,FALSE),2),IF(AND($E239&lt;&gt;0,$F239&gt;0,YEAR($F239)&gt;=Preisindex!$A$6,YEAR(EC$4)&gt;=YEAR($F239),$K239="g"),ROUND(VLOOKUP(EH$4,Preisindex,4,FALSE)/VLOOKUP(YEAR($F239),Preisindex,4,FALSE),2),IF(AND($E239&lt;&gt;0,$F239&gt;0,YEAR($F239)&gt;=Preisindex!$A$6,YEAR(EC$4)&gt;=YEAR($F239),$K239="k"),ROUND(VLOOKUP(EH$4,Preisindex,2,FALSE)/VLOOKUP(YEAR($F239),Preisindex,2,FALSE),2),0)))))</f>
        <v>0</v>
      </c>
      <c r="EI239" s="56">
        <f>IF(AND($E239&lt;&gt;0,$F239&gt;0,YEAR($F239)&lt;Preisindex!$A$6,YEAR(EC$4)&gt;=YEAR($F239),AND($K239&lt;&gt;"a",$K239&lt;&gt;"b",$K239&lt;&gt;"g",$K239&lt;&gt;"k")),1,IF(AND($E239&lt;&gt;0,$F239&gt;0,YEAR($F239)&lt;Preisindex!$A$6,YEAR(EC$4)&gt;=YEAR($F239),$K239="a"),ROUND(VLOOKUP(EH$4,Preisindex,5,FALSE)/VLOOKUP(Preisindex!$A$6,Preisindex,5,FALSE),2),IF(AND($E239&lt;&gt;0,$F239&gt;0,YEAR($F239)&lt;Preisindex!$A$6,YEAR(EC$4)&gt;=YEAR($F239),$K239="b"),ROUND(VLOOKUP(EH$4,Preisindex,3,FALSE)/VLOOKUP(Preisindex!$A$6,Preisindex,3,FALSE),2),IF(AND($E239&lt;&gt;0,$F239&gt;0,YEAR($F239)&lt;Preisindex!$A$6,YEAR(EC$4)&gt;=YEAR($F239),$K239="g"),ROUND(VLOOKUP(EH$4,Preisindex,4,FALSE)/VLOOKUP(Preisindex!$A$6,Preisindex,4,FALSE),2),IF(AND($E239&lt;&gt;0,$F239&gt;0,YEAR($F239)&lt;Preisindex!$A$6,YEAR(EC$4)&gt;=YEAR($F239),$K239="k"),ROUND(VLOOKUP(EH$4,Preisindex,2,FALSE)/VLOOKUP(Preisindex!$A$6,Preisindex,2,FALSE),2),0)))))</f>
        <v>0</v>
      </c>
      <c r="EJ239" s="51">
        <f>IF(AND($E239&lt;&gt;0,$F239&gt;0,YEAR($F239)&lt;=EH$4,YEAR($F239)&gt;=Preisindex!$A$6),ROUND($E239*EH239,2),IF(AND($E239&lt;&gt;0,$F239&gt;0,YEAR($F239)&lt;=EH$4,YEAR($F239)&lt;Preisindex!$A$6),ROUND($E239*EI239,2),0))</f>
        <v>0</v>
      </c>
      <c r="EK239" s="53">
        <f t="shared" si="672"/>
        <v>0</v>
      </c>
      <c r="EL239" s="51">
        <f t="shared" si="751"/>
        <v>0</v>
      </c>
      <c r="EM239" s="51">
        <f t="shared" si="740"/>
        <v>0</v>
      </c>
      <c r="EN239" s="51">
        <f t="shared" si="673"/>
        <v>0</v>
      </c>
      <c r="EO239" s="51">
        <f t="shared" si="741"/>
        <v>0</v>
      </c>
      <c r="EP239" s="51">
        <f t="shared" si="674"/>
        <v>0</v>
      </c>
      <c r="EQ239" s="51">
        <f t="shared" si="742"/>
        <v>0</v>
      </c>
      <c r="ER239" s="51">
        <f t="shared" si="675"/>
        <v>0</v>
      </c>
      <c r="ES239" s="51">
        <f t="shared" si="743"/>
        <v>0</v>
      </c>
      <c r="ET239" s="51">
        <f t="shared" si="676"/>
        <v>0</v>
      </c>
      <c r="EU239" s="51">
        <f t="shared" si="744"/>
        <v>0</v>
      </c>
      <c r="EV239" s="51">
        <f t="shared" si="677"/>
        <v>0</v>
      </c>
      <c r="EW239" s="54">
        <f t="shared" si="678"/>
        <v>0</v>
      </c>
      <c r="EX239" s="55">
        <f t="shared" si="679"/>
        <v>0</v>
      </c>
      <c r="EY239" s="56">
        <f>IF(AND($E239&lt;&gt;0,$F239&gt;0,YEAR($F239)&gt;=Preisindex!$A$6,YEAR(ET$4)&gt;=YEAR($F239),AND($K239&lt;&gt;"a",$K239&lt;&gt;"b",$K239&lt;&gt;"g",$K239&lt;&gt;"k")),1,IF(AND($E239&lt;&gt;0,$F239&gt;0,YEAR($F239)&gt;=Preisindex!$A$6,YEAR(ET$4)&gt;=YEAR($F239),$K239="a"),ROUND(VLOOKUP(EY$4,Preisindex,5,FALSE)/VLOOKUP(YEAR($F239),Preisindex,5,FALSE),2),IF(AND($E239&lt;&gt;0,$F239&gt;0,YEAR($F239)&gt;=Preisindex!$A$6,YEAR(ET$4)&gt;=YEAR($F239),$K239="b"),ROUND(VLOOKUP(EY$4,Preisindex,3,FALSE)/VLOOKUP(YEAR($F239),Preisindex,3,FALSE),2),IF(AND($E239&lt;&gt;0,$F239&gt;0,YEAR($F239)&gt;=Preisindex!$A$6,YEAR(ET$4)&gt;=YEAR($F239),$K239="g"),ROUND(VLOOKUP(EY$4,Preisindex,4,FALSE)/VLOOKUP(YEAR($F239),Preisindex,4,FALSE),2),IF(AND($E239&lt;&gt;0,$F239&gt;0,YEAR($F239)&gt;=Preisindex!$A$6,YEAR(ET$4)&gt;=YEAR($F239),$K239="k"),ROUND(VLOOKUP(EY$4,Preisindex,2,FALSE)/VLOOKUP(YEAR($F239),Preisindex,2,FALSE),2),0)))))</f>
        <v>0</v>
      </c>
      <c r="EZ239" s="56">
        <f>IF(AND($E239&lt;&gt;0,$F239&gt;0,YEAR($F239)&lt;Preisindex!$A$6,YEAR(ET$4)&gt;=YEAR($F239),AND($K239&lt;&gt;"a",$K239&lt;&gt;"b",$K239&lt;&gt;"g",$K239&lt;&gt;"k")),1,IF(AND($E239&lt;&gt;0,$F239&gt;0,YEAR($F239)&lt;Preisindex!$A$6,YEAR(ET$4)&gt;=YEAR($F239),$K239="a"),ROUND(VLOOKUP(EY$4,Preisindex,5,FALSE)/VLOOKUP(Preisindex!$A$6,Preisindex,5,FALSE),2),IF(AND($E239&lt;&gt;0,$F239&gt;0,YEAR($F239)&lt;Preisindex!$A$6,YEAR(ET$4)&gt;=YEAR($F239),$K239="b"),ROUND(VLOOKUP(EY$4,Preisindex,3,FALSE)/VLOOKUP(Preisindex!$A$6,Preisindex,3,FALSE),2),IF(AND($E239&lt;&gt;0,$F239&gt;0,YEAR($F239)&lt;Preisindex!$A$6,YEAR(ET$4)&gt;=YEAR($F239),$K239="g"),ROUND(VLOOKUP(EY$4,Preisindex,4,FALSE)/VLOOKUP(Preisindex!$A$6,Preisindex,4,FALSE),2),IF(AND($E239&lt;&gt;0,$F239&gt;0,YEAR($F239)&lt;Preisindex!$A$6,YEAR(ET$4)&gt;=YEAR($F239),$K239="k"),ROUND(VLOOKUP(EY$4,Preisindex,2,FALSE)/VLOOKUP(Preisindex!$A$6,Preisindex,2,FALSE),2),0)))))</f>
        <v>0</v>
      </c>
      <c r="FA239" s="51">
        <f>IF(AND($E239&lt;&gt;0,$F239&gt;0,YEAR($F239)&lt;=EY$4,YEAR($F239)&gt;=Preisindex!$A$6),ROUND($E239*EY239,2),IF(AND($E239&lt;&gt;0,$F239&gt;0,YEAR($F239)&lt;=EY$4,YEAR($F239)&lt;Preisindex!$A$6),ROUND($E239*EZ239,2),0))</f>
        <v>0</v>
      </c>
      <c r="FB239" s="53">
        <f t="shared" si="680"/>
        <v>0</v>
      </c>
      <c r="FC239" s="51">
        <f t="shared" si="751"/>
        <v>0</v>
      </c>
      <c r="FD239" s="51">
        <f t="shared" si="745"/>
        <v>0</v>
      </c>
      <c r="FE239" s="51">
        <f t="shared" si="681"/>
        <v>0</v>
      </c>
      <c r="FF239" s="51">
        <f t="shared" si="746"/>
        <v>0</v>
      </c>
      <c r="FG239" s="51">
        <f t="shared" si="682"/>
        <v>0</v>
      </c>
      <c r="FH239" s="51">
        <f t="shared" si="747"/>
        <v>0</v>
      </c>
      <c r="FI239" s="51">
        <f t="shared" si="683"/>
        <v>0</v>
      </c>
      <c r="FJ239" s="51">
        <f t="shared" si="748"/>
        <v>0</v>
      </c>
      <c r="FK239" s="51">
        <f t="shared" si="684"/>
        <v>0</v>
      </c>
      <c r="FL239" s="51">
        <f t="shared" si="749"/>
        <v>0</v>
      </c>
      <c r="FM239" s="51">
        <f t="shared" si="685"/>
        <v>0</v>
      </c>
      <c r="FN239" s="54">
        <f t="shared" si="686"/>
        <v>0</v>
      </c>
      <c r="FO239" s="55">
        <f t="shared" si="687"/>
        <v>0</v>
      </c>
      <c r="FP239" s="56">
        <f>IF(AND($E239&lt;&gt;0,$F239&gt;0,YEAR($F239)&gt;=Preisindex!$A$6,YEAR(FK$4)&gt;=YEAR($F239),AND($K239&lt;&gt;"a",$K239&lt;&gt;"b",$K239&lt;&gt;"g",$K239&lt;&gt;"k")),1,IF(AND($E239&lt;&gt;0,$F239&gt;0,YEAR($F239)&gt;=Preisindex!$A$6,YEAR(FK$4)&gt;=YEAR($F239),$K239="a"),ROUND(VLOOKUP(FP$4,Preisindex,5,FALSE)/VLOOKUP(YEAR($F239),Preisindex,5,FALSE),2),IF(AND($E239&lt;&gt;0,$F239&gt;0,YEAR($F239)&gt;=Preisindex!$A$6,YEAR(FK$4)&gt;=YEAR($F239),$K239="b"),ROUND(VLOOKUP(FP$4,Preisindex,3,FALSE)/VLOOKUP(YEAR($F239),Preisindex,3,FALSE),2),IF(AND($E239&lt;&gt;0,$F239&gt;0,YEAR($F239)&gt;=Preisindex!$A$6,YEAR(FK$4)&gt;=YEAR($F239),$K239="g"),ROUND(VLOOKUP(FP$4,Preisindex,4,FALSE)/VLOOKUP(YEAR($F239),Preisindex,4,FALSE),2),IF(AND($E239&lt;&gt;0,$F239&gt;0,YEAR($F239)&gt;=Preisindex!$A$6,YEAR(FK$4)&gt;=YEAR($F239),$K239="k"),ROUND(VLOOKUP(FP$4,Preisindex,2,FALSE)/VLOOKUP(YEAR($F239),Preisindex,2,FALSE),2),0)))))</f>
        <v>0</v>
      </c>
      <c r="FQ239" s="56">
        <f>IF(AND($E239&lt;&gt;0,$F239&gt;0,YEAR($F239)&lt;Preisindex!$A$6,YEAR(FK$4)&gt;=YEAR($F239),AND($K239&lt;&gt;"a",$K239&lt;&gt;"b",$K239&lt;&gt;"g",$K239&lt;&gt;"k")),1,IF(AND($E239&lt;&gt;0,$F239&gt;0,YEAR($F239)&lt;Preisindex!$A$6,YEAR(FK$4)&gt;=YEAR($F239),$K239="a"),ROUND(VLOOKUP(FP$4,Preisindex,5,FALSE)/VLOOKUP(Preisindex!$A$6,Preisindex,5,FALSE),2),IF(AND($E239&lt;&gt;0,$F239&gt;0,YEAR($F239)&lt;Preisindex!$A$6,YEAR(FK$4)&gt;=YEAR($F239),$K239="b"),ROUND(VLOOKUP(FP$4,Preisindex,3,FALSE)/VLOOKUP(Preisindex!$A$6,Preisindex,3,FALSE),2),IF(AND($E239&lt;&gt;0,$F239&gt;0,YEAR($F239)&lt;Preisindex!$A$6,YEAR(FK$4)&gt;=YEAR($F239),$K239="g"),ROUND(VLOOKUP(FP$4,Preisindex,4,FALSE)/VLOOKUP(Preisindex!$A$6,Preisindex,4,FALSE),2),IF(AND($E239&lt;&gt;0,$F239&gt;0,YEAR($F239)&lt;Preisindex!$A$6,YEAR(FK$4)&gt;=YEAR($F239),$K239="k"),ROUND(VLOOKUP(FP$4,Preisindex,2,FALSE)/VLOOKUP(Preisindex!$A$6,Preisindex,2,FALSE),2),0)))))</f>
        <v>0</v>
      </c>
      <c r="FR239" s="51">
        <f>IF(AND($E239&lt;&gt;0,$F239&gt;0,YEAR($F239)&lt;=FP$4,YEAR($F239)&gt;=Preisindex!$A$6),ROUND($E239*FP239,2),IF(AND($E239&lt;&gt;0,$F239&gt;0,YEAR($F239)&lt;=FP$4,YEAR($F239)&lt;Preisindex!$A$6),ROUND($E239*FQ239,2),0))</f>
        <v>0</v>
      </c>
      <c r="FS239" s="53">
        <f t="shared" si="688"/>
        <v>0</v>
      </c>
    </row>
    <row r="240" spans="1:175" x14ac:dyDescent="0.3">
      <c r="A240" s="93"/>
      <c r="B240" s="94"/>
      <c r="C240" s="94"/>
      <c r="D240" s="188"/>
      <c r="E240" s="624"/>
      <c r="F240" s="190"/>
      <c r="G240" s="625"/>
      <c r="H240" s="192"/>
      <c r="I240" s="621"/>
      <c r="J240" s="103"/>
      <c r="K240" s="630"/>
      <c r="L240" s="49">
        <f t="shared" si="689"/>
        <v>0</v>
      </c>
      <c r="M240" s="50">
        <f t="shared" si="690"/>
        <v>0</v>
      </c>
      <c r="N240" s="51">
        <f t="shared" si="691"/>
        <v>0</v>
      </c>
      <c r="O240" s="51"/>
      <c r="P240" s="51">
        <f t="shared" si="692"/>
        <v>0</v>
      </c>
      <c r="Q240" s="52"/>
      <c r="R240" s="52"/>
      <c r="S240" s="52"/>
      <c r="T240" s="52"/>
      <c r="U240" s="52"/>
      <c r="V240" s="53">
        <f t="shared" si="693"/>
        <v>0</v>
      </c>
      <c r="W240" s="51">
        <f t="shared" si="694"/>
        <v>0</v>
      </c>
      <c r="X240" s="51">
        <f t="shared" si="695"/>
        <v>0</v>
      </c>
      <c r="Y240" s="51">
        <f t="shared" si="696"/>
        <v>0</v>
      </c>
      <c r="Z240" s="51">
        <f t="shared" si="697"/>
        <v>0</v>
      </c>
      <c r="AA240" s="51">
        <f t="shared" si="698"/>
        <v>0</v>
      </c>
      <c r="AB240" s="51">
        <f t="shared" si="699"/>
        <v>0</v>
      </c>
      <c r="AC240" s="51">
        <f t="shared" si="700"/>
        <v>0</v>
      </c>
      <c r="AD240" s="51">
        <f t="shared" si="701"/>
        <v>0</v>
      </c>
      <c r="AE240" s="51">
        <f t="shared" si="702"/>
        <v>0</v>
      </c>
      <c r="AF240" s="51">
        <f t="shared" si="703"/>
        <v>0</v>
      </c>
      <c r="AG240" s="51">
        <f t="shared" si="704"/>
        <v>0</v>
      </c>
      <c r="AH240" s="54">
        <f t="shared" si="705"/>
        <v>0</v>
      </c>
      <c r="AI240" s="55">
        <f t="shared" si="706"/>
        <v>0</v>
      </c>
      <c r="AJ240" s="56">
        <f>IF(AND($E240&lt;&gt;0,$F240&gt;0,YEAR($F240)&gt;=Preisindex!$A$6,YEAR(AE$4)&gt;=YEAR($F240),AND($K240&lt;&gt;"a",$K240&lt;&gt;"b",$K240&lt;&gt;"g",$K240&lt;&gt;"k")),1,IF(AND($E240&lt;&gt;0,$F240&gt;0,YEAR($F240)&gt;=Preisindex!$A$6,YEAR(AE$4)&gt;=YEAR($F240),$K240="a"),ROUND(VLOOKUP(AJ$4,Preisindex,5,FALSE)/VLOOKUP(YEAR($F240),Preisindex,5,FALSE),2),IF(AND($E240&lt;&gt;0,$F240&gt;0,YEAR($F240)&gt;=Preisindex!$A$6,YEAR(AE$4)&gt;=YEAR($F240),$K240="b"),ROUND(VLOOKUP(AJ$4,Preisindex,3,FALSE)/VLOOKUP(YEAR($F240),Preisindex,3,FALSE),2),IF(AND($E240&lt;&gt;0,$F240&gt;0,YEAR($F240)&gt;=Preisindex!$A$6,YEAR(AE$4)&gt;=YEAR($F240),$K240="g"),ROUND(VLOOKUP(AJ$4,Preisindex,4,FALSE)/VLOOKUP(YEAR($F240),Preisindex,4,FALSE),2),IF(AND($E240&lt;&gt;0,$F240&gt;0,YEAR($F240)&gt;=Preisindex!$A$6,YEAR(AE$4)&gt;=YEAR($F240),$K240="k"),ROUND(VLOOKUP(AJ$4,Preisindex,2,FALSE)/VLOOKUP(YEAR($F240),Preisindex,2,FALSE),2),0)))))</f>
        <v>0</v>
      </c>
      <c r="AK240" s="56">
        <f>IF(AND($E240&lt;&gt;0,$F240&gt;0,YEAR($F240)&lt;Preisindex!$A$6,YEAR(AE$4)&gt;=YEAR($F240),AND($K240&lt;&gt;"a",$K240&lt;&gt;"b",$K240&lt;&gt;"g",$K240&lt;&gt;"k")),1,IF(AND($E240&lt;&gt;0,$F240&gt;0,YEAR($F240)&lt;Preisindex!$A$6,YEAR(AE$4)&gt;=YEAR($F240),$K240="a"),ROUND(VLOOKUP(AJ$4,Preisindex,5,FALSE)/VLOOKUP(Preisindex!$A$6,Preisindex,5,FALSE),2),IF(AND($E240&lt;&gt;0,$F240&gt;0,YEAR($F240)&lt;Preisindex!$A$6,YEAR(AE$4)&gt;=YEAR($F240),$K240="b"),ROUND(VLOOKUP(AJ$4,Preisindex,3,FALSE)/VLOOKUP(Preisindex!$A$6,Preisindex,3,FALSE),2),IF(AND($E240&lt;&gt;0,$F240&gt;0,YEAR($F240)&lt;Preisindex!$A$6,YEAR(AE$4)&gt;=YEAR($F240),$K240="g"),ROUND(VLOOKUP(AJ$4,Preisindex,4,FALSE)/VLOOKUP(Preisindex!$A$6,Preisindex,4,FALSE),2),IF(AND($E240&lt;&gt;0,$F240&gt;0,YEAR($F240)&lt;Preisindex!$A$6,YEAR(AE$4)&gt;=YEAR($F240),$K240="k"),ROUND(VLOOKUP(AJ$4,Preisindex,2,FALSE)/VLOOKUP(Preisindex!$A$6,Preisindex,2,FALSE),2),0)))))</f>
        <v>0</v>
      </c>
      <c r="AL240" s="51">
        <f>IF(AND($E240&lt;&gt;0,$F240&gt;0,YEAR($F240)&lt;=AJ$4,YEAR($F240)&gt;=Preisindex!$A$6),ROUND($E240*AJ240,2),IF(AND($E240&lt;&gt;0,$F240&gt;0,YEAR($F240)&lt;=AJ$4,YEAR($F240)&lt;Preisindex!$A$6),ROUND($E240*AK240,2),0))</f>
        <v>0</v>
      </c>
      <c r="AM240" s="53">
        <f t="shared" si="707"/>
        <v>0</v>
      </c>
      <c r="AN240" s="51">
        <f t="shared" si="750"/>
        <v>0</v>
      </c>
      <c r="AO240" s="51">
        <f t="shared" si="710"/>
        <v>0</v>
      </c>
      <c r="AP240" s="51">
        <f t="shared" si="624"/>
        <v>0</v>
      </c>
      <c r="AQ240" s="51">
        <f t="shared" si="711"/>
        <v>0</v>
      </c>
      <c r="AR240" s="51">
        <f t="shared" si="625"/>
        <v>0</v>
      </c>
      <c r="AS240" s="51">
        <f t="shared" si="712"/>
        <v>0</v>
      </c>
      <c r="AT240" s="51">
        <f t="shared" si="626"/>
        <v>0</v>
      </c>
      <c r="AU240" s="51">
        <f t="shared" si="713"/>
        <v>0</v>
      </c>
      <c r="AV240" s="51">
        <f t="shared" si="627"/>
        <v>0</v>
      </c>
      <c r="AW240" s="51">
        <f t="shared" si="714"/>
        <v>0</v>
      </c>
      <c r="AX240" s="51">
        <f t="shared" si="628"/>
        <v>0</v>
      </c>
      <c r="AY240" s="54">
        <f t="shared" si="629"/>
        <v>0</v>
      </c>
      <c r="AZ240" s="55">
        <f t="shared" si="630"/>
        <v>0</v>
      </c>
      <c r="BA240" s="56">
        <f>IF(AND($E240&lt;&gt;0,$F240&gt;0,YEAR($F240)&gt;=Preisindex!$A$6,YEAR(AV$4)&gt;=YEAR($F240),AND($K240&lt;&gt;"a",$K240&lt;&gt;"b",$K240&lt;&gt;"g",$K240&lt;&gt;"k")),1,IF(AND($E240&lt;&gt;0,$F240&gt;0,YEAR($F240)&gt;=Preisindex!$A$6,YEAR(AV$4)&gt;=YEAR($F240),$K240="a"),ROUND(VLOOKUP(BA$4,Preisindex,5,FALSE)/VLOOKUP(YEAR($F240),Preisindex,5,FALSE),2),IF(AND($E240&lt;&gt;0,$F240&gt;0,YEAR($F240)&gt;=Preisindex!$A$6,YEAR(AV$4)&gt;=YEAR($F240),$K240="b"),ROUND(VLOOKUP(BA$4,Preisindex,3,FALSE)/VLOOKUP(YEAR($F240),Preisindex,3,FALSE),2),IF(AND($E240&lt;&gt;0,$F240&gt;0,YEAR($F240)&gt;=Preisindex!$A$6,YEAR(AV$4)&gt;=YEAR($F240),$K240="g"),ROUND(VLOOKUP(BA$4,Preisindex,4,FALSE)/VLOOKUP(YEAR($F240),Preisindex,4,FALSE),2),IF(AND($E240&lt;&gt;0,$F240&gt;0,YEAR($F240)&gt;=Preisindex!$A$6,YEAR(AV$4)&gt;=YEAR($F240),$K240="k"),ROUND(VLOOKUP(BA$4,Preisindex,2,FALSE)/VLOOKUP(YEAR($F240),Preisindex,2,FALSE),2),0)))))</f>
        <v>0</v>
      </c>
      <c r="BB240" s="56">
        <f>IF(AND($E240&lt;&gt;0,$F240&gt;0,YEAR($F240)&lt;Preisindex!$A$6,YEAR(AV$4)&gt;=YEAR($F240),AND($K240&lt;&gt;"a",$K240&lt;&gt;"b",$K240&lt;&gt;"g",$K240&lt;&gt;"k")),1,IF(AND($E240&lt;&gt;0,$F240&gt;0,YEAR($F240)&lt;Preisindex!$A$6,YEAR(AV$4)&gt;=YEAR($F240),$K240="a"),ROUND(VLOOKUP(BA$4,Preisindex,5,FALSE)/VLOOKUP(Preisindex!$A$6,Preisindex,5,FALSE),2),IF(AND($E240&lt;&gt;0,$F240&gt;0,YEAR($F240)&lt;Preisindex!$A$6,YEAR(AV$4)&gt;=YEAR($F240),$K240="b"),ROUND(VLOOKUP(BA$4,Preisindex,3,FALSE)/VLOOKUP(Preisindex!$A$6,Preisindex,3,FALSE),2),IF(AND($E240&lt;&gt;0,$F240&gt;0,YEAR($F240)&lt;Preisindex!$A$6,YEAR(AV$4)&gt;=YEAR($F240),$K240="g"),ROUND(VLOOKUP(BA$4,Preisindex,4,FALSE)/VLOOKUP(Preisindex!$A$6,Preisindex,4,FALSE),2),IF(AND($E240&lt;&gt;0,$F240&gt;0,YEAR($F240)&lt;Preisindex!$A$6,YEAR(AV$4)&gt;=YEAR($F240),$K240="k"),ROUND(VLOOKUP(BA$4,Preisindex,2,FALSE)/VLOOKUP(Preisindex!$A$6,Preisindex,2,FALSE),2),0)))))</f>
        <v>0</v>
      </c>
      <c r="BC240" s="51">
        <f>IF(AND($E240&lt;&gt;0,$F240&gt;0,YEAR($F240)&lt;=BA$4,YEAR($F240)&gt;=Preisindex!$A$6),ROUND($E240*BA240,2),IF(AND($E240&lt;&gt;0,$F240&gt;0,YEAR($F240)&lt;=BA$4,YEAR($F240)&lt;Preisindex!$A$6),ROUND($E240*BB240,2),0))</f>
        <v>0</v>
      </c>
      <c r="BD240" s="53">
        <f t="shared" si="631"/>
        <v>0</v>
      </c>
      <c r="BE240" s="51">
        <f t="shared" si="750"/>
        <v>0</v>
      </c>
      <c r="BF240" s="51">
        <f t="shared" si="715"/>
        <v>0</v>
      </c>
      <c r="BG240" s="51">
        <f t="shared" si="632"/>
        <v>0</v>
      </c>
      <c r="BH240" s="51">
        <f t="shared" si="716"/>
        <v>0</v>
      </c>
      <c r="BI240" s="51">
        <f t="shared" si="633"/>
        <v>0</v>
      </c>
      <c r="BJ240" s="51">
        <f t="shared" si="717"/>
        <v>0</v>
      </c>
      <c r="BK240" s="51">
        <f t="shared" si="634"/>
        <v>0</v>
      </c>
      <c r="BL240" s="51">
        <f t="shared" si="718"/>
        <v>0</v>
      </c>
      <c r="BM240" s="51">
        <f t="shared" si="635"/>
        <v>0</v>
      </c>
      <c r="BN240" s="51">
        <f t="shared" si="719"/>
        <v>0</v>
      </c>
      <c r="BO240" s="51">
        <f t="shared" si="636"/>
        <v>0</v>
      </c>
      <c r="BP240" s="54">
        <f t="shared" si="637"/>
        <v>0</v>
      </c>
      <c r="BQ240" s="55">
        <f t="shared" si="638"/>
        <v>0</v>
      </c>
      <c r="BR240" s="56">
        <f>IF(AND($E240&lt;&gt;0,$F240&gt;0,YEAR($F240)&gt;=Preisindex!$A$6,YEAR(BM$4)&gt;=YEAR($F240),AND($K240&lt;&gt;"a",$K240&lt;&gt;"b",$K240&lt;&gt;"g",$K240&lt;&gt;"k")),1,IF(AND($E240&lt;&gt;0,$F240&gt;0,YEAR($F240)&gt;=Preisindex!$A$6,YEAR(BM$4)&gt;=YEAR($F240),$K240="a"),ROUND(VLOOKUP(BR$4,Preisindex,5,FALSE)/VLOOKUP(YEAR($F240),Preisindex,5,FALSE),2),IF(AND($E240&lt;&gt;0,$F240&gt;0,YEAR($F240)&gt;=Preisindex!$A$6,YEAR(BM$4)&gt;=YEAR($F240),$K240="b"),ROUND(VLOOKUP(BR$4,Preisindex,3,FALSE)/VLOOKUP(YEAR($F240),Preisindex,3,FALSE),2),IF(AND($E240&lt;&gt;0,$F240&gt;0,YEAR($F240)&gt;=Preisindex!$A$6,YEAR(BM$4)&gt;=YEAR($F240),$K240="g"),ROUND(VLOOKUP(BR$4,Preisindex,4,FALSE)/VLOOKUP(YEAR($F240),Preisindex,4,FALSE),2),IF(AND($E240&lt;&gt;0,$F240&gt;0,YEAR($F240)&gt;=Preisindex!$A$6,YEAR(BM$4)&gt;=YEAR($F240),$K240="k"),ROUND(VLOOKUP(BR$4,Preisindex,2,FALSE)/VLOOKUP(YEAR($F240),Preisindex,2,FALSE),2),0)))))</f>
        <v>0</v>
      </c>
      <c r="BS240" s="56">
        <f>IF(AND($E240&lt;&gt;0,$F240&gt;0,YEAR($F240)&lt;Preisindex!$A$6,YEAR(BM$4)&gt;=YEAR($F240),AND($K240&lt;&gt;"a",$K240&lt;&gt;"b",$K240&lt;&gt;"g",$K240&lt;&gt;"k")),1,IF(AND($E240&lt;&gt;0,$F240&gt;0,YEAR($F240)&lt;Preisindex!$A$6,YEAR(BM$4)&gt;=YEAR($F240),$K240="a"),ROUND(VLOOKUP(BR$4,Preisindex,5,FALSE)/VLOOKUP(Preisindex!$A$6,Preisindex,5,FALSE),2),IF(AND($E240&lt;&gt;0,$F240&gt;0,YEAR($F240)&lt;Preisindex!$A$6,YEAR(BM$4)&gt;=YEAR($F240),$K240="b"),ROUND(VLOOKUP(BR$4,Preisindex,3,FALSE)/VLOOKUP(Preisindex!$A$6,Preisindex,3,FALSE),2),IF(AND($E240&lt;&gt;0,$F240&gt;0,YEAR($F240)&lt;Preisindex!$A$6,YEAR(BM$4)&gt;=YEAR($F240),$K240="g"),ROUND(VLOOKUP(BR$4,Preisindex,4,FALSE)/VLOOKUP(Preisindex!$A$6,Preisindex,4,FALSE),2),IF(AND($E240&lt;&gt;0,$F240&gt;0,YEAR($F240)&lt;Preisindex!$A$6,YEAR(BM$4)&gt;=YEAR($F240),$K240="k"),ROUND(VLOOKUP(BR$4,Preisindex,2,FALSE)/VLOOKUP(Preisindex!$A$6,Preisindex,2,FALSE),2),0)))))</f>
        <v>0</v>
      </c>
      <c r="BT240" s="51">
        <f>IF(AND($E240&lt;&gt;0,$F240&gt;0,YEAR($F240)&lt;=BR$4,YEAR($F240)&gt;=Preisindex!$A$6),ROUND($E240*BR240,2),IF(AND($E240&lt;&gt;0,$F240&gt;0,YEAR($F240)&lt;=BR$4,YEAR($F240)&lt;Preisindex!$A$6),ROUND($E240*BS240,2),0))</f>
        <v>0</v>
      </c>
      <c r="BU240" s="53">
        <f t="shared" si="639"/>
        <v>0</v>
      </c>
      <c r="BV240" s="51">
        <f t="shared" si="750"/>
        <v>0</v>
      </c>
      <c r="BW240" s="51">
        <f t="shared" si="720"/>
        <v>0</v>
      </c>
      <c r="BX240" s="51">
        <f t="shared" si="640"/>
        <v>0</v>
      </c>
      <c r="BY240" s="51">
        <f t="shared" si="721"/>
        <v>0</v>
      </c>
      <c r="BZ240" s="51">
        <f t="shared" si="641"/>
        <v>0</v>
      </c>
      <c r="CA240" s="51">
        <f t="shared" si="722"/>
        <v>0</v>
      </c>
      <c r="CB240" s="51">
        <f t="shared" si="642"/>
        <v>0</v>
      </c>
      <c r="CC240" s="51">
        <f t="shared" si="723"/>
        <v>0</v>
      </c>
      <c r="CD240" s="51">
        <f t="shared" si="643"/>
        <v>0</v>
      </c>
      <c r="CE240" s="51">
        <f t="shared" si="724"/>
        <v>0</v>
      </c>
      <c r="CF240" s="51">
        <f t="shared" si="644"/>
        <v>0</v>
      </c>
      <c r="CG240" s="54">
        <f t="shared" si="645"/>
        <v>0</v>
      </c>
      <c r="CH240" s="55">
        <f t="shared" si="646"/>
        <v>0</v>
      </c>
      <c r="CI240" s="56">
        <f>IF(AND($E240&lt;&gt;0,$F240&gt;0,YEAR($F240)&gt;=Preisindex!$A$6,YEAR(CD$4)&gt;=YEAR($F240),AND($K240&lt;&gt;"a",$K240&lt;&gt;"b",$K240&lt;&gt;"g",$K240&lt;&gt;"k")),1,IF(AND($E240&lt;&gt;0,$F240&gt;0,YEAR($F240)&gt;=Preisindex!$A$6,YEAR(CD$4)&gt;=YEAR($F240),$K240="a"),ROUND(VLOOKUP(CI$4,Preisindex,5,FALSE)/VLOOKUP(YEAR($F240),Preisindex,5,FALSE),2),IF(AND($E240&lt;&gt;0,$F240&gt;0,YEAR($F240)&gt;=Preisindex!$A$6,YEAR(CD$4)&gt;=YEAR($F240),$K240="b"),ROUND(VLOOKUP(CI$4,Preisindex,3,FALSE)/VLOOKUP(YEAR($F240),Preisindex,3,FALSE),2),IF(AND($E240&lt;&gt;0,$F240&gt;0,YEAR($F240)&gt;=Preisindex!$A$6,YEAR(CD$4)&gt;=YEAR($F240),$K240="g"),ROUND(VLOOKUP(CI$4,Preisindex,4,FALSE)/VLOOKUP(YEAR($F240),Preisindex,4,FALSE),2),IF(AND($E240&lt;&gt;0,$F240&gt;0,YEAR($F240)&gt;=Preisindex!$A$6,YEAR(CD$4)&gt;=YEAR($F240),$K240="k"),ROUND(VLOOKUP(CI$4,Preisindex,2,FALSE)/VLOOKUP(YEAR($F240),Preisindex,2,FALSE),2),0)))))</f>
        <v>0</v>
      </c>
      <c r="CJ240" s="56">
        <f>IF(AND($E240&lt;&gt;0,$F240&gt;0,YEAR($F240)&lt;Preisindex!$A$6,YEAR(CD$4)&gt;=YEAR($F240),AND($K240&lt;&gt;"a",$K240&lt;&gt;"b",$K240&lt;&gt;"g",$K240&lt;&gt;"k")),1,IF(AND($E240&lt;&gt;0,$F240&gt;0,YEAR($F240)&lt;Preisindex!$A$6,YEAR(CD$4)&gt;=YEAR($F240),$K240="a"),ROUND(VLOOKUP(CI$4,Preisindex,5,FALSE)/VLOOKUP(Preisindex!$A$6,Preisindex,5,FALSE),2),IF(AND($E240&lt;&gt;0,$F240&gt;0,YEAR($F240)&lt;Preisindex!$A$6,YEAR(CD$4)&gt;=YEAR($F240),$K240="b"),ROUND(VLOOKUP(CI$4,Preisindex,3,FALSE)/VLOOKUP(Preisindex!$A$6,Preisindex,3,FALSE),2),IF(AND($E240&lt;&gt;0,$F240&gt;0,YEAR($F240)&lt;Preisindex!$A$6,YEAR(CD$4)&gt;=YEAR($F240),$K240="g"),ROUND(VLOOKUP(CI$4,Preisindex,4,FALSE)/VLOOKUP(Preisindex!$A$6,Preisindex,4,FALSE),2),IF(AND($E240&lt;&gt;0,$F240&gt;0,YEAR($F240)&lt;Preisindex!$A$6,YEAR(CD$4)&gt;=YEAR($F240),$K240="k"),ROUND(VLOOKUP(CI$4,Preisindex,2,FALSE)/VLOOKUP(Preisindex!$A$6,Preisindex,2,FALSE),2),0)))))</f>
        <v>0</v>
      </c>
      <c r="CK240" s="51">
        <f>IF(AND($E240&lt;&gt;0,$F240&gt;0,YEAR($F240)&lt;=CI$4,YEAR($F240)&gt;=Preisindex!$A$6),ROUND($E240*CI240,2),IF(AND($E240&lt;&gt;0,$F240&gt;0,YEAR($F240)&lt;=CI$4,YEAR($F240)&lt;Preisindex!$A$6),ROUND($E240*CJ240,2),0))</f>
        <v>0</v>
      </c>
      <c r="CL240" s="53">
        <f t="shared" si="647"/>
        <v>0</v>
      </c>
      <c r="CM240" s="51">
        <f t="shared" si="750"/>
        <v>0</v>
      </c>
      <c r="CN240" s="51">
        <f t="shared" si="725"/>
        <v>0</v>
      </c>
      <c r="CO240" s="51">
        <f t="shared" si="648"/>
        <v>0</v>
      </c>
      <c r="CP240" s="51">
        <f t="shared" si="726"/>
        <v>0</v>
      </c>
      <c r="CQ240" s="51">
        <f t="shared" si="649"/>
        <v>0</v>
      </c>
      <c r="CR240" s="51">
        <f t="shared" si="727"/>
        <v>0</v>
      </c>
      <c r="CS240" s="51">
        <f t="shared" si="650"/>
        <v>0</v>
      </c>
      <c r="CT240" s="51">
        <f t="shared" si="728"/>
        <v>0</v>
      </c>
      <c r="CU240" s="51">
        <f t="shared" si="651"/>
        <v>0</v>
      </c>
      <c r="CV240" s="51">
        <f t="shared" si="729"/>
        <v>0</v>
      </c>
      <c r="CW240" s="51">
        <f t="shared" si="652"/>
        <v>0</v>
      </c>
      <c r="CX240" s="54">
        <f t="shared" si="653"/>
        <v>0</v>
      </c>
      <c r="CY240" s="55">
        <f t="shared" si="654"/>
        <v>0</v>
      </c>
      <c r="CZ240" s="56">
        <f>IF(AND($E240&lt;&gt;0,$F240&gt;0,YEAR($F240)&gt;=Preisindex!$A$6,YEAR(CU$4)&gt;=YEAR($F240),AND($K240&lt;&gt;"a",$K240&lt;&gt;"b",$K240&lt;&gt;"g",$K240&lt;&gt;"k")),1,IF(AND($E240&lt;&gt;0,$F240&gt;0,YEAR($F240)&gt;=Preisindex!$A$6,YEAR(CU$4)&gt;=YEAR($F240),$K240="a"),ROUND(VLOOKUP(CZ$4,Preisindex,5,FALSE)/VLOOKUP(YEAR($F240),Preisindex,5,FALSE),2),IF(AND($E240&lt;&gt;0,$F240&gt;0,YEAR($F240)&gt;=Preisindex!$A$6,YEAR(CU$4)&gt;=YEAR($F240),$K240="b"),ROUND(VLOOKUP(CZ$4,Preisindex,3,FALSE)/VLOOKUP(YEAR($F240),Preisindex,3,FALSE),2),IF(AND($E240&lt;&gt;0,$F240&gt;0,YEAR($F240)&gt;=Preisindex!$A$6,YEAR(CU$4)&gt;=YEAR($F240),$K240="g"),ROUND(VLOOKUP(CZ$4,Preisindex,4,FALSE)/VLOOKUP(YEAR($F240),Preisindex,4,FALSE),2),IF(AND($E240&lt;&gt;0,$F240&gt;0,YEAR($F240)&gt;=Preisindex!$A$6,YEAR(CU$4)&gt;=YEAR($F240),$K240="k"),ROUND(VLOOKUP(CZ$4,Preisindex,2,FALSE)/VLOOKUP(YEAR($F240),Preisindex,2,FALSE),2),0)))))</f>
        <v>0</v>
      </c>
      <c r="DA240" s="56">
        <f>IF(AND($E240&lt;&gt;0,$F240&gt;0,YEAR($F240)&lt;Preisindex!$A$6,YEAR(CU$4)&gt;=YEAR($F240),AND($K240&lt;&gt;"a",$K240&lt;&gt;"b",$K240&lt;&gt;"g",$K240&lt;&gt;"k")),1,IF(AND($E240&lt;&gt;0,$F240&gt;0,YEAR($F240)&lt;Preisindex!$A$6,YEAR(CU$4)&gt;=YEAR($F240),$K240="a"),ROUND(VLOOKUP(CZ$4,Preisindex,5,FALSE)/VLOOKUP(Preisindex!$A$6,Preisindex,5,FALSE),2),IF(AND($E240&lt;&gt;0,$F240&gt;0,YEAR($F240)&lt;Preisindex!$A$6,YEAR(CU$4)&gt;=YEAR($F240),$K240="b"),ROUND(VLOOKUP(CZ$4,Preisindex,3,FALSE)/VLOOKUP(Preisindex!$A$6,Preisindex,3,FALSE),2),IF(AND($E240&lt;&gt;0,$F240&gt;0,YEAR($F240)&lt;Preisindex!$A$6,YEAR(CU$4)&gt;=YEAR($F240),$K240="g"),ROUND(VLOOKUP(CZ$4,Preisindex,4,FALSE)/VLOOKUP(Preisindex!$A$6,Preisindex,4,FALSE),2),IF(AND($E240&lt;&gt;0,$F240&gt;0,YEAR($F240)&lt;Preisindex!$A$6,YEAR(CU$4)&gt;=YEAR($F240),$K240="k"),ROUND(VLOOKUP(CZ$4,Preisindex,2,FALSE)/VLOOKUP(Preisindex!$A$6,Preisindex,2,FALSE),2),0)))))</f>
        <v>0</v>
      </c>
      <c r="DB240" s="51">
        <f>IF(AND($E240&lt;&gt;0,$F240&gt;0,YEAR($F240)&lt;=CZ$4,YEAR($F240)&gt;=Preisindex!$A$6),ROUND($E240*CZ240,2),IF(AND($E240&lt;&gt;0,$F240&gt;0,YEAR($F240)&lt;=CZ$4,YEAR($F240)&lt;Preisindex!$A$6),ROUND($E240*DA240,2),0))</f>
        <v>0</v>
      </c>
      <c r="DC240" s="53">
        <f t="shared" si="655"/>
        <v>0</v>
      </c>
      <c r="DD240" s="51">
        <f t="shared" si="751"/>
        <v>0</v>
      </c>
      <c r="DE240" s="51">
        <f t="shared" si="730"/>
        <v>0</v>
      </c>
      <c r="DF240" s="51">
        <f t="shared" si="657"/>
        <v>0</v>
      </c>
      <c r="DG240" s="51">
        <f t="shared" si="731"/>
        <v>0</v>
      </c>
      <c r="DH240" s="51">
        <f t="shared" si="658"/>
        <v>0</v>
      </c>
      <c r="DI240" s="51">
        <f t="shared" si="732"/>
        <v>0</v>
      </c>
      <c r="DJ240" s="51">
        <f t="shared" si="659"/>
        <v>0</v>
      </c>
      <c r="DK240" s="51">
        <f t="shared" si="733"/>
        <v>0</v>
      </c>
      <c r="DL240" s="51">
        <f t="shared" si="660"/>
        <v>0</v>
      </c>
      <c r="DM240" s="51">
        <f t="shared" si="734"/>
        <v>0</v>
      </c>
      <c r="DN240" s="51">
        <f t="shared" si="661"/>
        <v>0</v>
      </c>
      <c r="DO240" s="54">
        <f t="shared" si="662"/>
        <v>0</v>
      </c>
      <c r="DP240" s="55">
        <f t="shared" si="663"/>
        <v>0</v>
      </c>
      <c r="DQ240" s="56">
        <f>IF(AND($E240&lt;&gt;0,$F240&gt;0,YEAR($F240)&gt;=Preisindex!$A$6,YEAR(DL$4)&gt;=YEAR($F240),AND($K240&lt;&gt;"a",$K240&lt;&gt;"b",$K240&lt;&gt;"g",$K240&lt;&gt;"k")),1,IF(AND($E240&lt;&gt;0,$F240&gt;0,YEAR($F240)&gt;=Preisindex!$A$6,YEAR(DL$4)&gt;=YEAR($F240),$K240="a"),ROUND(VLOOKUP(DQ$4,Preisindex,5,FALSE)/VLOOKUP(YEAR($F240),Preisindex,5,FALSE),2),IF(AND($E240&lt;&gt;0,$F240&gt;0,YEAR($F240)&gt;=Preisindex!$A$6,YEAR(DL$4)&gt;=YEAR($F240),$K240="b"),ROUND(VLOOKUP(DQ$4,Preisindex,3,FALSE)/VLOOKUP(YEAR($F240),Preisindex,3,FALSE),2),IF(AND($E240&lt;&gt;0,$F240&gt;0,YEAR($F240)&gt;=Preisindex!$A$6,YEAR(DL$4)&gt;=YEAR($F240),$K240="g"),ROUND(VLOOKUP(DQ$4,Preisindex,4,FALSE)/VLOOKUP(YEAR($F240),Preisindex,4,FALSE),2),IF(AND($E240&lt;&gt;0,$F240&gt;0,YEAR($F240)&gt;=Preisindex!$A$6,YEAR(DL$4)&gt;=YEAR($F240),$K240="k"),ROUND(VLOOKUP(DQ$4,Preisindex,2,FALSE)/VLOOKUP(YEAR($F240),Preisindex,2,FALSE),2),0)))))</f>
        <v>0</v>
      </c>
      <c r="DR240" s="56">
        <f>IF(AND($E240&lt;&gt;0,$F240&gt;0,YEAR($F240)&lt;Preisindex!$A$6,YEAR(DL$4)&gt;=YEAR($F240),AND($K240&lt;&gt;"a",$K240&lt;&gt;"b",$K240&lt;&gt;"g",$K240&lt;&gt;"k")),1,IF(AND($E240&lt;&gt;0,$F240&gt;0,YEAR($F240)&lt;Preisindex!$A$6,YEAR(DL$4)&gt;=YEAR($F240),$K240="a"),ROUND(VLOOKUP(DQ$4,Preisindex,5,FALSE)/VLOOKUP(Preisindex!$A$6,Preisindex,5,FALSE),2),IF(AND($E240&lt;&gt;0,$F240&gt;0,YEAR($F240)&lt;Preisindex!$A$6,YEAR(DL$4)&gt;=YEAR($F240),$K240="b"),ROUND(VLOOKUP(DQ$4,Preisindex,3,FALSE)/VLOOKUP(Preisindex!$A$6,Preisindex,3,FALSE),2),IF(AND($E240&lt;&gt;0,$F240&gt;0,YEAR($F240)&lt;Preisindex!$A$6,YEAR(DL$4)&gt;=YEAR($F240),$K240="g"),ROUND(VLOOKUP(DQ$4,Preisindex,4,FALSE)/VLOOKUP(Preisindex!$A$6,Preisindex,4,FALSE),2),IF(AND($E240&lt;&gt;0,$F240&gt;0,YEAR($F240)&lt;Preisindex!$A$6,YEAR(DL$4)&gt;=YEAR($F240),$K240="k"),ROUND(VLOOKUP(DQ$4,Preisindex,2,FALSE)/VLOOKUP(Preisindex!$A$6,Preisindex,2,FALSE),2),0)))))</f>
        <v>0</v>
      </c>
      <c r="DS240" s="51">
        <f>IF(AND($E240&lt;&gt;0,$F240&gt;0,YEAR($F240)&lt;=DQ$4,YEAR($F240)&gt;=Preisindex!$A$6),ROUND($E240*DQ240,2),IF(AND($E240&lt;&gt;0,$F240&gt;0,YEAR($F240)&lt;=DQ$4,YEAR($F240)&lt;Preisindex!$A$6),ROUND($E240*DR240,2),0))</f>
        <v>0</v>
      </c>
      <c r="DT240" s="53">
        <f t="shared" si="664"/>
        <v>0</v>
      </c>
      <c r="DU240" s="51">
        <f t="shared" si="751"/>
        <v>0</v>
      </c>
      <c r="DV240" s="51">
        <f t="shared" si="735"/>
        <v>0</v>
      </c>
      <c r="DW240" s="51">
        <f t="shared" si="665"/>
        <v>0</v>
      </c>
      <c r="DX240" s="51">
        <f t="shared" si="736"/>
        <v>0</v>
      </c>
      <c r="DY240" s="51">
        <f t="shared" si="666"/>
        <v>0</v>
      </c>
      <c r="DZ240" s="51">
        <f t="shared" si="737"/>
        <v>0</v>
      </c>
      <c r="EA240" s="51">
        <f t="shared" si="667"/>
        <v>0</v>
      </c>
      <c r="EB240" s="51">
        <f t="shared" si="738"/>
        <v>0</v>
      </c>
      <c r="EC240" s="51">
        <f t="shared" si="668"/>
        <v>0</v>
      </c>
      <c r="ED240" s="51">
        <f t="shared" si="739"/>
        <v>0</v>
      </c>
      <c r="EE240" s="51">
        <f t="shared" si="669"/>
        <v>0</v>
      </c>
      <c r="EF240" s="54">
        <f t="shared" si="670"/>
        <v>0</v>
      </c>
      <c r="EG240" s="55">
        <f t="shared" si="671"/>
        <v>0</v>
      </c>
      <c r="EH240" s="56">
        <f>IF(AND($E240&lt;&gt;0,$F240&gt;0,YEAR($F240)&gt;=Preisindex!$A$6,YEAR(EC$4)&gt;=YEAR($F240),AND($K240&lt;&gt;"a",$K240&lt;&gt;"b",$K240&lt;&gt;"g",$K240&lt;&gt;"k")),1,IF(AND($E240&lt;&gt;0,$F240&gt;0,YEAR($F240)&gt;=Preisindex!$A$6,YEAR(EC$4)&gt;=YEAR($F240),$K240="a"),ROUND(VLOOKUP(EH$4,Preisindex,5,FALSE)/VLOOKUP(YEAR($F240),Preisindex,5,FALSE),2),IF(AND($E240&lt;&gt;0,$F240&gt;0,YEAR($F240)&gt;=Preisindex!$A$6,YEAR(EC$4)&gt;=YEAR($F240),$K240="b"),ROUND(VLOOKUP(EH$4,Preisindex,3,FALSE)/VLOOKUP(YEAR($F240),Preisindex,3,FALSE),2),IF(AND($E240&lt;&gt;0,$F240&gt;0,YEAR($F240)&gt;=Preisindex!$A$6,YEAR(EC$4)&gt;=YEAR($F240),$K240="g"),ROUND(VLOOKUP(EH$4,Preisindex,4,FALSE)/VLOOKUP(YEAR($F240),Preisindex,4,FALSE),2),IF(AND($E240&lt;&gt;0,$F240&gt;0,YEAR($F240)&gt;=Preisindex!$A$6,YEAR(EC$4)&gt;=YEAR($F240),$K240="k"),ROUND(VLOOKUP(EH$4,Preisindex,2,FALSE)/VLOOKUP(YEAR($F240),Preisindex,2,FALSE),2),0)))))</f>
        <v>0</v>
      </c>
      <c r="EI240" s="56">
        <f>IF(AND($E240&lt;&gt;0,$F240&gt;0,YEAR($F240)&lt;Preisindex!$A$6,YEAR(EC$4)&gt;=YEAR($F240),AND($K240&lt;&gt;"a",$K240&lt;&gt;"b",$K240&lt;&gt;"g",$K240&lt;&gt;"k")),1,IF(AND($E240&lt;&gt;0,$F240&gt;0,YEAR($F240)&lt;Preisindex!$A$6,YEAR(EC$4)&gt;=YEAR($F240),$K240="a"),ROUND(VLOOKUP(EH$4,Preisindex,5,FALSE)/VLOOKUP(Preisindex!$A$6,Preisindex,5,FALSE),2),IF(AND($E240&lt;&gt;0,$F240&gt;0,YEAR($F240)&lt;Preisindex!$A$6,YEAR(EC$4)&gt;=YEAR($F240),$K240="b"),ROUND(VLOOKUP(EH$4,Preisindex,3,FALSE)/VLOOKUP(Preisindex!$A$6,Preisindex,3,FALSE),2),IF(AND($E240&lt;&gt;0,$F240&gt;0,YEAR($F240)&lt;Preisindex!$A$6,YEAR(EC$4)&gt;=YEAR($F240),$K240="g"),ROUND(VLOOKUP(EH$4,Preisindex,4,FALSE)/VLOOKUP(Preisindex!$A$6,Preisindex,4,FALSE),2),IF(AND($E240&lt;&gt;0,$F240&gt;0,YEAR($F240)&lt;Preisindex!$A$6,YEAR(EC$4)&gt;=YEAR($F240),$K240="k"),ROUND(VLOOKUP(EH$4,Preisindex,2,FALSE)/VLOOKUP(Preisindex!$A$6,Preisindex,2,FALSE),2),0)))))</f>
        <v>0</v>
      </c>
      <c r="EJ240" s="51">
        <f>IF(AND($E240&lt;&gt;0,$F240&gt;0,YEAR($F240)&lt;=EH$4,YEAR($F240)&gt;=Preisindex!$A$6),ROUND($E240*EH240,2),IF(AND($E240&lt;&gt;0,$F240&gt;0,YEAR($F240)&lt;=EH$4,YEAR($F240)&lt;Preisindex!$A$6),ROUND($E240*EI240,2),0))</f>
        <v>0</v>
      </c>
      <c r="EK240" s="53">
        <f t="shared" si="672"/>
        <v>0</v>
      </c>
      <c r="EL240" s="51">
        <f t="shared" si="751"/>
        <v>0</v>
      </c>
      <c r="EM240" s="51">
        <f t="shared" si="740"/>
        <v>0</v>
      </c>
      <c r="EN240" s="51">
        <f t="shared" si="673"/>
        <v>0</v>
      </c>
      <c r="EO240" s="51">
        <f t="shared" si="741"/>
        <v>0</v>
      </c>
      <c r="EP240" s="51">
        <f t="shared" si="674"/>
        <v>0</v>
      </c>
      <c r="EQ240" s="51">
        <f t="shared" si="742"/>
        <v>0</v>
      </c>
      <c r="ER240" s="51">
        <f t="shared" si="675"/>
        <v>0</v>
      </c>
      <c r="ES240" s="51">
        <f t="shared" si="743"/>
        <v>0</v>
      </c>
      <c r="ET240" s="51">
        <f t="shared" si="676"/>
        <v>0</v>
      </c>
      <c r="EU240" s="51">
        <f t="shared" si="744"/>
        <v>0</v>
      </c>
      <c r="EV240" s="51">
        <f t="shared" si="677"/>
        <v>0</v>
      </c>
      <c r="EW240" s="54">
        <f t="shared" si="678"/>
        <v>0</v>
      </c>
      <c r="EX240" s="55">
        <f t="shared" si="679"/>
        <v>0</v>
      </c>
      <c r="EY240" s="56">
        <f>IF(AND($E240&lt;&gt;0,$F240&gt;0,YEAR($F240)&gt;=Preisindex!$A$6,YEAR(ET$4)&gt;=YEAR($F240),AND($K240&lt;&gt;"a",$K240&lt;&gt;"b",$K240&lt;&gt;"g",$K240&lt;&gt;"k")),1,IF(AND($E240&lt;&gt;0,$F240&gt;0,YEAR($F240)&gt;=Preisindex!$A$6,YEAR(ET$4)&gt;=YEAR($F240),$K240="a"),ROUND(VLOOKUP(EY$4,Preisindex,5,FALSE)/VLOOKUP(YEAR($F240),Preisindex,5,FALSE),2),IF(AND($E240&lt;&gt;0,$F240&gt;0,YEAR($F240)&gt;=Preisindex!$A$6,YEAR(ET$4)&gt;=YEAR($F240),$K240="b"),ROUND(VLOOKUP(EY$4,Preisindex,3,FALSE)/VLOOKUP(YEAR($F240),Preisindex,3,FALSE),2),IF(AND($E240&lt;&gt;0,$F240&gt;0,YEAR($F240)&gt;=Preisindex!$A$6,YEAR(ET$4)&gt;=YEAR($F240),$K240="g"),ROUND(VLOOKUP(EY$4,Preisindex,4,FALSE)/VLOOKUP(YEAR($F240),Preisindex,4,FALSE),2),IF(AND($E240&lt;&gt;0,$F240&gt;0,YEAR($F240)&gt;=Preisindex!$A$6,YEAR(ET$4)&gt;=YEAR($F240),$K240="k"),ROUND(VLOOKUP(EY$4,Preisindex,2,FALSE)/VLOOKUP(YEAR($F240),Preisindex,2,FALSE),2),0)))))</f>
        <v>0</v>
      </c>
      <c r="EZ240" s="56">
        <f>IF(AND($E240&lt;&gt;0,$F240&gt;0,YEAR($F240)&lt;Preisindex!$A$6,YEAR(ET$4)&gt;=YEAR($F240),AND($K240&lt;&gt;"a",$K240&lt;&gt;"b",$K240&lt;&gt;"g",$K240&lt;&gt;"k")),1,IF(AND($E240&lt;&gt;0,$F240&gt;0,YEAR($F240)&lt;Preisindex!$A$6,YEAR(ET$4)&gt;=YEAR($F240),$K240="a"),ROUND(VLOOKUP(EY$4,Preisindex,5,FALSE)/VLOOKUP(Preisindex!$A$6,Preisindex,5,FALSE),2),IF(AND($E240&lt;&gt;0,$F240&gt;0,YEAR($F240)&lt;Preisindex!$A$6,YEAR(ET$4)&gt;=YEAR($F240),$K240="b"),ROUND(VLOOKUP(EY$4,Preisindex,3,FALSE)/VLOOKUP(Preisindex!$A$6,Preisindex,3,FALSE),2),IF(AND($E240&lt;&gt;0,$F240&gt;0,YEAR($F240)&lt;Preisindex!$A$6,YEAR(ET$4)&gt;=YEAR($F240),$K240="g"),ROUND(VLOOKUP(EY$4,Preisindex,4,FALSE)/VLOOKUP(Preisindex!$A$6,Preisindex,4,FALSE),2),IF(AND($E240&lt;&gt;0,$F240&gt;0,YEAR($F240)&lt;Preisindex!$A$6,YEAR(ET$4)&gt;=YEAR($F240),$K240="k"),ROUND(VLOOKUP(EY$4,Preisindex,2,FALSE)/VLOOKUP(Preisindex!$A$6,Preisindex,2,FALSE),2),0)))))</f>
        <v>0</v>
      </c>
      <c r="FA240" s="51">
        <f>IF(AND($E240&lt;&gt;0,$F240&gt;0,YEAR($F240)&lt;=EY$4,YEAR($F240)&gt;=Preisindex!$A$6),ROUND($E240*EY240,2),IF(AND($E240&lt;&gt;0,$F240&gt;0,YEAR($F240)&lt;=EY$4,YEAR($F240)&lt;Preisindex!$A$6),ROUND($E240*EZ240,2),0))</f>
        <v>0</v>
      </c>
      <c r="FB240" s="53">
        <f t="shared" si="680"/>
        <v>0</v>
      </c>
      <c r="FC240" s="51">
        <f t="shared" si="751"/>
        <v>0</v>
      </c>
      <c r="FD240" s="51">
        <f t="shared" si="745"/>
        <v>0</v>
      </c>
      <c r="FE240" s="51">
        <f t="shared" si="681"/>
        <v>0</v>
      </c>
      <c r="FF240" s="51">
        <f t="shared" si="746"/>
        <v>0</v>
      </c>
      <c r="FG240" s="51">
        <f t="shared" si="682"/>
        <v>0</v>
      </c>
      <c r="FH240" s="51">
        <f t="shared" si="747"/>
        <v>0</v>
      </c>
      <c r="FI240" s="51">
        <f t="shared" si="683"/>
        <v>0</v>
      </c>
      <c r="FJ240" s="51">
        <f t="shared" si="748"/>
        <v>0</v>
      </c>
      <c r="FK240" s="51">
        <f t="shared" si="684"/>
        <v>0</v>
      </c>
      <c r="FL240" s="51">
        <f t="shared" si="749"/>
        <v>0</v>
      </c>
      <c r="FM240" s="51">
        <f t="shared" si="685"/>
        <v>0</v>
      </c>
      <c r="FN240" s="54">
        <f t="shared" si="686"/>
        <v>0</v>
      </c>
      <c r="FO240" s="55">
        <f t="shared" si="687"/>
        <v>0</v>
      </c>
      <c r="FP240" s="56">
        <f>IF(AND($E240&lt;&gt;0,$F240&gt;0,YEAR($F240)&gt;=Preisindex!$A$6,YEAR(FK$4)&gt;=YEAR($F240),AND($K240&lt;&gt;"a",$K240&lt;&gt;"b",$K240&lt;&gt;"g",$K240&lt;&gt;"k")),1,IF(AND($E240&lt;&gt;0,$F240&gt;0,YEAR($F240)&gt;=Preisindex!$A$6,YEAR(FK$4)&gt;=YEAR($F240),$K240="a"),ROUND(VLOOKUP(FP$4,Preisindex,5,FALSE)/VLOOKUP(YEAR($F240),Preisindex,5,FALSE),2),IF(AND($E240&lt;&gt;0,$F240&gt;0,YEAR($F240)&gt;=Preisindex!$A$6,YEAR(FK$4)&gt;=YEAR($F240),$K240="b"),ROUND(VLOOKUP(FP$4,Preisindex,3,FALSE)/VLOOKUP(YEAR($F240),Preisindex,3,FALSE),2),IF(AND($E240&lt;&gt;0,$F240&gt;0,YEAR($F240)&gt;=Preisindex!$A$6,YEAR(FK$4)&gt;=YEAR($F240),$K240="g"),ROUND(VLOOKUP(FP$4,Preisindex,4,FALSE)/VLOOKUP(YEAR($F240),Preisindex,4,FALSE),2),IF(AND($E240&lt;&gt;0,$F240&gt;0,YEAR($F240)&gt;=Preisindex!$A$6,YEAR(FK$4)&gt;=YEAR($F240),$K240="k"),ROUND(VLOOKUP(FP$4,Preisindex,2,FALSE)/VLOOKUP(YEAR($F240),Preisindex,2,FALSE),2),0)))))</f>
        <v>0</v>
      </c>
      <c r="FQ240" s="56">
        <f>IF(AND($E240&lt;&gt;0,$F240&gt;0,YEAR($F240)&lt;Preisindex!$A$6,YEAR(FK$4)&gt;=YEAR($F240),AND($K240&lt;&gt;"a",$K240&lt;&gt;"b",$K240&lt;&gt;"g",$K240&lt;&gt;"k")),1,IF(AND($E240&lt;&gt;0,$F240&gt;0,YEAR($F240)&lt;Preisindex!$A$6,YEAR(FK$4)&gt;=YEAR($F240),$K240="a"),ROUND(VLOOKUP(FP$4,Preisindex,5,FALSE)/VLOOKUP(Preisindex!$A$6,Preisindex,5,FALSE),2),IF(AND($E240&lt;&gt;0,$F240&gt;0,YEAR($F240)&lt;Preisindex!$A$6,YEAR(FK$4)&gt;=YEAR($F240),$K240="b"),ROUND(VLOOKUP(FP$4,Preisindex,3,FALSE)/VLOOKUP(Preisindex!$A$6,Preisindex,3,FALSE),2),IF(AND($E240&lt;&gt;0,$F240&gt;0,YEAR($F240)&lt;Preisindex!$A$6,YEAR(FK$4)&gt;=YEAR($F240),$K240="g"),ROUND(VLOOKUP(FP$4,Preisindex,4,FALSE)/VLOOKUP(Preisindex!$A$6,Preisindex,4,FALSE),2),IF(AND($E240&lt;&gt;0,$F240&gt;0,YEAR($F240)&lt;Preisindex!$A$6,YEAR(FK$4)&gt;=YEAR($F240),$K240="k"),ROUND(VLOOKUP(FP$4,Preisindex,2,FALSE)/VLOOKUP(Preisindex!$A$6,Preisindex,2,FALSE),2),0)))))</f>
        <v>0</v>
      </c>
      <c r="FR240" s="51">
        <f>IF(AND($E240&lt;&gt;0,$F240&gt;0,YEAR($F240)&lt;=FP$4,YEAR($F240)&gt;=Preisindex!$A$6),ROUND($E240*FP240,2),IF(AND($E240&lt;&gt;0,$F240&gt;0,YEAR($F240)&lt;=FP$4,YEAR($F240)&lt;Preisindex!$A$6),ROUND($E240*FQ240,2),0))</f>
        <v>0</v>
      </c>
      <c r="FS240" s="53">
        <f t="shared" si="688"/>
        <v>0</v>
      </c>
    </row>
    <row r="241" spans="1:175" x14ac:dyDescent="0.3">
      <c r="A241" s="93"/>
      <c r="B241" s="94"/>
      <c r="C241" s="94"/>
      <c r="D241" s="188"/>
      <c r="E241" s="624"/>
      <c r="F241" s="190"/>
      <c r="G241" s="625"/>
      <c r="H241" s="192"/>
      <c r="I241" s="621"/>
      <c r="J241" s="103"/>
      <c r="K241" s="630"/>
      <c r="L241" s="49">
        <f t="shared" si="689"/>
        <v>0</v>
      </c>
      <c r="M241" s="50">
        <f t="shared" si="690"/>
        <v>0</v>
      </c>
      <c r="N241" s="51">
        <f t="shared" si="691"/>
        <v>0</v>
      </c>
      <c r="O241" s="51"/>
      <c r="P241" s="51">
        <f t="shared" si="692"/>
        <v>0</v>
      </c>
      <c r="Q241" s="52"/>
      <c r="R241" s="52"/>
      <c r="S241" s="52"/>
      <c r="T241" s="52"/>
      <c r="U241" s="52"/>
      <c r="V241" s="53">
        <f t="shared" si="693"/>
        <v>0</v>
      </c>
      <c r="W241" s="51">
        <f t="shared" si="694"/>
        <v>0</v>
      </c>
      <c r="X241" s="51">
        <f t="shared" si="695"/>
        <v>0</v>
      </c>
      <c r="Y241" s="51">
        <f t="shared" si="696"/>
        <v>0</v>
      </c>
      <c r="Z241" s="51">
        <f t="shared" si="697"/>
        <v>0</v>
      </c>
      <c r="AA241" s="51">
        <f t="shared" si="698"/>
        <v>0</v>
      </c>
      <c r="AB241" s="51">
        <f t="shared" si="699"/>
        <v>0</v>
      </c>
      <c r="AC241" s="51">
        <f t="shared" si="700"/>
        <v>0</v>
      </c>
      <c r="AD241" s="51">
        <f t="shared" si="701"/>
        <v>0</v>
      </c>
      <c r="AE241" s="51">
        <f t="shared" si="702"/>
        <v>0</v>
      </c>
      <c r="AF241" s="51">
        <f t="shared" si="703"/>
        <v>0</v>
      </c>
      <c r="AG241" s="51">
        <f t="shared" si="704"/>
        <v>0</v>
      </c>
      <c r="AH241" s="54">
        <f t="shared" si="705"/>
        <v>0</v>
      </c>
      <c r="AI241" s="55">
        <f t="shared" si="706"/>
        <v>0</v>
      </c>
      <c r="AJ241" s="56">
        <f>IF(AND($E241&lt;&gt;0,$F241&gt;0,YEAR($F241)&gt;=Preisindex!$A$6,YEAR(AE$4)&gt;=YEAR($F241),AND($K241&lt;&gt;"a",$K241&lt;&gt;"b",$K241&lt;&gt;"g",$K241&lt;&gt;"k")),1,IF(AND($E241&lt;&gt;0,$F241&gt;0,YEAR($F241)&gt;=Preisindex!$A$6,YEAR(AE$4)&gt;=YEAR($F241),$K241="a"),ROUND(VLOOKUP(AJ$4,Preisindex,5,FALSE)/VLOOKUP(YEAR($F241),Preisindex,5,FALSE),2),IF(AND($E241&lt;&gt;0,$F241&gt;0,YEAR($F241)&gt;=Preisindex!$A$6,YEAR(AE$4)&gt;=YEAR($F241),$K241="b"),ROUND(VLOOKUP(AJ$4,Preisindex,3,FALSE)/VLOOKUP(YEAR($F241),Preisindex,3,FALSE),2),IF(AND($E241&lt;&gt;0,$F241&gt;0,YEAR($F241)&gt;=Preisindex!$A$6,YEAR(AE$4)&gt;=YEAR($F241),$K241="g"),ROUND(VLOOKUP(AJ$4,Preisindex,4,FALSE)/VLOOKUP(YEAR($F241),Preisindex,4,FALSE),2),IF(AND($E241&lt;&gt;0,$F241&gt;0,YEAR($F241)&gt;=Preisindex!$A$6,YEAR(AE$4)&gt;=YEAR($F241),$K241="k"),ROUND(VLOOKUP(AJ$4,Preisindex,2,FALSE)/VLOOKUP(YEAR($F241),Preisindex,2,FALSE),2),0)))))</f>
        <v>0</v>
      </c>
      <c r="AK241" s="56">
        <f>IF(AND($E241&lt;&gt;0,$F241&gt;0,YEAR($F241)&lt;Preisindex!$A$6,YEAR(AE$4)&gt;=YEAR($F241),AND($K241&lt;&gt;"a",$K241&lt;&gt;"b",$K241&lt;&gt;"g",$K241&lt;&gt;"k")),1,IF(AND($E241&lt;&gt;0,$F241&gt;0,YEAR($F241)&lt;Preisindex!$A$6,YEAR(AE$4)&gt;=YEAR($F241),$K241="a"),ROUND(VLOOKUP(AJ$4,Preisindex,5,FALSE)/VLOOKUP(Preisindex!$A$6,Preisindex,5,FALSE),2),IF(AND($E241&lt;&gt;0,$F241&gt;0,YEAR($F241)&lt;Preisindex!$A$6,YEAR(AE$4)&gt;=YEAR($F241),$K241="b"),ROUND(VLOOKUP(AJ$4,Preisindex,3,FALSE)/VLOOKUP(Preisindex!$A$6,Preisindex,3,FALSE),2),IF(AND($E241&lt;&gt;0,$F241&gt;0,YEAR($F241)&lt;Preisindex!$A$6,YEAR(AE$4)&gt;=YEAR($F241),$K241="g"),ROUND(VLOOKUP(AJ$4,Preisindex,4,FALSE)/VLOOKUP(Preisindex!$A$6,Preisindex,4,FALSE),2),IF(AND($E241&lt;&gt;0,$F241&gt;0,YEAR($F241)&lt;Preisindex!$A$6,YEAR(AE$4)&gt;=YEAR($F241),$K241="k"),ROUND(VLOOKUP(AJ$4,Preisindex,2,FALSE)/VLOOKUP(Preisindex!$A$6,Preisindex,2,FALSE),2),0)))))</f>
        <v>0</v>
      </c>
      <c r="AL241" s="51">
        <f>IF(AND($E241&lt;&gt;0,$F241&gt;0,YEAR($F241)&lt;=AJ$4,YEAR($F241)&gt;=Preisindex!$A$6),ROUND($E241*AJ241,2),IF(AND($E241&lt;&gt;0,$F241&gt;0,YEAR($F241)&lt;=AJ$4,YEAR($F241)&lt;Preisindex!$A$6),ROUND($E241*AK241,2),0))</f>
        <v>0</v>
      </c>
      <c r="AM241" s="53">
        <f t="shared" si="707"/>
        <v>0</v>
      </c>
      <c r="AN241" s="51">
        <f t="shared" si="750"/>
        <v>0</v>
      </c>
      <c r="AO241" s="51">
        <f t="shared" si="710"/>
        <v>0</v>
      </c>
      <c r="AP241" s="51">
        <f t="shared" si="624"/>
        <v>0</v>
      </c>
      <c r="AQ241" s="51">
        <f t="shared" si="711"/>
        <v>0</v>
      </c>
      <c r="AR241" s="51">
        <f t="shared" si="625"/>
        <v>0</v>
      </c>
      <c r="AS241" s="51">
        <f t="shared" si="712"/>
        <v>0</v>
      </c>
      <c r="AT241" s="51">
        <f t="shared" si="626"/>
        <v>0</v>
      </c>
      <c r="AU241" s="51">
        <f t="shared" si="713"/>
        <v>0</v>
      </c>
      <c r="AV241" s="51">
        <f t="shared" si="627"/>
        <v>0</v>
      </c>
      <c r="AW241" s="51">
        <f t="shared" si="714"/>
        <v>0</v>
      </c>
      <c r="AX241" s="51">
        <f t="shared" si="628"/>
        <v>0</v>
      </c>
      <c r="AY241" s="54">
        <f t="shared" si="629"/>
        <v>0</v>
      </c>
      <c r="AZ241" s="55">
        <f t="shared" si="630"/>
        <v>0</v>
      </c>
      <c r="BA241" s="56">
        <f>IF(AND($E241&lt;&gt;0,$F241&gt;0,YEAR($F241)&gt;=Preisindex!$A$6,YEAR(AV$4)&gt;=YEAR($F241),AND($K241&lt;&gt;"a",$K241&lt;&gt;"b",$K241&lt;&gt;"g",$K241&lt;&gt;"k")),1,IF(AND($E241&lt;&gt;0,$F241&gt;0,YEAR($F241)&gt;=Preisindex!$A$6,YEAR(AV$4)&gt;=YEAR($F241),$K241="a"),ROUND(VLOOKUP(BA$4,Preisindex,5,FALSE)/VLOOKUP(YEAR($F241),Preisindex,5,FALSE),2),IF(AND($E241&lt;&gt;0,$F241&gt;0,YEAR($F241)&gt;=Preisindex!$A$6,YEAR(AV$4)&gt;=YEAR($F241),$K241="b"),ROUND(VLOOKUP(BA$4,Preisindex,3,FALSE)/VLOOKUP(YEAR($F241),Preisindex,3,FALSE),2),IF(AND($E241&lt;&gt;0,$F241&gt;0,YEAR($F241)&gt;=Preisindex!$A$6,YEAR(AV$4)&gt;=YEAR($F241),$K241="g"),ROUND(VLOOKUP(BA$4,Preisindex,4,FALSE)/VLOOKUP(YEAR($F241),Preisindex,4,FALSE),2),IF(AND($E241&lt;&gt;0,$F241&gt;0,YEAR($F241)&gt;=Preisindex!$A$6,YEAR(AV$4)&gt;=YEAR($F241),$K241="k"),ROUND(VLOOKUP(BA$4,Preisindex,2,FALSE)/VLOOKUP(YEAR($F241),Preisindex,2,FALSE),2),0)))))</f>
        <v>0</v>
      </c>
      <c r="BB241" s="56">
        <f>IF(AND($E241&lt;&gt;0,$F241&gt;0,YEAR($F241)&lt;Preisindex!$A$6,YEAR(AV$4)&gt;=YEAR($F241),AND($K241&lt;&gt;"a",$K241&lt;&gt;"b",$K241&lt;&gt;"g",$K241&lt;&gt;"k")),1,IF(AND($E241&lt;&gt;0,$F241&gt;0,YEAR($F241)&lt;Preisindex!$A$6,YEAR(AV$4)&gt;=YEAR($F241),$K241="a"),ROUND(VLOOKUP(BA$4,Preisindex,5,FALSE)/VLOOKUP(Preisindex!$A$6,Preisindex,5,FALSE),2),IF(AND($E241&lt;&gt;0,$F241&gt;0,YEAR($F241)&lt;Preisindex!$A$6,YEAR(AV$4)&gt;=YEAR($F241),$K241="b"),ROUND(VLOOKUP(BA$4,Preisindex,3,FALSE)/VLOOKUP(Preisindex!$A$6,Preisindex,3,FALSE),2),IF(AND($E241&lt;&gt;0,$F241&gt;0,YEAR($F241)&lt;Preisindex!$A$6,YEAR(AV$4)&gt;=YEAR($F241),$K241="g"),ROUND(VLOOKUP(BA$4,Preisindex,4,FALSE)/VLOOKUP(Preisindex!$A$6,Preisindex,4,FALSE),2),IF(AND($E241&lt;&gt;0,$F241&gt;0,YEAR($F241)&lt;Preisindex!$A$6,YEAR(AV$4)&gt;=YEAR($F241),$K241="k"),ROUND(VLOOKUP(BA$4,Preisindex,2,FALSE)/VLOOKUP(Preisindex!$A$6,Preisindex,2,FALSE),2),0)))))</f>
        <v>0</v>
      </c>
      <c r="BC241" s="51">
        <f>IF(AND($E241&lt;&gt;0,$F241&gt;0,YEAR($F241)&lt;=BA$4,YEAR($F241)&gt;=Preisindex!$A$6),ROUND($E241*BA241,2),IF(AND($E241&lt;&gt;0,$F241&gt;0,YEAR($F241)&lt;=BA$4,YEAR($F241)&lt;Preisindex!$A$6),ROUND($E241*BB241,2),0))</f>
        <v>0</v>
      </c>
      <c r="BD241" s="53">
        <f t="shared" si="631"/>
        <v>0</v>
      </c>
      <c r="BE241" s="51">
        <f t="shared" si="750"/>
        <v>0</v>
      </c>
      <c r="BF241" s="51">
        <f t="shared" si="715"/>
        <v>0</v>
      </c>
      <c r="BG241" s="51">
        <f t="shared" si="632"/>
        <v>0</v>
      </c>
      <c r="BH241" s="51">
        <f t="shared" si="716"/>
        <v>0</v>
      </c>
      <c r="BI241" s="51">
        <f t="shared" si="633"/>
        <v>0</v>
      </c>
      <c r="BJ241" s="51">
        <f t="shared" si="717"/>
        <v>0</v>
      </c>
      <c r="BK241" s="51">
        <f t="shared" si="634"/>
        <v>0</v>
      </c>
      <c r="BL241" s="51">
        <f t="shared" si="718"/>
        <v>0</v>
      </c>
      <c r="BM241" s="51">
        <f t="shared" si="635"/>
        <v>0</v>
      </c>
      <c r="BN241" s="51">
        <f t="shared" si="719"/>
        <v>0</v>
      </c>
      <c r="BO241" s="51">
        <f t="shared" si="636"/>
        <v>0</v>
      </c>
      <c r="BP241" s="54">
        <f t="shared" si="637"/>
        <v>0</v>
      </c>
      <c r="BQ241" s="55">
        <f t="shared" si="638"/>
        <v>0</v>
      </c>
      <c r="BR241" s="56">
        <f>IF(AND($E241&lt;&gt;0,$F241&gt;0,YEAR($F241)&gt;=Preisindex!$A$6,YEAR(BM$4)&gt;=YEAR($F241),AND($K241&lt;&gt;"a",$K241&lt;&gt;"b",$K241&lt;&gt;"g",$K241&lt;&gt;"k")),1,IF(AND($E241&lt;&gt;0,$F241&gt;0,YEAR($F241)&gt;=Preisindex!$A$6,YEAR(BM$4)&gt;=YEAR($F241),$K241="a"),ROUND(VLOOKUP(BR$4,Preisindex,5,FALSE)/VLOOKUP(YEAR($F241),Preisindex,5,FALSE),2),IF(AND($E241&lt;&gt;0,$F241&gt;0,YEAR($F241)&gt;=Preisindex!$A$6,YEAR(BM$4)&gt;=YEAR($F241),$K241="b"),ROUND(VLOOKUP(BR$4,Preisindex,3,FALSE)/VLOOKUP(YEAR($F241),Preisindex,3,FALSE),2),IF(AND($E241&lt;&gt;0,$F241&gt;0,YEAR($F241)&gt;=Preisindex!$A$6,YEAR(BM$4)&gt;=YEAR($F241),$K241="g"),ROUND(VLOOKUP(BR$4,Preisindex,4,FALSE)/VLOOKUP(YEAR($F241),Preisindex,4,FALSE),2),IF(AND($E241&lt;&gt;0,$F241&gt;0,YEAR($F241)&gt;=Preisindex!$A$6,YEAR(BM$4)&gt;=YEAR($F241),$K241="k"),ROUND(VLOOKUP(BR$4,Preisindex,2,FALSE)/VLOOKUP(YEAR($F241),Preisindex,2,FALSE),2),0)))))</f>
        <v>0</v>
      </c>
      <c r="BS241" s="56">
        <f>IF(AND($E241&lt;&gt;0,$F241&gt;0,YEAR($F241)&lt;Preisindex!$A$6,YEAR(BM$4)&gt;=YEAR($F241),AND($K241&lt;&gt;"a",$K241&lt;&gt;"b",$K241&lt;&gt;"g",$K241&lt;&gt;"k")),1,IF(AND($E241&lt;&gt;0,$F241&gt;0,YEAR($F241)&lt;Preisindex!$A$6,YEAR(BM$4)&gt;=YEAR($F241),$K241="a"),ROUND(VLOOKUP(BR$4,Preisindex,5,FALSE)/VLOOKUP(Preisindex!$A$6,Preisindex,5,FALSE),2),IF(AND($E241&lt;&gt;0,$F241&gt;0,YEAR($F241)&lt;Preisindex!$A$6,YEAR(BM$4)&gt;=YEAR($F241),$K241="b"),ROUND(VLOOKUP(BR$4,Preisindex,3,FALSE)/VLOOKUP(Preisindex!$A$6,Preisindex,3,FALSE),2),IF(AND($E241&lt;&gt;0,$F241&gt;0,YEAR($F241)&lt;Preisindex!$A$6,YEAR(BM$4)&gt;=YEAR($F241),$K241="g"),ROUND(VLOOKUP(BR$4,Preisindex,4,FALSE)/VLOOKUP(Preisindex!$A$6,Preisindex,4,FALSE),2),IF(AND($E241&lt;&gt;0,$F241&gt;0,YEAR($F241)&lt;Preisindex!$A$6,YEAR(BM$4)&gt;=YEAR($F241),$K241="k"),ROUND(VLOOKUP(BR$4,Preisindex,2,FALSE)/VLOOKUP(Preisindex!$A$6,Preisindex,2,FALSE),2),0)))))</f>
        <v>0</v>
      </c>
      <c r="BT241" s="51">
        <f>IF(AND($E241&lt;&gt;0,$F241&gt;0,YEAR($F241)&lt;=BR$4,YEAR($F241)&gt;=Preisindex!$A$6),ROUND($E241*BR241,2),IF(AND($E241&lt;&gt;0,$F241&gt;0,YEAR($F241)&lt;=BR$4,YEAR($F241)&lt;Preisindex!$A$6),ROUND($E241*BS241,2),0))</f>
        <v>0</v>
      </c>
      <c r="BU241" s="53">
        <f t="shared" si="639"/>
        <v>0</v>
      </c>
      <c r="BV241" s="51">
        <f t="shared" si="750"/>
        <v>0</v>
      </c>
      <c r="BW241" s="51">
        <f t="shared" si="720"/>
        <v>0</v>
      </c>
      <c r="BX241" s="51">
        <f t="shared" si="640"/>
        <v>0</v>
      </c>
      <c r="BY241" s="51">
        <f t="shared" si="721"/>
        <v>0</v>
      </c>
      <c r="BZ241" s="51">
        <f t="shared" si="641"/>
        <v>0</v>
      </c>
      <c r="CA241" s="51">
        <f t="shared" si="722"/>
        <v>0</v>
      </c>
      <c r="CB241" s="51">
        <f t="shared" si="642"/>
        <v>0</v>
      </c>
      <c r="CC241" s="51">
        <f t="shared" si="723"/>
        <v>0</v>
      </c>
      <c r="CD241" s="51">
        <f t="shared" si="643"/>
        <v>0</v>
      </c>
      <c r="CE241" s="51">
        <f t="shared" si="724"/>
        <v>0</v>
      </c>
      <c r="CF241" s="51">
        <f t="shared" si="644"/>
        <v>0</v>
      </c>
      <c r="CG241" s="54">
        <f t="shared" si="645"/>
        <v>0</v>
      </c>
      <c r="CH241" s="55">
        <f t="shared" si="646"/>
        <v>0</v>
      </c>
      <c r="CI241" s="56">
        <f>IF(AND($E241&lt;&gt;0,$F241&gt;0,YEAR($F241)&gt;=Preisindex!$A$6,YEAR(CD$4)&gt;=YEAR($F241),AND($K241&lt;&gt;"a",$K241&lt;&gt;"b",$K241&lt;&gt;"g",$K241&lt;&gt;"k")),1,IF(AND($E241&lt;&gt;0,$F241&gt;0,YEAR($F241)&gt;=Preisindex!$A$6,YEAR(CD$4)&gt;=YEAR($F241),$K241="a"),ROUND(VLOOKUP(CI$4,Preisindex,5,FALSE)/VLOOKUP(YEAR($F241),Preisindex,5,FALSE),2),IF(AND($E241&lt;&gt;0,$F241&gt;0,YEAR($F241)&gt;=Preisindex!$A$6,YEAR(CD$4)&gt;=YEAR($F241),$K241="b"),ROUND(VLOOKUP(CI$4,Preisindex,3,FALSE)/VLOOKUP(YEAR($F241),Preisindex,3,FALSE),2),IF(AND($E241&lt;&gt;0,$F241&gt;0,YEAR($F241)&gt;=Preisindex!$A$6,YEAR(CD$4)&gt;=YEAR($F241),$K241="g"),ROUND(VLOOKUP(CI$4,Preisindex,4,FALSE)/VLOOKUP(YEAR($F241),Preisindex,4,FALSE),2),IF(AND($E241&lt;&gt;0,$F241&gt;0,YEAR($F241)&gt;=Preisindex!$A$6,YEAR(CD$4)&gt;=YEAR($F241),$K241="k"),ROUND(VLOOKUP(CI$4,Preisindex,2,FALSE)/VLOOKUP(YEAR($F241),Preisindex,2,FALSE),2),0)))))</f>
        <v>0</v>
      </c>
      <c r="CJ241" s="56">
        <f>IF(AND($E241&lt;&gt;0,$F241&gt;0,YEAR($F241)&lt;Preisindex!$A$6,YEAR(CD$4)&gt;=YEAR($F241),AND($K241&lt;&gt;"a",$K241&lt;&gt;"b",$K241&lt;&gt;"g",$K241&lt;&gt;"k")),1,IF(AND($E241&lt;&gt;0,$F241&gt;0,YEAR($F241)&lt;Preisindex!$A$6,YEAR(CD$4)&gt;=YEAR($F241),$K241="a"),ROUND(VLOOKUP(CI$4,Preisindex,5,FALSE)/VLOOKUP(Preisindex!$A$6,Preisindex,5,FALSE),2),IF(AND($E241&lt;&gt;0,$F241&gt;0,YEAR($F241)&lt;Preisindex!$A$6,YEAR(CD$4)&gt;=YEAR($F241),$K241="b"),ROUND(VLOOKUP(CI$4,Preisindex,3,FALSE)/VLOOKUP(Preisindex!$A$6,Preisindex,3,FALSE),2),IF(AND($E241&lt;&gt;0,$F241&gt;0,YEAR($F241)&lt;Preisindex!$A$6,YEAR(CD$4)&gt;=YEAR($F241),$K241="g"),ROUND(VLOOKUP(CI$4,Preisindex,4,FALSE)/VLOOKUP(Preisindex!$A$6,Preisindex,4,FALSE),2),IF(AND($E241&lt;&gt;0,$F241&gt;0,YEAR($F241)&lt;Preisindex!$A$6,YEAR(CD$4)&gt;=YEAR($F241),$K241="k"),ROUND(VLOOKUP(CI$4,Preisindex,2,FALSE)/VLOOKUP(Preisindex!$A$6,Preisindex,2,FALSE),2),0)))))</f>
        <v>0</v>
      </c>
      <c r="CK241" s="51">
        <f>IF(AND($E241&lt;&gt;0,$F241&gt;0,YEAR($F241)&lt;=CI$4,YEAR($F241)&gt;=Preisindex!$A$6),ROUND($E241*CI241,2),IF(AND($E241&lt;&gt;0,$F241&gt;0,YEAR($F241)&lt;=CI$4,YEAR($F241)&lt;Preisindex!$A$6),ROUND($E241*CJ241,2),0))</f>
        <v>0</v>
      </c>
      <c r="CL241" s="53">
        <f t="shared" si="647"/>
        <v>0</v>
      </c>
      <c r="CM241" s="51">
        <f t="shared" si="750"/>
        <v>0</v>
      </c>
      <c r="CN241" s="51">
        <f t="shared" si="725"/>
        <v>0</v>
      </c>
      <c r="CO241" s="51">
        <f t="shared" si="648"/>
        <v>0</v>
      </c>
      <c r="CP241" s="51">
        <f t="shared" si="726"/>
        <v>0</v>
      </c>
      <c r="CQ241" s="51">
        <f t="shared" si="649"/>
        <v>0</v>
      </c>
      <c r="CR241" s="51">
        <f t="shared" si="727"/>
        <v>0</v>
      </c>
      <c r="CS241" s="51">
        <f t="shared" si="650"/>
        <v>0</v>
      </c>
      <c r="CT241" s="51">
        <f t="shared" si="728"/>
        <v>0</v>
      </c>
      <c r="CU241" s="51">
        <f t="shared" si="651"/>
        <v>0</v>
      </c>
      <c r="CV241" s="51">
        <f t="shared" si="729"/>
        <v>0</v>
      </c>
      <c r="CW241" s="51">
        <f t="shared" si="652"/>
        <v>0</v>
      </c>
      <c r="CX241" s="54">
        <f t="shared" si="653"/>
        <v>0</v>
      </c>
      <c r="CY241" s="55">
        <f t="shared" si="654"/>
        <v>0</v>
      </c>
      <c r="CZ241" s="56">
        <f>IF(AND($E241&lt;&gt;0,$F241&gt;0,YEAR($F241)&gt;=Preisindex!$A$6,YEAR(CU$4)&gt;=YEAR($F241),AND($K241&lt;&gt;"a",$K241&lt;&gt;"b",$K241&lt;&gt;"g",$K241&lt;&gt;"k")),1,IF(AND($E241&lt;&gt;0,$F241&gt;0,YEAR($F241)&gt;=Preisindex!$A$6,YEAR(CU$4)&gt;=YEAR($F241),$K241="a"),ROUND(VLOOKUP(CZ$4,Preisindex,5,FALSE)/VLOOKUP(YEAR($F241),Preisindex,5,FALSE),2),IF(AND($E241&lt;&gt;0,$F241&gt;0,YEAR($F241)&gt;=Preisindex!$A$6,YEAR(CU$4)&gt;=YEAR($F241),$K241="b"),ROUND(VLOOKUP(CZ$4,Preisindex,3,FALSE)/VLOOKUP(YEAR($F241),Preisindex,3,FALSE),2),IF(AND($E241&lt;&gt;0,$F241&gt;0,YEAR($F241)&gt;=Preisindex!$A$6,YEAR(CU$4)&gt;=YEAR($F241),$K241="g"),ROUND(VLOOKUP(CZ$4,Preisindex,4,FALSE)/VLOOKUP(YEAR($F241),Preisindex,4,FALSE),2),IF(AND($E241&lt;&gt;0,$F241&gt;0,YEAR($F241)&gt;=Preisindex!$A$6,YEAR(CU$4)&gt;=YEAR($F241),$K241="k"),ROUND(VLOOKUP(CZ$4,Preisindex,2,FALSE)/VLOOKUP(YEAR($F241),Preisindex,2,FALSE),2),0)))))</f>
        <v>0</v>
      </c>
      <c r="DA241" s="56">
        <f>IF(AND($E241&lt;&gt;0,$F241&gt;0,YEAR($F241)&lt;Preisindex!$A$6,YEAR(CU$4)&gt;=YEAR($F241),AND($K241&lt;&gt;"a",$K241&lt;&gt;"b",$K241&lt;&gt;"g",$K241&lt;&gt;"k")),1,IF(AND($E241&lt;&gt;0,$F241&gt;0,YEAR($F241)&lt;Preisindex!$A$6,YEAR(CU$4)&gt;=YEAR($F241),$K241="a"),ROUND(VLOOKUP(CZ$4,Preisindex,5,FALSE)/VLOOKUP(Preisindex!$A$6,Preisindex,5,FALSE),2),IF(AND($E241&lt;&gt;0,$F241&gt;0,YEAR($F241)&lt;Preisindex!$A$6,YEAR(CU$4)&gt;=YEAR($F241),$K241="b"),ROUND(VLOOKUP(CZ$4,Preisindex,3,FALSE)/VLOOKUP(Preisindex!$A$6,Preisindex,3,FALSE),2),IF(AND($E241&lt;&gt;0,$F241&gt;0,YEAR($F241)&lt;Preisindex!$A$6,YEAR(CU$4)&gt;=YEAR($F241),$K241="g"),ROUND(VLOOKUP(CZ$4,Preisindex,4,FALSE)/VLOOKUP(Preisindex!$A$6,Preisindex,4,FALSE),2),IF(AND($E241&lt;&gt;0,$F241&gt;0,YEAR($F241)&lt;Preisindex!$A$6,YEAR(CU$4)&gt;=YEAR($F241),$K241="k"),ROUND(VLOOKUP(CZ$4,Preisindex,2,FALSE)/VLOOKUP(Preisindex!$A$6,Preisindex,2,FALSE),2),0)))))</f>
        <v>0</v>
      </c>
      <c r="DB241" s="51">
        <f>IF(AND($E241&lt;&gt;0,$F241&gt;0,YEAR($F241)&lt;=CZ$4,YEAR($F241)&gt;=Preisindex!$A$6),ROUND($E241*CZ241,2),IF(AND($E241&lt;&gt;0,$F241&gt;0,YEAR($F241)&lt;=CZ$4,YEAR($F241)&lt;Preisindex!$A$6),ROUND($E241*DA241,2),0))</f>
        <v>0</v>
      </c>
      <c r="DC241" s="53">
        <f t="shared" si="655"/>
        <v>0</v>
      </c>
      <c r="DD241" s="51">
        <f t="shared" si="751"/>
        <v>0</v>
      </c>
      <c r="DE241" s="51">
        <f t="shared" si="730"/>
        <v>0</v>
      </c>
      <c r="DF241" s="51">
        <f t="shared" si="657"/>
        <v>0</v>
      </c>
      <c r="DG241" s="51">
        <f t="shared" si="731"/>
        <v>0</v>
      </c>
      <c r="DH241" s="51">
        <f t="shared" si="658"/>
        <v>0</v>
      </c>
      <c r="DI241" s="51">
        <f t="shared" si="732"/>
        <v>0</v>
      </c>
      <c r="DJ241" s="51">
        <f t="shared" si="659"/>
        <v>0</v>
      </c>
      <c r="DK241" s="51">
        <f t="shared" si="733"/>
        <v>0</v>
      </c>
      <c r="DL241" s="51">
        <f t="shared" si="660"/>
        <v>0</v>
      </c>
      <c r="DM241" s="51">
        <f t="shared" si="734"/>
        <v>0</v>
      </c>
      <c r="DN241" s="51">
        <f t="shared" si="661"/>
        <v>0</v>
      </c>
      <c r="DO241" s="54">
        <f t="shared" si="662"/>
        <v>0</v>
      </c>
      <c r="DP241" s="55">
        <f t="shared" si="663"/>
        <v>0</v>
      </c>
      <c r="DQ241" s="56">
        <f>IF(AND($E241&lt;&gt;0,$F241&gt;0,YEAR($F241)&gt;=Preisindex!$A$6,YEAR(DL$4)&gt;=YEAR($F241),AND($K241&lt;&gt;"a",$K241&lt;&gt;"b",$K241&lt;&gt;"g",$K241&lt;&gt;"k")),1,IF(AND($E241&lt;&gt;0,$F241&gt;0,YEAR($F241)&gt;=Preisindex!$A$6,YEAR(DL$4)&gt;=YEAR($F241),$K241="a"),ROUND(VLOOKUP(DQ$4,Preisindex,5,FALSE)/VLOOKUP(YEAR($F241),Preisindex,5,FALSE),2),IF(AND($E241&lt;&gt;0,$F241&gt;0,YEAR($F241)&gt;=Preisindex!$A$6,YEAR(DL$4)&gt;=YEAR($F241),$K241="b"),ROUND(VLOOKUP(DQ$4,Preisindex,3,FALSE)/VLOOKUP(YEAR($F241),Preisindex,3,FALSE),2),IF(AND($E241&lt;&gt;0,$F241&gt;0,YEAR($F241)&gt;=Preisindex!$A$6,YEAR(DL$4)&gt;=YEAR($F241),$K241="g"),ROUND(VLOOKUP(DQ$4,Preisindex,4,FALSE)/VLOOKUP(YEAR($F241),Preisindex,4,FALSE),2),IF(AND($E241&lt;&gt;0,$F241&gt;0,YEAR($F241)&gt;=Preisindex!$A$6,YEAR(DL$4)&gt;=YEAR($F241),$K241="k"),ROUND(VLOOKUP(DQ$4,Preisindex,2,FALSE)/VLOOKUP(YEAR($F241),Preisindex,2,FALSE),2),0)))))</f>
        <v>0</v>
      </c>
      <c r="DR241" s="56">
        <f>IF(AND($E241&lt;&gt;0,$F241&gt;0,YEAR($F241)&lt;Preisindex!$A$6,YEAR(DL$4)&gt;=YEAR($F241),AND($K241&lt;&gt;"a",$K241&lt;&gt;"b",$K241&lt;&gt;"g",$K241&lt;&gt;"k")),1,IF(AND($E241&lt;&gt;0,$F241&gt;0,YEAR($F241)&lt;Preisindex!$A$6,YEAR(DL$4)&gt;=YEAR($F241),$K241="a"),ROUND(VLOOKUP(DQ$4,Preisindex,5,FALSE)/VLOOKUP(Preisindex!$A$6,Preisindex,5,FALSE),2),IF(AND($E241&lt;&gt;0,$F241&gt;0,YEAR($F241)&lt;Preisindex!$A$6,YEAR(DL$4)&gt;=YEAR($F241),$K241="b"),ROUND(VLOOKUP(DQ$4,Preisindex,3,FALSE)/VLOOKUP(Preisindex!$A$6,Preisindex,3,FALSE),2),IF(AND($E241&lt;&gt;0,$F241&gt;0,YEAR($F241)&lt;Preisindex!$A$6,YEAR(DL$4)&gt;=YEAR($F241),$K241="g"),ROUND(VLOOKUP(DQ$4,Preisindex,4,FALSE)/VLOOKUP(Preisindex!$A$6,Preisindex,4,FALSE),2),IF(AND($E241&lt;&gt;0,$F241&gt;0,YEAR($F241)&lt;Preisindex!$A$6,YEAR(DL$4)&gt;=YEAR($F241),$K241="k"),ROUND(VLOOKUP(DQ$4,Preisindex,2,FALSE)/VLOOKUP(Preisindex!$A$6,Preisindex,2,FALSE),2),0)))))</f>
        <v>0</v>
      </c>
      <c r="DS241" s="51">
        <f>IF(AND($E241&lt;&gt;0,$F241&gt;0,YEAR($F241)&lt;=DQ$4,YEAR($F241)&gt;=Preisindex!$A$6),ROUND($E241*DQ241,2),IF(AND($E241&lt;&gt;0,$F241&gt;0,YEAR($F241)&lt;=DQ$4,YEAR($F241)&lt;Preisindex!$A$6),ROUND($E241*DR241,2),0))</f>
        <v>0</v>
      </c>
      <c r="DT241" s="53">
        <f t="shared" si="664"/>
        <v>0</v>
      </c>
      <c r="DU241" s="51">
        <f t="shared" si="751"/>
        <v>0</v>
      </c>
      <c r="DV241" s="51">
        <f t="shared" si="735"/>
        <v>0</v>
      </c>
      <c r="DW241" s="51">
        <f t="shared" si="665"/>
        <v>0</v>
      </c>
      <c r="DX241" s="51">
        <f t="shared" si="736"/>
        <v>0</v>
      </c>
      <c r="DY241" s="51">
        <f t="shared" si="666"/>
        <v>0</v>
      </c>
      <c r="DZ241" s="51">
        <f t="shared" si="737"/>
        <v>0</v>
      </c>
      <c r="EA241" s="51">
        <f t="shared" si="667"/>
        <v>0</v>
      </c>
      <c r="EB241" s="51">
        <f t="shared" si="738"/>
        <v>0</v>
      </c>
      <c r="EC241" s="51">
        <f t="shared" si="668"/>
        <v>0</v>
      </c>
      <c r="ED241" s="51">
        <f t="shared" si="739"/>
        <v>0</v>
      </c>
      <c r="EE241" s="51">
        <f t="shared" si="669"/>
        <v>0</v>
      </c>
      <c r="EF241" s="54">
        <f t="shared" si="670"/>
        <v>0</v>
      </c>
      <c r="EG241" s="55">
        <f t="shared" si="671"/>
        <v>0</v>
      </c>
      <c r="EH241" s="56">
        <f>IF(AND($E241&lt;&gt;0,$F241&gt;0,YEAR($F241)&gt;=Preisindex!$A$6,YEAR(EC$4)&gt;=YEAR($F241),AND($K241&lt;&gt;"a",$K241&lt;&gt;"b",$K241&lt;&gt;"g",$K241&lt;&gt;"k")),1,IF(AND($E241&lt;&gt;0,$F241&gt;0,YEAR($F241)&gt;=Preisindex!$A$6,YEAR(EC$4)&gt;=YEAR($F241),$K241="a"),ROUND(VLOOKUP(EH$4,Preisindex,5,FALSE)/VLOOKUP(YEAR($F241),Preisindex,5,FALSE),2),IF(AND($E241&lt;&gt;0,$F241&gt;0,YEAR($F241)&gt;=Preisindex!$A$6,YEAR(EC$4)&gt;=YEAR($F241),$K241="b"),ROUND(VLOOKUP(EH$4,Preisindex,3,FALSE)/VLOOKUP(YEAR($F241),Preisindex,3,FALSE),2),IF(AND($E241&lt;&gt;0,$F241&gt;0,YEAR($F241)&gt;=Preisindex!$A$6,YEAR(EC$4)&gt;=YEAR($F241),$K241="g"),ROUND(VLOOKUP(EH$4,Preisindex,4,FALSE)/VLOOKUP(YEAR($F241),Preisindex,4,FALSE),2),IF(AND($E241&lt;&gt;0,$F241&gt;0,YEAR($F241)&gt;=Preisindex!$A$6,YEAR(EC$4)&gt;=YEAR($F241),$K241="k"),ROUND(VLOOKUP(EH$4,Preisindex,2,FALSE)/VLOOKUP(YEAR($F241),Preisindex,2,FALSE),2),0)))))</f>
        <v>0</v>
      </c>
      <c r="EI241" s="56">
        <f>IF(AND($E241&lt;&gt;0,$F241&gt;0,YEAR($F241)&lt;Preisindex!$A$6,YEAR(EC$4)&gt;=YEAR($F241),AND($K241&lt;&gt;"a",$K241&lt;&gt;"b",$K241&lt;&gt;"g",$K241&lt;&gt;"k")),1,IF(AND($E241&lt;&gt;0,$F241&gt;0,YEAR($F241)&lt;Preisindex!$A$6,YEAR(EC$4)&gt;=YEAR($F241),$K241="a"),ROUND(VLOOKUP(EH$4,Preisindex,5,FALSE)/VLOOKUP(Preisindex!$A$6,Preisindex,5,FALSE),2),IF(AND($E241&lt;&gt;0,$F241&gt;0,YEAR($F241)&lt;Preisindex!$A$6,YEAR(EC$4)&gt;=YEAR($F241),$K241="b"),ROUND(VLOOKUP(EH$4,Preisindex,3,FALSE)/VLOOKUP(Preisindex!$A$6,Preisindex,3,FALSE),2),IF(AND($E241&lt;&gt;0,$F241&gt;0,YEAR($F241)&lt;Preisindex!$A$6,YEAR(EC$4)&gt;=YEAR($F241),$K241="g"),ROUND(VLOOKUP(EH$4,Preisindex,4,FALSE)/VLOOKUP(Preisindex!$A$6,Preisindex,4,FALSE),2),IF(AND($E241&lt;&gt;0,$F241&gt;0,YEAR($F241)&lt;Preisindex!$A$6,YEAR(EC$4)&gt;=YEAR($F241),$K241="k"),ROUND(VLOOKUP(EH$4,Preisindex,2,FALSE)/VLOOKUP(Preisindex!$A$6,Preisindex,2,FALSE),2),0)))))</f>
        <v>0</v>
      </c>
      <c r="EJ241" s="51">
        <f>IF(AND($E241&lt;&gt;0,$F241&gt;0,YEAR($F241)&lt;=EH$4,YEAR($F241)&gt;=Preisindex!$A$6),ROUND($E241*EH241,2),IF(AND($E241&lt;&gt;0,$F241&gt;0,YEAR($F241)&lt;=EH$4,YEAR($F241)&lt;Preisindex!$A$6),ROUND($E241*EI241,2),0))</f>
        <v>0</v>
      </c>
      <c r="EK241" s="53">
        <f t="shared" si="672"/>
        <v>0</v>
      </c>
      <c r="EL241" s="51">
        <f t="shared" si="751"/>
        <v>0</v>
      </c>
      <c r="EM241" s="51">
        <f t="shared" si="740"/>
        <v>0</v>
      </c>
      <c r="EN241" s="51">
        <f t="shared" si="673"/>
        <v>0</v>
      </c>
      <c r="EO241" s="51">
        <f t="shared" si="741"/>
        <v>0</v>
      </c>
      <c r="EP241" s="51">
        <f t="shared" si="674"/>
        <v>0</v>
      </c>
      <c r="EQ241" s="51">
        <f t="shared" si="742"/>
        <v>0</v>
      </c>
      <c r="ER241" s="51">
        <f t="shared" si="675"/>
        <v>0</v>
      </c>
      <c r="ES241" s="51">
        <f t="shared" si="743"/>
        <v>0</v>
      </c>
      <c r="ET241" s="51">
        <f t="shared" si="676"/>
        <v>0</v>
      </c>
      <c r="EU241" s="51">
        <f t="shared" si="744"/>
        <v>0</v>
      </c>
      <c r="EV241" s="51">
        <f t="shared" si="677"/>
        <v>0</v>
      </c>
      <c r="EW241" s="54">
        <f t="shared" si="678"/>
        <v>0</v>
      </c>
      <c r="EX241" s="55">
        <f t="shared" si="679"/>
        <v>0</v>
      </c>
      <c r="EY241" s="56">
        <f>IF(AND($E241&lt;&gt;0,$F241&gt;0,YEAR($F241)&gt;=Preisindex!$A$6,YEAR(ET$4)&gt;=YEAR($F241),AND($K241&lt;&gt;"a",$K241&lt;&gt;"b",$K241&lt;&gt;"g",$K241&lt;&gt;"k")),1,IF(AND($E241&lt;&gt;0,$F241&gt;0,YEAR($F241)&gt;=Preisindex!$A$6,YEAR(ET$4)&gt;=YEAR($F241),$K241="a"),ROUND(VLOOKUP(EY$4,Preisindex,5,FALSE)/VLOOKUP(YEAR($F241),Preisindex,5,FALSE),2),IF(AND($E241&lt;&gt;0,$F241&gt;0,YEAR($F241)&gt;=Preisindex!$A$6,YEAR(ET$4)&gt;=YEAR($F241),$K241="b"),ROUND(VLOOKUP(EY$4,Preisindex,3,FALSE)/VLOOKUP(YEAR($F241),Preisindex,3,FALSE),2),IF(AND($E241&lt;&gt;0,$F241&gt;0,YEAR($F241)&gt;=Preisindex!$A$6,YEAR(ET$4)&gt;=YEAR($F241),$K241="g"),ROUND(VLOOKUP(EY$4,Preisindex,4,FALSE)/VLOOKUP(YEAR($F241),Preisindex,4,FALSE),2),IF(AND($E241&lt;&gt;0,$F241&gt;0,YEAR($F241)&gt;=Preisindex!$A$6,YEAR(ET$4)&gt;=YEAR($F241),$K241="k"),ROUND(VLOOKUP(EY$4,Preisindex,2,FALSE)/VLOOKUP(YEAR($F241),Preisindex,2,FALSE),2),0)))))</f>
        <v>0</v>
      </c>
      <c r="EZ241" s="56">
        <f>IF(AND($E241&lt;&gt;0,$F241&gt;0,YEAR($F241)&lt;Preisindex!$A$6,YEAR(ET$4)&gt;=YEAR($F241),AND($K241&lt;&gt;"a",$K241&lt;&gt;"b",$K241&lt;&gt;"g",$K241&lt;&gt;"k")),1,IF(AND($E241&lt;&gt;0,$F241&gt;0,YEAR($F241)&lt;Preisindex!$A$6,YEAR(ET$4)&gt;=YEAR($F241),$K241="a"),ROUND(VLOOKUP(EY$4,Preisindex,5,FALSE)/VLOOKUP(Preisindex!$A$6,Preisindex,5,FALSE),2),IF(AND($E241&lt;&gt;0,$F241&gt;0,YEAR($F241)&lt;Preisindex!$A$6,YEAR(ET$4)&gt;=YEAR($F241),$K241="b"),ROUND(VLOOKUP(EY$4,Preisindex,3,FALSE)/VLOOKUP(Preisindex!$A$6,Preisindex,3,FALSE),2),IF(AND($E241&lt;&gt;0,$F241&gt;0,YEAR($F241)&lt;Preisindex!$A$6,YEAR(ET$4)&gt;=YEAR($F241),$K241="g"),ROUND(VLOOKUP(EY$4,Preisindex,4,FALSE)/VLOOKUP(Preisindex!$A$6,Preisindex,4,FALSE),2),IF(AND($E241&lt;&gt;0,$F241&gt;0,YEAR($F241)&lt;Preisindex!$A$6,YEAR(ET$4)&gt;=YEAR($F241),$K241="k"),ROUND(VLOOKUP(EY$4,Preisindex,2,FALSE)/VLOOKUP(Preisindex!$A$6,Preisindex,2,FALSE),2),0)))))</f>
        <v>0</v>
      </c>
      <c r="FA241" s="51">
        <f>IF(AND($E241&lt;&gt;0,$F241&gt;0,YEAR($F241)&lt;=EY$4,YEAR($F241)&gt;=Preisindex!$A$6),ROUND($E241*EY241,2),IF(AND($E241&lt;&gt;0,$F241&gt;0,YEAR($F241)&lt;=EY$4,YEAR($F241)&lt;Preisindex!$A$6),ROUND($E241*EZ241,2),0))</f>
        <v>0</v>
      </c>
      <c r="FB241" s="53">
        <f t="shared" si="680"/>
        <v>0</v>
      </c>
      <c r="FC241" s="51">
        <f t="shared" si="751"/>
        <v>0</v>
      </c>
      <c r="FD241" s="51">
        <f t="shared" si="745"/>
        <v>0</v>
      </c>
      <c r="FE241" s="51">
        <f t="shared" si="681"/>
        <v>0</v>
      </c>
      <c r="FF241" s="51">
        <f t="shared" si="746"/>
        <v>0</v>
      </c>
      <c r="FG241" s="51">
        <f t="shared" si="682"/>
        <v>0</v>
      </c>
      <c r="FH241" s="51">
        <f t="shared" si="747"/>
        <v>0</v>
      </c>
      <c r="FI241" s="51">
        <f t="shared" si="683"/>
        <v>0</v>
      </c>
      <c r="FJ241" s="51">
        <f t="shared" si="748"/>
        <v>0</v>
      </c>
      <c r="FK241" s="51">
        <f t="shared" si="684"/>
        <v>0</v>
      </c>
      <c r="FL241" s="51">
        <f t="shared" si="749"/>
        <v>0</v>
      </c>
      <c r="FM241" s="51">
        <f t="shared" si="685"/>
        <v>0</v>
      </c>
      <c r="FN241" s="54">
        <f t="shared" si="686"/>
        <v>0</v>
      </c>
      <c r="FO241" s="55">
        <f t="shared" si="687"/>
        <v>0</v>
      </c>
      <c r="FP241" s="56">
        <f>IF(AND($E241&lt;&gt;0,$F241&gt;0,YEAR($F241)&gt;=Preisindex!$A$6,YEAR(FK$4)&gt;=YEAR($F241),AND($K241&lt;&gt;"a",$K241&lt;&gt;"b",$K241&lt;&gt;"g",$K241&lt;&gt;"k")),1,IF(AND($E241&lt;&gt;0,$F241&gt;0,YEAR($F241)&gt;=Preisindex!$A$6,YEAR(FK$4)&gt;=YEAR($F241),$K241="a"),ROUND(VLOOKUP(FP$4,Preisindex,5,FALSE)/VLOOKUP(YEAR($F241),Preisindex,5,FALSE),2),IF(AND($E241&lt;&gt;0,$F241&gt;0,YEAR($F241)&gt;=Preisindex!$A$6,YEAR(FK$4)&gt;=YEAR($F241),$K241="b"),ROUND(VLOOKUP(FP$4,Preisindex,3,FALSE)/VLOOKUP(YEAR($F241),Preisindex,3,FALSE),2),IF(AND($E241&lt;&gt;0,$F241&gt;0,YEAR($F241)&gt;=Preisindex!$A$6,YEAR(FK$4)&gt;=YEAR($F241),$K241="g"),ROUND(VLOOKUP(FP$4,Preisindex,4,FALSE)/VLOOKUP(YEAR($F241),Preisindex,4,FALSE),2),IF(AND($E241&lt;&gt;0,$F241&gt;0,YEAR($F241)&gt;=Preisindex!$A$6,YEAR(FK$4)&gt;=YEAR($F241),$K241="k"),ROUND(VLOOKUP(FP$4,Preisindex,2,FALSE)/VLOOKUP(YEAR($F241),Preisindex,2,FALSE),2),0)))))</f>
        <v>0</v>
      </c>
      <c r="FQ241" s="56">
        <f>IF(AND($E241&lt;&gt;0,$F241&gt;0,YEAR($F241)&lt;Preisindex!$A$6,YEAR(FK$4)&gt;=YEAR($F241),AND($K241&lt;&gt;"a",$K241&lt;&gt;"b",$K241&lt;&gt;"g",$K241&lt;&gt;"k")),1,IF(AND($E241&lt;&gt;0,$F241&gt;0,YEAR($F241)&lt;Preisindex!$A$6,YEAR(FK$4)&gt;=YEAR($F241),$K241="a"),ROUND(VLOOKUP(FP$4,Preisindex,5,FALSE)/VLOOKUP(Preisindex!$A$6,Preisindex,5,FALSE),2),IF(AND($E241&lt;&gt;0,$F241&gt;0,YEAR($F241)&lt;Preisindex!$A$6,YEAR(FK$4)&gt;=YEAR($F241),$K241="b"),ROUND(VLOOKUP(FP$4,Preisindex,3,FALSE)/VLOOKUP(Preisindex!$A$6,Preisindex,3,FALSE),2),IF(AND($E241&lt;&gt;0,$F241&gt;0,YEAR($F241)&lt;Preisindex!$A$6,YEAR(FK$4)&gt;=YEAR($F241),$K241="g"),ROUND(VLOOKUP(FP$4,Preisindex,4,FALSE)/VLOOKUP(Preisindex!$A$6,Preisindex,4,FALSE),2),IF(AND($E241&lt;&gt;0,$F241&gt;0,YEAR($F241)&lt;Preisindex!$A$6,YEAR(FK$4)&gt;=YEAR($F241),$K241="k"),ROUND(VLOOKUP(FP$4,Preisindex,2,FALSE)/VLOOKUP(Preisindex!$A$6,Preisindex,2,FALSE),2),0)))))</f>
        <v>0</v>
      </c>
      <c r="FR241" s="51">
        <f>IF(AND($E241&lt;&gt;0,$F241&gt;0,YEAR($F241)&lt;=FP$4,YEAR($F241)&gt;=Preisindex!$A$6),ROUND($E241*FP241,2),IF(AND($E241&lt;&gt;0,$F241&gt;0,YEAR($F241)&lt;=FP$4,YEAR($F241)&lt;Preisindex!$A$6),ROUND($E241*FQ241,2),0))</f>
        <v>0</v>
      </c>
      <c r="FS241" s="53">
        <f t="shared" si="688"/>
        <v>0</v>
      </c>
    </row>
    <row r="242" spans="1:175" x14ac:dyDescent="0.3">
      <c r="A242" s="93"/>
      <c r="B242" s="94"/>
      <c r="C242" s="94"/>
      <c r="D242" s="188"/>
      <c r="E242" s="624"/>
      <c r="F242" s="190"/>
      <c r="G242" s="625"/>
      <c r="H242" s="192"/>
      <c r="I242" s="621"/>
      <c r="J242" s="103"/>
      <c r="K242" s="630"/>
      <c r="L242" s="49">
        <f t="shared" si="689"/>
        <v>0</v>
      </c>
      <c r="M242" s="50">
        <f t="shared" si="690"/>
        <v>0</v>
      </c>
      <c r="N242" s="51">
        <f t="shared" si="691"/>
        <v>0</v>
      </c>
      <c r="O242" s="51"/>
      <c r="P242" s="51">
        <f t="shared" si="692"/>
        <v>0</v>
      </c>
      <c r="Q242" s="52"/>
      <c r="R242" s="52"/>
      <c r="S242" s="52"/>
      <c r="T242" s="52"/>
      <c r="U242" s="52"/>
      <c r="V242" s="53">
        <f t="shared" si="693"/>
        <v>0</v>
      </c>
      <c r="W242" s="51">
        <f t="shared" si="694"/>
        <v>0</v>
      </c>
      <c r="X242" s="51">
        <f t="shared" si="695"/>
        <v>0</v>
      </c>
      <c r="Y242" s="51">
        <f t="shared" si="696"/>
        <v>0</v>
      </c>
      <c r="Z242" s="51">
        <f t="shared" si="697"/>
        <v>0</v>
      </c>
      <c r="AA242" s="51">
        <f t="shared" si="698"/>
        <v>0</v>
      </c>
      <c r="AB242" s="51">
        <f t="shared" si="699"/>
        <v>0</v>
      </c>
      <c r="AC242" s="51">
        <f t="shared" si="700"/>
        <v>0</v>
      </c>
      <c r="AD242" s="51">
        <f t="shared" si="701"/>
        <v>0</v>
      </c>
      <c r="AE242" s="51">
        <f t="shared" si="702"/>
        <v>0</v>
      </c>
      <c r="AF242" s="51">
        <f t="shared" si="703"/>
        <v>0</v>
      </c>
      <c r="AG242" s="51">
        <f t="shared" si="704"/>
        <v>0</v>
      </c>
      <c r="AH242" s="54">
        <f t="shared" si="705"/>
        <v>0</v>
      </c>
      <c r="AI242" s="55">
        <f t="shared" si="706"/>
        <v>0</v>
      </c>
      <c r="AJ242" s="56">
        <f>IF(AND($E242&lt;&gt;0,$F242&gt;0,YEAR($F242)&gt;=Preisindex!$A$6,YEAR(AE$4)&gt;=YEAR($F242),AND($K242&lt;&gt;"a",$K242&lt;&gt;"b",$K242&lt;&gt;"g",$K242&lt;&gt;"k")),1,IF(AND($E242&lt;&gt;0,$F242&gt;0,YEAR($F242)&gt;=Preisindex!$A$6,YEAR(AE$4)&gt;=YEAR($F242),$K242="a"),ROUND(VLOOKUP(AJ$4,Preisindex,5,FALSE)/VLOOKUP(YEAR($F242),Preisindex,5,FALSE),2),IF(AND($E242&lt;&gt;0,$F242&gt;0,YEAR($F242)&gt;=Preisindex!$A$6,YEAR(AE$4)&gt;=YEAR($F242),$K242="b"),ROUND(VLOOKUP(AJ$4,Preisindex,3,FALSE)/VLOOKUP(YEAR($F242),Preisindex,3,FALSE),2),IF(AND($E242&lt;&gt;0,$F242&gt;0,YEAR($F242)&gt;=Preisindex!$A$6,YEAR(AE$4)&gt;=YEAR($F242),$K242="g"),ROUND(VLOOKUP(AJ$4,Preisindex,4,FALSE)/VLOOKUP(YEAR($F242),Preisindex,4,FALSE),2),IF(AND($E242&lt;&gt;0,$F242&gt;0,YEAR($F242)&gt;=Preisindex!$A$6,YEAR(AE$4)&gt;=YEAR($F242),$K242="k"),ROUND(VLOOKUP(AJ$4,Preisindex,2,FALSE)/VLOOKUP(YEAR($F242),Preisindex,2,FALSE),2),0)))))</f>
        <v>0</v>
      </c>
      <c r="AK242" s="56">
        <f>IF(AND($E242&lt;&gt;0,$F242&gt;0,YEAR($F242)&lt;Preisindex!$A$6,YEAR(AE$4)&gt;=YEAR($F242),AND($K242&lt;&gt;"a",$K242&lt;&gt;"b",$K242&lt;&gt;"g",$K242&lt;&gt;"k")),1,IF(AND($E242&lt;&gt;0,$F242&gt;0,YEAR($F242)&lt;Preisindex!$A$6,YEAR(AE$4)&gt;=YEAR($F242),$K242="a"),ROUND(VLOOKUP(AJ$4,Preisindex,5,FALSE)/VLOOKUP(Preisindex!$A$6,Preisindex,5,FALSE),2),IF(AND($E242&lt;&gt;0,$F242&gt;0,YEAR($F242)&lt;Preisindex!$A$6,YEAR(AE$4)&gt;=YEAR($F242),$K242="b"),ROUND(VLOOKUP(AJ$4,Preisindex,3,FALSE)/VLOOKUP(Preisindex!$A$6,Preisindex,3,FALSE),2),IF(AND($E242&lt;&gt;0,$F242&gt;0,YEAR($F242)&lt;Preisindex!$A$6,YEAR(AE$4)&gt;=YEAR($F242),$K242="g"),ROUND(VLOOKUP(AJ$4,Preisindex,4,FALSE)/VLOOKUP(Preisindex!$A$6,Preisindex,4,FALSE),2),IF(AND($E242&lt;&gt;0,$F242&gt;0,YEAR($F242)&lt;Preisindex!$A$6,YEAR(AE$4)&gt;=YEAR($F242),$K242="k"),ROUND(VLOOKUP(AJ$4,Preisindex,2,FALSE)/VLOOKUP(Preisindex!$A$6,Preisindex,2,FALSE),2),0)))))</f>
        <v>0</v>
      </c>
      <c r="AL242" s="51">
        <f>IF(AND($E242&lt;&gt;0,$F242&gt;0,YEAR($F242)&lt;=AJ$4,YEAR($F242)&gt;=Preisindex!$A$6),ROUND($E242*AJ242,2),IF(AND($E242&lt;&gt;0,$F242&gt;0,YEAR($F242)&lt;=AJ$4,YEAR($F242)&lt;Preisindex!$A$6),ROUND($E242*AK242,2),0))</f>
        <v>0</v>
      </c>
      <c r="AM242" s="53">
        <f t="shared" si="707"/>
        <v>0</v>
      </c>
      <c r="AN242" s="51">
        <f t="shared" si="750"/>
        <v>0</v>
      </c>
      <c r="AO242" s="51">
        <f t="shared" si="710"/>
        <v>0</v>
      </c>
      <c r="AP242" s="51">
        <f t="shared" si="624"/>
        <v>0</v>
      </c>
      <c r="AQ242" s="51">
        <f t="shared" si="711"/>
        <v>0</v>
      </c>
      <c r="AR242" s="51">
        <f t="shared" si="625"/>
        <v>0</v>
      </c>
      <c r="AS242" s="51">
        <f t="shared" si="712"/>
        <v>0</v>
      </c>
      <c r="AT242" s="51">
        <f t="shared" si="626"/>
        <v>0</v>
      </c>
      <c r="AU242" s="51">
        <f t="shared" si="713"/>
        <v>0</v>
      </c>
      <c r="AV242" s="51">
        <f t="shared" si="627"/>
        <v>0</v>
      </c>
      <c r="AW242" s="51">
        <f t="shared" si="714"/>
        <v>0</v>
      </c>
      <c r="AX242" s="51">
        <f t="shared" si="628"/>
        <v>0</v>
      </c>
      <c r="AY242" s="54">
        <f t="shared" si="629"/>
        <v>0</v>
      </c>
      <c r="AZ242" s="55">
        <f t="shared" si="630"/>
        <v>0</v>
      </c>
      <c r="BA242" s="56">
        <f>IF(AND($E242&lt;&gt;0,$F242&gt;0,YEAR($F242)&gt;=Preisindex!$A$6,YEAR(AV$4)&gt;=YEAR($F242),AND($K242&lt;&gt;"a",$K242&lt;&gt;"b",$K242&lt;&gt;"g",$K242&lt;&gt;"k")),1,IF(AND($E242&lt;&gt;0,$F242&gt;0,YEAR($F242)&gt;=Preisindex!$A$6,YEAR(AV$4)&gt;=YEAR($F242),$K242="a"),ROUND(VLOOKUP(BA$4,Preisindex,5,FALSE)/VLOOKUP(YEAR($F242),Preisindex,5,FALSE),2),IF(AND($E242&lt;&gt;0,$F242&gt;0,YEAR($F242)&gt;=Preisindex!$A$6,YEAR(AV$4)&gt;=YEAR($F242),$K242="b"),ROUND(VLOOKUP(BA$4,Preisindex,3,FALSE)/VLOOKUP(YEAR($F242),Preisindex,3,FALSE),2),IF(AND($E242&lt;&gt;0,$F242&gt;0,YEAR($F242)&gt;=Preisindex!$A$6,YEAR(AV$4)&gt;=YEAR($F242),$K242="g"),ROUND(VLOOKUP(BA$4,Preisindex,4,FALSE)/VLOOKUP(YEAR($F242),Preisindex,4,FALSE),2),IF(AND($E242&lt;&gt;0,$F242&gt;0,YEAR($F242)&gt;=Preisindex!$A$6,YEAR(AV$4)&gt;=YEAR($F242),$K242="k"),ROUND(VLOOKUP(BA$4,Preisindex,2,FALSE)/VLOOKUP(YEAR($F242),Preisindex,2,FALSE),2),0)))))</f>
        <v>0</v>
      </c>
      <c r="BB242" s="56">
        <f>IF(AND($E242&lt;&gt;0,$F242&gt;0,YEAR($F242)&lt;Preisindex!$A$6,YEAR(AV$4)&gt;=YEAR($F242),AND($K242&lt;&gt;"a",$K242&lt;&gt;"b",$K242&lt;&gt;"g",$K242&lt;&gt;"k")),1,IF(AND($E242&lt;&gt;0,$F242&gt;0,YEAR($F242)&lt;Preisindex!$A$6,YEAR(AV$4)&gt;=YEAR($F242),$K242="a"),ROUND(VLOOKUP(BA$4,Preisindex,5,FALSE)/VLOOKUP(Preisindex!$A$6,Preisindex,5,FALSE),2),IF(AND($E242&lt;&gt;0,$F242&gt;0,YEAR($F242)&lt;Preisindex!$A$6,YEAR(AV$4)&gt;=YEAR($F242),$K242="b"),ROUND(VLOOKUP(BA$4,Preisindex,3,FALSE)/VLOOKUP(Preisindex!$A$6,Preisindex,3,FALSE),2),IF(AND($E242&lt;&gt;0,$F242&gt;0,YEAR($F242)&lt;Preisindex!$A$6,YEAR(AV$4)&gt;=YEAR($F242),$K242="g"),ROUND(VLOOKUP(BA$4,Preisindex,4,FALSE)/VLOOKUP(Preisindex!$A$6,Preisindex,4,FALSE),2),IF(AND($E242&lt;&gt;0,$F242&gt;0,YEAR($F242)&lt;Preisindex!$A$6,YEAR(AV$4)&gt;=YEAR($F242),$K242="k"),ROUND(VLOOKUP(BA$4,Preisindex,2,FALSE)/VLOOKUP(Preisindex!$A$6,Preisindex,2,FALSE),2),0)))))</f>
        <v>0</v>
      </c>
      <c r="BC242" s="51">
        <f>IF(AND($E242&lt;&gt;0,$F242&gt;0,YEAR($F242)&lt;=BA$4,YEAR($F242)&gt;=Preisindex!$A$6),ROUND($E242*BA242,2),IF(AND($E242&lt;&gt;0,$F242&gt;0,YEAR($F242)&lt;=BA$4,YEAR($F242)&lt;Preisindex!$A$6),ROUND($E242*BB242,2),0))</f>
        <v>0</v>
      </c>
      <c r="BD242" s="53">
        <f t="shared" si="631"/>
        <v>0</v>
      </c>
      <c r="BE242" s="51">
        <f t="shared" si="750"/>
        <v>0</v>
      </c>
      <c r="BF242" s="51">
        <f t="shared" si="715"/>
        <v>0</v>
      </c>
      <c r="BG242" s="51">
        <f t="shared" si="632"/>
        <v>0</v>
      </c>
      <c r="BH242" s="51">
        <f t="shared" si="716"/>
        <v>0</v>
      </c>
      <c r="BI242" s="51">
        <f t="shared" si="633"/>
        <v>0</v>
      </c>
      <c r="BJ242" s="51">
        <f t="shared" si="717"/>
        <v>0</v>
      </c>
      <c r="BK242" s="51">
        <f t="shared" si="634"/>
        <v>0</v>
      </c>
      <c r="BL242" s="51">
        <f t="shared" si="718"/>
        <v>0</v>
      </c>
      <c r="BM242" s="51">
        <f t="shared" si="635"/>
        <v>0</v>
      </c>
      <c r="BN242" s="51">
        <f t="shared" si="719"/>
        <v>0</v>
      </c>
      <c r="BO242" s="51">
        <f t="shared" si="636"/>
        <v>0</v>
      </c>
      <c r="BP242" s="54">
        <f t="shared" si="637"/>
        <v>0</v>
      </c>
      <c r="BQ242" s="55">
        <f t="shared" si="638"/>
        <v>0</v>
      </c>
      <c r="BR242" s="56">
        <f>IF(AND($E242&lt;&gt;0,$F242&gt;0,YEAR($F242)&gt;=Preisindex!$A$6,YEAR(BM$4)&gt;=YEAR($F242),AND($K242&lt;&gt;"a",$K242&lt;&gt;"b",$K242&lt;&gt;"g",$K242&lt;&gt;"k")),1,IF(AND($E242&lt;&gt;0,$F242&gt;0,YEAR($F242)&gt;=Preisindex!$A$6,YEAR(BM$4)&gt;=YEAR($F242),$K242="a"),ROUND(VLOOKUP(BR$4,Preisindex,5,FALSE)/VLOOKUP(YEAR($F242),Preisindex,5,FALSE),2),IF(AND($E242&lt;&gt;0,$F242&gt;0,YEAR($F242)&gt;=Preisindex!$A$6,YEAR(BM$4)&gt;=YEAR($F242),$K242="b"),ROUND(VLOOKUP(BR$4,Preisindex,3,FALSE)/VLOOKUP(YEAR($F242),Preisindex,3,FALSE),2),IF(AND($E242&lt;&gt;0,$F242&gt;0,YEAR($F242)&gt;=Preisindex!$A$6,YEAR(BM$4)&gt;=YEAR($F242),$K242="g"),ROUND(VLOOKUP(BR$4,Preisindex,4,FALSE)/VLOOKUP(YEAR($F242),Preisindex,4,FALSE),2),IF(AND($E242&lt;&gt;0,$F242&gt;0,YEAR($F242)&gt;=Preisindex!$A$6,YEAR(BM$4)&gt;=YEAR($F242),$K242="k"),ROUND(VLOOKUP(BR$4,Preisindex,2,FALSE)/VLOOKUP(YEAR($F242),Preisindex,2,FALSE),2),0)))))</f>
        <v>0</v>
      </c>
      <c r="BS242" s="56">
        <f>IF(AND($E242&lt;&gt;0,$F242&gt;0,YEAR($F242)&lt;Preisindex!$A$6,YEAR(BM$4)&gt;=YEAR($F242),AND($K242&lt;&gt;"a",$K242&lt;&gt;"b",$K242&lt;&gt;"g",$K242&lt;&gt;"k")),1,IF(AND($E242&lt;&gt;0,$F242&gt;0,YEAR($F242)&lt;Preisindex!$A$6,YEAR(BM$4)&gt;=YEAR($F242),$K242="a"),ROUND(VLOOKUP(BR$4,Preisindex,5,FALSE)/VLOOKUP(Preisindex!$A$6,Preisindex,5,FALSE),2),IF(AND($E242&lt;&gt;0,$F242&gt;0,YEAR($F242)&lt;Preisindex!$A$6,YEAR(BM$4)&gt;=YEAR($F242),$K242="b"),ROUND(VLOOKUP(BR$4,Preisindex,3,FALSE)/VLOOKUP(Preisindex!$A$6,Preisindex,3,FALSE),2),IF(AND($E242&lt;&gt;0,$F242&gt;0,YEAR($F242)&lt;Preisindex!$A$6,YEAR(BM$4)&gt;=YEAR($F242),$K242="g"),ROUND(VLOOKUP(BR$4,Preisindex,4,FALSE)/VLOOKUP(Preisindex!$A$6,Preisindex,4,FALSE),2),IF(AND($E242&lt;&gt;0,$F242&gt;0,YEAR($F242)&lt;Preisindex!$A$6,YEAR(BM$4)&gt;=YEAR($F242),$K242="k"),ROUND(VLOOKUP(BR$4,Preisindex,2,FALSE)/VLOOKUP(Preisindex!$A$6,Preisindex,2,FALSE),2),0)))))</f>
        <v>0</v>
      </c>
      <c r="BT242" s="51">
        <f>IF(AND($E242&lt;&gt;0,$F242&gt;0,YEAR($F242)&lt;=BR$4,YEAR($F242)&gt;=Preisindex!$A$6),ROUND($E242*BR242,2),IF(AND($E242&lt;&gt;0,$F242&gt;0,YEAR($F242)&lt;=BR$4,YEAR($F242)&lt;Preisindex!$A$6),ROUND($E242*BS242,2),0))</f>
        <v>0</v>
      </c>
      <c r="BU242" s="53">
        <f t="shared" si="639"/>
        <v>0</v>
      </c>
      <c r="BV242" s="51">
        <f t="shared" si="750"/>
        <v>0</v>
      </c>
      <c r="BW242" s="51">
        <f t="shared" si="720"/>
        <v>0</v>
      </c>
      <c r="BX242" s="51">
        <f t="shared" si="640"/>
        <v>0</v>
      </c>
      <c r="BY242" s="51">
        <f t="shared" si="721"/>
        <v>0</v>
      </c>
      <c r="BZ242" s="51">
        <f t="shared" si="641"/>
        <v>0</v>
      </c>
      <c r="CA242" s="51">
        <f t="shared" si="722"/>
        <v>0</v>
      </c>
      <c r="CB242" s="51">
        <f t="shared" si="642"/>
        <v>0</v>
      </c>
      <c r="CC242" s="51">
        <f t="shared" si="723"/>
        <v>0</v>
      </c>
      <c r="CD242" s="51">
        <f t="shared" si="643"/>
        <v>0</v>
      </c>
      <c r="CE242" s="51">
        <f t="shared" si="724"/>
        <v>0</v>
      </c>
      <c r="CF242" s="51">
        <f t="shared" si="644"/>
        <v>0</v>
      </c>
      <c r="CG242" s="54">
        <f t="shared" si="645"/>
        <v>0</v>
      </c>
      <c r="CH242" s="55">
        <f t="shared" si="646"/>
        <v>0</v>
      </c>
      <c r="CI242" s="56">
        <f>IF(AND($E242&lt;&gt;0,$F242&gt;0,YEAR($F242)&gt;=Preisindex!$A$6,YEAR(CD$4)&gt;=YEAR($F242),AND($K242&lt;&gt;"a",$K242&lt;&gt;"b",$K242&lt;&gt;"g",$K242&lt;&gt;"k")),1,IF(AND($E242&lt;&gt;0,$F242&gt;0,YEAR($F242)&gt;=Preisindex!$A$6,YEAR(CD$4)&gt;=YEAR($F242),$K242="a"),ROUND(VLOOKUP(CI$4,Preisindex,5,FALSE)/VLOOKUP(YEAR($F242),Preisindex,5,FALSE),2),IF(AND($E242&lt;&gt;0,$F242&gt;0,YEAR($F242)&gt;=Preisindex!$A$6,YEAR(CD$4)&gt;=YEAR($F242),$K242="b"),ROUND(VLOOKUP(CI$4,Preisindex,3,FALSE)/VLOOKUP(YEAR($F242),Preisindex,3,FALSE),2),IF(AND($E242&lt;&gt;0,$F242&gt;0,YEAR($F242)&gt;=Preisindex!$A$6,YEAR(CD$4)&gt;=YEAR($F242),$K242="g"),ROUND(VLOOKUP(CI$4,Preisindex,4,FALSE)/VLOOKUP(YEAR($F242),Preisindex,4,FALSE),2),IF(AND($E242&lt;&gt;0,$F242&gt;0,YEAR($F242)&gt;=Preisindex!$A$6,YEAR(CD$4)&gt;=YEAR($F242),$K242="k"),ROUND(VLOOKUP(CI$4,Preisindex,2,FALSE)/VLOOKUP(YEAR($F242),Preisindex,2,FALSE),2),0)))))</f>
        <v>0</v>
      </c>
      <c r="CJ242" s="56">
        <f>IF(AND($E242&lt;&gt;0,$F242&gt;0,YEAR($F242)&lt;Preisindex!$A$6,YEAR(CD$4)&gt;=YEAR($F242),AND($K242&lt;&gt;"a",$K242&lt;&gt;"b",$K242&lt;&gt;"g",$K242&lt;&gt;"k")),1,IF(AND($E242&lt;&gt;0,$F242&gt;0,YEAR($F242)&lt;Preisindex!$A$6,YEAR(CD$4)&gt;=YEAR($F242),$K242="a"),ROUND(VLOOKUP(CI$4,Preisindex,5,FALSE)/VLOOKUP(Preisindex!$A$6,Preisindex,5,FALSE),2),IF(AND($E242&lt;&gt;0,$F242&gt;0,YEAR($F242)&lt;Preisindex!$A$6,YEAR(CD$4)&gt;=YEAR($F242),$K242="b"),ROUND(VLOOKUP(CI$4,Preisindex,3,FALSE)/VLOOKUP(Preisindex!$A$6,Preisindex,3,FALSE),2),IF(AND($E242&lt;&gt;0,$F242&gt;0,YEAR($F242)&lt;Preisindex!$A$6,YEAR(CD$4)&gt;=YEAR($F242),$K242="g"),ROUND(VLOOKUP(CI$4,Preisindex,4,FALSE)/VLOOKUP(Preisindex!$A$6,Preisindex,4,FALSE),2),IF(AND($E242&lt;&gt;0,$F242&gt;0,YEAR($F242)&lt;Preisindex!$A$6,YEAR(CD$4)&gt;=YEAR($F242),$K242="k"),ROUND(VLOOKUP(CI$4,Preisindex,2,FALSE)/VLOOKUP(Preisindex!$A$6,Preisindex,2,FALSE),2),0)))))</f>
        <v>0</v>
      </c>
      <c r="CK242" s="51">
        <f>IF(AND($E242&lt;&gt;0,$F242&gt;0,YEAR($F242)&lt;=CI$4,YEAR($F242)&gt;=Preisindex!$A$6),ROUND($E242*CI242,2),IF(AND($E242&lt;&gt;0,$F242&gt;0,YEAR($F242)&lt;=CI$4,YEAR($F242)&lt;Preisindex!$A$6),ROUND($E242*CJ242,2),0))</f>
        <v>0</v>
      </c>
      <c r="CL242" s="53">
        <f t="shared" si="647"/>
        <v>0</v>
      </c>
      <c r="CM242" s="51">
        <f t="shared" si="750"/>
        <v>0</v>
      </c>
      <c r="CN242" s="51">
        <f t="shared" si="725"/>
        <v>0</v>
      </c>
      <c r="CO242" s="51">
        <f t="shared" si="648"/>
        <v>0</v>
      </c>
      <c r="CP242" s="51">
        <f t="shared" si="726"/>
        <v>0</v>
      </c>
      <c r="CQ242" s="51">
        <f t="shared" si="649"/>
        <v>0</v>
      </c>
      <c r="CR242" s="51">
        <f t="shared" si="727"/>
        <v>0</v>
      </c>
      <c r="CS242" s="51">
        <f t="shared" si="650"/>
        <v>0</v>
      </c>
      <c r="CT242" s="51">
        <f t="shared" si="728"/>
        <v>0</v>
      </c>
      <c r="CU242" s="51">
        <f t="shared" si="651"/>
        <v>0</v>
      </c>
      <c r="CV242" s="51">
        <f t="shared" si="729"/>
        <v>0</v>
      </c>
      <c r="CW242" s="51">
        <f t="shared" si="652"/>
        <v>0</v>
      </c>
      <c r="CX242" s="54">
        <f t="shared" si="653"/>
        <v>0</v>
      </c>
      <c r="CY242" s="55">
        <f t="shared" si="654"/>
        <v>0</v>
      </c>
      <c r="CZ242" s="56">
        <f>IF(AND($E242&lt;&gt;0,$F242&gt;0,YEAR($F242)&gt;=Preisindex!$A$6,YEAR(CU$4)&gt;=YEAR($F242),AND($K242&lt;&gt;"a",$K242&lt;&gt;"b",$K242&lt;&gt;"g",$K242&lt;&gt;"k")),1,IF(AND($E242&lt;&gt;0,$F242&gt;0,YEAR($F242)&gt;=Preisindex!$A$6,YEAR(CU$4)&gt;=YEAR($F242),$K242="a"),ROUND(VLOOKUP(CZ$4,Preisindex,5,FALSE)/VLOOKUP(YEAR($F242),Preisindex,5,FALSE),2),IF(AND($E242&lt;&gt;0,$F242&gt;0,YEAR($F242)&gt;=Preisindex!$A$6,YEAR(CU$4)&gt;=YEAR($F242),$K242="b"),ROUND(VLOOKUP(CZ$4,Preisindex,3,FALSE)/VLOOKUP(YEAR($F242),Preisindex,3,FALSE),2),IF(AND($E242&lt;&gt;0,$F242&gt;0,YEAR($F242)&gt;=Preisindex!$A$6,YEAR(CU$4)&gt;=YEAR($F242),$K242="g"),ROUND(VLOOKUP(CZ$4,Preisindex,4,FALSE)/VLOOKUP(YEAR($F242),Preisindex,4,FALSE),2),IF(AND($E242&lt;&gt;0,$F242&gt;0,YEAR($F242)&gt;=Preisindex!$A$6,YEAR(CU$4)&gt;=YEAR($F242),$K242="k"),ROUND(VLOOKUP(CZ$4,Preisindex,2,FALSE)/VLOOKUP(YEAR($F242),Preisindex,2,FALSE),2),0)))))</f>
        <v>0</v>
      </c>
      <c r="DA242" s="56">
        <f>IF(AND($E242&lt;&gt;0,$F242&gt;0,YEAR($F242)&lt;Preisindex!$A$6,YEAR(CU$4)&gt;=YEAR($F242),AND($K242&lt;&gt;"a",$K242&lt;&gt;"b",$K242&lt;&gt;"g",$K242&lt;&gt;"k")),1,IF(AND($E242&lt;&gt;0,$F242&gt;0,YEAR($F242)&lt;Preisindex!$A$6,YEAR(CU$4)&gt;=YEAR($F242),$K242="a"),ROUND(VLOOKUP(CZ$4,Preisindex,5,FALSE)/VLOOKUP(Preisindex!$A$6,Preisindex,5,FALSE),2),IF(AND($E242&lt;&gt;0,$F242&gt;0,YEAR($F242)&lt;Preisindex!$A$6,YEAR(CU$4)&gt;=YEAR($F242),$K242="b"),ROUND(VLOOKUP(CZ$4,Preisindex,3,FALSE)/VLOOKUP(Preisindex!$A$6,Preisindex,3,FALSE),2),IF(AND($E242&lt;&gt;0,$F242&gt;0,YEAR($F242)&lt;Preisindex!$A$6,YEAR(CU$4)&gt;=YEAR($F242),$K242="g"),ROUND(VLOOKUP(CZ$4,Preisindex,4,FALSE)/VLOOKUP(Preisindex!$A$6,Preisindex,4,FALSE),2),IF(AND($E242&lt;&gt;0,$F242&gt;0,YEAR($F242)&lt;Preisindex!$A$6,YEAR(CU$4)&gt;=YEAR($F242),$K242="k"),ROUND(VLOOKUP(CZ$4,Preisindex,2,FALSE)/VLOOKUP(Preisindex!$A$6,Preisindex,2,FALSE),2),0)))))</f>
        <v>0</v>
      </c>
      <c r="DB242" s="51">
        <f>IF(AND($E242&lt;&gt;0,$F242&gt;0,YEAR($F242)&lt;=CZ$4,YEAR($F242)&gt;=Preisindex!$A$6),ROUND($E242*CZ242,2),IF(AND($E242&lt;&gt;0,$F242&gt;0,YEAR($F242)&lt;=CZ$4,YEAR($F242)&lt;Preisindex!$A$6),ROUND($E242*DA242,2),0))</f>
        <v>0</v>
      </c>
      <c r="DC242" s="53">
        <f t="shared" si="655"/>
        <v>0</v>
      </c>
      <c r="DD242" s="51">
        <f t="shared" si="751"/>
        <v>0</v>
      </c>
      <c r="DE242" s="51">
        <f t="shared" si="730"/>
        <v>0</v>
      </c>
      <c r="DF242" s="51">
        <f t="shared" si="657"/>
        <v>0</v>
      </c>
      <c r="DG242" s="51">
        <f t="shared" si="731"/>
        <v>0</v>
      </c>
      <c r="DH242" s="51">
        <f t="shared" si="658"/>
        <v>0</v>
      </c>
      <c r="DI242" s="51">
        <f t="shared" si="732"/>
        <v>0</v>
      </c>
      <c r="DJ242" s="51">
        <f t="shared" si="659"/>
        <v>0</v>
      </c>
      <c r="DK242" s="51">
        <f t="shared" si="733"/>
        <v>0</v>
      </c>
      <c r="DL242" s="51">
        <f t="shared" si="660"/>
        <v>0</v>
      </c>
      <c r="DM242" s="51">
        <f t="shared" si="734"/>
        <v>0</v>
      </c>
      <c r="DN242" s="51">
        <f t="shared" si="661"/>
        <v>0</v>
      </c>
      <c r="DO242" s="54">
        <f t="shared" si="662"/>
        <v>0</v>
      </c>
      <c r="DP242" s="55">
        <f t="shared" si="663"/>
        <v>0</v>
      </c>
      <c r="DQ242" s="56">
        <f>IF(AND($E242&lt;&gt;0,$F242&gt;0,YEAR($F242)&gt;=Preisindex!$A$6,YEAR(DL$4)&gt;=YEAR($F242),AND($K242&lt;&gt;"a",$K242&lt;&gt;"b",$K242&lt;&gt;"g",$K242&lt;&gt;"k")),1,IF(AND($E242&lt;&gt;0,$F242&gt;0,YEAR($F242)&gt;=Preisindex!$A$6,YEAR(DL$4)&gt;=YEAR($F242),$K242="a"),ROUND(VLOOKUP(DQ$4,Preisindex,5,FALSE)/VLOOKUP(YEAR($F242),Preisindex,5,FALSE),2),IF(AND($E242&lt;&gt;0,$F242&gt;0,YEAR($F242)&gt;=Preisindex!$A$6,YEAR(DL$4)&gt;=YEAR($F242),$K242="b"),ROUND(VLOOKUP(DQ$4,Preisindex,3,FALSE)/VLOOKUP(YEAR($F242),Preisindex,3,FALSE),2),IF(AND($E242&lt;&gt;0,$F242&gt;0,YEAR($F242)&gt;=Preisindex!$A$6,YEAR(DL$4)&gt;=YEAR($F242),$K242="g"),ROUND(VLOOKUP(DQ$4,Preisindex,4,FALSE)/VLOOKUP(YEAR($F242),Preisindex,4,FALSE),2),IF(AND($E242&lt;&gt;0,$F242&gt;0,YEAR($F242)&gt;=Preisindex!$A$6,YEAR(DL$4)&gt;=YEAR($F242),$K242="k"),ROUND(VLOOKUP(DQ$4,Preisindex,2,FALSE)/VLOOKUP(YEAR($F242),Preisindex,2,FALSE),2),0)))))</f>
        <v>0</v>
      </c>
      <c r="DR242" s="56">
        <f>IF(AND($E242&lt;&gt;0,$F242&gt;0,YEAR($F242)&lt;Preisindex!$A$6,YEAR(DL$4)&gt;=YEAR($F242),AND($K242&lt;&gt;"a",$K242&lt;&gt;"b",$K242&lt;&gt;"g",$K242&lt;&gt;"k")),1,IF(AND($E242&lt;&gt;0,$F242&gt;0,YEAR($F242)&lt;Preisindex!$A$6,YEAR(DL$4)&gt;=YEAR($F242),$K242="a"),ROUND(VLOOKUP(DQ$4,Preisindex,5,FALSE)/VLOOKUP(Preisindex!$A$6,Preisindex,5,FALSE),2),IF(AND($E242&lt;&gt;0,$F242&gt;0,YEAR($F242)&lt;Preisindex!$A$6,YEAR(DL$4)&gt;=YEAR($F242),$K242="b"),ROUND(VLOOKUP(DQ$4,Preisindex,3,FALSE)/VLOOKUP(Preisindex!$A$6,Preisindex,3,FALSE),2),IF(AND($E242&lt;&gt;0,$F242&gt;0,YEAR($F242)&lt;Preisindex!$A$6,YEAR(DL$4)&gt;=YEAR($F242),$K242="g"),ROUND(VLOOKUP(DQ$4,Preisindex,4,FALSE)/VLOOKUP(Preisindex!$A$6,Preisindex,4,FALSE),2),IF(AND($E242&lt;&gt;0,$F242&gt;0,YEAR($F242)&lt;Preisindex!$A$6,YEAR(DL$4)&gt;=YEAR($F242),$K242="k"),ROUND(VLOOKUP(DQ$4,Preisindex,2,FALSE)/VLOOKUP(Preisindex!$A$6,Preisindex,2,FALSE),2),0)))))</f>
        <v>0</v>
      </c>
      <c r="DS242" s="51">
        <f>IF(AND($E242&lt;&gt;0,$F242&gt;0,YEAR($F242)&lt;=DQ$4,YEAR($F242)&gt;=Preisindex!$A$6),ROUND($E242*DQ242,2),IF(AND($E242&lt;&gt;0,$F242&gt;0,YEAR($F242)&lt;=DQ$4,YEAR($F242)&lt;Preisindex!$A$6),ROUND($E242*DR242,2),0))</f>
        <v>0</v>
      </c>
      <c r="DT242" s="53">
        <f t="shared" si="664"/>
        <v>0</v>
      </c>
      <c r="DU242" s="51">
        <f t="shared" si="751"/>
        <v>0</v>
      </c>
      <c r="DV242" s="51">
        <f t="shared" si="735"/>
        <v>0</v>
      </c>
      <c r="DW242" s="51">
        <f t="shared" si="665"/>
        <v>0</v>
      </c>
      <c r="DX242" s="51">
        <f t="shared" si="736"/>
        <v>0</v>
      </c>
      <c r="DY242" s="51">
        <f t="shared" si="666"/>
        <v>0</v>
      </c>
      <c r="DZ242" s="51">
        <f t="shared" si="737"/>
        <v>0</v>
      </c>
      <c r="EA242" s="51">
        <f t="shared" si="667"/>
        <v>0</v>
      </c>
      <c r="EB242" s="51">
        <f t="shared" si="738"/>
        <v>0</v>
      </c>
      <c r="EC242" s="51">
        <f t="shared" si="668"/>
        <v>0</v>
      </c>
      <c r="ED242" s="51">
        <f t="shared" si="739"/>
        <v>0</v>
      </c>
      <c r="EE242" s="51">
        <f t="shared" si="669"/>
        <v>0</v>
      </c>
      <c r="EF242" s="54">
        <f t="shared" si="670"/>
        <v>0</v>
      </c>
      <c r="EG242" s="55">
        <f t="shared" si="671"/>
        <v>0</v>
      </c>
      <c r="EH242" s="56">
        <f>IF(AND($E242&lt;&gt;0,$F242&gt;0,YEAR($F242)&gt;=Preisindex!$A$6,YEAR(EC$4)&gt;=YEAR($F242),AND($K242&lt;&gt;"a",$K242&lt;&gt;"b",$K242&lt;&gt;"g",$K242&lt;&gt;"k")),1,IF(AND($E242&lt;&gt;0,$F242&gt;0,YEAR($F242)&gt;=Preisindex!$A$6,YEAR(EC$4)&gt;=YEAR($F242),$K242="a"),ROUND(VLOOKUP(EH$4,Preisindex,5,FALSE)/VLOOKUP(YEAR($F242),Preisindex,5,FALSE),2),IF(AND($E242&lt;&gt;0,$F242&gt;0,YEAR($F242)&gt;=Preisindex!$A$6,YEAR(EC$4)&gt;=YEAR($F242),$K242="b"),ROUND(VLOOKUP(EH$4,Preisindex,3,FALSE)/VLOOKUP(YEAR($F242),Preisindex,3,FALSE),2),IF(AND($E242&lt;&gt;0,$F242&gt;0,YEAR($F242)&gt;=Preisindex!$A$6,YEAR(EC$4)&gt;=YEAR($F242),$K242="g"),ROUND(VLOOKUP(EH$4,Preisindex,4,FALSE)/VLOOKUP(YEAR($F242),Preisindex,4,FALSE),2),IF(AND($E242&lt;&gt;0,$F242&gt;0,YEAR($F242)&gt;=Preisindex!$A$6,YEAR(EC$4)&gt;=YEAR($F242),$K242="k"),ROUND(VLOOKUP(EH$4,Preisindex,2,FALSE)/VLOOKUP(YEAR($F242),Preisindex,2,FALSE),2),0)))))</f>
        <v>0</v>
      </c>
      <c r="EI242" s="56">
        <f>IF(AND($E242&lt;&gt;0,$F242&gt;0,YEAR($F242)&lt;Preisindex!$A$6,YEAR(EC$4)&gt;=YEAR($F242),AND($K242&lt;&gt;"a",$K242&lt;&gt;"b",$K242&lt;&gt;"g",$K242&lt;&gt;"k")),1,IF(AND($E242&lt;&gt;0,$F242&gt;0,YEAR($F242)&lt;Preisindex!$A$6,YEAR(EC$4)&gt;=YEAR($F242),$K242="a"),ROUND(VLOOKUP(EH$4,Preisindex,5,FALSE)/VLOOKUP(Preisindex!$A$6,Preisindex,5,FALSE),2),IF(AND($E242&lt;&gt;0,$F242&gt;0,YEAR($F242)&lt;Preisindex!$A$6,YEAR(EC$4)&gt;=YEAR($F242),$K242="b"),ROUND(VLOOKUP(EH$4,Preisindex,3,FALSE)/VLOOKUP(Preisindex!$A$6,Preisindex,3,FALSE),2),IF(AND($E242&lt;&gt;0,$F242&gt;0,YEAR($F242)&lt;Preisindex!$A$6,YEAR(EC$4)&gt;=YEAR($F242),$K242="g"),ROUND(VLOOKUP(EH$4,Preisindex,4,FALSE)/VLOOKUP(Preisindex!$A$6,Preisindex,4,FALSE),2),IF(AND($E242&lt;&gt;0,$F242&gt;0,YEAR($F242)&lt;Preisindex!$A$6,YEAR(EC$4)&gt;=YEAR($F242),$K242="k"),ROUND(VLOOKUP(EH$4,Preisindex,2,FALSE)/VLOOKUP(Preisindex!$A$6,Preisindex,2,FALSE),2),0)))))</f>
        <v>0</v>
      </c>
      <c r="EJ242" s="51">
        <f>IF(AND($E242&lt;&gt;0,$F242&gt;0,YEAR($F242)&lt;=EH$4,YEAR($F242)&gt;=Preisindex!$A$6),ROUND($E242*EH242,2),IF(AND($E242&lt;&gt;0,$F242&gt;0,YEAR($F242)&lt;=EH$4,YEAR($F242)&lt;Preisindex!$A$6),ROUND($E242*EI242,2),0))</f>
        <v>0</v>
      </c>
      <c r="EK242" s="53">
        <f t="shared" si="672"/>
        <v>0</v>
      </c>
      <c r="EL242" s="51">
        <f t="shared" si="751"/>
        <v>0</v>
      </c>
      <c r="EM242" s="51">
        <f t="shared" si="740"/>
        <v>0</v>
      </c>
      <c r="EN242" s="51">
        <f t="shared" si="673"/>
        <v>0</v>
      </c>
      <c r="EO242" s="51">
        <f t="shared" si="741"/>
        <v>0</v>
      </c>
      <c r="EP242" s="51">
        <f t="shared" si="674"/>
        <v>0</v>
      </c>
      <c r="EQ242" s="51">
        <f t="shared" si="742"/>
        <v>0</v>
      </c>
      <c r="ER242" s="51">
        <f t="shared" si="675"/>
        <v>0</v>
      </c>
      <c r="ES242" s="51">
        <f t="shared" si="743"/>
        <v>0</v>
      </c>
      <c r="ET242" s="51">
        <f t="shared" si="676"/>
        <v>0</v>
      </c>
      <c r="EU242" s="51">
        <f t="shared" si="744"/>
        <v>0</v>
      </c>
      <c r="EV242" s="51">
        <f t="shared" si="677"/>
        <v>0</v>
      </c>
      <c r="EW242" s="54">
        <f t="shared" si="678"/>
        <v>0</v>
      </c>
      <c r="EX242" s="55">
        <f t="shared" si="679"/>
        <v>0</v>
      </c>
      <c r="EY242" s="56">
        <f>IF(AND($E242&lt;&gt;0,$F242&gt;0,YEAR($F242)&gt;=Preisindex!$A$6,YEAR(ET$4)&gt;=YEAR($F242),AND($K242&lt;&gt;"a",$K242&lt;&gt;"b",$K242&lt;&gt;"g",$K242&lt;&gt;"k")),1,IF(AND($E242&lt;&gt;0,$F242&gt;0,YEAR($F242)&gt;=Preisindex!$A$6,YEAR(ET$4)&gt;=YEAR($F242),$K242="a"),ROUND(VLOOKUP(EY$4,Preisindex,5,FALSE)/VLOOKUP(YEAR($F242),Preisindex,5,FALSE),2),IF(AND($E242&lt;&gt;0,$F242&gt;0,YEAR($F242)&gt;=Preisindex!$A$6,YEAR(ET$4)&gt;=YEAR($F242),$K242="b"),ROUND(VLOOKUP(EY$4,Preisindex,3,FALSE)/VLOOKUP(YEAR($F242),Preisindex,3,FALSE),2),IF(AND($E242&lt;&gt;0,$F242&gt;0,YEAR($F242)&gt;=Preisindex!$A$6,YEAR(ET$4)&gt;=YEAR($F242),$K242="g"),ROUND(VLOOKUP(EY$4,Preisindex,4,FALSE)/VLOOKUP(YEAR($F242),Preisindex,4,FALSE),2),IF(AND($E242&lt;&gt;0,$F242&gt;0,YEAR($F242)&gt;=Preisindex!$A$6,YEAR(ET$4)&gt;=YEAR($F242),$K242="k"),ROUND(VLOOKUP(EY$4,Preisindex,2,FALSE)/VLOOKUP(YEAR($F242),Preisindex,2,FALSE),2),0)))))</f>
        <v>0</v>
      </c>
      <c r="EZ242" s="56">
        <f>IF(AND($E242&lt;&gt;0,$F242&gt;0,YEAR($F242)&lt;Preisindex!$A$6,YEAR(ET$4)&gt;=YEAR($F242),AND($K242&lt;&gt;"a",$K242&lt;&gt;"b",$K242&lt;&gt;"g",$K242&lt;&gt;"k")),1,IF(AND($E242&lt;&gt;0,$F242&gt;0,YEAR($F242)&lt;Preisindex!$A$6,YEAR(ET$4)&gt;=YEAR($F242),$K242="a"),ROUND(VLOOKUP(EY$4,Preisindex,5,FALSE)/VLOOKUP(Preisindex!$A$6,Preisindex,5,FALSE),2),IF(AND($E242&lt;&gt;0,$F242&gt;0,YEAR($F242)&lt;Preisindex!$A$6,YEAR(ET$4)&gt;=YEAR($F242),$K242="b"),ROUND(VLOOKUP(EY$4,Preisindex,3,FALSE)/VLOOKUP(Preisindex!$A$6,Preisindex,3,FALSE),2),IF(AND($E242&lt;&gt;0,$F242&gt;0,YEAR($F242)&lt;Preisindex!$A$6,YEAR(ET$4)&gt;=YEAR($F242),$K242="g"),ROUND(VLOOKUP(EY$4,Preisindex,4,FALSE)/VLOOKUP(Preisindex!$A$6,Preisindex,4,FALSE),2),IF(AND($E242&lt;&gt;0,$F242&gt;0,YEAR($F242)&lt;Preisindex!$A$6,YEAR(ET$4)&gt;=YEAR($F242),$K242="k"),ROUND(VLOOKUP(EY$4,Preisindex,2,FALSE)/VLOOKUP(Preisindex!$A$6,Preisindex,2,FALSE),2),0)))))</f>
        <v>0</v>
      </c>
      <c r="FA242" s="51">
        <f>IF(AND($E242&lt;&gt;0,$F242&gt;0,YEAR($F242)&lt;=EY$4,YEAR($F242)&gt;=Preisindex!$A$6),ROUND($E242*EY242,2),IF(AND($E242&lt;&gt;0,$F242&gt;0,YEAR($F242)&lt;=EY$4,YEAR($F242)&lt;Preisindex!$A$6),ROUND($E242*EZ242,2),0))</f>
        <v>0</v>
      </c>
      <c r="FB242" s="53">
        <f t="shared" si="680"/>
        <v>0</v>
      </c>
      <c r="FC242" s="51">
        <f t="shared" si="751"/>
        <v>0</v>
      </c>
      <c r="FD242" s="51">
        <f t="shared" si="745"/>
        <v>0</v>
      </c>
      <c r="FE242" s="51">
        <f t="shared" si="681"/>
        <v>0</v>
      </c>
      <c r="FF242" s="51">
        <f t="shared" si="746"/>
        <v>0</v>
      </c>
      <c r="FG242" s="51">
        <f t="shared" si="682"/>
        <v>0</v>
      </c>
      <c r="FH242" s="51">
        <f t="shared" si="747"/>
        <v>0</v>
      </c>
      <c r="FI242" s="51">
        <f t="shared" si="683"/>
        <v>0</v>
      </c>
      <c r="FJ242" s="51">
        <f t="shared" si="748"/>
        <v>0</v>
      </c>
      <c r="FK242" s="51">
        <f t="shared" si="684"/>
        <v>0</v>
      </c>
      <c r="FL242" s="51">
        <f t="shared" si="749"/>
        <v>0</v>
      </c>
      <c r="FM242" s="51">
        <f t="shared" si="685"/>
        <v>0</v>
      </c>
      <c r="FN242" s="54">
        <f t="shared" si="686"/>
        <v>0</v>
      </c>
      <c r="FO242" s="55">
        <f t="shared" si="687"/>
        <v>0</v>
      </c>
      <c r="FP242" s="56">
        <f>IF(AND($E242&lt;&gt;0,$F242&gt;0,YEAR($F242)&gt;=Preisindex!$A$6,YEAR(FK$4)&gt;=YEAR($F242),AND($K242&lt;&gt;"a",$K242&lt;&gt;"b",$K242&lt;&gt;"g",$K242&lt;&gt;"k")),1,IF(AND($E242&lt;&gt;0,$F242&gt;0,YEAR($F242)&gt;=Preisindex!$A$6,YEAR(FK$4)&gt;=YEAR($F242),$K242="a"),ROUND(VLOOKUP(FP$4,Preisindex,5,FALSE)/VLOOKUP(YEAR($F242),Preisindex,5,FALSE),2),IF(AND($E242&lt;&gt;0,$F242&gt;0,YEAR($F242)&gt;=Preisindex!$A$6,YEAR(FK$4)&gt;=YEAR($F242),$K242="b"),ROUND(VLOOKUP(FP$4,Preisindex,3,FALSE)/VLOOKUP(YEAR($F242),Preisindex,3,FALSE),2),IF(AND($E242&lt;&gt;0,$F242&gt;0,YEAR($F242)&gt;=Preisindex!$A$6,YEAR(FK$4)&gt;=YEAR($F242),$K242="g"),ROUND(VLOOKUP(FP$4,Preisindex,4,FALSE)/VLOOKUP(YEAR($F242),Preisindex,4,FALSE),2),IF(AND($E242&lt;&gt;0,$F242&gt;0,YEAR($F242)&gt;=Preisindex!$A$6,YEAR(FK$4)&gt;=YEAR($F242),$K242="k"),ROUND(VLOOKUP(FP$4,Preisindex,2,FALSE)/VLOOKUP(YEAR($F242),Preisindex,2,FALSE),2),0)))))</f>
        <v>0</v>
      </c>
      <c r="FQ242" s="56">
        <f>IF(AND($E242&lt;&gt;0,$F242&gt;0,YEAR($F242)&lt;Preisindex!$A$6,YEAR(FK$4)&gt;=YEAR($F242),AND($K242&lt;&gt;"a",$K242&lt;&gt;"b",$K242&lt;&gt;"g",$K242&lt;&gt;"k")),1,IF(AND($E242&lt;&gt;0,$F242&gt;0,YEAR($F242)&lt;Preisindex!$A$6,YEAR(FK$4)&gt;=YEAR($F242),$K242="a"),ROUND(VLOOKUP(FP$4,Preisindex,5,FALSE)/VLOOKUP(Preisindex!$A$6,Preisindex,5,FALSE),2),IF(AND($E242&lt;&gt;0,$F242&gt;0,YEAR($F242)&lt;Preisindex!$A$6,YEAR(FK$4)&gt;=YEAR($F242),$K242="b"),ROUND(VLOOKUP(FP$4,Preisindex,3,FALSE)/VLOOKUP(Preisindex!$A$6,Preisindex,3,FALSE),2),IF(AND($E242&lt;&gt;0,$F242&gt;0,YEAR($F242)&lt;Preisindex!$A$6,YEAR(FK$4)&gt;=YEAR($F242),$K242="g"),ROUND(VLOOKUP(FP$4,Preisindex,4,FALSE)/VLOOKUP(Preisindex!$A$6,Preisindex,4,FALSE),2),IF(AND($E242&lt;&gt;0,$F242&gt;0,YEAR($F242)&lt;Preisindex!$A$6,YEAR(FK$4)&gt;=YEAR($F242),$K242="k"),ROUND(VLOOKUP(FP$4,Preisindex,2,FALSE)/VLOOKUP(Preisindex!$A$6,Preisindex,2,FALSE),2),0)))))</f>
        <v>0</v>
      </c>
      <c r="FR242" s="51">
        <f>IF(AND($E242&lt;&gt;0,$F242&gt;0,YEAR($F242)&lt;=FP$4,YEAR($F242)&gt;=Preisindex!$A$6),ROUND($E242*FP242,2),IF(AND($E242&lt;&gt;0,$F242&gt;0,YEAR($F242)&lt;=FP$4,YEAR($F242)&lt;Preisindex!$A$6),ROUND($E242*FQ242,2),0))</f>
        <v>0</v>
      </c>
      <c r="FS242" s="53">
        <f t="shared" si="688"/>
        <v>0</v>
      </c>
    </row>
    <row r="243" spans="1:175" x14ac:dyDescent="0.3">
      <c r="A243" s="93"/>
      <c r="B243" s="94"/>
      <c r="C243" s="94"/>
      <c r="D243" s="188"/>
      <c r="E243" s="624"/>
      <c r="F243" s="190"/>
      <c r="G243" s="625"/>
      <c r="H243" s="192"/>
      <c r="I243" s="621"/>
      <c r="J243" s="103"/>
      <c r="K243" s="630"/>
      <c r="L243" s="49">
        <f t="shared" si="689"/>
        <v>0</v>
      </c>
      <c r="M243" s="50">
        <f t="shared" si="690"/>
        <v>0</v>
      </c>
      <c r="N243" s="51">
        <f t="shared" si="691"/>
        <v>0</v>
      </c>
      <c r="O243" s="51"/>
      <c r="P243" s="51">
        <f t="shared" si="692"/>
        <v>0</v>
      </c>
      <c r="Q243" s="52"/>
      <c r="R243" s="52"/>
      <c r="S243" s="52"/>
      <c r="T243" s="52"/>
      <c r="U243" s="52"/>
      <c r="V243" s="53">
        <f t="shared" si="693"/>
        <v>0</v>
      </c>
      <c r="W243" s="51">
        <f t="shared" si="694"/>
        <v>0</v>
      </c>
      <c r="X243" s="51">
        <f t="shared" si="695"/>
        <v>0</v>
      </c>
      <c r="Y243" s="51">
        <f t="shared" si="696"/>
        <v>0</v>
      </c>
      <c r="Z243" s="51">
        <f t="shared" si="697"/>
        <v>0</v>
      </c>
      <c r="AA243" s="51">
        <f t="shared" si="698"/>
        <v>0</v>
      </c>
      <c r="AB243" s="51">
        <f t="shared" si="699"/>
        <v>0</v>
      </c>
      <c r="AC243" s="51">
        <f t="shared" si="700"/>
        <v>0</v>
      </c>
      <c r="AD243" s="51">
        <f t="shared" si="701"/>
        <v>0</v>
      </c>
      <c r="AE243" s="51">
        <f t="shared" si="702"/>
        <v>0</v>
      </c>
      <c r="AF243" s="51">
        <f t="shared" si="703"/>
        <v>0</v>
      </c>
      <c r="AG243" s="51">
        <f t="shared" si="704"/>
        <v>0</v>
      </c>
      <c r="AH243" s="54">
        <f t="shared" si="705"/>
        <v>0</v>
      </c>
      <c r="AI243" s="55">
        <f t="shared" si="706"/>
        <v>0</v>
      </c>
      <c r="AJ243" s="56">
        <f>IF(AND($E243&lt;&gt;0,$F243&gt;0,YEAR($F243)&gt;=Preisindex!$A$6,YEAR(AE$4)&gt;=YEAR($F243),AND($K243&lt;&gt;"a",$K243&lt;&gt;"b",$K243&lt;&gt;"g",$K243&lt;&gt;"k")),1,IF(AND($E243&lt;&gt;0,$F243&gt;0,YEAR($F243)&gt;=Preisindex!$A$6,YEAR(AE$4)&gt;=YEAR($F243),$K243="a"),ROUND(VLOOKUP(AJ$4,Preisindex,5,FALSE)/VLOOKUP(YEAR($F243),Preisindex,5,FALSE),2),IF(AND($E243&lt;&gt;0,$F243&gt;0,YEAR($F243)&gt;=Preisindex!$A$6,YEAR(AE$4)&gt;=YEAR($F243),$K243="b"),ROUND(VLOOKUP(AJ$4,Preisindex,3,FALSE)/VLOOKUP(YEAR($F243),Preisindex,3,FALSE),2),IF(AND($E243&lt;&gt;0,$F243&gt;0,YEAR($F243)&gt;=Preisindex!$A$6,YEAR(AE$4)&gt;=YEAR($F243),$K243="g"),ROUND(VLOOKUP(AJ$4,Preisindex,4,FALSE)/VLOOKUP(YEAR($F243),Preisindex,4,FALSE),2),IF(AND($E243&lt;&gt;0,$F243&gt;0,YEAR($F243)&gt;=Preisindex!$A$6,YEAR(AE$4)&gt;=YEAR($F243),$K243="k"),ROUND(VLOOKUP(AJ$4,Preisindex,2,FALSE)/VLOOKUP(YEAR($F243),Preisindex,2,FALSE),2),0)))))</f>
        <v>0</v>
      </c>
      <c r="AK243" s="56">
        <f>IF(AND($E243&lt;&gt;0,$F243&gt;0,YEAR($F243)&lt;Preisindex!$A$6,YEAR(AE$4)&gt;=YEAR($F243),AND($K243&lt;&gt;"a",$K243&lt;&gt;"b",$K243&lt;&gt;"g",$K243&lt;&gt;"k")),1,IF(AND($E243&lt;&gt;0,$F243&gt;0,YEAR($F243)&lt;Preisindex!$A$6,YEAR(AE$4)&gt;=YEAR($F243),$K243="a"),ROUND(VLOOKUP(AJ$4,Preisindex,5,FALSE)/VLOOKUP(Preisindex!$A$6,Preisindex,5,FALSE),2),IF(AND($E243&lt;&gt;0,$F243&gt;0,YEAR($F243)&lt;Preisindex!$A$6,YEAR(AE$4)&gt;=YEAR($F243),$K243="b"),ROUND(VLOOKUP(AJ$4,Preisindex,3,FALSE)/VLOOKUP(Preisindex!$A$6,Preisindex,3,FALSE),2),IF(AND($E243&lt;&gt;0,$F243&gt;0,YEAR($F243)&lt;Preisindex!$A$6,YEAR(AE$4)&gt;=YEAR($F243),$K243="g"),ROUND(VLOOKUP(AJ$4,Preisindex,4,FALSE)/VLOOKUP(Preisindex!$A$6,Preisindex,4,FALSE),2),IF(AND($E243&lt;&gt;0,$F243&gt;0,YEAR($F243)&lt;Preisindex!$A$6,YEAR(AE$4)&gt;=YEAR($F243),$K243="k"),ROUND(VLOOKUP(AJ$4,Preisindex,2,FALSE)/VLOOKUP(Preisindex!$A$6,Preisindex,2,FALSE),2),0)))))</f>
        <v>0</v>
      </c>
      <c r="AL243" s="51">
        <f>IF(AND($E243&lt;&gt;0,$F243&gt;0,YEAR($F243)&lt;=AJ$4,YEAR($F243)&gt;=Preisindex!$A$6),ROUND($E243*AJ243,2),IF(AND($E243&lt;&gt;0,$F243&gt;0,YEAR($F243)&lt;=AJ$4,YEAR($F243)&lt;Preisindex!$A$6),ROUND($E243*AK243,2),0))</f>
        <v>0</v>
      </c>
      <c r="AM243" s="53">
        <f t="shared" si="707"/>
        <v>0</v>
      </c>
      <c r="AN243" s="51">
        <f t="shared" si="750"/>
        <v>0</v>
      </c>
      <c r="AO243" s="51">
        <f t="shared" si="710"/>
        <v>0</v>
      </c>
      <c r="AP243" s="51">
        <f t="shared" si="624"/>
        <v>0</v>
      </c>
      <c r="AQ243" s="51">
        <f t="shared" si="711"/>
        <v>0</v>
      </c>
      <c r="AR243" s="51">
        <f t="shared" si="625"/>
        <v>0</v>
      </c>
      <c r="AS243" s="51">
        <f t="shared" si="712"/>
        <v>0</v>
      </c>
      <c r="AT243" s="51">
        <f t="shared" si="626"/>
        <v>0</v>
      </c>
      <c r="AU243" s="51">
        <f t="shared" si="713"/>
        <v>0</v>
      </c>
      <c r="AV243" s="51">
        <f t="shared" si="627"/>
        <v>0</v>
      </c>
      <c r="AW243" s="51">
        <f t="shared" si="714"/>
        <v>0</v>
      </c>
      <c r="AX243" s="51">
        <f t="shared" si="628"/>
        <v>0</v>
      </c>
      <c r="AY243" s="54">
        <f t="shared" si="629"/>
        <v>0</v>
      </c>
      <c r="AZ243" s="55">
        <f t="shared" si="630"/>
        <v>0</v>
      </c>
      <c r="BA243" s="56">
        <f>IF(AND($E243&lt;&gt;0,$F243&gt;0,YEAR($F243)&gt;=Preisindex!$A$6,YEAR(AV$4)&gt;=YEAR($F243),AND($K243&lt;&gt;"a",$K243&lt;&gt;"b",$K243&lt;&gt;"g",$K243&lt;&gt;"k")),1,IF(AND($E243&lt;&gt;0,$F243&gt;0,YEAR($F243)&gt;=Preisindex!$A$6,YEAR(AV$4)&gt;=YEAR($F243),$K243="a"),ROUND(VLOOKUP(BA$4,Preisindex,5,FALSE)/VLOOKUP(YEAR($F243),Preisindex,5,FALSE),2),IF(AND($E243&lt;&gt;0,$F243&gt;0,YEAR($F243)&gt;=Preisindex!$A$6,YEAR(AV$4)&gt;=YEAR($F243),$K243="b"),ROUND(VLOOKUP(BA$4,Preisindex,3,FALSE)/VLOOKUP(YEAR($F243),Preisindex,3,FALSE),2),IF(AND($E243&lt;&gt;0,$F243&gt;0,YEAR($F243)&gt;=Preisindex!$A$6,YEAR(AV$4)&gt;=YEAR($F243),$K243="g"),ROUND(VLOOKUP(BA$4,Preisindex,4,FALSE)/VLOOKUP(YEAR($F243),Preisindex,4,FALSE),2),IF(AND($E243&lt;&gt;0,$F243&gt;0,YEAR($F243)&gt;=Preisindex!$A$6,YEAR(AV$4)&gt;=YEAR($F243),$K243="k"),ROUND(VLOOKUP(BA$4,Preisindex,2,FALSE)/VLOOKUP(YEAR($F243),Preisindex,2,FALSE),2),0)))))</f>
        <v>0</v>
      </c>
      <c r="BB243" s="56">
        <f>IF(AND($E243&lt;&gt;0,$F243&gt;0,YEAR($F243)&lt;Preisindex!$A$6,YEAR(AV$4)&gt;=YEAR($F243),AND($K243&lt;&gt;"a",$K243&lt;&gt;"b",$K243&lt;&gt;"g",$K243&lt;&gt;"k")),1,IF(AND($E243&lt;&gt;0,$F243&gt;0,YEAR($F243)&lt;Preisindex!$A$6,YEAR(AV$4)&gt;=YEAR($F243),$K243="a"),ROUND(VLOOKUP(BA$4,Preisindex,5,FALSE)/VLOOKUP(Preisindex!$A$6,Preisindex,5,FALSE),2),IF(AND($E243&lt;&gt;0,$F243&gt;0,YEAR($F243)&lt;Preisindex!$A$6,YEAR(AV$4)&gt;=YEAR($F243),$K243="b"),ROUND(VLOOKUP(BA$4,Preisindex,3,FALSE)/VLOOKUP(Preisindex!$A$6,Preisindex,3,FALSE),2),IF(AND($E243&lt;&gt;0,$F243&gt;0,YEAR($F243)&lt;Preisindex!$A$6,YEAR(AV$4)&gt;=YEAR($F243),$K243="g"),ROUND(VLOOKUP(BA$4,Preisindex,4,FALSE)/VLOOKUP(Preisindex!$A$6,Preisindex,4,FALSE),2),IF(AND($E243&lt;&gt;0,$F243&gt;0,YEAR($F243)&lt;Preisindex!$A$6,YEAR(AV$4)&gt;=YEAR($F243),$K243="k"),ROUND(VLOOKUP(BA$4,Preisindex,2,FALSE)/VLOOKUP(Preisindex!$A$6,Preisindex,2,FALSE),2),0)))))</f>
        <v>0</v>
      </c>
      <c r="BC243" s="51">
        <f>IF(AND($E243&lt;&gt;0,$F243&gt;0,YEAR($F243)&lt;=BA$4,YEAR($F243)&gt;=Preisindex!$A$6),ROUND($E243*BA243,2),IF(AND($E243&lt;&gt;0,$F243&gt;0,YEAR($F243)&lt;=BA$4,YEAR($F243)&lt;Preisindex!$A$6),ROUND($E243*BB243,2),0))</f>
        <v>0</v>
      </c>
      <c r="BD243" s="53">
        <f t="shared" si="631"/>
        <v>0</v>
      </c>
      <c r="BE243" s="51">
        <f t="shared" si="750"/>
        <v>0</v>
      </c>
      <c r="BF243" s="51">
        <f t="shared" si="715"/>
        <v>0</v>
      </c>
      <c r="BG243" s="51">
        <f t="shared" si="632"/>
        <v>0</v>
      </c>
      <c r="BH243" s="51">
        <f t="shared" si="716"/>
        <v>0</v>
      </c>
      <c r="BI243" s="51">
        <f t="shared" si="633"/>
        <v>0</v>
      </c>
      <c r="BJ243" s="51">
        <f t="shared" si="717"/>
        <v>0</v>
      </c>
      <c r="BK243" s="51">
        <f t="shared" si="634"/>
        <v>0</v>
      </c>
      <c r="BL243" s="51">
        <f t="shared" si="718"/>
        <v>0</v>
      </c>
      <c r="BM243" s="51">
        <f t="shared" si="635"/>
        <v>0</v>
      </c>
      <c r="BN243" s="51">
        <f t="shared" si="719"/>
        <v>0</v>
      </c>
      <c r="BO243" s="51">
        <f t="shared" si="636"/>
        <v>0</v>
      </c>
      <c r="BP243" s="54">
        <f t="shared" si="637"/>
        <v>0</v>
      </c>
      <c r="BQ243" s="55">
        <f t="shared" si="638"/>
        <v>0</v>
      </c>
      <c r="BR243" s="56">
        <f>IF(AND($E243&lt;&gt;0,$F243&gt;0,YEAR($F243)&gt;=Preisindex!$A$6,YEAR(BM$4)&gt;=YEAR($F243),AND($K243&lt;&gt;"a",$K243&lt;&gt;"b",$K243&lt;&gt;"g",$K243&lt;&gt;"k")),1,IF(AND($E243&lt;&gt;0,$F243&gt;0,YEAR($F243)&gt;=Preisindex!$A$6,YEAR(BM$4)&gt;=YEAR($F243),$K243="a"),ROUND(VLOOKUP(BR$4,Preisindex,5,FALSE)/VLOOKUP(YEAR($F243),Preisindex,5,FALSE),2),IF(AND($E243&lt;&gt;0,$F243&gt;0,YEAR($F243)&gt;=Preisindex!$A$6,YEAR(BM$4)&gt;=YEAR($F243),$K243="b"),ROUND(VLOOKUP(BR$4,Preisindex,3,FALSE)/VLOOKUP(YEAR($F243),Preisindex,3,FALSE),2),IF(AND($E243&lt;&gt;0,$F243&gt;0,YEAR($F243)&gt;=Preisindex!$A$6,YEAR(BM$4)&gt;=YEAR($F243),$K243="g"),ROUND(VLOOKUP(BR$4,Preisindex,4,FALSE)/VLOOKUP(YEAR($F243),Preisindex,4,FALSE),2),IF(AND($E243&lt;&gt;0,$F243&gt;0,YEAR($F243)&gt;=Preisindex!$A$6,YEAR(BM$4)&gt;=YEAR($F243),$K243="k"),ROUND(VLOOKUP(BR$4,Preisindex,2,FALSE)/VLOOKUP(YEAR($F243),Preisindex,2,FALSE),2),0)))))</f>
        <v>0</v>
      </c>
      <c r="BS243" s="56">
        <f>IF(AND($E243&lt;&gt;0,$F243&gt;0,YEAR($F243)&lt;Preisindex!$A$6,YEAR(BM$4)&gt;=YEAR($F243),AND($K243&lt;&gt;"a",$K243&lt;&gt;"b",$K243&lt;&gt;"g",$K243&lt;&gt;"k")),1,IF(AND($E243&lt;&gt;0,$F243&gt;0,YEAR($F243)&lt;Preisindex!$A$6,YEAR(BM$4)&gt;=YEAR($F243),$K243="a"),ROUND(VLOOKUP(BR$4,Preisindex,5,FALSE)/VLOOKUP(Preisindex!$A$6,Preisindex,5,FALSE),2),IF(AND($E243&lt;&gt;0,$F243&gt;0,YEAR($F243)&lt;Preisindex!$A$6,YEAR(BM$4)&gt;=YEAR($F243),$K243="b"),ROUND(VLOOKUP(BR$4,Preisindex,3,FALSE)/VLOOKUP(Preisindex!$A$6,Preisindex,3,FALSE),2),IF(AND($E243&lt;&gt;0,$F243&gt;0,YEAR($F243)&lt;Preisindex!$A$6,YEAR(BM$4)&gt;=YEAR($F243),$K243="g"),ROUND(VLOOKUP(BR$4,Preisindex,4,FALSE)/VLOOKUP(Preisindex!$A$6,Preisindex,4,FALSE),2),IF(AND($E243&lt;&gt;0,$F243&gt;0,YEAR($F243)&lt;Preisindex!$A$6,YEAR(BM$4)&gt;=YEAR($F243),$K243="k"),ROUND(VLOOKUP(BR$4,Preisindex,2,FALSE)/VLOOKUP(Preisindex!$A$6,Preisindex,2,FALSE),2),0)))))</f>
        <v>0</v>
      </c>
      <c r="BT243" s="51">
        <f>IF(AND($E243&lt;&gt;0,$F243&gt;0,YEAR($F243)&lt;=BR$4,YEAR($F243)&gt;=Preisindex!$A$6),ROUND($E243*BR243,2),IF(AND($E243&lt;&gt;0,$F243&gt;0,YEAR($F243)&lt;=BR$4,YEAR($F243)&lt;Preisindex!$A$6),ROUND($E243*BS243,2),0))</f>
        <v>0</v>
      </c>
      <c r="BU243" s="53">
        <f t="shared" si="639"/>
        <v>0</v>
      </c>
      <c r="BV243" s="51">
        <f t="shared" si="750"/>
        <v>0</v>
      </c>
      <c r="BW243" s="51">
        <f t="shared" si="720"/>
        <v>0</v>
      </c>
      <c r="BX243" s="51">
        <f t="shared" si="640"/>
        <v>0</v>
      </c>
      <c r="BY243" s="51">
        <f t="shared" si="721"/>
        <v>0</v>
      </c>
      <c r="BZ243" s="51">
        <f t="shared" si="641"/>
        <v>0</v>
      </c>
      <c r="CA243" s="51">
        <f t="shared" si="722"/>
        <v>0</v>
      </c>
      <c r="CB243" s="51">
        <f t="shared" si="642"/>
        <v>0</v>
      </c>
      <c r="CC243" s="51">
        <f t="shared" si="723"/>
        <v>0</v>
      </c>
      <c r="CD243" s="51">
        <f t="shared" si="643"/>
        <v>0</v>
      </c>
      <c r="CE243" s="51">
        <f t="shared" si="724"/>
        <v>0</v>
      </c>
      <c r="CF243" s="51">
        <f t="shared" si="644"/>
        <v>0</v>
      </c>
      <c r="CG243" s="54">
        <f t="shared" si="645"/>
        <v>0</v>
      </c>
      <c r="CH243" s="55">
        <f t="shared" si="646"/>
        <v>0</v>
      </c>
      <c r="CI243" s="56">
        <f>IF(AND($E243&lt;&gt;0,$F243&gt;0,YEAR($F243)&gt;=Preisindex!$A$6,YEAR(CD$4)&gt;=YEAR($F243),AND($K243&lt;&gt;"a",$K243&lt;&gt;"b",$K243&lt;&gt;"g",$K243&lt;&gt;"k")),1,IF(AND($E243&lt;&gt;0,$F243&gt;0,YEAR($F243)&gt;=Preisindex!$A$6,YEAR(CD$4)&gt;=YEAR($F243),$K243="a"),ROUND(VLOOKUP(CI$4,Preisindex,5,FALSE)/VLOOKUP(YEAR($F243),Preisindex,5,FALSE),2),IF(AND($E243&lt;&gt;0,$F243&gt;0,YEAR($F243)&gt;=Preisindex!$A$6,YEAR(CD$4)&gt;=YEAR($F243),$K243="b"),ROUND(VLOOKUP(CI$4,Preisindex,3,FALSE)/VLOOKUP(YEAR($F243),Preisindex,3,FALSE),2),IF(AND($E243&lt;&gt;0,$F243&gt;0,YEAR($F243)&gt;=Preisindex!$A$6,YEAR(CD$4)&gt;=YEAR($F243),$K243="g"),ROUND(VLOOKUP(CI$4,Preisindex,4,FALSE)/VLOOKUP(YEAR($F243),Preisindex,4,FALSE),2),IF(AND($E243&lt;&gt;0,$F243&gt;0,YEAR($F243)&gt;=Preisindex!$A$6,YEAR(CD$4)&gt;=YEAR($F243),$K243="k"),ROUND(VLOOKUP(CI$4,Preisindex,2,FALSE)/VLOOKUP(YEAR($F243),Preisindex,2,FALSE),2),0)))))</f>
        <v>0</v>
      </c>
      <c r="CJ243" s="56">
        <f>IF(AND($E243&lt;&gt;0,$F243&gt;0,YEAR($F243)&lt;Preisindex!$A$6,YEAR(CD$4)&gt;=YEAR($F243),AND($K243&lt;&gt;"a",$K243&lt;&gt;"b",$K243&lt;&gt;"g",$K243&lt;&gt;"k")),1,IF(AND($E243&lt;&gt;0,$F243&gt;0,YEAR($F243)&lt;Preisindex!$A$6,YEAR(CD$4)&gt;=YEAR($F243),$K243="a"),ROUND(VLOOKUP(CI$4,Preisindex,5,FALSE)/VLOOKUP(Preisindex!$A$6,Preisindex,5,FALSE),2),IF(AND($E243&lt;&gt;0,$F243&gt;0,YEAR($F243)&lt;Preisindex!$A$6,YEAR(CD$4)&gt;=YEAR($F243),$K243="b"),ROUND(VLOOKUP(CI$4,Preisindex,3,FALSE)/VLOOKUP(Preisindex!$A$6,Preisindex,3,FALSE),2),IF(AND($E243&lt;&gt;0,$F243&gt;0,YEAR($F243)&lt;Preisindex!$A$6,YEAR(CD$4)&gt;=YEAR($F243),$K243="g"),ROUND(VLOOKUP(CI$4,Preisindex,4,FALSE)/VLOOKUP(Preisindex!$A$6,Preisindex,4,FALSE),2),IF(AND($E243&lt;&gt;0,$F243&gt;0,YEAR($F243)&lt;Preisindex!$A$6,YEAR(CD$4)&gt;=YEAR($F243),$K243="k"),ROUND(VLOOKUP(CI$4,Preisindex,2,FALSE)/VLOOKUP(Preisindex!$A$6,Preisindex,2,FALSE),2),0)))))</f>
        <v>0</v>
      </c>
      <c r="CK243" s="51">
        <f>IF(AND($E243&lt;&gt;0,$F243&gt;0,YEAR($F243)&lt;=CI$4,YEAR($F243)&gt;=Preisindex!$A$6),ROUND($E243*CI243,2),IF(AND($E243&lt;&gt;0,$F243&gt;0,YEAR($F243)&lt;=CI$4,YEAR($F243)&lt;Preisindex!$A$6),ROUND($E243*CJ243,2),0))</f>
        <v>0</v>
      </c>
      <c r="CL243" s="53">
        <f t="shared" si="647"/>
        <v>0</v>
      </c>
      <c r="CM243" s="51">
        <f t="shared" si="750"/>
        <v>0</v>
      </c>
      <c r="CN243" s="51">
        <f t="shared" si="725"/>
        <v>0</v>
      </c>
      <c r="CO243" s="51">
        <f t="shared" si="648"/>
        <v>0</v>
      </c>
      <c r="CP243" s="51">
        <f t="shared" si="726"/>
        <v>0</v>
      </c>
      <c r="CQ243" s="51">
        <f t="shared" si="649"/>
        <v>0</v>
      </c>
      <c r="CR243" s="51">
        <f t="shared" si="727"/>
        <v>0</v>
      </c>
      <c r="CS243" s="51">
        <f t="shared" si="650"/>
        <v>0</v>
      </c>
      <c r="CT243" s="51">
        <f t="shared" si="728"/>
        <v>0</v>
      </c>
      <c r="CU243" s="51">
        <f t="shared" si="651"/>
        <v>0</v>
      </c>
      <c r="CV243" s="51">
        <f t="shared" si="729"/>
        <v>0</v>
      </c>
      <c r="CW243" s="51">
        <f t="shared" si="652"/>
        <v>0</v>
      </c>
      <c r="CX243" s="54">
        <f t="shared" si="653"/>
        <v>0</v>
      </c>
      <c r="CY243" s="55">
        <f t="shared" si="654"/>
        <v>0</v>
      </c>
      <c r="CZ243" s="56">
        <f>IF(AND($E243&lt;&gt;0,$F243&gt;0,YEAR($F243)&gt;=Preisindex!$A$6,YEAR(CU$4)&gt;=YEAR($F243),AND($K243&lt;&gt;"a",$K243&lt;&gt;"b",$K243&lt;&gt;"g",$K243&lt;&gt;"k")),1,IF(AND($E243&lt;&gt;0,$F243&gt;0,YEAR($F243)&gt;=Preisindex!$A$6,YEAR(CU$4)&gt;=YEAR($F243),$K243="a"),ROUND(VLOOKUP(CZ$4,Preisindex,5,FALSE)/VLOOKUP(YEAR($F243),Preisindex,5,FALSE),2),IF(AND($E243&lt;&gt;0,$F243&gt;0,YEAR($F243)&gt;=Preisindex!$A$6,YEAR(CU$4)&gt;=YEAR($F243),$K243="b"),ROUND(VLOOKUP(CZ$4,Preisindex,3,FALSE)/VLOOKUP(YEAR($F243),Preisindex,3,FALSE),2),IF(AND($E243&lt;&gt;0,$F243&gt;0,YEAR($F243)&gt;=Preisindex!$A$6,YEAR(CU$4)&gt;=YEAR($F243),$K243="g"),ROUND(VLOOKUP(CZ$4,Preisindex,4,FALSE)/VLOOKUP(YEAR($F243),Preisindex,4,FALSE),2),IF(AND($E243&lt;&gt;0,$F243&gt;0,YEAR($F243)&gt;=Preisindex!$A$6,YEAR(CU$4)&gt;=YEAR($F243),$K243="k"),ROUND(VLOOKUP(CZ$4,Preisindex,2,FALSE)/VLOOKUP(YEAR($F243),Preisindex,2,FALSE),2),0)))))</f>
        <v>0</v>
      </c>
      <c r="DA243" s="56">
        <f>IF(AND($E243&lt;&gt;0,$F243&gt;0,YEAR($F243)&lt;Preisindex!$A$6,YEAR(CU$4)&gt;=YEAR($F243),AND($K243&lt;&gt;"a",$K243&lt;&gt;"b",$K243&lt;&gt;"g",$K243&lt;&gt;"k")),1,IF(AND($E243&lt;&gt;0,$F243&gt;0,YEAR($F243)&lt;Preisindex!$A$6,YEAR(CU$4)&gt;=YEAR($F243),$K243="a"),ROUND(VLOOKUP(CZ$4,Preisindex,5,FALSE)/VLOOKUP(Preisindex!$A$6,Preisindex,5,FALSE),2),IF(AND($E243&lt;&gt;0,$F243&gt;0,YEAR($F243)&lt;Preisindex!$A$6,YEAR(CU$4)&gt;=YEAR($F243),$K243="b"),ROUND(VLOOKUP(CZ$4,Preisindex,3,FALSE)/VLOOKUP(Preisindex!$A$6,Preisindex,3,FALSE),2),IF(AND($E243&lt;&gt;0,$F243&gt;0,YEAR($F243)&lt;Preisindex!$A$6,YEAR(CU$4)&gt;=YEAR($F243),$K243="g"),ROUND(VLOOKUP(CZ$4,Preisindex,4,FALSE)/VLOOKUP(Preisindex!$A$6,Preisindex,4,FALSE),2),IF(AND($E243&lt;&gt;0,$F243&gt;0,YEAR($F243)&lt;Preisindex!$A$6,YEAR(CU$4)&gt;=YEAR($F243),$K243="k"),ROUND(VLOOKUP(CZ$4,Preisindex,2,FALSE)/VLOOKUP(Preisindex!$A$6,Preisindex,2,FALSE),2),0)))))</f>
        <v>0</v>
      </c>
      <c r="DB243" s="51">
        <f>IF(AND($E243&lt;&gt;0,$F243&gt;0,YEAR($F243)&lt;=CZ$4,YEAR($F243)&gt;=Preisindex!$A$6),ROUND($E243*CZ243,2),IF(AND($E243&lt;&gt;0,$F243&gt;0,YEAR($F243)&lt;=CZ$4,YEAR($F243)&lt;Preisindex!$A$6),ROUND($E243*DA243,2),0))</f>
        <v>0</v>
      </c>
      <c r="DC243" s="53">
        <f t="shared" si="655"/>
        <v>0</v>
      </c>
      <c r="DD243" s="51">
        <f t="shared" si="751"/>
        <v>0</v>
      </c>
      <c r="DE243" s="51">
        <f t="shared" si="730"/>
        <v>0</v>
      </c>
      <c r="DF243" s="51">
        <f t="shared" si="657"/>
        <v>0</v>
      </c>
      <c r="DG243" s="51">
        <f t="shared" si="731"/>
        <v>0</v>
      </c>
      <c r="DH243" s="51">
        <f t="shared" si="658"/>
        <v>0</v>
      </c>
      <c r="DI243" s="51">
        <f t="shared" si="732"/>
        <v>0</v>
      </c>
      <c r="DJ243" s="51">
        <f t="shared" si="659"/>
        <v>0</v>
      </c>
      <c r="DK243" s="51">
        <f t="shared" si="733"/>
        <v>0</v>
      </c>
      <c r="DL243" s="51">
        <f t="shared" si="660"/>
        <v>0</v>
      </c>
      <c r="DM243" s="51">
        <f t="shared" si="734"/>
        <v>0</v>
      </c>
      <c r="DN243" s="51">
        <f t="shared" si="661"/>
        <v>0</v>
      </c>
      <c r="DO243" s="54">
        <f t="shared" si="662"/>
        <v>0</v>
      </c>
      <c r="DP243" s="55">
        <f t="shared" si="663"/>
        <v>0</v>
      </c>
      <c r="DQ243" s="56">
        <f>IF(AND($E243&lt;&gt;0,$F243&gt;0,YEAR($F243)&gt;=Preisindex!$A$6,YEAR(DL$4)&gt;=YEAR($F243),AND($K243&lt;&gt;"a",$K243&lt;&gt;"b",$K243&lt;&gt;"g",$K243&lt;&gt;"k")),1,IF(AND($E243&lt;&gt;0,$F243&gt;0,YEAR($F243)&gt;=Preisindex!$A$6,YEAR(DL$4)&gt;=YEAR($F243),$K243="a"),ROUND(VLOOKUP(DQ$4,Preisindex,5,FALSE)/VLOOKUP(YEAR($F243),Preisindex,5,FALSE),2),IF(AND($E243&lt;&gt;0,$F243&gt;0,YEAR($F243)&gt;=Preisindex!$A$6,YEAR(DL$4)&gt;=YEAR($F243),$K243="b"),ROUND(VLOOKUP(DQ$4,Preisindex,3,FALSE)/VLOOKUP(YEAR($F243),Preisindex,3,FALSE),2),IF(AND($E243&lt;&gt;0,$F243&gt;0,YEAR($F243)&gt;=Preisindex!$A$6,YEAR(DL$4)&gt;=YEAR($F243),$K243="g"),ROUND(VLOOKUP(DQ$4,Preisindex,4,FALSE)/VLOOKUP(YEAR($F243),Preisindex,4,FALSE),2),IF(AND($E243&lt;&gt;0,$F243&gt;0,YEAR($F243)&gt;=Preisindex!$A$6,YEAR(DL$4)&gt;=YEAR($F243),$K243="k"),ROUND(VLOOKUP(DQ$4,Preisindex,2,FALSE)/VLOOKUP(YEAR($F243),Preisindex,2,FALSE),2),0)))))</f>
        <v>0</v>
      </c>
      <c r="DR243" s="56">
        <f>IF(AND($E243&lt;&gt;0,$F243&gt;0,YEAR($F243)&lt;Preisindex!$A$6,YEAR(DL$4)&gt;=YEAR($F243),AND($K243&lt;&gt;"a",$K243&lt;&gt;"b",$K243&lt;&gt;"g",$K243&lt;&gt;"k")),1,IF(AND($E243&lt;&gt;0,$F243&gt;0,YEAR($F243)&lt;Preisindex!$A$6,YEAR(DL$4)&gt;=YEAR($F243),$K243="a"),ROUND(VLOOKUP(DQ$4,Preisindex,5,FALSE)/VLOOKUP(Preisindex!$A$6,Preisindex,5,FALSE),2),IF(AND($E243&lt;&gt;0,$F243&gt;0,YEAR($F243)&lt;Preisindex!$A$6,YEAR(DL$4)&gt;=YEAR($F243),$K243="b"),ROUND(VLOOKUP(DQ$4,Preisindex,3,FALSE)/VLOOKUP(Preisindex!$A$6,Preisindex,3,FALSE),2),IF(AND($E243&lt;&gt;0,$F243&gt;0,YEAR($F243)&lt;Preisindex!$A$6,YEAR(DL$4)&gt;=YEAR($F243),$K243="g"),ROUND(VLOOKUP(DQ$4,Preisindex,4,FALSE)/VLOOKUP(Preisindex!$A$6,Preisindex,4,FALSE),2),IF(AND($E243&lt;&gt;0,$F243&gt;0,YEAR($F243)&lt;Preisindex!$A$6,YEAR(DL$4)&gt;=YEAR($F243),$K243="k"),ROUND(VLOOKUP(DQ$4,Preisindex,2,FALSE)/VLOOKUP(Preisindex!$A$6,Preisindex,2,FALSE),2),0)))))</f>
        <v>0</v>
      </c>
      <c r="DS243" s="51">
        <f>IF(AND($E243&lt;&gt;0,$F243&gt;0,YEAR($F243)&lt;=DQ$4,YEAR($F243)&gt;=Preisindex!$A$6),ROUND($E243*DQ243,2),IF(AND($E243&lt;&gt;0,$F243&gt;0,YEAR($F243)&lt;=DQ$4,YEAR($F243)&lt;Preisindex!$A$6),ROUND($E243*DR243,2),0))</f>
        <v>0</v>
      </c>
      <c r="DT243" s="53">
        <f t="shared" si="664"/>
        <v>0</v>
      </c>
      <c r="DU243" s="51">
        <f t="shared" si="751"/>
        <v>0</v>
      </c>
      <c r="DV243" s="51">
        <f t="shared" si="735"/>
        <v>0</v>
      </c>
      <c r="DW243" s="51">
        <f t="shared" si="665"/>
        <v>0</v>
      </c>
      <c r="DX243" s="51">
        <f t="shared" si="736"/>
        <v>0</v>
      </c>
      <c r="DY243" s="51">
        <f t="shared" si="666"/>
        <v>0</v>
      </c>
      <c r="DZ243" s="51">
        <f t="shared" si="737"/>
        <v>0</v>
      </c>
      <c r="EA243" s="51">
        <f t="shared" si="667"/>
        <v>0</v>
      </c>
      <c r="EB243" s="51">
        <f t="shared" si="738"/>
        <v>0</v>
      </c>
      <c r="EC243" s="51">
        <f t="shared" si="668"/>
        <v>0</v>
      </c>
      <c r="ED243" s="51">
        <f t="shared" si="739"/>
        <v>0</v>
      </c>
      <c r="EE243" s="51">
        <f t="shared" si="669"/>
        <v>0</v>
      </c>
      <c r="EF243" s="54">
        <f t="shared" si="670"/>
        <v>0</v>
      </c>
      <c r="EG243" s="55">
        <f t="shared" si="671"/>
        <v>0</v>
      </c>
      <c r="EH243" s="56">
        <f>IF(AND($E243&lt;&gt;0,$F243&gt;0,YEAR($F243)&gt;=Preisindex!$A$6,YEAR(EC$4)&gt;=YEAR($F243),AND($K243&lt;&gt;"a",$K243&lt;&gt;"b",$K243&lt;&gt;"g",$K243&lt;&gt;"k")),1,IF(AND($E243&lt;&gt;0,$F243&gt;0,YEAR($F243)&gt;=Preisindex!$A$6,YEAR(EC$4)&gt;=YEAR($F243),$K243="a"),ROUND(VLOOKUP(EH$4,Preisindex,5,FALSE)/VLOOKUP(YEAR($F243),Preisindex,5,FALSE),2),IF(AND($E243&lt;&gt;0,$F243&gt;0,YEAR($F243)&gt;=Preisindex!$A$6,YEAR(EC$4)&gt;=YEAR($F243),$K243="b"),ROUND(VLOOKUP(EH$4,Preisindex,3,FALSE)/VLOOKUP(YEAR($F243),Preisindex,3,FALSE),2),IF(AND($E243&lt;&gt;0,$F243&gt;0,YEAR($F243)&gt;=Preisindex!$A$6,YEAR(EC$4)&gt;=YEAR($F243),$K243="g"),ROUND(VLOOKUP(EH$4,Preisindex,4,FALSE)/VLOOKUP(YEAR($F243),Preisindex,4,FALSE),2),IF(AND($E243&lt;&gt;0,$F243&gt;0,YEAR($F243)&gt;=Preisindex!$A$6,YEAR(EC$4)&gt;=YEAR($F243),$K243="k"),ROUND(VLOOKUP(EH$4,Preisindex,2,FALSE)/VLOOKUP(YEAR($F243),Preisindex,2,FALSE),2),0)))))</f>
        <v>0</v>
      </c>
      <c r="EI243" s="56">
        <f>IF(AND($E243&lt;&gt;0,$F243&gt;0,YEAR($F243)&lt;Preisindex!$A$6,YEAR(EC$4)&gt;=YEAR($F243),AND($K243&lt;&gt;"a",$K243&lt;&gt;"b",$K243&lt;&gt;"g",$K243&lt;&gt;"k")),1,IF(AND($E243&lt;&gt;0,$F243&gt;0,YEAR($F243)&lt;Preisindex!$A$6,YEAR(EC$4)&gt;=YEAR($F243),$K243="a"),ROUND(VLOOKUP(EH$4,Preisindex,5,FALSE)/VLOOKUP(Preisindex!$A$6,Preisindex,5,FALSE),2),IF(AND($E243&lt;&gt;0,$F243&gt;0,YEAR($F243)&lt;Preisindex!$A$6,YEAR(EC$4)&gt;=YEAR($F243),$K243="b"),ROUND(VLOOKUP(EH$4,Preisindex,3,FALSE)/VLOOKUP(Preisindex!$A$6,Preisindex,3,FALSE),2),IF(AND($E243&lt;&gt;0,$F243&gt;0,YEAR($F243)&lt;Preisindex!$A$6,YEAR(EC$4)&gt;=YEAR($F243),$K243="g"),ROUND(VLOOKUP(EH$4,Preisindex,4,FALSE)/VLOOKUP(Preisindex!$A$6,Preisindex,4,FALSE),2),IF(AND($E243&lt;&gt;0,$F243&gt;0,YEAR($F243)&lt;Preisindex!$A$6,YEAR(EC$4)&gt;=YEAR($F243),$K243="k"),ROUND(VLOOKUP(EH$4,Preisindex,2,FALSE)/VLOOKUP(Preisindex!$A$6,Preisindex,2,FALSE),2),0)))))</f>
        <v>0</v>
      </c>
      <c r="EJ243" s="51">
        <f>IF(AND($E243&lt;&gt;0,$F243&gt;0,YEAR($F243)&lt;=EH$4,YEAR($F243)&gt;=Preisindex!$A$6),ROUND($E243*EH243,2),IF(AND($E243&lt;&gt;0,$F243&gt;0,YEAR($F243)&lt;=EH$4,YEAR($F243)&lt;Preisindex!$A$6),ROUND($E243*EI243,2),0))</f>
        <v>0</v>
      </c>
      <c r="EK243" s="53">
        <f t="shared" si="672"/>
        <v>0</v>
      </c>
      <c r="EL243" s="51">
        <f t="shared" si="751"/>
        <v>0</v>
      </c>
      <c r="EM243" s="51">
        <f t="shared" si="740"/>
        <v>0</v>
      </c>
      <c r="EN243" s="51">
        <f t="shared" si="673"/>
        <v>0</v>
      </c>
      <c r="EO243" s="51">
        <f t="shared" si="741"/>
        <v>0</v>
      </c>
      <c r="EP243" s="51">
        <f t="shared" si="674"/>
        <v>0</v>
      </c>
      <c r="EQ243" s="51">
        <f t="shared" si="742"/>
        <v>0</v>
      </c>
      <c r="ER243" s="51">
        <f t="shared" si="675"/>
        <v>0</v>
      </c>
      <c r="ES243" s="51">
        <f t="shared" si="743"/>
        <v>0</v>
      </c>
      <c r="ET243" s="51">
        <f t="shared" si="676"/>
        <v>0</v>
      </c>
      <c r="EU243" s="51">
        <f t="shared" si="744"/>
        <v>0</v>
      </c>
      <c r="EV243" s="51">
        <f t="shared" si="677"/>
        <v>0</v>
      </c>
      <c r="EW243" s="54">
        <f t="shared" si="678"/>
        <v>0</v>
      </c>
      <c r="EX243" s="55">
        <f t="shared" si="679"/>
        <v>0</v>
      </c>
      <c r="EY243" s="56">
        <f>IF(AND($E243&lt;&gt;0,$F243&gt;0,YEAR($F243)&gt;=Preisindex!$A$6,YEAR(ET$4)&gt;=YEAR($F243),AND($K243&lt;&gt;"a",$K243&lt;&gt;"b",$K243&lt;&gt;"g",$K243&lt;&gt;"k")),1,IF(AND($E243&lt;&gt;0,$F243&gt;0,YEAR($F243)&gt;=Preisindex!$A$6,YEAR(ET$4)&gt;=YEAR($F243),$K243="a"),ROUND(VLOOKUP(EY$4,Preisindex,5,FALSE)/VLOOKUP(YEAR($F243),Preisindex,5,FALSE),2),IF(AND($E243&lt;&gt;0,$F243&gt;0,YEAR($F243)&gt;=Preisindex!$A$6,YEAR(ET$4)&gt;=YEAR($F243),$K243="b"),ROUND(VLOOKUP(EY$4,Preisindex,3,FALSE)/VLOOKUP(YEAR($F243),Preisindex,3,FALSE),2),IF(AND($E243&lt;&gt;0,$F243&gt;0,YEAR($F243)&gt;=Preisindex!$A$6,YEAR(ET$4)&gt;=YEAR($F243),$K243="g"),ROUND(VLOOKUP(EY$4,Preisindex,4,FALSE)/VLOOKUP(YEAR($F243),Preisindex,4,FALSE),2),IF(AND($E243&lt;&gt;0,$F243&gt;0,YEAR($F243)&gt;=Preisindex!$A$6,YEAR(ET$4)&gt;=YEAR($F243),$K243="k"),ROUND(VLOOKUP(EY$4,Preisindex,2,FALSE)/VLOOKUP(YEAR($F243),Preisindex,2,FALSE),2),0)))))</f>
        <v>0</v>
      </c>
      <c r="EZ243" s="56">
        <f>IF(AND($E243&lt;&gt;0,$F243&gt;0,YEAR($F243)&lt;Preisindex!$A$6,YEAR(ET$4)&gt;=YEAR($F243),AND($K243&lt;&gt;"a",$K243&lt;&gt;"b",$K243&lt;&gt;"g",$K243&lt;&gt;"k")),1,IF(AND($E243&lt;&gt;0,$F243&gt;0,YEAR($F243)&lt;Preisindex!$A$6,YEAR(ET$4)&gt;=YEAR($F243),$K243="a"),ROUND(VLOOKUP(EY$4,Preisindex,5,FALSE)/VLOOKUP(Preisindex!$A$6,Preisindex,5,FALSE),2),IF(AND($E243&lt;&gt;0,$F243&gt;0,YEAR($F243)&lt;Preisindex!$A$6,YEAR(ET$4)&gt;=YEAR($F243),$K243="b"),ROUND(VLOOKUP(EY$4,Preisindex,3,FALSE)/VLOOKUP(Preisindex!$A$6,Preisindex,3,FALSE),2),IF(AND($E243&lt;&gt;0,$F243&gt;0,YEAR($F243)&lt;Preisindex!$A$6,YEAR(ET$4)&gt;=YEAR($F243),$K243="g"),ROUND(VLOOKUP(EY$4,Preisindex,4,FALSE)/VLOOKUP(Preisindex!$A$6,Preisindex,4,FALSE),2),IF(AND($E243&lt;&gt;0,$F243&gt;0,YEAR($F243)&lt;Preisindex!$A$6,YEAR(ET$4)&gt;=YEAR($F243),$K243="k"),ROUND(VLOOKUP(EY$4,Preisindex,2,FALSE)/VLOOKUP(Preisindex!$A$6,Preisindex,2,FALSE),2),0)))))</f>
        <v>0</v>
      </c>
      <c r="FA243" s="51">
        <f>IF(AND($E243&lt;&gt;0,$F243&gt;0,YEAR($F243)&lt;=EY$4,YEAR($F243)&gt;=Preisindex!$A$6),ROUND($E243*EY243,2),IF(AND($E243&lt;&gt;0,$F243&gt;0,YEAR($F243)&lt;=EY$4,YEAR($F243)&lt;Preisindex!$A$6),ROUND($E243*EZ243,2),0))</f>
        <v>0</v>
      </c>
      <c r="FB243" s="53">
        <f t="shared" si="680"/>
        <v>0</v>
      </c>
      <c r="FC243" s="51">
        <f t="shared" si="751"/>
        <v>0</v>
      </c>
      <c r="FD243" s="51">
        <f t="shared" si="745"/>
        <v>0</v>
      </c>
      <c r="FE243" s="51">
        <f t="shared" si="681"/>
        <v>0</v>
      </c>
      <c r="FF243" s="51">
        <f t="shared" si="746"/>
        <v>0</v>
      </c>
      <c r="FG243" s="51">
        <f t="shared" si="682"/>
        <v>0</v>
      </c>
      <c r="FH243" s="51">
        <f t="shared" si="747"/>
        <v>0</v>
      </c>
      <c r="FI243" s="51">
        <f t="shared" si="683"/>
        <v>0</v>
      </c>
      <c r="FJ243" s="51">
        <f t="shared" si="748"/>
        <v>0</v>
      </c>
      <c r="FK243" s="51">
        <f t="shared" si="684"/>
        <v>0</v>
      </c>
      <c r="FL243" s="51">
        <f t="shared" si="749"/>
        <v>0</v>
      </c>
      <c r="FM243" s="51">
        <f t="shared" si="685"/>
        <v>0</v>
      </c>
      <c r="FN243" s="54">
        <f t="shared" si="686"/>
        <v>0</v>
      </c>
      <c r="FO243" s="55">
        <f t="shared" si="687"/>
        <v>0</v>
      </c>
      <c r="FP243" s="56">
        <f>IF(AND($E243&lt;&gt;0,$F243&gt;0,YEAR($F243)&gt;=Preisindex!$A$6,YEAR(FK$4)&gt;=YEAR($F243),AND($K243&lt;&gt;"a",$K243&lt;&gt;"b",$K243&lt;&gt;"g",$K243&lt;&gt;"k")),1,IF(AND($E243&lt;&gt;0,$F243&gt;0,YEAR($F243)&gt;=Preisindex!$A$6,YEAR(FK$4)&gt;=YEAR($F243),$K243="a"),ROUND(VLOOKUP(FP$4,Preisindex,5,FALSE)/VLOOKUP(YEAR($F243),Preisindex,5,FALSE),2),IF(AND($E243&lt;&gt;0,$F243&gt;0,YEAR($F243)&gt;=Preisindex!$A$6,YEAR(FK$4)&gt;=YEAR($F243),$K243="b"),ROUND(VLOOKUP(FP$4,Preisindex,3,FALSE)/VLOOKUP(YEAR($F243),Preisindex,3,FALSE),2),IF(AND($E243&lt;&gt;0,$F243&gt;0,YEAR($F243)&gt;=Preisindex!$A$6,YEAR(FK$4)&gt;=YEAR($F243),$K243="g"),ROUND(VLOOKUP(FP$4,Preisindex,4,FALSE)/VLOOKUP(YEAR($F243),Preisindex,4,FALSE),2),IF(AND($E243&lt;&gt;0,$F243&gt;0,YEAR($F243)&gt;=Preisindex!$A$6,YEAR(FK$4)&gt;=YEAR($F243),$K243="k"),ROUND(VLOOKUP(FP$4,Preisindex,2,FALSE)/VLOOKUP(YEAR($F243),Preisindex,2,FALSE),2),0)))))</f>
        <v>0</v>
      </c>
      <c r="FQ243" s="56">
        <f>IF(AND($E243&lt;&gt;0,$F243&gt;0,YEAR($F243)&lt;Preisindex!$A$6,YEAR(FK$4)&gt;=YEAR($F243),AND($K243&lt;&gt;"a",$K243&lt;&gt;"b",$K243&lt;&gt;"g",$K243&lt;&gt;"k")),1,IF(AND($E243&lt;&gt;0,$F243&gt;0,YEAR($F243)&lt;Preisindex!$A$6,YEAR(FK$4)&gt;=YEAR($F243),$K243="a"),ROUND(VLOOKUP(FP$4,Preisindex,5,FALSE)/VLOOKUP(Preisindex!$A$6,Preisindex,5,FALSE),2),IF(AND($E243&lt;&gt;0,$F243&gt;0,YEAR($F243)&lt;Preisindex!$A$6,YEAR(FK$4)&gt;=YEAR($F243),$K243="b"),ROUND(VLOOKUP(FP$4,Preisindex,3,FALSE)/VLOOKUP(Preisindex!$A$6,Preisindex,3,FALSE),2),IF(AND($E243&lt;&gt;0,$F243&gt;0,YEAR($F243)&lt;Preisindex!$A$6,YEAR(FK$4)&gt;=YEAR($F243),$K243="g"),ROUND(VLOOKUP(FP$4,Preisindex,4,FALSE)/VLOOKUP(Preisindex!$A$6,Preisindex,4,FALSE),2),IF(AND($E243&lt;&gt;0,$F243&gt;0,YEAR($F243)&lt;Preisindex!$A$6,YEAR(FK$4)&gt;=YEAR($F243),$K243="k"),ROUND(VLOOKUP(FP$4,Preisindex,2,FALSE)/VLOOKUP(Preisindex!$A$6,Preisindex,2,FALSE),2),0)))))</f>
        <v>0</v>
      </c>
      <c r="FR243" s="51">
        <f>IF(AND($E243&lt;&gt;0,$F243&gt;0,YEAR($F243)&lt;=FP$4,YEAR($F243)&gt;=Preisindex!$A$6),ROUND($E243*FP243,2),IF(AND($E243&lt;&gt;0,$F243&gt;0,YEAR($F243)&lt;=FP$4,YEAR($F243)&lt;Preisindex!$A$6),ROUND($E243*FQ243,2),0))</f>
        <v>0</v>
      </c>
      <c r="FS243" s="53">
        <f t="shared" si="688"/>
        <v>0</v>
      </c>
    </row>
    <row r="244" spans="1:175" x14ac:dyDescent="0.3">
      <c r="A244" s="93"/>
      <c r="B244" s="94"/>
      <c r="C244" s="94"/>
      <c r="D244" s="188"/>
      <c r="E244" s="624"/>
      <c r="F244" s="190"/>
      <c r="G244" s="625"/>
      <c r="H244" s="192"/>
      <c r="I244" s="621"/>
      <c r="J244" s="103"/>
      <c r="K244" s="630"/>
      <c r="L244" s="49">
        <f t="shared" si="689"/>
        <v>0</v>
      </c>
      <c r="M244" s="50">
        <f t="shared" si="690"/>
        <v>0</v>
      </c>
      <c r="N244" s="51">
        <f t="shared" si="691"/>
        <v>0</v>
      </c>
      <c r="O244" s="51"/>
      <c r="P244" s="51">
        <f t="shared" si="692"/>
        <v>0</v>
      </c>
      <c r="Q244" s="52"/>
      <c r="R244" s="52"/>
      <c r="S244" s="52"/>
      <c r="T244" s="52"/>
      <c r="U244" s="52"/>
      <c r="V244" s="53">
        <f t="shared" si="693"/>
        <v>0</v>
      </c>
      <c r="W244" s="51">
        <f t="shared" si="694"/>
        <v>0</v>
      </c>
      <c r="X244" s="51">
        <f t="shared" si="695"/>
        <v>0</v>
      </c>
      <c r="Y244" s="51">
        <f t="shared" si="696"/>
        <v>0</v>
      </c>
      <c r="Z244" s="51">
        <f t="shared" si="697"/>
        <v>0</v>
      </c>
      <c r="AA244" s="51">
        <f t="shared" si="698"/>
        <v>0</v>
      </c>
      <c r="AB244" s="51">
        <f t="shared" si="699"/>
        <v>0</v>
      </c>
      <c r="AC244" s="51">
        <f t="shared" si="700"/>
        <v>0</v>
      </c>
      <c r="AD244" s="51">
        <f t="shared" si="701"/>
        <v>0</v>
      </c>
      <c r="AE244" s="51">
        <f t="shared" si="702"/>
        <v>0</v>
      </c>
      <c r="AF244" s="51">
        <f t="shared" si="703"/>
        <v>0</v>
      </c>
      <c r="AG244" s="51">
        <f t="shared" si="704"/>
        <v>0</v>
      </c>
      <c r="AH244" s="54">
        <f t="shared" si="705"/>
        <v>0</v>
      </c>
      <c r="AI244" s="55">
        <f t="shared" si="706"/>
        <v>0</v>
      </c>
      <c r="AJ244" s="56">
        <f>IF(AND($E244&lt;&gt;0,$F244&gt;0,YEAR($F244)&gt;=Preisindex!$A$6,YEAR(AE$4)&gt;=YEAR($F244),AND($K244&lt;&gt;"a",$K244&lt;&gt;"b",$K244&lt;&gt;"g",$K244&lt;&gt;"k")),1,IF(AND($E244&lt;&gt;0,$F244&gt;0,YEAR($F244)&gt;=Preisindex!$A$6,YEAR(AE$4)&gt;=YEAR($F244),$K244="a"),ROUND(VLOOKUP(AJ$4,Preisindex,5,FALSE)/VLOOKUP(YEAR($F244),Preisindex,5,FALSE),2),IF(AND($E244&lt;&gt;0,$F244&gt;0,YEAR($F244)&gt;=Preisindex!$A$6,YEAR(AE$4)&gt;=YEAR($F244),$K244="b"),ROUND(VLOOKUP(AJ$4,Preisindex,3,FALSE)/VLOOKUP(YEAR($F244),Preisindex,3,FALSE),2),IF(AND($E244&lt;&gt;0,$F244&gt;0,YEAR($F244)&gt;=Preisindex!$A$6,YEAR(AE$4)&gt;=YEAR($F244),$K244="g"),ROUND(VLOOKUP(AJ$4,Preisindex,4,FALSE)/VLOOKUP(YEAR($F244),Preisindex,4,FALSE),2),IF(AND($E244&lt;&gt;0,$F244&gt;0,YEAR($F244)&gt;=Preisindex!$A$6,YEAR(AE$4)&gt;=YEAR($F244),$K244="k"),ROUND(VLOOKUP(AJ$4,Preisindex,2,FALSE)/VLOOKUP(YEAR($F244),Preisindex,2,FALSE),2),0)))))</f>
        <v>0</v>
      </c>
      <c r="AK244" s="56">
        <f>IF(AND($E244&lt;&gt;0,$F244&gt;0,YEAR($F244)&lt;Preisindex!$A$6,YEAR(AE$4)&gt;=YEAR($F244),AND($K244&lt;&gt;"a",$K244&lt;&gt;"b",$K244&lt;&gt;"g",$K244&lt;&gt;"k")),1,IF(AND($E244&lt;&gt;0,$F244&gt;0,YEAR($F244)&lt;Preisindex!$A$6,YEAR(AE$4)&gt;=YEAR($F244),$K244="a"),ROUND(VLOOKUP(AJ$4,Preisindex,5,FALSE)/VLOOKUP(Preisindex!$A$6,Preisindex,5,FALSE),2),IF(AND($E244&lt;&gt;0,$F244&gt;0,YEAR($F244)&lt;Preisindex!$A$6,YEAR(AE$4)&gt;=YEAR($F244),$K244="b"),ROUND(VLOOKUP(AJ$4,Preisindex,3,FALSE)/VLOOKUP(Preisindex!$A$6,Preisindex,3,FALSE),2),IF(AND($E244&lt;&gt;0,$F244&gt;0,YEAR($F244)&lt;Preisindex!$A$6,YEAR(AE$4)&gt;=YEAR($F244),$K244="g"),ROUND(VLOOKUP(AJ$4,Preisindex,4,FALSE)/VLOOKUP(Preisindex!$A$6,Preisindex,4,FALSE),2),IF(AND($E244&lt;&gt;0,$F244&gt;0,YEAR($F244)&lt;Preisindex!$A$6,YEAR(AE$4)&gt;=YEAR($F244),$K244="k"),ROUND(VLOOKUP(AJ$4,Preisindex,2,FALSE)/VLOOKUP(Preisindex!$A$6,Preisindex,2,FALSE),2),0)))))</f>
        <v>0</v>
      </c>
      <c r="AL244" s="51">
        <f>IF(AND($E244&lt;&gt;0,$F244&gt;0,YEAR($F244)&lt;=AJ$4,YEAR($F244)&gt;=Preisindex!$A$6),ROUND($E244*AJ244,2),IF(AND($E244&lt;&gt;0,$F244&gt;0,YEAR($F244)&lt;=AJ$4,YEAR($F244)&lt;Preisindex!$A$6),ROUND($E244*AK244,2),0))</f>
        <v>0</v>
      </c>
      <c r="AM244" s="53">
        <f t="shared" si="707"/>
        <v>0</v>
      </c>
      <c r="AN244" s="51">
        <f t="shared" si="750"/>
        <v>0</v>
      </c>
      <c r="AO244" s="51">
        <f t="shared" si="710"/>
        <v>0</v>
      </c>
      <c r="AP244" s="51">
        <f t="shared" si="624"/>
        <v>0</v>
      </c>
      <c r="AQ244" s="51">
        <f t="shared" si="711"/>
        <v>0</v>
      </c>
      <c r="AR244" s="51">
        <f t="shared" si="625"/>
        <v>0</v>
      </c>
      <c r="AS244" s="51">
        <f t="shared" si="712"/>
        <v>0</v>
      </c>
      <c r="AT244" s="51">
        <f t="shared" si="626"/>
        <v>0</v>
      </c>
      <c r="AU244" s="51">
        <f t="shared" si="713"/>
        <v>0</v>
      </c>
      <c r="AV244" s="51">
        <f t="shared" si="627"/>
        <v>0</v>
      </c>
      <c r="AW244" s="51">
        <f t="shared" si="714"/>
        <v>0</v>
      </c>
      <c r="AX244" s="51">
        <f t="shared" si="628"/>
        <v>0</v>
      </c>
      <c r="AY244" s="54">
        <f t="shared" si="629"/>
        <v>0</v>
      </c>
      <c r="AZ244" s="55">
        <f t="shared" si="630"/>
        <v>0</v>
      </c>
      <c r="BA244" s="56">
        <f>IF(AND($E244&lt;&gt;0,$F244&gt;0,YEAR($F244)&gt;=Preisindex!$A$6,YEAR(AV$4)&gt;=YEAR($F244),AND($K244&lt;&gt;"a",$K244&lt;&gt;"b",$K244&lt;&gt;"g",$K244&lt;&gt;"k")),1,IF(AND($E244&lt;&gt;0,$F244&gt;0,YEAR($F244)&gt;=Preisindex!$A$6,YEAR(AV$4)&gt;=YEAR($F244),$K244="a"),ROUND(VLOOKUP(BA$4,Preisindex,5,FALSE)/VLOOKUP(YEAR($F244),Preisindex,5,FALSE),2),IF(AND($E244&lt;&gt;0,$F244&gt;0,YEAR($F244)&gt;=Preisindex!$A$6,YEAR(AV$4)&gt;=YEAR($F244),$K244="b"),ROUND(VLOOKUP(BA$4,Preisindex,3,FALSE)/VLOOKUP(YEAR($F244),Preisindex,3,FALSE),2),IF(AND($E244&lt;&gt;0,$F244&gt;0,YEAR($F244)&gt;=Preisindex!$A$6,YEAR(AV$4)&gt;=YEAR($F244),$K244="g"),ROUND(VLOOKUP(BA$4,Preisindex,4,FALSE)/VLOOKUP(YEAR($F244),Preisindex,4,FALSE),2),IF(AND($E244&lt;&gt;0,$F244&gt;0,YEAR($F244)&gt;=Preisindex!$A$6,YEAR(AV$4)&gt;=YEAR($F244),$K244="k"),ROUND(VLOOKUP(BA$4,Preisindex,2,FALSE)/VLOOKUP(YEAR($F244),Preisindex,2,FALSE),2),0)))))</f>
        <v>0</v>
      </c>
      <c r="BB244" s="56">
        <f>IF(AND($E244&lt;&gt;0,$F244&gt;0,YEAR($F244)&lt;Preisindex!$A$6,YEAR(AV$4)&gt;=YEAR($F244),AND($K244&lt;&gt;"a",$K244&lt;&gt;"b",$K244&lt;&gt;"g",$K244&lt;&gt;"k")),1,IF(AND($E244&lt;&gt;0,$F244&gt;0,YEAR($F244)&lt;Preisindex!$A$6,YEAR(AV$4)&gt;=YEAR($F244),$K244="a"),ROUND(VLOOKUP(BA$4,Preisindex,5,FALSE)/VLOOKUP(Preisindex!$A$6,Preisindex,5,FALSE),2),IF(AND($E244&lt;&gt;0,$F244&gt;0,YEAR($F244)&lt;Preisindex!$A$6,YEAR(AV$4)&gt;=YEAR($F244),$K244="b"),ROUND(VLOOKUP(BA$4,Preisindex,3,FALSE)/VLOOKUP(Preisindex!$A$6,Preisindex,3,FALSE),2),IF(AND($E244&lt;&gt;0,$F244&gt;0,YEAR($F244)&lt;Preisindex!$A$6,YEAR(AV$4)&gt;=YEAR($F244),$K244="g"),ROUND(VLOOKUP(BA$4,Preisindex,4,FALSE)/VLOOKUP(Preisindex!$A$6,Preisindex,4,FALSE),2),IF(AND($E244&lt;&gt;0,$F244&gt;0,YEAR($F244)&lt;Preisindex!$A$6,YEAR(AV$4)&gt;=YEAR($F244),$K244="k"),ROUND(VLOOKUP(BA$4,Preisindex,2,FALSE)/VLOOKUP(Preisindex!$A$6,Preisindex,2,FALSE),2),0)))))</f>
        <v>0</v>
      </c>
      <c r="BC244" s="51">
        <f>IF(AND($E244&lt;&gt;0,$F244&gt;0,YEAR($F244)&lt;=BA$4,YEAR($F244)&gt;=Preisindex!$A$6),ROUND($E244*BA244,2),IF(AND($E244&lt;&gt;0,$F244&gt;0,YEAR($F244)&lt;=BA$4,YEAR($F244)&lt;Preisindex!$A$6),ROUND($E244*BB244,2),0))</f>
        <v>0</v>
      </c>
      <c r="BD244" s="53">
        <f t="shared" si="631"/>
        <v>0</v>
      </c>
      <c r="BE244" s="51">
        <f t="shared" si="750"/>
        <v>0</v>
      </c>
      <c r="BF244" s="51">
        <f t="shared" si="715"/>
        <v>0</v>
      </c>
      <c r="BG244" s="51">
        <f t="shared" si="632"/>
        <v>0</v>
      </c>
      <c r="BH244" s="51">
        <f t="shared" si="716"/>
        <v>0</v>
      </c>
      <c r="BI244" s="51">
        <f t="shared" si="633"/>
        <v>0</v>
      </c>
      <c r="BJ244" s="51">
        <f t="shared" si="717"/>
        <v>0</v>
      </c>
      <c r="BK244" s="51">
        <f t="shared" si="634"/>
        <v>0</v>
      </c>
      <c r="BL244" s="51">
        <f t="shared" si="718"/>
        <v>0</v>
      </c>
      <c r="BM244" s="51">
        <f t="shared" si="635"/>
        <v>0</v>
      </c>
      <c r="BN244" s="51">
        <f t="shared" si="719"/>
        <v>0</v>
      </c>
      <c r="BO244" s="51">
        <f t="shared" si="636"/>
        <v>0</v>
      </c>
      <c r="BP244" s="54">
        <f t="shared" si="637"/>
        <v>0</v>
      </c>
      <c r="BQ244" s="55">
        <f t="shared" si="638"/>
        <v>0</v>
      </c>
      <c r="BR244" s="56">
        <f>IF(AND($E244&lt;&gt;0,$F244&gt;0,YEAR($F244)&gt;=Preisindex!$A$6,YEAR(BM$4)&gt;=YEAR($F244),AND($K244&lt;&gt;"a",$K244&lt;&gt;"b",$K244&lt;&gt;"g",$K244&lt;&gt;"k")),1,IF(AND($E244&lt;&gt;0,$F244&gt;0,YEAR($F244)&gt;=Preisindex!$A$6,YEAR(BM$4)&gt;=YEAR($F244),$K244="a"),ROUND(VLOOKUP(BR$4,Preisindex,5,FALSE)/VLOOKUP(YEAR($F244),Preisindex,5,FALSE),2),IF(AND($E244&lt;&gt;0,$F244&gt;0,YEAR($F244)&gt;=Preisindex!$A$6,YEAR(BM$4)&gt;=YEAR($F244),$K244="b"),ROUND(VLOOKUP(BR$4,Preisindex,3,FALSE)/VLOOKUP(YEAR($F244),Preisindex,3,FALSE),2),IF(AND($E244&lt;&gt;0,$F244&gt;0,YEAR($F244)&gt;=Preisindex!$A$6,YEAR(BM$4)&gt;=YEAR($F244),$K244="g"),ROUND(VLOOKUP(BR$4,Preisindex,4,FALSE)/VLOOKUP(YEAR($F244),Preisindex,4,FALSE),2),IF(AND($E244&lt;&gt;0,$F244&gt;0,YEAR($F244)&gt;=Preisindex!$A$6,YEAR(BM$4)&gt;=YEAR($F244),$K244="k"),ROUND(VLOOKUP(BR$4,Preisindex,2,FALSE)/VLOOKUP(YEAR($F244),Preisindex,2,FALSE),2),0)))))</f>
        <v>0</v>
      </c>
      <c r="BS244" s="56">
        <f>IF(AND($E244&lt;&gt;0,$F244&gt;0,YEAR($F244)&lt;Preisindex!$A$6,YEAR(BM$4)&gt;=YEAR($F244),AND($K244&lt;&gt;"a",$K244&lt;&gt;"b",$K244&lt;&gt;"g",$K244&lt;&gt;"k")),1,IF(AND($E244&lt;&gt;0,$F244&gt;0,YEAR($F244)&lt;Preisindex!$A$6,YEAR(BM$4)&gt;=YEAR($F244),$K244="a"),ROUND(VLOOKUP(BR$4,Preisindex,5,FALSE)/VLOOKUP(Preisindex!$A$6,Preisindex,5,FALSE),2),IF(AND($E244&lt;&gt;0,$F244&gt;0,YEAR($F244)&lt;Preisindex!$A$6,YEAR(BM$4)&gt;=YEAR($F244),$K244="b"),ROUND(VLOOKUP(BR$4,Preisindex,3,FALSE)/VLOOKUP(Preisindex!$A$6,Preisindex,3,FALSE),2),IF(AND($E244&lt;&gt;0,$F244&gt;0,YEAR($F244)&lt;Preisindex!$A$6,YEAR(BM$4)&gt;=YEAR($F244),$K244="g"),ROUND(VLOOKUP(BR$4,Preisindex,4,FALSE)/VLOOKUP(Preisindex!$A$6,Preisindex,4,FALSE),2),IF(AND($E244&lt;&gt;0,$F244&gt;0,YEAR($F244)&lt;Preisindex!$A$6,YEAR(BM$4)&gt;=YEAR($F244),$K244="k"),ROUND(VLOOKUP(BR$4,Preisindex,2,FALSE)/VLOOKUP(Preisindex!$A$6,Preisindex,2,FALSE),2),0)))))</f>
        <v>0</v>
      </c>
      <c r="BT244" s="51">
        <f>IF(AND($E244&lt;&gt;0,$F244&gt;0,YEAR($F244)&lt;=BR$4,YEAR($F244)&gt;=Preisindex!$A$6),ROUND($E244*BR244,2),IF(AND($E244&lt;&gt;0,$F244&gt;0,YEAR($F244)&lt;=BR$4,YEAR($F244)&lt;Preisindex!$A$6),ROUND($E244*BS244,2),0))</f>
        <v>0</v>
      </c>
      <c r="BU244" s="53">
        <f t="shared" si="639"/>
        <v>0</v>
      </c>
      <c r="BV244" s="51">
        <f t="shared" si="750"/>
        <v>0</v>
      </c>
      <c r="BW244" s="51">
        <f t="shared" si="720"/>
        <v>0</v>
      </c>
      <c r="BX244" s="51">
        <f t="shared" si="640"/>
        <v>0</v>
      </c>
      <c r="BY244" s="51">
        <f t="shared" si="721"/>
        <v>0</v>
      </c>
      <c r="BZ244" s="51">
        <f t="shared" si="641"/>
        <v>0</v>
      </c>
      <c r="CA244" s="51">
        <f t="shared" si="722"/>
        <v>0</v>
      </c>
      <c r="CB244" s="51">
        <f t="shared" si="642"/>
        <v>0</v>
      </c>
      <c r="CC244" s="51">
        <f t="shared" si="723"/>
        <v>0</v>
      </c>
      <c r="CD244" s="51">
        <f t="shared" si="643"/>
        <v>0</v>
      </c>
      <c r="CE244" s="51">
        <f t="shared" si="724"/>
        <v>0</v>
      </c>
      <c r="CF244" s="51">
        <f t="shared" si="644"/>
        <v>0</v>
      </c>
      <c r="CG244" s="54">
        <f t="shared" si="645"/>
        <v>0</v>
      </c>
      <c r="CH244" s="55">
        <f t="shared" si="646"/>
        <v>0</v>
      </c>
      <c r="CI244" s="56">
        <f>IF(AND($E244&lt;&gt;0,$F244&gt;0,YEAR($F244)&gt;=Preisindex!$A$6,YEAR(CD$4)&gt;=YEAR($F244),AND($K244&lt;&gt;"a",$K244&lt;&gt;"b",$K244&lt;&gt;"g",$K244&lt;&gt;"k")),1,IF(AND($E244&lt;&gt;0,$F244&gt;0,YEAR($F244)&gt;=Preisindex!$A$6,YEAR(CD$4)&gt;=YEAR($F244),$K244="a"),ROUND(VLOOKUP(CI$4,Preisindex,5,FALSE)/VLOOKUP(YEAR($F244),Preisindex,5,FALSE),2),IF(AND($E244&lt;&gt;0,$F244&gt;0,YEAR($F244)&gt;=Preisindex!$A$6,YEAR(CD$4)&gt;=YEAR($F244),$K244="b"),ROUND(VLOOKUP(CI$4,Preisindex,3,FALSE)/VLOOKUP(YEAR($F244),Preisindex,3,FALSE),2),IF(AND($E244&lt;&gt;0,$F244&gt;0,YEAR($F244)&gt;=Preisindex!$A$6,YEAR(CD$4)&gt;=YEAR($F244),$K244="g"),ROUND(VLOOKUP(CI$4,Preisindex,4,FALSE)/VLOOKUP(YEAR($F244),Preisindex,4,FALSE),2),IF(AND($E244&lt;&gt;0,$F244&gt;0,YEAR($F244)&gt;=Preisindex!$A$6,YEAR(CD$4)&gt;=YEAR($F244),$K244="k"),ROUND(VLOOKUP(CI$4,Preisindex,2,FALSE)/VLOOKUP(YEAR($F244),Preisindex,2,FALSE),2),0)))))</f>
        <v>0</v>
      </c>
      <c r="CJ244" s="56">
        <f>IF(AND($E244&lt;&gt;0,$F244&gt;0,YEAR($F244)&lt;Preisindex!$A$6,YEAR(CD$4)&gt;=YEAR($F244),AND($K244&lt;&gt;"a",$K244&lt;&gt;"b",$K244&lt;&gt;"g",$K244&lt;&gt;"k")),1,IF(AND($E244&lt;&gt;0,$F244&gt;0,YEAR($F244)&lt;Preisindex!$A$6,YEAR(CD$4)&gt;=YEAR($F244),$K244="a"),ROUND(VLOOKUP(CI$4,Preisindex,5,FALSE)/VLOOKUP(Preisindex!$A$6,Preisindex,5,FALSE),2),IF(AND($E244&lt;&gt;0,$F244&gt;0,YEAR($F244)&lt;Preisindex!$A$6,YEAR(CD$4)&gt;=YEAR($F244),$K244="b"),ROUND(VLOOKUP(CI$4,Preisindex,3,FALSE)/VLOOKUP(Preisindex!$A$6,Preisindex,3,FALSE),2),IF(AND($E244&lt;&gt;0,$F244&gt;0,YEAR($F244)&lt;Preisindex!$A$6,YEAR(CD$4)&gt;=YEAR($F244),$K244="g"),ROUND(VLOOKUP(CI$4,Preisindex,4,FALSE)/VLOOKUP(Preisindex!$A$6,Preisindex,4,FALSE),2),IF(AND($E244&lt;&gt;0,$F244&gt;0,YEAR($F244)&lt;Preisindex!$A$6,YEAR(CD$4)&gt;=YEAR($F244),$K244="k"),ROUND(VLOOKUP(CI$4,Preisindex,2,FALSE)/VLOOKUP(Preisindex!$A$6,Preisindex,2,FALSE),2),0)))))</f>
        <v>0</v>
      </c>
      <c r="CK244" s="51">
        <f>IF(AND($E244&lt;&gt;0,$F244&gt;0,YEAR($F244)&lt;=CI$4,YEAR($F244)&gt;=Preisindex!$A$6),ROUND($E244*CI244,2),IF(AND($E244&lt;&gt;0,$F244&gt;0,YEAR($F244)&lt;=CI$4,YEAR($F244)&lt;Preisindex!$A$6),ROUND($E244*CJ244,2),0))</f>
        <v>0</v>
      </c>
      <c r="CL244" s="53">
        <f t="shared" si="647"/>
        <v>0</v>
      </c>
      <c r="CM244" s="51">
        <f t="shared" si="750"/>
        <v>0</v>
      </c>
      <c r="CN244" s="51">
        <f t="shared" si="725"/>
        <v>0</v>
      </c>
      <c r="CO244" s="51">
        <f t="shared" si="648"/>
        <v>0</v>
      </c>
      <c r="CP244" s="51">
        <f t="shared" si="726"/>
        <v>0</v>
      </c>
      <c r="CQ244" s="51">
        <f t="shared" si="649"/>
        <v>0</v>
      </c>
      <c r="CR244" s="51">
        <f t="shared" si="727"/>
        <v>0</v>
      </c>
      <c r="CS244" s="51">
        <f t="shared" si="650"/>
        <v>0</v>
      </c>
      <c r="CT244" s="51">
        <f t="shared" si="728"/>
        <v>0</v>
      </c>
      <c r="CU244" s="51">
        <f t="shared" si="651"/>
        <v>0</v>
      </c>
      <c r="CV244" s="51">
        <f t="shared" si="729"/>
        <v>0</v>
      </c>
      <c r="CW244" s="51">
        <f t="shared" si="652"/>
        <v>0</v>
      </c>
      <c r="CX244" s="54">
        <f t="shared" si="653"/>
        <v>0</v>
      </c>
      <c r="CY244" s="55">
        <f t="shared" si="654"/>
        <v>0</v>
      </c>
      <c r="CZ244" s="56">
        <f>IF(AND($E244&lt;&gt;0,$F244&gt;0,YEAR($F244)&gt;=Preisindex!$A$6,YEAR(CU$4)&gt;=YEAR($F244),AND($K244&lt;&gt;"a",$K244&lt;&gt;"b",$K244&lt;&gt;"g",$K244&lt;&gt;"k")),1,IF(AND($E244&lt;&gt;0,$F244&gt;0,YEAR($F244)&gt;=Preisindex!$A$6,YEAR(CU$4)&gt;=YEAR($F244),$K244="a"),ROUND(VLOOKUP(CZ$4,Preisindex,5,FALSE)/VLOOKUP(YEAR($F244),Preisindex,5,FALSE),2),IF(AND($E244&lt;&gt;0,$F244&gt;0,YEAR($F244)&gt;=Preisindex!$A$6,YEAR(CU$4)&gt;=YEAR($F244),$K244="b"),ROUND(VLOOKUP(CZ$4,Preisindex,3,FALSE)/VLOOKUP(YEAR($F244),Preisindex,3,FALSE),2),IF(AND($E244&lt;&gt;0,$F244&gt;0,YEAR($F244)&gt;=Preisindex!$A$6,YEAR(CU$4)&gt;=YEAR($F244),$K244="g"),ROUND(VLOOKUP(CZ$4,Preisindex,4,FALSE)/VLOOKUP(YEAR($F244),Preisindex,4,FALSE),2),IF(AND($E244&lt;&gt;0,$F244&gt;0,YEAR($F244)&gt;=Preisindex!$A$6,YEAR(CU$4)&gt;=YEAR($F244),$K244="k"),ROUND(VLOOKUP(CZ$4,Preisindex,2,FALSE)/VLOOKUP(YEAR($F244),Preisindex,2,FALSE),2),0)))))</f>
        <v>0</v>
      </c>
      <c r="DA244" s="56">
        <f>IF(AND($E244&lt;&gt;0,$F244&gt;0,YEAR($F244)&lt;Preisindex!$A$6,YEAR(CU$4)&gt;=YEAR($F244),AND($K244&lt;&gt;"a",$K244&lt;&gt;"b",$K244&lt;&gt;"g",$K244&lt;&gt;"k")),1,IF(AND($E244&lt;&gt;0,$F244&gt;0,YEAR($F244)&lt;Preisindex!$A$6,YEAR(CU$4)&gt;=YEAR($F244),$K244="a"),ROUND(VLOOKUP(CZ$4,Preisindex,5,FALSE)/VLOOKUP(Preisindex!$A$6,Preisindex,5,FALSE),2),IF(AND($E244&lt;&gt;0,$F244&gt;0,YEAR($F244)&lt;Preisindex!$A$6,YEAR(CU$4)&gt;=YEAR($F244),$K244="b"),ROUND(VLOOKUP(CZ$4,Preisindex,3,FALSE)/VLOOKUP(Preisindex!$A$6,Preisindex,3,FALSE),2),IF(AND($E244&lt;&gt;0,$F244&gt;0,YEAR($F244)&lt;Preisindex!$A$6,YEAR(CU$4)&gt;=YEAR($F244),$K244="g"),ROUND(VLOOKUP(CZ$4,Preisindex,4,FALSE)/VLOOKUP(Preisindex!$A$6,Preisindex,4,FALSE),2),IF(AND($E244&lt;&gt;0,$F244&gt;0,YEAR($F244)&lt;Preisindex!$A$6,YEAR(CU$4)&gt;=YEAR($F244),$K244="k"),ROUND(VLOOKUP(CZ$4,Preisindex,2,FALSE)/VLOOKUP(Preisindex!$A$6,Preisindex,2,FALSE),2),0)))))</f>
        <v>0</v>
      </c>
      <c r="DB244" s="51">
        <f>IF(AND($E244&lt;&gt;0,$F244&gt;0,YEAR($F244)&lt;=CZ$4,YEAR($F244)&gt;=Preisindex!$A$6),ROUND($E244*CZ244,2),IF(AND($E244&lt;&gt;0,$F244&gt;0,YEAR($F244)&lt;=CZ$4,YEAR($F244)&lt;Preisindex!$A$6),ROUND($E244*DA244,2),0))</f>
        <v>0</v>
      </c>
      <c r="DC244" s="53">
        <f t="shared" si="655"/>
        <v>0</v>
      </c>
      <c r="DD244" s="51">
        <f t="shared" si="751"/>
        <v>0</v>
      </c>
      <c r="DE244" s="51">
        <f t="shared" si="730"/>
        <v>0</v>
      </c>
      <c r="DF244" s="51">
        <f t="shared" si="657"/>
        <v>0</v>
      </c>
      <c r="DG244" s="51">
        <f t="shared" si="731"/>
        <v>0</v>
      </c>
      <c r="DH244" s="51">
        <f t="shared" si="658"/>
        <v>0</v>
      </c>
      <c r="DI244" s="51">
        <f t="shared" si="732"/>
        <v>0</v>
      </c>
      <c r="DJ244" s="51">
        <f t="shared" si="659"/>
        <v>0</v>
      </c>
      <c r="DK244" s="51">
        <f t="shared" si="733"/>
        <v>0</v>
      </c>
      <c r="DL244" s="51">
        <f t="shared" si="660"/>
        <v>0</v>
      </c>
      <c r="DM244" s="51">
        <f t="shared" si="734"/>
        <v>0</v>
      </c>
      <c r="DN244" s="51">
        <f t="shared" si="661"/>
        <v>0</v>
      </c>
      <c r="DO244" s="54">
        <f t="shared" si="662"/>
        <v>0</v>
      </c>
      <c r="DP244" s="55">
        <f t="shared" si="663"/>
        <v>0</v>
      </c>
      <c r="DQ244" s="56">
        <f>IF(AND($E244&lt;&gt;0,$F244&gt;0,YEAR($F244)&gt;=Preisindex!$A$6,YEAR(DL$4)&gt;=YEAR($F244),AND($K244&lt;&gt;"a",$K244&lt;&gt;"b",$K244&lt;&gt;"g",$K244&lt;&gt;"k")),1,IF(AND($E244&lt;&gt;0,$F244&gt;0,YEAR($F244)&gt;=Preisindex!$A$6,YEAR(DL$4)&gt;=YEAR($F244),$K244="a"),ROUND(VLOOKUP(DQ$4,Preisindex,5,FALSE)/VLOOKUP(YEAR($F244),Preisindex,5,FALSE),2),IF(AND($E244&lt;&gt;0,$F244&gt;0,YEAR($F244)&gt;=Preisindex!$A$6,YEAR(DL$4)&gt;=YEAR($F244),$K244="b"),ROUND(VLOOKUP(DQ$4,Preisindex,3,FALSE)/VLOOKUP(YEAR($F244),Preisindex,3,FALSE),2),IF(AND($E244&lt;&gt;0,$F244&gt;0,YEAR($F244)&gt;=Preisindex!$A$6,YEAR(DL$4)&gt;=YEAR($F244),$K244="g"),ROUND(VLOOKUP(DQ$4,Preisindex,4,FALSE)/VLOOKUP(YEAR($F244),Preisindex,4,FALSE),2),IF(AND($E244&lt;&gt;0,$F244&gt;0,YEAR($F244)&gt;=Preisindex!$A$6,YEAR(DL$4)&gt;=YEAR($F244),$K244="k"),ROUND(VLOOKUP(DQ$4,Preisindex,2,FALSE)/VLOOKUP(YEAR($F244),Preisindex,2,FALSE),2),0)))))</f>
        <v>0</v>
      </c>
      <c r="DR244" s="56">
        <f>IF(AND($E244&lt;&gt;0,$F244&gt;0,YEAR($F244)&lt;Preisindex!$A$6,YEAR(DL$4)&gt;=YEAR($F244),AND($K244&lt;&gt;"a",$K244&lt;&gt;"b",$K244&lt;&gt;"g",$K244&lt;&gt;"k")),1,IF(AND($E244&lt;&gt;0,$F244&gt;0,YEAR($F244)&lt;Preisindex!$A$6,YEAR(DL$4)&gt;=YEAR($F244),$K244="a"),ROUND(VLOOKUP(DQ$4,Preisindex,5,FALSE)/VLOOKUP(Preisindex!$A$6,Preisindex,5,FALSE),2),IF(AND($E244&lt;&gt;0,$F244&gt;0,YEAR($F244)&lt;Preisindex!$A$6,YEAR(DL$4)&gt;=YEAR($F244),$K244="b"),ROUND(VLOOKUP(DQ$4,Preisindex,3,FALSE)/VLOOKUP(Preisindex!$A$6,Preisindex,3,FALSE),2),IF(AND($E244&lt;&gt;0,$F244&gt;0,YEAR($F244)&lt;Preisindex!$A$6,YEAR(DL$4)&gt;=YEAR($F244),$K244="g"),ROUND(VLOOKUP(DQ$4,Preisindex,4,FALSE)/VLOOKUP(Preisindex!$A$6,Preisindex,4,FALSE),2),IF(AND($E244&lt;&gt;0,$F244&gt;0,YEAR($F244)&lt;Preisindex!$A$6,YEAR(DL$4)&gt;=YEAR($F244),$K244="k"),ROUND(VLOOKUP(DQ$4,Preisindex,2,FALSE)/VLOOKUP(Preisindex!$A$6,Preisindex,2,FALSE),2),0)))))</f>
        <v>0</v>
      </c>
      <c r="DS244" s="51">
        <f>IF(AND($E244&lt;&gt;0,$F244&gt;0,YEAR($F244)&lt;=DQ$4,YEAR($F244)&gt;=Preisindex!$A$6),ROUND($E244*DQ244,2),IF(AND($E244&lt;&gt;0,$F244&gt;0,YEAR($F244)&lt;=DQ$4,YEAR($F244)&lt;Preisindex!$A$6),ROUND($E244*DR244,2),0))</f>
        <v>0</v>
      </c>
      <c r="DT244" s="53">
        <f t="shared" si="664"/>
        <v>0</v>
      </c>
      <c r="DU244" s="51">
        <f t="shared" si="751"/>
        <v>0</v>
      </c>
      <c r="DV244" s="51">
        <f t="shared" si="735"/>
        <v>0</v>
      </c>
      <c r="DW244" s="51">
        <f t="shared" si="665"/>
        <v>0</v>
      </c>
      <c r="DX244" s="51">
        <f t="shared" si="736"/>
        <v>0</v>
      </c>
      <c r="DY244" s="51">
        <f t="shared" si="666"/>
        <v>0</v>
      </c>
      <c r="DZ244" s="51">
        <f t="shared" si="737"/>
        <v>0</v>
      </c>
      <c r="EA244" s="51">
        <f t="shared" si="667"/>
        <v>0</v>
      </c>
      <c r="EB244" s="51">
        <f t="shared" si="738"/>
        <v>0</v>
      </c>
      <c r="EC244" s="51">
        <f t="shared" si="668"/>
        <v>0</v>
      </c>
      <c r="ED244" s="51">
        <f t="shared" si="739"/>
        <v>0</v>
      </c>
      <c r="EE244" s="51">
        <f t="shared" si="669"/>
        <v>0</v>
      </c>
      <c r="EF244" s="54">
        <f t="shared" si="670"/>
        <v>0</v>
      </c>
      <c r="EG244" s="55">
        <f t="shared" si="671"/>
        <v>0</v>
      </c>
      <c r="EH244" s="56">
        <f>IF(AND($E244&lt;&gt;0,$F244&gt;0,YEAR($F244)&gt;=Preisindex!$A$6,YEAR(EC$4)&gt;=YEAR($F244),AND($K244&lt;&gt;"a",$K244&lt;&gt;"b",$K244&lt;&gt;"g",$K244&lt;&gt;"k")),1,IF(AND($E244&lt;&gt;0,$F244&gt;0,YEAR($F244)&gt;=Preisindex!$A$6,YEAR(EC$4)&gt;=YEAR($F244),$K244="a"),ROUND(VLOOKUP(EH$4,Preisindex,5,FALSE)/VLOOKUP(YEAR($F244),Preisindex,5,FALSE),2),IF(AND($E244&lt;&gt;0,$F244&gt;0,YEAR($F244)&gt;=Preisindex!$A$6,YEAR(EC$4)&gt;=YEAR($F244),$K244="b"),ROUND(VLOOKUP(EH$4,Preisindex,3,FALSE)/VLOOKUP(YEAR($F244),Preisindex,3,FALSE),2),IF(AND($E244&lt;&gt;0,$F244&gt;0,YEAR($F244)&gt;=Preisindex!$A$6,YEAR(EC$4)&gt;=YEAR($F244),$K244="g"),ROUND(VLOOKUP(EH$4,Preisindex,4,FALSE)/VLOOKUP(YEAR($F244),Preisindex,4,FALSE),2),IF(AND($E244&lt;&gt;0,$F244&gt;0,YEAR($F244)&gt;=Preisindex!$A$6,YEAR(EC$4)&gt;=YEAR($F244),$K244="k"),ROUND(VLOOKUP(EH$4,Preisindex,2,FALSE)/VLOOKUP(YEAR($F244),Preisindex,2,FALSE),2),0)))))</f>
        <v>0</v>
      </c>
      <c r="EI244" s="56">
        <f>IF(AND($E244&lt;&gt;0,$F244&gt;0,YEAR($F244)&lt;Preisindex!$A$6,YEAR(EC$4)&gt;=YEAR($F244),AND($K244&lt;&gt;"a",$K244&lt;&gt;"b",$K244&lt;&gt;"g",$K244&lt;&gt;"k")),1,IF(AND($E244&lt;&gt;0,$F244&gt;0,YEAR($F244)&lt;Preisindex!$A$6,YEAR(EC$4)&gt;=YEAR($F244),$K244="a"),ROUND(VLOOKUP(EH$4,Preisindex,5,FALSE)/VLOOKUP(Preisindex!$A$6,Preisindex,5,FALSE),2),IF(AND($E244&lt;&gt;0,$F244&gt;0,YEAR($F244)&lt;Preisindex!$A$6,YEAR(EC$4)&gt;=YEAR($F244),$K244="b"),ROUND(VLOOKUP(EH$4,Preisindex,3,FALSE)/VLOOKUP(Preisindex!$A$6,Preisindex,3,FALSE),2),IF(AND($E244&lt;&gt;0,$F244&gt;0,YEAR($F244)&lt;Preisindex!$A$6,YEAR(EC$4)&gt;=YEAR($F244),$K244="g"),ROUND(VLOOKUP(EH$4,Preisindex,4,FALSE)/VLOOKUP(Preisindex!$A$6,Preisindex,4,FALSE),2),IF(AND($E244&lt;&gt;0,$F244&gt;0,YEAR($F244)&lt;Preisindex!$A$6,YEAR(EC$4)&gt;=YEAR($F244),$K244="k"),ROUND(VLOOKUP(EH$4,Preisindex,2,FALSE)/VLOOKUP(Preisindex!$A$6,Preisindex,2,FALSE),2),0)))))</f>
        <v>0</v>
      </c>
      <c r="EJ244" s="51">
        <f>IF(AND($E244&lt;&gt;0,$F244&gt;0,YEAR($F244)&lt;=EH$4,YEAR($F244)&gt;=Preisindex!$A$6),ROUND($E244*EH244,2),IF(AND($E244&lt;&gt;0,$F244&gt;0,YEAR($F244)&lt;=EH$4,YEAR($F244)&lt;Preisindex!$A$6),ROUND($E244*EI244,2),0))</f>
        <v>0</v>
      </c>
      <c r="EK244" s="53">
        <f t="shared" si="672"/>
        <v>0</v>
      </c>
      <c r="EL244" s="51">
        <f t="shared" si="751"/>
        <v>0</v>
      </c>
      <c r="EM244" s="51">
        <f t="shared" si="740"/>
        <v>0</v>
      </c>
      <c r="EN244" s="51">
        <f t="shared" si="673"/>
        <v>0</v>
      </c>
      <c r="EO244" s="51">
        <f t="shared" si="741"/>
        <v>0</v>
      </c>
      <c r="EP244" s="51">
        <f t="shared" si="674"/>
        <v>0</v>
      </c>
      <c r="EQ244" s="51">
        <f t="shared" si="742"/>
        <v>0</v>
      </c>
      <c r="ER244" s="51">
        <f t="shared" si="675"/>
        <v>0</v>
      </c>
      <c r="ES244" s="51">
        <f t="shared" si="743"/>
        <v>0</v>
      </c>
      <c r="ET244" s="51">
        <f t="shared" si="676"/>
        <v>0</v>
      </c>
      <c r="EU244" s="51">
        <f t="shared" si="744"/>
        <v>0</v>
      </c>
      <c r="EV244" s="51">
        <f t="shared" si="677"/>
        <v>0</v>
      </c>
      <c r="EW244" s="54">
        <f t="shared" si="678"/>
        <v>0</v>
      </c>
      <c r="EX244" s="55">
        <f t="shared" si="679"/>
        <v>0</v>
      </c>
      <c r="EY244" s="56">
        <f>IF(AND($E244&lt;&gt;0,$F244&gt;0,YEAR($F244)&gt;=Preisindex!$A$6,YEAR(ET$4)&gt;=YEAR($F244),AND($K244&lt;&gt;"a",$K244&lt;&gt;"b",$K244&lt;&gt;"g",$K244&lt;&gt;"k")),1,IF(AND($E244&lt;&gt;0,$F244&gt;0,YEAR($F244)&gt;=Preisindex!$A$6,YEAR(ET$4)&gt;=YEAR($F244),$K244="a"),ROUND(VLOOKUP(EY$4,Preisindex,5,FALSE)/VLOOKUP(YEAR($F244),Preisindex,5,FALSE),2),IF(AND($E244&lt;&gt;0,$F244&gt;0,YEAR($F244)&gt;=Preisindex!$A$6,YEAR(ET$4)&gt;=YEAR($F244),$K244="b"),ROUND(VLOOKUP(EY$4,Preisindex,3,FALSE)/VLOOKUP(YEAR($F244),Preisindex,3,FALSE),2),IF(AND($E244&lt;&gt;0,$F244&gt;0,YEAR($F244)&gt;=Preisindex!$A$6,YEAR(ET$4)&gt;=YEAR($F244),$K244="g"),ROUND(VLOOKUP(EY$4,Preisindex,4,FALSE)/VLOOKUP(YEAR($F244),Preisindex,4,FALSE),2),IF(AND($E244&lt;&gt;0,$F244&gt;0,YEAR($F244)&gt;=Preisindex!$A$6,YEAR(ET$4)&gt;=YEAR($F244),$K244="k"),ROUND(VLOOKUP(EY$4,Preisindex,2,FALSE)/VLOOKUP(YEAR($F244),Preisindex,2,FALSE),2),0)))))</f>
        <v>0</v>
      </c>
      <c r="EZ244" s="56">
        <f>IF(AND($E244&lt;&gt;0,$F244&gt;0,YEAR($F244)&lt;Preisindex!$A$6,YEAR(ET$4)&gt;=YEAR($F244),AND($K244&lt;&gt;"a",$K244&lt;&gt;"b",$K244&lt;&gt;"g",$K244&lt;&gt;"k")),1,IF(AND($E244&lt;&gt;0,$F244&gt;0,YEAR($F244)&lt;Preisindex!$A$6,YEAR(ET$4)&gt;=YEAR($F244),$K244="a"),ROUND(VLOOKUP(EY$4,Preisindex,5,FALSE)/VLOOKUP(Preisindex!$A$6,Preisindex,5,FALSE),2),IF(AND($E244&lt;&gt;0,$F244&gt;0,YEAR($F244)&lt;Preisindex!$A$6,YEAR(ET$4)&gt;=YEAR($F244),$K244="b"),ROUND(VLOOKUP(EY$4,Preisindex,3,FALSE)/VLOOKUP(Preisindex!$A$6,Preisindex,3,FALSE),2),IF(AND($E244&lt;&gt;0,$F244&gt;0,YEAR($F244)&lt;Preisindex!$A$6,YEAR(ET$4)&gt;=YEAR($F244),$K244="g"),ROUND(VLOOKUP(EY$4,Preisindex,4,FALSE)/VLOOKUP(Preisindex!$A$6,Preisindex,4,FALSE),2),IF(AND($E244&lt;&gt;0,$F244&gt;0,YEAR($F244)&lt;Preisindex!$A$6,YEAR(ET$4)&gt;=YEAR($F244),$K244="k"),ROUND(VLOOKUP(EY$4,Preisindex,2,FALSE)/VLOOKUP(Preisindex!$A$6,Preisindex,2,FALSE),2),0)))))</f>
        <v>0</v>
      </c>
      <c r="FA244" s="51">
        <f>IF(AND($E244&lt;&gt;0,$F244&gt;0,YEAR($F244)&lt;=EY$4,YEAR($F244)&gt;=Preisindex!$A$6),ROUND($E244*EY244,2),IF(AND($E244&lt;&gt;0,$F244&gt;0,YEAR($F244)&lt;=EY$4,YEAR($F244)&lt;Preisindex!$A$6),ROUND($E244*EZ244,2),0))</f>
        <v>0</v>
      </c>
      <c r="FB244" s="53">
        <f t="shared" si="680"/>
        <v>0</v>
      </c>
      <c r="FC244" s="51">
        <f t="shared" si="751"/>
        <v>0</v>
      </c>
      <c r="FD244" s="51">
        <f t="shared" si="745"/>
        <v>0</v>
      </c>
      <c r="FE244" s="51">
        <f t="shared" si="681"/>
        <v>0</v>
      </c>
      <c r="FF244" s="51">
        <f t="shared" si="746"/>
        <v>0</v>
      </c>
      <c r="FG244" s="51">
        <f t="shared" si="682"/>
        <v>0</v>
      </c>
      <c r="FH244" s="51">
        <f t="shared" si="747"/>
        <v>0</v>
      </c>
      <c r="FI244" s="51">
        <f t="shared" si="683"/>
        <v>0</v>
      </c>
      <c r="FJ244" s="51">
        <f t="shared" si="748"/>
        <v>0</v>
      </c>
      <c r="FK244" s="51">
        <f t="shared" si="684"/>
        <v>0</v>
      </c>
      <c r="FL244" s="51">
        <f t="shared" si="749"/>
        <v>0</v>
      </c>
      <c r="FM244" s="51">
        <f t="shared" si="685"/>
        <v>0</v>
      </c>
      <c r="FN244" s="54">
        <f t="shared" si="686"/>
        <v>0</v>
      </c>
      <c r="FO244" s="55">
        <f t="shared" si="687"/>
        <v>0</v>
      </c>
      <c r="FP244" s="56">
        <f>IF(AND($E244&lt;&gt;0,$F244&gt;0,YEAR($F244)&gt;=Preisindex!$A$6,YEAR(FK$4)&gt;=YEAR($F244),AND($K244&lt;&gt;"a",$K244&lt;&gt;"b",$K244&lt;&gt;"g",$K244&lt;&gt;"k")),1,IF(AND($E244&lt;&gt;0,$F244&gt;0,YEAR($F244)&gt;=Preisindex!$A$6,YEAR(FK$4)&gt;=YEAR($F244),$K244="a"),ROUND(VLOOKUP(FP$4,Preisindex,5,FALSE)/VLOOKUP(YEAR($F244),Preisindex,5,FALSE),2),IF(AND($E244&lt;&gt;0,$F244&gt;0,YEAR($F244)&gt;=Preisindex!$A$6,YEAR(FK$4)&gt;=YEAR($F244),$K244="b"),ROUND(VLOOKUP(FP$4,Preisindex,3,FALSE)/VLOOKUP(YEAR($F244),Preisindex,3,FALSE),2),IF(AND($E244&lt;&gt;0,$F244&gt;0,YEAR($F244)&gt;=Preisindex!$A$6,YEAR(FK$4)&gt;=YEAR($F244),$K244="g"),ROUND(VLOOKUP(FP$4,Preisindex,4,FALSE)/VLOOKUP(YEAR($F244),Preisindex,4,FALSE),2),IF(AND($E244&lt;&gt;0,$F244&gt;0,YEAR($F244)&gt;=Preisindex!$A$6,YEAR(FK$4)&gt;=YEAR($F244),$K244="k"),ROUND(VLOOKUP(FP$4,Preisindex,2,FALSE)/VLOOKUP(YEAR($F244),Preisindex,2,FALSE),2),0)))))</f>
        <v>0</v>
      </c>
      <c r="FQ244" s="56">
        <f>IF(AND($E244&lt;&gt;0,$F244&gt;0,YEAR($F244)&lt;Preisindex!$A$6,YEAR(FK$4)&gt;=YEAR($F244),AND($K244&lt;&gt;"a",$K244&lt;&gt;"b",$K244&lt;&gt;"g",$K244&lt;&gt;"k")),1,IF(AND($E244&lt;&gt;0,$F244&gt;0,YEAR($F244)&lt;Preisindex!$A$6,YEAR(FK$4)&gt;=YEAR($F244),$K244="a"),ROUND(VLOOKUP(FP$4,Preisindex,5,FALSE)/VLOOKUP(Preisindex!$A$6,Preisindex,5,FALSE),2),IF(AND($E244&lt;&gt;0,$F244&gt;0,YEAR($F244)&lt;Preisindex!$A$6,YEAR(FK$4)&gt;=YEAR($F244),$K244="b"),ROUND(VLOOKUP(FP$4,Preisindex,3,FALSE)/VLOOKUP(Preisindex!$A$6,Preisindex,3,FALSE),2),IF(AND($E244&lt;&gt;0,$F244&gt;0,YEAR($F244)&lt;Preisindex!$A$6,YEAR(FK$4)&gt;=YEAR($F244),$K244="g"),ROUND(VLOOKUP(FP$4,Preisindex,4,FALSE)/VLOOKUP(Preisindex!$A$6,Preisindex,4,FALSE),2),IF(AND($E244&lt;&gt;0,$F244&gt;0,YEAR($F244)&lt;Preisindex!$A$6,YEAR(FK$4)&gt;=YEAR($F244),$K244="k"),ROUND(VLOOKUP(FP$4,Preisindex,2,FALSE)/VLOOKUP(Preisindex!$A$6,Preisindex,2,FALSE),2),0)))))</f>
        <v>0</v>
      </c>
      <c r="FR244" s="51">
        <f>IF(AND($E244&lt;&gt;0,$F244&gt;0,YEAR($F244)&lt;=FP$4,YEAR($F244)&gt;=Preisindex!$A$6),ROUND($E244*FP244,2),IF(AND($E244&lt;&gt;0,$F244&gt;0,YEAR($F244)&lt;=FP$4,YEAR($F244)&lt;Preisindex!$A$6),ROUND($E244*FQ244,2),0))</f>
        <v>0</v>
      </c>
      <c r="FS244" s="53">
        <f t="shared" si="688"/>
        <v>0</v>
      </c>
    </row>
    <row r="245" spans="1:175" x14ac:dyDescent="0.3">
      <c r="A245" s="93"/>
      <c r="B245" s="94"/>
      <c r="C245" s="94"/>
      <c r="D245" s="188"/>
      <c r="E245" s="624"/>
      <c r="F245" s="190"/>
      <c r="G245" s="625"/>
      <c r="H245" s="192"/>
      <c r="I245" s="621"/>
      <c r="J245" s="103"/>
      <c r="K245" s="630"/>
      <c r="L245" s="49">
        <f t="shared" si="689"/>
        <v>0</v>
      </c>
      <c r="M245" s="50">
        <f t="shared" si="690"/>
        <v>0</v>
      </c>
      <c r="N245" s="51">
        <f t="shared" si="691"/>
        <v>0</v>
      </c>
      <c r="O245" s="51"/>
      <c r="P245" s="51">
        <f t="shared" si="692"/>
        <v>0</v>
      </c>
      <c r="Q245" s="52"/>
      <c r="R245" s="52"/>
      <c r="S245" s="52"/>
      <c r="T245" s="52"/>
      <c r="U245" s="52"/>
      <c r="V245" s="53">
        <f t="shared" si="693"/>
        <v>0</v>
      </c>
      <c r="W245" s="51">
        <f t="shared" si="694"/>
        <v>0</v>
      </c>
      <c r="X245" s="51">
        <f t="shared" si="695"/>
        <v>0</v>
      </c>
      <c r="Y245" s="51">
        <f t="shared" si="696"/>
        <v>0</v>
      </c>
      <c r="Z245" s="51">
        <f t="shared" si="697"/>
        <v>0</v>
      </c>
      <c r="AA245" s="51">
        <f t="shared" si="698"/>
        <v>0</v>
      </c>
      <c r="AB245" s="51">
        <f t="shared" si="699"/>
        <v>0</v>
      </c>
      <c r="AC245" s="51">
        <f t="shared" si="700"/>
        <v>0</v>
      </c>
      <c r="AD245" s="51">
        <f t="shared" si="701"/>
        <v>0</v>
      </c>
      <c r="AE245" s="51">
        <f t="shared" si="702"/>
        <v>0</v>
      </c>
      <c r="AF245" s="51">
        <f t="shared" si="703"/>
        <v>0</v>
      </c>
      <c r="AG245" s="51">
        <f t="shared" si="704"/>
        <v>0</v>
      </c>
      <c r="AH245" s="54">
        <f t="shared" si="705"/>
        <v>0</v>
      </c>
      <c r="AI245" s="55">
        <f t="shared" si="706"/>
        <v>0</v>
      </c>
      <c r="AJ245" s="56">
        <f>IF(AND($E245&lt;&gt;0,$F245&gt;0,YEAR($F245)&gt;=Preisindex!$A$6,YEAR(AE$4)&gt;=YEAR($F245),AND($K245&lt;&gt;"a",$K245&lt;&gt;"b",$K245&lt;&gt;"g",$K245&lt;&gt;"k")),1,IF(AND($E245&lt;&gt;0,$F245&gt;0,YEAR($F245)&gt;=Preisindex!$A$6,YEAR(AE$4)&gt;=YEAR($F245),$K245="a"),ROUND(VLOOKUP(AJ$4,Preisindex,5,FALSE)/VLOOKUP(YEAR($F245),Preisindex,5,FALSE),2),IF(AND($E245&lt;&gt;0,$F245&gt;0,YEAR($F245)&gt;=Preisindex!$A$6,YEAR(AE$4)&gt;=YEAR($F245),$K245="b"),ROUND(VLOOKUP(AJ$4,Preisindex,3,FALSE)/VLOOKUP(YEAR($F245),Preisindex,3,FALSE),2),IF(AND($E245&lt;&gt;0,$F245&gt;0,YEAR($F245)&gt;=Preisindex!$A$6,YEAR(AE$4)&gt;=YEAR($F245),$K245="g"),ROUND(VLOOKUP(AJ$4,Preisindex,4,FALSE)/VLOOKUP(YEAR($F245),Preisindex,4,FALSE),2),IF(AND($E245&lt;&gt;0,$F245&gt;0,YEAR($F245)&gt;=Preisindex!$A$6,YEAR(AE$4)&gt;=YEAR($F245),$K245="k"),ROUND(VLOOKUP(AJ$4,Preisindex,2,FALSE)/VLOOKUP(YEAR($F245),Preisindex,2,FALSE),2),0)))))</f>
        <v>0</v>
      </c>
      <c r="AK245" s="56">
        <f>IF(AND($E245&lt;&gt;0,$F245&gt;0,YEAR($F245)&lt;Preisindex!$A$6,YEAR(AE$4)&gt;=YEAR($F245),AND($K245&lt;&gt;"a",$K245&lt;&gt;"b",$K245&lt;&gt;"g",$K245&lt;&gt;"k")),1,IF(AND($E245&lt;&gt;0,$F245&gt;0,YEAR($F245)&lt;Preisindex!$A$6,YEAR(AE$4)&gt;=YEAR($F245),$K245="a"),ROUND(VLOOKUP(AJ$4,Preisindex,5,FALSE)/VLOOKUP(Preisindex!$A$6,Preisindex,5,FALSE),2),IF(AND($E245&lt;&gt;0,$F245&gt;0,YEAR($F245)&lt;Preisindex!$A$6,YEAR(AE$4)&gt;=YEAR($F245),$K245="b"),ROUND(VLOOKUP(AJ$4,Preisindex,3,FALSE)/VLOOKUP(Preisindex!$A$6,Preisindex,3,FALSE),2),IF(AND($E245&lt;&gt;0,$F245&gt;0,YEAR($F245)&lt;Preisindex!$A$6,YEAR(AE$4)&gt;=YEAR($F245),$K245="g"),ROUND(VLOOKUP(AJ$4,Preisindex,4,FALSE)/VLOOKUP(Preisindex!$A$6,Preisindex,4,FALSE),2),IF(AND($E245&lt;&gt;0,$F245&gt;0,YEAR($F245)&lt;Preisindex!$A$6,YEAR(AE$4)&gt;=YEAR($F245),$K245="k"),ROUND(VLOOKUP(AJ$4,Preisindex,2,FALSE)/VLOOKUP(Preisindex!$A$6,Preisindex,2,FALSE),2),0)))))</f>
        <v>0</v>
      </c>
      <c r="AL245" s="51">
        <f>IF(AND($E245&lt;&gt;0,$F245&gt;0,YEAR($F245)&lt;=AJ$4,YEAR($F245)&gt;=Preisindex!$A$6),ROUND($E245*AJ245,2),IF(AND($E245&lt;&gt;0,$F245&gt;0,YEAR($F245)&lt;=AJ$4,YEAR($F245)&lt;Preisindex!$A$6),ROUND($E245*AK245,2),0))</f>
        <v>0</v>
      </c>
      <c r="AM245" s="53">
        <f t="shared" si="707"/>
        <v>0</v>
      </c>
      <c r="AN245" s="51">
        <f t="shared" ref="AN245:CM260" si="752">IF(YEAR($F245)=AN$4,$E245,0)</f>
        <v>0</v>
      </c>
      <c r="AO245" s="51">
        <f t="shared" si="710"/>
        <v>0</v>
      </c>
      <c r="AP245" s="51">
        <f t="shared" si="624"/>
        <v>0</v>
      </c>
      <c r="AQ245" s="51">
        <f t="shared" si="711"/>
        <v>0</v>
      </c>
      <c r="AR245" s="51">
        <f t="shared" si="625"/>
        <v>0</v>
      </c>
      <c r="AS245" s="51">
        <f t="shared" si="712"/>
        <v>0</v>
      </c>
      <c r="AT245" s="51">
        <f t="shared" si="626"/>
        <v>0</v>
      </c>
      <c r="AU245" s="51">
        <f t="shared" si="713"/>
        <v>0</v>
      </c>
      <c r="AV245" s="51">
        <f t="shared" si="627"/>
        <v>0</v>
      </c>
      <c r="AW245" s="51">
        <f t="shared" si="714"/>
        <v>0</v>
      </c>
      <c r="AX245" s="51">
        <f t="shared" si="628"/>
        <v>0</v>
      </c>
      <c r="AY245" s="54">
        <f t="shared" si="629"/>
        <v>0</v>
      </c>
      <c r="AZ245" s="55">
        <f t="shared" si="630"/>
        <v>0</v>
      </c>
      <c r="BA245" s="56">
        <f>IF(AND($E245&lt;&gt;0,$F245&gt;0,YEAR($F245)&gt;=Preisindex!$A$6,YEAR(AV$4)&gt;=YEAR($F245),AND($K245&lt;&gt;"a",$K245&lt;&gt;"b",$K245&lt;&gt;"g",$K245&lt;&gt;"k")),1,IF(AND($E245&lt;&gt;0,$F245&gt;0,YEAR($F245)&gt;=Preisindex!$A$6,YEAR(AV$4)&gt;=YEAR($F245),$K245="a"),ROUND(VLOOKUP(BA$4,Preisindex,5,FALSE)/VLOOKUP(YEAR($F245),Preisindex,5,FALSE),2),IF(AND($E245&lt;&gt;0,$F245&gt;0,YEAR($F245)&gt;=Preisindex!$A$6,YEAR(AV$4)&gt;=YEAR($F245),$K245="b"),ROUND(VLOOKUP(BA$4,Preisindex,3,FALSE)/VLOOKUP(YEAR($F245),Preisindex,3,FALSE),2),IF(AND($E245&lt;&gt;0,$F245&gt;0,YEAR($F245)&gt;=Preisindex!$A$6,YEAR(AV$4)&gt;=YEAR($F245),$K245="g"),ROUND(VLOOKUP(BA$4,Preisindex,4,FALSE)/VLOOKUP(YEAR($F245),Preisindex,4,FALSE),2),IF(AND($E245&lt;&gt;0,$F245&gt;0,YEAR($F245)&gt;=Preisindex!$A$6,YEAR(AV$4)&gt;=YEAR($F245),$K245="k"),ROUND(VLOOKUP(BA$4,Preisindex,2,FALSE)/VLOOKUP(YEAR($F245),Preisindex,2,FALSE),2),0)))))</f>
        <v>0</v>
      </c>
      <c r="BB245" s="56">
        <f>IF(AND($E245&lt;&gt;0,$F245&gt;0,YEAR($F245)&lt;Preisindex!$A$6,YEAR(AV$4)&gt;=YEAR($F245),AND($K245&lt;&gt;"a",$K245&lt;&gt;"b",$K245&lt;&gt;"g",$K245&lt;&gt;"k")),1,IF(AND($E245&lt;&gt;0,$F245&gt;0,YEAR($F245)&lt;Preisindex!$A$6,YEAR(AV$4)&gt;=YEAR($F245),$K245="a"),ROUND(VLOOKUP(BA$4,Preisindex,5,FALSE)/VLOOKUP(Preisindex!$A$6,Preisindex,5,FALSE),2),IF(AND($E245&lt;&gt;0,$F245&gt;0,YEAR($F245)&lt;Preisindex!$A$6,YEAR(AV$4)&gt;=YEAR($F245),$K245="b"),ROUND(VLOOKUP(BA$4,Preisindex,3,FALSE)/VLOOKUP(Preisindex!$A$6,Preisindex,3,FALSE),2),IF(AND($E245&lt;&gt;0,$F245&gt;0,YEAR($F245)&lt;Preisindex!$A$6,YEAR(AV$4)&gt;=YEAR($F245),$K245="g"),ROUND(VLOOKUP(BA$4,Preisindex,4,FALSE)/VLOOKUP(Preisindex!$A$6,Preisindex,4,FALSE),2),IF(AND($E245&lt;&gt;0,$F245&gt;0,YEAR($F245)&lt;Preisindex!$A$6,YEAR(AV$4)&gt;=YEAR($F245),$K245="k"),ROUND(VLOOKUP(BA$4,Preisindex,2,FALSE)/VLOOKUP(Preisindex!$A$6,Preisindex,2,FALSE),2),0)))))</f>
        <v>0</v>
      </c>
      <c r="BC245" s="51">
        <f>IF(AND($E245&lt;&gt;0,$F245&gt;0,YEAR($F245)&lt;=BA$4,YEAR($F245)&gt;=Preisindex!$A$6),ROUND($E245*BA245,2),IF(AND($E245&lt;&gt;0,$F245&gt;0,YEAR($F245)&lt;=BA$4,YEAR($F245)&lt;Preisindex!$A$6),ROUND($E245*BB245,2),0))</f>
        <v>0</v>
      </c>
      <c r="BD245" s="53">
        <f t="shared" si="631"/>
        <v>0</v>
      </c>
      <c r="BE245" s="51">
        <f t="shared" si="752"/>
        <v>0</v>
      </c>
      <c r="BF245" s="51">
        <f t="shared" si="715"/>
        <v>0</v>
      </c>
      <c r="BG245" s="51">
        <f t="shared" si="632"/>
        <v>0</v>
      </c>
      <c r="BH245" s="51">
        <f t="shared" si="716"/>
        <v>0</v>
      </c>
      <c r="BI245" s="51">
        <f t="shared" si="633"/>
        <v>0</v>
      </c>
      <c r="BJ245" s="51">
        <f t="shared" si="717"/>
        <v>0</v>
      </c>
      <c r="BK245" s="51">
        <f t="shared" si="634"/>
        <v>0</v>
      </c>
      <c r="BL245" s="51">
        <f t="shared" si="718"/>
        <v>0</v>
      </c>
      <c r="BM245" s="51">
        <f t="shared" si="635"/>
        <v>0</v>
      </c>
      <c r="BN245" s="51">
        <f t="shared" si="719"/>
        <v>0</v>
      </c>
      <c r="BO245" s="51">
        <f t="shared" si="636"/>
        <v>0</v>
      </c>
      <c r="BP245" s="54">
        <f t="shared" si="637"/>
        <v>0</v>
      </c>
      <c r="BQ245" s="55">
        <f t="shared" si="638"/>
        <v>0</v>
      </c>
      <c r="BR245" s="56">
        <f>IF(AND($E245&lt;&gt;0,$F245&gt;0,YEAR($F245)&gt;=Preisindex!$A$6,YEAR(BM$4)&gt;=YEAR($F245),AND($K245&lt;&gt;"a",$K245&lt;&gt;"b",$K245&lt;&gt;"g",$K245&lt;&gt;"k")),1,IF(AND($E245&lt;&gt;0,$F245&gt;0,YEAR($F245)&gt;=Preisindex!$A$6,YEAR(BM$4)&gt;=YEAR($F245),$K245="a"),ROUND(VLOOKUP(BR$4,Preisindex,5,FALSE)/VLOOKUP(YEAR($F245),Preisindex,5,FALSE),2),IF(AND($E245&lt;&gt;0,$F245&gt;0,YEAR($F245)&gt;=Preisindex!$A$6,YEAR(BM$4)&gt;=YEAR($F245),$K245="b"),ROUND(VLOOKUP(BR$4,Preisindex,3,FALSE)/VLOOKUP(YEAR($F245),Preisindex,3,FALSE),2),IF(AND($E245&lt;&gt;0,$F245&gt;0,YEAR($F245)&gt;=Preisindex!$A$6,YEAR(BM$4)&gt;=YEAR($F245),$K245="g"),ROUND(VLOOKUP(BR$4,Preisindex,4,FALSE)/VLOOKUP(YEAR($F245),Preisindex,4,FALSE),2),IF(AND($E245&lt;&gt;0,$F245&gt;0,YEAR($F245)&gt;=Preisindex!$A$6,YEAR(BM$4)&gt;=YEAR($F245),$K245="k"),ROUND(VLOOKUP(BR$4,Preisindex,2,FALSE)/VLOOKUP(YEAR($F245),Preisindex,2,FALSE),2),0)))))</f>
        <v>0</v>
      </c>
      <c r="BS245" s="56">
        <f>IF(AND($E245&lt;&gt;0,$F245&gt;0,YEAR($F245)&lt;Preisindex!$A$6,YEAR(BM$4)&gt;=YEAR($F245),AND($K245&lt;&gt;"a",$K245&lt;&gt;"b",$K245&lt;&gt;"g",$K245&lt;&gt;"k")),1,IF(AND($E245&lt;&gt;0,$F245&gt;0,YEAR($F245)&lt;Preisindex!$A$6,YEAR(BM$4)&gt;=YEAR($F245),$K245="a"),ROUND(VLOOKUP(BR$4,Preisindex,5,FALSE)/VLOOKUP(Preisindex!$A$6,Preisindex,5,FALSE),2),IF(AND($E245&lt;&gt;0,$F245&gt;0,YEAR($F245)&lt;Preisindex!$A$6,YEAR(BM$4)&gt;=YEAR($F245),$K245="b"),ROUND(VLOOKUP(BR$4,Preisindex,3,FALSE)/VLOOKUP(Preisindex!$A$6,Preisindex,3,FALSE),2),IF(AND($E245&lt;&gt;0,$F245&gt;0,YEAR($F245)&lt;Preisindex!$A$6,YEAR(BM$4)&gt;=YEAR($F245),$K245="g"),ROUND(VLOOKUP(BR$4,Preisindex,4,FALSE)/VLOOKUP(Preisindex!$A$6,Preisindex,4,FALSE),2),IF(AND($E245&lt;&gt;0,$F245&gt;0,YEAR($F245)&lt;Preisindex!$A$6,YEAR(BM$4)&gt;=YEAR($F245),$K245="k"),ROUND(VLOOKUP(BR$4,Preisindex,2,FALSE)/VLOOKUP(Preisindex!$A$6,Preisindex,2,FALSE),2),0)))))</f>
        <v>0</v>
      </c>
      <c r="BT245" s="51">
        <f>IF(AND($E245&lt;&gt;0,$F245&gt;0,YEAR($F245)&lt;=BR$4,YEAR($F245)&gt;=Preisindex!$A$6),ROUND($E245*BR245,2),IF(AND($E245&lt;&gt;0,$F245&gt;0,YEAR($F245)&lt;=BR$4,YEAR($F245)&lt;Preisindex!$A$6),ROUND($E245*BS245,2),0))</f>
        <v>0</v>
      </c>
      <c r="BU245" s="53">
        <f t="shared" si="639"/>
        <v>0</v>
      </c>
      <c r="BV245" s="51">
        <f t="shared" si="752"/>
        <v>0</v>
      </c>
      <c r="BW245" s="51">
        <f t="shared" si="720"/>
        <v>0</v>
      </c>
      <c r="BX245" s="51">
        <f t="shared" si="640"/>
        <v>0</v>
      </c>
      <c r="BY245" s="51">
        <f t="shared" si="721"/>
        <v>0</v>
      </c>
      <c r="BZ245" s="51">
        <f t="shared" si="641"/>
        <v>0</v>
      </c>
      <c r="CA245" s="51">
        <f t="shared" si="722"/>
        <v>0</v>
      </c>
      <c r="CB245" s="51">
        <f t="shared" si="642"/>
        <v>0</v>
      </c>
      <c r="CC245" s="51">
        <f t="shared" si="723"/>
        <v>0</v>
      </c>
      <c r="CD245" s="51">
        <f t="shared" si="643"/>
        <v>0</v>
      </c>
      <c r="CE245" s="51">
        <f t="shared" si="724"/>
        <v>0</v>
      </c>
      <c r="CF245" s="51">
        <f t="shared" si="644"/>
        <v>0</v>
      </c>
      <c r="CG245" s="54">
        <f t="shared" si="645"/>
        <v>0</v>
      </c>
      <c r="CH245" s="55">
        <f t="shared" si="646"/>
        <v>0</v>
      </c>
      <c r="CI245" s="56">
        <f>IF(AND($E245&lt;&gt;0,$F245&gt;0,YEAR($F245)&gt;=Preisindex!$A$6,YEAR(CD$4)&gt;=YEAR($F245),AND($K245&lt;&gt;"a",$K245&lt;&gt;"b",$K245&lt;&gt;"g",$K245&lt;&gt;"k")),1,IF(AND($E245&lt;&gt;0,$F245&gt;0,YEAR($F245)&gt;=Preisindex!$A$6,YEAR(CD$4)&gt;=YEAR($F245),$K245="a"),ROUND(VLOOKUP(CI$4,Preisindex,5,FALSE)/VLOOKUP(YEAR($F245),Preisindex,5,FALSE),2),IF(AND($E245&lt;&gt;0,$F245&gt;0,YEAR($F245)&gt;=Preisindex!$A$6,YEAR(CD$4)&gt;=YEAR($F245),$K245="b"),ROUND(VLOOKUP(CI$4,Preisindex,3,FALSE)/VLOOKUP(YEAR($F245),Preisindex,3,FALSE),2),IF(AND($E245&lt;&gt;0,$F245&gt;0,YEAR($F245)&gt;=Preisindex!$A$6,YEAR(CD$4)&gt;=YEAR($F245),$K245="g"),ROUND(VLOOKUP(CI$4,Preisindex,4,FALSE)/VLOOKUP(YEAR($F245),Preisindex,4,FALSE),2),IF(AND($E245&lt;&gt;0,$F245&gt;0,YEAR($F245)&gt;=Preisindex!$A$6,YEAR(CD$4)&gt;=YEAR($F245),$K245="k"),ROUND(VLOOKUP(CI$4,Preisindex,2,FALSE)/VLOOKUP(YEAR($F245),Preisindex,2,FALSE),2),0)))))</f>
        <v>0</v>
      </c>
      <c r="CJ245" s="56">
        <f>IF(AND($E245&lt;&gt;0,$F245&gt;0,YEAR($F245)&lt;Preisindex!$A$6,YEAR(CD$4)&gt;=YEAR($F245),AND($K245&lt;&gt;"a",$K245&lt;&gt;"b",$K245&lt;&gt;"g",$K245&lt;&gt;"k")),1,IF(AND($E245&lt;&gt;0,$F245&gt;0,YEAR($F245)&lt;Preisindex!$A$6,YEAR(CD$4)&gt;=YEAR($F245),$K245="a"),ROUND(VLOOKUP(CI$4,Preisindex,5,FALSE)/VLOOKUP(Preisindex!$A$6,Preisindex,5,FALSE),2),IF(AND($E245&lt;&gt;0,$F245&gt;0,YEAR($F245)&lt;Preisindex!$A$6,YEAR(CD$4)&gt;=YEAR($F245),$K245="b"),ROUND(VLOOKUP(CI$4,Preisindex,3,FALSE)/VLOOKUP(Preisindex!$A$6,Preisindex,3,FALSE),2),IF(AND($E245&lt;&gt;0,$F245&gt;0,YEAR($F245)&lt;Preisindex!$A$6,YEAR(CD$4)&gt;=YEAR($F245),$K245="g"),ROUND(VLOOKUP(CI$4,Preisindex,4,FALSE)/VLOOKUP(Preisindex!$A$6,Preisindex,4,FALSE),2),IF(AND($E245&lt;&gt;0,$F245&gt;0,YEAR($F245)&lt;Preisindex!$A$6,YEAR(CD$4)&gt;=YEAR($F245),$K245="k"),ROUND(VLOOKUP(CI$4,Preisindex,2,FALSE)/VLOOKUP(Preisindex!$A$6,Preisindex,2,FALSE),2),0)))))</f>
        <v>0</v>
      </c>
      <c r="CK245" s="51">
        <f>IF(AND($E245&lt;&gt;0,$F245&gt;0,YEAR($F245)&lt;=CI$4,YEAR($F245)&gt;=Preisindex!$A$6),ROUND($E245*CI245,2),IF(AND($E245&lt;&gt;0,$F245&gt;0,YEAR($F245)&lt;=CI$4,YEAR($F245)&lt;Preisindex!$A$6),ROUND($E245*CJ245,2),0))</f>
        <v>0</v>
      </c>
      <c r="CL245" s="53">
        <f t="shared" si="647"/>
        <v>0</v>
      </c>
      <c r="CM245" s="51">
        <f t="shared" si="752"/>
        <v>0</v>
      </c>
      <c r="CN245" s="51">
        <f t="shared" si="725"/>
        <v>0</v>
      </c>
      <c r="CO245" s="51">
        <f t="shared" si="648"/>
        <v>0</v>
      </c>
      <c r="CP245" s="51">
        <f t="shared" si="726"/>
        <v>0</v>
      </c>
      <c r="CQ245" s="51">
        <f t="shared" si="649"/>
        <v>0</v>
      </c>
      <c r="CR245" s="51">
        <f t="shared" si="727"/>
        <v>0</v>
      </c>
      <c r="CS245" s="51">
        <f t="shared" si="650"/>
        <v>0</v>
      </c>
      <c r="CT245" s="51">
        <f t="shared" si="728"/>
        <v>0</v>
      </c>
      <c r="CU245" s="51">
        <f t="shared" si="651"/>
        <v>0</v>
      </c>
      <c r="CV245" s="51">
        <f t="shared" si="729"/>
        <v>0</v>
      </c>
      <c r="CW245" s="51">
        <f t="shared" si="652"/>
        <v>0</v>
      </c>
      <c r="CX245" s="54">
        <f t="shared" si="653"/>
        <v>0</v>
      </c>
      <c r="CY245" s="55">
        <f t="shared" si="654"/>
        <v>0</v>
      </c>
      <c r="CZ245" s="56">
        <f>IF(AND($E245&lt;&gt;0,$F245&gt;0,YEAR($F245)&gt;=Preisindex!$A$6,YEAR(CU$4)&gt;=YEAR($F245),AND($K245&lt;&gt;"a",$K245&lt;&gt;"b",$K245&lt;&gt;"g",$K245&lt;&gt;"k")),1,IF(AND($E245&lt;&gt;0,$F245&gt;0,YEAR($F245)&gt;=Preisindex!$A$6,YEAR(CU$4)&gt;=YEAR($F245),$K245="a"),ROUND(VLOOKUP(CZ$4,Preisindex,5,FALSE)/VLOOKUP(YEAR($F245),Preisindex,5,FALSE),2),IF(AND($E245&lt;&gt;0,$F245&gt;0,YEAR($F245)&gt;=Preisindex!$A$6,YEAR(CU$4)&gt;=YEAR($F245),$K245="b"),ROUND(VLOOKUP(CZ$4,Preisindex,3,FALSE)/VLOOKUP(YEAR($F245),Preisindex,3,FALSE),2),IF(AND($E245&lt;&gt;0,$F245&gt;0,YEAR($F245)&gt;=Preisindex!$A$6,YEAR(CU$4)&gt;=YEAR($F245),$K245="g"),ROUND(VLOOKUP(CZ$4,Preisindex,4,FALSE)/VLOOKUP(YEAR($F245),Preisindex,4,FALSE),2),IF(AND($E245&lt;&gt;0,$F245&gt;0,YEAR($F245)&gt;=Preisindex!$A$6,YEAR(CU$4)&gt;=YEAR($F245),$K245="k"),ROUND(VLOOKUP(CZ$4,Preisindex,2,FALSE)/VLOOKUP(YEAR($F245),Preisindex,2,FALSE),2),0)))))</f>
        <v>0</v>
      </c>
      <c r="DA245" s="56">
        <f>IF(AND($E245&lt;&gt;0,$F245&gt;0,YEAR($F245)&lt;Preisindex!$A$6,YEAR(CU$4)&gt;=YEAR($F245),AND($K245&lt;&gt;"a",$K245&lt;&gt;"b",$K245&lt;&gt;"g",$K245&lt;&gt;"k")),1,IF(AND($E245&lt;&gt;0,$F245&gt;0,YEAR($F245)&lt;Preisindex!$A$6,YEAR(CU$4)&gt;=YEAR($F245),$K245="a"),ROUND(VLOOKUP(CZ$4,Preisindex,5,FALSE)/VLOOKUP(Preisindex!$A$6,Preisindex,5,FALSE),2),IF(AND($E245&lt;&gt;0,$F245&gt;0,YEAR($F245)&lt;Preisindex!$A$6,YEAR(CU$4)&gt;=YEAR($F245),$K245="b"),ROUND(VLOOKUP(CZ$4,Preisindex,3,FALSE)/VLOOKUP(Preisindex!$A$6,Preisindex,3,FALSE),2),IF(AND($E245&lt;&gt;0,$F245&gt;0,YEAR($F245)&lt;Preisindex!$A$6,YEAR(CU$4)&gt;=YEAR($F245),$K245="g"),ROUND(VLOOKUP(CZ$4,Preisindex,4,FALSE)/VLOOKUP(Preisindex!$A$6,Preisindex,4,FALSE),2),IF(AND($E245&lt;&gt;0,$F245&gt;0,YEAR($F245)&lt;Preisindex!$A$6,YEAR(CU$4)&gt;=YEAR($F245),$K245="k"),ROUND(VLOOKUP(CZ$4,Preisindex,2,FALSE)/VLOOKUP(Preisindex!$A$6,Preisindex,2,FALSE),2),0)))))</f>
        <v>0</v>
      </c>
      <c r="DB245" s="51">
        <f>IF(AND($E245&lt;&gt;0,$F245&gt;0,YEAR($F245)&lt;=CZ$4,YEAR($F245)&gt;=Preisindex!$A$6),ROUND($E245*CZ245,2),IF(AND($E245&lt;&gt;0,$F245&gt;0,YEAR($F245)&lt;=CZ$4,YEAR($F245)&lt;Preisindex!$A$6),ROUND($E245*DA245,2),0))</f>
        <v>0</v>
      </c>
      <c r="DC245" s="53">
        <f t="shared" si="655"/>
        <v>0</v>
      </c>
      <c r="DD245" s="51">
        <f t="shared" ref="DD245:FC260" si="753">IF(YEAR($F245)=DD$4,$E245,0)</f>
        <v>0</v>
      </c>
      <c r="DE245" s="51">
        <f t="shared" si="730"/>
        <v>0</v>
      </c>
      <c r="DF245" s="51">
        <f t="shared" si="657"/>
        <v>0</v>
      </c>
      <c r="DG245" s="51">
        <f t="shared" si="731"/>
        <v>0</v>
      </c>
      <c r="DH245" s="51">
        <f t="shared" si="658"/>
        <v>0</v>
      </c>
      <c r="DI245" s="51">
        <f t="shared" si="732"/>
        <v>0</v>
      </c>
      <c r="DJ245" s="51">
        <f t="shared" si="659"/>
        <v>0</v>
      </c>
      <c r="DK245" s="51">
        <f t="shared" si="733"/>
        <v>0</v>
      </c>
      <c r="DL245" s="51">
        <f t="shared" si="660"/>
        <v>0</v>
      </c>
      <c r="DM245" s="51">
        <f t="shared" si="734"/>
        <v>0</v>
      </c>
      <c r="DN245" s="51">
        <f t="shared" si="661"/>
        <v>0</v>
      </c>
      <c r="DO245" s="54">
        <f t="shared" si="662"/>
        <v>0</v>
      </c>
      <c r="DP245" s="55">
        <f t="shared" si="663"/>
        <v>0</v>
      </c>
      <c r="DQ245" s="56">
        <f>IF(AND($E245&lt;&gt;0,$F245&gt;0,YEAR($F245)&gt;=Preisindex!$A$6,YEAR(DL$4)&gt;=YEAR($F245),AND($K245&lt;&gt;"a",$K245&lt;&gt;"b",$K245&lt;&gt;"g",$K245&lt;&gt;"k")),1,IF(AND($E245&lt;&gt;0,$F245&gt;0,YEAR($F245)&gt;=Preisindex!$A$6,YEAR(DL$4)&gt;=YEAR($F245),$K245="a"),ROUND(VLOOKUP(DQ$4,Preisindex,5,FALSE)/VLOOKUP(YEAR($F245),Preisindex,5,FALSE),2),IF(AND($E245&lt;&gt;0,$F245&gt;0,YEAR($F245)&gt;=Preisindex!$A$6,YEAR(DL$4)&gt;=YEAR($F245),$K245="b"),ROUND(VLOOKUP(DQ$4,Preisindex,3,FALSE)/VLOOKUP(YEAR($F245),Preisindex,3,FALSE),2),IF(AND($E245&lt;&gt;0,$F245&gt;0,YEAR($F245)&gt;=Preisindex!$A$6,YEAR(DL$4)&gt;=YEAR($F245),$K245="g"),ROUND(VLOOKUP(DQ$4,Preisindex,4,FALSE)/VLOOKUP(YEAR($F245),Preisindex,4,FALSE),2),IF(AND($E245&lt;&gt;0,$F245&gt;0,YEAR($F245)&gt;=Preisindex!$A$6,YEAR(DL$4)&gt;=YEAR($F245),$K245="k"),ROUND(VLOOKUP(DQ$4,Preisindex,2,FALSE)/VLOOKUP(YEAR($F245),Preisindex,2,FALSE),2),0)))))</f>
        <v>0</v>
      </c>
      <c r="DR245" s="56">
        <f>IF(AND($E245&lt;&gt;0,$F245&gt;0,YEAR($F245)&lt;Preisindex!$A$6,YEAR(DL$4)&gt;=YEAR($F245),AND($K245&lt;&gt;"a",$K245&lt;&gt;"b",$K245&lt;&gt;"g",$K245&lt;&gt;"k")),1,IF(AND($E245&lt;&gt;0,$F245&gt;0,YEAR($F245)&lt;Preisindex!$A$6,YEAR(DL$4)&gt;=YEAR($F245),$K245="a"),ROUND(VLOOKUP(DQ$4,Preisindex,5,FALSE)/VLOOKUP(Preisindex!$A$6,Preisindex,5,FALSE),2),IF(AND($E245&lt;&gt;0,$F245&gt;0,YEAR($F245)&lt;Preisindex!$A$6,YEAR(DL$4)&gt;=YEAR($F245),$K245="b"),ROUND(VLOOKUP(DQ$4,Preisindex,3,FALSE)/VLOOKUP(Preisindex!$A$6,Preisindex,3,FALSE),2),IF(AND($E245&lt;&gt;0,$F245&gt;0,YEAR($F245)&lt;Preisindex!$A$6,YEAR(DL$4)&gt;=YEAR($F245),$K245="g"),ROUND(VLOOKUP(DQ$4,Preisindex,4,FALSE)/VLOOKUP(Preisindex!$A$6,Preisindex,4,FALSE),2),IF(AND($E245&lt;&gt;0,$F245&gt;0,YEAR($F245)&lt;Preisindex!$A$6,YEAR(DL$4)&gt;=YEAR($F245),$K245="k"),ROUND(VLOOKUP(DQ$4,Preisindex,2,FALSE)/VLOOKUP(Preisindex!$A$6,Preisindex,2,FALSE),2),0)))))</f>
        <v>0</v>
      </c>
      <c r="DS245" s="51">
        <f>IF(AND($E245&lt;&gt;0,$F245&gt;0,YEAR($F245)&lt;=DQ$4,YEAR($F245)&gt;=Preisindex!$A$6),ROUND($E245*DQ245,2),IF(AND($E245&lt;&gt;0,$F245&gt;0,YEAR($F245)&lt;=DQ$4,YEAR($F245)&lt;Preisindex!$A$6),ROUND($E245*DR245,2),0))</f>
        <v>0</v>
      </c>
      <c r="DT245" s="53">
        <f t="shared" si="664"/>
        <v>0</v>
      </c>
      <c r="DU245" s="51">
        <f t="shared" si="753"/>
        <v>0</v>
      </c>
      <c r="DV245" s="51">
        <f t="shared" si="735"/>
        <v>0</v>
      </c>
      <c r="DW245" s="51">
        <f t="shared" si="665"/>
        <v>0</v>
      </c>
      <c r="DX245" s="51">
        <f t="shared" si="736"/>
        <v>0</v>
      </c>
      <c r="DY245" s="51">
        <f t="shared" si="666"/>
        <v>0</v>
      </c>
      <c r="DZ245" s="51">
        <f t="shared" si="737"/>
        <v>0</v>
      </c>
      <c r="EA245" s="51">
        <f t="shared" si="667"/>
        <v>0</v>
      </c>
      <c r="EB245" s="51">
        <f t="shared" si="738"/>
        <v>0</v>
      </c>
      <c r="EC245" s="51">
        <f t="shared" si="668"/>
        <v>0</v>
      </c>
      <c r="ED245" s="51">
        <f t="shared" si="739"/>
        <v>0</v>
      </c>
      <c r="EE245" s="51">
        <f t="shared" si="669"/>
        <v>0</v>
      </c>
      <c r="EF245" s="54">
        <f t="shared" si="670"/>
        <v>0</v>
      </c>
      <c r="EG245" s="55">
        <f t="shared" si="671"/>
        <v>0</v>
      </c>
      <c r="EH245" s="56">
        <f>IF(AND($E245&lt;&gt;0,$F245&gt;0,YEAR($F245)&gt;=Preisindex!$A$6,YEAR(EC$4)&gt;=YEAR($F245),AND($K245&lt;&gt;"a",$K245&lt;&gt;"b",$K245&lt;&gt;"g",$K245&lt;&gt;"k")),1,IF(AND($E245&lt;&gt;0,$F245&gt;0,YEAR($F245)&gt;=Preisindex!$A$6,YEAR(EC$4)&gt;=YEAR($F245),$K245="a"),ROUND(VLOOKUP(EH$4,Preisindex,5,FALSE)/VLOOKUP(YEAR($F245),Preisindex,5,FALSE),2),IF(AND($E245&lt;&gt;0,$F245&gt;0,YEAR($F245)&gt;=Preisindex!$A$6,YEAR(EC$4)&gt;=YEAR($F245),$K245="b"),ROUND(VLOOKUP(EH$4,Preisindex,3,FALSE)/VLOOKUP(YEAR($F245),Preisindex,3,FALSE),2),IF(AND($E245&lt;&gt;0,$F245&gt;0,YEAR($F245)&gt;=Preisindex!$A$6,YEAR(EC$4)&gt;=YEAR($F245),$K245="g"),ROUND(VLOOKUP(EH$4,Preisindex,4,FALSE)/VLOOKUP(YEAR($F245),Preisindex,4,FALSE),2),IF(AND($E245&lt;&gt;0,$F245&gt;0,YEAR($F245)&gt;=Preisindex!$A$6,YEAR(EC$4)&gt;=YEAR($F245),$K245="k"),ROUND(VLOOKUP(EH$4,Preisindex,2,FALSE)/VLOOKUP(YEAR($F245),Preisindex,2,FALSE),2),0)))))</f>
        <v>0</v>
      </c>
      <c r="EI245" s="56">
        <f>IF(AND($E245&lt;&gt;0,$F245&gt;0,YEAR($F245)&lt;Preisindex!$A$6,YEAR(EC$4)&gt;=YEAR($F245),AND($K245&lt;&gt;"a",$K245&lt;&gt;"b",$K245&lt;&gt;"g",$K245&lt;&gt;"k")),1,IF(AND($E245&lt;&gt;0,$F245&gt;0,YEAR($F245)&lt;Preisindex!$A$6,YEAR(EC$4)&gt;=YEAR($F245),$K245="a"),ROUND(VLOOKUP(EH$4,Preisindex,5,FALSE)/VLOOKUP(Preisindex!$A$6,Preisindex,5,FALSE),2),IF(AND($E245&lt;&gt;0,$F245&gt;0,YEAR($F245)&lt;Preisindex!$A$6,YEAR(EC$4)&gt;=YEAR($F245),$K245="b"),ROUND(VLOOKUP(EH$4,Preisindex,3,FALSE)/VLOOKUP(Preisindex!$A$6,Preisindex,3,FALSE),2),IF(AND($E245&lt;&gt;0,$F245&gt;0,YEAR($F245)&lt;Preisindex!$A$6,YEAR(EC$4)&gt;=YEAR($F245),$K245="g"),ROUND(VLOOKUP(EH$4,Preisindex,4,FALSE)/VLOOKUP(Preisindex!$A$6,Preisindex,4,FALSE),2),IF(AND($E245&lt;&gt;0,$F245&gt;0,YEAR($F245)&lt;Preisindex!$A$6,YEAR(EC$4)&gt;=YEAR($F245),$K245="k"),ROUND(VLOOKUP(EH$4,Preisindex,2,FALSE)/VLOOKUP(Preisindex!$A$6,Preisindex,2,FALSE),2),0)))))</f>
        <v>0</v>
      </c>
      <c r="EJ245" s="51">
        <f>IF(AND($E245&lt;&gt;0,$F245&gt;0,YEAR($F245)&lt;=EH$4,YEAR($F245)&gt;=Preisindex!$A$6),ROUND($E245*EH245,2),IF(AND($E245&lt;&gt;0,$F245&gt;0,YEAR($F245)&lt;=EH$4,YEAR($F245)&lt;Preisindex!$A$6),ROUND($E245*EI245,2),0))</f>
        <v>0</v>
      </c>
      <c r="EK245" s="53">
        <f t="shared" si="672"/>
        <v>0</v>
      </c>
      <c r="EL245" s="51">
        <f t="shared" si="753"/>
        <v>0</v>
      </c>
      <c r="EM245" s="51">
        <f t="shared" si="740"/>
        <v>0</v>
      </c>
      <c r="EN245" s="51">
        <f t="shared" si="673"/>
        <v>0</v>
      </c>
      <c r="EO245" s="51">
        <f t="shared" si="741"/>
        <v>0</v>
      </c>
      <c r="EP245" s="51">
        <f t="shared" si="674"/>
        <v>0</v>
      </c>
      <c r="EQ245" s="51">
        <f t="shared" si="742"/>
        <v>0</v>
      </c>
      <c r="ER245" s="51">
        <f t="shared" si="675"/>
        <v>0</v>
      </c>
      <c r="ES245" s="51">
        <f t="shared" si="743"/>
        <v>0</v>
      </c>
      <c r="ET245" s="51">
        <f t="shared" si="676"/>
        <v>0</v>
      </c>
      <c r="EU245" s="51">
        <f t="shared" si="744"/>
        <v>0</v>
      </c>
      <c r="EV245" s="51">
        <f t="shared" si="677"/>
        <v>0</v>
      </c>
      <c r="EW245" s="54">
        <f t="shared" si="678"/>
        <v>0</v>
      </c>
      <c r="EX245" s="55">
        <f t="shared" si="679"/>
        <v>0</v>
      </c>
      <c r="EY245" s="56">
        <f>IF(AND($E245&lt;&gt;0,$F245&gt;0,YEAR($F245)&gt;=Preisindex!$A$6,YEAR(ET$4)&gt;=YEAR($F245),AND($K245&lt;&gt;"a",$K245&lt;&gt;"b",$K245&lt;&gt;"g",$K245&lt;&gt;"k")),1,IF(AND($E245&lt;&gt;0,$F245&gt;0,YEAR($F245)&gt;=Preisindex!$A$6,YEAR(ET$4)&gt;=YEAR($F245),$K245="a"),ROUND(VLOOKUP(EY$4,Preisindex,5,FALSE)/VLOOKUP(YEAR($F245),Preisindex,5,FALSE),2),IF(AND($E245&lt;&gt;0,$F245&gt;0,YEAR($F245)&gt;=Preisindex!$A$6,YEAR(ET$4)&gt;=YEAR($F245),$K245="b"),ROUND(VLOOKUP(EY$4,Preisindex,3,FALSE)/VLOOKUP(YEAR($F245),Preisindex,3,FALSE),2),IF(AND($E245&lt;&gt;0,$F245&gt;0,YEAR($F245)&gt;=Preisindex!$A$6,YEAR(ET$4)&gt;=YEAR($F245),$K245="g"),ROUND(VLOOKUP(EY$4,Preisindex,4,FALSE)/VLOOKUP(YEAR($F245),Preisindex,4,FALSE),2),IF(AND($E245&lt;&gt;0,$F245&gt;0,YEAR($F245)&gt;=Preisindex!$A$6,YEAR(ET$4)&gt;=YEAR($F245),$K245="k"),ROUND(VLOOKUP(EY$4,Preisindex,2,FALSE)/VLOOKUP(YEAR($F245),Preisindex,2,FALSE),2),0)))))</f>
        <v>0</v>
      </c>
      <c r="EZ245" s="56">
        <f>IF(AND($E245&lt;&gt;0,$F245&gt;0,YEAR($F245)&lt;Preisindex!$A$6,YEAR(ET$4)&gt;=YEAR($F245),AND($K245&lt;&gt;"a",$K245&lt;&gt;"b",$K245&lt;&gt;"g",$K245&lt;&gt;"k")),1,IF(AND($E245&lt;&gt;0,$F245&gt;0,YEAR($F245)&lt;Preisindex!$A$6,YEAR(ET$4)&gt;=YEAR($F245),$K245="a"),ROUND(VLOOKUP(EY$4,Preisindex,5,FALSE)/VLOOKUP(Preisindex!$A$6,Preisindex,5,FALSE),2),IF(AND($E245&lt;&gt;0,$F245&gt;0,YEAR($F245)&lt;Preisindex!$A$6,YEAR(ET$4)&gt;=YEAR($F245),$K245="b"),ROUND(VLOOKUP(EY$4,Preisindex,3,FALSE)/VLOOKUP(Preisindex!$A$6,Preisindex,3,FALSE),2),IF(AND($E245&lt;&gt;0,$F245&gt;0,YEAR($F245)&lt;Preisindex!$A$6,YEAR(ET$4)&gt;=YEAR($F245),$K245="g"),ROUND(VLOOKUP(EY$4,Preisindex,4,FALSE)/VLOOKUP(Preisindex!$A$6,Preisindex,4,FALSE),2),IF(AND($E245&lt;&gt;0,$F245&gt;0,YEAR($F245)&lt;Preisindex!$A$6,YEAR(ET$4)&gt;=YEAR($F245),$K245="k"),ROUND(VLOOKUP(EY$4,Preisindex,2,FALSE)/VLOOKUP(Preisindex!$A$6,Preisindex,2,FALSE),2),0)))))</f>
        <v>0</v>
      </c>
      <c r="FA245" s="51">
        <f>IF(AND($E245&lt;&gt;0,$F245&gt;0,YEAR($F245)&lt;=EY$4,YEAR($F245)&gt;=Preisindex!$A$6),ROUND($E245*EY245,2),IF(AND($E245&lt;&gt;0,$F245&gt;0,YEAR($F245)&lt;=EY$4,YEAR($F245)&lt;Preisindex!$A$6),ROUND($E245*EZ245,2),0))</f>
        <v>0</v>
      </c>
      <c r="FB245" s="53">
        <f t="shared" si="680"/>
        <v>0</v>
      </c>
      <c r="FC245" s="51">
        <f t="shared" si="753"/>
        <v>0</v>
      </c>
      <c r="FD245" s="51">
        <f t="shared" si="745"/>
        <v>0</v>
      </c>
      <c r="FE245" s="51">
        <f t="shared" si="681"/>
        <v>0</v>
      </c>
      <c r="FF245" s="51">
        <f t="shared" si="746"/>
        <v>0</v>
      </c>
      <c r="FG245" s="51">
        <f t="shared" si="682"/>
        <v>0</v>
      </c>
      <c r="FH245" s="51">
        <f t="shared" si="747"/>
        <v>0</v>
      </c>
      <c r="FI245" s="51">
        <f t="shared" si="683"/>
        <v>0</v>
      </c>
      <c r="FJ245" s="51">
        <f t="shared" si="748"/>
        <v>0</v>
      </c>
      <c r="FK245" s="51">
        <f t="shared" si="684"/>
        <v>0</v>
      </c>
      <c r="FL245" s="51">
        <f t="shared" si="749"/>
        <v>0</v>
      </c>
      <c r="FM245" s="51">
        <f t="shared" si="685"/>
        <v>0</v>
      </c>
      <c r="FN245" s="54">
        <f t="shared" si="686"/>
        <v>0</v>
      </c>
      <c r="FO245" s="55">
        <f t="shared" si="687"/>
        <v>0</v>
      </c>
      <c r="FP245" s="56">
        <f>IF(AND($E245&lt;&gt;0,$F245&gt;0,YEAR($F245)&gt;=Preisindex!$A$6,YEAR(FK$4)&gt;=YEAR($F245),AND($K245&lt;&gt;"a",$K245&lt;&gt;"b",$K245&lt;&gt;"g",$K245&lt;&gt;"k")),1,IF(AND($E245&lt;&gt;0,$F245&gt;0,YEAR($F245)&gt;=Preisindex!$A$6,YEAR(FK$4)&gt;=YEAR($F245),$K245="a"),ROUND(VLOOKUP(FP$4,Preisindex,5,FALSE)/VLOOKUP(YEAR($F245),Preisindex,5,FALSE),2),IF(AND($E245&lt;&gt;0,$F245&gt;0,YEAR($F245)&gt;=Preisindex!$A$6,YEAR(FK$4)&gt;=YEAR($F245),$K245="b"),ROUND(VLOOKUP(FP$4,Preisindex,3,FALSE)/VLOOKUP(YEAR($F245),Preisindex,3,FALSE),2),IF(AND($E245&lt;&gt;0,$F245&gt;0,YEAR($F245)&gt;=Preisindex!$A$6,YEAR(FK$4)&gt;=YEAR($F245),$K245="g"),ROUND(VLOOKUP(FP$4,Preisindex,4,FALSE)/VLOOKUP(YEAR($F245),Preisindex,4,FALSE),2),IF(AND($E245&lt;&gt;0,$F245&gt;0,YEAR($F245)&gt;=Preisindex!$A$6,YEAR(FK$4)&gt;=YEAR($F245),$K245="k"),ROUND(VLOOKUP(FP$4,Preisindex,2,FALSE)/VLOOKUP(YEAR($F245),Preisindex,2,FALSE),2),0)))))</f>
        <v>0</v>
      </c>
      <c r="FQ245" s="56">
        <f>IF(AND($E245&lt;&gt;0,$F245&gt;0,YEAR($F245)&lt;Preisindex!$A$6,YEAR(FK$4)&gt;=YEAR($F245),AND($K245&lt;&gt;"a",$K245&lt;&gt;"b",$K245&lt;&gt;"g",$K245&lt;&gt;"k")),1,IF(AND($E245&lt;&gt;0,$F245&gt;0,YEAR($F245)&lt;Preisindex!$A$6,YEAR(FK$4)&gt;=YEAR($F245),$K245="a"),ROUND(VLOOKUP(FP$4,Preisindex,5,FALSE)/VLOOKUP(Preisindex!$A$6,Preisindex,5,FALSE),2),IF(AND($E245&lt;&gt;0,$F245&gt;0,YEAR($F245)&lt;Preisindex!$A$6,YEAR(FK$4)&gt;=YEAR($F245),$K245="b"),ROUND(VLOOKUP(FP$4,Preisindex,3,FALSE)/VLOOKUP(Preisindex!$A$6,Preisindex,3,FALSE),2),IF(AND($E245&lt;&gt;0,$F245&gt;0,YEAR($F245)&lt;Preisindex!$A$6,YEAR(FK$4)&gt;=YEAR($F245),$K245="g"),ROUND(VLOOKUP(FP$4,Preisindex,4,FALSE)/VLOOKUP(Preisindex!$A$6,Preisindex,4,FALSE),2),IF(AND($E245&lt;&gt;0,$F245&gt;0,YEAR($F245)&lt;Preisindex!$A$6,YEAR(FK$4)&gt;=YEAR($F245),$K245="k"),ROUND(VLOOKUP(FP$4,Preisindex,2,FALSE)/VLOOKUP(Preisindex!$A$6,Preisindex,2,FALSE),2),0)))))</f>
        <v>0</v>
      </c>
      <c r="FR245" s="51">
        <f>IF(AND($E245&lt;&gt;0,$F245&gt;0,YEAR($F245)&lt;=FP$4,YEAR($F245)&gt;=Preisindex!$A$6),ROUND($E245*FP245,2),IF(AND($E245&lt;&gt;0,$F245&gt;0,YEAR($F245)&lt;=FP$4,YEAR($F245)&lt;Preisindex!$A$6),ROUND($E245*FQ245,2),0))</f>
        <v>0</v>
      </c>
      <c r="FS245" s="53">
        <f t="shared" si="688"/>
        <v>0</v>
      </c>
    </row>
    <row r="246" spans="1:175" x14ac:dyDescent="0.3">
      <c r="A246" s="93"/>
      <c r="B246" s="94"/>
      <c r="C246" s="94"/>
      <c r="D246" s="95"/>
      <c r="E246" s="99"/>
      <c r="F246" s="97"/>
      <c r="G246" s="98"/>
      <c r="H246" s="192"/>
      <c r="I246" s="621"/>
      <c r="J246" s="103"/>
      <c r="K246" s="630"/>
      <c r="L246" s="49">
        <f t="shared" si="689"/>
        <v>0</v>
      </c>
      <c r="M246" s="50">
        <f t="shared" si="690"/>
        <v>0</v>
      </c>
      <c r="N246" s="51">
        <f t="shared" si="691"/>
        <v>0</v>
      </c>
      <c r="O246" s="51"/>
      <c r="P246" s="51">
        <f t="shared" si="692"/>
        <v>0</v>
      </c>
      <c r="Q246" s="52"/>
      <c r="R246" s="52"/>
      <c r="S246" s="52"/>
      <c r="T246" s="52"/>
      <c r="U246" s="52"/>
      <c r="V246" s="53">
        <f t="shared" si="693"/>
        <v>0</v>
      </c>
      <c r="W246" s="51">
        <f t="shared" si="694"/>
        <v>0</v>
      </c>
      <c r="X246" s="51">
        <f t="shared" si="695"/>
        <v>0</v>
      </c>
      <c r="Y246" s="51">
        <f t="shared" si="696"/>
        <v>0</v>
      </c>
      <c r="Z246" s="51">
        <f t="shared" si="697"/>
        <v>0</v>
      </c>
      <c r="AA246" s="51">
        <f t="shared" si="698"/>
        <v>0</v>
      </c>
      <c r="AB246" s="51">
        <f t="shared" si="699"/>
        <v>0</v>
      </c>
      <c r="AC246" s="51">
        <f t="shared" si="700"/>
        <v>0</v>
      </c>
      <c r="AD246" s="51">
        <f t="shared" si="701"/>
        <v>0</v>
      </c>
      <c r="AE246" s="51">
        <f t="shared" si="702"/>
        <v>0</v>
      </c>
      <c r="AF246" s="51">
        <f t="shared" si="703"/>
        <v>0</v>
      </c>
      <c r="AG246" s="51">
        <f t="shared" si="704"/>
        <v>0</v>
      </c>
      <c r="AH246" s="54">
        <f t="shared" si="705"/>
        <v>0</v>
      </c>
      <c r="AI246" s="55">
        <f t="shared" si="706"/>
        <v>0</v>
      </c>
      <c r="AJ246" s="56">
        <f>IF(AND($E246&lt;&gt;0,$F246&gt;0,YEAR($F246)&gt;=Preisindex!$A$6,YEAR(AE$4)&gt;=YEAR($F246),AND($K246&lt;&gt;"a",$K246&lt;&gt;"b",$K246&lt;&gt;"g",$K246&lt;&gt;"k")),1,IF(AND($E246&lt;&gt;0,$F246&gt;0,YEAR($F246)&gt;=Preisindex!$A$6,YEAR(AE$4)&gt;=YEAR($F246),$K246="a"),ROUND(VLOOKUP(AJ$4,Preisindex,5,FALSE)/VLOOKUP(YEAR($F246),Preisindex,5,FALSE),2),IF(AND($E246&lt;&gt;0,$F246&gt;0,YEAR($F246)&gt;=Preisindex!$A$6,YEAR(AE$4)&gt;=YEAR($F246),$K246="b"),ROUND(VLOOKUP(AJ$4,Preisindex,3,FALSE)/VLOOKUP(YEAR($F246),Preisindex,3,FALSE),2),IF(AND($E246&lt;&gt;0,$F246&gt;0,YEAR($F246)&gt;=Preisindex!$A$6,YEAR(AE$4)&gt;=YEAR($F246),$K246="g"),ROUND(VLOOKUP(AJ$4,Preisindex,4,FALSE)/VLOOKUP(YEAR($F246),Preisindex,4,FALSE),2),IF(AND($E246&lt;&gt;0,$F246&gt;0,YEAR($F246)&gt;=Preisindex!$A$6,YEAR(AE$4)&gt;=YEAR($F246),$K246="k"),ROUND(VLOOKUP(AJ$4,Preisindex,2,FALSE)/VLOOKUP(YEAR($F246),Preisindex,2,FALSE),2),0)))))</f>
        <v>0</v>
      </c>
      <c r="AK246" s="56">
        <f>IF(AND($E246&lt;&gt;0,$F246&gt;0,YEAR($F246)&lt;Preisindex!$A$6,YEAR(AE$4)&gt;=YEAR($F246),AND($K246&lt;&gt;"a",$K246&lt;&gt;"b",$K246&lt;&gt;"g",$K246&lt;&gt;"k")),1,IF(AND($E246&lt;&gt;0,$F246&gt;0,YEAR($F246)&lt;Preisindex!$A$6,YEAR(AE$4)&gt;=YEAR($F246),$K246="a"),ROUND(VLOOKUP(AJ$4,Preisindex,5,FALSE)/VLOOKUP(Preisindex!$A$6,Preisindex,5,FALSE),2),IF(AND($E246&lt;&gt;0,$F246&gt;0,YEAR($F246)&lt;Preisindex!$A$6,YEAR(AE$4)&gt;=YEAR($F246),$K246="b"),ROUND(VLOOKUP(AJ$4,Preisindex,3,FALSE)/VLOOKUP(Preisindex!$A$6,Preisindex,3,FALSE),2),IF(AND($E246&lt;&gt;0,$F246&gt;0,YEAR($F246)&lt;Preisindex!$A$6,YEAR(AE$4)&gt;=YEAR($F246),$K246="g"),ROUND(VLOOKUP(AJ$4,Preisindex,4,FALSE)/VLOOKUP(Preisindex!$A$6,Preisindex,4,FALSE),2),IF(AND($E246&lt;&gt;0,$F246&gt;0,YEAR($F246)&lt;Preisindex!$A$6,YEAR(AE$4)&gt;=YEAR($F246),$K246="k"),ROUND(VLOOKUP(AJ$4,Preisindex,2,FALSE)/VLOOKUP(Preisindex!$A$6,Preisindex,2,FALSE),2),0)))))</f>
        <v>0</v>
      </c>
      <c r="AL246" s="51">
        <f>IF(AND($E246&lt;&gt;0,$F246&gt;0,YEAR($F246)&lt;=AJ$4,YEAR($F246)&gt;=Preisindex!$A$6),ROUND($E246*AJ246,2),IF(AND($E246&lt;&gt;0,$F246&gt;0,YEAR($F246)&lt;=AJ$4,YEAR($F246)&lt;Preisindex!$A$6),ROUND($E246*AK246,2),0))</f>
        <v>0</v>
      </c>
      <c r="AM246" s="53">
        <f t="shared" si="707"/>
        <v>0</v>
      </c>
      <c r="AN246" s="51">
        <f t="shared" si="752"/>
        <v>0</v>
      </c>
      <c r="AO246" s="51">
        <f t="shared" si="710"/>
        <v>0</v>
      </c>
      <c r="AP246" s="51">
        <f t="shared" si="624"/>
        <v>0</v>
      </c>
      <c r="AQ246" s="51">
        <f t="shared" si="711"/>
        <v>0</v>
      </c>
      <c r="AR246" s="51">
        <f t="shared" si="625"/>
        <v>0</v>
      </c>
      <c r="AS246" s="51">
        <f t="shared" si="712"/>
        <v>0</v>
      </c>
      <c r="AT246" s="51">
        <f t="shared" si="626"/>
        <v>0</v>
      </c>
      <c r="AU246" s="51">
        <f t="shared" si="713"/>
        <v>0</v>
      </c>
      <c r="AV246" s="51">
        <f t="shared" si="627"/>
        <v>0</v>
      </c>
      <c r="AW246" s="51">
        <f t="shared" si="714"/>
        <v>0</v>
      </c>
      <c r="AX246" s="51">
        <f t="shared" si="628"/>
        <v>0</v>
      </c>
      <c r="AY246" s="54">
        <f t="shared" si="629"/>
        <v>0</v>
      </c>
      <c r="AZ246" s="55">
        <f t="shared" si="630"/>
        <v>0</v>
      </c>
      <c r="BA246" s="56">
        <f>IF(AND($E246&lt;&gt;0,$F246&gt;0,YEAR($F246)&gt;=Preisindex!$A$6,YEAR(AV$4)&gt;=YEAR($F246),AND($K246&lt;&gt;"a",$K246&lt;&gt;"b",$K246&lt;&gt;"g",$K246&lt;&gt;"k")),1,IF(AND($E246&lt;&gt;0,$F246&gt;0,YEAR($F246)&gt;=Preisindex!$A$6,YEAR(AV$4)&gt;=YEAR($F246),$K246="a"),ROUND(VLOOKUP(BA$4,Preisindex,5,FALSE)/VLOOKUP(YEAR($F246),Preisindex,5,FALSE),2),IF(AND($E246&lt;&gt;0,$F246&gt;0,YEAR($F246)&gt;=Preisindex!$A$6,YEAR(AV$4)&gt;=YEAR($F246),$K246="b"),ROUND(VLOOKUP(BA$4,Preisindex,3,FALSE)/VLOOKUP(YEAR($F246),Preisindex,3,FALSE),2),IF(AND($E246&lt;&gt;0,$F246&gt;0,YEAR($F246)&gt;=Preisindex!$A$6,YEAR(AV$4)&gt;=YEAR($F246),$K246="g"),ROUND(VLOOKUP(BA$4,Preisindex,4,FALSE)/VLOOKUP(YEAR($F246),Preisindex,4,FALSE),2),IF(AND($E246&lt;&gt;0,$F246&gt;0,YEAR($F246)&gt;=Preisindex!$A$6,YEAR(AV$4)&gt;=YEAR($F246),$K246="k"),ROUND(VLOOKUP(BA$4,Preisindex,2,FALSE)/VLOOKUP(YEAR($F246),Preisindex,2,FALSE),2),0)))))</f>
        <v>0</v>
      </c>
      <c r="BB246" s="56">
        <f>IF(AND($E246&lt;&gt;0,$F246&gt;0,YEAR($F246)&lt;Preisindex!$A$6,YEAR(AV$4)&gt;=YEAR($F246),AND($K246&lt;&gt;"a",$K246&lt;&gt;"b",$K246&lt;&gt;"g",$K246&lt;&gt;"k")),1,IF(AND($E246&lt;&gt;0,$F246&gt;0,YEAR($F246)&lt;Preisindex!$A$6,YEAR(AV$4)&gt;=YEAR($F246),$K246="a"),ROUND(VLOOKUP(BA$4,Preisindex,5,FALSE)/VLOOKUP(Preisindex!$A$6,Preisindex,5,FALSE),2),IF(AND($E246&lt;&gt;0,$F246&gt;0,YEAR($F246)&lt;Preisindex!$A$6,YEAR(AV$4)&gt;=YEAR($F246),$K246="b"),ROUND(VLOOKUP(BA$4,Preisindex,3,FALSE)/VLOOKUP(Preisindex!$A$6,Preisindex,3,FALSE),2),IF(AND($E246&lt;&gt;0,$F246&gt;0,YEAR($F246)&lt;Preisindex!$A$6,YEAR(AV$4)&gt;=YEAR($F246),$K246="g"),ROUND(VLOOKUP(BA$4,Preisindex,4,FALSE)/VLOOKUP(Preisindex!$A$6,Preisindex,4,FALSE),2),IF(AND($E246&lt;&gt;0,$F246&gt;0,YEAR($F246)&lt;Preisindex!$A$6,YEAR(AV$4)&gt;=YEAR($F246),$K246="k"),ROUND(VLOOKUP(BA$4,Preisindex,2,FALSE)/VLOOKUP(Preisindex!$A$6,Preisindex,2,FALSE),2),0)))))</f>
        <v>0</v>
      </c>
      <c r="BC246" s="51">
        <f>IF(AND($E246&lt;&gt;0,$F246&gt;0,YEAR($F246)&lt;=BA$4,YEAR($F246)&gt;=Preisindex!$A$6),ROUND($E246*BA246,2),IF(AND($E246&lt;&gt;0,$F246&gt;0,YEAR($F246)&lt;=BA$4,YEAR($F246)&lt;Preisindex!$A$6),ROUND($E246*BB246,2),0))</f>
        <v>0</v>
      </c>
      <c r="BD246" s="53">
        <f t="shared" si="631"/>
        <v>0</v>
      </c>
      <c r="BE246" s="51">
        <f t="shared" si="752"/>
        <v>0</v>
      </c>
      <c r="BF246" s="51">
        <f t="shared" si="715"/>
        <v>0</v>
      </c>
      <c r="BG246" s="51">
        <f t="shared" si="632"/>
        <v>0</v>
      </c>
      <c r="BH246" s="51">
        <f t="shared" si="716"/>
        <v>0</v>
      </c>
      <c r="BI246" s="51">
        <f t="shared" si="633"/>
        <v>0</v>
      </c>
      <c r="BJ246" s="51">
        <f t="shared" si="717"/>
        <v>0</v>
      </c>
      <c r="BK246" s="51">
        <f t="shared" si="634"/>
        <v>0</v>
      </c>
      <c r="BL246" s="51">
        <f t="shared" si="718"/>
        <v>0</v>
      </c>
      <c r="BM246" s="51">
        <f t="shared" si="635"/>
        <v>0</v>
      </c>
      <c r="BN246" s="51">
        <f t="shared" si="719"/>
        <v>0</v>
      </c>
      <c r="BO246" s="51">
        <f t="shared" si="636"/>
        <v>0</v>
      </c>
      <c r="BP246" s="54">
        <f t="shared" si="637"/>
        <v>0</v>
      </c>
      <c r="BQ246" s="55">
        <f t="shared" si="638"/>
        <v>0</v>
      </c>
      <c r="BR246" s="56">
        <f>IF(AND($E246&lt;&gt;0,$F246&gt;0,YEAR($F246)&gt;=Preisindex!$A$6,YEAR(BM$4)&gt;=YEAR($F246),AND($K246&lt;&gt;"a",$K246&lt;&gt;"b",$K246&lt;&gt;"g",$K246&lt;&gt;"k")),1,IF(AND($E246&lt;&gt;0,$F246&gt;0,YEAR($F246)&gt;=Preisindex!$A$6,YEAR(BM$4)&gt;=YEAR($F246),$K246="a"),ROUND(VLOOKUP(BR$4,Preisindex,5,FALSE)/VLOOKUP(YEAR($F246),Preisindex,5,FALSE),2),IF(AND($E246&lt;&gt;0,$F246&gt;0,YEAR($F246)&gt;=Preisindex!$A$6,YEAR(BM$4)&gt;=YEAR($F246),$K246="b"),ROUND(VLOOKUP(BR$4,Preisindex,3,FALSE)/VLOOKUP(YEAR($F246),Preisindex,3,FALSE),2),IF(AND($E246&lt;&gt;0,$F246&gt;0,YEAR($F246)&gt;=Preisindex!$A$6,YEAR(BM$4)&gt;=YEAR($F246),$K246="g"),ROUND(VLOOKUP(BR$4,Preisindex,4,FALSE)/VLOOKUP(YEAR($F246),Preisindex,4,FALSE),2),IF(AND($E246&lt;&gt;0,$F246&gt;0,YEAR($F246)&gt;=Preisindex!$A$6,YEAR(BM$4)&gt;=YEAR($F246),$K246="k"),ROUND(VLOOKUP(BR$4,Preisindex,2,FALSE)/VLOOKUP(YEAR($F246),Preisindex,2,FALSE),2),0)))))</f>
        <v>0</v>
      </c>
      <c r="BS246" s="56">
        <f>IF(AND($E246&lt;&gt;0,$F246&gt;0,YEAR($F246)&lt;Preisindex!$A$6,YEAR(BM$4)&gt;=YEAR($F246),AND($K246&lt;&gt;"a",$K246&lt;&gt;"b",$K246&lt;&gt;"g",$K246&lt;&gt;"k")),1,IF(AND($E246&lt;&gt;0,$F246&gt;0,YEAR($F246)&lt;Preisindex!$A$6,YEAR(BM$4)&gt;=YEAR($F246),$K246="a"),ROUND(VLOOKUP(BR$4,Preisindex,5,FALSE)/VLOOKUP(Preisindex!$A$6,Preisindex,5,FALSE),2),IF(AND($E246&lt;&gt;0,$F246&gt;0,YEAR($F246)&lt;Preisindex!$A$6,YEAR(BM$4)&gt;=YEAR($F246),$K246="b"),ROUND(VLOOKUP(BR$4,Preisindex,3,FALSE)/VLOOKUP(Preisindex!$A$6,Preisindex,3,FALSE),2),IF(AND($E246&lt;&gt;0,$F246&gt;0,YEAR($F246)&lt;Preisindex!$A$6,YEAR(BM$4)&gt;=YEAR($F246),$K246="g"),ROUND(VLOOKUP(BR$4,Preisindex,4,FALSE)/VLOOKUP(Preisindex!$A$6,Preisindex,4,FALSE),2),IF(AND($E246&lt;&gt;0,$F246&gt;0,YEAR($F246)&lt;Preisindex!$A$6,YEAR(BM$4)&gt;=YEAR($F246),$K246="k"),ROUND(VLOOKUP(BR$4,Preisindex,2,FALSE)/VLOOKUP(Preisindex!$A$6,Preisindex,2,FALSE),2),0)))))</f>
        <v>0</v>
      </c>
      <c r="BT246" s="51">
        <f>IF(AND($E246&lt;&gt;0,$F246&gt;0,YEAR($F246)&lt;=BR$4,YEAR($F246)&gt;=Preisindex!$A$6),ROUND($E246*BR246,2),IF(AND($E246&lt;&gt;0,$F246&gt;0,YEAR($F246)&lt;=BR$4,YEAR($F246)&lt;Preisindex!$A$6),ROUND($E246*BS246,2),0))</f>
        <v>0</v>
      </c>
      <c r="BU246" s="53">
        <f t="shared" si="639"/>
        <v>0</v>
      </c>
      <c r="BV246" s="51">
        <f t="shared" si="752"/>
        <v>0</v>
      </c>
      <c r="BW246" s="51">
        <f t="shared" si="720"/>
        <v>0</v>
      </c>
      <c r="BX246" s="51">
        <f t="shared" si="640"/>
        <v>0</v>
      </c>
      <c r="BY246" s="51">
        <f t="shared" si="721"/>
        <v>0</v>
      </c>
      <c r="BZ246" s="51">
        <f t="shared" si="641"/>
        <v>0</v>
      </c>
      <c r="CA246" s="51">
        <f t="shared" si="722"/>
        <v>0</v>
      </c>
      <c r="CB246" s="51">
        <f t="shared" si="642"/>
        <v>0</v>
      </c>
      <c r="CC246" s="51">
        <f t="shared" si="723"/>
        <v>0</v>
      </c>
      <c r="CD246" s="51">
        <f t="shared" si="643"/>
        <v>0</v>
      </c>
      <c r="CE246" s="51">
        <f t="shared" si="724"/>
        <v>0</v>
      </c>
      <c r="CF246" s="51">
        <f t="shared" si="644"/>
        <v>0</v>
      </c>
      <c r="CG246" s="54">
        <f t="shared" si="645"/>
        <v>0</v>
      </c>
      <c r="CH246" s="55">
        <f t="shared" si="646"/>
        <v>0</v>
      </c>
      <c r="CI246" s="56">
        <f>IF(AND($E246&lt;&gt;0,$F246&gt;0,YEAR($F246)&gt;=Preisindex!$A$6,YEAR(CD$4)&gt;=YEAR($F246),AND($K246&lt;&gt;"a",$K246&lt;&gt;"b",$K246&lt;&gt;"g",$K246&lt;&gt;"k")),1,IF(AND($E246&lt;&gt;0,$F246&gt;0,YEAR($F246)&gt;=Preisindex!$A$6,YEAR(CD$4)&gt;=YEAR($F246),$K246="a"),ROUND(VLOOKUP(CI$4,Preisindex,5,FALSE)/VLOOKUP(YEAR($F246),Preisindex,5,FALSE),2),IF(AND($E246&lt;&gt;0,$F246&gt;0,YEAR($F246)&gt;=Preisindex!$A$6,YEAR(CD$4)&gt;=YEAR($F246),$K246="b"),ROUND(VLOOKUP(CI$4,Preisindex,3,FALSE)/VLOOKUP(YEAR($F246),Preisindex,3,FALSE),2),IF(AND($E246&lt;&gt;0,$F246&gt;0,YEAR($F246)&gt;=Preisindex!$A$6,YEAR(CD$4)&gt;=YEAR($F246),$K246="g"),ROUND(VLOOKUP(CI$4,Preisindex,4,FALSE)/VLOOKUP(YEAR($F246),Preisindex,4,FALSE),2),IF(AND($E246&lt;&gt;0,$F246&gt;0,YEAR($F246)&gt;=Preisindex!$A$6,YEAR(CD$4)&gt;=YEAR($F246),$K246="k"),ROUND(VLOOKUP(CI$4,Preisindex,2,FALSE)/VLOOKUP(YEAR($F246),Preisindex,2,FALSE),2),0)))))</f>
        <v>0</v>
      </c>
      <c r="CJ246" s="56">
        <f>IF(AND($E246&lt;&gt;0,$F246&gt;0,YEAR($F246)&lt;Preisindex!$A$6,YEAR(CD$4)&gt;=YEAR($F246),AND($K246&lt;&gt;"a",$K246&lt;&gt;"b",$K246&lt;&gt;"g",$K246&lt;&gt;"k")),1,IF(AND($E246&lt;&gt;0,$F246&gt;0,YEAR($F246)&lt;Preisindex!$A$6,YEAR(CD$4)&gt;=YEAR($F246),$K246="a"),ROUND(VLOOKUP(CI$4,Preisindex,5,FALSE)/VLOOKUP(Preisindex!$A$6,Preisindex,5,FALSE),2),IF(AND($E246&lt;&gt;0,$F246&gt;0,YEAR($F246)&lt;Preisindex!$A$6,YEAR(CD$4)&gt;=YEAR($F246),$K246="b"),ROUND(VLOOKUP(CI$4,Preisindex,3,FALSE)/VLOOKUP(Preisindex!$A$6,Preisindex,3,FALSE),2),IF(AND($E246&lt;&gt;0,$F246&gt;0,YEAR($F246)&lt;Preisindex!$A$6,YEAR(CD$4)&gt;=YEAR($F246),$K246="g"),ROUND(VLOOKUP(CI$4,Preisindex,4,FALSE)/VLOOKUP(Preisindex!$A$6,Preisindex,4,FALSE),2),IF(AND($E246&lt;&gt;0,$F246&gt;0,YEAR($F246)&lt;Preisindex!$A$6,YEAR(CD$4)&gt;=YEAR($F246),$K246="k"),ROUND(VLOOKUP(CI$4,Preisindex,2,FALSE)/VLOOKUP(Preisindex!$A$6,Preisindex,2,FALSE),2),0)))))</f>
        <v>0</v>
      </c>
      <c r="CK246" s="51">
        <f>IF(AND($E246&lt;&gt;0,$F246&gt;0,YEAR($F246)&lt;=CI$4,YEAR($F246)&gt;=Preisindex!$A$6),ROUND($E246*CI246,2),IF(AND($E246&lt;&gt;0,$F246&gt;0,YEAR($F246)&lt;=CI$4,YEAR($F246)&lt;Preisindex!$A$6),ROUND($E246*CJ246,2),0))</f>
        <v>0</v>
      </c>
      <c r="CL246" s="53">
        <f t="shared" si="647"/>
        <v>0</v>
      </c>
      <c r="CM246" s="51">
        <f t="shared" si="752"/>
        <v>0</v>
      </c>
      <c r="CN246" s="51">
        <f t="shared" si="725"/>
        <v>0</v>
      </c>
      <c r="CO246" s="51">
        <f t="shared" si="648"/>
        <v>0</v>
      </c>
      <c r="CP246" s="51">
        <f t="shared" si="726"/>
        <v>0</v>
      </c>
      <c r="CQ246" s="51">
        <f t="shared" si="649"/>
        <v>0</v>
      </c>
      <c r="CR246" s="51">
        <f t="shared" si="727"/>
        <v>0</v>
      </c>
      <c r="CS246" s="51">
        <f t="shared" si="650"/>
        <v>0</v>
      </c>
      <c r="CT246" s="51">
        <f t="shared" si="728"/>
        <v>0</v>
      </c>
      <c r="CU246" s="51">
        <f t="shared" si="651"/>
        <v>0</v>
      </c>
      <c r="CV246" s="51">
        <f t="shared" si="729"/>
        <v>0</v>
      </c>
      <c r="CW246" s="51">
        <f t="shared" si="652"/>
        <v>0</v>
      </c>
      <c r="CX246" s="54">
        <f t="shared" si="653"/>
        <v>0</v>
      </c>
      <c r="CY246" s="55">
        <f t="shared" si="654"/>
        <v>0</v>
      </c>
      <c r="CZ246" s="56">
        <f>IF(AND($E246&lt;&gt;0,$F246&gt;0,YEAR($F246)&gt;=Preisindex!$A$6,YEAR(CU$4)&gt;=YEAR($F246),AND($K246&lt;&gt;"a",$K246&lt;&gt;"b",$K246&lt;&gt;"g",$K246&lt;&gt;"k")),1,IF(AND($E246&lt;&gt;0,$F246&gt;0,YEAR($F246)&gt;=Preisindex!$A$6,YEAR(CU$4)&gt;=YEAR($F246),$K246="a"),ROUND(VLOOKUP(CZ$4,Preisindex,5,FALSE)/VLOOKUP(YEAR($F246),Preisindex,5,FALSE),2),IF(AND($E246&lt;&gt;0,$F246&gt;0,YEAR($F246)&gt;=Preisindex!$A$6,YEAR(CU$4)&gt;=YEAR($F246),$K246="b"),ROUND(VLOOKUP(CZ$4,Preisindex,3,FALSE)/VLOOKUP(YEAR($F246),Preisindex,3,FALSE),2),IF(AND($E246&lt;&gt;0,$F246&gt;0,YEAR($F246)&gt;=Preisindex!$A$6,YEAR(CU$4)&gt;=YEAR($F246),$K246="g"),ROUND(VLOOKUP(CZ$4,Preisindex,4,FALSE)/VLOOKUP(YEAR($F246),Preisindex,4,FALSE),2),IF(AND($E246&lt;&gt;0,$F246&gt;0,YEAR($F246)&gt;=Preisindex!$A$6,YEAR(CU$4)&gt;=YEAR($F246),$K246="k"),ROUND(VLOOKUP(CZ$4,Preisindex,2,FALSE)/VLOOKUP(YEAR($F246),Preisindex,2,FALSE),2),0)))))</f>
        <v>0</v>
      </c>
      <c r="DA246" s="56">
        <f>IF(AND($E246&lt;&gt;0,$F246&gt;0,YEAR($F246)&lt;Preisindex!$A$6,YEAR(CU$4)&gt;=YEAR($F246),AND($K246&lt;&gt;"a",$K246&lt;&gt;"b",$K246&lt;&gt;"g",$K246&lt;&gt;"k")),1,IF(AND($E246&lt;&gt;0,$F246&gt;0,YEAR($F246)&lt;Preisindex!$A$6,YEAR(CU$4)&gt;=YEAR($F246),$K246="a"),ROUND(VLOOKUP(CZ$4,Preisindex,5,FALSE)/VLOOKUP(Preisindex!$A$6,Preisindex,5,FALSE),2),IF(AND($E246&lt;&gt;0,$F246&gt;0,YEAR($F246)&lt;Preisindex!$A$6,YEAR(CU$4)&gt;=YEAR($F246),$K246="b"),ROUND(VLOOKUP(CZ$4,Preisindex,3,FALSE)/VLOOKUP(Preisindex!$A$6,Preisindex,3,FALSE),2),IF(AND($E246&lt;&gt;0,$F246&gt;0,YEAR($F246)&lt;Preisindex!$A$6,YEAR(CU$4)&gt;=YEAR($F246),$K246="g"),ROUND(VLOOKUP(CZ$4,Preisindex,4,FALSE)/VLOOKUP(Preisindex!$A$6,Preisindex,4,FALSE),2),IF(AND($E246&lt;&gt;0,$F246&gt;0,YEAR($F246)&lt;Preisindex!$A$6,YEAR(CU$4)&gt;=YEAR($F246),$K246="k"),ROUND(VLOOKUP(CZ$4,Preisindex,2,FALSE)/VLOOKUP(Preisindex!$A$6,Preisindex,2,FALSE),2),0)))))</f>
        <v>0</v>
      </c>
      <c r="DB246" s="51">
        <f>IF(AND($E246&lt;&gt;0,$F246&gt;0,YEAR($F246)&lt;=CZ$4,YEAR($F246)&gt;=Preisindex!$A$6),ROUND($E246*CZ246,2),IF(AND($E246&lt;&gt;0,$F246&gt;0,YEAR($F246)&lt;=CZ$4,YEAR($F246)&lt;Preisindex!$A$6),ROUND($E246*DA246,2),0))</f>
        <v>0</v>
      </c>
      <c r="DC246" s="53">
        <f t="shared" si="655"/>
        <v>0</v>
      </c>
      <c r="DD246" s="51">
        <f t="shared" si="753"/>
        <v>0</v>
      </c>
      <c r="DE246" s="51">
        <f t="shared" si="730"/>
        <v>0</v>
      </c>
      <c r="DF246" s="51">
        <f t="shared" si="657"/>
        <v>0</v>
      </c>
      <c r="DG246" s="51">
        <f t="shared" si="731"/>
        <v>0</v>
      </c>
      <c r="DH246" s="51">
        <f t="shared" si="658"/>
        <v>0</v>
      </c>
      <c r="DI246" s="51">
        <f t="shared" si="732"/>
        <v>0</v>
      </c>
      <c r="DJ246" s="51">
        <f t="shared" si="659"/>
        <v>0</v>
      </c>
      <c r="DK246" s="51">
        <f t="shared" si="733"/>
        <v>0</v>
      </c>
      <c r="DL246" s="51">
        <f t="shared" si="660"/>
        <v>0</v>
      </c>
      <c r="DM246" s="51">
        <f t="shared" si="734"/>
        <v>0</v>
      </c>
      <c r="DN246" s="51">
        <f t="shared" si="661"/>
        <v>0</v>
      </c>
      <c r="DO246" s="54">
        <f t="shared" si="662"/>
        <v>0</v>
      </c>
      <c r="DP246" s="55">
        <f t="shared" si="663"/>
        <v>0</v>
      </c>
      <c r="DQ246" s="56">
        <f>IF(AND($E246&lt;&gt;0,$F246&gt;0,YEAR($F246)&gt;=Preisindex!$A$6,YEAR(DL$4)&gt;=YEAR($F246),AND($K246&lt;&gt;"a",$K246&lt;&gt;"b",$K246&lt;&gt;"g",$K246&lt;&gt;"k")),1,IF(AND($E246&lt;&gt;0,$F246&gt;0,YEAR($F246)&gt;=Preisindex!$A$6,YEAR(DL$4)&gt;=YEAR($F246),$K246="a"),ROUND(VLOOKUP(DQ$4,Preisindex,5,FALSE)/VLOOKUP(YEAR($F246),Preisindex,5,FALSE),2),IF(AND($E246&lt;&gt;0,$F246&gt;0,YEAR($F246)&gt;=Preisindex!$A$6,YEAR(DL$4)&gt;=YEAR($F246),$K246="b"),ROUND(VLOOKUP(DQ$4,Preisindex,3,FALSE)/VLOOKUP(YEAR($F246),Preisindex,3,FALSE),2),IF(AND($E246&lt;&gt;0,$F246&gt;0,YEAR($F246)&gt;=Preisindex!$A$6,YEAR(DL$4)&gt;=YEAR($F246),$K246="g"),ROUND(VLOOKUP(DQ$4,Preisindex,4,FALSE)/VLOOKUP(YEAR($F246),Preisindex,4,FALSE),2),IF(AND($E246&lt;&gt;0,$F246&gt;0,YEAR($F246)&gt;=Preisindex!$A$6,YEAR(DL$4)&gt;=YEAR($F246),$K246="k"),ROUND(VLOOKUP(DQ$4,Preisindex,2,FALSE)/VLOOKUP(YEAR($F246),Preisindex,2,FALSE),2),0)))))</f>
        <v>0</v>
      </c>
      <c r="DR246" s="56">
        <f>IF(AND($E246&lt;&gt;0,$F246&gt;0,YEAR($F246)&lt;Preisindex!$A$6,YEAR(DL$4)&gt;=YEAR($F246),AND($K246&lt;&gt;"a",$K246&lt;&gt;"b",$K246&lt;&gt;"g",$K246&lt;&gt;"k")),1,IF(AND($E246&lt;&gt;0,$F246&gt;0,YEAR($F246)&lt;Preisindex!$A$6,YEAR(DL$4)&gt;=YEAR($F246),$K246="a"),ROUND(VLOOKUP(DQ$4,Preisindex,5,FALSE)/VLOOKUP(Preisindex!$A$6,Preisindex,5,FALSE),2),IF(AND($E246&lt;&gt;0,$F246&gt;0,YEAR($F246)&lt;Preisindex!$A$6,YEAR(DL$4)&gt;=YEAR($F246),$K246="b"),ROUND(VLOOKUP(DQ$4,Preisindex,3,FALSE)/VLOOKUP(Preisindex!$A$6,Preisindex,3,FALSE),2),IF(AND($E246&lt;&gt;0,$F246&gt;0,YEAR($F246)&lt;Preisindex!$A$6,YEAR(DL$4)&gt;=YEAR($F246),$K246="g"),ROUND(VLOOKUP(DQ$4,Preisindex,4,FALSE)/VLOOKUP(Preisindex!$A$6,Preisindex,4,FALSE),2),IF(AND($E246&lt;&gt;0,$F246&gt;0,YEAR($F246)&lt;Preisindex!$A$6,YEAR(DL$4)&gt;=YEAR($F246),$K246="k"),ROUND(VLOOKUP(DQ$4,Preisindex,2,FALSE)/VLOOKUP(Preisindex!$A$6,Preisindex,2,FALSE),2),0)))))</f>
        <v>0</v>
      </c>
      <c r="DS246" s="51">
        <f>IF(AND($E246&lt;&gt;0,$F246&gt;0,YEAR($F246)&lt;=DQ$4,YEAR($F246)&gt;=Preisindex!$A$6),ROUND($E246*DQ246,2),IF(AND($E246&lt;&gt;0,$F246&gt;0,YEAR($F246)&lt;=DQ$4,YEAR($F246)&lt;Preisindex!$A$6),ROUND($E246*DR246,2),0))</f>
        <v>0</v>
      </c>
      <c r="DT246" s="53">
        <f t="shared" si="664"/>
        <v>0</v>
      </c>
      <c r="DU246" s="51">
        <f t="shared" si="753"/>
        <v>0</v>
      </c>
      <c r="DV246" s="51">
        <f t="shared" si="735"/>
        <v>0</v>
      </c>
      <c r="DW246" s="51">
        <f t="shared" si="665"/>
        <v>0</v>
      </c>
      <c r="DX246" s="51">
        <f t="shared" si="736"/>
        <v>0</v>
      </c>
      <c r="DY246" s="51">
        <f t="shared" si="666"/>
        <v>0</v>
      </c>
      <c r="DZ246" s="51">
        <f t="shared" si="737"/>
        <v>0</v>
      </c>
      <c r="EA246" s="51">
        <f t="shared" si="667"/>
        <v>0</v>
      </c>
      <c r="EB246" s="51">
        <f t="shared" si="738"/>
        <v>0</v>
      </c>
      <c r="EC246" s="51">
        <f t="shared" si="668"/>
        <v>0</v>
      </c>
      <c r="ED246" s="51">
        <f t="shared" si="739"/>
        <v>0</v>
      </c>
      <c r="EE246" s="51">
        <f t="shared" si="669"/>
        <v>0</v>
      </c>
      <c r="EF246" s="54">
        <f t="shared" si="670"/>
        <v>0</v>
      </c>
      <c r="EG246" s="55">
        <f t="shared" si="671"/>
        <v>0</v>
      </c>
      <c r="EH246" s="56">
        <f>IF(AND($E246&lt;&gt;0,$F246&gt;0,YEAR($F246)&gt;=Preisindex!$A$6,YEAR(EC$4)&gt;=YEAR($F246),AND($K246&lt;&gt;"a",$K246&lt;&gt;"b",$K246&lt;&gt;"g",$K246&lt;&gt;"k")),1,IF(AND($E246&lt;&gt;0,$F246&gt;0,YEAR($F246)&gt;=Preisindex!$A$6,YEAR(EC$4)&gt;=YEAR($F246),$K246="a"),ROUND(VLOOKUP(EH$4,Preisindex,5,FALSE)/VLOOKUP(YEAR($F246),Preisindex,5,FALSE),2),IF(AND($E246&lt;&gt;0,$F246&gt;0,YEAR($F246)&gt;=Preisindex!$A$6,YEAR(EC$4)&gt;=YEAR($F246),$K246="b"),ROUND(VLOOKUP(EH$4,Preisindex,3,FALSE)/VLOOKUP(YEAR($F246),Preisindex,3,FALSE),2),IF(AND($E246&lt;&gt;0,$F246&gt;0,YEAR($F246)&gt;=Preisindex!$A$6,YEAR(EC$4)&gt;=YEAR($F246),$K246="g"),ROUND(VLOOKUP(EH$4,Preisindex,4,FALSE)/VLOOKUP(YEAR($F246),Preisindex,4,FALSE),2),IF(AND($E246&lt;&gt;0,$F246&gt;0,YEAR($F246)&gt;=Preisindex!$A$6,YEAR(EC$4)&gt;=YEAR($F246),$K246="k"),ROUND(VLOOKUP(EH$4,Preisindex,2,FALSE)/VLOOKUP(YEAR($F246),Preisindex,2,FALSE),2),0)))))</f>
        <v>0</v>
      </c>
      <c r="EI246" s="56">
        <f>IF(AND($E246&lt;&gt;0,$F246&gt;0,YEAR($F246)&lt;Preisindex!$A$6,YEAR(EC$4)&gt;=YEAR($F246),AND($K246&lt;&gt;"a",$K246&lt;&gt;"b",$K246&lt;&gt;"g",$K246&lt;&gt;"k")),1,IF(AND($E246&lt;&gt;0,$F246&gt;0,YEAR($F246)&lt;Preisindex!$A$6,YEAR(EC$4)&gt;=YEAR($F246),$K246="a"),ROUND(VLOOKUP(EH$4,Preisindex,5,FALSE)/VLOOKUP(Preisindex!$A$6,Preisindex,5,FALSE),2),IF(AND($E246&lt;&gt;0,$F246&gt;0,YEAR($F246)&lt;Preisindex!$A$6,YEAR(EC$4)&gt;=YEAR($F246),$K246="b"),ROUND(VLOOKUP(EH$4,Preisindex,3,FALSE)/VLOOKUP(Preisindex!$A$6,Preisindex,3,FALSE),2),IF(AND($E246&lt;&gt;0,$F246&gt;0,YEAR($F246)&lt;Preisindex!$A$6,YEAR(EC$4)&gt;=YEAR($F246),$K246="g"),ROUND(VLOOKUP(EH$4,Preisindex,4,FALSE)/VLOOKUP(Preisindex!$A$6,Preisindex,4,FALSE),2),IF(AND($E246&lt;&gt;0,$F246&gt;0,YEAR($F246)&lt;Preisindex!$A$6,YEAR(EC$4)&gt;=YEAR($F246),$K246="k"),ROUND(VLOOKUP(EH$4,Preisindex,2,FALSE)/VLOOKUP(Preisindex!$A$6,Preisindex,2,FALSE),2),0)))))</f>
        <v>0</v>
      </c>
      <c r="EJ246" s="51">
        <f>IF(AND($E246&lt;&gt;0,$F246&gt;0,YEAR($F246)&lt;=EH$4,YEAR($F246)&gt;=Preisindex!$A$6),ROUND($E246*EH246,2),IF(AND($E246&lt;&gt;0,$F246&gt;0,YEAR($F246)&lt;=EH$4,YEAR($F246)&lt;Preisindex!$A$6),ROUND($E246*EI246,2),0))</f>
        <v>0</v>
      </c>
      <c r="EK246" s="53">
        <f t="shared" si="672"/>
        <v>0</v>
      </c>
      <c r="EL246" s="51">
        <f t="shared" si="753"/>
        <v>0</v>
      </c>
      <c r="EM246" s="51">
        <f t="shared" si="740"/>
        <v>0</v>
      </c>
      <c r="EN246" s="51">
        <f t="shared" si="673"/>
        <v>0</v>
      </c>
      <c r="EO246" s="51">
        <f t="shared" si="741"/>
        <v>0</v>
      </c>
      <c r="EP246" s="51">
        <f t="shared" si="674"/>
        <v>0</v>
      </c>
      <c r="EQ246" s="51">
        <f t="shared" si="742"/>
        <v>0</v>
      </c>
      <c r="ER246" s="51">
        <f t="shared" si="675"/>
        <v>0</v>
      </c>
      <c r="ES246" s="51">
        <f t="shared" si="743"/>
        <v>0</v>
      </c>
      <c r="ET246" s="51">
        <f t="shared" si="676"/>
        <v>0</v>
      </c>
      <c r="EU246" s="51">
        <f t="shared" si="744"/>
        <v>0</v>
      </c>
      <c r="EV246" s="51">
        <f t="shared" si="677"/>
        <v>0</v>
      </c>
      <c r="EW246" s="54">
        <f t="shared" si="678"/>
        <v>0</v>
      </c>
      <c r="EX246" s="55">
        <f t="shared" si="679"/>
        <v>0</v>
      </c>
      <c r="EY246" s="56">
        <f>IF(AND($E246&lt;&gt;0,$F246&gt;0,YEAR($F246)&gt;=Preisindex!$A$6,YEAR(ET$4)&gt;=YEAR($F246),AND($K246&lt;&gt;"a",$K246&lt;&gt;"b",$K246&lt;&gt;"g",$K246&lt;&gt;"k")),1,IF(AND($E246&lt;&gt;0,$F246&gt;0,YEAR($F246)&gt;=Preisindex!$A$6,YEAR(ET$4)&gt;=YEAR($F246),$K246="a"),ROUND(VLOOKUP(EY$4,Preisindex,5,FALSE)/VLOOKUP(YEAR($F246),Preisindex,5,FALSE),2),IF(AND($E246&lt;&gt;0,$F246&gt;0,YEAR($F246)&gt;=Preisindex!$A$6,YEAR(ET$4)&gt;=YEAR($F246),$K246="b"),ROUND(VLOOKUP(EY$4,Preisindex,3,FALSE)/VLOOKUP(YEAR($F246),Preisindex,3,FALSE),2),IF(AND($E246&lt;&gt;0,$F246&gt;0,YEAR($F246)&gt;=Preisindex!$A$6,YEAR(ET$4)&gt;=YEAR($F246),$K246="g"),ROUND(VLOOKUP(EY$4,Preisindex,4,FALSE)/VLOOKUP(YEAR($F246),Preisindex,4,FALSE),2),IF(AND($E246&lt;&gt;0,$F246&gt;0,YEAR($F246)&gt;=Preisindex!$A$6,YEAR(ET$4)&gt;=YEAR($F246),$K246="k"),ROUND(VLOOKUP(EY$4,Preisindex,2,FALSE)/VLOOKUP(YEAR($F246),Preisindex,2,FALSE),2),0)))))</f>
        <v>0</v>
      </c>
      <c r="EZ246" s="56">
        <f>IF(AND($E246&lt;&gt;0,$F246&gt;0,YEAR($F246)&lt;Preisindex!$A$6,YEAR(ET$4)&gt;=YEAR($F246),AND($K246&lt;&gt;"a",$K246&lt;&gt;"b",$K246&lt;&gt;"g",$K246&lt;&gt;"k")),1,IF(AND($E246&lt;&gt;0,$F246&gt;0,YEAR($F246)&lt;Preisindex!$A$6,YEAR(ET$4)&gt;=YEAR($F246),$K246="a"),ROUND(VLOOKUP(EY$4,Preisindex,5,FALSE)/VLOOKUP(Preisindex!$A$6,Preisindex,5,FALSE),2),IF(AND($E246&lt;&gt;0,$F246&gt;0,YEAR($F246)&lt;Preisindex!$A$6,YEAR(ET$4)&gt;=YEAR($F246),$K246="b"),ROUND(VLOOKUP(EY$4,Preisindex,3,FALSE)/VLOOKUP(Preisindex!$A$6,Preisindex,3,FALSE),2),IF(AND($E246&lt;&gt;0,$F246&gt;0,YEAR($F246)&lt;Preisindex!$A$6,YEAR(ET$4)&gt;=YEAR($F246),$K246="g"),ROUND(VLOOKUP(EY$4,Preisindex,4,FALSE)/VLOOKUP(Preisindex!$A$6,Preisindex,4,FALSE),2),IF(AND($E246&lt;&gt;0,$F246&gt;0,YEAR($F246)&lt;Preisindex!$A$6,YEAR(ET$4)&gt;=YEAR($F246),$K246="k"),ROUND(VLOOKUP(EY$4,Preisindex,2,FALSE)/VLOOKUP(Preisindex!$A$6,Preisindex,2,FALSE),2),0)))))</f>
        <v>0</v>
      </c>
      <c r="FA246" s="51">
        <f>IF(AND($E246&lt;&gt;0,$F246&gt;0,YEAR($F246)&lt;=EY$4,YEAR($F246)&gt;=Preisindex!$A$6),ROUND($E246*EY246,2),IF(AND($E246&lt;&gt;0,$F246&gt;0,YEAR($F246)&lt;=EY$4,YEAR($F246)&lt;Preisindex!$A$6),ROUND($E246*EZ246,2),0))</f>
        <v>0</v>
      </c>
      <c r="FB246" s="53">
        <f t="shared" si="680"/>
        <v>0</v>
      </c>
      <c r="FC246" s="51">
        <f t="shared" si="753"/>
        <v>0</v>
      </c>
      <c r="FD246" s="51">
        <f t="shared" si="745"/>
        <v>0</v>
      </c>
      <c r="FE246" s="51">
        <f t="shared" si="681"/>
        <v>0</v>
      </c>
      <c r="FF246" s="51">
        <f t="shared" si="746"/>
        <v>0</v>
      </c>
      <c r="FG246" s="51">
        <f t="shared" si="682"/>
        <v>0</v>
      </c>
      <c r="FH246" s="51">
        <f t="shared" si="747"/>
        <v>0</v>
      </c>
      <c r="FI246" s="51">
        <f t="shared" si="683"/>
        <v>0</v>
      </c>
      <c r="FJ246" s="51">
        <f t="shared" si="748"/>
        <v>0</v>
      </c>
      <c r="FK246" s="51">
        <f t="shared" si="684"/>
        <v>0</v>
      </c>
      <c r="FL246" s="51">
        <f t="shared" si="749"/>
        <v>0</v>
      </c>
      <c r="FM246" s="51">
        <f t="shared" si="685"/>
        <v>0</v>
      </c>
      <c r="FN246" s="54">
        <f t="shared" si="686"/>
        <v>0</v>
      </c>
      <c r="FO246" s="55">
        <f t="shared" si="687"/>
        <v>0</v>
      </c>
      <c r="FP246" s="56">
        <f>IF(AND($E246&lt;&gt;0,$F246&gt;0,YEAR($F246)&gt;=Preisindex!$A$6,YEAR(FK$4)&gt;=YEAR($F246),AND($K246&lt;&gt;"a",$K246&lt;&gt;"b",$K246&lt;&gt;"g",$K246&lt;&gt;"k")),1,IF(AND($E246&lt;&gt;0,$F246&gt;0,YEAR($F246)&gt;=Preisindex!$A$6,YEAR(FK$4)&gt;=YEAR($F246),$K246="a"),ROUND(VLOOKUP(FP$4,Preisindex,5,FALSE)/VLOOKUP(YEAR($F246),Preisindex,5,FALSE),2),IF(AND($E246&lt;&gt;0,$F246&gt;0,YEAR($F246)&gt;=Preisindex!$A$6,YEAR(FK$4)&gt;=YEAR($F246),$K246="b"),ROUND(VLOOKUP(FP$4,Preisindex,3,FALSE)/VLOOKUP(YEAR($F246),Preisindex,3,FALSE),2),IF(AND($E246&lt;&gt;0,$F246&gt;0,YEAR($F246)&gt;=Preisindex!$A$6,YEAR(FK$4)&gt;=YEAR($F246),$K246="g"),ROUND(VLOOKUP(FP$4,Preisindex,4,FALSE)/VLOOKUP(YEAR($F246),Preisindex,4,FALSE),2),IF(AND($E246&lt;&gt;0,$F246&gt;0,YEAR($F246)&gt;=Preisindex!$A$6,YEAR(FK$4)&gt;=YEAR($F246),$K246="k"),ROUND(VLOOKUP(FP$4,Preisindex,2,FALSE)/VLOOKUP(YEAR($F246),Preisindex,2,FALSE),2),0)))))</f>
        <v>0</v>
      </c>
      <c r="FQ246" s="56">
        <f>IF(AND($E246&lt;&gt;0,$F246&gt;0,YEAR($F246)&lt;Preisindex!$A$6,YEAR(FK$4)&gt;=YEAR($F246),AND($K246&lt;&gt;"a",$K246&lt;&gt;"b",$K246&lt;&gt;"g",$K246&lt;&gt;"k")),1,IF(AND($E246&lt;&gt;0,$F246&gt;0,YEAR($F246)&lt;Preisindex!$A$6,YEAR(FK$4)&gt;=YEAR($F246),$K246="a"),ROUND(VLOOKUP(FP$4,Preisindex,5,FALSE)/VLOOKUP(Preisindex!$A$6,Preisindex,5,FALSE),2),IF(AND($E246&lt;&gt;0,$F246&gt;0,YEAR($F246)&lt;Preisindex!$A$6,YEAR(FK$4)&gt;=YEAR($F246),$K246="b"),ROUND(VLOOKUP(FP$4,Preisindex,3,FALSE)/VLOOKUP(Preisindex!$A$6,Preisindex,3,FALSE),2),IF(AND($E246&lt;&gt;0,$F246&gt;0,YEAR($F246)&lt;Preisindex!$A$6,YEAR(FK$4)&gt;=YEAR($F246),$K246="g"),ROUND(VLOOKUP(FP$4,Preisindex,4,FALSE)/VLOOKUP(Preisindex!$A$6,Preisindex,4,FALSE),2),IF(AND($E246&lt;&gt;0,$F246&gt;0,YEAR($F246)&lt;Preisindex!$A$6,YEAR(FK$4)&gt;=YEAR($F246),$K246="k"),ROUND(VLOOKUP(FP$4,Preisindex,2,FALSE)/VLOOKUP(Preisindex!$A$6,Preisindex,2,FALSE),2),0)))))</f>
        <v>0</v>
      </c>
      <c r="FR246" s="51">
        <f>IF(AND($E246&lt;&gt;0,$F246&gt;0,YEAR($F246)&lt;=FP$4,YEAR($F246)&gt;=Preisindex!$A$6),ROUND($E246*FP246,2),IF(AND($E246&lt;&gt;0,$F246&gt;0,YEAR($F246)&lt;=FP$4,YEAR($F246)&lt;Preisindex!$A$6),ROUND($E246*FQ246,2),0))</f>
        <v>0</v>
      </c>
      <c r="FS246" s="53">
        <f t="shared" si="688"/>
        <v>0</v>
      </c>
    </row>
    <row r="247" spans="1:175" x14ac:dyDescent="0.3">
      <c r="A247" s="93"/>
      <c r="B247" s="94"/>
      <c r="C247" s="94"/>
      <c r="D247" s="188"/>
      <c r="E247" s="624"/>
      <c r="F247" s="190"/>
      <c r="G247" s="625"/>
      <c r="H247" s="192"/>
      <c r="I247" s="621"/>
      <c r="J247" s="103"/>
      <c r="K247" s="630"/>
      <c r="L247" s="49">
        <f t="shared" si="689"/>
        <v>0</v>
      </c>
      <c r="M247" s="50">
        <f t="shared" si="690"/>
        <v>0</v>
      </c>
      <c r="N247" s="51">
        <f t="shared" si="691"/>
        <v>0</v>
      </c>
      <c r="O247" s="51"/>
      <c r="P247" s="51">
        <f t="shared" si="692"/>
        <v>0</v>
      </c>
      <c r="Q247" s="52"/>
      <c r="R247" s="52"/>
      <c r="S247" s="52"/>
      <c r="T247" s="52"/>
      <c r="U247" s="52"/>
      <c r="V247" s="53">
        <f t="shared" si="693"/>
        <v>0</v>
      </c>
      <c r="W247" s="51">
        <f t="shared" si="694"/>
        <v>0</v>
      </c>
      <c r="X247" s="51">
        <f t="shared" si="695"/>
        <v>0</v>
      </c>
      <c r="Y247" s="51">
        <f t="shared" si="696"/>
        <v>0</v>
      </c>
      <c r="Z247" s="51">
        <f t="shared" si="697"/>
        <v>0</v>
      </c>
      <c r="AA247" s="51">
        <f t="shared" si="698"/>
        <v>0</v>
      </c>
      <c r="AB247" s="51">
        <f t="shared" si="699"/>
        <v>0</v>
      </c>
      <c r="AC247" s="51">
        <f t="shared" si="700"/>
        <v>0</v>
      </c>
      <c r="AD247" s="51">
        <f t="shared" si="701"/>
        <v>0</v>
      </c>
      <c r="AE247" s="51">
        <f t="shared" si="702"/>
        <v>0</v>
      </c>
      <c r="AF247" s="51">
        <f t="shared" si="703"/>
        <v>0</v>
      </c>
      <c r="AG247" s="51">
        <f t="shared" si="704"/>
        <v>0</v>
      </c>
      <c r="AH247" s="54">
        <f t="shared" si="705"/>
        <v>0</v>
      </c>
      <c r="AI247" s="55">
        <f t="shared" si="706"/>
        <v>0</v>
      </c>
      <c r="AJ247" s="56">
        <f>IF(AND($E247&lt;&gt;0,$F247&gt;0,YEAR($F247)&gt;=Preisindex!$A$6,YEAR(AE$4)&gt;=YEAR($F247),AND($K247&lt;&gt;"a",$K247&lt;&gt;"b",$K247&lt;&gt;"g",$K247&lt;&gt;"k")),1,IF(AND($E247&lt;&gt;0,$F247&gt;0,YEAR($F247)&gt;=Preisindex!$A$6,YEAR(AE$4)&gt;=YEAR($F247),$K247="a"),ROUND(VLOOKUP(AJ$4,Preisindex,5,FALSE)/VLOOKUP(YEAR($F247),Preisindex,5,FALSE),2),IF(AND($E247&lt;&gt;0,$F247&gt;0,YEAR($F247)&gt;=Preisindex!$A$6,YEAR(AE$4)&gt;=YEAR($F247),$K247="b"),ROUND(VLOOKUP(AJ$4,Preisindex,3,FALSE)/VLOOKUP(YEAR($F247),Preisindex,3,FALSE),2),IF(AND($E247&lt;&gt;0,$F247&gt;0,YEAR($F247)&gt;=Preisindex!$A$6,YEAR(AE$4)&gt;=YEAR($F247),$K247="g"),ROUND(VLOOKUP(AJ$4,Preisindex,4,FALSE)/VLOOKUP(YEAR($F247),Preisindex,4,FALSE),2),IF(AND($E247&lt;&gt;0,$F247&gt;0,YEAR($F247)&gt;=Preisindex!$A$6,YEAR(AE$4)&gt;=YEAR($F247),$K247="k"),ROUND(VLOOKUP(AJ$4,Preisindex,2,FALSE)/VLOOKUP(YEAR($F247),Preisindex,2,FALSE),2),0)))))</f>
        <v>0</v>
      </c>
      <c r="AK247" s="56">
        <f>IF(AND($E247&lt;&gt;0,$F247&gt;0,YEAR($F247)&lt;Preisindex!$A$6,YEAR(AE$4)&gt;=YEAR($F247),AND($K247&lt;&gt;"a",$K247&lt;&gt;"b",$K247&lt;&gt;"g",$K247&lt;&gt;"k")),1,IF(AND($E247&lt;&gt;0,$F247&gt;0,YEAR($F247)&lt;Preisindex!$A$6,YEAR(AE$4)&gt;=YEAR($F247),$K247="a"),ROUND(VLOOKUP(AJ$4,Preisindex,5,FALSE)/VLOOKUP(Preisindex!$A$6,Preisindex,5,FALSE),2),IF(AND($E247&lt;&gt;0,$F247&gt;0,YEAR($F247)&lt;Preisindex!$A$6,YEAR(AE$4)&gt;=YEAR($F247),$K247="b"),ROUND(VLOOKUP(AJ$4,Preisindex,3,FALSE)/VLOOKUP(Preisindex!$A$6,Preisindex,3,FALSE),2),IF(AND($E247&lt;&gt;0,$F247&gt;0,YEAR($F247)&lt;Preisindex!$A$6,YEAR(AE$4)&gt;=YEAR($F247),$K247="g"),ROUND(VLOOKUP(AJ$4,Preisindex,4,FALSE)/VLOOKUP(Preisindex!$A$6,Preisindex,4,FALSE),2),IF(AND($E247&lt;&gt;0,$F247&gt;0,YEAR($F247)&lt;Preisindex!$A$6,YEAR(AE$4)&gt;=YEAR($F247),$K247="k"),ROUND(VLOOKUP(AJ$4,Preisindex,2,FALSE)/VLOOKUP(Preisindex!$A$6,Preisindex,2,FALSE),2),0)))))</f>
        <v>0</v>
      </c>
      <c r="AL247" s="51">
        <f>IF(AND($E247&lt;&gt;0,$F247&gt;0,YEAR($F247)&lt;=AJ$4,YEAR($F247)&gt;=Preisindex!$A$6),ROUND($E247*AJ247,2),IF(AND($E247&lt;&gt;0,$F247&gt;0,YEAR($F247)&lt;=AJ$4,YEAR($F247)&lt;Preisindex!$A$6),ROUND($E247*AK247,2),0))</f>
        <v>0</v>
      </c>
      <c r="AM247" s="53">
        <f t="shared" si="707"/>
        <v>0</v>
      </c>
      <c r="AN247" s="51">
        <f t="shared" si="752"/>
        <v>0</v>
      </c>
      <c r="AO247" s="51">
        <f t="shared" si="710"/>
        <v>0</v>
      </c>
      <c r="AP247" s="51">
        <f t="shared" si="624"/>
        <v>0</v>
      </c>
      <c r="AQ247" s="51">
        <f t="shared" si="711"/>
        <v>0</v>
      </c>
      <c r="AR247" s="51">
        <f t="shared" si="625"/>
        <v>0</v>
      </c>
      <c r="AS247" s="51">
        <f t="shared" si="712"/>
        <v>0</v>
      </c>
      <c r="AT247" s="51">
        <f t="shared" si="626"/>
        <v>0</v>
      </c>
      <c r="AU247" s="51">
        <f t="shared" si="713"/>
        <v>0</v>
      </c>
      <c r="AV247" s="51">
        <f t="shared" si="627"/>
        <v>0</v>
      </c>
      <c r="AW247" s="51">
        <f t="shared" si="714"/>
        <v>0</v>
      </c>
      <c r="AX247" s="51">
        <f t="shared" si="628"/>
        <v>0</v>
      </c>
      <c r="AY247" s="54">
        <f t="shared" si="629"/>
        <v>0</v>
      </c>
      <c r="AZ247" s="55">
        <f t="shared" si="630"/>
        <v>0</v>
      </c>
      <c r="BA247" s="56">
        <f>IF(AND($E247&lt;&gt;0,$F247&gt;0,YEAR($F247)&gt;=Preisindex!$A$6,YEAR(AV$4)&gt;=YEAR($F247),AND($K247&lt;&gt;"a",$K247&lt;&gt;"b",$K247&lt;&gt;"g",$K247&lt;&gt;"k")),1,IF(AND($E247&lt;&gt;0,$F247&gt;0,YEAR($F247)&gt;=Preisindex!$A$6,YEAR(AV$4)&gt;=YEAR($F247),$K247="a"),ROUND(VLOOKUP(BA$4,Preisindex,5,FALSE)/VLOOKUP(YEAR($F247),Preisindex,5,FALSE),2),IF(AND($E247&lt;&gt;0,$F247&gt;0,YEAR($F247)&gt;=Preisindex!$A$6,YEAR(AV$4)&gt;=YEAR($F247),$K247="b"),ROUND(VLOOKUP(BA$4,Preisindex,3,FALSE)/VLOOKUP(YEAR($F247),Preisindex,3,FALSE),2),IF(AND($E247&lt;&gt;0,$F247&gt;0,YEAR($F247)&gt;=Preisindex!$A$6,YEAR(AV$4)&gt;=YEAR($F247),$K247="g"),ROUND(VLOOKUP(BA$4,Preisindex,4,FALSE)/VLOOKUP(YEAR($F247),Preisindex,4,FALSE),2),IF(AND($E247&lt;&gt;0,$F247&gt;0,YEAR($F247)&gt;=Preisindex!$A$6,YEAR(AV$4)&gt;=YEAR($F247),$K247="k"),ROUND(VLOOKUP(BA$4,Preisindex,2,FALSE)/VLOOKUP(YEAR($F247),Preisindex,2,FALSE),2),0)))))</f>
        <v>0</v>
      </c>
      <c r="BB247" s="56">
        <f>IF(AND($E247&lt;&gt;0,$F247&gt;0,YEAR($F247)&lt;Preisindex!$A$6,YEAR(AV$4)&gt;=YEAR($F247),AND($K247&lt;&gt;"a",$K247&lt;&gt;"b",$K247&lt;&gt;"g",$K247&lt;&gt;"k")),1,IF(AND($E247&lt;&gt;0,$F247&gt;0,YEAR($F247)&lt;Preisindex!$A$6,YEAR(AV$4)&gt;=YEAR($F247),$K247="a"),ROUND(VLOOKUP(BA$4,Preisindex,5,FALSE)/VLOOKUP(Preisindex!$A$6,Preisindex,5,FALSE),2),IF(AND($E247&lt;&gt;0,$F247&gt;0,YEAR($F247)&lt;Preisindex!$A$6,YEAR(AV$4)&gt;=YEAR($F247),$K247="b"),ROUND(VLOOKUP(BA$4,Preisindex,3,FALSE)/VLOOKUP(Preisindex!$A$6,Preisindex,3,FALSE),2),IF(AND($E247&lt;&gt;0,$F247&gt;0,YEAR($F247)&lt;Preisindex!$A$6,YEAR(AV$4)&gt;=YEAR($F247),$K247="g"),ROUND(VLOOKUP(BA$4,Preisindex,4,FALSE)/VLOOKUP(Preisindex!$A$6,Preisindex,4,FALSE),2),IF(AND($E247&lt;&gt;0,$F247&gt;0,YEAR($F247)&lt;Preisindex!$A$6,YEAR(AV$4)&gt;=YEAR($F247),$K247="k"),ROUND(VLOOKUP(BA$4,Preisindex,2,FALSE)/VLOOKUP(Preisindex!$A$6,Preisindex,2,FALSE),2),0)))))</f>
        <v>0</v>
      </c>
      <c r="BC247" s="51">
        <f>IF(AND($E247&lt;&gt;0,$F247&gt;0,YEAR($F247)&lt;=BA$4,YEAR($F247)&gt;=Preisindex!$A$6),ROUND($E247*BA247,2),IF(AND($E247&lt;&gt;0,$F247&gt;0,YEAR($F247)&lt;=BA$4,YEAR($F247)&lt;Preisindex!$A$6),ROUND($E247*BB247,2),0))</f>
        <v>0</v>
      </c>
      <c r="BD247" s="53">
        <f t="shared" si="631"/>
        <v>0</v>
      </c>
      <c r="BE247" s="51">
        <f t="shared" si="752"/>
        <v>0</v>
      </c>
      <c r="BF247" s="51">
        <f t="shared" si="715"/>
        <v>0</v>
      </c>
      <c r="BG247" s="51">
        <f t="shared" si="632"/>
        <v>0</v>
      </c>
      <c r="BH247" s="51">
        <f t="shared" si="716"/>
        <v>0</v>
      </c>
      <c r="BI247" s="51">
        <f t="shared" si="633"/>
        <v>0</v>
      </c>
      <c r="BJ247" s="51">
        <f t="shared" si="717"/>
        <v>0</v>
      </c>
      <c r="BK247" s="51">
        <f t="shared" si="634"/>
        <v>0</v>
      </c>
      <c r="BL247" s="51">
        <f t="shared" si="718"/>
        <v>0</v>
      </c>
      <c r="BM247" s="51">
        <f t="shared" si="635"/>
        <v>0</v>
      </c>
      <c r="BN247" s="51">
        <f t="shared" si="719"/>
        <v>0</v>
      </c>
      <c r="BO247" s="51">
        <f t="shared" si="636"/>
        <v>0</v>
      </c>
      <c r="BP247" s="54">
        <f t="shared" si="637"/>
        <v>0</v>
      </c>
      <c r="BQ247" s="55">
        <f t="shared" si="638"/>
        <v>0</v>
      </c>
      <c r="BR247" s="56">
        <f>IF(AND($E247&lt;&gt;0,$F247&gt;0,YEAR($F247)&gt;=Preisindex!$A$6,YEAR(BM$4)&gt;=YEAR($F247),AND($K247&lt;&gt;"a",$K247&lt;&gt;"b",$K247&lt;&gt;"g",$K247&lt;&gt;"k")),1,IF(AND($E247&lt;&gt;0,$F247&gt;0,YEAR($F247)&gt;=Preisindex!$A$6,YEAR(BM$4)&gt;=YEAR($F247),$K247="a"),ROUND(VLOOKUP(BR$4,Preisindex,5,FALSE)/VLOOKUP(YEAR($F247),Preisindex,5,FALSE),2),IF(AND($E247&lt;&gt;0,$F247&gt;0,YEAR($F247)&gt;=Preisindex!$A$6,YEAR(BM$4)&gt;=YEAR($F247),$K247="b"),ROUND(VLOOKUP(BR$4,Preisindex,3,FALSE)/VLOOKUP(YEAR($F247),Preisindex,3,FALSE),2),IF(AND($E247&lt;&gt;0,$F247&gt;0,YEAR($F247)&gt;=Preisindex!$A$6,YEAR(BM$4)&gt;=YEAR($F247),$K247="g"),ROUND(VLOOKUP(BR$4,Preisindex,4,FALSE)/VLOOKUP(YEAR($F247),Preisindex,4,FALSE),2),IF(AND($E247&lt;&gt;0,$F247&gt;0,YEAR($F247)&gt;=Preisindex!$A$6,YEAR(BM$4)&gt;=YEAR($F247),$K247="k"),ROUND(VLOOKUP(BR$4,Preisindex,2,FALSE)/VLOOKUP(YEAR($F247),Preisindex,2,FALSE),2),0)))))</f>
        <v>0</v>
      </c>
      <c r="BS247" s="56">
        <f>IF(AND($E247&lt;&gt;0,$F247&gt;0,YEAR($F247)&lt;Preisindex!$A$6,YEAR(BM$4)&gt;=YEAR($F247),AND($K247&lt;&gt;"a",$K247&lt;&gt;"b",$K247&lt;&gt;"g",$K247&lt;&gt;"k")),1,IF(AND($E247&lt;&gt;0,$F247&gt;0,YEAR($F247)&lt;Preisindex!$A$6,YEAR(BM$4)&gt;=YEAR($F247),$K247="a"),ROUND(VLOOKUP(BR$4,Preisindex,5,FALSE)/VLOOKUP(Preisindex!$A$6,Preisindex,5,FALSE),2),IF(AND($E247&lt;&gt;0,$F247&gt;0,YEAR($F247)&lt;Preisindex!$A$6,YEAR(BM$4)&gt;=YEAR($F247),$K247="b"),ROUND(VLOOKUP(BR$4,Preisindex,3,FALSE)/VLOOKUP(Preisindex!$A$6,Preisindex,3,FALSE),2),IF(AND($E247&lt;&gt;0,$F247&gt;0,YEAR($F247)&lt;Preisindex!$A$6,YEAR(BM$4)&gt;=YEAR($F247),$K247="g"),ROUND(VLOOKUP(BR$4,Preisindex,4,FALSE)/VLOOKUP(Preisindex!$A$6,Preisindex,4,FALSE),2),IF(AND($E247&lt;&gt;0,$F247&gt;0,YEAR($F247)&lt;Preisindex!$A$6,YEAR(BM$4)&gt;=YEAR($F247),$K247="k"),ROUND(VLOOKUP(BR$4,Preisindex,2,FALSE)/VLOOKUP(Preisindex!$A$6,Preisindex,2,FALSE),2),0)))))</f>
        <v>0</v>
      </c>
      <c r="BT247" s="51">
        <f>IF(AND($E247&lt;&gt;0,$F247&gt;0,YEAR($F247)&lt;=BR$4,YEAR($F247)&gt;=Preisindex!$A$6),ROUND($E247*BR247,2),IF(AND($E247&lt;&gt;0,$F247&gt;0,YEAR($F247)&lt;=BR$4,YEAR($F247)&lt;Preisindex!$A$6),ROUND($E247*BS247,2),0))</f>
        <v>0</v>
      </c>
      <c r="BU247" s="53">
        <f t="shared" si="639"/>
        <v>0</v>
      </c>
      <c r="BV247" s="51">
        <f t="shared" si="752"/>
        <v>0</v>
      </c>
      <c r="BW247" s="51">
        <f t="shared" si="720"/>
        <v>0</v>
      </c>
      <c r="BX247" s="51">
        <f t="shared" si="640"/>
        <v>0</v>
      </c>
      <c r="BY247" s="51">
        <f t="shared" si="721"/>
        <v>0</v>
      </c>
      <c r="BZ247" s="51">
        <f t="shared" si="641"/>
        <v>0</v>
      </c>
      <c r="CA247" s="51">
        <f t="shared" si="722"/>
        <v>0</v>
      </c>
      <c r="CB247" s="51">
        <f t="shared" si="642"/>
        <v>0</v>
      </c>
      <c r="CC247" s="51">
        <f t="shared" si="723"/>
        <v>0</v>
      </c>
      <c r="CD247" s="51">
        <f t="shared" si="643"/>
        <v>0</v>
      </c>
      <c r="CE247" s="51">
        <f t="shared" si="724"/>
        <v>0</v>
      </c>
      <c r="CF247" s="51">
        <f t="shared" si="644"/>
        <v>0</v>
      </c>
      <c r="CG247" s="54">
        <f t="shared" si="645"/>
        <v>0</v>
      </c>
      <c r="CH247" s="55">
        <f t="shared" si="646"/>
        <v>0</v>
      </c>
      <c r="CI247" s="56">
        <f>IF(AND($E247&lt;&gt;0,$F247&gt;0,YEAR($F247)&gt;=Preisindex!$A$6,YEAR(CD$4)&gt;=YEAR($F247),AND($K247&lt;&gt;"a",$K247&lt;&gt;"b",$K247&lt;&gt;"g",$K247&lt;&gt;"k")),1,IF(AND($E247&lt;&gt;0,$F247&gt;0,YEAR($F247)&gt;=Preisindex!$A$6,YEAR(CD$4)&gt;=YEAR($F247),$K247="a"),ROUND(VLOOKUP(CI$4,Preisindex,5,FALSE)/VLOOKUP(YEAR($F247),Preisindex,5,FALSE),2),IF(AND($E247&lt;&gt;0,$F247&gt;0,YEAR($F247)&gt;=Preisindex!$A$6,YEAR(CD$4)&gt;=YEAR($F247),$K247="b"),ROUND(VLOOKUP(CI$4,Preisindex,3,FALSE)/VLOOKUP(YEAR($F247),Preisindex,3,FALSE),2),IF(AND($E247&lt;&gt;0,$F247&gt;0,YEAR($F247)&gt;=Preisindex!$A$6,YEAR(CD$4)&gt;=YEAR($F247),$K247="g"),ROUND(VLOOKUP(CI$4,Preisindex,4,FALSE)/VLOOKUP(YEAR($F247),Preisindex,4,FALSE),2),IF(AND($E247&lt;&gt;0,$F247&gt;0,YEAR($F247)&gt;=Preisindex!$A$6,YEAR(CD$4)&gt;=YEAR($F247),$K247="k"),ROUND(VLOOKUP(CI$4,Preisindex,2,FALSE)/VLOOKUP(YEAR($F247),Preisindex,2,FALSE),2),0)))))</f>
        <v>0</v>
      </c>
      <c r="CJ247" s="56">
        <f>IF(AND($E247&lt;&gt;0,$F247&gt;0,YEAR($F247)&lt;Preisindex!$A$6,YEAR(CD$4)&gt;=YEAR($F247),AND($K247&lt;&gt;"a",$K247&lt;&gt;"b",$K247&lt;&gt;"g",$K247&lt;&gt;"k")),1,IF(AND($E247&lt;&gt;0,$F247&gt;0,YEAR($F247)&lt;Preisindex!$A$6,YEAR(CD$4)&gt;=YEAR($F247),$K247="a"),ROUND(VLOOKUP(CI$4,Preisindex,5,FALSE)/VLOOKUP(Preisindex!$A$6,Preisindex,5,FALSE),2),IF(AND($E247&lt;&gt;0,$F247&gt;0,YEAR($F247)&lt;Preisindex!$A$6,YEAR(CD$4)&gt;=YEAR($F247),$K247="b"),ROUND(VLOOKUP(CI$4,Preisindex,3,FALSE)/VLOOKUP(Preisindex!$A$6,Preisindex,3,FALSE),2),IF(AND($E247&lt;&gt;0,$F247&gt;0,YEAR($F247)&lt;Preisindex!$A$6,YEAR(CD$4)&gt;=YEAR($F247),$K247="g"),ROUND(VLOOKUP(CI$4,Preisindex,4,FALSE)/VLOOKUP(Preisindex!$A$6,Preisindex,4,FALSE),2),IF(AND($E247&lt;&gt;0,$F247&gt;0,YEAR($F247)&lt;Preisindex!$A$6,YEAR(CD$4)&gt;=YEAR($F247),$K247="k"),ROUND(VLOOKUP(CI$4,Preisindex,2,FALSE)/VLOOKUP(Preisindex!$A$6,Preisindex,2,FALSE),2),0)))))</f>
        <v>0</v>
      </c>
      <c r="CK247" s="51">
        <f>IF(AND($E247&lt;&gt;0,$F247&gt;0,YEAR($F247)&lt;=CI$4,YEAR($F247)&gt;=Preisindex!$A$6),ROUND($E247*CI247,2),IF(AND($E247&lt;&gt;0,$F247&gt;0,YEAR($F247)&lt;=CI$4,YEAR($F247)&lt;Preisindex!$A$6),ROUND($E247*CJ247,2),0))</f>
        <v>0</v>
      </c>
      <c r="CL247" s="53">
        <f t="shared" si="647"/>
        <v>0</v>
      </c>
      <c r="CM247" s="51">
        <f t="shared" si="752"/>
        <v>0</v>
      </c>
      <c r="CN247" s="51">
        <f t="shared" si="725"/>
        <v>0</v>
      </c>
      <c r="CO247" s="51">
        <f t="shared" si="648"/>
        <v>0</v>
      </c>
      <c r="CP247" s="51">
        <f t="shared" si="726"/>
        <v>0</v>
      </c>
      <c r="CQ247" s="51">
        <f t="shared" si="649"/>
        <v>0</v>
      </c>
      <c r="CR247" s="51">
        <f t="shared" si="727"/>
        <v>0</v>
      </c>
      <c r="CS247" s="51">
        <f t="shared" si="650"/>
        <v>0</v>
      </c>
      <c r="CT247" s="51">
        <f t="shared" si="728"/>
        <v>0</v>
      </c>
      <c r="CU247" s="51">
        <f t="shared" si="651"/>
        <v>0</v>
      </c>
      <c r="CV247" s="51">
        <f t="shared" si="729"/>
        <v>0</v>
      </c>
      <c r="CW247" s="51">
        <f t="shared" si="652"/>
        <v>0</v>
      </c>
      <c r="CX247" s="54">
        <f t="shared" si="653"/>
        <v>0</v>
      </c>
      <c r="CY247" s="55">
        <f t="shared" si="654"/>
        <v>0</v>
      </c>
      <c r="CZ247" s="56">
        <f>IF(AND($E247&lt;&gt;0,$F247&gt;0,YEAR($F247)&gt;=Preisindex!$A$6,YEAR(CU$4)&gt;=YEAR($F247),AND($K247&lt;&gt;"a",$K247&lt;&gt;"b",$K247&lt;&gt;"g",$K247&lt;&gt;"k")),1,IF(AND($E247&lt;&gt;0,$F247&gt;0,YEAR($F247)&gt;=Preisindex!$A$6,YEAR(CU$4)&gt;=YEAR($F247),$K247="a"),ROUND(VLOOKUP(CZ$4,Preisindex,5,FALSE)/VLOOKUP(YEAR($F247),Preisindex,5,FALSE),2),IF(AND($E247&lt;&gt;0,$F247&gt;0,YEAR($F247)&gt;=Preisindex!$A$6,YEAR(CU$4)&gt;=YEAR($F247),$K247="b"),ROUND(VLOOKUP(CZ$4,Preisindex,3,FALSE)/VLOOKUP(YEAR($F247),Preisindex,3,FALSE),2),IF(AND($E247&lt;&gt;0,$F247&gt;0,YEAR($F247)&gt;=Preisindex!$A$6,YEAR(CU$4)&gt;=YEAR($F247),$K247="g"),ROUND(VLOOKUP(CZ$4,Preisindex,4,FALSE)/VLOOKUP(YEAR($F247),Preisindex,4,FALSE),2),IF(AND($E247&lt;&gt;0,$F247&gt;0,YEAR($F247)&gt;=Preisindex!$A$6,YEAR(CU$4)&gt;=YEAR($F247),$K247="k"),ROUND(VLOOKUP(CZ$4,Preisindex,2,FALSE)/VLOOKUP(YEAR($F247),Preisindex,2,FALSE),2),0)))))</f>
        <v>0</v>
      </c>
      <c r="DA247" s="56">
        <f>IF(AND($E247&lt;&gt;0,$F247&gt;0,YEAR($F247)&lt;Preisindex!$A$6,YEAR(CU$4)&gt;=YEAR($F247),AND($K247&lt;&gt;"a",$K247&lt;&gt;"b",$K247&lt;&gt;"g",$K247&lt;&gt;"k")),1,IF(AND($E247&lt;&gt;0,$F247&gt;0,YEAR($F247)&lt;Preisindex!$A$6,YEAR(CU$4)&gt;=YEAR($F247),$K247="a"),ROUND(VLOOKUP(CZ$4,Preisindex,5,FALSE)/VLOOKUP(Preisindex!$A$6,Preisindex,5,FALSE),2),IF(AND($E247&lt;&gt;0,$F247&gt;0,YEAR($F247)&lt;Preisindex!$A$6,YEAR(CU$4)&gt;=YEAR($F247),$K247="b"),ROUND(VLOOKUP(CZ$4,Preisindex,3,FALSE)/VLOOKUP(Preisindex!$A$6,Preisindex,3,FALSE),2),IF(AND($E247&lt;&gt;0,$F247&gt;0,YEAR($F247)&lt;Preisindex!$A$6,YEAR(CU$4)&gt;=YEAR($F247),$K247="g"),ROUND(VLOOKUP(CZ$4,Preisindex,4,FALSE)/VLOOKUP(Preisindex!$A$6,Preisindex,4,FALSE),2),IF(AND($E247&lt;&gt;0,$F247&gt;0,YEAR($F247)&lt;Preisindex!$A$6,YEAR(CU$4)&gt;=YEAR($F247),$K247="k"),ROUND(VLOOKUP(CZ$4,Preisindex,2,FALSE)/VLOOKUP(Preisindex!$A$6,Preisindex,2,FALSE),2),0)))))</f>
        <v>0</v>
      </c>
      <c r="DB247" s="51">
        <f>IF(AND($E247&lt;&gt;0,$F247&gt;0,YEAR($F247)&lt;=CZ$4,YEAR($F247)&gt;=Preisindex!$A$6),ROUND($E247*CZ247,2),IF(AND($E247&lt;&gt;0,$F247&gt;0,YEAR($F247)&lt;=CZ$4,YEAR($F247)&lt;Preisindex!$A$6),ROUND($E247*DA247,2),0))</f>
        <v>0</v>
      </c>
      <c r="DC247" s="53">
        <f t="shared" si="655"/>
        <v>0</v>
      </c>
      <c r="DD247" s="51">
        <f t="shared" si="753"/>
        <v>0</v>
      </c>
      <c r="DE247" s="51">
        <f t="shared" si="730"/>
        <v>0</v>
      </c>
      <c r="DF247" s="51">
        <f t="shared" si="657"/>
        <v>0</v>
      </c>
      <c r="DG247" s="51">
        <f t="shared" si="731"/>
        <v>0</v>
      </c>
      <c r="DH247" s="51">
        <f t="shared" si="658"/>
        <v>0</v>
      </c>
      <c r="DI247" s="51">
        <f t="shared" si="732"/>
        <v>0</v>
      </c>
      <c r="DJ247" s="51">
        <f t="shared" si="659"/>
        <v>0</v>
      </c>
      <c r="DK247" s="51">
        <f t="shared" si="733"/>
        <v>0</v>
      </c>
      <c r="DL247" s="51">
        <f t="shared" si="660"/>
        <v>0</v>
      </c>
      <c r="DM247" s="51">
        <f t="shared" si="734"/>
        <v>0</v>
      </c>
      <c r="DN247" s="51">
        <f t="shared" si="661"/>
        <v>0</v>
      </c>
      <c r="DO247" s="54">
        <f t="shared" si="662"/>
        <v>0</v>
      </c>
      <c r="DP247" s="55">
        <f t="shared" si="663"/>
        <v>0</v>
      </c>
      <c r="DQ247" s="56">
        <f>IF(AND($E247&lt;&gt;0,$F247&gt;0,YEAR($F247)&gt;=Preisindex!$A$6,YEAR(DL$4)&gt;=YEAR($F247),AND($K247&lt;&gt;"a",$K247&lt;&gt;"b",$K247&lt;&gt;"g",$K247&lt;&gt;"k")),1,IF(AND($E247&lt;&gt;0,$F247&gt;0,YEAR($F247)&gt;=Preisindex!$A$6,YEAR(DL$4)&gt;=YEAR($F247),$K247="a"),ROUND(VLOOKUP(DQ$4,Preisindex,5,FALSE)/VLOOKUP(YEAR($F247),Preisindex,5,FALSE),2),IF(AND($E247&lt;&gt;0,$F247&gt;0,YEAR($F247)&gt;=Preisindex!$A$6,YEAR(DL$4)&gt;=YEAR($F247),$K247="b"),ROUND(VLOOKUP(DQ$4,Preisindex,3,FALSE)/VLOOKUP(YEAR($F247),Preisindex,3,FALSE),2),IF(AND($E247&lt;&gt;0,$F247&gt;0,YEAR($F247)&gt;=Preisindex!$A$6,YEAR(DL$4)&gt;=YEAR($F247),$K247="g"),ROUND(VLOOKUP(DQ$4,Preisindex,4,FALSE)/VLOOKUP(YEAR($F247),Preisindex,4,FALSE),2),IF(AND($E247&lt;&gt;0,$F247&gt;0,YEAR($F247)&gt;=Preisindex!$A$6,YEAR(DL$4)&gt;=YEAR($F247),$K247="k"),ROUND(VLOOKUP(DQ$4,Preisindex,2,FALSE)/VLOOKUP(YEAR($F247),Preisindex,2,FALSE),2),0)))))</f>
        <v>0</v>
      </c>
      <c r="DR247" s="56">
        <f>IF(AND($E247&lt;&gt;0,$F247&gt;0,YEAR($F247)&lt;Preisindex!$A$6,YEAR(DL$4)&gt;=YEAR($F247),AND($K247&lt;&gt;"a",$K247&lt;&gt;"b",$K247&lt;&gt;"g",$K247&lt;&gt;"k")),1,IF(AND($E247&lt;&gt;0,$F247&gt;0,YEAR($F247)&lt;Preisindex!$A$6,YEAR(DL$4)&gt;=YEAR($F247),$K247="a"),ROUND(VLOOKUP(DQ$4,Preisindex,5,FALSE)/VLOOKUP(Preisindex!$A$6,Preisindex,5,FALSE),2),IF(AND($E247&lt;&gt;0,$F247&gt;0,YEAR($F247)&lt;Preisindex!$A$6,YEAR(DL$4)&gt;=YEAR($F247),$K247="b"),ROUND(VLOOKUP(DQ$4,Preisindex,3,FALSE)/VLOOKUP(Preisindex!$A$6,Preisindex,3,FALSE),2),IF(AND($E247&lt;&gt;0,$F247&gt;0,YEAR($F247)&lt;Preisindex!$A$6,YEAR(DL$4)&gt;=YEAR($F247),$K247="g"),ROUND(VLOOKUP(DQ$4,Preisindex,4,FALSE)/VLOOKUP(Preisindex!$A$6,Preisindex,4,FALSE),2),IF(AND($E247&lt;&gt;0,$F247&gt;0,YEAR($F247)&lt;Preisindex!$A$6,YEAR(DL$4)&gt;=YEAR($F247),$K247="k"),ROUND(VLOOKUP(DQ$4,Preisindex,2,FALSE)/VLOOKUP(Preisindex!$A$6,Preisindex,2,FALSE),2),0)))))</f>
        <v>0</v>
      </c>
      <c r="DS247" s="51">
        <f>IF(AND($E247&lt;&gt;0,$F247&gt;0,YEAR($F247)&lt;=DQ$4,YEAR($F247)&gt;=Preisindex!$A$6),ROUND($E247*DQ247,2),IF(AND($E247&lt;&gt;0,$F247&gt;0,YEAR($F247)&lt;=DQ$4,YEAR($F247)&lt;Preisindex!$A$6),ROUND($E247*DR247,2),0))</f>
        <v>0</v>
      </c>
      <c r="DT247" s="53">
        <f t="shared" si="664"/>
        <v>0</v>
      </c>
      <c r="DU247" s="51">
        <f t="shared" si="753"/>
        <v>0</v>
      </c>
      <c r="DV247" s="51">
        <f t="shared" si="735"/>
        <v>0</v>
      </c>
      <c r="DW247" s="51">
        <f t="shared" si="665"/>
        <v>0</v>
      </c>
      <c r="DX247" s="51">
        <f t="shared" si="736"/>
        <v>0</v>
      </c>
      <c r="DY247" s="51">
        <f t="shared" si="666"/>
        <v>0</v>
      </c>
      <c r="DZ247" s="51">
        <f t="shared" si="737"/>
        <v>0</v>
      </c>
      <c r="EA247" s="51">
        <f t="shared" si="667"/>
        <v>0</v>
      </c>
      <c r="EB247" s="51">
        <f t="shared" si="738"/>
        <v>0</v>
      </c>
      <c r="EC247" s="51">
        <f t="shared" si="668"/>
        <v>0</v>
      </c>
      <c r="ED247" s="51">
        <f t="shared" si="739"/>
        <v>0</v>
      </c>
      <c r="EE247" s="51">
        <f t="shared" si="669"/>
        <v>0</v>
      </c>
      <c r="EF247" s="54">
        <f t="shared" si="670"/>
        <v>0</v>
      </c>
      <c r="EG247" s="55">
        <f t="shared" si="671"/>
        <v>0</v>
      </c>
      <c r="EH247" s="56">
        <f>IF(AND($E247&lt;&gt;0,$F247&gt;0,YEAR($F247)&gt;=Preisindex!$A$6,YEAR(EC$4)&gt;=YEAR($F247),AND($K247&lt;&gt;"a",$K247&lt;&gt;"b",$K247&lt;&gt;"g",$K247&lt;&gt;"k")),1,IF(AND($E247&lt;&gt;0,$F247&gt;0,YEAR($F247)&gt;=Preisindex!$A$6,YEAR(EC$4)&gt;=YEAR($F247),$K247="a"),ROUND(VLOOKUP(EH$4,Preisindex,5,FALSE)/VLOOKUP(YEAR($F247),Preisindex,5,FALSE),2),IF(AND($E247&lt;&gt;0,$F247&gt;0,YEAR($F247)&gt;=Preisindex!$A$6,YEAR(EC$4)&gt;=YEAR($F247),$K247="b"),ROUND(VLOOKUP(EH$4,Preisindex,3,FALSE)/VLOOKUP(YEAR($F247),Preisindex,3,FALSE),2),IF(AND($E247&lt;&gt;0,$F247&gt;0,YEAR($F247)&gt;=Preisindex!$A$6,YEAR(EC$4)&gt;=YEAR($F247),$K247="g"),ROUND(VLOOKUP(EH$4,Preisindex,4,FALSE)/VLOOKUP(YEAR($F247),Preisindex,4,FALSE),2),IF(AND($E247&lt;&gt;0,$F247&gt;0,YEAR($F247)&gt;=Preisindex!$A$6,YEAR(EC$4)&gt;=YEAR($F247),$K247="k"),ROUND(VLOOKUP(EH$4,Preisindex,2,FALSE)/VLOOKUP(YEAR($F247),Preisindex,2,FALSE),2),0)))))</f>
        <v>0</v>
      </c>
      <c r="EI247" s="56">
        <f>IF(AND($E247&lt;&gt;0,$F247&gt;0,YEAR($F247)&lt;Preisindex!$A$6,YEAR(EC$4)&gt;=YEAR($F247),AND($K247&lt;&gt;"a",$K247&lt;&gt;"b",$K247&lt;&gt;"g",$K247&lt;&gt;"k")),1,IF(AND($E247&lt;&gt;0,$F247&gt;0,YEAR($F247)&lt;Preisindex!$A$6,YEAR(EC$4)&gt;=YEAR($F247),$K247="a"),ROUND(VLOOKUP(EH$4,Preisindex,5,FALSE)/VLOOKUP(Preisindex!$A$6,Preisindex,5,FALSE),2),IF(AND($E247&lt;&gt;0,$F247&gt;0,YEAR($F247)&lt;Preisindex!$A$6,YEAR(EC$4)&gt;=YEAR($F247),$K247="b"),ROUND(VLOOKUP(EH$4,Preisindex,3,FALSE)/VLOOKUP(Preisindex!$A$6,Preisindex,3,FALSE),2),IF(AND($E247&lt;&gt;0,$F247&gt;0,YEAR($F247)&lt;Preisindex!$A$6,YEAR(EC$4)&gt;=YEAR($F247),$K247="g"),ROUND(VLOOKUP(EH$4,Preisindex,4,FALSE)/VLOOKUP(Preisindex!$A$6,Preisindex,4,FALSE),2),IF(AND($E247&lt;&gt;0,$F247&gt;0,YEAR($F247)&lt;Preisindex!$A$6,YEAR(EC$4)&gt;=YEAR($F247),$K247="k"),ROUND(VLOOKUP(EH$4,Preisindex,2,FALSE)/VLOOKUP(Preisindex!$A$6,Preisindex,2,FALSE),2),0)))))</f>
        <v>0</v>
      </c>
      <c r="EJ247" s="51">
        <f>IF(AND($E247&lt;&gt;0,$F247&gt;0,YEAR($F247)&lt;=EH$4,YEAR($F247)&gt;=Preisindex!$A$6),ROUND($E247*EH247,2),IF(AND($E247&lt;&gt;0,$F247&gt;0,YEAR($F247)&lt;=EH$4,YEAR($F247)&lt;Preisindex!$A$6),ROUND($E247*EI247,2),0))</f>
        <v>0</v>
      </c>
      <c r="EK247" s="53">
        <f t="shared" si="672"/>
        <v>0</v>
      </c>
      <c r="EL247" s="51">
        <f t="shared" si="753"/>
        <v>0</v>
      </c>
      <c r="EM247" s="51">
        <f t="shared" si="740"/>
        <v>0</v>
      </c>
      <c r="EN247" s="51">
        <f t="shared" si="673"/>
        <v>0</v>
      </c>
      <c r="EO247" s="51">
        <f t="shared" si="741"/>
        <v>0</v>
      </c>
      <c r="EP247" s="51">
        <f t="shared" si="674"/>
        <v>0</v>
      </c>
      <c r="EQ247" s="51">
        <f t="shared" si="742"/>
        <v>0</v>
      </c>
      <c r="ER247" s="51">
        <f t="shared" si="675"/>
        <v>0</v>
      </c>
      <c r="ES247" s="51">
        <f t="shared" si="743"/>
        <v>0</v>
      </c>
      <c r="ET247" s="51">
        <f t="shared" si="676"/>
        <v>0</v>
      </c>
      <c r="EU247" s="51">
        <f t="shared" si="744"/>
        <v>0</v>
      </c>
      <c r="EV247" s="51">
        <f t="shared" si="677"/>
        <v>0</v>
      </c>
      <c r="EW247" s="54">
        <f t="shared" si="678"/>
        <v>0</v>
      </c>
      <c r="EX247" s="55">
        <f t="shared" si="679"/>
        <v>0</v>
      </c>
      <c r="EY247" s="56">
        <f>IF(AND($E247&lt;&gt;0,$F247&gt;0,YEAR($F247)&gt;=Preisindex!$A$6,YEAR(ET$4)&gt;=YEAR($F247),AND($K247&lt;&gt;"a",$K247&lt;&gt;"b",$K247&lt;&gt;"g",$K247&lt;&gt;"k")),1,IF(AND($E247&lt;&gt;0,$F247&gt;0,YEAR($F247)&gt;=Preisindex!$A$6,YEAR(ET$4)&gt;=YEAR($F247),$K247="a"),ROUND(VLOOKUP(EY$4,Preisindex,5,FALSE)/VLOOKUP(YEAR($F247),Preisindex,5,FALSE),2),IF(AND($E247&lt;&gt;0,$F247&gt;0,YEAR($F247)&gt;=Preisindex!$A$6,YEAR(ET$4)&gt;=YEAR($F247),$K247="b"),ROUND(VLOOKUP(EY$4,Preisindex,3,FALSE)/VLOOKUP(YEAR($F247),Preisindex,3,FALSE),2),IF(AND($E247&lt;&gt;0,$F247&gt;0,YEAR($F247)&gt;=Preisindex!$A$6,YEAR(ET$4)&gt;=YEAR($F247),$K247="g"),ROUND(VLOOKUP(EY$4,Preisindex,4,FALSE)/VLOOKUP(YEAR($F247),Preisindex,4,FALSE),2),IF(AND($E247&lt;&gt;0,$F247&gt;0,YEAR($F247)&gt;=Preisindex!$A$6,YEAR(ET$4)&gt;=YEAR($F247),$K247="k"),ROUND(VLOOKUP(EY$4,Preisindex,2,FALSE)/VLOOKUP(YEAR($F247),Preisindex,2,FALSE),2),0)))))</f>
        <v>0</v>
      </c>
      <c r="EZ247" s="56">
        <f>IF(AND($E247&lt;&gt;0,$F247&gt;0,YEAR($F247)&lt;Preisindex!$A$6,YEAR(ET$4)&gt;=YEAR($F247),AND($K247&lt;&gt;"a",$K247&lt;&gt;"b",$K247&lt;&gt;"g",$K247&lt;&gt;"k")),1,IF(AND($E247&lt;&gt;0,$F247&gt;0,YEAR($F247)&lt;Preisindex!$A$6,YEAR(ET$4)&gt;=YEAR($F247),$K247="a"),ROUND(VLOOKUP(EY$4,Preisindex,5,FALSE)/VLOOKUP(Preisindex!$A$6,Preisindex,5,FALSE),2),IF(AND($E247&lt;&gt;0,$F247&gt;0,YEAR($F247)&lt;Preisindex!$A$6,YEAR(ET$4)&gt;=YEAR($F247),$K247="b"),ROUND(VLOOKUP(EY$4,Preisindex,3,FALSE)/VLOOKUP(Preisindex!$A$6,Preisindex,3,FALSE),2),IF(AND($E247&lt;&gt;0,$F247&gt;0,YEAR($F247)&lt;Preisindex!$A$6,YEAR(ET$4)&gt;=YEAR($F247),$K247="g"),ROUND(VLOOKUP(EY$4,Preisindex,4,FALSE)/VLOOKUP(Preisindex!$A$6,Preisindex,4,FALSE),2),IF(AND($E247&lt;&gt;0,$F247&gt;0,YEAR($F247)&lt;Preisindex!$A$6,YEAR(ET$4)&gt;=YEAR($F247),$K247="k"),ROUND(VLOOKUP(EY$4,Preisindex,2,FALSE)/VLOOKUP(Preisindex!$A$6,Preisindex,2,FALSE),2),0)))))</f>
        <v>0</v>
      </c>
      <c r="FA247" s="51">
        <f>IF(AND($E247&lt;&gt;0,$F247&gt;0,YEAR($F247)&lt;=EY$4,YEAR($F247)&gt;=Preisindex!$A$6),ROUND($E247*EY247,2),IF(AND($E247&lt;&gt;0,$F247&gt;0,YEAR($F247)&lt;=EY$4,YEAR($F247)&lt;Preisindex!$A$6),ROUND($E247*EZ247,2),0))</f>
        <v>0</v>
      </c>
      <c r="FB247" s="53">
        <f t="shared" si="680"/>
        <v>0</v>
      </c>
      <c r="FC247" s="51">
        <f t="shared" si="753"/>
        <v>0</v>
      </c>
      <c r="FD247" s="51">
        <f t="shared" si="745"/>
        <v>0</v>
      </c>
      <c r="FE247" s="51">
        <f t="shared" si="681"/>
        <v>0</v>
      </c>
      <c r="FF247" s="51">
        <f t="shared" si="746"/>
        <v>0</v>
      </c>
      <c r="FG247" s="51">
        <f t="shared" si="682"/>
        <v>0</v>
      </c>
      <c r="FH247" s="51">
        <f t="shared" si="747"/>
        <v>0</v>
      </c>
      <c r="FI247" s="51">
        <f t="shared" si="683"/>
        <v>0</v>
      </c>
      <c r="FJ247" s="51">
        <f t="shared" si="748"/>
        <v>0</v>
      </c>
      <c r="FK247" s="51">
        <f t="shared" si="684"/>
        <v>0</v>
      </c>
      <c r="FL247" s="51">
        <f t="shared" si="749"/>
        <v>0</v>
      </c>
      <c r="FM247" s="51">
        <f t="shared" si="685"/>
        <v>0</v>
      </c>
      <c r="FN247" s="54">
        <f t="shared" si="686"/>
        <v>0</v>
      </c>
      <c r="FO247" s="55">
        <f t="shared" si="687"/>
        <v>0</v>
      </c>
      <c r="FP247" s="56">
        <f>IF(AND($E247&lt;&gt;0,$F247&gt;0,YEAR($F247)&gt;=Preisindex!$A$6,YEAR(FK$4)&gt;=YEAR($F247),AND($K247&lt;&gt;"a",$K247&lt;&gt;"b",$K247&lt;&gt;"g",$K247&lt;&gt;"k")),1,IF(AND($E247&lt;&gt;0,$F247&gt;0,YEAR($F247)&gt;=Preisindex!$A$6,YEAR(FK$4)&gt;=YEAR($F247),$K247="a"),ROUND(VLOOKUP(FP$4,Preisindex,5,FALSE)/VLOOKUP(YEAR($F247),Preisindex,5,FALSE),2),IF(AND($E247&lt;&gt;0,$F247&gt;0,YEAR($F247)&gt;=Preisindex!$A$6,YEAR(FK$4)&gt;=YEAR($F247),$K247="b"),ROUND(VLOOKUP(FP$4,Preisindex,3,FALSE)/VLOOKUP(YEAR($F247),Preisindex,3,FALSE),2),IF(AND($E247&lt;&gt;0,$F247&gt;0,YEAR($F247)&gt;=Preisindex!$A$6,YEAR(FK$4)&gt;=YEAR($F247),$K247="g"),ROUND(VLOOKUP(FP$4,Preisindex,4,FALSE)/VLOOKUP(YEAR($F247),Preisindex,4,FALSE),2),IF(AND($E247&lt;&gt;0,$F247&gt;0,YEAR($F247)&gt;=Preisindex!$A$6,YEAR(FK$4)&gt;=YEAR($F247),$K247="k"),ROUND(VLOOKUP(FP$4,Preisindex,2,FALSE)/VLOOKUP(YEAR($F247),Preisindex,2,FALSE),2),0)))))</f>
        <v>0</v>
      </c>
      <c r="FQ247" s="56">
        <f>IF(AND($E247&lt;&gt;0,$F247&gt;0,YEAR($F247)&lt;Preisindex!$A$6,YEAR(FK$4)&gt;=YEAR($F247),AND($K247&lt;&gt;"a",$K247&lt;&gt;"b",$K247&lt;&gt;"g",$K247&lt;&gt;"k")),1,IF(AND($E247&lt;&gt;0,$F247&gt;0,YEAR($F247)&lt;Preisindex!$A$6,YEAR(FK$4)&gt;=YEAR($F247),$K247="a"),ROUND(VLOOKUP(FP$4,Preisindex,5,FALSE)/VLOOKUP(Preisindex!$A$6,Preisindex,5,FALSE),2),IF(AND($E247&lt;&gt;0,$F247&gt;0,YEAR($F247)&lt;Preisindex!$A$6,YEAR(FK$4)&gt;=YEAR($F247),$K247="b"),ROUND(VLOOKUP(FP$4,Preisindex,3,FALSE)/VLOOKUP(Preisindex!$A$6,Preisindex,3,FALSE),2),IF(AND($E247&lt;&gt;0,$F247&gt;0,YEAR($F247)&lt;Preisindex!$A$6,YEAR(FK$4)&gt;=YEAR($F247),$K247="g"),ROUND(VLOOKUP(FP$4,Preisindex,4,FALSE)/VLOOKUP(Preisindex!$A$6,Preisindex,4,FALSE),2),IF(AND($E247&lt;&gt;0,$F247&gt;0,YEAR($F247)&lt;Preisindex!$A$6,YEAR(FK$4)&gt;=YEAR($F247),$K247="k"),ROUND(VLOOKUP(FP$4,Preisindex,2,FALSE)/VLOOKUP(Preisindex!$A$6,Preisindex,2,FALSE),2),0)))))</f>
        <v>0</v>
      </c>
      <c r="FR247" s="51">
        <f>IF(AND($E247&lt;&gt;0,$F247&gt;0,YEAR($F247)&lt;=FP$4,YEAR($F247)&gt;=Preisindex!$A$6),ROUND($E247*FP247,2),IF(AND($E247&lt;&gt;0,$F247&gt;0,YEAR($F247)&lt;=FP$4,YEAR($F247)&lt;Preisindex!$A$6),ROUND($E247*FQ247,2),0))</f>
        <v>0</v>
      </c>
      <c r="FS247" s="53">
        <f t="shared" si="688"/>
        <v>0</v>
      </c>
    </row>
    <row r="248" spans="1:175" x14ac:dyDescent="0.3">
      <c r="A248" s="93"/>
      <c r="B248" s="94"/>
      <c r="C248" s="94"/>
      <c r="D248" s="188"/>
      <c r="E248" s="624"/>
      <c r="F248" s="190"/>
      <c r="G248" s="625"/>
      <c r="H248" s="192"/>
      <c r="I248" s="621"/>
      <c r="J248" s="103"/>
      <c r="K248" s="630"/>
      <c r="L248" s="49">
        <f t="shared" si="689"/>
        <v>0</v>
      </c>
      <c r="M248" s="50">
        <f t="shared" si="690"/>
        <v>0</v>
      </c>
      <c r="N248" s="51">
        <f t="shared" si="691"/>
        <v>0</v>
      </c>
      <c r="O248" s="51"/>
      <c r="P248" s="51">
        <f t="shared" si="692"/>
        <v>0</v>
      </c>
      <c r="Q248" s="52"/>
      <c r="R248" s="52"/>
      <c r="S248" s="52"/>
      <c r="T248" s="52"/>
      <c r="U248" s="52"/>
      <c r="V248" s="53">
        <f t="shared" si="693"/>
        <v>0</v>
      </c>
      <c r="W248" s="51">
        <f t="shared" si="694"/>
        <v>0</v>
      </c>
      <c r="X248" s="51">
        <f t="shared" si="695"/>
        <v>0</v>
      </c>
      <c r="Y248" s="51">
        <f t="shared" si="696"/>
        <v>0</v>
      </c>
      <c r="Z248" s="51">
        <f t="shared" si="697"/>
        <v>0</v>
      </c>
      <c r="AA248" s="51">
        <f t="shared" si="698"/>
        <v>0</v>
      </c>
      <c r="AB248" s="51">
        <f t="shared" si="699"/>
        <v>0</v>
      </c>
      <c r="AC248" s="51">
        <f t="shared" si="700"/>
        <v>0</v>
      </c>
      <c r="AD248" s="51">
        <f t="shared" si="701"/>
        <v>0</v>
      </c>
      <c r="AE248" s="51">
        <f t="shared" si="702"/>
        <v>0</v>
      </c>
      <c r="AF248" s="51">
        <f t="shared" si="703"/>
        <v>0</v>
      </c>
      <c r="AG248" s="51">
        <f t="shared" si="704"/>
        <v>0</v>
      </c>
      <c r="AH248" s="54">
        <f t="shared" si="705"/>
        <v>0</v>
      </c>
      <c r="AI248" s="55">
        <f t="shared" si="706"/>
        <v>0</v>
      </c>
      <c r="AJ248" s="56">
        <f>IF(AND($E248&lt;&gt;0,$F248&gt;0,YEAR($F248)&gt;=Preisindex!$A$6,YEAR(AE$4)&gt;=YEAR($F248),AND($K248&lt;&gt;"a",$K248&lt;&gt;"b",$K248&lt;&gt;"g",$K248&lt;&gt;"k")),1,IF(AND($E248&lt;&gt;0,$F248&gt;0,YEAR($F248)&gt;=Preisindex!$A$6,YEAR(AE$4)&gt;=YEAR($F248),$K248="a"),ROUND(VLOOKUP(AJ$4,Preisindex,5,FALSE)/VLOOKUP(YEAR($F248),Preisindex,5,FALSE),2),IF(AND($E248&lt;&gt;0,$F248&gt;0,YEAR($F248)&gt;=Preisindex!$A$6,YEAR(AE$4)&gt;=YEAR($F248),$K248="b"),ROUND(VLOOKUP(AJ$4,Preisindex,3,FALSE)/VLOOKUP(YEAR($F248),Preisindex,3,FALSE),2),IF(AND($E248&lt;&gt;0,$F248&gt;0,YEAR($F248)&gt;=Preisindex!$A$6,YEAR(AE$4)&gt;=YEAR($F248),$K248="g"),ROUND(VLOOKUP(AJ$4,Preisindex,4,FALSE)/VLOOKUP(YEAR($F248),Preisindex,4,FALSE),2),IF(AND($E248&lt;&gt;0,$F248&gt;0,YEAR($F248)&gt;=Preisindex!$A$6,YEAR(AE$4)&gt;=YEAR($F248),$K248="k"),ROUND(VLOOKUP(AJ$4,Preisindex,2,FALSE)/VLOOKUP(YEAR($F248),Preisindex,2,FALSE),2),0)))))</f>
        <v>0</v>
      </c>
      <c r="AK248" s="56">
        <f>IF(AND($E248&lt;&gt;0,$F248&gt;0,YEAR($F248)&lt;Preisindex!$A$6,YEAR(AE$4)&gt;=YEAR($F248),AND($K248&lt;&gt;"a",$K248&lt;&gt;"b",$K248&lt;&gt;"g",$K248&lt;&gt;"k")),1,IF(AND($E248&lt;&gt;0,$F248&gt;0,YEAR($F248)&lt;Preisindex!$A$6,YEAR(AE$4)&gt;=YEAR($F248),$K248="a"),ROUND(VLOOKUP(AJ$4,Preisindex,5,FALSE)/VLOOKUP(Preisindex!$A$6,Preisindex,5,FALSE),2),IF(AND($E248&lt;&gt;0,$F248&gt;0,YEAR($F248)&lt;Preisindex!$A$6,YEAR(AE$4)&gt;=YEAR($F248),$K248="b"),ROUND(VLOOKUP(AJ$4,Preisindex,3,FALSE)/VLOOKUP(Preisindex!$A$6,Preisindex,3,FALSE),2),IF(AND($E248&lt;&gt;0,$F248&gt;0,YEAR($F248)&lt;Preisindex!$A$6,YEAR(AE$4)&gt;=YEAR($F248),$K248="g"),ROUND(VLOOKUP(AJ$4,Preisindex,4,FALSE)/VLOOKUP(Preisindex!$A$6,Preisindex,4,FALSE),2),IF(AND($E248&lt;&gt;0,$F248&gt;0,YEAR($F248)&lt;Preisindex!$A$6,YEAR(AE$4)&gt;=YEAR($F248),$K248="k"),ROUND(VLOOKUP(AJ$4,Preisindex,2,FALSE)/VLOOKUP(Preisindex!$A$6,Preisindex,2,FALSE),2),0)))))</f>
        <v>0</v>
      </c>
      <c r="AL248" s="51">
        <f>IF(AND($E248&lt;&gt;0,$F248&gt;0,YEAR($F248)&lt;=AJ$4,YEAR($F248)&gt;=Preisindex!$A$6),ROUND($E248*AJ248,2),IF(AND($E248&lt;&gt;0,$F248&gt;0,YEAR($F248)&lt;=AJ$4,YEAR($F248)&lt;Preisindex!$A$6),ROUND($E248*AK248,2),0))</f>
        <v>0</v>
      </c>
      <c r="AM248" s="53">
        <f t="shared" si="707"/>
        <v>0</v>
      </c>
      <c r="AN248" s="51">
        <f t="shared" si="752"/>
        <v>0</v>
      </c>
      <c r="AO248" s="51">
        <f t="shared" si="710"/>
        <v>0</v>
      </c>
      <c r="AP248" s="51">
        <f t="shared" si="624"/>
        <v>0</v>
      </c>
      <c r="AQ248" s="51">
        <f t="shared" si="711"/>
        <v>0</v>
      </c>
      <c r="AR248" s="51">
        <f t="shared" si="625"/>
        <v>0</v>
      </c>
      <c r="AS248" s="51">
        <f t="shared" si="712"/>
        <v>0</v>
      </c>
      <c r="AT248" s="51">
        <f t="shared" si="626"/>
        <v>0</v>
      </c>
      <c r="AU248" s="51">
        <f t="shared" si="713"/>
        <v>0</v>
      </c>
      <c r="AV248" s="51">
        <f t="shared" si="627"/>
        <v>0</v>
      </c>
      <c r="AW248" s="51">
        <f t="shared" si="714"/>
        <v>0</v>
      </c>
      <c r="AX248" s="51">
        <f t="shared" si="628"/>
        <v>0</v>
      </c>
      <c r="AY248" s="54">
        <f t="shared" si="629"/>
        <v>0</v>
      </c>
      <c r="AZ248" s="55">
        <f t="shared" si="630"/>
        <v>0</v>
      </c>
      <c r="BA248" s="56">
        <f>IF(AND($E248&lt;&gt;0,$F248&gt;0,YEAR($F248)&gt;=Preisindex!$A$6,YEAR(AV$4)&gt;=YEAR($F248),AND($K248&lt;&gt;"a",$K248&lt;&gt;"b",$K248&lt;&gt;"g",$K248&lt;&gt;"k")),1,IF(AND($E248&lt;&gt;0,$F248&gt;0,YEAR($F248)&gt;=Preisindex!$A$6,YEAR(AV$4)&gt;=YEAR($F248),$K248="a"),ROUND(VLOOKUP(BA$4,Preisindex,5,FALSE)/VLOOKUP(YEAR($F248),Preisindex,5,FALSE),2),IF(AND($E248&lt;&gt;0,$F248&gt;0,YEAR($F248)&gt;=Preisindex!$A$6,YEAR(AV$4)&gt;=YEAR($F248),$K248="b"),ROUND(VLOOKUP(BA$4,Preisindex,3,FALSE)/VLOOKUP(YEAR($F248),Preisindex,3,FALSE),2),IF(AND($E248&lt;&gt;0,$F248&gt;0,YEAR($F248)&gt;=Preisindex!$A$6,YEAR(AV$4)&gt;=YEAR($F248),$K248="g"),ROUND(VLOOKUP(BA$4,Preisindex,4,FALSE)/VLOOKUP(YEAR($F248),Preisindex,4,FALSE),2),IF(AND($E248&lt;&gt;0,$F248&gt;0,YEAR($F248)&gt;=Preisindex!$A$6,YEAR(AV$4)&gt;=YEAR($F248),$K248="k"),ROUND(VLOOKUP(BA$4,Preisindex,2,FALSE)/VLOOKUP(YEAR($F248),Preisindex,2,FALSE),2),0)))))</f>
        <v>0</v>
      </c>
      <c r="BB248" s="56">
        <f>IF(AND($E248&lt;&gt;0,$F248&gt;0,YEAR($F248)&lt;Preisindex!$A$6,YEAR(AV$4)&gt;=YEAR($F248),AND($K248&lt;&gt;"a",$K248&lt;&gt;"b",$K248&lt;&gt;"g",$K248&lt;&gt;"k")),1,IF(AND($E248&lt;&gt;0,$F248&gt;0,YEAR($F248)&lt;Preisindex!$A$6,YEAR(AV$4)&gt;=YEAR($F248),$K248="a"),ROUND(VLOOKUP(BA$4,Preisindex,5,FALSE)/VLOOKUP(Preisindex!$A$6,Preisindex,5,FALSE),2),IF(AND($E248&lt;&gt;0,$F248&gt;0,YEAR($F248)&lt;Preisindex!$A$6,YEAR(AV$4)&gt;=YEAR($F248),$K248="b"),ROUND(VLOOKUP(BA$4,Preisindex,3,FALSE)/VLOOKUP(Preisindex!$A$6,Preisindex,3,FALSE),2),IF(AND($E248&lt;&gt;0,$F248&gt;0,YEAR($F248)&lt;Preisindex!$A$6,YEAR(AV$4)&gt;=YEAR($F248),$K248="g"),ROUND(VLOOKUP(BA$4,Preisindex,4,FALSE)/VLOOKUP(Preisindex!$A$6,Preisindex,4,FALSE),2),IF(AND($E248&lt;&gt;0,$F248&gt;0,YEAR($F248)&lt;Preisindex!$A$6,YEAR(AV$4)&gt;=YEAR($F248),$K248="k"),ROUND(VLOOKUP(BA$4,Preisindex,2,FALSE)/VLOOKUP(Preisindex!$A$6,Preisindex,2,FALSE),2),0)))))</f>
        <v>0</v>
      </c>
      <c r="BC248" s="51">
        <f>IF(AND($E248&lt;&gt;0,$F248&gt;0,YEAR($F248)&lt;=BA$4,YEAR($F248)&gt;=Preisindex!$A$6),ROUND($E248*BA248,2),IF(AND($E248&lt;&gt;0,$F248&gt;0,YEAR($F248)&lt;=BA$4,YEAR($F248)&lt;Preisindex!$A$6),ROUND($E248*BB248,2),0))</f>
        <v>0</v>
      </c>
      <c r="BD248" s="53">
        <f t="shared" si="631"/>
        <v>0</v>
      </c>
      <c r="BE248" s="51">
        <f t="shared" si="752"/>
        <v>0</v>
      </c>
      <c r="BF248" s="51">
        <f t="shared" si="715"/>
        <v>0</v>
      </c>
      <c r="BG248" s="51">
        <f t="shared" si="632"/>
        <v>0</v>
      </c>
      <c r="BH248" s="51">
        <f t="shared" si="716"/>
        <v>0</v>
      </c>
      <c r="BI248" s="51">
        <f t="shared" si="633"/>
        <v>0</v>
      </c>
      <c r="BJ248" s="51">
        <f t="shared" si="717"/>
        <v>0</v>
      </c>
      <c r="BK248" s="51">
        <f t="shared" si="634"/>
        <v>0</v>
      </c>
      <c r="BL248" s="51">
        <f t="shared" si="718"/>
        <v>0</v>
      </c>
      <c r="BM248" s="51">
        <f t="shared" si="635"/>
        <v>0</v>
      </c>
      <c r="BN248" s="51">
        <f t="shared" si="719"/>
        <v>0</v>
      </c>
      <c r="BO248" s="51">
        <f t="shared" si="636"/>
        <v>0</v>
      </c>
      <c r="BP248" s="54">
        <f t="shared" si="637"/>
        <v>0</v>
      </c>
      <c r="BQ248" s="55">
        <f t="shared" si="638"/>
        <v>0</v>
      </c>
      <c r="BR248" s="56">
        <f>IF(AND($E248&lt;&gt;0,$F248&gt;0,YEAR($F248)&gt;=Preisindex!$A$6,YEAR(BM$4)&gt;=YEAR($F248),AND($K248&lt;&gt;"a",$K248&lt;&gt;"b",$K248&lt;&gt;"g",$K248&lt;&gt;"k")),1,IF(AND($E248&lt;&gt;0,$F248&gt;0,YEAR($F248)&gt;=Preisindex!$A$6,YEAR(BM$4)&gt;=YEAR($F248),$K248="a"),ROUND(VLOOKUP(BR$4,Preisindex,5,FALSE)/VLOOKUP(YEAR($F248),Preisindex,5,FALSE),2),IF(AND($E248&lt;&gt;0,$F248&gt;0,YEAR($F248)&gt;=Preisindex!$A$6,YEAR(BM$4)&gt;=YEAR($F248),$K248="b"),ROUND(VLOOKUP(BR$4,Preisindex,3,FALSE)/VLOOKUP(YEAR($F248),Preisindex,3,FALSE),2),IF(AND($E248&lt;&gt;0,$F248&gt;0,YEAR($F248)&gt;=Preisindex!$A$6,YEAR(BM$4)&gt;=YEAR($F248),$K248="g"),ROUND(VLOOKUP(BR$4,Preisindex,4,FALSE)/VLOOKUP(YEAR($F248),Preisindex,4,FALSE),2),IF(AND($E248&lt;&gt;0,$F248&gt;0,YEAR($F248)&gt;=Preisindex!$A$6,YEAR(BM$4)&gt;=YEAR($F248),$K248="k"),ROUND(VLOOKUP(BR$4,Preisindex,2,FALSE)/VLOOKUP(YEAR($F248),Preisindex,2,FALSE),2),0)))))</f>
        <v>0</v>
      </c>
      <c r="BS248" s="56">
        <f>IF(AND($E248&lt;&gt;0,$F248&gt;0,YEAR($F248)&lt;Preisindex!$A$6,YEAR(BM$4)&gt;=YEAR($F248),AND($K248&lt;&gt;"a",$K248&lt;&gt;"b",$K248&lt;&gt;"g",$K248&lt;&gt;"k")),1,IF(AND($E248&lt;&gt;0,$F248&gt;0,YEAR($F248)&lt;Preisindex!$A$6,YEAR(BM$4)&gt;=YEAR($F248),$K248="a"),ROUND(VLOOKUP(BR$4,Preisindex,5,FALSE)/VLOOKUP(Preisindex!$A$6,Preisindex,5,FALSE),2),IF(AND($E248&lt;&gt;0,$F248&gt;0,YEAR($F248)&lt;Preisindex!$A$6,YEAR(BM$4)&gt;=YEAR($F248),$K248="b"),ROUND(VLOOKUP(BR$4,Preisindex,3,FALSE)/VLOOKUP(Preisindex!$A$6,Preisindex,3,FALSE),2),IF(AND($E248&lt;&gt;0,$F248&gt;0,YEAR($F248)&lt;Preisindex!$A$6,YEAR(BM$4)&gt;=YEAR($F248),$K248="g"),ROUND(VLOOKUP(BR$4,Preisindex,4,FALSE)/VLOOKUP(Preisindex!$A$6,Preisindex,4,FALSE),2),IF(AND($E248&lt;&gt;0,$F248&gt;0,YEAR($F248)&lt;Preisindex!$A$6,YEAR(BM$4)&gt;=YEAR($F248),$K248="k"),ROUND(VLOOKUP(BR$4,Preisindex,2,FALSE)/VLOOKUP(Preisindex!$A$6,Preisindex,2,FALSE),2),0)))))</f>
        <v>0</v>
      </c>
      <c r="BT248" s="51">
        <f>IF(AND($E248&lt;&gt;0,$F248&gt;0,YEAR($F248)&lt;=BR$4,YEAR($F248)&gt;=Preisindex!$A$6),ROUND($E248*BR248,2),IF(AND($E248&lt;&gt;0,$F248&gt;0,YEAR($F248)&lt;=BR$4,YEAR($F248)&lt;Preisindex!$A$6),ROUND($E248*BS248,2),0))</f>
        <v>0</v>
      </c>
      <c r="BU248" s="53">
        <f t="shared" si="639"/>
        <v>0</v>
      </c>
      <c r="BV248" s="51">
        <f t="shared" si="752"/>
        <v>0</v>
      </c>
      <c r="BW248" s="51">
        <f t="shared" si="720"/>
        <v>0</v>
      </c>
      <c r="BX248" s="51">
        <f t="shared" si="640"/>
        <v>0</v>
      </c>
      <c r="BY248" s="51">
        <f t="shared" si="721"/>
        <v>0</v>
      </c>
      <c r="BZ248" s="51">
        <f t="shared" si="641"/>
        <v>0</v>
      </c>
      <c r="CA248" s="51">
        <f t="shared" si="722"/>
        <v>0</v>
      </c>
      <c r="CB248" s="51">
        <f t="shared" si="642"/>
        <v>0</v>
      </c>
      <c r="CC248" s="51">
        <f t="shared" si="723"/>
        <v>0</v>
      </c>
      <c r="CD248" s="51">
        <f t="shared" si="643"/>
        <v>0</v>
      </c>
      <c r="CE248" s="51">
        <f t="shared" si="724"/>
        <v>0</v>
      </c>
      <c r="CF248" s="51">
        <f t="shared" si="644"/>
        <v>0</v>
      </c>
      <c r="CG248" s="54">
        <f t="shared" si="645"/>
        <v>0</v>
      </c>
      <c r="CH248" s="55">
        <f t="shared" si="646"/>
        <v>0</v>
      </c>
      <c r="CI248" s="56">
        <f>IF(AND($E248&lt;&gt;0,$F248&gt;0,YEAR($F248)&gt;=Preisindex!$A$6,YEAR(CD$4)&gt;=YEAR($F248),AND($K248&lt;&gt;"a",$K248&lt;&gt;"b",$K248&lt;&gt;"g",$K248&lt;&gt;"k")),1,IF(AND($E248&lt;&gt;0,$F248&gt;0,YEAR($F248)&gt;=Preisindex!$A$6,YEAR(CD$4)&gt;=YEAR($F248),$K248="a"),ROUND(VLOOKUP(CI$4,Preisindex,5,FALSE)/VLOOKUP(YEAR($F248),Preisindex,5,FALSE),2),IF(AND($E248&lt;&gt;0,$F248&gt;0,YEAR($F248)&gt;=Preisindex!$A$6,YEAR(CD$4)&gt;=YEAR($F248),$K248="b"),ROUND(VLOOKUP(CI$4,Preisindex,3,FALSE)/VLOOKUP(YEAR($F248),Preisindex,3,FALSE),2),IF(AND($E248&lt;&gt;0,$F248&gt;0,YEAR($F248)&gt;=Preisindex!$A$6,YEAR(CD$4)&gt;=YEAR($F248),$K248="g"),ROUND(VLOOKUP(CI$4,Preisindex,4,FALSE)/VLOOKUP(YEAR($F248),Preisindex,4,FALSE),2),IF(AND($E248&lt;&gt;0,$F248&gt;0,YEAR($F248)&gt;=Preisindex!$A$6,YEAR(CD$4)&gt;=YEAR($F248),$K248="k"),ROUND(VLOOKUP(CI$4,Preisindex,2,FALSE)/VLOOKUP(YEAR($F248),Preisindex,2,FALSE),2),0)))))</f>
        <v>0</v>
      </c>
      <c r="CJ248" s="56">
        <f>IF(AND($E248&lt;&gt;0,$F248&gt;0,YEAR($F248)&lt;Preisindex!$A$6,YEAR(CD$4)&gt;=YEAR($F248),AND($K248&lt;&gt;"a",$K248&lt;&gt;"b",$K248&lt;&gt;"g",$K248&lt;&gt;"k")),1,IF(AND($E248&lt;&gt;0,$F248&gt;0,YEAR($F248)&lt;Preisindex!$A$6,YEAR(CD$4)&gt;=YEAR($F248),$K248="a"),ROUND(VLOOKUP(CI$4,Preisindex,5,FALSE)/VLOOKUP(Preisindex!$A$6,Preisindex,5,FALSE),2),IF(AND($E248&lt;&gt;0,$F248&gt;0,YEAR($F248)&lt;Preisindex!$A$6,YEAR(CD$4)&gt;=YEAR($F248),$K248="b"),ROUND(VLOOKUP(CI$4,Preisindex,3,FALSE)/VLOOKUP(Preisindex!$A$6,Preisindex,3,FALSE),2),IF(AND($E248&lt;&gt;0,$F248&gt;0,YEAR($F248)&lt;Preisindex!$A$6,YEAR(CD$4)&gt;=YEAR($F248),$K248="g"),ROUND(VLOOKUP(CI$4,Preisindex,4,FALSE)/VLOOKUP(Preisindex!$A$6,Preisindex,4,FALSE),2),IF(AND($E248&lt;&gt;0,$F248&gt;0,YEAR($F248)&lt;Preisindex!$A$6,YEAR(CD$4)&gt;=YEAR($F248),$K248="k"),ROUND(VLOOKUP(CI$4,Preisindex,2,FALSE)/VLOOKUP(Preisindex!$A$6,Preisindex,2,FALSE),2),0)))))</f>
        <v>0</v>
      </c>
      <c r="CK248" s="51">
        <f>IF(AND($E248&lt;&gt;0,$F248&gt;0,YEAR($F248)&lt;=CI$4,YEAR($F248)&gt;=Preisindex!$A$6),ROUND($E248*CI248,2),IF(AND($E248&lt;&gt;0,$F248&gt;0,YEAR($F248)&lt;=CI$4,YEAR($F248)&lt;Preisindex!$A$6),ROUND($E248*CJ248,2),0))</f>
        <v>0</v>
      </c>
      <c r="CL248" s="53">
        <f t="shared" si="647"/>
        <v>0</v>
      </c>
      <c r="CM248" s="51">
        <f t="shared" si="752"/>
        <v>0</v>
      </c>
      <c r="CN248" s="51">
        <f t="shared" si="725"/>
        <v>0</v>
      </c>
      <c r="CO248" s="51">
        <f t="shared" si="648"/>
        <v>0</v>
      </c>
      <c r="CP248" s="51">
        <f t="shared" si="726"/>
        <v>0</v>
      </c>
      <c r="CQ248" s="51">
        <f t="shared" si="649"/>
        <v>0</v>
      </c>
      <c r="CR248" s="51">
        <f t="shared" si="727"/>
        <v>0</v>
      </c>
      <c r="CS248" s="51">
        <f t="shared" si="650"/>
        <v>0</v>
      </c>
      <c r="CT248" s="51">
        <f t="shared" si="728"/>
        <v>0</v>
      </c>
      <c r="CU248" s="51">
        <f t="shared" si="651"/>
        <v>0</v>
      </c>
      <c r="CV248" s="51">
        <f t="shared" si="729"/>
        <v>0</v>
      </c>
      <c r="CW248" s="51">
        <f t="shared" si="652"/>
        <v>0</v>
      </c>
      <c r="CX248" s="54">
        <f t="shared" si="653"/>
        <v>0</v>
      </c>
      <c r="CY248" s="55">
        <f t="shared" si="654"/>
        <v>0</v>
      </c>
      <c r="CZ248" s="56">
        <f>IF(AND($E248&lt;&gt;0,$F248&gt;0,YEAR($F248)&gt;=Preisindex!$A$6,YEAR(CU$4)&gt;=YEAR($F248),AND($K248&lt;&gt;"a",$K248&lt;&gt;"b",$K248&lt;&gt;"g",$K248&lt;&gt;"k")),1,IF(AND($E248&lt;&gt;0,$F248&gt;0,YEAR($F248)&gt;=Preisindex!$A$6,YEAR(CU$4)&gt;=YEAR($F248),$K248="a"),ROUND(VLOOKUP(CZ$4,Preisindex,5,FALSE)/VLOOKUP(YEAR($F248),Preisindex,5,FALSE),2),IF(AND($E248&lt;&gt;0,$F248&gt;0,YEAR($F248)&gt;=Preisindex!$A$6,YEAR(CU$4)&gt;=YEAR($F248),$K248="b"),ROUND(VLOOKUP(CZ$4,Preisindex,3,FALSE)/VLOOKUP(YEAR($F248),Preisindex,3,FALSE),2),IF(AND($E248&lt;&gt;0,$F248&gt;0,YEAR($F248)&gt;=Preisindex!$A$6,YEAR(CU$4)&gt;=YEAR($F248),$K248="g"),ROUND(VLOOKUP(CZ$4,Preisindex,4,FALSE)/VLOOKUP(YEAR($F248),Preisindex,4,FALSE),2),IF(AND($E248&lt;&gt;0,$F248&gt;0,YEAR($F248)&gt;=Preisindex!$A$6,YEAR(CU$4)&gt;=YEAR($F248),$K248="k"),ROUND(VLOOKUP(CZ$4,Preisindex,2,FALSE)/VLOOKUP(YEAR($F248),Preisindex,2,FALSE),2),0)))))</f>
        <v>0</v>
      </c>
      <c r="DA248" s="56">
        <f>IF(AND($E248&lt;&gt;0,$F248&gt;0,YEAR($F248)&lt;Preisindex!$A$6,YEAR(CU$4)&gt;=YEAR($F248),AND($K248&lt;&gt;"a",$K248&lt;&gt;"b",$K248&lt;&gt;"g",$K248&lt;&gt;"k")),1,IF(AND($E248&lt;&gt;0,$F248&gt;0,YEAR($F248)&lt;Preisindex!$A$6,YEAR(CU$4)&gt;=YEAR($F248),$K248="a"),ROUND(VLOOKUP(CZ$4,Preisindex,5,FALSE)/VLOOKUP(Preisindex!$A$6,Preisindex,5,FALSE),2),IF(AND($E248&lt;&gt;0,$F248&gt;0,YEAR($F248)&lt;Preisindex!$A$6,YEAR(CU$4)&gt;=YEAR($F248),$K248="b"),ROUND(VLOOKUP(CZ$4,Preisindex,3,FALSE)/VLOOKUP(Preisindex!$A$6,Preisindex,3,FALSE),2),IF(AND($E248&lt;&gt;0,$F248&gt;0,YEAR($F248)&lt;Preisindex!$A$6,YEAR(CU$4)&gt;=YEAR($F248),$K248="g"),ROUND(VLOOKUP(CZ$4,Preisindex,4,FALSE)/VLOOKUP(Preisindex!$A$6,Preisindex,4,FALSE),2),IF(AND($E248&lt;&gt;0,$F248&gt;0,YEAR($F248)&lt;Preisindex!$A$6,YEAR(CU$4)&gt;=YEAR($F248),$K248="k"),ROUND(VLOOKUP(CZ$4,Preisindex,2,FALSE)/VLOOKUP(Preisindex!$A$6,Preisindex,2,FALSE),2),0)))))</f>
        <v>0</v>
      </c>
      <c r="DB248" s="51">
        <f>IF(AND($E248&lt;&gt;0,$F248&gt;0,YEAR($F248)&lt;=CZ$4,YEAR($F248)&gt;=Preisindex!$A$6),ROUND($E248*CZ248,2),IF(AND($E248&lt;&gt;0,$F248&gt;0,YEAR($F248)&lt;=CZ$4,YEAR($F248)&lt;Preisindex!$A$6),ROUND($E248*DA248,2),0))</f>
        <v>0</v>
      </c>
      <c r="DC248" s="53">
        <f t="shared" si="655"/>
        <v>0</v>
      </c>
      <c r="DD248" s="51">
        <f t="shared" si="753"/>
        <v>0</v>
      </c>
      <c r="DE248" s="51">
        <f t="shared" si="730"/>
        <v>0</v>
      </c>
      <c r="DF248" s="51">
        <f t="shared" si="657"/>
        <v>0</v>
      </c>
      <c r="DG248" s="51">
        <f t="shared" si="731"/>
        <v>0</v>
      </c>
      <c r="DH248" s="51">
        <f t="shared" si="658"/>
        <v>0</v>
      </c>
      <c r="DI248" s="51">
        <f t="shared" si="732"/>
        <v>0</v>
      </c>
      <c r="DJ248" s="51">
        <f t="shared" si="659"/>
        <v>0</v>
      </c>
      <c r="DK248" s="51">
        <f t="shared" si="733"/>
        <v>0</v>
      </c>
      <c r="DL248" s="51">
        <f t="shared" si="660"/>
        <v>0</v>
      </c>
      <c r="DM248" s="51">
        <f t="shared" si="734"/>
        <v>0</v>
      </c>
      <c r="DN248" s="51">
        <f t="shared" si="661"/>
        <v>0</v>
      </c>
      <c r="DO248" s="54">
        <f t="shared" si="662"/>
        <v>0</v>
      </c>
      <c r="DP248" s="55">
        <f t="shared" si="663"/>
        <v>0</v>
      </c>
      <c r="DQ248" s="56">
        <f>IF(AND($E248&lt;&gt;0,$F248&gt;0,YEAR($F248)&gt;=Preisindex!$A$6,YEAR(DL$4)&gt;=YEAR($F248),AND($K248&lt;&gt;"a",$K248&lt;&gt;"b",$K248&lt;&gt;"g",$K248&lt;&gt;"k")),1,IF(AND($E248&lt;&gt;0,$F248&gt;0,YEAR($F248)&gt;=Preisindex!$A$6,YEAR(DL$4)&gt;=YEAR($F248),$K248="a"),ROUND(VLOOKUP(DQ$4,Preisindex,5,FALSE)/VLOOKUP(YEAR($F248),Preisindex,5,FALSE),2),IF(AND($E248&lt;&gt;0,$F248&gt;0,YEAR($F248)&gt;=Preisindex!$A$6,YEAR(DL$4)&gt;=YEAR($F248),$K248="b"),ROUND(VLOOKUP(DQ$4,Preisindex,3,FALSE)/VLOOKUP(YEAR($F248),Preisindex,3,FALSE),2),IF(AND($E248&lt;&gt;0,$F248&gt;0,YEAR($F248)&gt;=Preisindex!$A$6,YEAR(DL$4)&gt;=YEAR($F248),$K248="g"),ROUND(VLOOKUP(DQ$4,Preisindex,4,FALSE)/VLOOKUP(YEAR($F248),Preisindex,4,FALSE),2),IF(AND($E248&lt;&gt;0,$F248&gt;0,YEAR($F248)&gt;=Preisindex!$A$6,YEAR(DL$4)&gt;=YEAR($F248),$K248="k"),ROUND(VLOOKUP(DQ$4,Preisindex,2,FALSE)/VLOOKUP(YEAR($F248),Preisindex,2,FALSE),2),0)))))</f>
        <v>0</v>
      </c>
      <c r="DR248" s="56">
        <f>IF(AND($E248&lt;&gt;0,$F248&gt;0,YEAR($F248)&lt;Preisindex!$A$6,YEAR(DL$4)&gt;=YEAR($F248),AND($K248&lt;&gt;"a",$K248&lt;&gt;"b",$K248&lt;&gt;"g",$K248&lt;&gt;"k")),1,IF(AND($E248&lt;&gt;0,$F248&gt;0,YEAR($F248)&lt;Preisindex!$A$6,YEAR(DL$4)&gt;=YEAR($F248),$K248="a"),ROUND(VLOOKUP(DQ$4,Preisindex,5,FALSE)/VLOOKUP(Preisindex!$A$6,Preisindex,5,FALSE),2),IF(AND($E248&lt;&gt;0,$F248&gt;0,YEAR($F248)&lt;Preisindex!$A$6,YEAR(DL$4)&gt;=YEAR($F248),$K248="b"),ROUND(VLOOKUP(DQ$4,Preisindex,3,FALSE)/VLOOKUP(Preisindex!$A$6,Preisindex,3,FALSE),2),IF(AND($E248&lt;&gt;0,$F248&gt;0,YEAR($F248)&lt;Preisindex!$A$6,YEAR(DL$4)&gt;=YEAR($F248),$K248="g"),ROUND(VLOOKUP(DQ$4,Preisindex,4,FALSE)/VLOOKUP(Preisindex!$A$6,Preisindex,4,FALSE),2),IF(AND($E248&lt;&gt;0,$F248&gt;0,YEAR($F248)&lt;Preisindex!$A$6,YEAR(DL$4)&gt;=YEAR($F248),$K248="k"),ROUND(VLOOKUP(DQ$4,Preisindex,2,FALSE)/VLOOKUP(Preisindex!$A$6,Preisindex,2,FALSE),2),0)))))</f>
        <v>0</v>
      </c>
      <c r="DS248" s="51">
        <f>IF(AND($E248&lt;&gt;0,$F248&gt;0,YEAR($F248)&lt;=DQ$4,YEAR($F248)&gt;=Preisindex!$A$6),ROUND($E248*DQ248,2),IF(AND($E248&lt;&gt;0,$F248&gt;0,YEAR($F248)&lt;=DQ$4,YEAR($F248)&lt;Preisindex!$A$6),ROUND($E248*DR248,2),0))</f>
        <v>0</v>
      </c>
      <c r="DT248" s="53">
        <f t="shared" si="664"/>
        <v>0</v>
      </c>
      <c r="DU248" s="51">
        <f t="shared" si="753"/>
        <v>0</v>
      </c>
      <c r="DV248" s="51">
        <f t="shared" si="735"/>
        <v>0</v>
      </c>
      <c r="DW248" s="51">
        <f t="shared" si="665"/>
        <v>0</v>
      </c>
      <c r="DX248" s="51">
        <f t="shared" si="736"/>
        <v>0</v>
      </c>
      <c r="DY248" s="51">
        <f t="shared" si="666"/>
        <v>0</v>
      </c>
      <c r="DZ248" s="51">
        <f t="shared" si="737"/>
        <v>0</v>
      </c>
      <c r="EA248" s="51">
        <f t="shared" si="667"/>
        <v>0</v>
      </c>
      <c r="EB248" s="51">
        <f t="shared" si="738"/>
        <v>0</v>
      </c>
      <c r="EC248" s="51">
        <f t="shared" si="668"/>
        <v>0</v>
      </c>
      <c r="ED248" s="51">
        <f t="shared" si="739"/>
        <v>0</v>
      </c>
      <c r="EE248" s="51">
        <f t="shared" si="669"/>
        <v>0</v>
      </c>
      <c r="EF248" s="54">
        <f t="shared" si="670"/>
        <v>0</v>
      </c>
      <c r="EG248" s="55">
        <f t="shared" si="671"/>
        <v>0</v>
      </c>
      <c r="EH248" s="56">
        <f>IF(AND($E248&lt;&gt;0,$F248&gt;0,YEAR($F248)&gt;=Preisindex!$A$6,YEAR(EC$4)&gt;=YEAR($F248),AND($K248&lt;&gt;"a",$K248&lt;&gt;"b",$K248&lt;&gt;"g",$K248&lt;&gt;"k")),1,IF(AND($E248&lt;&gt;0,$F248&gt;0,YEAR($F248)&gt;=Preisindex!$A$6,YEAR(EC$4)&gt;=YEAR($F248),$K248="a"),ROUND(VLOOKUP(EH$4,Preisindex,5,FALSE)/VLOOKUP(YEAR($F248),Preisindex,5,FALSE),2),IF(AND($E248&lt;&gt;0,$F248&gt;0,YEAR($F248)&gt;=Preisindex!$A$6,YEAR(EC$4)&gt;=YEAR($F248),$K248="b"),ROUND(VLOOKUP(EH$4,Preisindex,3,FALSE)/VLOOKUP(YEAR($F248),Preisindex,3,FALSE),2),IF(AND($E248&lt;&gt;0,$F248&gt;0,YEAR($F248)&gt;=Preisindex!$A$6,YEAR(EC$4)&gt;=YEAR($F248),$K248="g"),ROUND(VLOOKUP(EH$4,Preisindex,4,FALSE)/VLOOKUP(YEAR($F248),Preisindex,4,FALSE),2),IF(AND($E248&lt;&gt;0,$F248&gt;0,YEAR($F248)&gt;=Preisindex!$A$6,YEAR(EC$4)&gt;=YEAR($F248),$K248="k"),ROUND(VLOOKUP(EH$4,Preisindex,2,FALSE)/VLOOKUP(YEAR($F248),Preisindex,2,FALSE),2),0)))))</f>
        <v>0</v>
      </c>
      <c r="EI248" s="56">
        <f>IF(AND($E248&lt;&gt;0,$F248&gt;0,YEAR($F248)&lt;Preisindex!$A$6,YEAR(EC$4)&gt;=YEAR($F248),AND($K248&lt;&gt;"a",$K248&lt;&gt;"b",$K248&lt;&gt;"g",$K248&lt;&gt;"k")),1,IF(AND($E248&lt;&gt;0,$F248&gt;0,YEAR($F248)&lt;Preisindex!$A$6,YEAR(EC$4)&gt;=YEAR($F248),$K248="a"),ROUND(VLOOKUP(EH$4,Preisindex,5,FALSE)/VLOOKUP(Preisindex!$A$6,Preisindex,5,FALSE),2),IF(AND($E248&lt;&gt;0,$F248&gt;0,YEAR($F248)&lt;Preisindex!$A$6,YEAR(EC$4)&gt;=YEAR($F248),$K248="b"),ROUND(VLOOKUP(EH$4,Preisindex,3,FALSE)/VLOOKUP(Preisindex!$A$6,Preisindex,3,FALSE),2),IF(AND($E248&lt;&gt;0,$F248&gt;0,YEAR($F248)&lt;Preisindex!$A$6,YEAR(EC$4)&gt;=YEAR($F248),$K248="g"),ROUND(VLOOKUP(EH$4,Preisindex,4,FALSE)/VLOOKUP(Preisindex!$A$6,Preisindex,4,FALSE),2),IF(AND($E248&lt;&gt;0,$F248&gt;0,YEAR($F248)&lt;Preisindex!$A$6,YEAR(EC$4)&gt;=YEAR($F248),$K248="k"),ROUND(VLOOKUP(EH$4,Preisindex,2,FALSE)/VLOOKUP(Preisindex!$A$6,Preisindex,2,FALSE),2),0)))))</f>
        <v>0</v>
      </c>
      <c r="EJ248" s="51">
        <f>IF(AND($E248&lt;&gt;0,$F248&gt;0,YEAR($F248)&lt;=EH$4,YEAR($F248)&gt;=Preisindex!$A$6),ROUND($E248*EH248,2),IF(AND($E248&lt;&gt;0,$F248&gt;0,YEAR($F248)&lt;=EH$4,YEAR($F248)&lt;Preisindex!$A$6),ROUND($E248*EI248,2),0))</f>
        <v>0</v>
      </c>
      <c r="EK248" s="53">
        <f t="shared" si="672"/>
        <v>0</v>
      </c>
      <c r="EL248" s="51">
        <f t="shared" si="753"/>
        <v>0</v>
      </c>
      <c r="EM248" s="51">
        <f t="shared" si="740"/>
        <v>0</v>
      </c>
      <c r="EN248" s="51">
        <f t="shared" si="673"/>
        <v>0</v>
      </c>
      <c r="EO248" s="51">
        <f t="shared" si="741"/>
        <v>0</v>
      </c>
      <c r="EP248" s="51">
        <f t="shared" si="674"/>
        <v>0</v>
      </c>
      <c r="EQ248" s="51">
        <f t="shared" si="742"/>
        <v>0</v>
      </c>
      <c r="ER248" s="51">
        <f t="shared" si="675"/>
        <v>0</v>
      </c>
      <c r="ES248" s="51">
        <f t="shared" si="743"/>
        <v>0</v>
      </c>
      <c r="ET248" s="51">
        <f t="shared" si="676"/>
        <v>0</v>
      </c>
      <c r="EU248" s="51">
        <f t="shared" si="744"/>
        <v>0</v>
      </c>
      <c r="EV248" s="51">
        <f t="shared" si="677"/>
        <v>0</v>
      </c>
      <c r="EW248" s="54">
        <f t="shared" si="678"/>
        <v>0</v>
      </c>
      <c r="EX248" s="55">
        <f t="shared" si="679"/>
        <v>0</v>
      </c>
      <c r="EY248" s="56">
        <f>IF(AND($E248&lt;&gt;0,$F248&gt;0,YEAR($F248)&gt;=Preisindex!$A$6,YEAR(ET$4)&gt;=YEAR($F248),AND($K248&lt;&gt;"a",$K248&lt;&gt;"b",$K248&lt;&gt;"g",$K248&lt;&gt;"k")),1,IF(AND($E248&lt;&gt;0,$F248&gt;0,YEAR($F248)&gt;=Preisindex!$A$6,YEAR(ET$4)&gt;=YEAR($F248),$K248="a"),ROUND(VLOOKUP(EY$4,Preisindex,5,FALSE)/VLOOKUP(YEAR($F248),Preisindex,5,FALSE),2),IF(AND($E248&lt;&gt;0,$F248&gt;0,YEAR($F248)&gt;=Preisindex!$A$6,YEAR(ET$4)&gt;=YEAR($F248),$K248="b"),ROUND(VLOOKUP(EY$4,Preisindex,3,FALSE)/VLOOKUP(YEAR($F248),Preisindex,3,FALSE),2),IF(AND($E248&lt;&gt;0,$F248&gt;0,YEAR($F248)&gt;=Preisindex!$A$6,YEAR(ET$4)&gt;=YEAR($F248),$K248="g"),ROUND(VLOOKUP(EY$4,Preisindex,4,FALSE)/VLOOKUP(YEAR($F248),Preisindex,4,FALSE),2),IF(AND($E248&lt;&gt;0,$F248&gt;0,YEAR($F248)&gt;=Preisindex!$A$6,YEAR(ET$4)&gt;=YEAR($F248),$K248="k"),ROUND(VLOOKUP(EY$4,Preisindex,2,FALSE)/VLOOKUP(YEAR($F248),Preisindex,2,FALSE),2),0)))))</f>
        <v>0</v>
      </c>
      <c r="EZ248" s="56">
        <f>IF(AND($E248&lt;&gt;0,$F248&gt;0,YEAR($F248)&lt;Preisindex!$A$6,YEAR(ET$4)&gt;=YEAR($F248),AND($K248&lt;&gt;"a",$K248&lt;&gt;"b",$K248&lt;&gt;"g",$K248&lt;&gt;"k")),1,IF(AND($E248&lt;&gt;0,$F248&gt;0,YEAR($F248)&lt;Preisindex!$A$6,YEAR(ET$4)&gt;=YEAR($F248),$K248="a"),ROUND(VLOOKUP(EY$4,Preisindex,5,FALSE)/VLOOKUP(Preisindex!$A$6,Preisindex,5,FALSE),2),IF(AND($E248&lt;&gt;0,$F248&gt;0,YEAR($F248)&lt;Preisindex!$A$6,YEAR(ET$4)&gt;=YEAR($F248),$K248="b"),ROUND(VLOOKUP(EY$4,Preisindex,3,FALSE)/VLOOKUP(Preisindex!$A$6,Preisindex,3,FALSE),2),IF(AND($E248&lt;&gt;0,$F248&gt;0,YEAR($F248)&lt;Preisindex!$A$6,YEAR(ET$4)&gt;=YEAR($F248),$K248="g"),ROUND(VLOOKUP(EY$4,Preisindex,4,FALSE)/VLOOKUP(Preisindex!$A$6,Preisindex,4,FALSE),2),IF(AND($E248&lt;&gt;0,$F248&gt;0,YEAR($F248)&lt;Preisindex!$A$6,YEAR(ET$4)&gt;=YEAR($F248),$K248="k"),ROUND(VLOOKUP(EY$4,Preisindex,2,FALSE)/VLOOKUP(Preisindex!$A$6,Preisindex,2,FALSE),2),0)))))</f>
        <v>0</v>
      </c>
      <c r="FA248" s="51">
        <f>IF(AND($E248&lt;&gt;0,$F248&gt;0,YEAR($F248)&lt;=EY$4,YEAR($F248)&gt;=Preisindex!$A$6),ROUND($E248*EY248,2),IF(AND($E248&lt;&gt;0,$F248&gt;0,YEAR($F248)&lt;=EY$4,YEAR($F248)&lt;Preisindex!$A$6),ROUND($E248*EZ248,2),0))</f>
        <v>0</v>
      </c>
      <c r="FB248" s="53">
        <f t="shared" si="680"/>
        <v>0</v>
      </c>
      <c r="FC248" s="51">
        <f t="shared" si="753"/>
        <v>0</v>
      </c>
      <c r="FD248" s="51">
        <f t="shared" si="745"/>
        <v>0</v>
      </c>
      <c r="FE248" s="51">
        <f t="shared" si="681"/>
        <v>0</v>
      </c>
      <c r="FF248" s="51">
        <f t="shared" si="746"/>
        <v>0</v>
      </c>
      <c r="FG248" s="51">
        <f t="shared" si="682"/>
        <v>0</v>
      </c>
      <c r="FH248" s="51">
        <f t="shared" si="747"/>
        <v>0</v>
      </c>
      <c r="FI248" s="51">
        <f t="shared" si="683"/>
        <v>0</v>
      </c>
      <c r="FJ248" s="51">
        <f t="shared" si="748"/>
        <v>0</v>
      </c>
      <c r="FK248" s="51">
        <f t="shared" si="684"/>
        <v>0</v>
      </c>
      <c r="FL248" s="51">
        <f t="shared" si="749"/>
        <v>0</v>
      </c>
      <c r="FM248" s="51">
        <f t="shared" si="685"/>
        <v>0</v>
      </c>
      <c r="FN248" s="54">
        <f t="shared" si="686"/>
        <v>0</v>
      </c>
      <c r="FO248" s="55">
        <f t="shared" si="687"/>
        <v>0</v>
      </c>
      <c r="FP248" s="56">
        <f>IF(AND($E248&lt;&gt;0,$F248&gt;0,YEAR($F248)&gt;=Preisindex!$A$6,YEAR(FK$4)&gt;=YEAR($F248),AND($K248&lt;&gt;"a",$K248&lt;&gt;"b",$K248&lt;&gt;"g",$K248&lt;&gt;"k")),1,IF(AND($E248&lt;&gt;0,$F248&gt;0,YEAR($F248)&gt;=Preisindex!$A$6,YEAR(FK$4)&gt;=YEAR($F248),$K248="a"),ROUND(VLOOKUP(FP$4,Preisindex,5,FALSE)/VLOOKUP(YEAR($F248),Preisindex,5,FALSE),2),IF(AND($E248&lt;&gt;0,$F248&gt;0,YEAR($F248)&gt;=Preisindex!$A$6,YEAR(FK$4)&gt;=YEAR($F248),$K248="b"),ROUND(VLOOKUP(FP$4,Preisindex,3,FALSE)/VLOOKUP(YEAR($F248),Preisindex,3,FALSE),2),IF(AND($E248&lt;&gt;0,$F248&gt;0,YEAR($F248)&gt;=Preisindex!$A$6,YEAR(FK$4)&gt;=YEAR($F248),$K248="g"),ROUND(VLOOKUP(FP$4,Preisindex,4,FALSE)/VLOOKUP(YEAR($F248),Preisindex,4,FALSE),2),IF(AND($E248&lt;&gt;0,$F248&gt;0,YEAR($F248)&gt;=Preisindex!$A$6,YEAR(FK$4)&gt;=YEAR($F248),$K248="k"),ROUND(VLOOKUP(FP$4,Preisindex,2,FALSE)/VLOOKUP(YEAR($F248),Preisindex,2,FALSE),2),0)))))</f>
        <v>0</v>
      </c>
      <c r="FQ248" s="56">
        <f>IF(AND($E248&lt;&gt;0,$F248&gt;0,YEAR($F248)&lt;Preisindex!$A$6,YEAR(FK$4)&gt;=YEAR($F248),AND($K248&lt;&gt;"a",$K248&lt;&gt;"b",$K248&lt;&gt;"g",$K248&lt;&gt;"k")),1,IF(AND($E248&lt;&gt;0,$F248&gt;0,YEAR($F248)&lt;Preisindex!$A$6,YEAR(FK$4)&gt;=YEAR($F248),$K248="a"),ROUND(VLOOKUP(FP$4,Preisindex,5,FALSE)/VLOOKUP(Preisindex!$A$6,Preisindex,5,FALSE),2),IF(AND($E248&lt;&gt;0,$F248&gt;0,YEAR($F248)&lt;Preisindex!$A$6,YEAR(FK$4)&gt;=YEAR($F248),$K248="b"),ROUND(VLOOKUP(FP$4,Preisindex,3,FALSE)/VLOOKUP(Preisindex!$A$6,Preisindex,3,FALSE),2),IF(AND($E248&lt;&gt;0,$F248&gt;0,YEAR($F248)&lt;Preisindex!$A$6,YEAR(FK$4)&gt;=YEAR($F248),$K248="g"),ROUND(VLOOKUP(FP$4,Preisindex,4,FALSE)/VLOOKUP(Preisindex!$A$6,Preisindex,4,FALSE),2),IF(AND($E248&lt;&gt;0,$F248&gt;0,YEAR($F248)&lt;Preisindex!$A$6,YEAR(FK$4)&gt;=YEAR($F248),$K248="k"),ROUND(VLOOKUP(FP$4,Preisindex,2,FALSE)/VLOOKUP(Preisindex!$A$6,Preisindex,2,FALSE),2),0)))))</f>
        <v>0</v>
      </c>
      <c r="FR248" s="51">
        <f>IF(AND($E248&lt;&gt;0,$F248&gt;0,YEAR($F248)&lt;=FP$4,YEAR($F248)&gt;=Preisindex!$A$6),ROUND($E248*FP248,2),IF(AND($E248&lt;&gt;0,$F248&gt;0,YEAR($F248)&lt;=FP$4,YEAR($F248)&lt;Preisindex!$A$6),ROUND($E248*FQ248,2),0))</f>
        <v>0</v>
      </c>
      <c r="FS248" s="53">
        <f t="shared" si="688"/>
        <v>0</v>
      </c>
    </row>
    <row r="249" spans="1:175" x14ac:dyDescent="0.3">
      <c r="A249" s="93"/>
      <c r="B249" s="94"/>
      <c r="C249" s="94"/>
      <c r="D249" s="188"/>
      <c r="E249" s="624"/>
      <c r="F249" s="190"/>
      <c r="G249" s="625"/>
      <c r="H249" s="192"/>
      <c r="I249" s="621"/>
      <c r="J249" s="103"/>
      <c r="K249" s="630"/>
      <c r="L249" s="49">
        <f t="shared" si="689"/>
        <v>0</v>
      </c>
      <c r="M249" s="50">
        <f t="shared" si="690"/>
        <v>0</v>
      </c>
      <c r="N249" s="51">
        <f t="shared" si="691"/>
        <v>0</v>
      </c>
      <c r="O249" s="51"/>
      <c r="P249" s="51">
        <f t="shared" si="692"/>
        <v>0</v>
      </c>
      <c r="Q249" s="52"/>
      <c r="R249" s="52"/>
      <c r="S249" s="52"/>
      <c r="T249" s="52"/>
      <c r="U249" s="52"/>
      <c r="V249" s="53">
        <f t="shared" si="693"/>
        <v>0</v>
      </c>
      <c r="W249" s="51">
        <f t="shared" si="694"/>
        <v>0</v>
      </c>
      <c r="X249" s="51">
        <f t="shared" si="695"/>
        <v>0</v>
      </c>
      <c r="Y249" s="51">
        <f t="shared" si="696"/>
        <v>0</v>
      </c>
      <c r="Z249" s="51">
        <f t="shared" si="697"/>
        <v>0</v>
      </c>
      <c r="AA249" s="51">
        <f t="shared" si="698"/>
        <v>0</v>
      </c>
      <c r="AB249" s="51">
        <f t="shared" si="699"/>
        <v>0</v>
      </c>
      <c r="AC249" s="51">
        <f t="shared" si="700"/>
        <v>0</v>
      </c>
      <c r="AD249" s="51">
        <f t="shared" si="701"/>
        <v>0</v>
      </c>
      <c r="AE249" s="51">
        <f t="shared" si="702"/>
        <v>0</v>
      </c>
      <c r="AF249" s="51">
        <f t="shared" si="703"/>
        <v>0</v>
      </c>
      <c r="AG249" s="51">
        <f t="shared" si="704"/>
        <v>0</v>
      </c>
      <c r="AH249" s="54">
        <f t="shared" si="705"/>
        <v>0</v>
      </c>
      <c r="AI249" s="55">
        <f t="shared" si="706"/>
        <v>0</v>
      </c>
      <c r="AJ249" s="56">
        <f>IF(AND($E249&lt;&gt;0,$F249&gt;0,YEAR($F249)&gt;=Preisindex!$A$6,YEAR(AE$4)&gt;=YEAR($F249),AND($K249&lt;&gt;"a",$K249&lt;&gt;"b",$K249&lt;&gt;"g",$K249&lt;&gt;"k")),1,IF(AND($E249&lt;&gt;0,$F249&gt;0,YEAR($F249)&gt;=Preisindex!$A$6,YEAR(AE$4)&gt;=YEAR($F249),$K249="a"),ROUND(VLOOKUP(AJ$4,Preisindex,5,FALSE)/VLOOKUP(YEAR($F249),Preisindex,5,FALSE),2),IF(AND($E249&lt;&gt;0,$F249&gt;0,YEAR($F249)&gt;=Preisindex!$A$6,YEAR(AE$4)&gt;=YEAR($F249),$K249="b"),ROUND(VLOOKUP(AJ$4,Preisindex,3,FALSE)/VLOOKUP(YEAR($F249),Preisindex,3,FALSE),2),IF(AND($E249&lt;&gt;0,$F249&gt;0,YEAR($F249)&gt;=Preisindex!$A$6,YEAR(AE$4)&gt;=YEAR($F249),$K249="g"),ROUND(VLOOKUP(AJ$4,Preisindex,4,FALSE)/VLOOKUP(YEAR($F249),Preisindex,4,FALSE),2),IF(AND($E249&lt;&gt;0,$F249&gt;0,YEAR($F249)&gt;=Preisindex!$A$6,YEAR(AE$4)&gt;=YEAR($F249),$K249="k"),ROUND(VLOOKUP(AJ$4,Preisindex,2,FALSE)/VLOOKUP(YEAR($F249),Preisindex,2,FALSE),2),0)))))</f>
        <v>0</v>
      </c>
      <c r="AK249" s="56">
        <f>IF(AND($E249&lt;&gt;0,$F249&gt;0,YEAR($F249)&lt;Preisindex!$A$6,YEAR(AE$4)&gt;=YEAR($F249),AND($K249&lt;&gt;"a",$K249&lt;&gt;"b",$K249&lt;&gt;"g",$K249&lt;&gt;"k")),1,IF(AND($E249&lt;&gt;0,$F249&gt;0,YEAR($F249)&lt;Preisindex!$A$6,YEAR(AE$4)&gt;=YEAR($F249),$K249="a"),ROUND(VLOOKUP(AJ$4,Preisindex,5,FALSE)/VLOOKUP(Preisindex!$A$6,Preisindex,5,FALSE),2),IF(AND($E249&lt;&gt;0,$F249&gt;0,YEAR($F249)&lt;Preisindex!$A$6,YEAR(AE$4)&gt;=YEAR($F249),$K249="b"),ROUND(VLOOKUP(AJ$4,Preisindex,3,FALSE)/VLOOKUP(Preisindex!$A$6,Preisindex,3,FALSE),2),IF(AND($E249&lt;&gt;0,$F249&gt;0,YEAR($F249)&lt;Preisindex!$A$6,YEAR(AE$4)&gt;=YEAR($F249),$K249="g"),ROUND(VLOOKUP(AJ$4,Preisindex,4,FALSE)/VLOOKUP(Preisindex!$A$6,Preisindex,4,FALSE),2),IF(AND($E249&lt;&gt;0,$F249&gt;0,YEAR($F249)&lt;Preisindex!$A$6,YEAR(AE$4)&gt;=YEAR($F249),$K249="k"),ROUND(VLOOKUP(AJ$4,Preisindex,2,FALSE)/VLOOKUP(Preisindex!$A$6,Preisindex,2,FALSE),2),0)))))</f>
        <v>0</v>
      </c>
      <c r="AL249" s="51">
        <f>IF(AND($E249&lt;&gt;0,$F249&gt;0,YEAR($F249)&lt;=AJ$4,YEAR($F249)&gt;=Preisindex!$A$6),ROUND($E249*AJ249,2),IF(AND($E249&lt;&gt;0,$F249&gt;0,YEAR($F249)&lt;=AJ$4,YEAR($F249)&lt;Preisindex!$A$6),ROUND($E249*AK249,2),0))</f>
        <v>0</v>
      </c>
      <c r="AM249" s="53">
        <f t="shared" si="707"/>
        <v>0</v>
      </c>
      <c r="AN249" s="51">
        <f t="shared" si="752"/>
        <v>0</v>
      </c>
      <c r="AO249" s="51">
        <f t="shared" si="710"/>
        <v>0</v>
      </c>
      <c r="AP249" s="51">
        <f t="shared" si="624"/>
        <v>0</v>
      </c>
      <c r="AQ249" s="51">
        <f t="shared" si="711"/>
        <v>0</v>
      </c>
      <c r="AR249" s="51">
        <f t="shared" si="625"/>
        <v>0</v>
      </c>
      <c r="AS249" s="51">
        <f t="shared" si="712"/>
        <v>0</v>
      </c>
      <c r="AT249" s="51">
        <f t="shared" si="626"/>
        <v>0</v>
      </c>
      <c r="AU249" s="51">
        <f t="shared" si="713"/>
        <v>0</v>
      </c>
      <c r="AV249" s="51">
        <f t="shared" si="627"/>
        <v>0</v>
      </c>
      <c r="AW249" s="51">
        <f t="shared" si="714"/>
        <v>0</v>
      </c>
      <c r="AX249" s="51">
        <f t="shared" si="628"/>
        <v>0</v>
      </c>
      <c r="AY249" s="54">
        <f t="shared" si="629"/>
        <v>0</v>
      </c>
      <c r="AZ249" s="55">
        <f t="shared" si="630"/>
        <v>0</v>
      </c>
      <c r="BA249" s="56">
        <f>IF(AND($E249&lt;&gt;0,$F249&gt;0,YEAR($F249)&gt;=Preisindex!$A$6,YEAR(AV$4)&gt;=YEAR($F249),AND($K249&lt;&gt;"a",$K249&lt;&gt;"b",$K249&lt;&gt;"g",$K249&lt;&gt;"k")),1,IF(AND($E249&lt;&gt;0,$F249&gt;0,YEAR($F249)&gt;=Preisindex!$A$6,YEAR(AV$4)&gt;=YEAR($F249),$K249="a"),ROUND(VLOOKUP(BA$4,Preisindex,5,FALSE)/VLOOKUP(YEAR($F249),Preisindex,5,FALSE),2),IF(AND($E249&lt;&gt;0,$F249&gt;0,YEAR($F249)&gt;=Preisindex!$A$6,YEAR(AV$4)&gt;=YEAR($F249),$K249="b"),ROUND(VLOOKUP(BA$4,Preisindex,3,FALSE)/VLOOKUP(YEAR($F249),Preisindex,3,FALSE),2),IF(AND($E249&lt;&gt;0,$F249&gt;0,YEAR($F249)&gt;=Preisindex!$A$6,YEAR(AV$4)&gt;=YEAR($F249),$K249="g"),ROUND(VLOOKUP(BA$4,Preisindex,4,FALSE)/VLOOKUP(YEAR($F249),Preisindex,4,FALSE),2),IF(AND($E249&lt;&gt;0,$F249&gt;0,YEAR($F249)&gt;=Preisindex!$A$6,YEAR(AV$4)&gt;=YEAR($F249),$K249="k"),ROUND(VLOOKUP(BA$4,Preisindex,2,FALSE)/VLOOKUP(YEAR($F249),Preisindex,2,FALSE),2),0)))))</f>
        <v>0</v>
      </c>
      <c r="BB249" s="56">
        <f>IF(AND($E249&lt;&gt;0,$F249&gt;0,YEAR($F249)&lt;Preisindex!$A$6,YEAR(AV$4)&gt;=YEAR($F249),AND($K249&lt;&gt;"a",$K249&lt;&gt;"b",$K249&lt;&gt;"g",$K249&lt;&gt;"k")),1,IF(AND($E249&lt;&gt;0,$F249&gt;0,YEAR($F249)&lt;Preisindex!$A$6,YEAR(AV$4)&gt;=YEAR($F249),$K249="a"),ROUND(VLOOKUP(BA$4,Preisindex,5,FALSE)/VLOOKUP(Preisindex!$A$6,Preisindex,5,FALSE),2),IF(AND($E249&lt;&gt;0,$F249&gt;0,YEAR($F249)&lt;Preisindex!$A$6,YEAR(AV$4)&gt;=YEAR($F249),$K249="b"),ROUND(VLOOKUP(BA$4,Preisindex,3,FALSE)/VLOOKUP(Preisindex!$A$6,Preisindex,3,FALSE),2),IF(AND($E249&lt;&gt;0,$F249&gt;0,YEAR($F249)&lt;Preisindex!$A$6,YEAR(AV$4)&gt;=YEAR($F249),$K249="g"),ROUND(VLOOKUP(BA$4,Preisindex,4,FALSE)/VLOOKUP(Preisindex!$A$6,Preisindex,4,FALSE),2),IF(AND($E249&lt;&gt;0,$F249&gt;0,YEAR($F249)&lt;Preisindex!$A$6,YEAR(AV$4)&gt;=YEAR($F249),$K249="k"),ROUND(VLOOKUP(BA$4,Preisindex,2,FALSE)/VLOOKUP(Preisindex!$A$6,Preisindex,2,FALSE),2),0)))))</f>
        <v>0</v>
      </c>
      <c r="BC249" s="51">
        <f>IF(AND($E249&lt;&gt;0,$F249&gt;0,YEAR($F249)&lt;=BA$4,YEAR($F249)&gt;=Preisindex!$A$6),ROUND($E249*BA249,2),IF(AND($E249&lt;&gt;0,$F249&gt;0,YEAR($F249)&lt;=BA$4,YEAR($F249)&lt;Preisindex!$A$6),ROUND($E249*BB249,2),0))</f>
        <v>0</v>
      </c>
      <c r="BD249" s="53">
        <f t="shared" si="631"/>
        <v>0</v>
      </c>
      <c r="BE249" s="51">
        <f t="shared" si="752"/>
        <v>0</v>
      </c>
      <c r="BF249" s="51">
        <f t="shared" si="715"/>
        <v>0</v>
      </c>
      <c r="BG249" s="51">
        <f t="shared" si="632"/>
        <v>0</v>
      </c>
      <c r="BH249" s="51">
        <f t="shared" si="716"/>
        <v>0</v>
      </c>
      <c r="BI249" s="51">
        <f t="shared" si="633"/>
        <v>0</v>
      </c>
      <c r="BJ249" s="51">
        <f t="shared" si="717"/>
        <v>0</v>
      </c>
      <c r="BK249" s="51">
        <f t="shared" si="634"/>
        <v>0</v>
      </c>
      <c r="BL249" s="51">
        <f t="shared" si="718"/>
        <v>0</v>
      </c>
      <c r="BM249" s="51">
        <f t="shared" si="635"/>
        <v>0</v>
      </c>
      <c r="BN249" s="51">
        <f t="shared" si="719"/>
        <v>0</v>
      </c>
      <c r="BO249" s="51">
        <f t="shared" si="636"/>
        <v>0</v>
      </c>
      <c r="BP249" s="54">
        <f t="shared" si="637"/>
        <v>0</v>
      </c>
      <c r="BQ249" s="55">
        <f t="shared" si="638"/>
        <v>0</v>
      </c>
      <c r="BR249" s="56">
        <f>IF(AND($E249&lt;&gt;0,$F249&gt;0,YEAR($F249)&gt;=Preisindex!$A$6,YEAR(BM$4)&gt;=YEAR($F249),AND($K249&lt;&gt;"a",$K249&lt;&gt;"b",$K249&lt;&gt;"g",$K249&lt;&gt;"k")),1,IF(AND($E249&lt;&gt;0,$F249&gt;0,YEAR($F249)&gt;=Preisindex!$A$6,YEAR(BM$4)&gt;=YEAR($F249),$K249="a"),ROUND(VLOOKUP(BR$4,Preisindex,5,FALSE)/VLOOKUP(YEAR($F249),Preisindex,5,FALSE),2),IF(AND($E249&lt;&gt;0,$F249&gt;0,YEAR($F249)&gt;=Preisindex!$A$6,YEAR(BM$4)&gt;=YEAR($F249),$K249="b"),ROUND(VLOOKUP(BR$4,Preisindex,3,FALSE)/VLOOKUP(YEAR($F249),Preisindex,3,FALSE),2),IF(AND($E249&lt;&gt;0,$F249&gt;0,YEAR($F249)&gt;=Preisindex!$A$6,YEAR(BM$4)&gt;=YEAR($F249),$K249="g"),ROUND(VLOOKUP(BR$4,Preisindex,4,FALSE)/VLOOKUP(YEAR($F249),Preisindex,4,FALSE),2),IF(AND($E249&lt;&gt;0,$F249&gt;0,YEAR($F249)&gt;=Preisindex!$A$6,YEAR(BM$4)&gt;=YEAR($F249),$K249="k"),ROUND(VLOOKUP(BR$4,Preisindex,2,FALSE)/VLOOKUP(YEAR($F249),Preisindex,2,FALSE),2),0)))))</f>
        <v>0</v>
      </c>
      <c r="BS249" s="56">
        <f>IF(AND($E249&lt;&gt;0,$F249&gt;0,YEAR($F249)&lt;Preisindex!$A$6,YEAR(BM$4)&gt;=YEAR($F249),AND($K249&lt;&gt;"a",$K249&lt;&gt;"b",$K249&lt;&gt;"g",$K249&lt;&gt;"k")),1,IF(AND($E249&lt;&gt;0,$F249&gt;0,YEAR($F249)&lt;Preisindex!$A$6,YEAR(BM$4)&gt;=YEAR($F249),$K249="a"),ROUND(VLOOKUP(BR$4,Preisindex,5,FALSE)/VLOOKUP(Preisindex!$A$6,Preisindex,5,FALSE),2),IF(AND($E249&lt;&gt;0,$F249&gt;0,YEAR($F249)&lt;Preisindex!$A$6,YEAR(BM$4)&gt;=YEAR($F249),$K249="b"),ROUND(VLOOKUP(BR$4,Preisindex,3,FALSE)/VLOOKUP(Preisindex!$A$6,Preisindex,3,FALSE),2),IF(AND($E249&lt;&gt;0,$F249&gt;0,YEAR($F249)&lt;Preisindex!$A$6,YEAR(BM$4)&gt;=YEAR($F249),$K249="g"),ROUND(VLOOKUP(BR$4,Preisindex,4,FALSE)/VLOOKUP(Preisindex!$A$6,Preisindex,4,FALSE),2),IF(AND($E249&lt;&gt;0,$F249&gt;0,YEAR($F249)&lt;Preisindex!$A$6,YEAR(BM$4)&gt;=YEAR($F249),$K249="k"),ROUND(VLOOKUP(BR$4,Preisindex,2,FALSE)/VLOOKUP(Preisindex!$A$6,Preisindex,2,FALSE),2),0)))))</f>
        <v>0</v>
      </c>
      <c r="BT249" s="51">
        <f>IF(AND($E249&lt;&gt;0,$F249&gt;0,YEAR($F249)&lt;=BR$4,YEAR($F249)&gt;=Preisindex!$A$6),ROUND($E249*BR249,2),IF(AND($E249&lt;&gt;0,$F249&gt;0,YEAR($F249)&lt;=BR$4,YEAR($F249)&lt;Preisindex!$A$6),ROUND($E249*BS249,2),0))</f>
        <v>0</v>
      </c>
      <c r="BU249" s="53">
        <f t="shared" si="639"/>
        <v>0</v>
      </c>
      <c r="BV249" s="51">
        <f t="shared" si="752"/>
        <v>0</v>
      </c>
      <c r="BW249" s="51">
        <f t="shared" si="720"/>
        <v>0</v>
      </c>
      <c r="BX249" s="51">
        <f t="shared" si="640"/>
        <v>0</v>
      </c>
      <c r="BY249" s="51">
        <f t="shared" si="721"/>
        <v>0</v>
      </c>
      <c r="BZ249" s="51">
        <f t="shared" si="641"/>
        <v>0</v>
      </c>
      <c r="CA249" s="51">
        <f t="shared" si="722"/>
        <v>0</v>
      </c>
      <c r="CB249" s="51">
        <f t="shared" si="642"/>
        <v>0</v>
      </c>
      <c r="CC249" s="51">
        <f t="shared" si="723"/>
        <v>0</v>
      </c>
      <c r="CD249" s="51">
        <f t="shared" si="643"/>
        <v>0</v>
      </c>
      <c r="CE249" s="51">
        <f t="shared" si="724"/>
        <v>0</v>
      </c>
      <c r="CF249" s="51">
        <f t="shared" si="644"/>
        <v>0</v>
      </c>
      <c r="CG249" s="54">
        <f t="shared" si="645"/>
        <v>0</v>
      </c>
      <c r="CH249" s="55">
        <f t="shared" si="646"/>
        <v>0</v>
      </c>
      <c r="CI249" s="56">
        <f>IF(AND($E249&lt;&gt;0,$F249&gt;0,YEAR($F249)&gt;=Preisindex!$A$6,YEAR(CD$4)&gt;=YEAR($F249),AND($K249&lt;&gt;"a",$K249&lt;&gt;"b",$K249&lt;&gt;"g",$K249&lt;&gt;"k")),1,IF(AND($E249&lt;&gt;0,$F249&gt;0,YEAR($F249)&gt;=Preisindex!$A$6,YEAR(CD$4)&gt;=YEAR($F249),$K249="a"),ROUND(VLOOKUP(CI$4,Preisindex,5,FALSE)/VLOOKUP(YEAR($F249),Preisindex,5,FALSE),2),IF(AND($E249&lt;&gt;0,$F249&gt;0,YEAR($F249)&gt;=Preisindex!$A$6,YEAR(CD$4)&gt;=YEAR($F249),$K249="b"),ROUND(VLOOKUP(CI$4,Preisindex,3,FALSE)/VLOOKUP(YEAR($F249),Preisindex,3,FALSE),2),IF(AND($E249&lt;&gt;0,$F249&gt;0,YEAR($F249)&gt;=Preisindex!$A$6,YEAR(CD$4)&gt;=YEAR($F249),$K249="g"),ROUND(VLOOKUP(CI$4,Preisindex,4,FALSE)/VLOOKUP(YEAR($F249),Preisindex,4,FALSE),2),IF(AND($E249&lt;&gt;0,$F249&gt;0,YEAR($F249)&gt;=Preisindex!$A$6,YEAR(CD$4)&gt;=YEAR($F249),$K249="k"),ROUND(VLOOKUP(CI$4,Preisindex,2,FALSE)/VLOOKUP(YEAR($F249),Preisindex,2,FALSE),2),0)))))</f>
        <v>0</v>
      </c>
      <c r="CJ249" s="56">
        <f>IF(AND($E249&lt;&gt;0,$F249&gt;0,YEAR($F249)&lt;Preisindex!$A$6,YEAR(CD$4)&gt;=YEAR($F249),AND($K249&lt;&gt;"a",$K249&lt;&gt;"b",$K249&lt;&gt;"g",$K249&lt;&gt;"k")),1,IF(AND($E249&lt;&gt;0,$F249&gt;0,YEAR($F249)&lt;Preisindex!$A$6,YEAR(CD$4)&gt;=YEAR($F249),$K249="a"),ROUND(VLOOKUP(CI$4,Preisindex,5,FALSE)/VLOOKUP(Preisindex!$A$6,Preisindex,5,FALSE),2),IF(AND($E249&lt;&gt;0,$F249&gt;0,YEAR($F249)&lt;Preisindex!$A$6,YEAR(CD$4)&gt;=YEAR($F249),$K249="b"),ROUND(VLOOKUP(CI$4,Preisindex,3,FALSE)/VLOOKUP(Preisindex!$A$6,Preisindex,3,FALSE),2),IF(AND($E249&lt;&gt;0,$F249&gt;0,YEAR($F249)&lt;Preisindex!$A$6,YEAR(CD$4)&gt;=YEAR($F249),$K249="g"),ROUND(VLOOKUP(CI$4,Preisindex,4,FALSE)/VLOOKUP(Preisindex!$A$6,Preisindex,4,FALSE),2),IF(AND($E249&lt;&gt;0,$F249&gt;0,YEAR($F249)&lt;Preisindex!$A$6,YEAR(CD$4)&gt;=YEAR($F249),$K249="k"),ROUND(VLOOKUP(CI$4,Preisindex,2,FALSE)/VLOOKUP(Preisindex!$A$6,Preisindex,2,FALSE),2),0)))))</f>
        <v>0</v>
      </c>
      <c r="CK249" s="51">
        <f>IF(AND($E249&lt;&gt;0,$F249&gt;0,YEAR($F249)&lt;=CI$4,YEAR($F249)&gt;=Preisindex!$A$6),ROUND($E249*CI249,2),IF(AND($E249&lt;&gt;0,$F249&gt;0,YEAR($F249)&lt;=CI$4,YEAR($F249)&lt;Preisindex!$A$6),ROUND($E249*CJ249,2),0))</f>
        <v>0</v>
      </c>
      <c r="CL249" s="53">
        <f t="shared" si="647"/>
        <v>0</v>
      </c>
      <c r="CM249" s="51">
        <f t="shared" si="752"/>
        <v>0</v>
      </c>
      <c r="CN249" s="51">
        <f t="shared" si="725"/>
        <v>0</v>
      </c>
      <c r="CO249" s="51">
        <f t="shared" si="648"/>
        <v>0</v>
      </c>
      <c r="CP249" s="51">
        <f t="shared" si="726"/>
        <v>0</v>
      </c>
      <c r="CQ249" s="51">
        <f t="shared" si="649"/>
        <v>0</v>
      </c>
      <c r="CR249" s="51">
        <f t="shared" si="727"/>
        <v>0</v>
      </c>
      <c r="CS249" s="51">
        <f t="shared" si="650"/>
        <v>0</v>
      </c>
      <c r="CT249" s="51">
        <f t="shared" si="728"/>
        <v>0</v>
      </c>
      <c r="CU249" s="51">
        <f t="shared" si="651"/>
        <v>0</v>
      </c>
      <c r="CV249" s="51">
        <f t="shared" si="729"/>
        <v>0</v>
      </c>
      <c r="CW249" s="51">
        <f t="shared" si="652"/>
        <v>0</v>
      </c>
      <c r="CX249" s="54">
        <f t="shared" si="653"/>
        <v>0</v>
      </c>
      <c r="CY249" s="55">
        <f t="shared" si="654"/>
        <v>0</v>
      </c>
      <c r="CZ249" s="56">
        <f>IF(AND($E249&lt;&gt;0,$F249&gt;0,YEAR($F249)&gt;=Preisindex!$A$6,YEAR(CU$4)&gt;=YEAR($F249),AND($K249&lt;&gt;"a",$K249&lt;&gt;"b",$K249&lt;&gt;"g",$K249&lt;&gt;"k")),1,IF(AND($E249&lt;&gt;0,$F249&gt;0,YEAR($F249)&gt;=Preisindex!$A$6,YEAR(CU$4)&gt;=YEAR($F249),$K249="a"),ROUND(VLOOKUP(CZ$4,Preisindex,5,FALSE)/VLOOKUP(YEAR($F249),Preisindex,5,FALSE),2),IF(AND($E249&lt;&gt;0,$F249&gt;0,YEAR($F249)&gt;=Preisindex!$A$6,YEAR(CU$4)&gt;=YEAR($F249),$K249="b"),ROUND(VLOOKUP(CZ$4,Preisindex,3,FALSE)/VLOOKUP(YEAR($F249),Preisindex,3,FALSE),2),IF(AND($E249&lt;&gt;0,$F249&gt;0,YEAR($F249)&gt;=Preisindex!$A$6,YEAR(CU$4)&gt;=YEAR($F249),$K249="g"),ROUND(VLOOKUP(CZ$4,Preisindex,4,FALSE)/VLOOKUP(YEAR($F249),Preisindex,4,FALSE),2),IF(AND($E249&lt;&gt;0,$F249&gt;0,YEAR($F249)&gt;=Preisindex!$A$6,YEAR(CU$4)&gt;=YEAR($F249),$K249="k"),ROUND(VLOOKUP(CZ$4,Preisindex,2,FALSE)/VLOOKUP(YEAR($F249),Preisindex,2,FALSE),2),0)))))</f>
        <v>0</v>
      </c>
      <c r="DA249" s="56">
        <f>IF(AND($E249&lt;&gt;0,$F249&gt;0,YEAR($F249)&lt;Preisindex!$A$6,YEAR(CU$4)&gt;=YEAR($F249),AND($K249&lt;&gt;"a",$K249&lt;&gt;"b",$K249&lt;&gt;"g",$K249&lt;&gt;"k")),1,IF(AND($E249&lt;&gt;0,$F249&gt;0,YEAR($F249)&lt;Preisindex!$A$6,YEAR(CU$4)&gt;=YEAR($F249),$K249="a"),ROUND(VLOOKUP(CZ$4,Preisindex,5,FALSE)/VLOOKUP(Preisindex!$A$6,Preisindex,5,FALSE),2),IF(AND($E249&lt;&gt;0,$F249&gt;0,YEAR($F249)&lt;Preisindex!$A$6,YEAR(CU$4)&gt;=YEAR($F249),$K249="b"),ROUND(VLOOKUP(CZ$4,Preisindex,3,FALSE)/VLOOKUP(Preisindex!$A$6,Preisindex,3,FALSE),2),IF(AND($E249&lt;&gt;0,$F249&gt;0,YEAR($F249)&lt;Preisindex!$A$6,YEAR(CU$4)&gt;=YEAR($F249),$K249="g"),ROUND(VLOOKUP(CZ$4,Preisindex,4,FALSE)/VLOOKUP(Preisindex!$A$6,Preisindex,4,FALSE),2),IF(AND($E249&lt;&gt;0,$F249&gt;0,YEAR($F249)&lt;Preisindex!$A$6,YEAR(CU$4)&gt;=YEAR($F249),$K249="k"),ROUND(VLOOKUP(CZ$4,Preisindex,2,FALSE)/VLOOKUP(Preisindex!$A$6,Preisindex,2,FALSE),2),0)))))</f>
        <v>0</v>
      </c>
      <c r="DB249" s="51">
        <f>IF(AND($E249&lt;&gt;0,$F249&gt;0,YEAR($F249)&lt;=CZ$4,YEAR($F249)&gt;=Preisindex!$A$6),ROUND($E249*CZ249,2),IF(AND($E249&lt;&gt;0,$F249&gt;0,YEAR($F249)&lt;=CZ$4,YEAR($F249)&lt;Preisindex!$A$6),ROUND($E249*DA249,2),0))</f>
        <v>0</v>
      </c>
      <c r="DC249" s="53">
        <f t="shared" si="655"/>
        <v>0</v>
      </c>
      <c r="DD249" s="51">
        <f t="shared" si="753"/>
        <v>0</v>
      </c>
      <c r="DE249" s="51">
        <f t="shared" si="730"/>
        <v>0</v>
      </c>
      <c r="DF249" s="51">
        <f t="shared" si="657"/>
        <v>0</v>
      </c>
      <c r="DG249" s="51">
        <f t="shared" si="731"/>
        <v>0</v>
      </c>
      <c r="DH249" s="51">
        <f t="shared" si="658"/>
        <v>0</v>
      </c>
      <c r="DI249" s="51">
        <f t="shared" si="732"/>
        <v>0</v>
      </c>
      <c r="DJ249" s="51">
        <f t="shared" si="659"/>
        <v>0</v>
      </c>
      <c r="DK249" s="51">
        <f t="shared" si="733"/>
        <v>0</v>
      </c>
      <c r="DL249" s="51">
        <f t="shared" si="660"/>
        <v>0</v>
      </c>
      <c r="DM249" s="51">
        <f t="shared" si="734"/>
        <v>0</v>
      </c>
      <c r="DN249" s="51">
        <f t="shared" si="661"/>
        <v>0</v>
      </c>
      <c r="DO249" s="54">
        <f t="shared" si="662"/>
        <v>0</v>
      </c>
      <c r="DP249" s="55">
        <f t="shared" si="663"/>
        <v>0</v>
      </c>
      <c r="DQ249" s="56">
        <f>IF(AND($E249&lt;&gt;0,$F249&gt;0,YEAR($F249)&gt;=Preisindex!$A$6,YEAR(DL$4)&gt;=YEAR($F249),AND($K249&lt;&gt;"a",$K249&lt;&gt;"b",$K249&lt;&gt;"g",$K249&lt;&gt;"k")),1,IF(AND($E249&lt;&gt;0,$F249&gt;0,YEAR($F249)&gt;=Preisindex!$A$6,YEAR(DL$4)&gt;=YEAR($F249),$K249="a"),ROUND(VLOOKUP(DQ$4,Preisindex,5,FALSE)/VLOOKUP(YEAR($F249),Preisindex,5,FALSE),2),IF(AND($E249&lt;&gt;0,$F249&gt;0,YEAR($F249)&gt;=Preisindex!$A$6,YEAR(DL$4)&gt;=YEAR($F249),$K249="b"),ROUND(VLOOKUP(DQ$4,Preisindex,3,FALSE)/VLOOKUP(YEAR($F249),Preisindex,3,FALSE),2),IF(AND($E249&lt;&gt;0,$F249&gt;0,YEAR($F249)&gt;=Preisindex!$A$6,YEAR(DL$4)&gt;=YEAR($F249),$K249="g"),ROUND(VLOOKUP(DQ$4,Preisindex,4,FALSE)/VLOOKUP(YEAR($F249),Preisindex,4,FALSE),2),IF(AND($E249&lt;&gt;0,$F249&gt;0,YEAR($F249)&gt;=Preisindex!$A$6,YEAR(DL$4)&gt;=YEAR($F249),$K249="k"),ROUND(VLOOKUP(DQ$4,Preisindex,2,FALSE)/VLOOKUP(YEAR($F249),Preisindex,2,FALSE),2),0)))))</f>
        <v>0</v>
      </c>
      <c r="DR249" s="56">
        <f>IF(AND($E249&lt;&gt;0,$F249&gt;0,YEAR($F249)&lt;Preisindex!$A$6,YEAR(DL$4)&gt;=YEAR($F249),AND($K249&lt;&gt;"a",$K249&lt;&gt;"b",$K249&lt;&gt;"g",$K249&lt;&gt;"k")),1,IF(AND($E249&lt;&gt;0,$F249&gt;0,YEAR($F249)&lt;Preisindex!$A$6,YEAR(DL$4)&gt;=YEAR($F249),$K249="a"),ROUND(VLOOKUP(DQ$4,Preisindex,5,FALSE)/VLOOKUP(Preisindex!$A$6,Preisindex,5,FALSE),2),IF(AND($E249&lt;&gt;0,$F249&gt;0,YEAR($F249)&lt;Preisindex!$A$6,YEAR(DL$4)&gt;=YEAR($F249),$K249="b"),ROUND(VLOOKUP(DQ$4,Preisindex,3,FALSE)/VLOOKUP(Preisindex!$A$6,Preisindex,3,FALSE),2),IF(AND($E249&lt;&gt;0,$F249&gt;0,YEAR($F249)&lt;Preisindex!$A$6,YEAR(DL$4)&gt;=YEAR($F249),$K249="g"),ROUND(VLOOKUP(DQ$4,Preisindex,4,FALSE)/VLOOKUP(Preisindex!$A$6,Preisindex,4,FALSE),2),IF(AND($E249&lt;&gt;0,$F249&gt;0,YEAR($F249)&lt;Preisindex!$A$6,YEAR(DL$4)&gt;=YEAR($F249),$K249="k"),ROUND(VLOOKUP(DQ$4,Preisindex,2,FALSE)/VLOOKUP(Preisindex!$A$6,Preisindex,2,FALSE),2),0)))))</f>
        <v>0</v>
      </c>
      <c r="DS249" s="51">
        <f>IF(AND($E249&lt;&gt;0,$F249&gt;0,YEAR($F249)&lt;=DQ$4,YEAR($F249)&gt;=Preisindex!$A$6),ROUND($E249*DQ249,2),IF(AND($E249&lt;&gt;0,$F249&gt;0,YEAR($F249)&lt;=DQ$4,YEAR($F249)&lt;Preisindex!$A$6),ROUND($E249*DR249,2),0))</f>
        <v>0</v>
      </c>
      <c r="DT249" s="53">
        <f t="shared" si="664"/>
        <v>0</v>
      </c>
      <c r="DU249" s="51">
        <f t="shared" si="753"/>
        <v>0</v>
      </c>
      <c r="DV249" s="51">
        <f t="shared" si="735"/>
        <v>0</v>
      </c>
      <c r="DW249" s="51">
        <f t="shared" si="665"/>
        <v>0</v>
      </c>
      <c r="DX249" s="51">
        <f t="shared" si="736"/>
        <v>0</v>
      </c>
      <c r="DY249" s="51">
        <f t="shared" si="666"/>
        <v>0</v>
      </c>
      <c r="DZ249" s="51">
        <f t="shared" si="737"/>
        <v>0</v>
      </c>
      <c r="EA249" s="51">
        <f t="shared" si="667"/>
        <v>0</v>
      </c>
      <c r="EB249" s="51">
        <f t="shared" si="738"/>
        <v>0</v>
      </c>
      <c r="EC249" s="51">
        <f t="shared" si="668"/>
        <v>0</v>
      </c>
      <c r="ED249" s="51">
        <f t="shared" si="739"/>
        <v>0</v>
      </c>
      <c r="EE249" s="51">
        <f t="shared" si="669"/>
        <v>0</v>
      </c>
      <c r="EF249" s="54">
        <f t="shared" si="670"/>
        <v>0</v>
      </c>
      <c r="EG249" s="55">
        <f t="shared" si="671"/>
        <v>0</v>
      </c>
      <c r="EH249" s="56">
        <f>IF(AND($E249&lt;&gt;0,$F249&gt;0,YEAR($F249)&gt;=Preisindex!$A$6,YEAR(EC$4)&gt;=YEAR($F249),AND($K249&lt;&gt;"a",$K249&lt;&gt;"b",$K249&lt;&gt;"g",$K249&lt;&gt;"k")),1,IF(AND($E249&lt;&gt;0,$F249&gt;0,YEAR($F249)&gt;=Preisindex!$A$6,YEAR(EC$4)&gt;=YEAR($F249),$K249="a"),ROUND(VLOOKUP(EH$4,Preisindex,5,FALSE)/VLOOKUP(YEAR($F249),Preisindex,5,FALSE),2),IF(AND($E249&lt;&gt;0,$F249&gt;0,YEAR($F249)&gt;=Preisindex!$A$6,YEAR(EC$4)&gt;=YEAR($F249),$K249="b"),ROUND(VLOOKUP(EH$4,Preisindex,3,FALSE)/VLOOKUP(YEAR($F249),Preisindex,3,FALSE),2),IF(AND($E249&lt;&gt;0,$F249&gt;0,YEAR($F249)&gt;=Preisindex!$A$6,YEAR(EC$4)&gt;=YEAR($F249),$K249="g"),ROUND(VLOOKUP(EH$4,Preisindex,4,FALSE)/VLOOKUP(YEAR($F249),Preisindex,4,FALSE),2),IF(AND($E249&lt;&gt;0,$F249&gt;0,YEAR($F249)&gt;=Preisindex!$A$6,YEAR(EC$4)&gt;=YEAR($F249),$K249="k"),ROUND(VLOOKUP(EH$4,Preisindex,2,FALSE)/VLOOKUP(YEAR($F249),Preisindex,2,FALSE),2),0)))))</f>
        <v>0</v>
      </c>
      <c r="EI249" s="56">
        <f>IF(AND($E249&lt;&gt;0,$F249&gt;0,YEAR($F249)&lt;Preisindex!$A$6,YEAR(EC$4)&gt;=YEAR($F249),AND($K249&lt;&gt;"a",$K249&lt;&gt;"b",$K249&lt;&gt;"g",$K249&lt;&gt;"k")),1,IF(AND($E249&lt;&gt;0,$F249&gt;0,YEAR($F249)&lt;Preisindex!$A$6,YEAR(EC$4)&gt;=YEAR($F249),$K249="a"),ROUND(VLOOKUP(EH$4,Preisindex,5,FALSE)/VLOOKUP(Preisindex!$A$6,Preisindex,5,FALSE),2),IF(AND($E249&lt;&gt;0,$F249&gt;0,YEAR($F249)&lt;Preisindex!$A$6,YEAR(EC$4)&gt;=YEAR($F249),$K249="b"),ROUND(VLOOKUP(EH$4,Preisindex,3,FALSE)/VLOOKUP(Preisindex!$A$6,Preisindex,3,FALSE),2),IF(AND($E249&lt;&gt;0,$F249&gt;0,YEAR($F249)&lt;Preisindex!$A$6,YEAR(EC$4)&gt;=YEAR($F249),$K249="g"),ROUND(VLOOKUP(EH$4,Preisindex,4,FALSE)/VLOOKUP(Preisindex!$A$6,Preisindex,4,FALSE),2),IF(AND($E249&lt;&gt;0,$F249&gt;0,YEAR($F249)&lt;Preisindex!$A$6,YEAR(EC$4)&gt;=YEAR($F249),$K249="k"),ROUND(VLOOKUP(EH$4,Preisindex,2,FALSE)/VLOOKUP(Preisindex!$A$6,Preisindex,2,FALSE),2),0)))))</f>
        <v>0</v>
      </c>
      <c r="EJ249" s="51">
        <f>IF(AND($E249&lt;&gt;0,$F249&gt;0,YEAR($F249)&lt;=EH$4,YEAR($F249)&gt;=Preisindex!$A$6),ROUND($E249*EH249,2),IF(AND($E249&lt;&gt;0,$F249&gt;0,YEAR($F249)&lt;=EH$4,YEAR($F249)&lt;Preisindex!$A$6),ROUND($E249*EI249,2),0))</f>
        <v>0</v>
      </c>
      <c r="EK249" s="53">
        <f t="shared" si="672"/>
        <v>0</v>
      </c>
      <c r="EL249" s="51">
        <f t="shared" si="753"/>
        <v>0</v>
      </c>
      <c r="EM249" s="51">
        <f t="shared" si="740"/>
        <v>0</v>
      </c>
      <c r="EN249" s="51">
        <f t="shared" si="673"/>
        <v>0</v>
      </c>
      <c r="EO249" s="51">
        <f t="shared" si="741"/>
        <v>0</v>
      </c>
      <c r="EP249" s="51">
        <f t="shared" si="674"/>
        <v>0</v>
      </c>
      <c r="EQ249" s="51">
        <f t="shared" si="742"/>
        <v>0</v>
      </c>
      <c r="ER249" s="51">
        <f t="shared" si="675"/>
        <v>0</v>
      </c>
      <c r="ES249" s="51">
        <f t="shared" si="743"/>
        <v>0</v>
      </c>
      <c r="ET249" s="51">
        <f t="shared" si="676"/>
        <v>0</v>
      </c>
      <c r="EU249" s="51">
        <f t="shared" si="744"/>
        <v>0</v>
      </c>
      <c r="EV249" s="51">
        <f t="shared" si="677"/>
        <v>0</v>
      </c>
      <c r="EW249" s="54">
        <f t="shared" si="678"/>
        <v>0</v>
      </c>
      <c r="EX249" s="55">
        <f t="shared" si="679"/>
        <v>0</v>
      </c>
      <c r="EY249" s="56">
        <f>IF(AND($E249&lt;&gt;0,$F249&gt;0,YEAR($F249)&gt;=Preisindex!$A$6,YEAR(ET$4)&gt;=YEAR($F249),AND($K249&lt;&gt;"a",$K249&lt;&gt;"b",$K249&lt;&gt;"g",$K249&lt;&gt;"k")),1,IF(AND($E249&lt;&gt;0,$F249&gt;0,YEAR($F249)&gt;=Preisindex!$A$6,YEAR(ET$4)&gt;=YEAR($F249),$K249="a"),ROUND(VLOOKUP(EY$4,Preisindex,5,FALSE)/VLOOKUP(YEAR($F249),Preisindex,5,FALSE),2),IF(AND($E249&lt;&gt;0,$F249&gt;0,YEAR($F249)&gt;=Preisindex!$A$6,YEAR(ET$4)&gt;=YEAR($F249),$K249="b"),ROUND(VLOOKUP(EY$4,Preisindex,3,FALSE)/VLOOKUP(YEAR($F249),Preisindex,3,FALSE),2),IF(AND($E249&lt;&gt;0,$F249&gt;0,YEAR($F249)&gt;=Preisindex!$A$6,YEAR(ET$4)&gt;=YEAR($F249),$K249="g"),ROUND(VLOOKUP(EY$4,Preisindex,4,FALSE)/VLOOKUP(YEAR($F249),Preisindex,4,FALSE),2),IF(AND($E249&lt;&gt;0,$F249&gt;0,YEAR($F249)&gt;=Preisindex!$A$6,YEAR(ET$4)&gt;=YEAR($F249),$K249="k"),ROUND(VLOOKUP(EY$4,Preisindex,2,FALSE)/VLOOKUP(YEAR($F249),Preisindex,2,FALSE),2),0)))))</f>
        <v>0</v>
      </c>
      <c r="EZ249" s="56">
        <f>IF(AND($E249&lt;&gt;0,$F249&gt;0,YEAR($F249)&lt;Preisindex!$A$6,YEAR(ET$4)&gt;=YEAR($F249),AND($K249&lt;&gt;"a",$K249&lt;&gt;"b",$K249&lt;&gt;"g",$K249&lt;&gt;"k")),1,IF(AND($E249&lt;&gt;0,$F249&gt;0,YEAR($F249)&lt;Preisindex!$A$6,YEAR(ET$4)&gt;=YEAR($F249),$K249="a"),ROUND(VLOOKUP(EY$4,Preisindex,5,FALSE)/VLOOKUP(Preisindex!$A$6,Preisindex,5,FALSE),2),IF(AND($E249&lt;&gt;0,$F249&gt;0,YEAR($F249)&lt;Preisindex!$A$6,YEAR(ET$4)&gt;=YEAR($F249),$K249="b"),ROUND(VLOOKUP(EY$4,Preisindex,3,FALSE)/VLOOKUP(Preisindex!$A$6,Preisindex,3,FALSE),2),IF(AND($E249&lt;&gt;0,$F249&gt;0,YEAR($F249)&lt;Preisindex!$A$6,YEAR(ET$4)&gt;=YEAR($F249),$K249="g"),ROUND(VLOOKUP(EY$4,Preisindex,4,FALSE)/VLOOKUP(Preisindex!$A$6,Preisindex,4,FALSE),2),IF(AND($E249&lt;&gt;0,$F249&gt;0,YEAR($F249)&lt;Preisindex!$A$6,YEAR(ET$4)&gt;=YEAR($F249),$K249="k"),ROUND(VLOOKUP(EY$4,Preisindex,2,FALSE)/VLOOKUP(Preisindex!$A$6,Preisindex,2,FALSE),2),0)))))</f>
        <v>0</v>
      </c>
      <c r="FA249" s="51">
        <f>IF(AND($E249&lt;&gt;0,$F249&gt;0,YEAR($F249)&lt;=EY$4,YEAR($F249)&gt;=Preisindex!$A$6),ROUND($E249*EY249,2),IF(AND($E249&lt;&gt;0,$F249&gt;0,YEAR($F249)&lt;=EY$4,YEAR($F249)&lt;Preisindex!$A$6),ROUND($E249*EZ249,2),0))</f>
        <v>0</v>
      </c>
      <c r="FB249" s="53">
        <f t="shared" si="680"/>
        <v>0</v>
      </c>
      <c r="FC249" s="51">
        <f t="shared" si="753"/>
        <v>0</v>
      </c>
      <c r="FD249" s="51">
        <f t="shared" si="745"/>
        <v>0</v>
      </c>
      <c r="FE249" s="51">
        <f t="shared" si="681"/>
        <v>0</v>
      </c>
      <c r="FF249" s="51">
        <f t="shared" si="746"/>
        <v>0</v>
      </c>
      <c r="FG249" s="51">
        <f t="shared" si="682"/>
        <v>0</v>
      </c>
      <c r="FH249" s="51">
        <f t="shared" si="747"/>
        <v>0</v>
      </c>
      <c r="FI249" s="51">
        <f t="shared" si="683"/>
        <v>0</v>
      </c>
      <c r="FJ249" s="51">
        <f t="shared" si="748"/>
        <v>0</v>
      </c>
      <c r="FK249" s="51">
        <f t="shared" si="684"/>
        <v>0</v>
      </c>
      <c r="FL249" s="51">
        <f t="shared" si="749"/>
        <v>0</v>
      </c>
      <c r="FM249" s="51">
        <f t="shared" si="685"/>
        <v>0</v>
      </c>
      <c r="FN249" s="54">
        <f t="shared" si="686"/>
        <v>0</v>
      </c>
      <c r="FO249" s="55">
        <f t="shared" si="687"/>
        <v>0</v>
      </c>
      <c r="FP249" s="56">
        <f>IF(AND($E249&lt;&gt;0,$F249&gt;0,YEAR($F249)&gt;=Preisindex!$A$6,YEAR(FK$4)&gt;=YEAR($F249),AND($K249&lt;&gt;"a",$K249&lt;&gt;"b",$K249&lt;&gt;"g",$K249&lt;&gt;"k")),1,IF(AND($E249&lt;&gt;0,$F249&gt;0,YEAR($F249)&gt;=Preisindex!$A$6,YEAR(FK$4)&gt;=YEAR($F249),$K249="a"),ROUND(VLOOKUP(FP$4,Preisindex,5,FALSE)/VLOOKUP(YEAR($F249),Preisindex,5,FALSE),2),IF(AND($E249&lt;&gt;0,$F249&gt;0,YEAR($F249)&gt;=Preisindex!$A$6,YEAR(FK$4)&gt;=YEAR($F249),$K249="b"),ROUND(VLOOKUP(FP$4,Preisindex,3,FALSE)/VLOOKUP(YEAR($F249),Preisindex,3,FALSE),2),IF(AND($E249&lt;&gt;0,$F249&gt;0,YEAR($F249)&gt;=Preisindex!$A$6,YEAR(FK$4)&gt;=YEAR($F249),$K249="g"),ROUND(VLOOKUP(FP$4,Preisindex,4,FALSE)/VLOOKUP(YEAR($F249),Preisindex,4,FALSE),2),IF(AND($E249&lt;&gt;0,$F249&gt;0,YEAR($F249)&gt;=Preisindex!$A$6,YEAR(FK$4)&gt;=YEAR($F249),$K249="k"),ROUND(VLOOKUP(FP$4,Preisindex,2,FALSE)/VLOOKUP(YEAR($F249),Preisindex,2,FALSE),2),0)))))</f>
        <v>0</v>
      </c>
      <c r="FQ249" s="56">
        <f>IF(AND($E249&lt;&gt;0,$F249&gt;0,YEAR($F249)&lt;Preisindex!$A$6,YEAR(FK$4)&gt;=YEAR($F249),AND($K249&lt;&gt;"a",$K249&lt;&gt;"b",$K249&lt;&gt;"g",$K249&lt;&gt;"k")),1,IF(AND($E249&lt;&gt;0,$F249&gt;0,YEAR($F249)&lt;Preisindex!$A$6,YEAR(FK$4)&gt;=YEAR($F249),$K249="a"),ROUND(VLOOKUP(FP$4,Preisindex,5,FALSE)/VLOOKUP(Preisindex!$A$6,Preisindex,5,FALSE),2),IF(AND($E249&lt;&gt;0,$F249&gt;0,YEAR($F249)&lt;Preisindex!$A$6,YEAR(FK$4)&gt;=YEAR($F249),$K249="b"),ROUND(VLOOKUP(FP$4,Preisindex,3,FALSE)/VLOOKUP(Preisindex!$A$6,Preisindex,3,FALSE),2),IF(AND($E249&lt;&gt;0,$F249&gt;0,YEAR($F249)&lt;Preisindex!$A$6,YEAR(FK$4)&gt;=YEAR($F249),$K249="g"),ROUND(VLOOKUP(FP$4,Preisindex,4,FALSE)/VLOOKUP(Preisindex!$A$6,Preisindex,4,FALSE),2),IF(AND($E249&lt;&gt;0,$F249&gt;0,YEAR($F249)&lt;Preisindex!$A$6,YEAR(FK$4)&gt;=YEAR($F249),$K249="k"),ROUND(VLOOKUP(FP$4,Preisindex,2,FALSE)/VLOOKUP(Preisindex!$A$6,Preisindex,2,FALSE),2),0)))))</f>
        <v>0</v>
      </c>
      <c r="FR249" s="51">
        <f>IF(AND($E249&lt;&gt;0,$F249&gt;0,YEAR($F249)&lt;=FP$4,YEAR($F249)&gt;=Preisindex!$A$6),ROUND($E249*FP249,2),IF(AND($E249&lt;&gt;0,$F249&gt;0,YEAR($F249)&lt;=FP$4,YEAR($F249)&lt;Preisindex!$A$6),ROUND($E249*FQ249,2),0))</f>
        <v>0</v>
      </c>
      <c r="FS249" s="53">
        <f t="shared" si="688"/>
        <v>0</v>
      </c>
    </row>
    <row r="250" spans="1:175" x14ac:dyDescent="0.3">
      <c r="A250" s="93"/>
      <c r="B250" s="94"/>
      <c r="C250" s="94"/>
      <c r="D250" s="188"/>
      <c r="E250" s="624"/>
      <c r="F250" s="190"/>
      <c r="G250" s="625"/>
      <c r="H250" s="192"/>
      <c r="I250" s="621"/>
      <c r="J250" s="103"/>
      <c r="K250" s="630"/>
      <c r="L250" s="49">
        <f t="shared" si="689"/>
        <v>0</v>
      </c>
      <c r="M250" s="50">
        <f t="shared" si="690"/>
        <v>0</v>
      </c>
      <c r="N250" s="51">
        <f t="shared" si="691"/>
        <v>0</v>
      </c>
      <c r="O250" s="51"/>
      <c r="P250" s="51">
        <f t="shared" si="692"/>
        <v>0</v>
      </c>
      <c r="Q250" s="52"/>
      <c r="R250" s="52"/>
      <c r="S250" s="52"/>
      <c r="T250" s="52"/>
      <c r="U250" s="52"/>
      <c r="V250" s="53">
        <f t="shared" si="693"/>
        <v>0</v>
      </c>
      <c r="W250" s="51">
        <f t="shared" si="694"/>
        <v>0</v>
      </c>
      <c r="X250" s="51">
        <f t="shared" si="695"/>
        <v>0</v>
      </c>
      <c r="Y250" s="51">
        <f t="shared" si="696"/>
        <v>0</v>
      </c>
      <c r="Z250" s="51">
        <f t="shared" si="697"/>
        <v>0</v>
      </c>
      <c r="AA250" s="51">
        <f t="shared" si="698"/>
        <v>0</v>
      </c>
      <c r="AB250" s="51">
        <f t="shared" si="699"/>
        <v>0</v>
      </c>
      <c r="AC250" s="51">
        <f t="shared" si="700"/>
        <v>0</v>
      </c>
      <c r="AD250" s="51">
        <f t="shared" si="701"/>
        <v>0</v>
      </c>
      <c r="AE250" s="51">
        <f t="shared" si="702"/>
        <v>0</v>
      </c>
      <c r="AF250" s="51">
        <f t="shared" si="703"/>
        <v>0</v>
      </c>
      <c r="AG250" s="51">
        <f t="shared" si="704"/>
        <v>0</v>
      </c>
      <c r="AH250" s="54">
        <f t="shared" si="705"/>
        <v>0</v>
      </c>
      <c r="AI250" s="55">
        <f t="shared" si="706"/>
        <v>0</v>
      </c>
      <c r="AJ250" s="56">
        <f>IF(AND($E250&lt;&gt;0,$F250&gt;0,YEAR($F250)&gt;=Preisindex!$A$6,YEAR(AE$4)&gt;=YEAR($F250),AND($K250&lt;&gt;"a",$K250&lt;&gt;"b",$K250&lt;&gt;"g",$K250&lt;&gt;"k")),1,IF(AND($E250&lt;&gt;0,$F250&gt;0,YEAR($F250)&gt;=Preisindex!$A$6,YEAR(AE$4)&gt;=YEAR($F250),$K250="a"),ROUND(VLOOKUP(AJ$4,Preisindex,5,FALSE)/VLOOKUP(YEAR($F250),Preisindex,5,FALSE),2),IF(AND($E250&lt;&gt;0,$F250&gt;0,YEAR($F250)&gt;=Preisindex!$A$6,YEAR(AE$4)&gt;=YEAR($F250),$K250="b"),ROUND(VLOOKUP(AJ$4,Preisindex,3,FALSE)/VLOOKUP(YEAR($F250),Preisindex,3,FALSE),2),IF(AND($E250&lt;&gt;0,$F250&gt;0,YEAR($F250)&gt;=Preisindex!$A$6,YEAR(AE$4)&gt;=YEAR($F250),$K250="g"),ROUND(VLOOKUP(AJ$4,Preisindex,4,FALSE)/VLOOKUP(YEAR($F250),Preisindex,4,FALSE),2),IF(AND($E250&lt;&gt;0,$F250&gt;0,YEAR($F250)&gt;=Preisindex!$A$6,YEAR(AE$4)&gt;=YEAR($F250),$K250="k"),ROUND(VLOOKUP(AJ$4,Preisindex,2,FALSE)/VLOOKUP(YEAR($F250),Preisindex,2,FALSE),2),0)))))</f>
        <v>0</v>
      </c>
      <c r="AK250" s="56">
        <f>IF(AND($E250&lt;&gt;0,$F250&gt;0,YEAR($F250)&lt;Preisindex!$A$6,YEAR(AE$4)&gt;=YEAR($F250),AND($K250&lt;&gt;"a",$K250&lt;&gt;"b",$K250&lt;&gt;"g",$K250&lt;&gt;"k")),1,IF(AND($E250&lt;&gt;0,$F250&gt;0,YEAR($F250)&lt;Preisindex!$A$6,YEAR(AE$4)&gt;=YEAR($F250),$K250="a"),ROUND(VLOOKUP(AJ$4,Preisindex,5,FALSE)/VLOOKUP(Preisindex!$A$6,Preisindex,5,FALSE),2),IF(AND($E250&lt;&gt;0,$F250&gt;0,YEAR($F250)&lt;Preisindex!$A$6,YEAR(AE$4)&gt;=YEAR($F250),$K250="b"),ROUND(VLOOKUP(AJ$4,Preisindex,3,FALSE)/VLOOKUP(Preisindex!$A$6,Preisindex,3,FALSE),2),IF(AND($E250&lt;&gt;0,$F250&gt;0,YEAR($F250)&lt;Preisindex!$A$6,YEAR(AE$4)&gt;=YEAR($F250),$K250="g"),ROUND(VLOOKUP(AJ$4,Preisindex,4,FALSE)/VLOOKUP(Preisindex!$A$6,Preisindex,4,FALSE),2),IF(AND($E250&lt;&gt;0,$F250&gt;0,YEAR($F250)&lt;Preisindex!$A$6,YEAR(AE$4)&gt;=YEAR($F250),$K250="k"),ROUND(VLOOKUP(AJ$4,Preisindex,2,FALSE)/VLOOKUP(Preisindex!$A$6,Preisindex,2,FALSE),2),0)))))</f>
        <v>0</v>
      </c>
      <c r="AL250" s="51">
        <f>IF(AND($E250&lt;&gt;0,$F250&gt;0,YEAR($F250)&lt;=AJ$4,YEAR($F250)&gt;=Preisindex!$A$6),ROUND($E250*AJ250,2),IF(AND($E250&lt;&gt;0,$F250&gt;0,YEAR($F250)&lt;=AJ$4,YEAR($F250)&lt;Preisindex!$A$6),ROUND($E250*AK250,2),0))</f>
        <v>0</v>
      </c>
      <c r="AM250" s="53">
        <f t="shared" si="707"/>
        <v>0</v>
      </c>
      <c r="AN250" s="51">
        <f t="shared" si="752"/>
        <v>0</v>
      </c>
      <c r="AO250" s="51">
        <f t="shared" si="710"/>
        <v>0</v>
      </c>
      <c r="AP250" s="51">
        <f t="shared" si="624"/>
        <v>0</v>
      </c>
      <c r="AQ250" s="51">
        <f t="shared" si="711"/>
        <v>0</v>
      </c>
      <c r="AR250" s="51">
        <f t="shared" si="625"/>
        <v>0</v>
      </c>
      <c r="AS250" s="51">
        <f t="shared" si="712"/>
        <v>0</v>
      </c>
      <c r="AT250" s="51">
        <f t="shared" si="626"/>
        <v>0</v>
      </c>
      <c r="AU250" s="51">
        <f t="shared" si="713"/>
        <v>0</v>
      </c>
      <c r="AV250" s="51">
        <f t="shared" si="627"/>
        <v>0</v>
      </c>
      <c r="AW250" s="51">
        <f t="shared" si="714"/>
        <v>0</v>
      </c>
      <c r="AX250" s="51">
        <f t="shared" si="628"/>
        <v>0</v>
      </c>
      <c r="AY250" s="54">
        <f t="shared" si="629"/>
        <v>0</v>
      </c>
      <c r="AZ250" s="55">
        <f t="shared" si="630"/>
        <v>0</v>
      </c>
      <c r="BA250" s="56">
        <f>IF(AND($E250&lt;&gt;0,$F250&gt;0,YEAR($F250)&gt;=Preisindex!$A$6,YEAR(AV$4)&gt;=YEAR($F250),AND($K250&lt;&gt;"a",$K250&lt;&gt;"b",$K250&lt;&gt;"g",$K250&lt;&gt;"k")),1,IF(AND($E250&lt;&gt;0,$F250&gt;0,YEAR($F250)&gt;=Preisindex!$A$6,YEAR(AV$4)&gt;=YEAR($F250),$K250="a"),ROUND(VLOOKUP(BA$4,Preisindex,5,FALSE)/VLOOKUP(YEAR($F250),Preisindex,5,FALSE),2),IF(AND($E250&lt;&gt;0,$F250&gt;0,YEAR($F250)&gt;=Preisindex!$A$6,YEAR(AV$4)&gt;=YEAR($F250),$K250="b"),ROUND(VLOOKUP(BA$4,Preisindex,3,FALSE)/VLOOKUP(YEAR($F250),Preisindex,3,FALSE),2),IF(AND($E250&lt;&gt;0,$F250&gt;0,YEAR($F250)&gt;=Preisindex!$A$6,YEAR(AV$4)&gt;=YEAR($F250),$K250="g"),ROUND(VLOOKUP(BA$4,Preisindex,4,FALSE)/VLOOKUP(YEAR($F250),Preisindex,4,FALSE),2),IF(AND($E250&lt;&gt;0,$F250&gt;0,YEAR($F250)&gt;=Preisindex!$A$6,YEAR(AV$4)&gt;=YEAR($F250),$K250="k"),ROUND(VLOOKUP(BA$4,Preisindex,2,FALSE)/VLOOKUP(YEAR($F250),Preisindex,2,FALSE),2),0)))))</f>
        <v>0</v>
      </c>
      <c r="BB250" s="56">
        <f>IF(AND($E250&lt;&gt;0,$F250&gt;0,YEAR($F250)&lt;Preisindex!$A$6,YEAR(AV$4)&gt;=YEAR($F250),AND($K250&lt;&gt;"a",$K250&lt;&gt;"b",$K250&lt;&gt;"g",$K250&lt;&gt;"k")),1,IF(AND($E250&lt;&gt;0,$F250&gt;0,YEAR($F250)&lt;Preisindex!$A$6,YEAR(AV$4)&gt;=YEAR($F250),$K250="a"),ROUND(VLOOKUP(BA$4,Preisindex,5,FALSE)/VLOOKUP(Preisindex!$A$6,Preisindex,5,FALSE),2),IF(AND($E250&lt;&gt;0,$F250&gt;0,YEAR($F250)&lt;Preisindex!$A$6,YEAR(AV$4)&gt;=YEAR($F250),$K250="b"),ROUND(VLOOKUP(BA$4,Preisindex,3,FALSE)/VLOOKUP(Preisindex!$A$6,Preisindex,3,FALSE),2),IF(AND($E250&lt;&gt;0,$F250&gt;0,YEAR($F250)&lt;Preisindex!$A$6,YEAR(AV$4)&gt;=YEAR($F250),$K250="g"),ROUND(VLOOKUP(BA$4,Preisindex,4,FALSE)/VLOOKUP(Preisindex!$A$6,Preisindex,4,FALSE),2),IF(AND($E250&lt;&gt;0,$F250&gt;0,YEAR($F250)&lt;Preisindex!$A$6,YEAR(AV$4)&gt;=YEAR($F250),$K250="k"),ROUND(VLOOKUP(BA$4,Preisindex,2,FALSE)/VLOOKUP(Preisindex!$A$6,Preisindex,2,FALSE),2),0)))))</f>
        <v>0</v>
      </c>
      <c r="BC250" s="51">
        <f>IF(AND($E250&lt;&gt;0,$F250&gt;0,YEAR($F250)&lt;=BA$4,YEAR($F250)&gt;=Preisindex!$A$6),ROUND($E250*BA250,2),IF(AND($E250&lt;&gt;0,$F250&gt;0,YEAR($F250)&lt;=BA$4,YEAR($F250)&lt;Preisindex!$A$6),ROUND($E250*BB250,2),0))</f>
        <v>0</v>
      </c>
      <c r="BD250" s="53">
        <f t="shared" si="631"/>
        <v>0</v>
      </c>
      <c r="BE250" s="51">
        <f t="shared" si="752"/>
        <v>0</v>
      </c>
      <c r="BF250" s="51">
        <f t="shared" si="715"/>
        <v>0</v>
      </c>
      <c r="BG250" s="51">
        <f t="shared" si="632"/>
        <v>0</v>
      </c>
      <c r="BH250" s="51">
        <f t="shared" si="716"/>
        <v>0</v>
      </c>
      <c r="BI250" s="51">
        <f t="shared" si="633"/>
        <v>0</v>
      </c>
      <c r="BJ250" s="51">
        <f t="shared" si="717"/>
        <v>0</v>
      </c>
      <c r="BK250" s="51">
        <f t="shared" si="634"/>
        <v>0</v>
      </c>
      <c r="BL250" s="51">
        <f t="shared" si="718"/>
        <v>0</v>
      </c>
      <c r="BM250" s="51">
        <f t="shared" si="635"/>
        <v>0</v>
      </c>
      <c r="BN250" s="51">
        <f t="shared" si="719"/>
        <v>0</v>
      </c>
      <c r="BO250" s="51">
        <f t="shared" si="636"/>
        <v>0</v>
      </c>
      <c r="BP250" s="54">
        <f t="shared" si="637"/>
        <v>0</v>
      </c>
      <c r="BQ250" s="55">
        <f t="shared" si="638"/>
        <v>0</v>
      </c>
      <c r="BR250" s="56">
        <f>IF(AND($E250&lt;&gt;0,$F250&gt;0,YEAR($F250)&gt;=Preisindex!$A$6,YEAR(BM$4)&gt;=YEAR($F250),AND($K250&lt;&gt;"a",$K250&lt;&gt;"b",$K250&lt;&gt;"g",$K250&lt;&gt;"k")),1,IF(AND($E250&lt;&gt;0,$F250&gt;0,YEAR($F250)&gt;=Preisindex!$A$6,YEAR(BM$4)&gt;=YEAR($F250),$K250="a"),ROUND(VLOOKUP(BR$4,Preisindex,5,FALSE)/VLOOKUP(YEAR($F250),Preisindex,5,FALSE),2),IF(AND($E250&lt;&gt;0,$F250&gt;0,YEAR($F250)&gt;=Preisindex!$A$6,YEAR(BM$4)&gt;=YEAR($F250),$K250="b"),ROUND(VLOOKUP(BR$4,Preisindex,3,FALSE)/VLOOKUP(YEAR($F250),Preisindex,3,FALSE),2),IF(AND($E250&lt;&gt;0,$F250&gt;0,YEAR($F250)&gt;=Preisindex!$A$6,YEAR(BM$4)&gt;=YEAR($F250),$K250="g"),ROUND(VLOOKUP(BR$4,Preisindex,4,FALSE)/VLOOKUP(YEAR($F250),Preisindex,4,FALSE),2),IF(AND($E250&lt;&gt;0,$F250&gt;0,YEAR($F250)&gt;=Preisindex!$A$6,YEAR(BM$4)&gt;=YEAR($F250),$K250="k"),ROUND(VLOOKUP(BR$4,Preisindex,2,FALSE)/VLOOKUP(YEAR($F250),Preisindex,2,FALSE),2),0)))))</f>
        <v>0</v>
      </c>
      <c r="BS250" s="56">
        <f>IF(AND($E250&lt;&gt;0,$F250&gt;0,YEAR($F250)&lt;Preisindex!$A$6,YEAR(BM$4)&gt;=YEAR($F250),AND($K250&lt;&gt;"a",$K250&lt;&gt;"b",$K250&lt;&gt;"g",$K250&lt;&gt;"k")),1,IF(AND($E250&lt;&gt;0,$F250&gt;0,YEAR($F250)&lt;Preisindex!$A$6,YEAR(BM$4)&gt;=YEAR($F250),$K250="a"),ROUND(VLOOKUP(BR$4,Preisindex,5,FALSE)/VLOOKUP(Preisindex!$A$6,Preisindex,5,FALSE),2),IF(AND($E250&lt;&gt;0,$F250&gt;0,YEAR($F250)&lt;Preisindex!$A$6,YEAR(BM$4)&gt;=YEAR($F250),$K250="b"),ROUND(VLOOKUP(BR$4,Preisindex,3,FALSE)/VLOOKUP(Preisindex!$A$6,Preisindex,3,FALSE),2),IF(AND($E250&lt;&gt;0,$F250&gt;0,YEAR($F250)&lt;Preisindex!$A$6,YEAR(BM$4)&gt;=YEAR($F250),$K250="g"),ROUND(VLOOKUP(BR$4,Preisindex,4,FALSE)/VLOOKUP(Preisindex!$A$6,Preisindex,4,FALSE),2),IF(AND($E250&lt;&gt;0,$F250&gt;0,YEAR($F250)&lt;Preisindex!$A$6,YEAR(BM$4)&gt;=YEAR($F250),$K250="k"),ROUND(VLOOKUP(BR$4,Preisindex,2,FALSE)/VLOOKUP(Preisindex!$A$6,Preisindex,2,FALSE),2),0)))))</f>
        <v>0</v>
      </c>
      <c r="BT250" s="51">
        <f>IF(AND($E250&lt;&gt;0,$F250&gt;0,YEAR($F250)&lt;=BR$4,YEAR($F250)&gt;=Preisindex!$A$6),ROUND($E250*BR250,2),IF(AND($E250&lt;&gt;0,$F250&gt;0,YEAR($F250)&lt;=BR$4,YEAR($F250)&lt;Preisindex!$A$6),ROUND($E250*BS250,2),0))</f>
        <v>0</v>
      </c>
      <c r="BU250" s="53">
        <f t="shared" si="639"/>
        <v>0</v>
      </c>
      <c r="BV250" s="51">
        <f t="shared" si="752"/>
        <v>0</v>
      </c>
      <c r="BW250" s="51">
        <f t="shared" si="720"/>
        <v>0</v>
      </c>
      <c r="BX250" s="51">
        <f t="shared" si="640"/>
        <v>0</v>
      </c>
      <c r="BY250" s="51">
        <f t="shared" si="721"/>
        <v>0</v>
      </c>
      <c r="BZ250" s="51">
        <f t="shared" si="641"/>
        <v>0</v>
      </c>
      <c r="CA250" s="51">
        <f t="shared" si="722"/>
        <v>0</v>
      </c>
      <c r="CB250" s="51">
        <f t="shared" si="642"/>
        <v>0</v>
      </c>
      <c r="CC250" s="51">
        <f t="shared" si="723"/>
        <v>0</v>
      </c>
      <c r="CD250" s="51">
        <f t="shared" si="643"/>
        <v>0</v>
      </c>
      <c r="CE250" s="51">
        <f t="shared" si="724"/>
        <v>0</v>
      </c>
      <c r="CF250" s="51">
        <f t="shared" si="644"/>
        <v>0</v>
      </c>
      <c r="CG250" s="54">
        <f t="shared" si="645"/>
        <v>0</v>
      </c>
      <c r="CH250" s="55">
        <f t="shared" si="646"/>
        <v>0</v>
      </c>
      <c r="CI250" s="56">
        <f>IF(AND($E250&lt;&gt;0,$F250&gt;0,YEAR($F250)&gt;=Preisindex!$A$6,YEAR(CD$4)&gt;=YEAR($F250),AND($K250&lt;&gt;"a",$K250&lt;&gt;"b",$K250&lt;&gt;"g",$K250&lt;&gt;"k")),1,IF(AND($E250&lt;&gt;0,$F250&gt;0,YEAR($F250)&gt;=Preisindex!$A$6,YEAR(CD$4)&gt;=YEAR($F250),$K250="a"),ROUND(VLOOKUP(CI$4,Preisindex,5,FALSE)/VLOOKUP(YEAR($F250),Preisindex,5,FALSE),2),IF(AND($E250&lt;&gt;0,$F250&gt;0,YEAR($F250)&gt;=Preisindex!$A$6,YEAR(CD$4)&gt;=YEAR($F250),$K250="b"),ROUND(VLOOKUP(CI$4,Preisindex,3,FALSE)/VLOOKUP(YEAR($F250),Preisindex,3,FALSE),2),IF(AND($E250&lt;&gt;0,$F250&gt;0,YEAR($F250)&gt;=Preisindex!$A$6,YEAR(CD$4)&gt;=YEAR($F250),$K250="g"),ROUND(VLOOKUP(CI$4,Preisindex,4,FALSE)/VLOOKUP(YEAR($F250),Preisindex,4,FALSE),2),IF(AND($E250&lt;&gt;0,$F250&gt;0,YEAR($F250)&gt;=Preisindex!$A$6,YEAR(CD$4)&gt;=YEAR($F250),$K250="k"),ROUND(VLOOKUP(CI$4,Preisindex,2,FALSE)/VLOOKUP(YEAR($F250),Preisindex,2,FALSE),2),0)))))</f>
        <v>0</v>
      </c>
      <c r="CJ250" s="56">
        <f>IF(AND($E250&lt;&gt;0,$F250&gt;0,YEAR($F250)&lt;Preisindex!$A$6,YEAR(CD$4)&gt;=YEAR($F250),AND($K250&lt;&gt;"a",$K250&lt;&gt;"b",$K250&lt;&gt;"g",$K250&lt;&gt;"k")),1,IF(AND($E250&lt;&gt;0,$F250&gt;0,YEAR($F250)&lt;Preisindex!$A$6,YEAR(CD$4)&gt;=YEAR($F250),$K250="a"),ROUND(VLOOKUP(CI$4,Preisindex,5,FALSE)/VLOOKUP(Preisindex!$A$6,Preisindex,5,FALSE),2),IF(AND($E250&lt;&gt;0,$F250&gt;0,YEAR($F250)&lt;Preisindex!$A$6,YEAR(CD$4)&gt;=YEAR($F250),$K250="b"),ROUND(VLOOKUP(CI$4,Preisindex,3,FALSE)/VLOOKUP(Preisindex!$A$6,Preisindex,3,FALSE),2),IF(AND($E250&lt;&gt;0,$F250&gt;0,YEAR($F250)&lt;Preisindex!$A$6,YEAR(CD$4)&gt;=YEAR($F250),$K250="g"),ROUND(VLOOKUP(CI$4,Preisindex,4,FALSE)/VLOOKUP(Preisindex!$A$6,Preisindex,4,FALSE),2),IF(AND($E250&lt;&gt;0,$F250&gt;0,YEAR($F250)&lt;Preisindex!$A$6,YEAR(CD$4)&gt;=YEAR($F250),$K250="k"),ROUND(VLOOKUP(CI$4,Preisindex,2,FALSE)/VLOOKUP(Preisindex!$A$6,Preisindex,2,FALSE),2),0)))))</f>
        <v>0</v>
      </c>
      <c r="CK250" s="51">
        <f>IF(AND($E250&lt;&gt;0,$F250&gt;0,YEAR($F250)&lt;=CI$4,YEAR($F250)&gt;=Preisindex!$A$6),ROUND($E250*CI250,2),IF(AND($E250&lt;&gt;0,$F250&gt;0,YEAR($F250)&lt;=CI$4,YEAR($F250)&lt;Preisindex!$A$6),ROUND($E250*CJ250,2),0))</f>
        <v>0</v>
      </c>
      <c r="CL250" s="53">
        <f t="shared" si="647"/>
        <v>0</v>
      </c>
      <c r="CM250" s="51">
        <f t="shared" si="752"/>
        <v>0</v>
      </c>
      <c r="CN250" s="51">
        <f t="shared" si="725"/>
        <v>0</v>
      </c>
      <c r="CO250" s="51">
        <f t="shared" si="648"/>
        <v>0</v>
      </c>
      <c r="CP250" s="51">
        <f t="shared" si="726"/>
        <v>0</v>
      </c>
      <c r="CQ250" s="51">
        <f t="shared" si="649"/>
        <v>0</v>
      </c>
      <c r="CR250" s="51">
        <f t="shared" si="727"/>
        <v>0</v>
      </c>
      <c r="CS250" s="51">
        <f t="shared" si="650"/>
        <v>0</v>
      </c>
      <c r="CT250" s="51">
        <f t="shared" si="728"/>
        <v>0</v>
      </c>
      <c r="CU250" s="51">
        <f t="shared" si="651"/>
        <v>0</v>
      </c>
      <c r="CV250" s="51">
        <f t="shared" si="729"/>
        <v>0</v>
      </c>
      <c r="CW250" s="51">
        <f t="shared" si="652"/>
        <v>0</v>
      </c>
      <c r="CX250" s="54">
        <f t="shared" si="653"/>
        <v>0</v>
      </c>
      <c r="CY250" s="55">
        <f t="shared" si="654"/>
        <v>0</v>
      </c>
      <c r="CZ250" s="56">
        <f>IF(AND($E250&lt;&gt;0,$F250&gt;0,YEAR($F250)&gt;=Preisindex!$A$6,YEAR(CU$4)&gt;=YEAR($F250),AND($K250&lt;&gt;"a",$K250&lt;&gt;"b",$K250&lt;&gt;"g",$K250&lt;&gt;"k")),1,IF(AND($E250&lt;&gt;0,$F250&gt;0,YEAR($F250)&gt;=Preisindex!$A$6,YEAR(CU$4)&gt;=YEAR($F250),$K250="a"),ROUND(VLOOKUP(CZ$4,Preisindex,5,FALSE)/VLOOKUP(YEAR($F250),Preisindex,5,FALSE),2),IF(AND($E250&lt;&gt;0,$F250&gt;0,YEAR($F250)&gt;=Preisindex!$A$6,YEAR(CU$4)&gt;=YEAR($F250),$K250="b"),ROUND(VLOOKUP(CZ$4,Preisindex,3,FALSE)/VLOOKUP(YEAR($F250),Preisindex,3,FALSE),2),IF(AND($E250&lt;&gt;0,$F250&gt;0,YEAR($F250)&gt;=Preisindex!$A$6,YEAR(CU$4)&gt;=YEAR($F250),$K250="g"),ROUND(VLOOKUP(CZ$4,Preisindex,4,FALSE)/VLOOKUP(YEAR($F250),Preisindex,4,FALSE),2),IF(AND($E250&lt;&gt;0,$F250&gt;0,YEAR($F250)&gt;=Preisindex!$A$6,YEAR(CU$4)&gt;=YEAR($F250),$K250="k"),ROUND(VLOOKUP(CZ$4,Preisindex,2,FALSE)/VLOOKUP(YEAR($F250),Preisindex,2,FALSE),2),0)))))</f>
        <v>0</v>
      </c>
      <c r="DA250" s="56">
        <f>IF(AND($E250&lt;&gt;0,$F250&gt;0,YEAR($F250)&lt;Preisindex!$A$6,YEAR(CU$4)&gt;=YEAR($F250),AND($K250&lt;&gt;"a",$K250&lt;&gt;"b",$K250&lt;&gt;"g",$K250&lt;&gt;"k")),1,IF(AND($E250&lt;&gt;0,$F250&gt;0,YEAR($F250)&lt;Preisindex!$A$6,YEAR(CU$4)&gt;=YEAR($F250),$K250="a"),ROUND(VLOOKUP(CZ$4,Preisindex,5,FALSE)/VLOOKUP(Preisindex!$A$6,Preisindex,5,FALSE),2),IF(AND($E250&lt;&gt;0,$F250&gt;0,YEAR($F250)&lt;Preisindex!$A$6,YEAR(CU$4)&gt;=YEAR($F250),$K250="b"),ROUND(VLOOKUP(CZ$4,Preisindex,3,FALSE)/VLOOKUP(Preisindex!$A$6,Preisindex,3,FALSE),2),IF(AND($E250&lt;&gt;0,$F250&gt;0,YEAR($F250)&lt;Preisindex!$A$6,YEAR(CU$4)&gt;=YEAR($F250),$K250="g"),ROUND(VLOOKUP(CZ$4,Preisindex,4,FALSE)/VLOOKUP(Preisindex!$A$6,Preisindex,4,FALSE),2),IF(AND($E250&lt;&gt;0,$F250&gt;0,YEAR($F250)&lt;Preisindex!$A$6,YEAR(CU$4)&gt;=YEAR($F250),$K250="k"),ROUND(VLOOKUP(CZ$4,Preisindex,2,FALSE)/VLOOKUP(Preisindex!$A$6,Preisindex,2,FALSE),2),0)))))</f>
        <v>0</v>
      </c>
      <c r="DB250" s="51">
        <f>IF(AND($E250&lt;&gt;0,$F250&gt;0,YEAR($F250)&lt;=CZ$4,YEAR($F250)&gt;=Preisindex!$A$6),ROUND($E250*CZ250,2),IF(AND($E250&lt;&gt;0,$F250&gt;0,YEAR($F250)&lt;=CZ$4,YEAR($F250)&lt;Preisindex!$A$6),ROUND($E250*DA250,2),0))</f>
        <v>0</v>
      </c>
      <c r="DC250" s="53">
        <f t="shared" si="655"/>
        <v>0</v>
      </c>
      <c r="DD250" s="51">
        <f t="shared" si="753"/>
        <v>0</v>
      </c>
      <c r="DE250" s="51">
        <f t="shared" si="730"/>
        <v>0</v>
      </c>
      <c r="DF250" s="51">
        <f t="shared" si="657"/>
        <v>0</v>
      </c>
      <c r="DG250" s="51">
        <f t="shared" si="731"/>
        <v>0</v>
      </c>
      <c r="DH250" s="51">
        <f t="shared" si="658"/>
        <v>0</v>
      </c>
      <c r="DI250" s="51">
        <f t="shared" si="732"/>
        <v>0</v>
      </c>
      <c r="DJ250" s="51">
        <f t="shared" si="659"/>
        <v>0</v>
      </c>
      <c r="DK250" s="51">
        <f t="shared" si="733"/>
        <v>0</v>
      </c>
      <c r="DL250" s="51">
        <f t="shared" si="660"/>
        <v>0</v>
      </c>
      <c r="DM250" s="51">
        <f t="shared" si="734"/>
        <v>0</v>
      </c>
      <c r="DN250" s="51">
        <f t="shared" si="661"/>
        <v>0</v>
      </c>
      <c r="DO250" s="54">
        <f t="shared" si="662"/>
        <v>0</v>
      </c>
      <c r="DP250" s="55">
        <f t="shared" si="663"/>
        <v>0</v>
      </c>
      <c r="DQ250" s="56">
        <f>IF(AND($E250&lt;&gt;0,$F250&gt;0,YEAR($F250)&gt;=Preisindex!$A$6,YEAR(DL$4)&gt;=YEAR($F250),AND($K250&lt;&gt;"a",$K250&lt;&gt;"b",$K250&lt;&gt;"g",$K250&lt;&gt;"k")),1,IF(AND($E250&lt;&gt;0,$F250&gt;0,YEAR($F250)&gt;=Preisindex!$A$6,YEAR(DL$4)&gt;=YEAR($F250),$K250="a"),ROUND(VLOOKUP(DQ$4,Preisindex,5,FALSE)/VLOOKUP(YEAR($F250),Preisindex,5,FALSE),2),IF(AND($E250&lt;&gt;0,$F250&gt;0,YEAR($F250)&gt;=Preisindex!$A$6,YEAR(DL$4)&gt;=YEAR($F250),$K250="b"),ROUND(VLOOKUP(DQ$4,Preisindex,3,FALSE)/VLOOKUP(YEAR($F250),Preisindex,3,FALSE),2),IF(AND($E250&lt;&gt;0,$F250&gt;0,YEAR($F250)&gt;=Preisindex!$A$6,YEAR(DL$4)&gt;=YEAR($F250),$K250="g"),ROUND(VLOOKUP(DQ$4,Preisindex,4,FALSE)/VLOOKUP(YEAR($F250),Preisindex,4,FALSE),2),IF(AND($E250&lt;&gt;0,$F250&gt;0,YEAR($F250)&gt;=Preisindex!$A$6,YEAR(DL$4)&gt;=YEAR($F250),$K250="k"),ROUND(VLOOKUP(DQ$4,Preisindex,2,FALSE)/VLOOKUP(YEAR($F250),Preisindex,2,FALSE),2),0)))))</f>
        <v>0</v>
      </c>
      <c r="DR250" s="56">
        <f>IF(AND($E250&lt;&gt;0,$F250&gt;0,YEAR($F250)&lt;Preisindex!$A$6,YEAR(DL$4)&gt;=YEAR($F250),AND($K250&lt;&gt;"a",$K250&lt;&gt;"b",$K250&lt;&gt;"g",$K250&lt;&gt;"k")),1,IF(AND($E250&lt;&gt;0,$F250&gt;0,YEAR($F250)&lt;Preisindex!$A$6,YEAR(DL$4)&gt;=YEAR($F250),$K250="a"),ROUND(VLOOKUP(DQ$4,Preisindex,5,FALSE)/VLOOKUP(Preisindex!$A$6,Preisindex,5,FALSE),2),IF(AND($E250&lt;&gt;0,$F250&gt;0,YEAR($F250)&lt;Preisindex!$A$6,YEAR(DL$4)&gt;=YEAR($F250),$K250="b"),ROUND(VLOOKUP(DQ$4,Preisindex,3,FALSE)/VLOOKUP(Preisindex!$A$6,Preisindex,3,FALSE),2),IF(AND($E250&lt;&gt;0,$F250&gt;0,YEAR($F250)&lt;Preisindex!$A$6,YEAR(DL$4)&gt;=YEAR($F250),$K250="g"),ROUND(VLOOKUP(DQ$4,Preisindex,4,FALSE)/VLOOKUP(Preisindex!$A$6,Preisindex,4,FALSE),2),IF(AND($E250&lt;&gt;0,$F250&gt;0,YEAR($F250)&lt;Preisindex!$A$6,YEAR(DL$4)&gt;=YEAR($F250),$K250="k"),ROUND(VLOOKUP(DQ$4,Preisindex,2,FALSE)/VLOOKUP(Preisindex!$A$6,Preisindex,2,FALSE),2),0)))))</f>
        <v>0</v>
      </c>
      <c r="DS250" s="51">
        <f>IF(AND($E250&lt;&gt;0,$F250&gt;0,YEAR($F250)&lt;=DQ$4,YEAR($F250)&gt;=Preisindex!$A$6),ROUND($E250*DQ250,2),IF(AND($E250&lt;&gt;0,$F250&gt;0,YEAR($F250)&lt;=DQ$4,YEAR($F250)&lt;Preisindex!$A$6),ROUND($E250*DR250,2),0))</f>
        <v>0</v>
      </c>
      <c r="DT250" s="53">
        <f t="shared" si="664"/>
        <v>0</v>
      </c>
      <c r="DU250" s="51">
        <f t="shared" si="753"/>
        <v>0</v>
      </c>
      <c r="DV250" s="51">
        <f t="shared" si="735"/>
        <v>0</v>
      </c>
      <c r="DW250" s="51">
        <f t="shared" si="665"/>
        <v>0</v>
      </c>
      <c r="DX250" s="51">
        <f t="shared" si="736"/>
        <v>0</v>
      </c>
      <c r="DY250" s="51">
        <f t="shared" si="666"/>
        <v>0</v>
      </c>
      <c r="DZ250" s="51">
        <f t="shared" si="737"/>
        <v>0</v>
      </c>
      <c r="EA250" s="51">
        <f t="shared" si="667"/>
        <v>0</v>
      </c>
      <c r="EB250" s="51">
        <f t="shared" si="738"/>
        <v>0</v>
      </c>
      <c r="EC250" s="51">
        <f t="shared" si="668"/>
        <v>0</v>
      </c>
      <c r="ED250" s="51">
        <f t="shared" si="739"/>
        <v>0</v>
      </c>
      <c r="EE250" s="51">
        <f t="shared" si="669"/>
        <v>0</v>
      </c>
      <c r="EF250" s="54">
        <f t="shared" si="670"/>
        <v>0</v>
      </c>
      <c r="EG250" s="55">
        <f t="shared" si="671"/>
        <v>0</v>
      </c>
      <c r="EH250" s="56">
        <f>IF(AND($E250&lt;&gt;0,$F250&gt;0,YEAR($F250)&gt;=Preisindex!$A$6,YEAR(EC$4)&gt;=YEAR($F250),AND($K250&lt;&gt;"a",$K250&lt;&gt;"b",$K250&lt;&gt;"g",$K250&lt;&gt;"k")),1,IF(AND($E250&lt;&gt;0,$F250&gt;0,YEAR($F250)&gt;=Preisindex!$A$6,YEAR(EC$4)&gt;=YEAR($F250),$K250="a"),ROUND(VLOOKUP(EH$4,Preisindex,5,FALSE)/VLOOKUP(YEAR($F250),Preisindex,5,FALSE),2),IF(AND($E250&lt;&gt;0,$F250&gt;0,YEAR($F250)&gt;=Preisindex!$A$6,YEAR(EC$4)&gt;=YEAR($F250),$K250="b"),ROUND(VLOOKUP(EH$4,Preisindex,3,FALSE)/VLOOKUP(YEAR($F250),Preisindex,3,FALSE),2),IF(AND($E250&lt;&gt;0,$F250&gt;0,YEAR($F250)&gt;=Preisindex!$A$6,YEAR(EC$4)&gt;=YEAR($F250),$K250="g"),ROUND(VLOOKUP(EH$4,Preisindex,4,FALSE)/VLOOKUP(YEAR($F250),Preisindex,4,FALSE),2),IF(AND($E250&lt;&gt;0,$F250&gt;0,YEAR($F250)&gt;=Preisindex!$A$6,YEAR(EC$4)&gt;=YEAR($F250),$K250="k"),ROUND(VLOOKUP(EH$4,Preisindex,2,FALSE)/VLOOKUP(YEAR($F250),Preisindex,2,FALSE),2),0)))))</f>
        <v>0</v>
      </c>
      <c r="EI250" s="56">
        <f>IF(AND($E250&lt;&gt;0,$F250&gt;0,YEAR($F250)&lt;Preisindex!$A$6,YEAR(EC$4)&gt;=YEAR($F250),AND($K250&lt;&gt;"a",$K250&lt;&gt;"b",$K250&lt;&gt;"g",$K250&lt;&gt;"k")),1,IF(AND($E250&lt;&gt;0,$F250&gt;0,YEAR($F250)&lt;Preisindex!$A$6,YEAR(EC$4)&gt;=YEAR($F250),$K250="a"),ROUND(VLOOKUP(EH$4,Preisindex,5,FALSE)/VLOOKUP(Preisindex!$A$6,Preisindex,5,FALSE),2),IF(AND($E250&lt;&gt;0,$F250&gt;0,YEAR($F250)&lt;Preisindex!$A$6,YEAR(EC$4)&gt;=YEAR($F250),$K250="b"),ROUND(VLOOKUP(EH$4,Preisindex,3,FALSE)/VLOOKUP(Preisindex!$A$6,Preisindex,3,FALSE),2),IF(AND($E250&lt;&gt;0,$F250&gt;0,YEAR($F250)&lt;Preisindex!$A$6,YEAR(EC$4)&gt;=YEAR($F250),$K250="g"),ROUND(VLOOKUP(EH$4,Preisindex,4,FALSE)/VLOOKUP(Preisindex!$A$6,Preisindex,4,FALSE),2),IF(AND($E250&lt;&gt;0,$F250&gt;0,YEAR($F250)&lt;Preisindex!$A$6,YEAR(EC$4)&gt;=YEAR($F250),$K250="k"),ROUND(VLOOKUP(EH$4,Preisindex,2,FALSE)/VLOOKUP(Preisindex!$A$6,Preisindex,2,FALSE),2),0)))))</f>
        <v>0</v>
      </c>
      <c r="EJ250" s="51">
        <f>IF(AND($E250&lt;&gt;0,$F250&gt;0,YEAR($F250)&lt;=EH$4,YEAR($F250)&gt;=Preisindex!$A$6),ROUND($E250*EH250,2),IF(AND($E250&lt;&gt;0,$F250&gt;0,YEAR($F250)&lt;=EH$4,YEAR($F250)&lt;Preisindex!$A$6),ROUND($E250*EI250,2),0))</f>
        <v>0</v>
      </c>
      <c r="EK250" s="53">
        <f t="shared" si="672"/>
        <v>0</v>
      </c>
      <c r="EL250" s="51">
        <f t="shared" si="753"/>
        <v>0</v>
      </c>
      <c r="EM250" s="51">
        <f t="shared" si="740"/>
        <v>0</v>
      </c>
      <c r="EN250" s="51">
        <f t="shared" si="673"/>
        <v>0</v>
      </c>
      <c r="EO250" s="51">
        <f t="shared" si="741"/>
        <v>0</v>
      </c>
      <c r="EP250" s="51">
        <f t="shared" si="674"/>
        <v>0</v>
      </c>
      <c r="EQ250" s="51">
        <f t="shared" si="742"/>
        <v>0</v>
      </c>
      <c r="ER250" s="51">
        <f t="shared" si="675"/>
        <v>0</v>
      </c>
      <c r="ES250" s="51">
        <f t="shared" si="743"/>
        <v>0</v>
      </c>
      <c r="ET250" s="51">
        <f t="shared" si="676"/>
        <v>0</v>
      </c>
      <c r="EU250" s="51">
        <f t="shared" si="744"/>
        <v>0</v>
      </c>
      <c r="EV250" s="51">
        <f t="shared" si="677"/>
        <v>0</v>
      </c>
      <c r="EW250" s="54">
        <f t="shared" si="678"/>
        <v>0</v>
      </c>
      <c r="EX250" s="55">
        <f t="shared" si="679"/>
        <v>0</v>
      </c>
      <c r="EY250" s="56">
        <f>IF(AND($E250&lt;&gt;0,$F250&gt;0,YEAR($F250)&gt;=Preisindex!$A$6,YEAR(ET$4)&gt;=YEAR($F250),AND($K250&lt;&gt;"a",$K250&lt;&gt;"b",$K250&lt;&gt;"g",$K250&lt;&gt;"k")),1,IF(AND($E250&lt;&gt;0,$F250&gt;0,YEAR($F250)&gt;=Preisindex!$A$6,YEAR(ET$4)&gt;=YEAR($F250),$K250="a"),ROUND(VLOOKUP(EY$4,Preisindex,5,FALSE)/VLOOKUP(YEAR($F250),Preisindex,5,FALSE),2),IF(AND($E250&lt;&gt;0,$F250&gt;0,YEAR($F250)&gt;=Preisindex!$A$6,YEAR(ET$4)&gt;=YEAR($F250),$K250="b"),ROUND(VLOOKUP(EY$4,Preisindex,3,FALSE)/VLOOKUP(YEAR($F250),Preisindex,3,FALSE),2),IF(AND($E250&lt;&gt;0,$F250&gt;0,YEAR($F250)&gt;=Preisindex!$A$6,YEAR(ET$4)&gt;=YEAR($F250),$K250="g"),ROUND(VLOOKUP(EY$4,Preisindex,4,FALSE)/VLOOKUP(YEAR($F250),Preisindex,4,FALSE),2),IF(AND($E250&lt;&gt;0,$F250&gt;0,YEAR($F250)&gt;=Preisindex!$A$6,YEAR(ET$4)&gt;=YEAR($F250),$K250="k"),ROUND(VLOOKUP(EY$4,Preisindex,2,FALSE)/VLOOKUP(YEAR($F250),Preisindex,2,FALSE),2),0)))))</f>
        <v>0</v>
      </c>
      <c r="EZ250" s="56">
        <f>IF(AND($E250&lt;&gt;0,$F250&gt;0,YEAR($F250)&lt;Preisindex!$A$6,YEAR(ET$4)&gt;=YEAR($F250),AND($K250&lt;&gt;"a",$K250&lt;&gt;"b",$K250&lt;&gt;"g",$K250&lt;&gt;"k")),1,IF(AND($E250&lt;&gt;0,$F250&gt;0,YEAR($F250)&lt;Preisindex!$A$6,YEAR(ET$4)&gt;=YEAR($F250),$K250="a"),ROUND(VLOOKUP(EY$4,Preisindex,5,FALSE)/VLOOKUP(Preisindex!$A$6,Preisindex,5,FALSE),2),IF(AND($E250&lt;&gt;0,$F250&gt;0,YEAR($F250)&lt;Preisindex!$A$6,YEAR(ET$4)&gt;=YEAR($F250),$K250="b"),ROUND(VLOOKUP(EY$4,Preisindex,3,FALSE)/VLOOKUP(Preisindex!$A$6,Preisindex,3,FALSE),2),IF(AND($E250&lt;&gt;0,$F250&gt;0,YEAR($F250)&lt;Preisindex!$A$6,YEAR(ET$4)&gt;=YEAR($F250),$K250="g"),ROUND(VLOOKUP(EY$4,Preisindex,4,FALSE)/VLOOKUP(Preisindex!$A$6,Preisindex,4,FALSE),2),IF(AND($E250&lt;&gt;0,$F250&gt;0,YEAR($F250)&lt;Preisindex!$A$6,YEAR(ET$4)&gt;=YEAR($F250),$K250="k"),ROUND(VLOOKUP(EY$4,Preisindex,2,FALSE)/VLOOKUP(Preisindex!$A$6,Preisindex,2,FALSE),2),0)))))</f>
        <v>0</v>
      </c>
      <c r="FA250" s="51">
        <f>IF(AND($E250&lt;&gt;0,$F250&gt;0,YEAR($F250)&lt;=EY$4,YEAR($F250)&gt;=Preisindex!$A$6),ROUND($E250*EY250,2),IF(AND($E250&lt;&gt;0,$F250&gt;0,YEAR($F250)&lt;=EY$4,YEAR($F250)&lt;Preisindex!$A$6),ROUND($E250*EZ250,2),0))</f>
        <v>0</v>
      </c>
      <c r="FB250" s="53">
        <f t="shared" si="680"/>
        <v>0</v>
      </c>
      <c r="FC250" s="51">
        <f t="shared" si="753"/>
        <v>0</v>
      </c>
      <c r="FD250" s="51">
        <f t="shared" si="745"/>
        <v>0</v>
      </c>
      <c r="FE250" s="51">
        <f t="shared" si="681"/>
        <v>0</v>
      </c>
      <c r="FF250" s="51">
        <f t="shared" si="746"/>
        <v>0</v>
      </c>
      <c r="FG250" s="51">
        <f t="shared" si="682"/>
        <v>0</v>
      </c>
      <c r="FH250" s="51">
        <f t="shared" si="747"/>
        <v>0</v>
      </c>
      <c r="FI250" s="51">
        <f t="shared" si="683"/>
        <v>0</v>
      </c>
      <c r="FJ250" s="51">
        <f t="shared" si="748"/>
        <v>0</v>
      </c>
      <c r="FK250" s="51">
        <f t="shared" si="684"/>
        <v>0</v>
      </c>
      <c r="FL250" s="51">
        <f t="shared" si="749"/>
        <v>0</v>
      </c>
      <c r="FM250" s="51">
        <f t="shared" si="685"/>
        <v>0</v>
      </c>
      <c r="FN250" s="54">
        <f t="shared" si="686"/>
        <v>0</v>
      </c>
      <c r="FO250" s="55">
        <f t="shared" si="687"/>
        <v>0</v>
      </c>
      <c r="FP250" s="56">
        <f>IF(AND($E250&lt;&gt;0,$F250&gt;0,YEAR($F250)&gt;=Preisindex!$A$6,YEAR(FK$4)&gt;=YEAR($F250),AND($K250&lt;&gt;"a",$K250&lt;&gt;"b",$K250&lt;&gt;"g",$K250&lt;&gt;"k")),1,IF(AND($E250&lt;&gt;0,$F250&gt;0,YEAR($F250)&gt;=Preisindex!$A$6,YEAR(FK$4)&gt;=YEAR($F250),$K250="a"),ROUND(VLOOKUP(FP$4,Preisindex,5,FALSE)/VLOOKUP(YEAR($F250),Preisindex,5,FALSE),2),IF(AND($E250&lt;&gt;0,$F250&gt;0,YEAR($F250)&gt;=Preisindex!$A$6,YEAR(FK$4)&gt;=YEAR($F250),$K250="b"),ROUND(VLOOKUP(FP$4,Preisindex,3,FALSE)/VLOOKUP(YEAR($F250),Preisindex,3,FALSE),2),IF(AND($E250&lt;&gt;0,$F250&gt;0,YEAR($F250)&gt;=Preisindex!$A$6,YEAR(FK$4)&gt;=YEAR($F250),$K250="g"),ROUND(VLOOKUP(FP$4,Preisindex,4,FALSE)/VLOOKUP(YEAR($F250),Preisindex,4,FALSE),2),IF(AND($E250&lt;&gt;0,$F250&gt;0,YEAR($F250)&gt;=Preisindex!$A$6,YEAR(FK$4)&gt;=YEAR($F250),$K250="k"),ROUND(VLOOKUP(FP$4,Preisindex,2,FALSE)/VLOOKUP(YEAR($F250),Preisindex,2,FALSE),2),0)))))</f>
        <v>0</v>
      </c>
      <c r="FQ250" s="56">
        <f>IF(AND($E250&lt;&gt;0,$F250&gt;0,YEAR($F250)&lt;Preisindex!$A$6,YEAR(FK$4)&gt;=YEAR($F250),AND($K250&lt;&gt;"a",$K250&lt;&gt;"b",$K250&lt;&gt;"g",$K250&lt;&gt;"k")),1,IF(AND($E250&lt;&gt;0,$F250&gt;0,YEAR($F250)&lt;Preisindex!$A$6,YEAR(FK$4)&gt;=YEAR($F250),$K250="a"),ROUND(VLOOKUP(FP$4,Preisindex,5,FALSE)/VLOOKUP(Preisindex!$A$6,Preisindex,5,FALSE),2),IF(AND($E250&lt;&gt;0,$F250&gt;0,YEAR($F250)&lt;Preisindex!$A$6,YEAR(FK$4)&gt;=YEAR($F250),$K250="b"),ROUND(VLOOKUP(FP$4,Preisindex,3,FALSE)/VLOOKUP(Preisindex!$A$6,Preisindex,3,FALSE),2),IF(AND($E250&lt;&gt;0,$F250&gt;0,YEAR($F250)&lt;Preisindex!$A$6,YEAR(FK$4)&gt;=YEAR($F250),$K250="g"),ROUND(VLOOKUP(FP$4,Preisindex,4,FALSE)/VLOOKUP(Preisindex!$A$6,Preisindex,4,FALSE),2),IF(AND($E250&lt;&gt;0,$F250&gt;0,YEAR($F250)&lt;Preisindex!$A$6,YEAR(FK$4)&gt;=YEAR($F250),$K250="k"),ROUND(VLOOKUP(FP$4,Preisindex,2,FALSE)/VLOOKUP(Preisindex!$A$6,Preisindex,2,FALSE),2),0)))))</f>
        <v>0</v>
      </c>
      <c r="FR250" s="51">
        <f>IF(AND($E250&lt;&gt;0,$F250&gt;0,YEAR($F250)&lt;=FP$4,YEAR($F250)&gt;=Preisindex!$A$6),ROUND($E250*FP250,2),IF(AND($E250&lt;&gt;0,$F250&gt;0,YEAR($F250)&lt;=FP$4,YEAR($F250)&lt;Preisindex!$A$6),ROUND($E250*FQ250,2),0))</f>
        <v>0</v>
      </c>
      <c r="FS250" s="53">
        <f t="shared" si="688"/>
        <v>0</v>
      </c>
    </row>
    <row r="251" spans="1:175" x14ac:dyDescent="0.3">
      <c r="A251" s="93"/>
      <c r="B251" s="94"/>
      <c r="C251" s="94"/>
      <c r="D251" s="188"/>
      <c r="E251" s="624"/>
      <c r="F251" s="190"/>
      <c r="G251" s="625"/>
      <c r="H251" s="620"/>
      <c r="I251" s="621"/>
      <c r="J251" s="103"/>
      <c r="K251" s="630"/>
      <c r="L251" s="49">
        <f t="shared" si="689"/>
        <v>0</v>
      </c>
      <c r="M251" s="50">
        <f t="shared" si="690"/>
        <v>0</v>
      </c>
      <c r="N251" s="51">
        <f t="shared" si="691"/>
        <v>0</v>
      </c>
      <c r="O251" s="51"/>
      <c r="P251" s="51">
        <f t="shared" si="692"/>
        <v>0</v>
      </c>
      <c r="Q251" s="52"/>
      <c r="R251" s="52"/>
      <c r="S251" s="52"/>
      <c r="T251" s="52"/>
      <c r="U251" s="52"/>
      <c r="V251" s="53">
        <f t="shared" si="693"/>
        <v>0</v>
      </c>
      <c r="W251" s="51">
        <f t="shared" si="694"/>
        <v>0</v>
      </c>
      <c r="X251" s="51">
        <f t="shared" si="695"/>
        <v>0</v>
      </c>
      <c r="Y251" s="51">
        <f t="shared" si="696"/>
        <v>0</v>
      </c>
      <c r="Z251" s="51">
        <f t="shared" si="697"/>
        <v>0</v>
      </c>
      <c r="AA251" s="51">
        <f t="shared" si="698"/>
        <v>0</v>
      </c>
      <c r="AB251" s="51">
        <f t="shared" si="699"/>
        <v>0</v>
      </c>
      <c r="AC251" s="51">
        <f t="shared" si="700"/>
        <v>0</v>
      </c>
      <c r="AD251" s="51">
        <f t="shared" si="701"/>
        <v>0</v>
      </c>
      <c r="AE251" s="51">
        <f t="shared" si="702"/>
        <v>0</v>
      </c>
      <c r="AF251" s="51">
        <f t="shared" si="703"/>
        <v>0</v>
      </c>
      <c r="AG251" s="51">
        <f t="shared" si="704"/>
        <v>0</v>
      </c>
      <c r="AH251" s="54">
        <f t="shared" si="705"/>
        <v>0</v>
      </c>
      <c r="AI251" s="55">
        <f t="shared" si="706"/>
        <v>0</v>
      </c>
      <c r="AJ251" s="56">
        <f>IF(AND($E251&lt;&gt;0,$F251&gt;0,YEAR($F251)&gt;=Preisindex!$A$6,YEAR(AE$4)&gt;=YEAR($F251),AND($K251&lt;&gt;"a",$K251&lt;&gt;"b",$K251&lt;&gt;"g",$K251&lt;&gt;"k")),1,IF(AND($E251&lt;&gt;0,$F251&gt;0,YEAR($F251)&gt;=Preisindex!$A$6,YEAR(AE$4)&gt;=YEAR($F251),$K251="a"),ROUND(VLOOKUP(AJ$4,Preisindex,5,FALSE)/VLOOKUP(YEAR($F251),Preisindex,5,FALSE),2),IF(AND($E251&lt;&gt;0,$F251&gt;0,YEAR($F251)&gt;=Preisindex!$A$6,YEAR(AE$4)&gt;=YEAR($F251),$K251="b"),ROUND(VLOOKUP(AJ$4,Preisindex,3,FALSE)/VLOOKUP(YEAR($F251),Preisindex,3,FALSE),2),IF(AND($E251&lt;&gt;0,$F251&gt;0,YEAR($F251)&gt;=Preisindex!$A$6,YEAR(AE$4)&gt;=YEAR($F251),$K251="g"),ROUND(VLOOKUP(AJ$4,Preisindex,4,FALSE)/VLOOKUP(YEAR($F251),Preisindex,4,FALSE),2),IF(AND($E251&lt;&gt;0,$F251&gt;0,YEAR($F251)&gt;=Preisindex!$A$6,YEAR(AE$4)&gt;=YEAR($F251),$K251="k"),ROUND(VLOOKUP(AJ$4,Preisindex,2,FALSE)/VLOOKUP(YEAR($F251),Preisindex,2,FALSE),2),0)))))</f>
        <v>0</v>
      </c>
      <c r="AK251" s="56">
        <f>IF(AND($E251&lt;&gt;0,$F251&gt;0,YEAR($F251)&lt;Preisindex!$A$6,YEAR(AE$4)&gt;=YEAR($F251),AND($K251&lt;&gt;"a",$K251&lt;&gt;"b",$K251&lt;&gt;"g",$K251&lt;&gt;"k")),1,IF(AND($E251&lt;&gt;0,$F251&gt;0,YEAR($F251)&lt;Preisindex!$A$6,YEAR(AE$4)&gt;=YEAR($F251),$K251="a"),ROUND(VLOOKUP(AJ$4,Preisindex,5,FALSE)/VLOOKUP(Preisindex!$A$6,Preisindex,5,FALSE),2),IF(AND($E251&lt;&gt;0,$F251&gt;0,YEAR($F251)&lt;Preisindex!$A$6,YEAR(AE$4)&gt;=YEAR($F251),$K251="b"),ROUND(VLOOKUP(AJ$4,Preisindex,3,FALSE)/VLOOKUP(Preisindex!$A$6,Preisindex,3,FALSE),2),IF(AND($E251&lt;&gt;0,$F251&gt;0,YEAR($F251)&lt;Preisindex!$A$6,YEAR(AE$4)&gt;=YEAR($F251),$K251="g"),ROUND(VLOOKUP(AJ$4,Preisindex,4,FALSE)/VLOOKUP(Preisindex!$A$6,Preisindex,4,FALSE),2),IF(AND($E251&lt;&gt;0,$F251&gt;0,YEAR($F251)&lt;Preisindex!$A$6,YEAR(AE$4)&gt;=YEAR($F251),$K251="k"),ROUND(VLOOKUP(AJ$4,Preisindex,2,FALSE)/VLOOKUP(Preisindex!$A$6,Preisindex,2,FALSE),2),0)))))</f>
        <v>0</v>
      </c>
      <c r="AL251" s="51">
        <f>IF(AND($E251&lt;&gt;0,$F251&gt;0,YEAR($F251)&lt;=AJ$4,YEAR($F251)&gt;=Preisindex!$A$6),ROUND($E251*AJ251,2),IF(AND($E251&lt;&gt;0,$F251&gt;0,YEAR($F251)&lt;=AJ$4,YEAR($F251)&lt;Preisindex!$A$6),ROUND($E251*AK251,2),0))</f>
        <v>0</v>
      </c>
      <c r="AM251" s="53">
        <f t="shared" si="707"/>
        <v>0</v>
      </c>
      <c r="AN251" s="51">
        <f t="shared" si="752"/>
        <v>0</v>
      </c>
      <c r="AO251" s="51">
        <f t="shared" si="710"/>
        <v>0</v>
      </c>
      <c r="AP251" s="51">
        <f t="shared" si="624"/>
        <v>0</v>
      </c>
      <c r="AQ251" s="51">
        <f t="shared" si="711"/>
        <v>0</v>
      </c>
      <c r="AR251" s="51">
        <f t="shared" si="625"/>
        <v>0</v>
      </c>
      <c r="AS251" s="51">
        <f t="shared" si="712"/>
        <v>0</v>
      </c>
      <c r="AT251" s="51">
        <f t="shared" si="626"/>
        <v>0</v>
      </c>
      <c r="AU251" s="51">
        <f t="shared" si="713"/>
        <v>0</v>
      </c>
      <c r="AV251" s="51">
        <f t="shared" si="627"/>
        <v>0</v>
      </c>
      <c r="AW251" s="51">
        <f t="shared" si="714"/>
        <v>0</v>
      </c>
      <c r="AX251" s="51">
        <f t="shared" si="628"/>
        <v>0</v>
      </c>
      <c r="AY251" s="54">
        <f t="shared" si="629"/>
        <v>0</v>
      </c>
      <c r="AZ251" s="55">
        <f t="shared" si="630"/>
        <v>0</v>
      </c>
      <c r="BA251" s="56">
        <f>IF(AND($E251&lt;&gt;0,$F251&gt;0,YEAR($F251)&gt;=Preisindex!$A$6,YEAR(AV$4)&gt;=YEAR($F251),AND($K251&lt;&gt;"a",$K251&lt;&gt;"b",$K251&lt;&gt;"g",$K251&lt;&gt;"k")),1,IF(AND($E251&lt;&gt;0,$F251&gt;0,YEAR($F251)&gt;=Preisindex!$A$6,YEAR(AV$4)&gt;=YEAR($F251),$K251="a"),ROUND(VLOOKUP(BA$4,Preisindex,5,FALSE)/VLOOKUP(YEAR($F251),Preisindex,5,FALSE),2),IF(AND($E251&lt;&gt;0,$F251&gt;0,YEAR($F251)&gt;=Preisindex!$A$6,YEAR(AV$4)&gt;=YEAR($F251),$K251="b"),ROUND(VLOOKUP(BA$4,Preisindex,3,FALSE)/VLOOKUP(YEAR($F251),Preisindex,3,FALSE),2),IF(AND($E251&lt;&gt;0,$F251&gt;0,YEAR($F251)&gt;=Preisindex!$A$6,YEAR(AV$4)&gt;=YEAR($F251),$K251="g"),ROUND(VLOOKUP(BA$4,Preisindex,4,FALSE)/VLOOKUP(YEAR($F251),Preisindex,4,FALSE),2),IF(AND($E251&lt;&gt;0,$F251&gt;0,YEAR($F251)&gt;=Preisindex!$A$6,YEAR(AV$4)&gt;=YEAR($F251),$K251="k"),ROUND(VLOOKUP(BA$4,Preisindex,2,FALSE)/VLOOKUP(YEAR($F251),Preisindex,2,FALSE),2),0)))))</f>
        <v>0</v>
      </c>
      <c r="BB251" s="56">
        <f>IF(AND($E251&lt;&gt;0,$F251&gt;0,YEAR($F251)&lt;Preisindex!$A$6,YEAR(AV$4)&gt;=YEAR($F251),AND($K251&lt;&gt;"a",$K251&lt;&gt;"b",$K251&lt;&gt;"g",$K251&lt;&gt;"k")),1,IF(AND($E251&lt;&gt;0,$F251&gt;0,YEAR($F251)&lt;Preisindex!$A$6,YEAR(AV$4)&gt;=YEAR($F251),$K251="a"),ROUND(VLOOKUP(BA$4,Preisindex,5,FALSE)/VLOOKUP(Preisindex!$A$6,Preisindex,5,FALSE),2),IF(AND($E251&lt;&gt;0,$F251&gt;0,YEAR($F251)&lt;Preisindex!$A$6,YEAR(AV$4)&gt;=YEAR($F251),$K251="b"),ROUND(VLOOKUP(BA$4,Preisindex,3,FALSE)/VLOOKUP(Preisindex!$A$6,Preisindex,3,FALSE),2),IF(AND($E251&lt;&gt;0,$F251&gt;0,YEAR($F251)&lt;Preisindex!$A$6,YEAR(AV$4)&gt;=YEAR($F251),$K251="g"),ROUND(VLOOKUP(BA$4,Preisindex,4,FALSE)/VLOOKUP(Preisindex!$A$6,Preisindex,4,FALSE),2),IF(AND($E251&lt;&gt;0,$F251&gt;0,YEAR($F251)&lt;Preisindex!$A$6,YEAR(AV$4)&gt;=YEAR($F251),$K251="k"),ROUND(VLOOKUP(BA$4,Preisindex,2,FALSE)/VLOOKUP(Preisindex!$A$6,Preisindex,2,FALSE),2),0)))))</f>
        <v>0</v>
      </c>
      <c r="BC251" s="51">
        <f>IF(AND($E251&lt;&gt;0,$F251&gt;0,YEAR($F251)&lt;=BA$4,YEAR($F251)&gt;=Preisindex!$A$6),ROUND($E251*BA251,2),IF(AND($E251&lt;&gt;0,$F251&gt;0,YEAR($F251)&lt;=BA$4,YEAR($F251)&lt;Preisindex!$A$6),ROUND($E251*BB251,2),0))</f>
        <v>0</v>
      </c>
      <c r="BD251" s="53">
        <f t="shared" si="631"/>
        <v>0</v>
      </c>
      <c r="BE251" s="51">
        <f t="shared" si="752"/>
        <v>0</v>
      </c>
      <c r="BF251" s="51">
        <f t="shared" si="715"/>
        <v>0</v>
      </c>
      <c r="BG251" s="51">
        <f t="shared" si="632"/>
        <v>0</v>
      </c>
      <c r="BH251" s="51">
        <f t="shared" si="716"/>
        <v>0</v>
      </c>
      <c r="BI251" s="51">
        <f t="shared" si="633"/>
        <v>0</v>
      </c>
      <c r="BJ251" s="51">
        <f t="shared" si="717"/>
        <v>0</v>
      </c>
      <c r="BK251" s="51">
        <f t="shared" si="634"/>
        <v>0</v>
      </c>
      <c r="BL251" s="51">
        <f t="shared" si="718"/>
        <v>0</v>
      </c>
      <c r="BM251" s="51">
        <f t="shared" si="635"/>
        <v>0</v>
      </c>
      <c r="BN251" s="51">
        <f t="shared" si="719"/>
        <v>0</v>
      </c>
      <c r="BO251" s="51">
        <f t="shared" si="636"/>
        <v>0</v>
      </c>
      <c r="BP251" s="54">
        <f t="shared" si="637"/>
        <v>0</v>
      </c>
      <c r="BQ251" s="55">
        <f t="shared" si="638"/>
        <v>0</v>
      </c>
      <c r="BR251" s="56">
        <f>IF(AND($E251&lt;&gt;0,$F251&gt;0,YEAR($F251)&gt;=Preisindex!$A$6,YEAR(BM$4)&gt;=YEAR($F251),AND($K251&lt;&gt;"a",$K251&lt;&gt;"b",$K251&lt;&gt;"g",$K251&lt;&gt;"k")),1,IF(AND($E251&lt;&gt;0,$F251&gt;0,YEAR($F251)&gt;=Preisindex!$A$6,YEAR(BM$4)&gt;=YEAR($F251),$K251="a"),ROUND(VLOOKUP(BR$4,Preisindex,5,FALSE)/VLOOKUP(YEAR($F251),Preisindex,5,FALSE),2),IF(AND($E251&lt;&gt;0,$F251&gt;0,YEAR($F251)&gt;=Preisindex!$A$6,YEAR(BM$4)&gt;=YEAR($F251),$K251="b"),ROUND(VLOOKUP(BR$4,Preisindex,3,FALSE)/VLOOKUP(YEAR($F251),Preisindex,3,FALSE),2),IF(AND($E251&lt;&gt;0,$F251&gt;0,YEAR($F251)&gt;=Preisindex!$A$6,YEAR(BM$4)&gt;=YEAR($F251),$K251="g"),ROUND(VLOOKUP(BR$4,Preisindex,4,FALSE)/VLOOKUP(YEAR($F251),Preisindex,4,FALSE),2),IF(AND($E251&lt;&gt;0,$F251&gt;0,YEAR($F251)&gt;=Preisindex!$A$6,YEAR(BM$4)&gt;=YEAR($F251),$K251="k"),ROUND(VLOOKUP(BR$4,Preisindex,2,FALSE)/VLOOKUP(YEAR($F251),Preisindex,2,FALSE),2),0)))))</f>
        <v>0</v>
      </c>
      <c r="BS251" s="56">
        <f>IF(AND($E251&lt;&gt;0,$F251&gt;0,YEAR($F251)&lt;Preisindex!$A$6,YEAR(BM$4)&gt;=YEAR($F251),AND($K251&lt;&gt;"a",$K251&lt;&gt;"b",$K251&lt;&gt;"g",$K251&lt;&gt;"k")),1,IF(AND($E251&lt;&gt;0,$F251&gt;0,YEAR($F251)&lt;Preisindex!$A$6,YEAR(BM$4)&gt;=YEAR($F251),$K251="a"),ROUND(VLOOKUP(BR$4,Preisindex,5,FALSE)/VLOOKUP(Preisindex!$A$6,Preisindex,5,FALSE),2),IF(AND($E251&lt;&gt;0,$F251&gt;0,YEAR($F251)&lt;Preisindex!$A$6,YEAR(BM$4)&gt;=YEAR($F251),$K251="b"),ROUND(VLOOKUP(BR$4,Preisindex,3,FALSE)/VLOOKUP(Preisindex!$A$6,Preisindex,3,FALSE),2),IF(AND($E251&lt;&gt;0,$F251&gt;0,YEAR($F251)&lt;Preisindex!$A$6,YEAR(BM$4)&gt;=YEAR($F251),$K251="g"),ROUND(VLOOKUP(BR$4,Preisindex,4,FALSE)/VLOOKUP(Preisindex!$A$6,Preisindex,4,FALSE),2),IF(AND($E251&lt;&gt;0,$F251&gt;0,YEAR($F251)&lt;Preisindex!$A$6,YEAR(BM$4)&gt;=YEAR($F251),$K251="k"),ROUND(VLOOKUP(BR$4,Preisindex,2,FALSE)/VLOOKUP(Preisindex!$A$6,Preisindex,2,FALSE),2),0)))))</f>
        <v>0</v>
      </c>
      <c r="BT251" s="51">
        <f>IF(AND($E251&lt;&gt;0,$F251&gt;0,YEAR($F251)&lt;=BR$4,YEAR($F251)&gt;=Preisindex!$A$6),ROUND($E251*BR251,2),IF(AND($E251&lt;&gt;0,$F251&gt;0,YEAR($F251)&lt;=BR$4,YEAR($F251)&lt;Preisindex!$A$6),ROUND($E251*BS251,2),0))</f>
        <v>0</v>
      </c>
      <c r="BU251" s="53">
        <f t="shared" si="639"/>
        <v>0</v>
      </c>
      <c r="BV251" s="51">
        <f t="shared" si="752"/>
        <v>0</v>
      </c>
      <c r="BW251" s="51">
        <f t="shared" si="720"/>
        <v>0</v>
      </c>
      <c r="BX251" s="51">
        <f t="shared" si="640"/>
        <v>0</v>
      </c>
      <c r="BY251" s="51">
        <f t="shared" si="721"/>
        <v>0</v>
      </c>
      <c r="BZ251" s="51">
        <f t="shared" si="641"/>
        <v>0</v>
      </c>
      <c r="CA251" s="51">
        <f t="shared" si="722"/>
        <v>0</v>
      </c>
      <c r="CB251" s="51">
        <f t="shared" si="642"/>
        <v>0</v>
      </c>
      <c r="CC251" s="51">
        <f t="shared" si="723"/>
        <v>0</v>
      </c>
      <c r="CD251" s="51">
        <f t="shared" si="643"/>
        <v>0</v>
      </c>
      <c r="CE251" s="51">
        <f t="shared" si="724"/>
        <v>0</v>
      </c>
      <c r="CF251" s="51">
        <f t="shared" si="644"/>
        <v>0</v>
      </c>
      <c r="CG251" s="54">
        <f t="shared" si="645"/>
        <v>0</v>
      </c>
      <c r="CH251" s="55">
        <f t="shared" si="646"/>
        <v>0</v>
      </c>
      <c r="CI251" s="56">
        <f>IF(AND($E251&lt;&gt;0,$F251&gt;0,YEAR($F251)&gt;=Preisindex!$A$6,YEAR(CD$4)&gt;=YEAR($F251),AND($K251&lt;&gt;"a",$K251&lt;&gt;"b",$K251&lt;&gt;"g",$K251&lt;&gt;"k")),1,IF(AND($E251&lt;&gt;0,$F251&gt;0,YEAR($F251)&gt;=Preisindex!$A$6,YEAR(CD$4)&gt;=YEAR($F251),$K251="a"),ROUND(VLOOKUP(CI$4,Preisindex,5,FALSE)/VLOOKUP(YEAR($F251),Preisindex,5,FALSE),2),IF(AND($E251&lt;&gt;0,$F251&gt;0,YEAR($F251)&gt;=Preisindex!$A$6,YEAR(CD$4)&gt;=YEAR($F251),$K251="b"),ROUND(VLOOKUP(CI$4,Preisindex,3,FALSE)/VLOOKUP(YEAR($F251),Preisindex,3,FALSE),2),IF(AND($E251&lt;&gt;0,$F251&gt;0,YEAR($F251)&gt;=Preisindex!$A$6,YEAR(CD$4)&gt;=YEAR($F251),$K251="g"),ROUND(VLOOKUP(CI$4,Preisindex,4,FALSE)/VLOOKUP(YEAR($F251),Preisindex,4,FALSE),2),IF(AND($E251&lt;&gt;0,$F251&gt;0,YEAR($F251)&gt;=Preisindex!$A$6,YEAR(CD$4)&gt;=YEAR($F251),$K251="k"),ROUND(VLOOKUP(CI$4,Preisindex,2,FALSE)/VLOOKUP(YEAR($F251),Preisindex,2,FALSE),2),0)))))</f>
        <v>0</v>
      </c>
      <c r="CJ251" s="56">
        <f>IF(AND($E251&lt;&gt;0,$F251&gt;0,YEAR($F251)&lt;Preisindex!$A$6,YEAR(CD$4)&gt;=YEAR($F251),AND($K251&lt;&gt;"a",$K251&lt;&gt;"b",$K251&lt;&gt;"g",$K251&lt;&gt;"k")),1,IF(AND($E251&lt;&gt;0,$F251&gt;0,YEAR($F251)&lt;Preisindex!$A$6,YEAR(CD$4)&gt;=YEAR($F251),$K251="a"),ROUND(VLOOKUP(CI$4,Preisindex,5,FALSE)/VLOOKUP(Preisindex!$A$6,Preisindex,5,FALSE),2),IF(AND($E251&lt;&gt;0,$F251&gt;0,YEAR($F251)&lt;Preisindex!$A$6,YEAR(CD$4)&gt;=YEAR($F251),$K251="b"),ROUND(VLOOKUP(CI$4,Preisindex,3,FALSE)/VLOOKUP(Preisindex!$A$6,Preisindex,3,FALSE),2),IF(AND($E251&lt;&gt;0,$F251&gt;0,YEAR($F251)&lt;Preisindex!$A$6,YEAR(CD$4)&gt;=YEAR($F251),$K251="g"),ROUND(VLOOKUP(CI$4,Preisindex,4,FALSE)/VLOOKUP(Preisindex!$A$6,Preisindex,4,FALSE),2),IF(AND($E251&lt;&gt;0,$F251&gt;0,YEAR($F251)&lt;Preisindex!$A$6,YEAR(CD$4)&gt;=YEAR($F251),$K251="k"),ROUND(VLOOKUP(CI$4,Preisindex,2,FALSE)/VLOOKUP(Preisindex!$A$6,Preisindex,2,FALSE),2),0)))))</f>
        <v>0</v>
      </c>
      <c r="CK251" s="51">
        <f>IF(AND($E251&lt;&gt;0,$F251&gt;0,YEAR($F251)&lt;=CI$4,YEAR($F251)&gt;=Preisindex!$A$6),ROUND($E251*CI251,2),IF(AND($E251&lt;&gt;0,$F251&gt;0,YEAR($F251)&lt;=CI$4,YEAR($F251)&lt;Preisindex!$A$6),ROUND($E251*CJ251,2),0))</f>
        <v>0</v>
      </c>
      <c r="CL251" s="53">
        <f t="shared" si="647"/>
        <v>0</v>
      </c>
      <c r="CM251" s="51">
        <f t="shared" si="752"/>
        <v>0</v>
      </c>
      <c r="CN251" s="51">
        <f t="shared" si="725"/>
        <v>0</v>
      </c>
      <c r="CO251" s="51">
        <f t="shared" si="648"/>
        <v>0</v>
      </c>
      <c r="CP251" s="51">
        <f t="shared" si="726"/>
        <v>0</v>
      </c>
      <c r="CQ251" s="51">
        <f t="shared" si="649"/>
        <v>0</v>
      </c>
      <c r="CR251" s="51">
        <f t="shared" si="727"/>
        <v>0</v>
      </c>
      <c r="CS251" s="51">
        <f t="shared" si="650"/>
        <v>0</v>
      </c>
      <c r="CT251" s="51">
        <f t="shared" si="728"/>
        <v>0</v>
      </c>
      <c r="CU251" s="51">
        <f t="shared" si="651"/>
        <v>0</v>
      </c>
      <c r="CV251" s="51">
        <f t="shared" si="729"/>
        <v>0</v>
      </c>
      <c r="CW251" s="51">
        <f t="shared" si="652"/>
        <v>0</v>
      </c>
      <c r="CX251" s="54">
        <f t="shared" si="653"/>
        <v>0</v>
      </c>
      <c r="CY251" s="55">
        <f t="shared" si="654"/>
        <v>0</v>
      </c>
      <c r="CZ251" s="56">
        <f>IF(AND($E251&lt;&gt;0,$F251&gt;0,YEAR($F251)&gt;=Preisindex!$A$6,YEAR(CU$4)&gt;=YEAR($F251),AND($K251&lt;&gt;"a",$K251&lt;&gt;"b",$K251&lt;&gt;"g",$K251&lt;&gt;"k")),1,IF(AND($E251&lt;&gt;0,$F251&gt;0,YEAR($F251)&gt;=Preisindex!$A$6,YEAR(CU$4)&gt;=YEAR($F251),$K251="a"),ROUND(VLOOKUP(CZ$4,Preisindex,5,FALSE)/VLOOKUP(YEAR($F251),Preisindex,5,FALSE),2),IF(AND($E251&lt;&gt;0,$F251&gt;0,YEAR($F251)&gt;=Preisindex!$A$6,YEAR(CU$4)&gt;=YEAR($F251),$K251="b"),ROUND(VLOOKUP(CZ$4,Preisindex,3,FALSE)/VLOOKUP(YEAR($F251),Preisindex,3,FALSE),2),IF(AND($E251&lt;&gt;0,$F251&gt;0,YEAR($F251)&gt;=Preisindex!$A$6,YEAR(CU$4)&gt;=YEAR($F251),$K251="g"),ROUND(VLOOKUP(CZ$4,Preisindex,4,FALSE)/VLOOKUP(YEAR($F251),Preisindex,4,FALSE),2),IF(AND($E251&lt;&gt;0,$F251&gt;0,YEAR($F251)&gt;=Preisindex!$A$6,YEAR(CU$4)&gt;=YEAR($F251),$K251="k"),ROUND(VLOOKUP(CZ$4,Preisindex,2,FALSE)/VLOOKUP(YEAR($F251),Preisindex,2,FALSE),2),0)))))</f>
        <v>0</v>
      </c>
      <c r="DA251" s="56">
        <f>IF(AND($E251&lt;&gt;0,$F251&gt;0,YEAR($F251)&lt;Preisindex!$A$6,YEAR(CU$4)&gt;=YEAR($F251),AND($K251&lt;&gt;"a",$K251&lt;&gt;"b",$K251&lt;&gt;"g",$K251&lt;&gt;"k")),1,IF(AND($E251&lt;&gt;0,$F251&gt;0,YEAR($F251)&lt;Preisindex!$A$6,YEAR(CU$4)&gt;=YEAR($F251),$K251="a"),ROUND(VLOOKUP(CZ$4,Preisindex,5,FALSE)/VLOOKUP(Preisindex!$A$6,Preisindex,5,FALSE),2),IF(AND($E251&lt;&gt;0,$F251&gt;0,YEAR($F251)&lt;Preisindex!$A$6,YEAR(CU$4)&gt;=YEAR($F251),$K251="b"),ROUND(VLOOKUP(CZ$4,Preisindex,3,FALSE)/VLOOKUP(Preisindex!$A$6,Preisindex,3,FALSE),2),IF(AND($E251&lt;&gt;0,$F251&gt;0,YEAR($F251)&lt;Preisindex!$A$6,YEAR(CU$4)&gt;=YEAR($F251),$K251="g"),ROUND(VLOOKUP(CZ$4,Preisindex,4,FALSE)/VLOOKUP(Preisindex!$A$6,Preisindex,4,FALSE),2),IF(AND($E251&lt;&gt;0,$F251&gt;0,YEAR($F251)&lt;Preisindex!$A$6,YEAR(CU$4)&gt;=YEAR($F251),$K251="k"),ROUND(VLOOKUP(CZ$4,Preisindex,2,FALSE)/VLOOKUP(Preisindex!$A$6,Preisindex,2,FALSE),2),0)))))</f>
        <v>0</v>
      </c>
      <c r="DB251" s="51">
        <f>IF(AND($E251&lt;&gt;0,$F251&gt;0,YEAR($F251)&lt;=CZ$4,YEAR($F251)&gt;=Preisindex!$A$6),ROUND($E251*CZ251,2),IF(AND($E251&lt;&gt;0,$F251&gt;0,YEAR($F251)&lt;=CZ$4,YEAR($F251)&lt;Preisindex!$A$6),ROUND($E251*DA251,2),0))</f>
        <v>0</v>
      </c>
      <c r="DC251" s="53">
        <f t="shared" si="655"/>
        <v>0</v>
      </c>
      <c r="DD251" s="51">
        <f t="shared" si="753"/>
        <v>0</v>
      </c>
      <c r="DE251" s="51">
        <f t="shared" si="730"/>
        <v>0</v>
      </c>
      <c r="DF251" s="51">
        <f t="shared" si="657"/>
        <v>0</v>
      </c>
      <c r="DG251" s="51">
        <f t="shared" si="731"/>
        <v>0</v>
      </c>
      <c r="DH251" s="51">
        <f t="shared" si="658"/>
        <v>0</v>
      </c>
      <c r="DI251" s="51">
        <f t="shared" si="732"/>
        <v>0</v>
      </c>
      <c r="DJ251" s="51">
        <f t="shared" si="659"/>
        <v>0</v>
      </c>
      <c r="DK251" s="51">
        <f t="shared" si="733"/>
        <v>0</v>
      </c>
      <c r="DL251" s="51">
        <f t="shared" si="660"/>
        <v>0</v>
      </c>
      <c r="DM251" s="51">
        <f t="shared" si="734"/>
        <v>0</v>
      </c>
      <c r="DN251" s="51">
        <f t="shared" si="661"/>
        <v>0</v>
      </c>
      <c r="DO251" s="54">
        <f t="shared" si="662"/>
        <v>0</v>
      </c>
      <c r="DP251" s="55">
        <f t="shared" si="663"/>
        <v>0</v>
      </c>
      <c r="DQ251" s="56">
        <f>IF(AND($E251&lt;&gt;0,$F251&gt;0,YEAR($F251)&gt;=Preisindex!$A$6,YEAR(DL$4)&gt;=YEAR($F251),AND($K251&lt;&gt;"a",$K251&lt;&gt;"b",$K251&lt;&gt;"g",$K251&lt;&gt;"k")),1,IF(AND($E251&lt;&gt;0,$F251&gt;0,YEAR($F251)&gt;=Preisindex!$A$6,YEAR(DL$4)&gt;=YEAR($F251),$K251="a"),ROUND(VLOOKUP(DQ$4,Preisindex,5,FALSE)/VLOOKUP(YEAR($F251),Preisindex,5,FALSE),2),IF(AND($E251&lt;&gt;0,$F251&gt;0,YEAR($F251)&gt;=Preisindex!$A$6,YEAR(DL$4)&gt;=YEAR($F251),$K251="b"),ROUND(VLOOKUP(DQ$4,Preisindex,3,FALSE)/VLOOKUP(YEAR($F251),Preisindex,3,FALSE),2),IF(AND($E251&lt;&gt;0,$F251&gt;0,YEAR($F251)&gt;=Preisindex!$A$6,YEAR(DL$4)&gt;=YEAR($F251),$K251="g"),ROUND(VLOOKUP(DQ$4,Preisindex,4,FALSE)/VLOOKUP(YEAR($F251),Preisindex,4,FALSE),2),IF(AND($E251&lt;&gt;0,$F251&gt;0,YEAR($F251)&gt;=Preisindex!$A$6,YEAR(DL$4)&gt;=YEAR($F251),$K251="k"),ROUND(VLOOKUP(DQ$4,Preisindex,2,FALSE)/VLOOKUP(YEAR($F251),Preisindex,2,FALSE),2),0)))))</f>
        <v>0</v>
      </c>
      <c r="DR251" s="56">
        <f>IF(AND($E251&lt;&gt;0,$F251&gt;0,YEAR($F251)&lt;Preisindex!$A$6,YEAR(DL$4)&gt;=YEAR($F251),AND($K251&lt;&gt;"a",$K251&lt;&gt;"b",$K251&lt;&gt;"g",$K251&lt;&gt;"k")),1,IF(AND($E251&lt;&gt;0,$F251&gt;0,YEAR($F251)&lt;Preisindex!$A$6,YEAR(DL$4)&gt;=YEAR($F251),$K251="a"),ROUND(VLOOKUP(DQ$4,Preisindex,5,FALSE)/VLOOKUP(Preisindex!$A$6,Preisindex,5,FALSE),2),IF(AND($E251&lt;&gt;0,$F251&gt;0,YEAR($F251)&lt;Preisindex!$A$6,YEAR(DL$4)&gt;=YEAR($F251),$K251="b"),ROUND(VLOOKUP(DQ$4,Preisindex,3,FALSE)/VLOOKUP(Preisindex!$A$6,Preisindex,3,FALSE),2),IF(AND($E251&lt;&gt;0,$F251&gt;0,YEAR($F251)&lt;Preisindex!$A$6,YEAR(DL$4)&gt;=YEAR($F251),$K251="g"),ROUND(VLOOKUP(DQ$4,Preisindex,4,FALSE)/VLOOKUP(Preisindex!$A$6,Preisindex,4,FALSE),2),IF(AND($E251&lt;&gt;0,$F251&gt;0,YEAR($F251)&lt;Preisindex!$A$6,YEAR(DL$4)&gt;=YEAR($F251),$K251="k"),ROUND(VLOOKUP(DQ$4,Preisindex,2,FALSE)/VLOOKUP(Preisindex!$A$6,Preisindex,2,FALSE),2),0)))))</f>
        <v>0</v>
      </c>
      <c r="DS251" s="51">
        <f>IF(AND($E251&lt;&gt;0,$F251&gt;0,YEAR($F251)&lt;=DQ$4,YEAR($F251)&gt;=Preisindex!$A$6),ROUND($E251*DQ251,2),IF(AND($E251&lt;&gt;0,$F251&gt;0,YEAR($F251)&lt;=DQ$4,YEAR($F251)&lt;Preisindex!$A$6),ROUND($E251*DR251,2),0))</f>
        <v>0</v>
      </c>
      <c r="DT251" s="53">
        <f t="shared" si="664"/>
        <v>0</v>
      </c>
      <c r="DU251" s="51">
        <f t="shared" si="753"/>
        <v>0</v>
      </c>
      <c r="DV251" s="51">
        <f t="shared" si="735"/>
        <v>0</v>
      </c>
      <c r="DW251" s="51">
        <f t="shared" si="665"/>
        <v>0</v>
      </c>
      <c r="DX251" s="51">
        <f t="shared" si="736"/>
        <v>0</v>
      </c>
      <c r="DY251" s="51">
        <f t="shared" si="666"/>
        <v>0</v>
      </c>
      <c r="DZ251" s="51">
        <f t="shared" si="737"/>
        <v>0</v>
      </c>
      <c r="EA251" s="51">
        <f t="shared" si="667"/>
        <v>0</v>
      </c>
      <c r="EB251" s="51">
        <f t="shared" si="738"/>
        <v>0</v>
      </c>
      <c r="EC251" s="51">
        <f t="shared" si="668"/>
        <v>0</v>
      </c>
      <c r="ED251" s="51">
        <f t="shared" si="739"/>
        <v>0</v>
      </c>
      <c r="EE251" s="51">
        <f t="shared" si="669"/>
        <v>0</v>
      </c>
      <c r="EF251" s="54">
        <f t="shared" si="670"/>
        <v>0</v>
      </c>
      <c r="EG251" s="55">
        <f t="shared" si="671"/>
        <v>0</v>
      </c>
      <c r="EH251" s="56">
        <f>IF(AND($E251&lt;&gt;0,$F251&gt;0,YEAR($F251)&gt;=Preisindex!$A$6,YEAR(EC$4)&gt;=YEAR($F251),AND($K251&lt;&gt;"a",$K251&lt;&gt;"b",$K251&lt;&gt;"g",$K251&lt;&gt;"k")),1,IF(AND($E251&lt;&gt;0,$F251&gt;0,YEAR($F251)&gt;=Preisindex!$A$6,YEAR(EC$4)&gt;=YEAR($F251),$K251="a"),ROUND(VLOOKUP(EH$4,Preisindex,5,FALSE)/VLOOKUP(YEAR($F251),Preisindex,5,FALSE),2),IF(AND($E251&lt;&gt;0,$F251&gt;0,YEAR($F251)&gt;=Preisindex!$A$6,YEAR(EC$4)&gt;=YEAR($F251),$K251="b"),ROUND(VLOOKUP(EH$4,Preisindex,3,FALSE)/VLOOKUP(YEAR($F251),Preisindex,3,FALSE),2),IF(AND($E251&lt;&gt;0,$F251&gt;0,YEAR($F251)&gt;=Preisindex!$A$6,YEAR(EC$4)&gt;=YEAR($F251),$K251="g"),ROUND(VLOOKUP(EH$4,Preisindex,4,FALSE)/VLOOKUP(YEAR($F251),Preisindex,4,FALSE),2),IF(AND($E251&lt;&gt;0,$F251&gt;0,YEAR($F251)&gt;=Preisindex!$A$6,YEAR(EC$4)&gt;=YEAR($F251),$K251="k"),ROUND(VLOOKUP(EH$4,Preisindex,2,FALSE)/VLOOKUP(YEAR($F251),Preisindex,2,FALSE),2),0)))))</f>
        <v>0</v>
      </c>
      <c r="EI251" s="56">
        <f>IF(AND($E251&lt;&gt;0,$F251&gt;0,YEAR($F251)&lt;Preisindex!$A$6,YEAR(EC$4)&gt;=YEAR($F251),AND($K251&lt;&gt;"a",$K251&lt;&gt;"b",$K251&lt;&gt;"g",$K251&lt;&gt;"k")),1,IF(AND($E251&lt;&gt;0,$F251&gt;0,YEAR($F251)&lt;Preisindex!$A$6,YEAR(EC$4)&gt;=YEAR($F251),$K251="a"),ROUND(VLOOKUP(EH$4,Preisindex,5,FALSE)/VLOOKUP(Preisindex!$A$6,Preisindex,5,FALSE),2),IF(AND($E251&lt;&gt;0,$F251&gt;0,YEAR($F251)&lt;Preisindex!$A$6,YEAR(EC$4)&gt;=YEAR($F251),$K251="b"),ROUND(VLOOKUP(EH$4,Preisindex,3,FALSE)/VLOOKUP(Preisindex!$A$6,Preisindex,3,FALSE),2),IF(AND($E251&lt;&gt;0,$F251&gt;0,YEAR($F251)&lt;Preisindex!$A$6,YEAR(EC$4)&gt;=YEAR($F251),$K251="g"),ROUND(VLOOKUP(EH$4,Preisindex,4,FALSE)/VLOOKUP(Preisindex!$A$6,Preisindex,4,FALSE),2),IF(AND($E251&lt;&gt;0,$F251&gt;0,YEAR($F251)&lt;Preisindex!$A$6,YEAR(EC$4)&gt;=YEAR($F251),$K251="k"),ROUND(VLOOKUP(EH$4,Preisindex,2,FALSE)/VLOOKUP(Preisindex!$A$6,Preisindex,2,FALSE),2),0)))))</f>
        <v>0</v>
      </c>
      <c r="EJ251" s="51">
        <f>IF(AND($E251&lt;&gt;0,$F251&gt;0,YEAR($F251)&lt;=EH$4,YEAR($F251)&gt;=Preisindex!$A$6),ROUND($E251*EH251,2),IF(AND($E251&lt;&gt;0,$F251&gt;0,YEAR($F251)&lt;=EH$4,YEAR($F251)&lt;Preisindex!$A$6),ROUND($E251*EI251,2),0))</f>
        <v>0</v>
      </c>
      <c r="EK251" s="53">
        <f t="shared" si="672"/>
        <v>0</v>
      </c>
      <c r="EL251" s="51">
        <f t="shared" si="753"/>
        <v>0</v>
      </c>
      <c r="EM251" s="51">
        <f t="shared" si="740"/>
        <v>0</v>
      </c>
      <c r="EN251" s="51">
        <f t="shared" si="673"/>
        <v>0</v>
      </c>
      <c r="EO251" s="51">
        <f t="shared" si="741"/>
        <v>0</v>
      </c>
      <c r="EP251" s="51">
        <f t="shared" si="674"/>
        <v>0</v>
      </c>
      <c r="EQ251" s="51">
        <f t="shared" si="742"/>
        <v>0</v>
      </c>
      <c r="ER251" s="51">
        <f t="shared" si="675"/>
        <v>0</v>
      </c>
      <c r="ES251" s="51">
        <f t="shared" si="743"/>
        <v>0</v>
      </c>
      <c r="ET251" s="51">
        <f t="shared" si="676"/>
        <v>0</v>
      </c>
      <c r="EU251" s="51">
        <f t="shared" si="744"/>
        <v>0</v>
      </c>
      <c r="EV251" s="51">
        <f t="shared" si="677"/>
        <v>0</v>
      </c>
      <c r="EW251" s="54">
        <f t="shared" si="678"/>
        <v>0</v>
      </c>
      <c r="EX251" s="55">
        <f t="shared" si="679"/>
        <v>0</v>
      </c>
      <c r="EY251" s="56">
        <f>IF(AND($E251&lt;&gt;0,$F251&gt;0,YEAR($F251)&gt;=Preisindex!$A$6,YEAR(ET$4)&gt;=YEAR($F251),AND($K251&lt;&gt;"a",$K251&lt;&gt;"b",$K251&lt;&gt;"g",$K251&lt;&gt;"k")),1,IF(AND($E251&lt;&gt;0,$F251&gt;0,YEAR($F251)&gt;=Preisindex!$A$6,YEAR(ET$4)&gt;=YEAR($F251),$K251="a"),ROUND(VLOOKUP(EY$4,Preisindex,5,FALSE)/VLOOKUP(YEAR($F251),Preisindex,5,FALSE),2),IF(AND($E251&lt;&gt;0,$F251&gt;0,YEAR($F251)&gt;=Preisindex!$A$6,YEAR(ET$4)&gt;=YEAR($F251),$K251="b"),ROUND(VLOOKUP(EY$4,Preisindex,3,FALSE)/VLOOKUP(YEAR($F251),Preisindex,3,FALSE),2),IF(AND($E251&lt;&gt;0,$F251&gt;0,YEAR($F251)&gt;=Preisindex!$A$6,YEAR(ET$4)&gt;=YEAR($F251),$K251="g"),ROUND(VLOOKUP(EY$4,Preisindex,4,FALSE)/VLOOKUP(YEAR($F251),Preisindex,4,FALSE),2),IF(AND($E251&lt;&gt;0,$F251&gt;0,YEAR($F251)&gt;=Preisindex!$A$6,YEAR(ET$4)&gt;=YEAR($F251),$K251="k"),ROUND(VLOOKUP(EY$4,Preisindex,2,FALSE)/VLOOKUP(YEAR($F251),Preisindex,2,FALSE),2),0)))))</f>
        <v>0</v>
      </c>
      <c r="EZ251" s="56">
        <f>IF(AND($E251&lt;&gt;0,$F251&gt;0,YEAR($F251)&lt;Preisindex!$A$6,YEAR(ET$4)&gt;=YEAR($F251),AND($K251&lt;&gt;"a",$K251&lt;&gt;"b",$K251&lt;&gt;"g",$K251&lt;&gt;"k")),1,IF(AND($E251&lt;&gt;0,$F251&gt;0,YEAR($F251)&lt;Preisindex!$A$6,YEAR(ET$4)&gt;=YEAR($F251),$K251="a"),ROUND(VLOOKUP(EY$4,Preisindex,5,FALSE)/VLOOKUP(Preisindex!$A$6,Preisindex,5,FALSE),2),IF(AND($E251&lt;&gt;0,$F251&gt;0,YEAR($F251)&lt;Preisindex!$A$6,YEAR(ET$4)&gt;=YEAR($F251),$K251="b"),ROUND(VLOOKUP(EY$4,Preisindex,3,FALSE)/VLOOKUP(Preisindex!$A$6,Preisindex,3,FALSE),2),IF(AND($E251&lt;&gt;0,$F251&gt;0,YEAR($F251)&lt;Preisindex!$A$6,YEAR(ET$4)&gt;=YEAR($F251),$K251="g"),ROUND(VLOOKUP(EY$4,Preisindex,4,FALSE)/VLOOKUP(Preisindex!$A$6,Preisindex,4,FALSE),2),IF(AND($E251&lt;&gt;0,$F251&gt;0,YEAR($F251)&lt;Preisindex!$A$6,YEAR(ET$4)&gt;=YEAR($F251),$K251="k"),ROUND(VLOOKUP(EY$4,Preisindex,2,FALSE)/VLOOKUP(Preisindex!$A$6,Preisindex,2,FALSE),2),0)))))</f>
        <v>0</v>
      </c>
      <c r="FA251" s="51">
        <f>IF(AND($E251&lt;&gt;0,$F251&gt;0,YEAR($F251)&lt;=EY$4,YEAR($F251)&gt;=Preisindex!$A$6),ROUND($E251*EY251,2),IF(AND($E251&lt;&gt;0,$F251&gt;0,YEAR($F251)&lt;=EY$4,YEAR($F251)&lt;Preisindex!$A$6),ROUND($E251*EZ251,2),0))</f>
        <v>0</v>
      </c>
      <c r="FB251" s="53">
        <f t="shared" si="680"/>
        <v>0</v>
      </c>
      <c r="FC251" s="51">
        <f t="shared" si="753"/>
        <v>0</v>
      </c>
      <c r="FD251" s="51">
        <f t="shared" si="745"/>
        <v>0</v>
      </c>
      <c r="FE251" s="51">
        <f t="shared" si="681"/>
        <v>0</v>
      </c>
      <c r="FF251" s="51">
        <f t="shared" si="746"/>
        <v>0</v>
      </c>
      <c r="FG251" s="51">
        <f t="shared" si="682"/>
        <v>0</v>
      </c>
      <c r="FH251" s="51">
        <f t="shared" si="747"/>
        <v>0</v>
      </c>
      <c r="FI251" s="51">
        <f t="shared" si="683"/>
        <v>0</v>
      </c>
      <c r="FJ251" s="51">
        <f t="shared" si="748"/>
        <v>0</v>
      </c>
      <c r="FK251" s="51">
        <f t="shared" si="684"/>
        <v>0</v>
      </c>
      <c r="FL251" s="51">
        <f t="shared" si="749"/>
        <v>0</v>
      </c>
      <c r="FM251" s="51">
        <f t="shared" si="685"/>
        <v>0</v>
      </c>
      <c r="FN251" s="54">
        <f t="shared" si="686"/>
        <v>0</v>
      </c>
      <c r="FO251" s="55">
        <f t="shared" si="687"/>
        <v>0</v>
      </c>
      <c r="FP251" s="56">
        <f>IF(AND($E251&lt;&gt;0,$F251&gt;0,YEAR($F251)&gt;=Preisindex!$A$6,YEAR(FK$4)&gt;=YEAR($F251),AND($K251&lt;&gt;"a",$K251&lt;&gt;"b",$K251&lt;&gt;"g",$K251&lt;&gt;"k")),1,IF(AND($E251&lt;&gt;0,$F251&gt;0,YEAR($F251)&gt;=Preisindex!$A$6,YEAR(FK$4)&gt;=YEAR($F251),$K251="a"),ROUND(VLOOKUP(FP$4,Preisindex,5,FALSE)/VLOOKUP(YEAR($F251),Preisindex,5,FALSE),2),IF(AND($E251&lt;&gt;0,$F251&gt;0,YEAR($F251)&gt;=Preisindex!$A$6,YEAR(FK$4)&gt;=YEAR($F251),$K251="b"),ROUND(VLOOKUP(FP$4,Preisindex,3,FALSE)/VLOOKUP(YEAR($F251),Preisindex,3,FALSE),2),IF(AND($E251&lt;&gt;0,$F251&gt;0,YEAR($F251)&gt;=Preisindex!$A$6,YEAR(FK$4)&gt;=YEAR($F251),$K251="g"),ROUND(VLOOKUP(FP$4,Preisindex,4,FALSE)/VLOOKUP(YEAR($F251),Preisindex,4,FALSE),2),IF(AND($E251&lt;&gt;0,$F251&gt;0,YEAR($F251)&gt;=Preisindex!$A$6,YEAR(FK$4)&gt;=YEAR($F251),$K251="k"),ROUND(VLOOKUP(FP$4,Preisindex,2,FALSE)/VLOOKUP(YEAR($F251),Preisindex,2,FALSE),2),0)))))</f>
        <v>0</v>
      </c>
      <c r="FQ251" s="56">
        <f>IF(AND($E251&lt;&gt;0,$F251&gt;0,YEAR($F251)&lt;Preisindex!$A$6,YEAR(FK$4)&gt;=YEAR($F251),AND($K251&lt;&gt;"a",$K251&lt;&gt;"b",$K251&lt;&gt;"g",$K251&lt;&gt;"k")),1,IF(AND($E251&lt;&gt;0,$F251&gt;0,YEAR($F251)&lt;Preisindex!$A$6,YEAR(FK$4)&gt;=YEAR($F251),$K251="a"),ROUND(VLOOKUP(FP$4,Preisindex,5,FALSE)/VLOOKUP(Preisindex!$A$6,Preisindex,5,FALSE),2),IF(AND($E251&lt;&gt;0,$F251&gt;0,YEAR($F251)&lt;Preisindex!$A$6,YEAR(FK$4)&gt;=YEAR($F251),$K251="b"),ROUND(VLOOKUP(FP$4,Preisindex,3,FALSE)/VLOOKUP(Preisindex!$A$6,Preisindex,3,FALSE),2),IF(AND($E251&lt;&gt;0,$F251&gt;0,YEAR($F251)&lt;Preisindex!$A$6,YEAR(FK$4)&gt;=YEAR($F251),$K251="g"),ROUND(VLOOKUP(FP$4,Preisindex,4,FALSE)/VLOOKUP(Preisindex!$A$6,Preisindex,4,FALSE),2),IF(AND($E251&lt;&gt;0,$F251&gt;0,YEAR($F251)&lt;Preisindex!$A$6,YEAR(FK$4)&gt;=YEAR($F251),$K251="k"),ROUND(VLOOKUP(FP$4,Preisindex,2,FALSE)/VLOOKUP(Preisindex!$A$6,Preisindex,2,FALSE),2),0)))))</f>
        <v>0</v>
      </c>
      <c r="FR251" s="51">
        <f>IF(AND($E251&lt;&gt;0,$F251&gt;0,YEAR($F251)&lt;=FP$4,YEAR($F251)&gt;=Preisindex!$A$6),ROUND($E251*FP251,2),IF(AND($E251&lt;&gt;0,$F251&gt;0,YEAR($F251)&lt;=FP$4,YEAR($F251)&lt;Preisindex!$A$6),ROUND($E251*FQ251,2),0))</f>
        <v>0</v>
      </c>
      <c r="FS251" s="53">
        <f t="shared" si="688"/>
        <v>0</v>
      </c>
    </row>
    <row r="252" spans="1:175" x14ac:dyDescent="0.3">
      <c r="A252" s="93"/>
      <c r="B252" s="94"/>
      <c r="C252" s="94"/>
      <c r="D252" s="188"/>
      <c r="E252" s="624"/>
      <c r="F252" s="190"/>
      <c r="G252" s="625"/>
      <c r="H252" s="620"/>
      <c r="I252" s="621"/>
      <c r="J252" s="103"/>
      <c r="K252" s="630"/>
      <c r="L252" s="49">
        <f t="shared" si="689"/>
        <v>0</v>
      </c>
      <c r="M252" s="50">
        <f t="shared" si="690"/>
        <v>0</v>
      </c>
      <c r="N252" s="51">
        <f t="shared" si="691"/>
        <v>0</v>
      </c>
      <c r="O252" s="51"/>
      <c r="P252" s="51">
        <f t="shared" si="692"/>
        <v>0</v>
      </c>
      <c r="Q252" s="52"/>
      <c r="R252" s="52"/>
      <c r="S252" s="52"/>
      <c r="T252" s="52"/>
      <c r="U252" s="52"/>
      <c r="V252" s="53">
        <f t="shared" si="693"/>
        <v>0</v>
      </c>
      <c r="W252" s="51">
        <f t="shared" si="694"/>
        <v>0</v>
      </c>
      <c r="X252" s="51">
        <f t="shared" si="695"/>
        <v>0</v>
      </c>
      <c r="Y252" s="51">
        <f t="shared" si="696"/>
        <v>0</v>
      </c>
      <c r="Z252" s="51">
        <f t="shared" si="697"/>
        <v>0</v>
      </c>
      <c r="AA252" s="51">
        <f t="shared" si="698"/>
        <v>0</v>
      </c>
      <c r="AB252" s="51">
        <f t="shared" si="699"/>
        <v>0</v>
      </c>
      <c r="AC252" s="51">
        <f t="shared" si="700"/>
        <v>0</v>
      </c>
      <c r="AD252" s="51">
        <f t="shared" si="701"/>
        <v>0</v>
      </c>
      <c r="AE252" s="51">
        <f t="shared" si="702"/>
        <v>0</v>
      </c>
      <c r="AF252" s="51">
        <f t="shared" si="703"/>
        <v>0</v>
      </c>
      <c r="AG252" s="51">
        <f t="shared" si="704"/>
        <v>0</v>
      </c>
      <c r="AH252" s="54">
        <f t="shared" si="705"/>
        <v>0</v>
      </c>
      <c r="AI252" s="55">
        <f t="shared" si="706"/>
        <v>0</v>
      </c>
      <c r="AJ252" s="56">
        <f>IF(AND($E252&lt;&gt;0,$F252&gt;0,YEAR($F252)&gt;=Preisindex!$A$6,YEAR(AE$4)&gt;=YEAR($F252),AND($K252&lt;&gt;"a",$K252&lt;&gt;"b",$K252&lt;&gt;"g",$K252&lt;&gt;"k")),1,IF(AND($E252&lt;&gt;0,$F252&gt;0,YEAR($F252)&gt;=Preisindex!$A$6,YEAR(AE$4)&gt;=YEAR($F252),$K252="a"),ROUND(VLOOKUP(AJ$4,Preisindex,5,FALSE)/VLOOKUP(YEAR($F252),Preisindex,5,FALSE),2),IF(AND($E252&lt;&gt;0,$F252&gt;0,YEAR($F252)&gt;=Preisindex!$A$6,YEAR(AE$4)&gt;=YEAR($F252),$K252="b"),ROUND(VLOOKUP(AJ$4,Preisindex,3,FALSE)/VLOOKUP(YEAR($F252),Preisindex,3,FALSE),2),IF(AND($E252&lt;&gt;0,$F252&gt;0,YEAR($F252)&gt;=Preisindex!$A$6,YEAR(AE$4)&gt;=YEAR($F252),$K252="g"),ROUND(VLOOKUP(AJ$4,Preisindex,4,FALSE)/VLOOKUP(YEAR($F252),Preisindex,4,FALSE),2),IF(AND($E252&lt;&gt;0,$F252&gt;0,YEAR($F252)&gt;=Preisindex!$A$6,YEAR(AE$4)&gt;=YEAR($F252),$K252="k"),ROUND(VLOOKUP(AJ$4,Preisindex,2,FALSE)/VLOOKUP(YEAR($F252),Preisindex,2,FALSE),2),0)))))</f>
        <v>0</v>
      </c>
      <c r="AK252" s="56">
        <f>IF(AND($E252&lt;&gt;0,$F252&gt;0,YEAR($F252)&lt;Preisindex!$A$6,YEAR(AE$4)&gt;=YEAR($F252),AND($K252&lt;&gt;"a",$K252&lt;&gt;"b",$K252&lt;&gt;"g",$K252&lt;&gt;"k")),1,IF(AND($E252&lt;&gt;0,$F252&gt;0,YEAR($F252)&lt;Preisindex!$A$6,YEAR(AE$4)&gt;=YEAR($F252),$K252="a"),ROUND(VLOOKUP(AJ$4,Preisindex,5,FALSE)/VLOOKUP(Preisindex!$A$6,Preisindex,5,FALSE),2),IF(AND($E252&lt;&gt;0,$F252&gt;0,YEAR($F252)&lt;Preisindex!$A$6,YEAR(AE$4)&gt;=YEAR($F252),$K252="b"),ROUND(VLOOKUP(AJ$4,Preisindex,3,FALSE)/VLOOKUP(Preisindex!$A$6,Preisindex,3,FALSE),2),IF(AND($E252&lt;&gt;0,$F252&gt;0,YEAR($F252)&lt;Preisindex!$A$6,YEAR(AE$4)&gt;=YEAR($F252),$K252="g"),ROUND(VLOOKUP(AJ$4,Preisindex,4,FALSE)/VLOOKUP(Preisindex!$A$6,Preisindex,4,FALSE),2),IF(AND($E252&lt;&gt;0,$F252&gt;0,YEAR($F252)&lt;Preisindex!$A$6,YEAR(AE$4)&gt;=YEAR($F252),$K252="k"),ROUND(VLOOKUP(AJ$4,Preisindex,2,FALSE)/VLOOKUP(Preisindex!$A$6,Preisindex,2,FALSE),2),0)))))</f>
        <v>0</v>
      </c>
      <c r="AL252" s="51">
        <f>IF(AND($E252&lt;&gt;0,$F252&gt;0,YEAR($F252)&lt;=AJ$4,YEAR($F252)&gt;=Preisindex!$A$6),ROUND($E252*AJ252,2),IF(AND($E252&lt;&gt;0,$F252&gt;0,YEAR($F252)&lt;=AJ$4,YEAR($F252)&lt;Preisindex!$A$6),ROUND($E252*AK252,2),0))</f>
        <v>0</v>
      </c>
      <c r="AM252" s="53">
        <f t="shared" si="707"/>
        <v>0</v>
      </c>
      <c r="AN252" s="51">
        <f t="shared" si="752"/>
        <v>0</v>
      </c>
      <c r="AO252" s="51">
        <f t="shared" si="710"/>
        <v>0</v>
      </c>
      <c r="AP252" s="51">
        <f t="shared" si="624"/>
        <v>0</v>
      </c>
      <c r="AQ252" s="51">
        <f t="shared" si="711"/>
        <v>0</v>
      </c>
      <c r="AR252" s="51">
        <f t="shared" si="625"/>
        <v>0</v>
      </c>
      <c r="AS252" s="51">
        <f t="shared" si="712"/>
        <v>0</v>
      </c>
      <c r="AT252" s="51">
        <f t="shared" si="626"/>
        <v>0</v>
      </c>
      <c r="AU252" s="51">
        <f t="shared" si="713"/>
        <v>0</v>
      </c>
      <c r="AV252" s="51">
        <f t="shared" si="627"/>
        <v>0</v>
      </c>
      <c r="AW252" s="51">
        <f t="shared" si="714"/>
        <v>0</v>
      </c>
      <c r="AX252" s="51">
        <f t="shared" si="628"/>
        <v>0</v>
      </c>
      <c r="AY252" s="54">
        <f t="shared" si="629"/>
        <v>0</v>
      </c>
      <c r="AZ252" s="55">
        <f t="shared" si="630"/>
        <v>0</v>
      </c>
      <c r="BA252" s="56">
        <f>IF(AND($E252&lt;&gt;0,$F252&gt;0,YEAR($F252)&gt;=Preisindex!$A$6,YEAR(AV$4)&gt;=YEAR($F252),AND($K252&lt;&gt;"a",$K252&lt;&gt;"b",$K252&lt;&gt;"g",$K252&lt;&gt;"k")),1,IF(AND($E252&lt;&gt;0,$F252&gt;0,YEAR($F252)&gt;=Preisindex!$A$6,YEAR(AV$4)&gt;=YEAR($F252),$K252="a"),ROUND(VLOOKUP(BA$4,Preisindex,5,FALSE)/VLOOKUP(YEAR($F252),Preisindex,5,FALSE),2),IF(AND($E252&lt;&gt;0,$F252&gt;0,YEAR($F252)&gt;=Preisindex!$A$6,YEAR(AV$4)&gt;=YEAR($F252),$K252="b"),ROUND(VLOOKUP(BA$4,Preisindex,3,FALSE)/VLOOKUP(YEAR($F252),Preisindex,3,FALSE),2),IF(AND($E252&lt;&gt;0,$F252&gt;0,YEAR($F252)&gt;=Preisindex!$A$6,YEAR(AV$4)&gt;=YEAR($F252),$K252="g"),ROUND(VLOOKUP(BA$4,Preisindex,4,FALSE)/VLOOKUP(YEAR($F252),Preisindex,4,FALSE),2),IF(AND($E252&lt;&gt;0,$F252&gt;0,YEAR($F252)&gt;=Preisindex!$A$6,YEAR(AV$4)&gt;=YEAR($F252),$K252="k"),ROUND(VLOOKUP(BA$4,Preisindex,2,FALSE)/VLOOKUP(YEAR($F252),Preisindex,2,FALSE),2),0)))))</f>
        <v>0</v>
      </c>
      <c r="BB252" s="56">
        <f>IF(AND($E252&lt;&gt;0,$F252&gt;0,YEAR($F252)&lt;Preisindex!$A$6,YEAR(AV$4)&gt;=YEAR($F252),AND($K252&lt;&gt;"a",$K252&lt;&gt;"b",$K252&lt;&gt;"g",$K252&lt;&gt;"k")),1,IF(AND($E252&lt;&gt;0,$F252&gt;0,YEAR($F252)&lt;Preisindex!$A$6,YEAR(AV$4)&gt;=YEAR($F252),$K252="a"),ROUND(VLOOKUP(BA$4,Preisindex,5,FALSE)/VLOOKUP(Preisindex!$A$6,Preisindex,5,FALSE),2),IF(AND($E252&lt;&gt;0,$F252&gt;0,YEAR($F252)&lt;Preisindex!$A$6,YEAR(AV$4)&gt;=YEAR($F252),$K252="b"),ROUND(VLOOKUP(BA$4,Preisindex,3,FALSE)/VLOOKUP(Preisindex!$A$6,Preisindex,3,FALSE),2),IF(AND($E252&lt;&gt;0,$F252&gt;0,YEAR($F252)&lt;Preisindex!$A$6,YEAR(AV$4)&gt;=YEAR($F252),$K252="g"),ROUND(VLOOKUP(BA$4,Preisindex,4,FALSE)/VLOOKUP(Preisindex!$A$6,Preisindex,4,FALSE),2),IF(AND($E252&lt;&gt;0,$F252&gt;0,YEAR($F252)&lt;Preisindex!$A$6,YEAR(AV$4)&gt;=YEAR($F252),$K252="k"),ROUND(VLOOKUP(BA$4,Preisindex,2,FALSE)/VLOOKUP(Preisindex!$A$6,Preisindex,2,FALSE),2),0)))))</f>
        <v>0</v>
      </c>
      <c r="BC252" s="51">
        <f>IF(AND($E252&lt;&gt;0,$F252&gt;0,YEAR($F252)&lt;=BA$4,YEAR($F252)&gt;=Preisindex!$A$6),ROUND($E252*BA252,2),IF(AND($E252&lt;&gt;0,$F252&gt;0,YEAR($F252)&lt;=BA$4,YEAR($F252)&lt;Preisindex!$A$6),ROUND($E252*BB252,2),0))</f>
        <v>0</v>
      </c>
      <c r="BD252" s="53">
        <f t="shared" si="631"/>
        <v>0</v>
      </c>
      <c r="BE252" s="51">
        <f t="shared" si="752"/>
        <v>0</v>
      </c>
      <c r="BF252" s="51">
        <f t="shared" si="715"/>
        <v>0</v>
      </c>
      <c r="BG252" s="51">
        <f t="shared" si="632"/>
        <v>0</v>
      </c>
      <c r="BH252" s="51">
        <f t="shared" si="716"/>
        <v>0</v>
      </c>
      <c r="BI252" s="51">
        <f t="shared" si="633"/>
        <v>0</v>
      </c>
      <c r="BJ252" s="51">
        <f t="shared" si="717"/>
        <v>0</v>
      </c>
      <c r="BK252" s="51">
        <f t="shared" si="634"/>
        <v>0</v>
      </c>
      <c r="BL252" s="51">
        <f t="shared" si="718"/>
        <v>0</v>
      </c>
      <c r="BM252" s="51">
        <f t="shared" si="635"/>
        <v>0</v>
      </c>
      <c r="BN252" s="51">
        <f t="shared" si="719"/>
        <v>0</v>
      </c>
      <c r="BO252" s="51">
        <f t="shared" si="636"/>
        <v>0</v>
      </c>
      <c r="BP252" s="54">
        <f t="shared" si="637"/>
        <v>0</v>
      </c>
      <c r="BQ252" s="55">
        <f t="shared" si="638"/>
        <v>0</v>
      </c>
      <c r="BR252" s="56">
        <f>IF(AND($E252&lt;&gt;0,$F252&gt;0,YEAR($F252)&gt;=Preisindex!$A$6,YEAR(BM$4)&gt;=YEAR($F252),AND($K252&lt;&gt;"a",$K252&lt;&gt;"b",$K252&lt;&gt;"g",$K252&lt;&gt;"k")),1,IF(AND($E252&lt;&gt;0,$F252&gt;0,YEAR($F252)&gt;=Preisindex!$A$6,YEAR(BM$4)&gt;=YEAR($F252),$K252="a"),ROUND(VLOOKUP(BR$4,Preisindex,5,FALSE)/VLOOKUP(YEAR($F252),Preisindex,5,FALSE),2),IF(AND($E252&lt;&gt;0,$F252&gt;0,YEAR($F252)&gt;=Preisindex!$A$6,YEAR(BM$4)&gt;=YEAR($F252),$K252="b"),ROUND(VLOOKUP(BR$4,Preisindex,3,FALSE)/VLOOKUP(YEAR($F252),Preisindex,3,FALSE),2),IF(AND($E252&lt;&gt;0,$F252&gt;0,YEAR($F252)&gt;=Preisindex!$A$6,YEAR(BM$4)&gt;=YEAR($F252),$K252="g"),ROUND(VLOOKUP(BR$4,Preisindex,4,FALSE)/VLOOKUP(YEAR($F252),Preisindex,4,FALSE),2),IF(AND($E252&lt;&gt;0,$F252&gt;0,YEAR($F252)&gt;=Preisindex!$A$6,YEAR(BM$4)&gt;=YEAR($F252),$K252="k"),ROUND(VLOOKUP(BR$4,Preisindex,2,FALSE)/VLOOKUP(YEAR($F252),Preisindex,2,FALSE),2),0)))))</f>
        <v>0</v>
      </c>
      <c r="BS252" s="56">
        <f>IF(AND($E252&lt;&gt;0,$F252&gt;0,YEAR($F252)&lt;Preisindex!$A$6,YEAR(BM$4)&gt;=YEAR($F252),AND($K252&lt;&gt;"a",$K252&lt;&gt;"b",$K252&lt;&gt;"g",$K252&lt;&gt;"k")),1,IF(AND($E252&lt;&gt;0,$F252&gt;0,YEAR($F252)&lt;Preisindex!$A$6,YEAR(BM$4)&gt;=YEAR($F252),$K252="a"),ROUND(VLOOKUP(BR$4,Preisindex,5,FALSE)/VLOOKUP(Preisindex!$A$6,Preisindex,5,FALSE),2),IF(AND($E252&lt;&gt;0,$F252&gt;0,YEAR($F252)&lt;Preisindex!$A$6,YEAR(BM$4)&gt;=YEAR($F252),$K252="b"),ROUND(VLOOKUP(BR$4,Preisindex,3,FALSE)/VLOOKUP(Preisindex!$A$6,Preisindex,3,FALSE),2),IF(AND($E252&lt;&gt;0,$F252&gt;0,YEAR($F252)&lt;Preisindex!$A$6,YEAR(BM$4)&gt;=YEAR($F252),$K252="g"),ROUND(VLOOKUP(BR$4,Preisindex,4,FALSE)/VLOOKUP(Preisindex!$A$6,Preisindex,4,FALSE),2),IF(AND($E252&lt;&gt;0,$F252&gt;0,YEAR($F252)&lt;Preisindex!$A$6,YEAR(BM$4)&gt;=YEAR($F252),$K252="k"),ROUND(VLOOKUP(BR$4,Preisindex,2,FALSE)/VLOOKUP(Preisindex!$A$6,Preisindex,2,FALSE),2),0)))))</f>
        <v>0</v>
      </c>
      <c r="BT252" s="51">
        <f>IF(AND($E252&lt;&gt;0,$F252&gt;0,YEAR($F252)&lt;=BR$4,YEAR($F252)&gt;=Preisindex!$A$6),ROUND($E252*BR252,2),IF(AND($E252&lt;&gt;0,$F252&gt;0,YEAR($F252)&lt;=BR$4,YEAR($F252)&lt;Preisindex!$A$6),ROUND($E252*BS252,2),0))</f>
        <v>0</v>
      </c>
      <c r="BU252" s="53">
        <f t="shared" si="639"/>
        <v>0</v>
      </c>
      <c r="BV252" s="51">
        <f t="shared" si="752"/>
        <v>0</v>
      </c>
      <c r="BW252" s="51">
        <f t="shared" si="720"/>
        <v>0</v>
      </c>
      <c r="BX252" s="51">
        <f t="shared" si="640"/>
        <v>0</v>
      </c>
      <c r="BY252" s="51">
        <f t="shared" si="721"/>
        <v>0</v>
      </c>
      <c r="BZ252" s="51">
        <f t="shared" si="641"/>
        <v>0</v>
      </c>
      <c r="CA252" s="51">
        <f t="shared" si="722"/>
        <v>0</v>
      </c>
      <c r="CB252" s="51">
        <f t="shared" si="642"/>
        <v>0</v>
      </c>
      <c r="CC252" s="51">
        <f t="shared" si="723"/>
        <v>0</v>
      </c>
      <c r="CD252" s="51">
        <f t="shared" si="643"/>
        <v>0</v>
      </c>
      <c r="CE252" s="51">
        <f t="shared" si="724"/>
        <v>0</v>
      </c>
      <c r="CF252" s="51">
        <f t="shared" si="644"/>
        <v>0</v>
      </c>
      <c r="CG252" s="54">
        <f t="shared" si="645"/>
        <v>0</v>
      </c>
      <c r="CH252" s="55">
        <f t="shared" si="646"/>
        <v>0</v>
      </c>
      <c r="CI252" s="56">
        <f>IF(AND($E252&lt;&gt;0,$F252&gt;0,YEAR($F252)&gt;=Preisindex!$A$6,YEAR(CD$4)&gt;=YEAR($F252),AND($K252&lt;&gt;"a",$K252&lt;&gt;"b",$K252&lt;&gt;"g",$K252&lt;&gt;"k")),1,IF(AND($E252&lt;&gt;0,$F252&gt;0,YEAR($F252)&gt;=Preisindex!$A$6,YEAR(CD$4)&gt;=YEAR($F252),$K252="a"),ROUND(VLOOKUP(CI$4,Preisindex,5,FALSE)/VLOOKUP(YEAR($F252),Preisindex,5,FALSE),2),IF(AND($E252&lt;&gt;0,$F252&gt;0,YEAR($F252)&gt;=Preisindex!$A$6,YEAR(CD$4)&gt;=YEAR($F252),$K252="b"),ROUND(VLOOKUP(CI$4,Preisindex,3,FALSE)/VLOOKUP(YEAR($F252),Preisindex,3,FALSE),2),IF(AND($E252&lt;&gt;0,$F252&gt;0,YEAR($F252)&gt;=Preisindex!$A$6,YEAR(CD$4)&gt;=YEAR($F252),$K252="g"),ROUND(VLOOKUP(CI$4,Preisindex,4,FALSE)/VLOOKUP(YEAR($F252),Preisindex,4,FALSE),2),IF(AND($E252&lt;&gt;0,$F252&gt;0,YEAR($F252)&gt;=Preisindex!$A$6,YEAR(CD$4)&gt;=YEAR($F252),$K252="k"),ROUND(VLOOKUP(CI$4,Preisindex,2,FALSE)/VLOOKUP(YEAR($F252),Preisindex,2,FALSE),2),0)))))</f>
        <v>0</v>
      </c>
      <c r="CJ252" s="56">
        <f>IF(AND($E252&lt;&gt;0,$F252&gt;0,YEAR($F252)&lt;Preisindex!$A$6,YEAR(CD$4)&gt;=YEAR($F252),AND($K252&lt;&gt;"a",$K252&lt;&gt;"b",$K252&lt;&gt;"g",$K252&lt;&gt;"k")),1,IF(AND($E252&lt;&gt;0,$F252&gt;0,YEAR($F252)&lt;Preisindex!$A$6,YEAR(CD$4)&gt;=YEAR($F252),$K252="a"),ROUND(VLOOKUP(CI$4,Preisindex,5,FALSE)/VLOOKUP(Preisindex!$A$6,Preisindex,5,FALSE),2),IF(AND($E252&lt;&gt;0,$F252&gt;0,YEAR($F252)&lt;Preisindex!$A$6,YEAR(CD$4)&gt;=YEAR($F252),$K252="b"),ROUND(VLOOKUP(CI$4,Preisindex,3,FALSE)/VLOOKUP(Preisindex!$A$6,Preisindex,3,FALSE),2),IF(AND($E252&lt;&gt;0,$F252&gt;0,YEAR($F252)&lt;Preisindex!$A$6,YEAR(CD$4)&gt;=YEAR($F252),$K252="g"),ROUND(VLOOKUP(CI$4,Preisindex,4,FALSE)/VLOOKUP(Preisindex!$A$6,Preisindex,4,FALSE),2),IF(AND($E252&lt;&gt;0,$F252&gt;0,YEAR($F252)&lt;Preisindex!$A$6,YEAR(CD$4)&gt;=YEAR($F252),$K252="k"),ROUND(VLOOKUP(CI$4,Preisindex,2,FALSE)/VLOOKUP(Preisindex!$A$6,Preisindex,2,FALSE),2),0)))))</f>
        <v>0</v>
      </c>
      <c r="CK252" s="51">
        <f>IF(AND($E252&lt;&gt;0,$F252&gt;0,YEAR($F252)&lt;=CI$4,YEAR($F252)&gt;=Preisindex!$A$6),ROUND($E252*CI252,2),IF(AND($E252&lt;&gt;0,$F252&gt;0,YEAR($F252)&lt;=CI$4,YEAR($F252)&lt;Preisindex!$A$6),ROUND($E252*CJ252,2),0))</f>
        <v>0</v>
      </c>
      <c r="CL252" s="53">
        <f t="shared" si="647"/>
        <v>0</v>
      </c>
      <c r="CM252" s="51">
        <f t="shared" si="752"/>
        <v>0</v>
      </c>
      <c r="CN252" s="51">
        <f t="shared" si="725"/>
        <v>0</v>
      </c>
      <c r="CO252" s="51">
        <f t="shared" si="648"/>
        <v>0</v>
      </c>
      <c r="CP252" s="51">
        <f t="shared" si="726"/>
        <v>0</v>
      </c>
      <c r="CQ252" s="51">
        <f t="shared" si="649"/>
        <v>0</v>
      </c>
      <c r="CR252" s="51">
        <f t="shared" si="727"/>
        <v>0</v>
      </c>
      <c r="CS252" s="51">
        <f t="shared" si="650"/>
        <v>0</v>
      </c>
      <c r="CT252" s="51">
        <f t="shared" si="728"/>
        <v>0</v>
      </c>
      <c r="CU252" s="51">
        <f t="shared" si="651"/>
        <v>0</v>
      </c>
      <c r="CV252" s="51">
        <f t="shared" si="729"/>
        <v>0</v>
      </c>
      <c r="CW252" s="51">
        <f t="shared" si="652"/>
        <v>0</v>
      </c>
      <c r="CX252" s="54">
        <f t="shared" si="653"/>
        <v>0</v>
      </c>
      <c r="CY252" s="55">
        <f t="shared" si="654"/>
        <v>0</v>
      </c>
      <c r="CZ252" s="56">
        <f>IF(AND($E252&lt;&gt;0,$F252&gt;0,YEAR($F252)&gt;=Preisindex!$A$6,YEAR(CU$4)&gt;=YEAR($F252),AND($K252&lt;&gt;"a",$K252&lt;&gt;"b",$K252&lt;&gt;"g",$K252&lt;&gt;"k")),1,IF(AND($E252&lt;&gt;0,$F252&gt;0,YEAR($F252)&gt;=Preisindex!$A$6,YEAR(CU$4)&gt;=YEAR($F252),$K252="a"),ROUND(VLOOKUP(CZ$4,Preisindex,5,FALSE)/VLOOKUP(YEAR($F252),Preisindex,5,FALSE),2),IF(AND($E252&lt;&gt;0,$F252&gt;0,YEAR($F252)&gt;=Preisindex!$A$6,YEAR(CU$4)&gt;=YEAR($F252),$K252="b"),ROUND(VLOOKUP(CZ$4,Preisindex,3,FALSE)/VLOOKUP(YEAR($F252),Preisindex,3,FALSE),2),IF(AND($E252&lt;&gt;0,$F252&gt;0,YEAR($F252)&gt;=Preisindex!$A$6,YEAR(CU$4)&gt;=YEAR($F252),$K252="g"),ROUND(VLOOKUP(CZ$4,Preisindex,4,FALSE)/VLOOKUP(YEAR($F252),Preisindex,4,FALSE),2),IF(AND($E252&lt;&gt;0,$F252&gt;0,YEAR($F252)&gt;=Preisindex!$A$6,YEAR(CU$4)&gt;=YEAR($F252),$K252="k"),ROUND(VLOOKUP(CZ$4,Preisindex,2,FALSE)/VLOOKUP(YEAR($F252),Preisindex,2,FALSE),2),0)))))</f>
        <v>0</v>
      </c>
      <c r="DA252" s="56">
        <f>IF(AND($E252&lt;&gt;0,$F252&gt;0,YEAR($F252)&lt;Preisindex!$A$6,YEAR(CU$4)&gt;=YEAR($F252),AND($K252&lt;&gt;"a",$K252&lt;&gt;"b",$K252&lt;&gt;"g",$K252&lt;&gt;"k")),1,IF(AND($E252&lt;&gt;0,$F252&gt;0,YEAR($F252)&lt;Preisindex!$A$6,YEAR(CU$4)&gt;=YEAR($F252),$K252="a"),ROUND(VLOOKUP(CZ$4,Preisindex,5,FALSE)/VLOOKUP(Preisindex!$A$6,Preisindex,5,FALSE),2),IF(AND($E252&lt;&gt;0,$F252&gt;0,YEAR($F252)&lt;Preisindex!$A$6,YEAR(CU$4)&gt;=YEAR($F252),$K252="b"),ROUND(VLOOKUP(CZ$4,Preisindex,3,FALSE)/VLOOKUP(Preisindex!$A$6,Preisindex,3,FALSE),2),IF(AND($E252&lt;&gt;0,$F252&gt;0,YEAR($F252)&lt;Preisindex!$A$6,YEAR(CU$4)&gt;=YEAR($F252),$K252="g"),ROUND(VLOOKUP(CZ$4,Preisindex,4,FALSE)/VLOOKUP(Preisindex!$A$6,Preisindex,4,FALSE),2),IF(AND($E252&lt;&gt;0,$F252&gt;0,YEAR($F252)&lt;Preisindex!$A$6,YEAR(CU$4)&gt;=YEAR($F252),$K252="k"),ROUND(VLOOKUP(CZ$4,Preisindex,2,FALSE)/VLOOKUP(Preisindex!$A$6,Preisindex,2,FALSE),2),0)))))</f>
        <v>0</v>
      </c>
      <c r="DB252" s="51">
        <f>IF(AND($E252&lt;&gt;0,$F252&gt;0,YEAR($F252)&lt;=CZ$4,YEAR($F252)&gt;=Preisindex!$A$6),ROUND($E252*CZ252,2),IF(AND($E252&lt;&gt;0,$F252&gt;0,YEAR($F252)&lt;=CZ$4,YEAR($F252)&lt;Preisindex!$A$6),ROUND($E252*DA252,2),0))</f>
        <v>0</v>
      </c>
      <c r="DC252" s="53">
        <f t="shared" si="655"/>
        <v>0</v>
      </c>
      <c r="DD252" s="51">
        <f t="shared" si="753"/>
        <v>0</v>
      </c>
      <c r="DE252" s="51">
        <f t="shared" si="730"/>
        <v>0</v>
      </c>
      <c r="DF252" s="51">
        <f t="shared" si="657"/>
        <v>0</v>
      </c>
      <c r="DG252" s="51">
        <f t="shared" si="731"/>
        <v>0</v>
      </c>
      <c r="DH252" s="51">
        <f t="shared" si="658"/>
        <v>0</v>
      </c>
      <c r="DI252" s="51">
        <f t="shared" si="732"/>
        <v>0</v>
      </c>
      <c r="DJ252" s="51">
        <f t="shared" si="659"/>
        <v>0</v>
      </c>
      <c r="DK252" s="51">
        <f t="shared" si="733"/>
        <v>0</v>
      </c>
      <c r="DL252" s="51">
        <f t="shared" si="660"/>
        <v>0</v>
      </c>
      <c r="DM252" s="51">
        <f t="shared" si="734"/>
        <v>0</v>
      </c>
      <c r="DN252" s="51">
        <f t="shared" si="661"/>
        <v>0</v>
      </c>
      <c r="DO252" s="54">
        <f t="shared" si="662"/>
        <v>0</v>
      </c>
      <c r="DP252" s="55">
        <f t="shared" si="663"/>
        <v>0</v>
      </c>
      <c r="DQ252" s="56">
        <f>IF(AND($E252&lt;&gt;0,$F252&gt;0,YEAR($F252)&gt;=Preisindex!$A$6,YEAR(DL$4)&gt;=YEAR($F252),AND($K252&lt;&gt;"a",$K252&lt;&gt;"b",$K252&lt;&gt;"g",$K252&lt;&gt;"k")),1,IF(AND($E252&lt;&gt;0,$F252&gt;0,YEAR($F252)&gt;=Preisindex!$A$6,YEAR(DL$4)&gt;=YEAR($F252),$K252="a"),ROUND(VLOOKUP(DQ$4,Preisindex,5,FALSE)/VLOOKUP(YEAR($F252),Preisindex,5,FALSE),2),IF(AND($E252&lt;&gt;0,$F252&gt;0,YEAR($F252)&gt;=Preisindex!$A$6,YEAR(DL$4)&gt;=YEAR($F252),$K252="b"),ROUND(VLOOKUP(DQ$4,Preisindex,3,FALSE)/VLOOKUP(YEAR($F252),Preisindex,3,FALSE),2),IF(AND($E252&lt;&gt;0,$F252&gt;0,YEAR($F252)&gt;=Preisindex!$A$6,YEAR(DL$4)&gt;=YEAR($F252),$K252="g"),ROUND(VLOOKUP(DQ$4,Preisindex,4,FALSE)/VLOOKUP(YEAR($F252),Preisindex,4,FALSE),2),IF(AND($E252&lt;&gt;0,$F252&gt;0,YEAR($F252)&gt;=Preisindex!$A$6,YEAR(DL$4)&gt;=YEAR($F252),$K252="k"),ROUND(VLOOKUP(DQ$4,Preisindex,2,FALSE)/VLOOKUP(YEAR($F252),Preisindex,2,FALSE),2),0)))))</f>
        <v>0</v>
      </c>
      <c r="DR252" s="56">
        <f>IF(AND($E252&lt;&gt;0,$F252&gt;0,YEAR($F252)&lt;Preisindex!$A$6,YEAR(DL$4)&gt;=YEAR($F252),AND($K252&lt;&gt;"a",$K252&lt;&gt;"b",$K252&lt;&gt;"g",$K252&lt;&gt;"k")),1,IF(AND($E252&lt;&gt;0,$F252&gt;0,YEAR($F252)&lt;Preisindex!$A$6,YEAR(DL$4)&gt;=YEAR($F252),$K252="a"),ROUND(VLOOKUP(DQ$4,Preisindex,5,FALSE)/VLOOKUP(Preisindex!$A$6,Preisindex,5,FALSE),2),IF(AND($E252&lt;&gt;0,$F252&gt;0,YEAR($F252)&lt;Preisindex!$A$6,YEAR(DL$4)&gt;=YEAR($F252),$K252="b"),ROUND(VLOOKUP(DQ$4,Preisindex,3,FALSE)/VLOOKUP(Preisindex!$A$6,Preisindex,3,FALSE),2),IF(AND($E252&lt;&gt;0,$F252&gt;0,YEAR($F252)&lt;Preisindex!$A$6,YEAR(DL$4)&gt;=YEAR($F252),$K252="g"),ROUND(VLOOKUP(DQ$4,Preisindex,4,FALSE)/VLOOKUP(Preisindex!$A$6,Preisindex,4,FALSE),2),IF(AND($E252&lt;&gt;0,$F252&gt;0,YEAR($F252)&lt;Preisindex!$A$6,YEAR(DL$4)&gt;=YEAR($F252),$K252="k"),ROUND(VLOOKUP(DQ$4,Preisindex,2,FALSE)/VLOOKUP(Preisindex!$A$6,Preisindex,2,FALSE),2),0)))))</f>
        <v>0</v>
      </c>
      <c r="DS252" s="51">
        <f>IF(AND($E252&lt;&gt;0,$F252&gt;0,YEAR($F252)&lt;=DQ$4,YEAR($F252)&gt;=Preisindex!$A$6),ROUND($E252*DQ252,2),IF(AND($E252&lt;&gt;0,$F252&gt;0,YEAR($F252)&lt;=DQ$4,YEAR($F252)&lt;Preisindex!$A$6),ROUND($E252*DR252,2),0))</f>
        <v>0</v>
      </c>
      <c r="DT252" s="53">
        <f t="shared" si="664"/>
        <v>0</v>
      </c>
      <c r="DU252" s="51">
        <f t="shared" si="753"/>
        <v>0</v>
      </c>
      <c r="DV252" s="51">
        <f t="shared" si="735"/>
        <v>0</v>
      </c>
      <c r="DW252" s="51">
        <f t="shared" si="665"/>
        <v>0</v>
      </c>
      <c r="DX252" s="51">
        <f t="shared" si="736"/>
        <v>0</v>
      </c>
      <c r="DY252" s="51">
        <f t="shared" si="666"/>
        <v>0</v>
      </c>
      <c r="DZ252" s="51">
        <f t="shared" si="737"/>
        <v>0</v>
      </c>
      <c r="EA252" s="51">
        <f t="shared" si="667"/>
        <v>0</v>
      </c>
      <c r="EB252" s="51">
        <f t="shared" si="738"/>
        <v>0</v>
      </c>
      <c r="EC252" s="51">
        <f t="shared" si="668"/>
        <v>0</v>
      </c>
      <c r="ED252" s="51">
        <f t="shared" si="739"/>
        <v>0</v>
      </c>
      <c r="EE252" s="51">
        <f t="shared" si="669"/>
        <v>0</v>
      </c>
      <c r="EF252" s="54">
        <f t="shared" si="670"/>
        <v>0</v>
      </c>
      <c r="EG252" s="55">
        <f t="shared" si="671"/>
        <v>0</v>
      </c>
      <c r="EH252" s="56">
        <f>IF(AND($E252&lt;&gt;0,$F252&gt;0,YEAR($F252)&gt;=Preisindex!$A$6,YEAR(EC$4)&gt;=YEAR($F252),AND($K252&lt;&gt;"a",$K252&lt;&gt;"b",$K252&lt;&gt;"g",$K252&lt;&gt;"k")),1,IF(AND($E252&lt;&gt;0,$F252&gt;0,YEAR($F252)&gt;=Preisindex!$A$6,YEAR(EC$4)&gt;=YEAR($F252),$K252="a"),ROUND(VLOOKUP(EH$4,Preisindex,5,FALSE)/VLOOKUP(YEAR($F252),Preisindex,5,FALSE),2),IF(AND($E252&lt;&gt;0,$F252&gt;0,YEAR($F252)&gt;=Preisindex!$A$6,YEAR(EC$4)&gt;=YEAR($F252),$K252="b"),ROUND(VLOOKUP(EH$4,Preisindex,3,FALSE)/VLOOKUP(YEAR($F252),Preisindex,3,FALSE),2),IF(AND($E252&lt;&gt;0,$F252&gt;0,YEAR($F252)&gt;=Preisindex!$A$6,YEAR(EC$4)&gt;=YEAR($F252),$K252="g"),ROUND(VLOOKUP(EH$4,Preisindex,4,FALSE)/VLOOKUP(YEAR($F252),Preisindex,4,FALSE),2),IF(AND($E252&lt;&gt;0,$F252&gt;0,YEAR($F252)&gt;=Preisindex!$A$6,YEAR(EC$4)&gt;=YEAR($F252),$K252="k"),ROUND(VLOOKUP(EH$4,Preisindex,2,FALSE)/VLOOKUP(YEAR($F252),Preisindex,2,FALSE),2),0)))))</f>
        <v>0</v>
      </c>
      <c r="EI252" s="56">
        <f>IF(AND($E252&lt;&gt;0,$F252&gt;0,YEAR($F252)&lt;Preisindex!$A$6,YEAR(EC$4)&gt;=YEAR($F252),AND($K252&lt;&gt;"a",$K252&lt;&gt;"b",$K252&lt;&gt;"g",$K252&lt;&gt;"k")),1,IF(AND($E252&lt;&gt;0,$F252&gt;0,YEAR($F252)&lt;Preisindex!$A$6,YEAR(EC$4)&gt;=YEAR($F252),$K252="a"),ROUND(VLOOKUP(EH$4,Preisindex,5,FALSE)/VLOOKUP(Preisindex!$A$6,Preisindex,5,FALSE),2),IF(AND($E252&lt;&gt;0,$F252&gt;0,YEAR($F252)&lt;Preisindex!$A$6,YEAR(EC$4)&gt;=YEAR($F252),$K252="b"),ROUND(VLOOKUP(EH$4,Preisindex,3,FALSE)/VLOOKUP(Preisindex!$A$6,Preisindex,3,FALSE),2),IF(AND($E252&lt;&gt;0,$F252&gt;0,YEAR($F252)&lt;Preisindex!$A$6,YEAR(EC$4)&gt;=YEAR($F252),$K252="g"),ROUND(VLOOKUP(EH$4,Preisindex,4,FALSE)/VLOOKUP(Preisindex!$A$6,Preisindex,4,FALSE),2),IF(AND($E252&lt;&gt;0,$F252&gt;0,YEAR($F252)&lt;Preisindex!$A$6,YEAR(EC$4)&gt;=YEAR($F252),$K252="k"),ROUND(VLOOKUP(EH$4,Preisindex,2,FALSE)/VLOOKUP(Preisindex!$A$6,Preisindex,2,FALSE),2),0)))))</f>
        <v>0</v>
      </c>
      <c r="EJ252" s="51">
        <f>IF(AND($E252&lt;&gt;0,$F252&gt;0,YEAR($F252)&lt;=EH$4,YEAR($F252)&gt;=Preisindex!$A$6),ROUND($E252*EH252,2),IF(AND($E252&lt;&gt;0,$F252&gt;0,YEAR($F252)&lt;=EH$4,YEAR($F252)&lt;Preisindex!$A$6),ROUND($E252*EI252,2),0))</f>
        <v>0</v>
      </c>
      <c r="EK252" s="53">
        <f t="shared" si="672"/>
        <v>0</v>
      </c>
      <c r="EL252" s="51">
        <f t="shared" si="753"/>
        <v>0</v>
      </c>
      <c r="EM252" s="51">
        <f t="shared" si="740"/>
        <v>0</v>
      </c>
      <c r="EN252" s="51">
        <f t="shared" si="673"/>
        <v>0</v>
      </c>
      <c r="EO252" s="51">
        <f t="shared" si="741"/>
        <v>0</v>
      </c>
      <c r="EP252" s="51">
        <f t="shared" si="674"/>
        <v>0</v>
      </c>
      <c r="EQ252" s="51">
        <f t="shared" si="742"/>
        <v>0</v>
      </c>
      <c r="ER252" s="51">
        <f t="shared" si="675"/>
        <v>0</v>
      </c>
      <c r="ES252" s="51">
        <f t="shared" si="743"/>
        <v>0</v>
      </c>
      <c r="ET252" s="51">
        <f t="shared" si="676"/>
        <v>0</v>
      </c>
      <c r="EU252" s="51">
        <f t="shared" si="744"/>
        <v>0</v>
      </c>
      <c r="EV252" s="51">
        <f t="shared" si="677"/>
        <v>0</v>
      </c>
      <c r="EW252" s="54">
        <f t="shared" si="678"/>
        <v>0</v>
      </c>
      <c r="EX252" s="55">
        <f t="shared" si="679"/>
        <v>0</v>
      </c>
      <c r="EY252" s="56">
        <f>IF(AND($E252&lt;&gt;0,$F252&gt;0,YEAR($F252)&gt;=Preisindex!$A$6,YEAR(ET$4)&gt;=YEAR($F252),AND($K252&lt;&gt;"a",$K252&lt;&gt;"b",$K252&lt;&gt;"g",$K252&lt;&gt;"k")),1,IF(AND($E252&lt;&gt;0,$F252&gt;0,YEAR($F252)&gt;=Preisindex!$A$6,YEAR(ET$4)&gt;=YEAR($F252),$K252="a"),ROUND(VLOOKUP(EY$4,Preisindex,5,FALSE)/VLOOKUP(YEAR($F252),Preisindex,5,FALSE),2),IF(AND($E252&lt;&gt;0,$F252&gt;0,YEAR($F252)&gt;=Preisindex!$A$6,YEAR(ET$4)&gt;=YEAR($F252),$K252="b"),ROUND(VLOOKUP(EY$4,Preisindex,3,FALSE)/VLOOKUP(YEAR($F252),Preisindex,3,FALSE),2),IF(AND($E252&lt;&gt;0,$F252&gt;0,YEAR($F252)&gt;=Preisindex!$A$6,YEAR(ET$4)&gt;=YEAR($F252),$K252="g"),ROUND(VLOOKUP(EY$4,Preisindex,4,FALSE)/VLOOKUP(YEAR($F252),Preisindex,4,FALSE),2),IF(AND($E252&lt;&gt;0,$F252&gt;0,YEAR($F252)&gt;=Preisindex!$A$6,YEAR(ET$4)&gt;=YEAR($F252),$K252="k"),ROUND(VLOOKUP(EY$4,Preisindex,2,FALSE)/VLOOKUP(YEAR($F252),Preisindex,2,FALSE),2),0)))))</f>
        <v>0</v>
      </c>
      <c r="EZ252" s="56">
        <f>IF(AND($E252&lt;&gt;0,$F252&gt;0,YEAR($F252)&lt;Preisindex!$A$6,YEAR(ET$4)&gt;=YEAR($F252),AND($K252&lt;&gt;"a",$K252&lt;&gt;"b",$K252&lt;&gt;"g",$K252&lt;&gt;"k")),1,IF(AND($E252&lt;&gt;0,$F252&gt;0,YEAR($F252)&lt;Preisindex!$A$6,YEAR(ET$4)&gt;=YEAR($F252),$K252="a"),ROUND(VLOOKUP(EY$4,Preisindex,5,FALSE)/VLOOKUP(Preisindex!$A$6,Preisindex,5,FALSE),2),IF(AND($E252&lt;&gt;0,$F252&gt;0,YEAR($F252)&lt;Preisindex!$A$6,YEAR(ET$4)&gt;=YEAR($F252),$K252="b"),ROUND(VLOOKUP(EY$4,Preisindex,3,FALSE)/VLOOKUP(Preisindex!$A$6,Preisindex,3,FALSE),2),IF(AND($E252&lt;&gt;0,$F252&gt;0,YEAR($F252)&lt;Preisindex!$A$6,YEAR(ET$4)&gt;=YEAR($F252),$K252="g"),ROUND(VLOOKUP(EY$4,Preisindex,4,FALSE)/VLOOKUP(Preisindex!$A$6,Preisindex,4,FALSE),2),IF(AND($E252&lt;&gt;0,$F252&gt;0,YEAR($F252)&lt;Preisindex!$A$6,YEAR(ET$4)&gt;=YEAR($F252),$K252="k"),ROUND(VLOOKUP(EY$4,Preisindex,2,FALSE)/VLOOKUP(Preisindex!$A$6,Preisindex,2,FALSE),2),0)))))</f>
        <v>0</v>
      </c>
      <c r="FA252" s="51">
        <f>IF(AND($E252&lt;&gt;0,$F252&gt;0,YEAR($F252)&lt;=EY$4,YEAR($F252)&gt;=Preisindex!$A$6),ROUND($E252*EY252,2),IF(AND($E252&lt;&gt;0,$F252&gt;0,YEAR($F252)&lt;=EY$4,YEAR($F252)&lt;Preisindex!$A$6),ROUND($E252*EZ252,2),0))</f>
        <v>0</v>
      </c>
      <c r="FB252" s="53">
        <f t="shared" si="680"/>
        <v>0</v>
      </c>
      <c r="FC252" s="51">
        <f t="shared" si="753"/>
        <v>0</v>
      </c>
      <c r="FD252" s="51">
        <f t="shared" si="745"/>
        <v>0</v>
      </c>
      <c r="FE252" s="51">
        <f t="shared" si="681"/>
        <v>0</v>
      </c>
      <c r="FF252" s="51">
        <f t="shared" si="746"/>
        <v>0</v>
      </c>
      <c r="FG252" s="51">
        <f t="shared" si="682"/>
        <v>0</v>
      </c>
      <c r="FH252" s="51">
        <f t="shared" si="747"/>
        <v>0</v>
      </c>
      <c r="FI252" s="51">
        <f t="shared" si="683"/>
        <v>0</v>
      </c>
      <c r="FJ252" s="51">
        <f t="shared" si="748"/>
        <v>0</v>
      </c>
      <c r="FK252" s="51">
        <f t="shared" si="684"/>
        <v>0</v>
      </c>
      <c r="FL252" s="51">
        <f t="shared" si="749"/>
        <v>0</v>
      </c>
      <c r="FM252" s="51">
        <f t="shared" si="685"/>
        <v>0</v>
      </c>
      <c r="FN252" s="54">
        <f t="shared" si="686"/>
        <v>0</v>
      </c>
      <c r="FO252" s="55">
        <f t="shared" si="687"/>
        <v>0</v>
      </c>
      <c r="FP252" s="56">
        <f>IF(AND($E252&lt;&gt;0,$F252&gt;0,YEAR($F252)&gt;=Preisindex!$A$6,YEAR(FK$4)&gt;=YEAR($F252),AND($K252&lt;&gt;"a",$K252&lt;&gt;"b",$K252&lt;&gt;"g",$K252&lt;&gt;"k")),1,IF(AND($E252&lt;&gt;0,$F252&gt;0,YEAR($F252)&gt;=Preisindex!$A$6,YEAR(FK$4)&gt;=YEAR($F252),$K252="a"),ROUND(VLOOKUP(FP$4,Preisindex,5,FALSE)/VLOOKUP(YEAR($F252),Preisindex,5,FALSE),2),IF(AND($E252&lt;&gt;0,$F252&gt;0,YEAR($F252)&gt;=Preisindex!$A$6,YEAR(FK$4)&gt;=YEAR($F252),$K252="b"),ROUND(VLOOKUP(FP$4,Preisindex,3,FALSE)/VLOOKUP(YEAR($F252),Preisindex,3,FALSE),2),IF(AND($E252&lt;&gt;0,$F252&gt;0,YEAR($F252)&gt;=Preisindex!$A$6,YEAR(FK$4)&gt;=YEAR($F252),$K252="g"),ROUND(VLOOKUP(FP$4,Preisindex,4,FALSE)/VLOOKUP(YEAR($F252),Preisindex,4,FALSE),2),IF(AND($E252&lt;&gt;0,$F252&gt;0,YEAR($F252)&gt;=Preisindex!$A$6,YEAR(FK$4)&gt;=YEAR($F252),$K252="k"),ROUND(VLOOKUP(FP$4,Preisindex,2,FALSE)/VLOOKUP(YEAR($F252),Preisindex,2,FALSE),2),0)))))</f>
        <v>0</v>
      </c>
      <c r="FQ252" s="56">
        <f>IF(AND($E252&lt;&gt;0,$F252&gt;0,YEAR($F252)&lt;Preisindex!$A$6,YEAR(FK$4)&gt;=YEAR($F252),AND($K252&lt;&gt;"a",$K252&lt;&gt;"b",$K252&lt;&gt;"g",$K252&lt;&gt;"k")),1,IF(AND($E252&lt;&gt;0,$F252&gt;0,YEAR($F252)&lt;Preisindex!$A$6,YEAR(FK$4)&gt;=YEAR($F252),$K252="a"),ROUND(VLOOKUP(FP$4,Preisindex,5,FALSE)/VLOOKUP(Preisindex!$A$6,Preisindex,5,FALSE),2),IF(AND($E252&lt;&gt;0,$F252&gt;0,YEAR($F252)&lt;Preisindex!$A$6,YEAR(FK$4)&gt;=YEAR($F252),$K252="b"),ROUND(VLOOKUP(FP$4,Preisindex,3,FALSE)/VLOOKUP(Preisindex!$A$6,Preisindex,3,FALSE),2),IF(AND($E252&lt;&gt;0,$F252&gt;0,YEAR($F252)&lt;Preisindex!$A$6,YEAR(FK$4)&gt;=YEAR($F252),$K252="g"),ROUND(VLOOKUP(FP$4,Preisindex,4,FALSE)/VLOOKUP(Preisindex!$A$6,Preisindex,4,FALSE),2),IF(AND($E252&lt;&gt;0,$F252&gt;0,YEAR($F252)&lt;Preisindex!$A$6,YEAR(FK$4)&gt;=YEAR($F252),$K252="k"),ROUND(VLOOKUP(FP$4,Preisindex,2,FALSE)/VLOOKUP(Preisindex!$A$6,Preisindex,2,FALSE),2),0)))))</f>
        <v>0</v>
      </c>
      <c r="FR252" s="51">
        <f>IF(AND($E252&lt;&gt;0,$F252&gt;0,YEAR($F252)&lt;=FP$4,YEAR($F252)&gt;=Preisindex!$A$6),ROUND($E252*FP252,2),IF(AND($E252&lt;&gt;0,$F252&gt;0,YEAR($F252)&lt;=FP$4,YEAR($F252)&lt;Preisindex!$A$6),ROUND($E252*FQ252,2),0))</f>
        <v>0</v>
      </c>
      <c r="FS252" s="53">
        <f t="shared" si="688"/>
        <v>0</v>
      </c>
    </row>
    <row r="253" spans="1:175" x14ac:dyDescent="0.3">
      <c r="A253" s="93"/>
      <c r="B253" s="94"/>
      <c r="C253" s="94"/>
      <c r="D253" s="188"/>
      <c r="E253" s="624"/>
      <c r="F253" s="190"/>
      <c r="G253" s="625"/>
      <c r="H253" s="620"/>
      <c r="I253" s="621"/>
      <c r="J253" s="103"/>
      <c r="K253" s="630"/>
      <c r="L253" s="49">
        <f t="shared" si="689"/>
        <v>0</v>
      </c>
      <c r="M253" s="50">
        <f t="shared" si="690"/>
        <v>0</v>
      </c>
      <c r="N253" s="51">
        <f t="shared" si="691"/>
        <v>0</v>
      </c>
      <c r="O253" s="51"/>
      <c r="P253" s="51">
        <f t="shared" si="692"/>
        <v>0</v>
      </c>
      <c r="Q253" s="52"/>
      <c r="R253" s="52"/>
      <c r="S253" s="52"/>
      <c r="T253" s="52"/>
      <c r="U253" s="52"/>
      <c r="V253" s="53">
        <f t="shared" si="693"/>
        <v>0</v>
      </c>
      <c r="W253" s="51">
        <f t="shared" si="694"/>
        <v>0</v>
      </c>
      <c r="X253" s="51">
        <f t="shared" si="695"/>
        <v>0</v>
      </c>
      <c r="Y253" s="51">
        <f t="shared" si="696"/>
        <v>0</v>
      </c>
      <c r="Z253" s="51">
        <f t="shared" si="697"/>
        <v>0</v>
      </c>
      <c r="AA253" s="51">
        <f t="shared" si="698"/>
        <v>0</v>
      </c>
      <c r="AB253" s="51">
        <f t="shared" si="699"/>
        <v>0</v>
      </c>
      <c r="AC253" s="51">
        <f t="shared" si="700"/>
        <v>0</v>
      </c>
      <c r="AD253" s="51">
        <f t="shared" si="701"/>
        <v>0</v>
      </c>
      <c r="AE253" s="51">
        <f t="shared" si="702"/>
        <v>0</v>
      </c>
      <c r="AF253" s="51">
        <f t="shared" si="703"/>
        <v>0</v>
      </c>
      <c r="AG253" s="51">
        <f t="shared" si="704"/>
        <v>0</v>
      </c>
      <c r="AH253" s="54">
        <f t="shared" si="705"/>
        <v>0</v>
      </c>
      <c r="AI253" s="55">
        <f t="shared" si="706"/>
        <v>0</v>
      </c>
      <c r="AJ253" s="56">
        <f>IF(AND($E253&lt;&gt;0,$F253&gt;0,YEAR($F253)&gt;=Preisindex!$A$6,YEAR(AE$4)&gt;=YEAR($F253),AND($K253&lt;&gt;"a",$K253&lt;&gt;"b",$K253&lt;&gt;"g",$K253&lt;&gt;"k")),1,IF(AND($E253&lt;&gt;0,$F253&gt;0,YEAR($F253)&gt;=Preisindex!$A$6,YEAR(AE$4)&gt;=YEAR($F253),$K253="a"),ROUND(VLOOKUP(AJ$4,Preisindex,5,FALSE)/VLOOKUP(YEAR($F253),Preisindex,5,FALSE),2),IF(AND($E253&lt;&gt;0,$F253&gt;0,YEAR($F253)&gt;=Preisindex!$A$6,YEAR(AE$4)&gt;=YEAR($F253),$K253="b"),ROUND(VLOOKUP(AJ$4,Preisindex,3,FALSE)/VLOOKUP(YEAR($F253),Preisindex,3,FALSE),2),IF(AND($E253&lt;&gt;0,$F253&gt;0,YEAR($F253)&gt;=Preisindex!$A$6,YEAR(AE$4)&gt;=YEAR($F253),$K253="g"),ROUND(VLOOKUP(AJ$4,Preisindex,4,FALSE)/VLOOKUP(YEAR($F253),Preisindex,4,FALSE),2),IF(AND($E253&lt;&gt;0,$F253&gt;0,YEAR($F253)&gt;=Preisindex!$A$6,YEAR(AE$4)&gt;=YEAR($F253),$K253="k"),ROUND(VLOOKUP(AJ$4,Preisindex,2,FALSE)/VLOOKUP(YEAR($F253),Preisindex,2,FALSE),2),0)))))</f>
        <v>0</v>
      </c>
      <c r="AK253" s="56">
        <f>IF(AND($E253&lt;&gt;0,$F253&gt;0,YEAR($F253)&lt;Preisindex!$A$6,YEAR(AE$4)&gt;=YEAR($F253),AND($K253&lt;&gt;"a",$K253&lt;&gt;"b",$K253&lt;&gt;"g",$K253&lt;&gt;"k")),1,IF(AND($E253&lt;&gt;0,$F253&gt;0,YEAR($F253)&lt;Preisindex!$A$6,YEAR(AE$4)&gt;=YEAR($F253),$K253="a"),ROUND(VLOOKUP(AJ$4,Preisindex,5,FALSE)/VLOOKUP(Preisindex!$A$6,Preisindex,5,FALSE),2),IF(AND($E253&lt;&gt;0,$F253&gt;0,YEAR($F253)&lt;Preisindex!$A$6,YEAR(AE$4)&gt;=YEAR($F253),$K253="b"),ROUND(VLOOKUP(AJ$4,Preisindex,3,FALSE)/VLOOKUP(Preisindex!$A$6,Preisindex,3,FALSE),2),IF(AND($E253&lt;&gt;0,$F253&gt;0,YEAR($F253)&lt;Preisindex!$A$6,YEAR(AE$4)&gt;=YEAR($F253),$K253="g"),ROUND(VLOOKUP(AJ$4,Preisindex,4,FALSE)/VLOOKUP(Preisindex!$A$6,Preisindex,4,FALSE),2),IF(AND($E253&lt;&gt;0,$F253&gt;0,YEAR($F253)&lt;Preisindex!$A$6,YEAR(AE$4)&gt;=YEAR($F253),$K253="k"),ROUND(VLOOKUP(AJ$4,Preisindex,2,FALSE)/VLOOKUP(Preisindex!$A$6,Preisindex,2,FALSE),2),0)))))</f>
        <v>0</v>
      </c>
      <c r="AL253" s="51">
        <f>IF(AND($E253&lt;&gt;0,$F253&gt;0,YEAR($F253)&lt;=AJ$4,YEAR($F253)&gt;=Preisindex!$A$6),ROUND($E253*AJ253,2),IF(AND($E253&lt;&gt;0,$F253&gt;0,YEAR($F253)&lt;=AJ$4,YEAR($F253)&lt;Preisindex!$A$6),ROUND($E253*AK253,2),0))</f>
        <v>0</v>
      </c>
      <c r="AM253" s="53">
        <f t="shared" si="707"/>
        <v>0</v>
      </c>
      <c r="AN253" s="51">
        <f t="shared" si="752"/>
        <v>0</v>
      </c>
      <c r="AO253" s="51">
        <f t="shared" si="710"/>
        <v>0</v>
      </c>
      <c r="AP253" s="51">
        <f t="shared" si="624"/>
        <v>0</v>
      </c>
      <c r="AQ253" s="51">
        <f t="shared" si="711"/>
        <v>0</v>
      </c>
      <c r="AR253" s="51">
        <f t="shared" si="625"/>
        <v>0</v>
      </c>
      <c r="AS253" s="51">
        <f t="shared" si="712"/>
        <v>0</v>
      </c>
      <c r="AT253" s="51">
        <f t="shared" si="626"/>
        <v>0</v>
      </c>
      <c r="AU253" s="51">
        <f t="shared" si="713"/>
        <v>0</v>
      </c>
      <c r="AV253" s="51">
        <f t="shared" si="627"/>
        <v>0</v>
      </c>
      <c r="AW253" s="51">
        <f t="shared" si="714"/>
        <v>0</v>
      </c>
      <c r="AX253" s="51">
        <f t="shared" si="628"/>
        <v>0</v>
      </c>
      <c r="AY253" s="54">
        <f t="shared" si="629"/>
        <v>0</v>
      </c>
      <c r="AZ253" s="55">
        <f t="shared" si="630"/>
        <v>0</v>
      </c>
      <c r="BA253" s="56">
        <f>IF(AND($E253&lt;&gt;0,$F253&gt;0,YEAR($F253)&gt;=Preisindex!$A$6,YEAR(AV$4)&gt;=YEAR($F253),AND($K253&lt;&gt;"a",$K253&lt;&gt;"b",$K253&lt;&gt;"g",$K253&lt;&gt;"k")),1,IF(AND($E253&lt;&gt;0,$F253&gt;0,YEAR($F253)&gt;=Preisindex!$A$6,YEAR(AV$4)&gt;=YEAR($F253),$K253="a"),ROUND(VLOOKUP(BA$4,Preisindex,5,FALSE)/VLOOKUP(YEAR($F253),Preisindex,5,FALSE),2),IF(AND($E253&lt;&gt;0,$F253&gt;0,YEAR($F253)&gt;=Preisindex!$A$6,YEAR(AV$4)&gt;=YEAR($F253),$K253="b"),ROUND(VLOOKUP(BA$4,Preisindex,3,FALSE)/VLOOKUP(YEAR($F253),Preisindex,3,FALSE),2),IF(AND($E253&lt;&gt;0,$F253&gt;0,YEAR($F253)&gt;=Preisindex!$A$6,YEAR(AV$4)&gt;=YEAR($F253),$K253="g"),ROUND(VLOOKUP(BA$4,Preisindex,4,FALSE)/VLOOKUP(YEAR($F253),Preisindex,4,FALSE),2),IF(AND($E253&lt;&gt;0,$F253&gt;0,YEAR($F253)&gt;=Preisindex!$A$6,YEAR(AV$4)&gt;=YEAR($F253),$K253="k"),ROUND(VLOOKUP(BA$4,Preisindex,2,FALSE)/VLOOKUP(YEAR($F253),Preisindex,2,FALSE),2),0)))))</f>
        <v>0</v>
      </c>
      <c r="BB253" s="56">
        <f>IF(AND($E253&lt;&gt;0,$F253&gt;0,YEAR($F253)&lt;Preisindex!$A$6,YEAR(AV$4)&gt;=YEAR($F253),AND($K253&lt;&gt;"a",$K253&lt;&gt;"b",$K253&lt;&gt;"g",$K253&lt;&gt;"k")),1,IF(AND($E253&lt;&gt;0,$F253&gt;0,YEAR($F253)&lt;Preisindex!$A$6,YEAR(AV$4)&gt;=YEAR($F253),$K253="a"),ROUND(VLOOKUP(BA$4,Preisindex,5,FALSE)/VLOOKUP(Preisindex!$A$6,Preisindex,5,FALSE),2),IF(AND($E253&lt;&gt;0,$F253&gt;0,YEAR($F253)&lt;Preisindex!$A$6,YEAR(AV$4)&gt;=YEAR($F253),$K253="b"),ROUND(VLOOKUP(BA$4,Preisindex,3,FALSE)/VLOOKUP(Preisindex!$A$6,Preisindex,3,FALSE),2),IF(AND($E253&lt;&gt;0,$F253&gt;0,YEAR($F253)&lt;Preisindex!$A$6,YEAR(AV$4)&gt;=YEAR($F253),$K253="g"),ROUND(VLOOKUP(BA$4,Preisindex,4,FALSE)/VLOOKUP(Preisindex!$A$6,Preisindex,4,FALSE),2),IF(AND($E253&lt;&gt;0,$F253&gt;0,YEAR($F253)&lt;Preisindex!$A$6,YEAR(AV$4)&gt;=YEAR($F253),$K253="k"),ROUND(VLOOKUP(BA$4,Preisindex,2,FALSE)/VLOOKUP(Preisindex!$A$6,Preisindex,2,FALSE),2),0)))))</f>
        <v>0</v>
      </c>
      <c r="BC253" s="51">
        <f>IF(AND($E253&lt;&gt;0,$F253&gt;0,YEAR($F253)&lt;=BA$4,YEAR($F253)&gt;=Preisindex!$A$6),ROUND($E253*BA253,2),IF(AND($E253&lt;&gt;0,$F253&gt;0,YEAR($F253)&lt;=BA$4,YEAR($F253)&lt;Preisindex!$A$6),ROUND($E253*BB253,2),0))</f>
        <v>0</v>
      </c>
      <c r="BD253" s="53">
        <f t="shared" si="631"/>
        <v>0</v>
      </c>
      <c r="BE253" s="51">
        <f t="shared" si="752"/>
        <v>0</v>
      </c>
      <c r="BF253" s="51">
        <f t="shared" si="715"/>
        <v>0</v>
      </c>
      <c r="BG253" s="51">
        <f t="shared" si="632"/>
        <v>0</v>
      </c>
      <c r="BH253" s="51">
        <f t="shared" si="716"/>
        <v>0</v>
      </c>
      <c r="BI253" s="51">
        <f t="shared" si="633"/>
        <v>0</v>
      </c>
      <c r="BJ253" s="51">
        <f t="shared" si="717"/>
        <v>0</v>
      </c>
      <c r="BK253" s="51">
        <f t="shared" si="634"/>
        <v>0</v>
      </c>
      <c r="BL253" s="51">
        <f t="shared" si="718"/>
        <v>0</v>
      </c>
      <c r="BM253" s="51">
        <f t="shared" si="635"/>
        <v>0</v>
      </c>
      <c r="BN253" s="51">
        <f t="shared" si="719"/>
        <v>0</v>
      </c>
      <c r="BO253" s="51">
        <f t="shared" si="636"/>
        <v>0</v>
      </c>
      <c r="BP253" s="54">
        <f t="shared" si="637"/>
        <v>0</v>
      </c>
      <c r="BQ253" s="55">
        <f t="shared" si="638"/>
        <v>0</v>
      </c>
      <c r="BR253" s="56">
        <f>IF(AND($E253&lt;&gt;0,$F253&gt;0,YEAR($F253)&gt;=Preisindex!$A$6,YEAR(BM$4)&gt;=YEAR($F253),AND($K253&lt;&gt;"a",$K253&lt;&gt;"b",$K253&lt;&gt;"g",$K253&lt;&gt;"k")),1,IF(AND($E253&lt;&gt;0,$F253&gt;0,YEAR($F253)&gt;=Preisindex!$A$6,YEAR(BM$4)&gt;=YEAR($F253),$K253="a"),ROUND(VLOOKUP(BR$4,Preisindex,5,FALSE)/VLOOKUP(YEAR($F253),Preisindex,5,FALSE),2),IF(AND($E253&lt;&gt;0,$F253&gt;0,YEAR($F253)&gt;=Preisindex!$A$6,YEAR(BM$4)&gt;=YEAR($F253),$K253="b"),ROUND(VLOOKUP(BR$4,Preisindex,3,FALSE)/VLOOKUP(YEAR($F253),Preisindex,3,FALSE),2),IF(AND($E253&lt;&gt;0,$F253&gt;0,YEAR($F253)&gt;=Preisindex!$A$6,YEAR(BM$4)&gt;=YEAR($F253),$K253="g"),ROUND(VLOOKUP(BR$4,Preisindex,4,FALSE)/VLOOKUP(YEAR($F253),Preisindex,4,FALSE),2),IF(AND($E253&lt;&gt;0,$F253&gt;0,YEAR($F253)&gt;=Preisindex!$A$6,YEAR(BM$4)&gt;=YEAR($F253),$K253="k"),ROUND(VLOOKUP(BR$4,Preisindex,2,FALSE)/VLOOKUP(YEAR($F253),Preisindex,2,FALSE),2),0)))))</f>
        <v>0</v>
      </c>
      <c r="BS253" s="56">
        <f>IF(AND($E253&lt;&gt;0,$F253&gt;0,YEAR($F253)&lt;Preisindex!$A$6,YEAR(BM$4)&gt;=YEAR($F253),AND($K253&lt;&gt;"a",$K253&lt;&gt;"b",$K253&lt;&gt;"g",$K253&lt;&gt;"k")),1,IF(AND($E253&lt;&gt;0,$F253&gt;0,YEAR($F253)&lt;Preisindex!$A$6,YEAR(BM$4)&gt;=YEAR($F253),$K253="a"),ROUND(VLOOKUP(BR$4,Preisindex,5,FALSE)/VLOOKUP(Preisindex!$A$6,Preisindex,5,FALSE),2),IF(AND($E253&lt;&gt;0,$F253&gt;0,YEAR($F253)&lt;Preisindex!$A$6,YEAR(BM$4)&gt;=YEAR($F253),$K253="b"),ROUND(VLOOKUP(BR$4,Preisindex,3,FALSE)/VLOOKUP(Preisindex!$A$6,Preisindex,3,FALSE),2),IF(AND($E253&lt;&gt;0,$F253&gt;0,YEAR($F253)&lt;Preisindex!$A$6,YEAR(BM$4)&gt;=YEAR($F253),$K253="g"),ROUND(VLOOKUP(BR$4,Preisindex,4,FALSE)/VLOOKUP(Preisindex!$A$6,Preisindex,4,FALSE),2),IF(AND($E253&lt;&gt;0,$F253&gt;0,YEAR($F253)&lt;Preisindex!$A$6,YEAR(BM$4)&gt;=YEAR($F253),$K253="k"),ROUND(VLOOKUP(BR$4,Preisindex,2,FALSE)/VLOOKUP(Preisindex!$A$6,Preisindex,2,FALSE),2),0)))))</f>
        <v>0</v>
      </c>
      <c r="BT253" s="51">
        <f>IF(AND($E253&lt;&gt;0,$F253&gt;0,YEAR($F253)&lt;=BR$4,YEAR($F253)&gt;=Preisindex!$A$6),ROUND($E253*BR253,2),IF(AND($E253&lt;&gt;0,$F253&gt;0,YEAR($F253)&lt;=BR$4,YEAR($F253)&lt;Preisindex!$A$6),ROUND($E253*BS253,2),0))</f>
        <v>0</v>
      </c>
      <c r="BU253" s="53">
        <f t="shared" si="639"/>
        <v>0</v>
      </c>
      <c r="BV253" s="51">
        <f t="shared" si="752"/>
        <v>0</v>
      </c>
      <c r="BW253" s="51">
        <f t="shared" si="720"/>
        <v>0</v>
      </c>
      <c r="BX253" s="51">
        <f t="shared" si="640"/>
        <v>0</v>
      </c>
      <c r="BY253" s="51">
        <f t="shared" si="721"/>
        <v>0</v>
      </c>
      <c r="BZ253" s="51">
        <f t="shared" si="641"/>
        <v>0</v>
      </c>
      <c r="CA253" s="51">
        <f t="shared" si="722"/>
        <v>0</v>
      </c>
      <c r="CB253" s="51">
        <f t="shared" si="642"/>
        <v>0</v>
      </c>
      <c r="CC253" s="51">
        <f t="shared" si="723"/>
        <v>0</v>
      </c>
      <c r="CD253" s="51">
        <f t="shared" si="643"/>
        <v>0</v>
      </c>
      <c r="CE253" s="51">
        <f t="shared" si="724"/>
        <v>0</v>
      </c>
      <c r="CF253" s="51">
        <f t="shared" si="644"/>
        <v>0</v>
      </c>
      <c r="CG253" s="54">
        <f t="shared" si="645"/>
        <v>0</v>
      </c>
      <c r="CH253" s="55">
        <f t="shared" si="646"/>
        <v>0</v>
      </c>
      <c r="CI253" s="56">
        <f>IF(AND($E253&lt;&gt;0,$F253&gt;0,YEAR($F253)&gt;=Preisindex!$A$6,YEAR(CD$4)&gt;=YEAR($F253),AND($K253&lt;&gt;"a",$K253&lt;&gt;"b",$K253&lt;&gt;"g",$K253&lt;&gt;"k")),1,IF(AND($E253&lt;&gt;0,$F253&gt;0,YEAR($F253)&gt;=Preisindex!$A$6,YEAR(CD$4)&gt;=YEAR($F253),$K253="a"),ROUND(VLOOKUP(CI$4,Preisindex,5,FALSE)/VLOOKUP(YEAR($F253),Preisindex,5,FALSE),2),IF(AND($E253&lt;&gt;0,$F253&gt;0,YEAR($F253)&gt;=Preisindex!$A$6,YEAR(CD$4)&gt;=YEAR($F253),$K253="b"),ROUND(VLOOKUP(CI$4,Preisindex,3,FALSE)/VLOOKUP(YEAR($F253),Preisindex,3,FALSE),2),IF(AND($E253&lt;&gt;0,$F253&gt;0,YEAR($F253)&gt;=Preisindex!$A$6,YEAR(CD$4)&gt;=YEAR($F253),$K253="g"),ROUND(VLOOKUP(CI$4,Preisindex,4,FALSE)/VLOOKUP(YEAR($F253),Preisindex,4,FALSE),2),IF(AND($E253&lt;&gt;0,$F253&gt;0,YEAR($F253)&gt;=Preisindex!$A$6,YEAR(CD$4)&gt;=YEAR($F253),$K253="k"),ROUND(VLOOKUP(CI$4,Preisindex,2,FALSE)/VLOOKUP(YEAR($F253),Preisindex,2,FALSE),2),0)))))</f>
        <v>0</v>
      </c>
      <c r="CJ253" s="56">
        <f>IF(AND($E253&lt;&gt;0,$F253&gt;0,YEAR($F253)&lt;Preisindex!$A$6,YEAR(CD$4)&gt;=YEAR($F253),AND($K253&lt;&gt;"a",$K253&lt;&gt;"b",$K253&lt;&gt;"g",$K253&lt;&gt;"k")),1,IF(AND($E253&lt;&gt;0,$F253&gt;0,YEAR($F253)&lt;Preisindex!$A$6,YEAR(CD$4)&gt;=YEAR($F253),$K253="a"),ROUND(VLOOKUP(CI$4,Preisindex,5,FALSE)/VLOOKUP(Preisindex!$A$6,Preisindex,5,FALSE),2),IF(AND($E253&lt;&gt;0,$F253&gt;0,YEAR($F253)&lt;Preisindex!$A$6,YEAR(CD$4)&gt;=YEAR($F253),$K253="b"),ROUND(VLOOKUP(CI$4,Preisindex,3,FALSE)/VLOOKUP(Preisindex!$A$6,Preisindex,3,FALSE),2),IF(AND($E253&lt;&gt;0,$F253&gt;0,YEAR($F253)&lt;Preisindex!$A$6,YEAR(CD$4)&gt;=YEAR($F253),$K253="g"),ROUND(VLOOKUP(CI$4,Preisindex,4,FALSE)/VLOOKUP(Preisindex!$A$6,Preisindex,4,FALSE),2),IF(AND($E253&lt;&gt;0,$F253&gt;0,YEAR($F253)&lt;Preisindex!$A$6,YEAR(CD$4)&gt;=YEAR($F253),$K253="k"),ROUND(VLOOKUP(CI$4,Preisindex,2,FALSE)/VLOOKUP(Preisindex!$A$6,Preisindex,2,FALSE),2),0)))))</f>
        <v>0</v>
      </c>
      <c r="CK253" s="51">
        <f>IF(AND($E253&lt;&gt;0,$F253&gt;0,YEAR($F253)&lt;=CI$4,YEAR($F253)&gt;=Preisindex!$A$6),ROUND($E253*CI253,2),IF(AND($E253&lt;&gt;0,$F253&gt;0,YEAR($F253)&lt;=CI$4,YEAR($F253)&lt;Preisindex!$A$6),ROUND($E253*CJ253,2),0))</f>
        <v>0</v>
      </c>
      <c r="CL253" s="53">
        <f t="shared" si="647"/>
        <v>0</v>
      </c>
      <c r="CM253" s="51">
        <f t="shared" si="752"/>
        <v>0</v>
      </c>
      <c r="CN253" s="51">
        <f t="shared" si="725"/>
        <v>0</v>
      </c>
      <c r="CO253" s="51">
        <f t="shared" si="648"/>
        <v>0</v>
      </c>
      <c r="CP253" s="51">
        <f t="shared" si="726"/>
        <v>0</v>
      </c>
      <c r="CQ253" s="51">
        <f t="shared" si="649"/>
        <v>0</v>
      </c>
      <c r="CR253" s="51">
        <f t="shared" si="727"/>
        <v>0</v>
      </c>
      <c r="CS253" s="51">
        <f t="shared" si="650"/>
        <v>0</v>
      </c>
      <c r="CT253" s="51">
        <f t="shared" si="728"/>
        <v>0</v>
      </c>
      <c r="CU253" s="51">
        <f t="shared" si="651"/>
        <v>0</v>
      </c>
      <c r="CV253" s="51">
        <f t="shared" si="729"/>
        <v>0</v>
      </c>
      <c r="CW253" s="51">
        <f t="shared" si="652"/>
        <v>0</v>
      </c>
      <c r="CX253" s="54">
        <f t="shared" si="653"/>
        <v>0</v>
      </c>
      <c r="CY253" s="55">
        <f t="shared" si="654"/>
        <v>0</v>
      </c>
      <c r="CZ253" s="56">
        <f>IF(AND($E253&lt;&gt;0,$F253&gt;0,YEAR($F253)&gt;=Preisindex!$A$6,YEAR(CU$4)&gt;=YEAR($F253),AND($K253&lt;&gt;"a",$K253&lt;&gt;"b",$K253&lt;&gt;"g",$K253&lt;&gt;"k")),1,IF(AND($E253&lt;&gt;0,$F253&gt;0,YEAR($F253)&gt;=Preisindex!$A$6,YEAR(CU$4)&gt;=YEAR($F253),$K253="a"),ROUND(VLOOKUP(CZ$4,Preisindex,5,FALSE)/VLOOKUP(YEAR($F253),Preisindex,5,FALSE),2),IF(AND($E253&lt;&gt;0,$F253&gt;0,YEAR($F253)&gt;=Preisindex!$A$6,YEAR(CU$4)&gt;=YEAR($F253),$K253="b"),ROUND(VLOOKUP(CZ$4,Preisindex,3,FALSE)/VLOOKUP(YEAR($F253),Preisindex,3,FALSE),2),IF(AND($E253&lt;&gt;0,$F253&gt;0,YEAR($F253)&gt;=Preisindex!$A$6,YEAR(CU$4)&gt;=YEAR($F253),$K253="g"),ROUND(VLOOKUP(CZ$4,Preisindex,4,FALSE)/VLOOKUP(YEAR($F253),Preisindex,4,FALSE),2),IF(AND($E253&lt;&gt;0,$F253&gt;0,YEAR($F253)&gt;=Preisindex!$A$6,YEAR(CU$4)&gt;=YEAR($F253),$K253="k"),ROUND(VLOOKUP(CZ$4,Preisindex,2,FALSE)/VLOOKUP(YEAR($F253),Preisindex,2,FALSE),2),0)))))</f>
        <v>0</v>
      </c>
      <c r="DA253" s="56">
        <f>IF(AND($E253&lt;&gt;0,$F253&gt;0,YEAR($F253)&lt;Preisindex!$A$6,YEAR(CU$4)&gt;=YEAR($F253),AND($K253&lt;&gt;"a",$K253&lt;&gt;"b",$K253&lt;&gt;"g",$K253&lt;&gt;"k")),1,IF(AND($E253&lt;&gt;0,$F253&gt;0,YEAR($F253)&lt;Preisindex!$A$6,YEAR(CU$4)&gt;=YEAR($F253),$K253="a"),ROUND(VLOOKUP(CZ$4,Preisindex,5,FALSE)/VLOOKUP(Preisindex!$A$6,Preisindex,5,FALSE),2),IF(AND($E253&lt;&gt;0,$F253&gt;0,YEAR($F253)&lt;Preisindex!$A$6,YEAR(CU$4)&gt;=YEAR($F253),$K253="b"),ROUND(VLOOKUP(CZ$4,Preisindex,3,FALSE)/VLOOKUP(Preisindex!$A$6,Preisindex,3,FALSE),2),IF(AND($E253&lt;&gt;0,$F253&gt;0,YEAR($F253)&lt;Preisindex!$A$6,YEAR(CU$4)&gt;=YEAR($F253),$K253="g"),ROUND(VLOOKUP(CZ$4,Preisindex,4,FALSE)/VLOOKUP(Preisindex!$A$6,Preisindex,4,FALSE),2),IF(AND($E253&lt;&gt;0,$F253&gt;0,YEAR($F253)&lt;Preisindex!$A$6,YEAR(CU$4)&gt;=YEAR($F253),$K253="k"),ROUND(VLOOKUP(CZ$4,Preisindex,2,FALSE)/VLOOKUP(Preisindex!$A$6,Preisindex,2,FALSE),2),0)))))</f>
        <v>0</v>
      </c>
      <c r="DB253" s="51">
        <f>IF(AND($E253&lt;&gt;0,$F253&gt;0,YEAR($F253)&lt;=CZ$4,YEAR($F253)&gt;=Preisindex!$A$6),ROUND($E253*CZ253,2),IF(AND($E253&lt;&gt;0,$F253&gt;0,YEAR($F253)&lt;=CZ$4,YEAR($F253)&lt;Preisindex!$A$6),ROUND($E253*DA253,2),0))</f>
        <v>0</v>
      </c>
      <c r="DC253" s="53">
        <f t="shared" si="655"/>
        <v>0</v>
      </c>
      <c r="DD253" s="51">
        <f t="shared" si="753"/>
        <v>0</v>
      </c>
      <c r="DE253" s="51">
        <f t="shared" si="730"/>
        <v>0</v>
      </c>
      <c r="DF253" s="51">
        <f t="shared" si="657"/>
        <v>0</v>
      </c>
      <c r="DG253" s="51">
        <f t="shared" si="731"/>
        <v>0</v>
      </c>
      <c r="DH253" s="51">
        <f t="shared" si="658"/>
        <v>0</v>
      </c>
      <c r="DI253" s="51">
        <f t="shared" si="732"/>
        <v>0</v>
      </c>
      <c r="DJ253" s="51">
        <f t="shared" si="659"/>
        <v>0</v>
      </c>
      <c r="DK253" s="51">
        <f t="shared" si="733"/>
        <v>0</v>
      </c>
      <c r="DL253" s="51">
        <f t="shared" si="660"/>
        <v>0</v>
      </c>
      <c r="DM253" s="51">
        <f t="shared" si="734"/>
        <v>0</v>
      </c>
      <c r="DN253" s="51">
        <f t="shared" si="661"/>
        <v>0</v>
      </c>
      <c r="DO253" s="54">
        <f t="shared" si="662"/>
        <v>0</v>
      </c>
      <c r="DP253" s="55">
        <f t="shared" si="663"/>
        <v>0</v>
      </c>
      <c r="DQ253" s="56">
        <f>IF(AND($E253&lt;&gt;0,$F253&gt;0,YEAR($F253)&gt;=Preisindex!$A$6,YEAR(DL$4)&gt;=YEAR($F253),AND($K253&lt;&gt;"a",$K253&lt;&gt;"b",$K253&lt;&gt;"g",$K253&lt;&gt;"k")),1,IF(AND($E253&lt;&gt;0,$F253&gt;0,YEAR($F253)&gt;=Preisindex!$A$6,YEAR(DL$4)&gt;=YEAR($F253),$K253="a"),ROUND(VLOOKUP(DQ$4,Preisindex,5,FALSE)/VLOOKUP(YEAR($F253),Preisindex,5,FALSE),2),IF(AND($E253&lt;&gt;0,$F253&gt;0,YEAR($F253)&gt;=Preisindex!$A$6,YEAR(DL$4)&gt;=YEAR($F253),$K253="b"),ROUND(VLOOKUP(DQ$4,Preisindex,3,FALSE)/VLOOKUP(YEAR($F253),Preisindex,3,FALSE),2),IF(AND($E253&lt;&gt;0,$F253&gt;0,YEAR($F253)&gt;=Preisindex!$A$6,YEAR(DL$4)&gt;=YEAR($F253),$K253="g"),ROUND(VLOOKUP(DQ$4,Preisindex,4,FALSE)/VLOOKUP(YEAR($F253),Preisindex,4,FALSE),2),IF(AND($E253&lt;&gt;0,$F253&gt;0,YEAR($F253)&gt;=Preisindex!$A$6,YEAR(DL$4)&gt;=YEAR($F253),$K253="k"),ROUND(VLOOKUP(DQ$4,Preisindex,2,FALSE)/VLOOKUP(YEAR($F253),Preisindex,2,FALSE),2),0)))))</f>
        <v>0</v>
      </c>
      <c r="DR253" s="56">
        <f>IF(AND($E253&lt;&gt;0,$F253&gt;0,YEAR($F253)&lt;Preisindex!$A$6,YEAR(DL$4)&gt;=YEAR($F253),AND($K253&lt;&gt;"a",$K253&lt;&gt;"b",$K253&lt;&gt;"g",$K253&lt;&gt;"k")),1,IF(AND($E253&lt;&gt;0,$F253&gt;0,YEAR($F253)&lt;Preisindex!$A$6,YEAR(DL$4)&gt;=YEAR($F253),$K253="a"),ROUND(VLOOKUP(DQ$4,Preisindex,5,FALSE)/VLOOKUP(Preisindex!$A$6,Preisindex,5,FALSE),2),IF(AND($E253&lt;&gt;0,$F253&gt;0,YEAR($F253)&lt;Preisindex!$A$6,YEAR(DL$4)&gt;=YEAR($F253),$K253="b"),ROUND(VLOOKUP(DQ$4,Preisindex,3,FALSE)/VLOOKUP(Preisindex!$A$6,Preisindex,3,FALSE),2),IF(AND($E253&lt;&gt;0,$F253&gt;0,YEAR($F253)&lt;Preisindex!$A$6,YEAR(DL$4)&gt;=YEAR($F253),$K253="g"),ROUND(VLOOKUP(DQ$4,Preisindex,4,FALSE)/VLOOKUP(Preisindex!$A$6,Preisindex,4,FALSE),2),IF(AND($E253&lt;&gt;0,$F253&gt;0,YEAR($F253)&lt;Preisindex!$A$6,YEAR(DL$4)&gt;=YEAR($F253),$K253="k"),ROUND(VLOOKUP(DQ$4,Preisindex,2,FALSE)/VLOOKUP(Preisindex!$A$6,Preisindex,2,FALSE),2),0)))))</f>
        <v>0</v>
      </c>
      <c r="DS253" s="51">
        <f>IF(AND($E253&lt;&gt;0,$F253&gt;0,YEAR($F253)&lt;=DQ$4,YEAR($F253)&gt;=Preisindex!$A$6),ROUND($E253*DQ253,2),IF(AND($E253&lt;&gt;0,$F253&gt;0,YEAR($F253)&lt;=DQ$4,YEAR($F253)&lt;Preisindex!$A$6),ROUND($E253*DR253,2),0))</f>
        <v>0</v>
      </c>
      <c r="DT253" s="53">
        <f t="shared" si="664"/>
        <v>0</v>
      </c>
      <c r="DU253" s="51">
        <f t="shared" si="753"/>
        <v>0</v>
      </c>
      <c r="DV253" s="51">
        <f t="shared" si="735"/>
        <v>0</v>
      </c>
      <c r="DW253" s="51">
        <f t="shared" si="665"/>
        <v>0</v>
      </c>
      <c r="DX253" s="51">
        <f t="shared" si="736"/>
        <v>0</v>
      </c>
      <c r="DY253" s="51">
        <f t="shared" si="666"/>
        <v>0</v>
      </c>
      <c r="DZ253" s="51">
        <f t="shared" si="737"/>
        <v>0</v>
      </c>
      <c r="EA253" s="51">
        <f t="shared" si="667"/>
        <v>0</v>
      </c>
      <c r="EB253" s="51">
        <f t="shared" si="738"/>
        <v>0</v>
      </c>
      <c r="EC253" s="51">
        <f t="shared" si="668"/>
        <v>0</v>
      </c>
      <c r="ED253" s="51">
        <f t="shared" si="739"/>
        <v>0</v>
      </c>
      <c r="EE253" s="51">
        <f t="shared" si="669"/>
        <v>0</v>
      </c>
      <c r="EF253" s="54">
        <f t="shared" si="670"/>
        <v>0</v>
      </c>
      <c r="EG253" s="55">
        <f t="shared" si="671"/>
        <v>0</v>
      </c>
      <c r="EH253" s="56">
        <f>IF(AND($E253&lt;&gt;0,$F253&gt;0,YEAR($F253)&gt;=Preisindex!$A$6,YEAR(EC$4)&gt;=YEAR($F253),AND($K253&lt;&gt;"a",$K253&lt;&gt;"b",$K253&lt;&gt;"g",$K253&lt;&gt;"k")),1,IF(AND($E253&lt;&gt;0,$F253&gt;0,YEAR($F253)&gt;=Preisindex!$A$6,YEAR(EC$4)&gt;=YEAR($F253),$K253="a"),ROUND(VLOOKUP(EH$4,Preisindex,5,FALSE)/VLOOKUP(YEAR($F253),Preisindex,5,FALSE),2),IF(AND($E253&lt;&gt;0,$F253&gt;0,YEAR($F253)&gt;=Preisindex!$A$6,YEAR(EC$4)&gt;=YEAR($F253),$K253="b"),ROUND(VLOOKUP(EH$4,Preisindex,3,FALSE)/VLOOKUP(YEAR($F253),Preisindex,3,FALSE),2),IF(AND($E253&lt;&gt;0,$F253&gt;0,YEAR($F253)&gt;=Preisindex!$A$6,YEAR(EC$4)&gt;=YEAR($F253),$K253="g"),ROUND(VLOOKUP(EH$4,Preisindex,4,FALSE)/VLOOKUP(YEAR($F253),Preisindex,4,FALSE),2),IF(AND($E253&lt;&gt;0,$F253&gt;0,YEAR($F253)&gt;=Preisindex!$A$6,YEAR(EC$4)&gt;=YEAR($F253),$K253="k"),ROUND(VLOOKUP(EH$4,Preisindex,2,FALSE)/VLOOKUP(YEAR($F253),Preisindex,2,FALSE),2),0)))))</f>
        <v>0</v>
      </c>
      <c r="EI253" s="56">
        <f>IF(AND($E253&lt;&gt;0,$F253&gt;0,YEAR($F253)&lt;Preisindex!$A$6,YEAR(EC$4)&gt;=YEAR($F253),AND($K253&lt;&gt;"a",$K253&lt;&gt;"b",$K253&lt;&gt;"g",$K253&lt;&gt;"k")),1,IF(AND($E253&lt;&gt;0,$F253&gt;0,YEAR($F253)&lt;Preisindex!$A$6,YEAR(EC$4)&gt;=YEAR($F253),$K253="a"),ROUND(VLOOKUP(EH$4,Preisindex,5,FALSE)/VLOOKUP(Preisindex!$A$6,Preisindex,5,FALSE),2),IF(AND($E253&lt;&gt;0,$F253&gt;0,YEAR($F253)&lt;Preisindex!$A$6,YEAR(EC$4)&gt;=YEAR($F253),$K253="b"),ROUND(VLOOKUP(EH$4,Preisindex,3,FALSE)/VLOOKUP(Preisindex!$A$6,Preisindex,3,FALSE),2),IF(AND($E253&lt;&gt;0,$F253&gt;0,YEAR($F253)&lt;Preisindex!$A$6,YEAR(EC$4)&gt;=YEAR($F253),$K253="g"),ROUND(VLOOKUP(EH$4,Preisindex,4,FALSE)/VLOOKUP(Preisindex!$A$6,Preisindex,4,FALSE),2),IF(AND($E253&lt;&gt;0,$F253&gt;0,YEAR($F253)&lt;Preisindex!$A$6,YEAR(EC$4)&gt;=YEAR($F253),$K253="k"),ROUND(VLOOKUP(EH$4,Preisindex,2,FALSE)/VLOOKUP(Preisindex!$A$6,Preisindex,2,FALSE),2),0)))))</f>
        <v>0</v>
      </c>
      <c r="EJ253" s="51">
        <f>IF(AND($E253&lt;&gt;0,$F253&gt;0,YEAR($F253)&lt;=EH$4,YEAR($F253)&gt;=Preisindex!$A$6),ROUND($E253*EH253,2),IF(AND($E253&lt;&gt;0,$F253&gt;0,YEAR($F253)&lt;=EH$4,YEAR($F253)&lt;Preisindex!$A$6),ROUND($E253*EI253,2),0))</f>
        <v>0</v>
      </c>
      <c r="EK253" s="53">
        <f t="shared" si="672"/>
        <v>0</v>
      </c>
      <c r="EL253" s="51">
        <f t="shared" si="753"/>
        <v>0</v>
      </c>
      <c r="EM253" s="51">
        <f t="shared" si="740"/>
        <v>0</v>
      </c>
      <c r="EN253" s="51">
        <f t="shared" si="673"/>
        <v>0</v>
      </c>
      <c r="EO253" s="51">
        <f t="shared" si="741"/>
        <v>0</v>
      </c>
      <c r="EP253" s="51">
        <f t="shared" si="674"/>
        <v>0</v>
      </c>
      <c r="EQ253" s="51">
        <f t="shared" si="742"/>
        <v>0</v>
      </c>
      <c r="ER253" s="51">
        <f t="shared" si="675"/>
        <v>0</v>
      </c>
      <c r="ES253" s="51">
        <f t="shared" si="743"/>
        <v>0</v>
      </c>
      <c r="ET253" s="51">
        <f t="shared" si="676"/>
        <v>0</v>
      </c>
      <c r="EU253" s="51">
        <f t="shared" si="744"/>
        <v>0</v>
      </c>
      <c r="EV253" s="51">
        <f t="shared" si="677"/>
        <v>0</v>
      </c>
      <c r="EW253" s="54">
        <f t="shared" si="678"/>
        <v>0</v>
      </c>
      <c r="EX253" s="55">
        <f t="shared" si="679"/>
        <v>0</v>
      </c>
      <c r="EY253" s="56">
        <f>IF(AND($E253&lt;&gt;0,$F253&gt;0,YEAR($F253)&gt;=Preisindex!$A$6,YEAR(ET$4)&gt;=YEAR($F253),AND($K253&lt;&gt;"a",$K253&lt;&gt;"b",$K253&lt;&gt;"g",$K253&lt;&gt;"k")),1,IF(AND($E253&lt;&gt;0,$F253&gt;0,YEAR($F253)&gt;=Preisindex!$A$6,YEAR(ET$4)&gt;=YEAR($F253),$K253="a"),ROUND(VLOOKUP(EY$4,Preisindex,5,FALSE)/VLOOKUP(YEAR($F253),Preisindex,5,FALSE),2),IF(AND($E253&lt;&gt;0,$F253&gt;0,YEAR($F253)&gt;=Preisindex!$A$6,YEAR(ET$4)&gt;=YEAR($F253),$K253="b"),ROUND(VLOOKUP(EY$4,Preisindex,3,FALSE)/VLOOKUP(YEAR($F253),Preisindex,3,FALSE),2),IF(AND($E253&lt;&gt;0,$F253&gt;0,YEAR($F253)&gt;=Preisindex!$A$6,YEAR(ET$4)&gt;=YEAR($F253),$K253="g"),ROUND(VLOOKUP(EY$4,Preisindex,4,FALSE)/VLOOKUP(YEAR($F253),Preisindex,4,FALSE),2),IF(AND($E253&lt;&gt;0,$F253&gt;0,YEAR($F253)&gt;=Preisindex!$A$6,YEAR(ET$4)&gt;=YEAR($F253),$K253="k"),ROUND(VLOOKUP(EY$4,Preisindex,2,FALSE)/VLOOKUP(YEAR($F253),Preisindex,2,FALSE),2),0)))))</f>
        <v>0</v>
      </c>
      <c r="EZ253" s="56">
        <f>IF(AND($E253&lt;&gt;0,$F253&gt;0,YEAR($F253)&lt;Preisindex!$A$6,YEAR(ET$4)&gt;=YEAR($F253),AND($K253&lt;&gt;"a",$K253&lt;&gt;"b",$K253&lt;&gt;"g",$K253&lt;&gt;"k")),1,IF(AND($E253&lt;&gt;0,$F253&gt;0,YEAR($F253)&lt;Preisindex!$A$6,YEAR(ET$4)&gt;=YEAR($F253),$K253="a"),ROUND(VLOOKUP(EY$4,Preisindex,5,FALSE)/VLOOKUP(Preisindex!$A$6,Preisindex,5,FALSE),2),IF(AND($E253&lt;&gt;0,$F253&gt;0,YEAR($F253)&lt;Preisindex!$A$6,YEAR(ET$4)&gt;=YEAR($F253),$K253="b"),ROUND(VLOOKUP(EY$4,Preisindex,3,FALSE)/VLOOKUP(Preisindex!$A$6,Preisindex,3,FALSE),2),IF(AND($E253&lt;&gt;0,$F253&gt;0,YEAR($F253)&lt;Preisindex!$A$6,YEAR(ET$4)&gt;=YEAR($F253),$K253="g"),ROUND(VLOOKUP(EY$4,Preisindex,4,FALSE)/VLOOKUP(Preisindex!$A$6,Preisindex,4,FALSE),2),IF(AND($E253&lt;&gt;0,$F253&gt;0,YEAR($F253)&lt;Preisindex!$A$6,YEAR(ET$4)&gt;=YEAR($F253),$K253="k"),ROUND(VLOOKUP(EY$4,Preisindex,2,FALSE)/VLOOKUP(Preisindex!$A$6,Preisindex,2,FALSE),2),0)))))</f>
        <v>0</v>
      </c>
      <c r="FA253" s="51">
        <f>IF(AND($E253&lt;&gt;0,$F253&gt;0,YEAR($F253)&lt;=EY$4,YEAR($F253)&gt;=Preisindex!$A$6),ROUND($E253*EY253,2),IF(AND($E253&lt;&gt;0,$F253&gt;0,YEAR($F253)&lt;=EY$4,YEAR($F253)&lt;Preisindex!$A$6),ROUND($E253*EZ253,2),0))</f>
        <v>0</v>
      </c>
      <c r="FB253" s="53">
        <f t="shared" si="680"/>
        <v>0</v>
      </c>
      <c r="FC253" s="51">
        <f t="shared" si="753"/>
        <v>0</v>
      </c>
      <c r="FD253" s="51">
        <f t="shared" si="745"/>
        <v>0</v>
      </c>
      <c r="FE253" s="51">
        <f t="shared" si="681"/>
        <v>0</v>
      </c>
      <c r="FF253" s="51">
        <f t="shared" si="746"/>
        <v>0</v>
      </c>
      <c r="FG253" s="51">
        <f t="shared" si="682"/>
        <v>0</v>
      </c>
      <c r="FH253" s="51">
        <f t="shared" si="747"/>
        <v>0</v>
      </c>
      <c r="FI253" s="51">
        <f t="shared" si="683"/>
        <v>0</v>
      </c>
      <c r="FJ253" s="51">
        <f t="shared" si="748"/>
        <v>0</v>
      </c>
      <c r="FK253" s="51">
        <f t="shared" si="684"/>
        <v>0</v>
      </c>
      <c r="FL253" s="51">
        <f t="shared" si="749"/>
        <v>0</v>
      </c>
      <c r="FM253" s="51">
        <f t="shared" si="685"/>
        <v>0</v>
      </c>
      <c r="FN253" s="54">
        <f t="shared" si="686"/>
        <v>0</v>
      </c>
      <c r="FO253" s="55">
        <f t="shared" si="687"/>
        <v>0</v>
      </c>
      <c r="FP253" s="56">
        <f>IF(AND($E253&lt;&gt;0,$F253&gt;0,YEAR($F253)&gt;=Preisindex!$A$6,YEAR(FK$4)&gt;=YEAR($F253),AND($K253&lt;&gt;"a",$K253&lt;&gt;"b",$K253&lt;&gt;"g",$K253&lt;&gt;"k")),1,IF(AND($E253&lt;&gt;0,$F253&gt;0,YEAR($F253)&gt;=Preisindex!$A$6,YEAR(FK$4)&gt;=YEAR($F253),$K253="a"),ROUND(VLOOKUP(FP$4,Preisindex,5,FALSE)/VLOOKUP(YEAR($F253),Preisindex,5,FALSE),2),IF(AND($E253&lt;&gt;0,$F253&gt;0,YEAR($F253)&gt;=Preisindex!$A$6,YEAR(FK$4)&gt;=YEAR($F253),$K253="b"),ROUND(VLOOKUP(FP$4,Preisindex,3,FALSE)/VLOOKUP(YEAR($F253),Preisindex,3,FALSE),2),IF(AND($E253&lt;&gt;0,$F253&gt;0,YEAR($F253)&gt;=Preisindex!$A$6,YEAR(FK$4)&gt;=YEAR($F253),$K253="g"),ROUND(VLOOKUP(FP$4,Preisindex,4,FALSE)/VLOOKUP(YEAR($F253),Preisindex,4,FALSE),2),IF(AND($E253&lt;&gt;0,$F253&gt;0,YEAR($F253)&gt;=Preisindex!$A$6,YEAR(FK$4)&gt;=YEAR($F253),$K253="k"),ROUND(VLOOKUP(FP$4,Preisindex,2,FALSE)/VLOOKUP(YEAR($F253),Preisindex,2,FALSE),2),0)))))</f>
        <v>0</v>
      </c>
      <c r="FQ253" s="56">
        <f>IF(AND($E253&lt;&gt;0,$F253&gt;0,YEAR($F253)&lt;Preisindex!$A$6,YEAR(FK$4)&gt;=YEAR($F253),AND($K253&lt;&gt;"a",$K253&lt;&gt;"b",$K253&lt;&gt;"g",$K253&lt;&gt;"k")),1,IF(AND($E253&lt;&gt;0,$F253&gt;0,YEAR($F253)&lt;Preisindex!$A$6,YEAR(FK$4)&gt;=YEAR($F253),$K253="a"),ROUND(VLOOKUP(FP$4,Preisindex,5,FALSE)/VLOOKUP(Preisindex!$A$6,Preisindex,5,FALSE),2),IF(AND($E253&lt;&gt;0,$F253&gt;0,YEAR($F253)&lt;Preisindex!$A$6,YEAR(FK$4)&gt;=YEAR($F253),$K253="b"),ROUND(VLOOKUP(FP$4,Preisindex,3,FALSE)/VLOOKUP(Preisindex!$A$6,Preisindex,3,FALSE),2),IF(AND($E253&lt;&gt;0,$F253&gt;0,YEAR($F253)&lt;Preisindex!$A$6,YEAR(FK$4)&gt;=YEAR($F253),$K253="g"),ROUND(VLOOKUP(FP$4,Preisindex,4,FALSE)/VLOOKUP(Preisindex!$A$6,Preisindex,4,FALSE),2),IF(AND($E253&lt;&gt;0,$F253&gt;0,YEAR($F253)&lt;Preisindex!$A$6,YEAR(FK$4)&gt;=YEAR($F253),$K253="k"),ROUND(VLOOKUP(FP$4,Preisindex,2,FALSE)/VLOOKUP(Preisindex!$A$6,Preisindex,2,FALSE),2),0)))))</f>
        <v>0</v>
      </c>
      <c r="FR253" s="51">
        <f>IF(AND($E253&lt;&gt;0,$F253&gt;0,YEAR($F253)&lt;=FP$4,YEAR($F253)&gt;=Preisindex!$A$6),ROUND($E253*FP253,2),IF(AND($E253&lt;&gt;0,$F253&gt;0,YEAR($F253)&lt;=FP$4,YEAR($F253)&lt;Preisindex!$A$6),ROUND($E253*FQ253,2),0))</f>
        <v>0</v>
      </c>
      <c r="FS253" s="53">
        <f t="shared" si="688"/>
        <v>0</v>
      </c>
    </row>
    <row r="254" spans="1:175" x14ac:dyDescent="0.3">
      <c r="A254" s="93"/>
      <c r="B254" s="94"/>
      <c r="C254" s="94"/>
      <c r="D254" s="188"/>
      <c r="E254" s="624"/>
      <c r="F254" s="190"/>
      <c r="G254" s="625"/>
      <c r="H254" s="620"/>
      <c r="I254" s="621"/>
      <c r="J254" s="103"/>
      <c r="K254" s="630"/>
      <c r="L254" s="49">
        <f t="shared" si="689"/>
        <v>0</v>
      </c>
      <c r="M254" s="50">
        <f t="shared" si="690"/>
        <v>0</v>
      </c>
      <c r="N254" s="51">
        <f t="shared" si="691"/>
        <v>0</v>
      </c>
      <c r="O254" s="51"/>
      <c r="P254" s="51">
        <f t="shared" si="692"/>
        <v>0</v>
      </c>
      <c r="Q254" s="52"/>
      <c r="R254" s="52"/>
      <c r="S254" s="52"/>
      <c r="T254" s="52"/>
      <c r="U254" s="52"/>
      <c r="V254" s="53">
        <f t="shared" si="693"/>
        <v>0</v>
      </c>
      <c r="W254" s="51">
        <f t="shared" si="694"/>
        <v>0</v>
      </c>
      <c r="X254" s="51">
        <f t="shared" si="695"/>
        <v>0</v>
      </c>
      <c r="Y254" s="51">
        <f t="shared" si="696"/>
        <v>0</v>
      </c>
      <c r="Z254" s="51">
        <f t="shared" si="697"/>
        <v>0</v>
      </c>
      <c r="AA254" s="51">
        <f t="shared" si="698"/>
        <v>0</v>
      </c>
      <c r="AB254" s="51">
        <f t="shared" si="699"/>
        <v>0</v>
      </c>
      <c r="AC254" s="51">
        <f t="shared" si="700"/>
        <v>0</v>
      </c>
      <c r="AD254" s="51">
        <f t="shared" si="701"/>
        <v>0</v>
      </c>
      <c r="AE254" s="51">
        <f t="shared" si="702"/>
        <v>0</v>
      </c>
      <c r="AF254" s="51">
        <f t="shared" si="703"/>
        <v>0</v>
      </c>
      <c r="AG254" s="51">
        <f t="shared" si="704"/>
        <v>0</v>
      </c>
      <c r="AH254" s="54">
        <f t="shared" si="705"/>
        <v>0</v>
      </c>
      <c r="AI254" s="55">
        <f t="shared" si="706"/>
        <v>0</v>
      </c>
      <c r="AJ254" s="56">
        <f>IF(AND($E254&lt;&gt;0,$F254&gt;0,YEAR($F254)&gt;=Preisindex!$A$6,YEAR(AE$4)&gt;=YEAR($F254),AND($K254&lt;&gt;"a",$K254&lt;&gt;"b",$K254&lt;&gt;"g",$K254&lt;&gt;"k")),1,IF(AND($E254&lt;&gt;0,$F254&gt;0,YEAR($F254)&gt;=Preisindex!$A$6,YEAR(AE$4)&gt;=YEAR($F254),$K254="a"),ROUND(VLOOKUP(AJ$4,Preisindex,5,FALSE)/VLOOKUP(YEAR($F254),Preisindex,5,FALSE),2),IF(AND($E254&lt;&gt;0,$F254&gt;0,YEAR($F254)&gt;=Preisindex!$A$6,YEAR(AE$4)&gt;=YEAR($F254),$K254="b"),ROUND(VLOOKUP(AJ$4,Preisindex,3,FALSE)/VLOOKUP(YEAR($F254),Preisindex,3,FALSE),2),IF(AND($E254&lt;&gt;0,$F254&gt;0,YEAR($F254)&gt;=Preisindex!$A$6,YEAR(AE$4)&gt;=YEAR($F254),$K254="g"),ROUND(VLOOKUP(AJ$4,Preisindex,4,FALSE)/VLOOKUP(YEAR($F254),Preisindex,4,FALSE),2),IF(AND($E254&lt;&gt;0,$F254&gt;0,YEAR($F254)&gt;=Preisindex!$A$6,YEAR(AE$4)&gt;=YEAR($F254),$K254="k"),ROUND(VLOOKUP(AJ$4,Preisindex,2,FALSE)/VLOOKUP(YEAR($F254),Preisindex,2,FALSE),2),0)))))</f>
        <v>0</v>
      </c>
      <c r="AK254" s="56">
        <f>IF(AND($E254&lt;&gt;0,$F254&gt;0,YEAR($F254)&lt;Preisindex!$A$6,YEAR(AE$4)&gt;=YEAR($F254),AND($K254&lt;&gt;"a",$K254&lt;&gt;"b",$K254&lt;&gt;"g",$K254&lt;&gt;"k")),1,IF(AND($E254&lt;&gt;0,$F254&gt;0,YEAR($F254)&lt;Preisindex!$A$6,YEAR(AE$4)&gt;=YEAR($F254),$K254="a"),ROUND(VLOOKUP(AJ$4,Preisindex,5,FALSE)/VLOOKUP(Preisindex!$A$6,Preisindex,5,FALSE),2),IF(AND($E254&lt;&gt;0,$F254&gt;0,YEAR($F254)&lt;Preisindex!$A$6,YEAR(AE$4)&gt;=YEAR($F254),$K254="b"),ROUND(VLOOKUP(AJ$4,Preisindex,3,FALSE)/VLOOKUP(Preisindex!$A$6,Preisindex,3,FALSE),2),IF(AND($E254&lt;&gt;0,$F254&gt;0,YEAR($F254)&lt;Preisindex!$A$6,YEAR(AE$4)&gt;=YEAR($F254),$K254="g"),ROUND(VLOOKUP(AJ$4,Preisindex,4,FALSE)/VLOOKUP(Preisindex!$A$6,Preisindex,4,FALSE),2),IF(AND($E254&lt;&gt;0,$F254&gt;0,YEAR($F254)&lt;Preisindex!$A$6,YEAR(AE$4)&gt;=YEAR($F254),$K254="k"),ROUND(VLOOKUP(AJ$4,Preisindex,2,FALSE)/VLOOKUP(Preisindex!$A$6,Preisindex,2,FALSE),2),0)))))</f>
        <v>0</v>
      </c>
      <c r="AL254" s="51">
        <f>IF(AND($E254&lt;&gt;0,$F254&gt;0,YEAR($F254)&lt;=AJ$4,YEAR($F254)&gt;=Preisindex!$A$6),ROUND($E254*AJ254,2),IF(AND($E254&lt;&gt;0,$F254&gt;0,YEAR($F254)&lt;=AJ$4,YEAR($F254)&lt;Preisindex!$A$6),ROUND($E254*AK254,2),0))</f>
        <v>0</v>
      </c>
      <c r="AM254" s="53">
        <f t="shared" si="707"/>
        <v>0</v>
      </c>
      <c r="AN254" s="51">
        <f t="shared" si="752"/>
        <v>0</v>
      </c>
      <c r="AO254" s="51">
        <f t="shared" si="710"/>
        <v>0</v>
      </c>
      <c r="AP254" s="51">
        <f t="shared" si="624"/>
        <v>0</v>
      </c>
      <c r="AQ254" s="51">
        <f t="shared" si="711"/>
        <v>0</v>
      </c>
      <c r="AR254" s="51">
        <f t="shared" si="625"/>
        <v>0</v>
      </c>
      <c r="AS254" s="51">
        <f t="shared" si="712"/>
        <v>0</v>
      </c>
      <c r="AT254" s="51">
        <f t="shared" si="626"/>
        <v>0</v>
      </c>
      <c r="AU254" s="51">
        <f t="shared" si="713"/>
        <v>0</v>
      </c>
      <c r="AV254" s="51">
        <f t="shared" si="627"/>
        <v>0</v>
      </c>
      <c r="AW254" s="51">
        <f t="shared" si="714"/>
        <v>0</v>
      </c>
      <c r="AX254" s="51">
        <f t="shared" si="628"/>
        <v>0</v>
      </c>
      <c r="AY254" s="54">
        <f t="shared" si="629"/>
        <v>0</v>
      </c>
      <c r="AZ254" s="55">
        <f t="shared" si="630"/>
        <v>0</v>
      </c>
      <c r="BA254" s="56">
        <f>IF(AND($E254&lt;&gt;0,$F254&gt;0,YEAR($F254)&gt;=Preisindex!$A$6,YEAR(AV$4)&gt;=YEAR($F254),AND($K254&lt;&gt;"a",$K254&lt;&gt;"b",$K254&lt;&gt;"g",$K254&lt;&gt;"k")),1,IF(AND($E254&lt;&gt;0,$F254&gt;0,YEAR($F254)&gt;=Preisindex!$A$6,YEAR(AV$4)&gt;=YEAR($F254),$K254="a"),ROUND(VLOOKUP(BA$4,Preisindex,5,FALSE)/VLOOKUP(YEAR($F254),Preisindex,5,FALSE),2),IF(AND($E254&lt;&gt;0,$F254&gt;0,YEAR($F254)&gt;=Preisindex!$A$6,YEAR(AV$4)&gt;=YEAR($F254),$K254="b"),ROUND(VLOOKUP(BA$4,Preisindex,3,FALSE)/VLOOKUP(YEAR($F254),Preisindex,3,FALSE),2),IF(AND($E254&lt;&gt;0,$F254&gt;0,YEAR($F254)&gt;=Preisindex!$A$6,YEAR(AV$4)&gt;=YEAR($F254),$K254="g"),ROUND(VLOOKUP(BA$4,Preisindex,4,FALSE)/VLOOKUP(YEAR($F254),Preisindex,4,FALSE),2),IF(AND($E254&lt;&gt;0,$F254&gt;0,YEAR($F254)&gt;=Preisindex!$A$6,YEAR(AV$4)&gt;=YEAR($F254),$K254="k"),ROUND(VLOOKUP(BA$4,Preisindex,2,FALSE)/VLOOKUP(YEAR($F254),Preisindex,2,FALSE),2),0)))))</f>
        <v>0</v>
      </c>
      <c r="BB254" s="56">
        <f>IF(AND($E254&lt;&gt;0,$F254&gt;0,YEAR($F254)&lt;Preisindex!$A$6,YEAR(AV$4)&gt;=YEAR($F254),AND($K254&lt;&gt;"a",$K254&lt;&gt;"b",$K254&lt;&gt;"g",$K254&lt;&gt;"k")),1,IF(AND($E254&lt;&gt;0,$F254&gt;0,YEAR($F254)&lt;Preisindex!$A$6,YEAR(AV$4)&gt;=YEAR($F254),$K254="a"),ROUND(VLOOKUP(BA$4,Preisindex,5,FALSE)/VLOOKUP(Preisindex!$A$6,Preisindex,5,FALSE),2),IF(AND($E254&lt;&gt;0,$F254&gt;0,YEAR($F254)&lt;Preisindex!$A$6,YEAR(AV$4)&gt;=YEAR($F254),$K254="b"),ROUND(VLOOKUP(BA$4,Preisindex,3,FALSE)/VLOOKUP(Preisindex!$A$6,Preisindex,3,FALSE),2),IF(AND($E254&lt;&gt;0,$F254&gt;0,YEAR($F254)&lt;Preisindex!$A$6,YEAR(AV$4)&gt;=YEAR($F254),$K254="g"),ROUND(VLOOKUP(BA$4,Preisindex,4,FALSE)/VLOOKUP(Preisindex!$A$6,Preisindex,4,FALSE),2),IF(AND($E254&lt;&gt;0,$F254&gt;0,YEAR($F254)&lt;Preisindex!$A$6,YEAR(AV$4)&gt;=YEAR($F254),$K254="k"),ROUND(VLOOKUP(BA$4,Preisindex,2,FALSE)/VLOOKUP(Preisindex!$A$6,Preisindex,2,FALSE),2),0)))))</f>
        <v>0</v>
      </c>
      <c r="BC254" s="51">
        <f>IF(AND($E254&lt;&gt;0,$F254&gt;0,YEAR($F254)&lt;=BA$4,YEAR($F254)&gt;=Preisindex!$A$6),ROUND($E254*BA254,2),IF(AND($E254&lt;&gt;0,$F254&gt;0,YEAR($F254)&lt;=BA$4,YEAR($F254)&lt;Preisindex!$A$6),ROUND($E254*BB254,2),0))</f>
        <v>0</v>
      </c>
      <c r="BD254" s="53">
        <f t="shared" si="631"/>
        <v>0</v>
      </c>
      <c r="BE254" s="51">
        <f t="shared" si="752"/>
        <v>0</v>
      </c>
      <c r="BF254" s="51">
        <f t="shared" si="715"/>
        <v>0</v>
      </c>
      <c r="BG254" s="51">
        <f t="shared" si="632"/>
        <v>0</v>
      </c>
      <c r="BH254" s="51">
        <f t="shared" si="716"/>
        <v>0</v>
      </c>
      <c r="BI254" s="51">
        <f t="shared" si="633"/>
        <v>0</v>
      </c>
      <c r="BJ254" s="51">
        <f t="shared" si="717"/>
        <v>0</v>
      </c>
      <c r="BK254" s="51">
        <f t="shared" si="634"/>
        <v>0</v>
      </c>
      <c r="BL254" s="51">
        <f t="shared" si="718"/>
        <v>0</v>
      </c>
      <c r="BM254" s="51">
        <f t="shared" si="635"/>
        <v>0</v>
      </c>
      <c r="BN254" s="51">
        <f t="shared" si="719"/>
        <v>0</v>
      </c>
      <c r="BO254" s="51">
        <f t="shared" si="636"/>
        <v>0</v>
      </c>
      <c r="BP254" s="54">
        <f t="shared" si="637"/>
        <v>0</v>
      </c>
      <c r="BQ254" s="55">
        <f t="shared" si="638"/>
        <v>0</v>
      </c>
      <c r="BR254" s="56">
        <f>IF(AND($E254&lt;&gt;0,$F254&gt;0,YEAR($F254)&gt;=Preisindex!$A$6,YEAR(BM$4)&gt;=YEAR($F254),AND($K254&lt;&gt;"a",$K254&lt;&gt;"b",$K254&lt;&gt;"g",$K254&lt;&gt;"k")),1,IF(AND($E254&lt;&gt;0,$F254&gt;0,YEAR($F254)&gt;=Preisindex!$A$6,YEAR(BM$4)&gt;=YEAR($F254),$K254="a"),ROUND(VLOOKUP(BR$4,Preisindex,5,FALSE)/VLOOKUP(YEAR($F254),Preisindex,5,FALSE),2),IF(AND($E254&lt;&gt;0,$F254&gt;0,YEAR($F254)&gt;=Preisindex!$A$6,YEAR(BM$4)&gt;=YEAR($F254),$K254="b"),ROUND(VLOOKUP(BR$4,Preisindex,3,FALSE)/VLOOKUP(YEAR($F254),Preisindex,3,FALSE),2),IF(AND($E254&lt;&gt;0,$F254&gt;0,YEAR($F254)&gt;=Preisindex!$A$6,YEAR(BM$4)&gt;=YEAR($F254),$K254="g"),ROUND(VLOOKUP(BR$4,Preisindex,4,FALSE)/VLOOKUP(YEAR($F254),Preisindex,4,FALSE),2),IF(AND($E254&lt;&gt;0,$F254&gt;0,YEAR($F254)&gt;=Preisindex!$A$6,YEAR(BM$4)&gt;=YEAR($F254),$K254="k"),ROUND(VLOOKUP(BR$4,Preisindex,2,FALSE)/VLOOKUP(YEAR($F254),Preisindex,2,FALSE),2),0)))))</f>
        <v>0</v>
      </c>
      <c r="BS254" s="56">
        <f>IF(AND($E254&lt;&gt;0,$F254&gt;0,YEAR($F254)&lt;Preisindex!$A$6,YEAR(BM$4)&gt;=YEAR($F254),AND($K254&lt;&gt;"a",$K254&lt;&gt;"b",$K254&lt;&gt;"g",$K254&lt;&gt;"k")),1,IF(AND($E254&lt;&gt;0,$F254&gt;0,YEAR($F254)&lt;Preisindex!$A$6,YEAR(BM$4)&gt;=YEAR($F254),$K254="a"),ROUND(VLOOKUP(BR$4,Preisindex,5,FALSE)/VLOOKUP(Preisindex!$A$6,Preisindex,5,FALSE),2),IF(AND($E254&lt;&gt;0,$F254&gt;0,YEAR($F254)&lt;Preisindex!$A$6,YEAR(BM$4)&gt;=YEAR($F254),$K254="b"),ROUND(VLOOKUP(BR$4,Preisindex,3,FALSE)/VLOOKUP(Preisindex!$A$6,Preisindex,3,FALSE),2),IF(AND($E254&lt;&gt;0,$F254&gt;0,YEAR($F254)&lt;Preisindex!$A$6,YEAR(BM$4)&gt;=YEAR($F254),$K254="g"),ROUND(VLOOKUP(BR$4,Preisindex,4,FALSE)/VLOOKUP(Preisindex!$A$6,Preisindex,4,FALSE),2),IF(AND($E254&lt;&gt;0,$F254&gt;0,YEAR($F254)&lt;Preisindex!$A$6,YEAR(BM$4)&gt;=YEAR($F254),$K254="k"),ROUND(VLOOKUP(BR$4,Preisindex,2,FALSE)/VLOOKUP(Preisindex!$A$6,Preisindex,2,FALSE),2),0)))))</f>
        <v>0</v>
      </c>
      <c r="BT254" s="51">
        <f>IF(AND($E254&lt;&gt;0,$F254&gt;0,YEAR($F254)&lt;=BR$4,YEAR($F254)&gt;=Preisindex!$A$6),ROUND($E254*BR254,2),IF(AND($E254&lt;&gt;0,$F254&gt;0,YEAR($F254)&lt;=BR$4,YEAR($F254)&lt;Preisindex!$A$6),ROUND($E254*BS254,2),0))</f>
        <v>0</v>
      </c>
      <c r="BU254" s="53">
        <f t="shared" si="639"/>
        <v>0</v>
      </c>
      <c r="BV254" s="51">
        <f t="shared" si="752"/>
        <v>0</v>
      </c>
      <c r="BW254" s="51">
        <f t="shared" si="720"/>
        <v>0</v>
      </c>
      <c r="BX254" s="51">
        <f t="shared" si="640"/>
        <v>0</v>
      </c>
      <c r="BY254" s="51">
        <f t="shared" si="721"/>
        <v>0</v>
      </c>
      <c r="BZ254" s="51">
        <f t="shared" si="641"/>
        <v>0</v>
      </c>
      <c r="CA254" s="51">
        <f t="shared" si="722"/>
        <v>0</v>
      </c>
      <c r="CB254" s="51">
        <f t="shared" si="642"/>
        <v>0</v>
      </c>
      <c r="CC254" s="51">
        <f t="shared" si="723"/>
        <v>0</v>
      </c>
      <c r="CD254" s="51">
        <f t="shared" si="643"/>
        <v>0</v>
      </c>
      <c r="CE254" s="51">
        <f t="shared" si="724"/>
        <v>0</v>
      </c>
      <c r="CF254" s="51">
        <f t="shared" si="644"/>
        <v>0</v>
      </c>
      <c r="CG254" s="54">
        <f t="shared" si="645"/>
        <v>0</v>
      </c>
      <c r="CH254" s="55">
        <f t="shared" si="646"/>
        <v>0</v>
      </c>
      <c r="CI254" s="56">
        <f>IF(AND($E254&lt;&gt;0,$F254&gt;0,YEAR($F254)&gt;=Preisindex!$A$6,YEAR(CD$4)&gt;=YEAR($F254),AND($K254&lt;&gt;"a",$K254&lt;&gt;"b",$K254&lt;&gt;"g",$K254&lt;&gt;"k")),1,IF(AND($E254&lt;&gt;0,$F254&gt;0,YEAR($F254)&gt;=Preisindex!$A$6,YEAR(CD$4)&gt;=YEAR($F254),$K254="a"),ROUND(VLOOKUP(CI$4,Preisindex,5,FALSE)/VLOOKUP(YEAR($F254),Preisindex,5,FALSE),2),IF(AND($E254&lt;&gt;0,$F254&gt;0,YEAR($F254)&gt;=Preisindex!$A$6,YEAR(CD$4)&gt;=YEAR($F254),$K254="b"),ROUND(VLOOKUP(CI$4,Preisindex,3,FALSE)/VLOOKUP(YEAR($F254),Preisindex,3,FALSE),2),IF(AND($E254&lt;&gt;0,$F254&gt;0,YEAR($F254)&gt;=Preisindex!$A$6,YEAR(CD$4)&gt;=YEAR($F254),$K254="g"),ROUND(VLOOKUP(CI$4,Preisindex,4,FALSE)/VLOOKUP(YEAR($F254),Preisindex,4,FALSE),2),IF(AND($E254&lt;&gt;0,$F254&gt;0,YEAR($F254)&gt;=Preisindex!$A$6,YEAR(CD$4)&gt;=YEAR($F254),$K254="k"),ROUND(VLOOKUP(CI$4,Preisindex,2,FALSE)/VLOOKUP(YEAR($F254),Preisindex,2,FALSE),2),0)))))</f>
        <v>0</v>
      </c>
      <c r="CJ254" s="56">
        <f>IF(AND($E254&lt;&gt;0,$F254&gt;0,YEAR($F254)&lt;Preisindex!$A$6,YEAR(CD$4)&gt;=YEAR($F254),AND($K254&lt;&gt;"a",$K254&lt;&gt;"b",$K254&lt;&gt;"g",$K254&lt;&gt;"k")),1,IF(AND($E254&lt;&gt;0,$F254&gt;0,YEAR($F254)&lt;Preisindex!$A$6,YEAR(CD$4)&gt;=YEAR($F254),$K254="a"),ROUND(VLOOKUP(CI$4,Preisindex,5,FALSE)/VLOOKUP(Preisindex!$A$6,Preisindex,5,FALSE),2),IF(AND($E254&lt;&gt;0,$F254&gt;0,YEAR($F254)&lt;Preisindex!$A$6,YEAR(CD$4)&gt;=YEAR($F254),$K254="b"),ROUND(VLOOKUP(CI$4,Preisindex,3,FALSE)/VLOOKUP(Preisindex!$A$6,Preisindex,3,FALSE),2),IF(AND($E254&lt;&gt;0,$F254&gt;0,YEAR($F254)&lt;Preisindex!$A$6,YEAR(CD$4)&gt;=YEAR($F254),$K254="g"),ROUND(VLOOKUP(CI$4,Preisindex,4,FALSE)/VLOOKUP(Preisindex!$A$6,Preisindex,4,FALSE),2),IF(AND($E254&lt;&gt;0,$F254&gt;0,YEAR($F254)&lt;Preisindex!$A$6,YEAR(CD$4)&gt;=YEAR($F254),$K254="k"),ROUND(VLOOKUP(CI$4,Preisindex,2,FALSE)/VLOOKUP(Preisindex!$A$6,Preisindex,2,FALSE),2),0)))))</f>
        <v>0</v>
      </c>
      <c r="CK254" s="51">
        <f>IF(AND($E254&lt;&gt;0,$F254&gt;0,YEAR($F254)&lt;=CI$4,YEAR($F254)&gt;=Preisindex!$A$6),ROUND($E254*CI254,2),IF(AND($E254&lt;&gt;0,$F254&gt;0,YEAR($F254)&lt;=CI$4,YEAR($F254)&lt;Preisindex!$A$6),ROUND($E254*CJ254,2),0))</f>
        <v>0</v>
      </c>
      <c r="CL254" s="53">
        <f t="shared" si="647"/>
        <v>0</v>
      </c>
      <c r="CM254" s="51">
        <f t="shared" si="752"/>
        <v>0</v>
      </c>
      <c r="CN254" s="51">
        <f t="shared" si="725"/>
        <v>0</v>
      </c>
      <c r="CO254" s="51">
        <f t="shared" si="648"/>
        <v>0</v>
      </c>
      <c r="CP254" s="51">
        <f t="shared" si="726"/>
        <v>0</v>
      </c>
      <c r="CQ254" s="51">
        <f t="shared" si="649"/>
        <v>0</v>
      </c>
      <c r="CR254" s="51">
        <f t="shared" si="727"/>
        <v>0</v>
      </c>
      <c r="CS254" s="51">
        <f t="shared" si="650"/>
        <v>0</v>
      </c>
      <c r="CT254" s="51">
        <f t="shared" si="728"/>
        <v>0</v>
      </c>
      <c r="CU254" s="51">
        <f t="shared" si="651"/>
        <v>0</v>
      </c>
      <c r="CV254" s="51">
        <f t="shared" si="729"/>
        <v>0</v>
      </c>
      <c r="CW254" s="51">
        <f t="shared" si="652"/>
        <v>0</v>
      </c>
      <c r="CX254" s="54">
        <f t="shared" si="653"/>
        <v>0</v>
      </c>
      <c r="CY254" s="55">
        <f t="shared" si="654"/>
        <v>0</v>
      </c>
      <c r="CZ254" s="56">
        <f>IF(AND($E254&lt;&gt;0,$F254&gt;0,YEAR($F254)&gt;=Preisindex!$A$6,YEAR(CU$4)&gt;=YEAR($F254),AND($K254&lt;&gt;"a",$K254&lt;&gt;"b",$K254&lt;&gt;"g",$K254&lt;&gt;"k")),1,IF(AND($E254&lt;&gt;0,$F254&gt;0,YEAR($F254)&gt;=Preisindex!$A$6,YEAR(CU$4)&gt;=YEAR($F254),$K254="a"),ROUND(VLOOKUP(CZ$4,Preisindex,5,FALSE)/VLOOKUP(YEAR($F254),Preisindex,5,FALSE),2),IF(AND($E254&lt;&gt;0,$F254&gt;0,YEAR($F254)&gt;=Preisindex!$A$6,YEAR(CU$4)&gt;=YEAR($F254),$K254="b"),ROUND(VLOOKUP(CZ$4,Preisindex,3,FALSE)/VLOOKUP(YEAR($F254),Preisindex,3,FALSE),2),IF(AND($E254&lt;&gt;0,$F254&gt;0,YEAR($F254)&gt;=Preisindex!$A$6,YEAR(CU$4)&gt;=YEAR($F254),$K254="g"),ROUND(VLOOKUP(CZ$4,Preisindex,4,FALSE)/VLOOKUP(YEAR($F254),Preisindex,4,FALSE),2),IF(AND($E254&lt;&gt;0,$F254&gt;0,YEAR($F254)&gt;=Preisindex!$A$6,YEAR(CU$4)&gt;=YEAR($F254),$K254="k"),ROUND(VLOOKUP(CZ$4,Preisindex,2,FALSE)/VLOOKUP(YEAR($F254),Preisindex,2,FALSE),2),0)))))</f>
        <v>0</v>
      </c>
      <c r="DA254" s="56">
        <f>IF(AND($E254&lt;&gt;0,$F254&gt;0,YEAR($F254)&lt;Preisindex!$A$6,YEAR(CU$4)&gt;=YEAR($F254),AND($K254&lt;&gt;"a",$K254&lt;&gt;"b",$K254&lt;&gt;"g",$K254&lt;&gt;"k")),1,IF(AND($E254&lt;&gt;0,$F254&gt;0,YEAR($F254)&lt;Preisindex!$A$6,YEAR(CU$4)&gt;=YEAR($F254),$K254="a"),ROUND(VLOOKUP(CZ$4,Preisindex,5,FALSE)/VLOOKUP(Preisindex!$A$6,Preisindex,5,FALSE),2),IF(AND($E254&lt;&gt;0,$F254&gt;0,YEAR($F254)&lt;Preisindex!$A$6,YEAR(CU$4)&gt;=YEAR($F254),$K254="b"),ROUND(VLOOKUP(CZ$4,Preisindex,3,FALSE)/VLOOKUP(Preisindex!$A$6,Preisindex,3,FALSE),2),IF(AND($E254&lt;&gt;0,$F254&gt;0,YEAR($F254)&lt;Preisindex!$A$6,YEAR(CU$4)&gt;=YEAR($F254),$K254="g"),ROUND(VLOOKUP(CZ$4,Preisindex,4,FALSE)/VLOOKUP(Preisindex!$A$6,Preisindex,4,FALSE),2),IF(AND($E254&lt;&gt;0,$F254&gt;0,YEAR($F254)&lt;Preisindex!$A$6,YEAR(CU$4)&gt;=YEAR($F254),$K254="k"),ROUND(VLOOKUP(CZ$4,Preisindex,2,FALSE)/VLOOKUP(Preisindex!$A$6,Preisindex,2,FALSE),2),0)))))</f>
        <v>0</v>
      </c>
      <c r="DB254" s="51">
        <f>IF(AND($E254&lt;&gt;0,$F254&gt;0,YEAR($F254)&lt;=CZ$4,YEAR($F254)&gt;=Preisindex!$A$6),ROUND($E254*CZ254,2),IF(AND($E254&lt;&gt;0,$F254&gt;0,YEAR($F254)&lt;=CZ$4,YEAR($F254)&lt;Preisindex!$A$6),ROUND($E254*DA254,2),0))</f>
        <v>0</v>
      </c>
      <c r="DC254" s="53">
        <f t="shared" si="655"/>
        <v>0</v>
      </c>
      <c r="DD254" s="51">
        <f t="shared" si="753"/>
        <v>0</v>
      </c>
      <c r="DE254" s="51">
        <f t="shared" si="730"/>
        <v>0</v>
      </c>
      <c r="DF254" s="51">
        <f t="shared" si="657"/>
        <v>0</v>
      </c>
      <c r="DG254" s="51">
        <f t="shared" si="731"/>
        <v>0</v>
      </c>
      <c r="DH254" s="51">
        <f t="shared" si="658"/>
        <v>0</v>
      </c>
      <c r="DI254" s="51">
        <f t="shared" si="732"/>
        <v>0</v>
      </c>
      <c r="DJ254" s="51">
        <f t="shared" si="659"/>
        <v>0</v>
      </c>
      <c r="DK254" s="51">
        <f t="shared" si="733"/>
        <v>0</v>
      </c>
      <c r="DL254" s="51">
        <f t="shared" si="660"/>
        <v>0</v>
      </c>
      <c r="DM254" s="51">
        <f t="shared" si="734"/>
        <v>0</v>
      </c>
      <c r="DN254" s="51">
        <f t="shared" si="661"/>
        <v>0</v>
      </c>
      <c r="DO254" s="54">
        <f t="shared" si="662"/>
        <v>0</v>
      </c>
      <c r="DP254" s="55">
        <f t="shared" si="663"/>
        <v>0</v>
      </c>
      <c r="DQ254" s="56">
        <f>IF(AND($E254&lt;&gt;0,$F254&gt;0,YEAR($F254)&gt;=Preisindex!$A$6,YEAR(DL$4)&gt;=YEAR($F254),AND($K254&lt;&gt;"a",$K254&lt;&gt;"b",$K254&lt;&gt;"g",$K254&lt;&gt;"k")),1,IF(AND($E254&lt;&gt;0,$F254&gt;0,YEAR($F254)&gt;=Preisindex!$A$6,YEAR(DL$4)&gt;=YEAR($F254),$K254="a"),ROUND(VLOOKUP(DQ$4,Preisindex,5,FALSE)/VLOOKUP(YEAR($F254),Preisindex,5,FALSE),2),IF(AND($E254&lt;&gt;0,$F254&gt;0,YEAR($F254)&gt;=Preisindex!$A$6,YEAR(DL$4)&gt;=YEAR($F254),$K254="b"),ROUND(VLOOKUP(DQ$4,Preisindex,3,FALSE)/VLOOKUP(YEAR($F254),Preisindex,3,FALSE),2),IF(AND($E254&lt;&gt;0,$F254&gt;0,YEAR($F254)&gt;=Preisindex!$A$6,YEAR(DL$4)&gt;=YEAR($F254),$K254="g"),ROUND(VLOOKUP(DQ$4,Preisindex,4,FALSE)/VLOOKUP(YEAR($F254),Preisindex,4,FALSE),2),IF(AND($E254&lt;&gt;0,$F254&gt;0,YEAR($F254)&gt;=Preisindex!$A$6,YEAR(DL$4)&gt;=YEAR($F254),$K254="k"),ROUND(VLOOKUP(DQ$4,Preisindex,2,FALSE)/VLOOKUP(YEAR($F254),Preisindex,2,FALSE),2),0)))))</f>
        <v>0</v>
      </c>
      <c r="DR254" s="56">
        <f>IF(AND($E254&lt;&gt;0,$F254&gt;0,YEAR($F254)&lt;Preisindex!$A$6,YEAR(DL$4)&gt;=YEAR($F254),AND($K254&lt;&gt;"a",$K254&lt;&gt;"b",$K254&lt;&gt;"g",$K254&lt;&gt;"k")),1,IF(AND($E254&lt;&gt;0,$F254&gt;0,YEAR($F254)&lt;Preisindex!$A$6,YEAR(DL$4)&gt;=YEAR($F254),$K254="a"),ROUND(VLOOKUP(DQ$4,Preisindex,5,FALSE)/VLOOKUP(Preisindex!$A$6,Preisindex,5,FALSE),2),IF(AND($E254&lt;&gt;0,$F254&gt;0,YEAR($F254)&lt;Preisindex!$A$6,YEAR(DL$4)&gt;=YEAR($F254),$K254="b"),ROUND(VLOOKUP(DQ$4,Preisindex,3,FALSE)/VLOOKUP(Preisindex!$A$6,Preisindex,3,FALSE),2),IF(AND($E254&lt;&gt;0,$F254&gt;0,YEAR($F254)&lt;Preisindex!$A$6,YEAR(DL$4)&gt;=YEAR($F254),$K254="g"),ROUND(VLOOKUP(DQ$4,Preisindex,4,FALSE)/VLOOKUP(Preisindex!$A$6,Preisindex,4,FALSE),2),IF(AND($E254&lt;&gt;0,$F254&gt;0,YEAR($F254)&lt;Preisindex!$A$6,YEAR(DL$4)&gt;=YEAR($F254),$K254="k"),ROUND(VLOOKUP(DQ$4,Preisindex,2,FALSE)/VLOOKUP(Preisindex!$A$6,Preisindex,2,FALSE),2),0)))))</f>
        <v>0</v>
      </c>
      <c r="DS254" s="51">
        <f>IF(AND($E254&lt;&gt;0,$F254&gt;0,YEAR($F254)&lt;=DQ$4,YEAR($F254)&gt;=Preisindex!$A$6),ROUND($E254*DQ254,2),IF(AND($E254&lt;&gt;0,$F254&gt;0,YEAR($F254)&lt;=DQ$4,YEAR($F254)&lt;Preisindex!$A$6),ROUND($E254*DR254,2),0))</f>
        <v>0</v>
      </c>
      <c r="DT254" s="53">
        <f t="shared" si="664"/>
        <v>0</v>
      </c>
      <c r="DU254" s="51">
        <f t="shared" si="753"/>
        <v>0</v>
      </c>
      <c r="DV254" s="51">
        <f t="shared" si="735"/>
        <v>0</v>
      </c>
      <c r="DW254" s="51">
        <f t="shared" si="665"/>
        <v>0</v>
      </c>
      <c r="DX254" s="51">
        <f t="shared" si="736"/>
        <v>0</v>
      </c>
      <c r="DY254" s="51">
        <f t="shared" si="666"/>
        <v>0</v>
      </c>
      <c r="DZ254" s="51">
        <f t="shared" si="737"/>
        <v>0</v>
      </c>
      <c r="EA254" s="51">
        <f t="shared" si="667"/>
        <v>0</v>
      </c>
      <c r="EB254" s="51">
        <f t="shared" si="738"/>
        <v>0</v>
      </c>
      <c r="EC254" s="51">
        <f t="shared" si="668"/>
        <v>0</v>
      </c>
      <c r="ED254" s="51">
        <f t="shared" si="739"/>
        <v>0</v>
      </c>
      <c r="EE254" s="51">
        <f t="shared" si="669"/>
        <v>0</v>
      </c>
      <c r="EF254" s="54">
        <f t="shared" si="670"/>
        <v>0</v>
      </c>
      <c r="EG254" s="55">
        <f t="shared" si="671"/>
        <v>0</v>
      </c>
      <c r="EH254" s="56">
        <f>IF(AND($E254&lt;&gt;0,$F254&gt;0,YEAR($F254)&gt;=Preisindex!$A$6,YEAR(EC$4)&gt;=YEAR($F254),AND($K254&lt;&gt;"a",$K254&lt;&gt;"b",$K254&lt;&gt;"g",$K254&lt;&gt;"k")),1,IF(AND($E254&lt;&gt;0,$F254&gt;0,YEAR($F254)&gt;=Preisindex!$A$6,YEAR(EC$4)&gt;=YEAR($F254),$K254="a"),ROUND(VLOOKUP(EH$4,Preisindex,5,FALSE)/VLOOKUP(YEAR($F254),Preisindex,5,FALSE),2),IF(AND($E254&lt;&gt;0,$F254&gt;0,YEAR($F254)&gt;=Preisindex!$A$6,YEAR(EC$4)&gt;=YEAR($F254),$K254="b"),ROUND(VLOOKUP(EH$4,Preisindex,3,FALSE)/VLOOKUP(YEAR($F254),Preisindex,3,FALSE),2),IF(AND($E254&lt;&gt;0,$F254&gt;0,YEAR($F254)&gt;=Preisindex!$A$6,YEAR(EC$4)&gt;=YEAR($F254),$K254="g"),ROUND(VLOOKUP(EH$4,Preisindex,4,FALSE)/VLOOKUP(YEAR($F254),Preisindex,4,FALSE),2),IF(AND($E254&lt;&gt;0,$F254&gt;0,YEAR($F254)&gt;=Preisindex!$A$6,YEAR(EC$4)&gt;=YEAR($F254),$K254="k"),ROUND(VLOOKUP(EH$4,Preisindex,2,FALSE)/VLOOKUP(YEAR($F254),Preisindex,2,FALSE),2),0)))))</f>
        <v>0</v>
      </c>
      <c r="EI254" s="56">
        <f>IF(AND($E254&lt;&gt;0,$F254&gt;0,YEAR($F254)&lt;Preisindex!$A$6,YEAR(EC$4)&gt;=YEAR($F254),AND($K254&lt;&gt;"a",$K254&lt;&gt;"b",$K254&lt;&gt;"g",$K254&lt;&gt;"k")),1,IF(AND($E254&lt;&gt;0,$F254&gt;0,YEAR($F254)&lt;Preisindex!$A$6,YEAR(EC$4)&gt;=YEAR($F254),$K254="a"),ROUND(VLOOKUP(EH$4,Preisindex,5,FALSE)/VLOOKUP(Preisindex!$A$6,Preisindex,5,FALSE),2),IF(AND($E254&lt;&gt;0,$F254&gt;0,YEAR($F254)&lt;Preisindex!$A$6,YEAR(EC$4)&gt;=YEAR($F254),$K254="b"),ROUND(VLOOKUP(EH$4,Preisindex,3,FALSE)/VLOOKUP(Preisindex!$A$6,Preisindex,3,FALSE),2),IF(AND($E254&lt;&gt;0,$F254&gt;0,YEAR($F254)&lt;Preisindex!$A$6,YEAR(EC$4)&gt;=YEAR($F254),$K254="g"),ROUND(VLOOKUP(EH$4,Preisindex,4,FALSE)/VLOOKUP(Preisindex!$A$6,Preisindex,4,FALSE),2),IF(AND($E254&lt;&gt;0,$F254&gt;0,YEAR($F254)&lt;Preisindex!$A$6,YEAR(EC$4)&gt;=YEAR($F254),$K254="k"),ROUND(VLOOKUP(EH$4,Preisindex,2,FALSE)/VLOOKUP(Preisindex!$A$6,Preisindex,2,FALSE),2),0)))))</f>
        <v>0</v>
      </c>
      <c r="EJ254" s="51">
        <f>IF(AND($E254&lt;&gt;0,$F254&gt;0,YEAR($F254)&lt;=EH$4,YEAR($F254)&gt;=Preisindex!$A$6),ROUND($E254*EH254,2),IF(AND($E254&lt;&gt;0,$F254&gt;0,YEAR($F254)&lt;=EH$4,YEAR($F254)&lt;Preisindex!$A$6),ROUND($E254*EI254,2),0))</f>
        <v>0</v>
      </c>
      <c r="EK254" s="53">
        <f t="shared" si="672"/>
        <v>0</v>
      </c>
      <c r="EL254" s="51">
        <f t="shared" si="753"/>
        <v>0</v>
      </c>
      <c r="EM254" s="51">
        <f t="shared" si="740"/>
        <v>0</v>
      </c>
      <c r="EN254" s="51">
        <f t="shared" si="673"/>
        <v>0</v>
      </c>
      <c r="EO254" s="51">
        <f t="shared" si="741"/>
        <v>0</v>
      </c>
      <c r="EP254" s="51">
        <f t="shared" si="674"/>
        <v>0</v>
      </c>
      <c r="EQ254" s="51">
        <f t="shared" si="742"/>
        <v>0</v>
      </c>
      <c r="ER254" s="51">
        <f t="shared" si="675"/>
        <v>0</v>
      </c>
      <c r="ES254" s="51">
        <f t="shared" si="743"/>
        <v>0</v>
      </c>
      <c r="ET254" s="51">
        <f t="shared" si="676"/>
        <v>0</v>
      </c>
      <c r="EU254" s="51">
        <f t="shared" si="744"/>
        <v>0</v>
      </c>
      <c r="EV254" s="51">
        <f t="shared" si="677"/>
        <v>0</v>
      </c>
      <c r="EW254" s="54">
        <f t="shared" si="678"/>
        <v>0</v>
      </c>
      <c r="EX254" s="55">
        <f t="shared" si="679"/>
        <v>0</v>
      </c>
      <c r="EY254" s="56">
        <f>IF(AND($E254&lt;&gt;0,$F254&gt;0,YEAR($F254)&gt;=Preisindex!$A$6,YEAR(ET$4)&gt;=YEAR($F254),AND($K254&lt;&gt;"a",$K254&lt;&gt;"b",$K254&lt;&gt;"g",$K254&lt;&gt;"k")),1,IF(AND($E254&lt;&gt;0,$F254&gt;0,YEAR($F254)&gt;=Preisindex!$A$6,YEAR(ET$4)&gt;=YEAR($F254),$K254="a"),ROUND(VLOOKUP(EY$4,Preisindex,5,FALSE)/VLOOKUP(YEAR($F254),Preisindex,5,FALSE),2),IF(AND($E254&lt;&gt;0,$F254&gt;0,YEAR($F254)&gt;=Preisindex!$A$6,YEAR(ET$4)&gt;=YEAR($F254),$K254="b"),ROUND(VLOOKUP(EY$4,Preisindex,3,FALSE)/VLOOKUP(YEAR($F254),Preisindex,3,FALSE),2),IF(AND($E254&lt;&gt;0,$F254&gt;0,YEAR($F254)&gt;=Preisindex!$A$6,YEAR(ET$4)&gt;=YEAR($F254),$K254="g"),ROUND(VLOOKUP(EY$4,Preisindex,4,FALSE)/VLOOKUP(YEAR($F254),Preisindex,4,FALSE),2),IF(AND($E254&lt;&gt;0,$F254&gt;0,YEAR($F254)&gt;=Preisindex!$A$6,YEAR(ET$4)&gt;=YEAR($F254),$K254="k"),ROUND(VLOOKUP(EY$4,Preisindex,2,FALSE)/VLOOKUP(YEAR($F254),Preisindex,2,FALSE),2),0)))))</f>
        <v>0</v>
      </c>
      <c r="EZ254" s="56">
        <f>IF(AND($E254&lt;&gt;0,$F254&gt;0,YEAR($F254)&lt;Preisindex!$A$6,YEAR(ET$4)&gt;=YEAR($F254),AND($K254&lt;&gt;"a",$K254&lt;&gt;"b",$K254&lt;&gt;"g",$K254&lt;&gt;"k")),1,IF(AND($E254&lt;&gt;0,$F254&gt;0,YEAR($F254)&lt;Preisindex!$A$6,YEAR(ET$4)&gt;=YEAR($F254),$K254="a"),ROUND(VLOOKUP(EY$4,Preisindex,5,FALSE)/VLOOKUP(Preisindex!$A$6,Preisindex,5,FALSE),2),IF(AND($E254&lt;&gt;0,$F254&gt;0,YEAR($F254)&lt;Preisindex!$A$6,YEAR(ET$4)&gt;=YEAR($F254),$K254="b"),ROUND(VLOOKUP(EY$4,Preisindex,3,FALSE)/VLOOKUP(Preisindex!$A$6,Preisindex,3,FALSE),2),IF(AND($E254&lt;&gt;0,$F254&gt;0,YEAR($F254)&lt;Preisindex!$A$6,YEAR(ET$4)&gt;=YEAR($F254),$K254="g"),ROUND(VLOOKUP(EY$4,Preisindex,4,FALSE)/VLOOKUP(Preisindex!$A$6,Preisindex,4,FALSE),2),IF(AND($E254&lt;&gt;0,$F254&gt;0,YEAR($F254)&lt;Preisindex!$A$6,YEAR(ET$4)&gt;=YEAR($F254),$K254="k"),ROUND(VLOOKUP(EY$4,Preisindex,2,FALSE)/VLOOKUP(Preisindex!$A$6,Preisindex,2,FALSE),2),0)))))</f>
        <v>0</v>
      </c>
      <c r="FA254" s="51">
        <f>IF(AND($E254&lt;&gt;0,$F254&gt;0,YEAR($F254)&lt;=EY$4,YEAR($F254)&gt;=Preisindex!$A$6),ROUND($E254*EY254,2),IF(AND($E254&lt;&gt;0,$F254&gt;0,YEAR($F254)&lt;=EY$4,YEAR($F254)&lt;Preisindex!$A$6),ROUND($E254*EZ254,2),0))</f>
        <v>0</v>
      </c>
      <c r="FB254" s="53">
        <f t="shared" si="680"/>
        <v>0</v>
      </c>
      <c r="FC254" s="51">
        <f t="shared" si="753"/>
        <v>0</v>
      </c>
      <c r="FD254" s="51">
        <f t="shared" si="745"/>
        <v>0</v>
      </c>
      <c r="FE254" s="51">
        <f t="shared" si="681"/>
        <v>0</v>
      </c>
      <c r="FF254" s="51">
        <f t="shared" si="746"/>
        <v>0</v>
      </c>
      <c r="FG254" s="51">
        <f t="shared" si="682"/>
        <v>0</v>
      </c>
      <c r="FH254" s="51">
        <f t="shared" si="747"/>
        <v>0</v>
      </c>
      <c r="FI254" s="51">
        <f t="shared" si="683"/>
        <v>0</v>
      </c>
      <c r="FJ254" s="51">
        <f t="shared" si="748"/>
        <v>0</v>
      </c>
      <c r="FK254" s="51">
        <f t="shared" si="684"/>
        <v>0</v>
      </c>
      <c r="FL254" s="51">
        <f t="shared" si="749"/>
        <v>0</v>
      </c>
      <c r="FM254" s="51">
        <f t="shared" si="685"/>
        <v>0</v>
      </c>
      <c r="FN254" s="54">
        <f t="shared" si="686"/>
        <v>0</v>
      </c>
      <c r="FO254" s="55">
        <f t="shared" si="687"/>
        <v>0</v>
      </c>
      <c r="FP254" s="56">
        <f>IF(AND($E254&lt;&gt;0,$F254&gt;0,YEAR($F254)&gt;=Preisindex!$A$6,YEAR(FK$4)&gt;=YEAR($F254),AND($K254&lt;&gt;"a",$K254&lt;&gt;"b",$K254&lt;&gt;"g",$K254&lt;&gt;"k")),1,IF(AND($E254&lt;&gt;0,$F254&gt;0,YEAR($F254)&gt;=Preisindex!$A$6,YEAR(FK$4)&gt;=YEAR($F254),$K254="a"),ROUND(VLOOKUP(FP$4,Preisindex,5,FALSE)/VLOOKUP(YEAR($F254),Preisindex,5,FALSE),2),IF(AND($E254&lt;&gt;0,$F254&gt;0,YEAR($F254)&gt;=Preisindex!$A$6,YEAR(FK$4)&gt;=YEAR($F254),$K254="b"),ROUND(VLOOKUP(FP$4,Preisindex,3,FALSE)/VLOOKUP(YEAR($F254),Preisindex,3,FALSE),2),IF(AND($E254&lt;&gt;0,$F254&gt;0,YEAR($F254)&gt;=Preisindex!$A$6,YEAR(FK$4)&gt;=YEAR($F254),$K254="g"),ROUND(VLOOKUP(FP$4,Preisindex,4,FALSE)/VLOOKUP(YEAR($F254),Preisindex,4,FALSE),2),IF(AND($E254&lt;&gt;0,$F254&gt;0,YEAR($F254)&gt;=Preisindex!$A$6,YEAR(FK$4)&gt;=YEAR($F254),$K254="k"),ROUND(VLOOKUP(FP$4,Preisindex,2,FALSE)/VLOOKUP(YEAR($F254),Preisindex,2,FALSE),2),0)))))</f>
        <v>0</v>
      </c>
      <c r="FQ254" s="56">
        <f>IF(AND($E254&lt;&gt;0,$F254&gt;0,YEAR($F254)&lt;Preisindex!$A$6,YEAR(FK$4)&gt;=YEAR($F254),AND($K254&lt;&gt;"a",$K254&lt;&gt;"b",$K254&lt;&gt;"g",$K254&lt;&gt;"k")),1,IF(AND($E254&lt;&gt;0,$F254&gt;0,YEAR($F254)&lt;Preisindex!$A$6,YEAR(FK$4)&gt;=YEAR($F254),$K254="a"),ROUND(VLOOKUP(FP$4,Preisindex,5,FALSE)/VLOOKUP(Preisindex!$A$6,Preisindex,5,FALSE),2),IF(AND($E254&lt;&gt;0,$F254&gt;0,YEAR($F254)&lt;Preisindex!$A$6,YEAR(FK$4)&gt;=YEAR($F254),$K254="b"),ROUND(VLOOKUP(FP$4,Preisindex,3,FALSE)/VLOOKUP(Preisindex!$A$6,Preisindex,3,FALSE),2),IF(AND($E254&lt;&gt;0,$F254&gt;0,YEAR($F254)&lt;Preisindex!$A$6,YEAR(FK$4)&gt;=YEAR($F254),$K254="g"),ROUND(VLOOKUP(FP$4,Preisindex,4,FALSE)/VLOOKUP(Preisindex!$A$6,Preisindex,4,FALSE),2),IF(AND($E254&lt;&gt;0,$F254&gt;0,YEAR($F254)&lt;Preisindex!$A$6,YEAR(FK$4)&gt;=YEAR($F254),$K254="k"),ROUND(VLOOKUP(FP$4,Preisindex,2,FALSE)/VLOOKUP(Preisindex!$A$6,Preisindex,2,FALSE),2),0)))))</f>
        <v>0</v>
      </c>
      <c r="FR254" s="51">
        <f>IF(AND($E254&lt;&gt;0,$F254&gt;0,YEAR($F254)&lt;=FP$4,YEAR($F254)&gt;=Preisindex!$A$6),ROUND($E254*FP254,2),IF(AND($E254&lt;&gt;0,$F254&gt;0,YEAR($F254)&lt;=FP$4,YEAR($F254)&lt;Preisindex!$A$6),ROUND($E254*FQ254,2),0))</f>
        <v>0</v>
      </c>
      <c r="FS254" s="53">
        <f t="shared" si="688"/>
        <v>0</v>
      </c>
    </row>
    <row r="255" spans="1:175" x14ac:dyDescent="0.3">
      <c r="A255" s="93"/>
      <c r="B255" s="94"/>
      <c r="C255" s="94"/>
      <c r="D255" s="188"/>
      <c r="E255" s="624"/>
      <c r="F255" s="190"/>
      <c r="G255" s="625"/>
      <c r="H255" s="620"/>
      <c r="I255" s="621"/>
      <c r="J255" s="103"/>
      <c r="K255" s="630"/>
      <c r="L255" s="49">
        <f t="shared" si="689"/>
        <v>0</v>
      </c>
      <c r="M255" s="50">
        <f t="shared" si="690"/>
        <v>0</v>
      </c>
      <c r="N255" s="51">
        <f t="shared" si="691"/>
        <v>0</v>
      </c>
      <c r="O255" s="51"/>
      <c r="P255" s="51">
        <f t="shared" si="692"/>
        <v>0</v>
      </c>
      <c r="Q255" s="52"/>
      <c r="R255" s="52"/>
      <c r="S255" s="52"/>
      <c r="T255" s="52"/>
      <c r="U255" s="52"/>
      <c r="V255" s="53">
        <f t="shared" si="693"/>
        <v>0</v>
      </c>
      <c r="W255" s="51">
        <f t="shared" si="694"/>
        <v>0</v>
      </c>
      <c r="X255" s="51">
        <f t="shared" si="695"/>
        <v>0</v>
      </c>
      <c r="Y255" s="51">
        <f t="shared" si="696"/>
        <v>0</v>
      </c>
      <c r="Z255" s="51">
        <f t="shared" si="697"/>
        <v>0</v>
      </c>
      <c r="AA255" s="51">
        <f t="shared" si="698"/>
        <v>0</v>
      </c>
      <c r="AB255" s="51">
        <f t="shared" si="699"/>
        <v>0</v>
      </c>
      <c r="AC255" s="51">
        <f t="shared" si="700"/>
        <v>0</v>
      </c>
      <c r="AD255" s="51">
        <f t="shared" si="701"/>
        <v>0</v>
      </c>
      <c r="AE255" s="51">
        <f t="shared" si="702"/>
        <v>0</v>
      </c>
      <c r="AF255" s="51">
        <f t="shared" si="703"/>
        <v>0</v>
      </c>
      <c r="AG255" s="51">
        <f t="shared" si="704"/>
        <v>0</v>
      </c>
      <c r="AH255" s="54">
        <f t="shared" si="705"/>
        <v>0</v>
      </c>
      <c r="AI255" s="55">
        <f t="shared" si="706"/>
        <v>0</v>
      </c>
      <c r="AJ255" s="56">
        <f>IF(AND($E255&lt;&gt;0,$F255&gt;0,YEAR($F255)&gt;=Preisindex!$A$6,YEAR(AE$4)&gt;=YEAR($F255),AND($K255&lt;&gt;"a",$K255&lt;&gt;"b",$K255&lt;&gt;"g",$K255&lt;&gt;"k")),1,IF(AND($E255&lt;&gt;0,$F255&gt;0,YEAR($F255)&gt;=Preisindex!$A$6,YEAR(AE$4)&gt;=YEAR($F255),$K255="a"),ROUND(VLOOKUP(AJ$4,Preisindex,5,FALSE)/VLOOKUP(YEAR($F255),Preisindex,5,FALSE),2),IF(AND($E255&lt;&gt;0,$F255&gt;0,YEAR($F255)&gt;=Preisindex!$A$6,YEAR(AE$4)&gt;=YEAR($F255),$K255="b"),ROUND(VLOOKUP(AJ$4,Preisindex,3,FALSE)/VLOOKUP(YEAR($F255),Preisindex,3,FALSE),2),IF(AND($E255&lt;&gt;0,$F255&gt;0,YEAR($F255)&gt;=Preisindex!$A$6,YEAR(AE$4)&gt;=YEAR($F255),$K255="g"),ROUND(VLOOKUP(AJ$4,Preisindex,4,FALSE)/VLOOKUP(YEAR($F255),Preisindex,4,FALSE),2),IF(AND($E255&lt;&gt;0,$F255&gt;0,YEAR($F255)&gt;=Preisindex!$A$6,YEAR(AE$4)&gt;=YEAR($F255),$K255="k"),ROUND(VLOOKUP(AJ$4,Preisindex,2,FALSE)/VLOOKUP(YEAR($F255),Preisindex,2,FALSE),2),0)))))</f>
        <v>0</v>
      </c>
      <c r="AK255" s="56">
        <f>IF(AND($E255&lt;&gt;0,$F255&gt;0,YEAR($F255)&lt;Preisindex!$A$6,YEAR(AE$4)&gt;=YEAR($F255),AND($K255&lt;&gt;"a",$K255&lt;&gt;"b",$K255&lt;&gt;"g",$K255&lt;&gt;"k")),1,IF(AND($E255&lt;&gt;0,$F255&gt;0,YEAR($F255)&lt;Preisindex!$A$6,YEAR(AE$4)&gt;=YEAR($F255),$K255="a"),ROUND(VLOOKUP(AJ$4,Preisindex,5,FALSE)/VLOOKUP(Preisindex!$A$6,Preisindex,5,FALSE),2),IF(AND($E255&lt;&gt;0,$F255&gt;0,YEAR($F255)&lt;Preisindex!$A$6,YEAR(AE$4)&gt;=YEAR($F255),$K255="b"),ROUND(VLOOKUP(AJ$4,Preisindex,3,FALSE)/VLOOKUP(Preisindex!$A$6,Preisindex,3,FALSE),2),IF(AND($E255&lt;&gt;0,$F255&gt;0,YEAR($F255)&lt;Preisindex!$A$6,YEAR(AE$4)&gt;=YEAR($F255),$K255="g"),ROUND(VLOOKUP(AJ$4,Preisindex,4,FALSE)/VLOOKUP(Preisindex!$A$6,Preisindex,4,FALSE),2),IF(AND($E255&lt;&gt;0,$F255&gt;0,YEAR($F255)&lt;Preisindex!$A$6,YEAR(AE$4)&gt;=YEAR($F255),$K255="k"),ROUND(VLOOKUP(AJ$4,Preisindex,2,FALSE)/VLOOKUP(Preisindex!$A$6,Preisindex,2,FALSE),2),0)))))</f>
        <v>0</v>
      </c>
      <c r="AL255" s="51">
        <f>IF(AND($E255&lt;&gt;0,$F255&gt;0,YEAR($F255)&lt;=AJ$4,YEAR($F255)&gt;=Preisindex!$A$6),ROUND($E255*AJ255,2),IF(AND($E255&lt;&gt;0,$F255&gt;0,YEAR($F255)&lt;=AJ$4,YEAR($F255)&lt;Preisindex!$A$6),ROUND($E255*AK255,2),0))</f>
        <v>0</v>
      </c>
      <c r="AM255" s="53">
        <f t="shared" si="707"/>
        <v>0</v>
      </c>
      <c r="AN255" s="51">
        <f t="shared" si="752"/>
        <v>0</v>
      </c>
      <c r="AO255" s="51">
        <f t="shared" si="710"/>
        <v>0</v>
      </c>
      <c r="AP255" s="51">
        <f t="shared" si="624"/>
        <v>0</v>
      </c>
      <c r="AQ255" s="51">
        <f t="shared" si="711"/>
        <v>0</v>
      </c>
      <c r="AR255" s="51">
        <f t="shared" si="625"/>
        <v>0</v>
      </c>
      <c r="AS255" s="51">
        <f t="shared" si="712"/>
        <v>0</v>
      </c>
      <c r="AT255" s="51">
        <f t="shared" si="626"/>
        <v>0</v>
      </c>
      <c r="AU255" s="51">
        <f t="shared" si="713"/>
        <v>0</v>
      </c>
      <c r="AV255" s="51">
        <f t="shared" si="627"/>
        <v>0</v>
      </c>
      <c r="AW255" s="51">
        <f t="shared" si="714"/>
        <v>0</v>
      </c>
      <c r="AX255" s="51">
        <f t="shared" si="628"/>
        <v>0</v>
      </c>
      <c r="AY255" s="54">
        <f t="shared" si="629"/>
        <v>0</v>
      </c>
      <c r="AZ255" s="55">
        <f t="shared" si="630"/>
        <v>0</v>
      </c>
      <c r="BA255" s="56">
        <f>IF(AND($E255&lt;&gt;0,$F255&gt;0,YEAR($F255)&gt;=Preisindex!$A$6,YEAR(AV$4)&gt;=YEAR($F255),AND($K255&lt;&gt;"a",$K255&lt;&gt;"b",$K255&lt;&gt;"g",$K255&lt;&gt;"k")),1,IF(AND($E255&lt;&gt;0,$F255&gt;0,YEAR($F255)&gt;=Preisindex!$A$6,YEAR(AV$4)&gt;=YEAR($F255),$K255="a"),ROUND(VLOOKUP(BA$4,Preisindex,5,FALSE)/VLOOKUP(YEAR($F255),Preisindex,5,FALSE),2),IF(AND($E255&lt;&gt;0,$F255&gt;0,YEAR($F255)&gt;=Preisindex!$A$6,YEAR(AV$4)&gt;=YEAR($F255),$K255="b"),ROUND(VLOOKUP(BA$4,Preisindex,3,FALSE)/VLOOKUP(YEAR($F255),Preisindex,3,FALSE),2),IF(AND($E255&lt;&gt;0,$F255&gt;0,YEAR($F255)&gt;=Preisindex!$A$6,YEAR(AV$4)&gt;=YEAR($F255),$K255="g"),ROUND(VLOOKUP(BA$4,Preisindex,4,FALSE)/VLOOKUP(YEAR($F255),Preisindex,4,FALSE),2),IF(AND($E255&lt;&gt;0,$F255&gt;0,YEAR($F255)&gt;=Preisindex!$A$6,YEAR(AV$4)&gt;=YEAR($F255),$K255="k"),ROUND(VLOOKUP(BA$4,Preisindex,2,FALSE)/VLOOKUP(YEAR($F255),Preisindex,2,FALSE),2),0)))))</f>
        <v>0</v>
      </c>
      <c r="BB255" s="56">
        <f>IF(AND($E255&lt;&gt;0,$F255&gt;0,YEAR($F255)&lt;Preisindex!$A$6,YEAR(AV$4)&gt;=YEAR($F255),AND($K255&lt;&gt;"a",$K255&lt;&gt;"b",$K255&lt;&gt;"g",$K255&lt;&gt;"k")),1,IF(AND($E255&lt;&gt;0,$F255&gt;0,YEAR($F255)&lt;Preisindex!$A$6,YEAR(AV$4)&gt;=YEAR($F255),$K255="a"),ROUND(VLOOKUP(BA$4,Preisindex,5,FALSE)/VLOOKUP(Preisindex!$A$6,Preisindex,5,FALSE),2),IF(AND($E255&lt;&gt;0,$F255&gt;0,YEAR($F255)&lt;Preisindex!$A$6,YEAR(AV$4)&gt;=YEAR($F255),$K255="b"),ROUND(VLOOKUP(BA$4,Preisindex,3,FALSE)/VLOOKUP(Preisindex!$A$6,Preisindex,3,FALSE),2),IF(AND($E255&lt;&gt;0,$F255&gt;0,YEAR($F255)&lt;Preisindex!$A$6,YEAR(AV$4)&gt;=YEAR($F255),$K255="g"),ROUND(VLOOKUP(BA$4,Preisindex,4,FALSE)/VLOOKUP(Preisindex!$A$6,Preisindex,4,FALSE),2),IF(AND($E255&lt;&gt;0,$F255&gt;0,YEAR($F255)&lt;Preisindex!$A$6,YEAR(AV$4)&gt;=YEAR($F255),$K255="k"),ROUND(VLOOKUP(BA$4,Preisindex,2,FALSE)/VLOOKUP(Preisindex!$A$6,Preisindex,2,FALSE),2),0)))))</f>
        <v>0</v>
      </c>
      <c r="BC255" s="51">
        <f>IF(AND($E255&lt;&gt;0,$F255&gt;0,YEAR($F255)&lt;=BA$4,YEAR($F255)&gt;=Preisindex!$A$6),ROUND($E255*BA255,2),IF(AND($E255&lt;&gt;0,$F255&gt;0,YEAR($F255)&lt;=BA$4,YEAR($F255)&lt;Preisindex!$A$6),ROUND($E255*BB255,2),0))</f>
        <v>0</v>
      </c>
      <c r="BD255" s="53">
        <f t="shared" si="631"/>
        <v>0</v>
      </c>
      <c r="BE255" s="51">
        <f t="shared" si="752"/>
        <v>0</v>
      </c>
      <c r="BF255" s="51">
        <f t="shared" si="715"/>
        <v>0</v>
      </c>
      <c r="BG255" s="51">
        <f t="shared" si="632"/>
        <v>0</v>
      </c>
      <c r="BH255" s="51">
        <f t="shared" si="716"/>
        <v>0</v>
      </c>
      <c r="BI255" s="51">
        <f t="shared" si="633"/>
        <v>0</v>
      </c>
      <c r="BJ255" s="51">
        <f t="shared" si="717"/>
        <v>0</v>
      </c>
      <c r="BK255" s="51">
        <f t="shared" si="634"/>
        <v>0</v>
      </c>
      <c r="BL255" s="51">
        <f t="shared" si="718"/>
        <v>0</v>
      </c>
      <c r="BM255" s="51">
        <f t="shared" si="635"/>
        <v>0</v>
      </c>
      <c r="BN255" s="51">
        <f t="shared" si="719"/>
        <v>0</v>
      </c>
      <c r="BO255" s="51">
        <f t="shared" si="636"/>
        <v>0</v>
      </c>
      <c r="BP255" s="54">
        <f t="shared" si="637"/>
        <v>0</v>
      </c>
      <c r="BQ255" s="55">
        <f t="shared" si="638"/>
        <v>0</v>
      </c>
      <c r="BR255" s="56">
        <f>IF(AND($E255&lt;&gt;0,$F255&gt;0,YEAR($F255)&gt;=Preisindex!$A$6,YEAR(BM$4)&gt;=YEAR($F255),AND($K255&lt;&gt;"a",$K255&lt;&gt;"b",$K255&lt;&gt;"g",$K255&lt;&gt;"k")),1,IF(AND($E255&lt;&gt;0,$F255&gt;0,YEAR($F255)&gt;=Preisindex!$A$6,YEAR(BM$4)&gt;=YEAR($F255),$K255="a"),ROUND(VLOOKUP(BR$4,Preisindex,5,FALSE)/VLOOKUP(YEAR($F255),Preisindex,5,FALSE),2),IF(AND($E255&lt;&gt;0,$F255&gt;0,YEAR($F255)&gt;=Preisindex!$A$6,YEAR(BM$4)&gt;=YEAR($F255),$K255="b"),ROUND(VLOOKUP(BR$4,Preisindex,3,FALSE)/VLOOKUP(YEAR($F255),Preisindex,3,FALSE),2),IF(AND($E255&lt;&gt;0,$F255&gt;0,YEAR($F255)&gt;=Preisindex!$A$6,YEAR(BM$4)&gt;=YEAR($F255),$K255="g"),ROUND(VLOOKUP(BR$4,Preisindex,4,FALSE)/VLOOKUP(YEAR($F255),Preisindex,4,FALSE),2),IF(AND($E255&lt;&gt;0,$F255&gt;0,YEAR($F255)&gt;=Preisindex!$A$6,YEAR(BM$4)&gt;=YEAR($F255),$K255="k"),ROUND(VLOOKUP(BR$4,Preisindex,2,FALSE)/VLOOKUP(YEAR($F255),Preisindex,2,FALSE),2),0)))))</f>
        <v>0</v>
      </c>
      <c r="BS255" s="56">
        <f>IF(AND($E255&lt;&gt;0,$F255&gt;0,YEAR($F255)&lt;Preisindex!$A$6,YEAR(BM$4)&gt;=YEAR($F255),AND($K255&lt;&gt;"a",$K255&lt;&gt;"b",$K255&lt;&gt;"g",$K255&lt;&gt;"k")),1,IF(AND($E255&lt;&gt;0,$F255&gt;0,YEAR($F255)&lt;Preisindex!$A$6,YEAR(BM$4)&gt;=YEAR($F255),$K255="a"),ROUND(VLOOKUP(BR$4,Preisindex,5,FALSE)/VLOOKUP(Preisindex!$A$6,Preisindex,5,FALSE),2),IF(AND($E255&lt;&gt;0,$F255&gt;0,YEAR($F255)&lt;Preisindex!$A$6,YEAR(BM$4)&gt;=YEAR($F255),$K255="b"),ROUND(VLOOKUP(BR$4,Preisindex,3,FALSE)/VLOOKUP(Preisindex!$A$6,Preisindex,3,FALSE),2),IF(AND($E255&lt;&gt;0,$F255&gt;0,YEAR($F255)&lt;Preisindex!$A$6,YEAR(BM$4)&gt;=YEAR($F255),$K255="g"),ROUND(VLOOKUP(BR$4,Preisindex,4,FALSE)/VLOOKUP(Preisindex!$A$6,Preisindex,4,FALSE),2),IF(AND($E255&lt;&gt;0,$F255&gt;0,YEAR($F255)&lt;Preisindex!$A$6,YEAR(BM$4)&gt;=YEAR($F255),$K255="k"),ROUND(VLOOKUP(BR$4,Preisindex,2,FALSE)/VLOOKUP(Preisindex!$A$6,Preisindex,2,FALSE),2),0)))))</f>
        <v>0</v>
      </c>
      <c r="BT255" s="51">
        <f>IF(AND($E255&lt;&gt;0,$F255&gt;0,YEAR($F255)&lt;=BR$4,YEAR($F255)&gt;=Preisindex!$A$6),ROUND($E255*BR255,2),IF(AND($E255&lt;&gt;0,$F255&gt;0,YEAR($F255)&lt;=BR$4,YEAR($F255)&lt;Preisindex!$A$6),ROUND($E255*BS255,2),0))</f>
        <v>0</v>
      </c>
      <c r="BU255" s="53">
        <f t="shared" si="639"/>
        <v>0</v>
      </c>
      <c r="BV255" s="51">
        <f t="shared" si="752"/>
        <v>0</v>
      </c>
      <c r="BW255" s="51">
        <f t="shared" si="720"/>
        <v>0</v>
      </c>
      <c r="BX255" s="51">
        <f t="shared" si="640"/>
        <v>0</v>
      </c>
      <c r="BY255" s="51">
        <f t="shared" si="721"/>
        <v>0</v>
      </c>
      <c r="BZ255" s="51">
        <f t="shared" si="641"/>
        <v>0</v>
      </c>
      <c r="CA255" s="51">
        <f t="shared" si="722"/>
        <v>0</v>
      </c>
      <c r="CB255" s="51">
        <f t="shared" si="642"/>
        <v>0</v>
      </c>
      <c r="CC255" s="51">
        <f t="shared" si="723"/>
        <v>0</v>
      </c>
      <c r="CD255" s="51">
        <f t="shared" si="643"/>
        <v>0</v>
      </c>
      <c r="CE255" s="51">
        <f t="shared" si="724"/>
        <v>0</v>
      </c>
      <c r="CF255" s="51">
        <f t="shared" si="644"/>
        <v>0</v>
      </c>
      <c r="CG255" s="54">
        <f t="shared" si="645"/>
        <v>0</v>
      </c>
      <c r="CH255" s="55">
        <f t="shared" si="646"/>
        <v>0</v>
      </c>
      <c r="CI255" s="56">
        <f>IF(AND($E255&lt;&gt;0,$F255&gt;0,YEAR($F255)&gt;=Preisindex!$A$6,YEAR(CD$4)&gt;=YEAR($F255),AND($K255&lt;&gt;"a",$K255&lt;&gt;"b",$K255&lt;&gt;"g",$K255&lt;&gt;"k")),1,IF(AND($E255&lt;&gt;0,$F255&gt;0,YEAR($F255)&gt;=Preisindex!$A$6,YEAR(CD$4)&gt;=YEAR($F255),$K255="a"),ROUND(VLOOKUP(CI$4,Preisindex,5,FALSE)/VLOOKUP(YEAR($F255),Preisindex,5,FALSE),2),IF(AND($E255&lt;&gt;0,$F255&gt;0,YEAR($F255)&gt;=Preisindex!$A$6,YEAR(CD$4)&gt;=YEAR($F255),$K255="b"),ROUND(VLOOKUP(CI$4,Preisindex,3,FALSE)/VLOOKUP(YEAR($F255),Preisindex,3,FALSE),2),IF(AND($E255&lt;&gt;0,$F255&gt;0,YEAR($F255)&gt;=Preisindex!$A$6,YEAR(CD$4)&gt;=YEAR($F255),$K255="g"),ROUND(VLOOKUP(CI$4,Preisindex,4,FALSE)/VLOOKUP(YEAR($F255),Preisindex,4,FALSE),2),IF(AND($E255&lt;&gt;0,$F255&gt;0,YEAR($F255)&gt;=Preisindex!$A$6,YEAR(CD$4)&gt;=YEAR($F255),$K255="k"),ROUND(VLOOKUP(CI$4,Preisindex,2,FALSE)/VLOOKUP(YEAR($F255),Preisindex,2,FALSE),2),0)))))</f>
        <v>0</v>
      </c>
      <c r="CJ255" s="56">
        <f>IF(AND($E255&lt;&gt;0,$F255&gt;0,YEAR($F255)&lt;Preisindex!$A$6,YEAR(CD$4)&gt;=YEAR($F255),AND($K255&lt;&gt;"a",$K255&lt;&gt;"b",$K255&lt;&gt;"g",$K255&lt;&gt;"k")),1,IF(AND($E255&lt;&gt;0,$F255&gt;0,YEAR($F255)&lt;Preisindex!$A$6,YEAR(CD$4)&gt;=YEAR($F255),$K255="a"),ROUND(VLOOKUP(CI$4,Preisindex,5,FALSE)/VLOOKUP(Preisindex!$A$6,Preisindex,5,FALSE),2),IF(AND($E255&lt;&gt;0,$F255&gt;0,YEAR($F255)&lt;Preisindex!$A$6,YEAR(CD$4)&gt;=YEAR($F255),$K255="b"),ROUND(VLOOKUP(CI$4,Preisindex,3,FALSE)/VLOOKUP(Preisindex!$A$6,Preisindex,3,FALSE),2),IF(AND($E255&lt;&gt;0,$F255&gt;0,YEAR($F255)&lt;Preisindex!$A$6,YEAR(CD$4)&gt;=YEAR($F255),$K255="g"),ROUND(VLOOKUP(CI$4,Preisindex,4,FALSE)/VLOOKUP(Preisindex!$A$6,Preisindex,4,FALSE),2),IF(AND($E255&lt;&gt;0,$F255&gt;0,YEAR($F255)&lt;Preisindex!$A$6,YEAR(CD$4)&gt;=YEAR($F255),$K255="k"),ROUND(VLOOKUP(CI$4,Preisindex,2,FALSE)/VLOOKUP(Preisindex!$A$6,Preisindex,2,FALSE),2),0)))))</f>
        <v>0</v>
      </c>
      <c r="CK255" s="51">
        <f>IF(AND($E255&lt;&gt;0,$F255&gt;0,YEAR($F255)&lt;=CI$4,YEAR($F255)&gt;=Preisindex!$A$6),ROUND($E255*CI255,2),IF(AND($E255&lt;&gt;0,$F255&gt;0,YEAR($F255)&lt;=CI$4,YEAR($F255)&lt;Preisindex!$A$6),ROUND($E255*CJ255,2),0))</f>
        <v>0</v>
      </c>
      <c r="CL255" s="53">
        <f t="shared" si="647"/>
        <v>0</v>
      </c>
      <c r="CM255" s="51">
        <f t="shared" si="752"/>
        <v>0</v>
      </c>
      <c r="CN255" s="51">
        <f t="shared" si="725"/>
        <v>0</v>
      </c>
      <c r="CO255" s="51">
        <f t="shared" si="648"/>
        <v>0</v>
      </c>
      <c r="CP255" s="51">
        <f t="shared" si="726"/>
        <v>0</v>
      </c>
      <c r="CQ255" s="51">
        <f t="shared" si="649"/>
        <v>0</v>
      </c>
      <c r="CR255" s="51">
        <f t="shared" si="727"/>
        <v>0</v>
      </c>
      <c r="CS255" s="51">
        <f t="shared" si="650"/>
        <v>0</v>
      </c>
      <c r="CT255" s="51">
        <f t="shared" si="728"/>
        <v>0</v>
      </c>
      <c r="CU255" s="51">
        <f t="shared" si="651"/>
        <v>0</v>
      </c>
      <c r="CV255" s="51">
        <f t="shared" si="729"/>
        <v>0</v>
      </c>
      <c r="CW255" s="51">
        <f t="shared" si="652"/>
        <v>0</v>
      </c>
      <c r="CX255" s="54">
        <f t="shared" si="653"/>
        <v>0</v>
      </c>
      <c r="CY255" s="55">
        <f t="shared" si="654"/>
        <v>0</v>
      </c>
      <c r="CZ255" s="56">
        <f>IF(AND($E255&lt;&gt;0,$F255&gt;0,YEAR($F255)&gt;=Preisindex!$A$6,YEAR(CU$4)&gt;=YEAR($F255),AND($K255&lt;&gt;"a",$K255&lt;&gt;"b",$K255&lt;&gt;"g",$K255&lt;&gt;"k")),1,IF(AND($E255&lt;&gt;0,$F255&gt;0,YEAR($F255)&gt;=Preisindex!$A$6,YEAR(CU$4)&gt;=YEAR($F255),$K255="a"),ROUND(VLOOKUP(CZ$4,Preisindex,5,FALSE)/VLOOKUP(YEAR($F255),Preisindex,5,FALSE),2),IF(AND($E255&lt;&gt;0,$F255&gt;0,YEAR($F255)&gt;=Preisindex!$A$6,YEAR(CU$4)&gt;=YEAR($F255),$K255="b"),ROUND(VLOOKUP(CZ$4,Preisindex,3,FALSE)/VLOOKUP(YEAR($F255),Preisindex,3,FALSE),2),IF(AND($E255&lt;&gt;0,$F255&gt;0,YEAR($F255)&gt;=Preisindex!$A$6,YEAR(CU$4)&gt;=YEAR($F255),$K255="g"),ROUND(VLOOKUP(CZ$4,Preisindex,4,FALSE)/VLOOKUP(YEAR($F255),Preisindex,4,FALSE),2),IF(AND($E255&lt;&gt;0,$F255&gt;0,YEAR($F255)&gt;=Preisindex!$A$6,YEAR(CU$4)&gt;=YEAR($F255),$K255="k"),ROUND(VLOOKUP(CZ$4,Preisindex,2,FALSE)/VLOOKUP(YEAR($F255),Preisindex,2,FALSE),2),0)))))</f>
        <v>0</v>
      </c>
      <c r="DA255" s="56">
        <f>IF(AND($E255&lt;&gt;0,$F255&gt;0,YEAR($F255)&lt;Preisindex!$A$6,YEAR(CU$4)&gt;=YEAR($F255),AND($K255&lt;&gt;"a",$K255&lt;&gt;"b",$K255&lt;&gt;"g",$K255&lt;&gt;"k")),1,IF(AND($E255&lt;&gt;0,$F255&gt;0,YEAR($F255)&lt;Preisindex!$A$6,YEAR(CU$4)&gt;=YEAR($F255),$K255="a"),ROUND(VLOOKUP(CZ$4,Preisindex,5,FALSE)/VLOOKUP(Preisindex!$A$6,Preisindex,5,FALSE),2),IF(AND($E255&lt;&gt;0,$F255&gt;0,YEAR($F255)&lt;Preisindex!$A$6,YEAR(CU$4)&gt;=YEAR($F255),$K255="b"),ROUND(VLOOKUP(CZ$4,Preisindex,3,FALSE)/VLOOKUP(Preisindex!$A$6,Preisindex,3,FALSE),2),IF(AND($E255&lt;&gt;0,$F255&gt;0,YEAR($F255)&lt;Preisindex!$A$6,YEAR(CU$4)&gt;=YEAR($F255),$K255="g"),ROUND(VLOOKUP(CZ$4,Preisindex,4,FALSE)/VLOOKUP(Preisindex!$A$6,Preisindex,4,FALSE),2),IF(AND($E255&lt;&gt;0,$F255&gt;0,YEAR($F255)&lt;Preisindex!$A$6,YEAR(CU$4)&gt;=YEAR($F255),$K255="k"),ROUND(VLOOKUP(CZ$4,Preisindex,2,FALSE)/VLOOKUP(Preisindex!$A$6,Preisindex,2,FALSE),2),0)))))</f>
        <v>0</v>
      </c>
      <c r="DB255" s="51">
        <f>IF(AND($E255&lt;&gt;0,$F255&gt;0,YEAR($F255)&lt;=CZ$4,YEAR($F255)&gt;=Preisindex!$A$6),ROUND($E255*CZ255,2),IF(AND($E255&lt;&gt;0,$F255&gt;0,YEAR($F255)&lt;=CZ$4,YEAR($F255)&lt;Preisindex!$A$6),ROUND($E255*DA255,2),0))</f>
        <v>0</v>
      </c>
      <c r="DC255" s="53">
        <f t="shared" si="655"/>
        <v>0</v>
      </c>
      <c r="DD255" s="51">
        <f t="shared" si="753"/>
        <v>0</v>
      </c>
      <c r="DE255" s="51">
        <f t="shared" si="730"/>
        <v>0</v>
      </c>
      <c r="DF255" s="51">
        <f t="shared" si="657"/>
        <v>0</v>
      </c>
      <c r="DG255" s="51">
        <f t="shared" si="731"/>
        <v>0</v>
      </c>
      <c r="DH255" s="51">
        <f t="shared" si="658"/>
        <v>0</v>
      </c>
      <c r="DI255" s="51">
        <f t="shared" si="732"/>
        <v>0</v>
      </c>
      <c r="DJ255" s="51">
        <f t="shared" si="659"/>
        <v>0</v>
      </c>
      <c r="DK255" s="51">
        <f t="shared" si="733"/>
        <v>0</v>
      </c>
      <c r="DL255" s="51">
        <f t="shared" si="660"/>
        <v>0</v>
      </c>
      <c r="DM255" s="51">
        <f t="shared" si="734"/>
        <v>0</v>
      </c>
      <c r="DN255" s="51">
        <f t="shared" si="661"/>
        <v>0</v>
      </c>
      <c r="DO255" s="54">
        <f t="shared" si="662"/>
        <v>0</v>
      </c>
      <c r="DP255" s="55">
        <f t="shared" si="663"/>
        <v>0</v>
      </c>
      <c r="DQ255" s="56">
        <f>IF(AND($E255&lt;&gt;0,$F255&gt;0,YEAR($F255)&gt;=Preisindex!$A$6,YEAR(DL$4)&gt;=YEAR($F255),AND($K255&lt;&gt;"a",$K255&lt;&gt;"b",$K255&lt;&gt;"g",$K255&lt;&gt;"k")),1,IF(AND($E255&lt;&gt;0,$F255&gt;0,YEAR($F255)&gt;=Preisindex!$A$6,YEAR(DL$4)&gt;=YEAR($F255),$K255="a"),ROUND(VLOOKUP(DQ$4,Preisindex,5,FALSE)/VLOOKUP(YEAR($F255),Preisindex,5,FALSE),2),IF(AND($E255&lt;&gt;0,$F255&gt;0,YEAR($F255)&gt;=Preisindex!$A$6,YEAR(DL$4)&gt;=YEAR($F255),$K255="b"),ROUND(VLOOKUP(DQ$4,Preisindex,3,FALSE)/VLOOKUP(YEAR($F255),Preisindex,3,FALSE),2),IF(AND($E255&lt;&gt;0,$F255&gt;0,YEAR($F255)&gt;=Preisindex!$A$6,YEAR(DL$4)&gt;=YEAR($F255),$K255="g"),ROUND(VLOOKUP(DQ$4,Preisindex,4,FALSE)/VLOOKUP(YEAR($F255),Preisindex,4,FALSE),2),IF(AND($E255&lt;&gt;0,$F255&gt;0,YEAR($F255)&gt;=Preisindex!$A$6,YEAR(DL$4)&gt;=YEAR($F255),$K255="k"),ROUND(VLOOKUP(DQ$4,Preisindex,2,FALSE)/VLOOKUP(YEAR($F255),Preisindex,2,FALSE),2),0)))))</f>
        <v>0</v>
      </c>
      <c r="DR255" s="56">
        <f>IF(AND($E255&lt;&gt;0,$F255&gt;0,YEAR($F255)&lt;Preisindex!$A$6,YEAR(DL$4)&gt;=YEAR($F255),AND($K255&lt;&gt;"a",$K255&lt;&gt;"b",$K255&lt;&gt;"g",$K255&lt;&gt;"k")),1,IF(AND($E255&lt;&gt;0,$F255&gt;0,YEAR($F255)&lt;Preisindex!$A$6,YEAR(DL$4)&gt;=YEAR($F255),$K255="a"),ROUND(VLOOKUP(DQ$4,Preisindex,5,FALSE)/VLOOKUP(Preisindex!$A$6,Preisindex,5,FALSE),2),IF(AND($E255&lt;&gt;0,$F255&gt;0,YEAR($F255)&lt;Preisindex!$A$6,YEAR(DL$4)&gt;=YEAR($F255),$K255="b"),ROUND(VLOOKUP(DQ$4,Preisindex,3,FALSE)/VLOOKUP(Preisindex!$A$6,Preisindex,3,FALSE),2),IF(AND($E255&lt;&gt;0,$F255&gt;0,YEAR($F255)&lt;Preisindex!$A$6,YEAR(DL$4)&gt;=YEAR($F255),$K255="g"),ROUND(VLOOKUP(DQ$4,Preisindex,4,FALSE)/VLOOKUP(Preisindex!$A$6,Preisindex,4,FALSE),2),IF(AND($E255&lt;&gt;0,$F255&gt;0,YEAR($F255)&lt;Preisindex!$A$6,YEAR(DL$4)&gt;=YEAR($F255),$K255="k"),ROUND(VLOOKUP(DQ$4,Preisindex,2,FALSE)/VLOOKUP(Preisindex!$A$6,Preisindex,2,FALSE),2),0)))))</f>
        <v>0</v>
      </c>
      <c r="DS255" s="51">
        <f>IF(AND($E255&lt;&gt;0,$F255&gt;0,YEAR($F255)&lt;=DQ$4,YEAR($F255)&gt;=Preisindex!$A$6),ROUND($E255*DQ255,2),IF(AND($E255&lt;&gt;0,$F255&gt;0,YEAR($F255)&lt;=DQ$4,YEAR($F255)&lt;Preisindex!$A$6),ROUND($E255*DR255,2),0))</f>
        <v>0</v>
      </c>
      <c r="DT255" s="53">
        <f t="shared" si="664"/>
        <v>0</v>
      </c>
      <c r="DU255" s="51">
        <f t="shared" si="753"/>
        <v>0</v>
      </c>
      <c r="DV255" s="51">
        <f t="shared" si="735"/>
        <v>0</v>
      </c>
      <c r="DW255" s="51">
        <f t="shared" si="665"/>
        <v>0</v>
      </c>
      <c r="DX255" s="51">
        <f t="shared" si="736"/>
        <v>0</v>
      </c>
      <c r="DY255" s="51">
        <f t="shared" si="666"/>
        <v>0</v>
      </c>
      <c r="DZ255" s="51">
        <f t="shared" si="737"/>
        <v>0</v>
      </c>
      <c r="EA255" s="51">
        <f t="shared" si="667"/>
        <v>0</v>
      </c>
      <c r="EB255" s="51">
        <f t="shared" si="738"/>
        <v>0</v>
      </c>
      <c r="EC255" s="51">
        <f t="shared" si="668"/>
        <v>0</v>
      </c>
      <c r="ED255" s="51">
        <f t="shared" si="739"/>
        <v>0</v>
      </c>
      <c r="EE255" s="51">
        <f t="shared" si="669"/>
        <v>0</v>
      </c>
      <c r="EF255" s="54">
        <f t="shared" si="670"/>
        <v>0</v>
      </c>
      <c r="EG255" s="55">
        <f t="shared" si="671"/>
        <v>0</v>
      </c>
      <c r="EH255" s="56">
        <f>IF(AND($E255&lt;&gt;0,$F255&gt;0,YEAR($F255)&gt;=Preisindex!$A$6,YEAR(EC$4)&gt;=YEAR($F255),AND($K255&lt;&gt;"a",$K255&lt;&gt;"b",$K255&lt;&gt;"g",$K255&lt;&gt;"k")),1,IF(AND($E255&lt;&gt;0,$F255&gt;0,YEAR($F255)&gt;=Preisindex!$A$6,YEAR(EC$4)&gt;=YEAR($F255),$K255="a"),ROUND(VLOOKUP(EH$4,Preisindex,5,FALSE)/VLOOKUP(YEAR($F255),Preisindex,5,FALSE),2),IF(AND($E255&lt;&gt;0,$F255&gt;0,YEAR($F255)&gt;=Preisindex!$A$6,YEAR(EC$4)&gt;=YEAR($F255),$K255="b"),ROUND(VLOOKUP(EH$4,Preisindex,3,FALSE)/VLOOKUP(YEAR($F255),Preisindex,3,FALSE),2),IF(AND($E255&lt;&gt;0,$F255&gt;0,YEAR($F255)&gt;=Preisindex!$A$6,YEAR(EC$4)&gt;=YEAR($F255),$K255="g"),ROUND(VLOOKUP(EH$4,Preisindex,4,FALSE)/VLOOKUP(YEAR($F255),Preisindex,4,FALSE),2),IF(AND($E255&lt;&gt;0,$F255&gt;0,YEAR($F255)&gt;=Preisindex!$A$6,YEAR(EC$4)&gt;=YEAR($F255),$K255="k"),ROUND(VLOOKUP(EH$4,Preisindex,2,FALSE)/VLOOKUP(YEAR($F255),Preisindex,2,FALSE),2),0)))))</f>
        <v>0</v>
      </c>
      <c r="EI255" s="56">
        <f>IF(AND($E255&lt;&gt;0,$F255&gt;0,YEAR($F255)&lt;Preisindex!$A$6,YEAR(EC$4)&gt;=YEAR($F255),AND($K255&lt;&gt;"a",$K255&lt;&gt;"b",$K255&lt;&gt;"g",$K255&lt;&gt;"k")),1,IF(AND($E255&lt;&gt;0,$F255&gt;0,YEAR($F255)&lt;Preisindex!$A$6,YEAR(EC$4)&gt;=YEAR($F255),$K255="a"),ROUND(VLOOKUP(EH$4,Preisindex,5,FALSE)/VLOOKUP(Preisindex!$A$6,Preisindex,5,FALSE),2),IF(AND($E255&lt;&gt;0,$F255&gt;0,YEAR($F255)&lt;Preisindex!$A$6,YEAR(EC$4)&gt;=YEAR($F255),$K255="b"),ROUND(VLOOKUP(EH$4,Preisindex,3,FALSE)/VLOOKUP(Preisindex!$A$6,Preisindex,3,FALSE),2),IF(AND($E255&lt;&gt;0,$F255&gt;0,YEAR($F255)&lt;Preisindex!$A$6,YEAR(EC$4)&gt;=YEAR($F255),$K255="g"),ROUND(VLOOKUP(EH$4,Preisindex,4,FALSE)/VLOOKUP(Preisindex!$A$6,Preisindex,4,FALSE),2),IF(AND($E255&lt;&gt;0,$F255&gt;0,YEAR($F255)&lt;Preisindex!$A$6,YEAR(EC$4)&gt;=YEAR($F255),$K255="k"),ROUND(VLOOKUP(EH$4,Preisindex,2,FALSE)/VLOOKUP(Preisindex!$A$6,Preisindex,2,FALSE),2),0)))))</f>
        <v>0</v>
      </c>
      <c r="EJ255" s="51">
        <f>IF(AND($E255&lt;&gt;0,$F255&gt;0,YEAR($F255)&lt;=EH$4,YEAR($F255)&gt;=Preisindex!$A$6),ROUND($E255*EH255,2),IF(AND($E255&lt;&gt;0,$F255&gt;0,YEAR($F255)&lt;=EH$4,YEAR($F255)&lt;Preisindex!$A$6),ROUND($E255*EI255,2),0))</f>
        <v>0</v>
      </c>
      <c r="EK255" s="53">
        <f t="shared" si="672"/>
        <v>0</v>
      </c>
      <c r="EL255" s="51">
        <f t="shared" si="753"/>
        <v>0</v>
      </c>
      <c r="EM255" s="51">
        <f t="shared" si="740"/>
        <v>0</v>
      </c>
      <c r="EN255" s="51">
        <f t="shared" si="673"/>
        <v>0</v>
      </c>
      <c r="EO255" s="51">
        <f t="shared" si="741"/>
        <v>0</v>
      </c>
      <c r="EP255" s="51">
        <f t="shared" si="674"/>
        <v>0</v>
      </c>
      <c r="EQ255" s="51">
        <f t="shared" si="742"/>
        <v>0</v>
      </c>
      <c r="ER255" s="51">
        <f t="shared" si="675"/>
        <v>0</v>
      </c>
      <c r="ES255" s="51">
        <f t="shared" si="743"/>
        <v>0</v>
      </c>
      <c r="ET255" s="51">
        <f t="shared" si="676"/>
        <v>0</v>
      </c>
      <c r="EU255" s="51">
        <f t="shared" si="744"/>
        <v>0</v>
      </c>
      <c r="EV255" s="51">
        <f t="shared" si="677"/>
        <v>0</v>
      </c>
      <c r="EW255" s="54">
        <f t="shared" si="678"/>
        <v>0</v>
      </c>
      <c r="EX255" s="55">
        <f t="shared" si="679"/>
        <v>0</v>
      </c>
      <c r="EY255" s="56">
        <f>IF(AND($E255&lt;&gt;0,$F255&gt;0,YEAR($F255)&gt;=Preisindex!$A$6,YEAR(ET$4)&gt;=YEAR($F255),AND($K255&lt;&gt;"a",$K255&lt;&gt;"b",$K255&lt;&gt;"g",$K255&lt;&gt;"k")),1,IF(AND($E255&lt;&gt;0,$F255&gt;0,YEAR($F255)&gt;=Preisindex!$A$6,YEAR(ET$4)&gt;=YEAR($F255),$K255="a"),ROUND(VLOOKUP(EY$4,Preisindex,5,FALSE)/VLOOKUP(YEAR($F255),Preisindex,5,FALSE),2),IF(AND($E255&lt;&gt;0,$F255&gt;0,YEAR($F255)&gt;=Preisindex!$A$6,YEAR(ET$4)&gt;=YEAR($F255),$K255="b"),ROUND(VLOOKUP(EY$4,Preisindex,3,FALSE)/VLOOKUP(YEAR($F255),Preisindex,3,FALSE),2),IF(AND($E255&lt;&gt;0,$F255&gt;0,YEAR($F255)&gt;=Preisindex!$A$6,YEAR(ET$4)&gt;=YEAR($F255),$K255="g"),ROUND(VLOOKUP(EY$4,Preisindex,4,FALSE)/VLOOKUP(YEAR($F255),Preisindex,4,FALSE),2),IF(AND($E255&lt;&gt;0,$F255&gt;0,YEAR($F255)&gt;=Preisindex!$A$6,YEAR(ET$4)&gt;=YEAR($F255),$K255="k"),ROUND(VLOOKUP(EY$4,Preisindex,2,FALSE)/VLOOKUP(YEAR($F255),Preisindex,2,FALSE),2),0)))))</f>
        <v>0</v>
      </c>
      <c r="EZ255" s="56">
        <f>IF(AND($E255&lt;&gt;0,$F255&gt;0,YEAR($F255)&lt;Preisindex!$A$6,YEAR(ET$4)&gt;=YEAR($F255),AND($K255&lt;&gt;"a",$K255&lt;&gt;"b",$K255&lt;&gt;"g",$K255&lt;&gt;"k")),1,IF(AND($E255&lt;&gt;0,$F255&gt;0,YEAR($F255)&lt;Preisindex!$A$6,YEAR(ET$4)&gt;=YEAR($F255),$K255="a"),ROUND(VLOOKUP(EY$4,Preisindex,5,FALSE)/VLOOKUP(Preisindex!$A$6,Preisindex,5,FALSE),2),IF(AND($E255&lt;&gt;0,$F255&gt;0,YEAR($F255)&lt;Preisindex!$A$6,YEAR(ET$4)&gt;=YEAR($F255),$K255="b"),ROUND(VLOOKUP(EY$4,Preisindex,3,FALSE)/VLOOKUP(Preisindex!$A$6,Preisindex,3,FALSE),2),IF(AND($E255&lt;&gt;0,$F255&gt;0,YEAR($F255)&lt;Preisindex!$A$6,YEAR(ET$4)&gt;=YEAR($F255),$K255="g"),ROUND(VLOOKUP(EY$4,Preisindex,4,FALSE)/VLOOKUP(Preisindex!$A$6,Preisindex,4,FALSE),2),IF(AND($E255&lt;&gt;0,$F255&gt;0,YEAR($F255)&lt;Preisindex!$A$6,YEAR(ET$4)&gt;=YEAR($F255),$K255="k"),ROUND(VLOOKUP(EY$4,Preisindex,2,FALSE)/VLOOKUP(Preisindex!$A$6,Preisindex,2,FALSE),2),0)))))</f>
        <v>0</v>
      </c>
      <c r="FA255" s="51">
        <f>IF(AND($E255&lt;&gt;0,$F255&gt;0,YEAR($F255)&lt;=EY$4,YEAR($F255)&gt;=Preisindex!$A$6),ROUND($E255*EY255,2),IF(AND($E255&lt;&gt;0,$F255&gt;0,YEAR($F255)&lt;=EY$4,YEAR($F255)&lt;Preisindex!$A$6),ROUND($E255*EZ255,2),0))</f>
        <v>0</v>
      </c>
      <c r="FB255" s="53">
        <f t="shared" si="680"/>
        <v>0</v>
      </c>
      <c r="FC255" s="51">
        <f t="shared" si="753"/>
        <v>0</v>
      </c>
      <c r="FD255" s="51">
        <f t="shared" si="745"/>
        <v>0</v>
      </c>
      <c r="FE255" s="51">
        <f t="shared" si="681"/>
        <v>0</v>
      </c>
      <c r="FF255" s="51">
        <f t="shared" si="746"/>
        <v>0</v>
      </c>
      <c r="FG255" s="51">
        <f t="shared" si="682"/>
        <v>0</v>
      </c>
      <c r="FH255" s="51">
        <f t="shared" si="747"/>
        <v>0</v>
      </c>
      <c r="FI255" s="51">
        <f t="shared" si="683"/>
        <v>0</v>
      </c>
      <c r="FJ255" s="51">
        <f t="shared" si="748"/>
        <v>0</v>
      </c>
      <c r="FK255" s="51">
        <f t="shared" si="684"/>
        <v>0</v>
      </c>
      <c r="FL255" s="51">
        <f t="shared" si="749"/>
        <v>0</v>
      </c>
      <c r="FM255" s="51">
        <f t="shared" si="685"/>
        <v>0</v>
      </c>
      <c r="FN255" s="54">
        <f t="shared" si="686"/>
        <v>0</v>
      </c>
      <c r="FO255" s="55">
        <f t="shared" si="687"/>
        <v>0</v>
      </c>
      <c r="FP255" s="56">
        <f>IF(AND($E255&lt;&gt;0,$F255&gt;0,YEAR($F255)&gt;=Preisindex!$A$6,YEAR(FK$4)&gt;=YEAR($F255),AND($K255&lt;&gt;"a",$K255&lt;&gt;"b",$K255&lt;&gt;"g",$K255&lt;&gt;"k")),1,IF(AND($E255&lt;&gt;0,$F255&gt;0,YEAR($F255)&gt;=Preisindex!$A$6,YEAR(FK$4)&gt;=YEAR($F255),$K255="a"),ROUND(VLOOKUP(FP$4,Preisindex,5,FALSE)/VLOOKUP(YEAR($F255),Preisindex,5,FALSE),2),IF(AND($E255&lt;&gt;0,$F255&gt;0,YEAR($F255)&gt;=Preisindex!$A$6,YEAR(FK$4)&gt;=YEAR($F255),$K255="b"),ROUND(VLOOKUP(FP$4,Preisindex,3,FALSE)/VLOOKUP(YEAR($F255),Preisindex,3,FALSE),2),IF(AND($E255&lt;&gt;0,$F255&gt;0,YEAR($F255)&gt;=Preisindex!$A$6,YEAR(FK$4)&gt;=YEAR($F255),$K255="g"),ROUND(VLOOKUP(FP$4,Preisindex,4,FALSE)/VLOOKUP(YEAR($F255),Preisindex,4,FALSE),2),IF(AND($E255&lt;&gt;0,$F255&gt;0,YEAR($F255)&gt;=Preisindex!$A$6,YEAR(FK$4)&gt;=YEAR($F255),$K255="k"),ROUND(VLOOKUP(FP$4,Preisindex,2,FALSE)/VLOOKUP(YEAR($F255),Preisindex,2,FALSE),2),0)))))</f>
        <v>0</v>
      </c>
      <c r="FQ255" s="56">
        <f>IF(AND($E255&lt;&gt;0,$F255&gt;0,YEAR($F255)&lt;Preisindex!$A$6,YEAR(FK$4)&gt;=YEAR($F255),AND($K255&lt;&gt;"a",$K255&lt;&gt;"b",$K255&lt;&gt;"g",$K255&lt;&gt;"k")),1,IF(AND($E255&lt;&gt;0,$F255&gt;0,YEAR($F255)&lt;Preisindex!$A$6,YEAR(FK$4)&gt;=YEAR($F255),$K255="a"),ROUND(VLOOKUP(FP$4,Preisindex,5,FALSE)/VLOOKUP(Preisindex!$A$6,Preisindex,5,FALSE),2),IF(AND($E255&lt;&gt;0,$F255&gt;0,YEAR($F255)&lt;Preisindex!$A$6,YEAR(FK$4)&gt;=YEAR($F255),$K255="b"),ROUND(VLOOKUP(FP$4,Preisindex,3,FALSE)/VLOOKUP(Preisindex!$A$6,Preisindex,3,FALSE),2),IF(AND($E255&lt;&gt;0,$F255&gt;0,YEAR($F255)&lt;Preisindex!$A$6,YEAR(FK$4)&gt;=YEAR($F255),$K255="g"),ROUND(VLOOKUP(FP$4,Preisindex,4,FALSE)/VLOOKUP(Preisindex!$A$6,Preisindex,4,FALSE),2),IF(AND($E255&lt;&gt;0,$F255&gt;0,YEAR($F255)&lt;Preisindex!$A$6,YEAR(FK$4)&gt;=YEAR($F255),$K255="k"),ROUND(VLOOKUP(FP$4,Preisindex,2,FALSE)/VLOOKUP(Preisindex!$A$6,Preisindex,2,FALSE),2),0)))))</f>
        <v>0</v>
      </c>
      <c r="FR255" s="51">
        <f>IF(AND($E255&lt;&gt;0,$F255&gt;0,YEAR($F255)&lt;=FP$4,YEAR($F255)&gt;=Preisindex!$A$6),ROUND($E255*FP255,2),IF(AND($E255&lt;&gt;0,$F255&gt;0,YEAR($F255)&lt;=FP$4,YEAR($F255)&lt;Preisindex!$A$6),ROUND($E255*FQ255,2),0))</f>
        <v>0</v>
      </c>
      <c r="FS255" s="53">
        <f t="shared" si="688"/>
        <v>0</v>
      </c>
    </row>
    <row r="256" spans="1:175" x14ac:dyDescent="0.3">
      <c r="A256" s="93"/>
      <c r="B256" s="94"/>
      <c r="C256" s="94"/>
      <c r="D256" s="188"/>
      <c r="E256" s="624"/>
      <c r="F256" s="190"/>
      <c r="G256" s="625"/>
      <c r="H256" s="620"/>
      <c r="I256" s="621"/>
      <c r="J256" s="103"/>
      <c r="K256" s="630"/>
      <c r="L256" s="49">
        <f t="shared" si="689"/>
        <v>0</v>
      </c>
      <c r="M256" s="50">
        <f t="shared" si="690"/>
        <v>0</v>
      </c>
      <c r="N256" s="51">
        <f t="shared" si="691"/>
        <v>0</v>
      </c>
      <c r="O256" s="51"/>
      <c r="P256" s="51">
        <f t="shared" si="692"/>
        <v>0</v>
      </c>
      <c r="Q256" s="52"/>
      <c r="R256" s="52"/>
      <c r="S256" s="52"/>
      <c r="T256" s="52"/>
      <c r="U256" s="52"/>
      <c r="V256" s="53">
        <f t="shared" si="693"/>
        <v>0</v>
      </c>
      <c r="W256" s="51">
        <f t="shared" si="694"/>
        <v>0</v>
      </c>
      <c r="X256" s="51">
        <f t="shared" si="695"/>
        <v>0</v>
      </c>
      <c r="Y256" s="51">
        <f t="shared" si="696"/>
        <v>0</v>
      </c>
      <c r="Z256" s="51">
        <f t="shared" si="697"/>
        <v>0</v>
      </c>
      <c r="AA256" s="51">
        <f t="shared" si="698"/>
        <v>0</v>
      </c>
      <c r="AB256" s="51">
        <f t="shared" si="699"/>
        <v>0</v>
      </c>
      <c r="AC256" s="51">
        <f t="shared" si="700"/>
        <v>0</v>
      </c>
      <c r="AD256" s="51">
        <f t="shared" si="701"/>
        <v>0</v>
      </c>
      <c r="AE256" s="51">
        <f t="shared" si="702"/>
        <v>0</v>
      </c>
      <c r="AF256" s="51">
        <f t="shared" si="703"/>
        <v>0</v>
      </c>
      <c r="AG256" s="51">
        <f t="shared" si="704"/>
        <v>0</v>
      </c>
      <c r="AH256" s="54">
        <f t="shared" si="705"/>
        <v>0</v>
      </c>
      <c r="AI256" s="55">
        <f t="shared" si="706"/>
        <v>0</v>
      </c>
      <c r="AJ256" s="56">
        <f>IF(AND($E256&lt;&gt;0,$F256&gt;0,YEAR($F256)&gt;=Preisindex!$A$6,YEAR(AE$4)&gt;=YEAR($F256),AND($K256&lt;&gt;"a",$K256&lt;&gt;"b",$K256&lt;&gt;"g",$K256&lt;&gt;"k")),1,IF(AND($E256&lt;&gt;0,$F256&gt;0,YEAR($F256)&gt;=Preisindex!$A$6,YEAR(AE$4)&gt;=YEAR($F256),$K256="a"),ROUND(VLOOKUP(AJ$4,Preisindex,5,FALSE)/VLOOKUP(YEAR($F256),Preisindex,5,FALSE),2),IF(AND($E256&lt;&gt;0,$F256&gt;0,YEAR($F256)&gt;=Preisindex!$A$6,YEAR(AE$4)&gt;=YEAR($F256),$K256="b"),ROUND(VLOOKUP(AJ$4,Preisindex,3,FALSE)/VLOOKUP(YEAR($F256),Preisindex,3,FALSE),2),IF(AND($E256&lt;&gt;0,$F256&gt;0,YEAR($F256)&gt;=Preisindex!$A$6,YEAR(AE$4)&gt;=YEAR($F256),$K256="g"),ROUND(VLOOKUP(AJ$4,Preisindex,4,FALSE)/VLOOKUP(YEAR($F256),Preisindex,4,FALSE),2),IF(AND($E256&lt;&gt;0,$F256&gt;0,YEAR($F256)&gt;=Preisindex!$A$6,YEAR(AE$4)&gt;=YEAR($F256),$K256="k"),ROUND(VLOOKUP(AJ$4,Preisindex,2,FALSE)/VLOOKUP(YEAR($F256),Preisindex,2,FALSE),2),0)))))</f>
        <v>0</v>
      </c>
      <c r="AK256" s="56">
        <f>IF(AND($E256&lt;&gt;0,$F256&gt;0,YEAR($F256)&lt;Preisindex!$A$6,YEAR(AE$4)&gt;=YEAR($F256),AND($K256&lt;&gt;"a",$K256&lt;&gt;"b",$K256&lt;&gt;"g",$K256&lt;&gt;"k")),1,IF(AND($E256&lt;&gt;0,$F256&gt;0,YEAR($F256)&lt;Preisindex!$A$6,YEAR(AE$4)&gt;=YEAR($F256),$K256="a"),ROUND(VLOOKUP(AJ$4,Preisindex,5,FALSE)/VLOOKUP(Preisindex!$A$6,Preisindex,5,FALSE),2),IF(AND($E256&lt;&gt;0,$F256&gt;0,YEAR($F256)&lt;Preisindex!$A$6,YEAR(AE$4)&gt;=YEAR($F256),$K256="b"),ROUND(VLOOKUP(AJ$4,Preisindex,3,FALSE)/VLOOKUP(Preisindex!$A$6,Preisindex,3,FALSE),2),IF(AND($E256&lt;&gt;0,$F256&gt;0,YEAR($F256)&lt;Preisindex!$A$6,YEAR(AE$4)&gt;=YEAR($F256),$K256="g"),ROUND(VLOOKUP(AJ$4,Preisindex,4,FALSE)/VLOOKUP(Preisindex!$A$6,Preisindex,4,FALSE),2),IF(AND($E256&lt;&gt;0,$F256&gt;0,YEAR($F256)&lt;Preisindex!$A$6,YEAR(AE$4)&gt;=YEAR($F256),$K256="k"),ROUND(VLOOKUP(AJ$4,Preisindex,2,FALSE)/VLOOKUP(Preisindex!$A$6,Preisindex,2,FALSE),2),0)))))</f>
        <v>0</v>
      </c>
      <c r="AL256" s="51">
        <f>IF(AND($E256&lt;&gt;0,$F256&gt;0,YEAR($F256)&lt;=AJ$4,YEAR($F256)&gt;=Preisindex!$A$6),ROUND($E256*AJ256,2),IF(AND($E256&lt;&gt;0,$F256&gt;0,YEAR($F256)&lt;=AJ$4,YEAR($F256)&lt;Preisindex!$A$6),ROUND($E256*AK256,2),0))</f>
        <v>0</v>
      </c>
      <c r="AM256" s="53">
        <f t="shared" si="707"/>
        <v>0</v>
      </c>
      <c r="AN256" s="51">
        <f t="shared" si="752"/>
        <v>0</v>
      </c>
      <c r="AO256" s="51">
        <f t="shared" si="710"/>
        <v>0</v>
      </c>
      <c r="AP256" s="51">
        <f t="shared" si="624"/>
        <v>0</v>
      </c>
      <c r="AQ256" s="51">
        <f t="shared" si="711"/>
        <v>0</v>
      </c>
      <c r="AR256" s="51">
        <f t="shared" si="625"/>
        <v>0</v>
      </c>
      <c r="AS256" s="51">
        <f t="shared" si="712"/>
        <v>0</v>
      </c>
      <c r="AT256" s="51">
        <f t="shared" si="626"/>
        <v>0</v>
      </c>
      <c r="AU256" s="51">
        <f t="shared" si="713"/>
        <v>0</v>
      </c>
      <c r="AV256" s="51">
        <f t="shared" si="627"/>
        <v>0</v>
      </c>
      <c r="AW256" s="51">
        <f t="shared" si="714"/>
        <v>0</v>
      </c>
      <c r="AX256" s="51">
        <f t="shared" si="628"/>
        <v>0</v>
      </c>
      <c r="AY256" s="54">
        <f t="shared" si="629"/>
        <v>0</v>
      </c>
      <c r="AZ256" s="55">
        <f t="shared" si="630"/>
        <v>0</v>
      </c>
      <c r="BA256" s="56">
        <f>IF(AND($E256&lt;&gt;0,$F256&gt;0,YEAR($F256)&gt;=Preisindex!$A$6,YEAR(AV$4)&gt;=YEAR($F256),AND($K256&lt;&gt;"a",$K256&lt;&gt;"b",$K256&lt;&gt;"g",$K256&lt;&gt;"k")),1,IF(AND($E256&lt;&gt;0,$F256&gt;0,YEAR($F256)&gt;=Preisindex!$A$6,YEAR(AV$4)&gt;=YEAR($F256),$K256="a"),ROUND(VLOOKUP(BA$4,Preisindex,5,FALSE)/VLOOKUP(YEAR($F256),Preisindex,5,FALSE),2),IF(AND($E256&lt;&gt;0,$F256&gt;0,YEAR($F256)&gt;=Preisindex!$A$6,YEAR(AV$4)&gt;=YEAR($F256),$K256="b"),ROUND(VLOOKUP(BA$4,Preisindex,3,FALSE)/VLOOKUP(YEAR($F256),Preisindex,3,FALSE),2),IF(AND($E256&lt;&gt;0,$F256&gt;0,YEAR($F256)&gt;=Preisindex!$A$6,YEAR(AV$4)&gt;=YEAR($F256),$K256="g"),ROUND(VLOOKUP(BA$4,Preisindex,4,FALSE)/VLOOKUP(YEAR($F256),Preisindex,4,FALSE),2),IF(AND($E256&lt;&gt;0,$F256&gt;0,YEAR($F256)&gt;=Preisindex!$A$6,YEAR(AV$4)&gt;=YEAR($F256),$K256="k"),ROUND(VLOOKUP(BA$4,Preisindex,2,FALSE)/VLOOKUP(YEAR($F256),Preisindex,2,FALSE),2),0)))))</f>
        <v>0</v>
      </c>
      <c r="BB256" s="56">
        <f>IF(AND($E256&lt;&gt;0,$F256&gt;0,YEAR($F256)&lt;Preisindex!$A$6,YEAR(AV$4)&gt;=YEAR($F256),AND($K256&lt;&gt;"a",$K256&lt;&gt;"b",$K256&lt;&gt;"g",$K256&lt;&gt;"k")),1,IF(AND($E256&lt;&gt;0,$F256&gt;0,YEAR($F256)&lt;Preisindex!$A$6,YEAR(AV$4)&gt;=YEAR($F256),$K256="a"),ROUND(VLOOKUP(BA$4,Preisindex,5,FALSE)/VLOOKUP(Preisindex!$A$6,Preisindex,5,FALSE),2),IF(AND($E256&lt;&gt;0,$F256&gt;0,YEAR($F256)&lt;Preisindex!$A$6,YEAR(AV$4)&gt;=YEAR($F256),$K256="b"),ROUND(VLOOKUP(BA$4,Preisindex,3,FALSE)/VLOOKUP(Preisindex!$A$6,Preisindex,3,FALSE),2),IF(AND($E256&lt;&gt;0,$F256&gt;0,YEAR($F256)&lt;Preisindex!$A$6,YEAR(AV$4)&gt;=YEAR($F256),$K256="g"),ROUND(VLOOKUP(BA$4,Preisindex,4,FALSE)/VLOOKUP(Preisindex!$A$6,Preisindex,4,FALSE),2),IF(AND($E256&lt;&gt;0,$F256&gt;0,YEAR($F256)&lt;Preisindex!$A$6,YEAR(AV$4)&gt;=YEAR($F256),$K256="k"),ROUND(VLOOKUP(BA$4,Preisindex,2,FALSE)/VLOOKUP(Preisindex!$A$6,Preisindex,2,FALSE),2),0)))))</f>
        <v>0</v>
      </c>
      <c r="BC256" s="51">
        <f>IF(AND($E256&lt;&gt;0,$F256&gt;0,YEAR($F256)&lt;=BA$4,YEAR($F256)&gt;=Preisindex!$A$6),ROUND($E256*BA256,2),IF(AND($E256&lt;&gt;0,$F256&gt;0,YEAR($F256)&lt;=BA$4,YEAR($F256)&lt;Preisindex!$A$6),ROUND($E256*BB256,2),0))</f>
        <v>0</v>
      </c>
      <c r="BD256" s="53">
        <f t="shared" si="631"/>
        <v>0</v>
      </c>
      <c r="BE256" s="51">
        <f t="shared" si="752"/>
        <v>0</v>
      </c>
      <c r="BF256" s="51">
        <f t="shared" si="715"/>
        <v>0</v>
      </c>
      <c r="BG256" s="51">
        <f t="shared" si="632"/>
        <v>0</v>
      </c>
      <c r="BH256" s="51">
        <f t="shared" si="716"/>
        <v>0</v>
      </c>
      <c r="BI256" s="51">
        <f t="shared" si="633"/>
        <v>0</v>
      </c>
      <c r="BJ256" s="51">
        <f t="shared" si="717"/>
        <v>0</v>
      </c>
      <c r="BK256" s="51">
        <f t="shared" si="634"/>
        <v>0</v>
      </c>
      <c r="BL256" s="51">
        <f t="shared" si="718"/>
        <v>0</v>
      </c>
      <c r="BM256" s="51">
        <f t="shared" si="635"/>
        <v>0</v>
      </c>
      <c r="BN256" s="51">
        <f t="shared" si="719"/>
        <v>0</v>
      </c>
      <c r="BO256" s="51">
        <f t="shared" si="636"/>
        <v>0</v>
      </c>
      <c r="BP256" s="54">
        <f t="shared" si="637"/>
        <v>0</v>
      </c>
      <c r="BQ256" s="55">
        <f t="shared" si="638"/>
        <v>0</v>
      </c>
      <c r="BR256" s="56">
        <f>IF(AND($E256&lt;&gt;0,$F256&gt;0,YEAR($F256)&gt;=Preisindex!$A$6,YEAR(BM$4)&gt;=YEAR($F256),AND($K256&lt;&gt;"a",$K256&lt;&gt;"b",$K256&lt;&gt;"g",$K256&lt;&gt;"k")),1,IF(AND($E256&lt;&gt;0,$F256&gt;0,YEAR($F256)&gt;=Preisindex!$A$6,YEAR(BM$4)&gt;=YEAR($F256),$K256="a"),ROUND(VLOOKUP(BR$4,Preisindex,5,FALSE)/VLOOKUP(YEAR($F256),Preisindex,5,FALSE),2),IF(AND($E256&lt;&gt;0,$F256&gt;0,YEAR($F256)&gt;=Preisindex!$A$6,YEAR(BM$4)&gt;=YEAR($F256),$K256="b"),ROUND(VLOOKUP(BR$4,Preisindex,3,FALSE)/VLOOKUP(YEAR($F256),Preisindex,3,FALSE),2),IF(AND($E256&lt;&gt;0,$F256&gt;0,YEAR($F256)&gt;=Preisindex!$A$6,YEAR(BM$4)&gt;=YEAR($F256),$K256="g"),ROUND(VLOOKUP(BR$4,Preisindex,4,FALSE)/VLOOKUP(YEAR($F256),Preisindex,4,FALSE),2),IF(AND($E256&lt;&gt;0,$F256&gt;0,YEAR($F256)&gt;=Preisindex!$A$6,YEAR(BM$4)&gt;=YEAR($F256),$K256="k"),ROUND(VLOOKUP(BR$4,Preisindex,2,FALSE)/VLOOKUP(YEAR($F256),Preisindex,2,FALSE),2),0)))))</f>
        <v>0</v>
      </c>
      <c r="BS256" s="56">
        <f>IF(AND($E256&lt;&gt;0,$F256&gt;0,YEAR($F256)&lt;Preisindex!$A$6,YEAR(BM$4)&gt;=YEAR($F256),AND($K256&lt;&gt;"a",$K256&lt;&gt;"b",$K256&lt;&gt;"g",$K256&lt;&gt;"k")),1,IF(AND($E256&lt;&gt;0,$F256&gt;0,YEAR($F256)&lt;Preisindex!$A$6,YEAR(BM$4)&gt;=YEAR($F256),$K256="a"),ROUND(VLOOKUP(BR$4,Preisindex,5,FALSE)/VLOOKUP(Preisindex!$A$6,Preisindex,5,FALSE),2),IF(AND($E256&lt;&gt;0,$F256&gt;0,YEAR($F256)&lt;Preisindex!$A$6,YEAR(BM$4)&gt;=YEAR($F256),$K256="b"),ROUND(VLOOKUP(BR$4,Preisindex,3,FALSE)/VLOOKUP(Preisindex!$A$6,Preisindex,3,FALSE),2),IF(AND($E256&lt;&gt;0,$F256&gt;0,YEAR($F256)&lt;Preisindex!$A$6,YEAR(BM$4)&gt;=YEAR($F256),$K256="g"),ROUND(VLOOKUP(BR$4,Preisindex,4,FALSE)/VLOOKUP(Preisindex!$A$6,Preisindex,4,FALSE),2),IF(AND($E256&lt;&gt;0,$F256&gt;0,YEAR($F256)&lt;Preisindex!$A$6,YEAR(BM$4)&gt;=YEAR($F256),$K256="k"),ROUND(VLOOKUP(BR$4,Preisindex,2,FALSE)/VLOOKUP(Preisindex!$A$6,Preisindex,2,FALSE),2),0)))))</f>
        <v>0</v>
      </c>
      <c r="BT256" s="51">
        <f>IF(AND($E256&lt;&gt;0,$F256&gt;0,YEAR($F256)&lt;=BR$4,YEAR($F256)&gt;=Preisindex!$A$6),ROUND($E256*BR256,2),IF(AND($E256&lt;&gt;0,$F256&gt;0,YEAR($F256)&lt;=BR$4,YEAR($F256)&lt;Preisindex!$A$6),ROUND($E256*BS256,2),0))</f>
        <v>0</v>
      </c>
      <c r="BU256" s="53">
        <f t="shared" si="639"/>
        <v>0</v>
      </c>
      <c r="BV256" s="51">
        <f t="shared" si="752"/>
        <v>0</v>
      </c>
      <c r="BW256" s="51">
        <f t="shared" si="720"/>
        <v>0</v>
      </c>
      <c r="BX256" s="51">
        <f t="shared" si="640"/>
        <v>0</v>
      </c>
      <c r="BY256" s="51">
        <f t="shared" si="721"/>
        <v>0</v>
      </c>
      <c r="BZ256" s="51">
        <f t="shared" si="641"/>
        <v>0</v>
      </c>
      <c r="CA256" s="51">
        <f t="shared" si="722"/>
        <v>0</v>
      </c>
      <c r="CB256" s="51">
        <f t="shared" si="642"/>
        <v>0</v>
      </c>
      <c r="CC256" s="51">
        <f t="shared" si="723"/>
        <v>0</v>
      </c>
      <c r="CD256" s="51">
        <f t="shared" si="643"/>
        <v>0</v>
      </c>
      <c r="CE256" s="51">
        <f t="shared" si="724"/>
        <v>0</v>
      </c>
      <c r="CF256" s="51">
        <f t="shared" si="644"/>
        <v>0</v>
      </c>
      <c r="CG256" s="54">
        <f t="shared" si="645"/>
        <v>0</v>
      </c>
      <c r="CH256" s="55">
        <f t="shared" si="646"/>
        <v>0</v>
      </c>
      <c r="CI256" s="56">
        <f>IF(AND($E256&lt;&gt;0,$F256&gt;0,YEAR($F256)&gt;=Preisindex!$A$6,YEAR(CD$4)&gt;=YEAR($F256),AND($K256&lt;&gt;"a",$K256&lt;&gt;"b",$K256&lt;&gt;"g",$K256&lt;&gt;"k")),1,IF(AND($E256&lt;&gt;0,$F256&gt;0,YEAR($F256)&gt;=Preisindex!$A$6,YEAR(CD$4)&gt;=YEAR($F256),$K256="a"),ROUND(VLOOKUP(CI$4,Preisindex,5,FALSE)/VLOOKUP(YEAR($F256),Preisindex,5,FALSE),2),IF(AND($E256&lt;&gt;0,$F256&gt;0,YEAR($F256)&gt;=Preisindex!$A$6,YEAR(CD$4)&gt;=YEAR($F256),$K256="b"),ROUND(VLOOKUP(CI$4,Preisindex,3,FALSE)/VLOOKUP(YEAR($F256),Preisindex,3,FALSE),2),IF(AND($E256&lt;&gt;0,$F256&gt;0,YEAR($F256)&gt;=Preisindex!$A$6,YEAR(CD$4)&gt;=YEAR($F256),$K256="g"),ROUND(VLOOKUP(CI$4,Preisindex,4,FALSE)/VLOOKUP(YEAR($F256),Preisindex,4,FALSE),2),IF(AND($E256&lt;&gt;0,$F256&gt;0,YEAR($F256)&gt;=Preisindex!$A$6,YEAR(CD$4)&gt;=YEAR($F256),$K256="k"),ROUND(VLOOKUP(CI$4,Preisindex,2,FALSE)/VLOOKUP(YEAR($F256),Preisindex,2,FALSE),2),0)))))</f>
        <v>0</v>
      </c>
      <c r="CJ256" s="56">
        <f>IF(AND($E256&lt;&gt;0,$F256&gt;0,YEAR($F256)&lt;Preisindex!$A$6,YEAR(CD$4)&gt;=YEAR($F256),AND($K256&lt;&gt;"a",$K256&lt;&gt;"b",$K256&lt;&gt;"g",$K256&lt;&gt;"k")),1,IF(AND($E256&lt;&gt;0,$F256&gt;0,YEAR($F256)&lt;Preisindex!$A$6,YEAR(CD$4)&gt;=YEAR($F256),$K256="a"),ROUND(VLOOKUP(CI$4,Preisindex,5,FALSE)/VLOOKUP(Preisindex!$A$6,Preisindex,5,FALSE),2),IF(AND($E256&lt;&gt;0,$F256&gt;0,YEAR($F256)&lt;Preisindex!$A$6,YEAR(CD$4)&gt;=YEAR($F256),$K256="b"),ROUND(VLOOKUP(CI$4,Preisindex,3,FALSE)/VLOOKUP(Preisindex!$A$6,Preisindex,3,FALSE),2),IF(AND($E256&lt;&gt;0,$F256&gt;0,YEAR($F256)&lt;Preisindex!$A$6,YEAR(CD$4)&gt;=YEAR($F256),$K256="g"),ROUND(VLOOKUP(CI$4,Preisindex,4,FALSE)/VLOOKUP(Preisindex!$A$6,Preisindex,4,FALSE),2),IF(AND($E256&lt;&gt;0,$F256&gt;0,YEAR($F256)&lt;Preisindex!$A$6,YEAR(CD$4)&gt;=YEAR($F256),$K256="k"),ROUND(VLOOKUP(CI$4,Preisindex,2,FALSE)/VLOOKUP(Preisindex!$A$6,Preisindex,2,FALSE),2),0)))))</f>
        <v>0</v>
      </c>
      <c r="CK256" s="51">
        <f>IF(AND($E256&lt;&gt;0,$F256&gt;0,YEAR($F256)&lt;=CI$4,YEAR($F256)&gt;=Preisindex!$A$6),ROUND($E256*CI256,2),IF(AND($E256&lt;&gt;0,$F256&gt;0,YEAR($F256)&lt;=CI$4,YEAR($F256)&lt;Preisindex!$A$6),ROUND($E256*CJ256,2),0))</f>
        <v>0</v>
      </c>
      <c r="CL256" s="53">
        <f t="shared" si="647"/>
        <v>0</v>
      </c>
      <c r="CM256" s="51">
        <f t="shared" si="752"/>
        <v>0</v>
      </c>
      <c r="CN256" s="51">
        <f t="shared" si="725"/>
        <v>0</v>
      </c>
      <c r="CO256" s="51">
        <f t="shared" si="648"/>
        <v>0</v>
      </c>
      <c r="CP256" s="51">
        <f t="shared" si="726"/>
        <v>0</v>
      </c>
      <c r="CQ256" s="51">
        <f t="shared" si="649"/>
        <v>0</v>
      </c>
      <c r="CR256" s="51">
        <f t="shared" si="727"/>
        <v>0</v>
      </c>
      <c r="CS256" s="51">
        <f t="shared" si="650"/>
        <v>0</v>
      </c>
      <c r="CT256" s="51">
        <f t="shared" si="728"/>
        <v>0</v>
      </c>
      <c r="CU256" s="51">
        <f t="shared" si="651"/>
        <v>0</v>
      </c>
      <c r="CV256" s="51">
        <f t="shared" si="729"/>
        <v>0</v>
      </c>
      <c r="CW256" s="51">
        <f t="shared" si="652"/>
        <v>0</v>
      </c>
      <c r="CX256" s="54">
        <f t="shared" si="653"/>
        <v>0</v>
      </c>
      <c r="CY256" s="55">
        <f t="shared" si="654"/>
        <v>0</v>
      </c>
      <c r="CZ256" s="56">
        <f>IF(AND($E256&lt;&gt;0,$F256&gt;0,YEAR($F256)&gt;=Preisindex!$A$6,YEAR(CU$4)&gt;=YEAR($F256),AND($K256&lt;&gt;"a",$K256&lt;&gt;"b",$K256&lt;&gt;"g",$K256&lt;&gt;"k")),1,IF(AND($E256&lt;&gt;0,$F256&gt;0,YEAR($F256)&gt;=Preisindex!$A$6,YEAR(CU$4)&gt;=YEAR($F256),$K256="a"),ROUND(VLOOKUP(CZ$4,Preisindex,5,FALSE)/VLOOKUP(YEAR($F256),Preisindex,5,FALSE),2),IF(AND($E256&lt;&gt;0,$F256&gt;0,YEAR($F256)&gt;=Preisindex!$A$6,YEAR(CU$4)&gt;=YEAR($F256),$K256="b"),ROUND(VLOOKUP(CZ$4,Preisindex,3,FALSE)/VLOOKUP(YEAR($F256),Preisindex,3,FALSE),2),IF(AND($E256&lt;&gt;0,$F256&gt;0,YEAR($F256)&gt;=Preisindex!$A$6,YEAR(CU$4)&gt;=YEAR($F256),$K256="g"),ROUND(VLOOKUP(CZ$4,Preisindex,4,FALSE)/VLOOKUP(YEAR($F256),Preisindex,4,FALSE),2),IF(AND($E256&lt;&gt;0,$F256&gt;0,YEAR($F256)&gt;=Preisindex!$A$6,YEAR(CU$4)&gt;=YEAR($F256),$K256="k"),ROUND(VLOOKUP(CZ$4,Preisindex,2,FALSE)/VLOOKUP(YEAR($F256),Preisindex,2,FALSE),2),0)))))</f>
        <v>0</v>
      </c>
      <c r="DA256" s="56">
        <f>IF(AND($E256&lt;&gt;0,$F256&gt;0,YEAR($F256)&lt;Preisindex!$A$6,YEAR(CU$4)&gt;=YEAR($F256),AND($K256&lt;&gt;"a",$K256&lt;&gt;"b",$K256&lt;&gt;"g",$K256&lt;&gt;"k")),1,IF(AND($E256&lt;&gt;0,$F256&gt;0,YEAR($F256)&lt;Preisindex!$A$6,YEAR(CU$4)&gt;=YEAR($F256),$K256="a"),ROUND(VLOOKUP(CZ$4,Preisindex,5,FALSE)/VLOOKUP(Preisindex!$A$6,Preisindex,5,FALSE),2),IF(AND($E256&lt;&gt;0,$F256&gt;0,YEAR($F256)&lt;Preisindex!$A$6,YEAR(CU$4)&gt;=YEAR($F256),$K256="b"),ROUND(VLOOKUP(CZ$4,Preisindex,3,FALSE)/VLOOKUP(Preisindex!$A$6,Preisindex,3,FALSE),2),IF(AND($E256&lt;&gt;0,$F256&gt;0,YEAR($F256)&lt;Preisindex!$A$6,YEAR(CU$4)&gt;=YEAR($F256),$K256="g"),ROUND(VLOOKUP(CZ$4,Preisindex,4,FALSE)/VLOOKUP(Preisindex!$A$6,Preisindex,4,FALSE),2),IF(AND($E256&lt;&gt;0,$F256&gt;0,YEAR($F256)&lt;Preisindex!$A$6,YEAR(CU$4)&gt;=YEAR($F256),$K256="k"),ROUND(VLOOKUP(CZ$4,Preisindex,2,FALSE)/VLOOKUP(Preisindex!$A$6,Preisindex,2,FALSE),2),0)))))</f>
        <v>0</v>
      </c>
      <c r="DB256" s="51">
        <f>IF(AND($E256&lt;&gt;0,$F256&gt;0,YEAR($F256)&lt;=CZ$4,YEAR($F256)&gt;=Preisindex!$A$6),ROUND($E256*CZ256,2),IF(AND($E256&lt;&gt;0,$F256&gt;0,YEAR($F256)&lt;=CZ$4,YEAR($F256)&lt;Preisindex!$A$6),ROUND($E256*DA256,2),0))</f>
        <v>0</v>
      </c>
      <c r="DC256" s="53">
        <f t="shared" si="655"/>
        <v>0</v>
      </c>
      <c r="DD256" s="51">
        <f t="shared" si="753"/>
        <v>0</v>
      </c>
      <c r="DE256" s="51">
        <f t="shared" si="730"/>
        <v>0</v>
      </c>
      <c r="DF256" s="51">
        <f t="shared" si="657"/>
        <v>0</v>
      </c>
      <c r="DG256" s="51">
        <f t="shared" si="731"/>
        <v>0</v>
      </c>
      <c r="DH256" s="51">
        <f t="shared" si="658"/>
        <v>0</v>
      </c>
      <c r="DI256" s="51">
        <f t="shared" si="732"/>
        <v>0</v>
      </c>
      <c r="DJ256" s="51">
        <f t="shared" si="659"/>
        <v>0</v>
      </c>
      <c r="DK256" s="51">
        <f t="shared" si="733"/>
        <v>0</v>
      </c>
      <c r="DL256" s="51">
        <f t="shared" si="660"/>
        <v>0</v>
      </c>
      <c r="DM256" s="51">
        <f t="shared" si="734"/>
        <v>0</v>
      </c>
      <c r="DN256" s="51">
        <f t="shared" si="661"/>
        <v>0</v>
      </c>
      <c r="DO256" s="54">
        <f t="shared" si="662"/>
        <v>0</v>
      </c>
      <c r="DP256" s="55">
        <f t="shared" si="663"/>
        <v>0</v>
      </c>
      <c r="DQ256" s="56">
        <f>IF(AND($E256&lt;&gt;0,$F256&gt;0,YEAR($F256)&gt;=Preisindex!$A$6,YEAR(DL$4)&gt;=YEAR($F256),AND($K256&lt;&gt;"a",$K256&lt;&gt;"b",$K256&lt;&gt;"g",$K256&lt;&gt;"k")),1,IF(AND($E256&lt;&gt;0,$F256&gt;0,YEAR($F256)&gt;=Preisindex!$A$6,YEAR(DL$4)&gt;=YEAR($F256),$K256="a"),ROUND(VLOOKUP(DQ$4,Preisindex,5,FALSE)/VLOOKUP(YEAR($F256),Preisindex,5,FALSE),2),IF(AND($E256&lt;&gt;0,$F256&gt;0,YEAR($F256)&gt;=Preisindex!$A$6,YEAR(DL$4)&gt;=YEAR($F256),$K256="b"),ROUND(VLOOKUP(DQ$4,Preisindex,3,FALSE)/VLOOKUP(YEAR($F256),Preisindex,3,FALSE),2),IF(AND($E256&lt;&gt;0,$F256&gt;0,YEAR($F256)&gt;=Preisindex!$A$6,YEAR(DL$4)&gt;=YEAR($F256),$K256="g"),ROUND(VLOOKUP(DQ$4,Preisindex,4,FALSE)/VLOOKUP(YEAR($F256),Preisindex,4,FALSE),2),IF(AND($E256&lt;&gt;0,$F256&gt;0,YEAR($F256)&gt;=Preisindex!$A$6,YEAR(DL$4)&gt;=YEAR($F256),$K256="k"),ROUND(VLOOKUP(DQ$4,Preisindex,2,FALSE)/VLOOKUP(YEAR($F256),Preisindex,2,FALSE),2),0)))))</f>
        <v>0</v>
      </c>
      <c r="DR256" s="56">
        <f>IF(AND($E256&lt;&gt;0,$F256&gt;0,YEAR($F256)&lt;Preisindex!$A$6,YEAR(DL$4)&gt;=YEAR($F256),AND($K256&lt;&gt;"a",$K256&lt;&gt;"b",$K256&lt;&gt;"g",$K256&lt;&gt;"k")),1,IF(AND($E256&lt;&gt;0,$F256&gt;0,YEAR($F256)&lt;Preisindex!$A$6,YEAR(DL$4)&gt;=YEAR($F256),$K256="a"),ROUND(VLOOKUP(DQ$4,Preisindex,5,FALSE)/VLOOKUP(Preisindex!$A$6,Preisindex,5,FALSE),2),IF(AND($E256&lt;&gt;0,$F256&gt;0,YEAR($F256)&lt;Preisindex!$A$6,YEAR(DL$4)&gt;=YEAR($F256),$K256="b"),ROUND(VLOOKUP(DQ$4,Preisindex,3,FALSE)/VLOOKUP(Preisindex!$A$6,Preisindex,3,FALSE),2),IF(AND($E256&lt;&gt;0,$F256&gt;0,YEAR($F256)&lt;Preisindex!$A$6,YEAR(DL$4)&gt;=YEAR($F256),$K256="g"),ROUND(VLOOKUP(DQ$4,Preisindex,4,FALSE)/VLOOKUP(Preisindex!$A$6,Preisindex,4,FALSE),2),IF(AND($E256&lt;&gt;0,$F256&gt;0,YEAR($F256)&lt;Preisindex!$A$6,YEAR(DL$4)&gt;=YEAR($F256),$K256="k"),ROUND(VLOOKUP(DQ$4,Preisindex,2,FALSE)/VLOOKUP(Preisindex!$A$6,Preisindex,2,FALSE),2),0)))))</f>
        <v>0</v>
      </c>
      <c r="DS256" s="51">
        <f>IF(AND($E256&lt;&gt;0,$F256&gt;0,YEAR($F256)&lt;=DQ$4,YEAR($F256)&gt;=Preisindex!$A$6),ROUND($E256*DQ256,2),IF(AND($E256&lt;&gt;0,$F256&gt;0,YEAR($F256)&lt;=DQ$4,YEAR($F256)&lt;Preisindex!$A$6),ROUND($E256*DR256,2),0))</f>
        <v>0</v>
      </c>
      <c r="DT256" s="53">
        <f t="shared" si="664"/>
        <v>0</v>
      </c>
      <c r="DU256" s="51">
        <f t="shared" si="753"/>
        <v>0</v>
      </c>
      <c r="DV256" s="51">
        <f t="shared" si="735"/>
        <v>0</v>
      </c>
      <c r="DW256" s="51">
        <f t="shared" si="665"/>
        <v>0</v>
      </c>
      <c r="DX256" s="51">
        <f t="shared" si="736"/>
        <v>0</v>
      </c>
      <c r="DY256" s="51">
        <f t="shared" si="666"/>
        <v>0</v>
      </c>
      <c r="DZ256" s="51">
        <f t="shared" si="737"/>
        <v>0</v>
      </c>
      <c r="EA256" s="51">
        <f t="shared" si="667"/>
        <v>0</v>
      </c>
      <c r="EB256" s="51">
        <f t="shared" si="738"/>
        <v>0</v>
      </c>
      <c r="EC256" s="51">
        <f t="shared" si="668"/>
        <v>0</v>
      </c>
      <c r="ED256" s="51">
        <f t="shared" si="739"/>
        <v>0</v>
      </c>
      <c r="EE256" s="51">
        <f t="shared" si="669"/>
        <v>0</v>
      </c>
      <c r="EF256" s="54">
        <f t="shared" si="670"/>
        <v>0</v>
      </c>
      <c r="EG256" s="55">
        <f t="shared" si="671"/>
        <v>0</v>
      </c>
      <c r="EH256" s="56">
        <f>IF(AND($E256&lt;&gt;0,$F256&gt;0,YEAR($F256)&gt;=Preisindex!$A$6,YEAR(EC$4)&gt;=YEAR($F256),AND($K256&lt;&gt;"a",$K256&lt;&gt;"b",$K256&lt;&gt;"g",$K256&lt;&gt;"k")),1,IF(AND($E256&lt;&gt;0,$F256&gt;0,YEAR($F256)&gt;=Preisindex!$A$6,YEAR(EC$4)&gt;=YEAR($F256),$K256="a"),ROUND(VLOOKUP(EH$4,Preisindex,5,FALSE)/VLOOKUP(YEAR($F256),Preisindex,5,FALSE),2),IF(AND($E256&lt;&gt;0,$F256&gt;0,YEAR($F256)&gt;=Preisindex!$A$6,YEAR(EC$4)&gt;=YEAR($F256),$K256="b"),ROUND(VLOOKUP(EH$4,Preisindex,3,FALSE)/VLOOKUP(YEAR($F256),Preisindex,3,FALSE),2),IF(AND($E256&lt;&gt;0,$F256&gt;0,YEAR($F256)&gt;=Preisindex!$A$6,YEAR(EC$4)&gt;=YEAR($F256),$K256="g"),ROUND(VLOOKUP(EH$4,Preisindex,4,FALSE)/VLOOKUP(YEAR($F256),Preisindex,4,FALSE),2),IF(AND($E256&lt;&gt;0,$F256&gt;0,YEAR($F256)&gt;=Preisindex!$A$6,YEAR(EC$4)&gt;=YEAR($F256),$K256="k"),ROUND(VLOOKUP(EH$4,Preisindex,2,FALSE)/VLOOKUP(YEAR($F256),Preisindex,2,FALSE),2),0)))))</f>
        <v>0</v>
      </c>
      <c r="EI256" s="56">
        <f>IF(AND($E256&lt;&gt;0,$F256&gt;0,YEAR($F256)&lt;Preisindex!$A$6,YEAR(EC$4)&gt;=YEAR($F256),AND($K256&lt;&gt;"a",$K256&lt;&gt;"b",$K256&lt;&gt;"g",$K256&lt;&gt;"k")),1,IF(AND($E256&lt;&gt;0,$F256&gt;0,YEAR($F256)&lt;Preisindex!$A$6,YEAR(EC$4)&gt;=YEAR($F256),$K256="a"),ROUND(VLOOKUP(EH$4,Preisindex,5,FALSE)/VLOOKUP(Preisindex!$A$6,Preisindex,5,FALSE),2),IF(AND($E256&lt;&gt;0,$F256&gt;0,YEAR($F256)&lt;Preisindex!$A$6,YEAR(EC$4)&gt;=YEAR($F256),$K256="b"),ROUND(VLOOKUP(EH$4,Preisindex,3,FALSE)/VLOOKUP(Preisindex!$A$6,Preisindex,3,FALSE),2),IF(AND($E256&lt;&gt;0,$F256&gt;0,YEAR($F256)&lt;Preisindex!$A$6,YEAR(EC$4)&gt;=YEAR($F256),$K256="g"),ROUND(VLOOKUP(EH$4,Preisindex,4,FALSE)/VLOOKUP(Preisindex!$A$6,Preisindex,4,FALSE),2),IF(AND($E256&lt;&gt;0,$F256&gt;0,YEAR($F256)&lt;Preisindex!$A$6,YEAR(EC$4)&gt;=YEAR($F256),$K256="k"),ROUND(VLOOKUP(EH$4,Preisindex,2,FALSE)/VLOOKUP(Preisindex!$A$6,Preisindex,2,FALSE),2),0)))))</f>
        <v>0</v>
      </c>
      <c r="EJ256" s="51">
        <f>IF(AND($E256&lt;&gt;0,$F256&gt;0,YEAR($F256)&lt;=EH$4,YEAR($F256)&gt;=Preisindex!$A$6),ROUND($E256*EH256,2),IF(AND($E256&lt;&gt;0,$F256&gt;0,YEAR($F256)&lt;=EH$4,YEAR($F256)&lt;Preisindex!$A$6),ROUND($E256*EI256,2),0))</f>
        <v>0</v>
      </c>
      <c r="EK256" s="53">
        <f t="shared" si="672"/>
        <v>0</v>
      </c>
      <c r="EL256" s="51">
        <f t="shared" si="753"/>
        <v>0</v>
      </c>
      <c r="EM256" s="51">
        <f t="shared" si="740"/>
        <v>0</v>
      </c>
      <c r="EN256" s="51">
        <f t="shared" si="673"/>
        <v>0</v>
      </c>
      <c r="EO256" s="51">
        <f t="shared" si="741"/>
        <v>0</v>
      </c>
      <c r="EP256" s="51">
        <f t="shared" si="674"/>
        <v>0</v>
      </c>
      <c r="EQ256" s="51">
        <f t="shared" si="742"/>
        <v>0</v>
      </c>
      <c r="ER256" s="51">
        <f t="shared" si="675"/>
        <v>0</v>
      </c>
      <c r="ES256" s="51">
        <f t="shared" si="743"/>
        <v>0</v>
      </c>
      <c r="ET256" s="51">
        <f t="shared" si="676"/>
        <v>0</v>
      </c>
      <c r="EU256" s="51">
        <f t="shared" si="744"/>
        <v>0</v>
      </c>
      <c r="EV256" s="51">
        <f t="shared" si="677"/>
        <v>0</v>
      </c>
      <c r="EW256" s="54">
        <f t="shared" si="678"/>
        <v>0</v>
      </c>
      <c r="EX256" s="55">
        <f t="shared" si="679"/>
        <v>0</v>
      </c>
      <c r="EY256" s="56">
        <f>IF(AND($E256&lt;&gt;0,$F256&gt;0,YEAR($F256)&gt;=Preisindex!$A$6,YEAR(ET$4)&gt;=YEAR($F256),AND($K256&lt;&gt;"a",$K256&lt;&gt;"b",$K256&lt;&gt;"g",$K256&lt;&gt;"k")),1,IF(AND($E256&lt;&gt;0,$F256&gt;0,YEAR($F256)&gt;=Preisindex!$A$6,YEAR(ET$4)&gt;=YEAR($F256),$K256="a"),ROUND(VLOOKUP(EY$4,Preisindex,5,FALSE)/VLOOKUP(YEAR($F256),Preisindex,5,FALSE),2),IF(AND($E256&lt;&gt;0,$F256&gt;0,YEAR($F256)&gt;=Preisindex!$A$6,YEAR(ET$4)&gt;=YEAR($F256),$K256="b"),ROUND(VLOOKUP(EY$4,Preisindex,3,FALSE)/VLOOKUP(YEAR($F256),Preisindex,3,FALSE),2),IF(AND($E256&lt;&gt;0,$F256&gt;0,YEAR($F256)&gt;=Preisindex!$A$6,YEAR(ET$4)&gt;=YEAR($F256),$K256="g"),ROUND(VLOOKUP(EY$4,Preisindex,4,FALSE)/VLOOKUP(YEAR($F256),Preisindex,4,FALSE),2),IF(AND($E256&lt;&gt;0,$F256&gt;0,YEAR($F256)&gt;=Preisindex!$A$6,YEAR(ET$4)&gt;=YEAR($F256),$K256="k"),ROUND(VLOOKUP(EY$4,Preisindex,2,FALSE)/VLOOKUP(YEAR($F256),Preisindex,2,FALSE),2),0)))))</f>
        <v>0</v>
      </c>
      <c r="EZ256" s="56">
        <f>IF(AND($E256&lt;&gt;0,$F256&gt;0,YEAR($F256)&lt;Preisindex!$A$6,YEAR(ET$4)&gt;=YEAR($F256),AND($K256&lt;&gt;"a",$K256&lt;&gt;"b",$K256&lt;&gt;"g",$K256&lt;&gt;"k")),1,IF(AND($E256&lt;&gt;0,$F256&gt;0,YEAR($F256)&lt;Preisindex!$A$6,YEAR(ET$4)&gt;=YEAR($F256),$K256="a"),ROUND(VLOOKUP(EY$4,Preisindex,5,FALSE)/VLOOKUP(Preisindex!$A$6,Preisindex,5,FALSE),2),IF(AND($E256&lt;&gt;0,$F256&gt;0,YEAR($F256)&lt;Preisindex!$A$6,YEAR(ET$4)&gt;=YEAR($F256),$K256="b"),ROUND(VLOOKUP(EY$4,Preisindex,3,FALSE)/VLOOKUP(Preisindex!$A$6,Preisindex,3,FALSE),2),IF(AND($E256&lt;&gt;0,$F256&gt;0,YEAR($F256)&lt;Preisindex!$A$6,YEAR(ET$4)&gt;=YEAR($F256),$K256="g"),ROUND(VLOOKUP(EY$4,Preisindex,4,FALSE)/VLOOKUP(Preisindex!$A$6,Preisindex,4,FALSE),2),IF(AND($E256&lt;&gt;0,$F256&gt;0,YEAR($F256)&lt;Preisindex!$A$6,YEAR(ET$4)&gt;=YEAR($F256),$K256="k"),ROUND(VLOOKUP(EY$4,Preisindex,2,FALSE)/VLOOKUP(Preisindex!$A$6,Preisindex,2,FALSE),2),0)))))</f>
        <v>0</v>
      </c>
      <c r="FA256" s="51">
        <f>IF(AND($E256&lt;&gt;0,$F256&gt;0,YEAR($F256)&lt;=EY$4,YEAR($F256)&gt;=Preisindex!$A$6),ROUND($E256*EY256,2),IF(AND($E256&lt;&gt;0,$F256&gt;0,YEAR($F256)&lt;=EY$4,YEAR($F256)&lt;Preisindex!$A$6),ROUND($E256*EZ256,2),0))</f>
        <v>0</v>
      </c>
      <c r="FB256" s="53">
        <f t="shared" si="680"/>
        <v>0</v>
      </c>
      <c r="FC256" s="51">
        <f t="shared" si="753"/>
        <v>0</v>
      </c>
      <c r="FD256" s="51">
        <f t="shared" si="745"/>
        <v>0</v>
      </c>
      <c r="FE256" s="51">
        <f t="shared" si="681"/>
        <v>0</v>
      </c>
      <c r="FF256" s="51">
        <f t="shared" si="746"/>
        <v>0</v>
      </c>
      <c r="FG256" s="51">
        <f t="shared" si="682"/>
        <v>0</v>
      </c>
      <c r="FH256" s="51">
        <f t="shared" si="747"/>
        <v>0</v>
      </c>
      <c r="FI256" s="51">
        <f t="shared" si="683"/>
        <v>0</v>
      </c>
      <c r="FJ256" s="51">
        <f t="shared" si="748"/>
        <v>0</v>
      </c>
      <c r="FK256" s="51">
        <f t="shared" si="684"/>
        <v>0</v>
      </c>
      <c r="FL256" s="51">
        <f t="shared" si="749"/>
        <v>0</v>
      </c>
      <c r="FM256" s="51">
        <f t="shared" si="685"/>
        <v>0</v>
      </c>
      <c r="FN256" s="54">
        <f t="shared" si="686"/>
        <v>0</v>
      </c>
      <c r="FO256" s="55">
        <f t="shared" si="687"/>
        <v>0</v>
      </c>
      <c r="FP256" s="56">
        <f>IF(AND($E256&lt;&gt;0,$F256&gt;0,YEAR($F256)&gt;=Preisindex!$A$6,YEAR(FK$4)&gt;=YEAR($F256),AND($K256&lt;&gt;"a",$K256&lt;&gt;"b",$K256&lt;&gt;"g",$K256&lt;&gt;"k")),1,IF(AND($E256&lt;&gt;0,$F256&gt;0,YEAR($F256)&gt;=Preisindex!$A$6,YEAR(FK$4)&gt;=YEAR($F256),$K256="a"),ROUND(VLOOKUP(FP$4,Preisindex,5,FALSE)/VLOOKUP(YEAR($F256),Preisindex,5,FALSE),2),IF(AND($E256&lt;&gt;0,$F256&gt;0,YEAR($F256)&gt;=Preisindex!$A$6,YEAR(FK$4)&gt;=YEAR($F256),$K256="b"),ROUND(VLOOKUP(FP$4,Preisindex,3,FALSE)/VLOOKUP(YEAR($F256),Preisindex,3,FALSE),2),IF(AND($E256&lt;&gt;0,$F256&gt;0,YEAR($F256)&gt;=Preisindex!$A$6,YEAR(FK$4)&gt;=YEAR($F256),$K256="g"),ROUND(VLOOKUP(FP$4,Preisindex,4,FALSE)/VLOOKUP(YEAR($F256),Preisindex,4,FALSE),2),IF(AND($E256&lt;&gt;0,$F256&gt;0,YEAR($F256)&gt;=Preisindex!$A$6,YEAR(FK$4)&gt;=YEAR($F256),$K256="k"),ROUND(VLOOKUP(FP$4,Preisindex,2,FALSE)/VLOOKUP(YEAR($F256),Preisindex,2,FALSE),2),0)))))</f>
        <v>0</v>
      </c>
      <c r="FQ256" s="56">
        <f>IF(AND($E256&lt;&gt;0,$F256&gt;0,YEAR($F256)&lt;Preisindex!$A$6,YEAR(FK$4)&gt;=YEAR($F256),AND($K256&lt;&gt;"a",$K256&lt;&gt;"b",$K256&lt;&gt;"g",$K256&lt;&gt;"k")),1,IF(AND($E256&lt;&gt;0,$F256&gt;0,YEAR($F256)&lt;Preisindex!$A$6,YEAR(FK$4)&gt;=YEAR($F256),$K256="a"),ROUND(VLOOKUP(FP$4,Preisindex,5,FALSE)/VLOOKUP(Preisindex!$A$6,Preisindex,5,FALSE),2),IF(AND($E256&lt;&gt;0,$F256&gt;0,YEAR($F256)&lt;Preisindex!$A$6,YEAR(FK$4)&gt;=YEAR($F256),$K256="b"),ROUND(VLOOKUP(FP$4,Preisindex,3,FALSE)/VLOOKUP(Preisindex!$A$6,Preisindex,3,FALSE),2),IF(AND($E256&lt;&gt;0,$F256&gt;0,YEAR($F256)&lt;Preisindex!$A$6,YEAR(FK$4)&gt;=YEAR($F256),$K256="g"),ROUND(VLOOKUP(FP$4,Preisindex,4,FALSE)/VLOOKUP(Preisindex!$A$6,Preisindex,4,FALSE),2),IF(AND($E256&lt;&gt;0,$F256&gt;0,YEAR($F256)&lt;Preisindex!$A$6,YEAR(FK$4)&gt;=YEAR($F256),$K256="k"),ROUND(VLOOKUP(FP$4,Preisindex,2,FALSE)/VLOOKUP(Preisindex!$A$6,Preisindex,2,FALSE),2),0)))))</f>
        <v>0</v>
      </c>
      <c r="FR256" s="51">
        <f>IF(AND($E256&lt;&gt;0,$F256&gt;0,YEAR($F256)&lt;=FP$4,YEAR($F256)&gt;=Preisindex!$A$6),ROUND($E256*FP256,2),IF(AND($E256&lt;&gt;0,$F256&gt;0,YEAR($F256)&lt;=FP$4,YEAR($F256)&lt;Preisindex!$A$6),ROUND($E256*FQ256,2),0))</f>
        <v>0</v>
      </c>
      <c r="FS256" s="53">
        <f t="shared" si="688"/>
        <v>0</v>
      </c>
    </row>
    <row r="257" spans="1:175" x14ac:dyDescent="0.3">
      <c r="A257" s="93"/>
      <c r="B257" s="94"/>
      <c r="C257" s="94"/>
      <c r="D257" s="95"/>
      <c r="E257" s="99"/>
      <c r="F257" s="97"/>
      <c r="G257" s="98"/>
      <c r="H257" s="620"/>
      <c r="I257" s="621"/>
      <c r="J257" s="103"/>
      <c r="K257" s="630"/>
      <c r="L257" s="49">
        <f t="shared" si="689"/>
        <v>0</v>
      </c>
      <c r="M257" s="50">
        <f t="shared" si="690"/>
        <v>0</v>
      </c>
      <c r="N257" s="51">
        <f t="shared" si="691"/>
        <v>0</v>
      </c>
      <c r="O257" s="51"/>
      <c r="P257" s="51">
        <f t="shared" si="692"/>
        <v>0</v>
      </c>
      <c r="Q257" s="52"/>
      <c r="R257" s="52"/>
      <c r="S257" s="52"/>
      <c r="T257" s="52"/>
      <c r="U257" s="52"/>
      <c r="V257" s="53">
        <f t="shared" si="693"/>
        <v>0</v>
      </c>
      <c r="W257" s="51">
        <f t="shared" si="694"/>
        <v>0</v>
      </c>
      <c r="X257" s="51">
        <f t="shared" si="695"/>
        <v>0</v>
      </c>
      <c r="Y257" s="51">
        <f t="shared" si="696"/>
        <v>0</v>
      </c>
      <c r="Z257" s="51">
        <f t="shared" si="697"/>
        <v>0</v>
      </c>
      <c r="AA257" s="51">
        <f t="shared" si="698"/>
        <v>0</v>
      </c>
      <c r="AB257" s="51">
        <f t="shared" si="699"/>
        <v>0</v>
      </c>
      <c r="AC257" s="51">
        <f t="shared" si="700"/>
        <v>0</v>
      </c>
      <c r="AD257" s="51">
        <f t="shared" si="701"/>
        <v>0</v>
      </c>
      <c r="AE257" s="51">
        <f t="shared" si="702"/>
        <v>0</v>
      </c>
      <c r="AF257" s="51">
        <f t="shared" si="703"/>
        <v>0</v>
      </c>
      <c r="AG257" s="51">
        <f t="shared" si="704"/>
        <v>0</v>
      </c>
      <c r="AH257" s="54">
        <f t="shared" si="705"/>
        <v>0</v>
      </c>
      <c r="AI257" s="55">
        <f t="shared" si="706"/>
        <v>0</v>
      </c>
      <c r="AJ257" s="56">
        <f>IF(AND($E257&lt;&gt;0,$F257&gt;0,YEAR($F257)&gt;=Preisindex!$A$6,YEAR(AE$4)&gt;=YEAR($F257),AND($K257&lt;&gt;"a",$K257&lt;&gt;"b",$K257&lt;&gt;"g",$K257&lt;&gt;"k")),1,IF(AND($E257&lt;&gt;0,$F257&gt;0,YEAR($F257)&gt;=Preisindex!$A$6,YEAR(AE$4)&gt;=YEAR($F257),$K257="a"),ROUND(VLOOKUP(AJ$4,Preisindex,5,FALSE)/VLOOKUP(YEAR($F257),Preisindex,5,FALSE),2),IF(AND($E257&lt;&gt;0,$F257&gt;0,YEAR($F257)&gt;=Preisindex!$A$6,YEAR(AE$4)&gt;=YEAR($F257),$K257="b"),ROUND(VLOOKUP(AJ$4,Preisindex,3,FALSE)/VLOOKUP(YEAR($F257),Preisindex,3,FALSE),2),IF(AND($E257&lt;&gt;0,$F257&gt;0,YEAR($F257)&gt;=Preisindex!$A$6,YEAR(AE$4)&gt;=YEAR($F257),$K257="g"),ROUND(VLOOKUP(AJ$4,Preisindex,4,FALSE)/VLOOKUP(YEAR($F257),Preisindex,4,FALSE),2),IF(AND($E257&lt;&gt;0,$F257&gt;0,YEAR($F257)&gt;=Preisindex!$A$6,YEAR(AE$4)&gt;=YEAR($F257),$K257="k"),ROUND(VLOOKUP(AJ$4,Preisindex,2,FALSE)/VLOOKUP(YEAR($F257),Preisindex,2,FALSE),2),0)))))</f>
        <v>0</v>
      </c>
      <c r="AK257" s="56">
        <f>IF(AND($E257&lt;&gt;0,$F257&gt;0,YEAR($F257)&lt;Preisindex!$A$6,YEAR(AE$4)&gt;=YEAR($F257),AND($K257&lt;&gt;"a",$K257&lt;&gt;"b",$K257&lt;&gt;"g",$K257&lt;&gt;"k")),1,IF(AND($E257&lt;&gt;0,$F257&gt;0,YEAR($F257)&lt;Preisindex!$A$6,YEAR(AE$4)&gt;=YEAR($F257),$K257="a"),ROUND(VLOOKUP(AJ$4,Preisindex,5,FALSE)/VLOOKUP(Preisindex!$A$6,Preisindex,5,FALSE),2),IF(AND($E257&lt;&gt;0,$F257&gt;0,YEAR($F257)&lt;Preisindex!$A$6,YEAR(AE$4)&gt;=YEAR($F257),$K257="b"),ROUND(VLOOKUP(AJ$4,Preisindex,3,FALSE)/VLOOKUP(Preisindex!$A$6,Preisindex,3,FALSE),2),IF(AND($E257&lt;&gt;0,$F257&gt;0,YEAR($F257)&lt;Preisindex!$A$6,YEAR(AE$4)&gt;=YEAR($F257),$K257="g"),ROUND(VLOOKUP(AJ$4,Preisindex,4,FALSE)/VLOOKUP(Preisindex!$A$6,Preisindex,4,FALSE),2),IF(AND($E257&lt;&gt;0,$F257&gt;0,YEAR($F257)&lt;Preisindex!$A$6,YEAR(AE$4)&gt;=YEAR($F257),$K257="k"),ROUND(VLOOKUP(AJ$4,Preisindex,2,FALSE)/VLOOKUP(Preisindex!$A$6,Preisindex,2,FALSE),2),0)))))</f>
        <v>0</v>
      </c>
      <c r="AL257" s="51">
        <f>IF(AND($E257&lt;&gt;0,$F257&gt;0,YEAR($F257)&lt;=AJ$4,YEAR($F257)&gt;=Preisindex!$A$6),ROUND($E257*AJ257,2),IF(AND($E257&lt;&gt;0,$F257&gt;0,YEAR($F257)&lt;=AJ$4,YEAR($F257)&lt;Preisindex!$A$6),ROUND($E257*AK257,2),0))</f>
        <v>0</v>
      </c>
      <c r="AM257" s="53">
        <f t="shared" si="707"/>
        <v>0</v>
      </c>
      <c r="AN257" s="51">
        <f t="shared" si="752"/>
        <v>0</v>
      </c>
      <c r="AO257" s="51">
        <f t="shared" si="710"/>
        <v>0</v>
      </c>
      <c r="AP257" s="51">
        <f t="shared" si="624"/>
        <v>0</v>
      </c>
      <c r="AQ257" s="51">
        <f t="shared" si="711"/>
        <v>0</v>
      </c>
      <c r="AR257" s="51">
        <f t="shared" si="625"/>
        <v>0</v>
      </c>
      <c r="AS257" s="51">
        <f t="shared" si="712"/>
        <v>0</v>
      </c>
      <c r="AT257" s="51">
        <f t="shared" si="626"/>
        <v>0</v>
      </c>
      <c r="AU257" s="51">
        <f t="shared" si="713"/>
        <v>0</v>
      </c>
      <c r="AV257" s="51">
        <f t="shared" si="627"/>
        <v>0</v>
      </c>
      <c r="AW257" s="51">
        <f t="shared" si="714"/>
        <v>0</v>
      </c>
      <c r="AX257" s="51">
        <f t="shared" si="628"/>
        <v>0</v>
      </c>
      <c r="AY257" s="54">
        <f t="shared" si="629"/>
        <v>0</v>
      </c>
      <c r="AZ257" s="55">
        <f t="shared" si="630"/>
        <v>0</v>
      </c>
      <c r="BA257" s="56">
        <f>IF(AND($E257&lt;&gt;0,$F257&gt;0,YEAR($F257)&gt;=Preisindex!$A$6,YEAR(AV$4)&gt;=YEAR($F257),AND($K257&lt;&gt;"a",$K257&lt;&gt;"b",$K257&lt;&gt;"g",$K257&lt;&gt;"k")),1,IF(AND($E257&lt;&gt;0,$F257&gt;0,YEAR($F257)&gt;=Preisindex!$A$6,YEAR(AV$4)&gt;=YEAR($F257),$K257="a"),ROUND(VLOOKUP(BA$4,Preisindex,5,FALSE)/VLOOKUP(YEAR($F257),Preisindex,5,FALSE),2),IF(AND($E257&lt;&gt;0,$F257&gt;0,YEAR($F257)&gt;=Preisindex!$A$6,YEAR(AV$4)&gt;=YEAR($F257),$K257="b"),ROUND(VLOOKUP(BA$4,Preisindex,3,FALSE)/VLOOKUP(YEAR($F257),Preisindex,3,FALSE),2),IF(AND($E257&lt;&gt;0,$F257&gt;0,YEAR($F257)&gt;=Preisindex!$A$6,YEAR(AV$4)&gt;=YEAR($F257),$K257="g"),ROUND(VLOOKUP(BA$4,Preisindex,4,FALSE)/VLOOKUP(YEAR($F257),Preisindex,4,FALSE),2),IF(AND($E257&lt;&gt;0,$F257&gt;0,YEAR($F257)&gt;=Preisindex!$A$6,YEAR(AV$4)&gt;=YEAR($F257),$K257="k"),ROUND(VLOOKUP(BA$4,Preisindex,2,FALSE)/VLOOKUP(YEAR($F257),Preisindex,2,FALSE),2),0)))))</f>
        <v>0</v>
      </c>
      <c r="BB257" s="56">
        <f>IF(AND($E257&lt;&gt;0,$F257&gt;0,YEAR($F257)&lt;Preisindex!$A$6,YEAR(AV$4)&gt;=YEAR($F257),AND($K257&lt;&gt;"a",$K257&lt;&gt;"b",$K257&lt;&gt;"g",$K257&lt;&gt;"k")),1,IF(AND($E257&lt;&gt;0,$F257&gt;0,YEAR($F257)&lt;Preisindex!$A$6,YEAR(AV$4)&gt;=YEAR($F257),$K257="a"),ROUND(VLOOKUP(BA$4,Preisindex,5,FALSE)/VLOOKUP(Preisindex!$A$6,Preisindex,5,FALSE),2),IF(AND($E257&lt;&gt;0,$F257&gt;0,YEAR($F257)&lt;Preisindex!$A$6,YEAR(AV$4)&gt;=YEAR($F257),$K257="b"),ROUND(VLOOKUP(BA$4,Preisindex,3,FALSE)/VLOOKUP(Preisindex!$A$6,Preisindex,3,FALSE),2),IF(AND($E257&lt;&gt;0,$F257&gt;0,YEAR($F257)&lt;Preisindex!$A$6,YEAR(AV$4)&gt;=YEAR($F257),$K257="g"),ROUND(VLOOKUP(BA$4,Preisindex,4,FALSE)/VLOOKUP(Preisindex!$A$6,Preisindex,4,FALSE),2),IF(AND($E257&lt;&gt;0,$F257&gt;0,YEAR($F257)&lt;Preisindex!$A$6,YEAR(AV$4)&gt;=YEAR($F257),$K257="k"),ROUND(VLOOKUP(BA$4,Preisindex,2,FALSE)/VLOOKUP(Preisindex!$A$6,Preisindex,2,FALSE),2),0)))))</f>
        <v>0</v>
      </c>
      <c r="BC257" s="51">
        <f>IF(AND($E257&lt;&gt;0,$F257&gt;0,YEAR($F257)&lt;=BA$4,YEAR($F257)&gt;=Preisindex!$A$6),ROUND($E257*BA257,2),IF(AND($E257&lt;&gt;0,$F257&gt;0,YEAR($F257)&lt;=BA$4,YEAR($F257)&lt;Preisindex!$A$6),ROUND($E257*BB257,2),0))</f>
        <v>0</v>
      </c>
      <c r="BD257" s="53">
        <f t="shared" si="631"/>
        <v>0</v>
      </c>
      <c r="BE257" s="51">
        <f t="shared" si="752"/>
        <v>0</v>
      </c>
      <c r="BF257" s="51">
        <f t="shared" si="715"/>
        <v>0</v>
      </c>
      <c r="BG257" s="51">
        <f t="shared" si="632"/>
        <v>0</v>
      </c>
      <c r="BH257" s="51">
        <f t="shared" si="716"/>
        <v>0</v>
      </c>
      <c r="BI257" s="51">
        <f t="shared" si="633"/>
        <v>0</v>
      </c>
      <c r="BJ257" s="51">
        <f t="shared" si="717"/>
        <v>0</v>
      </c>
      <c r="BK257" s="51">
        <f t="shared" si="634"/>
        <v>0</v>
      </c>
      <c r="BL257" s="51">
        <f t="shared" si="718"/>
        <v>0</v>
      </c>
      <c r="BM257" s="51">
        <f t="shared" si="635"/>
        <v>0</v>
      </c>
      <c r="BN257" s="51">
        <f t="shared" si="719"/>
        <v>0</v>
      </c>
      <c r="BO257" s="51">
        <f t="shared" si="636"/>
        <v>0</v>
      </c>
      <c r="BP257" s="54">
        <f t="shared" si="637"/>
        <v>0</v>
      </c>
      <c r="BQ257" s="55">
        <f t="shared" si="638"/>
        <v>0</v>
      </c>
      <c r="BR257" s="56">
        <f>IF(AND($E257&lt;&gt;0,$F257&gt;0,YEAR($F257)&gt;=Preisindex!$A$6,YEAR(BM$4)&gt;=YEAR($F257),AND($K257&lt;&gt;"a",$K257&lt;&gt;"b",$K257&lt;&gt;"g",$K257&lt;&gt;"k")),1,IF(AND($E257&lt;&gt;0,$F257&gt;0,YEAR($F257)&gt;=Preisindex!$A$6,YEAR(BM$4)&gt;=YEAR($F257),$K257="a"),ROUND(VLOOKUP(BR$4,Preisindex,5,FALSE)/VLOOKUP(YEAR($F257),Preisindex,5,FALSE),2),IF(AND($E257&lt;&gt;0,$F257&gt;0,YEAR($F257)&gt;=Preisindex!$A$6,YEAR(BM$4)&gt;=YEAR($F257),$K257="b"),ROUND(VLOOKUP(BR$4,Preisindex,3,FALSE)/VLOOKUP(YEAR($F257),Preisindex,3,FALSE),2),IF(AND($E257&lt;&gt;0,$F257&gt;0,YEAR($F257)&gt;=Preisindex!$A$6,YEAR(BM$4)&gt;=YEAR($F257),$K257="g"),ROUND(VLOOKUP(BR$4,Preisindex,4,FALSE)/VLOOKUP(YEAR($F257),Preisindex,4,FALSE),2),IF(AND($E257&lt;&gt;0,$F257&gt;0,YEAR($F257)&gt;=Preisindex!$A$6,YEAR(BM$4)&gt;=YEAR($F257),$K257="k"),ROUND(VLOOKUP(BR$4,Preisindex,2,FALSE)/VLOOKUP(YEAR($F257),Preisindex,2,FALSE),2),0)))))</f>
        <v>0</v>
      </c>
      <c r="BS257" s="56">
        <f>IF(AND($E257&lt;&gt;0,$F257&gt;0,YEAR($F257)&lt;Preisindex!$A$6,YEAR(BM$4)&gt;=YEAR($F257),AND($K257&lt;&gt;"a",$K257&lt;&gt;"b",$K257&lt;&gt;"g",$K257&lt;&gt;"k")),1,IF(AND($E257&lt;&gt;0,$F257&gt;0,YEAR($F257)&lt;Preisindex!$A$6,YEAR(BM$4)&gt;=YEAR($F257),$K257="a"),ROUND(VLOOKUP(BR$4,Preisindex,5,FALSE)/VLOOKUP(Preisindex!$A$6,Preisindex,5,FALSE),2),IF(AND($E257&lt;&gt;0,$F257&gt;0,YEAR($F257)&lt;Preisindex!$A$6,YEAR(BM$4)&gt;=YEAR($F257),$K257="b"),ROUND(VLOOKUP(BR$4,Preisindex,3,FALSE)/VLOOKUP(Preisindex!$A$6,Preisindex,3,FALSE),2),IF(AND($E257&lt;&gt;0,$F257&gt;0,YEAR($F257)&lt;Preisindex!$A$6,YEAR(BM$4)&gt;=YEAR($F257),$K257="g"),ROUND(VLOOKUP(BR$4,Preisindex,4,FALSE)/VLOOKUP(Preisindex!$A$6,Preisindex,4,FALSE),2),IF(AND($E257&lt;&gt;0,$F257&gt;0,YEAR($F257)&lt;Preisindex!$A$6,YEAR(BM$4)&gt;=YEAR($F257),$K257="k"),ROUND(VLOOKUP(BR$4,Preisindex,2,FALSE)/VLOOKUP(Preisindex!$A$6,Preisindex,2,FALSE),2),0)))))</f>
        <v>0</v>
      </c>
      <c r="BT257" s="51">
        <f>IF(AND($E257&lt;&gt;0,$F257&gt;0,YEAR($F257)&lt;=BR$4,YEAR($F257)&gt;=Preisindex!$A$6),ROUND($E257*BR257,2),IF(AND($E257&lt;&gt;0,$F257&gt;0,YEAR($F257)&lt;=BR$4,YEAR($F257)&lt;Preisindex!$A$6),ROUND($E257*BS257,2),0))</f>
        <v>0</v>
      </c>
      <c r="BU257" s="53">
        <f t="shared" si="639"/>
        <v>0</v>
      </c>
      <c r="BV257" s="51">
        <f t="shared" si="752"/>
        <v>0</v>
      </c>
      <c r="BW257" s="51">
        <f t="shared" si="720"/>
        <v>0</v>
      </c>
      <c r="BX257" s="51">
        <f t="shared" si="640"/>
        <v>0</v>
      </c>
      <c r="BY257" s="51">
        <f t="shared" si="721"/>
        <v>0</v>
      </c>
      <c r="BZ257" s="51">
        <f t="shared" si="641"/>
        <v>0</v>
      </c>
      <c r="CA257" s="51">
        <f t="shared" si="722"/>
        <v>0</v>
      </c>
      <c r="CB257" s="51">
        <f t="shared" si="642"/>
        <v>0</v>
      </c>
      <c r="CC257" s="51">
        <f t="shared" si="723"/>
        <v>0</v>
      </c>
      <c r="CD257" s="51">
        <f t="shared" si="643"/>
        <v>0</v>
      </c>
      <c r="CE257" s="51">
        <f t="shared" si="724"/>
        <v>0</v>
      </c>
      <c r="CF257" s="51">
        <f t="shared" si="644"/>
        <v>0</v>
      </c>
      <c r="CG257" s="54">
        <f t="shared" si="645"/>
        <v>0</v>
      </c>
      <c r="CH257" s="55">
        <f t="shared" si="646"/>
        <v>0</v>
      </c>
      <c r="CI257" s="56">
        <f>IF(AND($E257&lt;&gt;0,$F257&gt;0,YEAR($F257)&gt;=Preisindex!$A$6,YEAR(CD$4)&gt;=YEAR($F257),AND($K257&lt;&gt;"a",$K257&lt;&gt;"b",$K257&lt;&gt;"g",$K257&lt;&gt;"k")),1,IF(AND($E257&lt;&gt;0,$F257&gt;0,YEAR($F257)&gt;=Preisindex!$A$6,YEAR(CD$4)&gt;=YEAR($F257),$K257="a"),ROUND(VLOOKUP(CI$4,Preisindex,5,FALSE)/VLOOKUP(YEAR($F257),Preisindex,5,FALSE),2),IF(AND($E257&lt;&gt;0,$F257&gt;0,YEAR($F257)&gt;=Preisindex!$A$6,YEAR(CD$4)&gt;=YEAR($F257),$K257="b"),ROUND(VLOOKUP(CI$4,Preisindex,3,FALSE)/VLOOKUP(YEAR($F257),Preisindex,3,FALSE),2),IF(AND($E257&lt;&gt;0,$F257&gt;0,YEAR($F257)&gt;=Preisindex!$A$6,YEAR(CD$4)&gt;=YEAR($F257),$K257="g"),ROUND(VLOOKUP(CI$4,Preisindex,4,FALSE)/VLOOKUP(YEAR($F257),Preisindex,4,FALSE),2),IF(AND($E257&lt;&gt;0,$F257&gt;0,YEAR($F257)&gt;=Preisindex!$A$6,YEAR(CD$4)&gt;=YEAR($F257),$K257="k"),ROUND(VLOOKUP(CI$4,Preisindex,2,FALSE)/VLOOKUP(YEAR($F257),Preisindex,2,FALSE),2),0)))))</f>
        <v>0</v>
      </c>
      <c r="CJ257" s="56">
        <f>IF(AND($E257&lt;&gt;0,$F257&gt;0,YEAR($F257)&lt;Preisindex!$A$6,YEAR(CD$4)&gt;=YEAR($F257),AND($K257&lt;&gt;"a",$K257&lt;&gt;"b",$K257&lt;&gt;"g",$K257&lt;&gt;"k")),1,IF(AND($E257&lt;&gt;0,$F257&gt;0,YEAR($F257)&lt;Preisindex!$A$6,YEAR(CD$4)&gt;=YEAR($F257),$K257="a"),ROUND(VLOOKUP(CI$4,Preisindex,5,FALSE)/VLOOKUP(Preisindex!$A$6,Preisindex,5,FALSE),2),IF(AND($E257&lt;&gt;0,$F257&gt;0,YEAR($F257)&lt;Preisindex!$A$6,YEAR(CD$4)&gt;=YEAR($F257),$K257="b"),ROUND(VLOOKUP(CI$4,Preisindex,3,FALSE)/VLOOKUP(Preisindex!$A$6,Preisindex,3,FALSE),2),IF(AND($E257&lt;&gt;0,$F257&gt;0,YEAR($F257)&lt;Preisindex!$A$6,YEAR(CD$4)&gt;=YEAR($F257),$K257="g"),ROUND(VLOOKUP(CI$4,Preisindex,4,FALSE)/VLOOKUP(Preisindex!$A$6,Preisindex,4,FALSE),2),IF(AND($E257&lt;&gt;0,$F257&gt;0,YEAR($F257)&lt;Preisindex!$A$6,YEAR(CD$4)&gt;=YEAR($F257),$K257="k"),ROUND(VLOOKUP(CI$4,Preisindex,2,FALSE)/VLOOKUP(Preisindex!$A$6,Preisindex,2,FALSE),2),0)))))</f>
        <v>0</v>
      </c>
      <c r="CK257" s="51">
        <f>IF(AND($E257&lt;&gt;0,$F257&gt;0,YEAR($F257)&lt;=CI$4,YEAR($F257)&gt;=Preisindex!$A$6),ROUND($E257*CI257,2),IF(AND($E257&lt;&gt;0,$F257&gt;0,YEAR($F257)&lt;=CI$4,YEAR($F257)&lt;Preisindex!$A$6),ROUND($E257*CJ257,2),0))</f>
        <v>0</v>
      </c>
      <c r="CL257" s="53">
        <f t="shared" si="647"/>
        <v>0</v>
      </c>
      <c r="CM257" s="51">
        <f t="shared" si="752"/>
        <v>0</v>
      </c>
      <c r="CN257" s="51">
        <f t="shared" si="725"/>
        <v>0</v>
      </c>
      <c r="CO257" s="51">
        <f t="shared" si="648"/>
        <v>0</v>
      </c>
      <c r="CP257" s="51">
        <f t="shared" si="726"/>
        <v>0</v>
      </c>
      <c r="CQ257" s="51">
        <f t="shared" si="649"/>
        <v>0</v>
      </c>
      <c r="CR257" s="51">
        <f t="shared" si="727"/>
        <v>0</v>
      </c>
      <c r="CS257" s="51">
        <f t="shared" si="650"/>
        <v>0</v>
      </c>
      <c r="CT257" s="51">
        <f t="shared" si="728"/>
        <v>0</v>
      </c>
      <c r="CU257" s="51">
        <f t="shared" si="651"/>
        <v>0</v>
      </c>
      <c r="CV257" s="51">
        <f t="shared" si="729"/>
        <v>0</v>
      </c>
      <c r="CW257" s="51">
        <f t="shared" si="652"/>
        <v>0</v>
      </c>
      <c r="CX257" s="54">
        <f t="shared" si="653"/>
        <v>0</v>
      </c>
      <c r="CY257" s="55">
        <f t="shared" si="654"/>
        <v>0</v>
      </c>
      <c r="CZ257" s="56">
        <f>IF(AND($E257&lt;&gt;0,$F257&gt;0,YEAR($F257)&gt;=Preisindex!$A$6,YEAR(CU$4)&gt;=YEAR($F257),AND($K257&lt;&gt;"a",$K257&lt;&gt;"b",$K257&lt;&gt;"g",$K257&lt;&gt;"k")),1,IF(AND($E257&lt;&gt;0,$F257&gt;0,YEAR($F257)&gt;=Preisindex!$A$6,YEAR(CU$4)&gt;=YEAR($F257),$K257="a"),ROUND(VLOOKUP(CZ$4,Preisindex,5,FALSE)/VLOOKUP(YEAR($F257),Preisindex,5,FALSE),2),IF(AND($E257&lt;&gt;0,$F257&gt;0,YEAR($F257)&gt;=Preisindex!$A$6,YEAR(CU$4)&gt;=YEAR($F257),$K257="b"),ROUND(VLOOKUP(CZ$4,Preisindex,3,FALSE)/VLOOKUP(YEAR($F257),Preisindex,3,FALSE),2),IF(AND($E257&lt;&gt;0,$F257&gt;0,YEAR($F257)&gt;=Preisindex!$A$6,YEAR(CU$4)&gt;=YEAR($F257),$K257="g"),ROUND(VLOOKUP(CZ$4,Preisindex,4,FALSE)/VLOOKUP(YEAR($F257),Preisindex,4,FALSE),2),IF(AND($E257&lt;&gt;0,$F257&gt;0,YEAR($F257)&gt;=Preisindex!$A$6,YEAR(CU$4)&gt;=YEAR($F257),$K257="k"),ROUND(VLOOKUP(CZ$4,Preisindex,2,FALSE)/VLOOKUP(YEAR($F257),Preisindex,2,FALSE),2),0)))))</f>
        <v>0</v>
      </c>
      <c r="DA257" s="56">
        <f>IF(AND($E257&lt;&gt;0,$F257&gt;0,YEAR($F257)&lt;Preisindex!$A$6,YEAR(CU$4)&gt;=YEAR($F257),AND($K257&lt;&gt;"a",$K257&lt;&gt;"b",$K257&lt;&gt;"g",$K257&lt;&gt;"k")),1,IF(AND($E257&lt;&gt;0,$F257&gt;0,YEAR($F257)&lt;Preisindex!$A$6,YEAR(CU$4)&gt;=YEAR($F257),$K257="a"),ROUND(VLOOKUP(CZ$4,Preisindex,5,FALSE)/VLOOKUP(Preisindex!$A$6,Preisindex,5,FALSE),2),IF(AND($E257&lt;&gt;0,$F257&gt;0,YEAR($F257)&lt;Preisindex!$A$6,YEAR(CU$4)&gt;=YEAR($F257),$K257="b"),ROUND(VLOOKUP(CZ$4,Preisindex,3,FALSE)/VLOOKUP(Preisindex!$A$6,Preisindex,3,FALSE),2),IF(AND($E257&lt;&gt;0,$F257&gt;0,YEAR($F257)&lt;Preisindex!$A$6,YEAR(CU$4)&gt;=YEAR($F257),$K257="g"),ROUND(VLOOKUP(CZ$4,Preisindex,4,FALSE)/VLOOKUP(Preisindex!$A$6,Preisindex,4,FALSE),2),IF(AND($E257&lt;&gt;0,$F257&gt;0,YEAR($F257)&lt;Preisindex!$A$6,YEAR(CU$4)&gt;=YEAR($F257),$K257="k"),ROUND(VLOOKUP(CZ$4,Preisindex,2,FALSE)/VLOOKUP(Preisindex!$A$6,Preisindex,2,FALSE),2),0)))))</f>
        <v>0</v>
      </c>
      <c r="DB257" s="51">
        <f>IF(AND($E257&lt;&gt;0,$F257&gt;0,YEAR($F257)&lt;=CZ$4,YEAR($F257)&gt;=Preisindex!$A$6),ROUND($E257*CZ257,2),IF(AND($E257&lt;&gt;0,$F257&gt;0,YEAR($F257)&lt;=CZ$4,YEAR($F257)&lt;Preisindex!$A$6),ROUND($E257*DA257,2),0))</f>
        <v>0</v>
      </c>
      <c r="DC257" s="53">
        <f t="shared" si="655"/>
        <v>0</v>
      </c>
      <c r="DD257" s="51">
        <f t="shared" si="753"/>
        <v>0</v>
      </c>
      <c r="DE257" s="51">
        <f t="shared" si="730"/>
        <v>0</v>
      </c>
      <c r="DF257" s="51">
        <f t="shared" si="657"/>
        <v>0</v>
      </c>
      <c r="DG257" s="51">
        <f t="shared" si="731"/>
        <v>0</v>
      </c>
      <c r="DH257" s="51">
        <f t="shared" si="658"/>
        <v>0</v>
      </c>
      <c r="DI257" s="51">
        <f t="shared" si="732"/>
        <v>0</v>
      </c>
      <c r="DJ257" s="51">
        <f t="shared" si="659"/>
        <v>0</v>
      </c>
      <c r="DK257" s="51">
        <f t="shared" si="733"/>
        <v>0</v>
      </c>
      <c r="DL257" s="51">
        <f t="shared" si="660"/>
        <v>0</v>
      </c>
      <c r="DM257" s="51">
        <f t="shared" si="734"/>
        <v>0</v>
      </c>
      <c r="DN257" s="51">
        <f t="shared" si="661"/>
        <v>0</v>
      </c>
      <c r="DO257" s="54">
        <f t="shared" si="662"/>
        <v>0</v>
      </c>
      <c r="DP257" s="55">
        <f t="shared" si="663"/>
        <v>0</v>
      </c>
      <c r="DQ257" s="56">
        <f>IF(AND($E257&lt;&gt;0,$F257&gt;0,YEAR($F257)&gt;=Preisindex!$A$6,YEAR(DL$4)&gt;=YEAR($F257),AND($K257&lt;&gt;"a",$K257&lt;&gt;"b",$K257&lt;&gt;"g",$K257&lt;&gt;"k")),1,IF(AND($E257&lt;&gt;0,$F257&gt;0,YEAR($F257)&gt;=Preisindex!$A$6,YEAR(DL$4)&gt;=YEAR($F257),$K257="a"),ROUND(VLOOKUP(DQ$4,Preisindex,5,FALSE)/VLOOKUP(YEAR($F257),Preisindex,5,FALSE),2),IF(AND($E257&lt;&gt;0,$F257&gt;0,YEAR($F257)&gt;=Preisindex!$A$6,YEAR(DL$4)&gt;=YEAR($F257),$K257="b"),ROUND(VLOOKUP(DQ$4,Preisindex,3,FALSE)/VLOOKUP(YEAR($F257),Preisindex,3,FALSE),2),IF(AND($E257&lt;&gt;0,$F257&gt;0,YEAR($F257)&gt;=Preisindex!$A$6,YEAR(DL$4)&gt;=YEAR($F257),$K257="g"),ROUND(VLOOKUP(DQ$4,Preisindex,4,FALSE)/VLOOKUP(YEAR($F257),Preisindex,4,FALSE),2),IF(AND($E257&lt;&gt;0,$F257&gt;0,YEAR($F257)&gt;=Preisindex!$A$6,YEAR(DL$4)&gt;=YEAR($F257),$K257="k"),ROUND(VLOOKUP(DQ$4,Preisindex,2,FALSE)/VLOOKUP(YEAR($F257),Preisindex,2,FALSE),2),0)))))</f>
        <v>0</v>
      </c>
      <c r="DR257" s="56">
        <f>IF(AND($E257&lt;&gt;0,$F257&gt;0,YEAR($F257)&lt;Preisindex!$A$6,YEAR(DL$4)&gt;=YEAR($F257),AND($K257&lt;&gt;"a",$K257&lt;&gt;"b",$K257&lt;&gt;"g",$K257&lt;&gt;"k")),1,IF(AND($E257&lt;&gt;0,$F257&gt;0,YEAR($F257)&lt;Preisindex!$A$6,YEAR(DL$4)&gt;=YEAR($F257),$K257="a"),ROUND(VLOOKUP(DQ$4,Preisindex,5,FALSE)/VLOOKUP(Preisindex!$A$6,Preisindex,5,FALSE),2),IF(AND($E257&lt;&gt;0,$F257&gt;0,YEAR($F257)&lt;Preisindex!$A$6,YEAR(DL$4)&gt;=YEAR($F257),$K257="b"),ROUND(VLOOKUP(DQ$4,Preisindex,3,FALSE)/VLOOKUP(Preisindex!$A$6,Preisindex,3,FALSE),2),IF(AND($E257&lt;&gt;0,$F257&gt;0,YEAR($F257)&lt;Preisindex!$A$6,YEAR(DL$4)&gt;=YEAR($F257),$K257="g"),ROUND(VLOOKUP(DQ$4,Preisindex,4,FALSE)/VLOOKUP(Preisindex!$A$6,Preisindex,4,FALSE),2),IF(AND($E257&lt;&gt;0,$F257&gt;0,YEAR($F257)&lt;Preisindex!$A$6,YEAR(DL$4)&gt;=YEAR($F257),$K257="k"),ROUND(VLOOKUP(DQ$4,Preisindex,2,FALSE)/VLOOKUP(Preisindex!$A$6,Preisindex,2,FALSE),2),0)))))</f>
        <v>0</v>
      </c>
      <c r="DS257" s="51">
        <f>IF(AND($E257&lt;&gt;0,$F257&gt;0,YEAR($F257)&lt;=DQ$4,YEAR($F257)&gt;=Preisindex!$A$6),ROUND($E257*DQ257,2),IF(AND($E257&lt;&gt;0,$F257&gt;0,YEAR($F257)&lt;=DQ$4,YEAR($F257)&lt;Preisindex!$A$6),ROUND($E257*DR257,2),0))</f>
        <v>0</v>
      </c>
      <c r="DT257" s="53">
        <f t="shared" si="664"/>
        <v>0</v>
      </c>
      <c r="DU257" s="51">
        <f t="shared" si="753"/>
        <v>0</v>
      </c>
      <c r="DV257" s="51">
        <f t="shared" si="735"/>
        <v>0</v>
      </c>
      <c r="DW257" s="51">
        <f t="shared" si="665"/>
        <v>0</v>
      </c>
      <c r="DX257" s="51">
        <f t="shared" si="736"/>
        <v>0</v>
      </c>
      <c r="DY257" s="51">
        <f t="shared" si="666"/>
        <v>0</v>
      </c>
      <c r="DZ257" s="51">
        <f t="shared" si="737"/>
        <v>0</v>
      </c>
      <c r="EA257" s="51">
        <f t="shared" si="667"/>
        <v>0</v>
      </c>
      <c r="EB257" s="51">
        <f t="shared" si="738"/>
        <v>0</v>
      </c>
      <c r="EC257" s="51">
        <f t="shared" si="668"/>
        <v>0</v>
      </c>
      <c r="ED257" s="51">
        <f t="shared" si="739"/>
        <v>0</v>
      </c>
      <c r="EE257" s="51">
        <f t="shared" si="669"/>
        <v>0</v>
      </c>
      <c r="EF257" s="54">
        <f t="shared" si="670"/>
        <v>0</v>
      </c>
      <c r="EG257" s="55">
        <f t="shared" si="671"/>
        <v>0</v>
      </c>
      <c r="EH257" s="56">
        <f>IF(AND($E257&lt;&gt;0,$F257&gt;0,YEAR($F257)&gt;=Preisindex!$A$6,YEAR(EC$4)&gt;=YEAR($F257),AND($K257&lt;&gt;"a",$K257&lt;&gt;"b",$K257&lt;&gt;"g",$K257&lt;&gt;"k")),1,IF(AND($E257&lt;&gt;0,$F257&gt;0,YEAR($F257)&gt;=Preisindex!$A$6,YEAR(EC$4)&gt;=YEAR($F257),$K257="a"),ROUND(VLOOKUP(EH$4,Preisindex,5,FALSE)/VLOOKUP(YEAR($F257),Preisindex,5,FALSE),2),IF(AND($E257&lt;&gt;0,$F257&gt;0,YEAR($F257)&gt;=Preisindex!$A$6,YEAR(EC$4)&gt;=YEAR($F257),$K257="b"),ROUND(VLOOKUP(EH$4,Preisindex,3,FALSE)/VLOOKUP(YEAR($F257),Preisindex,3,FALSE),2),IF(AND($E257&lt;&gt;0,$F257&gt;0,YEAR($F257)&gt;=Preisindex!$A$6,YEAR(EC$4)&gt;=YEAR($F257),$K257="g"),ROUND(VLOOKUP(EH$4,Preisindex,4,FALSE)/VLOOKUP(YEAR($F257),Preisindex,4,FALSE),2),IF(AND($E257&lt;&gt;0,$F257&gt;0,YEAR($F257)&gt;=Preisindex!$A$6,YEAR(EC$4)&gt;=YEAR($F257),$K257="k"),ROUND(VLOOKUP(EH$4,Preisindex,2,FALSE)/VLOOKUP(YEAR($F257),Preisindex,2,FALSE),2),0)))))</f>
        <v>0</v>
      </c>
      <c r="EI257" s="56">
        <f>IF(AND($E257&lt;&gt;0,$F257&gt;0,YEAR($F257)&lt;Preisindex!$A$6,YEAR(EC$4)&gt;=YEAR($F257),AND($K257&lt;&gt;"a",$K257&lt;&gt;"b",$K257&lt;&gt;"g",$K257&lt;&gt;"k")),1,IF(AND($E257&lt;&gt;0,$F257&gt;0,YEAR($F257)&lt;Preisindex!$A$6,YEAR(EC$4)&gt;=YEAR($F257),$K257="a"),ROUND(VLOOKUP(EH$4,Preisindex,5,FALSE)/VLOOKUP(Preisindex!$A$6,Preisindex,5,FALSE),2),IF(AND($E257&lt;&gt;0,$F257&gt;0,YEAR($F257)&lt;Preisindex!$A$6,YEAR(EC$4)&gt;=YEAR($F257),$K257="b"),ROUND(VLOOKUP(EH$4,Preisindex,3,FALSE)/VLOOKUP(Preisindex!$A$6,Preisindex,3,FALSE),2),IF(AND($E257&lt;&gt;0,$F257&gt;0,YEAR($F257)&lt;Preisindex!$A$6,YEAR(EC$4)&gt;=YEAR($F257),$K257="g"),ROUND(VLOOKUP(EH$4,Preisindex,4,FALSE)/VLOOKUP(Preisindex!$A$6,Preisindex,4,FALSE),2),IF(AND($E257&lt;&gt;0,$F257&gt;0,YEAR($F257)&lt;Preisindex!$A$6,YEAR(EC$4)&gt;=YEAR($F257),$K257="k"),ROUND(VLOOKUP(EH$4,Preisindex,2,FALSE)/VLOOKUP(Preisindex!$A$6,Preisindex,2,FALSE),2),0)))))</f>
        <v>0</v>
      </c>
      <c r="EJ257" s="51">
        <f>IF(AND($E257&lt;&gt;0,$F257&gt;0,YEAR($F257)&lt;=EH$4,YEAR($F257)&gt;=Preisindex!$A$6),ROUND($E257*EH257,2),IF(AND($E257&lt;&gt;0,$F257&gt;0,YEAR($F257)&lt;=EH$4,YEAR($F257)&lt;Preisindex!$A$6),ROUND($E257*EI257,2),0))</f>
        <v>0</v>
      </c>
      <c r="EK257" s="53">
        <f t="shared" si="672"/>
        <v>0</v>
      </c>
      <c r="EL257" s="51">
        <f t="shared" si="753"/>
        <v>0</v>
      </c>
      <c r="EM257" s="51">
        <f t="shared" si="740"/>
        <v>0</v>
      </c>
      <c r="EN257" s="51">
        <f t="shared" si="673"/>
        <v>0</v>
      </c>
      <c r="EO257" s="51">
        <f t="shared" si="741"/>
        <v>0</v>
      </c>
      <c r="EP257" s="51">
        <f t="shared" si="674"/>
        <v>0</v>
      </c>
      <c r="EQ257" s="51">
        <f t="shared" si="742"/>
        <v>0</v>
      </c>
      <c r="ER257" s="51">
        <f t="shared" si="675"/>
        <v>0</v>
      </c>
      <c r="ES257" s="51">
        <f t="shared" si="743"/>
        <v>0</v>
      </c>
      <c r="ET257" s="51">
        <f t="shared" si="676"/>
        <v>0</v>
      </c>
      <c r="EU257" s="51">
        <f t="shared" si="744"/>
        <v>0</v>
      </c>
      <c r="EV257" s="51">
        <f t="shared" si="677"/>
        <v>0</v>
      </c>
      <c r="EW257" s="54">
        <f t="shared" si="678"/>
        <v>0</v>
      </c>
      <c r="EX257" s="55">
        <f t="shared" si="679"/>
        <v>0</v>
      </c>
      <c r="EY257" s="56">
        <f>IF(AND($E257&lt;&gt;0,$F257&gt;0,YEAR($F257)&gt;=Preisindex!$A$6,YEAR(ET$4)&gt;=YEAR($F257),AND($K257&lt;&gt;"a",$K257&lt;&gt;"b",$K257&lt;&gt;"g",$K257&lt;&gt;"k")),1,IF(AND($E257&lt;&gt;0,$F257&gt;0,YEAR($F257)&gt;=Preisindex!$A$6,YEAR(ET$4)&gt;=YEAR($F257),$K257="a"),ROUND(VLOOKUP(EY$4,Preisindex,5,FALSE)/VLOOKUP(YEAR($F257),Preisindex,5,FALSE),2),IF(AND($E257&lt;&gt;0,$F257&gt;0,YEAR($F257)&gt;=Preisindex!$A$6,YEAR(ET$4)&gt;=YEAR($F257),$K257="b"),ROUND(VLOOKUP(EY$4,Preisindex,3,FALSE)/VLOOKUP(YEAR($F257),Preisindex,3,FALSE),2),IF(AND($E257&lt;&gt;0,$F257&gt;0,YEAR($F257)&gt;=Preisindex!$A$6,YEAR(ET$4)&gt;=YEAR($F257),$K257="g"),ROUND(VLOOKUP(EY$4,Preisindex,4,FALSE)/VLOOKUP(YEAR($F257),Preisindex,4,FALSE),2),IF(AND($E257&lt;&gt;0,$F257&gt;0,YEAR($F257)&gt;=Preisindex!$A$6,YEAR(ET$4)&gt;=YEAR($F257),$K257="k"),ROUND(VLOOKUP(EY$4,Preisindex,2,FALSE)/VLOOKUP(YEAR($F257),Preisindex,2,FALSE),2),0)))))</f>
        <v>0</v>
      </c>
      <c r="EZ257" s="56">
        <f>IF(AND($E257&lt;&gt;0,$F257&gt;0,YEAR($F257)&lt;Preisindex!$A$6,YEAR(ET$4)&gt;=YEAR($F257),AND($K257&lt;&gt;"a",$K257&lt;&gt;"b",$K257&lt;&gt;"g",$K257&lt;&gt;"k")),1,IF(AND($E257&lt;&gt;0,$F257&gt;0,YEAR($F257)&lt;Preisindex!$A$6,YEAR(ET$4)&gt;=YEAR($F257),$K257="a"),ROUND(VLOOKUP(EY$4,Preisindex,5,FALSE)/VLOOKUP(Preisindex!$A$6,Preisindex,5,FALSE),2),IF(AND($E257&lt;&gt;0,$F257&gt;0,YEAR($F257)&lt;Preisindex!$A$6,YEAR(ET$4)&gt;=YEAR($F257),$K257="b"),ROUND(VLOOKUP(EY$4,Preisindex,3,FALSE)/VLOOKUP(Preisindex!$A$6,Preisindex,3,FALSE),2),IF(AND($E257&lt;&gt;0,$F257&gt;0,YEAR($F257)&lt;Preisindex!$A$6,YEAR(ET$4)&gt;=YEAR($F257),$K257="g"),ROUND(VLOOKUP(EY$4,Preisindex,4,FALSE)/VLOOKUP(Preisindex!$A$6,Preisindex,4,FALSE),2),IF(AND($E257&lt;&gt;0,$F257&gt;0,YEAR($F257)&lt;Preisindex!$A$6,YEAR(ET$4)&gt;=YEAR($F257),$K257="k"),ROUND(VLOOKUP(EY$4,Preisindex,2,FALSE)/VLOOKUP(Preisindex!$A$6,Preisindex,2,FALSE),2),0)))))</f>
        <v>0</v>
      </c>
      <c r="FA257" s="51">
        <f>IF(AND($E257&lt;&gt;0,$F257&gt;0,YEAR($F257)&lt;=EY$4,YEAR($F257)&gt;=Preisindex!$A$6),ROUND($E257*EY257,2),IF(AND($E257&lt;&gt;0,$F257&gt;0,YEAR($F257)&lt;=EY$4,YEAR($F257)&lt;Preisindex!$A$6),ROUND($E257*EZ257,2),0))</f>
        <v>0</v>
      </c>
      <c r="FB257" s="53">
        <f t="shared" si="680"/>
        <v>0</v>
      </c>
      <c r="FC257" s="51">
        <f t="shared" si="753"/>
        <v>0</v>
      </c>
      <c r="FD257" s="51">
        <f t="shared" si="745"/>
        <v>0</v>
      </c>
      <c r="FE257" s="51">
        <f t="shared" si="681"/>
        <v>0</v>
      </c>
      <c r="FF257" s="51">
        <f t="shared" si="746"/>
        <v>0</v>
      </c>
      <c r="FG257" s="51">
        <f t="shared" si="682"/>
        <v>0</v>
      </c>
      <c r="FH257" s="51">
        <f t="shared" si="747"/>
        <v>0</v>
      </c>
      <c r="FI257" s="51">
        <f t="shared" si="683"/>
        <v>0</v>
      </c>
      <c r="FJ257" s="51">
        <f t="shared" si="748"/>
        <v>0</v>
      </c>
      <c r="FK257" s="51">
        <f t="shared" si="684"/>
        <v>0</v>
      </c>
      <c r="FL257" s="51">
        <f t="shared" si="749"/>
        <v>0</v>
      </c>
      <c r="FM257" s="51">
        <f t="shared" si="685"/>
        <v>0</v>
      </c>
      <c r="FN257" s="54">
        <f t="shared" si="686"/>
        <v>0</v>
      </c>
      <c r="FO257" s="55">
        <f t="shared" si="687"/>
        <v>0</v>
      </c>
      <c r="FP257" s="56">
        <f>IF(AND($E257&lt;&gt;0,$F257&gt;0,YEAR($F257)&gt;=Preisindex!$A$6,YEAR(FK$4)&gt;=YEAR($F257),AND($K257&lt;&gt;"a",$K257&lt;&gt;"b",$K257&lt;&gt;"g",$K257&lt;&gt;"k")),1,IF(AND($E257&lt;&gt;0,$F257&gt;0,YEAR($F257)&gt;=Preisindex!$A$6,YEAR(FK$4)&gt;=YEAR($F257),$K257="a"),ROUND(VLOOKUP(FP$4,Preisindex,5,FALSE)/VLOOKUP(YEAR($F257),Preisindex,5,FALSE),2),IF(AND($E257&lt;&gt;0,$F257&gt;0,YEAR($F257)&gt;=Preisindex!$A$6,YEAR(FK$4)&gt;=YEAR($F257),$K257="b"),ROUND(VLOOKUP(FP$4,Preisindex,3,FALSE)/VLOOKUP(YEAR($F257),Preisindex,3,FALSE),2),IF(AND($E257&lt;&gt;0,$F257&gt;0,YEAR($F257)&gt;=Preisindex!$A$6,YEAR(FK$4)&gt;=YEAR($F257),$K257="g"),ROUND(VLOOKUP(FP$4,Preisindex,4,FALSE)/VLOOKUP(YEAR($F257),Preisindex,4,FALSE),2),IF(AND($E257&lt;&gt;0,$F257&gt;0,YEAR($F257)&gt;=Preisindex!$A$6,YEAR(FK$4)&gt;=YEAR($F257),$K257="k"),ROUND(VLOOKUP(FP$4,Preisindex,2,FALSE)/VLOOKUP(YEAR($F257),Preisindex,2,FALSE),2),0)))))</f>
        <v>0</v>
      </c>
      <c r="FQ257" s="56">
        <f>IF(AND($E257&lt;&gt;0,$F257&gt;0,YEAR($F257)&lt;Preisindex!$A$6,YEAR(FK$4)&gt;=YEAR($F257),AND($K257&lt;&gt;"a",$K257&lt;&gt;"b",$K257&lt;&gt;"g",$K257&lt;&gt;"k")),1,IF(AND($E257&lt;&gt;0,$F257&gt;0,YEAR($F257)&lt;Preisindex!$A$6,YEAR(FK$4)&gt;=YEAR($F257),$K257="a"),ROUND(VLOOKUP(FP$4,Preisindex,5,FALSE)/VLOOKUP(Preisindex!$A$6,Preisindex,5,FALSE),2),IF(AND($E257&lt;&gt;0,$F257&gt;0,YEAR($F257)&lt;Preisindex!$A$6,YEAR(FK$4)&gt;=YEAR($F257),$K257="b"),ROUND(VLOOKUP(FP$4,Preisindex,3,FALSE)/VLOOKUP(Preisindex!$A$6,Preisindex,3,FALSE),2),IF(AND($E257&lt;&gt;0,$F257&gt;0,YEAR($F257)&lt;Preisindex!$A$6,YEAR(FK$4)&gt;=YEAR($F257),$K257="g"),ROUND(VLOOKUP(FP$4,Preisindex,4,FALSE)/VLOOKUP(Preisindex!$A$6,Preisindex,4,FALSE),2),IF(AND($E257&lt;&gt;0,$F257&gt;0,YEAR($F257)&lt;Preisindex!$A$6,YEAR(FK$4)&gt;=YEAR($F257),$K257="k"),ROUND(VLOOKUP(FP$4,Preisindex,2,FALSE)/VLOOKUP(Preisindex!$A$6,Preisindex,2,FALSE),2),0)))))</f>
        <v>0</v>
      </c>
      <c r="FR257" s="51">
        <f>IF(AND($E257&lt;&gt;0,$F257&gt;0,YEAR($F257)&lt;=FP$4,YEAR($F257)&gt;=Preisindex!$A$6),ROUND($E257*FP257,2),IF(AND($E257&lt;&gt;0,$F257&gt;0,YEAR($F257)&lt;=FP$4,YEAR($F257)&lt;Preisindex!$A$6),ROUND($E257*FQ257,2),0))</f>
        <v>0</v>
      </c>
      <c r="FS257" s="53">
        <f t="shared" si="688"/>
        <v>0</v>
      </c>
    </row>
    <row r="258" spans="1:175" x14ac:dyDescent="0.3">
      <c r="A258" s="93"/>
      <c r="B258" s="94"/>
      <c r="C258" s="94"/>
      <c r="D258" s="188"/>
      <c r="E258" s="624"/>
      <c r="F258" s="190"/>
      <c r="G258" s="625"/>
      <c r="H258" s="620"/>
      <c r="I258" s="621"/>
      <c r="J258" s="103"/>
      <c r="K258" s="630"/>
      <c r="L258" s="49">
        <f t="shared" si="689"/>
        <v>0</v>
      </c>
      <c r="M258" s="50">
        <f t="shared" si="690"/>
        <v>0</v>
      </c>
      <c r="N258" s="51">
        <f t="shared" si="691"/>
        <v>0</v>
      </c>
      <c r="O258" s="51"/>
      <c r="P258" s="51">
        <f t="shared" si="692"/>
        <v>0</v>
      </c>
      <c r="Q258" s="52"/>
      <c r="R258" s="52"/>
      <c r="S258" s="52"/>
      <c r="T258" s="52"/>
      <c r="U258" s="52"/>
      <c r="V258" s="53">
        <f t="shared" si="693"/>
        <v>0</v>
      </c>
      <c r="W258" s="51">
        <f t="shared" si="694"/>
        <v>0</v>
      </c>
      <c r="X258" s="51">
        <f t="shared" si="695"/>
        <v>0</v>
      </c>
      <c r="Y258" s="51">
        <f t="shared" si="696"/>
        <v>0</v>
      </c>
      <c r="Z258" s="51">
        <f t="shared" si="697"/>
        <v>0</v>
      </c>
      <c r="AA258" s="51">
        <f t="shared" si="698"/>
        <v>0</v>
      </c>
      <c r="AB258" s="51">
        <f t="shared" si="699"/>
        <v>0</v>
      </c>
      <c r="AC258" s="51">
        <f t="shared" si="700"/>
        <v>0</v>
      </c>
      <c r="AD258" s="51">
        <f t="shared" si="701"/>
        <v>0</v>
      </c>
      <c r="AE258" s="51">
        <f t="shared" si="702"/>
        <v>0</v>
      </c>
      <c r="AF258" s="51">
        <f t="shared" si="703"/>
        <v>0</v>
      </c>
      <c r="AG258" s="51">
        <f t="shared" si="704"/>
        <v>0</v>
      </c>
      <c r="AH258" s="54">
        <f t="shared" si="705"/>
        <v>0</v>
      </c>
      <c r="AI258" s="55">
        <f t="shared" si="706"/>
        <v>0</v>
      </c>
      <c r="AJ258" s="56">
        <f>IF(AND($E258&lt;&gt;0,$F258&gt;0,YEAR($F258)&gt;=Preisindex!$A$6,YEAR(AE$4)&gt;=YEAR($F258),AND($K258&lt;&gt;"a",$K258&lt;&gt;"b",$K258&lt;&gt;"g",$K258&lt;&gt;"k")),1,IF(AND($E258&lt;&gt;0,$F258&gt;0,YEAR($F258)&gt;=Preisindex!$A$6,YEAR(AE$4)&gt;=YEAR($F258),$K258="a"),ROUND(VLOOKUP(AJ$4,Preisindex,5,FALSE)/VLOOKUP(YEAR($F258),Preisindex,5,FALSE),2),IF(AND($E258&lt;&gt;0,$F258&gt;0,YEAR($F258)&gt;=Preisindex!$A$6,YEAR(AE$4)&gt;=YEAR($F258),$K258="b"),ROUND(VLOOKUP(AJ$4,Preisindex,3,FALSE)/VLOOKUP(YEAR($F258),Preisindex,3,FALSE),2),IF(AND($E258&lt;&gt;0,$F258&gt;0,YEAR($F258)&gt;=Preisindex!$A$6,YEAR(AE$4)&gt;=YEAR($F258),$K258="g"),ROUND(VLOOKUP(AJ$4,Preisindex,4,FALSE)/VLOOKUP(YEAR($F258),Preisindex,4,FALSE),2),IF(AND($E258&lt;&gt;0,$F258&gt;0,YEAR($F258)&gt;=Preisindex!$A$6,YEAR(AE$4)&gt;=YEAR($F258),$K258="k"),ROUND(VLOOKUP(AJ$4,Preisindex,2,FALSE)/VLOOKUP(YEAR($F258),Preisindex,2,FALSE),2),0)))))</f>
        <v>0</v>
      </c>
      <c r="AK258" s="56">
        <f>IF(AND($E258&lt;&gt;0,$F258&gt;0,YEAR($F258)&lt;Preisindex!$A$6,YEAR(AE$4)&gt;=YEAR($F258),AND($K258&lt;&gt;"a",$K258&lt;&gt;"b",$K258&lt;&gt;"g",$K258&lt;&gt;"k")),1,IF(AND($E258&lt;&gt;0,$F258&gt;0,YEAR($F258)&lt;Preisindex!$A$6,YEAR(AE$4)&gt;=YEAR($F258),$K258="a"),ROUND(VLOOKUP(AJ$4,Preisindex,5,FALSE)/VLOOKUP(Preisindex!$A$6,Preisindex,5,FALSE),2),IF(AND($E258&lt;&gt;0,$F258&gt;0,YEAR($F258)&lt;Preisindex!$A$6,YEAR(AE$4)&gt;=YEAR($F258),$K258="b"),ROUND(VLOOKUP(AJ$4,Preisindex,3,FALSE)/VLOOKUP(Preisindex!$A$6,Preisindex,3,FALSE),2),IF(AND($E258&lt;&gt;0,$F258&gt;0,YEAR($F258)&lt;Preisindex!$A$6,YEAR(AE$4)&gt;=YEAR($F258),$K258="g"),ROUND(VLOOKUP(AJ$4,Preisindex,4,FALSE)/VLOOKUP(Preisindex!$A$6,Preisindex,4,FALSE),2),IF(AND($E258&lt;&gt;0,$F258&gt;0,YEAR($F258)&lt;Preisindex!$A$6,YEAR(AE$4)&gt;=YEAR($F258),$K258="k"),ROUND(VLOOKUP(AJ$4,Preisindex,2,FALSE)/VLOOKUP(Preisindex!$A$6,Preisindex,2,FALSE),2),0)))))</f>
        <v>0</v>
      </c>
      <c r="AL258" s="51">
        <f>IF(AND($E258&lt;&gt;0,$F258&gt;0,YEAR($F258)&lt;=AJ$4,YEAR($F258)&gt;=Preisindex!$A$6),ROUND($E258*AJ258,2),IF(AND($E258&lt;&gt;0,$F258&gt;0,YEAR($F258)&lt;=AJ$4,YEAR($F258)&lt;Preisindex!$A$6),ROUND($E258*AK258,2),0))</f>
        <v>0</v>
      </c>
      <c r="AM258" s="53">
        <f t="shared" si="707"/>
        <v>0</v>
      </c>
      <c r="AN258" s="51">
        <f t="shared" si="752"/>
        <v>0</v>
      </c>
      <c r="AO258" s="51">
        <f t="shared" si="710"/>
        <v>0</v>
      </c>
      <c r="AP258" s="51">
        <f t="shared" si="624"/>
        <v>0</v>
      </c>
      <c r="AQ258" s="51">
        <f t="shared" si="711"/>
        <v>0</v>
      </c>
      <c r="AR258" s="51">
        <f t="shared" si="625"/>
        <v>0</v>
      </c>
      <c r="AS258" s="51">
        <f t="shared" si="712"/>
        <v>0</v>
      </c>
      <c r="AT258" s="51">
        <f t="shared" si="626"/>
        <v>0</v>
      </c>
      <c r="AU258" s="51">
        <f t="shared" si="713"/>
        <v>0</v>
      </c>
      <c r="AV258" s="51">
        <f t="shared" si="627"/>
        <v>0</v>
      </c>
      <c r="AW258" s="51">
        <f t="shared" si="714"/>
        <v>0</v>
      </c>
      <c r="AX258" s="51">
        <f t="shared" si="628"/>
        <v>0</v>
      </c>
      <c r="AY258" s="54">
        <f t="shared" si="629"/>
        <v>0</v>
      </c>
      <c r="AZ258" s="55">
        <f t="shared" si="630"/>
        <v>0</v>
      </c>
      <c r="BA258" s="56">
        <f>IF(AND($E258&lt;&gt;0,$F258&gt;0,YEAR($F258)&gt;=Preisindex!$A$6,YEAR(AV$4)&gt;=YEAR($F258),AND($K258&lt;&gt;"a",$K258&lt;&gt;"b",$K258&lt;&gt;"g",$K258&lt;&gt;"k")),1,IF(AND($E258&lt;&gt;0,$F258&gt;0,YEAR($F258)&gt;=Preisindex!$A$6,YEAR(AV$4)&gt;=YEAR($F258),$K258="a"),ROUND(VLOOKUP(BA$4,Preisindex,5,FALSE)/VLOOKUP(YEAR($F258),Preisindex,5,FALSE),2),IF(AND($E258&lt;&gt;0,$F258&gt;0,YEAR($F258)&gt;=Preisindex!$A$6,YEAR(AV$4)&gt;=YEAR($F258),$K258="b"),ROUND(VLOOKUP(BA$4,Preisindex,3,FALSE)/VLOOKUP(YEAR($F258),Preisindex,3,FALSE),2),IF(AND($E258&lt;&gt;0,$F258&gt;0,YEAR($F258)&gt;=Preisindex!$A$6,YEAR(AV$4)&gt;=YEAR($F258),$K258="g"),ROUND(VLOOKUP(BA$4,Preisindex,4,FALSE)/VLOOKUP(YEAR($F258),Preisindex,4,FALSE),2),IF(AND($E258&lt;&gt;0,$F258&gt;0,YEAR($F258)&gt;=Preisindex!$A$6,YEAR(AV$4)&gt;=YEAR($F258),$K258="k"),ROUND(VLOOKUP(BA$4,Preisindex,2,FALSE)/VLOOKUP(YEAR($F258),Preisindex,2,FALSE),2),0)))))</f>
        <v>0</v>
      </c>
      <c r="BB258" s="56">
        <f>IF(AND($E258&lt;&gt;0,$F258&gt;0,YEAR($F258)&lt;Preisindex!$A$6,YEAR(AV$4)&gt;=YEAR($F258),AND($K258&lt;&gt;"a",$K258&lt;&gt;"b",$K258&lt;&gt;"g",$K258&lt;&gt;"k")),1,IF(AND($E258&lt;&gt;0,$F258&gt;0,YEAR($F258)&lt;Preisindex!$A$6,YEAR(AV$4)&gt;=YEAR($F258),$K258="a"),ROUND(VLOOKUP(BA$4,Preisindex,5,FALSE)/VLOOKUP(Preisindex!$A$6,Preisindex,5,FALSE),2),IF(AND($E258&lt;&gt;0,$F258&gt;0,YEAR($F258)&lt;Preisindex!$A$6,YEAR(AV$4)&gt;=YEAR($F258),$K258="b"),ROUND(VLOOKUP(BA$4,Preisindex,3,FALSE)/VLOOKUP(Preisindex!$A$6,Preisindex,3,FALSE),2),IF(AND($E258&lt;&gt;0,$F258&gt;0,YEAR($F258)&lt;Preisindex!$A$6,YEAR(AV$4)&gt;=YEAR($F258),$K258="g"),ROUND(VLOOKUP(BA$4,Preisindex,4,FALSE)/VLOOKUP(Preisindex!$A$6,Preisindex,4,FALSE),2),IF(AND($E258&lt;&gt;0,$F258&gt;0,YEAR($F258)&lt;Preisindex!$A$6,YEAR(AV$4)&gt;=YEAR($F258),$K258="k"),ROUND(VLOOKUP(BA$4,Preisindex,2,FALSE)/VLOOKUP(Preisindex!$A$6,Preisindex,2,FALSE),2),0)))))</f>
        <v>0</v>
      </c>
      <c r="BC258" s="51">
        <f>IF(AND($E258&lt;&gt;0,$F258&gt;0,YEAR($F258)&lt;=BA$4,YEAR($F258)&gt;=Preisindex!$A$6),ROUND($E258*BA258,2),IF(AND($E258&lt;&gt;0,$F258&gt;0,YEAR($F258)&lt;=BA$4,YEAR($F258)&lt;Preisindex!$A$6),ROUND($E258*BB258,2),0))</f>
        <v>0</v>
      </c>
      <c r="BD258" s="53">
        <f t="shared" si="631"/>
        <v>0</v>
      </c>
      <c r="BE258" s="51">
        <f t="shared" si="752"/>
        <v>0</v>
      </c>
      <c r="BF258" s="51">
        <f t="shared" si="715"/>
        <v>0</v>
      </c>
      <c r="BG258" s="51">
        <f t="shared" si="632"/>
        <v>0</v>
      </c>
      <c r="BH258" s="51">
        <f t="shared" si="716"/>
        <v>0</v>
      </c>
      <c r="BI258" s="51">
        <f t="shared" si="633"/>
        <v>0</v>
      </c>
      <c r="BJ258" s="51">
        <f t="shared" si="717"/>
        <v>0</v>
      </c>
      <c r="BK258" s="51">
        <f t="shared" si="634"/>
        <v>0</v>
      </c>
      <c r="BL258" s="51">
        <f t="shared" si="718"/>
        <v>0</v>
      </c>
      <c r="BM258" s="51">
        <f t="shared" si="635"/>
        <v>0</v>
      </c>
      <c r="BN258" s="51">
        <f t="shared" si="719"/>
        <v>0</v>
      </c>
      <c r="BO258" s="51">
        <f t="shared" si="636"/>
        <v>0</v>
      </c>
      <c r="BP258" s="54">
        <f t="shared" si="637"/>
        <v>0</v>
      </c>
      <c r="BQ258" s="55">
        <f t="shared" si="638"/>
        <v>0</v>
      </c>
      <c r="BR258" s="56">
        <f>IF(AND($E258&lt;&gt;0,$F258&gt;0,YEAR($F258)&gt;=Preisindex!$A$6,YEAR(BM$4)&gt;=YEAR($F258),AND($K258&lt;&gt;"a",$K258&lt;&gt;"b",$K258&lt;&gt;"g",$K258&lt;&gt;"k")),1,IF(AND($E258&lt;&gt;0,$F258&gt;0,YEAR($F258)&gt;=Preisindex!$A$6,YEAR(BM$4)&gt;=YEAR($F258),$K258="a"),ROUND(VLOOKUP(BR$4,Preisindex,5,FALSE)/VLOOKUP(YEAR($F258),Preisindex,5,FALSE),2),IF(AND($E258&lt;&gt;0,$F258&gt;0,YEAR($F258)&gt;=Preisindex!$A$6,YEAR(BM$4)&gt;=YEAR($F258),$K258="b"),ROUND(VLOOKUP(BR$4,Preisindex,3,FALSE)/VLOOKUP(YEAR($F258),Preisindex,3,FALSE),2),IF(AND($E258&lt;&gt;0,$F258&gt;0,YEAR($F258)&gt;=Preisindex!$A$6,YEAR(BM$4)&gt;=YEAR($F258),$K258="g"),ROUND(VLOOKUP(BR$4,Preisindex,4,FALSE)/VLOOKUP(YEAR($F258),Preisindex,4,FALSE),2),IF(AND($E258&lt;&gt;0,$F258&gt;0,YEAR($F258)&gt;=Preisindex!$A$6,YEAR(BM$4)&gt;=YEAR($F258),$K258="k"),ROUND(VLOOKUP(BR$4,Preisindex,2,FALSE)/VLOOKUP(YEAR($F258),Preisindex,2,FALSE),2),0)))))</f>
        <v>0</v>
      </c>
      <c r="BS258" s="56">
        <f>IF(AND($E258&lt;&gt;0,$F258&gt;0,YEAR($F258)&lt;Preisindex!$A$6,YEAR(BM$4)&gt;=YEAR($F258),AND($K258&lt;&gt;"a",$K258&lt;&gt;"b",$K258&lt;&gt;"g",$K258&lt;&gt;"k")),1,IF(AND($E258&lt;&gt;0,$F258&gt;0,YEAR($F258)&lt;Preisindex!$A$6,YEAR(BM$4)&gt;=YEAR($F258),$K258="a"),ROUND(VLOOKUP(BR$4,Preisindex,5,FALSE)/VLOOKUP(Preisindex!$A$6,Preisindex,5,FALSE),2),IF(AND($E258&lt;&gt;0,$F258&gt;0,YEAR($F258)&lt;Preisindex!$A$6,YEAR(BM$4)&gt;=YEAR($F258),$K258="b"),ROUND(VLOOKUP(BR$4,Preisindex,3,FALSE)/VLOOKUP(Preisindex!$A$6,Preisindex,3,FALSE),2),IF(AND($E258&lt;&gt;0,$F258&gt;0,YEAR($F258)&lt;Preisindex!$A$6,YEAR(BM$4)&gt;=YEAR($F258),$K258="g"),ROUND(VLOOKUP(BR$4,Preisindex,4,FALSE)/VLOOKUP(Preisindex!$A$6,Preisindex,4,FALSE),2),IF(AND($E258&lt;&gt;0,$F258&gt;0,YEAR($F258)&lt;Preisindex!$A$6,YEAR(BM$4)&gt;=YEAR($F258),$K258="k"),ROUND(VLOOKUP(BR$4,Preisindex,2,FALSE)/VLOOKUP(Preisindex!$A$6,Preisindex,2,FALSE),2),0)))))</f>
        <v>0</v>
      </c>
      <c r="BT258" s="51">
        <f>IF(AND($E258&lt;&gt;0,$F258&gt;0,YEAR($F258)&lt;=BR$4,YEAR($F258)&gt;=Preisindex!$A$6),ROUND($E258*BR258,2),IF(AND($E258&lt;&gt;0,$F258&gt;0,YEAR($F258)&lt;=BR$4,YEAR($F258)&lt;Preisindex!$A$6),ROUND($E258*BS258,2),0))</f>
        <v>0</v>
      </c>
      <c r="BU258" s="53">
        <f t="shared" si="639"/>
        <v>0</v>
      </c>
      <c r="BV258" s="51">
        <f t="shared" si="752"/>
        <v>0</v>
      </c>
      <c r="BW258" s="51">
        <f t="shared" si="720"/>
        <v>0</v>
      </c>
      <c r="BX258" s="51">
        <f t="shared" si="640"/>
        <v>0</v>
      </c>
      <c r="BY258" s="51">
        <f t="shared" si="721"/>
        <v>0</v>
      </c>
      <c r="BZ258" s="51">
        <f t="shared" si="641"/>
        <v>0</v>
      </c>
      <c r="CA258" s="51">
        <f t="shared" si="722"/>
        <v>0</v>
      </c>
      <c r="CB258" s="51">
        <f t="shared" si="642"/>
        <v>0</v>
      </c>
      <c r="CC258" s="51">
        <f t="shared" si="723"/>
        <v>0</v>
      </c>
      <c r="CD258" s="51">
        <f t="shared" si="643"/>
        <v>0</v>
      </c>
      <c r="CE258" s="51">
        <f t="shared" si="724"/>
        <v>0</v>
      </c>
      <c r="CF258" s="51">
        <f t="shared" si="644"/>
        <v>0</v>
      </c>
      <c r="CG258" s="54">
        <f t="shared" si="645"/>
        <v>0</v>
      </c>
      <c r="CH258" s="55">
        <f t="shared" si="646"/>
        <v>0</v>
      </c>
      <c r="CI258" s="56">
        <f>IF(AND($E258&lt;&gt;0,$F258&gt;0,YEAR($F258)&gt;=Preisindex!$A$6,YEAR(CD$4)&gt;=YEAR($F258),AND($K258&lt;&gt;"a",$K258&lt;&gt;"b",$K258&lt;&gt;"g",$K258&lt;&gt;"k")),1,IF(AND($E258&lt;&gt;0,$F258&gt;0,YEAR($F258)&gt;=Preisindex!$A$6,YEAR(CD$4)&gt;=YEAR($F258),$K258="a"),ROUND(VLOOKUP(CI$4,Preisindex,5,FALSE)/VLOOKUP(YEAR($F258),Preisindex,5,FALSE),2),IF(AND($E258&lt;&gt;0,$F258&gt;0,YEAR($F258)&gt;=Preisindex!$A$6,YEAR(CD$4)&gt;=YEAR($F258),$K258="b"),ROUND(VLOOKUP(CI$4,Preisindex,3,FALSE)/VLOOKUP(YEAR($F258),Preisindex,3,FALSE),2),IF(AND($E258&lt;&gt;0,$F258&gt;0,YEAR($F258)&gt;=Preisindex!$A$6,YEAR(CD$4)&gt;=YEAR($F258),$K258="g"),ROUND(VLOOKUP(CI$4,Preisindex,4,FALSE)/VLOOKUP(YEAR($F258),Preisindex,4,FALSE),2),IF(AND($E258&lt;&gt;0,$F258&gt;0,YEAR($F258)&gt;=Preisindex!$A$6,YEAR(CD$4)&gt;=YEAR($F258),$K258="k"),ROUND(VLOOKUP(CI$4,Preisindex,2,FALSE)/VLOOKUP(YEAR($F258),Preisindex,2,FALSE),2),0)))))</f>
        <v>0</v>
      </c>
      <c r="CJ258" s="56">
        <f>IF(AND($E258&lt;&gt;0,$F258&gt;0,YEAR($F258)&lt;Preisindex!$A$6,YEAR(CD$4)&gt;=YEAR($F258),AND($K258&lt;&gt;"a",$K258&lt;&gt;"b",$K258&lt;&gt;"g",$K258&lt;&gt;"k")),1,IF(AND($E258&lt;&gt;0,$F258&gt;0,YEAR($F258)&lt;Preisindex!$A$6,YEAR(CD$4)&gt;=YEAR($F258),$K258="a"),ROUND(VLOOKUP(CI$4,Preisindex,5,FALSE)/VLOOKUP(Preisindex!$A$6,Preisindex,5,FALSE),2),IF(AND($E258&lt;&gt;0,$F258&gt;0,YEAR($F258)&lt;Preisindex!$A$6,YEAR(CD$4)&gt;=YEAR($F258),$K258="b"),ROUND(VLOOKUP(CI$4,Preisindex,3,FALSE)/VLOOKUP(Preisindex!$A$6,Preisindex,3,FALSE),2),IF(AND($E258&lt;&gt;0,$F258&gt;0,YEAR($F258)&lt;Preisindex!$A$6,YEAR(CD$4)&gt;=YEAR($F258),$K258="g"),ROUND(VLOOKUP(CI$4,Preisindex,4,FALSE)/VLOOKUP(Preisindex!$A$6,Preisindex,4,FALSE),2),IF(AND($E258&lt;&gt;0,$F258&gt;0,YEAR($F258)&lt;Preisindex!$A$6,YEAR(CD$4)&gt;=YEAR($F258),$K258="k"),ROUND(VLOOKUP(CI$4,Preisindex,2,FALSE)/VLOOKUP(Preisindex!$A$6,Preisindex,2,FALSE),2),0)))))</f>
        <v>0</v>
      </c>
      <c r="CK258" s="51">
        <f>IF(AND($E258&lt;&gt;0,$F258&gt;0,YEAR($F258)&lt;=CI$4,YEAR($F258)&gt;=Preisindex!$A$6),ROUND($E258*CI258,2),IF(AND($E258&lt;&gt;0,$F258&gt;0,YEAR($F258)&lt;=CI$4,YEAR($F258)&lt;Preisindex!$A$6),ROUND($E258*CJ258,2),0))</f>
        <v>0</v>
      </c>
      <c r="CL258" s="53">
        <f t="shared" si="647"/>
        <v>0</v>
      </c>
      <c r="CM258" s="51">
        <f t="shared" si="752"/>
        <v>0</v>
      </c>
      <c r="CN258" s="51">
        <f t="shared" si="725"/>
        <v>0</v>
      </c>
      <c r="CO258" s="51">
        <f t="shared" si="648"/>
        <v>0</v>
      </c>
      <c r="CP258" s="51">
        <f t="shared" si="726"/>
        <v>0</v>
      </c>
      <c r="CQ258" s="51">
        <f t="shared" si="649"/>
        <v>0</v>
      </c>
      <c r="CR258" s="51">
        <f t="shared" si="727"/>
        <v>0</v>
      </c>
      <c r="CS258" s="51">
        <f t="shared" si="650"/>
        <v>0</v>
      </c>
      <c r="CT258" s="51">
        <f t="shared" si="728"/>
        <v>0</v>
      </c>
      <c r="CU258" s="51">
        <f t="shared" si="651"/>
        <v>0</v>
      </c>
      <c r="CV258" s="51">
        <f t="shared" si="729"/>
        <v>0</v>
      </c>
      <c r="CW258" s="51">
        <f t="shared" si="652"/>
        <v>0</v>
      </c>
      <c r="CX258" s="54">
        <f t="shared" si="653"/>
        <v>0</v>
      </c>
      <c r="CY258" s="55">
        <f t="shared" si="654"/>
        <v>0</v>
      </c>
      <c r="CZ258" s="56">
        <f>IF(AND($E258&lt;&gt;0,$F258&gt;0,YEAR($F258)&gt;=Preisindex!$A$6,YEAR(CU$4)&gt;=YEAR($F258),AND($K258&lt;&gt;"a",$K258&lt;&gt;"b",$K258&lt;&gt;"g",$K258&lt;&gt;"k")),1,IF(AND($E258&lt;&gt;0,$F258&gt;0,YEAR($F258)&gt;=Preisindex!$A$6,YEAR(CU$4)&gt;=YEAR($F258),$K258="a"),ROUND(VLOOKUP(CZ$4,Preisindex,5,FALSE)/VLOOKUP(YEAR($F258),Preisindex,5,FALSE),2),IF(AND($E258&lt;&gt;0,$F258&gt;0,YEAR($F258)&gt;=Preisindex!$A$6,YEAR(CU$4)&gt;=YEAR($F258),$K258="b"),ROUND(VLOOKUP(CZ$4,Preisindex,3,FALSE)/VLOOKUP(YEAR($F258),Preisindex,3,FALSE),2),IF(AND($E258&lt;&gt;0,$F258&gt;0,YEAR($F258)&gt;=Preisindex!$A$6,YEAR(CU$4)&gt;=YEAR($F258),$K258="g"),ROUND(VLOOKUP(CZ$4,Preisindex,4,FALSE)/VLOOKUP(YEAR($F258),Preisindex,4,FALSE),2),IF(AND($E258&lt;&gt;0,$F258&gt;0,YEAR($F258)&gt;=Preisindex!$A$6,YEAR(CU$4)&gt;=YEAR($F258),$K258="k"),ROUND(VLOOKUP(CZ$4,Preisindex,2,FALSE)/VLOOKUP(YEAR($F258),Preisindex,2,FALSE),2),0)))))</f>
        <v>0</v>
      </c>
      <c r="DA258" s="56">
        <f>IF(AND($E258&lt;&gt;0,$F258&gt;0,YEAR($F258)&lt;Preisindex!$A$6,YEAR(CU$4)&gt;=YEAR($F258),AND($K258&lt;&gt;"a",$K258&lt;&gt;"b",$K258&lt;&gt;"g",$K258&lt;&gt;"k")),1,IF(AND($E258&lt;&gt;0,$F258&gt;0,YEAR($F258)&lt;Preisindex!$A$6,YEAR(CU$4)&gt;=YEAR($F258),$K258="a"),ROUND(VLOOKUP(CZ$4,Preisindex,5,FALSE)/VLOOKUP(Preisindex!$A$6,Preisindex,5,FALSE),2),IF(AND($E258&lt;&gt;0,$F258&gt;0,YEAR($F258)&lt;Preisindex!$A$6,YEAR(CU$4)&gt;=YEAR($F258),$K258="b"),ROUND(VLOOKUP(CZ$4,Preisindex,3,FALSE)/VLOOKUP(Preisindex!$A$6,Preisindex,3,FALSE),2),IF(AND($E258&lt;&gt;0,$F258&gt;0,YEAR($F258)&lt;Preisindex!$A$6,YEAR(CU$4)&gt;=YEAR($F258),$K258="g"),ROUND(VLOOKUP(CZ$4,Preisindex,4,FALSE)/VLOOKUP(Preisindex!$A$6,Preisindex,4,FALSE),2),IF(AND($E258&lt;&gt;0,$F258&gt;0,YEAR($F258)&lt;Preisindex!$A$6,YEAR(CU$4)&gt;=YEAR($F258),$K258="k"),ROUND(VLOOKUP(CZ$4,Preisindex,2,FALSE)/VLOOKUP(Preisindex!$A$6,Preisindex,2,FALSE),2),0)))))</f>
        <v>0</v>
      </c>
      <c r="DB258" s="51">
        <f>IF(AND($E258&lt;&gt;0,$F258&gt;0,YEAR($F258)&lt;=CZ$4,YEAR($F258)&gt;=Preisindex!$A$6),ROUND($E258*CZ258,2),IF(AND($E258&lt;&gt;0,$F258&gt;0,YEAR($F258)&lt;=CZ$4,YEAR($F258)&lt;Preisindex!$A$6),ROUND($E258*DA258,2),0))</f>
        <v>0</v>
      </c>
      <c r="DC258" s="53">
        <f t="shared" si="655"/>
        <v>0</v>
      </c>
      <c r="DD258" s="51">
        <f t="shared" si="753"/>
        <v>0</v>
      </c>
      <c r="DE258" s="51">
        <f t="shared" si="730"/>
        <v>0</v>
      </c>
      <c r="DF258" s="51">
        <f t="shared" si="657"/>
        <v>0</v>
      </c>
      <c r="DG258" s="51">
        <f t="shared" si="731"/>
        <v>0</v>
      </c>
      <c r="DH258" s="51">
        <f t="shared" si="658"/>
        <v>0</v>
      </c>
      <c r="DI258" s="51">
        <f t="shared" si="732"/>
        <v>0</v>
      </c>
      <c r="DJ258" s="51">
        <f t="shared" si="659"/>
        <v>0</v>
      </c>
      <c r="DK258" s="51">
        <f t="shared" si="733"/>
        <v>0</v>
      </c>
      <c r="DL258" s="51">
        <f t="shared" si="660"/>
        <v>0</v>
      </c>
      <c r="DM258" s="51">
        <f t="shared" si="734"/>
        <v>0</v>
      </c>
      <c r="DN258" s="51">
        <f t="shared" si="661"/>
        <v>0</v>
      </c>
      <c r="DO258" s="54">
        <f t="shared" si="662"/>
        <v>0</v>
      </c>
      <c r="DP258" s="55">
        <f t="shared" si="663"/>
        <v>0</v>
      </c>
      <c r="DQ258" s="56">
        <f>IF(AND($E258&lt;&gt;0,$F258&gt;0,YEAR($F258)&gt;=Preisindex!$A$6,YEAR(DL$4)&gt;=YEAR($F258),AND($K258&lt;&gt;"a",$K258&lt;&gt;"b",$K258&lt;&gt;"g",$K258&lt;&gt;"k")),1,IF(AND($E258&lt;&gt;0,$F258&gt;0,YEAR($F258)&gt;=Preisindex!$A$6,YEAR(DL$4)&gt;=YEAR($F258),$K258="a"),ROUND(VLOOKUP(DQ$4,Preisindex,5,FALSE)/VLOOKUP(YEAR($F258),Preisindex,5,FALSE),2),IF(AND($E258&lt;&gt;0,$F258&gt;0,YEAR($F258)&gt;=Preisindex!$A$6,YEAR(DL$4)&gt;=YEAR($F258),$K258="b"),ROUND(VLOOKUP(DQ$4,Preisindex,3,FALSE)/VLOOKUP(YEAR($F258),Preisindex,3,FALSE),2),IF(AND($E258&lt;&gt;0,$F258&gt;0,YEAR($F258)&gt;=Preisindex!$A$6,YEAR(DL$4)&gt;=YEAR($F258),$K258="g"),ROUND(VLOOKUP(DQ$4,Preisindex,4,FALSE)/VLOOKUP(YEAR($F258),Preisindex,4,FALSE),2),IF(AND($E258&lt;&gt;0,$F258&gt;0,YEAR($F258)&gt;=Preisindex!$A$6,YEAR(DL$4)&gt;=YEAR($F258),$K258="k"),ROUND(VLOOKUP(DQ$4,Preisindex,2,FALSE)/VLOOKUP(YEAR($F258),Preisindex,2,FALSE),2),0)))))</f>
        <v>0</v>
      </c>
      <c r="DR258" s="56">
        <f>IF(AND($E258&lt;&gt;0,$F258&gt;0,YEAR($F258)&lt;Preisindex!$A$6,YEAR(DL$4)&gt;=YEAR($F258),AND($K258&lt;&gt;"a",$K258&lt;&gt;"b",$K258&lt;&gt;"g",$K258&lt;&gt;"k")),1,IF(AND($E258&lt;&gt;0,$F258&gt;0,YEAR($F258)&lt;Preisindex!$A$6,YEAR(DL$4)&gt;=YEAR($F258),$K258="a"),ROUND(VLOOKUP(DQ$4,Preisindex,5,FALSE)/VLOOKUP(Preisindex!$A$6,Preisindex,5,FALSE),2),IF(AND($E258&lt;&gt;0,$F258&gt;0,YEAR($F258)&lt;Preisindex!$A$6,YEAR(DL$4)&gt;=YEAR($F258),$K258="b"),ROUND(VLOOKUP(DQ$4,Preisindex,3,FALSE)/VLOOKUP(Preisindex!$A$6,Preisindex,3,FALSE),2),IF(AND($E258&lt;&gt;0,$F258&gt;0,YEAR($F258)&lt;Preisindex!$A$6,YEAR(DL$4)&gt;=YEAR($F258),$K258="g"),ROUND(VLOOKUP(DQ$4,Preisindex,4,FALSE)/VLOOKUP(Preisindex!$A$6,Preisindex,4,FALSE),2),IF(AND($E258&lt;&gt;0,$F258&gt;0,YEAR($F258)&lt;Preisindex!$A$6,YEAR(DL$4)&gt;=YEAR($F258),$K258="k"),ROUND(VLOOKUP(DQ$4,Preisindex,2,FALSE)/VLOOKUP(Preisindex!$A$6,Preisindex,2,FALSE),2),0)))))</f>
        <v>0</v>
      </c>
      <c r="DS258" s="51">
        <f>IF(AND($E258&lt;&gt;0,$F258&gt;0,YEAR($F258)&lt;=DQ$4,YEAR($F258)&gt;=Preisindex!$A$6),ROUND($E258*DQ258,2),IF(AND($E258&lt;&gt;0,$F258&gt;0,YEAR($F258)&lt;=DQ$4,YEAR($F258)&lt;Preisindex!$A$6),ROUND($E258*DR258,2),0))</f>
        <v>0</v>
      </c>
      <c r="DT258" s="53">
        <f t="shared" si="664"/>
        <v>0</v>
      </c>
      <c r="DU258" s="51">
        <f t="shared" si="753"/>
        <v>0</v>
      </c>
      <c r="DV258" s="51">
        <f t="shared" si="735"/>
        <v>0</v>
      </c>
      <c r="DW258" s="51">
        <f t="shared" si="665"/>
        <v>0</v>
      </c>
      <c r="DX258" s="51">
        <f t="shared" si="736"/>
        <v>0</v>
      </c>
      <c r="DY258" s="51">
        <f t="shared" si="666"/>
        <v>0</v>
      </c>
      <c r="DZ258" s="51">
        <f t="shared" si="737"/>
        <v>0</v>
      </c>
      <c r="EA258" s="51">
        <f t="shared" si="667"/>
        <v>0</v>
      </c>
      <c r="EB258" s="51">
        <f t="shared" si="738"/>
        <v>0</v>
      </c>
      <c r="EC258" s="51">
        <f t="shared" si="668"/>
        <v>0</v>
      </c>
      <c r="ED258" s="51">
        <f t="shared" si="739"/>
        <v>0</v>
      </c>
      <c r="EE258" s="51">
        <f t="shared" si="669"/>
        <v>0</v>
      </c>
      <c r="EF258" s="54">
        <f t="shared" si="670"/>
        <v>0</v>
      </c>
      <c r="EG258" s="55">
        <f t="shared" si="671"/>
        <v>0</v>
      </c>
      <c r="EH258" s="56">
        <f>IF(AND($E258&lt;&gt;0,$F258&gt;0,YEAR($F258)&gt;=Preisindex!$A$6,YEAR(EC$4)&gt;=YEAR($F258),AND($K258&lt;&gt;"a",$K258&lt;&gt;"b",$K258&lt;&gt;"g",$K258&lt;&gt;"k")),1,IF(AND($E258&lt;&gt;0,$F258&gt;0,YEAR($F258)&gt;=Preisindex!$A$6,YEAR(EC$4)&gt;=YEAR($F258),$K258="a"),ROUND(VLOOKUP(EH$4,Preisindex,5,FALSE)/VLOOKUP(YEAR($F258),Preisindex,5,FALSE),2),IF(AND($E258&lt;&gt;0,$F258&gt;0,YEAR($F258)&gt;=Preisindex!$A$6,YEAR(EC$4)&gt;=YEAR($F258),$K258="b"),ROUND(VLOOKUP(EH$4,Preisindex,3,FALSE)/VLOOKUP(YEAR($F258),Preisindex,3,FALSE),2),IF(AND($E258&lt;&gt;0,$F258&gt;0,YEAR($F258)&gt;=Preisindex!$A$6,YEAR(EC$4)&gt;=YEAR($F258),$K258="g"),ROUND(VLOOKUP(EH$4,Preisindex,4,FALSE)/VLOOKUP(YEAR($F258),Preisindex,4,FALSE),2),IF(AND($E258&lt;&gt;0,$F258&gt;0,YEAR($F258)&gt;=Preisindex!$A$6,YEAR(EC$4)&gt;=YEAR($F258),$K258="k"),ROUND(VLOOKUP(EH$4,Preisindex,2,FALSE)/VLOOKUP(YEAR($F258),Preisindex,2,FALSE),2),0)))))</f>
        <v>0</v>
      </c>
      <c r="EI258" s="56">
        <f>IF(AND($E258&lt;&gt;0,$F258&gt;0,YEAR($F258)&lt;Preisindex!$A$6,YEAR(EC$4)&gt;=YEAR($F258),AND($K258&lt;&gt;"a",$K258&lt;&gt;"b",$K258&lt;&gt;"g",$K258&lt;&gt;"k")),1,IF(AND($E258&lt;&gt;0,$F258&gt;0,YEAR($F258)&lt;Preisindex!$A$6,YEAR(EC$4)&gt;=YEAR($F258),$K258="a"),ROUND(VLOOKUP(EH$4,Preisindex,5,FALSE)/VLOOKUP(Preisindex!$A$6,Preisindex,5,FALSE),2),IF(AND($E258&lt;&gt;0,$F258&gt;0,YEAR($F258)&lt;Preisindex!$A$6,YEAR(EC$4)&gt;=YEAR($F258),$K258="b"),ROUND(VLOOKUP(EH$4,Preisindex,3,FALSE)/VLOOKUP(Preisindex!$A$6,Preisindex,3,FALSE),2),IF(AND($E258&lt;&gt;0,$F258&gt;0,YEAR($F258)&lt;Preisindex!$A$6,YEAR(EC$4)&gt;=YEAR($F258),$K258="g"),ROUND(VLOOKUP(EH$4,Preisindex,4,FALSE)/VLOOKUP(Preisindex!$A$6,Preisindex,4,FALSE),2),IF(AND($E258&lt;&gt;0,$F258&gt;0,YEAR($F258)&lt;Preisindex!$A$6,YEAR(EC$4)&gt;=YEAR($F258),$K258="k"),ROUND(VLOOKUP(EH$4,Preisindex,2,FALSE)/VLOOKUP(Preisindex!$A$6,Preisindex,2,FALSE),2),0)))))</f>
        <v>0</v>
      </c>
      <c r="EJ258" s="51">
        <f>IF(AND($E258&lt;&gt;0,$F258&gt;0,YEAR($F258)&lt;=EH$4,YEAR($F258)&gt;=Preisindex!$A$6),ROUND($E258*EH258,2),IF(AND($E258&lt;&gt;0,$F258&gt;0,YEAR($F258)&lt;=EH$4,YEAR($F258)&lt;Preisindex!$A$6),ROUND($E258*EI258,2),0))</f>
        <v>0</v>
      </c>
      <c r="EK258" s="53">
        <f t="shared" si="672"/>
        <v>0</v>
      </c>
      <c r="EL258" s="51">
        <f t="shared" si="753"/>
        <v>0</v>
      </c>
      <c r="EM258" s="51">
        <f t="shared" si="740"/>
        <v>0</v>
      </c>
      <c r="EN258" s="51">
        <f t="shared" si="673"/>
        <v>0</v>
      </c>
      <c r="EO258" s="51">
        <f t="shared" si="741"/>
        <v>0</v>
      </c>
      <c r="EP258" s="51">
        <f t="shared" si="674"/>
        <v>0</v>
      </c>
      <c r="EQ258" s="51">
        <f t="shared" si="742"/>
        <v>0</v>
      </c>
      <c r="ER258" s="51">
        <f t="shared" si="675"/>
        <v>0</v>
      </c>
      <c r="ES258" s="51">
        <f t="shared" si="743"/>
        <v>0</v>
      </c>
      <c r="ET258" s="51">
        <f t="shared" si="676"/>
        <v>0</v>
      </c>
      <c r="EU258" s="51">
        <f t="shared" si="744"/>
        <v>0</v>
      </c>
      <c r="EV258" s="51">
        <f t="shared" si="677"/>
        <v>0</v>
      </c>
      <c r="EW258" s="54">
        <f t="shared" si="678"/>
        <v>0</v>
      </c>
      <c r="EX258" s="55">
        <f t="shared" si="679"/>
        <v>0</v>
      </c>
      <c r="EY258" s="56">
        <f>IF(AND($E258&lt;&gt;0,$F258&gt;0,YEAR($F258)&gt;=Preisindex!$A$6,YEAR(ET$4)&gt;=YEAR($F258),AND($K258&lt;&gt;"a",$K258&lt;&gt;"b",$K258&lt;&gt;"g",$K258&lt;&gt;"k")),1,IF(AND($E258&lt;&gt;0,$F258&gt;0,YEAR($F258)&gt;=Preisindex!$A$6,YEAR(ET$4)&gt;=YEAR($F258),$K258="a"),ROUND(VLOOKUP(EY$4,Preisindex,5,FALSE)/VLOOKUP(YEAR($F258),Preisindex,5,FALSE),2),IF(AND($E258&lt;&gt;0,$F258&gt;0,YEAR($F258)&gt;=Preisindex!$A$6,YEAR(ET$4)&gt;=YEAR($F258),$K258="b"),ROUND(VLOOKUP(EY$4,Preisindex,3,FALSE)/VLOOKUP(YEAR($F258),Preisindex,3,FALSE),2),IF(AND($E258&lt;&gt;0,$F258&gt;0,YEAR($F258)&gt;=Preisindex!$A$6,YEAR(ET$4)&gt;=YEAR($F258),$K258="g"),ROUND(VLOOKUP(EY$4,Preisindex,4,FALSE)/VLOOKUP(YEAR($F258),Preisindex,4,FALSE),2),IF(AND($E258&lt;&gt;0,$F258&gt;0,YEAR($F258)&gt;=Preisindex!$A$6,YEAR(ET$4)&gt;=YEAR($F258),$K258="k"),ROUND(VLOOKUP(EY$4,Preisindex,2,FALSE)/VLOOKUP(YEAR($F258),Preisindex,2,FALSE),2),0)))))</f>
        <v>0</v>
      </c>
      <c r="EZ258" s="56">
        <f>IF(AND($E258&lt;&gt;0,$F258&gt;0,YEAR($F258)&lt;Preisindex!$A$6,YEAR(ET$4)&gt;=YEAR($F258),AND($K258&lt;&gt;"a",$K258&lt;&gt;"b",$K258&lt;&gt;"g",$K258&lt;&gt;"k")),1,IF(AND($E258&lt;&gt;0,$F258&gt;0,YEAR($F258)&lt;Preisindex!$A$6,YEAR(ET$4)&gt;=YEAR($F258),$K258="a"),ROUND(VLOOKUP(EY$4,Preisindex,5,FALSE)/VLOOKUP(Preisindex!$A$6,Preisindex,5,FALSE),2),IF(AND($E258&lt;&gt;0,$F258&gt;0,YEAR($F258)&lt;Preisindex!$A$6,YEAR(ET$4)&gt;=YEAR($F258),$K258="b"),ROUND(VLOOKUP(EY$4,Preisindex,3,FALSE)/VLOOKUP(Preisindex!$A$6,Preisindex,3,FALSE),2),IF(AND($E258&lt;&gt;0,$F258&gt;0,YEAR($F258)&lt;Preisindex!$A$6,YEAR(ET$4)&gt;=YEAR($F258),$K258="g"),ROUND(VLOOKUP(EY$4,Preisindex,4,FALSE)/VLOOKUP(Preisindex!$A$6,Preisindex,4,FALSE),2),IF(AND($E258&lt;&gt;0,$F258&gt;0,YEAR($F258)&lt;Preisindex!$A$6,YEAR(ET$4)&gt;=YEAR($F258),$K258="k"),ROUND(VLOOKUP(EY$4,Preisindex,2,FALSE)/VLOOKUP(Preisindex!$A$6,Preisindex,2,FALSE),2),0)))))</f>
        <v>0</v>
      </c>
      <c r="FA258" s="51">
        <f>IF(AND($E258&lt;&gt;0,$F258&gt;0,YEAR($F258)&lt;=EY$4,YEAR($F258)&gt;=Preisindex!$A$6),ROUND($E258*EY258,2),IF(AND($E258&lt;&gt;0,$F258&gt;0,YEAR($F258)&lt;=EY$4,YEAR($F258)&lt;Preisindex!$A$6),ROUND($E258*EZ258,2),0))</f>
        <v>0</v>
      </c>
      <c r="FB258" s="53">
        <f t="shared" si="680"/>
        <v>0</v>
      </c>
      <c r="FC258" s="51">
        <f t="shared" si="753"/>
        <v>0</v>
      </c>
      <c r="FD258" s="51">
        <f t="shared" si="745"/>
        <v>0</v>
      </c>
      <c r="FE258" s="51">
        <f t="shared" si="681"/>
        <v>0</v>
      </c>
      <c r="FF258" s="51">
        <f t="shared" si="746"/>
        <v>0</v>
      </c>
      <c r="FG258" s="51">
        <f t="shared" si="682"/>
        <v>0</v>
      </c>
      <c r="FH258" s="51">
        <f t="shared" si="747"/>
        <v>0</v>
      </c>
      <c r="FI258" s="51">
        <f t="shared" si="683"/>
        <v>0</v>
      </c>
      <c r="FJ258" s="51">
        <f t="shared" si="748"/>
        <v>0</v>
      </c>
      <c r="FK258" s="51">
        <f t="shared" si="684"/>
        <v>0</v>
      </c>
      <c r="FL258" s="51">
        <f t="shared" si="749"/>
        <v>0</v>
      </c>
      <c r="FM258" s="51">
        <f t="shared" si="685"/>
        <v>0</v>
      </c>
      <c r="FN258" s="54">
        <f t="shared" si="686"/>
        <v>0</v>
      </c>
      <c r="FO258" s="55">
        <f t="shared" si="687"/>
        <v>0</v>
      </c>
      <c r="FP258" s="56">
        <f>IF(AND($E258&lt;&gt;0,$F258&gt;0,YEAR($F258)&gt;=Preisindex!$A$6,YEAR(FK$4)&gt;=YEAR($F258),AND($K258&lt;&gt;"a",$K258&lt;&gt;"b",$K258&lt;&gt;"g",$K258&lt;&gt;"k")),1,IF(AND($E258&lt;&gt;0,$F258&gt;0,YEAR($F258)&gt;=Preisindex!$A$6,YEAR(FK$4)&gt;=YEAR($F258),$K258="a"),ROUND(VLOOKUP(FP$4,Preisindex,5,FALSE)/VLOOKUP(YEAR($F258),Preisindex,5,FALSE),2),IF(AND($E258&lt;&gt;0,$F258&gt;0,YEAR($F258)&gt;=Preisindex!$A$6,YEAR(FK$4)&gt;=YEAR($F258),$K258="b"),ROUND(VLOOKUP(FP$4,Preisindex,3,FALSE)/VLOOKUP(YEAR($F258),Preisindex,3,FALSE),2),IF(AND($E258&lt;&gt;0,$F258&gt;0,YEAR($F258)&gt;=Preisindex!$A$6,YEAR(FK$4)&gt;=YEAR($F258),$K258="g"),ROUND(VLOOKUP(FP$4,Preisindex,4,FALSE)/VLOOKUP(YEAR($F258),Preisindex,4,FALSE),2),IF(AND($E258&lt;&gt;0,$F258&gt;0,YEAR($F258)&gt;=Preisindex!$A$6,YEAR(FK$4)&gt;=YEAR($F258),$K258="k"),ROUND(VLOOKUP(FP$4,Preisindex,2,FALSE)/VLOOKUP(YEAR($F258),Preisindex,2,FALSE),2),0)))))</f>
        <v>0</v>
      </c>
      <c r="FQ258" s="56">
        <f>IF(AND($E258&lt;&gt;0,$F258&gt;0,YEAR($F258)&lt;Preisindex!$A$6,YEAR(FK$4)&gt;=YEAR($F258),AND($K258&lt;&gt;"a",$K258&lt;&gt;"b",$K258&lt;&gt;"g",$K258&lt;&gt;"k")),1,IF(AND($E258&lt;&gt;0,$F258&gt;0,YEAR($F258)&lt;Preisindex!$A$6,YEAR(FK$4)&gt;=YEAR($F258),$K258="a"),ROUND(VLOOKUP(FP$4,Preisindex,5,FALSE)/VLOOKUP(Preisindex!$A$6,Preisindex,5,FALSE),2),IF(AND($E258&lt;&gt;0,$F258&gt;0,YEAR($F258)&lt;Preisindex!$A$6,YEAR(FK$4)&gt;=YEAR($F258),$K258="b"),ROUND(VLOOKUP(FP$4,Preisindex,3,FALSE)/VLOOKUP(Preisindex!$A$6,Preisindex,3,FALSE),2),IF(AND($E258&lt;&gt;0,$F258&gt;0,YEAR($F258)&lt;Preisindex!$A$6,YEAR(FK$4)&gt;=YEAR($F258),$K258="g"),ROUND(VLOOKUP(FP$4,Preisindex,4,FALSE)/VLOOKUP(Preisindex!$A$6,Preisindex,4,FALSE),2),IF(AND($E258&lt;&gt;0,$F258&gt;0,YEAR($F258)&lt;Preisindex!$A$6,YEAR(FK$4)&gt;=YEAR($F258),$K258="k"),ROUND(VLOOKUP(FP$4,Preisindex,2,FALSE)/VLOOKUP(Preisindex!$A$6,Preisindex,2,FALSE),2),0)))))</f>
        <v>0</v>
      </c>
      <c r="FR258" s="51">
        <f>IF(AND($E258&lt;&gt;0,$F258&gt;0,YEAR($F258)&lt;=FP$4,YEAR($F258)&gt;=Preisindex!$A$6),ROUND($E258*FP258,2),IF(AND($E258&lt;&gt;0,$F258&gt;0,YEAR($F258)&lt;=FP$4,YEAR($F258)&lt;Preisindex!$A$6),ROUND($E258*FQ258,2),0))</f>
        <v>0</v>
      </c>
      <c r="FS258" s="53">
        <f t="shared" si="688"/>
        <v>0</v>
      </c>
    </row>
    <row r="259" spans="1:175" x14ac:dyDescent="0.3">
      <c r="A259" s="93"/>
      <c r="B259" s="94"/>
      <c r="C259" s="94"/>
      <c r="D259" s="188"/>
      <c r="E259" s="624"/>
      <c r="F259" s="190"/>
      <c r="G259" s="625"/>
      <c r="H259" s="620"/>
      <c r="I259" s="621"/>
      <c r="J259" s="103"/>
      <c r="K259" s="630"/>
      <c r="L259" s="49">
        <f t="shared" si="689"/>
        <v>0</v>
      </c>
      <c r="M259" s="50">
        <f t="shared" si="690"/>
        <v>0</v>
      </c>
      <c r="N259" s="51">
        <f t="shared" si="691"/>
        <v>0</v>
      </c>
      <c r="O259" s="51"/>
      <c r="P259" s="51">
        <f t="shared" si="692"/>
        <v>0</v>
      </c>
      <c r="Q259" s="52"/>
      <c r="R259" s="52"/>
      <c r="S259" s="52"/>
      <c r="T259" s="52"/>
      <c r="U259" s="52"/>
      <c r="V259" s="53">
        <f t="shared" si="693"/>
        <v>0</v>
      </c>
      <c r="W259" s="51">
        <f t="shared" si="694"/>
        <v>0</v>
      </c>
      <c r="X259" s="51">
        <f t="shared" si="695"/>
        <v>0</v>
      </c>
      <c r="Y259" s="51">
        <f t="shared" si="696"/>
        <v>0</v>
      </c>
      <c r="Z259" s="51">
        <f t="shared" si="697"/>
        <v>0</v>
      </c>
      <c r="AA259" s="51">
        <f t="shared" si="698"/>
        <v>0</v>
      </c>
      <c r="AB259" s="51">
        <f t="shared" si="699"/>
        <v>0</v>
      </c>
      <c r="AC259" s="51">
        <f t="shared" si="700"/>
        <v>0</v>
      </c>
      <c r="AD259" s="51">
        <f t="shared" si="701"/>
        <v>0</v>
      </c>
      <c r="AE259" s="51">
        <f t="shared" si="702"/>
        <v>0</v>
      </c>
      <c r="AF259" s="51">
        <f t="shared" si="703"/>
        <v>0</v>
      </c>
      <c r="AG259" s="51">
        <f t="shared" si="704"/>
        <v>0</v>
      </c>
      <c r="AH259" s="54">
        <f t="shared" si="705"/>
        <v>0</v>
      </c>
      <c r="AI259" s="55">
        <f t="shared" si="706"/>
        <v>0</v>
      </c>
      <c r="AJ259" s="56">
        <f>IF(AND($E259&lt;&gt;0,$F259&gt;0,YEAR($F259)&gt;=Preisindex!$A$6,YEAR(AE$4)&gt;=YEAR($F259),AND($K259&lt;&gt;"a",$K259&lt;&gt;"b",$K259&lt;&gt;"g",$K259&lt;&gt;"k")),1,IF(AND($E259&lt;&gt;0,$F259&gt;0,YEAR($F259)&gt;=Preisindex!$A$6,YEAR(AE$4)&gt;=YEAR($F259),$K259="a"),ROUND(VLOOKUP(AJ$4,Preisindex,5,FALSE)/VLOOKUP(YEAR($F259),Preisindex,5,FALSE),2),IF(AND($E259&lt;&gt;0,$F259&gt;0,YEAR($F259)&gt;=Preisindex!$A$6,YEAR(AE$4)&gt;=YEAR($F259),$K259="b"),ROUND(VLOOKUP(AJ$4,Preisindex,3,FALSE)/VLOOKUP(YEAR($F259),Preisindex,3,FALSE),2),IF(AND($E259&lt;&gt;0,$F259&gt;0,YEAR($F259)&gt;=Preisindex!$A$6,YEAR(AE$4)&gt;=YEAR($F259),$K259="g"),ROUND(VLOOKUP(AJ$4,Preisindex,4,FALSE)/VLOOKUP(YEAR($F259),Preisindex,4,FALSE),2),IF(AND($E259&lt;&gt;0,$F259&gt;0,YEAR($F259)&gt;=Preisindex!$A$6,YEAR(AE$4)&gt;=YEAR($F259),$K259="k"),ROUND(VLOOKUP(AJ$4,Preisindex,2,FALSE)/VLOOKUP(YEAR($F259),Preisindex,2,FALSE),2),0)))))</f>
        <v>0</v>
      </c>
      <c r="AK259" s="56">
        <f>IF(AND($E259&lt;&gt;0,$F259&gt;0,YEAR($F259)&lt;Preisindex!$A$6,YEAR(AE$4)&gt;=YEAR($F259),AND($K259&lt;&gt;"a",$K259&lt;&gt;"b",$K259&lt;&gt;"g",$K259&lt;&gt;"k")),1,IF(AND($E259&lt;&gt;0,$F259&gt;0,YEAR($F259)&lt;Preisindex!$A$6,YEAR(AE$4)&gt;=YEAR($F259),$K259="a"),ROUND(VLOOKUP(AJ$4,Preisindex,5,FALSE)/VLOOKUP(Preisindex!$A$6,Preisindex,5,FALSE),2),IF(AND($E259&lt;&gt;0,$F259&gt;0,YEAR($F259)&lt;Preisindex!$A$6,YEAR(AE$4)&gt;=YEAR($F259),$K259="b"),ROUND(VLOOKUP(AJ$4,Preisindex,3,FALSE)/VLOOKUP(Preisindex!$A$6,Preisindex,3,FALSE),2),IF(AND($E259&lt;&gt;0,$F259&gt;0,YEAR($F259)&lt;Preisindex!$A$6,YEAR(AE$4)&gt;=YEAR($F259),$K259="g"),ROUND(VLOOKUP(AJ$4,Preisindex,4,FALSE)/VLOOKUP(Preisindex!$A$6,Preisindex,4,FALSE),2),IF(AND($E259&lt;&gt;0,$F259&gt;0,YEAR($F259)&lt;Preisindex!$A$6,YEAR(AE$4)&gt;=YEAR($F259),$K259="k"),ROUND(VLOOKUP(AJ$4,Preisindex,2,FALSE)/VLOOKUP(Preisindex!$A$6,Preisindex,2,FALSE),2),0)))))</f>
        <v>0</v>
      </c>
      <c r="AL259" s="51">
        <f>IF(AND($E259&lt;&gt;0,$F259&gt;0,YEAR($F259)&lt;=AJ$4,YEAR($F259)&gt;=Preisindex!$A$6),ROUND($E259*AJ259,2),IF(AND($E259&lt;&gt;0,$F259&gt;0,YEAR($F259)&lt;=AJ$4,YEAR($F259)&lt;Preisindex!$A$6),ROUND($E259*AK259,2),0))</f>
        <v>0</v>
      </c>
      <c r="AM259" s="53">
        <f t="shared" si="707"/>
        <v>0</v>
      </c>
      <c r="AN259" s="51">
        <f t="shared" si="752"/>
        <v>0</v>
      </c>
      <c r="AO259" s="51">
        <f t="shared" si="710"/>
        <v>0</v>
      </c>
      <c r="AP259" s="51">
        <f t="shared" si="624"/>
        <v>0</v>
      </c>
      <c r="AQ259" s="51">
        <f t="shared" si="711"/>
        <v>0</v>
      </c>
      <c r="AR259" s="51">
        <f t="shared" si="625"/>
        <v>0</v>
      </c>
      <c r="AS259" s="51">
        <f t="shared" si="712"/>
        <v>0</v>
      </c>
      <c r="AT259" s="51">
        <f t="shared" si="626"/>
        <v>0</v>
      </c>
      <c r="AU259" s="51">
        <f t="shared" si="713"/>
        <v>0</v>
      </c>
      <c r="AV259" s="51">
        <f t="shared" si="627"/>
        <v>0</v>
      </c>
      <c r="AW259" s="51">
        <f t="shared" si="714"/>
        <v>0</v>
      </c>
      <c r="AX259" s="51">
        <f t="shared" si="628"/>
        <v>0</v>
      </c>
      <c r="AY259" s="54">
        <f t="shared" si="629"/>
        <v>0</v>
      </c>
      <c r="AZ259" s="55">
        <f t="shared" si="630"/>
        <v>0</v>
      </c>
      <c r="BA259" s="56">
        <f>IF(AND($E259&lt;&gt;0,$F259&gt;0,YEAR($F259)&gt;=Preisindex!$A$6,YEAR(AV$4)&gt;=YEAR($F259),AND($K259&lt;&gt;"a",$K259&lt;&gt;"b",$K259&lt;&gt;"g",$K259&lt;&gt;"k")),1,IF(AND($E259&lt;&gt;0,$F259&gt;0,YEAR($F259)&gt;=Preisindex!$A$6,YEAR(AV$4)&gt;=YEAR($F259),$K259="a"),ROUND(VLOOKUP(BA$4,Preisindex,5,FALSE)/VLOOKUP(YEAR($F259),Preisindex,5,FALSE),2),IF(AND($E259&lt;&gt;0,$F259&gt;0,YEAR($F259)&gt;=Preisindex!$A$6,YEAR(AV$4)&gt;=YEAR($F259),$K259="b"),ROUND(VLOOKUP(BA$4,Preisindex,3,FALSE)/VLOOKUP(YEAR($F259),Preisindex,3,FALSE),2),IF(AND($E259&lt;&gt;0,$F259&gt;0,YEAR($F259)&gt;=Preisindex!$A$6,YEAR(AV$4)&gt;=YEAR($F259),$K259="g"),ROUND(VLOOKUP(BA$4,Preisindex,4,FALSE)/VLOOKUP(YEAR($F259),Preisindex,4,FALSE),2),IF(AND($E259&lt;&gt;0,$F259&gt;0,YEAR($F259)&gt;=Preisindex!$A$6,YEAR(AV$4)&gt;=YEAR($F259),$K259="k"),ROUND(VLOOKUP(BA$4,Preisindex,2,FALSE)/VLOOKUP(YEAR($F259),Preisindex,2,FALSE),2),0)))))</f>
        <v>0</v>
      </c>
      <c r="BB259" s="56">
        <f>IF(AND($E259&lt;&gt;0,$F259&gt;0,YEAR($F259)&lt;Preisindex!$A$6,YEAR(AV$4)&gt;=YEAR($F259),AND($K259&lt;&gt;"a",$K259&lt;&gt;"b",$K259&lt;&gt;"g",$K259&lt;&gt;"k")),1,IF(AND($E259&lt;&gt;0,$F259&gt;0,YEAR($F259)&lt;Preisindex!$A$6,YEAR(AV$4)&gt;=YEAR($F259),$K259="a"),ROUND(VLOOKUP(BA$4,Preisindex,5,FALSE)/VLOOKUP(Preisindex!$A$6,Preisindex,5,FALSE),2),IF(AND($E259&lt;&gt;0,$F259&gt;0,YEAR($F259)&lt;Preisindex!$A$6,YEAR(AV$4)&gt;=YEAR($F259),$K259="b"),ROUND(VLOOKUP(BA$4,Preisindex,3,FALSE)/VLOOKUP(Preisindex!$A$6,Preisindex,3,FALSE),2),IF(AND($E259&lt;&gt;0,$F259&gt;0,YEAR($F259)&lt;Preisindex!$A$6,YEAR(AV$4)&gt;=YEAR($F259),$K259="g"),ROUND(VLOOKUP(BA$4,Preisindex,4,FALSE)/VLOOKUP(Preisindex!$A$6,Preisindex,4,FALSE),2),IF(AND($E259&lt;&gt;0,$F259&gt;0,YEAR($F259)&lt;Preisindex!$A$6,YEAR(AV$4)&gt;=YEAR($F259),$K259="k"),ROUND(VLOOKUP(BA$4,Preisindex,2,FALSE)/VLOOKUP(Preisindex!$A$6,Preisindex,2,FALSE),2),0)))))</f>
        <v>0</v>
      </c>
      <c r="BC259" s="51">
        <f>IF(AND($E259&lt;&gt;0,$F259&gt;0,YEAR($F259)&lt;=BA$4,YEAR($F259)&gt;=Preisindex!$A$6),ROUND($E259*BA259,2),IF(AND($E259&lt;&gt;0,$F259&gt;0,YEAR($F259)&lt;=BA$4,YEAR($F259)&lt;Preisindex!$A$6),ROUND($E259*BB259,2),0))</f>
        <v>0</v>
      </c>
      <c r="BD259" s="53">
        <f t="shared" si="631"/>
        <v>0</v>
      </c>
      <c r="BE259" s="51">
        <f t="shared" si="752"/>
        <v>0</v>
      </c>
      <c r="BF259" s="51">
        <f t="shared" si="715"/>
        <v>0</v>
      </c>
      <c r="BG259" s="51">
        <f t="shared" si="632"/>
        <v>0</v>
      </c>
      <c r="BH259" s="51">
        <f t="shared" si="716"/>
        <v>0</v>
      </c>
      <c r="BI259" s="51">
        <f t="shared" si="633"/>
        <v>0</v>
      </c>
      <c r="BJ259" s="51">
        <f t="shared" si="717"/>
        <v>0</v>
      </c>
      <c r="BK259" s="51">
        <f t="shared" si="634"/>
        <v>0</v>
      </c>
      <c r="BL259" s="51">
        <f t="shared" si="718"/>
        <v>0</v>
      </c>
      <c r="BM259" s="51">
        <f t="shared" si="635"/>
        <v>0</v>
      </c>
      <c r="BN259" s="51">
        <f t="shared" si="719"/>
        <v>0</v>
      </c>
      <c r="BO259" s="51">
        <f t="shared" si="636"/>
        <v>0</v>
      </c>
      <c r="BP259" s="54">
        <f t="shared" si="637"/>
        <v>0</v>
      </c>
      <c r="BQ259" s="55">
        <f t="shared" si="638"/>
        <v>0</v>
      </c>
      <c r="BR259" s="56">
        <f>IF(AND($E259&lt;&gt;0,$F259&gt;0,YEAR($F259)&gt;=Preisindex!$A$6,YEAR(BM$4)&gt;=YEAR($F259),AND($K259&lt;&gt;"a",$K259&lt;&gt;"b",$K259&lt;&gt;"g",$K259&lt;&gt;"k")),1,IF(AND($E259&lt;&gt;0,$F259&gt;0,YEAR($F259)&gt;=Preisindex!$A$6,YEAR(BM$4)&gt;=YEAR($F259),$K259="a"),ROUND(VLOOKUP(BR$4,Preisindex,5,FALSE)/VLOOKUP(YEAR($F259),Preisindex,5,FALSE),2),IF(AND($E259&lt;&gt;0,$F259&gt;0,YEAR($F259)&gt;=Preisindex!$A$6,YEAR(BM$4)&gt;=YEAR($F259),$K259="b"),ROUND(VLOOKUP(BR$4,Preisindex,3,FALSE)/VLOOKUP(YEAR($F259),Preisindex,3,FALSE),2),IF(AND($E259&lt;&gt;0,$F259&gt;0,YEAR($F259)&gt;=Preisindex!$A$6,YEAR(BM$4)&gt;=YEAR($F259),$K259="g"),ROUND(VLOOKUP(BR$4,Preisindex,4,FALSE)/VLOOKUP(YEAR($F259),Preisindex,4,FALSE),2),IF(AND($E259&lt;&gt;0,$F259&gt;0,YEAR($F259)&gt;=Preisindex!$A$6,YEAR(BM$4)&gt;=YEAR($F259),$K259="k"),ROUND(VLOOKUP(BR$4,Preisindex,2,FALSE)/VLOOKUP(YEAR($F259),Preisindex,2,FALSE),2),0)))))</f>
        <v>0</v>
      </c>
      <c r="BS259" s="56">
        <f>IF(AND($E259&lt;&gt;0,$F259&gt;0,YEAR($F259)&lt;Preisindex!$A$6,YEAR(BM$4)&gt;=YEAR($F259),AND($K259&lt;&gt;"a",$K259&lt;&gt;"b",$K259&lt;&gt;"g",$K259&lt;&gt;"k")),1,IF(AND($E259&lt;&gt;0,$F259&gt;0,YEAR($F259)&lt;Preisindex!$A$6,YEAR(BM$4)&gt;=YEAR($F259),$K259="a"),ROUND(VLOOKUP(BR$4,Preisindex,5,FALSE)/VLOOKUP(Preisindex!$A$6,Preisindex,5,FALSE),2),IF(AND($E259&lt;&gt;0,$F259&gt;0,YEAR($F259)&lt;Preisindex!$A$6,YEAR(BM$4)&gt;=YEAR($F259),$K259="b"),ROUND(VLOOKUP(BR$4,Preisindex,3,FALSE)/VLOOKUP(Preisindex!$A$6,Preisindex,3,FALSE),2),IF(AND($E259&lt;&gt;0,$F259&gt;0,YEAR($F259)&lt;Preisindex!$A$6,YEAR(BM$4)&gt;=YEAR($F259),$K259="g"),ROUND(VLOOKUP(BR$4,Preisindex,4,FALSE)/VLOOKUP(Preisindex!$A$6,Preisindex,4,FALSE),2),IF(AND($E259&lt;&gt;0,$F259&gt;0,YEAR($F259)&lt;Preisindex!$A$6,YEAR(BM$4)&gt;=YEAR($F259),$K259="k"),ROUND(VLOOKUP(BR$4,Preisindex,2,FALSE)/VLOOKUP(Preisindex!$A$6,Preisindex,2,FALSE),2),0)))))</f>
        <v>0</v>
      </c>
      <c r="BT259" s="51">
        <f>IF(AND($E259&lt;&gt;0,$F259&gt;0,YEAR($F259)&lt;=BR$4,YEAR($F259)&gt;=Preisindex!$A$6),ROUND($E259*BR259,2),IF(AND($E259&lt;&gt;0,$F259&gt;0,YEAR($F259)&lt;=BR$4,YEAR($F259)&lt;Preisindex!$A$6),ROUND($E259*BS259,2),0))</f>
        <v>0</v>
      </c>
      <c r="BU259" s="53">
        <f t="shared" si="639"/>
        <v>0</v>
      </c>
      <c r="BV259" s="51">
        <f t="shared" si="752"/>
        <v>0</v>
      </c>
      <c r="BW259" s="51">
        <f t="shared" si="720"/>
        <v>0</v>
      </c>
      <c r="BX259" s="51">
        <f t="shared" si="640"/>
        <v>0</v>
      </c>
      <c r="BY259" s="51">
        <f t="shared" si="721"/>
        <v>0</v>
      </c>
      <c r="BZ259" s="51">
        <f t="shared" si="641"/>
        <v>0</v>
      </c>
      <c r="CA259" s="51">
        <f t="shared" si="722"/>
        <v>0</v>
      </c>
      <c r="CB259" s="51">
        <f t="shared" si="642"/>
        <v>0</v>
      </c>
      <c r="CC259" s="51">
        <f t="shared" si="723"/>
        <v>0</v>
      </c>
      <c r="CD259" s="51">
        <f t="shared" si="643"/>
        <v>0</v>
      </c>
      <c r="CE259" s="51">
        <f t="shared" si="724"/>
        <v>0</v>
      </c>
      <c r="CF259" s="51">
        <f t="shared" si="644"/>
        <v>0</v>
      </c>
      <c r="CG259" s="54">
        <f t="shared" si="645"/>
        <v>0</v>
      </c>
      <c r="CH259" s="55">
        <f t="shared" si="646"/>
        <v>0</v>
      </c>
      <c r="CI259" s="56">
        <f>IF(AND($E259&lt;&gt;0,$F259&gt;0,YEAR($F259)&gt;=Preisindex!$A$6,YEAR(CD$4)&gt;=YEAR($F259),AND($K259&lt;&gt;"a",$K259&lt;&gt;"b",$K259&lt;&gt;"g",$K259&lt;&gt;"k")),1,IF(AND($E259&lt;&gt;0,$F259&gt;0,YEAR($F259)&gt;=Preisindex!$A$6,YEAR(CD$4)&gt;=YEAR($F259),$K259="a"),ROUND(VLOOKUP(CI$4,Preisindex,5,FALSE)/VLOOKUP(YEAR($F259),Preisindex,5,FALSE),2),IF(AND($E259&lt;&gt;0,$F259&gt;0,YEAR($F259)&gt;=Preisindex!$A$6,YEAR(CD$4)&gt;=YEAR($F259),$K259="b"),ROUND(VLOOKUP(CI$4,Preisindex,3,FALSE)/VLOOKUP(YEAR($F259),Preisindex,3,FALSE),2),IF(AND($E259&lt;&gt;0,$F259&gt;0,YEAR($F259)&gt;=Preisindex!$A$6,YEAR(CD$4)&gt;=YEAR($F259),$K259="g"),ROUND(VLOOKUP(CI$4,Preisindex,4,FALSE)/VLOOKUP(YEAR($F259),Preisindex,4,FALSE),2),IF(AND($E259&lt;&gt;0,$F259&gt;0,YEAR($F259)&gt;=Preisindex!$A$6,YEAR(CD$4)&gt;=YEAR($F259),$K259="k"),ROUND(VLOOKUP(CI$4,Preisindex,2,FALSE)/VLOOKUP(YEAR($F259),Preisindex,2,FALSE),2),0)))))</f>
        <v>0</v>
      </c>
      <c r="CJ259" s="56">
        <f>IF(AND($E259&lt;&gt;0,$F259&gt;0,YEAR($F259)&lt;Preisindex!$A$6,YEAR(CD$4)&gt;=YEAR($F259),AND($K259&lt;&gt;"a",$K259&lt;&gt;"b",$K259&lt;&gt;"g",$K259&lt;&gt;"k")),1,IF(AND($E259&lt;&gt;0,$F259&gt;0,YEAR($F259)&lt;Preisindex!$A$6,YEAR(CD$4)&gt;=YEAR($F259),$K259="a"),ROUND(VLOOKUP(CI$4,Preisindex,5,FALSE)/VLOOKUP(Preisindex!$A$6,Preisindex,5,FALSE),2),IF(AND($E259&lt;&gt;0,$F259&gt;0,YEAR($F259)&lt;Preisindex!$A$6,YEAR(CD$4)&gt;=YEAR($F259),$K259="b"),ROUND(VLOOKUP(CI$4,Preisindex,3,FALSE)/VLOOKUP(Preisindex!$A$6,Preisindex,3,FALSE),2),IF(AND($E259&lt;&gt;0,$F259&gt;0,YEAR($F259)&lt;Preisindex!$A$6,YEAR(CD$4)&gt;=YEAR($F259),$K259="g"),ROUND(VLOOKUP(CI$4,Preisindex,4,FALSE)/VLOOKUP(Preisindex!$A$6,Preisindex,4,FALSE),2),IF(AND($E259&lt;&gt;0,$F259&gt;0,YEAR($F259)&lt;Preisindex!$A$6,YEAR(CD$4)&gt;=YEAR($F259),$K259="k"),ROUND(VLOOKUP(CI$4,Preisindex,2,FALSE)/VLOOKUP(Preisindex!$A$6,Preisindex,2,FALSE),2),0)))))</f>
        <v>0</v>
      </c>
      <c r="CK259" s="51">
        <f>IF(AND($E259&lt;&gt;0,$F259&gt;0,YEAR($F259)&lt;=CI$4,YEAR($F259)&gt;=Preisindex!$A$6),ROUND($E259*CI259,2),IF(AND($E259&lt;&gt;0,$F259&gt;0,YEAR($F259)&lt;=CI$4,YEAR($F259)&lt;Preisindex!$A$6),ROUND($E259*CJ259,2),0))</f>
        <v>0</v>
      </c>
      <c r="CL259" s="53">
        <f t="shared" si="647"/>
        <v>0</v>
      </c>
      <c r="CM259" s="51">
        <f t="shared" si="752"/>
        <v>0</v>
      </c>
      <c r="CN259" s="51">
        <f t="shared" si="725"/>
        <v>0</v>
      </c>
      <c r="CO259" s="51">
        <f t="shared" si="648"/>
        <v>0</v>
      </c>
      <c r="CP259" s="51">
        <f t="shared" si="726"/>
        <v>0</v>
      </c>
      <c r="CQ259" s="51">
        <f t="shared" si="649"/>
        <v>0</v>
      </c>
      <c r="CR259" s="51">
        <f t="shared" si="727"/>
        <v>0</v>
      </c>
      <c r="CS259" s="51">
        <f t="shared" si="650"/>
        <v>0</v>
      </c>
      <c r="CT259" s="51">
        <f t="shared" si="728"/>
        <v>0</v>
      </c>
      <c r="CU259" s="51">
        <f t="shared" si="651"/>
        <v>0</v>
      </c>
      <c r="CV259" s="51">
        <f t="shared" si="729"/>
        <v>0</v>
      </c>
      <c r="CW259" s="51">
        <f t="shared" si="652"/>
        <v>0</v>
      </c>
      <c r="CX259" s="54">
        <f t="shared" si="653"/>
        <v>0</v>
      </c>
      <c r="CY259" s="55">
        <f t="shared" si="654"/>
        <v>0</v>
      </c>
      <c r="CZ259" s="56">
        <f>IF(AND($E259&lt;&gt;0,$F259&gt;0,YEAR($F259)&gt;=Preisindex!$A$6,YEAR(CU$4)&gt;=YEAR($F259),AND($K259&lt;&gt;"a",$K259&lt;&gt;"b",$K259&lt;&gt;"g",$K259&lt;&gt;"k")),1,IF(AND($E259&lt;&gt;0,$F259&gt;0,YEAR($F259)&gt;=Preisindex!$A$6,YEAR(CU$4)&gt;=YEAR($F259),$K259="a"),ROUND(VLOOKUP(CZ$4,Preisindex,5,FALSE)/VLOOKUP(YEAR($F259),Preisindex,5,FALSE),2),IF(AND($E259&lt;&gt;0,$F259&gt;0,YEAR($F259)&gt;=Preisindex!$A$6,YEAR(CU$4)&gt;=YEAR($F259),$K259="b"),ROUND(VLOOKUP(CZ$4,Preisindex,3,FALSE)/VLOOKUP(YEAR($F259),Preisindex,3,FALSE),2),IF(AND($E259&lt;&gt;0,$F259&gt;0,YEAR($F259)&gt;=Preisindex!$A$6,YEAR(CU$4)&gt;=YEAR($F259),$K259="g"),ROUND(VLOOKUP(CZ$4,Preisindex,4,FALSE)/VLOOKUP(YEAR($F259),Preisindex,4,FALSE),2),IF(AND($E259&lt;&gt;0,$F259&gt;0,YEAR($F259)&gt;=Preisindex!$A$6,YEAR(CU$4)&gt;=YEAR($F259),$K259="k"),ROUND(VLOOKUP(CZ$4,Preisindex,2,FALSE)/VLOOKUP(YEAR($F259),Preisindex,2,FALSE),2),0)))))</f>
        <v>0</v>
      </c>
      <c r="DA259" s="56">
        <f>IF(AND($E259&lt;&gt;0,$F259&gt;0,YEAR($F259)&lt;Preisindex!$A$6,YEAR(CU$4)&gt;=YEAR($F259),AND($K259&lt;&gt;"a",$K259&lt;&gt;"b",$K259&lt;&gt;"g",$K259&lt;&gt;"k")),1,IF(AND($E259&lt;&gt;0,$F259&gt;0,YEAR($F259)&lt;Preisindex!$A$6,YEAR(CU$4)&gt;=YEAR($F259),$K259="a"),ROUND(VLOOKUP(CZ$4,Preisindex,5,FALSE)/VLOOKUP(Preisindex!$A$6,Preisindex,5,FALSE),2),IF(AND($E259&lt;&gt;0,$F259&gt;0,YEAR($F259)&lt;Preisindex!$A$6,YEAR(CU$4)&gt;=YEAR($F259),$K259="b"),ROUND(VLOOKUP(CZ$4,Preisindex,3,FALSE)/VLOOKUP(Preisindex!$A$6,Preisindex,3,FALSE),2),IF(AND($E259&lt;&gt;0,$F259&gt;0,YEAR($F259)&lt;Preisindex!$A$6,YEAR(CU$4)&gt;=YEAR($F259),$K259="g"),ROUND(VLOOKUP(CZ$4,Preisindex,4,FALSE)/VLOOKUP(Preisindex!$A$6,Preisindex,4,FALSE),2),IF(AND($E259&lt;&gt;0,$F259&gt;0,YEAR($F259)&lt;Preisindex!$A$6,YEAR(CU$4)&gt;=YEAR($F259),$K259="k"),ROUND(VLOOKUP(CZ$4,Preisindex,2,FALSE)/VLOOKUP(Preisindex!$A$6,Preisindex,2,FALSE),2),0)))))</f>
        <v>0</v>
      </c>
      <c r="DB259" s="51">
        <f>IF(AND($E259&lt;&gt;0,$F259&gt;0,YEAR($F259)&lt;=CZ$4,YEAR($F259)&gt;=Preisindex!$A$6),ROUND($E259*CZ259,2),IF(AND($E259&lt;&gt;0,$F259&gt;0,YEAR($F259)&lt;=CZ$4,YEAR($F259)&lt;Preisindex!$A$6),ROUND($E259*DA259,2),0))</f>
        <v>0</v>
      </c>
      <c r="DC259" s="53">
        <f t="shared" si="655"/>
        <v>0</v>
      </c>
      <c r="DD259" s="51">
        <f t="shared" si="753"/>
        <v>0</v>
      </c>
      <c r="DE259" s="51">
        <f t="shared" si="730"/>
        <v>0</v>
      </c>
      <c r="DF259" s="51">
        <f t="shared" si="657"/>
        <v>0</v>
      </c>
      <c r="DG259" s="51">
        <f t="shared" si="731"/>
        <v>0</v>
      </c>
      <c r="DH259" s="51">
        <f t="shared" si="658"/>
        <v>0</v>
      </c>
      <c r="DI259" s="51">
        <f t="shared" si="732"/>
        <v>0</v>
      </c>
      <c r="DJ259" s="51">
        <f t="shared" si="659"/>
        <v>0</v>
      </c>
      <c r="DK259" s="51">
        <f t="shared" si="733"/>
        <v>0</v>
      </c>
      <c r="DL259" s="51">
        <f t="shared" si="660"/>
        <v>0</v>
      </c>
      <c r="DM259" s="51">
        <f t="shared" si="734"/>
        <v>0</v>
      </c>
      <c r="DN259" s="51">
        <f t="shared" si="661"/>
        <v>0</v>
      </c>
      <c r="DO259" s="54">
        <f t="shared" si="662"/>
        <v>0</v>
      </c>
      <c r="DP259" s="55">
        <f t="shared" si="663"/>
        <v>0</v>
      </c>
      <c r="DQ259" s="56">
        <f>IF(AND($E259&lt;&gt;0,$F259&gt;0,YEAR($F259)&gt;=Preisindex!$A$6,YEAR(DL$4)&gt;=YEAR($F259),AND($K259&lt;&gt;"a",$K259&lt;&gt;"b",$K259&lt;&gt;"g",$K259&lt;&gt;"k")),1,IF(AND($E259&lt;&gt;0,$F259&gt;0,YEAR($F259)&gt;=Preisindex!$A$6,YEAR(DL$4)&gt;=YEAR($F259),$K259="a"),ROUND(VLOOKUP(DQ$4,Preisindex,5,FALSE)/VLOOKUP(YEAR($F259),Preisindex,5,FALSE),2),IF(AND($E259&lt;&gt;0,$F259&gt;0,YEAR($F259)&gt;=Preisindex!$A$6,YEAR(DL$4)&gt;=YEAR($F259),$K259="b"),ROUND(VLOOKUP(DQ$4,Preisindex,3,FALSE)/VLOOKUP(YEAR($F259),Preisindex,3,FALSE),2),IF(AND($E259&lt;&gt;0,$F259&gt;0,YEAR($F259)&gt;=Preisindex!$A$6,YEAR(DL$4)&gt;=YEAR($F259),$K259="g"),ROUND(VLOOKUP(DQ$4,Preisindex,4,FALSE)/VLOOKUP(YEAR($F259),Preisindex,4,FALSE),2),IF(AND($E259&lt;&gt;0,$F259&gt;0,YEAR($F259)&gt;=Preisindex!$A$6,YEAR(DL$4)&gt;=YEAR($F259),$K259="k"),ROUND(VLOOKUP(DQ$4,Preisindex,2,FALSE)/VLOOKUP(YEAR($F259),Preisindex,2,FALSE),2),0)))))</f>
        <v>0</v>
      </c>
      <c r="DR259" s="56">
        <f>IF(AND($E259&lt;&gt;0,$F259&gt;0,YEAR($F259)&lt;Preisindex!$A$6,YEAR(DL$4)&gt;=YEAR($F259),AND($K259&lt;&gt;"a",$K259&lt;&gt;"b",$K259&lt;&gt;"g",$K259&lt;&gt;"k")),1,IF(AND($E259&lt;&gt;0,$F259&gt;0,YEAR($F259)&lt;Preisindex!$A$6,YEAR(DL$4)&gt;=YEAR($F259),$K259="a"),ROUND(VLOOKUP(DQ$4,Preisindex,5,FALSE)/VLOOKUP(Preisindex!$A$6,Preisindex,5,FALSE),2),IF(AND($E259&lt;&gt;0,$F259&gt;0,YEAR($F259)&lt;Preisindex!$A$6,YEAR(DL$4)&gt;=YEAR($F259),$K259="b"),ROUND(VLOOKUP(DQ$4,Preisindex,3,FALSE)/VLOOKUP(Preisindex!$A$6,Preisindex,3,FALSE),2),IF(AND($E259&lt;&gt;0,$F259&gt;0,YEAR($F259)&lt;Preisindex!$A$6,YEAR(DL$4)&gt;=YEAR($F259),$K259="g"),ROUND(VLOOKUP(DQ$4,Preisindex,4,FALSE)/VLOOKUP(Preisindex!$A$6,Preisindex,4,FALSE),2),IF(AND($E259&lt;&gt;0,$F259&gt;0,YEAR($F259)&lt;Preisindex!$A$6,YEAR(DL$4)&gt;=YEAR($F259),$K259="k"),ROUND(VLOOKUP(DQ$4,Preisindex,2,FALSE)/VLOOKUP(Preisindex!$A$6,Preisindex,2,FALSE),2),0)))))</f>
        <v>0</v>
      </c>
      <c r="DS259" s="51">
        <f>IF(AND($E259&lt;&gt;0,$F259&gt;0,YEAR($F259)&lt;=DQ$4,YEAR($F259)&gt;=Preisindex!$A$6),ROUND($E259*DQ259,2),IF(AND($E259&lt;&gt;0,$F259&gt;0,YEAR($F259)&lt;=DQ$4,YEAR($F259)&lt;Preisindex!$A$6),ROUND($E259*DR259,2),0))</f>
        <v>0</v>
      </c>
      <c r="DT259" s="53">
        <f t="shared" si="664"/>
        <v>0</v>
      </c>
      <c r="DU259" s="51">
        <f t="shared" si="753"/>
        <v>0</v>
      </c>
      <c r="DV259" s="51">
        <f t="shared" si="735"/>
        <v>0</v>
      </c>
      <c r="DW259" s="51">
        <f t="shared" si="665"/>
        <v>0</v>
      </c>
      <c r="DX259" s="51">
        <f t="shared" si="736"/>
        <v>0</v>
      </c>
      <c r="DY259" s="51">
        <f t="shared" si="666"/>
        <v>0</v>
      </c>
      <c r="DZ259" s="51">
        <f t="shared" si="737"/>
        <v>0</v>
      </c>
      <c r="EA259" s="51">
        <f t="shared" si="667"/>
        <v>0</v>
      </c>
      <c r="EB259" s="51">
        <f t="shared" si="738"/>
        <v>0</v>
      </c>
      <c r="EC259" s="51">
        <f t="shared" si="668"/>
        <v>0</v>
      </c>
      <c r="ED259" s="51">
        <f t="shared" si="739"/>
        <v>0</v>
      </c>
      <c r="EE259" s="51">
        <f t="shared" si="669"/>
        <v>0</v>
      </c>
      <c r="EF259" s="54">
        <f t="shared" si="670"/>
        <v>0</v>
      </c>
      <c r="EG259" s="55">
        <f t="shared" si="671"/>
        <v>0</v>
      </c>
      <c r="EH259" s="56">
        <f>IF(AND($E259&lt;&gt;0,$F259&gt;0,YEAR($F259)&gt;=Preisindex!$A$6,YEAR(EC$4)&gt;=YEAR($F259),AND($K259&lt;&gt;"a",$K259&lt;&gt;"b",$K259&lt;&gt;"g",$K259&lt;&gt;"k")),1,IF(AND($E259&lt;&gt;0,$F259&gt;0,YEAR($F259)&gt;=Preisindex!$A$6,YEAR(EC$4)&gt;=YEAR($F259),$K259="a"),ROUND(VLOOKUP(EH$4,Preisindex,5,FALSE)/VLOOKUP(YEAR($F259),Preisindex,5,FALSE),2),IF(AND($E259&lt;&gt;0,$F259&gt;0,YEAR($F259)&gt;=Preisindex!$A$6,YEAR(EC$4)&gt;=YEAR($F259),$K259="b"),ROUND(VLOOKUP(EH$4,Preisindex,3,FALSE)/VLOOKUP(YEAR($F259),Preisindex,3,FALSE),2),IF(AND($E259&lt;&gt;0,$F259&gt;0,YEAR($F259)&gt;=Preisindex!$A$6,YEAR(EC$4)&gt;=YEAR($F259),$K259="g"),ROUND(VLOOKUP(EH$4,Preisindex,4,FALSE)/VLOOKUP(YEAR($F259),Preisindex,4,FALSE),2),IF(AND($E259&lt;&gt;0,$F259&gt;0,YEAR($F259)&gt;=Preisindex!$A$6,YEAR(EC$4)&gt;=YEAR($F259),$K259="k"),ROUND(VLOOKUP(EH$4,Preisindex,2,FALSE)/VLOOKUP(YEAR($F259),Preisindex,2,FALSE),2),0)))))</f>
        <v>0</v>
      </c>
      <c r="EI259" s="56">
        <f>IF(AND($E259&lt;&gt;0,$F259&gt;0,YEAR($F259)&lt;Preisindex!$A$6,YEAR(EC$4)&gt;=YEAR($F259),AND($K259&lt;&gt;"a",$K259&lt;&gt;"b",$K259&lt;&gt;"g",$K259&lt;&gt;"k")),1,IF(AND($E259&lt;&gt;0,$F259&gt;0,YEAR($F259)&lt;Preisindex!$A$6,YEAR(EC$4)&gt;=YEAR($F259),$K259="a"),ROUND(VLOOKUP(EH$4,Preisindex,5,FALSE)/VLOOKUP(Preisindex!$A$6,Preisindex,5,FALSE),2),IF(AND($E259&lt;&gt;0,$F259&gt;0,YEAR($F259)&lt;Preisindex!$A$6,YEAR(EC$4)&gt;=YEAR($F259),$K259="b"),ROUND(VLOOKUP(EH$4,Preisindex,3,FALSE)/VLOOKUP(Preisindex!$A$6,Preisindex,3,FALSE),2),IF(AND($E259&lt;&gt;0,$F259&gt;0,YEAR($F259)&lt;Preisindex!$A$6,YEAR(EC$4)&gt;=YEAR($F259),$K259="g"),ROUND(VLOOKUP(EH$4,Preisindex,4,FALSE)/VLOOKUP(Preisindex!$A$6,Preisindex,4,FALSE),2),IF(AND($E259&lt;&gt;0,$F259&gt;0,YEAR($F259)&lt;Preisindex!$A$6,YEAR(EC$4)&gt;=YEAR($F259),$K259="k"),ROUND(VLOOKUP(EH$4,Preisindex,2,FALSE)/VLOOKUP(Preisindex!$A$6,Preisindex,2,FALSE),2),0)))))</f>
        <v>0</v>
      </c>
      <c r="EJ259" s="51">
        <f>IF(AND($E259&lt;&gt;0,$F259&gt;0,YEAR($F259)&lt;=EH$4,YEAR($F259)&gt;=Preisindex!$A$6),ROUND($E259*EH259,2),IF(AND($E259&lt;&gt;0,$F259&gt;0,YEAR($F259)&lt;=EH$4,YEAR($F259)&lt;Preisindex!$A$6),ROUND($E259*EI259,2),0))</f>
        <v>0</v>
      </c>
      <c r="EK259" s="53">
        <f t="shared" si="672"/>
        <v>0</v>
      </c>
      <c r="EL259" s="51">
        <f t="shared" si="753"/>
        <v>0</v>
      </c>
      <c r="EM259" s="51">
        <f t="shared" si="740"/>
        <v>0</v>
      </c>
      <c r="EN259" s="51">
        <f t="shared" si="673"/>
        <v>0</v>
      </c>
      <c r="EO259" s="51">
        <f t="shared" si="741"/>
        <v>0</v>
      </c>
      <c r="EP259" s="51">
        <f t="shared" si="674"/>
        <v>0</v>
      </c>
      <c r="EQ259" s="51">
        <f t="shared" si="742"/>
        <v>0</v>
      </c>
      <c r="ER259" s="51">
        <f t="shared" si="675"/>
        <v>0</v>
      </c>
      <c r="ES259" s="51">
        <f t="shared" si="743"/>
        <v>0</v>
      </c>
      <c r="ET259" s="51">
        <f t="shared" si="676"/>
        <v>0</v>
      </c>
      <c r="EU259" s="51">
        <f t="shared" si="744"/>
        <v>0</v>
      </c>
      <c r="EV259" s="51">
        <f t="shared" si="677"/>
        <v>0</v>
      </c>
      <c r="EW259" s="54">
        <f t="shared" si="678"/>
        <v>0</v>
      </c>
      <c r="EX259" s="55">
        <f t="shared" si="679"/>
        <v>0</v>
      </c>
      <c r="EY259" s="56">
        <f>IF(AND($E259&lt;&gt;0,$F259&gt;0,YEAR($F259)&gt;=Preisindex!$A$6,YEAR(ET$4)&gt;=YEAR($F259),AND($K259&lt;&gt;"a",$K259&lt;&gt;"b",$K259&lt;&gt;"g",$K259&lt;&gt;"k")),1,IF(AND($E259&lt;&gt;0,$F259&gt;0,YEAR($F259)&gt;=Preisindex!$A$6,YEAR(ET$4)&gt;=YEAR($F259),$K259="a"),ROUND(VLOOKUP(EY$4,Preisindex,5,FALSE)/VLOOKUP(YEAR($F259),Preisindex,5,FALSE),2),IF(AND($E259&lt;&gt;0,$F259&gt;0,YEAR($F259)&gt;=Preisindex!$A$6,YEAR(ET$4)&gt;=YEAR($F259),$K259="b"),ROUND(VLOOKUP(EY$4,Preisindex,3,FALSE)/VLOOKUP(YEAR($F259),Preisindex,3,FALSE),2),IF(AND($E259&lt;&gt;0,$F259&gt;0,YEAR($F259)&gt;=Preisindex!$A$6,YEAR(ET$4)&gt;=YEAR($F259),$K259="g"),ROUND(VLOOKUP(EY$4,Preisindex,4,FALSE)/VLOOKUP(YEAR($F259),Preisindex,4,FALSE),2),IF(AND($E259&lt;&gt;0,$F259&gt;0,YEAR($F259)&gt;=Preisindex!$A$6,YEAR(ET$4)&gt;=YEAR($F259),$K259="k"),ROUND(VLOOKUP(EY$4,Preisindex,2,FALSE)/VLOOKUP(YEAR($F259),Preisindex,2,FALSE),2),0)))))</f>
        <v>0</v>
      </c>
      <c r="EZ259" s="56">
        <f>IF(AND($E259&lt;&gt;0,$F259&gt;0,YEAR($F259)&lt;Preisindex!$A$6,YEAR(ET$4)&gt;=YEAR($F259),AND($K259&lt;&gt;"a",$K259&lt;&gt;"b",$K259&lt;&gt;"g",$K259&lt;&gt;"k")),1,IF(AND($E259&lt;&gt;0,$F259&gt;0,YEAR($F259)&lt;Preisindex!$A$6,YEAR(ET$4)&gt;=YEAR($F259),$K259="a"),ROUND(VLOOKUP(EY$4,Preisindex,5,FALSE)/VLOOKUP(Preisindex!$A$6,Preisindex,5,FALSE),2),IF(AND($E259&lt;&gt;0,$F259&gt;0,YEAR($F259)&lt;Preisindex!$A$6,YEAR(ET$4)&gt;=YEAR($F259),$K259="b"),ROUND(VLOOKUP(EY$4,Preisindex,3,FALSE)/VLOOKUP(Preisindex!$A$6,Preisindex,3,FALSE),2),IF(AND($E259&lt;&gt;0,$F259&gt;0,YEAR($F259)&lt;Preisindex!$A$6,YEAR(ET$4)&gt;=YEAR($F259),$K259="g"),ROUND(VLOOKUP(EY$4,Preisindex,4,FALSE)/VLOOKUP(Preisindex!$A$6,Preisindex,4,FALSE),2),IF(AND($E259&lt;&gt;0,$F259&gt;0,YEAR($F259)&lt;Preisindex!$A$6,YEAR(ET$4)&gt;=YEAR($F259),$K259="k"),ROUND(VLOOKUP(EY$4,Preisindex,2,FALSE)/VLOOKUP(Preisindex!$A$6,Preisindex,2,FALSE),2),0)))))</f>
        <v>0</v>
      </c>
      <c r="FA259" s="51">
        <f>IF(AND($E259&lt;&gt;0,$F259&gt;0,YEAR($F259)&lt;=EY$4,YEAR($F259)&gt;=Preisindex!$A$6),ROUND($E259*EY259,2),IF(AND($E259&lt;&gt;0,$F259&gt;0,YEAR($F259)&lt;=EY$4,YEAR($F259)&lt;Preisindex!$A$6),ROUND($E259*EZ259,2),0))</f>
        <v>0</v>
      </c>
      <c r="FB259" s="53">
        <f t="shared" si="680"/>
        <v>0</v>
      </c>
      <c r="FC259" s="51">
        <f t="shared" si="753"/>
        <v>0</v>
      </c>
      <c r="FD259" s="51">
        <f t="shared" si="745"/>
        <v>0</v>
      </c>
      <c r="FE259" s="51">
        <f t="shared" si="681"/>
        <v>0</v>
      </c>
      <c r="FF259" s="51">
        <f t="shared" si="746"/>
        <v>0</v>
      </c>
      <c r="FG259" s="51">
        <f t="shared" si="682"/>
        <v>0</v>
      </c>
      <c r="FH259" s="51">
        <f t="shared" si="747"/>
        <v>0</v>
      </c>
      <c r="FI259" s="51">
        <f t="shared" si="683"/>
        <v>0</v>
      </c>
      <c r="FJ259" s="51">
        <f t="shared" si="748"/>
        <v>0</v>
      </c>
      <c r="FK259" s="51">
        <f t="shared" si="684"/>
        <v>0</v>
      </c>
      <c r="FL259" s="51">
        <f t="shared" si="749"/>
        <v>0</v>
      </c>
      <c r="FM259" s="51">
        <f t="shared" si="685"/>
        <v>0</v>
      </c>
      <c r="FN259" s="54">
        <f t="shared" si="686"/>
        <v>0</v>
      </c>
      <c r="FO259" s="55">
        <f t="shared" si="687"/>
        <v>0</v>
      </c>
      <c r="FP259" s="56">
        <f>IF(AND($E259&lt;&gt;0,$F259&gt;0,YEAR($F259)&gt;=Preisindex!$A$6,YEAR(FK$4)&gt;=YEAR($F259),AND($K259&lt;&gt;"a",$K259&lt;&gt;"b",$K259&lt;&gt;"g",$K259&lt;&gt;"k")),1,IF(AND($E259&lt;&gt;0,$F259&gt;0,YEAR($F259)&gt;=Preisindex!$A$6,YEAR(FK$4)&gt;=YEAR($F259),$K259="a"),ROUND(VLOOKUP(FP$4,Preisindex,5,FALSE)/VLOOKUP(YEAR($F259),Preisindex,5,FALSE),2),IF(AND($E259&lt;&gt;0,$F259&gt;0,YEAR($F259)&gt;=Preisindex!$A$6,YEAR(FK$4)&gt;=YEAR($F259),$K259="b"),ROUND(VLOOKUP(FP$4,Preisindex,3,FALSE)/VLOOKUP(YEAR($F259),Preisindex,3,FALSE),2),IF(AND($E259&lt;&gt;0,$F259&gt;0,YEAR($F259)&gt;=Preisindex!$A$6,YEAR(FK$4)&gt;=YEAR($F259),$K259="g"),ROUND(VLOOKUP(FP$4,Preisindex,4,FALSE)/VLOOKUP(YEAR($F259),Preisindex,4,FALSE),2),IF(AND($E259&lt;&gt;0,$F259&gt;0,YEAR($F259)&gt;=Preisindex!$A$6,YEAR(FK$4)&gt;=YEAR($F259),$K259="k"),ROUND(VLOOKUP(FP$4,Preisindex,2,FALSE)/VLOOKUP(YEAR($F259),Preisindex,2,FALSE),2),0)))))</f>
        <v>0</v>
      </c>
      <c r="FQ259" s="56">
        <f>IF(AND($E259&lt;&gt;0,$F259&gt;0,YEAR($F259)&lt;Preisindex!$A$6,YEAR(FK$4)&gt;=YEAR($F259),AND($K259&lt;&gt;"a",$K259&lt;&gt;"b",$K259&lt;&gt;"g",$K259&lt;&gt;"k")),1,IF(AND($E259&lt;&gt;0,$F259&gt;0,YEAR($F259)&lt;Preisindex!$A$6,YEAR(FK$4)&gt;=YEAR($F259),$K259="a"),ROUND(VLOOKUP(FP$4,Preisindex,5,FALSE)/VLOOKUP(Preisindex!$A$6,Preisindex,5,FALSE),2),IF(AND($E259&lt;&gt;0,$F259&gt;0,YEAR($F259)&lt;Preisindex!$A$6,YEAR(FK$4)&gt;=YEAR($F259),$K259="b"),ROUND(VLOOKUP(FP$4,Preisindex,3,FALSE)/VLOOKUP(Preisindex!$A$6,Preisindex,3,FALSE),2),IF(AND($E259&lt;&gt;0,$F259&gt;0,YEAR($F259)&lt;Preisindex!$A$6,YEAR(FK$4)&gt;=YEAR($F259),$K259="g"),ROUND(VLOOKUP(FP$4,Preisindex,4,FALSE)/VLOOKUP(Preisindex!$A$6,Preisindex,4,FALSE),2),IF(AND($E259&lt;&gt;0,$F259&gt;0,YEAR($F259)&lt;Preisindex!$A$6,YEAR(FK$4)&gt;=YEAR($F259),$K259="k"),ROUND(VLOOKUP(FP$4,Preisindex,2,FALSE)/VLOOKUP(Preisindex!$A$6,Preisindex,2,FALSE),2),0)))))</f>
        <v>0</v>
      </c>
      <c r="FR259" s="51">
        <f>IF(AND($E259&lt;&gt;0,$F259&gt;0,YEAR($F259)&lt;=FP$4,YEAR($F259)&gt;=Preisindex!$A$6),ROUND($E259*FP259,2),IF(AND($E259&lt;&gt;0,$F259&gt;0,YEAR($F259)&lt;=FP$4,YEAR($F259)&lt;Preisindex!$A$6),ROUND($E259*FQ259,2),0))</f>
        <v>0</v>
      </c>
      <c r="FS259" s="53">
        <f t="shared" si="688"/>
        <v>0</v>
      </c>
    </row>
    <row r="260" spans="1:175" x14ac:dyDescent="0.3">
      <c r="A260" s="93"/>
      <c r="B260" s="94"/>
      <c r="C260" s="94"/>
      <c r="D260" s="188"/>
      <c r="E260" s="624"/>
      <c r="F260" s="190"/>
      <c r="G260" s="625"/>
      <c r="H260" s="620"/>
      <c r="I260" s="621"/>
      <c r="J260" s="103"/>
      <c r="K260" s="630"/>
      <c r="L260" s="49">
        <f t="shared" si="689"/>
        <v>0</v>
      </c>
      <c r="M260" s="50">
        <f t="shared" si="690"/>
        <v>0</v>
      </c>
      <c r="N260" s="51">
        <f t="shared" si="691"/>
        <v>0</v>
      </c>
      <c r="O260" s="51"/>
      <c r="P260" s="51">
        <f t="shared" si="692"/>
        <v>0</v>
      </c>
      <c r="Q260" s="52"/>
      <c r="R260" s="52"/>
      <c r="S260" s="52"/>
      <c r="T260" s="52"/>
      <c r="U260" s="52"/>
      <c r="V260" s="53">
        <f t="shared" si="693"/>
        <v>0</v>
      </c>
      <c r="W260" s="51">
        <f t="shared" si="694"/>
        <v>0</v>
      </c>
      <c r="X260" s="51">
        <f t="shared" si="695"/>
        <v>0</v>
      </c>
      <c r="Y260" s="51">
        <f t="shared" si="696"/>
        <v>0</v>
      </c>
      <c r="Z260" s="51">
        <f t="shared" si="697"/>
        <v>0</v>
      </c>
      <c r="AA260" s="51">
        <f t="shared" si="698"/>
        <v>0</v>
      </c>
      <c r="AB260" s="51">
        <f t="shared" si="699"/>
        <v>0</v>
      </c>
      <c r="AC260" s="51">
        <f t="shared" si="700"/>
        <v>0</v>
      </c>
      <c r="AD260" s="51">
        <f t="shared" si="701"/>
        <v>0</v>
      </c>
      <c r="AE260" s="51">
        <f t="shared" si="702"/>
        <v>0</v>
      </c>
      <c r="AF260" s="51">
        <f t="shared" si="703"/>
        <v>0</v>
      </c>
      <c r="AG260" s="51">
        <f t="shared" si="704"/>
        <v>0</v>
      </c>
      <c r="AH260" s="54">
        <f t="shared" si="705"/>
        <v>0</v>
      </c>
      <c r="AI260" s="55">
        <f t="shared" si="706"/>
        <v>0</v>
      </c>
      <c r="AJ260" s="56">
        <f>IF(AND($E260&lt;&gt;0,$F260&gt;0,YEAR($F260)&gt;=Preisindex!$A$6,YEAR(AE$4)&gt;=YEAR($F260),AND($K260&lt;&gt;"a",$K260&lt;&gt;"b",$K260&lt;&gt;"g",$K260&lt;&gt;"k")),1,IF(AND($E260&lt;&gt;0,$F260&gt;0,YEAR($F260)&gt;=Preisindex!$A$6,YEAR(AE$4)&gt;=YEAR($F260),$K260="a"),ROUND(VLOOKUP(AJ$4,Preisindex,5,FALSE)/VLOOKUP(YEAR($F260),Preisindex,5,FALSE),2),IF(AND($E260&lt;&gt;0,$F260&gt;0,YEAR($F260)&gt;=Preisindex!$A$6,YEAR(AE$4)&gt;=YEAR($F260),$K260="b"),ROUND(VLOOKUP(AJ$4,Preisindex,3,FALSE)/VLOOKUP(YEAR($F260),Preisindex,3,FALSE),2),IF(AND($E260&lt;&gt;0,$F260&gt;0,YEAR($F260)&gt;=Preisindex!$A$6,YEAR(AE$4)&gt;=YEAR($F260),$K260="g"),ROUND(VLOOKUP(AJ$4,Preisindex,4,FALSE)/VLOOKUP(YEAR($F260),Preisindex,4,FALSE),2),IF(AND($E260&lt;&gt;0,$F260&gt;0,YEAR($F260)&gt;=Preisindex!$A$6,YEAR(AE$4)&gt;=YEAR($F260),$K260="k"),ROUND(VLOOKUP(AJ$4,Preisindex,2,FALSE)/VLOOKUP(YEAR($F260),Preisindex,2,FALSE),2),0)))))</f>
        <v>0</v>
      </c>
      <c r="AK260" s="56">
        <f>IF(AND($E260&lt;&gt;0,$F260&gt;0,YEAR($F260)&lt;Preisindex!$A$6,YEAR(AE$4)&gt;=YEAR($F260),AND($K260&lt;&gt;"a",$K260&lt;&gt;"b",$K260&lt;&gt;"g",$K260&lt;&gt;"k")),1,IF(AND($E260&lt;&gt;0,$F260&gt;0,YEAR($F260)&lt;Preisindex!$A$6,YEAR(AE$4)&gt;=YEAR($F260),$K260="a"),ROUND(VLOOKUP(AJ$4,Preisindex,5,FALSE)/VLOOKUP(Preisindex!$A$6,Preisindex,5,FALSE),2),IF(AND($E260&lt;&gt;0,$F260&gt;0,YEAR($F260)&lt;Preisindex!$A$6,YEAR(AE$4)&gt;=YEAR($F260),$K260="b"),ROUND(VLOOKUP(AJ$4,Preisindex,3,FALSE)/VLOOKUP(Preisindex!$A$6,Preisindex,3,FALSE),2),IF(AND($E260&lt;&gt;0,$F260&gt;0,YEAR($F260)&lt;Preisindex!$A$6,YEAR(AE$4)&gt;=YEAR($F260),$K260="g"),ROUND(VLOOKUP(AJ$4,Preisindex,4,FALSE)/VLOOKUP(Preisindex!$A$6,Preisindex,4,FALSE),2),IF(AND($E260&lt;&gt;0,$F260&gt;0,YEAR($F260)&lt;Preisindex!$A$6,YEAR(AE$4)&gt;=YEAR($F260),$K260="k"),ROUND(VLOOKUP(AJ$4,Preisindex,2,FALSE)/VLOOKUP(Preisindex!$A$6,Preisindex,2,FALSE),2),0)))))</f>
        <v>0</v>
      </c>
      <c r="AL260" s="51">
        <f>IF(AND($E260&lt;&gt;0,$F260&gt;0,YEAR($F260)&lt;=AJ$4,YEAR($F260)&gt;=Preisindex!$A$6),ROUND($E260*AJ260,2),IF(AND($E260&lt;&gt;0,$F260&gt;0,YEAR($F260)&lt;=AJ$4,YEAR($F260)&lt;Preisindex!$A$6),ROUND($E260*AK260,2),0))</f>
        <v>0</v>
      </c>
      <c r="AM260" s="53">
        <f t="shared" si="707"/>
        <v>0</v>
      </c>
      <c r="AN260" s="51">
        <f t="shared" si="752"/>
        <v>0</v>
      </c>
      <c r="AO260" s="51">
        <f t="shared" si="710"/>
        <v>0</v>
      </c>
      <c r="AP260" s="51">
        <f t="shared" si="624"/>
        <v>0</v>
      </c>
      <c r="AQ260" s="51">
        <f t="shared" si="711"/>
        <v>0</v>
      </c>
      <c r="AR260" s="51">
        <f t="shared" si="625"/>
        <v>0</v>
      </c>
      <c r="AS260" s="51">
        <f t="shared" si="712"/>
        <v>0</v>
      </c>
      <c r="AT260" s="51">
        <f t="shared" si="626"/>
        <v>0</v>
      </c>
      <c r="AU260" s="51">
        <f t="shared" si="713"/>
        <v>0</v>
      </c>
      <c r="AV260" s="51">
        <f t="shared" si="627"/>
        <v>0</v>
      </c>
      <c r="AW260" s="51">
        <f t="shared" si="714"/>
        <v>0</v>
      </c>
      <c r="AX260" s="51">
        <f t="shared" si="628"/>
        <v>0</v>
      </c>
      <c r="AY260" s="54">
        <f t="shared" si="629"/>
        <v>0</v>
      </c>
      <c r="AZ260" s="55">
        <f t="shared" si="630"/>
        <v>0</v>
      </c>
      <c r="BA260" s="56">
        <f>IF(AND($E260&lt;&gt;0,$F260&gt;0,YEAR($F260)&gt;=Preisindex!$A$6,YEAR(AV$4)&gt;=YEAR($F260),AND($K260&lt;&gt;"a",$K260&lt;&gt;"b",$K260&lt;&gt;"g",$K260&lt;&gt;"k")),1,IF(AND($E260&lt;&gt;0,$F260&gt;0,YEAR($F260)&gt;=Preisindex!$A$6,YEAR(AV$4)&gt;=YEAR($F260),$K260="a"),ROUND(VLOOKUP(BA$4,Preisindex,5,FALSE)/VLOOKUP(YEAR($F260),Preisindex,5,FALSE),2),IF(AND($E260&lt;&gt;0,$F260&gt;0,YEAR($F260)&gt;=Preisindex!$A$6,YEAR(AV$4)&gt;=YEAR($F260),$K260="b"),ROUND(VLOOKUP(BA$4,Preisindex,3,FALSE)/VLOOKUP(YEAR($F260),Preisindex,3,FALSE),2),IF(AND($E260&lt;&gt;0,$F260&gt;0,YEAR($F260)&gt;=Preisindex!$A$6,YEAR(AV$4)&gt;=YEAR($F260),$K260="g"),ROUND(VLOOKUP(BA$4,Preisindex,4,FALSE)/VLOOKUP(YEAR($F260),Preisindex,4,FALSE),2),IF(AND($E260&lt;&gt;0,$F260&gt;0,YEAR($F260)&gt;=Preisindex!$A$6,YEAR(AV$4)&gt;=YEAR($F260),$K260="k"),ROUND(VLOOKUP(BA$4,Preisindex,2,FALSE)/VLOOKUP(YEAR($F260),Preisindex,2,FALSE),2),0)))))</f>
        <v>0</v>
      </c>
      <c r="BB260" s="56">
        <f>IF(AND($E260&lt;&gt;0,$F260&gt;0,YEAR($F260)&lt;Preisindex!$A$6,YEAR(AV$4)&gt;=YEAR($F260),AND($K260&lt;&gt;"a",$K260&lt;&gt;"b",$K260&lt;&gt;"g",$K260&lt;&gt;"k")),1,IF(AND($E260&lt;&gt;0,$F260&gt;0,YEAR($F260)&lt;Preisindex!$A$6,YEAR(AV$4)&gt;=YEAR($F260),$K260="a"),ROUND(VLOOKUP(BA$4,Preisindex,5,FALSE)/VLOOKUP(Preisindex!$A$6,Preisindex,5,FALSE),2),IF(AND($E260&lt;&gt;0,$F260&gt;0,YEAR($F260)&lt;Preisindex!$A$6,YEAR(AV$4)&gt;=YEAR($F260),$K260="b"),ROUND(VLOOKUP(BA$4,Preisindex,3,FALSE)/VLOOKUP(Preisindex!$A$6,Preisindex,3,FALSE),2),IF(AND($E260&lt;&gt;0,$F260&gt;0,YEAR($F260)&lt;Preisindex!$A$6,YEAR(AV$4)&gt;=YEAR($F260),$K260="g"),ROUND(VLOOKUP(BA$4,Preisindex,4,FALSE)/VLOOKUP(Preisindex!$A$6,Preisindex,4,FALSE),2),IF(AND($E260&lt;&gt;0,$F260&gt;0,YEAR($F260)&lt;Preisindex!$A$6,YEAR(AV$4)&gt;=YEAR($F260),$K260="k"),ROUND(VLOOKUP(BA$4,Preisindex,2,FALSE)/VLOOKUP(Preisindex!$A$6,Preisindex,2,FALSE),2),0)))))</f>
        <v>0</v>
      </c>
      <c r="BC260" s="51">
        <f>IF(AND($E260&lt;&gt;0,$F260&gt;0,YEAR($F260)&lt;=BA$4,YEAR($F260)&gt;=Preisindex!$A$6),ROUND($E260*BA260,2),IF(AND($E260&lt;&gt;0,$F260&gt;0,YEAR($F260)&lt;=BA$4,YEAR($F260)&lt;Preisindex!$A$6),ROUND($E260*BB260,2),0))</f>
        <v>0</v>
      </c>
      <c r="BD260" s="53">
        <f t="shared" si="631"/>
        <v>0</v>
      </c>
      <c r="BE260" s="51">
        <f t="shared" si="752"/>
        <v>0</v>
      </c>
      <c r="BF260" s="51">
        <f t="shared" si="715"/>
        <v>0</v>
      </c>
      <c r="BG260" s="51">
        <f t="shared" si="632"/>
        <v>0</v>
      </c>
      <c r="BH260" s="51">
        <f t="shared" si="716"/>
        <v>0</v>
      </c>
      <c r="BI260" s="51">
        <f t="shared" si="633"/>
        <v>0</v>
      </c>
      <c r="BJ260" s="51">
        <f t="shared" si="717"/>
        <v>0</v>
      </c>
      <c r="BK260" s="51">
        <f t="shared" si="634"/>
        <v>0</v>
      </c>
      <c r="BL260" s="51">
        <f t="shared" si="718"/>
        <v>0</v>
      </c>
      <c r="BM260" s="51">
        <f t="shared" si="635"/>
        <v>0</v>
      </c>
      <c r="BN260" s="51">
        <f t="shared" si="719"/>
        <v>0</v>
      </c>
      <c r="BO260" s="51">
        <f t="shared" si="636"/>
        <v>0</v>
      </c>
      <c r="BP260" s="54">
        <f t="shared" si="637"/>
        <v>0</v>
      </c>
      <c r="BQ260" s="55">
        <f t="shared" si="638"/>
        <v>0</v>
      </c>
      <c r="BR260" s="56">
        <f>IF(AND($E260&lt;&gt;0,$F260&gt;0,YEAR($F260)&gt;=Preisindex!$A$6,YEAR(BM$4)&gt;=YEAR($F260),AND($K260&lt;&gt;"a",$K260&lt;&gt;"b",$K260&lt;&gt;"g",$K260&lt;&gt;"k")),1,IF(AND($E260&lt;&gt;0,$F260&gt;0,YEAR($F260)&gt;=Preisindex!$A$6,YEAR(BM$4)&gt;=YEAR($F260),$K260="a"),ROUND(VLOOKUP(BR$4,Preisindex,5,FALSE)/VLOOKUP(YEAR($F260),Preisindex,5,FALSE),2),IF(AND($E260&lt;&gt;0,$F260&gt;0,YEAR($F260)&gt;=Preisindex!$A$6,YEAR(BM$4)&gt;=YEAR($F260),$K260="b"),ROUND(VLOOKUP(BR$4,Preisindex,3,FALSE)/VLOOKUP(YEAR($F260),Preisindex,3,FALSE),2),IF(AND($E260&lt;&gt;0,$F260&gt;0,YEAR($F260)&gt;=Preisindex!$A$6,YEAR(BM$4)&gt;=YEAR($F260),$K260="g"),ROUND(VLOOKUP(BR$4,Preisindex,4,FALSE)/VLOOKUP(YEAR($F260),Preisindex,4,FALSE),2),IF(AND($E260&lt;&gt;0,$F260&gt;0,YEAR($F260)&gt;=Preisindex!$A$6,YEAR(BM$4)&gt;=YEAR($F260),$K260="k"),ROUND(VLOOKUP(BR$4,Preisindex,2,FALSE)/VLOOKUP(YEAR($F260),Preisindex,2,FALSE),2),0)))))</f>
        <v>0</v>
      </c>
      <c r="BS260" s="56">
        <f>IF(AND($E260&lt;&gt;0,$F260&gt;0,YEAR($F260)&lt;Preisindex!$A$6,YEAR(BM$4)&gt;=YEAR($F260),AND($K260&lt;&gt;"a",$K260&lt;&gt;"b",$K260&lt;&gt;"g",$K260&lt;&gt;"k")),1,IF(AND($E260&lt;&gt;0,$F260&gt;0,YEAR($F260)&lt;Preisindex!$A$6,YEAR(BM$4)&gt;=YEAR($F260),$K260="a"),ROUND(VLOOKUP(BR$4,Preisindex,5,FALSE)/VLOOKUP(Preisindex!$A$6,Preisindex,5,FALSE),2),IF(AND($E260&lt;&gt;0,$F260&gt;0,YEAR($F260)&lt;Preisindex!$A$6,YEAR(BM$4)&gt;=YEAR($F260),$K260="b"),ROUND(VLOOKUP(BR$4,Preisindex,3,FALSE)/VLOOKUP(Preisindex!$A$6,Preisindex,3,FALSE),2),IF(AND($E260&lt;&gt;0,$F260&gt;0,YEAR($F260)&lt;Preisindex!$A$6,YEAR(BM$4)&gt;=YEAR($F260),$K260="g"),ROUND(VLOOKUP(BR$4,Preisindex,4,FALSE)/VLOOKUP(Preisindex!$A$6,Preisindex,4,FALSE),2),IF(AND($E260&lt;&gt;0,$F260&gt;0,YEAR($F260)&lt;Preisindex!$A$6,YEAR(BM$4)&gt;=YEAR($F260),$K260="k"),ROUND(VLOOKUP(BR$4,Preisindex,2,FALSE)/VLOOKUP(Preisindex!$A$6,Preisindex,2,FALSE),2),0)))))</f>
        <v>0</v>
      </c>
      <c r="BT260" s="51">
        <f>IF(AND($E260&lt;&gt;0,$F260&gt;0,YEAR($F260)&lt;=BR$4,YEAR($F260)&gt;=Preisindex!$A$6),ROUND($E260*BR260,2),IF(AND($E260&lt;&gt;0,$F260&gt;0,YEAR($F260)&lt;=BR$4,YEAR($F260)&lt;Preisindex!$A$6),ROUND($E260*BS260,2),0))</f>
        <v>0</v>
      </c>
      <c r="BU260" s="53">
        <f t="shared" si="639"/>
        <v>0</v>
      </c>
      <c r="BV260" s="51">
        <f t="shared" si="752"/>
        <v>0</v>
      </c>
      <c r="BW260" s="51">
        <f t="shared" si="720"/>
        <v>0</v>
      </c>
      <c r="BX260" s="51">
        <f t="shared" si="640"/>
        <v>0</v>
      </c>
      <c r="BY260" s="51">
        <f t="shared" si="721"/>
        <v>0</v>
      </c>
      <c r="BZ260" s="51">
        <f t="shared" si="641"/>
        <v>0</v>
      </c>
      <c r="CA260" s="51">
        <f t="shared" si="722"/>
        <v>0</v>
      </c>
      <c r="CB260" s="51">
        <f t="shared" si="642"/>
        <v>0</v>
      </c>
      <c r="CC260" s="51">
        <f t="shared" si="723"/>
        <v>0</v>
      </c>
      <c r="CD260" s="51">
        <f t="shared" si="643"/>
        <v>0</v>
      </c>
      <c r="CE260" s="51">
        <f t="shared" si="724"/>
        <v>0</v>
      </c>
      <c r="CF260" s="51">
        <f t="shared" si="644"/>
        <v>0</v>
      </c>
      <c r="CG260" s="54">
        <f t="shared" si="645"/>
        <v>0</v>
      </c>
      <c r="CH260" s="55">
        <f t="shared" si="646"/>
        <v>0</v>
      </c>
      <c r="CI260" s="56">
        <f>IF(AND($E260&lt;&gt;0,$F260&gt;0,YEAR($F260)&gt;=Preisindex!$A$6,YEAR(CD$4)&gt;=YEAR($F260),AND($K260&lt;&gt;"a",$K260&lt;&gt;"b",$K260&lt;&gt;"g",$K260&lt;&gt;"k")),1,IF(AND($E260&lt;&gt;0,$F260&gt;0,YEAR($F260)&gt;=Preisindex!$A$6,YEAR(CD$4)&gt;=YEAR($F260),$K260="a"),ROUND(VLOOKUP(CI$4,Preisindex,5,FALSE)/VLOOKUP(YEAR($F260),Preisindex,5,FALSE),2),IF(AND($E260&lt;&gt;0,$F260&gt;0,YEAR($F260)&gt;=Preisindex!$A$6,YEAR(CD$4)&gt;=YEAR($F260),$K260="b"),ROUND(VLOOKUP(CI$4,Preisindex,3,FALSE)/VLOOKUP(YEAR($F260),Preisindex,3,FALSE),2),IF(AND($E260&lt;&gt;0,$F260&gt;0,YEAR($F260)&gt;=Preisindex!$A$6,YEAR(CD$4)&gt;=YEAR($F260),$K260="g"),ROUND(VLOOKUP(CI$4,Preisindex,4,FALSE)/VLOOKUP(YEAR($F260),Preisindex,4,FALSE),2),IF(AND($E260&lt;&gt;0,$F260&gt;0,YEAR($F260)&gt;=Preisindex!$A$6,YEAR(CD$4)&gt;=YEAR($F260),$K260="k"),ROUND(VLOOKUP(CI$4,Preisindex,2,FALSE)/VLOOKUP(YEAR($F260),Preisindex,2,FALSE),2),0)))))</f>
        <v>0</v>
      </c>
      <c r="CJ260" s="56">
        <f>IF(AND($E260&lt;&gt;0,$F260&gt;0,YEAR($F260)&lt;Preisindex!$A$6,YEAR(CD$4)&gt;=YEAR($F260),AND($K260&lt;&gt;"a",$K260&lt;&gt;"b",$K260&lt;&gt;"g",$K260&lt;&gt;"k")),1,IF(AND($E260&lt;&gt;0,$F260&gt;0,YEAR($F260)&lt;Preisindex!$A$6,YEAR(CD$4)&gt;=YEAR($F260),$K260="a"),ROUND(VLOOKUP(CI$4,Preisindex,5,FALSE)/VLOOKUP(Preisindex!$A$6,Preisindex,5,FALSE),2),IF(AND($E260&lt;&gt;0,$F260&gt;0,YEAR($F260)&lt;Preisindex!$A$6,YEAR(CD$4)&gt;=YEAR($F260),$K260="b"),ROUND(VLOOKUP(CI$4,Preisindex,3,FALSE)/VLOOKUP(Preisindex!$A$6,Preisindex,3,FALSE),2),IF(AND($E260&lt;&gt;0,$F260&gt;0,YEAR($F260)&lt;Preisindex!$A$6,YEAR(CD$4)&gt;=YEAR($F260),$K260="g"),ROUND(VLOOKUP(CI$4,Preisindex,4,FALSE)/VLOOKUP(Preisindex!$A$6,Preisindex,4,FALSE),2),IF(AND($E260&lt;&gt;0,$F260&gt;0,YEAR($F260)&lt;Preisindex!$A$6,YEAR(CD$4)&gt;=YEAR($F260),$K260="k"),ROUND(VLOOKUP(CI$4,Preisindex,2,FALSE)/VLOOKUP(Preisindex!$A$6,Preisindex,2,FALSE),2),0)))))</f>
        <v>0</v>
      </c>
      <c r="CK260" s="51">
        <f>IF(AND($E260&lt;&gt;0,$F260&gt;0,YEAR($F260)&lt;=CI$4,YEAR($F260)&gt;=Preisindex!$A$6),ROUND($E260*CI260,2),IF(AND($E260&lt;&gt;0,$F260&gt;0,YEAR($F260)&lt;=CI$4,YEAR($F260)&lt;Preisindex!$A$6),ROUND($E260*CJ260,2),0))</f>
        <v>0</v>
      </c>
      <c r="CL260" s="53">
        <f t="shared" si="647"/>
        <v>0</v>
      </c>
      <c r="CM260" s="51">
        <f t="shared" si="752"/>
        <v>0</v>
      </c>
      <c r="CN260" s="51">
        <f t="shared" si="725"/>
        <v>0</v>
      </c>
      <c r="CO260" s="51">
        <f t="shared" si="648"/>
        <v>0</v>
      </c>
      <c r="CP260" s="51">
        <f t="shared" si="726"/>
        <v>0</v>
      </c>
      <c r="CQ260" s="51">
        <f t="shared" si="649"/>
        <v>0</v>
      </c>
      <c r="CR260" s="51">
        <f t="shared" si="727"/>
        <v>0</v>
      </c>
      <c r="CS260" s="51">
        <f t="shared" si="650"/>
        <v>0</v>
      </c>
      <c r="CT260" s="51">
        <f t="shared" si="728"/>
        <v>0</v>
      </c>
      <c r="CU260" s="51">
        <f t="shared" si="651"/>
        <v>0</v>
      </c>
      <c r="CV260" s="51">
        <f t="shared" si="729"/>
        <v>0</v>
      </c>
      <c r="CW260" s="51">
        <f t="shared" si="652"/>
        <v>0</v>
      </c>
      <c r="CX260" s="54">
        <f t="shared" si="653"/>
        <v>0</v>
      </c>
      <c r="CY260" s="55">
        <f t="shared" si="654"/>
        <v>0</v>
      </c>
      <c r="CZ260" s="56">
        <f>IF(AND($E260&lt;&gt;0,$F260&gt;0,YEAR($F260)&gt;=Preisindex!$A$6,YEAR(CU$4)&gt;=YEAR($F260),AND($K260&lt;&gt;"a",$K260&lt;&gt;"b",$K260&lt;&gt;"g",$K260&lt;&gt;"k")),1,IF(AND($E260&lt;&gt;0,$F260&gt;0,YEAR($F260)&gt;=Preisindex!$A$6,YEAR(CU$4)&gt;=YEAR($F260),$K260="a"),ROUND(VLOOKUP(CZ$4,Preisindex,5,FALSE)/VLOOKUP(YEAR($F260),Preisindex,5,FALSE),2),IF(AND($E260&lt;&gt;0,$F260&gt;0,YEAR($F260)&gt;=Preisindex!$A$6,YEAR(CU$4)&gt;=YEAR($F260),$K260="b"),ROUND(VLOOKUP(CZ$4,Preisindex,3,FALSE)/VLOOKUP(YEAR($F260),Preisindex,3,FALSE),2),IF(AND($E260&lt;&gt;0,$F260&gt;0,YEAR($F260)&gt;=Preisindex!$A$6,YEAR(CU$4)&gt;=YEAR($F260),$K260="g"),ROUND(VLOOKUP(CZ$4,Preisindex,4,FALSE)/VLOOKUP(YEAR($F260),Preisindex,4,FALSE),2),IF(AND($E260&lt;&gt;0,$F260&gt;0,YEAR($F260)&gt;=Preisindex!$A$6,YEAR(CU$4)&gt;=YEAR($F260),$K260="k"),ROUND(VLOOKUP(CZ$4,Preisindex,2,FALSE)/VLOOKUP(YEAR($F260),Preisindex,2,FALSE),2),0)))))</f>
        <v>0</v>
      </c>
      <c r="DA260" s="56">
        <f>IF(AND($E260&lt;&gt;0,$F260&gt;0,YEAR($F260)&lt;Preisindex!$A$6,YEAR(CU$4)&gt;=YEAR($F260),AND($K260&lt;&gt;"a",$K260&lt;&gt;"b",$K260&lt;&gt;"g",$K260&lt;&gt;"k")),1,IF(AND($E260&lt;&gt;0,$F260&gt;0,YEAR($F260)&lt;Preisindex!$A$6,YEAR(CU$4)&gt;=YEAR($F260),$K260="a"),ROUND(VLOOKUP(CZ$4,Preisindex,5,FALSE)/VLOOKUP(Preisindex!$A$6,Preisindex,5,FALSE),2),IF(AND($E260&lt;&gt;0,$F260&gt;0,YEAR($F260)&lt;Preisindex!$A$6,YEAR(CU$4)&gt;=YEAR($F260),$K260="b"),ROUND(VLOOKUP(CZ$4,Preisindex,3,FALSE)/VLOOKUP(Preisindex!$A$6,Preisindex,3,FALSE),2),IF(AND($E260&lt;&gt;0,$F260&gt;0,YEAR($F260)&lt;Preisindex!$A$6,YEAR(CU$4)&gt;=YEAR($F260),$K260="g"),ROUND(VLOOKUP(CZ$4,Preisindex,4,FALSE)/VLOOKUP(Preisindex!$A$6,Preisindex,4,FALSE),2),IF(AND($E260&lt;&gt;0,$F260&gt;0,YEAR($F260)&lt;Preisindex!$A$6,YEAR(CU$4)&gt;=YEAR($F260),$K260="k"),ROUND(VLOOKUP(CZ$4,Preisindex,2,FALSE)/VLOOKUP(Preisindex!$A$6,Preisindex,2,FALSE),2),0)))))</f>
        <v>0</v>
      </c>
      <c r="DB260" s="51">
        <f>IF(AND($E260&lt;&gt;0,$F260&gt;0,YEAR($F260)&lt;=CZ$4,YEAR($F260)&gt;=Preisindex!$A$6),ROUND($E260*CZ260,2),IF(AND($E260&lt;&gt;0,$F260&gt;0,YEAR($F260)&lt;=CZ$4,YEAR($F260)&lt;Preisindex!$A$6),ROUND($E260*DA260,2),0))</f>
        <v>0</v>
      </c>
      <c r="DC260" s="53">
        <f t="shared" si="655"/>
        <v>0</v>
      </c>
      <c r="DD260" s="51">
        <f t="shared" si="753"/>
        <v>0</v>
      </c>
      <c r="DE260" s="51">
        <f t="shared" si="730"/>
        <v>0</v>
      </c>
      <c r="DF260" s="51">
        <f t="shared" si="657"/>
        <v>0</v>
      </c>
      <c r="DG260" s="51">
        <f t="shared" si="731"/>
        <v>0</v>
      </c>
      <c r="DH260" s="51">
        <f t="shared" si="658"/>
        <v>0</v>
      </c>
      <c r="DI260" s="51">
        <f t="shared" si="732"/>
        <v>0</v>
      </c>
      <c r="DJ260" s="51">
        <f t="shared" si="659"/>
        <v>0</v>
      </c>
      <c r="DK260" s="51">
        <f t="shared" si="733"/>
        <v>0</v>
      </c>
      <c r="DL260" s="51">
        <f t="shared" si="660"/>
        <v>0</v>
      </c>
      <c r="DM260" s="51">
        <f t="shared" si="734"/>
        <v>0</v>
      </c>
      <c r="DN260" s="51">
        <f t="shared" si="661"/>
        <v>0</v>
      </c>
      <c r="DO260" s="54">
        <f t="shared" si="662"/>
        <v>0</v>
      </c>
      <c r="DP260" s="55">
        <f t="shared" si="663"/>
        <v>0</v>
      </c>
      <c r="DQ260" s="56">
        <f>IF(AND($E260&lt;&gt;0,$F260&gt;0,YEAR($F260)&gt;=Preisindex!$A$6,YEAR(DL$4)&gt;=YEAR($F260),AND($K260&lt;&gt;"a",$K260&lt;&gt;"b",$K260&lt;&gt;"g",$K260&lt;&gt;"k")),1,IF(AND($E260&lt;&gt;0,$F260&gt;0,YEAR($F260)&gt;=Preisindex!$A$6,YEAR(DL$4)&gt;=YEAR($F260),$K260="a"),ROUND(VLOOKUP(DQ$4,Preisindex,5,FALSE)/VLOOKUP(YEAR($F260),Preisindex,5,FALSE),2),IF(AND($E260&lt;&gt;0,$F260&gt;0,YEAR($F260)&gt;=Preisindex!$A$6,YEAR(DL$4)&gt;=YEAR($F260),$K260="b"),ROUND(VLOOKUP(DQ$4,Preisindex,3,FALSE)/VLOOKUP(YEAR($F260),Preisindex,3,FALSE),2),IF(AND($E260&lt;&gt;0,$F260&gt;0,YEAR($F260)&gt;=Preisindex!$A$6,YEAR(DL$4)&gt;=YEAR($F260),$K260="g"),ROUND(VLOOKUP(DQ$4,Preisindex,4,FALSE)/VLOOKUP(YEAR($F260),Preisindex,4,FALSE),2),IF(AND($E260&lt;&gt;0,$F260&gt;0,YEAR($F260)&gt;=Preisindex!$A$6,YEAR(DL$4)&gt;=YEAR($F260),$K260="k"),ROUND(VLOOKUP(DQ$4,Preisindex,2,FALSE)/VLOOKUP(YEAR($F260),Preisindex,2,FALSE),2),0)))))</f>
        <v>0</v>
      </c>
      <c r="DR260" s="56">
        <f>IF(AND($E260&lt;&gt;0,$F260&gt;0,YEAR($F260)&lt;Preisindex!$A$6,YEAR(DL$4)&gt;=YEAR($F260),AND($K260&lt;&gt;"a",$K260&lt;&gt;"b",$K260&lt;&gt;"g",$K260&lt;&gt;"k")),1,IF(AND($E260&lt;&gt;0,$F260&gt;0,YEAR($F260)&lt;Preisindex!$A$6,YEAR(DL$4)&gt;=YEAR($F260),$K260="a"),ROUND(VLOOKUP(DQ$4,Preisindex,5,FALSE)/VLOOKUP(Preisindex!$A$6,Preisindex,5,FALSE),2),IF(AND($E260&lt;&gt;0,$F260&gt;0,YEAR($F260)&lt;Preisindex!$A$6,YEAR(DL$4)&gt;=YEAR($F260),$K260="b"),ROUND(VLOOKUP(DQ$4,Preisindex,3,FALSE)/VLOOKUP(Preisindex!$A$6,Preisindex,3,FALSE),2),IF(AND($E260&lt;&gt;0,$F260&gt;0,YEAR($F260)&lt;Preisindex!$A$6,YEAR(DL$4)&gt;=YEAR($F260),$K260="g"),ROUND(VLOOKUP(DQ$4,Preisindex,4,FALSE)/VLOOKUP(Preisindex!$A$6,Preisindex,4,FALSE),2),IF(AND($E260&lt;&gt;0,$F260&gt;0,YEAR($F260)&lt;Preisindex!$A$6,YEAR(DL$4)&gt;=YEAR($F260),$K260="k"),ROUND(VLOOKUP(DQ$4,Preisindex,2,FALSE)/VLOOKUP(Preisindex!$A$6,Preisindex,2,FALSE),2),0)))))</f>
        <v>0</v>
      </c>
      <c r="DS260" s="51">
        <f>IF(AND($E260&lt;&gt;0,$F260&gt;0,YEAR($F260)&lt;=DQ$4,YEAR($F260)&gt;=Preisindex!$A$6),ROUND($E260*DQ260,2),IF(AND($E260&lt;&gt;0,$F260&gt;0,YEAR($F260)&lt;=DQ$4,YEAR($F260)&lt;Preisindex!$A$6),ROUND($E260*DR260,2),0))</f>
        <v>0</v>
      </c>
      <c r="DT260" s="53">
        <f t="shared" si="664"/>
        <v>0</v>
      </c>
      <c r="DU260" s="51">
        <f t="shared" si="753"/>
        <v>0</v>
      </c>
      <c r="DV260" s="51">
        <f t="shared" si="735"/>
        <v>0</v>
      </c>
      <c r="DW260" s="51">
        <f t="shared" si="665"/>
        <v>0</v>
      </c>
      <c r="DX260" s="51">
        <f t="shared" si="736"/>
        <v>0</v>
      </c>
      <c r="DY260" s="51">
        <f t="shared" si="666"/>
        <v>0</v>
      </c>
      <c r="DZ260" s="51">
        <f t="shared" si="737"/>
        <v>0</v>
      </c>
      <c r="EA260" s="51">
        <f t="shared" si="667"/>
        <v>0</v>
      </c>
      <c r="EB260" s="51">
        <f t="shared" si="738"/>
        <v>0</v>
      </c>
      <c r="EC260" s="51">
        <f t="shared" si="668"/>
        <v>0</v>
      </c>
      <c r="ED260" s="51">
        <f t="shared" si="739"/>
        <v>0</v>
      </c>
      <c r="EE260" s="51">
        <f t="shared" si="669"/>
        <v>0</v>
      </c>
      <c r="EF260" s="54">
        <f t="shared" si="670"/>
        <v>0</v>
      </c>
      <c r="EG260" s="55">
        <f t="shared" si="671"/>
        <v>0</v>
      </c>
      <c r="EH260" s="56">
        <f>IF(AND($E260&lt;&gt;0,$F260&gt;0,YEAR($F260)&gt;=Preisindex!$A$6,YEAR(EC$4)&gt;=YEAR($F260),AND($K260&lt;&gt;"a",$K260&lt;&gt;"b",$K260&lt;&gt;"g",$K260&lt;&gt;"k")),1,IF(AND($E260&lt;&gt;0,$F260&gt;0,YEAR($F260)&gt;=Preisindex!$A$6,YEAR(EC$4)&gt;=YEAR($F260),$K260="a"),ROUND(VLOOKUP(EH$4,Preisindex,5,FALSE)/VLOOKUP(YEAR($F260),Preisindex,5,FALSE),2),IF(AND($E260&lt;&gt;0,$F260&gt;0,YEAR($F260)&gt;=Preisindex!$A$6,YEAR(EC$4)&gt;=YEAR($F260),$K260="b"),ROUND(VLOOKUP(EH$4,Preisindex,3,FALSE)/VLOOKUP(YEAR($F260),Preisindex,3,FALSE),2),IF(AND($E260&lt;&gt;0,$F260&gt;0,YEAR($F260)&gt;=Preisindex!$A$6,YEAR(EC$4)&gt;=YEAR($F260),$K260="g"),ROUND(VLOOKUP(EH$4,Preisindex,4,FALSE)/VLOOKUP(YEAR($F260),Preisindex,4,FALSE),2),IF(AND($E260&lt;&gt;0,$F260&gt;0,YEAR($F260)&gt;=Preisindex!$A$6,YEAR(EC$4)&gt;=YEAR($F260),$K260="k"),ROUND(VLOOKUP(EH$4,Preisindex,2,FALSE)/VLOOKUP(YEAR($F260),Preisindex,2,FALSE),2),0)))))</f>
        <v>0</v>
      </c>
      <c r="EI260" s="56">
        <f>IF(AND($E260&lt;&gt;0,$F260&gt;0,YEAR($F260)&lt;Preisindex!$A$6,YEAR(EC$4)&gt;=YEAR($F260),AND($K260&lt;&gt;"a",$K260&lt;&gt;"b",$K260&lt;&gt;"g",$K260&lt;&gt;"k")),1,IF(AND($E260&lt;&gt;0,$F260&gt;0,YEAR($F260)&lt;Preisindex!$A$6,YEAR(EC$4)&gt;=YEAR($F260),$K260="a"),ROUND(VLOOKUP(EH$4,Preisindex,5,FALSE)/VLOOKUP(Preisindex!$A$6,Preisindex,5,FALSE),2),IF(AND($E260&lt;&gt;0,$F260&gt;0,YEAR($F260)&lt;Preisindex!$A$6,YEAR(EC$4)&gt;=YEAR($F260),$K260="b"),ROUND(VLOOKUP(EH$4,Preisindex,3,FALSE)/VLOOKUP(Preisindex!$A$6,Preisindex,3,FALSE),2),IF(AND($E260&lt;&gt;0,$F260&gt;0,YEAR($F260)&lt;Preisindex!$A$6,YEAR(EC$4)&gt;=YEAR($F260),$K260="g"),ROUND(VLOOKUP(EH$4,Preisindex,4,FALSE)/VLOOKUP(Preisindex!$A$6,Preisindex,4,FALSE),2),IF(AND($E260&lt;&gt;0,$F260&gt;0,YEAR($F260)&lt;Preisindex!$A$6,YEAR(EC$4)&gt;=YEAR($F260),$K260="k"),ROUND(VLOOKUP(EH$4,Preisindex,2,FALSE)/VLOOKUP(Preisindex!$A$6,Preisindex,2,FALSE),2),0)))))</f>
        <v>0</v>
      </c>
      <c r="EJ260" s="51">
        <f>IF(AND($E260&lt;&gt;0,$F260&gt;0,YEAR($F260)&lt;=EH$4,YEAR($F260)&gt;=Preisindex!$A$6),ROUND($E260*EH260,2),IF(AND($E260&lt;&gt;0,$F260&gt;0,YEAR($F260)&lt;=EH$4,YEAR($F260)&lt;Preisindex!$A$6),ROUND($E260*EI260,2),0))</f>
        <v>0</v>
      </c>
      <c r="EK260" s="53">
        <f t="shared" si="672"/>
        <v>0</v>
      </c>
      <c r="EL260" s="51">
        <f t="shared" si="753"/>
        <v>0</v>
      </c>
      <c r="EM260" s="51">
        <f t="shared" si="740"/>
        <v>0</v>
      </c>
      <c r="EN260" s="51">
        <f t="shared" si="673"/>
        <v>0</v>
      </c>
      <c r="EO260" s="51">
        <f t="shared" si="741"/>
        <v>0</v>
      </c>
      <c r="EP260" s="51">
        <f t="shared" si="674"/>
        <v>0</v>
      </c>
      <c r="EQ260" s="51">
        <f t="shared" si="742"/>
        <v>0</v>
      </c>
      <c r="ER260" s="51">
        <f t="shared" si="675"/>
        <v>0</v>
      </c>
      <c r="ES260" s="51">
        <f t="shared" si="743"/>
        <v>0</v>
      </c>
      <c r="ET260" s="51">
        <f t="shared" si="676"/>
        <v>0</v>
      </c>
      <c r="EU260" s="51">
        <f t="shared" si="744"/>
        <v>0</v>
      </c>
      <c r="EV260" s="51">
        <f t="shared" si="677"/>
        <v>0</v>
      </c>
      <c r="EW260" s="54">
        <f t="shared" si="678"/>
        <v>0</v>
      </c>
      <c r="EX260" s="55">
        <f t="shared" si="679"/>
        <v>0</v>
      </c>
      <c r="EY260" s="56">
        <f>IF(AND($E260&lt;&gt;0,$F260&gt;0,YEAR($F260)&gt;=Preisindex!$A$6,YEAR(ET$4)&gt;=YEAR($F260),AND($K260&lt;&gt;"a",$K260&lt;&gt;"b",$K260&lt;&gt;"g",$K260&lt;&gt;"k")),1,IF(AND($E260&lt;&gt;0,$F260&gt;0,YEAR($F260)&gt;=Preisindex!$A$6,YEAR(ET$4)&gt;=YEAR($F260),$K260="a"),ROUND(VLOOKUP(EY$4,Preisindex,5,FALSE)/VLOOKUP(YEAR($F260),Preisindex,5,FALSE),2),IF(AND($E260&lt;&gt;0,$F260&gt;0,YEAR($F260)&gt;=Preisindex!$A$6,YEAR(ET$4)&gt;=YEAR($F260),$K260="b"),ROUND(VLOOKUP(EY$4,Preisindex,3,FALSE)/VLOOKUP(YEAR($F260),Preisindex,3,FALSE),2),IF(AND($E260&lt;&gt;0,$F260&gt;0,YEAR($F260)&gt;=Preisindex!$A$6,YEAR(ET$4)&gt;=YEAR($F260),$K260="g"),ROUND(VLOOKUP(EY$4,Preisindex,4,FALSE)/VLOOKUP(YEAR($F260),Preisindex,4,FALSE),2),IF(AND($E260&lt;&gt;0,$F260&gt;0,YEAR($F260)&gt;=Preisindex!$A$6,YEAR(ET$4)&gt;=YEAR($F260),$K260="k"),ROUND(VLOOKUP(EY$4,Preisindex,2,FALSE)/VLOOKUP(YEAR($F260),Preisindex,2,FALSE),2),0)))))</f>
        <v>0</v>
      </c>
      <c r="EZ260" s="56">
        <f>IF(AND($E260&lt;&gt;0,$F260&gt;0,YEAR($F260)&lt;Preisindex!$A$6,YEAR(ET$4)&gt;=YEAR($F260),AND($K260&lt;&gt;"a",$K260&lt;&gt;"b",$K260&lt;&gt;"g",$K260&lt;&gt;"k")),1,IF(AND($E260&lt;&gt;0,$F260&gt;0,YEAR($F260)&lt;Preisindex!$A$6,YEAR(ET$4)&gt;=YEAR($F260),$K260="a"),ROUND(VLOOKUP(EY$4,Preisindex,5,FALSE)/VLOOKUP(Preisindex!$A$6,Preisindex,5,FALSE),2),IF(AND($E260&lt;&gt;0,$F260&gt;0,YEAR($F260)&lt;Preisindex!$A$6,YEAR(ET$4)&gt;=YEAR($F260),$K260="b"),ROUND(VLOOKUP(EY$4,Preisindex,3,FALSE)/VLOOKUP(Preisindex!$A$6,Preisindex,3,FALSE),2),IF(AND($E260&lt;&gt;0,$F260&gt;0,YEAR($F260)&lt;Preisindex!$A$6,YEAR(ET$4)&gt;=YEAR($F260),$K260="g"),ROUND(VLOOKUP(EY$4,Preisindex,4,FALSE)/VLOOKUP(Preisindex!$A$6,Preisindex,4,FALSE),2),IF(AND($E260&lt;&gt;0,$F260&gt;0,YEAR($F260)&lt;Preisindex!$A$6,YEAR(ET$4)&gt;=YEAR($F260),$K260="k"),ROUND(VLOOKUP(EY$4,Preisindex,2,FALSE)/VLOOKUP(Preisindex!$A$6,Preisindex,2,FALSE),2),0)))))</f>
        <v>0</v>
      </c>
      <c r="FA260" s="51">
        <f>IF(AND($E260&lt;&gt;0,$F260&gt;0,YEAR($F260)&lt;=EY$4,YEAR($F260)&gt;=Preisindex!$A$6),ROUND($E260*EY260,2),IF(AND($E260&lt;&gt;0,$F260&gt;0,YEAR($F260)&lt;=EY$4,YEAR($F260)&lt;Preisindex!$A$6),ROUND($E260*EZ260,2),0))</f>
        <v>0</v>
      </c>
      <c r="FB260" s="53">
        <f t="shared" si="680"/>
        <v>0</v>
      </c>
      <c r="FC260" s="51">
        <f t="shared" si="753"/>
        <v>0</v>
      </c>
      <c r="FD260" s="51">
        <f t="shared" si="745"/>
        <v>0</v>
      </c>
      <c r="FE260" s="51">
        <f t="shared" si="681"/>
        <v>0</v>
      </c>
      <c r="FF260" s="51">
        <f t="shared" si="746"/>
        <v>0</v>
      </c>
      <c r="FG260" s="51">
        <f t="shared" si="682"/>
        <v>0</v>
      </c>
      <c r="FH260" s="51">
        <f t="shared" si="747"/>
        <v>0</v>
      </c>
      <c r="FI260" s="51">
        <f t="shared" si="683"/>
        <v>0</v>
      </c>
      <c r="FJ260" s="51">
        <f t="shared" si="748"/>
        <v>0</v>
      </c>
      <c r="FK260" s="51">
        <f t="shared" si="684"/>
        <v>0</v>
      </c>
      <c r="FL260" s="51">
        <f t="shared" si="749"/>
        <v>0</v>
      </c>
      <c r="FM260" s="51">
        <f t="shared" si="685"/>
        <v>0</v>
      </c>
      <c r="FN260" s="54">
        <f t="shared" si="686"/>
        <v>0</v>
      </c>
      <c r="FO260" s="55">
        <f t="shared" si="687"/>
        <v>0</v>
      </c>
      <c r="FP260" s="56">
        <f>IF(AND($E260&lt;&gt;0,$F260&gt;0,YEAR($F260)&gt;=Preisindex!$A$6,YEAR(FK$4)&gt;=YEAR($F260),AND($K260&lt;&gt;"a",$K260&lt;&gt;"b",$K260&lt;&gt;"g",$K260&lt;&gt;"k")),1,IF(AND($E260&lt;&gt;0,$F260&gt;0,YEAR($F260)&gt;=Preisindex!$A$6,YEAR(FK$4)&gt;=YEAR($F260),$K260="a"),ROUND(VLOOKUP(FP$4,Preisindex,5,FALSE)/VLOOKUP(YEAR($F260),Preisindex,5,FALSE),2),IF(AND($E260&lt;&gt;0,$F260&gt;0,YEAR($F260)&gt;=Preisindex!$A$6,YEAR(FK$4)&gt;=YEAR($F260),$K260="b"),ROUND(VLOOKUP(FP$4,Preisindex,3,FALSE)/VLOOKUP(YEAR($F260),Preisindex,3,FALSE),2),IF(AND($E260&lt;&gt;0,$F260&gt;0,YEAR($F260)&gt;=Preisindex!$A$6,YEAR(FK$4)&gt;=YEAR($F260),$K260="g"),ROUND(VLOOKUP(FP$4,Preisindex,4,FALSE)/VLOOKUP(YEAR($F260),Preisindex,4,FALSE),2),IF(AND($E260&lt;&gt;0,$F260&gt;0,YEAR($F260)&gt;=Preisindex!$A$6,YEAR(FK$4)&gt;=YEAR($F260),$K260="k"),ROUND(VLOOKUP(FP$4,Preisindex,2,FALSE)/VLOOKUP(YEAR($F260),Preisindex,2,FALSE),2),0)))))</f>
        <v>0</v>
      </c>
      <c r="FQ260" s="56">
        <f>IF(AND($E260&lt;&gt;0,$F260&gt;0,YEAR($F260)&lt;Preisindex!$A$6,YEAR(FK$4)&gt;=YEAR($F260),AND($K260&lt;&gt;"a",$K260&lt;&gt;"b",$K260&lt;&gt;"g",$K260&lt;&gt;"k")),1,IF(AND($E260&lt;&gt;0,$F260&gt;0,YEAR($F260)&lt;Preisindex!$A$6,YEAR(FK$4)&gt;=YEAR($F260),$K260="a"),ROUND(VLOOKUP(FP$4,Preisindex,5,FALSE)/VLOOKUP(Preisindex!$A$6,Preisindex,5,FALSE),2),IF(AND($E260&lt;&gt;0,$F260&gt;0,YEAR($F260)&lt;Preisindex!$A$6,YEAR(FK$4)&gt;=YEAR($F260),$K260="b"),ROUND(VLOOKUP(FP$4,Preisindex,3,FALSE)/VLOOKUP(Preisindex!$A$6,Preisindex,3,FALSE),2),IF(AND($E260&lt;&gt;0,$F260&gt;0,YEAR($F260)&lt;Preisindex!$A$6,YEAR(FK$4)&gt;=YEAR($F260),$K260="g"),ROUND(VLOOKUP(FP$4,Preisindex,4,FALSE)/VLOOKUP(Preisindex!$A$6,Preisindex,4,FALSE),2),IF(AND($E260&lt;&gt;0,$F260&gt;0,YEAR($F260)&lt;Preisindex!$A$6,YEAR(FK$4)&gt;=YEAR($F260),$K260="k"),ROUND(VLOOKUP(FP$4,Preisindex,2,FALSE)/VLOOKUP(Preisindex!$A$6,Preisindex,2,FALSE),2),0)))))</f>
        <v>0</v>
      </c>
      <c r="FR260" s="51">
        <f>IF(AND($E260&lt;&gt;0,$F260&gt;0,YEAR($F260)&lt;=FP$4,YEAR($F260)&gt;=Preisindex!$A$6),ROUND($E260*FP260,2),IF(AND($E260&lt;&gt;0,$F260&gt;0,YEAR($F260)&lt;=FP$4,YEAR($F260)&lt;Preisindex!$A$6),ROUND($E260*FQ260,2),0))</f>
        <v>0</v>
      </c>
      <c r="FS260" s="53">
        <f t="shared" si="688"/>
        <v>0</v>
      </c>
    </row>
    <row r="261" spans="1:175" x14ac:dyDescent="0.3">
      <c r="A261" s="93"/>
      <c r="B261" s="94"/>
      <c r="C261" s="94"/>
      <c r="D261" s="188"/>
      <c r="E261" s="624"/>
      <c r="F261" s="190"/>
      <c r="G261" s="625"/>
      <c r="H261" s="620"/>
      <c r="I261" s="621"/>
      <c r="J261" s="103"/>
      <c r="K261" s="630"/>
      <c r="L261" s="49">
        <f t="shared" si="689"/>
        <v>0</v>
      </c>
      <c r="M261" s="50">
        <f t="shared" si="690"/>
        <v>0</v>
      </c>
      <c r="N261" s="51">
        <f t="shared" si="691"/>
        <v>0</v>
      </c>
      <c r="O261" s="51"/>
      <c r="P261" s="51">
        <f t="shared" si="692"/>
        <v>0</v>
      </c>
      <c r="Q261" s="52"/>
      <c r="R261" s="52"/>
      <c r="S261" s="52"/>
      <c r="T261" s="52"/>
      <c r="U261" s="52"/>
      <c r="V261" s="53">
        <f t="shared" si="693"/>
        <v>0</v>
      </c>
      <c r="W261" s="51">
        <f t="shared" si="694"/>
        <v>0</v>
      </c>
      <c r="X261" s="51">
        <f t="shared" si="695"/>
        <v>0</v>
      </c>
      <c r="Y261" s="51">
        <f t="shared" si="696"/>
        <v>0</v>
      </c>
      <c r="Z261" s="51">
        <f t="shared" si="697"/>
        <v>0</v>
      </c>
      <c r="AA261" s="51">
        <f t="shared" si="698"/>
        <v>0</v>
      </c>
      <c r="AB261" s="51">
        <f t="shared" si="699"/>
        <v>0</v>
      </c>
      <c r="AC261" s="51">
        <f t="shared" si="700"/>
        <v>0</v>
      </c>
      <c r="AD261" s="51">
        <f t="shared" si="701"/>
        <v>0</v>
      </c>
      <c r="AE261" s="51">
        <f t="shared" si="702"/>
        <v>0</v>
      </c>
      <c r="AF261" s="51">
        <f t="shared" si="703"/>
        <v>0</v>
      </c>
      <c r="AG261" s="51">
        <f t="shared" si="704"/>
        <v>0</v>
      </c>
      <c r="AH261" s="54">
        <f t="shared" si="705"/>
        <v>0</v>
      </c>
      <c r="AI261" s="55">
        <f t="shared" si="706"/>
        <v>0</v>
      </c>
      <c r="AJ261" s="56">
        <f>IF(AND($E261&lt;&gt;0,$F261&gt;0,YEAR($F261)&gt;=Preisindex!$A$6,YEAR(AE$4)&gt;=YEAR($F261),AND($K261&lt;&gt;"a",$K261&lt;&gt;"b",$K261&lt;&gt;"g",$K261&lt;&gt;"k")),1,IF(AND($E261&lt;&gt;0,$F261&gt;0,YEAR($F261)&gt;=Preisindex!$A$6,YEAR(AE$4)&gt;=YEAR($F261),$K261="a"),ROUND(VLOOKUP(AJ$4,Preisindex,5,FALSE)/VLOOKUP(YEAR($F261),Preisindex,5,FALSE),2),IF(AND($E261&lt;&gt;0,$F261&gt;0,YEAR($F261)&gt;=Preisindex!$A$6,YEAR(AE$4)&gt;=YEAR($F261),$K261="b"),ROUND(VLOOKUP(AJ$4,Preisindex,3,FALSE)/VLOOKUP(YEAR($F261),Preisindex,3,FALSE),2),IF(AND($E261&lt;&gt;0,$F261&gt;0,YEAR($F261)&gt;=Preisindex!$A$6,YEAR(AE$4)&gt;=YEAR($F261),$K261="g"),ROUND(VLOOKUP(AJ$4,Preisindex,4,FALSE)/VLOOKUP(YEAR($F261),Preisindex,4,FALSE),2),IF(AND($E261&lt;&gt;0,$F261&gt;0,YEAR($F261)&gt;=Preisindex!$A$6,YEAR(AE$4)&gt;=YEAR($F261),$K261="k"),ROUND(VLOOKUP(AJ$4,Preisindex,2,FALSE)/VLOOKUP(YEAR($F261),Preisindex,2,FALSE),2),0)))))</f>
        <v>0</v>
      </c>
      <c r="AK261" s="56">
        <f>IF(AND($E261&lt;&gt;0,$F261&gt;0,YEAR($F261)&lt;Preisindex!$A$6,YEAR(AE$4)&gt;=YEAR($F261),AND($K261&lt;&gt;"a",$K261&lt;&gt;"b",$K261&lt;&gt;"g",$K261&lt;&gt;"k")),1,IF(AND($E261&lt;&gt;0,$F261&gt;0,YEAR($F261)&lt;Preisindex!$A$6,YEAR(AE$4)&gt;=YEAR($F261),$K261="a"),ROUND(VLOOKUP(AJ$4,Preisindex,5,FALSE)/VLOOKUP(Preisindex!$A$6,Preisindex,5,FALSE),2),IF(AND($E261&lt;&gt;0,$F261&gt;0,YEAR($F261)&lt;Preisindex!$A$6,YEAR(AE$4)&gt;=YEAR($F261),$K261="b"),ROUND(VLOOKUP(AJ$4,Preisindex,3,FALSE)/VLOOKUP(Preisindex!$A$6,Preisindex,3,FALSE),2),IF(AND($E261&lt;&gt;0,$F261&gt;0,YEAR($F261)&lt;Preisindex!$A$6,YEAR(AE$4)&gt;=YEAR($F261),$K261="g"),ROUND(VLOOKUP(AJ$4,Preisindex,4,FALSE)/VLOOKUP(Preisindex!$A$6,Preisindex,4,FALSE),2),IF(AND($E261&lt;&gt;0,$F261&gt;0,YEAR($F261)&lt;Preisindex!$A$6,YEAR(AE$4)&gt;=YEAR($F261),$K261="k"),ROUND(VLOOKUP(AJ$4,Preisindex,2,FALSE)/VLOOKUP(Preisindex!$A$6,Preisindex,2,FALSE),2),0)))))</f>
        <v>0</v>
      </c>
      <c r="AL261" s="51">
        <f>IF(AND($E261&lt;&gt;0,$F261&gt;0,YEAR($F261)&lt;=AJ$4,YEAR($F261)&gt;=Preisindex!$A$6),ROUND($E261*AJ261,2),IF(AND($E261&lt;&gt;0,$F261&gt;0,YEAR($F261)&lt;=AJ$4,YEAR($F261)&lt;Preisindex!$A$6),ROUND($E261*AK261,2),0))</f>
        <v>0</v>
      </c>
      <c r="AM261" s="53">
        <f t="shared" si="707"/>
        <v>0</v>
      </c>
      <c r="AN261" s="51">
        <f t="shared" ref="AN261:CM276" si="754">IF(YEAR($F261)=AN$4,$E261,0)</f>
        <v>0</v>
      </c>
      <c r="AO261" s="51">
        <f t="shared" si="710"/>
        <v>0</v>
      </c>
      <c r="AP261" s="51">
        <f t="shared" ref="AP261:AP319" si="755">IF(AN261&lt;&gt;0,ROUND(AN261*YEARFRAC($F261,AV$4,0),2),0)</f>
        <v>0</v>
      </c>
      <c r="AQ261" s="51">
        <f t="shared" si="711"/>
        <v>0</v>
      </c>
      <c r="AR261" s="51">
        <f t="shared" ref="AR261:AR319" si="756">IF(AND($F261&gt;0,$F261&lt;=AV$4),$E261,0)</f>
        <v>0</v>
      </c>
      <c r="AS261" s="51">
        <f t="shared" si="712"/>
        <v>0</v>
      </c>
      <c r="AT261" s="51">
        <f t="shared" ref="AT261:AT319" si="757">IF(AND(YEAR($F261)=YEAR(AV$4),$E261&lt;1000,$E261&gt;-1000,$F261&gt;0,$L261=1),$E261-$I261,IF(AND(YEAR($F261)=YEAR(AV$4),$F261&gt;0,$L261&gt;0),ROUND(($M261/12)*(13-MONTH($F261)),2),IF(AND(YEAR($F261)&lt;YEAR(AV$4),$E261&gt;0,$F261&gt;0,$L261&gt;0,AE261&gt;$M261+$I261),$M261,IF(AND(YEAR($F261)&lt;YEAR(AV$4),$E261&gt;0,$F261&gt;0,$L261&gt;0,AE261&gt;0,AE261&lt;=$M261+$I261),AE261-$I261,IF(AND(YEAR($F261)&lt;YEAR(AV$4),$E261&lt;0,$F261&gt;0,$L261&gt;0,AE261&lt;0,AE261&lt;=$M261),$M261,IF(AND(YEAR($F261)&lt;YEAR(AV$4),$E261&lt;0,$F261&gt;0,$L261&gt;0,AE261&lt;0,AE261&gt;$M261),AE261,0))))))</f>
        <v>0</v>
      </c>
      <c r="AU261" s="51">
        <f t="shared" si="713"/>
        <v>0</v>
      </c>
      <c r="AV261" s="51">
        <f t="shared" ref="AV261:AV319" si="758">IF(AND(YEAR(AV$4)=YEAR($F261),$E261&gt;0,$F261&gt;0,$E261-AT261&gt;=0),$E261-AT261,IF(AND(YEAR(AV$4)&gt;YEAR($F261),$E261&gt;0,$F261&gt;0,AE261-AT261&gt;=0),AE261-AT261,IF(AND(YEAR(AV$4)=YEAR($F261),$E261&lt;0,$F261&gt;0,$E261-AT261&lt;0),$E261-AT261,IF(AND(YEAR(AV$4)&gt;YEAR($F261),$E261&lt;0,$F261&gt;0,AE261-AT261&lt;=0),AE261-AT261,0))))</f>
        <v>0</v>
      </c>
      <c r="AW261" s="51">
        <f t="shared" si="714"/>
        <v>0</v>
      </c>
      <c r="AX261" s="51">
        <f t="shared" ref="AX261:AX319" si="759">AG261+AT261</f>
        <v>0</v>
      </c>
      <c r="AY261" s="54">
        <f t="shared" ref="AY261:AY319" si="760">IF(AND(AN261&lt;&gt;0,$J261="H",$M261=0),AP261,IF(AND(YEAR(AV$4)&gt;YEAR($F261),$J261="H",$F261&gt;0,$M261=0),$E261,0))</f>
        <v>0</v>
      </c>
      <c r="AZ261" s="55">
        <f t="shared" ref="AZ261:AZ319" si="761">IF(AND(YEAR(AV$4)&gt;=YEAR($F261),$E261&gt;0,$F261&gt;0,AT261&gt;0,$J261="H"),ROUND(AT261/$M261*$E261,2),IF(AND(YEAR(AV$4)&gt;=YEAR($F261),$E261&lt;0,$F261&gt;0,AT261&lt;0,$J261="H"),ROUND(AT261/$M261*$E261,2),0))</f>
        <v>0</v>
      </c>
      <c r="BA261" s="56">
        <f>IF(AND($E261&lt;&gt;0,$F261&gt;0,YEAR($F261)&gt;=Preisindex!$A$6,YEAR(AV$4)&gt;=YEAR($F261),AND($K261&lt;&gt;"a",$K261&lt;&gt;"b",$K261&lt;&gt;"g",$K261&lt;&gt;"k")),1,IF(AND($E261&lt;&gt;0,$F261&gt;0,YEAR($F261)&gt;=Preisindex!$A$6,YEAR(AV$4)&gt;=YEAR($F261),$K261="a"),ROUND(VLOOKUP(BA$4,Preisindex,5,FALSE)/VLOOKUP(YEAR($F261),Preisindex,5,FALSE),2),IF(AND($E261&lt;&gt;0,$F261&gt;0,YEAR($F261)&gt;=Preisindex!$A$6,YEAR(AV$4)&gt;=YEAR($F261),$K261="b"),ROUND(VLOOKUP(BA$4,Preisindex,3,FALSE)/VLOOKUP(YEAR($F261),Preisindex,3,FALSE),2),IF(AND($E261&lt;&gt;0,$F261&gt;0,YEAR($F261)&gt;=Preisindex!$A$6,YEAR(AV$4)&gt;=YEAR($F261),$K261="g"),ROUND(VLOOKUP(BA$4,Preisindex,4,FALSE)/VLOOKUP(YEAR($F261),Preisindex,4,FALSE),2),IF(AND($E261&lt;&gt;0,$F261&gt;0,YEAR($F261)&gt;=Preisindex!$A$6,YEAR(AV$4)&gt;=YEAR($F261),$K261="k"),ROUND(VLOOKUP(BA$4,Preisindex,2,FALSE)/VLOOKUP(YEAR($F261),Preisindex,2,FALSE),2),0)))))</f>
        <v>0</v>
      </c>
      <c r="BB261" s="56">
        <f>IF(AND($E261&lt;&gt;0,$F261&gt;0,YEAR($F261)&lt;Preisindex!$A$6,YEAR(AV$4)&gt;=YEAR($F261),AND($K261&lt;&gt;"a",$K261&lt;&gt;"b",$K261&lt;&gt;"g",$K261&lt;&gt;"k")),1,IF(AND($E261&lt;&gt;0,$F261&gt;0,YEAR($F261)&lt;Preisindex!$A$6,YEAR(AV$4)&gt;=YEAR($F261),$K261="a"),ROUND(VLOOKUP(BA$4,Preisindex,5,FALSE)/VLOOKUP(Preisindex!$A$6,Preisindex,5,FALSE),2),IF(AND($E261&lt;&gt;0,$F261&gt;0,YEAR($F261)&lt;Preisindex!$A$6,YEAR(AV$4)&gt;=YEAR($F261),$K261="b"),ROUND(VLOOKUP(BA$4,Preisindex,3,FALSE)/VLOOKUP(Preisindex!$A$6,Preisindex,3,FALSE),2),IF(AND($E261&lt;&gt;0,$F261&gt;0,YEAR($F261)&lt;Preisindex!$A$6,YEAR(AV$4)&gt;=YEAR($F261),$K261="g"),ROUND(VLOOKUP(BA$4,Preisindex,4,FALSE)/VLOOKUP(Preisindex!$A$6,Preisindex,4,FALSE),2),IF(AND($E261&lt;&gt;0,$F261&gt;0,YEAR($F261)&lt;Preisindex!$A$6,YEAR(AV$4)&gt;=YEAR($F261),$K261="k"),ROUND(VLOOKUP(BA$4,Preisindex,2,FALSE)/VLOOKUP(Preisindex!$A$6,Preisindex,2,FALSE),2),0)))))</f>
        <v>0</v>
      </c>
      <c r="BC261" s="51">
        <f>IF(AND($E261&lt;&gt;0,$F261&gt;0,YEAR($F261)&lt;=BA$4,YEAR($F261)&gt;=Preisindex!$A$6),ROUND($E261*BA261,2),IF(AND($E261&lt;&gt;0,$F261&gt;0,YEAR($F261)&lt;=BA$4,YEAR($F261)&lt;Preisindex!$A$6),ROUND($E261*BB261,2),0))</f>
        <v>0</v>
      </c>
      <c r="BD261" s="53">
        <f t="shared" ref="BD261:BD319" si="762">IF(AND(AT261&lt;&gt;0,AT261=$M261),BC261*$L261,IF(AND(AT261&lt;&gt;0,AT261&lt;&gt;$M261),BC261*($L261*(AT261/$M261)),0))</f>
        <v>0</v>
      </c>
      <c r="BE261" s="51">
        <f t="shared" si="754"/>
        <v>0</v>
      </c>
      <c r="BF261" s="51">
        <f t="shared" si="715"/>
        <v>0</v>
      </c>
      <c r="BG261" s="51">
        <f t="shared" ref="BG261:BG319" si="763">IF(BE261&lt;&gt;0,ROUND(BE261*YEARFRAC($F261,BM$4,0),2),0)</f>
        <v>0</v>
      </c>
      <c r="BH261" s="51">
        <f t="shared" si="716"/>
        <v>0</v>
      </c>
      <c r="BI261" s="51">
        <f t="shared" ref="BI261:BI319" si="764">IF(AND($F261&gt;0,$F261&lt;=BM$4),$E261,0)</f>
        <v>0</v>
      </c>
      <c r="BJ261" s="51">
        <f t="shared" si="717"/>
        <v>0</v>
      </c>
      <c r="BK261" s="51">
        <f t="shared" ref="BK261:BK319" si="765">IF(AND(YEAR($F261)=YEAR(BM$4),$E261&lt;1000,$E261&gt;-1000,$F261&gt;0,$L261=1),$E261-$I261,IF(AND(YEAR($F261)=YEAR(BM$4),$F261&gt;0,$L261&gt;0),ROUND(($M261/12)*(13-MONTH($F261)),2),IF(AND(YEAR($F261)&lt;YEAR(BM$4),$E261&gt;0,$F261&gt;0,$L261&gt;0,AV261&gt;$M261+$I261),$M261,IF(AND(YEAR($F261)&lt;YEAR(BM$4),$E261&gt;0,$F261&gt;0,$L261&gt;0,AV261&gt;0,AV261&lt;=$M261+$I261),AV261-$I261,IF(AND(YEAR($F261)&lt;YEAR(BM$4),$E261&lt;0,$F261&gt;0,$L261&gt;0,AV261&lt;0,AV261&lt;=$M261),$M261,IF(AND(YEAR($F261)&lt;YEAR(BM$4),$E261&lt;0,$F261&gt;0,$L261&gt;0,AV261&lt;0,AV261&gt;$M261),AV261,0))))))</f>
        <v>0</v>
      </c>
      <c r="BL261" s="51">
        <f t="shared" si="718"/>
        <v>0</v>
      </c>
      <c r="BM261" s="51">
        <f t="shared" ref="BM261:BM319" si="766">IF(AND(YEAR(BM$4)=YEAR($F261),$E261&gt;0,$F261&gt;0,$E261-BK261&gt;=0),$E261-BK261,IF(AND(YEAR(BM$4)&gt;YEAR($F261),$E261&gt;0,$F261&gt;0,AV261-BK261&gt;=0),AV261-BK261,IF(AND(YEAR(BM$4)=YEAR($F261),$E261&lt;0,$F261&gt;0,$E261-BK261&lt;0),$E261-BK261,IF(AND(YEAR(BM$4)&gt;YEAR($F261),$E261&lt;0,$F261&gt;0,AV261-BK261&lt;=0),AV261-BK261,0))))</f>
        <v>0</v>
      </c>
      <c r="BN261" s="51">
        <f t="shared" si="719"/>
        <v>0</v>
      </c>
      <c r="BO261" s="51">
        <f t="shared" ref="BO261:BO319" si="767">AX261+BK261</f>
        <v>0</v>
      </c>
      <c r="BP261" s="54">
        <f t="shared" ref="BP261:BP319" si="768">IF(AND(BE261&lt;&gt;0,$J261="H",$M261=0),BG261,IF(AND(YEAR(BM$4)&gt;YEAR($F261),$J261="H",$F261&gt;0,$M261=0),$E261,0))</f>
        <v>0</v>
      </c>
      <c r="BQ261" s="55">
        <f t="shared" ref="BQ261:BQ319" si="769">IF(AND(YEAR(BM$4)&gt;=YEAR($F261),$E261&gt;0,$F261&gt;0,BK261&gt;0,$J261="H"),ROUND(BK261/$M261*$E261,2),IF(AND(YEAR(BM$4)&gt;=YEAR($F261),$E261&lt;0,$F261&gt;0,BK261&lt;0,$J261="H"),ROUND(BK261/$M261*$E261,2),0))</f>
        <v>0</v>
      </c>
      <c r="BR261" s="56">
        <f>IF(AND($E261&lt;&gt;0,$F261&gt;0,YEAR($F261)&gt;=Preisindex!$A$6,YEAR(BM$4)&gt;=YEAR($F261),AND($K261&lt;&gt;"a",$K261&lt;&gt;"b",$K261&lt;&gt;"g",$K261&lt;&gt;"k")),1,IF(AND($E261&lt;&gt;0,$F261&gt;0,YEAR($F261)&gt;=Preisindex!$A$6,YEAR(BM$4)&gt;=YEAR($F261),$K261="a"),ROUND(VLOOKUP(BR$4,Preisindex,5,FALSE)/VLOOKUP(YEAR($F261),Preisindex,5,FALSE),2),IF(AND($E261&lt;&gt;0,$F261&gt;0,YEAR($F261)&gt;=Preisindex!$A$6,YEAR(BM$4)&gt;=YEAR($F261),$K261="b"),ROUND(VLOOKUP(BR$4,Preisindex,3,FALSE)/VLOOKUP(YEAR($F261),Preisindex,3,FALSE),2),IF(AND($E261&lt;&gt;0,$F261&gt;0,YEAR($F261)&gt;=Preisindex!$A$6,YEAR(BM$4)&gt;=YEAR($F261),$K261="g"),ROUND(VLOOKUP(BR$4,Preisindex,4,FALSE)/VLOOKUP(YEAR($F261),Preisindex,4,FALSE),2),IF(AND($E261&lt;&gt;0,$F261&gt;0,YEAR($F261)&gt;=Preisindex!$A$6,YEAR(BM$4)&gt;=YEAR($F261),$K261="k"),ROUND(VLOOKUP(BR$4,Preisindex,2,FALSE)/VLOOKUP(YEAR($F261),Preisindex,2,FALSE),2),0)))))</f>
        <v>0</v>
      </c>
      <c r="BS261" s="56">
        <f>IF(AND($E261&lt;&gt;0,$F261&gt;0,YEAR($F261)&lt;Preisindex!$A$6,YEAR(BM$4)&gt;=YEAR($F261),AND($K261&lt;&gt;"a",$K261&lt;&gt;"b",$K261&lt;&gt;"g",$K261&lt;&gt;"k")),1,IF(AND($E261&lt;&gt;0,$F261&gt;0,YEAR($F261)&lt;Preisindex!$A$6,YEAR(BM$4)&gt;=YEAR($F261),$K261="a"),ROUND(VLOOKUP(BR$4,Preisindex,5,FALSE)/VLOOKUP(Preisindex!$A$6,Preisindex,5,FALSE),2),IF(AND($E261&lt;&gt;0,$F261&gt;0,YEAR($F261)&lt;Preisindex!$A$6,YEAR(BM$4)&gt;=YEAR($F261),$K261="b"),ROUND(VLOOKUP(BR$4,Preisindex,3,FALSE)/VLOOKUP(Preisindex!$A$6,Preisindex,3,FALSE),2),IF(AND($E261&lt;&gt;0,$F261&gt;0,YEAR($F261)&lt;Preisindex!$A$6,YEAR(BM$4)&gt;=YEAR($F261),$K261="g"),ROUND(VLOOKUP(BR$4,Preisindex,4,FALSE)/VLOOKUP(Preisindex!$A$6,Preisindex,4,FALSE),2),IF(AND($E261&lt;&gt;0,$F261&gt;0,YEAR($F261)&lt;Preisindex!$A$6,YEAR(BM$4)&gt;=YEAR($F261),$K261="k"),ROUND(VLOOKUP(BR$4,Preisindex,2,FALSE)/VLOOKUP(Preisindex!$A$6,Preisindex,2,FALSE),2),0)))))</f>
        <v>0</v>
      </c>
      <c r="BT261" s="51">
        <f>IF(AND($E261&lt;&gt;0,$F261&gt;0,YEAR($F261)&lt;=BR$4,YEAR($F261)&gt;=Preisindex!$A$6),ROUND($E261*BR261,2),IF(AND($E261&lt;&gt;0,$F261&gt;0,YEAR($F261)&lt;=BR$4,YEAR($F261)&lt;Preisindex!$A$6),ROUND($E261*BS261,2),0))</f>
        <v>0</v>
      </c>
      <c r="BU261" s="53">
        <f t="shared" ref="BU261:BU319" si="770">IF(AND(BK261&lt;&gt;0,BK261=$M261),BT261*$L261,IF(AND(BK261&lt;&gt;0,BK261&lt;&gt;$M261),BT261*($L261*(BK261/$M261)),0))</f>
        <v>0</v>
      </c>
      <c r="BV261" s="51">
        <f t="shared" si="754"/>
        <v>0</v>
      </c>
      <c r="BW261" s="51">
        <f t="shared" si="720"/>
        <v>0</v>
      </c>
      <c r="BX261" s="51">
        <f t="shared" ref="BX261:BX319" si="771">IF(BV261&lt;&gt;0,ROUND(BV261*YEARFRAC($F261,CD$4,0),2),0)</f>
        <v>0</v>
      </c>
      <c r="BY261" s="51">
        <f t="shared" si="721"/>
        <v>0</v>
      </c>
      <c r="BZ261" s="51">
        <f t="shared" ref="BZ261:BZ319" si="772">IF(AND($F261&gt;0,$F261&lt;=CD$4),$E261,0)</f>
        <v>0</v>
      </c>
      <c r="CA261" s="51">
        <f t="shared" si="722"/>
        <v>0</v>
      </c>
      <c r="CB261" s="51">
        <f t="shared" ref="CB261:CB319" si="773">IF(AND(YEAR($F261)=YEAR(CD$4),$E261&lt;1000,$E261&gt;-1000,$F261&gt;0,$L261=1),$E261-$I261,IF(AND(YEAR($F261)=YEAR(CD$4),$F261&gt;0,$L261&gt;0),ROUND(($M261/12)*(13-MONTH($F261)),2),IF(AND(YEAR($F261)&lt;YEAR(CD$4),$E261&gt;0,$F261&gt;0,$L261&gt;0,BM261&gt;$M261+$I261),$M261,IF(AND(YEAR($F261)&lt;YEAR(CD$4),$E261&gt;0,$F261&gt;0,$L261&gt;0,BM261&gt;0,BM261&lt;=$M261+$I261),BM261-$I261,IF(AND(YEAR($F261)&lt;YEAR(CD$4),$E261&lt;0,$F261&gt;0,$L261&gt;0,BM261&lt;0,BM261&lt;=$M261),$M261,IF(AND(YEAR($F261)&lt;YEAR(CD$4),$E261&lt;0,$F261&gt;0,$L261&gt;0,BM261&lt;0,BM261&gt;$M261),BM261,0))))))</f>
        <v>0</v>
      </c>
      <c r="CC261" s="51">
        <f t="shared" si="723"/>
        <v>0</v>
      </c>
      <c r="CD261" s="51">
        <f t="shared" ref="CD261:CD319" si="774">IF(AND(YEAR(CD$4)=YEAR($F261),$E261&gt;0,$F261&gt;0,$E261-CB261&gt;=0),$E261-CB261,IF(AND(YEAR(CD$4)&gt;YEAR($F261),$E261&gt;0,$F261&gt;0,BM261-CB261&gt;=0),BM261-CB261,IF(AND(YEAR(CD$4)=YEAR($F261),$E261&lt;0,$F261&gt;0,$E261-CB261&lt;0),$E261-CB261,IF(AND(YEAR(CD$4)&gt;YEAR($F261),$E261&lt;0,$F261&gt;0,BM261-CB261&lt;=0),BM261-CB261,0))))</f>
        <v>0</v>
      </c>
      <c r="CE261" s="51">
        <f t="shared" si="724"/>
        <v>0</v>
      </c>
      <c r="CF261" s="51">
        <f t="shared" ref="CF261:CF319" si="775">BO261+CB261</f>
        <v>0</v>
      </c>
      <c r="CG261" s="54">
        <f t="shared" ref="CG261:CG319" si="776">IF(AND(BV261&lt;&gt;0,$J261="H",$M261=0),BX261,IF(AND(YEAR(CD$4)&gt;YEAR($F261),$J261="H",$F261&gt;0,$M261=0),$E261,0))</f>
        <v>0</v>
      </c>
      <c r="CH261" s="55">
        <f t="shared" ref="CH261:CH319" si="777">IF(AND(YEAR(CD$4)&gt;=YEAR($F261),$E261&gt;0,$F261&gt;0,CB261&gt;0,$J261="H"),ROUND(CB261/$M261*$E261,2),IF(AND(YEAR(CD$4)&gt;=YEAR($F261),$E261&lt;0,$F261&gt;0,CB261&lt;0,$J261="H"),ROUND(CB261/$M261*$E261,2),0))</f>
        <v>0</v>
      </c>
      <c r="CI261" s="56">
        <f>IF(AND($E261&lt;&gt;0,$F261&gt;0,YEAR($F261)&gt;=Preisindex!$A$6,YEAR(CD$4)&gt;=YEAR($F261),AND($K261&lt;&gt;"a",$K261&lt;&gt;"b",$K261&lt;&gt;"g",$K261&lt;&gt;"k")),1,IF(AND($E261&lt;&gt;0,$F261&gt;0,YEAR($F261)&gt;=Preisindex!$A$6,YEAR(CD$4)&gt;=YEAR($F261),$K261="a"),ROUND(VLOOKUP(CI$4,Preisindex,5,FALSE)/VLOOKUP(YEAR($F261),Preisindex,5,FALSE),2),IF(AND($E261&lt;&gt;0,$F261&gt;0,YEAR($F261)&gt;=Preisindex!$A$6,YEAR(CD$4)&gt;=YEAR($F261),$K261="b"),ROUND(VLOOKUP(CI$4,Preisindex,3,FALSE)/VLOOKUP(YEAR($F261),Preisindex,3,FALSE),2),IF(AND($E261&lt;&gt;0,$F261&gt;0,YEAR($F261)&gt;=Preisindex!$A$6,YEAR(CD$4)&gt;=YEAR($F261),$K261="g"),ROUND(VLOOKUP(CI$4,Preisindex,4,FALSE)/VLOOKUP(YEAR($F261),Preisindex,4,FALSE),2),IF(AND($E261&lt;&gt;0,$F261&gt;0,YEAR($F261)&gt;=Preisindex!$A$6,YEAR(CD$4)&gt;=YEAR($F261),$K261="k"),ROUND(VLOOKUP(CI$4,Preisindex,2,FALSE)/VLOOKUP(YEAR($F261),Preisindex,2,FALSE),2),0)))))</f>
        <v>0</v>
      </c>
      <c r="CJ261" s="56">
        <f>IF(AND($E261&lt;&gt;0,$F261&gt;0,YEAR($F261)&lt;Preisindex!$A$6,YEAR(CD$4)&gt;=YEAR($F261),AND($K261&lt;&gt;"a",$K261&lt;&gt;"b",$K261&lt;&gt;"g",$K261&lt;&gt;"k")),1,IF(AND($E261&lt;&gt;0,$F261&gt;0,YEAR($F261)&lt;Preisindex!$A$6,YEAR(CD$4)&gt;=YEAR($F261),$K261="a"),ROUND(VLOOKUP(CI$4,Preisindex,5,FALSE)/VLOOKUP(Preisindex!$A$6,Preisindex,5,FALSE),2),IF(AND($E261&lt;&gt;0,$F261&gt;0,YEAR($F261)&lt;Preisindex!$A$6,YEAR(CD$4)&gt;=YEAR($F261),$K261="b"),ROUND(VLOOKUP(CI$4,Preisindex,3,FALSE)/VLOOKUP(Preisindex!$A$6,Preisindex,3,FALSE),2),IF(AND($E261&lt;&gt;0,$F261&gt;0,YEAR($F261)&lt;Preisindex!$A$6,YEAR(CD$4)&gt;=YEAR($F261),$K261="g"),ROUND(VLOOKUP(CI$4,Preisindex,4,FALSE)/VLOOKUP(Preisindex!$A$6,Preisindex,4,FALSE),2),IF(AND($E261&lt;&gt;0,$F261&gt;0,YEAR($F261)&lt;Preisindex!$A$6,YEAR(CD$4)&gt;=YEAR($F261),$K261="k"),ROUND(VLOOKUP(CI$4,Preisindex,2,FALSE)/VLOOKUP(Preisindex!$A$6,Preisindex,2,FALSE),2),0)))))</f>
        <v>0</v>
      </c>
      <c r="CK261" s="51">
        <f>IF(AND($E261&lt;&gt;0,$F261&gt;0,YEAR($F261)&lt;=CI$4,YEAR($F261)&gt;=Preisindex!$A$6),ROUND($E261*CI261,2),IF(AND($E261&lt;&gt;0,$F261&gt;0,YEAR($F261)&lt;=CI$4,YEAR($F261)&lt;Preisindex!$A$6),ROUND($E261*CJ261,2),0))</f>
        <v>0</v>
      </c>
      <c r="CL261" s="53">
        <f t="shared" ref="CL261:CL319" si="778">IF(AND(CB261&lt;&gt;0,CB261=$M261),CK261*$L261,IF(AND(CB261&lt;&gt;0,CB261&lt;&gt;$M261),CK261*($L261*(CB261/$M261)),0))</f>
        <v>0</v>
      </c>
      <c r="CM261" s="51">
        <f t="shared" si="754"/>
        <v>0</v>
      </c>
      <c r="CN261" s="51">
        <f t="shared" si="725"/>
        <v>0</v>
      </c>
      <c r="CO261" s="51">
        <f t="shared" ref="CO261:CO319" si="779">IF(CM261&lt;&gt;0,ROUND(CM261*YEARFRAC($F261,CU$4,0),2),0)</f>
        <v>0</v>
      </c>
      <c r="CP261" s="51">
        <f t="shared" si="726"/>
        <v>0</v>
      </c>
      <c r="CQ261" s="51">
        <f t="shared" ref="CQ261:CQ319" si="780">IF(AND($F261&gt;0,$F261&lt;=CU$4),$E261,0)</f>
        <v>0</v>
      </c>
      <c r="CR261" s="51">
        <f t="shared" si="727"/>
        <v>0</v>
      </c>
      <c r="CS261" s="51">
        <f t="shared" ref="CS261:CS319" si="781">IF(AND(YEAR($F261)=YEAR(CU$4),$E261&lt;1000,$E261&gt;-1000,$F261&gt;0,$L261=1),$E261-$I261,IF(AND(YEAR($F261)=YEAR(CU$4),$F261&gt;0,$L261&gt;0),ROUND(($M261/12)*(13-MONTH($F261)),2),IF(AND(YEAR($F261)&lt;YEAR(CU$4),$E261&gt;0,$F261&gt;0,$L261&gt;0,CD261&gt;$M261+$I261),$M261,IF(AND(YEAR($F261)&lt;YEAR(CU$4),$E261&gt;0,$F261&gt;0,$L261&gt;0,CD261&gt;0,CD261&lt;=$M261+$I261),CD261-$I261,IF(AND(YEAR($F261)&lt;YEAR(CU$4),$E261&lt;0,$F261&gt;0,$L261&gt;0,CD261&lt;0,CD261&lt;=$M261),$M261,IF(AND(YEAR($F261)&lt;YEAR(CU$4),$E261&lt;0,$F261&gt;0,$L261&gt;0,CD261&lt;0,CD261&gt;$M261),CD261,0))))))</f>
        <v>0</v>
      </c>
      <c r="CT261" s="51">
        <f t="shared" si="728"/>
        <v>0</v>
      </c>
      <c r="CU261" s="51">
        <f t="shared" ref="CU261:CU319" si="782">IF(AND(YEAR(CU$4)=YEAR($F261),$E261&gt;0,$F261&gt;0,$E261-CS261&gt;=0),$E261-CS261,IF(AND(YEAR(CU$4)&gt;YEAR($F261),$E261&gt;0,$F261&gt;0,CD261-CS261&gt;=0),CD261-CS261,IF(AND(YEAR(CU$4)=YEAR($F261),$E261&lt;0,$F261&gt;0,$E261-CS261&lt;0),$E261-CS261,IF(AND(YEAR(CU$4)&gt;YEAR($F261),$E261&lt;0,$F261&gt;0,CD261-CS261&lt;=0),CD261-CS261,0))))</f>
        <v>0</v>
      </c>
      <c r="CV261" s="51">
        <f t="shared" si="729"/>
        <v>0</v>
      </c>
      <c r="CW261" s="51">
        <f t="shared" ref="CW261:CW319" si="783">CF261+CS261</f>
        <v>0</v>
      </c>
      <c r="CX261" s="54">
        <f t="shared" ref="CX261:CX319" si="784">IF(AND(CM261&lt;&gt;0,$J261="H",$M261=0),CO261,IF(AND(YEAR(CU$4)&gt;YEAR($F261),$J261="H",$F261&gt;0,$M261=0),$E261,0))</f>
        <v>0</v>
      </c>
      <c r="CY261" s="55">
        <f t="shared" ref="CY261:CY319" si="785">IF(AND(YEAR(CU$4)&gt;=YEAR($F261),$E261&gt;0,$F261&gt;0,CS261&gt;0,$J261="H"),ROUND(CS261/$M261*$E261,2),IF(AND(YEAR(CU$4)&gt;=YEAR($F261),$E261&lt;0,$F261&gt;0,CS261&lt;0,$J261="H"),ROUND(CS261/$M261*$E261,2),0))</f>
        <v>0</v>
      </c>
      <c r="CZ261" s="56">
        <f>IF(AND($E261&lt;&gt;0,$F261&gt;0,YEAR($F261)&gt;=Preisindex!$A$6,YEAR(CU$4)&gt;=YEAR($F261),AND($K261&lt;&gt;"a",$K261&lt;&gt;"b",$K261&lt;&gt;"g",$K261&lt;&gt;"k")),1,IF(AND($E261&lt;&gt;0,$F261&gt;0,YEAR($F261)&gt;=Preisindex!$A$6,YEAR(CU$4)&gt;=YEAR($F261),$K261="a"),ROUND(VLOOKUP(CZ$4,Preisindex,5,FALSE)/VLOOKUP(YEAR($F261),Preisindex,5,FALSE),2),IF(AND($E261&lt;&gt;0,$F261&gt;0,YEAR($F261)&gt;=Preisindex!$A$6,YEAR(CU$4)&gt;=YEAR($F261),$K261="b"),ROUND(VLOOKUP(CZ$4,Preisindex,3,FALSE)/VLOOKUP(YEAR($F261),Preisindex,3,FALSE),2),IF(AND($E261&lt;&gt;0,$F261&gt;0,YEAR($F261)&gt;=Preisindex!$A$6,YEAR(CU$4)&gt;=YEAR($F261),$K261="g"),ROUND(VLOOKUP(CZ$4,Preisindex,4,FALSE)/VLOOKUP(YEAR($F261),Preisindex,4,FALSE),2),IF(AND($E261&lt;&gt;0,$F261&gt;0,YEAR($F261)&gt;=Preisindex!$A$6,YEAR(CU$4)&gt;=YEAR($F261),$K261="k"),ROUND(VLOOKUP(CZ$4,Preisindex,2,FALSE)/VLOOKUP(YEAR($F261),Preisindex,2,FALSE),2),0)))))</f>
        <v>0</v>
      </c>
      <c r="DA261" s="56">
        <f>IF(AND($E261&lt;&gt;0,$F261&gt;0,YEAR($F261)&lt;Preisindex!$A$6,YEAR(CU$4)&gt;=YEAR($F261),AND($K261&lt;&gt;"a",$K261&lt;&gt;"b",$K261&lt;&gt;"g",$K261&lt;&gt;"k")),1,IF(AND($E261&lt;&gt;0,$F261&gt;0,YEAR($F261)&lt;Preisindex!$A$6,YEAR(CU$4)&gt;=YEAR($F261),$K261="a"),ROUND(VLOOKUP(CZ$4,Preisindex,5,FALSE)/VLOOKUP(Preisindex!$A$6,Preisindex,5,FALSE),2),IF(AND($E261&lt;&gt;0,$F261&gt;0,YEAR($F261)&lt;Preisindex!$A$6,YEAR(CU$4)&gt;=YEAR($F261),$K261="b"),ROUND(VLOOKUP(CZ$4,Preisindex,3,FALSE)/VLOOKUP(Preisindex!$A$6,Preisindex,3,FALSE),2),IF(AND($E261&lt;&gt;0,$F261&gt;0,YEAR($F261)&lt;Preisindex!$A$6,YEAR(CU$4)&gt;=YEAR($F261),$K261="g"),ROUND(VLOOKUP(CZ$4,Preisindex,4,FALSE)/VLOOKUP(Preisindex!$A$6,Preisindex,4,FALSE),2),IF(AND($E261&lt;&gt;0,$F261&gt;0,YEAR($F261)&lt;Preisindex!$A$6,YEAR(CU$4)&gt;=YEAR($F261),$K261="k"),ROUND(VLOOKUP(CZ$4,Preisindex,2,FALSE)/VLOOKUP(Preisindex!$A$6,Preisindex,2,FALSE),2),0)))))</f>
        <v>0</v>
      </c>
      <c r="DB261" s="51">
        <f>IF(AND($E261&lt;&gt;0,$F261&gt;0,YEAR($F261)&lt;=CZ$4,YEAR($F261)&gt;=Preisindex!$A$6),ROUND($E261*CZ261,2),IF(AND($E261&lt;&gt;0,$F261&gt;0,YEAR($F261)&lt;=CZ$4,YEAR($F261)&lt;Preisindex!$A$6),ROUND($E261*DA261,2),0))</f>
        <v>0</v>
      </c>
      <c r="DC261" s="53">
        <f t="shared" ref="DC261:DC319" si="786">IF(AND(CS261&lt;&gt;0,CS261=$M261),DB261*$L261,IF(AND(CS261&lt;&gt;0,CS261&lt;&gt;$M261),DB261*($L261*(CS261/$M261)),0))</f>
        <v>0</v>
      </c>
      <c r="DD261" s="51">
        <f t="shared" ref="DD261:FC276" si="787">IF(YEAR($F261)=DD$4,$E261,0)</f>
        <v>0</v>
      </c>
      <c r="DE261" s="51">
        <f t="shared" si="730"/>
        <v>0</v>
      </c>
      <c r="DF261" s="51">
        <f t="shared" ref="DF261:DF319" si="788">IF(DD261&lt;&gt;0,ROUND(DD261*YEARFRAC($F261,DL$4,0),2),0)</f>
        <v>0</v>
      </c>
      <c r="DG261" s="51">
        <f t="shared" si="731"/>
        <v>0</v>
      </c>
      <c r="DH261" s="51">
        <f t="shared" ref="DH261:DH319" si="789">IF(AND($F261&gt;0,$F261&lt;=DL$4),$E261,0)</f>
        <v>0</v>
      </c>
      <c r="DI261" s="51">
        <f t="shared" si="732"/>
        <v>0</v>
      </c>
      <c r="DJ261" s="51">
        <f t="shared" ref="DJ261:DJ319" si="790">IF(AND(YEAR($F261)=YEAR(DL$4),$E261&lt;1000,$E261&gt;-1000,$F261&gt;0,$L261=1),$E261-$I261,IF(AND(YEAR($F261)=YEAR(DL$4),$F261&gt;0,$L261&gt;0),ROUND(($M261/12)*(13-MONTH($F261)),2),IF(AND(YEAR($F261)&lt;YEAR(DL$4),$E261&gt;0,$F261&gt;0,$L261&gt;0,CU261&gt;$M261+$I261),$M261,IF(AND(YEAR($F261)&lt;YEAR(DL$4),$E261&gt;0,$F261&gt;0,$L261&gt;0,CU261&gt;0,CU261&lt;=$M261+$I261),CU261-$I261,IF(AND(YEAR($F261)&lt;YEAR(DL$4),$E261&lt;0,$F261&gt;0,$L261&gt;0,CU261&lt;0,CU261&lt;=$M261),$M261,IF(AND(YEAR($F261)&lt;YEAR(DL$4),$E261&lt;0,$F261&gt;0,$L261&gt;0,CU261&lt;0,CU261&gt;$M261),CU261,0))))))</f>
        <v>0</v>
      </c>
      <c r="DK261" s="51">
        <f t="shared" si="733"/>
        <v>0</v>
      </c>
      <c r="DL261" s="51">
        <f t="shared" ref="DL261:DL319" si="791">IF(AND(YEAR(DL$4)=YEAR($F261),$E261&gt;0,$F261&gt;0,$E261-DJ261&gt;=0),$E261-DJ261,IF(AND(YEAR(DL$4)&gt;YEAR($F261),$E261&gt;0,$F261&gt;0,CU261-DJ261&gt;=0),CU261-DJ261,IF(AND(YEAR(DL$4)=YEAR($F261),$E261&lt;0,$F261&gt;0,$E261-DJ261&lt;0),$E261-DJ261,IF(AND(YEAR(DL$4)&gt;YEAR($F261),$E261&lt;0,$F261&gt;0,CU261-DJ261&lt;=0),CU261-DJ261,0))))</f>
        <v>0</v>
      </c>
      <c r="DM261" s="51">
        <f t="shared" si="734"/>
        <v>0</v>
      </c>
      <c r="DN261" s="51">
        <f t="shared" ref="DN261:DN319" si="792">CW261+DJ261</f>
        <v>0</v>
      </c>
      <c r="DO261" s="54">
        <f t="shared" ref="DO261:DO319" si="793">IF(AND(DD261&lt;&gt;0,$J261="H",$M261=0),DF261,IF(AND(YEAR(DL$4)&gt;YEAR($F261),$J261="H",$F261&gt;0,$M261=0),$E261,0))</f>
        <v>0</v>
      </c>
      <c r="DP261" s="55">
        <f t="shared" ref="DP261:DP319" si="794">IF(AND(YEAR(DL$4)&gt;=YEAR($F261),$E261&gt;0,$F261&gt;0,DJ261&gt;0,$J261="H"),ROUND(DJ261/$M261*$E261,2),IF(AND(YEAR(DL$4)&gt;=YEAR($F261),$E261&lt;0,$F261&gt;0,DJ261&lt;0,$J261="H"),ROUND(DJ261/$M261*$E261,2),0))</f>
        <v>0</v>
      </c>
      <c r="DQ261" s="56">
        <f>IF(AND($E261&lt;&gt;0,$F261&gt;0,YEAR($F261)&gt;=Preisindex!$A$6,YEAR(DL$4)&gt;=YEAR($F261),AND($K261&lt;&gt;"a",$K261&lt;&gt;"b",$K261&lt;&gt;"g",$K261&lt;&gt;"k")),1,IF(AND($E261&lt;&gt;0,$F261&gt;0,YEAR($F261)&gt;=Preisindex!$A$6,YEAR(DL$4)&gt;=YEAR($F261),$K261="a"),ROUND(VLOOKUP(DQ$4,Preisindex,5,FALSE)/VLOOKUP(YEAR($F261),Preisindex,5,FALSE),2),IF(AND($E261&lt;&gt;0,$F261&gt;0,YEAR($F261)&gt;=Preisindex!$A$6,YEAR(DL$4)&gt;=YEAR($F261),$K261="b"),ROUND(VLOOKUP(DQ$4,Preisindex,3,FALSE)/VLOOKUP(YEAR($F261),Preisindex,3,FALSE),2),IF(AND($E261&lt;&gt;0,$F261&gt;0,YEAR($F261)&gt;=Preisindex!$A$6,YEAR(DL$4)&gt;=YEAR($F261),$K261="g"),ROUND(VLOOKUP(DQ$4,Preisindex,4,FALSE)/VLOOKUP(YEAR($F261),Preisindex,4,FALSE),2),IF(AND($E261&lt;&gt;0,$F261&gt;0,YEAR($F261)&gt;=Preisindex!$A$6,YEAR(DL$4)&gt;=YEAR($F261),$K261="k"),ROUND(VLOOKUP(DQ$4,Preisindex,2,FALSE)/VLOOKUP(YEAR($F261),Preisindex,2,FALSE),2),0)))))</f>
        <v>0</v>
      </c>
      <c r="DR261" s="56">
        <f>IF(AND($E261&lt;&gt;0,$F261&gt;0,YEAR($F261)&lt;Preisindex!$A$6,YEAR(DL$4)&gt;=YEAR($F261),AND($K261&lt;&gt;"a",$K261&lt;&gt;"b",$K261&lt;&gt;"g",$K261&lt;&gt;"k")),1,IF(AND($E261&lt;&gt;0,$F261&gt;0,YEAR($F261)&lt;Preisindex!$A$6,YEAR(DL$4)&gt;=YEAR($F261),$K261="a"),ROUND(VLOOKUP(DQ$4,Preisindex,5,FALSE)/VLOOKUP(Preisindex!$A$6,Preisindex,5,FALSE),2),IF(AND($E261&lt;&gt;0,$F261&gt;0,YEAR($F261)&lt;Preisindex!$A$6,YEAR(DL$4)&gt;=YEAR($F261),$K261="b"),ROUND(VLOOKUP(DQ$4,Preisindex,3,FALSE)/VLOOKUP(Preisindex!$A$6,Preisindex,3,FALSE),2),IF(AND($E261&lt;&gt;0,$F261&gt;0,YEAR($F261)&lt;Preisindex!$A$6,YEAR(DL$4)&gt;=YEAR($F261),$K261="g"),ROUND(VLOOKUP(DQ$4,Preisindex,4,FALSE)/VLOOKUP(Preisindex!$A$6,Preisindex,4,FALSE),2),IF(AND($E261&lt;&gt;0,$F261&gt;0,YEAR($F261)&lt;Preisindex!$A$6,YEAR(DL$4)&gt;=YEAR($F261),$K261="k"),ROUND(VLOOKUP(DQ$4,Preisindex,2,FALSE)/VLOOKUP(Preisindex!$A$6,Preisindex,2,FALSE),2),0)))))</f>
        <v>0</v>
      </c>
      <c r="DS261" s="51">
        <f>IF(AND($E261&lt;&gt;0,$F261&gt;0,YEAR($F261)&lt;=DQ$4,YEAR($F261)&gt;=Preisindex!$A$6),ROUND($E261*DQ261,2),IF(AND($E261&lt;&gt;0,$F261&gt;0,YEAR($F261)&lt;=DQ$4,YEAR($F261)&lt;Preisindex!$A$6),ROUND($E261*DR261,2),0))</f>
        <v>0</v>
      </c>
      <c r="DT261" s="53">
        <f t="shared" ref="DT261:DT319" si="795">IF(AND(DJ261&lt;&gt;0,DJ261=$M261),DS261*$L261,IF(AND(DJ261&lt;&gt;0,DJ261&lt;&gt;$M261),DS261*($L261*(DJ261/$M261)),0))</f>
        <v>0</v>
      </c>
      <c r="DU261" s="51">
        <f t="shared" si="787"/>
        <v>0</v>
      </c>
      <c r="DV261" s="51">
        <f t="shared" si="735"/>
        <v>0</v>
      </c>
      <c r="DW261" s="51">
        <f t="shared" ref="DW261:DW319" si="796">IF(DU261&lt;&gt;0,ROUND(DU261*YEARFRAC($F261,EC$4,0),2),0)</f>
        <v>0</v>
      </c>
      <c r="DX261" s="51">
        <f t="shared" si="736"/>
        <v>0</v>
      </c>
      <c r="DY261" s="51">
        <f t="shared" ref="DY261:DY319" si="797">IF(AND($F261&gt;0,$F261&lt;=EC$4),$E261,0)</f>
        <v>0</v>
      </c>
      <c r="DZ261" s="51">
        <f t="shared" si="737"/>
        <v>0</v>
      </c>
      <c r="EA261" s="51">
        <f t="shared" ref="EA261:EA319" si="798">IF(AND(YEAR($F261)=YEAR(EC$4),$E261&lt;1000,$E261&gt;-1000,$F261&gt;0,$L261=1),$E261-$I261,IF(AND(YEAR($F261)=YEAR(EC$4),$F261&gt;0,$L261&gt;0),ROUND(($M261/12)*(13-MONTH($F261)),2),IF(AND(YEAR($F261)&lt;YEAR(EC$4),$E261&gt;0,$F261&gt;0,$L261&gt;0,DL261&gt;$M261+$I261),$M261,IF(AND(YEAR($F261)&lt;YEAR(EC$4),$E261&gt;0,$F261&gt;0,$L261&gt;0,DL261&gt;0,DL261&lt;=$M261+$I261),DL261-$I261,IF(AND(YEAR($F261)&lt;YEAR(EC$4),$E261&lt;0,$F261&gt;0,$L261&gt;0,DL261&lt;0,DL261&lt;=$M261),$M261,IF(AND(YEAR($F261)&lt;YEAR(EC$4),$E261&lt;0,$F261&gt;0,$L261&gt;0,DL261&lt;0,DL261&gt;$M261),DL261,0))))))</f>
        <v>0</v>
      </c>
      <c r="EB261" s="51">
        <f t="shared" si="738"/>
        <v>0</v>
      </c>
      <c r="EC261" s="51">
        <f t="shared" ref="EC261:EC319" si="799">IF(AND(YEAR(EC$4)=YEAR($F261),$E261&gt;0,$F261&gt;0,$E261-EA261&gt;=0),$E261-EA261,IF(AND(YEAR(EC$4)&gt;YEAR($F261),$E261&gt;0,$F261&gt;0,DL261-EA261&gt;=0),DL261-EA261,IF(AND(YEAR(EC$4)=YEAR($F261),$E261&lt;0,$F261&gt;0,$E261-EA261&lt;0),$E261-EA261,IF(AND(YEAR(EC$4)&gt;YEAR($F261),$E261&lt;0,$F261&gt;0,DL261-EA261&lt;=0),DL261-EA261,0))))</f>
        <v>0</v>
      </c>
      <c r="ED261" s="51">
        <f t="shared" si="739"/>
        <v>0</v>
      </c>
      <c r="EE261" s="51">
        <f t="shared" ref="EE261:EE319" si="800">DN261+EA261</f>
        <v>0</v>
      </c>
      <c r="EF261" s="54">
        <f t="shared" ref="EF261:EF319" si="801">IF(AND(DU261&lt;&gt;0,$J261="H",$M261=0),DW261,IF(AND(YEAR(EC$4)&gt;YEAR($F261),$J261="H",$F261&gt;0,$M261=0),$E261,0))</f>
        <v>0</v>
      </c>
      <c r="EG261" s="55">
        <f t="shared" ref="EG261:EG319" si="802">IF(AND(YEAR(EC$4)&gt;=YEAR($F261),$E261&gt;0,$F261&gt;0,EA261&gt;0,$J261="H"),ROUND(EA261/$M261*$E261,2),IF(AND(YEAR(EC$4)&gt;=YEAR($F261),$E261&lt;0,$F261&gt;0,EA261&lt;0,$J261="H"),ROUND(EA261/$M261*$E261,2),0))</f>
        <v>0</v>
      </c>
      <c r="EH261" s="56">
        <f>IF(AND($E261&lt;&gt;0,$F261&gt;0,YEAR($F261)&gt;=Preisindex!$A$6,YEAR(EC$4)&gt;=YEAR($F261),AND($K261&lt;&gt;"a",$K261&lt;&gt;"b",$K261&lt;&gt;"g",$K261&lt;&gt;"k")),1,IF(AND($E261&lt;&gt;0,$F261&gt;0,YEAR($F261)&gt;=Preisindex!$A$6,YEAR(EC$4)&gt;=YEAR($F261),$K261="a"),ROUND(VLOOKUP(EH$4,Preisindex,5,FALSE)/VLOOKUP(YEAR($F261),Preisindex,5,FALSE),2),IF(AND($E261&lt;&gt;0,$F261&gt;0,YEAR($F261)&gt;=Preisindex!$A$6,YEAR(EC$4)&gt;=YEAR($F261),$K261="b"),ROUND(VLOOKUP(EH$4,Preisindex,3,FALSE)/VLOOKUP(YEAR($F261),Preisindex,3,FALSE),2),IF(AND($E261&lt;&gt;0,$F261&gt;0,YEAR($F261)&gt;=Preisindex!$A$6,YEAR(EC$4)&gt;=YEAR($F261),$K261="g"),ROUND(VLOOKUP(EH$4,Preisindex,4,FALSE)/VLOOKUP(YEAR($F261),Preisindex,4,FALSE),2),IF(AND($E261&lt;&gt;0,$F261&gt;0,YEAR($F261)&gt;=Preisindex!$A$6,YEAR(EC$4)&gt;=YEAR($F261),$K261="k"),ROUND(VLOOKUP(EH$4,Preisindex,2,FALSE)/VLOOKUP(YEAR($F261),Preisindex,2,FALSE),2),0)))))</f>
        <v>0</v>
      </c>
      <c r="EI261" s="56">
        <f>IF(AND($E261&lt;&gt;0,$F261&gt;0,YEAR($F261)&lt;Preisindex!$A$6,YEAR(EC$4)&gt;=YEAR($F261),AND($K261&lt;&gt;"a",$K261&lt;&gt;"b",$K261&lt;&gt;"g",$K261&lt;&gt;"k")),1,IF(AND($E261&lt;&gt;0,$F261&gt;0,YEAR($F261)&lt;Preisindex!$A$6,YEAR(EC$4)&gt;=YEAR($F261),$K261="a"),ROUND(VLOOKUP(EH$4,Preisindex,5,FALSE)/VLOOKUP(Preisindex!$A$6,Preisindex,5,FALSE),2),IF(AND($E261&lt;&gt;0,$F261&gt;0,YEAR($F261)&lt;Preisindex!$A$6,YEAR(EC$4)&gt;=YEAR($F261),$K261="b"),ROUND(VLOOKUP(EH$4,Preisindex,3,FALSE)/VLOOKUP(Preisindex!$A$6,Preisindex,3,FALSE),2),IF(AND($E261&lt;&gt;0,$F261&gt;0,YEAR($F261)&lt;Preisindex!$A$6,YEAR(EC$4)&gt;=YEAR($F261),$K261="g"),ROUND(VLOOKUP(EH$4,Preisindex,4,FALSE)/VLOOKUP(Preisindex!$A$6,Preisindex,4,FALSE),2),IF(AND($E261&lt;&gt;0,$F261&gt;0,YEAR($F261)&lt;Preisindex!$A$6,YEAR(EC$4)&gt;=YEAR($F261),$K261="k"),ROUND(VLOOKUP(EH$4,Preisindex,2,FALSE)/VLOOKUP(Preisindex!$A$6,Preisindex,2,FALSE),2),0)))))</f>
        <v>0</v>
      </c>
      <c r="EJ261" s="51">
        <f>IF(AND($E261&lt;&gt;0,$F261&gt;0,YEAR($F261)&lt;=EH$4,YEAR($F261)&gt;=Preisindex!$A$6),ROUND($E261*EH261,2),IF(AND($E261&lt;&gt;0,$F261&gt;0,YEAR($F261)&lt;=EH$4,YEAR($F261)&lt;Preisindex!$A$6),ROUND($E261*EI261,2),0))</f>
        <v>0</v>
      </c>
      <c r="EK261" s="53">
        <f t="shared" ref="EK261:EK319" si="803">IF(AND(EA261&lt;&gt;0,EA261=$M261),EJ261*$L261,IF(AND(EA261&lt;&gt;0,EA261&lt;&gt;$M261),EJ261*($L261*(EA261/$M261)),0))</f>
        <v>0</v>
      </c>
      <c r="EL261" s="51">
        <f t="shared" si="787"/>
        <v>0</v>
      </c>
      <c r="EM261" s="51">
        <f t="shared" si="740"/>
        <v>0</v>
      </c>
      <c r="EN261" s="51">
        <f t="shared" ref="EN261:EN319" si="804">IF(EL261&lt;&gt;0,ROUND(EL261*YEARFRAC($F261,ET$4,0),2),0)</f>
        <v>0</v>
      </c>
      <c r="EO261" s="51">
        <f t="shared" si="741"/>
        <v>0</v>
      </c>
      <c r="EP261" s="51">
        <f t="shared" ref="EP261:EP319" si="805">IF(AND($F261&gt;0,$F261&lt;=ET$4),$E261,0)</f>
        <v>0</v>
      </c>
      <c r="EQ261" s="51">
        <f t="shared" si="742"/>
        <v>0</v>
      </c>
      <c r="ER261" s="51">
        <f t="shared" ref="ER261:ER319" si="806">IF(AND(YEAR($F261)=YEAR(ET$4),$E261&lt;1000,$E261&gt;-1000,$F261&gt;0,$L261=1),$E261-$I261,IF(AND(YEAR($F261)=YEAR(ET$4),$F261&gt;0,$L261&gt;0),ROUND(($M261/12)*(13-MONTH($F261)),2),IF(AND(YEAR($F261)&lt;YEAR(ET$4),$E261&gt;0,$F261&gt;0,$L261&gt;0,EC261&gt;$M261+$I261),$M261,IF(AND(YEAR($F261)&lt;YEAR(ET$4),$E261&gt;0,$F261&gt;0,$L261&gt;0,EC261&gt;0,EC261&lt;=$M261+$I261),EC261-$I261,IF(AND(YEAR($F261)&lt;YEAR(ET$4),$E261&lt;0,$F261&gt;0,$L261&gt;0,EC261&lt;0,EC261&lt;=$M261),$M261,IF(AND(YEAR($F261)&lt;YEAR(ET$4),$E261&lt;0,$F261&gt;0,$L261&gt;0,EC261&lt;0,EC261&gt;$M261),EC261,0))))))</f>
        <v>0</v>
      </c>
      <c r="ES261" s="51">
        <f t="shared" si="743"/>
        <v>0</v>
      </c>
      <c r="ET261" s="51">
        <f t="shared" ref="ET261:ET319" si="807">IF(AND(YEAR(ET$4)=YEAR($F261),$E261&gt;0,$F261&gt;0,$E261-ER261&gt;=0),$E261-ER261,IF(AND(YEAR(ET$4)&gt;YEAR($F261),$E261&gt;0,$F261&gt;0,EC261-ER261&gt;=0),EC261-ER261,IF(AND(YEAR(ET$4)=YEAR($F261),$E261&lt;0,$F261&gt;0,$E261-ER261&lt;0),$E261-ER261,IF(AND(YEAR(ET$4)&gt;YEAR($F261),$E261&lt;0,$F261&gt;0,EC261-ER261&lt;=0),EC261-ER261,0))))</f>
        <v>0</v>
      </c>
      <c r="EU261" s="51">
        <f t="shared" si="744"/>
        <v>0</v>
      </c>
      <c r="EV261" s="51">
        <f t="shared" ref="EV261:EV319" si="808">EE261+ER261</f>
        <v>0</v>
      </c>
      <c r="EW261" s="54">
        <f t="shared" ref="EW261:EW319" si="809">IF(AND(EL261&lt;&gt;0,$J261="H",$M261=0),EN261,IF(AND(YEAR(ET$4)&gt;YEAR($F261),$J261="H",$F261&gt;0,$M261=0),$E261,0))</f>
        <v>0</v>
      </c>
      <c r="EX261" s="55">
        <f t="shared" ref="EX261:EX319" si="810">IF(AND(YEAR(ET$4)&gt;=YEAR($F261),$E261&gt;0,$F261&gt;0,ER261&gt;0,$J261="H"),ROUND(ER261/$M261*$E261,2),IF(AND(YEAR(ET$4)&gt;=YEAR($F261),$E261&lt;0,$F261&gt;0,ER261&lt;0,$J261="H"),ROUND(ER261/$M261*$E261,2),0))</f>
        <v>0</v>
      </c>
      <c r="EY261" s="56">
        <f>IF(AND($E261&lt;&gt;0,$F261&gt;0,YEAR($F261)&gt;=Preisindex!$A$6,YEAR(ET$4)&gt;=YEAR($F261),AND($K261&lt;&gt;"a",$K261&lt;&gt;"b",$K261&lt;&gt;"g",$K261&lt;&gt;"k")),1,IF(AND($E261&lt;&gt;0,$F261&gt;0,YEAR($F261)&gt;=Preisindex!$A$6,YEAR(ET$4)&gt;=YEAR($F261),$K261="a"),ROUND(VLOOKUP(EY$4,Preisindex,5,FALSE)/VLOOKUP(YEAR($F261),Preisindex,5,FALSE),2),IF(AND($E261&lt;&gt;0,$F261&gt;0,YEAR($F261)&gt;=Preisindex!$A$6,YEAR(ET$4)&gt;=YEAR($F261),$K261="b"),ROUND(VLOOKUP(EY$4,Preisindex,3,FALSE)/VLOOKUP(YEAR($F261),Preisindex,3,FALSE),2),IF(AND($E261&lt;&gt;0,$F261&gt;0,YEAR($F261)&gt;=Preisindex!$A$6,YEAR(ET$4)&gt;=YEAR($F261),$K261="g"),ROUND(VLOOKUP(EY$4,Preisindex,4,FALSE)/VLOOKUP(YEAR($F261),Preisindex,4,FALSE),2),IF(AND($E261&lt;&gt;0,$F261&gt;0,YEAR($F261)&gt;=Preisindex!$A$6,YEAR(ET$4)&gt;=YEAR($F261),$K261="k"),ROUND(VLOOKUP(EY$4,Preisindex,2,FALSE)/VLOOKUP(YEAR($F261),Preisindex,2,FALSE),2),0)))))</f>
        <v>0</v>
      </c>
      <c r="EZ261" s="56">
        <f>IF(AND($E261&lt;&gt;0,$F261&gt;0,YEAR($F261)&lt;Preisindex!$A$6,YEAR(ET$4)&gt;=YEAR($F261),AND($K261&lt;&gt;"a",$K261&lt;&gt;"b",$K261&lt;&gt;"g",$K261&lt;&gt;"k")),1,IF(AND($E261&lt;&gt;0,$F261&gt;0,YEAR($F261)&lt;Preisindex!$A$6,YEAR(ET$4)&gt;=YEAR($F261),$K261="a"),ROUND(VLOOKUP(EY$4,Preisindex,5,FALSE)/VLOOKUP(Preisindex!$A$6,Preisindex,5,FALSE),2),IF(AND($E261&lt;&gt;0,$F261&gt;0,YEAR($F261)&lt;Preisindex!$A$6,YEAR(ET$4)&gt;=YEAR($F261),$K261="b"),ROUND(VLOOKUP(EY$4,Preisindex,3,FALSE)/VLOOKUP(Preisindex!$A$6,Preisindex,3,FALSE),2),IF(AND($E261&lt;&gt;0,$F261&gt;0,YEAR($F261)&lt;Preisindex!$A$6,YEAR(ET$4)&gt;=YEAR($F261),$K261="g"),ROUND(VLOOKUP(EY$4,Preisindex,4,FALSE)/VLOOKUP(Preisindex!$A$6,Preisindex,4,FALSE),2),IF(AND($E261&lt;&gt;0,$F261&gt;0,YEAR($F261)&lt;Preisindex!$A$6,YEAR(ET$4)&gt;=YEAR($F261),$K261="k"),ROUND(VLOOKUP(EY$4,Preisindex,2,FALSE)/VLOOKUP(Preisindex!$A$6,Preisindex,2,FALSE),2),0)))))</f>
        <v>0</v>
      </c>
      <c r="FA261" s="51">
        <f>IF(AND($E261&lt;&gt;0,$F261&gt;0,YEAR($F261)&lt;=EY$4,YEAR($F261)&gt;=Preisindex!$A$6),ROUND($E261*EY261,2),IF(AND($E261&lt;&gt;0,$F261&gt;0,YEAR($F261)&lt;=EY$4,YEAR($F261)&lt;Preisindex!$A$6),ROUND($E261*EZ261,2),0))</f>
        <v>0</v>
      </c>
      <c r="FB261" s="53">
        <f t="shared" ref="FB261:FB319" si="811">IF(AND(ER261&lt;&gt;0,ER261=$M261),FA261*$L261,IF(AND(ER261&lt;&gt;0,ER261&lt;&gt;$M261),FA261*($L261*(ER261/$M261)),0))</f>
        <v>0</v>
      </c>
      <c r="FC261" s="51">
        <f t="shared" si="787"/>
        <v>0</v>
      </c>
      <c r="FD261" s="51">
        <f t="shared" si="745"/>
        <v>0</v>
      </c>
      <c r="FE261" s="51">
        <f t="shared" ref="FE261:FE319" si="812">IF(FC261&lt;&gt;0,ROUND(FC261*YEARFRAC($F261,FK$4,0),2),0)</f>
        <v>0</v>
      </c>
      <c r="FF261" s="51">
        <f t="shared" si="746"/>
        <v>0</v>
      </c>
      <c r="FG261" s="51">
        <f t="shared" ref="FG261:FG319" si="813">IF(AND($F261&gt;0,$F261&lt;=FK$4),$E261,0)</f>
        <v>0</v>
      </c>
      <c r="FH261" s="51">
        <f t="shared" si="747"/>
        <v>0</v>
      </c>
      <c r="FI261" s="51">
        <f t="shared" ref="FI261:FI319" si="814">IF(AND(YEAR($F261)=YEAR(FK$4),$E261&lt;1000,$E261&gt;-1000,$F261&gt;0,$L261=1),$E261-$I261,IF(AND(YEAR($F261)=YEAR(FK$4),$F261&gt;0,$L261&gt;0),ROUND(($M261/12)*(13-MONTH($F261)),2),IF(AND(YEAR($F261)&lt;YEAR(FK$4),$E261&gt;0,$F261&gt;0,$L261&gt;0,ET261&gt;$M261+$I261),$M261,IF(AND(YEAR($F261)&lt;YEAR(FK$4),$E261&gt;0,$F261&gt;0,$L261&gt;0,ET261&gt;0,ET261&lt;=$M261+$I261),ET261-$I261,IF(AND(YEAR($F261)&lt;YEAR(FK$4),$E261&lt;0,$F261&gt;0,$L261&gt;0,ET261&lt;0,ET261&lt;=$M261),$M261,IF(AND(YEAR($F261)&lt;YEAR(FK$4),$E261&lt;0,$F261&gt;0,$L261&gt;0,ET261&lt;0,ET261&gt;$M261),ET261,0))))))</f>
        <v>0</v>
      </c>
      <c r="FJ261" s="51">
        <f t="shared" si="748"/>
        <v>0</v>
      </c>
      <c r="FK261" s="51">
        <f t="shared" ref="FK261:FK319" si="815">IF(AND(YEAR(FK$4)=YEAR($F261),$E261&gt;0,$F261&gt;0,$E261-FI261&gt;=0),$E261-FI261,IF(AND(YEAR(FK$4)&gt;YEAR($F261),$E261&gt;0,$F261&gt;0,ET261-FI261&gt;=0),ET261-FI261,IF(AND(YEAR(FK$4)=YEAR($F261),$E261&lt;0,$F261&gt;0,$E261-FI261&lt;0),$E261-FI261,IF(AND(YEAR(FK$4)&gt;YEAR($F261),$E261&lt;0,$F261&gt;0,ET261-FI261&lt;=0),ET261-FI261,0))))</f>
        <v>0</v>
      </c>
      <c r="FL261" s="51">
        <f t="shared" si="749"/>
        <v>0</v>
      </c>
      <c r="FM261" s="51">
        <f t="shared" ref="FM261:FM319" si="816">EV261+FI261</f>
        <v>0</v>
      </c>
      <c r="FN261" s="54">
        <f t="shared" ref="FN261:FN319" si="817">IF(AND(FC261&lt;&gt;0,$J261="H",$M261=0),FE261,IF(AND(YEAR(FK$4)&gt;YEAR($F261),$J261="H",$F261&gt;0,$M261=0),$E261,0))</f>
        <v>0</v>
      </c>
      <c r="FO261" s="55">
        <f t="shared" ref="FO261:FO319" si="818">IF(AND(YEAR(FK$4)&gt;=YEAR($F261),$E261&gt;0,$F261&gt;0,FI261&gt;0,$J261="H"),ROUND(FI261/$M261*$E261,2),IF(AND(YEAR(FK$4)&gt;=YEAR($F261),$E261&lt;0,$F261&gt;0,FI261&lt;0,$J261="H"),ROUND(FI261/$M261*$E261,2),0))</f>
        <v>0</v>
      </c>
      <c r="FP261" s="56">
        <f>IF(AND($E261&lt;&gt;0,$F261&gt;0,YEAR($F261)&gt;=Preisindex!$A$6,YEAR(FK$4)&gt;=YEAR($F261),AND($K261&lt;&gt;"a",$K261&lt;&gt;"b",$K261&lt;&gt;"g",$K261&lt;&gt;"k")),1,IF(AND($E261&lt;&gt;0,$F261&gt;0,YEAR($F261)&gt;=Preisindex!$A$6,YEAR(FK$4)&gt;=YEAR($F261),$K261="a"),ROUND(VLOOKUP(FP$4,Preisindex,5,FALSE)/VLOOKUP(YEAR($F261),Preisindex,5,FALSE),2),IF(AND($E261&lt;&gt;0,$F261&gt;0,YEAR($F261)&gt;=Preisindex!$A$6,YEAR(FK$4)&gt;=YEAR($F261),$K261="b"),ROUND(VLOOKUP(FP$4,Preisindex,3,FALSE)/VLOOKUP(YEAR($F261),Preisindex,3,FALSE),2),IF(AND($E261&lt;&gt;0,$F261&gt;0,YEAR($F261)&gt;=Preisindex!$A$6,YEAR(FK$4)&gt;=YEAR($F261),$K261="g"),ROUND(VLOOKUP(FP$4,Preisindex,4,FALSE)/VLOOKUP(YEAR($F261),Preisindex,4,FALSE),2),IF(AND($E261&lt;&gt;0,$F261&gt;0,YEAR($F261)&gt;=Preisindex!$A$6,YEAR(FK$4)&gt;=YEAR($F261),$K261="k"),ROUND(VLOOKUP(FP$4,Preisindex,2,FALSE)/VLOOKUP(YEAR($F261),Preisindex,2,FALSE),2),0)))))</f>
        <v>0</v>
      </c>
      <c r="FQ261" s="56">
        <f>IF(AND($E261&lt;&gt;0,$F261&gt;0,YEAR($F261)&lt;Preisindex!$A$6,YEAR(FK$4)&gt;=YEAR($F261),AND($K261&lt;&gt;"a",$K261&lt;&gt;"b",$K261&lt;&gt;"g",$K261&lt;&gt;"k")),1,IF(AND($E261&lt;&gt;0,$F261&gt;0,YEAR($F261)&lt;Preisindex!$A$6,YEAR(FK$4)&gt;=YEAR($F261),$K261="a"),ROUND(VLOOKUP(FP$4,Preisindex,5,FALSE)/VLOOKUP(Preisindex!$A$6,Preisindex,5,FALSE),2),IF(AND($E261&lt;&gt;0,$F261&gt;0,YEAR($F261)&lt;Preisindex!$A$6,YEAR(FK$4)&gt;=YEAR($F261),$K261="b"),ROUND(VLOOKUP(FP$4,Preisindex,3,FALSE)/VLOOKUP(Preisindex!$A$6,Preisindex,3,FALSE),2),IF(AND($E261&lt;&gt;0,$F261&gt;0,YEAR($F261)&lt;Preisindex!$A$6,YEAR(FK$4)&gt;=YEAR($F261),$K261="g"),ROUND(VLOOKUP(FP$4,Preisindex,4,FALSE)/VLOOKUP(Preisindex!$A$6,Preisindex,4,FALSE),2),IF(AND($E261&lt;&gt;0,$F261&gt;0,YEAR($F261)&lt;Preisindex!$A$6,YEAR(FK$4)&gt;=YEAR($F261),$K261="k"),ROUND(VLOOKUP(FP$4,Preisindex,2,FALSE)/VLOOKUP(Preisindex!$A$6,Preisindex,2,FALSE),2),0)))))</f>
        <v>0</v>
      </c>
      <c r="FR261" s="51">
        <f>IF(AND($E261&lt;&gt;0,$F261&gt;0,YEAR($F261)&lt;=FP$4,YEAR($F261)&gt;=Preisindex!$A$6),ROUND($E261*FP261,2),IF(AND($E261&lt;&gt;0,$F261&gt;0,YEAR($F261)&lt;=FP$4,YEAR($F261)&lt;Preisindex!$A$6),ROUND($E261*FQ261,2),0))</f>
        <v>0</v>
      </c>
      <c r="FS261" s="53">
        <f t="shared" ref="FS261:FS319" si="819">IF(AND(FI261&lt;&gt;0,FI261=$M261),FR261*$L261,IF(AND(FI261&lt;&gt;0,FI261&lt;&gt;$M261),FR261*($L261*(FI261/$M261)),0))</f>
        <v>0</v>
      </c>
    </row>
    <row r="262" spans="1:175" x14ac:dyDescent="0.3">
      <c r="A262" s="185"/>
      <c r="B262" s="186"/>
      <c r="C262" s="187"/>
      <c r="D262" s="188"/>
      <c r="E262" s="189"/>
      <c r="F262" s="190"/>
      <c r="G262" s="191"/>
      <c r="H262" s="192"/>
      <c r="I262" s="193"/>
      <c r="J262" s="194"/>
      <c r="K262" s="630"/>
      <c r="L262" s="49">
        <f t="shared" si="689"/>
        <v>0</v>
      </c>
      <c r="M262" s="50">
        <f t="shared" si="690"/>
        <v>0</v>
      </c>
      <c r="N262" s="51">
        <f t="shared" si="691"/>
        <v>0</v>
      </c>
      <c r="O262" s="51"/>
      <c r="P262" s="51">
        <f t="shared" si="692"/>
        <v>0</v>
      </c>
      <c r="Q262" s="52"/>
      <c r="R262" s="52"/>
      <c r="S262" s="52"/>
      <c r="T262" s="52"/>
      <c r="U262" s="52"/>
      <c r="V262" s="53">
        <f t="shared" si="693"/>
        <v>0</v>
      </c>
      <c r="W262" s="51">
        <f t="shared" si="694"/>
        <v>0</v>
      </c>
      <c r="X262" s="51">
        <f t="shared" si="695"/>
        <v>0</v>
      </c>
      <c r="Y262" s="51">
        <f t="shared" si="696"/>
        <v>0</v>
      </c>
      <c r="Z262" s="51">
        <f t="shared" si="697"/>
        <v>0</v>
      </c>
      <c r="AA262" s="51">
        <f t="shared" si="698"/>
        <v>0</v>
      </c>
      <c r="AB262" s="51">
        <f t="shared" si="699"/>
        <v>0</v>
      </c>
      <c r="AC262" s="51">
        <f t="shared" si="700"/>
        <v>0</v>
      </c>
      <c r="AD262" s="51">
        <f t="shared" si="701"/>
        <v>0</v>
      </c>
      <c r="AE262" s="51">
        <f t="shared" si="702"/>
        <v>0</v>
      </c>
      <c r="AF262" s="51">
        <f t="shared" si="703"/>
        <v>0</v>
      </c>
      <c r="AG262" s="51">
        <f t="shared" si="704"/>
        <v>0</v>
      </c>
      <c r="AH262" s="54">
        <f t="shared" si="705"/>
        <v>0</v>
      </c>
      <c r="AI262" s="55">
        <f t="shared" si="706"/>
        <v>0</v>
      </c>
      <c r="AJ262" s="56">
        <f>IF(AND($E262&lt;&gt;0,$F262&gt;0,YEAR($F262)&gt;=Preisindex!$A$6,YEAR(AE$4)&gt;=YEAR($F262),AND($K262&lt;&gt;"a",$K262&lt;&gt;"b",$K262&lt;&gt;"g",$K262&lt;&gt;"k")),1,IF(AND($E262&lt;&gt;0,$F262&gt;0,YEAR($F262)&gt;=Preisindex!$A$6,YEAR(AE$4)&gt;=YEAR($F262),$K262="a"),ROUND(VLOOKUP(AJ$4,Preisindex,5,FALSE)/VLOOKUP(YEAR($F262),Preisindex,5,FALSE),2),IF(AND($E262&lt;&gt;0,$F262&gt;0,YEAR($F262)&gt;=Preisindex!$A$6,YEAR(AE$4)&gt;=YEAR($F262),$K262="b"),ROUND(VLOOKUP(AJ$4,Preisindex,3,FALSE)/VLOOKUP(YEAR($F262),Preisindex,3,FALSE),2),IF(AND($E262&lt;&gt;0,$F262&gt;0,YEAR($F262)&gt;=Preisindex!$A$6,YEAR(AE$4)&gt;=YEAR($F262),$K262="g"),ROUND(VLOOKUP(AJ$4,Preisindex,4,FALSE)/VLOOKUP(YEAR($F262),Preisindex,4,FALSE),2),IF(AND($E262&lt;&gt;0,$F262&gt;0,YEAR($F262)&gt;=Preisindex!$A$6,YEAR(AE$4)&gt;=YEAR($F262),$K262="k"),ROUND(VLOOKUP(AJ$4,Preisindex,2,FALSE)/VLOOKUP(YEAR($F262),Preisindex,2,FALSE),2),0)))))</f>
        <v>0</v>
      </c>
      <c r="AK262" s="56">
        <f>IF(AND($E262&lt;&gt;0,$F262&gt;0,YEAR($F262)&lt;Preisindex!$A$6,YEAR(AE$4)&gt;=YEAR($F262),AND($K262&lt;&gt;"a",$K262&lt;&gt;"b",$K262&lt;&gt;"g",$K262&lt;&gt;"k")),1,IF(AND($E262&lt;&gt;0,$F262&gt;0,YEAR($F262)&lt;Preisindex!$A$6,YEAR(AE$4)&gt;=YEAR($F262),$K262="a"),ROUND(VLOOKUP(AJ$4,Preisindex,5,FALSE)/VLOOKUP(Preisindex!$A$6,Preisindex,5,FALSE),2),IF(AND($E262&lt;&gt;0,$F262&gt;0,YEAR($F262)&lt;Preisindex!$A$6,YEAR(AE$4)&gt;=YEAR($F262),$K262="b"),ROUND(VLOOKUP(AJ$4,Preisindex,3,FALSE)/VLOOKUP(Preisindex!$A$6,Preisindex,3,FALSE),2),IF(AND($E262&lt;&gt;0,$F262&gt;0,YEAR($F262)&lt;Preisindex!$A$6,YEAR(AE$4)&gt;=YEAR($F262),$K262="g"),ROUND(VLOOKUP(AJ$4,Preisindex,4,FALSE)/VLOOKUP(Preisindex!$A$6,Preisindex,4,FALSE),2),IF(AND($E262&lt;&gt;0,$F262&gt;0,YEAR($F262)&lt;Preisindex!$A$6,YEAR(AE$4)&gt;=YEAR($F262),$K262="k"),ROUND(VLOOKUP(AJ$4,Preisindex,2,FALSE)/VLOOKUP(Preisindex!$A$6,Preisindex,2,FALSE),2),0)))))</f>
        <v>0</v>
      </c>
      <c r="AL262" s="51">
        <f>IF(AND($E262&lt;&gt;0,$F262&gt;0,YEAR($F262)&lt;=AJ$4,YEAR($F262)&gt;=Preisindex!$A$6),ROUND($E262*AJ262,2),IF(AND($E262&lt;&gt;0,$F262&gt;0,YEAR($F262)&lt;=AJ$4,YEAR($F262)&lt;Preisindex!$A$6),ROUND($E262*AK262,2),0))</f>
        <v>0</v>
      </c>
      <c r="AM262" s="53">
        <f t="shared" si="707"/>
        <v>0</v>
      </c>
      <c r="AN262" s="51">
        <f t="shared" si="754"/>
        <v>0</v>
      </c>
      <c r="AO262" s="51">
        <f t="shared" si="710"/>
        <v>0</v>
      </c>
      <c r="AP262" s="51">
        <f t="shared" si="755"/>
        <v>0</v>
      </c>
      <c r="AQ262" s="51">
        <f t="shared" si="711"/>
        <v>0</v>
      </c>
      <c r="AR262" s="51">
        <f t="shared" si="756"/>
        <v>0</v>
      </c>
      <c r="AS262" s="51">
        <f t="shared" si="712"/>
        <v>0</v>
      </c>
      <c r="AT262" s="51">
        <f t="shared" si="757"/>
        <v>0</v>
      </c>
      <c r="AU262" s="51">
        <f t="shared" si="713"/>
        <v>0</v>
      </c>
      <c r="AV262" s="51">
        <f t="shared" si="758"/>
        <v>0</v>
      </c>
      <c r="AW262" s="51">
        <f t="shared" si="714"/>
        <v>0</v>
      </c>
      <c r="AX262" s="51">
        <f t="shared" si="759"/>
        <v>0</v>
      </c>
      <c r="AY262" s="54">
        <f t="shared" si="760"/>
        <v>0</v>
      </c>
      <c r="AZ262" s="55">
        <f t="shared" si="761"/>
        <v>0</v>
      </c>
      <c r="BA262" s="56">
        <f>IF(AND($E262&lt;&gt;0,$F262&gt;0,YEAR($F262)&gt;=Preisindex!$A$6,YEAR(AV$4)&gt;=YEAR($F262),AND($K262&lt;&gt;"a",$K262&lt;&gt;"b",$K262&lt;&gt;"g",$K262&lt;&gt;"k")),1,IF(AND($E262&lt;&gt;0,$F262&gt;0,YEAR($F262)&gt;=Preisindex!$A$6,YEAR(AV$4)&gt;=YEAR($F262),$K262="a"),ROUND(VLOOKUP(BA$4,Preisindex,5,FALSE)/VLOOKUP(YEAR($F262),Preisindex,5,FALSE),2),IF(AND($E262&lt;&gt;0,$F262&gt;0,YEAR($F262)&gt;=Preisindex!$A$6,YEAR(AV$4)&gt;=YEAR($F262),$K262="b"),ROUND(VLOOKUP(BA$4,Preisindex,3,FALSE)/VLOOKUP(YEAR($F262),Preisindex,3,FALSE),2),IF(AND($E262&lt;&gt;0,$F262&gt;0,YEAR($F262)&gt;=Preisindex!$A$6,YEAR(AV$4)&gt;=YEAR($F262),$K262="g"),ROUND(VLOOKUP(BA$4,Preisindex,4,FALSE)/VLOOKUP(YEAR($F262),Preisindex,4,FALSE),2),IF(AND($E262&lt;&gt;0,$F262&gt;0,YEAR($F262)&gt;=Preisindex!$A$6,YEAR(AV$4)&gt;=YEAR($F262),$K262="k"),ROUND(VLOOKUP(BA$4,Preisindex,2,FALSE)/VLOOKUP(YEAR($F262),Preisindex,2,FALSE),2),0)))))</f>
        <v>0</v>
      </c>
      <c r="BB262" s="56">
        <f>IF(AND($E262&lt;&gt;0,$F262&gt;0,YEAR($F262)&lt;Preisindex!$A$6,YEAR(AV$4)&gt;=YEAR($F262),AND($K262&lt;&gt;"a",$K262&lt;&gt;"b",$K262&lt;&gt;"g",$K262&lt;&gt;"k")),1,IF(AND($E262&lt;&gt;0,$F262&gt;0,YEAR($F262)&lt;Preisindex!$A$6,YEAR(AV$4)&gt;=YEAR($F262),$K262="a"),ROUND(VLOOKUP(BA$4,Preisindex,5,FALSE)/VLOOKUP(Preisindex!$A$6,Preisindex,5,FALSE),2),IF(AND($E262&lt;&gt;0,$F262&gt;0,YEAR($F262)&lt;Preisindex!$A$6,YEAR(AV$4)&gt;=YEAR($F262),$K262="b"),ROUND(VLOOKUP(BA$4,Preisindex,3,FALSE)/VLOOKUP(Preisindex!$A$6,Preisindex,3,FALSE),2),IF(AND($E262&lt;&gt;0,$F262&gt;0,YEAR($F262)&lt;Preisindex!$A$6,YEAR(AV$4)&gt;=YEAR($F262),$K262="g"),ROUND(VLOOKUP(BA$4,Preisindex,4,FALSE)/VLOOKUP(Preisindex!$A$6,Preisindex,4,FALSE),2),IF(AND($E262&lt;&gt;0,$F262&gt;0,YEAR($F262)&lt;Preisindex!$A$6,YEAR(AV$4)&gt;=YEAR($F262),$K262="k"),ROUND(VLOOKUP(BA$4,Preisindex,2,FALSE)/VLOOKUP(Preisindex!$A$6,Preisindex,2,FALSE),2),0)))))</f>
        <v>0</v>
      </c>
      <c r="BC262" s="51">
        <f>IF(AND($E262&lt;&gt;0,$F262&gt;0,YEAR($F262)&lt;=BA$4,YEAR($F262)&gt;=Preisindex!$A$6),ROUND($E262*BA262,2),IF(AND($E262&lt;&gt;0,$F262&gt;0,YEAR($F262)&lt;=BA$4,YEAR($F262)&lt;Preisindex!$A$6),ROUND($E262*BB262,2),0))</f>
        <v>0</v>
      </c>
      <c r="BD262" s="53">
        <f t="shared" si="762"/>
        <v>0</v>
      </c>
      <c r="BE262" s="51">
        <f t="shared" si="754"/>
        <v>0</v>
      </c>
      <c r="BF262" s="51">
        <f t="shared" si="715"/>
        <v>0</v>
      </c>
      <c r="BG262" s="51">
        <f t="shared" si="763"/>
        <v>0</v>
      </c>
      <c r="BH262" s="51">
        <f t="shared" si="716"/>
        <v>0</v>
      </c>
      <c r="BI262" s="51">
        <f t="shared" si="764"/>
        <v>0</v>
      </c>
      <c r="BJ262" s="51">
        <f t="shared" si="717"/>
        <v>0</v>
      </c>
      <c r="BK262" s="51">
        <f t="shared" si="765"/>
        <v>0</v>
      </c>
      <c r="BL262" s="51">
        <f t="shared" si="718"/>
        <v>0</v>
      </c>
      <c r="BM262" s="51">
        <f t="shared" si="766"/>
        <v>0</v>
      </c>
      <c r="BN262" s="51">
        <f t="shared" si="719"/>
        <v>0</v>
      </c>
      <c r="BO262" s="51">
        <f t="shared" si="767"/>
        <v>0</v>
      </c>
      <c r="BP262" s="54">
        <f t="shared" si="768"/>
        <v>0</v>
      </c>
      <c r="BQ262" s="55">
        <f t="shared" si="769"/>
        <v>0</v>
      </c>
      <c r="BR262" s="56">
        <f>IF(AND($E262&lt;&gt;0,$F262&gt;0,YEAR($F262)&gt;=Preisindex!$A$6,YEAR(BM$4)&gt;=YEAR($F262),AND($K262&lt;&gt;"a",$K262&lt;&gt;"b",$K262&lt;&gt;"g",$K262&lt;&gt;"k")),1,IF(AND($E262&lt;&gt;0,$F262&gt;0,YEAR($F262)&gt;=Preisindex!$A$6,YEAR(BM$4)&gt;=YEAR($F262),$K262="a"),ROUND(VLOOKUP(BR$4,Preisindex,5,FALSE)/VLOOKUP(YEAR($F262),Preisindex,5,FALSE),2),IF(AND($E262&lt;&gt;0,$F262&gt;0,YEAR($F262)&gt;=Preisindex!$A$6,YEAR(BM$4)&gt;=YEAR($F262),$K262="b"),ROUND(VLOOKUP(BR$4,Preisindex,3,FALSE)/VLOOKUP(YEAR($F262),Preisindex,3,FALSE),2),IF(AND($E262&lt;&gt;0,$F262&gt;0,YEAR($F262)&gt;=Preisindex!$A$6,YEAR(BM$4)&gt;=YEAR($F262),$K262="g"),ROUND(VLOOKUP(BR$4,Preisindex,4,FALSE)/VLOOKUP(YEAR($F262),Preisindex,4,FALSE),2),IF(AND($E262&lt;&gt;0,$F262&gt;0,YEAR($F262)&gt;=Preisindex!$A$6,YEAR(BM$4)&gt;=YEAR($F262),$K262="k"),ROUND(VLOOKUP(BR$4,Preisindex,2,FALSE)/VLOOKUP(YEAR($F262),Preisindex,2,FALSE),2),0)))))</f>
        <v>0</v>
      </c>
      <c r="BS262" s="56">
        <f>IF(AND($E262&lt;&gt;0,$F262&gt;0,YEAR($F262)&lt;Preisindex!$A$6,YEAR(BM$4)&gt;=YEAR($F262),AND($K262&lt;&gt;"a",$K262&lt;&gt;"b",$K262&lt;&gt;"g",$K262&lt;&gt;"k")),1,IF(AND($E262&lt;&gt;0,$F262&gt;0,YEAR($F262)&lt;Preisindex!$A$6,YEAR(BM$4)&gt;=YEAR($F262),$K262="a"),ROUND(VLOOKUP(BR$4,Preisindex,5,FALSE)/VLOOKUP(Preisindex!$A$6,Preisindex,5,FALSE),2),IF(AND($E262&lt;&gt;0,$F262&gt;0,YEAR($F262)&lt;Preisindex!$A$6,YEAR(BM$4)&gt;=YEAR($F262),$K262="b"),ROUND(VLOOKUP(BR$4,Preisindex,3,FALSE)/VLOOKUP(Preisindex!$A$6,Preisindex,3,FALSE),2),IF(AND($E262&lt;&gt;0,$F262&gt;0,YEAR($F262)&lt;Preisindex!$A$6,YEAR(BM$4)&gt;=YEAR($F262),$K262="g"),ROUND(VLOOKUP(BR$4,Preisindex,4,FALSE)/VLOOKUP(Preisindex!$A$6,Preisindex,4,FALSE),2),IF(AND($E262&lt;&gt;0,$F262&gt;0,YEAR($F262)&lt;Preisindex!$A$6,YEAR(BM$4)&gt;=YEAR($F262),$K262="k"),ROUND(VLOOKUP(BR$4,Preisindex,2,FALSE)/VLOOKUP(Preisindex!$A$6,Preisindex,2,FALSE),2),0)))))</f>
        <v>0</v>
      </c>
      <c r="BT262" s="51">
        <f>IF(AND($E262&lt;&gt;0,$F262&gt;0,YEAR($F262)&lt;=BR$4,YEAR($F262)&gt;=Preisindex!$A$6),ROUND($E262*BR262,2),IF(AND($E262&lt;&gt;0,$F262&gt;0,YEAR($F262)&lt;=BR$4,YEAR($F262)&lt;Preisindex!$A$6),ROUND($E262*BS262,2),0))</f>
        <v>0</v>
      </c>
      <c r="BU262" s="53">
        <f t="shared" si="770"/>
        <v>0</v>
      </c>
      <c r="BV262" s="51">
        <f t="shared" si="754"/>
        <v>0</v>
      </c>
      <c r="BW262" s="51">
        <f t="shared" si="720"/>
        <v>0</v>
      </c>
      <c r="BX262" s="51">
        <f t="shared" si="771"/>
        <v>0</v>
      </c>
      <c r="BY262" s="51">
        <f t="shared" si="721"/>
        <v>0</v>
      </c>
      <c r="BZ262" s="51">
        <f t="shared" si="772"/>
        <v>0</v>
      </c>
      <c r="CA262" s="51">
        <f t="shared" si="722"/>
        <v>0</v>
      </c>
      <c r="CB262" s="51">
        <f t="shared" si="773"/>
        <v>0</v>
      </c>
      <c r="CC262" s="51">
        <f t="shared" si="723"/>
        <v>0</v>
      </c>
      <c r="CD262" s="51">
        <f t="shared" si="774"/>
        <v>0</v>
      </c>
      <c r="CE262" s="51">
        <f t="shared" si="724"/>
        <v>0</v>
      </c>
      <c r="CF262" s="51">
        <f t="shared" si="775"/>
        <v>0</v>
      </c>
      <c r="CG262" s="54">
        <f t="shared" si="776"/>
        <v>0</v>
      </c>
      <c r="CH262" s="55">
        <f t="shared" si="777"/>
        <v>0</v>
      </c>
      <c r="CI262" s="56">
        <f>IF(AND($E262&lt;&gt;0,$F262&gt;0,YEAR($F262)&gt;=Preisindex!$A$6,YEAR(CD$4)&gt;=YEAR($F262),AND($K262&lt;&gt;"a",$K262&lt;&gt;"b",$K262&lt;&gt;"g",$K262&lt;&gt;"k")),1,IF(AND($E262&lt;&gt;0,$F262&gt;0,YEAR($F262)&gt;=Preisindex!$A$6,YEAR(CD$4)&gt;=YEAR($F262),$K262="a"),ROUND(VLOOKUP(CI$4,Preisindex,5,FALSE)/VLOOKUP(YEAR($F262),Preisindex,5,FALSE),2),IF(AND($E262&lt;&gt;0,$F262&gt;0,YEAR($F262)&gt;=Preisindex!$A$6,YEAR(CD$4)&gt;=YEAR($F262),$K262="b"),ROUND(VLOOKUP(CI$4,Preisindex,3,FALSE)/VLOOKUP(YEAR($F262),Preisindex,3,FALSE),2),IF(AND($E262&lt;&gt;0,$F262&gt;0,YEAR($F262)&gt;=Preisindex!$A$6,YEAR(CD$4)&gt;=YEAR($F262),$K262="g"),ROUND(VLOOKUP(CI$4,Preisindex,4,FALSE)/VLOOKUP(YEAR($F262),Preisindex,4,FALSE),2),IF(AND($E262&lt;&gt;0,$F262&gt;0,YEAR($F262)&gt;=Preisindex!$A$6,YEAR(CD$4)&gt;=YEAR($F262),$K262="k"),ROUND(VLOOKUP(CI$4,Preisindex,2,FALSE)/VLOOKUP(YEAR($F262),Preisindex,2,FALSE),2),0)))))</f>
        <v>0</v>
      </c>
      <c r="CJ262" s="56">
        <f>IF(AND($E262&lt;&gt;0,$F262&gt;0,YEAR($F262)&lt;Preisindex!$A$6,YEAR(CD$4)&gt;=YEAR($F262),AND($K262&lt;&gt;"a",$K262&lt;&gt;"b",$K262&lt;&gt;"g",$K262&lt;&gt;"k")),1,IF(AND($E262&lt;&gt;0,$F262&gt;0,YEAR($F262)&lt;Preisindex!$A$6,YEAR(CD$4)&gt;=YEAR($F262),$K262="a"),ROUND(VLOOKUP(CI$4,Preisindex,5,FALSE)/VLOOKUP(Preisindex!$A$6,Preisindex,5,FALSE),2),IF(AND($E262&lt;&gt;0,$F262&gt;0,YEAR($F262)&lt;Preisindex!$A$6,YEAR(CD$4)&gt;=YEAR($F262),$K262="b"),ROUND(VLOOKUP(CI$4,Preisindex,3,FALSE)/VLOOKUP(Preisindex!$A$6,Preisindex,3,FALSE),2),IF(AND($E262&lt;&gt;0,$F262&gt;0,YEAR($F262)&lt;Preisindex!$A$6,YEAR(CD$4)&gt;=YEAR($F262),$K262="g"),ROUND(VLOOKUP(CI$4,Preisindex,4,FALSE)/VLOOKUP(Preisindex!$A$6,Preisindex,4,FALSE),2),IF(AND($E262&lt;&gt;0,$F262&gt;0,YEAR($F262)&lt;Preisindex!$A$6,YEAR(CD$4)&gt;=YEAR($F262),$K262="k"),ROUND(VLOOKUP(CI$4,Preisindex,2,FALSE)/VLOOKUP(Preisindex!$A$6,Preisindex,2,FALSE),2),0)))))</f>
        <v>0</v>
      </c>
      <c r="CK262" s="51">
        <f>IF(AND($E262&lt;&gt;0,$F262&gt;0,YEAR($F262)&lt;=CI$4,YEAR($F262)&gt;=Preisindex!$A$6),ROUND($E262*CI262,2),IF(AND($E262&lt;&gt;0,$F262&gt;0,YEAR($F262)&lt;=CI$4,YEAR($F262)&lt;Preisindex!$A$6),ROUND($E262*CJ262,2),0))</f>
        <v>0</v>
      </c>
      <c r="CL262" s="53">
        <f t="shared" si="778"/>
        <v>0</v>
      </c>
      <c r="CM262" s="51">
        <f t="shared" si="754"/>
        <v>0</v>
      </c>
      <c r="CN262" s="51">
        <f t="shared" si="725"/>
        <v>0</v>
      </c>
      <c r="CO262" s="51">
        <f t="shared" si="779"/>
        <v>0</v>
      </c>
      <c r="CP262" s="51">
        <f t="shared" si="726"/>
        <v>0</v>
      </c>
      <c r="CQ262" s="51">
        <f t="shared" si="780"/>
        <v>0</v>
      </c>
      <c r="CR262" s="51">
        <f t="shared" si="727"/>
        <v>0</v>
      </c>
      <c r="CS262" s="51">
        <f t="shared" si="781"/>
        <v>0</v>
      </c>
      <c r="CT262" s="51">
        <f t="shared" si="728"/>
        <v>0</v>
      </c>
      <c r="CU262" s="51">
        <f t="shared" si="782"/>
        <v>0</v>
      </c>
      <c r="CV262" s="51">
        <f t="shared" si="729"/>
        <v>0</v>
      </c>
      <c r="CW262" s="51">
        <f t="shared" si="783"/>
        <v>0</v>
      </c>
      <c r="CX262" s="54">
        <f t="shared" si="784"/>
        <v>0</v>
      </c>
      <c r="CY262" s="55">
        <f t="shared" si="785"/>
        <v>0</v>
      </c>
      <c r="CZ262" s="56">
        <f>IF(AND($E262&lt;&gt;0,$F262&gt;0,YEAR($F262)&gt;=Preisindex!$A$6,YEAR(CU$4)&gt;=YEAR($F262),AND($K262&lt;&gt;"a",$K262&lt;&gt;"b",$K262&lt;&gt;"g",$K262&lt;&gt;"k")),1,IF(AND($E262&lt;&gt;0,$F262&gt;0,YEAR($F262)&gt;=Preisindex!$A$6,YEAR(CU$4)&gt;=YEAR($F262),$K262="a"),ROUND(VLOOKUP(CZ$4,Preisindex,5,FALSE)/VLOOKUP(YEAR($F262),Preisindex,5,FALSE),2),IF(AND($E262&lt;&gt;0,$F262&gt;0,YEAR($F262)&gt;=Preisindex!$A$6,YEAR(CU$4)&gt;=YEAR($F262),$K262="b"),ROUND(VLOOKUP(CZ$4,Preisindex,3,FALSE)/VLOOKUP(YEAR($F262),Preisindex,3,FALSE),2),IF(AND($E262&lt;&gt;0,$F262&gt;0,YEAR($F262)&gt;=Preisindex!$A$6,YEAR(CU$4)&gt;=YEAR($F262),$K262="g"),ROUND(VLOOKUP(CZ$4,Preisindex,4,FALSE)/VLOOKUP(YEAR($F262),Preisindex,4,FALSE),2),IF(AND($E262&lt;&gt;0,$F262&gt;0,YEAR($F262)&gt;=Preisindex!$A$6,YEAR(CU$4)&gt;=YEAR($F262),$K262="k"),ROUND(VLOOKUP(CZ$4,Preisindex,2,FALSE)/VLOOKUP(YEAR($F262),Preisindex,2,FALSE),2),0)))))</f>
        <v>0</v>
      </c>
      <c r="DA262" s="56">
        <f>IF(AND($E262&lt;&gt;0,$F262&gt;0,YEAR($F262)&lt;Preisindex!$A$6,YEAR(CU$4)&gt;=YEAR($F262),AND($K262&lt;&gt;"a",$K262&lt;&gt;"b",$K262&lt;&gt;"g",$K262&lt;&gt;"k")),1,IF(AND($E262&lt;&gt;0,$F262&gt;0,YEAR($F262)&lt;Preisindex!$A$6,YEAR(CU$4)&gt;=YEAR($F262),$K262="a"),ROUND(VLOOKUP(CZ$4,Preisindex,5,FALSE)/VLOOKUP(Preisindex!$A$6,Preisindex,5,FALSE),2),IF(AND($E262&lt;&gt;0,$F262&gt;0,YEAR($F262)&lt;Preisindex!$A$6,YEAR(CU$4)&gt;=YEAR($F262),$K262="b"),ROUND(VLOOKUP(CZ$4,Preisindex,3,FALSE)/VLOOKUP(Preisindex!$A$6,Preisindex,3,FALSE),2),IF(AND($E262&lt;&gt;0,$F262&gt;0,YEAR($F262)&lt;Preisindex!$A$6,YEAR(CU$4)&gt;=YEAR($F262),$K262="g"),ROUND(VLOOKUP(CZ$4,Preisindex,4,FALSE)/VLOOKUP(Preisindex!$A$6,Preisindex,4,FALSE),2),IF(AND($E262&lt;&gt;0,$F262&gt;0,YEAR($F262)&lt;Preisindex!$A$6,YEAR(CU$4)&gt;=YEAR($F262),$K262="k"),ROUND(VLOOKUP(CZ$4,Preisindex,2,FALSE)/VLOOKUP(Preisindex!$A$6,Preisindex,2,FALSE),2),0)))))</f>
        <v>0</v>
      </c>
      <c r="DB262" s="51">
        <f>IF(AND($E262&lt;&gt;0,$F262&gt;0,YEAR($F262)&lt;=CZ$4,YEAR($F262)&gt;=Preisindex!$A$6),ROUND($E262*CZ262,2),IF(AND($E262&lt;&gt;0,$F262&gt;0,YEAR($F262)&lt;=CZ$4,YEAR($F262)&lt;Preisindex!$A$6),ROUND($E262*DA262,2),0))</f>
        <v>0</v>
      </c>
      <c r="DC262" s="53">
        <f t="shared" si="786"/>
        <v>0</v>
      </c>
      <c r="DD262" s="51">
        <f t="shared" si="787"/>
        <v>0</v>
      </c>
      <c r="DE262" s="51">
        <f t="shared" si="730"/>
        <v>0</v>
      </c>
      <c r="DF262" s="51">
        <f t="shared" si="788"/>
        <v>0</v>
      </c>
      <c r="DG262" s="51">
        <f t="shared" si="731"/>
        <v>0</v>
      </c>
      <c r="DH262" s="51">
        <f t="shared" si="789"/>
        <v>0</v>
      </c>
      <c r="DI262" s="51">
        <f t="shared" si="732"/>
        <v>0</v>
      </c>
      <c r="DJ262" s="51">
        <f t="shared" si="790"/>
        <v>0</v>
      </c>
      <c r="DK262" s="51">
        <f t="shared" si="733"/>
        <v>0</v>
      </c>
      <c r="DL262" s="51">
        <f t="shared" si="791"/>
        <v>0</v>
      </c>
      <c r="DM262" s="51">
        <f t="shared" si="734"/>
        <v>0</v>
      </c>
      <c r="DN262" s="51">
        <f t="shared" si="792"/>
        <v>0</v>
      </c>
      <c r="DO262" s="54">
        <f t="shared" si="793"/>
        <v>0</v>
      </c>
      <c r="DP262" s="55">
        <f t="shared" si="794"/>
        <v>0</v>
      </c>
      <c r="DQ262" s="56">
        <f>IF(AND($E262&lt;&gt;0,$F262&gt;0,YEAR($F262)&gt;=Preisindex!$A$6,YEAR(DL$4)&gt;=YEAR($F262),AND($K262&lt;&gt;"a",$K262&lt;&gt;"b",$K262&lt;&gt;"g",$K262&lt;&gt;"k")),1,IF(AND($E262&lt;&gt;0,$F262&gt;0,YEAR($F262)&gt;=Preisindex!$A$6,YEAR(DL$4)&gt;=YEAR($F262),$K262="a"),ROUND(VLOOKUP(DQ$4,Preisindex,5,FALSE)/VLOOKUP(YEAR($F262),Preisindex,5,FALSE),2),IF(AND($E262&lt;&gt;0,$F262&gt;0,YEAR($F262)&gt;=Preisindex!$A$6,YEAR(DL$4)&gt;=YEAR($F262),$K262="b"),ROUND(VLOOKUP(DQ$4,Preisindex,3,FALSE)/VLOOKUP(YEAR($F262),Preisindex,3,FALSE),2),IF(AND($E262&lt;&gt;0,$F262&gt;0,YEAR($F262)&gt;=Preisindex!$A$6,YEAR(DL$4)&gt;=YEAR($F262),$K262="g"),ROUND(VLOOKUP(DQ$4,Preisindex,4,FALSE)/VLOOKUP(YEAR($F262),Preisindex,4,FALSE),2),IF(AND($E262&lt;&gt;0,$F262&gt;0,YEAR($F262)&gt;=Preisindex!$A$6,YEAR(DL$4)&gt;=YEAR($F262),$K262="k"),ROUND(VLOOKUP(DQ$4,Preisindex,2,FALSE)/VLOOKUP(YEAR($F262),Preisindex,2,FALSE),2),0)))))</f>
        <v>0</v>
      </c>
      <c r="DR262" s="56">
        <f>IF(AND($E262&lt;&gt;0,$F262&gt;0,YEAR($F262)&lt;Preisindex!$A$6,YEAR(DL$4)&gt;=YEAR($F262),AND($K262&lt;&gt;"a",$K262&lt;&gt;"b",$K262&lt;&gt;"g",$K262&lt;&gt;"k")),1,IF(AND($E262&lt;&gt;0,$F262&gt;0,YEAR($F262)&lt;Preisindex!$A$6,YEAR(DL$4)&gt;=YEAR($F262),$K262="a"),ROUND(VLOOKUP(DQ$4,Preisindex,5,FALSE)/VLOOKUP(Preisindex!$A$6,Preisindex,5,FALSE),2),IF(AND($E262&lt;&gt;0,$F262&gt;0,YEAR($F262)&lt;Preisindex!$A$6,YEAR(DL$4)&gt;=YEAR($F262),$K262="b"),ROUND(VLOOKUP(DQ$4,Preisindex,3,FALSE)/VLOOKUP(Preisindex!$A$6,Preisindex,3,FALSE),2),IF(AND($E262&lt;&gt;0,$F262&gt;0,YEAR($F262)&lt;Preisindex!$A$6,YEAR(DL$4)&gt;=YEAR($F262),$K262="g"),ROUND(VLOOKUP(DQ$4,Preisindex,4,FALSE)/VLOOKUP(Preisindex!$A$6,Preisindex,4,FALSE),2),IF(AND($E262&lt;&gt;0,$F262&gt;0,YEAR($F262)&lt;Preisindex!$A$6,YEAR(DL$4)&gt;=YEAR($F262),$K262="k"),ROUND(VLOOKUP(DQ$4,Preisindex,2,FALSE)/VLOOKUP(Preisindex!$A$6,Preisindex,2,FALSE),2),0)))))</f>
        <v>0</v>
      </c>
      <c r="DS262" s="51">
        <f>IF(AND($E262&lt;&gt;0,$F262&gt;0,YEAR($F262)&lt;=DQ$4,YEAR($F262)&gt;=Preisindex!$A$6),ROUND($E262*DQ262,2),IF(AND($E262&lt;&gt;0,$F262&gt;0,YEAR($F262)&lt;=DQ$4,YEAR($F262)&lt;Preisindex!$A$6),ROUND($E262*DR262,2),0))</f>
        <v>0</v>
      </c>
      <c r="DT262" s="53">
        <f t="shared" si="795"/>
        <v>0</v>
      </c>
      <c r="DU262" s="51">
        <f t="shared" si="787"/>
        <v>0</v>
      </c>
      <c r="DV262" s="51">
        <f t="shared" si="735"/>
        <v>0</v>
      </c>
      <c r="DW262" s="51">
        <f t="shared" si="796"/>
        <v>0</v>
      </c>
      <c r="DX262" s="51">
        <f t="shared" si="736"/>
        <v>0</v>
      </c>
      <c r="DY262" s="51">
        <f t="shared" si="797"/>
        <v>0</v>
      </c>
      <c r="DZ262" s="51">
        <f t="shared" si="737"/>
        <v>0</v>
      </c>
      <c r="EA262" s="51">
        <f t="shared" si="798"/>
        <v>0</v>
      </c>
      <c r="EB262" s="51">
        <f t="shared" si="738"/>
        <v>0</v>
      </c>
      <c r="EC262" s="51">
        <f t="shared" si="799"/>
        <v>0</v>
      </c>
      <c r="ED262" s="51">
        <f t="shared" si="739"/>
        <v>0</v>
      </c>
      <c r="EE262" s="51">
        <f t="shared" si="800"/>
        <v>0</v>
      </c>
      <c r="EF262" s="54">
        <f t="shared" si="801"/>
        <v>0</v>
      </c>
      <c r="EG262" s="55">
        <f t="shared" si="802"/>
        <v>0</v>
      </c>
      <c r="EH262" s="56">
        <f>IF(AND($E262&lt;&gt;0,$F262&gt;0,YEAR($F262)&gt;=Preisindex!$A$6,YEAR(EC$4)&gt;=YEAR($F262),AND($K262&lt;&gt;"a",$K262&lt;&gt;"b",$K262&lt;&gt;"g",$K262&lt;&gt;"k")),1,IF(AND($E262&lt;&gt;0,$F262&gt;0,YEAR($F262)&gt;=Preisindex!$A$6,YEAR(EC$4)&gt;=YEAR($F262),$K262="a"),ROUND(VLOOKUP(EH$4,Preisindex,5,FALSE)/VLOOKUP(YEAR($F262),Preisindex,5,FALSE),2),IF(AND($E262&lt;&gt;0,$F262&gt;0,YEAR($F262)&gt;=Preisindex!$A$6,YEAR(EC$4)&gt;=YEAR($F262),$K262="b"),ROUND(VLOOKUP(EH$4,Preisindex,3,FALSE)/VLOOKUP(YEAR($F262),Preisindex,3,FALSE),2),IF(AND($E262&lt;&gt;0,$F262&gt;0,YEAR($F262)&gt;=Preisindex!$A$6,YEAR(EC$4)&gt;=YEAR($F262),$K262="g"),ROUND(VLOOKUP(EH$4,Preisindex,4,FALSE)/VLOOKUP(YEAR($F262),Preisindex,4,FALSE),2),IF(AND($E262&lt;&gt;0,$F262&gt;0,YEAR($F262)&gt;=Preisindex!$A$6,YEAR(EC$4)&gt;=YEAR($F262),$K262="k"),ROUND(VLOOKUP(EH$4,Preisindex,2,FALSE)/VLOOKUP(YEAR($F262),Preisindex,2,FALSE),2),0)))))</f>
        <v>0</v>
      </c>
      <c r="EI262" s="56">
        <f>IF(AND($E262&lt;&gt;0,$F262&gt;0,YEAR($F262)&lt;Preisindex!$A$6,YEAR(EC$4)&gt;=YEAR($F262),AND($K262&lt;&gt;"a",$K262&lt;&gt;"b",$K262&lt;&gt;"g",$K262&lt;&gt;"k")),1,IF(AND($E262&lt;&gt;0,$F262&gt;0,YEAR($F262)&lt;Preisindex!$A$6,YEAR(EC$4)&gt;=YEAR($F262),$K262="a"),ROUND(VLOOKUP(EH$4,Preisindex,5,FALSE)/VLOOKUP(Preisindex!$A$6,Preisindex,5,FALSE),2),IF(AND($E262&lt;&gt;0,$F262&gt;0,YEAR($F262)&lt;Preisindex!$A$6,YEAR(EC$4)&gt;=YEAR($F262),$K262="b"),ROUND(VLOOKUP(EH$4,Preisindex,3,FALSE)/VLOOKUP(Preisindex!$A$6,Preisindex,3,FALSE),2),IF(AND($E262&lt;&gt;0,$F262&gt;0,YEAR($F262)&lt;Preisindex!$A$6,YEAR(EC$4)&gt;=YEAR($F262),$K262="g"),ROUND(VLOOKUP(EH$4,Preisindex,4,FALSE)/VLOOKUP(Preisindex!$A$6,Preisindex,4,FALSE),2),IF(AND($E262&lt;&gt;0,$F262&gt;0,YEAR($F262)&lt;Preisindex!$A$6,YEAR(EC$4)&gt;=YEAR($F262),$K262="k"),ROUND(VLOOKUP(EH$4,Preisindex,2,FALSE)/VLOOKUP(Preisindex!$A$6,Preisindex,2,FALSE),2),0)))))</f>
        <v>0</v>
      </c>
      <c r="EJ262" s="51">
        <f>IF(AND($E262&lt;&gt;0,$F262&gt;0,YEAR($F262)&lt;=EH$4,YEAR($F262)&gt;=Preisindex!$A$6),ROUND($E262*EH262,2),IF(AND($E262&lt;&gt;0,$F262&gt;0,YEAR($F262)&lt;=EH$4,YEAR($F262)&lt;Preisindex!$A$6),ROUND($E262*EI262,2),0))</f>
        <v>0</v>
      </c>
      <c r="EK262" s="53">
        <f t="shared" si="803"/>
        <v>0</v>
      </c>
      <c r="EL262" s="51">
        <f t="shared" si="787"/>
        <v>0</v>
      </c>
      <c r="EM262" s="51">
        <f t="shared" si="740"/>
        <v>0</v>
      </c>
      <c r="EN262" s="51">
        <f t="shared" si="804"/>
        <v>0</v>
      </c>
      <c r="EO262" s="51">
        <f t="shared" si="741"/>
        <v>0</v>
      </c>
      <c r="EP262" s="51">
        <f t="shared" si="805"/>
        <v>0</v>
      </c>
      <c r="EQ262" s="51">
        <f t="shared" si="742"/>
        <v>0</v>
      </c>
      <c r="ER262" s="51">
        <f t="shared" si="806"/>
        <v>0</v>
      </c>
      <c r="ES262" s="51">
        <f t="shared" si="743"/>
        <v>0</v>
      </c>
      <c r="ET262" s="51">
        <f t="shared" si="807"/>
        <v>0</v>
      </c>
      <c r="EU262" s="51">
        <f t="shared" si="744"/>
        <v>0</v>
      </c>
      <c r="EV262" s="51">
        <f t="shared" si="808"/>
        <v>0</v>
      </c>
      <c r="EW262" s="54">
        <f t="shared" si="809"/>
        <v>0</v>
      </c>
      <c r="EX262" s="55">
        <f t="shared" si="810"/>
        <v>0</v>
      </c>
      <c r="EY262" s="56">
        <f>IF(AND($E262&lt;&gt;0,$F262&gt;0,YEAR($F262)&gt;=Preisindex!$A$6,YEAR(ET$4)&gt;=YEAR($F262),AND($K262&lt;&gt;"a",$K262&lt;&gt;"b",$K262&lt;&gt;"g",$K262&lt;&gt;"k")),1,IF(AND($E262&lt;&gt;0,$F262&gt;0,YEAR($F262)&gt;=Preisindex!$A$6,YEAR(ET$4)&gt;=YEAR($F262),$K262="a"),ROUND(VLOOKUP(EY$4,Preisindex,5,FALSE)/VLOOKUP(YEAR($F262),Preisindex,5,FALSE),2),IF(AND($E262&lt;&gt;0,$F262&gt;0,YEAR($F262)&gt;=Preisindex!$A$6,YEAR(ET$4)&gt;=YEAR($F262),$K262="b"),ROUND(VLOOKUP(EY$4,Preisindex,3,FALSE)/VLOOKUP(YEAR($F262),Preisindex,3,FALSE),2),IF(AND($E262&lt;&gt;0,$F262&gt;0,YEAR($F262)&gt;=Preisindex!$A$6,YEAR(ET$4)&gt;=YEAR($F262),$K262="g"),ROUND(VLOOKUP(EY$4,Preisindex,4,FALSE)/VLOOKUP(YEAR($F262),Preisindex,4,FALSE),2),IF(AND($E262&lt;&gt;0,$F262&gt;0,YEAR($F262)&gt;=Preisindex!$A$6,YEAR(ET$4)&gt;=YEAR($F262),$K262="k"),ROUND(VLOOKUP(EY$4,Preisindex,2,FALSE)/VLOOKUP(YEAR($F262),Preisindex,2,FALSE),2),0)))))</f>
        <v>0</v>
      </c>
      <c r="EZ262" s="56">
        <f>IF(AND($E262&lt;&gt;0,$F262&gt;0,YEAR($F262)&lt;Preisindex!$A$6,YEAR(ET$4)&gt;=YEAR($F262),AND($K262&lt;&gt;"a",$K262&lt;&gt;"b",$K262&lt;&gt;"g",$K262&lt;&gt;"k")),1,IF(AND($E262&lt;&gt;0,$F262&gt;0,YEAR($F262)&lt;Preisindex!$A$6,YEAR(ET$4)&gt;=YEAR($F262),$K262="a"),ROUND(VLOOKUP(EY$4,Preisindex,5,FALSE)/VLOOKUP(Preisindex!$A$6,Preisindex,5,FALSE),2),IF(AND($E262&lt;&gt;0,$F262&gt;0,YEAR($F262)&lt;Preisindex!$A$6,YEAR(ET$4)&gt;=YEAR($F262),$K262="b"),ROUND(VLOOKUP(EY$4,Preisindex,3,FALSE)/VLOOKUP(Preisindex!$A$6,Preisindex,3,FALSE),2),IF(AND($E262&lt;&gt;0,$F262&gt;0,YEAR($F262)&lt;Preisindex!$A$6,YEAR(ET$4)&gt;=YEAR($F262),$K262="g"),ROUND(VLOOKUP(EY$4,Preisindex,4,FALSE)/VLOOKUP(Preisindex!$A$6,Preisindex,4,FALSE),2),IF(AND($E262&lt;&gt;0,$F262&gt;0,YEAR($F262)&lt;Preisindex!$A$6,YEAR(ET$4)&gt;=YEAR($F262),$K262="k"),ROUND(VLOOKUP(EY$4,Preisindex,2,FALSE)/VLOOKUP(Preisindex!$A$6,Preisindex,2,FALSE),2),0)))))</f>
        <v>0</v>
      </c>
      <c r="FA262" s="51">
        <f>IF(AND($E262&lt;&gt;0,$F262&gt;0,YEAR($F262)&lt;=EY$4,YEAR($F262)&gt;=Preisindex!$A$6),ROUND($E262*EY262,2),IF(AND($E262&lt;&gt;0,$F262&gt;0,YEAR($F262)&lt;=EY$4,YEAR($F262)&lt;Preisindex!$A$6),ROUND($E262*EZ262,2),0))</f>
        <v>0</v>
      </c>
      <c r="FB262" s="53">
        <f t="shared" si="811"/>
        <v>0</v>
      </c>
      <c r="FC262" s="51">
        <f t="shared" si="787"/>
        <v>0</v>
      </c>
      <c r="FD262" s="51">
        <f t="shared" si="745"/>
        <v>0</v>
      </c>
      <c r="FE262" s="51">
        <f t="shared" si="812"/>
        <v>0</v>
      </c>
      <c r="FF262" s="51">
        <f t="shared" si="746"/>
        <v>0</v>
      </c>
      <c r="FG262" s="51">
        <f t="shared" si="813"/>
        <v>0</v>
      </c>
      <c r="FH262" s="51">
        <f t="shared" si="747"/>
        <v>0</v>
      </c>
      <c r="FI262" s="51">
        <f t="shared" si="814"/>
        <v>0</v>
      </c>
      <c r="FJ262" s="51">
        <f t="shared" si="748"/>
        <v>0</v>
      </c>
      <c r="FK262" s="51">
        <f t="shared" si="815"/>
        <v>0</v>
      </c>
      <c r="FL262" s="51">
        <f t="shared" si="749"/>
        <v>0</v>
      </c>
      <c r="FM262" s="51">
        <f t="shared" si="816"/>
        <v>0</v>
      </c>
      <c r="FN262" s="54">
        <f t="shared" si="817"/>
        <v>0</v>
      </c>
      <c r="FO262" s="55">
        <f t="shared" si="818"/>
        <v>0</v>
      </c>
      <c r="FP262" s="56">
        <f>IF(AND($E262&lt;&gt;0,$F262&gt;0,YEAR($F262)&gt;=Preisindex!$A$6,YEAR(FK$4)&gt;=YEAR($F262),AND($K262&lt;&gt;"a",$K262&lt;&gt;"b",$K262&lt;&gt;"g",$K262&lt;&gt;"k")),1,IF(AND($E262&lt;&gt;0,$F262&gt;0,YEAR($F262)&gt;=Preisindex!$A$6,YEAR(FK$4)&gt;=YEAR($F262),$K262="a"),ROUND(VLOOKUP(FP$4,Preisindex,5,FALSE)/VLOOKUP(YEAR($F262),Preisindex,5,FALSE),2),IF(AND($E262&lt;&gt;0,$F262&gt;0,YEAR($F262)&gt;=Preisindex!$A$6,YEAR(FK$4)&gt;=YEAR($F262),$K262="b"),ROUND(VLOOKUP(FP$4,Preisindex,3,FALSE)/VLOOKUP(YEAR($F262),Preisindex,3,FALSE),2),IF(AND($E262&lt;&gt;0,$F262&gt;0,YEAR($F262)&gt;=Preisindex!$A$6,YEAR(FK$4)&gt;=YEAR($F262),$K262="g"),ROUND(VLOOKUP(FP$4,Preisindex,4,FALSE)/VLOOKUP(YEAR($F262),Preisindex,4,FALSE),2),IF(AND($E262&lt;&gt;0,$F262&gt;0,YEAR($F262)&gt;=Preisindex!$A$6,YEAR(FK$4)&gt;=YEAR($F262),$K262="k"),ROUND(VLOOKUP(FP$4,Preisindex,2,FALSE)/VLOOKUP(YEAR($F262),Preisindex,2,FALSE),2),0)))))</f>
        <v>0</v>
      </c>
      <c r="FQ262" s="56">
        <f>IF(AND($E262&lt;&gt;0,$F262&gt;0,YEAR($F262)&lt;Preisindex!$A$6,YEAR(FK$4)&gt;=YEAR($F262),AND($K262&lt;&gt;"a",$K262&lt;&gt;"b",$K262&lt;&gt;"g",$K262&lt;&gt;"k")),1,IF(AND($E262&lt;&gt;0,$F262&gt;0,YEAR($F262)&lt;Preisindex!$A$6,YEAR(FK$4)&gt;=YEAR($F262),$K262="a"),ROUND(VLOOKUP(FP$4,Preisindex,5,FALSE)/VLOOKUP(Preisindex!$A$6,Preisindex,5,FALSE),2),IF(AND($E262&lt;&gt;0,$F262&gt;0,YEAR($F262)&lt;Preisindex!$A$6,YEAR(FK$4)&gt;=YEAR($F262),$K262="b"),ROUND(VLOOKUP(FP$4,Preisindex,3,FALSE)/VLOOKUP(Preisindex!$A$6,Preisindex,3,FALSE),2),IF(AND($E262&lt;&gt;0,$F262&gt;0,YEAR($F262)&lt;Preisindex!$A$6,YEAR(FK$4)&gt;=YEAR($F262),$K262="g"),ROUND(VLOOKUP(FP$4,Preisindex,4,FALSE)/VLOOKUP(Preisindex!$A$6,Preisindex,4,FALSE),2),IF(AND($E262&lt;&gt;0,$F262&gt;0,YEAR($F262)&lt;Preisindex!$A$6,YEAR(FK$4)&gt;=YEAR($F262),$K262="k"),ROUND(VLOOKUP(FP$4,Preisindex,2,FALSE)/VLOOKUP(Preisindex!$A$6,Preisindex,2,FALSE),2),0)))))</f>
        <v>0</v>
      </c>
      <c r="FR262" s="51">
        <f>IF(AND($E262&lt;&gt;0,$F262&gt;0,YEAR($F262)&lt;=FP$4,YEAR($F262)&gt;=Preisindex!$A$6),ROUND($E262*FP262,2),IF(AND($E262&lt;&gt;0,$F262&gt;0,YEAR($F262)&lt;=FP$4,YEAR($F262)&lt;Preisindex!$A$6),ROUND($E262*FQ262,2),0))</f>
        <v>0</v>
      </c>
      <c r="FS262" s="53">
        <f t="shared" si="819"/>
        <v>0</v>
      </c>
    </row>
    <row r="263" spans="1:175" x14ac:dyDescent="0.3">
      <c r="A263" s="185"/>
      <c r="B263" s="186"/>
      <c r="C263" s="187"/>
      <c r="D263" s="188"/>
      <c r="E263" s="189"/>
      <c r="F263" s="190"/>
      <c r="G263" s="191"/>
      <c r="H263" s="192"/>
      <c r="I263" s="193"/>
      <c r="J263" s="194"/>
      <c r="K263" s="630"/>
      <c r="L263" s="49">
        <f t="shared" ref="L263:L319" si="820">IF(AND(G263&gt;0,G263&lt;=1,H263=0),1,IF(H263&gt;=1,1,IF(AND(H263&gt;0,H263&lt;1),H263,IF(AND(G263&gt;1,OR(H263=0,H263="")),ROUND(1/G263,4),0))))</f>
        <v>0</v>
      </c>
      <c r="M263" s="50">
        <f t="shared" ref="M263:M319" si="821">IF(AND(E263&gt;0,F263&gt;0,OR(G263&gt;0,H263&gt;0)),ROUND((E263-I263)*L263,2),IF(AND(E263&lt;0,F263&gt;0,OR(G263&gt;0,H263&gt;0)),ROUND(E263*L263,2),0))</f>
        <v>0</v>
      </c>
      <c r="N263" s="51">
        <f t="shared" ref="N263:N319" si="822">IF(AND(E263-P263&gt;=0,F263&gt;0,YEAR(N$4)&gt;=YEAR(F263)),E263-P263,IF(AND(E263-P263&lt;0,F263&gt;0,YEAR(N$4)&gt;=YEAR(F263)),E263-P263,0))</f>
        <v>0</v>
      </c>
      <c r="O263" s="51"/>
      <c r="P263" s="51">
        <f t="shared" ref="P263:P319" si="823">IF(AND(YEAR(F263)&lt;=YEAR(N$4),E263&lt;1000,E263&gt;-1000,F263&gt;0,L263=1),E263-I263,IF(AND(YEAR(F263)&lt;=YEAR(N$4),E263&gt;0,F263&gt;0,L263&gt;0,E263&gt;M263*(YEAR(N$4)-YEAR(F263))+ROUND((M263/12)*(13-MONTH(F263)),2)+I263),M263*(YEAR(N$4)-YEAR(F263))+ROUND((M263/12)*(13-MONTH(F263)),2),IF(AND(YEAR(F263)&lt;=YEAR(N$4),E263&gt;0,F263&gt;0,L263&gt;0,E263&lt;=(M263*(YEAR(N$4)-YEAR(F263)+ROUND((M263/12)*(13-MONTH(F263)),2)))+I263),E263-I263,IF(AND(YEAR(F263)&lt;=YEAR(N$4),E263&lt;0,F263&gt;0,L263&gt;0,E263&lt;M263*(YEAR(N$4)-YEAR(F263))+ROUND((M263/12)*(13-MONTH(F263)),2)+I263),M263*(YEAR(N$4)-YEAR(F263))+ROUND((M263/12)*(13-MONTH(F263)),2),IF(AND(YEAR(F263)&lt;=YEAR(N$4),E263&lt;0,F263&gt;0,L263&gt;0,E263&lt;=(M263*(YEAR(N$4)-YEAR(F263)+ROUND((M263/12)*(13-MONTH(F263)),2)))),E263,0)))))</f>
        <v>0</v>
      </c>
      <c r="Q263" s="52"/>
      <c r="R263" s="52"/>
      <c r="S263" s="52"/>
      <c r="T263" s="52"/>
      <c r="U263" s="52"/>
      <c r="V263" s="53">
        <f t="shared" ref="V263:V319" si="824">IF(AND(F263&gt;0,F263&lt;=N$4),E263,0)</f>
        <v>0</v>
      </c>
      <c r="W263" s="51">
        <f t="shared" ref="W263:W319" si="825">IF(YEAR($F263)=W$4,$E263,0)</f>
        <v>0</v>
      </c>
      <c r="X263" s="51">
        <f t="shared" ref="X263:X319" si="826">IF($J263&lt;&gt;"H",W263,0)</f>
        <v>0</v>
      </c>
      <c r="Y263" s="51">
        <f t="shared" ref="Y263:Y319" si="827">IF(W263&lt;&gt;0,ROUND(W263*YEARFRAC($F263,AE$4,0),2),0)</f>
        <v>0</v>
      </c>
      <c r="Z263" s="51">
        <f t="shared" ref="Z263:Z319" si="828">IF($J263&lt;&gt;"H",Y263,0)</f>
        <v>0</v>
      </c>
      <c r="AA263" s="51">
        <f t="shared" ref="AA263:AA319" si="829">IF(AND($F263&gt;0,$F263&lt;=AE$4),$E263,0)</f>
        <v>0</v>
      </c>
      <c r="AB263" s="51">
        <f t="shared" ref="AB263:AB319" si="830">IF(AC263&lt;&gt;0,ROUND(AC263/$M263*AA263,2),0)</f>
        <v>0</v>
      </c>
      <c r="AC263" s="51">
        <f t="shared" ref="AC263:AC319" si="831">IF(AND(YEAR($F263)=YEAR(AE$4),$E263&lt;1000,$E263&gt;-1000,$F263&gt;0,$L263=1),$E263-$I263,IF(AND(YEAR($F263)=YEAR(AE$4),$F263&gt;0,$L263&gt;0),ROUND(($M263/12)*(13-MONTH($F263)),2),IF(AND(YEAR($F263)&lt;YEAR(AE$4),$E263&gt;0,$F263&gt;0,$L263&gt;0,N263&gt;$M263+$I263),$M263,IF(AND(YEAR($F263)&lt;YEAR(AE$4),$E263&gt;0,$F263&gt;0,$L263&gt;0,N263&gt;0,N263&lt;=$M263+$I263),N263-$I263,IF(AND(YEAR($F263)&lt;YEAR(AE$4),$E263&lt;0,$F263&gt;0,$L263&gt;0,N263&lt;0,N263&lt;=$M263),$M263,IF(AND(YEAR($F263)&lt;YEAR(AE$4),$E263&lt;0,$F263&gt;0,$L263&gt;0,N263&lt;0,N263&gt;$M263),N263,0))))))</f>
        <v>0</v>
      </c>
      <c r="AD263" s="51">
        <f t="shared" ref="AD263:AD319" si="832">IF($J263&lt;&gt;"H",AC263,0)</f>
        <v>0</v>
      </c>
      <c r="AE263" s="51">
        <f t="shared" ref="AE263:AE319" si="833">IF(AND(YEAR(AE$4)=YEAR($F263),$E263&gt;0,$F263&gt;0,$E263-AC263&gt;=0),$E263-AC263,IF(AND(YEAR(AE$4)&gt;YEAR($F263),$E263&gt;0,$F263&gt;0,N263-AC263&gt;=0),N263-AC263,IF(AND(YEAR(AE$4)=YEAR($F263),$E263&lt;0,$F263&gt;0,$E263-AC263&lt;0),$E263-AC263,IF(AND(YEAR(AE$4)&gt;YEAR($F263),$E263&lt;0,$F263&gt;0,N263-AC263&lt;=0),N263-AC263,0))))</f>
        <v>0</v>
      </c>
      <c r="AF263" s="51">
        <f t="shared" ref="AF263:AF319" si="834">IF($J263&lt;&gt;"H",AE263,0)</f>
        <v>0</v>
      </c>
      <c r="AG263" s="51">
        <f t="shared" ref="AG263:AG319" si="835">P263+AC263</f>
        <v>0</v>
      </c>
      <c r="AH263" s="54">
        <f t="shared" ref="AH263:AH319" si="836">IF(AND(W263&lt;&gt;0,$J263="H",$M263=0),Y263,IF(AND(YEAR(AE$4)&gt;YEAR($F263),$J263="H",$F263&gt;0,$M263=0),$E263,0))</f>
        <v>0</v>
      </c>
      <c r="AI263" s="55">
        <f t="shared" ref="AI263:AI319" si="837">IF(AND(YEAR(AE$4)&gt;=YEAR($F263),$E263&gt;0,$F263&gt;0,AC263&gt;0,$J263="H"),ROUND(AC263/$M263*$E263,2),IF(AND(YEAR(AE$4)&gt;=YEAR($F263),$E263&lt;0,$F263&gt;0,AC263&lt;0,$J263="H"),ROUND(AC263/$M263*$E263,2),0))</f>
        <v>0</v>
      </c>
      <c r="AJ263" s="56">
        <f>IF(AND($E263&lt;&gt;0,$F263&gt;0,YEAR($F263)&gt;=Preisindex!$A$6,YEAR(AE$4)&gt;=YEAR($F263),AND($K263&lt;&gt;"a",$K263&lt;&gt;"b",$K263&lt;&gt;"g",$K263&lt;&gt;"k")),1,IF(AND($E263&lt;&gt;0,$F263&gt;0,YEAR($F263)&gt;=Preisindex!$A$6,YEAR(AE$4)&gt;=YEAR($F263),$K263="a"),ROUND(VLOOKUP(AJ$4,Preisindex,5,FALSE)/VLOOKUP(YEAR($F263),Preisindex,5,FALSE),2),IF(AND($E263&lt;&gt;0,$F263&gt;0,YEAR($F263)&gt;=Preisindex!$A$6,YEAR(AE$4)&gt;=YEAR($F263),$K263="b"),ROUND(VLOOKUP(AJ$4,Preisindex,3,FALSE)/VLOOKUP(YEAR($F263),Preisindex,3,FALSE),2),IF(AND($E263&lt;&gt;0,$F263&gt;0,YEAR($F263)&gt;=Preisindex!$A$6,YEAR(AE$4)&gt;=YEAR($F263),$K263="g"),ROUND(VLOOKUP(AJ$4,Preisindex,4,FALSE)/VLOOKUP(YEAR($F263),Preisindex,4,FALSE),2),IF(AND($E263&lt;&gt;0,$F263&gt;0,YEAR($F263)&gt;=Preisindex!$A$6,YEAR(AE$4)&gt;=YEAR($F263),$K263="k"),ROUND(VLOOKUP(AJ$4,Preisindex,2,FALSE)/VLOOKUP(YEAR($F263),Preisindex,2,FALSE),2),0)))))</f>
        <v>0</v>
      </c>
      <c r="AK263" s="56">
        <f>IF(AND($E263&lt;&gt;0,$F263&gt;0,YEAR($F263)&lt;Preisindex!$A$6,YEAR(AE$4)&gt;=YEAR($F263),AND($K263&lt;&gt;"a",$K263&lt;&gt;"b",$K263&lt;&gt;"g",$K263&lt;&gt;"k")),1,IF(AND($E263&lt;&gt;0,$F263&gt;0,YEAR($F263)&lt;Preisindex!$A$6,YEAR(AE$4)&gt;=YEAR($F263),$K263="a"),ROUND(VLOOKUP(AJ$4,Preisindex,5,FALSE)/VLOOKUP(Preisindex!$A$6,Preisindex,5,FALSE),2),IF(AND($E263&lt;&gt;0,$F263&gt;0,YEAR($F263)&lt;Preisindex!$A$6,YEAR(AE$4)&gt;=YEAR($F263),$K263="b"),ROUND(VLOOKUP(AJ$4,Preisindex,3,FALSE)/VLOOKUP(Preisindex!$A$6,Preisindex,3,FALSE),2),IF(AND($E263&lt;&gt;0,$F263&gt;0,YEAR($F263)&lt;Preisindex!$A$6,YEAR(AE$4)&gt;=YEAR($F263),$K263="g"),ROUND(VLOOKUP(AJ$4,Preisindex,4,FALSE)/VLOOKUP(Preisindex!$A$6,Preisindex,4,FALSE),2),IF(AND($E263&lt;&gt;0,$F263&gt;0,YEAR($F263)&lt;Preisindex!$A$6,YEAR(AE$4)&gt;=YEAR($F263),$K263="k"),ROUND(VLOOKUP(AJ$4,Preisindex,2,FALSE)/VLOOKUP(Preisindex!$A$6,Preisindex,2,FALSE),2),0)))))</f>
        <v>0</v>
      </c>
      <c r="AL263" s="51">
        <f>IF(AND($E263&lt;&gt;0,$F263&gt;0,YEAR($F263)&lt;=AJ$4,YEAR($F263)&gt;=Preisindex!$A$6),ROUND($E263*AJ263,2),IF(AND($E263&lt;&gt;0,$F263&gt;0,YEAR($F263)&lt;=AJ$4,YEAR($F263)&lt;Preisindex!$A$6),ROUND($E263*AK263,2),0))</f>
        <v>0</v>
      </c>
      <c r="AM263" s="53">
        <f t="shared" ref="AM263:AM319" si="838">IF(AND(AC263&lt;&gt;0,AC263=$M263),AL263*$L263,IF(AND(AC263&lt;&gt;0,AC263&lt;&gt;$M263),AL263*($L263*(AC263/$M263)),0))</f>
        <v>0</v>
      </c>
      <c r="AN263" s="51">
        <f t="shared" si="754"/>
        <v>0</v>
      </c>
      <c r="AO263" s="51">
        <f t="shared" si="710"/>
        <v>0</v>
      </c>
      <c r="AP263" s="51">
        <f t="shared" si="755"/>
        <v>0</v>
      </c>
      <c r="AQ263" s="51">
        <f t="shared" si="711"/>
        <v>0</v>
      </c>
      <c r="AR263" s="51">
        <f t="shared" si="756"/>
        <v>0</v>
      </c>
      <c r="AS263" s="51">
        <f t="shared" si="712"/>
        <v>0</v>
      </c>
      <c r="AT263" s="51">
        <f t="shared" si="757"/>
        <v>0</v>
      </c>
      <c r="AU263" s="51">
        <f t="shared" si="713"/>
        <v>0</v>
      </c>
      <c r="AV263" s="51">
        <f t="shared" si="758"/>
        <v>0</v>
      </c>
      <c r="AW263" s="51">
        <f t="shared" si="714"/>
        <v>0</v>
      </c>
      <c r="AX263" s="51">
        <f t="shared" si="759"/>
        <v>0</v>
      </c>
      <c r="AY263" s="54">
        <f t="shared" si="760"/>
        <v>0</v>
      </c>
      <c r="AZ263" s="55">
        <f t="shared" si="761"/>
        <v>0</v>
      </c>
      <c r="BA263" s="56">
        <f>IF(AND($E263&lt;&gt;0,$F263&gt;0,YEAR($F263)&gt;=Preisindex!$A$6,YEAR(AV$4)&gt;=YEAR($F263),AND($K263&lt;&gt;"a",$K263&lt;&gt;"b",$K263&lt;&gt;"g",$K263&lt;&gt;"k")),1,IF(AND($E263&lt;&gt;0,$F263&gt;0,YEAR($F263)&gt;=Preisindex!$A$6,YEAR(AV$4)&gt;=YEAR($F263),$K263="a"),ROUND(VLOOKUP(BA$4,Preisindex,5,FALSE)/VLOOKUP(YEAR($F263),Preisindex,5,FALSE),2),IF(AND($E263&lt;&gt;0,$F263&gt;0,YEAR($F263)&gt;=Preisindex!$A$6,YEAR(AV$4)&gt;=YEAR($F263),$K263="b"),ROUND(VLOOKUP(BA$4,Preisindex,3,FALSE)/VLOOKUP(YEAR($F263),Preisindex,3,FALSE),2),IF(AND($E263&lt;&gt;0,$F263&gt;0,YEAR($F263)&gt;=Preisindex!$A$6,YEAR(AV$4)&gt;=YEAR($F263),$K263="g"),ROUND(VLOOKUP(BA$4,Preisindex,4,FALSE)/VLOOKUP(YEAR($F263),Preisindex,4,FALSE),2),IF(AND($E263&lt;&gt;0,$F263&gt;0,YEAR($F263)&gt;=Preisindex!$A$6,YEAR(AV$4)&gt;=YEAR($F263),$K263="k"),ROUND(VLOOKUP(BA$4,Preisindex,2,FALSE)/VLOOKUP(YEAR($F263),Preisindex,2,FALSE),2),0)))))</f>
        <v>0</v>
      </c>
      <c r="BB263" s="56">
        <f>IF(AND($E263&lt;&gt;0,$F263&gt;0,YEAR($F263)&lt;Preisindex!$A$6,YEAR(AV$4)&gt;=YEAR($F263),AND($K263&lt;&gt;"a",$K263&lt;&gt;"b",$K263&lt;&gt;"g",$K263&lt;&gt;"k")),1,IF(AND($E263&lt;&gt;0,$F263&gt;0,YEAR($F263)&lt;Preisindex!$A$6,YEAR(AV$4)&gt;=YEAR($F263),$K263="a"),ROUND(VLOOKUP(BA$4,Preisindex,5,FALSE)/VLOOKUP(Preisindex!$A$6,Preisindex,5,FALSE),2),IF(AND($E263&lt;&gt;0,$F263&gt;0,YEAR($F263)&lt;Preisindex!$A$6,YEAR(AV$4)&gt;=YEAR($F263),$K263="b"),ROUND(VLOOKUP(BA$4,Preisindex,3,FALSE)/VLOOKUP(Preisindex!$A$6,Preisindex,3,FALSE),2),IF(AND($E263&lt;&gt;0,$F263&gt;0,YEAR($F263)&lt;Preisindex!$A$6,YEAR(AV$4)&gt;=YEAR($F263),$K263="g"),ROUND(VLOOKUP(BA$4,Preisindex,4,FALSE)/VLOOKUP(Preisindex!$A$6,Preisindex,4,FALSE),2),IF(AND($E263&lt;&gt;0,$F263&gt;0,YEAR($F263)&lt;Preisindex!$A$6,YEAR(AV$4)&gt;=YEAR($F263),$K263="k"),ROUND(VLOOKUP(BA$4,Preisindex,2,FALSE)/VLOOKUP(Preisindex!$A$6,Preisindex,2,FALSE),2),0)))))</f>
        <v>0</v>
      </c>
      <c r="BC263" s="51">
        <f>IF(AND($E263&lt;&gt;0,$F263&gt;0,YEAR($F263)&lt;=BA$4,YEAR($F263)&gt;=Preisindex!$A$6),ROUND($E263*BA263,2),IF(AND($E263&lt;&gt;0,$F263&gt;0,YEAR($F263)&lt;=BA$4,YEAR($F263)&lt;Preisindex!$A$6),ROUND($E263*BB263,2),0))</f>
        <v>0</v>
      </c>
      <c r="BD263" s="53">
        <f t="shared" si="762"/>
        <v>0</v>
      </c>
      <c r="BE263" s="51">
        <f t="shared" si="754"/>
        <v>0</v>
      </c>
      <c r="BF263" s="51">
        <f t="shared" si="715"/>
        <v>0</v>
      </c>
      <c r="BG263" s="51">
        <f t="shared" si="763"/>
        <v>0</v>
      </c>
      <c r="BH263" s="51">
        <f t="shared" si="716"/>
        <v>0</v>
      </c>
      <c r="BI263" s="51">
        <f t="shared" si="764"/>
        <v>0</v>
      </c>
      <c r="BJ263" s="51">
        <f t="shared" si="717"/>
        <v>0</v>
      </c>
      <c r="BK263" s="51">
        <f t="shared" si="765"/>
        <v>0</v>
      </c>
      <c r="BL263" s="51">
        <f t="shared" si="718"/>
        <v>0</v>
      </c>
      <c r="BM263" s="51">
        <f t="shared" si="766"/>
        <v>0</v>
      </c>
      <c r="BN263" s="51">
        <f t="shared" si="719"/>
        <v>0</v>
      </c>
      <c r="BO263" s="51">
        <f t="shared" si="767"/>
        <v>0</v>
      </c>
      <c r="BP263" s="54">
        <f t="shared" si="768"/>
        <v>0</v>
      </c>
      <c r="BQ263" s="55">
        <f t="shared" si="769"/>
        <v>0</v>
      </c>
      <c r="BR263" s="56">
        <f>IF(AND($E263&lt;&gt;0,$F263&gt;0,YEAR($F263)&gt;=Preisindex!$A$6,YEAR(BM$4)&gt;=YEAR($F263),AND($K263&lt;&gt;"a",$K263&lt;&gt;"b",$K263&lt;&gt;"g",$K263&lt;&gt;"k")),1,IF(AND($E263&lt;&gt;0,$F263&gt;0,YEAR($F263)&gt;=Preisindex!$A$6,YEAR(BM$4)&gt;=YEAR($F263),$K263="a"),ROUND(VLOOKUP(BR$4,Preisindex,5,FALSE)/VLOOKUP(YEAR($F263),Preisindex,5,FALSE),2),IF(AND($E263&lt;&gt;0,$F263&gt;0,YEAR($F263)&gt;=Preisindex!$A$6,YEAR(BM$4)&gt;=YEAR($F263),$K263="b"),ROUND(VLOOKUP(BR$4,Preisindex,3,FALSE)/VLOOKUP(YEAR($F263),Preisindex,3,FALSE),2),IF(AND($E263&lt;&gt;0,$F263&gt;0,YEAR($F263)&gt;=Preisindex!$A$6,YEAR(BM$4)&gt;=YEAR($F263),$K263="g"),ROUND(VLOOKUP(BR$4,Preisindex,4,FALSE)/VLOOKUP(YEAR($F263),Preisindex,4,FALSE),2),IF(AND($E263&lt;&gt;0,$F263&gt;0,YEAR($F263)&gt;=Preisindex!$A$6,YEAR(BM$4)&gt;=YEAR($F263),$K263="k"),ROUND(VLOOKUP(BR$4,Preisindex,2,FALSE)/VLOOKUP(YEAR($F263),Preisindex,2,FALSE),2),0)))))</f>
        <v>0</v>
      </c>
      <c r="BS263" s="56">
        <f>IF(AND($E263&lt;&gt;0,$F263&gt;0,YEAR($F263)&lt;Preisindex!$A$6,YEAR(BM$4)&gt;=YEAR($F263),AND($K263&lt;&gt;"a",$K263&lt;&gt;"b",$K263&lt;&gt;"g",$K263&lt;&gt;"k")),1,IF(AND($E263&lt;&gt;0,$F263&gt;0,YEAR($F263)&lt;Preisindex!$A$6,YEAR(BM$4)&gt;=YEAR($F263),$K263="a"),ROUND(VLOOKUP(BR$4,Preisindex,5,FALSE)/VLOOKUP(Preisindex!$A$6,Preisindex,5,FALSE),2),IF(AND($E263&lt;&gt;0,$F263&gt;0,YEAR($F263)&lt;Preisindex!$A$6,YEAR(BM$4)&gt;=YEAR($F263),$K263="b"),ROUND(VLOOKUP(BR$4,Preisindex,3,FALSE)/VLOOKUP(Preisindex!$A$6,Preisindex,3,FALSE),2),IF(AND($E263&lt;&gt;0,$F263&gt;0,YEAR($F263)&lt;Preisindex!$A$6,YEAR(BM$4)&gt;=YEAR($F263),$K263="g"),ROUND(VLOOKUP(BR$4,Preisindex,4,FALSE)/VLOOKUP(Preisindex!$A$6,Preisindex,4,FALSE),2),IF(AND($E263&lt;&gt;0,$F263&gt;0,YEAR($F263)&lt;Preisindex!$A$6,YEAR(BM$4)&gt;=YEAR($F263),$K263="k"),ROUND(VLOOKUP(BR$4,Preisindex,2,FALSE)/VLOOKUP(Preisindex!$A$6,Preisindex,2,FALSE),2),0)))))</f>
        <v>0</v>
      </c>
      <c r="BT263" s="51">
        <f>IF(AND($E263&lt;&gt;0,$F263&gt;0,YEAR($F263)&lt;=BR$4,YEAR($F263)&gt;=Preisindex!$A$6),ROUND($E263*BR263,2),IF(AND($E263&lt;&gt;0,$F263&gt;0,YEAR($F263)&lt;=BR$4,YEAR($F263)&lt;Preisindex!$A$6),ROUND($E263*BS263,2),0))</f>
        <v>0</v>
      </c>
      <c r="BU263" s="53">
        <f t="shared" si="770"/>
        <v>0</v>
      </c>
      <c r="BV263" s="51">
        <f t="shared" si="754"/>
        <v>0</v>
      </c>
      <c r="BW263" s="51">
        <f t="shared" si="720"/>
        <v>0</v>
      </c>
      <c r="BX263" s="51">
        <f t="shared" si="771"/>
        <v>0</v>
      </c>
      <c r="BY263" s="51">
        <f t="shared" si="721"/>
        <v>0</v>
      </c>
      <c r="BZ263" s="51">
        <f t="shared" si="772"/>
        <v>0</v>
      </c>
      <c r="CA263" s="51">
        <f t="shared" si="722"/>
        <v>0</v>
      </c>
      <c r="CB263" s="51">
        <f t="shared" si="773"/>
        <v>0</v>
      </c>
      <c r="CC263" s="51">
        <f t="shared" si="723"/>
        <v>0</v>
      </c>
      <c r="CD263" s="51">
        <f t="shared" si="774"/>
        <v>0</v>
      </c>
      <c r="CE263" s="51">
        <f t="shared" si="724"/>
        <v>0</v>
      </c>
      <c r="CF263" s="51">
        <f t="shared" si="775"/>
        <v>0</v>
      </c>
      <c r="CG263" s="54">
        <f t="shared" si="776"/>
        <v>0</v>
      </c>
      <c r="CH263" s="55">
        <f t="shared" si="777"/>
        <v>0</v>
      </c>
      <c r="CI263" s="56">
        <f>IF(AND($E263&lt;&gt;0,$F263&gt;0,YEAR($F263)&gt;=Preisindex!$A$6,YEAR(CD$4)&gt;=YEAR($F263),AND($K263&lt;&gt;"a",$K263&lt;&gt;"b",$K263&lt;&gt;"g",$K263&lt;&gt;"k")),1,IF(AND($E263&lt;&gt;0,$F263&gt;0,YEAR($F263)&gt;=Preisindex!$A$6,YEAR(CD$4)&gt;=YEAR($F263),$K263="a"),ROUND(VLOOKUP(CI$4,Preisindex,5,FALSE)/VLOOKUP(YEAR($F263),Preisindex,5,FALSE),2),IF(AND($E263&lt;&gt;0,$F263&gt;0,YEAR($F263)&gt;=Preisindex!$A$6,YEAR(CD$4)&gt;=YEAR($F263),$K263="b"),ROUND(VLOOKUP(CI$4,Preisindex,3,FALSE)/VLOOKUP(YEAR($F263),Preisindex,3,FALSE),2),IF(AND($E263&lt;&gt;0,$F263&gt;0,YEAR($F263)&gt;=Preisindex!$A$6,YEAR(CD$4)&gt;=YEAR($F263),$K263="g"),ROUND(VLOOKUP(CI$4,Preisindex,4,FALSE)/VLOOKUP(YEAR($F263),Preisindex,4,FALSE),2),IF(AND($E263&lt;&gt;0,$F263&gt;0,YEAR($F263)&gt;=Preisindex!$A$6,YEAR(CD$4)&gt;=YEAR($F263),$K263="k"),ROUND(VLOOKUP(CI$4,Preisindex,2,FALSE)/VLOOKUP(YEAR($F263),Preisindex,2,FALSE),2),0)))))</f>
        <v>0</v>
      </c>
      <c r="CJ263" s="56">
        <f>IF(AND($E263&lt;&gt;0,$F263&gt;0,YEAR($F263)&lt;Preisindex!$A$6,YEAR(CD$4)&gt;=YEAR($F263),AND($K263&lt;&gt;"a",$K263&lt;&gt;"b",$K263&lt;&gt;"g",$K263&lt;&gt;"k")),1,IF(AND($E263&lt;&gt;0,$F263&gt;0,YEAR($F263)&lt;Preisindex!$A$6,YEAR(CD$4)&gt;=YEAR($F263),$K263="a"),ROUND(VLOOKUP(CI$4,Preisindex,5,FALSE)/VLOOKUP(Preisindex!$A$6,Preisindex,5,FALSE),2),IF(AND($E263&lt;&gt;0,$F263&gt;0,YEAR($F263)&lt;Preisindex!$A$6,YEAR(CD$4)&gt;=YEAR($F263),$K263="b"),ROUND(VLOOKUP(CI$4,Preisindex,3,FALSE)/VLOOKUP(Preisindex!$A$6,Preisindex,3,FALSE),2),IF(AND($E263&lt;&gt;0,$F263&gt;0,YEAR($F263)&lt;Preisindex!$A$6,YEAR(CD$4)&gt;=YEAR($F263),$K263="g"),ROUND(VLOOKUP(CI$4,Preisindex,4,FALSE)/VLOOKUP(Preisindex!$A$6,Preisindex,4,FALSE),2),IF(AND($E263&lt;&gt;0,$F263&gt;0,YEAR($F263)&lt;Preisindex!$A$6,YEAR(CD$4)&gt;=YEAR($F263),$K263="k"),ROUND(VLOOKUP(CI$4,Preisindex,2,FALSE)/VLOOKUP(Preisindex!$A$6,Preisindex,2,FALSE),2),0)))))</f>
        <v>0</v>
      </c>
      <c r="CK263" s="51">
        <f>IF(AND($E263&lt;&gt;0,$F263&gt;0,YEAR($F263)&lt;=CI$4,YEAR($F263)&gt;=Preisindex!$A$6),ROUND($E263*CI263,2),IF(AND($E263&lt;&gt;0,$F263&gt;0,YEAR($F263)&lt;=CI$4,YEAR($F263)&lt;Preisindex!$A$6),ROUND($E263*CJ263,2),0))</f>
        <v>0</v>
      </c>
      <c r="CL263" s="53">
        <f t="shared" si="778"/>
        <v>0</v>
      </c>
      <c r="CM263" s="51">
        <f t="shared" si="754"/>
        <v>0</v>
      </c>
      <c r="CN263" s="51">
        <f t="shared" si="725"/>
        <v>0</v>
      </c>
      <c r="CO263" s="51">
        <f t="shared" si="779"/>
        <v>0</v>
      </c>
      <c r="CP263" s="51">
        <f t="shared" si="726"/>
        <v>0</v>
      </c>
      <c r="CQ263" s="51">
        <f t="shared" si="780"/>
        <v>0</v>
      </c>
      <c r="CR263" s="51">
        <f t="shared" si="727"/>
        <v>0</v>
      </c>
      <c r="CS263" s="51">
        <f t="shared" si="781"/>
        <v>0</v>
      </c>
      <c r="CT263" s="51">
        <f t="shared" si="728"/>
        <v>0</v>
      </c>
      <c r="CU263" s="51">
        <f t="shared" si="782"/>
        <v>0</v>
      </c>
      <c r="CV263" s="51">
        <f t="shared" si="729"/>
        <v>0</v>
      </c>
      <c r="CW263" s="51">
        <f t="shared" si="783"/>
        <v>0</v>
      </c>
      <c r="CX263" s="54">
        <f t="shared" si="784"/>
        <v>0</v>
      </c>
      <c r="CY263" s="55">
        <f t="shared" si="785"/>
        <v>0</v>
      </c>
      <c r="CZ263" s="56">
        <f>IF(AND($E263&lt;&gt;0,$F263&gt;0,YEAR($F263)&gt;=Preisindex!$A$6,YEAR(CU$4)&gt;=YEAR($F263),AND($K263&lt;&gt;"a",$K263&lt;&gt;"b",$K263&lt;&gt;"g",$K263&lt;&gt;"k")),1,IF(AND($E263&lt;&gt;0,$F263&gt;0,YEAR($F263)&gt;=Preisindex!$A$6,YEAR(CU$4)&gt;=YEAR($F263),$K263="a"),ROUND(VLOOKUP(CZ$4,Preisindex,5,FALSE)/VLOOKUP(YEAR($F263),Preisindex,5,FALSE),2),IF(AND($E263&lt;&gt;0,$F263&gt;0,YEAR($F263)&gt;=Preisindex!$A$6,YEAR(CU$4)&gt;=YEAR($F263),$K263="b"),ROUND(VLOOKUP(CZ$4,Preisindex,3,FALSE)/VLOOKUP(YEAR($F263),Preisindex,3,FALSE),2),IF(AND($E263&lt;&gt;0,$F263&gt;0,YEAR($F263)&gt;=Preisindex!$A$6,YEAR(CU$4)&gt;=YEAR($F263),$K263="g"),ROUND(VLOOKUP(CZ$4,Preisindex,4,FALSE)/VLOOKUP(YEAR($F263),Preisindex,4,FALSE),2),IF(AND($E263&lt;&gt;0,$F263&gt;0,YEAR($F263)&gt;=Preisindex!$A$6,YEAR(CU$4)&gt;=YEAR($F263),$K263="k"),ROUND(VLOOKUP(CZ$4,Preisindex,2,FALSE)/VLOOKUP(YEAR($F263),Preisindex,2,FALSE),2),0)))))</f>
        <v>0</v>
      </c>
      <c r="DA263" s="56">
        <f>IF(AND($E263&lt;&gt;0,$F263&gt;0,YEAR($F263)&lt;Preisindex!$A$6,YEAR(CU$4)&gt;=YEAR($F263),AND($K263&lt;&gt;"a",$K263&lt;&gt;"b",$K263&lt;&gt;"g",$K263&lt;&gt;"k")),1,IF(AND($E263&lt;&gt;0,$F263&gt;0,YEAR($F263)&lt;Preisindex!$A$6,YEAR(CU$4)&gt;=YEAR($F263),$K263="a"),ROUND(VLOOKUP(CZ$4,Preisindex,5,FALSE)/VLOOKUP(Preisindex!$A$6,Preisindex,5,FALSE),2),IF(AND($E263&lt;&gt;0,$F263&gt;0,YEAR($F263)&lt;Preisindex!$A$6,YEAR(CU$4)&gt;=YEAR($F263),$K263="b"),ROUND(VLOOKUP(CZ$4,Preisindex,3,FALSE)/VLOOKUP(Preisindex!$A$6,Preisindex,3,FALSE),2),IF(AND($E263&lt;&gt;0,$F263&gt;0,YEAR($F263)&lt;Preisindex!$A$6,YEAR(CU$4)&gt;=YEAR($F263),$K263="g"),ROUND(VLOOKUP(CZ$4,Preisindex,4,FALSE)/VLOOKUP(Preisindex!$A$6,Preisindex,4,FALSE),2),IF(AND($E263&lt;&gt;0,$F263&gt;0,YEAR($F263)&lt;Preisindex!$A$6,YEAR(CU$4)&gt;=YEAR($F263),$K263="k"),ROUND(VLOOKUP(CZ$4,Preisindex,2,FALSE)/VLOOKUP(Preisindex!$A$6,Preisindex,2,FALSE),2),0)))))</f>
        <v>0</v>
      </c>
      <c r="DB263" s="51">
        <f>IF(AND($E263&lt;&gt;0,$F263&gt;0,YEAR($F263)&lt;=CZ$4,YEAR($F263)&gt;=Preisindex!$A$6),ROUND($E263*CZ263,2),IF(AND($E263&lt;&gt;0,$F263&gt;0,YEAR($F263)&lt;=CZ$4,YEAR($F263)&lt;Preisindex!$A$6),ROUND($E263*DA263,2),0))</f>
        <v>0</v>
      </c>
      <c r="DC263" s="53">
        <f t="shared" si="786"/>
        <v>0</v>
      </c>
      <c r="DD263" s="51">
        <f t="shared" si="787"/>
        <v>0</v>
      </c>
      <c r="DE263" s="51">
        <f t="shared" si="730"/>
        <v>0</v>
      </c>
      <c r="DF263" s="51">
        <f t="shared" si="788"/>
        <v>0</v>
      </c>
      <c r="DG263" s="51">
        <f t="shared" si="731"/>
        <v>0</v>
      </c>
      <c r="DH263" s="51">
        <f t="shared" si="789"/>
        <v>0</v>
      </c>
      <c r="DI263" s="51">
        <f t="shared" si="732"/>
        <v>0</v>
      </c>
      <c r="DJ263" s="51">
        <f t="shared" si="790"/>
        <v>0</v>
      </c>
      <c r="DK263" s="51">
        <f t="shared" si="733"/>
        <v>0</v>
      </c>
      <c r="DL263" s="51">
        <f t="shared" si="791"/>
        <v>0</v>
      </c>
      <c r="DM263" s="51">
        <f t="shared" si="734"/>
        <v>0</v>
      </c>
      <c r="DN263" s="51">
        <f t="shared" si="792"/>
        <v>0</v>
      </c>
      <c r="DO263" s="54">
        <f t="shared" si="793"/>
        <v>0</v>
      </c>
      <c r="DP263" s="55">
        <f t="shared" si="794"/>
        <v>0</v>
      </c>
      <c r="DQ263" s="56">
        <f>IF(AND($E263&lt;&gt;0,$F263&gt;0,YEAR($F263)&gt;=Preisindex!$A$6,YEAR(DL$4)&gt;=YEAR($F263),AND($K263&lt;&gt;"a",$K263&lt;&gt;"b",$K263&lt;&gt;"g",$K263&lt;&gt;"k")),1,IF(AND($E263&lt;&gt;0,$F263&gt;0,YEAR($F263)&gt;=Preisindex!$A$6,YEAR(DL$4)&gt;=YEAR($F263),$K263="a"),ROUND(VLOOKUP(DQ$4,Preisindex,5,FALSE)/VLOOKUP(YEAR($F263),Preisindex,5,FALSE),2),IF(AND($E263&lt;&gt;0,$F263&gt;0,YEAR($F263)&gt;=Preisindex!$A$6,YEAR(DL$4)&gt;=YEAR($F263),$K263="b"),ROUND(VLOOKUP(DQ$4,Preisindex,3,FALSE)/VLOOKUP(YEAR($F263),Preisindex,3,FALSE),2),IF(AND($E263&lt;&gt;0,$F263&gt;0,YEAR($F263)&gt;=Preisindex!$A$6,YEAR(DL$4)&gt;=YEAR($F263),$K263="g"),ROUND(VLOOKUP(DQ$4,Preisindex,4,FALSE)/VLOOKUP(YEAR($F263),Preisindex,4,FALSE),2),IF(AND($E263&lt;&gt;0,$F263&gt;0,YEAR($F263)&gt;=Preisindex!$A$6,YEAR(DL$4)&gt;=YEAR($F263),$K263="k"),ROUND(VLOOKUP(DQ$4,Preisindex,2,FALSE)/VLOOKUP(YEAR($F263),Preisindex,2,FALSE),2),0)))))</f>
        <v>0</v>
      </c>
      <c r="DR263" s="56">
        <f>IF(AND($E263&lt;&gt;0,$F263&gt;0,YEAR($F263)&lt;Preisindex!$A$6,YEAR(DL$4)&gt;=YEAR($F263),AND($K263&lt;&gt;"a",$K263&lt;&gt;"b",$K263&lt;&gt;"g",$K263&lt;&gt;"k")),1,IF(AND($E263&lt;&gt;0,$F263&gt;0,YEAR($F263)&lt;Preisindex!$A$6,YEAR(DL$4)&gt;=YEAR($F263),$K263="a"),ROUND(VLOOKUP(DQ$4,Preisindex,5,FALSE)/VLOOKUP(Preisindex!$A$6,Preisindex,5,FALSE),2),IF(AND($E263&lt;&gt;0,$F263&gt;0,YEAR($F263)&lt;Preisindex!$A$6,YEAR(DL$4)&gt;=YEAR($F263),$K263="b"),ROUND(VLOOKUP(DQ$4,Preisindex,3,FALSE)/VLOOKUP(Preisindex!$A$6,Preisindex,3,FALSE),2),IF(AND($E263&lt;&gt;0,$F263&gt;0,YEAR($F263)&lt;Preisindex!$A$6,YEAR(DL$4)&gt;=YEAR($F263),$K263="g"),ROUND(VLOOKUP(DQ$4,Preisindex,4,FALSE)/VLOOKUP(Preisindex!$A$6,Preisindex,4,FALSE),2),IF(AND($E263&lt;&gt;0,$F263&gt;0,YEAR($F263)&lt;Preisindex!$A$6,YEAR(DL$4)&gt;=YEAR($F263),$K263="k"),ROUND(VLOOKUP(DQ$4,Preisindex,2,FALSE)/VLOOKUP(Preisindex!$A$6,Preisindex,2,FALSE),2),0)))))</f>
        <v>0</v>
      </c>
      <c r="DS263" s="51">
        <f>IF(AND($E263&lt;&gt;0,$F263&gt;0,YEAR($F263)&lt;=DQ$4,YEAR($F263)&gt;=Preisindex!$A$6),ROUND($E263*DQ263,2),IF(AND($E263&lt;&gt;0,$F263&gt;0,YEAR($F263)&lt;=DQ$4,YEAR($F263)&lt;Preisindex!$A$6),ROUND($E263*DR263,2),0))</f>
        <v>0</v>
      </c>
      <c r="DT263" s="53">
        <f t="shared" si="795"/>
        <v>0</v>
      </c>
      <c r="DU263" s="51">
        <f t="shared" si="787"/>
        <v>0</v>
      </c>
      <c r="DV263" s="51">
        <f t="shared" si="735"/>
        <v>0</v>
      </c>
      <c r="DW263" s="51">
        <f t="shared" si="796"/>
        <v>0</v>
      </c>
      <c r="DX263" s="51">
        <f t="shared" si="736"/>
        <v>0</v>
      </c>
      <c r="DY263" s="51">
        <f t="shared" si="797"/>
        <v>0</v>
      </c>
      <c r="DZ263" s="51">
        <f t="shared" si="737"/>
        <v>0</v>
      </c>
      <c r="EA263" s="51">
        <f t="shared" si="798"/>
        <v>0</v>
      </c>
      <c r="EB263" s="51">
        <f t="shared" si="738"/>
        <v>0</v>
      </c>
      <c r="EC263" s="51">
        <f t="shared" si="799"/>
        <v>0</v>
      </c>
      <c r="ED263" s="51">
        <f t="shared" si="739"/>
        <v>0</v>
      </c>
      <c r="EE263" s="51">
        <f t="shared" si="800"/>
        <v>0</v>
      </c>
      <c r="EF263" s="54">
        <f t="shared" si="801"/>
        <v>0</v>
      </c>
      <c r="EG263" s="55">
        <f t="shared" si="802"/>
        <v>0</v>
      </c>
      <c r="EH263" s="56">
        <f>IF(AND($E263&lt;&gt;0,$F263&gt;0,YEAR($F263)&gt;=Preisindex!$A$6,YEAR(EC$4)&gt;=YEAR($F263),AND($K263&lt;&gt;"a",$K263&lt;&gt;"b",$K263&lt;&gt;"g",$K263&lt;&gt;"k")),1,IF(AND($E263&lt;&gt;0,$F263&gt;0,YEAR($F263)&gt;=Preisindex!$A$6,YEAR(EC$4)&gt;=YEAR($F263),$K263="a"),ROUND(VLOOKUP(EH$4,Preisindex,5,FALSE)/VLOOKUP(YEAR($F263),Preisindex,5,FALSE),2),IF(AND($E263&lt;&gt;0,$F263&gt;0,YEAR($F263)&gt;=Preisindex!$A$6,YEAR(EC$4)&gt;=YEAR($F263),$K263="b"),ROUND(VLOOKUP(EH$4,Preisindex,3,FALSE)/VLOOKUP(YEAR($F263),Preisindex,3,FALSE),2),IF(AND($E263&lt;&gt;0,$F263&gt;0,YEAR($F263)&gt;=Preisindex!$A$6,YEAR(EC$4)&gt;=YEAR($F263),$K263="g"),ROUND(VLOOKUP(EH$4,Preisindex,4,FALSE)/VLOOKUP(YEAR($F263),Preisindex,4,FALSE),2),IF(AND($E263&lt;&gt;0,$F263&gt;0,YEAR($F263)&gt;=Preisindex!$A$6,YEAR(EC$4)&gt;=YEAR($F263),$K263="k"),ROUND(VLOOKUP(EH$4,Preisindex,2,FALSE)/VLOOKUP(YEAR($F263),Preisindex,2,FALSE),2),0)))))</f>
        <v>0</v>
      </c>
      <c r="EI263" s="56">
        <f>IF(AND($E263&lt;&gt;0,$F263&gt;0,YEAR($F263)&lt;Preisindex!$A$6,YEAR(EC$4)&gt;=YEAR($F263),AND($K263&lt;&gt;"a",$K263&lt;&gt;"b",$K263&lt;&gt;"g",$K263&lt;&gt;"k")),1,IF(AND($E263&lt;&gt;0,$F263&gt;0,YEAR($F263)&lt;Preisindex!$A$6,YEAR(EC$4)&gt;=YEAR($F263),$K263="a"),ROUND(VLOOKUP(EH$4,Preisindex,5,FALSE)/VLOOKUP(Preisindex!$A$6,Preisindex,5,FALSE),2),IF(AND($E263&lt;&gt;0,$F263&gt;0,YEAR($F263)&lt;Preisindex!$A$6,YEAR(EC$4)&gt;=YEAR($F263),$K263="b"),ROUND(VLOOKUP(EH$4,Preisindex,3,FALSE)/VLOOKUP(Preisindex!$A$6,Preisindex,3,FALSE),2),IF(AND($E263&lt;&gt;0,$F263&gt;0,YEAR($F263)&lt;Preisindex!$A$6,YEAR(EC$4)&gt;=YEAR($F263),$K263="g"),ROUND(VLOOKUP(EH$4,Preisindex,4,FALSE)/VLOOKUP(Preisindex!$A$6,Preisindex,4,FALSE),2),IF(AND($E263&lt;&gt;0,$F263&gt;0,YEAR($F263)&lt;Preisindex!$A$6,YEAR(EC$4)&gt;=YEAR($F263),$K263="k"),ROUND(VLOOKUP(EH$4,Preisindex,2,FALSE)/VLOOKUP(Preisindex!$A$6,Preisindex,2,FALSE),2),0)))))</f>
        <v>0</v>
      </c>
      <c r="EJ263" s="51">
        <f>IF(AND($E263&lt;&gt;0,$F263&gt;0,YEAR($F263)&lt;=EH$4,YEAR($F263)&gt;=Preisindex!$A$6),ROUND($E263*EH263,2),IF(AND($E263&lt;&gt;0,$F263&gt;0,YEAR($F263)&lt;=EH$4,YEAR($F263)&lt;Preisindex!$A$6),ROUND($E263*EI263,2),0))</f>
        <v>0</v>
      </c>
      <c r="EK263" s="53">
        <f t="shared" si="803"/>
        <v>0</v>
      </c>
      <c r="EL263" s="51">
        <f t="shared" si="787"/>
        <v>0</v>
      </c>
      <c r="EM263" s="51">
        <f t="shared" si="740"/>
        <v>0</v>
      </c>
      <c r="EN263" s="51">
        <f t="shared" si="804"/>
        <v>0</v>
      </c>
      <c r="EO263" s="51">
        <f t="shared" si="741"/>
        <v>0</v>
      </c>
      <c r="EP263" s="51">
        <f t="shared" si="805"/>
        <v>0</v>
      </c>
      <c r="EQ263" s="51">
        <f t="shared" si="742"/>
        <v>0</v>
      </c>
      <c r="ER263" s="51">
        <f t="shared" si="806"/>
        <v>0</v>
      </c>
      <c r="ES263" s="51">
        <f t="shared" si="743"/>
        <v>0</v>
      </c>
      <c r="ET263" s="51">
        <f t="shared" si="807"/>
        <v>0</v>
      </c>
      <c r="EU263" s="51">
        <f t="shared" si="744"/>
        <v>0</v>
      </c>
      <c r="EV263" s="51">
        <f t="shared" si="808"/>
        <v>0</v>
      </c>
      <c r="EW263" s="54">
        <f t="shared" si="809"/>
        <v>0</v>
      </c>
      <c r="EX263" s="55">
        <f t="shared" si="810"/>
        <v>0</v>
      </c>
      <c r="EY263" s="56">
        <f>IF(AND($E263&lt;&gt;0,$F263&gt;0,YEAR($F263)&gt;=Preisindex!$A$6,YEAR(ET$4)&gt;=YEAR($F263),AND($K263&lt;&gt;"a",$K263&lt;&gt;"b",$K263&lt;&gt;"g",$K263&lt;&gt;"k")),1,IF(AND($E263&lt;&gt;0,$F263&gt;0,YEAR($F263)&gt;=Preisindex!$A$6,YEAR(ET$4)&gt;=YEAR($F263),$K263="a"),ROUND(VLOOKUP(EY$4,Preisindex,5,FALSE)/VLOOKUP(YEAR($F263),Preisindex,5,FALSE),2),IF(AND($E263&lt;&gt;0,$F263&gt;0,YEAR($F263)&gt;=Preisindex!$A$6,YEAR(ET$4)&gt;=YEAR($F263),$K263="b"),ROUND(VLOOKUP(EY$4,Preisindex,3,FALSE)/VLOOKUP(YEAR($F263),Preisindex,3,FALSE),2),IF(AND($E263&lt;&gt;0,$F263&gt;0,YEAR($F263)&gt;=Preisindex!$A$6,YEAR(ET$4)&gt;=YEAR($F263),$K263="g"),ROUND(VLOOKUP(EY$4,Preisindex,4,FALSE)/VLOOKUP(YEAR($F263),Preisindex,4,FALSE),2),IF(AND($E263&lt;&gt;0,$F263&gt;0,YEAR($F263)&gt;=Preisindex!$A$6,YEAR(ET$4)&gt;=YEAR($F263),$K263="k"),ROUND(VLOOKUP(EY$4,Preisindex,2,FALSE)/VLOOKUP(YEAR($F263),Preisindex,2,FALSE),2),0)))))</f>
        <v>0</v>
      </c>
      <c r="EZ263" s="56">
        <f>IF(AND($E263&lt;&gt;0,$F263&gt;0,YEAR($F263)&lt;Preisindex!$A$6,YEAR(ET$4)&gt;=YEAR($F263),AND($K263&lt;&gt;"a",$K263&lt;&gt;"b",$K263&lt;&gt;"g",$K263&lt;&gt;"k")),1,IF(AND($E263&lt;&gt;0,$F263&gt;0,YEAR($F263)&lt;Preisindex!$A$6,YEAR(ET$4)&gt;=YEAR($F263),$K263="a"),ROUND(VLOOKUP(EY$4,Preisindex,5,FALSE)/VLOOKUP(Preisindex!$A$6,Preisindex,5,FALSE),2),IF(AND($E263&lt;&gt;0,$F263&gt;0,YEAR($F263)&lt;Preisindex!$A$6,YEAR(ET$4)&gt;=YEAR($F263),$K263="b"),ROUND(VLOOKUP(EY$4,Preisindex,3,FALSE)/VLOOKUP(Preisindex!$A$6,Preisindex,3,FALSE),2),IF(AND($E263&lt;&gt;0,$F263&gt;0,YEAR($F263)&lt;Preisindex!$A$6,YEAR(ET$4)&gt;=YEAR($F263),$K263="g"),ROUND(VLOOKUP(EY$4,Preisindex,4,FALSE)/VLOOKUP(Preisindex!$A$6,Preisindex,4,FALSE),2),IF(AND($E263&lt;&gt;0,$F263&gt;0,YEAR($F263)&lt;Preisindex!$A$6,YEAR(ET$4)&gt;=YEAR($F263),$K263="k"),ROUND(VLOOKUP(EY$4,Preisindex,2,FALSE)/VLOOKUP(Preisindex!$A$6,Preisindex,2,FALSE),2),0)))))</f>
        <v>0</v>
      </c>
      <c r="FA263" s="51">
        <f>IF(AND($E263&lt;&gt;0,$F263&gt;0,YEAR($F263)&lt;=EY$4,YEAR($F263)&gt;=Preisindex!$A$6),ROUND($E263*EY263,2),IF(AND($E263&lt;&gt;0,$F263&gt;0,YEAR($F263)&lt;=EY$4,YEAR($F263)&lt;Preisindex!$A$6),ROUND($E263*EZ263,2),0))</f>
        <v>0</v>
      </c>
      <c r="FB263" s="53">
        <f t="shared" si="811"/>
        <v>0</v>
      </c>
      <c r="FC263" s="51">
        <f t="shared" si="787"/>
        <v>0</v>
      </c>
      <c r="FD263" s="51">
        <f t="shared" si="745"/>
        <v>0</v>
      </c>
      <c r="FE263" s="51">
        <f t="shared" si="812"/>
        <v>0</v>
      </c>
      <c r="FF263" s="51">
        <f t="shared" si="746"/>
        <v>0</v>
      </c>
      <c r="FG263" s="51">
        <f t="shared" si="813"/>
        <v>0</v>
      </c>
      <c r="FH263" s="51">
        <f t="shared" si="747"/>
        <v>0</v>
      </c>
      <c r="FI263" s="51">
        <f t="shared" si="814"/>
        <v>0</v>
      </c>
      <c r="FJ263" s="51">
        <f t="shared" si="748"/>
        <v>0</v>
      </c>
      <c r="FK263" s="51">
        <f t="shared" si="815"/>
        <v>0</v>
      </c>
      <c r="FL263" s="51">
        <f t="shared" si="749"/>
        <v>0</v>
      </c>
      <c r="FM263" s="51">
        <f t="shared" si="816"/>
        <v>0</v>
      </c>
      <c r="FN263" s="54">
        <f t="shared" si="817"/>
        <v>0</v>
      </c>
      <c r="FO263" s="55">
        <f t="shared" si="818"/>
        <v>0</v>
      </c>
      <c r="FP263" s="56">
        <f>IF(AND($E263&lt;&gt;0,$F263&gt;0,YEAR($F263)&gt;=Preisindex!$A$6,YEAR(FK$4)&gt;=YEAR($F263),AND($K263&lt;&gt;"a",$K263&lt;&gt;"b",$K263&lt;&gt;"g",$K263&lt;&gt;"k")),1,IF(AND($E263&lt;&gt;0,$F263&gt;0,YEAR($F263)&gt;=Preisindex!$A$6,YEAR(FK$4)&gt;=YEAR($F263),$K263="a"),ROUND(VLOOKUP(FP$4,Preisindex,5,FALSE)/VLOOKUP(YEAR($F263),Preisindex,5,FALSE),2),IF(AND($E263&lt;&gt;0,$F263&gt;0,YEAR($F263)&gt;=Preisindex!$A$6,YEAR(FK$4)&gt;=YEAR($F263),$K263="b"),ROUND(VLOOKUP(FP$4,Preisindex,3,FALSE)/VLOOKUP(YEAR($F263),Preisindex,3,FALSE),2),IF(AND($E263&lt;&gt;0,$F263&gt;0,YEAR($F263)&gt;=Preisindex!$A$6,YEAR(FK$4)&gt;=YEAR($F263),$K263="g"),ROUND(VLOOKUP(FP$4,Preisindex,4,FALSE)/VLOOKUP(YEAR($F263),Preisindex,4,FALSE),2),IF(AND($E263&lt;&gt;0,$F263&gt;0,YEAR($F263)&gt;=Preisindex!$A$6,YEAR(FK$4)&gt;=YEAR($F263),$K263="k"),ROUND(VLOOKUP(FP$4,Preisindex,2,FALSE)/VLOOKUP(YEAR($F263),Preisindex,2,FALSE),2),0)))))</f>
        <v>0</v>
      </c>
      <c r="FQ263" s="56">
        <f>IF(AND($E263&lt;&gt;0,$F263&gt;0,YEAR($F263)&lt;Preisindex!$A$6,YEAR(FK$4)&gt;=YEAR($F263),AND($K263&lt;&gt;"a",$K263&lt;&gt;"b",$K263&lt;&gt;"g",$K263&lt;&gt;"k")),1,IF(AND($E263&lt;&gt;0,$F263&gt;0,YEAR($F263)&lt;Preisindex!$A$6,YEAR(FK$4)&gt;=YEAR($F263),$K263="a"),ROUND(VLOOKUP(FP$4,Preisindex,5,FALSE)/VLOOKUP(Preisindex!$A$6,Preisindex,5,FALSE),2),IF(AND($E263&lt;&gt;0,$F263&gt;0,YEAR($F263)&lt;Preisindex!$A$6,YEAR(FK$4)&gt;=YEAR($F263),$K263="b"),ROUND(VLOOKUP(FP$4,Preisindex,3,FALSE)/VLOOKUP(Preisindex!$A$6,Preisindex,3,FALSE),2),IF(AND($E263&lt;&gt;0,$F263&gt;0,YEAR($F263)&lt;Preisindex!$A$6,YEAR(FK$4)&gt;=YEAR($F263),$K263="g"),ROUND(VLOOKUP(FP$4,Preisindex,4,FALSE)/VLOOKUP(Preisindex!$A$6,Preisindex,4,FALSE),2),IF(AND($E263&lt;&gt;0,$F263&gt;0,YEAR($F263)&lt;Preisindex!$A$6,YEAR(FK$4)&gt;=YEAR($F263),$K263="k"),ROUND(VLOOKUP(FP$4,Preisindex,2,FALSE)/VLOOKUP(Preisindex!$A$6,Preisindex,2,FALSE),2),0)))))</f>
        <v>0</v>
      </c>
      <c r="FR263" s="51">
        <f>IF(AND($E263&lt;&gt;0,$F263&gt;0,YEAR($F263)&lt;=FP$4,YEAR($F263)&gt;=Preisindex!$A$6),ROUND($E263*FP263,2),IF(AND($E263&lt;&gt;0,$F263&gt;0,YEAR($F263)&lt;=FP$4,YEAR($F263)&lt;Preisindex!$A$6),ROUND($E263*FQ263,2),0))</f>
        <v>0</v>
      </c>
      <c r="FS263" s="53">
        <f t="shared" si="819"/>
        <v>0</v>
      </c>
    </row>
    <row r="264" spans="1:175" x14ac:dyDescent="0.3">
      <c r="A264" s="185"/>
      <c r="B264" s="186"/>
      <c r="C264" s="187"/>
      <c r="D264" s="188"/>
      <c r="E264" s="189"/>
      <c r="F264" s="190"/>
      <c r="G264" s="191"/>
      <c r="H264" s="192"/>
      <c r="I264" s="193"/>
      <c r="J264" s="194"/>
      <c r="K264" s="630"/>
      <c r="L264" s="49">
        <f t="shared" si="820"/>
        <v>0</v>
      </c>
      <c r="M264" s="50">
        <f t="shared" si="821"/>
        <v>0</v>
      </c>
      <c r="N264" s="51">
        <f t="shared" si="822"/>
        <v>0</v>
      </c>
      <c r="O264" s="51"/>
      <c r="P264" s="51">
        <f t="shared" si="823"/>
        <v>0</v>
      </c>
      <c r="Q264" s="52"/>
      <c r="R264" s="52"/>
      <c r="S264" s="52"/>
      <c r="T264" s="52"/>
      <c r="U264" s="52"/>
      <c r="V264" s="53">
        <f t="shared" si="824"/>
        <v>0</v>
      </c>
      <c r="W264" s="51">
        <f t="shared" si="825"/>
        <v>0</v>
      </c>
      <c r="X264" s="51">
        <f t="shared" si="826"/>
        <v>0</v>
      </c>
      <c r="Y264" s="51">
        <f t="shared" si="827"/>
        <v>0</v>
      </c>
      <c r="Z264" s="51">
        <f t="shared" si="828"/>
        <v>0</v>
      </c>
      <c r="AA264" s="51">
        <f t="shared" si="829"/>
        <v>0</v>
      </c>
      <c r="AB264" s="51">
        <f t="shared" si="830"/>
        <v>0</v>
      </c>
      <c r="AC264" s="51">
        <f t="shared" si="831"/>
        <v>0</v>
      </c>
      <c r="AD264" s="51">
        <f t="shared" si="832"/>
        <v>0</v>
      </c>
      <c r="AE264" s="51">
        <f t="shared" si="833"/>
        <v>0</v>
      </c>
      <c r="AF264" s="51">
        <f t="shared" si="834"/>
        <v>0</v>
      </c>
      <c r="AG264" s="51">
        <f t="shared" si="835"/>
        <v>0</v>
      </c>
      <c r="AH264" s="54">
        <f t="shared" si="836"/>
        <v>0</v>
      </c>
      <c r="AI264" s="55">
        <f t="shared" si="837"/>
        <v>0</v>
      </c>
      <c r="AJ264" s="56">
        <f>IF(AND($E264&lt;&gt;0,$F264&gt;0,YEAR($F264)&gt;=Preisindex!$A$6,YEAR(AE$4)&gt;=YEAR($F264),AND($K264&lt;&gt;"a",$K264&lt;&gt;"b",$K264&lt;&gt;"g",$K264&lt;&gt;"k")),1,IF(AND($E264&lt;&gt;0,$F264&gt;0,YEAR($F264)&gt;=Preisindex!$A$6,YEAR(AE$4)&gt;=YEAR($F264),$K264="a"),ROUND(VLOOKUP(AJ$4,Preisindex,5,FALSE)/VLOOKUP(YEAR($F264),Preisindex,5,FALSE),2),IF(AND($E264&lt;&gt;0,$F264&gt;0,YEAR($F264)&gt;=Preisindex!$A$6,YEAR(AE$4)&gt;=YEAR($F264),$K264="b"),ROUND(VLOOKUP(AJ$4,Preisindex,3,FALSE)/VLOOKUP(YEAR($F264),Preisindex,3,FALSE),2),IF(AND($E264&lt;&gt;0,$F264&gt;0,YEAR($F264)&gt;=Preisindex!$A$6,YEAR(AE$4)&gt;=YEAR($F264),$K264="g"),ROUND(VLOOKUP(AJ$4,Preisindex,4,FALSE)/VLOOKUP(YEAR($F264),Preisindex,4,FALSE),2),IF(AND($E264&lt;&gt;0,$F264&gt;0,YEAR($F264)&gt;=Preisindex!$A$6,YEAR(AE$4)&gt;=YEAR($F264),$K264="k"),ROUND(VLOOKUP(AJ$4,Preisindex,2,FALSE)/VLOOKUP(YEAR($F264),Preisindex,2,FALSE),2),0)))))</f>
        <v>0</v>
      </c>
      <c r="AK264" s="56">
        <f>IF(AND($E264&lt;&gt;0,$F264&gt;0,YEAR($F264)&lt;Preisindex!$A$6,YEAR(AE$4)&gt;=YEAR($F264),AND($K264&lt;&gt;"a",$K264&lt;&gt;"b",$K264&lt;&gt;"g",$K264&lt;&gt;"k")),1,IF(AND($E264&lt;&gt;0,$F264&gt;0,YEAR($F264)&lt;Preisindex!$A$6,YEAR(AE$4)&gt;=YEAR($F264),$K264="a"),ROUND(VLOOKUP(AJ$4,Preisindex,5,FALSE)/VLOOKUP(Preisindex!$A$6,Preisindex,5,FALSE),2),IF(AND($E264&lt;&gt;0,$F264&gt;0,YEAR($F264)&lt;Preisindex!$A$6,YEAR(AE$4)&gt;=YEAR($F264),$K264="b"),ROUND(VLOOKUP(AJ$4,Preisindex,3,FALSE)/VLOOKUP(Preisindex!$A$6,Preisindex,3,FALSE),2),IF(AND($E264&lt;&gt;0,$F264&gt;0,YEAR($F264)&lt;Preisindex!$A$6,YEAR(AE$4)&gt;=YEAR($F264),$K264="g"),ROUND(VLOOKUP(AJ$4,Preisindex,4,FALSE)/VLOOKUP(Preisindex!$A$6,Preisindex,4,FALSE),2),IF(AND($E264&lt;&gt;0,$F264&gt;0,YEAR($F264)&lt;Preisindex!$A$6,YEAR(AE$4)&gt;=YEAR($F264),$K264="k"),ROUND(VLOOKUP(AJ$4,Preisindex,2,FALSE)/VLOOKUP(Preisindex!$A$6,Preisindex,2,FALSE),2),0)))))</f>
        <v>0</v>
      </c>
      <c r="AL264" s="51">
        <f>IF(AND($E264&lt;&gt;0,$F264&gt;0,YEAR($F264)&lt;=AJ$4,YEAR($F264)&gt;=Preisindex!$A$6),ROUND($E264*AJ264,2),IF(AND($E264&lt;&gt;0,$F264&gt;0,YEAR($F264)&lt;=AJ$4,YEAR($F264)&lt;Preisindex!$A$6),ROUND($E264*AK264,2),0))</f>
        <v>0</v>
      </c>
      <c r="AM264" s="53">
        <f t="shared" si="838"/>
        <v>0</v>
      </c>
      <c r="AN264" s="51">
        <f t="shared" si="754"/>
        <v>0</v>
      </c>
      <c r="AO264" s="51">
        <f t="shared" si="710"/>
        <v>0</v>
      </c>
      <c r="AP264" s="51">
        <f t="shared" si="755"/>
        <v>0</v>
      </c>
      <c r="AQ264" s="51">
        <f t="shared" si="711"/>
        <v>0</v>
      </c>
      <c r="AR264" s="51">
        <f t="shared" si="756"/>
        <v>0</v>
      </c>
      <c r="AS264" s="51">
        <f t="shared" si="712"/>
        <v>0</v>
      </c>
      <c r="AT264" s="51">
        <f t="shared" si="757"/>
        <v>0</v>
      </c>
      <c r="AU264" s="51">
        <f t="shared" si="713"/>
        <v>0</v>
      </c>
      <c r="AV264" s="51">
        <f t="shared" si="758"/>
        <v>0</v>
      </c>
      <c r="AW264" s="51">
        <f t="shared" si="714"/>
        <v>0</v>
      </c>
      <c r="AX264" s="51">
        <f t="shared" si="759"/>
        <v>0</v>
      </c>
      <c r="AY264" s="54">
        <f t="shared" si="760"/>
        <v>0</v>
      </c>
      <c r="AZ264" s="55">
        <f t="shared" si="761"/>
        <v>0</v>
      </c>
      <c r="BA264" s="56">
        <f>IF(AND($E264&lt;&gt;0,$F264&gt;0,YEAR($F264)&gt;=Preisindex!$A$6,YEAR(AV$4)&gt;=YEAR($F264),AND($K264&lt;&gt;"a",$K264&lt;&gt;"b",$K264&lt;&gt;"g",$K264&lt;&gt;"k")),1,IF(AND($E264&lt;&gt;0,$F264&gt;0,YEAR($F264)&gt;=Preisindex!$A$6,YEAR(AV$4)&gt;=YEAR($F264),$K264="a"),ROUND(VLOOKUP(BA$4,Preisindex,5,FALSE)/VLOOKUP(YEAR($F264),Preisindex,5,FALSE),2),IF(AND($E264&lt;&gt;0,$F264&gt;0,YEAR($F264)&gt;=Preisindex!$A$6,YEAR(AV$4)&gt;=YEAR($F264),$K264="b"),ROUND(VLOOKUP(BA$4,Preisindex,3,FALSE)/VLOOKUP(YEAR($F264),Preisindex,3,FALSE),2),IF(AND($E264&lt;&gt;0,$F264&gt;0,YEAR($F264)&gt;=Preisindex!$A$6,YEAR(AV$4)&gt;=YEAR($F264),$K264="g"),ROUND(VLOOKUP(BA$4,Preisindex,4,FALSE)/VLOOKUP(YEAR($F264),Preisindex,4,FALSE),2),IF(AND($E264&lt;&gt;0,$F264&gt;0,YEAR($F264)&gt;=Preisindex!$A$6,YEAR(AV$4)&gt;=YEAR($F264),$K264="k"),ROUND(VLOOKUP(BA$4,Preisindex,2,FALSE)/VLOOKUP(YEAR($F264),Preisindex,2,FALSE),2),0)))))</f>
        <v>0</v>
      </c>
      <c r="BB264" s="56">
        <f>IF(AND($E264&lt;&gt;0,$F264&gt;0,YEAR($F264)&lt;Preisindex!$A$6,YEAR(AV$4)&gt;=YEAR($F264),AND($K264&lt;&gt;"a",$K264&lt;&gt;"b",$K264&lt;&gt;"g",$K264&lt;&gt;"k")),1,IF(AND($E264&lt;&gt;0,$F264&gt;0,YEAR($F264)&lt;Preisindex!$A$6,YEAR(AV$4)&gt;=YEAR($F264),$K264="a"),ROUND(VLOOKUP(BA$4,Preisindex,5,FALSE)/VLOOKUP(Preisindex!$A$6,Preisindex,5,FALSE),2),IF(AND($E264&lt;&gt;0,$F264&gt;0,YEAR($F264)&lt;Preisindex!$A$6,YEAR(AV$4)&gt;=YEAR($F264),$K264="b"),ROUND(VLOOKUP(BA$4,Preisindex,3,FALSE)/VLOOKUP(Preisindex!$A$6,Preisindex,3,FALSE),2),IF(AND($E264&lt;&gt;0,$F264&gt;0,YEAR($F264)&lt;Preisindex!$A$6,YEAR(AV$4)&gt;=YEAR($F264),$K264="g"),ROUND(VLOOKUP(BA$4,Preisindex,4,FALSE)/VLOOKUP(Preisindex!$A$6,Preisindex,4,FALSE),2),IF(AND($E264&lt;&gt;0,$F264&gt;0,YEAR($F264)&lt;Preisindex!$A$6,YEAR(AV$4)&gt;=YEAR($F264),$K264="k"),ROUND(VLOOKUP(BA$4,Preisindex,2,FALSE)/VLOOKUP(Preisindex!$A$6,Preisindex,2,FALSE),2),0)))))</f>
        <v>0</v>
      </c>
      <c r="BC264" s="51">
        <f>IF(AND($E264&lt;&gt;0,$F264&gt;0,YEAR($F264)&lt;=BA$4,YEAR($F264)&gt;=Preisindex!$A$6),ROUND($E264*BA264,2),IF(AND($E264&lt;&gt;0,$F264&gt;0,YEAR($F264)&lt;=BA$4,YEAR($F264)&lt;Preisindex!$A$6),ROUND($E264*BB264,2),0))</f>
        <v>0</v>
      </c>
      <c r="BD264" s="53">
        <f t="shared" si="762"/>
        <v>0</v>
      </c>
      <c r="BE264" s="51">
        <f t="shared" si="754"/>
        <v>0</v>
      </c>
      <c r="BF264" s="51">
        <f t="shared" si="715"/>
        <v>0</v>
      </c>
      <c r="BG264" s="51">
        <f t="shared" si="763"/>
        <v>0</v>
      </c>
      <c r="BH264" s="51">
        <f t="shared" si="716"/>
        <v>0</v>
      </c>
      <c r="BI264" s="51">
        <f t="shared" si="764"/>
        <v>0</v>
      </c>
      <c r="BJ264" s="51">
        <f t="shared" si="717"/>
        <v>0</v>
      </c>
      <c r="BK264" s="51">
        <f t="shared" si="765"/>
        <v>0</v>
      </c>
      <c r="BL264" s="51">
        <f t="shared" si="718"/>
        <v>0</v>
      </c>
      <c r="BM264" s="51">
        <f t="shared" si="766"/>
        <v>0</v>
      </c>
      <c r="BN264" s="51">
        <f t="shared" si="719"/>
        <v>0</v>
      </c>
      <c r="BO264" s="51">
        <f t="shared" si="767"/>
        <v>0</v>
      </c>
      <c r="BP264" s="54">
        <f t="shared" si="768"/>
        <v>0</v>
      </c>
      <c r="BQ264" s="55">
        <f t="shared" si="769"/>
        <v>0</v>
      </c>
      <c r="BR264" s="56">
        <f>IF(AND($E264&lt;&gt;0,$F264&gt;0,YEAR($F264)&gt;=Preisindex!$A$6,YEAR(BM$4)&gt;=YEAR($F264),AND($K264&lt;&gt;"a",$K264&lt;&gt;"b",$K264&lt;&gt;"g",$K264&lt;&gt;"k")),1,IF(AND($E264&lt;&gt;0,$F264&gt;0,YEAR($F264)&gt;=Preisindex!$A$6,YEAR(BM$4)&gt;=YEAR($F264),$K264="a"),ROUND(VLOOKUP(BR$4,Preisindex,5,FALSE)/VLOOKUP(YEAR($F264),Preisindex,5,FALSE),2),IF(AND($E264&lt;&gt;0,$F264&gt;0,YEAR($F264)&gt;=Preisindex!$A$6,YEAR(BM$4)&gt;=YEAR($F264),$K264="b"),ROUND(VLOOKUP(BR$4,Preisindex,3,FALSE)/VLOOKUP(YEAR($F264),Preisindex,3,FALSE),2),IF(AND($E264&lt;&gt;0,$F264&gt;0,YEAR($F264)&gt;=Preisindex!$A$6,YEAR(BM$4)&gt;=YEAR($F264),$K264="g"),ROUND(VLOOKUP(BR$4,Preisindex,4,FALSE)/VLOOKUP(YEAR($F264),Preisindex,4,FALSE),2),IF(AND($E264&lt;&gt;0,$F264&gt;0,YEAR($F264)&gt;=Preisindex!$A$6,YEAR(BM$4)&gt;=YEAR($F264),$K264="k"),ROUND(VLOOKUP(BR$4,Preisindex,2,FALSE)/VLOOKUP(YEAR($F264),Preisindex,2,FALSE),2),0)))))</f>
        <v>0</v>
      </c>
      <c r="BS264" s="56">
        <f>IF(AND($E264&lt;&gt;0,$F264&gt;0,YEAR($F264)&lt;Preisindex!$A$6,YEAR(BM$4)&gt;=YEAR($F264),AND($K264&lt;&gt;"a",$K264&lt;&gt;"b",$K264&lt;&gt;"g",$K264&lt;&gt;"k")),1,IF(AND($E264&lt;&gt;0,$F264&gt;0,YEAR($F264)&lt;Preisindex!$A$6,YEAR(BM$4)&gt;=YEAR($F264),$K264="a"),ROUND(VLOOKUP(BR$4,Preisindex,5,FALSE)/VLOOKUP(Preisindex!$A$6,Preisindex,5,FALSE),2),IF(AND($E264&lt;&gt;0,$F264&gt;0,YEAR($F264)&lt;Preisindex!$A$6,YEAR(BM$4)&gt;=YEAR($F264),$K264="b"),ROUND(VLOOKUP(BR$4,Preisindex,3,FALSE)/VLOOKUP(Preisindex!$A$6,Preisindex,3,FALSE),2),IF(AND($E264&lt;&gt;0,$F264&gt;0,YEAR($F264)&lt;Preisindex!$A$6,YEAR(BM$4)&gt;=YEAR($F264),$K264="g"),ROUND(VLOOKUP(BR$4,Preisindex,4,FALSE)/VLOOKUP(Preisindex!$A$6,Preisindex,4,FALSE),2),IF(AND($E264&lt;&gt;0,$F264&gt;0,YEAR($F264)&lt;Preisindex!$A$6,YEAR(BM$4)&gt;=YEAR($F264),$K264="k"),ROUND(VLOOKUP(BR$4,Preisindex,2,FALSE)/VLOOKUP(Preisindex!$A$6,Preisindex,2,FALSE),2),0)))))</f>
        <v>0</v>
      </c>
      <c r="BT264" s="51">
        <f>IF(AND($E264&lt;&gt;0,$F264&gt;0,YEAR($F264)&lt;=BR$4,YEAR($F264)&gt;=Preisindex!$A$6),ROUND($E264*BR264,2),IF(AND($E264&lt;&gt;0,$F264&gt;0,YEAR($F264)&lt;=BR$4,YEAR($F264)&lt;Preisindex!$A$6),ROUND($E264*BS264,2),0))</f>
        <v>0</v>
      </c>
      <c r="BU264" s="53">
        <f t="shared" si="770"/>
        <v>0</v>
      </c>
      <c r="BV264" s="51">
        <f t="shared" si="754"/>
        <v>0</v>
      </c>
      <c r="BW264" s="51">
        <f t="shared" si="720"/>
        <v>0</v>
      </c>
      <c r="BX264" s="51">
        <f t="shared" si="771"/>
        <v>0</v>
      </c>
      <c r="BY264" s="51">
        <f t="shared" si="721"/>
        <v>0</v>
      </c>
      <c r="BZ264" s="51">
        <f t="shared" si="772"/>
        <v>0</v>
      </c>
      <c r="CA264" s="51">
        <f t="shared" si="722"/>
        <v>0</v>
      </c>
      <c r="CB264" s="51">
        <f t="shared" si="773"/>
        <v>0</v>
      </c>
      <c r="CC264" s="51">
        <f t="shared" si="723"/>
        <v>0</v>
      </c>
      <c r="CD264" s="51">
        <f t="shared" si="774"/>
        <v>0</v>
      </c>
      <c r="CE264" s="51">
        <f t="shared" si="724"/>
        <v>0</v>
      </c>
      <c r="CF264" s="51">
        <f t="shared" si="775"/>
        <v>0</v>
      </c>
      <c r="CG264" s="54">
        <f t="shared" si="776"/>
        <v>0</v>
      </c>
      <c r="CH264" s="55">
        <f t="shared" si="777"/>
        <v>0</v>
      </c>
      <c r="CI264" s="56">
        <f>IF(AND($E264&lt;&gt;0,$F264&gt;0,YEAR($F264)&gt;=Preisindex!$A$6,YEAR(CD$4)&gt;=YEAR($F264),AND($K264&lt;&gt;"a",$K264&lt;&gt;"b",$K264&lt;&gt;"g",$K264&lt;&gt;"k")),1,IF(AND($E264&lt;&gt;0,$F264&gt;0,YEAR($F264)&gt;=Preisindex!$A$6,YEAR(CD$4)&gt;=YEAR($F264),$K264="a"),ROUND(VLOOKUP(CI$4,Preisindex,5,FALSE)/VLOOKUP(YEAR($F264),Preisindex,5,FALSE),2),IF(AND($E264&lt;&gt;0,$F264&gt;0,YEAR($F264)&gt;=Preisindex!$A$6,YEAR(CD$4)&gt;=YEAR($F264),$K264="b"),ROUND(VLOOKUP(CI$4,Preisindex,3,FALSE)/VLOOKUP(YEAR($F264),Preisindex,3,FALSE),2),IF(AND($E264&lt;&gt;0,$F264&gt;0,YEAR($F264)&gt;=Preisindex!$A$6,YEAR(CD$4)&gt;=YEAR($F264),$K264="g"),ROUND(VLOOKUP(CI$4,Preisindex,4,FALSE)/VLOOKUP(YEAR($F264),Preisindex,4,FALSE),2),IF(AND($E264&lt;&gt;0,$F264&gt;0,YEAR($F264)&gt;=Preisindex!$A$6,YEAR(CD$4)&gt;=YEAR($F264),$K264="k"),ROUND(VLOOKUP(CI$4,Preisindex,2,FALSE)/VLOOKUP(YEAR($F264),Preisindex,2,FALSE),2),0)))))</f>
        <v>0</v>
      </c>
      <c r="CJ264" s="56">
        <f>IF(AND($E264&lt;&gt;0,$F264&gt;0,YEAR($F264)&lt;Preisindex!$A$6,YEAR(CD$4)&gt;=YEAR($F264),AND($K264&lt;&gt;"a",$K264&lt;&gt;"b",$K264&lt;&gt;"g",$K264&lt;&gt;"k")),1,IF(AND($E264&lt;&gt;0,$F264&gt;0,YEAR($F264)&lt;Preisindex!$A$6,YEAR(CD$4)&gt;=YEAR($F264),$K264="a"),ROUND(VLOOKUP(CI$4,Preisindex,5,FALSE)/VLOOKUP(Preisindex!$A$6,Preisindex,5,FALSE),2),IF(AND($E264&lt;&gt;0,$F264&gt;0,YEAR($F264)&lt;Preisindex!$A$6,YEAR(CD$4)&gt;=YEAR($F264),$K264="b"),ROUND(VLOOKUP(CI$4,Preisindex,3,FALSE)/VLOOKUP(Preisindex!$A$6,Preisindex,3,FALSE),2),IF(AND($E264&lt;&gt;0,$F264&gt;0,YEAR($F264)&lt;Preisindex!$A$6,YEAR(CD$4)&gt;=YEAR($F264),$K264="g"),ROUND(VLOOKUP(CI$4,Preisindex,4,FALSE)/VLOOKUP(Preisindex!$A$6,Preisindex,4,FALSE),2),IF(AND($E264&lt;&gt;0,$F264&gt;0,YEAR($F264)&lt;Preisindex!$A$6,YEAR(CD$4)&gt;=YEAR($F264),$K264="k"),ROUND(VLOOKUP(CI$4,Preisindex,2,FALSE)/VLOOKUP(Preisindex!$A$6,Preisindex,2,FALSE),2),0)))))</f>
        <v>0</v>
      </c>
      <c r="CK264" s="51">
        <f>IF(AND($E264&lt;&gt;0,$F264&gt;0,YEAR($F264)&lt;=CI$4,YEAR($F264)&gt;=Preisindex!$A$6),ROUND($E264*CI264,2),IF(AND($E264&lt;&gt;0,$F264&gt;0,YEAR($F264)&lt;=CI$4,YEAR($F264)&lt;Preisindex!$A$6),ROUND($E264*CJ264,2),0))</f>
        <v>0</v>
      </c>
      <c r="CL264" s="53">
        <f t="shared" si="778"/>
        <v>0</v>
      </c>
      <c r="CM264" s="51">
        <f t="shared" si="754"/>
        <v>0</v>
      </c>
      <c r="CN264" s="51">
        <f t="shared" si="725"/>
        <v>0</v>
      </c>
      <c r="CO264" s="51">
        <f t="shared" si="779"/>
        <v>0</v>
      </c>
      <c r="CP264" s="51">
        <f t="shared" si="726"/>
        <v>0</v>
      </c>
      <c r="CQ264" s="51">
        <f t="shared" si="780"/>
        <v>0</v>
      </c>
      <c r="CR264" s="51">
        <f t="shared" si="727"/>
        <v>0</v>
      </c>
      <c r="CS264" s="51">
        <f t="shared" si="781"/>
        <v>0</v>
      </c>
      <c r="CT264" s="51">
        <f t="shared" si="728"/>
        <v>0</v>
      </c>
      <c r="CU264" s="51">
        <f t="shared" si="782"/>
        <v>0</v>
      </c>
      <c r="CV264" s="51">
        <f t="shared" si="729"/>
        <v>0</v>
      </c>
      <c r="CW264" s="51">
        <f t="shared" si="783"/>
        <v>0</v>
      </c>
      <c r="CX264" s="54">
        <f t="shared" si="784"/>
        <v>0</v>
      </c>
      <c r="CY264" s="55">
        <f t="shared" si="785"/>
        <v>0</v>
      </c>
      <c r="CZ264" s="56">
        <f>IF(AND($E264&lt;&gt;0,$F264&gt;0,YEAR($F264)&gt;=Preisindex!$A$6,YEAR(CU$4)&gt;=YEAR($F264),AND($K264&lt;&gt;"a",$K264&lt;&gt;"b",$K264&lt;&gt;"g",$K264&lt;&gt;"k")),1,IF(AND($E264&lt;&gt;0,$F264&gt;0,YEAR($F264)&gt;=Preisindex!$A$6,YEAR(CU$4)&gt;=YEAR($F264),$K264="a"),ROUND(VLOOKUP(CZ$4,Preisindex,5,FALSE)/VLOOKUP(YEAR($F264),Preisindex,5,FALSE),2),IF(AND($E264&lt;&gt;0,$F264&gt;0,YEAR($F264)&gt;=Preisindex!$A$6,YEAR(CU$4)&gt;=YEAR($F264),$K264="b"),ROUND(VLOOKUP(CZ$4,Preisindex,3,FALSE)/VLOOKUP(YEAR($F264),Preisindex,3,FALSE),2),IF(AND($E264&lt;&gt;0,$F264&gt;0,YEAR($F264)&gt;=Preisindex!$A$6,YEAR(CU$4)&gt;=YEAR($F264),$K264="g"),ROUND(VLOOKUP(CZ$4,Preisindex,4,FALSE)/VLOOKUP(YEAR($F264),Preisindex,4,FALSE),2),IF(AND($E264&lt;&gt;0,$F264&gt;0,YEAR($F264)&gt;=Preisindex!$A$6,YEAR(CU$4)&gt;=YEAR($F264),$K264="k"),ROUND(VLOOKUP(CZ$4,Preisindex,2,FALSE)/VLOOKUP(YEAR($F264),Preisindex,2,FALSE),2),0)))))</f>
        <v>0</v>
      </c>
      <c r="DA264" s="56">
        <f>IF(AND($E264&lt;&gt;0,$F264&gt;0,YEAR($F264)&lt;Preisindex!$A$6,YEAR(CU$4)&gt;=YEAR($F264),AND($K264&lt;&gt;"a",$K264&lt;&gt;"b",$K264&lt;&gt;"g",$K264&lt;&gt;"k")),1,IF(AND($E264&lt;&gt;0,$F264&gt;0,YEAR($F264)&lt;Preisindex!$A$6,YEAR(CU$4)&gt;=YEAR($F264),$K264="a"),ROUND(VLOOKUP(CZ$4,Preisindex,5,FALSE)/VLOOKUP(Preisindex!$A$6,Preisindex,5,FALSE),2),IF(AND($E264&lt;&gt;0,$F264&gt;0,YEAR($F264)&lt;Preisindex!$A$6,YEAR(CU$4)&gt;=YEAR($F264),$K264="b"),ROUND(VLOOKUP(CZ$4,Preisindex,3,FALSE)/VLOOKUP(Preisindex!$A$6,Preisindex,3,FALSE),2),IF(AND($E264&lt;&gt;0,$F264&gt;0,YEAR($F264)&lt;Preisindex!$A$6,YEAR(CU$4)&gt;=YEAR($F264),$K264="g"),ROUND(VLOOKUP(CZ$4,Preisindex,4,FALSE)/VLOOKUP(Preisindex!$A$6,Preisindex,4,FALSE),2),IF(AND($E264&lt;&gt;0,$F264&gt;0,YEAR($F264)&lt;Preisindex!$A$6,YEAR(CU$4)&gt;=YEAR($F264),$K264="k"),ROUND(VLOOKUP(CZ$4,Preisindex,2,FALSE)/VLOOKUP(Preisindex!$A$6,Preisindex,2,FALSE),2),0)))))</f>
        <v>0</v>
      </c>
      <c r="DB264" s="51">
        <f>IF(AND($E264&lt;&gt;0,$F264&gt;0,YEAR($F264)&lt;=CZ$4,YEAR($F264)&gt;=Preisindex!$A$6),ROUND($E264*CZ264,2),IF(AND($E264&lt;&gt;0,$F264&gt;0,YEAR($F264)&lt;=CZ$4,YEAR($F264)&lt;Preisindex!$A$6),ROUND($E264*DA264,2),0))</f>
        <v>0</v>
      </c>
      <c r="DC264" s="53">
        <f t="shared" si="786"/>
        <v>0</v>
      </c>
      <c r="DD264" s="51">
        <f t="shared" si="787"/>
        <v>0</v>
      </c>
      <c r="DE264" s="51">
        <f t="shared" si="730"/>
        <v>0</v>
      </c>
      <c r="DF264" s="51">
        <f t="shared" si="788"/>
        <v>0</v>
      </c>
      <c r="DG264" s="51">
        <f t="shared" si="731"/>
        <v>0</v>
      </c>
      <c r="DH264" s="51">
        <f t="shared" si="789"/>
        <v>0</v>
      </c>
      <c r="DI264" s="51">
        <f t="shared" si="732"/>
        <v>0</v>
      </c>
      <c r="DJ264" s="51">
        <f t="shared" si="790"/>
        <v>0</v>
      </c>
      <c r="DK264" s="51">
        <f t="shared" si="733"/>
        <v>0</v>
      </c>
      <c r="DL264" s="51">
        <f t="shared" si="791"/>
        <v>0</v>
      </c>
      <c r="DM264" s="51">
        <f t="shared" si="734"/>
        <v>0</v>
      </c>
      <c r="DN264" s="51">
        <f t="shared" si="792"/>
        <v>0</v>
      </c>
      <c r="DO264" s="54">
        <f t="shared" si="793"/>
        <v>0</v>
      </c>
      <c r="DP264" s="55">
        <f t="shared" si="794"/>
        <v>0</v>
      </c>
      <c r="DQ264" s="56">
        <f>IF(AND($E264&lt;&gt;0,$F264&gt;0,YEAR($F264)&gt;=Preisindex!$A$6,YEAR(DL$4)&gt;=YEAR($F264),AND($K264&lt;&gt;"a",$K264&lt;&gt;"b",$K264&lt;&gt;"g",$K264&lt;&gt;"k")),1,IF(AND($E264&lt;&gt;0,$F264&gt;0,YEAR($F264)&gt;=Preisindex!$A$6,YEAR(DL$4)&gt;=YEAR($F264),$K264="a"),ROUND(VLOOKUP(DQ$4,Preisindex,5,FALSE)/VLOOKUP(YEAR($F264),Preisindex,5,FALSE),2),IF(AND($E264&lt;&gt;0,$F264&gt;0,YEAR($F264)&gt;=Preisindex!$A$6,YEAR(DL$4)&gt;=YEAR($F264),$K264="b"),ROUND(VLOOKUP(DQ$4,Preisindex,3,FALSE)/VLOOKUP(YEAR($F264),Preisindex,3,FALSE),2),IF(AND($E264&lt;&gt;0,$F264&gt;0,YEAR($F264)&gt;=Preisindex!$A$6,YEAR(DL$4)&gt;=YEAR($F264),$K264="g"),ROUND(VLOOKUP(DQ$4,Preisindex,4,FALSE)/VLOOKUP(YEAR($F264),Preisindex,4,FALSE),2),IF(AND($E264&lt;&gt;0,$F264&gt;0,YEAR($F264)&gt;=Preisindex!$A$6,YEAR(DL$4)&gt;=YEAR($F264),$K264="k"),ROUND(VLOOKUP(DQ$4,Preisindex,2,FALSE)/VLOOKUP(YEAR($F264),Preisindex,2,FALSE),2),0)))))</f>
        <v>0</v>
      </c>
      <c r="DR264" s="56">
        <f>IF(AND($E264&lt;&gt;0,$F264&gt;0,YEAR($F264)&lt;Preisindex!$A$6,YEAR(DL$4)&gt;=YEAR($F264),AND($K264&lt;&gt;"a",$K264&lt;&gt;"b",$K264&lt;&gt;"g",$K264&lt;&gt;"k")),1,IF(AND($E264&lt;&gt;0,$F264&gt;0,YEAR($F264)&lt;Preisindex!$A$6,YEAR(DL$4)&gt;=YEAR($F264),$K264="a"),ROUND(VLOOKUP(DQ$4,Preisindex,5,FALSE)/VLOOKUP(Preisindex!$A$6,Preisindex,5,FALSE),2),IF(AND($E264&lt;&gt;0,$F264&gt;0,YEAR($F264)&lt;Preisindex!$A$6,YEAR(DL$4)&gt;=YEAR($F264),$K264="b"),ROUND(VLOOKUP(DQ$4,Preisindex,3,FALSE)/VLOOKUP(Preisindex!$A$6,Preisindex,3,FALSE),2),IF(AND($E264&lt;&gt;0,$F264&gt;0,YEAR($F264)&lt;Preisindex!$A$6,YEAR(DL$4)&gt;=YEAR($F264),$K264="g"),ROUND(VLOOKUP(DQ$4,Preisindex,4,FALSE)/VLOOKUP(Preisindex!$A$6,Preisindex,4,FALSE),2),IF(AND($E264&lt;&gt;0,$F264&gt;0,YEAR($F264)&lt;Preisindex!$A$6,YEAR(DL$4)&gt;=YEAR($F264),$K264="k"),ROUND(VLOOKUP(DQ$4,Preisindex,2,FALSE)/VLOOKUP(Preisindex!$A$6,Preisindex,2,FALSE),2),0)))))</f>
        <v>0</v>
      </c>
      <c r="DS264" s="51">
        <f>IF(AND($E264&lt;&gt;0,$F264&gt;0,YEAR($F264)&lt;=DQ$4,YEAR($F264)&gt;=Preisindex!$A$6),ROUND($E264*DQ264,2),IF(AND($E264&lt;&gt;0,$F264&gt;0,YEAR($F264)&lt;=DQ$4,YEAR($F264)&lt;Preisindex!$A$6),ROUND($E264*DR264,2),0))</f>
        <v>0</v>
      </c>
      <c r="DT264" s="53">
        <f t="shared" si="795"/>
        <v>0</v>
      </c>
      <c r="DU264" s="51">
        <f t="shared" si="787"/>
        <v>0</v>
      </c>
      <c r="DV264" s="51">
        <f t="shared" si="735"/>
        <v>0</v>
      </c>
      <c r="DW264" s="51">
        <f t="shared" si="796"/>
        <v>0</v>
      </c>
      <c r="DX264" s="51">
        <f t="shared" si="736"/>
        <v>0</v>
      </c>
      <c r="DY264" s="51">
        <f t="shared" si="797"/>
        <v>0</v>
      </c>
      <c r="DZ264" s="51">
        <f t="shared" si="737"/>
        <v>0</v>
      </c>
      <c r="EA264" s="51">
        <f t="shared" si="798"/>
        <v>0</v>
      </c>
      <c r="EB264" s="51">
        <f t="shared" si="738"/>
        <v>0</v>
      </c>
      <c r="EC264" s="51">
        <f t="shared" si="799"/>
        <v>0</v>
      </c>
      <c r="ED264" s="51">
        <f t="shared" si="739"/>
        <v>0</v>
      </c>
      <c r="EE264" s="51">
        <f t="shared" si="800"/>
        <v>0</v>
      </c>
      <c r="EF264" s="54">
        <f t="shared" si="801"/>
        <v>0</v>
      </c>
      <c r="EG264" s="55">
        <f t="shared" si="802"/>
        <v>0</v>
      </c>
      <c r="EH264" s="56">
        <f>IF(AND($E264&lt;&gt;0,$F264&gt;0,YEAR($F264)&gt;=Preisindex!$A$6,YEAR(EC$4)&gt;=YEAR($F264),AND($K264&lt;&gt;"a",$K264&lt;&gt;"b",$K264&lt;&gt;"g",$K264&lt;&gt;"k")),1,IF(AND($E264&lt;&gt;0,$F264&gt;0,YEAR($F264)&gt;=Preisindex!$A$6,YEAR(EC$4)&gt;=YEAR($F264),$K264="a"),ROUND(VLOOKUP(EH$4,Preisindex,5,FALSE)/VLOOKUP(YEAR($F264),Preisindex,5,FALSE),2),IF(AND($E264&lt;&gt;0,$F264&gt;0,YEAR($F264)&gt;=Preisindex!$A$6,YEAR(EC$4)&gt;=YEAR($F264),$K264="b"),ROUND(VLOOKUP(EH$4,Preisindex,3,FALSE)/VLOOKUP(YEAR($F264),Preisindex,3,FALSE),2),IF(AND($E264&lt;&gt;0,$F264&gt;0,YEAR($F264)&gt;=Preisindex!$A$6,YEAR(EC$4)&gt;=YEAR($F264),$K264="g"),ROUND(VLOOKUP(EH$4,Preisindex,4,FALSE)/VLOOKUP(YEAR($F264),Preisindex,4,FALSE),2),IF(AND($E264&lt;&gt;0,$F264&gt;0,YEAR($F264)&gt;=Preisindex!$A$6,YEAR(EC$4)&gt;=YEAR($F264),$K264="k"),ROUND(VLOOKUP(EH$4,Preisindex,2,FALSE)/VLOOKUP(YEAR($F264),Preisindex,2,FALSE),2),0)))))</f>
        <v>0</v>
      </c>
      <c r="EI264" s="56">
        <f>IF(AND($E264&lt;&gt;0,$F264&gt;0,YEAR($F264)&lt;Preisindex!$A$6,YEAR(EC$4)&gt;=YEAR($F264),AND($K264&lt;&gt;"a",$K264&lt;&gt;"b",$K264&lt;&gt;"g",$K264&lt;&gt;"k")),1,IF(AND($E264&lt;&gt;0,$F264&gt;0,YEAR($F264)&lt;Preisindex!$A$6,YEAR(EC$4)&gt;=YEAR($F264),$K264="a"),ROUND(VLOOKUP(EH$4,Preisindex,5,FALSE)/VLOOKUP(Preisindex!$A$6,Preisindex,5,FALSE),2),IF(AND($E264&lt;&gt;0,$F264&gt;0,YEAR($F264)&lt;Preisindex!$A$6,YEAR(EC$4)&gt;=YEAR($F264),$K264="b"),ROUND(VLOOKUP(EH$4,Preisindex,3,FALSE)/VLOOKUP(Preisindex!$A$6,Preisindex,3,FALSE),2),IF(AND($E264&lt;&gt;0,$F264&gt;0,YEAR($F264)&lt;Preisindex!$A$6,YEAR(EC$4)&gt;=YEAR($F264),$K264="g"),ROUND(VLOOKUP(EH$4,Preisindex,4,FALSE)/VLOOKUP(Preisindex!$A$6,Preisindex,4,FALSE),2),IF(AND($E264&lt;&gt;0,$F264&gt;0,YEAR($F264)&lt;Preisindex!$A$6,YEAR(EC$4)&gt;=YEAR($F264),$K264="k"),ROUND(VLOOKUP(EH$4,Preisindex,2,FALSE)/VLOOKUP(Preisindex!$A$6,Preisindex,2,FALSE),2),0)))))</f>
        <v>0</v>
      </c>
      <c r="EJ264" s="51">
        <f>IF(AND($E264&lt;&gt;0,$F264&gt;0,YEAR($F264)&lt;=EH$4,YEAR($F264)&gt;=Preisindex!$A$6),ROUND($E264*EH264,2),IF(AND($E264&lt;&gt;0,$F264&gt;0,YEAR($F264)&lt;=EH$4,YEAR($F264)&lt;Preisindex!$A$6),ROUND($E264*EI264,2),0))</f>
        <v>0</v>
      </c>
      <c r="EK264" s="53">
        <f t="shared" si="803"/>
        <v>0</v>
      </c>
      <c r="EL264" s="51">
        <f t="shared" si="787"/>
        <v>0</v>
      </c>
      <c r="EM264" s="51">
        <f t="shared" si="740"/>
        <v>0</v>
      </c>
      <c r="EN264" s="51">
        <f t="shared" si="804"/>
        <v>0</v>
      </c>
      <c r="EO264" s="51">
        <f t="shared" si="741"/>
        <v>0</v>
      </c>
      <c r="EP264" s="51">
        <f t="shared" si="805"/>
        <v>0</v>
      </c>
      <c r="EQ264" s="51">
        <f t="shared" si="742"/>
        <v>0</v>
      </c>
      <c r="ER264" s="51">
        <f t="shared" si="806"/>
        <v>0</v>
      </c>
      <c r="ES264" s="51">
        <f t="shared" si="743"/>
        <v>0</v>
      </c>
      <c r="ET264" s="51">
        <f t="shared" si="807"/>
        <v>0</v>
      </c>
      <c r="EU264" s="51">
        <f t="shared" si="744"/>
        <v>0</v>
      </c>
      <c r="EV264" s="51">
        <f t="shared" si="808"/>
        <v>0</v>
      </c>
      <c r="EW264" s="54">
        <f t="shared" si="809"/>
        <v>0</v>
      </c>
      <c r="EX264" s="55">
        <f t="shared" si="810"/>
        <v>0</v>
      </c>
      <c r="EY264" s="56">
        <f>IF(AND($E264&lt;&gt;0,$F264&gt;0,YEAR($F264)&gt;=Preisindex!$A$6,YEAR(ET$4)&gt;=YEAR($F264),AND($K264&lt;&gt;"a",$K264&lt;&gt;"b",$K264&lt;&gt;"g",$K264&lt;&gt;"k")),1,IF(AND($E264&lt;&gt;0,$F264&gt;0,YEAR($F264)&gt;=Preisindex!$A$6,YEAR(ET$4)&gt;=YEAR($F264),$K264="a"),ROUND(VLOOKUP(EY$4,Preisindex,5,FALSE)/VLOOKUP(YEAR($F264),Preisindex,5,FALSE),2),IF(AND($E264&lt;&gt;0,$F264&gt;0,YEAR($F264)&gt;=Preisindex!$A$6,YEAR(ET$4)&gt;=YEAR($F264),$K264="b"),ROUND(VLOOKUP(EY$4,Preisindex,3,FALSE)/VLOOKUP(YEAR($F264),Preisindex,3,FALSE),2),IF(AND($E264&lt;&gt;0,$F264&gt;0,YEAR($F264)&gt;=Preisindex!$A$6,YEAR(ET$4)&gt;=YEAR($F264),$K264="g"),ROUND(VLOOKUP(EY$4,Preisindex,4,FALSE)/VLOOKUP(YEAR($F264),Preisindex,4,FALSE),2),IF(AND($E264&lt;&gt;0,$F264&gt;0,YEAR($F264)&gt;=Preisindex!$A$6,YEAR(ET$4)&gt;=YEAR($F264),$K264="k"),ROUND(VLOOKUP(EY$4,Preisindex,2,FALSE)/VLOOKUP(YEAR($F264),Preisindex,2,FALSE),2),0)))))</f>
        <v>0</v>
      </c>
      <c r="EZ264" s="56">
        <f>IF(AND($E264&lt;&gt;0,$F264&gt;0,YEAR($F264)&lt;Preisindex!$A$6,YEAR(ET$4)&gt;=YEAR($F264),AND($K264&lt;&gt;"a",$K264&lt;&gt;"b",$K264&lt;&gt;"g",$K264&lt;&gt;"k")),1,IF(AND($E264&lt;&gt;0,$F264&gt;0,YEAR($F264)&lt;Preisindex!$A$6,YEAR(ET$4)&gt;=YEAR($F264),$K264="a"),ROUND(VLOOKUP(EY$4,Preisindex,5,FALSE)/VLOOKUP(Preisindex!$A$6,Preisindex,5,FALSE),2),IF(AND($E264&lt;&gt;0,$F264&gt;0,YEAR($F264)&lt;Preisindex!$A$6,YEAR(ET$4)&gt;=YEAR($F264),$K264="b"),ROUND(VLOOKUP(EY$4,Preisindex,3,FALSE)/VLOOKUP(Preisindex!$A$6,Preisindex,3,FALSE),2),IF(AND($E264&lt;&gt;0,$F264&gt;0,YEAR($F264)&lt;Preisindex!$A$6,YEAR(ET$4)&gt;=YEAR($F264),$K264="g"),ROUND(VLOOKUP(EY$4,Preisindex,4,FALSE)/VLOOKUP(Preisindex!$A$6,Preisindex,4,FALSE),2),IF(AND($E264&lt;&gt;0,$F264&gt;0,YEAR($F264)&lt;Preisindex!$A$6,YEAR(ET$4)&gt;=YEAR($F264),$K264="k"),ROUND(VLOOKUP(EY$4,Preisindex,2,FALSE)/VLOOKUP(Preisindex!$A$6,Preisindex,2,FALSE),2),0)))))</f>
        <v>0</v>
      </c>
      <c r="FA264" s="51">
        <f>IF(AND($E264&lt;&gt;0,$F264&gt;0,YEAR($F264)&lt;=EY$4,YEAR($F264)&gt;=Preisindex!$A$6),ROUND($E264*EY264,2),IF(AND($E264&lt;&gt;0,$F264&gt;0,YEAR($F264)&lt;=EY$4,YEAR($F264)&lt;Preisindex!$A$6),ROUND($E264*EZ264,2),0))</f>
        <v>0</v>
      </c>
      <c r="FB264" s="53">
        <f t="shared" si="811"/>
        <v>0</v>
      </c>
      <c r="FC264" s="51">
        <f t="shared" si="787"/>
        <v>0</v>
      </c>
      <c r="FD264" s="51">
        <f t="shared" si="745"/>
        <v>0</v>
      </c>
      <c r="FE264" s="51">
        <f t="shared" si="812"/>
        <v>0</v>
      </c>
      <c r="FF264" s="51">
        <f t="shared" si="746"/>
        <v>0</v>
      </c>
      <c r="FG264" s="51">
        <f t="shared" si="813"/>
        <v>0</v>
      </c>
      <c r="FH264" s="51">
        <f t="shared" si="747"/>
        <v>0</v>
      </c>
      <c r="FI264" s="51">
        <f t="shared" si="814"/>
        <v>0</v>
      </c>
      <c r="FJ264" s="51">
        <f t="shared" si="748"/>
        <v>0</v>
      </c>
      <c r="FK264" s="51">
        <f t="shared" si="815"/>
        <v>0</v>
      </c>
      <c r="FL264" s="51">
        <f t="shared" si="749"/>
        <v>0</v>
      </c>
      <c r="FM264" s="51">
        <f t="shared" si="816"/>
        <v>0</v>
      </c>
      <c r="FN264" s="54">
        <f t="shared" si="817"/>
        <v>0</v>
      </c>
      <c r="FO264" s="55">
        <f t="shared" si="818"/>
        <v>0</v>
      </c>
      <c r="FP264" s="56">
        <f>IF(AND($E264&lt;&gt;0,$F264&gt;0,YEAR($F264)&gt;=Preisindex!$A$6,YEAR(FK$4)&gt;=YEAR($F264),AND($K264&lt;&gt;"a",$K264&lt;&gt;"b",$K264&lt;&gt;"g",$K264&lt;&gt;"k")),1,IF(AND($E264&lt;&gt;0,$F264&gt;0,YEAR($F264)&gt;=Preisindex!$A$6,YEAR(FK$4)&gt;=YEAR($F264),$K264="a"),ROUND(VLOOKUP(FP$4,Preisindex,5,FALSE)/VLOOKUP(YEAR($F264),Preisindex,5,FALSE),2),IF(AND($E264&lt;&gt;0,$F264&gt;0,YEAR($F264)&gt;=Preisindex!$A$6,YEAR(FK$4)&gt;=YEAR($F264),$K264="b"),ROUND(VLOOKUP(FP$4,Preisindex,3,FALSE)/VLOOKUP(YEAR($F264),Preisindex,3,FALSE),2),IF(AND($E264&lt;&gt;0,$F264&gt;0,YEAR($F264)&gt;=Preisindex!$A$6,YEAR(FK$4)&gt;=YEAR($F264),$K264="g"),ROUND(VLOOKUP(FP$4,Preisindex,4,FALSE)/VLOOKUP(YEAR($F264),Preisindex,4,FALSE),2),IF(AND($E264&lt;&gt;0,$F264&gt;0,YEAR($F264)&gt;=Preisindex!$A$6,YEAR(FK$4)&gt;=YEAR($F264),$K264="k"),ROUND(VLOOKUP(FP$4,Preisindex,2,FALSE)/VLOOKUP(YEAR($F264),Preisindex,2,FALSE),2),0)))))</f>
        <v>0</v>
      </c>
      <c r="FQ264" s="56">
        <f>IF(AND($E264&lt;&gt;0,$F264&gt;0,YEAR($F264)&lt;Preisindex!$A$6,YEAR(FK$4)&gt;=YEAR($F264),AND($K264&lt;&gt;"a",$K264&lt;&gt;"b",$K264&lt;&gt;"g",$K264&lt;&gt;"k")),1,IF(AND($E264&lt;&gt;0,$F264&gt;0,YEAR($F264)&lt;Preisindex!$A$6,YEAR(FK$4)&gt;=YEAR($F264),$K264="a"),ROUND(VLOOKUP(FP$4,Preisindex,5,FALSE)/VLOOKUP(Preisindex!$A$6,Preisindex,5,FALSE),2),IF(AND($E264&lt;&gt;0,$F264&gt;0,YEAR($F264)&lt;Preisindex!$A$6,YEAR(FK$4)&gt;=YEAR($F264),$K264="b"),ROUND(VLOOKUP(FP$4,Preisindex,3,FALSE)/VLOOKUP(Preisindex!$A$6,Preisindex,3,FALSE),2),IF(AND($E264&lt;&gt;0,$F264&gt;0,YEAR($F264)&lt;Preisindex!$A$6,YEAR(FK$4)&gt;=YEAR($F264),$K264="g"),ROUND(VLOOKUP(FP$4,Preisindex,4,FALSE)/VLOOKUP(Preisindex!$A$6,Preisindex,4,FALSE),2),IF(AND($E264&lt;&gt;0,$F264&gt;0,YEAR($F264)&lt;Preisindex!$A$6,YEAR(FK$4)&gt;=YEAR($F264),$K264="k"),ROUND(VLOOKUP(FP$4,Preisindex,2,FALSE)/VLOOKUP(Preisindex!$A$6,Preisindex,2,FALSE),2),0)))))</f>
        <v>0</v>
      </c>
      <c r="FR264" s="51">
        <f>IF(AND($E264&lt;&gt;0,$F264&gt;0,YEAR($F264)&lt;=FP$4,YEAR($F264)&gt;=Preisindex!$A$6),ROUND($E264*FP264,2),IF(AND($E264&lt;&gt;0,$F264&gt;0,YEAR($F264)&lt;=FP$4,YEAR($F264)&lt;Preisindex!$A$6),ROUND($E264*FQ264,2),0))</f>
        <v>0</v>
      </c>
      <c r="FS264" s="53">
        <f t="shared" si="819"/>
        <v>0</v>
      </c>
    </row>
    <row r="265" spans="1:175" x14ac:dyDescent="0.3">
      <c r="A265" s="185"/>
      <c r="B265" s="186"/>
      <c r="C265" s="187"/>
      <c r="D265" s="188"/>
      <c r="E265" s="189"/>
      <c r="F265" s="190"/>
      <c r="G265" s="191"/>
      <c r="H265" s="192"/>
      <c r="I265" s="193"/>
      <c r="J265" s="194"/>
      <c r="K265" s="630"/>
      <c r="L265" s="49">
        <f t="shared" si="820"/>
        <v>0</v>
      </c>
      <c r="M265" s="50">
        <f t="shared" si="821"/>
        <v>0</v>
      </c>
      <c r="N265" s="51">
        <f t="shared" si="822"/>
        <v>0</v>
      </c>
      <c r="O265" s="51"/>
      <c r="P265" s="51">
        <f t="shared" si="823"/>
        <v>0</v>
      </c>
      <c r="Q265" s="52"/>
      <c r="R265" s="52"/>
      <c r="S265" s="52"/>
      <c r="T265" s="52"/>
      <c r="U265" s="52"/>
      <c r="V265" s="53">
        <f t="shared" si="824"/>
        <v>0</v>
      </c>
      <c r="W265" s="51">
        <f t="shared" si="825"/>
        <v>0</v>
      </c>
      <c r="X265" s="51">
        <f t="shared" si="826"/>
        <v>0</v>
      </c>
      <c r="Y265" s="51">
        <f t="shared" si="827"/>
        <v>0</v>
      </c>
      <c r="Z265" s="51">
        <f t="shared" si="828"/>
        <v>0</v>
      </c>
      <c r="AA265" s="51">
        <f t="shared" si="829"/>
        <v>0</v>
      </c>
      <c r="AB265" s="51">
        <f t="shared" si="830"/>
        <v>0</v>
      </c>
      <c r="AC265" s="51">
        <f t="shared" si="831"/>
        <v>0</v>
      </c>
      <c r="AD265" s="51">
        <f t="shared" si="832"/>
        <v>0</v>
      </c>
      <c r="AE265" s="51">
        <f t="shared" si="833"/>
        <v>0</v>
      </c>
      <c r="AF265" s="51">
        <f t="shared" si="834"/>
        <v>0</v>
      </c>
      <c r="AG265" s="51">
        <f t="shared" si="835"/>
        <v>0</v>
      </c>
      <c r="AH265" s="54">
        <f t="shared" si="836"/>
        <v>0</v>
      </c>
      <c r="AI265" s="55">
        <f t="shared" si="837"/>
        <v>0</v>
      </c>
      <c r="AJ265" s="56">
        <f>IF(AND($E265&lt;&gt;0,$F265&gt;0,YEAR($F265)&gt;=Preisindex!$A$6,YEAR(AE$4)&gt;=YEAR($F265),AND($K265&lt;&gt;"a",$K265&lt;&gt;"b",$K265&lt;&gt;"g",$K265&lt;&gt;"k")),1,IF(AND($E265&lt;&gt;0,$F265&gt;0,YEAR($F265)&gt;=Preisindex!$A$6,YEAR(AE$4)&gt;=YEAR($F265),$K265="a"),ROUND(VLOOKUP(AJ$4,Preisindex,5,FALSE)/VLOOKUP(YEAR($F265),Preisindex,5,FALSE),2),IF(AND($E265&lt;&gt;0,$F265&gt;0,YEAR($F265)&gt;=Preisindex!$A$6,YEAR(AE$4)&gt;=YEAR($F265),$K265="b"),ROUND(VLOOKUP(AJ$4,Preisindex,3,FALSE)/VLOOKUP(YEAR($F265),Preisindex,3,FALSE),2),IF(AND($E265&lt;&gt;0,$F265&gt;0,YEAR($F265)&gt;=Preisindex!$A$6,YEAR(AE$4)&gt;=YEAR($F265),$K265="g"),ROUND(VLOOKUP(AJ$4,Preisindex,4,FALSE)/VLOOKUP(YEAR($F265),Preisindex,4,FALSE),2),IF(AND($E265&lt;&gt;0,$F265&gt;0,YEAR($F265)&gt;=Preisindex!$A$6,YEAR(AE$4)&gt;=YEAR($F265),$K265="k"),ROUND(VLOOKUP(AJ$4,Preisindex,2,FALSE)/VLOOKUP(YEAR($F265),Preisindex,2,FALSE),2),0)))))</f>
        <v>0</v>
      </c>
      <c r="AK265" s="56">
        <f>IF(AND($E265&lt;&gt;0,$F265&gt;0,YEAR($F265)&lt;Preisindex!$A$6,YEAR(AE$4)&gt;=YEAR($F265),AND($K265&lt;&gt;"a",$K265&lt;&gt;"b",$K265&lt;&gt;"g",$K265&lt;&gt;"k")),1,IF(AND($E265&lt;&gt;0,$F265&gt;0,YEAR($F265)&lt;Preisindex!$A$6,YEAR(AE$4)&gt;=YEAR($F265),$K265="a"),ROUND(VLOOKUP(AJ$4,Preisindex,5,FALSE)/VLOOKUP(Preisindex!$A$6,Preisindex,5,FALSE),2),IF(AND($E265&lt;&gt;0,$F265&gt;0,YEAR($F265)&lt;Preisindex!$A$6,YEAR(AE$4)&gt;=YEAR($F265),$K265="b"),ROUND(VLOOKUP(AJ$4,Preisindex,3,FALSE)/VLOOKUP(Preisindex!$A$6,Preisindex,3,FALSE),2),IF(AND($E265&lt;&gt;0,$F265&gt;0,YEAR($F265)&lt;Preisindex!$A$6,YEAR(AE$4)&gt;=YEAR($F265),$K265="g"),ROUND(VLOOKUP(AJ$4,Preisindex,4,FALSE)/VLOOKUP(Preisindex!$A$6,Preisindex,4,FALSE),2),IF(AND($E265&lt;&gt;0,$F265&gt;0,YEAR($F265)&lt;Preisindex!$A$6,YEAR(AE$4)&gt;=YEAR($F265),$K265="k"),ROUND(VLOOKUP(AJ$4,Preisindex,2,FALSE)/VLOOKUP(Preisindex!$A$6,Preisindex,2,FALSE),2),0)))))</f>
        <v>0</v>
      </c>
      <c r="AL265" s="51">
        <f>IF(AND($E265&lt;&gt;0,$F265&gt;0,YEAR($F265)&lt;=AJ$4,YEAR($F265)&gt;=Preisindex!$A$6),ROUND($E265*AJ265,2),IF(AND($E265&lt;&gt;0,$F265&gt;0,YEAR($F265)&lt;=AJ$4,YEAR($F265)&lt;Preisindex!$A$6),ROUND($E265*AK265,2),0))</f>
        <v>0</v>
      </c>
      <c r="AM265" s="53">
        <f t="shared" si="838"/>
        <v>0</v>
      </c>
      <c r="AN265" s="51">
        <f t="shared" si="754"/>
        <v>0</v>
      </c>
      <c r="AO265" s="51">
        <f t="shared" si="710"/>
        <v>0</v>
      </c>
      <c r="AP265" s="51">
        <f t="shared" si="755"/>
        <v>0</v>
      </c>
      <c r="AQ265" s="51">
        <f t="shared" si="711"/>
        <v>0</v>
      </c>
      <c r="AR265" s="51">
        <f t="shared" si="756"/>
        <v>0</v>
      </c>
      <c r="AS265" s="51">
        <f t="shared" si="712"/>
        <v>0</v>
      </c>
      <c r="AT265" s="51">
        <f t="shared" si="757"/>
        <v>0</v>
      </c>
      <c r="AU265" s="51">
        <f t="shared" si="713"/>
        <v>0</v>
      </c>
      <c r="AV265" s="51">
        <f t="shared" si="758"/>
        <v>0</v>
      </c>
      <c r="AW265" s="51">
        <f t="shared" si="714"/>
        <v>0</v>
      </c>
      <c r="AX265" s="51">
        <f t="shared" si="759"/>
        <v>0</v>
      </c>
      <c r="AY265" s="54">
        <f t="shared" si="760"/>
        <v>0</v>
      </c>
      <c r="AZ265" s="55">
        <f t="shared" si="761"/>
        <v>0</v>
      </c>
      <c r="BA265" s="56">
        <f>IF(AND($E265&lt;&gt;0,$F265&gt;0,YEAR($F265)&gt;=Preisindex!$A$6,YEAR(AV$4)&gt;=YEAR($F265),AND($K265&lt;&gt;"a",$K265&lt;&gt;"b",$K265&lt;&gt;"g",$K265&lt;&gt;"k")),1,IF(AND($E265&lt;&gt;0,$F265&gt;0,YEAR($F265)&gt;=Preisindex!$A$6,YEAR(AV$4)&gt;=YEAR($F265),$K265="a"),ROUND(VLOOKUP(BA$4,Preisindex,5,FALSE)/VLOOKUP(YEAR($F265),Preisindex,5,FALSE),2),IF(AND($E265&lt;&gt;0,$F265&gt;0,YEAR($F265)&gt;=Preisindex!$A$6,YEAR(AV$4)&gt;=YEAR($F265),$K265="b"),ROUND(VLOOKUP(BA$4,Preisindex,3,FALSE)/VLOOKUP(YEAR($F265),Preisindex,3,FALSE),2),IF(AND($E265&lt;&gt;0,$F265&gt;0,YEAR($F265)&gt;=Preisindex!$A$6,YEAR(AV$4)&gt;=YEAR($F265),$K265="g"),ROUND(VLOOKUP(BA$4,Preisindex,4,FALSE)/VLOOKUP(YEAR($F265),Preisindex,4,FALSE),2),IF(AND($E265&lt;&gt;0,$F265&gt;0,YEAR($F265)&gt;=Preisindex!$A$6,YEAR(AV$4)&gt;=YEAR($F265),$K265="k"),ROUND(VLOOKUP(BA$4,Preisindex,2,FALSE)/VLOOKUP(YEAR($F265),Preisindex,2,FALSE),2),0)))))</f>
        <v>0</v>
      </c>
      <c r="BB265" s="56">
        <f>IF(AND($E265&lt;&gt;0,$F265&gt;0,YEAR($F265)&lt;Preisindex!$A$6,YEAR(AV$4)&gt;=YEAR($F265),AND($K265&lt;&gt;"a",$K265&lt;&gt;"b",$K265&lt;&gt;"g",$K265&lt;&gt;"k")),1,IF(AND($E265&lt;&gt;0,$F265&gt;0,YEAR($F265)&lt;Preisindex!$A$6,YEAR(AV$4)&gt;=YEAR($F265),$K265="a"),ROUND(VLOOKUP(BA$4,Preisindex,5,FALSE)/VLOOKUP(Preisindex!$A$6,Preisindex,5,FALSE),2),IF(AND($E265&lt;&gt;0,$F265&gt;0,YEAR($F265)&lt;Preisindex!$A$6,YEAR(AV$4)&gt;=YEAR($F265),$K265="b"),ROUND(VLOOKUP(BA$4,Preisindex,3,FALSE)/VLOOKUP(Preisindex!$A$6,Preisindex,3,FALSE),2),IF(AND($E265&lt;&gt;0,$F265&gt;0,YEAR($F265)&lt;Preisindex!$A$6,YEAR(AV$4)&gt;=YEAR($F265),$K265="g"),ROUND(VLOOKUP(BA$4,Preisindex,4,FALSE)/VLOOKUP(Preisindex!$A$6,Preisindex,4,FALSE),2),IF(AND($E265&lt;&gt;0,$F265&gt;0,YEAR($F265)&lt;Preisindex!$A$6,YEAR(AV$4)&gt;=YEAR($F265),$K265="k"),ROUND(VLOOKUP(BA$4,Preisindex,2,FALSE)/VLOOKUP(Preisindex!$A$6,Preisindex,2,FALSE),2),0)))))</f>
        <v>0</v>
      </c>
      <c r="BC265" s="51">
        <f>IF(AND($E265&lt;&gt;0,$F265&gt;0,YEAR($F265)&lt;=BA$4,YEAR($F265)&gt;=Preisindex!$A$6),ROUND($E265*BA265,2),IF(AND($E265&lt;&gt;0,$F265&gt;0,YEAR($F265)&lt;=BA$4,YEAR($F265)&lt;Preisindex!$A$6),ROUND($E265*BB265,2),0))</f>
        <v>0</v>
      </c>
      <c r="BD265" s="53">
        <f t="shared" si="762"/>
        <v>0</v>
      </c>
      <c r="BE265" s="51">
        <f t="shared" si="754"/>
        <v>0</v>
      </c>
      <c r="BF265" s="51">
        <f t="shared" si="715"/>
        <v>0</v>
      </c>
      <c r="BG265" s="51">
        <f t="shared" si="763"/>
        <v>0</v>
      </c>
      <c r="BH265" s="51">
        <f t="shared" si="716"/>
        <v>0</v>
      </c>
      <c r="BI265" s="51">
        <f t="shared" si="764"/>
        <v>0</v>
      </c>
      <c r="BJ265" s="51">
        <f t="shared" si="717"/>
        <v>0</v>
      </c>
      <c r="BK265" s="51">
        <f t="shared" si="765"/>
        <v>0</v>
      </c>
      <c r="BL265" s="51">
        <f t="shared" si="718"/>
        <v>0</v>
      </c>
      <c r="BM265" s="51">
        <f t="shared" si="766"/>
        <v>0</v>
      </c>
      <c r="BN265" s="51">
        <f t="shared" si="719"/>
        <v>0</v>
      </c>
      <c r="BO265" s="51">
        <f t="shared" si="767"/>
        <v>0</v>
      </c>
      <c r="BP265" s="54">
        <f t="shared" si="768"/>
        <v>0</v>
      </c>
      <c r="BQ265" s="55">
        <f t="shared" si="769"/>
        <v>0</v>
      </c>
      <c r="BR265" s="56">
        <f>IF(AND($E265&lt;&gt;0,$F265&gt;0,YEAR($F265)&gt;=Preisindex!$A$6,YEAR(BM$4)&gt;=YEAR($F265),AND($K265&lt;&gt;"a",$K265&lt;&gt;"b",$K265&lt;&gt;"g",$K265&lt;&gt;"k")),1,IF(AND($E265&lt;&gt;0,$F265&gt;0,YEAR($F265)&gt;=Preisindex!$A$6,YEAR(BM$4)&gt;=YEAR($F265),$K265="a"),ROUND(VLOOKUP(BR$4,Preisindex,5,FALSE)/VLOOKUP(YEAR($F265),Preisindex,5,FALSE),2),IF(AND($E265&lt;&gt;0,$F265&gt;0,YEAR($F265)&gt;=Preisindex!$A$6,YEAR(BM$4)&gt;=YEAR($F265),$K265="b"),ROUND(VLOOKUP(BR$4,Preisindex,3,FALSE)/VLOOKUP(YEAR($F265),Preisindex,3,FALSE),2),IF(AND($E265&lt;&gt;0,$F265&gt;0,YEAR($F265)&gt;=Preisindex!$A$6,YEAR(BM$4)&gt;=YEAR($F265),$K265="g"),ROUND(VLOOKUP(BR$4,Preisindex,4,FALSE)/VLOOKUP(YEAR($F265),Preisindex,4,FALSE),2),IF(AND($E265&lt;&gt;0,$F265&gt;0,YEAR($F265)&gt;=Preisindex!$A$6,YEAR(BM$4)&gt;=YEAR($F265),$K265="k"),ROUND(VLOOKUP(BR$4,Preisindex,2,FALSE)/VLOOKUP(YEAR($F265),Preisindex,2,FALSE),2),0)))))</f>
        <v>0</v>
      </c>
      <c r="BS265" s="56">
        <f>IF(AND($E265&lt;&gt;0,$F265&gt;0,YEAR($F265)&lt;Preisindex!$A$6,YEAR(BM$4)&gt;=YEAR($F265),AND($K265&lt;&gt;"a",$K265&lt;&gt;"b",$K265&lt;&gt;"g",$K265&lt;&gt;"k")),1,IF(AND($E265&lt;&gt;0,$F265&gt;0,YEAR($F265)&lt;Preisindex!$A$6,YEAR(BM$4)&gt;=YEAR($F265),$K265="a"),ROUND(VLOOKUP(BR$4,Preisindex,5,FALSE)/VLOOKUP(Preisindex!$A$6,Preisindex,5,FALSE),2),IF(AND($E265&lt;&gt;0,$F265&gt;0,YEAR($F265)&lt;Preisindex!$A$6,YEAR(BM$4)&gt;=YEAR($F265),$K265="b"),ROUND(VLOOKUP(BR$4,Preisindex,3,FALSE)/VLOOKUP(Preisindex!$A$6,Preisindex,3,FALSE),2),IF(AND($E265&lt;&gt;0,$F265&gt;0,YEAR($F265)&lt;Preisindex!$A$6,YEAR(BM$4)&gt;=YEAR($F265),$K265="g"),ROUND(VLOOKUP(BR$4,Preisindex,4,FALSE)/VLOOKUP(Preisindex!$A$6,Preisindex,4,FALSE),2),IF(AND($E265&lt;&gt;0,$F265&gt;0,YEAR($F265)&lt;Preisindex!$A$6,YEAR(BM$4)&gt;=YEAR($F265),$K265="k"),ROUND(VLOOKUP(BR$4,Preisindex,2,FALSE)/VLOOKUP(Preisindex!$A$6,Preisindex,2,FALSE),2),0)))))</f>
        <v>0</v>
      </c>
      <c r="BT265" s="51">
        <f>IF(AND($E265&lt;&gt;0,$F265&gt;0,YEAR($F265)&lt;=BR$4,YEAR($F265)&gt;=Preisindex!$A$6),ROUND($E265*BR265,2),IF(AND($E265&lt;&gt;0,$F265&gt;0,YEAR($F265)&lt;=BR$4,YEAR($F265)&lt;Preisindex!$A$6),ROUND($E265*BS265,2),0))</f>
        <v>0</v>
      </c>
      <c r="BU265" s="53">
        <f t="shared" si="770"/>
        <v>0</v>
      </c>
      <c r="BV265" s="51">
        <f t="shared" si="754"/>
        <v>0</v>
      </c>
      <c r="BW265" s="51">
        <f t="shared" si="720"/>
        <v>0</v>
      </c>
      <c r="BX265" s="51">
        <f t="shared" si="771"/>
        <v>0</v>
      </c>
      <c r="BY265" s="51">
        <f t="shared" si="721"/>
        <v>0</v>
      </c>
      <c r="BZ265" s="51">
        <f t="shared" si="772"/>
        <v>0</v>
      </c>
      <c r="CA265" s="51">
        <f t="shared" si="722"/>
        <v>0</v>
      </c>
      <c r="CB265" s="51">
        <f t="shared" si="773"/>
        <v>0</v>
      </c>
      <c r="CC265" s="51">
        <f t="shared" si="723"/>
        <v>0</v>
      </c>
      <c r="CD265" s="51">
        <f t="shared" si="774"/>
        <v>0</v>
      </c>
      <c r="CE265" s="51">
        <f t="shared" si="724"/>
        <v>0</v>
      </c>
      <c r="CF265" s="51">
        <f t="shared" si="775"/>
        <v>0</v>
      </c>
      <c r="CG265" s="54">
        <f t="shared" si="776"/>
        <v>0</v>
      </c>
      <c r="CH265" s="55">
        <f t="shared" si="777"/>
        <v>0</v>
      </c>
      <c r="CI265" s="56">
        <f>IF(AND($E265&lt;&gt;0,$F265&gt;0,YEAR($F265)&gt;=Preisindex!$A$6,YEAR(CD$4)&gt;=YEAR($F265),AND($K265&lt;&gt;"a",$K265&lt;&gt;"b",$K265&lt;&gt;"g",$K265&lt;&gt;"k")),1,IF(AND($E265&lt;&gt;0,$F265&gt;0,YEAR($F265)&gt;=Preisindex!$A$6,YEAR(CD$4)&gt;=YEAR($F265),$K265="a"),ROUND(VLOOKUP(CI$4,Preisindex,5,FALSE)/VLOOKUP(YEAR($F265),Preisindex,5,FALSE),2),IF(AND($E265&lt;&gt;0,$F265&gt;0,YEAR($F265)&gt;=Preisindex!$A$6,YEAR(CD$4)&gt;=YEAR($F265),$K265="b"),ROUND(VLOOKUP(CI$4,Preisindex,3,FALSE)/VLOOKUP(YEAR($F265),Preisindex,3,FALSE),2),IF(AND($E265&lt;&gt;0,$F265&gt;0,YEAR($F265)&gt;=Preisindex!$A$6,YEAR(CD$4)&gt;=YEAR($F265),$K265="g"),ROUND(VLOOKUP(CI$4,Preisindex,4,FALSE)/VLOOKUP(YEAR($F265),Preisindex,4,FALSE),2),IF(AND($E265&lt;&gt;0,$F265&gt;0,YEAR($F265)&gt;=Preisindex!$A$6,YEAR(CD$4)&gt;=YEAR($F265),$K265="k"),ROUND(VLOOKUP(CI$4,Preisindex,2,FALSE)/VLOOKUP(YEAR($F265),Preisindex,2,FALSE),2),0)))))</f>
        <v>0</v>
      </c>
      <c r="CJ265" s="56">
        <f>IF(AND($E265&lt;&gt;0,$F265&gt;0,YEAR($F265)&lt;Preisindex!$A$6,YEAR(CD$4)&gt;=YEAR($F265),AND($K265&lt;&gt;"a",$K265&lt;&gt;"b",$K265&lt;&gt;"g",$K265&lt;&gt;"k")),1,IF(AND($E265&lt;&gt;0,$F265&gt;0,YEAR($F265)&lt;Preisindex!$A$6,YEAR(CD$4)&gt;=YEAR($F265),$K265="a"),ROUND(VLOOKUP(CI$4,Preisindex,5,FALSE)/VLOOKUP(Preisindex!$A$6,Preisindex,5,FALSE),2),IF(AND($E265&lt;&gt;0,$F265&gt;0,YEAR($F265)&lt;Preisindex!$A$6,YEAR(CD$4)&gt;=YEAR($F265),$K265="b"),ROUND(VLOOKUP(CI$4,Preisindex,3,FALSE)/VLOOKUP(Preisindex!$A$6,Preisindex,3,FALSE),2),IF(AND($E265&lt;&gt;0,$F265&gt;0,YEAR($F265)&lt;Preisindex!$A$6,YEAR(CD$4)&gt;=YEAR($F265),$K265="g"),ROUND(VLOOKUP(CI$4,Preisindex,4,FALSE)/VLOOKUP(Preisindex!$A$6,Preisindex,4,FALSE),2),IF(AND($E265&lt;&gt;0,$F265&gt;0,YEAR($F265)&lt;Preisindex!$A$6,YEAR(CD$4)&gt;=YEAR($F265),$K265="k"),ROUND(VLOOKUP(CI$4,Preisindex,2,FALSE)/VLOOKUP(Preisindex!$A$6,Preisindex,2,FALSE),2),0)))))</f>
        <v>0</v>
      </c>
      <c r="CK265" s="51">
        <f>IF(AND($E265&lt;&gt;0,$F265&gt;0,YEAR($F265)&lt;=CI$4,YEAR($F265)&gt;=Preisindex!$A$6),ROUND($E265*CI265,2),IF(AND($E265&lt;&gt;0,$F265&gt;0,YEAR($F265)&lt;=CI$4,YEAR($F265)&lt;Preisindex!$A$6),ROUND($E265*CJ265,2),0))</f>
        <v>0</v>
      </c>
      <c r="CL265" s="53">
        <f t="shared" si="778"/>
        <v>0</v>
      </c>
      <c r="CM265" s="51">
        <f t="shared" si="754"/>
        <v>0</v>
      </c>
      <c r="CN265" s="51">
        <f t="shared" si="725"/>
        <v>0</v>
      </c>
      <c r="CO265" s="51">
        <f t="shared" si="779"/>
        <v>0</v>
      </c>
      <c r="CP265" s="51">
        <f t="shared" si="726"/>
        <v>0</v>
      </c>
      <c r="CQ265" s="51">
        <f t="shared" si="780"/>
        <v>0</v>
      </c>
      <c r="CR265" s="51">
        <f t="shared" si="727"/>
        <v>0</v>
      </c>
      <c r="CS265" s="51">
        <f t="shared" si="781"/>
        <v>0</v>
      </c>
      <c r="CT265" s="51">
        <f t="shared" si="728"/>
        <v>0</v>
      </c>
      <c r="CU265" s="51">
        <f t="shared" si="782"/>
        <v>0</v>
      </c>
      <c r="CV265" s="51">
        <f t="shared" si="729"/>
        <v>0</v>
      </c>
      <c r="CW265" s="51">
        <f t="shared" si="783"/>
        <v>0</v>
      </c>
      <c r="CX265" s="54">
        <f t="shared" si="784"/>
        <v>0</v>
      </c>
      <c r="CY265" s="55">
        <f t="shared" si="785"/>
        <v>0</v>
      </c>
      <c r="CZ265" s="56">
        <f>IF(AND($E265&lt;&gt;0,$F265&gt;0,YEAR($F265)&gt;=Preisindex!$A$6,YEAR(CU$4)&gt;=YEAR($F265),AND($K265&lt;&gt;"a",$K265&lt;&gt;"b",$K265&lt;&gt;"g",$K265&lt;&gt;"k")),1,IF(AND($E265&lt;&gt;0,$F265&gt;0,YEAR($F265)&gt;=Preisindex!$A$6,YEAR(CU$4)&gt;=YEAR($F265),$K265="a"),ROUND(VLOOKUP(CZ$4,Preisindex,5,FALSE)/VLOOKUP(YEAR($F265),Preisindex,5,FALSE),2),IF(AND($E265&lt;&gt;0,$F265&gt;0,YEAR($F265)&gt;=Preisindex!$A$6,YEAR(CU$4)&gt;=YEAR($F265),$K265="b"),ROUND(VLOOKUP(CZ$4,Preisindex,3,FALSE)/VLOOKUP(YEAR($F265),Preisindex,3,FALSE),2),IF(AND($E265&lt;&gt;0,$F265&gt;0,YEAR($F265)&gt;=Preisindex!$A$6,YEAR(CU$4)&gt;=YEAR($F265),$K265="g"),ROUND(VLOOKUP(CZ$4,Preisindex,4,FALSE)/VLOOKUP(YEAR($F265),Preisindex,4,FALSE),2),IF(AND($E265&lt;&gt;0,$F265&gt;0,YEAR($F265)&gt;=Preisindex!$A$6,YEAR(CU$4)&gt;=YEAR($F265),$K265="k"),ROUND(VLOOKUP(CZ$4,Preisindex,2,FALSE)/VLOOKUP(YEAR($F265),Preisindex,2,FALSE),2),0)))))</f>
        <v>0</v>
      </c>
      <c r="DA265" s="56">
        <f>IF(AND($E265&lt;&gt;0,$F265&gt;0,YEAR($F265)&lt;Preisindex!$A$6,YEAR(CU$4)&gt;=YEAR($F265),AND($K265&lt;&gt;"a",$K265&lt;&gt;"b",$K265&lt;&gt;"g",$K265&lt;&gt;"k")),1,IF(AND($E265&lt;&gt;0,$F265&gt;0,YEAR($F265)&lt;Preisindex!$A$6,YEAR(CU$4)&gt;=YEAR($F265),$K265="a"),ROUND(VLOOKUP(CZ$4,Preisindex,5,FALSE)/VLOOKUP(Preisindex!$A$6,Preisindex,5,FALSE),2),IF(AND($E265&lt;&gt;0,$F265&gt;0,YEAR($F265)&lt;Preisindex!$A$6,YEAR(CU$4)&gt;=YEAR($F265),$K265="b"),ROUND(VLOOKUP(CZ$4,Preisindex,3,FALSE)/VLOOKUP(Preisindex!$A$6,Preisindex,3,FALSE),2),IF(AND($E265&lt;&gt;0,$F265&gt;0,YEAR($F265)&lt;Preisindex!$A$6,YEAR(CU$4)&gt;=YEAR($F265),$K265="g"),ROUND(VLOOKUP(CZ$4,Preisindex,4,FALSE)/VLOOKUP(Preisindex!$A$6,Preisindex,4,FALSE),2),IF(AND($E265&lt;&gt;0,$F265&gt;0,YEAR($F265)&lt;Preisindex!$A$6,YEAR(CU$4)&gt;=YEAR($F265),$K265="k"),ROUND(VLOOKUP(CZ$4,Preisindex,2,FALSE)/VLOOKUP(Preisindex!$A$6,Preisindex,2,FALSE),2),0)))))</f>
        <v>0</v>
      </c>
      <c r="DB265" s="51">
        <f>IF(AND($E265&lt;&gt;0,$F265&gt;0,YEAR($F265)&lt;=CZ$4,YEAR($F265)&gt;=Preisindex!$A$6),ROUND($E265*CZ265,2),IF(AND($E265&lt;&gt;0,$F265&gt;0,YEAR($F265)&lt;=CZ$4,YEAR($F265)&lt;Preisindex!$A$6),ROUND($E265*DA265,2),0))</f>
        <v>0</v>
      </c>
      <c r="DC265" s="53">
        <f t="shared" si="786"/>
        <v>0</v>
      </c>
      <c r="DD265" s="51">
        <f t="shared" si="787"/>
        <v>0</v>
      </c>
      <c r="DE265" s="51">
        <f t="shared" si="730"/>
        <v>0</v>
      </c>
      <c r="DF265" s="51">
        <f t="shared" si="788"/>
        <v>0</v>
      </c>
      <c r="DG265" s="51">
        <f t="shared" si="731"/>
        <v>0</v>
      </c>
      <c r="DH265" s="51">
        <f t="shared" si="789"/>
        <v>0</v>
      </c>
      <c r="DI265" s="51">
        <f t="shared" si="732"/>
        <v>0</v>
      </c>
      <c r="DJ265" s="51">
        <f t="shared" si="790"/>
        <v>0</v>
      </c>
      <c r="DK265" s="51">
        <f t="shared" si="733"/>
        <v>0</v>
      </c>
      <c r="DL265" s="51">
        <f t="shared" si="791"/>
        <v>0</v>
      </c>
      <c r="DM265" s="51">
        <f t="shared" si="734"/>
        <v>0</v>
      </c>
      <c r="DN265" s="51">
        <f t="shared" si="792"/>
        <v>0</v>
      </c>
      <c r="DO265" s="54">
        <f t="shared" si="793"/>
        <v>0</v>
      </c>
      <c r="DP265" s="55">
        <f t="shared" si="794"/>
        <v>0</v>
      </c>
      <c r="DQ265" s="56">
        <f>IF(AND($E265&lt;&gt;0,$F265&gt;0,YEAR($F265)&gt;=Preisindex!$A$6,YEAR(DL$4)&gt;=YEAR($F265),AND($K265&lt;&gt;"a",$K265&lt;&gt;"b",$K265&lt;&gt;"g",$K265&lt;&gt;"k")),1,IF(AND($E265&lt;&gt;0,$F265&gt;0,YEAR($F265)&gt;=Preisindex!$A$6,YEAR(DL$4)&gt;=YEAR($F265),$K265="a"),ROUND(VLOOKUP(DQ$4,Preisindex,5,FALSE)/VLOOKUP(YEAR($F265),Preisindex,5,FALSE),2),IF(AND($E265&lt;&gt;0,$F265&gt;0,YEAR($F265)&gt;=Preisindex!$A$6,YEAR(DL$4)&gt;=YEAR($F265),$K265="b"),ROUND(VLOOKUP(DQ$4,Preisindex,3,FALSE)/VLOOKUP(YEAR($F265),Preisindex,3,FALSE),2),IF(AND($E265&lt;&gt;0,$F265&gt;0,YEAR($F265)&gt;=Preisindex!$A$6,YEAR(DL$4)&gt;=YEAR($F265),$K265="g"),ROUND(VLOOKUP(DQ$4,Preisindex,4,FALSE)/VLOOKUP(YEAR($F265),Preisindex,4,FALSE),2),IF(AND($E265&lt;&gt;0,$F265&gt;0,YEAR($F265)&gt;=Preisindex!$A$6,YEAR(DL$4)&gt;=YEAR($F265),$K265="k"),ROUND(VLOOKUP(DQ$4,Preisindex,2,FALSE)/VLOOKUP(YEAR($F265),Preisindex,2,FALSE),2),0)))))</f>
        <v>0</v>
      </c>
      <c r="DR265" s="56">
        <f>IF(AND($E265&lt;&gt;0,$F265&gt;0,YEAR($F265)&lt;Preisindex!$A$6,YEAR(DL$4)&gt;=YEAR($F265),AND($K265&lt;&gt;"a",$K265&lt;&gt;"b",$K265&lt;&gt;"g",$K265&lt;&gt;"k")),1,IF(AND($E265&lt;&gt;0,$F265&gt;0,YEAR($F265)&lt;Preisindex!$A$6,YEAR(DL$4)&gt;=YEAR($F265),$K265="a"),ROUND(VLOOKUP(DQ$4,Preisindex,5,FALSE)/VLOOKUP(Preisindex!$A$6,Preisindex,5,FALSE),2),IF(AND($E265&lt;&gt;0,$F265&gt;0,YEAR($F265)&lt;Preisindex!$A$6,YEAR(DL$4)&gt;=YEAR($F265),$K265="b"),ROUND(VLOOKUP(DQ$4,Preisindex,3,FALSE)/VLOOKUP(Preisindex!$A$6,Preisindex,3,FALSE),2),IF(AND($E265&lt;&gt;0,$F265&gt;0,YEAR($F265)&lt;Preisindex!$A$6,YEAR(DL$4)&gt;=YEAR($F265),$K265="g"),ROUND(VLOOKUP(DQ$4,Preisindex,4,FALSE)/VLOOKUP(Preisindex!$A$6,Preisindex,4,FALSE),2),IF(AND($E265&lt;&gt;0,$F265&gt;0,YEAR($F265)&lt;Preisindex!$A$6,YEAR(DL$4)&gt;=YEAR($F265),$K265="k"),ROUND(VLOOKUP(DQ$4,Preisindex,2,FALSE)/VLOOKUP(Preisindex!$A$6,Preisindex,2,FALSE),2),0)))))</f>
        <v>0</v>
      </c>
      <c r="DS265" s="51">
        <f>IF(AND($E265&lt;&gt;0,$F265&gt;0,YEAR($F265)&lt;=DQ$4,YEAR($F265)&gt;=Preisindex!$A$6),ROUND($E265*DQ265,2),IF(AND($E265&lt;&gt;0,$F265&gt;0,YEAR($F265)&lt;=DQ$4,YEAR($F265)&lt;Preisindex!$A$6),ROUND($E265*DR265,2),0))</f>
        <v>0</v>
      </c>
      <c r="DT265" s="53">
        <f t="shared" si="795"/>
        <v>0</v>
      </c>
      <c r="DU265" s="51">
        <f t="shared" si="787"/>
        <v>0</v>
      </c>
      <c r="DV265" s="51">
        <f t="shared" si="735"/>
        <v>0</v>
      </c>
      <c r="DW265" s="51">
        <f t="shared" si="796"/>
        <v>0</v>
      </c>
      <c r="DX265" s="51">
        <f t="shared" si="736"/>
        <v>0</v>
      </c>
      <c r="DY265" s="51">
        <f t="shared" si="797"/>
        <v>0</v>
      </c>
      <c r="DZ265" s="51">
        <f t="shared" si="737"/>
        <v>0</v>
      </c>
      <c r="EA265" s="51">
        <f t="shared" si="798"/>
        <v>0</v>
      </c>
      <c r="EB265" s="51">
        <f t="shared" si="738"/>
        <v>0</v>
      </c>
      <c r="EC265" s="51">
        <f t="shared" si="799"/>
        <v>0</v>
      </c>
      <c r="ED265" s="51">
        <f t="shared" si="739"/>
        <v>0</v>
      </c>
      <c r="EE265" s="51">
        <f t="shared" si="800"/>
        <v>0</v>
      </c>
      <c r="EF265" s="54">
        <f t="shared" si="801"/>
        <v>0</v>
      </c>
      <c r="EG265" s="55">
        <f t="shared" si="802"/>
        <v>0</v>
      </c>
      <c r="EH265" s="56">
        <f>IF(AND($E265&lt;&gt;0,$F265&gt;0,YEAR($F265)&gt;=Preisindex!$A$6,YEAR(EC$4)&gt;=YEAR($F265),AND($K265&lt;&gt;"a",$K265&lt;&gt;"b",$K265&lt;&gt;"g",$K265&lt;&gt;"k")),1,IF(AND($E265&lt;&gt;0,$F265&gt;0,YEAR($F265)&gt;=Preisindex!$A$6,YEAR(EC$4)&gt;=YEAR($F265),$K265="a"),ROUND(VLOOKUP(EH$4,Preisindex,5,FALSE)/VLOOKUP(YEAR($F265),Preisindex,5,FALSE),2),IF(AND($E265&lt;&gt;0,$F265&gt;0,YEAR($F265)&gt;=Preisindex!$A$6,YEAR(EC$4)&gt;=YEAR($F265),$K265="b"),ROUND(VLOOKUP(EH$4,Preisindex,3,FALSE)/VLOOKUP(YEAR($F265),Preisindex,3,FALSE),2),IF(AND($E265&lt;&gt;0,$F265&gt;0,YEAR($F265)&gt;=Preisindex!$A$6,YEAR(EC$4)&gt;=YEAR($F265),$K265="g"),ROUND(VLOOKUP(EH$4,Preisindex,4,FALSE)/VLOOKUP(YEAR($F265),Preisindex,4,FALSE),2),IF(AND($E265&lt;&gt;0,$F265&gt;0,YEAR($F265)&gt;=Preisindex!$A$6,YEAR(EC$4)&gt;=YEAR($F265),$K265="k"),ROUND(VLOOKUP(EH$4,Preisindex,2,FALSE)/VLOOKUP(YEAR($F265),Preisindex,2,FALSE),2),0)))))</f>
        <v>0</v>
      </c>
      <c r="EI265" s="56">
        <f>IF(AND($E265&lt;&gt;0,$F265&gt;0,YEAR($F265)&lt;Preisindex!$A$6,YEAR(EC$4)&gt;=YEAR($F265),AND($K265&lt;&gt;"a",$K265&lt;&gt;"b",$K265&lt;&gt;"g",$K265&lt;&gt;"k")),1,IF(AND($E265&lt;&gt;0,$F265&gt;0,YEAR($F265)&lt;Preisindex!$A$6,YEAR(EC$4)&gt;=YEAR($F265),$K265="a"),ROUND(VLOOKUP(EH$4,Preisindex,5,FALSE)/VLOOKUP(Preisindex!$A$6,Preisindex,5,FALSE),2),IF(AND($E265&lt;&gt;0,$F265&gt;0,YEAR($F265)&lt;Preisindex!$A$6,YEAR(EC$4)&gt;=YEAR($F265),$K265="b"),ROUND(VLOOKUP(EH$4,Preisindex,3,FALSE)/VLOOKUP(Preisindex!$A$6,Preisindex,3,FALSE),2),IF(AND($E265&lt;&gt;0,$F265&gt;0,YEAR($F265)&lt;Preisindex!$A$6,YEAR(EC$4)&gt;=YEAR($F265),$K265="g"),ROUND(VLOOKUP(EH$4,Preisindex,4,FALSE)/VLOOKUP(Preisindex!$A$6,Preisindex,4,FALSE),2),IF(AND($E265&lt;&gt;0,$F265&gt;0,YEAR($F265)&lt;Preisindex!$A$6,YEAR(EC$4)&gt;=YEAR($F265),$K265="k"),ROUND(VLOOKUP(EH$4,Preisindex,2,FALSE)/VLOOKUP(Preisindex!$A$6,Preisindex,2,FALSE),2),0)))))</f>
        <v>0</v>
      </c>
      <c r="EJ265" s="51">
        <f>IF(AND($E265&lt;&gt;0,$F265&gt;0,YEAR($F265)&lt;=EH$4,YEAR($F265)&gt;=Preisindex!$A$6),ROUND($E265*EH265,2),IF(AND($E265&lt;&gt;0,$F265&gt;0,YEAR($F265)&lt;=EH$4,YEAR($F265)&lt;Preisindex!$A$6),ROUND($E265*EI265,2),0))</f>
        <v>0</v>
      </c>
      <c r="EK265" s="53">
        <f t="shared" si="803"/>
        <v>0</v>
      </c>
      <c r="EL265" s="51">
        <f t="shared" si="787"/>
        <v>0</v>
      </c>
      <c r="EM265" s="51">
        <f t="shared" si="740"/>
        <v>0</v>
      </c>
      <c r="EN265" s="51">
        <f t="shared" si="804"/>
        <v>0</v>
      </c>
      <c r="EO265" s="51">
        <f t="shared" si="741"/>
        <v>0</v>
      </c>
      <c r="EP265" s="51">
        <f t="shared" si="805"/>
        <v>0</v>
      </c>
      <c r="EQ265" s="51">
        <f t="shared" si="742"/>
        <v>0</v>
      </c>
      <c r="ER265" s="51">
        <f t="shared" si="806"/>
        <v>0</v>
      </c>
      <c r="ES265" s="51">
        <f t="shared" si="743"/>
        <v>0</v>
      </c>
      <c r="ET265" s="51">
        <f t="shared" si="807"/>
        <v>0</v>
      </c>
      <c r="EU265" s="51">
        <f t="shared" si="744"/>
        <v>0</v>
      </c>
      <c r="EV265" s="51">
        <f t="shared" si="808"/>
        <v>0</v>
      </c>
      <c r="EW265" s="54">
        <f t="shared" si="809"/>
        <v>0</v>
      </c>
      <c r="EX265" s="55">
        <f t="shared" si="810"/>
        <v>0</v>
      </c>
      <c r="EY265" s="56">
        <f>IF(AND($E265&lt;&gt;0,$F265&gt;0,YEAR($F265)&gt;=Preisindex!$A$6,YEAR(ET$4)&gt;=YEAR($F265),AND($K265&lt;&gt;"a",$K265&lt;&gt;"b",$K265&lt;&gt;"g",$K265&lt;&gt;"k")),1,IF(AND($E265&lt;&gt;0,$F265&gt;0,YEAR($F265)&gt;=Preisindex!$A$6,YEAR(ET$4)&gt;=YEAR($F265),$K265="a"),ROUND(VLOOKUP(EY$4,Preisindex,5,FALSE)/VLOOKUP(YEAR($F265),Preisindex,5,FALSE),2),IF(AND($E265&lt;&gt;0,$F265&gt;0,YEAR($F265)&gt;=Preisindex!$A$6,YEAR(ET$4)&gt;=YEAR($F265),$K265="b"),ROUND(VLOOKUP(EY$4,Preisindex,3,FALSE)/VLOOKUP(YEAR($F265),Preisindex,3,FALSE),2),IF(AND($E265&lt;&gt;0,$F265&gt;0,YEAR($F265)&gt;=Preisindex!$A$6,YEAR(ET$4)&gt;=YEAR($F265),$K265="g"),ROUND(VLOOKUP(EY$4,Preisindex,4,FALSE)/VLOOKUP(YEAR($F265),Preisindex,4,FALSE),2),IF(AND($E265&lt;&gt;0,$F265&gt;0,YEAR($F265)&gt;=Preisindex!$A$6,YEAR(ET$4)&gt;=YEAR($F265),$K265="k"),ROUND(VLOOKUP(EY$4,Preisindex,2,FALSE)/VLOOKUP(YEAR($F265),Preisindex,2,FALSE),2),0)))))</f>
        <v>0</v>
      </c>
      <c r="EZ265" s="56">
        <f>IF(AND($E265&lt;&gt;0,$F265&gt;0,YEAR($F265)&lt;Preisindex!$A$6,YEAR(ET$4)&gt;=YEAR($F265),AND($K265&lt;&gt;"a",$K265&lt;&gt;"b",$K265&lt;&gt;"g",$K265&lt;&gt;"k")),1,IF(AND($E265&lt;&gt;0,$F265&gt;0,YEAR($F265)&lt;Preisindex!$A$6,YEAR(ET$4)&gt;=YEAR($F265),$K265="a"),ROUND(VLOOKUP(EY$4,Preisindex,5,FALSE)/VLOOKUP(Preisindex!$A$6,Preisindex,5,FALSE),2),IF(AND($E265&lt;&gt;0,$F265&gt;0,YEAR($F265)&lt;Preisindex!$A$6,YEAR(ET$4)&gt;=YEAR($F265),$K265="b"),ROUND(VLOOKUP(EY$4,Preisindex,3,FALSE)/VLOOKUP(Preisindex!$A$6,Preisindex,3,FALSE),2),IF(AND($E265&lt;&gt;0,$F265&gt;0,YEAR($F265)&lt;Preisindex!$A$6,YEAR(ET$4)&gt;=YEAR($F265),$K265="g"),ROUND(VLOOKUP(EY$4,Preisindex,4,FALSE)/VLOOKUP(Preisindex!$A$6,Preisindex,4,FALSE),2),IF(AND($E265&lt;&gt;0,$F265&gt;0,YEAR($F265)&lt;Preisindex!$A$6,YEAR(ET$4)&gt;=YEAR($F265),$K265="k"),ROUND(VLOOKUP(EY$4,Preisindex,2,FALSE)/VLOOKUP(Preisindex!$A$6,Preisindex,2,FALSE),2),0)))))</f>
        <v>0</v>
      </c>
      <c r="FA265" s="51">
        <f>IF(AND($E265&lt;&gt;0,$F265&gt;0,YEAR($F265)&lt;=EY$4,YEAR($F265)&gt;=Preisindex!$A$6),ROUND($E265*EY265,2),IF(AND($E265&lt;&gt;0,$F265&gt;0,YEAR($F265)&lt;=EY$4,YEAR($F265)&lt;Preisindex!$A$6),ROUND($E265*EZ265,2),0))</f>
        <v>0</v>
      </c>
      <c r="FB265" s="53">
        <f t="shared" si="811"/>
        <v>0</v>
      </c>
      <c r="FC265" s="51">
        <f t="shared" si="787"/>
        <v>0</v>
      </c>
      <c r="FD265" s="51">
        <f t="shared" si="745"/>
        <v>0</v>
      </c>
      <c r="FE265" s="51">
        <f t="shared" si="812"/>
        <v>0</v>
      </c>
      <c r="FF265" s="51">
        <f t="shared" si="746"/>
        <v>0</v>
      </c>
      <c r="FG265" s="51">
        <f t="shared" si="813"/>
        <v>0</v>
      </c>
      <c r="FH265" s="51">
        <f t="shared" si="747"/>
        <v>0</v>
      </c>
      <c r="FI265" s="51">
        <f t="shared" si="814"/>
        <v>0</v>
      </c>
      <c r="FJ265" s="51">
        <f t="shared" si="748"/>
        <v>0</v>
      </c>
      <c r="FK265" s="51">
        <f t="shared" si="815"/>
        <v>0</v>
      </c>
      <c r="FL265" s="51">
        <f t="shared" si="749"/>
        <v>0</v>
      </c>
      <c r="FM265" s="51">
        <f t="shared" si="816"/>
        <v>0</v>
      </c>
      <c r="FN265" s="54">
        <f t="shared" si="817"/>
        <v>0</v>
      </c>
      <c r="FO265" s="55">
        <f t="shared" si="818"/>
        <v>0</v>
      </c>
      <c r="FP265" s="56">
        <f>IF(AND($E265&lt;&gt;0,$F265&gt;0,YEAR($F265)&gt;=Preisindex!$A$6,YEAR(FK$4)&gt;=YEAR($F265),AND($K265&lt;&gt;"a",$K265&lt;&gt;"b",$K265&lt;&gt;"g",$K265&lt;&gt;"k")),1,IF(AND($E265&lt;&gt;0,$F265&gt;0,YEAR($F265)&gt;=Preisindex!$A$6,YEAR(FK$4)&gt;=YEAR($F265),$K265="a"),ROUND(VLOOKUP(FP$4,Preisindex,5,FALSE)/VLOOKUP(YEAR($F265),Preisindex,5,FALSE),2),IF(AND($E265&lt;&gt;0,$F265&gt;0,YEAR($F265)&gt;=Preisindex!$A$6,YEAR(FK$4)&gt;=YEAR($F265),$K265="b"),ROUND(VLOOKUP(FP$4,Preisindex,3,FALSE)/VLOOKUP(YEAR($F265),Preisindex,3,FALSE),2),IF(AND($E265&lt;&gt;0,$F265&gt;0,YEAR($F265)&gt;=Preisindex!$A$6,YEAR(FK$4)&gt;=YEAR($F265),$K265="g"),ROUND(VLOOKUP(FP$4,Preisindex,4,FALSE)/VLOOKUP(YEAR($F265),Preisindex,4,FALSE),2),IF(AND($E265&lt;&gt;0,$F265&gt;0,YEAR($F265)&gt;=Preisindex!$A$6,YEAR(FK$4)&gt;=YEAR($F265),$K265="k"),ROUND(VLOOKUP(FP$4,Preisindex,2,FALSE)/VLOOKUP(YEAR($F265),Preisindex,2,FALSE),2),0)))))</f>
        <v>0</v>
      </c>
      <c r="FQ265" s="56">
        <f>IF(AND($E265&lt;&gt;0,$F265&gt;0,YEAR($F265)&lt;Preisindex!$A$6,YEAR(FK$4)&gt;=YEAR($F265),AND($K265&lt;&gt;"a",$K265&lt;&gt;"b",$K265&lt;&gt;"g",$K265&lt;&gt;"k")),1,IF(AND($E265&lt;&gt;0,$F265&gt;0,YEAR($F265)&lt;Preisindex!$A$6,YEAR(FK$4)&gt;=YEAR($F265),$K265="a"),ROUND(VLOOKUP(FP$4,Preisindex,5,FALSE)/VLOOKUP(Preisindex!$A$6,Preisindex,5,FALSE),2),IF(AND($E265&lt;&gt;0,$F265&gt;0,YEAR($F265)&lt;Preisindex!$A$6,YEAR(FK$4)&gt;=YEAR($F265),$K265="b"),ROUND(VLOOKUP(FP$4,Preisindex,3,FALSE)/VLOOKUP(Preisindex!$A$6,Preisindex,3,FALSE),2),IF(AND($E265&lt;&gt;0,$F265&gt;0,YEAR($F265)&lt;Preisindex!$A$6,YEAR(FK$4)&gt;=YEAR($F265),$K265="g"),ROUND(VLOOKUP(FP$4,Preisindex,4,FALSE)/VLOOKUP(Preisindex!$A$6,Preisindex,4,FALSE),2),IF(AND($E265&lt;&gt;0,$F265&gt;0,YEAR($F265)&lt;Preisindex!$A$6,YEAR(FK$4)&gt;=YEAR($F265),$K265="k"),ROUND(VLOOKUP(FP$4,Preisindex,2,FALSE)/VLOOKUP(Preisindex!$A$6,Preisindex,2,FALSE),2),0)))))</f>
        <v>0</v>
      </c>
      <c r="FR265" s="51">
        <f>IF(AND($E265&lt;&gt;0,$F265&gt;0,YEAR($F265)&lt;=FP$4,YEAR($F265)&gt;=Preisindex!$A$6),ROUND($E265*FP265,2),IF(AND($E265&lt;&gt;0,$F265&gt;0,YEAR($F265)&lt;=FP$4,YEAR($F265)&lt;Preisindex!$A$6),ROUND($E265*FQ265,2),0))</f>
        <v>0</v>
      </c>
      <c r="FS265" s="53">
        <f t="shared" si="819"/>
        <v>0</v>
      </c>
    </row>
    <row r="266" spans="1:175" x14ac:dyDescent="0.3">
      <c r="A266" s="185"/>
      <c r="B266" s="186"/>
      <c r="C266" s="187"/>
      <c r="D266" s="188"/>
      <c r="E266" s="189"/>
      <c r="F266" s="190"/>
      <c r="G266" s="191"/>
      <c r="H266" s="192"/>
      <c r="I266" s="193"/>
      <c r="J266" s="194"/>
      <c r="K266" s="630"/>
      <c r="L266" s="49">
        <f t="shared" si="820"/>
        <v>0</v>
      </c>
      <c r="M266" s="50">
        <f t="shared" si="821"/>
        <v>0</v>
      </c>
      <c r="N266" s="51">
        <f t="shared" si="822"/>
        <v>0</v>
      </c>
      <c r="O266" s="51"/>
      <c r="P266" s="51">
        <f t="shared" si="823"/>
        <v>0</v>
      </c>
      <c r="Q266" s="52"/>
      <c r="R266" s="52"/>
      <c r="S266" s="52"/>
      <c r="T266" s="52"/>
      <c r="U266" s="52"/>
      <c r="V266" s="53">
        <f t="shared" si="824"/>
        <v>0</v>
      </c>
      <c r="W266" s="51">
        <f t="shared" si="825"/>
        <v>0</v>
      </c>
      <c r="X266" s="51">
        <f t="shared" si="826"/>
        <v>0</v>
      </c>
      <c r="Y266" s="51">
        <f t="shared" si="827"/>
        <v>0</v>
      </c>
      <c r="Z266" s="51">
        <f t="shared" si="828"/>
        <v>0</v>
      </c>
      <c r="AA266" s="51">
        <f t="shared" si="829"/>
        <v>0</v>
      </c>
      <c r="AB266" s="51">
        <f t="shared" si="830"/>
        <v>0</v>
      </c>
      <c r="AC266" s="51">
        <f t="shared" si="831"/>
        <v>0</v>
      </c>
      <c r="AD266" s="51">
        <f t="shared" si="832"/>
        <v>0</v>
      </c>
      <c r="AE266" s="51">
        <f t="shared" si="833"/>
        <v>0</v>
      </c>
      <c r="AF266" s="51">
        <f t="shared" si="834"/>
        <v>0</v>
      </c>
      <c r="AG266" s="51">
        <f t="shared" si="835"/>
        <v>0</v>
      </c>
      <c r="AH266" s="54">
        <f t="shared" si="836"/>
        <v>0</v>
      </c>
      <c r="AI266" s="55">
        <f t="shared" si="837"/>
        <v>0</v>
      </c>
      <c r="AJ266" s="56">
        <f>IF(AND($E266&lt;&gt;0,$F266&gt;0,YEAR($F266)&gt;=Preisindex!$A$6,YEAR(AE$4)&gt;=YEAR($F266),AND($K266&lt;&gt;"a",$K266&lt;&gt;"b",$K266&lt;&gt;"g",$K266&lt;&gt;"k")),1,IF(AND($E266&lt;&gt;0,$F266&gt;0,YEAR($F266)&gt;=Preisindex!$A$6,YEAR(AE$4)&gt;=YEAR($F266),$K266="a"),ROUND(VLOOKUP(AJ$4,Preisindex,5,FALSE)/VLOOKUP(YEAR($F266),Preisindex,5,FALSE),2),IF(AND($E266&lt;&gt;0,$F266&gt;0,YEAR($F266)&gt;=Preisindex!$A$6,YEAR(AE$4)&gt;=YEAR($F266),$K266="b"),ROUND(VLOOKUP(AJ$4,Preisindex,3,FALSE)/VLOOKUP(YEAR($F266),Preisindex,3,FALSE),2),IF(AND($E266&lt;&gt;0,$F266&gt;0,YEAR($F266)&gt;=Preisindex!$A$6,YEAR(AE$4)&gt;=YEAR($F266),$K266="g"),ROUND(VLOOKUP(AJ$4,Preisindex,4,FALSE)/VLOOKUP(YEAR($F266),Preisindex,4,FALSE),2),IF(AND($E266&lt;&gt;0,$F266&gt;0,YEAR($F266)&gt;=Preisindex!$A$6,YEAR(AE$4)&gt;=YEAR($F266),$K266="k"),ROUND(VLOOKUP(AJ$4,Preisindex,2,FALSE)/VLOOKUP(YEAR($F266),Preisindex,2,FALSE),2),0)))))</f>
        <v>0</v>
      </c>
      <c r="AK266" s="56">
        <f>IF(AND($E266&lt;&gt;0,$F266&gt;0,YEAR($F266)&lt;Preisindex!$A$6,YEAR(AE$4)&gt;=YEAR($F266),AND($K266&lt;&gt;"a",$K266&lt;&gt;"b",$K266&lt;&gt;"g",$K266&lt;&gt;"k")),1,IF(AND($E266&lt;&gt;0,$F266&gt;0,YEAR($F266)&lt;Preisindex!$A$6,YEAR(AE$4)&gt;=YEAR($F266),$K266="a"),ROUND(VLOOKUP(AJ$4,Preisindex,5,FALSE)/VLOOKUP(Preisindex!$A$6,Preisindex,5,FALSE),2),IF(AND($E266&lt;&gt;0,$F266&gt;0,YEAR($F266)&lt;Preisindex!$A$6,YEAR(AE$4)&gt;=YEAR($F266),$K266="b"),ROUND(VLOOKUP(AJ$4,Preisindex,3,FALSE)/VLOOKUP(Preisindex!$A$6,Preisindex,3,FALSE),2),IF(AND($E266&lt;&gt;0,$F266&gt;0,YEAR($F266)&lt;Preisindex!$A$6,YEAR(AE$4)&gt;=YEAR($F266),$K266="g"),ROUND(VLOOKUP(AJ$4,Preisindex,4,FALSE)/VLOOKUP(Preisindex!$A$6,Preisindex,4,FALSE),2),IF(AND($E266&lt;&gt;0,$F266&gt;0,YEAR($F266)&lt;Preisindex!$A$6,YEAR(AE$4)&gt;=YEAR($F266),$K266="k"),ROUND(VLOOKUP(AJ$4,Preisindex,2,FALSE)/VLOOKUP(Preisindex!$A$6,Preisindex,2,FALSE),2),0)))))</f>
        <v>0</v>
      </c>
      <c r="AL266" s="51">
        <f>IF(AND($E266&lt;&gt;0,$F266&gt;0,YEAR($F266)&lt;=AJ$4,YEAR($F266)&gt;=Preisindex!$A$6),ROUND($E266*AJ266,2),IF(AND($E266&lt;&gt;0,$F266&gt;0,YEAR($F266)&lt;=AJ$4,YEAR($F266)&lt;Preisindex!$A$6),ROUND($E266*AK266,2),0))</f>
        <v>0</v>
      </c>
      <c r="AM266" s="53">
        <f t="shared" si="838"/>
        <v>0</v>
      </c>
      <c r="AN266" s="51">
        <f t="shared" si="754"/>
        <v>0</v>
      </c>
      <c r="AO266" s="51">
        <f t="shared" si="710"/>
        <v>0</v>
      </c>
      <c r="AP266" s="51">
        <f t="shared" si="755"/>
        <v>0</v>
      </c>
      <c r="AQ266" s="51">
        <f t="shared" si="711"/>
        <v>0</v>
      </c>
      <c r="AR266" s="51">
        <f t="shared" si="756"/>
        <v>0</v>
      </c>
      <c r="AS266" s="51">
        <f t="shared" si="712"/>
        <v>0</v>
      </c>
      <c r="AT266" s="51">
        <f t="shared" si="757"/>
        <v>0</v>
      </c>
      <c r="AU266" s="51">
        <f t="shared" si="713"/>
        <v>0</v>
      </c>
      <c r="AV266" s="51">
        <f t="shared" si="758"/>
        <v>0</v>
      </c>
      <c r="AW266" s="51">
        <f t="shared" si="714"/>
        <v>0</v>
      </c>
      <c r="AX266" s="51">
        <f t="shared" si="759"/>
        <v>0</v>
      </c>
      <c r="AY266" s="54">
        <f t="shared" si="760"/>
        <v>0</v>
      </c>
      <c r="AZ266" s="55">
        <f t="shared" si="761"/>
        <v>0</v>
      </c>
      <c r="BA266" s="56">
        <f>IF(AND($E266&lt;&gt;0,$F266&gt;0,YEAR($F266)&gt;=Preisindex!$A$6,YEAR(AV$4)&gt;=YEAR($F266),AND($K266&lt;&gt;"a",$K266&lt;&gt;"b",$K266&lt;&gt;"g",$K266&lt;&gt;"k")),1,IF(AND($E266&lt;&gt;0,$F266&gt;0,YEAR($F266)&gt;=Preisindex!$A$6,YEAR(AV$4)&gt;=YEAR($F266),$K266="a"),ROUND(VLOOKUP(BA$4,Preisindex,5,FALSE)/VLOOKUP(YEAR($F266),Preisindex,5,FALSE),2),IF(AND($E266&lt;&gt;0,$F266&gt;0,YEAR($F266)&gt;=Preisindex!$A$6,YEAR(AV$4)&gt;=YEAR($F266),$K266="b"),ROUND(VLOOKUP(BA$4,Preisindex,3,FALSE)/VLOOKUP(YEAR($F266),Preisindex,3,FALSE),2),IF(AND($E266&lt;&gt;0,$F266&gt;0,YEAR($F266)&gt;=Preisindex!$A$6,YEAR(AV$4)&gt;=YEAR($F266),$K266="g"),ROUND(VLOOKUP(BA$4,Preisindex,4,FALSE)/VLOOKUP(YEAR($F266),Preisindex,4,FALSE),2),IF(AND($E266&lt;&gt;0,$F266&gt;0,YEAR($F266)&gt;=Preisindex!$A$6,YEAR(AV$4)&gt;=YEAR($F266),$K266="k"),ROUND(VLOOKUP(BA$4,Preisindex,2,FALSE)/VLOOKUP(YEAR($F266),Preisindex,2,FALSE),2),0)))))</f>
        <v>0</v>
      </c>
      <c r="BB266" s="56">
        <f>IF(AND($E266&lt;&gt;0,$F266&gt;0,YEAR($F266)&lt;Preisindex!$A$6,YEAR(AV$4)&gt;=YEAR($F266),AND($K266&lt;&gt;"a",$K266&lt;&gt;"b",$K266&lt;&gt;"g",$K266&lt;&gt;"k")),1,IF(AND($E266&lt;&gt;0,$F266&gt;0,YEAR($F266)&lt;Preisindex!$A$6,YEAR(AV$4)&gt;=YEAR($F266),$K266="a"),ROUND(VLOOKUP(BA$4,Preisindex,5,FALSE)/VLOOKUP(Preisindex!$A$6,Preisindex,5,FALSE),2),IF(AND($E266&lt;&gt;0,$F266&gt;0,YEAR($F266)&lt;Preisindex!$A$6,YEAR(AV$4)&gt;=YEAR($F266),$K266="b"),ROUND(VLOOKUP(BA$4,Preisindex,3,FALSE)/VLOOKUP(Preisindex!$A$6,Preisindex,3,FALSE),2),IF(AND($E266&lt;&gt;0,$F266&gt;0,YEAR($F266)&lt;Preisindex!$A$6,YEAR(AV$4)&gt;=YEAR($F266),$K266="g"),ROUND(VLOOKUP(BA$4,Preisindex,4,FALSE)/VLOOKUP(Preisindex!$A$6,Preisindex,4,FALSE),2),IF(AND($E266&lt;&gt;0,$F266&gt;0,YEAR($F266)&lt;Preisindex!$A$6,YEAR(AV$4)&gt;=YEAR($F266),$K266="k"),ROUND(VLOOKUP(BA$4,Preisindex,2,FALSE)/VLOOKUP(Preisindex!$A$6,Preisindex,2,FALSE),2),0)))))</f>
        <v>0</v>
      </c>
      <c r="BC266" s="51">
        <f>IF(AND($E266&lt;&gt;0,$F266&gt;0,YEAR($F266)&lt;=BA$4,YEAR($F266)&gt;=Preisindex!$A$6),ROUND($E266*BA266,2),IF(AND($E266&lt;&gt;0,$F266&gt;0,YEAR($F266)&lt;=BA$4,YEAR($F266)&lt;Preisindex!$A$6),ROUND($E266*BB266,2),0))</f>
        <v>0</v>
      </c>
      <c r="BD266" s="53">
        <f t="shared" si="762"/>
        <v>0</v>
      </c>
      <c r="BE266" s="51">
        <f t="shared" si="754"/>
        <v>0</v>
      </c>
      <c r="BF266" s="51">
        <f t="shared" si="715"/>
        <v>0</v>
      </c>
      <c r="BG266" s="51">
        <f t="shared" si="763"/>
        <v>0</v>
      </c>
      <c r="BH266" s="51">
        <f t="shared" si="716"/>
        <v>0</v>
      </c>
      <c r="BI266" s="51">
        <f t="shared" si="764"/>
        <v>0</v>
      </c>
      <c r="BJ266" s="51">
        <f t="shared" si="717"/>
        <v>0</v>
      </c>
      <c r="BK266" s="51">
        <f t="shared" si="765"/>
        <v>0</v>
      </c>
      <c r="BL266" s="51">
        <f t="shared" si="718"/>
        <v>0</v>
      </c>
      <c r="BM266" s="51">
        <f t="shared" si="766"/>
        <v>0</v>
      </c>
      <c r="BN266" s="51">
        <f t="shared" si="719"/>
        <v>0</v>
      </c>
      <c r="BO266" s="51">
        <f t="shared" si="767"/>
        <v>0</v>
      </c>
      <c r="BP266" s="54">
        <f t="shared" si="768"/>
        <v>0</v>
      </c>
      <c r="BQ266" s="55">
        <f t="shared" si="769"/>
        <v>0</v>
      </c>
      <c r="BR266" s="56">
        <f>IF(AND($E266&lt;&gt;0,$F266&gt;0,YEAR($F266)&gt;=Preisindex!$A$6,YEAR(BM$4)&gt;=YEAR($F266),AND($K266&lt;&gt;"a",$K266&lt;&gt;"b",$K266&lt;&gt;"g",$K266&lt;&gt;"k")),1,IF(AND($E266&lt;&gt;0,$F266&gt;0,YEAR($F266)&gt;=Preisindex!$A$6,YEAR(BM$4)&gt;=YEAR($F266),$K266="a"),ROUND(VLOOKUP(BR$4,Preisindex,5,FALSE)/VLOOKUP(YEAR($F266),Preisindex,5,FALSE),2),IF(AND($E266&lt;&gt;0,$F266&gt;0,YEAR($F266)&gt;=Preisindex!$A$6,YEAR(BM$4)&gt;=YEAR($F266),$K266="b"),ROUND(VLOOKUP(BR$4,Preisindex,3,FALSE)/VLOOKUP(YEAR($F266),Preisindex,3,FALSE),2),IF(AND($E266&lt;&gt;0,$F266&gt;0,YEAR($F266)&gt;=Preisindex!$A$6,YEAR(BM$4)&gt;=YEAR($F266),$K266="g"),ROUND(VLOOKUP(BR$4,Preisindex,4,FALSE)/VLOOKUP(YEAR($F266),Preisindex,4,FALSE),2),IF(AND($E266&lt;&gt;0,$F266&gt;0,YEAR($F266)&gt;=Preisindex!$A$6,YEAR(BM$4)&gt;=YEAR($F266),$K266="k"),ROUND(VLOOKUP(BR$4,Preisindex,2,FALSE)/VLOOKUP(YEAR($F266),Preisindex,2,FALSE),2),0)))))</f>
        <v>0</v>
      </c>
      <c r="BS266" s="56">
        <f>IF(AND($E266&lt;&gt;0,$F266&gt;0,YEAR($F266)&lt;Preisindex!$A$6,YEAR(BM$4)&gt;=YEAR($F266),AND($K266&lt;&gt;"a",$K266&lt;&gt;"b",$K266&lt;&gt;"g",$K266&lt;&gt;"k")),1,IF(AND($E266&lt;&gt;0,$F266&gt;0,YEAR($F266)&lt;Preisindex!$A$6,YEAR(BM$4)&gt;=YEAR($F266),$K266="a"),ROUND(VLOOKUP(BR$4,Preisindex,5,FALSE)/VLOOKUP(Preisindex!$A$6,Preisindex,5,FALSE),2),IF(AND($E266&lt;&gt;0,$F266&gt;0,YEAR($F266)&lt;Preisindex!$A$6,YEAR(BM$4)&gt;=YEAR($F266),$K266="b"),ROUND(VLOOKUP(BR$4,Preisindex,3,FALSE)/VLOOKUP(Preisindex!$A$6,Preisindex,3,FALSE),2),IF(AND($E266&lt;&gt;0,$F266&gt;0,YEAR($F266)&lt;Preisindex!$A$6,YEAR(BM$4)&gt;=YEAR($F266),$K266="g"),ROUND(VLOOKUP(BR$4,Preisindex,4,FALSE)/VLOOKUP(Preisindex!$A$6,Preisindex,4,FALSE),2),IF(AND($E266&lt;&gt;0,$F266&gt;0,YEAR($F266)&lt;Preisindex!$A$6,YEAR(BM$4)&gt;=YEAR($F266),$K266="k"),ROUND(VLOOKUP(BR$4,Preisindex,2,FALSE)/VLOOKUP(Preisindex!$A$6,Preisindex,2,FALSE),2),0)))))</f>
        <v>0</v>
      </c>
      <c r="BT266" s="51">
        <f>IF(AND($E266&lt;&gt;0,$F266&gt;0,YEAR($F266)&lt;=BR$4,YEAR($F266)&gt;=Preisindex!$A$6),ROUND($E266*BR266,2),IF(AND($E266&lt;&gt;0,$F266&gt;0,YEAR($F266)&lt;=BR$4,YEAR($F266)&lt;Preisindex!$A$6),ROUND($E266*BS266,2),0))</f>
        <v>0</v>
      </c>
      <c r="BU266" s="53">
        <f t="shared" si="770"/>
        <v>0</v>
      </c>
      <c r="BV266" s="51">
        <f t="shared" si="754"/>
        <v>0</v>
      </c>
      <c r="BW266" s="51">
        <f t="shared" si="720"/>
        <v>0</v>
      </c>
      <c r="BX266" s="51">
        <f t="shared" si="771"/>
        <v>0</v>
      </c>
      <c r="BY266" s="51">
        <f t="shared" si="721"/>
        <v>0</v>
      </c>
      <c r="BZ266" s="51">
        <f t="shared" si="772"/>
        <v>0</v>
      </c>
      <c r="CA266" s="51">
        <f t="shared" si="722"/>
        <v>0</v>
      </c>
      <c r="CB266" s="51">
        <f t="shared" si="773"/>
        <v>0</v>
      </c>
      <c r="CC266" s="51">
        <f t="shared" si="723"/>
        <v>0</v>
      </c>
      <c r="CD266" s="51">
        <f t="shared" si="774"/>
        <v>0</v>
      </c>
      <c r="CE266" s="51">
        <f t="shared" si="724"/>
        <v>0</v>
      </c>
      <c r="CF266" s="51">
        <f t="shared" si="775"/>
        <v>0</v>
      </c>
      <c r="CG266" s="54">
        <f t="shared" si="776"/>
        <v>0</v>
      </c>
      <c r="CH266" s="55">
        <f t="shared" si="777"/>
        <v>0</v>
      </c>
      <c r="CI266" s="56">
        <f>IF(AND($E266&lt;&gt;0,$F266&gt;0,YEAR($F266)&gt;=Preisindex!$A$6,YEAR(CD$4)&gt;=YEAR($F266),AND($K266&lt;&gt;"a",$K266&lt;&gt;"b",$K266&lt;&gt;"g",$K266&lt;&gt;"k")),1,IF(AND($E266&lt;&gt;0,$F266&gt;0,YEAR($F266)&gt;=Preisindex!$A$6,YEAR(CD$4)&gt;=YEAR($F266),$K266="a"),ROUND(VLOOKUP(CI$4,Preisindex,5,FALSE)/VLOOKUP(YEAR($F266),Preisindex,5,FALSE),2),IF(AND($E266&lt;&gt;0,$F266&gt;0,YEAR($F266)&gt;=Preisindex!$A$6,YEAR(CD$4)&gt;=YEAR($F266),$K266="b"),ROUND(VLOOKUP(CI$4,Preisindex,3,FALSE)/VLOOKUP(YEAR($F266),Preisindex,3,FALSE),2),IF(AND($E266&lt;&gt;0,$F266&gt;0,YEAR($F266)&gt;=Preisindex!$A$6,YEAR(CD$4)&gt;=YEAR($F266),$K266="g"),ROUND(VLOOKUP(CI$4,Preisindex,4,FALSE)/VLOOKUP(YEAR($F266),Preisindex,4,FALSE),2),IF(AND($E266&lt;&gt;0,$F266&gt;0,YEAR($F266)&gt;=Preisindex!$A$6,YEAR(CD$4)&gt;=YEAR($F266),$K266="k"),ROUND(VLOOKUP(CI$4,Preisindex,2,FALSE)/VLOOKUP(YEAR($F266),Preisindex,2,FALSE),2),0)))))</f>
        <v>0</v>
      </c>
      <c r="CJ266" s="56">
        <f>IF(AND($E266&lt;&gt;0,$F266&gt;0,YEAR($F266)&lt;Preisindex!$A$6,YEAR(CD$4)&gt;=YEAR($F266),AND($K266&lt;&gt;"a",$K266&lt;&gt;"b",$K266&lt;&gt;"g",$K266&lt;&gt;"k")),1,IF(AND($E266&lt;&gt;0,$F266&gt;0,YEAR($F266)&lt;Preisindex!$A$6,YEAR(CD$4)&gt;=YEAR($F266),$K266="a"),ROUND(VLOOKUP(CI$4,Preisindex,5,FALSE)/VLOOKUP(Preisindex!$A$6,Preisindex,5,FALSE),2),IF(AND($E266&lt;&gt;0,$F266&gt;0,YEAR($F266)&lt;Preisindex!$A$6,YEAR(CD$4)&gt;=YEAR($F266),$K266="b"),ROUND(VLOOKUP(CI$4,Preisindex,3,FALSE)/VLOOKUP(Preisindex!$A$6,Preisindex,3,FALSE),2),IF(AND($E266&lt;&gt;0,$F266&gt;0,YEAR($F266)&lt;Preisindex!$A$6,YEAR(CD$4)&gt;=YEAR($F266),$K266="g"),ROUND(VLOOKUP(CI$4,Preisindex,4,FALSE)/VLOOKUP(Preisindex!$A$6,Preisindex,4,FALSE),2),IF(AND($E266&lt;&gt;0,$F266&gt;0,YEAR($F266)&lt;Preisindex!$A$6,YEAR(CD$4)&gt;=YEAR($F266),$K266="k"),ROUND(VLOOKUP(CI$4,Preisindex,2,FALSE)/VLOOKUP(Preisindex!$A$6,Preisindex,2,FALSE),2),0)))))</f>
        <v>0</v>
      </c>
      <c r="CK266" s="51">
        <f>IF(AND($E266&lt;&gt;0,$F266&gt;0,YEAR($F266)&lt;=CI$4,YEAR($F266)&gt;=Preisindex!$A$6),ROUND($E266*CI266,2),IF(AND($E266&lt;&gt;0,$F266&gt;0,YEAR($F266)&lt;=CI$4,YEAR($F266)&lt;Preisindex!$A$6),ROUND($E266*CJ266,2),0))</f>
        <v>0</v>
      </c>
      <c r="CL266" s="53">
        <f t="shared" si="778"/>
        <v>0</v>
      </c>
      <c r="CM266" s="51">
        <f t="shared" si="754"/>
        <v>0</v>
      </c>
      <c r="CN266" s="51">
        <f t="shared" si="725"/>
        <v>0</v>
      </c>
      <c r="CO266" s="51">
        <f t="shared" si="779"/>
        <v>0</v>
      </c>
      <c r="CP266" s="51">
        <f t="shared" si="726"/>
        <v>0</v>
      </c>
      <c r="CQ266" s="51">
        <f t="shared" si="780"/>
        <v>0</v>
      </c>
      <c r="CR266" s="51">
        <f t="shared" si="727"/>
        <v>0</v>
      </c>
      <c r="CS266" s="51">
        <f t="shared" si="781"/>
        <v>0</v>
      </c>
      <c r="CT266" s="51">
        <f t="shared" si="728"/>
        <v>0</v>
      </c>
      <c r="CU266" s="51">
        <f t="shared" si="782"/>
        <v>0</v>
      </c>
      <c r="CV266" s="51">
        <f t="shared" si="729"/>
        <v>0</v>
      </c>
      <c r="CW266" s="51">
        <f t="shared" si="783"/>
        <v>0</v>
      </c>
      <c r="CX266" s="54">
        <f t="shared" si="784"/>
        <v>0</v>
      </c>
      <c r="CY266" s="55">
        <f t="shared" si="785"/>
        <v>0</v>
      </c>
      <c r="CZ266" s="56">
        <f>IF(AND($E266&lt;&gt;0,$F266&gt;0,YEAR($F266)&gt;=Preisindex!$A$6,YEAR(CU$4)&gt;=YEAR($F266),AND($K266&lt;&gt;"a",$K266&lt;&gt;"b",$K266&lt;&gt;"g",$K266&lt;&gt;"k")),1,IF(AND($E266&lt;&gt;0,$F266&gt;0,YEAR($F266)&gt;=Preisindex!$A$6,YEAR(CU$4)&gt;=YEAR($F266),$K266="a"),ROUND(VLOOKUP(CZ$4,Preisindex,5,FALSE)/VLOOKUP(YEAR($F266),Preisindex,5,FALSE),2),IF(AND($E266&lt;&gt;0,$F266&gt;0,YEAR($F266)&gt;=Preisindex!$A$6,YEAR(CU$4)&gt;=YEAR($F266),$K266="b"),ROUND(VLOOKUP(CZ$4,Preisindex,3,FALSE)/VLOOKUP(YEAR($F266),Preisindex,3,FALSE),2),IF(AND($E266&lt;&gt;0,$F266&gt;0,YEAR($F266)&gt;=Preisindex!$A$6,YEAR(CU$4)&gt;=YEAR($F266),$K266="g"),ROUND(VLOOKUP(CZ$4,Preisindex,4,FALSE)/VLOOKUP(YEAR($F266),Preisindex,4,FALSE),2),IF(AND($E266&lt;&gt;0,$F266&gt;0,YEAR($F266)&gt;=Preisindex!$A$6,YEAR(CU$4)&gt;=YEAR($F266),$K266="k"),ROUND(VLOOKUP(CZ$4,Preisindex,2,FALSE)/VLOOKUP(YEAR($F266),Preisindex,2,FALSE),2),0)))))</f>
        <v>0</v>
      </c>
      <c r="DA266" s="56">
        <f>IF(AND($E266&lt;&gt;0,$F266&gt;0,YEAR($F266)&lt;Preisindex!$A$6,YEAR(CU$4)&gt;=YEAR($F266),AND($K266&lt;&gt;"a",$K266&lt;&gt;"b",$K266&lt;&gt;"g",$K266&lt;&gt;"k")),1,IF(AND($E266&lt;&gt;0,$F266&gt;0,YEAR($F266)&lt;Preisindex!$A$6,YEAR(CU$4)&gt;=YEAR($F266),$K266="a"),ROUND(VLOOKUP(CZ$4,Preisindex,5,FALSE)/VLOOKUP(Preisindex!$A$6,Preisindex,5,FALSE),2),IF(AND($E266&lt;&gt;0,$F266&gt;0,YEAR($F266)&lt;Preisindex!$A$6,YEAR(CU$4)&gt;=YEAR($F266),$K266="b"),ROUND(VLOOKUP(CZ$4,Preisindex,3,FALSE)/VLOOKUP(Preisindex!$A$6,Preisindex,3,FALSE),2),IF(AND($E266&lt;&gt;0,$F266&gt;0,YEAR($F266)&lt;Preisindex!$A$6,YEAR(CU$4)&gt;=YEAR($F266),$K266="g"),ROUND(VLOOKUP(CZ$4,Preisindex,4,FALSE)/VLOOKUP(Preisindex!$A$6,Preisindex,4,FALSE),2),IF(AND($E266&lt;&gt;0,$F266&gt;0,YEAR($F266)&lt;Preisindex!$A$6,YEAR(CU$4)&gt;=YEAR($F266),$K266="k"),ROUND(VLOOKUP(CZ$4,Preisindex,2,FALSE)/VLOOKUP(Preisindex!$A$6,Preisindex,2,FALSE),2),0)))))</f>
        <v>0</v>
      </c>
      <c r="DB266" s="51">
        <f>IF(AND($E266&lt;&gt;0,$F266&gt;0,YEAR($F266)&lt;=CZ$4,YEAR($F266)&gt;=Preisindex!$A$6),ROUND($E266*CZ266,2),IF(AND($E266&lt;&gt;0,$F266&gt;0,YEAR($F266)&lt;=CZ$4,YEAR($F266)&lt;Preisindex!$A$6),ROUND($E266*DA266,2),0))</f>
        <v>0</v>
      </c>
      <c r="DC266" s="53">
        <f t="shared" si="786"/>
        <v>0</v>
      </c>
      <c r="DD266" s="51">
        <f t="shared" si="787"/>
        <v>0</v>
      </c>
      <c r="DE266" s="51">
        <f t="shared" si="730"/>
        <v>0</v>
      </c>
      <c r="DF266" s="51">
        <f t="shared" si="788"/>
        <v>0</v>
      </c>
      <c r="DG266" s="51">
        <f t="shared" si="731"/>
        <v>0</v>
      </c>
      <c r="DH266" s="51">
        <f t="shared" si="789"/>
        <v>0</v>
      </c>
      <c r="DI266" s="51">
        <f t="shared" si="732"/>
        <v>0</v>
      </c>
      <c r="DJ266" s="51">
        <f t="shared" si="790"/>
        <v>0</v>
      </c>
      <c r="DK266" s="51">
        <f t="shared" si="733"/>
        <v>0</v>
      </c>
      <c r="DL266" s="51">
        <f t="shared" si="791"/>
        <v>0</v>
      </c>
      <c r="DM266" s="51">
        <f t="shared" si="734"/>
        <v>0</v>
      </c>
      <c r="DN266" s="51">
        <f t="shared" si="792"/>
        <v>0</v>
      </c>
      <c r="DO266" s="54">
        <f t="shared" si="793"/>
        <v>0</v>
      </c>
      <c r="DP266" s="55">
        <f t="shared" si="794"/>
        <v>0</v>
      </c>
      <c r="DQ266" s="56">
        <f>IF(AND($E266&lt;&gt;0,$F266&gt;0,YEAR($F266)&gt;=Preisindex!$A$6,YEAR(DL$4)&gt;=YEAR($F266),AND($K266&lt;&gt;"a",$K266&lt;&gt;"b",$K266&lt;&gt;"g",$K266&lt;&gt;"k")),1,IF(AND($E266&lt;&gt;0,$F266&gt;0,YEAR($F266)&gt;=Preisindex!$A$6,YEAR(DL$4)&gt;=YEAR($F266),$K266="a"),ROUND(VLOOKUP(DQ$4,Preisindex,5,FALSE)/VLOOKUP(YEAR($F266),Preisindex,5,FALSE),2),IF(AND($E266&lt;&gt;0,$F266&gt;0,YEAR($F266)&gt;=Preisindex!$A$6,YEAR(DL$4)&gt;=YEAR($F266),$K266="b"),ROUND(VLOOKUP(DQ$4,Preisindex,3,FALSE)/VLOOKUP(YEAR($F266),Preisindex,3,FALSE),2),IF(AND($E266&lt;&gt;0,$F266&gt;0,YEAR($F266)&gt;=Preisindex!$A$6,YEAR(DL$4)&gt;=YEAR($F266),$K266="g"),ROUND(VLOOKUP(DQ$4,Preisindex,4,FALSE)/VLOOKUP(YEAR($F266),Preisindex,4,FALSE),2),IF(AND($E266&lt;&gt;0,$F266&gt;0,YEAR($F266)&gt;=Preisindex!$A$6,YEAR(DL$4)&gt;=YEAR($F266),$K266="k"),ROUND(VLOOKUP(DQ$4,Preisindex,2,FALSE)/VLOOKUP(YEAR($F266),Preisindex,2,FALSE),2),0)))))</f>
        <v>0</v>
      </c>
      <c r="DR266" s="56">
        <f>IF(AND($E266&lt;&gt;0,$F266&gt;0,YEAR($F266)&lt;Preisindex!$A$6,YEAR(DL$4)&gt;=YEAR($F266),AND($K266&lt;&gt;"a",$K266&lt;&gt;"b",$K266&lt;&gt;"g",$K266&lt;&gt;"k")),1,IF(AND($E266&lt;&gt;0,$F266&gt;0,YEAR($F266)&lt;Preisindex!$A$6,YEAR(DL$4)&gt;=YEAR($F266),$K266="a"),ROUND(VLOOKUP(DQ$4,Preisindex,5,FALSE)/VLOOKUP(Preisindex!$A$6,Preisindex,5,FALSE),2),IF(AND($E266&lt;&gt;0,$F266&gt;0,YEAR($F266)&lt;Preisindex!$A$6,YEAR(DL$4)&gt;=YEAR($F266),$K266="b"),ROUND(VLOOKUP(DQ$4,Preisindex,3,FALSE)/VLOOKUP(Preisindex!$A$6,Preisindex,3,FALSE),2),IF(AND($E266&lt;&gt;0,$F266&gt;0,YEAR($F266)&lt;Preisindex!$A$6,YEAR(DL$4)&gt;=YEAR($F266),$K266="g"),ROUND(VLOOKUP(DQ$4,Preisindex,4,FALSE)/VLOOKUP(Preisindex!$A$6,Preisindex,4,FALSE),2),IF(AND($E266&lt;&gt;0,$F266&gt;0,YEAR($F266)&lt;Preisindex!$A$6,YEAR(DL$4)&gt;=YEAR($F266),$K266="k"),ROUND(VLOOKUP(DQ$4,Preisindex,2,FALSE)/VLOOKUP(Preisindex!$A$6,Preisindex,2,FALSE),2),0)))))</f>
        <v>0</v>
      </c>
      <c r="DS266" s="51">
        <f>IF(AND($E266&lt;&gt;0,$F266&gt;0,YEAR($F266)&lt;=DQ$4,YEAR($F266)&gt;=Preisindex!$A$6),ROUND($E266*DQ266,2),IF(AND($E266&lt;&gt;0,$F266&gt;0,YEAR($F266)&lt;=DQ$4,YEAR($F266)&lt;Preisindex!$A$6),ROUND($E266*DR266,2),0))</f>
        <v>0</v>
      </c>
      <c r="DT266" s="53">
        <f t="shared" si="795"/>
        <v>0</v>
      </c>
      <c r="DU266" s="51">
        <f t="shared" si="787"/>
        <v>0</v>
      </c>
      <c r="DV266" s="51">
        <f t="shared" si="735"/>
        <v>0</v>
      </c>
      <c r="DW266" s="51">
        <f t="shared" si="796"/>
        <v>0</v>
      </c>
      <c r="DX266" s="51">
        <f t="shared" si="736"/>
        <v>0</v>
      </c>
      <c r="DY266" s="51">
        <f t="shared" si="797"/>
        <v>0</v>
      </c>
      <c r="DZ266" s="51">
        <f t="shared" si="737"/>
        <v>0</v>
      </c>
      <c r="EA266" s="51">
        <f t="shared" si="798"/>
        <v>0</v>
      </c>
      <c r="EB266" s="51">
        <f t="shared" si="738"/>
        <v>0</v>
      </c>
      <c r="EC266" s="51">
        <f t="shared" si="799"/>
        <v>0</v>
      </c>
      <c r="ED266" s="51">
        <f t="shared" si="739"/>
        <v>0</v>
      </c>
      <c r="EE266" s="51">
        <f t="shared" si="800"/>
        <v>0</v>
      </c>
      <c r="EF266" s="54">
        <f t="shared" si="801"/>
        <v>0</v>
      </c>
      <c r="EG266" s="55">
        <f t="shared" si="802"/>
        <v>0</v>
      </c>
      <c r="EH266" s="56">
        <f>IF(AND($E266&lt;&gt;0,$F266&gt;0,YEAR($F266)&gt;=Preisindex!$A$6,YEAR(EC$4)&gt;=YEAR($F266),AND($K266&lt;&gt;"a",$K266&lt;&gt;"b",$K266&lt;&gt;"g",$K266&lt;&gt;"k")),1,IF(AND($E266&lt;&gt;0,$F266&gt;0,YEAR($F266)&gt;=Preisindex!$A$6,YEAR(EC$4)&gt;=YEAR($F266),$K266="a"),ROUND(VLOOKUP(EH$4,Preisindex,5,FALSE)/VLOOKUP(YEAR($F266),Preisindex,5,FALSE),2),IF(AND($E266&lt;&gt;0,$F266&gt;0,YEAR($F266)&gt;=Preisindex!$A$6,YEAR(EC$4)&gt;=YEAR($F266),$K266="b"),ROUND(VLOOKUP(EH$4,Preisindex,3,FALSE)/VLOOKUP(YEAR($F266),Preisindex,3,FALSE),2),IF(AND($E266&lt;&gt;0,$F266&gt;0,YEAR($F266)&gt;=Preisindex!$A$6,YEAR(EC$4)&gt;=YEAR($F266),$K266="g"),ROUND(VLOOKUP(EH$4,Preisindex,4,FALSE)/VLOOKUP(YEAR($F266),Preisindex,4,FALSE),2),IF(AND($E266&lt;&gt;0,$F266&gt;0,YEAR($F266)&gt;=Preisindex!$A$6,YEAR(EC$4)&gt;=YEAR($F266),$K266="k"),ROUND(VLOOKUP(EH$4,Preisindex,2,FALSE)/VLOOKUP(YEAR($F266),Preisindex,2,FALSE),2),0)))))</f>
        <v>0</v>
      </c>
      <c r="EI266" s="56">
        <f>IF(AND($E266&lt;&gt;0,$F266&gt;0,YEAR($F266)&lt;Preisindex!$A$6,YEAR(EC$4)&gt;=YEAR($F266),AND($K266&lt;&gt;"a",$K266&lt;&gt;"b",$K266&lt;&gt;"g",$K266&lt;&gt;"k")),1,IF(AND($E266&lt;&gt;0,$F266&gt;0,YEAR($F266)&lt;Preisindex!$A$6,YEAR(EC$4)&gt;=YEAR($F266),$K266="a"),ROUND(VLOOKUP(EH$4,Preisindex,5,FALSE)/VLOOKUP(Preisindex!$A$6,Preisindex,5,FALSE),2),IF(AND($E266&lt;&gt;0,$F266&gt;0,YEAR($F266)&lt;Preisindex!$A$6,YEAR(EC$4)&gt;=YEAR($F266),$K266="b"),ROUND(VLOOKUP(EH$4,Preisindex,3,FALSE)/VLOOKUP(Preisindex!$A$6,Preisindex,3,FALSE),2),IF(AND($E266&lt;&gt;0,$F266&gt;0,YEAR($F266)&lt;Preisindex!$A$6,YEAR(EC$4)&gt;=YEAR($F266),$K266="g"),ROUND(VLOOKUP(EH$4,Preisindex,4,FALSE)/VLOOKUP(Preisindex!$A$6,Preisindex,4,FALSE),2),IF(AND($E266&lt;&gt;0,$F266&gt;0,YEAR($F266)&lt;Preisindex!$A$6,YEAR(EC$4)&gt;=YEAR($F266),$K266="k"),ROUND(VLOOKUP(EH$4,Preisindex,2,FALSE)/VLOOKUP(Preisindex!$A$6,Preisindex,2,FALSE),2),0)))))</f>
        <v>0</v>
      </c>
      <c r="EJ266" s="51">
        <f>IF(AND($E266&lt;&gt;0,$F266&gt;0,YEAR($F266)&lt;=EH$4,YEAR($F266)&gt;=Preisindex!$A$6),ROUND($E266*EH266,2),IF(AND($E266&lt;&gt;0,$F266&gt;0,YEAR($F266)&lt;=EH$4,YEAR($F266)&lt;Preisindex!$A$6),ROUND($E266*EI266,2),0))</f>
        <v>0</v>
      </c>
      <c r="EK266" s="53">
        <f t="shared" si="803"/>
        <v>0</v>
      </c>
      <c r="EL266" s="51">
        <f t="shared" si="787"/>
        <v>0</v>
      </c>
      <c r="EM266" s="51">
        <f t="shared" si="740"/>
        <v>0</v>
      </c>
      <c r="EN266" s="51">
        <f t="shared" si="804"/>
        <v>0</v>
      </c>
      <c r="EO266" s="51">
        <f t="shared" si="741"/>
        <v>0</v>
      </c>
      <c r="EP266" s="51">
        <f t="shared" si="805"/>
        <v>0</v>
      </c>
      <c r="EQ266" s="51">
        <f t="shared" si="742"/>
        <v>0</v>
      </c>
      <c r="ER266" s="51">
        <f t="shared" si="806"/>
        <v>0</v>
      </c>
      <c r="ES266" s="51">
        <f t="shared" si="743"/>
        <v>0</v>
      </c>
      <c r="ET266" s="51">
        <f t="shared" si="807"/>
        <v>0</v>
      </c>
      <c r="EU266" s="51">
        <f t="shared" si="744"/>
        <v>0</v>
      </c>
      <c r="EV266" s="51">
        <f t="shared" si="808"/>
        <v>0</v>
      </c>
      <c r="EW266" s="54">
        <f t="shared" si="809"/>
        <v>0</v>
      </c>
      <c r="EX266" s="55">
        <f t="shared" si="810"/>
        <v>0</v>
      </c>
      <c r="EY266" s="56">
        <f>IF(AND($E266&lt;&gt;0,$F266&gt;0,YEAR($F266)&gt;=Preisindex!$A$6,YEAR(ET$4)&gt;=YEAR($F266),AND($K266&lt;&gt;"a",$K266&lt;&gt;"b",$K266&lt;&gt;"g",$K266&lt;&gt;"k")),1,IF(AND($E266&lt;&gt;0,$F266&gt;0,YEAR($F266)&gt;=Preisindex!$A$6,YEAR(ET$4)&gt;=YEAR($F266),$K266="a"),ROUND(VLOOKUP(EY$4,Preisindex,5,FALSE)/VLOOKUP(YEAR($F266),Preisindex,5,FALSE),2),IF(AND($E266&lt;&gt;0,$F266&gt;0,YEAR($F266)&gt;=Preisindex!$A$6,YEAR(ET$4)&gt;=YEAR($F266),$K266="b"),ROUND(VLOOKUP(EY$4,Preisindex,3,FALSE)/VLOOKUP(YEAR($F266),Preisindex,3,FALSE),2),IF(AND($E266&lt;&gt;0,$F266&gt;0,YEAR($F266)&gt;=Preisindex!$A$6,YEAR(ET$4)&gt;=YEAR($F266),$K266="g"),ROUND(VLOOKUP(EY$4,Preisindex,4,FALSE)/VLOOKUP(YEAR($F266),Preisindex,4,FALSE),2),IF(AND($E266&lt;&gt;0,$F266&gt;0,YEAR($F266)&gt;=Preisindex!$A$6,YEAR(ET$4)&gt;=YEAR($F266),$K266="k"),ROUND(VLOOKUP(EY$4,Preisindex,2,FALSE)/VLOOKUP(YEAR($F266),Preisindex,2,FALSE),2),0)))))</f>
        <v>0</v>
      </c>
      <c r="EZ266" s="56">
        <f>IF(AND($E266&lt;&gt;0,$F266&gt;0,YEAR($F266)&lt;Preisindex!$A$6,YEAR(ET$4)&gt;=YEAR($F266),AND($K266&lt;&gt;"a",$K266&lt;&gt;"b",$K266&lt;&gt;"g",$K266&lt;&gt;"k")),1,IF(AND($E266&lt;&gt;0,$F266&gt;0,YEAR($F266)&lt;Preisindex!$A$6,YEAR(ET$4)&gt;=YEAR($F266),$K266="a"),ROUND(VLOOKUP(EY$4,Preisindex,5,FALSE)/VLOOKUP(Preisindex!$A$6,Preisindex,5,FALSE),2),IF(AND($E266&lt;&gt;0,$F266&gt;0,YEAR($F266)&lt;Preisindex!$A$6,YEAR(ET$4)&gt;=YEAR($F266),$K266="b"),ROUND(VLOOKUP(EY$4,Preisindex,3,FALSE)/VLOOKUP(Preisindex!$A$6,Preisindex,3,FALSE),2),IF(AND($E266&lt;&gt;0,$F266&gt;0,YEAR($F266)&lt;Preisindex!$A$6,YEAR(ET$4)&gt;=YEAR($F266),$K266="g"),ROUND(VLOOKUP(EY$4,Preisindex,4,FALSE)/VLOOKUP(Preisindex!$A$6,Preisindex,4,FALSE),2),IF(AND($E266&lt;&gt;0,$F266&gt;0,YEAR($F266)&lt;Preisindex!$A$6,YEAR(ET$4)&gt;=YEAR($F266),$K266="k"),ROUND(VLOOKUP(EY$4,Preisindex,2,FALSE)/VLOOKUP(Preisindex!$A$6,Preisindex,2,FALSE),2),0)))))</f>
        <v>0</v>
      </c>
      <c r="FA266" s="51">
        <f>IF(AND($E266&lt;&gt;0,$F266&gt;0,YEAR($F266)&lt;=EY$4,YEAR($F266)&gt;=Preisindex!$A$6),ROUND($E266*EY266,2),IF(AND($E266&lt;&gt;0,$F266&gt;0,YEAR($F266)&lt;=EY$4,YEAR($F266)&lt;Preisindex!$A$6),ROUND($E266*EZ266,2),0))</f>
        <v>0</v>
      </c>
      <c r="FB266" s="53">
        <f t="shared" si="811"/>
        <v>0</v>
      </c>
      <c r="FC266" s="51">
        <f t="shared" si="787"/>
        <v>0</v>
      </c>
      <c r="FD266" s="51">
        <f t="shared" si="745"/>
        <v>0</v>
      </c>
      <c r="FE266" s="51">
        <f t="shared" si="812"/>
        <v>0</v>
      </c>
      <c r="FF266" s="51">
        <f t="shared" si="746"/>
        <v>0</v>
      </c>
      <c r="FG266" s="51">
        <f t="shared" si="813"/>
        <v>0</v>
      </c>
      <c r="FH266" s="51">
        <f t="shared" si="747"/>
        <v>0</v>
      </c>
      <c r="FI266" s="51">
        <f t="shared" si="814"/>
        <v>0</v>
      </c>
      <c r="FJ266" s="51">
        <f t="shared" si="748"/>
        <v>0</v>
      </c>
      <c r="FK266" s="51">
        <f t="shared" si="815"/>
        <v>0</v>
      </c>
      <c r="FL266" s="51">
        <f t="shared" si="749"/>
        <v>0</v>
      </c>
      <c r="FM266" s="51">
        <f t="shared" si="816"/>
        <v>0</v>
      </c>
      <c r="FN266" s="54">
        <f t="shared" si="817"/>
        <v>0</v>
      </c>
      <c r="FO266" s="55">
        <f t="shared" si="818"/>
        <v>0</v>
      </c>
      <c r="FP266" s="56">
        <f>IF(AND($E266&lt;&gt;0,$F266&gt;0,YEAR($F266)&gt;=Preisindex!$A$6,YEAR(FK$4)&gt;=YEAR($F266),AND($K266&lt;&gt;"a",$K266&lt;&gt;"b",$K266&lt;&gt;"g",$K266&lt;&gt;"k")),1,IF(AND($E266&lt;&gt;0,$F266&gt;0,YEAR($F266)&gt;=Preisindex!$A$6,YEAR(FK$4)&gt;=YEAR($F266),$K266="a"),ROUND(VLOOKUP(FP$4,Preisindex,5,FALSE)/VLOOKUP(YEAR($F266),Preisindex,5,FALSE),2),IF(AND($E266&lt;&gt;0,$F266&gt;0,YEAR($F266)&gt;=Preisindex!$A$6,YEAR(FK$4)&gt;=YEAR($F266),$K266="b"),ROUND(VLOOKUP(FP$4,Preisindex,3,FALSE)/VLOOKUP(YEAR($F266),Preisindex,3,FALSE),2),IF(AND($E266&lt;&gt;0,$F266&gt;0,YEAR($F266)&gt;=Preisindex!$A$6,YEAR(FK$4)&gt;=YEAR($F266),$K266="g"),ROUND(VLOOKUP(FP$4,Preisindex,4,FALSE)/VLOOKUP(YEAR($F266),Preisindex,4,FALSE),2),IF(AND($E266&lt;&gt;0,$F266&gt;0,YEAR($F266)&gt;=Preisindex!$A$6,YEAR(FK$4)&gt;=YEAR($F266),$K266="k"),ROUND(VLOOKUP(FP$4,Preisindex,2,FALSE)/VLOOKUP(YEAR($F266),Preisindex,2,FALSE),2),0)))))</f>
        <v>0</v>
      </c>
      <c r="FQ266" s="56">
        <f>IF(AND($E266&lt;&gt;0,$F266&gt;0,YEAR($F266)&lt;Preisindex!$A$6,YEAR(FK$4)&gt;=YEAR($F266),AND($K266&lt;&gt;"a",$K266&lt;&gt;"b",$K266&lt;&gt;"g",$K266&lt;&gt;"k")),1,IF(AND($E266&lt;&gt;0,$F266&gt;0,YEAR($F266)&lt;Preisindex!$A$6,YEAR(FK$4)&gt;=YEAR($F266),$K266="a"),ROUND(VLOOKUP(FP$4,Preisindex,5,FALSE)/VLOOKUP(Preisindex!$A$6,Preisindex,5,FALSE),2),IF(AND($E266&lt;&gt;0,$F266&gt;0,YEAR($F266)&lt;Preisindex!$A$6,YEAR(FK$4)&gt;=YEAR($F266),$K266="b"),ROUND(VLOOKUP(FP$4,Preisindex,3,FALSE)/VLOOKUP(Preisindex!$A$6,Preisindex,3,FALSE),2),IF(AND($E266&lt;&gt;0,$F266&gt;0,YEAR($F266)&lt;Preisindex!$A$6,YEAR(FK$4)&gt;=YEAR($F266),$K266="g"),ROUND(VLOOKUP(FP$4,Preisindex,4,FALSE)/VLOOKUP(Preisindex!$A$6,Preisindex,4,FALSE),2),IF(AND($E266&lt;&gt;0,$F266&gt;0,YEAR($F266)&lt;Preisindex!$A$6,YEAR(FK$4)&gt;=YEAR($F266),$K266="k"),ROUND(VLOOKUP(FP$4,Preisindex,2,FALSE)/VLOOKUP(Preisindex!$A$6,Preisindex,2,FALSE),2),0)))))</f>
        <v>0</v>
      </c>
      <c r="FR266" s="51">
        <f>IF(AND($E266&lt;&gt;0,$F266&gt;0,YEAR($F266)&lt;=FP$4,YEAR($F266)&gt;=Preisindex!$A$6),ROUND($E266*FP266,2),IF(AND($E266&lt;&gt;0,$F266&gt;0,YEAR($F266)&lt;=FP$4,YEAR($F266)&lt;Preisindex!$A$6),ROUND($E266*FQ266,2),0))</f>
        <v>0</v>
      </c>
      <c r="FS266" s="53">
        <f t="shared" si="819"/>
        <v>0</v>
      </c>
    </row>
    <row r="267" spans="1:175" x14ac:dyDescent="0.3">
      <c r="A267" s="185"/>
      <c r="B267" s="186"/>
      <c r="C267" s="187"/>
      <c r="D267" s="188"/>
      <c r="E267" s="189"/>
      <c r="F267" s="190"/>
      <c r="G267" s="191"/>
      <c r="H267" s="192"/>
      <c r="I267" s="193"/>
      <c r="J267" s="194"/>
      <c r="K267" s="630"/>
      <c r="L267" s="49">
        <f t="shared" si="820"/>
        <v>0</v>
      </c>
      <c r="M267" s="50">
        <f t="shared" si="821"/>
        <v>0</v>
      </c>
      <c r="N267" s="51">
        <f t="shared" si="822"/>
        <v>0</v>
      </c>
      <c r="O267" s="51"/>
      <c r="P267" s="51">
        <f t="shared" si="823"/>
        <v>0</v>
      </c>
      <c r="Q267" s="52"/>
      <c r="R267" s="52"/>
      <c r="S267" s="52"/>
      <c r="T267" s="52"/>
      <c r="U267" s="52"/>
      <c r="V267" s="53">
        <f t="shared" si="824"/>
        <v>0</v>
      </c>
      <c r="W267" s="51">
        <f t="shared" si="825"/>
        <v>0</v>
      </c>
      <c r="X267" s="51">
        <f t="shared" si="826"/>
        <v>0</v>
      </c>
      <c r="Y267" s="51">
        <f t="shared" si="827"/>
        <v>0</v>
      </c>
      <c r="Z267" s="51">
        <f t="shared" si="828"/>
        <v>0</v>
      </c>
      <c r="AA267" s="51">
        <f t="shared" si="829"/>
        <v>0</v>
      </c>
      <c r="AB267" s="51">
        <f t="shared" si="830"/>
        <v>0</v>
      </c>
      <c r="AC267" s="51">
        <f t="shared" si="831"/>
        <v>0</v>
      </c>
      <c r="AD267" s="51">
        <f t="shared" si="832"/>
        <v>0</v>
      </c>
      <c r="AE267" s="51">
        <f t="shared" si="833"/>
        <v>0</v>
      </c>
      <c r="AF267" s="51">
        <f t="shared" si="834"/>
        <v>0</v>
      </c>
      <c r="AG267" s="51">
        <f t="shared" si="835"/>
        <v>0</v>
      </c>
      <c r="AH267" s="54">
        <f t="shared" si="836"/>
        <v>0</v>
      </c>
      <c r="AI267" s="55">
        <f t="shared" si="837"/>
        <v>0</v>
      </c>
      <c r="AJ267" s="56">
        <f>IF(AND($E267&lt;&gt;0,$F267&gt;0,YEAR($F267)&gt;=Preisindex!$A$6,YEAR(AE$4)&gt;=YEAR($F267),AND($K267&lt;&gt;"a",$K267&lt;&gt;"b",$K267&lt;&gt;"g",$K267&lt;&gt;"k")),1,IF(AND($E267&lt;&gt;0,$F267&gt;0,YEAR($F267)&gt;=Preisindex!$A$6,YEAR(AE$4)&gt;=YEAR($F267),$K267="a"),ROUND(VLOOKUP(AJ$4,Preisindex,5,FALSE)/VLOOKUP(YEAR($F267),Preisindex,5,FALSE),2),IF(AND($E267&lt;&gt;0,$F267&gt;0,YEAR($F267)&gt;=Preisindex!$A$6,YEAR(AE$4)&gt;=YEAR($F267),$K267="b"),ROUND(VLOOKUP(AJ$4,Preisindex,3,FALSE)/VLOOKUP(YEAR($F267),Preisindex,3,FALSE),2),IF(AND($E267&lt;&gt;0,$F267&gt;0,YEAR($F267)&gt;=Preisindex!$A$6,YEAR(AE$4)&gt;=YEAR($F267),$K267="g"),ROUND(VLOOKUP(AJ$4,Preisindex,4,FALSE)/VLOOKUP(YEAR($F267),Preisindex,4,FALSE),2),IF(AND($E267&lt;&gt;0,$F267&gt;0,YEAR($F267)&gt;=Preisindex!$A$6,YEAR(AE$4)&gt;=YEAR($F267),$K267="k"),ROUND(VLOOKUP(AJ$4,Preisindex,2,FALSE)/VLOOKUP(YEAR($F267),Preisindex,2,FALSE),2),0)))))</f>
        <v>0</v>
      </c>
      <c r="AK267" s="56">
        <f>IF(AND($E267&lt;&gt;0,$F267&gt;0,YEAR($F267)&lt;Preisindex!$A$6,YEAR(AE$4)&gt;=YEAR($F267),AND($K267&lt;&gt;"a",$K267&lt;&gt;"b",$K267&lt;&gt;"g",$K267&lt;&gt;"k")),1,IF(AND($E267&lt;&gt;0,$F267&gt;0,YEAR($F267)&lt;Preisindex!$A$6,YEAR(AE$4)&gt;=YEAR($F267),$K267="a"),ROUND(VLOOKUP(AJ$4,Preisindex,5,FALSE)/VLOOKUP(Preisindex!$A$6,Preisindex,5,FALSE),2),IF(AND($E267&lt;&gt;0,$F267&gt;0,YEAR($F267)&lt;Preisindex!$A$6,YEAR(AE$4)&gt;=YEAR($F267),$K267="b"),ROUND(VLOOKUP(AJ$4,Preisindex,3,FALSE)/VLOOKUP(Preisindex!$A$6,Preisindex,3,FALSE),2),IF(AND($E267&lt;&gt;0,$F267&gt;0,YEAR($F267)&lt;Preisindex!$A$6,YEAR(AE$4)&gt;=YEAR($F267),$K267="g"),ROUND(VLOOKUP(AJ$4,Preisindex,4,FALSE)/VLOOKUP(Preisindex!$A$6,Preisindex,4,FALSE),2),IF(AND($E267&lt;&gt;0,$F267&gt;0,YEAR($F267)&lt;Preisindex!$A$6,YEAR(AE$4)&gt;=YEAR($F267),$K267="k"),ROUND(VLOOKUP(AJ$4,Preisindex,2,FALSE)/VLOOKUP(Preisindex!$A$6,Preisindex,2,FALSE),2),0)))))</f>
        <v>0</v>
      </c>
      <c r="AL267" s="51">
        <f>IF(AND($E267&lt;&gt;0,$F267&gt;0,YEAR($F267)&lt;=AJ$4,YEAR($F267)&gt;=Preisindex!$A$6),ROUND($E267*AJ267,2),IF(AND($E267&lt;&gt;0,$F267&gt;0,YEAR($F267)&lt;=AJ$4,YEAR($F267)&lt;Preisindex!$A$6),ROUND($E267*AK267,2),0))</f>
        <v>0</v>
      </c>
      <c r="AM267" s="53">
        <f t="shared" si="838"/>
        <v>0</v>
      </c>
      <c r="AN267" s="51">
        <f t="shared" si="754"/>
        <v>0</v>
      </c>
      <c r="AO267" s="51">
        <f t="shared" si="710"/>
        <v>0</v>
      </c>
      <c r="AP267" s="51">
        <f t="shared" si="755"/>
        <v>0</v>
      </c>
      <c r="AQ267" s="51">
        <f t="shared" si="711"/>
        <v>0</v>
      </c>
      <c r="AR267" s="51">
        <f t="shared" si="756"/>
        <v>0</v>
      </c>
      <c r="AS267" s="51">
        <f t="shared" si="712"/>
        <v>0</v>
      </c>
      <c r="AT267" s="51">
        <f t="shared" si="757"/>
        <v>0</v>
      </c>
      <c r="AU267" s="51">
        <f t="shared" si="713"/>
        <v>0</v>
      </c>
      <c r="AV267" s="51">
        <f t="shared" si="758"/>
        <v>0</v>
      </c>
      <c r="AW267" s="51">
        <f t="shared" si="714"/>
        <v>0</v>
      </c>
      <c r="AX267" s="51">
        <f t="shared" si="759"/>
        <v>0</v>
      </c>
      <c r="AY267" s="54">
        <f t="shared" si="760"/>
        <v>0</v>
      </c>
      <c r="AZ267" s="55">
        <f t="shared" si="761"/>
        <v>0</v>
      </c>
      <c r="BA267" s="56">
        <f>IF(AND($E267&lt;&gt;0,$F267&gt;0,YEAR($F267)&gt;=Preisindex!$A$6,YEAR(AV$4)&gt;=YEAR($F267),AND($K267&lt;&gt;"a",$K267&lt;&gt;"b",$K267&lt;&gt;"g",$K267&lt;&gt;"k")),1,IF(AND($E267&lt;&gt;0,$F267&gt;0,YEAR($F267)&gt;=Preisindex!$A$6,YEAR(AV$4)&gt;=YEAR($F267),$K267="a"),ROUND(VLOOKUP(BA$4,Preisindex,5,FALSE)/VLOOKUP(YEAR($F267),Preisindex,5,FALSE),2),IF(AND($E267&lt;&gt;0,$F267&gt;0,YEAR($F267)&gt;=Preisindex!$A$6,YEAR(AV$4)&gt;=YEAR($F267),$K267="b"),ROUND(VLOOKUP(BA$4,Preisindex,3,FALSE)/VLOOKUP(YEAR($F267),Preisindex,3,FALSE),2),IF(AND($E267&lt;&gt;0,$F267&gt;0,YEAR($F267)&gt;=Preisindex!$A$6,YEAR(AV$4)&gt;=YEAR($F267),$K267="g"),ROUND(VLOOKUP(BA$4,Preisindex,4,FALSE)/VLOOKUP(YEAR($F267),Preisindex,4,FALSE),2),IF(AND($E267&lt;&gt;0,$F267&gt;0,YEAR($F267)&gt;=Preisindex!$A$6,YEAR(AV$4)&gt;=YEAR($F267),$K267="k"),ROUND(VLOOKUP(BA$4,Preisindex,2,FALSE)/VLOOKUP(YEAR($F267),Preisindex,2,FALSE),2),0)))))</f>
        <v>0</v>
      </c>
      <c r="BB267" s="56">
        <f>IF(AND($E267&lt;&gt;0,$F267&gt;0,YEAR($F267)&lt;Preisindex!$A$6,YEAR(AV$4)&gt;=YEAR($F267),AND($K267&lt;&gt;"a",$K267&lt;&gt;"b",$K267&lt;&gt;"g",$K267&lt;&gt;"k")),1,IF(AND($E267&lt;&gt;0,$F267&gt;0,YEAR($F267)&lt;Preisindex!$A$6,YEAR(AV$4)&gt;=YEAR($F267),$K267="a"),ROUND(VLOOKUP(BA$4,Preisindex,5,FALSE)/VLOOKUP(Preisindex!$A$6,Preisindex,5,FALSE),2),IF(AND($E267&lt;&gt;0,$F267&gt;0,YEAR($F267)&lt;Preisindex!$A$6,YEAR(AV$4)&gt;=YEAR($F267),$K267="b"),ROUND(VLOOKUP(BA$4,Preisindex,3,FALSE)/VLOOKUP(Preisindex!$A$6,Preisindex,3,FALSE),2),IF(AND($E267&lt;&gt;0,$F267&gt;0,YEAR($F267)&lt;Preisindex!$A$6,YEAR(AV$4)&gt;=YEAR($F267),$K267="g"),ROUND(VLOOKUP(BA$4,Preisindex,4,FALSE)/VLOOKUP(Preisindex!$A$6,Preisindex,4,FALSE),2),IF(AND($E267&lt;&gt;0,$F267&gt;0,YEAR($F267)&lt;Preisindex!$A$6,YEAR(AV$4)&gt;=YEAR($F267),$K267="k"),ROUND(VLOOKUP(BA$4,Preisindex,2,FALSE)/VLOOKUP(Preisindex!$A$6,Preisindex,2,FALSE),2),0)))))</f>
        <v>0</v>
      </c>
      <c r="BC267" s="51">
        <f>IF(AND($E267&lt;&gt;0,$F267&gt;0,YEAR($F267)&lt;=BA$4,YEAR($F267)&gt;=Preisindex!$A$6),ROUND($E267*BA267,2),IF(AND($E267&lt;&gt;0,$F267&gt;0,YEAR($F267)&lt;=BA$4,YEAR($F267)&lt;Preisindex!$A$6),ROUND($E267*BB267,2),0))</f>
        <v>0</v>
      </c>
      <c r="BD267" s="53">
        <f t="shared" si="762"/>
        <v>0</v>
      </c>
      <c r="BE267" s="51">
        <f t="shared" si="754"/>
        <v>0</v>
      </c>
      <c r="BF267" s="51">
        <f t="shared" si="715"/>
        <v>0</v>
      </c>
      <c r="BG267" s="51">
        <f t="shared" si="763"/>
        <v>0</v>
      </c>
      <c r="BH267" s="51">
        <f t="shared" si="716"/>
        <v>0</v>
      </c>
      <c r="BI267" s="51">
        <f t="shared" si="764"/>
        <v>0</v>
      </c>
      <c r="BJ267" s="51">
        <f t="shared" si="717"/>
        <v>0</v>
      </c>
      <c r="BK267" s="51">
        <f t="shared" si="765"/>
        <v>0</v>
      </c>
      <c r="BL267" s="51">
        <f t="shared" si="718"/>
        <v>0</v>
      </c>
      <c r="BM267" s="51">
        <f t="shared" si="766"/>
        <v>0</v>
      </c>
      <c r="BN267" s="51">
        <f t="shared" si="719"/>
        <v>0</v>
      </c>
      <c r="BO267" s="51">
        <f t="shared" si="767"/>
        <v>0</v>
      </c>
      <c r="BP267" s="54">
        <f t="shared" si="768"/>
        <v>0</v>
      </c>
      <c r="BQ267" s="55">
        <f t="shared" si="769"/>
        <v>0</v>
      </c>
      <c r="BR267" s="56">
        <f>IF(AND($E267&lt;&gt;0,$F267&gt;0,YEAR($F267)&gt;=Preisindex!$A$6,YEAR(BM$4)&gt;=YEAR($F267),AND($K267&lt;&gt;"a",$K267&lt;&gt;"b",$K267&lt;&gt;"g",$K267&lt;&gt;"k")),1,IF(AND($E267&lt;&gt;0,$F267&gt;0,YEAR($F267)&gt;=Preisindex!$A$6,YEAR(BM$4)&gt;=YEAR($F267),$K267="a"),ROUND(VLOOKUP(BR$4,Preisindex,5,FALSE)/VLOOKUP(YEAR($F267),Preisindex,5,FALSE),2),IF(AND($E267&lt;&gt;0,$F267&gt;0,YEAR($F267)&gt;=Preisindex!$A$6,YEAR(BM$4)&gt;=YEAR($F267),$K267="b"),ROUND(VLOOKUP(BR$4,Preisindex,3,FALSE)/VLOOKUP(YEAR($F267),Preisindex,3,FALSE),2),IF(AND($E267&lt;&gt;0,$F267&gt;0,YEAR($F267)&gt;=Preisindex!$A$6,YEAR(BM$4)&gt;=YEAR($F267),$K267="g"),ROUND(VLOOKUP(BR$4,Preisindex,4,FALSE)/VLOOKUP(YEAR($F267),Preisindex,4,FALSE),2),IF(AND($E267&lt;&gt;0,$F267&gt;0,YEAR($F267)&gt;=Preisindex!$A$6,YEAR(BM$4)&gt;=YEAR($F267),$K267="k"),ROUND(VLOOKUP(BR$4,Preisindex,2,FALSE)/VLOOKUP(YEAR($F267),Preisindex,2,FALSE),2),0)))))</f>
        <v>0</v>
      </c>
      <c r="BS267" s="56">
        <f>IF(AND($E267&lt;&gt;0,$F267&gt;0,YEAR($F267)&lt;Preisindex!$A$6,YEAR(BM$4)&gt;=YEAR($F267),AND($K267&lt;&gt;"a",$K267&lt;&gt;"b",$K267&lt;&gt;"g",$K267&lt;&gt;"k")),1,IF(AND($E267&lt;&gt;0,$F267&gt;0,YEAR($F267)&lt;Preisindex!$A$6,YEAR(BM$4)&gt;=YEAR($F267),$K267="a"),ROUND(VLOOKUP(BR$4,Preisindex,5,FALSE)/VLOOKUP(Preisindex!$A$6,Preisindex,5,FALSE),2),IF(AND($E267&lt;&gt;0,$F267&gt;0,YEAR($F267)&lt;Preisindex!$A$6,YEAR(BM$4)&gt;=YEAR($F267),$K267="b"),ROUND(VLOOKUP(BR$4,Preisindex,3,FALSE)/VLOOKUP(Preisindex!$A$6,Preisindex,3,FALSE),2),IF(AND($E267&lt;&gt;0,$F267&gt;0,YEAR($F267)&lt;Preisindex!$A$6,YEAR(BM$4)&gt;=YEAR($F267),$K267="g"),ROUND(VLOOKUP(BR$4,Preisindex,4,FALSE)/VLOOKUP(Preisindex!$A$6,Preisindex,4,FALSE),2),IF(AND($E267&lt;&gt;0,$F267&gt;0,YEAR($F267)&lt;Preisindex!$A$6,YEAR(BM$4)&gt;=YEAR($F267),$K267="k"),ROUND(VLOOKUP(BR$4,Preisindex,2,FALSE)/VLOOKUP(Preisindex!$A$6,Preisindex,2,FALSE),2),0)))))</f>
        <v>0</v>
      </c>
      <c r="BT267" s="51">
        <f>IF(AND($E267&lt;&gt;0,$F267&gt;0,YEAR($F267)&lt;=BR$4,YEAR($F267)&gt;=Preisindex!$A$6),ROUND($E267*BR267,2),IF(AND($E267&lt;&gt;0,$F267&gt;0,YEAR($F267)&lt;=BR$4,YEAR($F267)&lt;Preisindex!$A$6),ROUND($E267*BS267,2),0))</f>
        <v>0</v>
      </c>
      <c r="BU267" s="53">
        <f t="shared" si="770"/>
        <v>0</v>
      </c>
      <c r="BV267" s="51">
        <f t="shared" si="754"/>
        <v>0</v>
      </c>
      <c r="BW267" s="51">
        <f t="shared" si="720"/>
        <v>0</v>
      </c>
      <c r="BX267" s="51">
        <f t="shared" si="771"/>
        <v>0</v>
      </c>
      <c r="BY267" s="51">
        <f t="shared" si="721"/>
        <v>0</v>
      </c>
      <c r="BZ267" s="51">
        <f t="shared" si="772"/>
        <v>0</v>
      </c>
      <c r="CA267" s="51">
        <f t="shared" si="722"/>
        <v>0</v>
      </c>
      <c r="CB267" s="51">
        <f t="shared" si="773"/>
        <v>0</v>
      </c>
      <c r="CC267" s="51">
        <f t="shared" si="723"/>
        <v>0</v>
      </c>
      <c r="CD267" s="51">
        <f t="shared" si="774"/>
        <v>0</v>
      </c>
      <c r="CE267" s="51">
        <f t="shared" si="724"/>
        <v>0</v>
      </c>
      <c r="CF267" s="51">
        <f t="shared" si="775"/>
        <v>0</v>
      </c>
      <c r="CG267" s="54">
        <f t="shared" si="776"/>
        <v>0</v>
      </c>
      <c r="CH267" s="55">
        <f t="shared" si="777"/>
        <v>0</v>
      </c>
      <c r="CI267" s="56">
        <f>IF(AND($E267&lt;&gt;0,$F267&gt;0,YEAR($F267)&gt;=Preisindex!$A$6,YEAR(CD$4)&gt;=YEAR($F267),AND($K267&lt;&gt;"a",$K267&lt;&gt;"b",$K267&lt;&gt;"g",$K267&lt;&gt;"k")),1,IF(AND($E267&lt;&gt;0,$F267&gt;0,YEAR($F267)&gt;=Preisindex!$A$6,YEAR(CD$4)&gt;=YEAR($F267),$K267="a"),ROUND(VLOOKUP(CI$4,Preisindex,5,FALSE)/VLOOKUP(YEAR($F267),Preisindex,5,FALSE),2),IF(AND($E267&lt;&gt;0,$F267&gt;0,YEAR($F267)&gt;=Preisindex!$A$6,YEAR(CD$4)&gt;=YEAR($F267),$K267="b"),ROUND(VLOOKUP(CI$4,Preisindex,3,FALSE)/VLOOKUP(YEAR($F267),Preisindex,3,FALSE),2),IF(AND($E267&lt;&gt;0,$F267&gt;0,YEAR($F267)&gt;=Preisindex!$A$6,YEAR(CD$4)&gt;=YEAR($F267),$K267="g"),ROUND(VLOOKUP(CI$4,Preisindex,4,FALSE)/VLOOKUP(YEAR($F267),Preisindex,4,FALSE),2),IF(AND($E267&lt;&gt;0,$F267&gt;0,YEAR($F267)&gt;=Preisindex!$A$6,YEAR(CD$4)&gt;=YEAR($F267),$K267="k"),ROUND(VLOOKUP(CI$4,Preisindex,2,FALSE)/VLOOKUP(YEAR($F267),Preisindex,2,FALSE),2),0)))))</f>
        <v>0</v>
      </c>
      <c r="CJ267" s="56">
        <f>IF(AND($E267&lt;&gt;0,$F267&gt;0,YEAR($F267)&lt;Preisindex!$A$6,YEAR(CD$4)&gt;=YEAR($F267),AND($K267&lt;&gt;"a",$K267&lt;&gt;"b",$K267&lt;&gt;"g",$K267&lt;&gt;"k")),1,IF(AND($E267&lt;&gt;0,$F267&gt;0,YEAR($F267)&lt;Preisindex!$A$6,YEAR(CD$4)&gt;=YEAR($F267),$K267="a"),ROUND(VLOOKUP(CI$4,Preisindex,5,FALSE)/VLOOKUP(Preisindex!$A$6,Preisindex,5,FALSE),2),IF(AND($E267&lt;&gt;0,$F267&gt;0,YEAR($F267)&lt;Preisindex!$A$6,YEAR(CD$4)&gt;=YEAR($F267),$K267="b"),ROUND(VLOOKUP(CI$4,Preisindex,3,FALSE)/VLOOKUP(Preisindex!$A$6,Preisindex,3,FALSE),2),IF(AND($E267&lt;&gt;0,$F267&gt;0,YEAR($F267)&lt;Preisindex!$A$6,YEAR(CD$4)&gt;=YEAR($F267),$K267="g"),ROUND(VLOOKUP(CI$4,Preisindex,4,FALSE)/VLOOKUP(Preisindex!$A$6,Preisindex,4,FALSE),2),IF(AND($E267&lt;&gt;0,$F267&gt;0,YEAR($F267)&lt;Preisindex!$A$6,YEAR(CD$4)&gt;=YEAR($F267),$K267="k"),ROUND(VLOOKUP(CI$4,Preisindex,2,FALSE)/VLOOKUP(Preisindex!$A$6,Preisindex,2,FALSE),2),0)))))</f>
        <v>0</v>
      </c>
      <c r="CK267" s="51">
        <f>IF(AND($E267&lt;&gt;0,$F267&gt;0,YEAR($F267)&lt;=CI$4,YEAR($F267)&gt;=Preisindex!$A$6),ROUND($E267*CI267,2),IF(AND($E267&lt;&gt;0,$F267&gt;0,YEAR($F267)&lt;=CI$4,YEAR($F267)&lt;Preisindex!$A$6),ROUND($E267*CJ267,2),0))</f>
        <v>0</v>
      </c>
      <c r="CL267" s="53">
        <f t="shared" si="778"/>
        <v>0</v>
      </c>
      <c r="CM267" s="51">
        <f t="shared" si="754"/>
        <v>0</v>
      </c>
      <c r="CN267" s="51">
        <f t="shared" si="725"/>
        <v>0</v>
      </c>
      <c r="CO267" s="51">
        <f t="shared" si="779"/>
        <v>0</v>
      </c>
      <c r="CP267" s="51">
        <f t="shared" si="726"/>
        <v>0</v>
      </c>
      <c r="CQ267" s="51">
        <f t="shared" si="780"/>
        <v>0</v>
      </c>
      <c r="CR267" s="51">
        <f t="shared" si="727"/>
        <v>0</v>
      </c>
      <c r="CS267" s="51">
        <f t="shared" si="781"/>
        <v>0</v>
      </c>
      <c r="CT267" s="51">
        <f t="shared" si="728"/>
        <v>0</v>
      </c>
      <c r="CU267" s="51">
        <f t="shared" si="782"/>
        <v>0</v>
      </c>
      <c r="CV267" s="51">
        <f t="shared" si="729"/>
        <v>0</v>
      </c>
      <c r="CW267" s="51">
        <f t="shared" si="783"/>
        <v>0</v>
      </c>
      <c r="CX267" s="54">
        <f t="shared" si="784"/>
        <v>0</v>
      </c>
      <c r="CY267" s="55">
        <f t="shared" si="785"/>
        <v>0</v>
      </c>
      <c r="CZ267" s="56">
        <f>IF(AND($E267&lt;&gt;0,$F267&gt;0,YEAR($F267)&gt;=Preisindex!$A$6,YEAR(CU$4)&gt;=YEAR($F267),AND($K267&lt;&gt;"a",$K267&lt;&gt;"b",$K267&lt;&gt;"g",$K267&lt;&gt;"k")),1,IF(AND($E267&lt;&gt;0,$F267&gt;0,YEAR($F267)&gt;=Preisindex!$A$6,YEAR(CU$4)&gt;=YEAR($F267),$K267="a"),ROUND(VLOOKUP(CZ$4,Preisindex,5,FALSE)/VLOOKUP(YEAR($F267),Preisindex,5,FALSE),2),IF(AND($E267&lt;&gt;0,$F267&gt;0,YEAR($F267)&gt;=Preisindex!$A$6,YEAR(CU$4)&gt;=YEAR($F267),$K267="b"),ROUND(VLOOKUP(CZ$4,Preisindex,3,FALSE)/VLOOKUP(YEAR($F267),Preisindex,3,FALSE),2),IF(AND($E267&lt;&gt;0,$F267&gt;0,YEAR($F267)&gt;=Preisindex!$A$6,YEAR(CU$4)&gt;=YEAR($F267),$K267="g"),ROUND(VLOOKUP(CZ$4,Preisindex,4,FALSE)/VLOOKUP(YEAR($F267),Preisindex,4,FALSE),2),IF(AND($E267&lt;&gt;0,$F267&gt;0,YEAR($F267)&gt;=Preisindex!$A$6,YEAR(CU$4)&gt;=YEAR($F267),$K267="k"),ROUND(VLOOKUP(CZ$4,Preisindex,2,FALSE)/VLOOKUP(YEAR($F267),Preisindex,2,FALSE),2),0)))))</f>
        <v>0</v>
      </c>
      <c r="DA267" s="56">
        <f>IF(AND($E267&lt;&gt;0,$F267&gt;0,YEAR($F267)&lt;Preisindex!$A$6,YEAR(CU$4)&gt;=YEAR($F267),AND($K267&lt;&gt;"a",$K267&lt;&gt;"b",$K267&lt;&gt;"g",$K267&lt;&gt;"k")),1,IF(AND($E267&lt;&gt;0,$F267&gt;0,YEAR($F267)&lt;Preisindex!$A$6,YEAR(CU$4)&gt;=YEAR($F267),$K267="a"),ROUND(VLOOKUP(CZ$4,Preisindex,5,FALSE)/VLOOKUP(Preisindex!$A$6,Preisindex,5,FALSE),2),IF(AND($E267&lt;&gt;0,$F267&gt;0,YEAR($F267)&lt;Preisindex!$A$6,YEAR(CU$4)&gt;=YEAR($F267),$K267="b"),ROUND(VLOOKUP(CZ$4,Preisindex,3,FALSE)/VLOOKUP(Preisindex!$A$6,Preisindex,3,FALSE),2),IF(AND($E267&lt;&gt;0,$F267&gt;0,YEAR($F267)&lt;Preisindex!$A$6,YEAR(CU$4)&gt;=YEAR($F267),$K267="g"),ROUND(VLOOKUP(CZ$4,Preisindex,4,FALSE)/VLOOKUP(Preisindex!$A$6,Preisindex,4,FALSE),2),IF(AND($E267&lt;&gt;0,$F267&gt;0,YEAR($F267)&lt;Preisindex!$A$6,YEAR(CU$4)&gt;=YEAR($F267),$K267="k"),ROUND(VLOOKUP(CZ$4,Preisindex,2,FALSE)/VLOOKUP(Preisindex!$A$6,Preisindex,2,FALSE),2),0)))))</f>
        <v>0</v>
      </c>
      <c r="DB267" s="51">
        <f>IF(AND($E267&lt;&gt;0,$F267&gt;0,YEAR($F267)&lt;=CZ$4,YEAR($F267)&gt;=Preisindex!$A$6),ROUND($E267*CZ267,2),IF(AND($E267&lt;&gt;0,$F267&gt;0,YEAR($F267)&lt;=CZ$4,YEAR($F267)&lt;Preisindex!$A$6),ROUND($E267*DA267,2),0))</f>
        <v>0</v>
      </c>
      <c r="DC267" s="53">
        <f t="shared" si="786"/>
        <v>0</v>
      </c>
      <c r="DD267" s="51">
        <f t="shared" si="787"/>
        <v>0</v>
      </c>
      <c r="DE267" s="51">
        <f t="shared" si="730"/>
        <v>0</v>
      </c>
      <c r="DF267" s="51">
        <f t="shared" si="788"/>
        <v>0</v>
      </c>
      <c r="DG267" s="51">
        <f t="shared" si="731"/>
        <v>0</v>
      </c>
      <c r="DH267" s="51">
        <f t="shared" si="789"/>
        <v>0</v>
      </c>
      <c r="DI267" s="51">
        <f t="shared" si="732"/>
        <v>0</v>
      </c>
      <c r="DJ267" s="51">
        <f t="shared" si="790"/>
        <v>0</v>
      </c>
      <c r="DK267" s="51">
        <f t="shared" si="733"/>
        <v>0</v>
      </c>
      <c r="DL267" s="51">
        <f t="shared" si="791"/>
        <v>0</v>
      </c>
      <c r="DM267" s="51">
        <f t="shared" si="734"/>
        <v>0</v>
      </c>
      <c r="DN267" s="51">
        <f t="shared" si="792"/>
        <v>0</v>
      </c>
      <c r="DO267" s="54">
        <f t="shared" si="793"/>
        <v>0</v>
      </c>
      <c r="DP267" s="55">
        <f t="shared" si="794"/>
        <v>0</v>
      </c>
      <c r="DQ267" s="56">
        <f>IF(AND($E267&lt;&gt;0,$F267&gt;0,YEAR($F267)&gt;=Preisindex!$A$6,YEAR(DL$4)&gt;=YEAR($F267),AND($K267&lt;&gt;"a",$K267&lt;&gt;"b",$K267&lt;&gt;"g",$K267&lt;&gt;"k")),1,IF(AND($E267&lt;&gt;0,$F267&gt;0,YEAR($F267)&gt;=Preisindex!$A$6,YEAR(DL$4)&gt;=YEAR($F267),$K267="a"),ROUND(VLOOKUP(DQ$4,Preisindex,5,FALSE)/VLOOKUP(YEAR($F267),Preisindex,5,FALSE),2),IF(AND($E267&lt;&gt;0,$F267&gt;0,YEAR($F267)&gt;=Preisindex!$A$6,YEAR(DL$4)&gt;=YEAR($F267),$K267="b"),ROUND(VLOOKUP(DQ$4,Preisindex,3,FALSE)/VLOOKUP(YEAR($F267),Preisindex,3,FALSE),2),IF(AND($E267&lt;&gt;0,$F267&gt;0,YEAR($F267)&gt;=Preisindex!$A$6,YEAR(DL$4)&gt;=YEAR($F267),$K267="g"),ROUND(VLOOKUP(DQ$4,Preisindex,4,FALSE)/VLOOKUP(YEAR($F267),Preisindex,4,FALSE),2),IF(AND($E267&lt;&gt;0,$F267&gt;0,YEAR($F267)&gt;=Preisindex!$A$6,YEAR(DL$4)&gt;=YEAR($F267),$K267="k"),ROUND(VLOOKUP(DQ$4,Preisindex,2,FALSE)/VLOOKUP(YEAR($F267),Preisindex,2,FALSE),2),0)))))</f>
        <v>0</v>
      </c>
      <c r="DR267" s="56">
        <f>IF(AND($E267&lt;&gt;0,$F267&gt;0,YEAR($F267)&lt;Preisindex!$A$6,YEAR(DL$4)&gt;=YEAR($F267),AND($K267&lt;&gt;"a",$K267&lt;&gt;"b",$K267&lt;&gt;"g",$K267&lt;&gt;"k")),1,IF(AND($E267&lt;&gt;0,$F267&gt;0,YEAR($F267)&lt;Preisindex!$A$6,YEAR(DL$4)&gt;=YEAR($F267),$K267="a"),ROUND(VLOOKUP(DQ$4,Preisindex,5,FALSE)/VLOOKUP(Preisindex!$A$6,Preisindex,5,FALSE),2),IF(AND($E267&lt;&gt;0,$F267&gt;0,YEAR($F267)&lt;Preisindex!$A$6,YEAR(DL$4)&gt;=YEAR($F267),$K267="b"),ROUND(VLOOKUP(DQ$4,Preisindex,3,FALSE)/VLOOKUP(Preisindex!$A$6,Preisindex,3,FALSE),2),IF(AND($E267&lt;&gt;0,$F267&gt;0,YEAR($F267)&lt;Preisindex!$A$6,YEAR(DL$4)&gt;=YEAR($F267),$K267="g"),ROUND(VLOOKUP(DQ$4,Preisindex,4,FALSE)/VLOOKUP(Preisindex!$A$6,Preisindex,4,FALSE),2),IF(AND($E267&lt;&gt;0,$F267&gt;0,YEAR($F267)&lt;Preisindex!$A$6,YEAR(DL$4)&gt;=YEAR($F267),$K267="k"),ROUND(VLOOKUP(DQ$4,Preisindex,2,FALSE)/VLOOKUP(Preisindex!$A$6,Preisindex,2,FALSE),2),0)))))</f>
        <v>0</v>
      </c>
      <c r="DS267" s="51">
        <f>IF(AND($E267&lt;&gt;0,$F267&gt;0,YEAR($F267)&lt;=DQ$4,YEAR($F267)&gt;=Preisindex!$A$6),ROUND($E267*DQ267,2),IF(AND($E267&lt;&gt;0,$F267&gt;0,YEAR($F267)&lt;=DQ$4,YEAR($F267)&lt;Preisindex!$A$6),ROUND($E267*DR267,2),0))</f>
        <v>0</v>
      </c>
      <c r="DT267" s="53">
        <f t="shared" si="795"/>
        <v>0</v>
      </c>
      <c r="DU267" s="51">
        <f t="shared" si="787"/>
        <v>0</v>
      </c>
      <c r="DV267" s="51">
        <f t="shared" si="735"/>
        <v>0</v>
      </c>
      <c r="DW267" s="51">
        <f t="shared" si="796"/>
        <v>0</v>
      </c>
      <c r="DX267" s="51">
        <f t="shared" si="736"/>
        <v>0</v>
      </c>
      <c r="DY267" s="51">
        <f t="shared" si="797"/>
        <v>0</v>
      </c>
      <c r="DZ267" s="51">
        <f t="shared" si="737"/>
        <v>0</v>
      </c>
      <c r="EA267" s="51">
        <f t="shared" si="798"/>
        <v>0</v>
      </c>
      <c r="EB267" s="51">
        <f t="shared" si="738"/>
        <v>0</v>
      </c>
      <c r="EC267" s="51">
        <f t="shared" si="799"/>
        <v>0</v>
      </c>
      <c r="ED267" s="51">
        <f t="shared" si="739"/>
        <v>0</v>
      </c>
      <c r="EE267" s="51">
        <f t="shared" si="800"/>
        <v>0</v>
      </c>
      <c r="EF267" s="54">
        <f t="shared" si="801"/>
        <v>0</v>
      </c>
      <c r="EG267" s="55">
        <f t="shared" si="802"/>
        <v>0</v>
      </c>
      <c r="EH267" s="56">
        <f>IF(AND($E267&lt;&gt;0,$F267&gt;0,YEAR($F267)&gt;=Preisindex!$A$6,YEAR(EC$4)&gt;=YEAR($F267),AND($K267&lt;&gt;"a",$K267&lt;&gt;"b",$K267&lt;&gt;"g",$K267&lt;&gt;"k")),1,IF(AND($E267&lt;&gt;0,$F267&gt;0,YEAR($F267)&gt;=Preisindex!$A$6,YEAR(EC$4)&gt;=YEAR($F267),$K267="a"),ROUND(VLOOKUP(EH$4,Preisindex,5,FALSE)/VLOOKUP(YEAR($F267),Preisindex,5,FALSE),2),IF(AND($E267&lt;&gt;0,$F267&gt;0,YEAR($F267)&gt;=Preisindex!$A$6,YEAR(EC$4)&gt;=YEAR($F267),$K267="b"),ROUND(VLOOKUP(EH$4,Preisindex,3,FALSE)/VLOOKUP(YEAR($F267),Preisindex,3,FALSE),2),IF(AND($E267&lt;&gt;0,$F267&gt;0,YEAR($F267)&gt;=Preisindex!$A$6,YEAR(EC$4)&gt;=YEAR($F267),$K267="g"),ROUND(VLOOKUP(EH$4,Preisindex,4,FALSE)/VLOOKUP(YEAR($F267),Preisindex,4,FALSE),2),IF(AND($E267&lt;&gt;0,$F267&gt;0,YEAR($F267)&gt;=Preisindex!$A$6,YEAR(EC$4)&gt;=YEAR($F267),$K267="k"),ROUND(VLOOKUP(EH$4,Preisindex,2,FALSE)/VLOOKUP(YEAR($F267),Preisindex,2,FALSE),2),0)))))</f>
        <v>0</v>
      </c>
      <c r="EI267" s="56">
        <f>IF(AND($E267&lt;&gt;0,$F267&gt;0,YEAR($F267)&lt;Preisindex!$A$6,YEAR(EC$4)&gt;=YEAR($F267),AND($K267&lt;&gt;"a",$K267&lt;&gt;"b",$K267&lt;&gt;"g",$K267&lt;&gt;"k")),1,IF(AND($E267&lt;&gt;0,$F267&gt;0,YEAR($F267)&lt;Preisindex!$A$6,YEAR(EC$4)&gt;=YEAR($F267),$K267="a"),ROUND(VLOOKUP(EH$4,Preisindex,5,FALSE)/VLOOKUP(Preisindex!$A$6,Preisindex,5,FALSE),2),IF(AND($E267&lt;&gt;0,$F267&gt;0,YEAR($F267)&lt;Preisindex!$A$6,YEAR(EC$4)&gt;=YEAR($F267),$K267="b"),ROUND(VLOOKUP(EH$4,Preisindex,3,FALSE)/VLOOKUP(Preisindex!$A$6,Preisindex,3,FALSE),2),IF(AND($E267&lt;&gt;0,$F267&gt;0,YEAR($F267)&lt;Preisindex!$A$6,YEAR(EC$4)&gt;=YEAR($F267),$K267="g"),ROUND(VLOOKUP(EH$4,Preisindex,4,FALSE)/VLOOKUP(Preisindex!$A$6,Preisindex,4,FALSE),2),IF(AND($E267&lt;&gt;0,$F267&gt;0,YEAR($F267)&lt;Preisindex!$A$6,YEAR(EC$4)&gt;=YEAR($F267),$K267="k"),ROUND(VLOOKUP(EH$4,Preisindex,2,FALSE)/VLOOKUP(Preisindex!$A$6,Preisindex,2,FALSE),2),0)))))</f>
        <v>0</v>
      </c>
      <c r="EJ267" s="51">
        <f>IF(AND($E267&lt;&gt;0,$F267&gt;0,YEAR($F267)&lt;=EH$4,YEAR($F267)&gt;=Preisindex!$A$6),ROUND($E267*EH267,2),IF(AND($E267&lt;&gt;0,$F267&gt;0,YEAR($F267)&lt;=EH$4,YEAR($F267)&lt;Preisindex!$A$6),ROUND($E267*EI267,2),0))</f>
        <v>0</v>
      </c>
      <c r="EK267" s="53">
        <f t="shared" si="803"/>
        <v>0</v>
      </c>
      <c r="EL267" s="51">
        <f t="shared" si="787"/>
        <v>0</v>
      </c>
      <c r="EM267" s="51">
        <f t="shared" si="740"/>
        <v>0</v>
      </c>
      <c r="EN267" s="51">
        <f t="shared" si="804"/>
        <v>0</v>
      </c>
      <c r="EO267" s="51">
        <f t="shared" si="741"/>
        <v>0</v>
      </c>
      <c r="EP267" s="51">
        <f t="shared" si="805"/>
        <v>0</v>
      </c>
      <c r="EQ267" s="51">
        <f t="shared" si="742"/>
        <v>0</v>
      </c>
      <c r="ER267" s="51">
        <f t="shared" si="806"/>
        <v>0</v>
      </c>
      <c r="ES267" s="51">
        <f t="shared" si="743"/>
        <v>0</v>
      </c>
      <c r="ET267" s="51">
        <f t="shared" si="807"/>
        <v>0</v>
      </c>
      <c r="EU267" s="51">
        <f t="shared" si="744"/>
        <v>0</v>
      </c>
      <c r="EV267" s="51">
        <f t="shared" si="808"/>
        <v>0</v>
      </c>
      <c r="EW267" s="54">
        <f t="shared" si="809"/>
        <v>0</v>
      </c>
      <c r="EX267" s="55">
        <f t="shared" si="810"/>
        <v>0</v>
      </c>
      <c r="EY267" s="56">
        <f>IF(AND($E267&lt;&gt;0,$F267&gt;0,YEAR($F267)&gt;=Preisindex!$A$6,YEAR(ET$4)&gt;=YEAR($F267),AND($K267&lt;&gt;"a",$K267&lt;&gt;"b",$K267&lt;&gt;"g",$K267&lt;&gt;"k")),1,IF(AND($E267&lt;&gt;0,$F267&gt;0,YEAR($F267)&gt;=Preisindex!$A$6,YEAR(ET$4)&gt;=YEAR($F267),$K267="a"),ROUND(VLOOKUP(EY$4,Preisindex,5,FALSE)/VLOOKUP(YEAR($F267),Preisindex,5,FALSE),2),IF(AND($E267&lt;&gt;0,$F267&gt;0,YEAR($F267)&gt;=Preisindex!$A$6,YEAR(ET$4)&gt;=YEAR($F267),$K267="b"),ROUND(VLOOKUP(EY$4,Preisindex,3,FALSE)/VLOOKUP(YEAR($F267),Preisindex,3,FALSE),2),IF(AND($E267&lt;&gt;0,$F267&gt;0,YEAR($F267)&gt;=Preisindex!$A$6,YEAR(ET$4)&gt;=YEAR($F267),$K267="g"),ROUND(VLOOKUP(EY$4,Preisindex,4,FALSE)/VLOOKUP(YEAR($F267),Preisindex,4,FALSE),2),IF(AND($E267&lt;&gt;0,$F267&gt;0,YEAR($F267)&gt;=Preisindex!$A$6,YEAR(ET$4)&gt;=YEAR($F267),$K267="k"),ROUND(VLOOKUP(EY$4,Preisindex,2,FALSE)/VLOOKUP(YEAR($F267),Preisindex,2,FALSE),2),0)))))</f>
        <v>0</v>
      </c>
      <c r="EZ267" s="56">
        <f>IF(AND($E267&lt;&gt;0,$F267&gt;0,YEAR($F267)&lt;Preisindex!$A$6,YEAR(ET$4)&gt;=YEAR($F267),AND($K267&lt;&gt;"a",$K267&lt;&gt;"b",$K267&lt;&gt;"g",$K267&lt;&gt;"k")),1,IF(AND($E267&lt;&gt;0,$F267&gt;0,YEAR($F267)&lt;Preisindex!$A$6,YEAR(ET$4)&gt;=YEAR($F267),$K267="a"),ROUND(VLOOKUP(EY$4,Preisindex,5,FALSE)/VLOOKUP(Preisindex!$A$6,Preisindex,5,FALSE),2),IF(AND($E267&lt;&gt;0,$F267&gt;0,YEAR($F267)&lt;Preisindex!$A$6,YEAR(ET$4)&gt;=YEAR($F267),$K267="b"),ROUND(VLOOKUP(EY$4,Preisindex,3,FALSE)/VLOOKUP(Preisindex!$A$6,Preisindex,3,FALSE),2),IF(AND($E267&lt;&gt;0,$F267&gt;0,YEAR($F267)&lt;Preisindex!$A$6,YEAR(ET$4)&gt;=YEAR($F267),$K267="g"),ROUND(VLOOKUP(EY$4,Preisindex,4,FALSE)/VLOOKUP(Preisindex!$A$6,Preisindex,4,FALSE),2),IF(AND($E267&lt;&gt;0,$F267&gt;0,YEAR($F267)&lt;Preisindex!$A$6,YEAR(ET$4)&gt;=YEAR($F267),$K267="k"),ROUND(VLOOKUP(EY$4,Preisindex,2,FALSE)/VLOOKUP(Preisindex!$A$6,Preisindex,2,FALSE),2),0)))))</f>
        <v>0</v>
      </c>
      <c r="FA267" s="51">
        <f>IF(AND($E267&lt;&gt;0,$F267&gt;0,YEAR($F267)&lt;=EY$4,YEAR($F267)&gt;=Preisindex!$A$6),ROUND($E267*EY267,2),IF(AND($E267&lt;&gt;0,$F267&gt;0,YEAR($F267)&lt;=EY$4,YEAR($F267)&lt;Preisindex!$A$6),ROUND($E267*EZ267,2),0))</f>
        <v>0</v>
      </c>
      <c r="FB267" s="53">
        <f t="shared" si="811"/>
        <v>0</v>
      </c>
      <c r="FC267" s="51">
        <f t="shared" si="787"/>
        <v>0</v>
      </c>
      <c r="FD267" s="51">
        <f t="shared" si="745"/>
        <v>0</v>
      </c>
      <c r="FE267" s="51">
        <f t="shared" si="812"/>
        <v>0</v>
      </c>
      <c r="FF267" s="51">
        <f t="shared" si="746"/>
        <v>0</v>
      </c>
      <c r="FG267" s="51">
        <f t="shared" si="813"/>
        <v>0</v>
      </c>
      <c r="FH267" s="51">
        <f t="shared" si="747"/>
        <v>0</v>
      </c>
      <c r="FI267" s="51">
        <f t="shared" si="814"/>
        <v>0</v>
      </c>
      <c r="FJ267" s="51">
        <f t="shared" si="748"/>
        <v>0</v>
      </c>
      <c r="FK267" s="51">
        <f t="shared" si="815"/>
        <v>0</v>
      </c>
      <c r="FL267" s="51">
        <f t="shared" si="749"/>
        <v>0</v>
      </c>
      <c r="FM267" s="51">
        <f t="shared" si="816"/>
        <v>0</v>
      </c>
      <c r="FN267" s="54">
        <f t="shared" si="817"/>
        <v>0</v>
      </c>
      <c r="FO267" s="55">
        <f t="shared" si="818"/>
        <v>0</v>
      </c>
      <c r="FP267" s="56">
        <f>IF(AND($E267&lt;&gt;0,$F267&gt;0,YEAR($F267)&gt;=Preisindex!$A$6,YEAR(FK$4)&gt;=YEAR($F267),AND($K267&lt;&gt;"a",$K267&lt;&gt;"b",$K267&lt;&gt;"g",$K267&lt;&gt;"k")),1,IF(AND($E267&lt;&gt;0,$F267&gt;0,YEAR($F267)&gt;=Preisindex!$A$6,YEAR(FK$4)&gt;=YEAR($F267),$K267="a"),ROUND(VLOOKUP(FP$4,Preisindex,5,FALSE)/VLOOKUP(YEAR($F267),Preisindex,5,FALSE),2),IF(AND($E267&lt;&gt;0,$F267&gt;0,YEAR($F267)&gt;=Preisindex!$A$6,YEAR(FK$4)&gt;=YEAR($F267),$K267="b"),ROUND(VLOOKUP(FP$4,Preisindex,3,FALSE)/VLOOKUP(YEAR($F267),Preisindex,3,FALSE),2),IF(AND($E267&lt;&gt;0,$F267&gt;0,YEAR($F267)&gt;=Preisindex!$A$6,YEAR(FK$4)&gt;=YEAR($F267),$K267="g"),ROUND(VLOOKUP(FP$4,Preisindex,4,FALSE)/VLOOKUP(YEAR($F267),Preisindex,4,FALSE),2),IF(AND($E267&lt;&gt;0,$F267&gt;0,YEAR($F267)&gt;=Preisindex!$A$6,YEAR(FK$4)&gt;=YEAR($F267),$K267="k"),ROUND(VLOOKUP(FP$4,Preisindex,2,FALSE)/VLOOKUP(YEAR($F267),Preisindex,2,FALSE),2),0)))))</f>
        <v>0</v>
      </c>
      <c r="FQ267" s="56">
        <f>IF(AND($E267&lt;&gt;0,$F267&gt;0,YEAR($F267)&lt;Preisindex!$A$6,YEAR(FK$4)&gt;=YEAR($F267),AND($K267&lt;&gt;"a",$K267&lt;&gt;"b",$K267&lt;&gt;"g",$K267&lt;&gt;"k")),1,IF(AND($E267&lt;&gt;0,$F267&gt;0,YEAR($F267)&lt;Preisindex!$A$6,YEAR(FK$4)&gt;=YEAR($F267),$K267="a"),ROUND(VLOOKUP(FP$4,Preisindex,5,FALSE)/VLOOKUP(Preisindex!$A$6,Preisindex,5,FALSE),2),IF(AND($E267&lt;&gt;0,$F267&gt;0,YEAR($F267)&lt;Preisindex!$A$6,YEAR(FK$4)&gt;=YEAR($F267),$K267="b"),ROUND(VLOOKUP(FP$4,Preisindex,3,FALSE)/VLOOKUP(Preisindex!$A$6,Preisindex,3,FALSE),2),IF(AND($E267&lt;&gt;0,$F267&gt;0,YEAR($F267)&lt;Preisindex!$A$6,YEAR(FK$4)&gt;=YEAR($F267),$K267="g"),ROUND(VLOOKUP(FP$4,Preisindex,4,FALSE)/VLOOKUP(Preisindex!$A$6,Preisindex,4,FALSE),2),IF(AND($E267&lt;&gt;0,$F267&gt;0,YEAR($F267)&lt;Preisindex!$A$6,YEAR(FK$4)&gt;=YEAR($F267),$K267="k"),ROUND(VLOOKUP(FP$4,Preisindex,2,FALSE)/VLOOKUP(Preisindex!$A$6,Preisindex,2,FALSE),2),0)))))</f>
        <v>0</v>
      </c>
      <c r="FR267" s="51">
        <f>IF(AND($E267&lt;&gt;0,$F267&gt;0,YEAR($F267)&lt;=FP$4,YEAR($F267)&gt;=Preisindex!$A$6),ROUND($E267*FP267,2),IF(AND($E267&lt;&gt;0,$F267&gt;0,YEAR($F267)&lt;=FP$4,YEAR($F267)&lt;Preisindex!$A$6),ROUND($E267*FQ267,2),0))</f>
        <v>0</v>
      </c>
      <c r="FS267" s="53">
        <f t="shared" si="819"/>
        <v>0</v>
      </c>
    </row>
    <row r="268" spans="1:175" x14ac:dyDescent="0.3">
      <c r="A268" s="185"/>
      <c r="B268" s="186"/>
      <c r="C268" s="187"/>
      <c r="D268" s="188"/>
      <c r="E268" s="189"/>
      <c r="F268" s="190"/>
      <c r="G268" s="191"/>
      <c r="H268" s="192"/>
      <c r="I268" s="193"/>
      <c r="J268" s="194"/>
      <c r="K268" s="630"/>
      <c r="L268" s="49">
        <f t="shared" si="820"/>
        <v>0</v>
      </c>
      <c r="M268" s="50">
        <f t="shared" si="821"/>
        <v>0</v>
      </c>
      <c r="N268" s="51">
        <f t="shared" si="822"/>
        <v>0</v>
      </c>
      <c r="O268" s="51"/>
      <c r="P268" s="51">
        <f t="shared" si="823"/>
        <v>0</v>
      </c>
      <c r="Q268" s="52"/>
      <c r="R268" s="52"/>
      <c r="S268" s="52"/>
      <c r="T268" s="52"/>
      <c r="U268" s="52"/>
      <c r="V268" s="53">
        <f t="shared" si="824"/>
        <v>0</v>
      </c>
      <c r="W268" s="51">
        <f t="shared" si="825"/>
        <v>0</v>
      </c>
      <c r="X268" s="51">
        <f t="shared" si="826"/>
        <v>0</v>
      </c>
      <c r="Y268" s="51">
        <f t="shared" si="827"/>
        <v>0</v>
      </c>
      <c r="Z268" s="51">
        <f t="shared" si="828"/>
        <v>0</v>
      </c>
      <c r="AA268" s="51">
        <f t="shared" si="829"/>
        <v>0</v>
      </c>
      <c r="AB268" s="51">
        <f t="shared" si="830"/>
        <v>0</v>
      </c>
      <c r="AC268" s="51">
        <f t="shared" si="831"/>
        <v>0</v>
      </c>
      <c r="AD268" s="51">
        <f t="shared" si="832"/>
        <v>0</v>
      </c>
      <c r="AE268" s="51">
        <f t="shared" si="833"/>
        <v>0</v>
      </c>
      <c r="AF268" s="51">
        <f t="shared" si="834"/>
        <v>0</v>
      </c>
      <c r="AG268" s="51">
        <f t="shared" si="835"/>
        <v>0</v>
      </c>
      <c r="AH268" s="54">
        <f t="shared" si="836"/>
        <v>0</v>
      </c>
      <c r="AI268" s="55">
        <f t="shared" si="837"/>
        <v>0</v>
      </c>
      <c r="AJ268" s="56">
        <f>IF(AND($E268&lt;&gt;0,$F268&gt;0,YEAR($F268)&gt;=Preisindex!$A$6,YEAR(AE$4)&gt;=YEAR($F268),AND($K268&lt;&gt;"a",$K268&lt;&gt;"b",$K268&lt;&gt;"g",$K268&lt;&gt;"k")),1,IF(AND($E268&lt;&gt;0,$F268&gt;0,YEAR($F268)&gt;=Preisindex!$A$6,YEAR(AE$4)&gt;=YEAR($F268),$K268="a"),ROUND(VLOOKUP(AJ$4,Preisindex,5,FALSE)/VLOOKUP(YEAR($F268),Preisindex,5,FALSE),2),IF(AND($E268&lt;&gt;0,$F268&gt;0,YEAR($F268)&gt;=Preisindex!$A$6,YEAR(AE$4)&gt;=YEAR($F268),$K268="b"),ROUND(VLOOKUP(AJ$4,Preisindex,3,FALSE)/VLOOKUP(YEAR($F268),Preisindex,3,FALSE),2),IF(AND($E268&lt;&gt;0,$F268&gt;0,YEAR($F268)&gt;=Preisindex!$A$6,YEAR(AE$4)&gt;=YEAR($F268),$K268="g"),ROUND(VLOOKUP(AJ$4,Preisindex,4,FALSE)/VLOOKUP(YEAR($F268),Preisindex,4,FALSE),2),IF(AND($E268&lt;&gt;0,$F268&gt;0,YEAR($F268)&gt;=Preisindex!$A$6,YEAR(AE$4)&gt;=YEAR($F268),$K268="k"),ROUND(VLOOKUP(AJ$4,Preisindex,2,FALSE)/VLOOKUP(YEAR($F268),Preisindex,2,FALSE),2),0)))))</f>
        <v>0</v>
      </c>
      <c r="AK268" s="56">
        <f>IF(AND($E268&lt;&gt;0,$F268&gt;0,YEAR($F268)&lt;Preisindex!$A$6,YEAR(AE$4)&gt;=YEAR($F268),AND($K268&lt;&gt;"a",$K268&lt;&gt;"b",$K268&lt;&gt;"g",$K268&lt;&gt;"k")),1,IF(AND($E268&lt;&gt;0,$F268&gt;0,YEAR($F268)&lt;Preisindex!$A$6,YEAR(AE$4)&gt;=YEAR($F268),$K268="a"),ROUND(VLOOKUP(AJ$4,Preisindex,5,FALSE)/VLOOKUP(Preisindex!$A$6,Preisindex,5,FALSE),2),IF(AND($E268&lt;&gt;0,$F268&gt;0,YEAR($F268)&lt;Preisindex!$A$6,YEAR(AE$4)&gt;=YEAR($F268),$K268="b"),ROUND(VLOOKUP(AJ$4,Preisindex,3,FALSE)/VLOOKUP(Preisindex!$A$6,Preisindex,3,FALSE),2),IF(AND($E268&lt;&gt;0,$F268&gt;0,YEAR($F268)&lt;Preisindex!$A$6,YEAR(AE$4)&gt;=YEAR($F268),$K268="g"),ROUND(VLOOKUP(AJ$4,Preisindex,4,FALSE)/VLOOKUP(Preisindex!$A$6,Preisindex,4,FALSE),2),IF(AND($E268&lt;&gt;0,$F268&gt;0,YEAR($F268)&lt;Preisindex!$A$6,YEAR(AE$4)&gt;=YEAR($F268),$K268="k"),ROUND(VLOOKUP(AJ$4,Preisindex,2,FALSE)/VLOOKUP(Preisindex!$A$6,Preisindex,2,FALSE),2),0)))))</f>
        <v>0</v>
      </c>
      <c r="AL268" s="51">
        <f>IF(AND($E268&lt;&gt;0,$F268&gt;0,YEAR($F268)&lt;=AJ$4,YEAR($F268)&gt;=Preisindex!$A$6),ROUND($E268*AJ268,2),IF(AND($E268&lt;&gt;0,$F268&gt;0,YEAR($F268)&lt;=AJ$4,YEAR($F268)&lt;Preisindex!$A$6),ROUND($E268*AK268,2),0))</f>
        <v>0</v>
      </c>
      <c r="AM268" s="53">
        <f t="shared" si="838"/>
        <v>0</v>
      </c>
      <c r="AN268" s="51">
        <f t="shared" si="754"/>
        <v>0</v>
      </c>
      <c r="AO268" s="51">
        <f t="shared" si="710"/>
        <v>0</v>
      </c>
      <c r="AP268" s="51">
        <f t="shared" si="755"/>
        <v>0</v>
      </c>
      <c r="AQ268" s="51">
        <f t="shared" si="711"/>
        <v>0</v>
      </c>
      <c r="AR268" s="51">
        <f t="shared" si="756"/>
        <v>0</v>
      </c>
      <c r="AS268" s="51">
        <f t="shared" si="712"/>
        <v>0</v>
      </c>
      <c r="AT268" s="51">
        <f t="shared" si="757"/>
        <v>0</v>
      </c>
      <c r="AU268" s="51">
        <f t="shared" si="713"/>
        <v>0</v>
      </c>
      <c r="AV268" s="51">
        <f t="shared" si="758"/>
        <v>0</v>
      </c>
      <c r="AW268" s="51">
        <f t="shared" si="714"/>
        <v>0</v>
      </c>
      <c r="AX268" s="51">
        <f t="shared" si="759"/>
        <v>0</v>
      </c>
      <c r="AY268" s="54">
        <f t="shared" si="760"/>
        <v>0</v>
      </c>
      <c r="AZ268" s="55">
        <f t="shared" si="761"/>
        <v>0</v>
      </c>
      <c r="BA268" s="56">
        <f>IF(AND($E268&lt;&gt;0,$F268&gt;0,YEAR($F268)&gt;=Preisindex!$A$6,YEAR(AV$4)&gt;=YEAR($F268),AND($K268&lt;&gt;"a",$K268&lt;&gt;"b",$K268&lt;&gt;"g",$K268&lt;&gt;"k")),1,IF(AND($E268&lt;&gt;0,$F268&gt;0,YEAR($F268)&gt;=Preisindex!$A$6,YEAR(AV$4)&gt;=YEAR($F268),$K268="a"),ROUND(VLOOKUP(BA$4,Preisindex,5,FALSE)/VLOOKUP(YEAR($F268),Preisindex,5,FALSE),2),IF(AND($E268&lt;&gt;0,$F268&gt;0,YEAR($F268)&gt;=Preisindex!$A$6,YEAR(AV$4)&gt;=YEAR($F268),$K268="b"),ROUND(VLOOKUP(BA$4,Preisindex,3,FALSE)/VLOOKUP(YEAR($F268),Preisindex,3,FALSE),2),IF(AND($E268&lt;&gt;0,$F268&gt;0,YEAR($F268)&gt;=Preisindex!$A$6,YEAR(AV$4)&gt;=YEAR($F268),$K268="g"),ROUND(VLOOKUP(BA$4,Preisindex,4,FALSE)/VLOOKUP(YEAR($F268),Preisindex,4,FALSE),2),IF(AND($E268&lt;&gt;0,$F268&gt;0,YEAR($F268)&gt;=Preisindex!$A$6,YEAR(AV$4)&gt;=YEAR($F268),$K268="k"),ROUND(VLOOKUP(BA$4,Preisindex,2,FALSE)/VLOOKUP(YEAR($F268),Preisindex,2,FALSE),2),0)))))</f>
        <v>0</v>
      </c>
      <c r="BB268" s="56">
        <f>IF(AND($E268&lt;&gt;0,$F268&gt;0,YEAR($F268)&lt;Preisindex!$A$6,YEAR(AV$4)&gt;=YEAR($F268),AND($K268&lt;&gt;"a",$K268&lt;&gt;"b",$K268&lt;&gt;"g",$K268&lt;&gt;"k")),1,IF(AND($E268&lt;&gt;0,$F268&gt;0,YEAR($F268)&lt;Preisindex!$A$6,YEAR(AV$4)&gt;=YEAR($F268),$K268="a"),ROUND(VLOOKUP(BA$4,Preisindex,5,FALSE)/VLOOKUP(Preisindex!$A$6,Preisindex,5,FALSE),2),IF(AND($E268&lt;&gt;0,$F268&gt;0,YEAR($F268)&lt;Preisindex!$A$6,YEAR(AV$4)&gt;=YEAR($F268),$K268="b"),ROUND(VLOOKUP(BA$4,Preisindex,3,FALSE)/VLOOKUP(Preisindex!$A$6,Preisindex,3,FALSE),2),IF(AND($E268&lt;&gt;0,$F268&gt;0,YEAR($F268)&lt;Preisindex!$A$6,YEAR(AV$4)&gt;=YEAR($F268),$K268="g"),ROUND(VLOOKUP(BA$4,Preisindex,4,FALSE)/VLOOKUP(Preisindex!$A$6,Preisindex,4,FALSE),2),IF(AND($E268&lt;&gt;0,$F268&gt;0,YEAR($F268)&lt;Preisindex!$A$6,YEAR(AV$4)&gt;=YEAR($F268),$K268="k"),ROUND(VLOOKUP(BA$4,Preisindex,2,FALSE)/VLOOKUP(Preisindex!$A$6,Preisindex,2,FALSE),2),0)))))</f>
        <v>0</v>
      </c>
      <c r="BC268" s="51">
        <f>IF(AND($E268&lt;&gt;0,$F268&gt;0,YEAR($F268)&lt;=BA$4,YEAR($F268)&gt;=Preisindex!$A$6),ROUND($E268*BA268,2),IF(AND($E268&lt;&gt;0,$F268&gt;0,YEAR($F268)&lt;=BA$4,YEAR($F268)&lt;Preisindex!$A$6),ROUND($E268*BB268,2),0))</f>
        <v>0</v>
      </c>
      <c r="BD268" s="53">
        <f t="shared" si="762"/>
        <v>0</v>
      </c>
      <c r="BE268" s="51">
        <f t="shared" si="754"/>
        <v>0</v>
      </c>
      <c r="BF268" s="51">
        <f t="shared" si="715"/>
        <v>0</v>
      </c>
      <c r="BG268" s="51">
        <f t="shared" si="763"/>
        <v>0</v>
      </c>
      <c r="BH268" s="51">
        <f t="shared" si="716"/>
        <v>0</v>
      </c>
      <c r="BI268" s="51">
        <f t="shared" si="764"/>
        <v>0</v>
      </c>
      <c r="BJ268" s="51">
        <f t="shared" si="717"/>
        <v>0</v>
      </c>
      <c r="BK268" s="51">
        <f t="shared" si="765"/>
        <v>0</v>
      </c>
      <c r="BL268" s="51">
        <f t="shared" si="718"/>
        <v>0</v>
      </c>
      <c r="BM268" s="51">
        <f t="shared" si="766"/>
        <v>0</v>
      </c>
      <c r="BN268" s="51">
        <f t="shared" si="719"/>
        <v>0</v>
      </c>
      <c r="BO268" s="51">
        <f t="shared" si="767"/>
        <v>0</v>
      </c>
      <c r="BP268" s="54">
        <f t="shared" si="768"/>
        <v>0</v>
      </c>
      <c r="BQ268" s="55">
        <f t="shared" si="769"/>
        <v>0</v>
      </c>
      <c r="BR268" s="56">
        <f>IF(AND($E268&lt;&gt;0,$F268&gt;0,YEAR($F268)&gt;=Preisindex!$A$6,YEAR(BM$4)&gt;=YEAR($F268),AND($K268&lt;&gt;"a",$K268&lt;&gt;"b",$K268&lt;&gt;"g",$K268&lt;&gt;"k")),1,IF(AND($E268&lt;&gt;0,$F268&gt;0,YEAR($F268)&gt;=Preisindex!$A$6,YEAR(BM$4)&gt;=YEAR($F268),$K268="a"),ROUND(VLOOKUP(BR$4,Preisindex,5,FALSE)/VLOOKUP(YEAR($F268),Preisindex,5,FALSE),2),IF(AND($E268&lt;&gt;0,$F268&gt;0,YEAR($F268)&gt;=Preisindex!$A$6,YEAR(BM$4)&gt;=YEAR($F268),$K268="b"),ROUND(VLOOKUP(BR$4,Preisindex,3,FALSE)/VLOOKUP(YEAR($F268),Preisindex,3,FALSE),2),IF(AND($E268&lt;&gt;0,$F268&gt;0,YEAR($F268)&gt;=Preisindex!$A$6,YEAR(BM$4)&gt;=YEAR($F268),$K268="g"),ROUND(VLOOKUP(BR$4,Preisindex,4,FALSE)/VLOOKUP(YEAR($F268),Preisindex,4,FALSE),2),IF(AND($E268&lt;&gt;0,$F268&gt;0,YEAR($F268)&gt;=Preisindex!$A$6,YEAR(BM$4)&gt;=YEAR($F268),$K268="k"),ROUND(VLOOKUP(BR$4,Preisindex,2,FALSE)/VLOOKUP(YEAR($F268),Preisindex,2,FALSE),2),0)))))</f>
        <v>0</v>
      </c>
      <c r="BS268" s="56">
        <f>IF(AND($E268&lt;&gt;0,$F268&gt;0,YEAR($F268)&lt;Preisindex!$A$6,YEAR(BM$4)&gt;=YEAR($F268),AND($K268&lt;&gt;"a",$K268&lt;&gt;"b",$K268&lt;&gt;"g",$K268&lt;&gt;"k")),1,IF(AND($E268&lt;&gt;0,$F268&gt;0,YEAR($F268)&lt;Preisindex!$A$6,YEAR(BM$4)&gt;=YEAR($F268),$K268="a"),ROUND(VLOOKUP(BR$4,Preisindex,5,FALSE)/VLOOKUP(Preisindex!$A$6,Preisindex,5,FALSE),2),IF(AND($E268&lt;&gt;0,$F268&gt;0,YEAR($F268)&lt;Preisindex!$A$6,YEAR(BM$4)&gt;=YEAR($F268),$K268="b"),ROUND(VLOOKUP(BR$4,Preisindex,3,FALSE)/VLOOKUP(Preisindex!$A$6,Preisindex,3,FALSE),2),IF(AND($E268&lt;&gt;0,$F268&gt;0,YEAR($F268)&lt;Preisindex!$A$6,YEAR(BM$4)&gt;=YEAR($F268),$K268="g"),ROUND(VLOOKUP(BR$4,Preisindex,4,FALSE)/VLOOKUP(Preisindex!$A$6,Preisindex,4,FALSE),2),IF(AND($E268&lt;&gt;0,$F268&gt;0,YEAR($F268)&lt;Preisindex!$A$6,YEAR(BM$4)&gt;=YEAR($F268),$K268="k"),ROUND(VLOOKUP(BR$4,Preisindex,2,FALSE)/VLOOKUP(Preisindex!$A$6,Preisindex,2,FALSE),2),0)))))</f>
        <v>0</v>
      </c>
      <c r="BT268" s="51">
        <f>IF(AND($E268&lt;&gt;0,$F268&gt;0,YEAR($F268)&lt;=BR$4,YEAR($F268)&gt;=Preisindex!$A$6),ROUND($E268*BR268,2),IF(AND($E268&lt;&gt;0,$F268&gt;0,YEAR($F268)&lt;=BR$4,YEAR($F268)&lt;Preisindex!$A$6),ROUND($E268*BS268,2),0))</f>
        <v>0</v>
      </c>
      <c r="BU268" s="53">
        <f t="shared" si="770"/>
        <v>0</v>
      </c>
      <c r="BV268" s="51">
        <f t="shared" si="754"/>
        <v>0</v>
      </c>
      <c r="BW268" s="51">
        <f t="shared" si="720"/>
        <v>0</v>
      </c>
      <c r="BX268" s="51">
        <f t="shared" si="771"/>
        <v>0</v>
      </c>
      <c r="BY268" s="51">
        <f t="shared" si="721"/>
        <v>0</v>
      </c>
      <c r="BZ268" s="51">
        <f t="shared" si="772"/>
        <v>0</v>
      </c>
      <c r="CA268" s="51">
        <f t="shared" si="722"/>
        <v>0</v>
      </c>
      <c r="CB268" s="51">
        <f t="shared" si="773"/>
        <v>0</v>
      </c>
      <c r="CC268" s="51">
        <f t="shared" si="723"/>
        <v>0</v>
      </c>
      <c r="CD268" s="51">
        <f t="shared" si="774"/>
        <v>0</v>
      </c>
      <c r="CE268" s="51">
        <f t="shared" si="724"/>
        <v>0</v>
      </c>
      <c r="CF268" s="51">
        <f t="shared" si="775"/>
        <v>0</v>
      </c>
      <c r="CG268" s="54">
        <f t="shared" si="776"/>
        <v>0</v>
      </c>
      <c r="CH268" s="55">
        <f t="shared" si="777"/>
        <v>0</v>
      </c>
      <c r="CI268" s="56">
        <f>IF(AND($E268&lt;&gt;0,$F268&gt;0,YEAR($F268)&gt;=Preisindex!$A$6,YEAR(CD$4)&gt;=YEAR($F268),AND($K268&lt;&gt;"a",$K268&lt;&gt;"b",$K268&lt;&gt;"g",$K268&lt;&gt;"k")),1,IF(AND($E268&lt;&gt;0,$F268&gt;0,YEAR($F268)&gt;=Preisindex!$A$6,YEAR(CD$4)&gt;=YEAR($F268),$K268="a"),ROUND(VLOOKUP(CI$4,Preisindex,5,FALSE)/VLOOKUP(YEAR($F268),Preisindex,5,FALSE),2),IF(AND($E268&lt;&gt;0,$F268&gt;0,YEAR($F268)&gt;=Preisindex!$A$6,YEAR(CD$4)&gt;=YEAR($F268),$K268="b"),ROUND(VLOOKUP(CI$4,Preisindex,3,FALSE)/VLOOKUP(YEAR($F268),Preisindex,3,FALSE),2),IF(AND($E268&lt;&gt;0,$F268&gt;0,YEAR($F268)&gt;=Preisindex!$A$6,YEAR(CD$4)&gt;=YEAR($F268),$K268="g"),ROUND(VLOOKUP(CI$4,Preisindex,4,FALSE)/VLOOKUP(YEAR($F268),Preisindex,4,FALSE),2),IF(AND($E268&lt;&gt;0,$F268&gt;0,YEAR($F268)&gt;=Preisindex!$A$6,YEAR(CD$4)&gt;=YEAR($F268),$K268="k"),ROUND(VLOOKUP(CI$4,Preisindex,2,FALSE)/VLOOKUP(YEAR($F268),Preisindex,2,FALSE),2),0)))))</f>
        <v>0</v>
      </c>
      <c r="CJ268" s="56">
        <f>IF(AND($E268&lt;&gt;0,$F268&gt;0,YEAR($F268)&lt;Preisindex!$A$6,YEAR(CD$4)&gt;=YEAR($F268),AND($K268&lt;&gt;"a",$K268&lt;&gt;"b",$K268&lt;&gt;"g",$K268&lt;&gt;"k")),1,IF(AND($E268&lt;&gt;0,$F268&gt;0,YEAR($F268)&lt;Preisindex!$A$6,YEAR(CD$4)&gt;=YEAR($F268),$K268="a"),ROUND(VLOOKUP(CI$4,Preisindex,5,FALSE)/VLOOKUP(Preisindex!$A$6,Preisindex,5,FALSE),2),IF(AND($E268&lt;&gt;0,$F268&gt;0,YEAR($F268)&lt;Preisindex!$A$6,YEAR(CD$4)&gt;=YEAR($F268),$K268="b"),ROUND(VLOOKUP(CI$4,Preisindex,3,FALSE)/VLOOKUP(Preisindex!$A$6,Preisindex,3,FALSE),2),IF(AND($E268&lt;&gt;0,$F268&gt;0,YEAR($F268)&lt;Preisindex!$A$6,YEAR(CD$4)&gt;=YEAR($F268),$K268="g"),ROUND(VLOOKUP(CI$4,Preisindex,4,FALSE)/VLOOKUP(Preisindex!$A$6,Preisindex,4,FALSE),2),IF(AND($E268&lt;&gt;0,$F268&gt;0,YEAR($F268)&lt;Preisindex!$A$6,YEAR(CD$4)&gt;=YEAR($F268),$K268="k"),ROUND(VLOOKUP(CI$4,Preisindex,2,FALSE)/VLOOKUP(Preisindex!$A$6,Preisindex,2,FALSE),2),0)))))</f>
        <v>0</v>
      </c>
      <c r="CK268" s="51">
        <f>IF(AND($E268&lt;&gt;0,$F268&gt;0,YEAR($F268)&lt;=CI$4,YEAR($F268)&gt;=Preisindex!$A$6),ROUND($E268*CI268,2),IF(AND($E268&lt;&gt;0,$F268&gt;0,YEAR($F268)&lt;=CI$4,YEAR($F268)&lt;Preisindex!$A$6),ROUND($E268*CJ268,2),0))</f>
        <v>0</v>
      </c>
      <c r="CL268" s="53">
        <f t="shared" si="778"/>
        <v>0</v>
      </c>
      <c r="CM268" s="51">
        <f t="shared" si="754"/>
        <v>0</v>
      </c>
      <c r="CN268" s="51">
        <f t="shared" si="725"/>
        <v>0</v>
      </c>
      <c r="CO268" s="51">
        <f t="shared" si="779"/>
        <v>0</v>
      </c>
      <c r="CP268" s="51">
        <f t="shared" si="726"/>
        <v>0</v>
      </c>
      <c r="CQ268" s="51">
        <f t="shared" si="780"/>
        <v>0</v>
      </c>
      <c r="CR268" s="51">
        <f t="shared" si="727"/>
        <v>0</v>
      </c>
      <c r="CS268" s="51">
        <f t="shared" si="781"/>
        <v>0</v>
      </c>
      <c r="CT268" s="51">
        <f t="shared" si="728"/>
        <v>0</v>
      </c>
      <c r="CU268" s="51">
        <f t="shared" si="782"/>
        <v>0</v>
      </c>
      <c r="CV268" s="51">
        <f t="shared" si="729"/>
        <v>0</v>
      </c>
      <c r="CW268" s="51">
        <f t="shared" si="783"/>
        <v>0</v>
      </c>
      <c r="CX268" s="54">
        <f t="shared" si="784"/>
        <v>0</v>
      </c>
      <c r="CY268" s="55">
        <f t="shared" si="785"/>
        <v>0</v>
      </c>
      <c r="CZ268" s="56">
        <f>IF(AND($E268&lt;&gt;0,$F268&gt;0,YEAR($F268)&gt;=Preisindex!$A$6,YEAR(CU$4)&gt;=YEAR($F268),AND($K268&lt;&gt;"a",$K268&lt;&gt;"b",$K268&lt;&gt;"g",$K268&lt;&gt;"k")),1,IF(AND($E268&lt;&gt;0,$F268&gt;0,YEAR($F268)&gt;=Preisindex!$A$6,YEAR(CU$4)&gt;=YEAR($F268),$K268="a"),ROUND(VLOOKUP(CZ$4,Preisindex,5,FALSE)/VLOOKUP(YEAR($F268),Preisindex,5,FALSE),2),IF(AND($E268&lt;&gt;0,$F268&gt;0,YEAR($F268)&gt;=Preisindex!$A$6,YEAR(CU$4)&gt;=YEAR($F268),$K268="b"),ROUND(VLOOKUP(CZ$4,Preisindex,3,FALSE)/VLOOKUP(YEAR($F268),Preisindex,3,FALSE),2),IF(AND($E268&lt;&gt;0,$F268&gt;0,YEAR($F268)&gt;=Preisindex!$A$6,YEAR(CU$4)&gt;=YEAR($F268),$K268="g"),ROUND(VLOOKUP(CZ$4,Preisindex,4,FALSE)/VLOOKUP(YEAR($F268),Preisindex,4,FALSE),2),IF(AND($E268&lt;&gt;0,$F268&gt;0,YEAR($F268)&gt;=Preisindex!$A$6,YEAR(CU$4)&gt;=YEAR($F268),$K268="k"),ROUND(VLOOKUP(CZ$4,Preisindex,2,FALSE)/VLOOKUP(YEAR($F268),Preisindex,2,FALSE),2),0)))))</f>
        <v>0</v>
      </c>
      <c r="DA268" s="56">
        <f>IF(AND($E268&lt;&gt;0,$F268&gt;0,YEAR($F268)&lt;Preisindex!$A$6,YEAR(CU$4)&gt;=YEAR($F268),AND($K268&lt;&gt;"a",$K268&lt;&gt;"b",$K268&lt;&gt;"g",$K268&lt;&gt;"k")),1,IF(AND($E268&lt;&gt;0,$F268&gt;0,YEAR($F268)&lt;Preisindex!$A$6,YEAR(CU$4)&gt;=YEAR($F268),$K268="a"),ROUND(VLOOKUP(CZ$4,Preisindex,5,FALSE)/VLOOKUP(Preisindex!$A$6,Preisindex,5,FALSE),2),IF(AND($E268&lt;&gt;0,$F268&gt;0,YEAR($F268)&lt;Preisindex!$A$6,YEAR(CU$4)&gt;=YEAR($F268),$K268="b"),ROUND(VLOOKUP(CZ$4,Preisindex,3,FALSE)/VLOOKUP(Preisindex!$A$6,Preisindex,3,FALSE),2),IF(AND($E268&lt;&gt;0,$F268&gt;0,YEAR($F268)&lt;Preisindex!$A$6,YEAR(CU$4)&gt;=YEAR($F268),$K268="g"),ROUND(VLOOKUP(CZ$4,Preisindex,4,FALSE)/VLOOKUP(Preisindex!$A$6,Preisindex,4,FALSE),2),IF(AND($E268&lt;&gt;0,$F268&gt;0,YEAR($F268)&lt;Preisindex!$A$6,YEAR(CU$4)&gt;=YEAR($F268),$K268="k"),ROUND(VLOOKUP(CZ$4,Preisindex,2,FALSE)/VLOOKUP(Preisindex!$A$6,Preisindex,2,FALSE),2),0)))))</f>
        <v>0</v>
      </c>
      <c r="DB268" s="51">
        <f>IF(AND($E268&lt;&gt;0,$F268&gt;0,YEAR($F268)&lt;=CZ$4,YEAR($F268)&gt;=Preisindex!$A$6),ROUND($E268*CZ268,2),IF(AND($E268&lt;&gt;0,$F268&gt;0,YEAR($F268)&lt;=CZ$4,YEAR($F268)&lt;Preisindex!$A$6),ROUND($E268*DA268,2),0))</f>
        <v>0</v>
      </c>
      <c r="DC268" s="53">
        <f t="shared" si="786"/>
        <v>0</v>
      </c>
      <c r="DD268" s="51">
        <f t="shared" si="787"/>
        <v>0</v>
      </c>
      <c r="DE268" s="51">
        <f t="shared" si="730"/>
        <v>0</v>
      </c>
      <c r="DF268" s="51">
        <f t="shared" si="788"/>
        <v>0</v>
      </c>
      <c r="DG268" s="51">
        <f t="shared" si="731"/>
        <v>0</v>
      </c>
      <c r="DH268" s="51">
        <f t="shared" si="789"/>
        <v>0</v>
      </c>
      <c r="DI268" s="51">
        <f t="shared" si="732"/>
        <v>0</v>
      </c>
      <c r="DJ268" s="51">
        <f t="shared" si="790"/>
        <v>0</v>
      </c>
      <c r="DK268" s="51">
        <f t="shared" si="733"/>
        <v>0</v>
      </c>
      <c r="DL268" s="51">
        <f t="shared" si="791"/>
        <v>0</v>
      </c>
      <c r="DM268" s="51">
        <f t="shared" si="734"/>
        <v>0</v>
      </c>
      <c r="DN268" s="51">
        <f t="shared" si="792"/>
        <v>0</v>
      </c>
      <c r="DO268" s="54">
        <f t="shared" si="793"/>
        <v>0</v>
      </c>
      <c r="DP268" s="55">
        <f t="shared" si="794"/>
        <v>0</v>
      </c>
      <c r="DQ268" s="56">
        <f>IF(AND($E268&lt;&gt;0,$F268&gt;0,YEAR($F268)&gt;=Preisindex!$A$6,YEAR(DL$4)&gt;=YEAR($F268),AND($K268&lt;&gt;"a",$K268&lt;&gt;"b",$K268&lt;&gt;"g",$K268&lt;&gt;"k")),1,IF(AND($E268&lt;&gt;0,$F268&gt;0,YEAR($F268)&gt;=Preisindex!$A$6,YEAR(DL$4)&gt;=YEAR($F268),$K268="a"),ROUND(VLOOKUP(DQ$4,Preisindex,5,FALSE)/VLOOKUP(YEAR($F268),Preisindex,5,FALSE),2),IF(AND($E268&lt;&gt;0,$F268&gt;0,YEAR($F268)&gt;=Preisindex!$A$6,YEAR(DL$4)&gt;=YEAR($F268),$K268="b"),ROUND(VLOOKUP(DQ$4,Preisindex,3,FALSE)/VLOOKUP(YEAR($F268),Preisindex,3,FALSE),2),IF(AND($E268&lt;&gt;0,$F268&gt;0,YEAR($F268)&gt;=Preisindex!$A$6,YEAR(DL$4)&gt;=YEAR($F268),$K268="g"),ROUND(VLOOKUP(DQ$4,Preisindex,4,FALSE)/VLOOKUP(YEAR($F268),Preisindex,4,FALSE),2),IF(AND($E268&lt;&gt;0,$F268&gt;0,YEAR($F268)&gt;=Preisindex!$A$6,YEAR(DL$4)&gt;=YEAR($F268),$K268="k"),ROUND(VLOOKUP(DQ$4,Preisindex,2,FALSE)/VLOOKUP(YEAR($F268),Preisindex,2,FALSE),2),0)))))</f>
        <v>0</v>
      </c>
      <c r="DR268" s="56">
        <f>IF(AND($E268&lt;&gt;0,$F268&gt;0,YEAR($F268)&lt;Preisindex!$A$6,YEAR(DL$4)&gt;=YEAR($F268),AND($K268&lt;&gt;"a",$K268&lt;&gt;"b",$K268&lt;&gt;"g",$K268&lt;&gt;"k")),1,IF(AND($E268&lt;&gt;0,$F268&gt;0,YEAR($F268)&lt;Preisindex!$A$6,YEAR(DL$4)&gt;=YEAR($F268),$K268="a"),ROUND(VLOOKUP(DQ$4,Preisindex,5,FALSE)/VLOOKUP(Preisindex!$A$6,Preisindex,5,FALSE),2),IF(AND($E268&lt;&gt;0,$F268&gt;0,YEAR($F268)&lt;Preisindex!$A$6,YEAR(DL$4)&gt;=YEAR($F268),$K268="b"),ROUND(VLOOKUP(DQ$4,Preisindex,3,FALSE)/VLOOKUP(Preisindex!$A$6,Preisindex,3,FALSE),2),IF(AND($E268&lt;&gt;0,$F268&gt;0,YEAR($F268)&lt;Preisindex!$A$6,YEAR(DL$4)&gt;=YEAR($F268),$K268="g"),ROUND(VLOOKUP(DQ$4,Preisindex,4,FALSE)/VLOOKUP(Preisindex!$A$6,Preisindex,4,FALSE),2),IF(AND($E268&lt;&gt;0,$F268&gt;0,YEAR($F268)&lt;Preisindex!$A$6,YEAR(DL$4)&gt;=YEAR($F268),$K268="k"),ROUND(VLOOKUP(DQ$4,Preisindex,2,FALSE)/VLOOKUP(Preisindex!$A$6,Preisindex,2,FALSE),2),0)))))</f>
        <v>0</v>
      </c>
      <c r="DS268" s="51">
        <f>IF(AND($E268&lt;&gt;0,$F268&gt;0,YEAR($F268)&lt;=DQ$4,YEAR($F268)&gt;=Preisindex!$A$6),ROUND($E268*DQ268,2),IF(AND($E268&lt;&gt;0,$F268&gt;0,YEAR($F268)&lt;=DQ$4,YEAR($F268)&lt;Preisindex!$A$6),ROUND($E268*DR268,2),0))</f>
        <v>0</v>
      </c>
      <c r="DT268" s="53">
        <f t="shared" si="795"/>
        <v>0</v>
      </c>
      <c r="DU268" s="51">
        <f t="shared" si="787"/>
        <v>0</v>
      </c>
      <c r="DV268" s="51">
        <f t="shared" si="735"/>
        <v>0</v>
      </c>
      <c r="DW268" s="51">
        <f t="shared" si="796"/>
        <v>0</v>
      </c>
      <c r="DX268" s="51">
        <f t="shared" si="736"/>
        <v>0</v>
      </c>
      <c r="DY268" s="51">
        <f t="shared" si="797"/>
        <v>0</v>
      </c>
      <c r="DZ268" s="51">
        <f t="shared" si="737"/>
        <v>0</v>
      </c>
      <c r="EA268" s="51">
        <f t="shared" si="798"/>
        <v>0</v>
      </c>
      <c r="EB268" s="51">
        <f t="shared" si="738"/>
        <v>0</v>
      </c>
      <c r="EC268" s="51">
        <f t="shared" si="799"/>
        <v>0</v>
      </c>
      <c r="ED268" s="51">
        <f t="shared" si="739"/>
        <v>0</v>
      </c>
      <c r="EE268" s="51">
        <f t="shared" si="800"/>
        <v>0</v>
      </c>
      <c r="EF268" s="54">
        <f t="shared" si="801"/>
        <v>0</v>
      </c>
      <c r="EG268" s="55">
        <f t="shared" si="802"/>
        <v>0</v>
      </c>
      <c r="EH268" s="56">
        <f>IF(AND($E268&lt;&gt;0,$F268&gt;0,YEAR($F268)&gt;=Preisindex!$A$6,YEAR(EC$4)&gt;=YEAR($F268),AND($K268&lt;&gt;"a",$K268&lt;&gt;"b",$K268&lt;&gt;"g",$K268&lt;&gt;"k")),1,IF(AND($E268&lt;&gt;0,$F268&gt;0,YEAR($F268)&gt;=Preisindex!$A$6,YEAR(EC$4)&gt;=YEAR($F268),$K268="a"),ROUND(VLOOKUP(EH$4,Preisindex,5,FALSE)/VLOOKUP(YEAR($F268),Preisindex,5,FALSE),2),IF(AND($E268&lt;&gt;0,$F268&gt;0,YEAR($F268)&gt;=Preisindex!$A$6,YEAR(EC$4)&gt;=YEAR($F268),$K268="b"),ROUND(VLOOKUP(EH$4,Preisindex,3,FALSE)/VLOOKUP(YEAR($F268),Preisindex,3,FALSE),2),IF(AND($E268&lt;&gt;0,$F268&gt;0,YEAR($F268)&gt;=Preisindex!$A$6,YEAR(EC$4)&gt;=YEAR($F268),$K268="g"),ROUND(VLOOKUP(EH$4,Preisindex,4,FALSE)/VLOOKUP(YEAR($F268),Preisindex,4,FALSE),2),IF(AND($E268&lt;&gt;0,$F268&gt;0,YEAR($F268)&gt;=Preisindex!$A$6,YEAR(EC$4)&gt;=YEAR($F268),$K268="k"),ROUND(VLOOKUP(EH$4,Preisindex,2,FALSE)/VLOOKUP(YEAR($F268),Preisindex,2,FALSE),2),0)))))</f>
        <v>0</v>
      </c>
      <c r="EI268" s="56">
        <f>IF(AND($E268&lt;&gt;0,$F268&gt;0,YEAR($F268)&lt;Preisindex!$A$6,YEAR(EC$4)&gt;=YEAR($F268),AND($K268&lt;&gt;"a",$K268&lt;&gt;"b",$K268&lt;&gt;"g",$K268&lt;&gt;"k")),1,IF(AND($E268&lt;&gt;0,$F268&gt;0,YEAR($F268)&lt;Preisindex!$A$6,YEAR(EC$4)&gt;=YEAR($F268),$K268="a"),ROUND(VLOOKUP(EH$4,Preisindex,5,FALSE)/VLOOKUP(Preisindex!$A$6,Preisindex,5,FALSE),2),IF(AND($E268&lt;&gt;0,$F268&gt;0,YEAR($F268)&lt;Preisindex!$A$6,YEAR(EC$4)&gt;=YEAR($F268),$K268="b"),ROUND(VLOOKUP(EH$4,Preisindex,3,FALSE)/VLOOKUP(Preisindex!$A$6,Preisindex,3,FALSE),2),IF(AND($E268&lt;&gt;0,$F268&gt;0,YEAR($F268)&lt;Preisindex!$A$6,YEAR(EC$4)&gt;=YEAR($F268),$K268="g"),ROUND(VLOOKUP(EH$4,Preisindex,4,FALSE)/VLOOKUP(Preisindex!$A$6,Preisindex,4,FALSE),2),IF(AND($E268&lt;&gt;0,$F268&gt;0,YEAR($F268)&lt;Preisindex!$A$6,YEAR(EC$4)&gt;=YEAR($F268),$K268="k"),ROUND(VLOOKUP(EH$4,Preisindex,2,FALSE)/VLOOKUP(Preisindex!$A$6,Preisindex,2,FALSE),2),0)))))</f>
        <v>0</v>
      </c>
      <c r="EJ268" s="51">
        <f>IF(AND($E268&lt;&gt;0,$F268&gt;0,YEAR($F268)&lt;=EH$4,YEAR($F268)&gt;=Preisindex!$A$6),ROUND($E268*EH268,2),IF(AND($E268&lt;&gt;0,$F268&gt;0,YEAR($F268)&lt;=EH$4,YEAR($F268)&lt;Preisindex!$A$6),ROUND($E268*EI268,2),0))</f>
        <v>0</v>
      </c>
      <c r="EK268" s="53">
        <f t="shared" si="803"/>
        <v>0</v>
      </c>
      <c r="EL268" s="51">
        <f t="shared" si="787"/>
        <v>0</v>
      </c>
      <c r="EM268" s="51">
        <f t="shared" si="740"/>
        <v>0</v>
      </c>
      <c r="EN268" s="51">
        <f t="shared" si="804"/>
        <v>0</v>
      </c>
      <c r="EO268" s="51">
        <f t="shared" si="741"/>
        <v>0</v>
      </c>
      <c r="EP268" s="51">
        <f t="shared" si="805"/>
        <v>0</v>
      </c>
      <c r="EQ268" s="51">
        <f t="shared" si="742"/>
        <v>0</v>
      </c>
      <c r="ER268" s="51">
        <f t="shared" si="806"/>
        <v>0</v>
      </c>
      <c r="ES268" s="51">
        <f t="shared" si="743"/>
        <v>0</v>
      </c>
      <c r="ET268" s="51">
        <f t="shared" si="807"/>
        <v>0</v>
      </c>
      <c r="EU268" s="51">
        <f t="shared" si="744"/>
        <v>0</v>
      </c>
      <c r="EV268" s="51">
        <f t="shared" si="808"/>
        <v>0</v>
      </c>
      <c r="EW268" s="54">
        <f t="shared" si="809"/>
        <v>0</v>
      </c>
      <c r="EX268" s="55">
        <f t="shared" si="810"/>
        <v>0</v>
      </c>
      <c r="EY268" s="56">
        <f>IF(AND($E268&lt;&gt;0,$F268&gt;0,YEAR($F268)&gt;=Preisindex!$A$6,YEAR(ET$4)&gt;=YEAR($F268),AND($K268&lt;&gt;"a",$K268&lt;&gt;"b",$K268&lt;&gt;"g",$K268&lt;&gt;"k")),1,IF(AND($E268&lt;&gt;0,$F268&gt;0,YEAR($F268)&gt;=Preisindex!$A$6,YEAR(ET$4)&gt;=YEAR($F268),$K268="a"),ROUND(VLOOKUP(EY$4,Preisindex,5,FALSE)/VLOOKUP(YEAR($F268),Preisindex,5,FALSE),2),IF(AND($E268&lt;&gt;0,$F268&gt;0,YEAR($F268)&gt;=Preisindex!$A$6,YEAR(ET$4)&gt;=YEAR($F268),$K268="b"),ROUND(VLOOKUP(EY$4,Preisindex,3,FALSE)/VLOOKUP(YEAR($F268),Preisindex,3,FALSE),2),IF(AND($E268&lt;&gt;0,$F268&gt;0,YEAR($F268)&gt;=Preisindex!$A$6,YEAR(ET$4)&gt;=YEAR($F268),$K268="g"),ROUND(VLOOKUP(EY$4,Preisindex,4,FALSE)/VLOOKUP(YEAR($F268),Preisindex,4,FALSE),2),IF(AND($E268&lt;&gt;0,$F268&gt;0,YEAR($F268)&gt;=Preisindex!$A$6,YEAR(ET$4)&gt;=YEAR($F268),$K268="k"),ROUND(VLOOKUP(EY$4,Preisindex,2,FALSE)/VLOOKUP(YEAR($F268),Preisindex,2,FALSE),2),0)))))</f>
        <v>0</v>
      </c>
      <c r="EZ268" s="56">
        <f>IF(AND($E268&lt;&gt;0,$F268&gt;0,YEAR($F268)&lt;Preisindex!$A$6,YEAR(ET$4)&gt;=YEAR($F268),AND($K268&lt;&gt;"a",$K268&lt;&gt;"b",$K268&lt;&gt;"g",$K268&lt;&gt;"k")),1,IF(AND($E268&lt;&gt;0,$F268&gt;0,YEAR($F268)&lt;Preisindex!$A$6,YEAR(ET$4)&gt;=YEAR($F268),$K268="a"),ROUND(VLOOKUP(EY$4,Preisindex,5,FALSE)/VLOOKUP(Preisindex!$A$6,Preisindex,5,FALSE),2),IF(AND($E268&lt;&gt;0,$F268&gt;0,YEAR($F268)&lt;Preisindex!$A$6,YEAR(ET$4)&gt;=YEAR($F268),$K268="b"),ROUND(VLOOKUP(EY$4,Preisindex,3,FALSE)/VLOOKUP(Preisindex!$A$6,Preisindex,3,FALSE),2),IF(AND($E268&lt;&gt;0,$F268&gt;0,YEAR($F268)&lt;Preisindex!$A$6,YEAR(ET$4)&gt;=YEAR($F268),$K268="g"),ROUND(VLOOKUP(EY$4,Preisindex,4,FALSE)/VLOOKUP(Preisindex!$A$6,Preisindex,4,FALSE),2),IF(AND($E268&lt;&gt;0,$F268&gt;0,YEAR($F268)&lt;Preisindex!$A$6,YEAR(ET$4)&gt;=YEAR($F268),$K268="k"),ROUND(VLOOKUP(EY$4,Preisindex,2,FALSE)/VLOOKUP(Preisindex!$A$6,Preisindex,2,FALSE),2),0)))))</f>
        <v>0</v>
      </c>
      <c r="FA268" s="51">
        <f>IF(AND($E268&lt;&gt;0,$F268&gt;0,YEAR($F268)&lt;=EY$4,YEAR($F268)&gt;=Preisindex!$A$6),ROUND($E268*EY268,2),IF(AND($E268&lt;&gt;0,$F268&gt;0,YEAR($F268)&lt;=EY$4,YEAR($F268)&lt;Preisindex!$A$6),ROUND($E268*EZ268,2),0))</f>
        <v>0</v>
      </c>
      <c r="FB268" s="53">
        <f t="shared" si="811"/>
        <v>0</v>
      </c>
      <c r="FC268" s="51">
        <f t="shared" si="787"/>
        <v>0</v>
      </c>
      <c r="FD268" s="51">
        <f t="shared" si="745"/>
        <v>0</v>
      </c>
      <c r="FE268" s="51">
        <f t="shared" si="812"/>
        <v>0</v>
      </c>
      <c r="FF268" s="51">
        <f t="shared" si="746"/>
        <v>0</v>
      </c>
      <c r="FG268" s="51">
        <f t="shared" si="813"/>
        <v>0</v>
      </c>
      <c r="FH268" s="51">
        <f t="shared" si="747"/>
        <v>0</v>
      </c>
      <c r="FI268" s="51">
        <f t="shared" si="814"/>
        <v>0</v>
      </c>
      <c r="FJ268" s="51">
        <f t="shared" si="748"/>
        <v>0</v>
      </c>
      <c r="FK268" s="51">
        <f t="shared" si="815"/>
        <v>0</v>
      </c>
      <c r="FL268" s="51">
        <f t="shared" si="749"/>
        <v>0</v>
      </c>
      <c r="FM268" s="51">
        <f t="shared" si="816"/>
        <v>0</v>
      </c>
      <c r="FN268" s="54">
        <f t="shared" si="817"/>
        <v>0</v>
      </c>
      <c r="FO268" s="55">
        <f t="shared" si="818"/>
        <v>0</v>
      </c>
      <c r="FP268" s="56">
        <f>IF(AND($E268&lt;&gt;0,$F268&gt;0,YEAR($F268)&gt;=Preisindex!$A$6,YEAR(FK$4)&gt;=YEAR($F268),AND($K268&lt;&gt;"a",$K268&lt;&gt;"b",$K268&lt;&gt;"g",$K268&lt;&gt;"k")),1,IF(AND($E268&lt;&gt;0,$F268&gt;0,YEAR($F268)&gt;=Preisindex!$A$6,YEAR(FK$4)&gt;=YEAR($F268),$K268="a"),ROUND(VLOOKUP(FP$4,Preisindex,5,FALSE)/VLOOKUP(YEAR($F268),Preisindex,5,FALSE),2),IF(AND($E268&lt;&gt;0,$F268&gt;0,YEAR($F268)&gt;=Preisindex!$A$6,YEAR(FK$4)&gt;=YEAR($F268),$K268="b"),ROUND(VLOOKUP(FP$4,Preisindex,3,FALSE)/VLOOKUP(YEAR($F268),Preisindex,3,FALSE),2),IF(AND($E268&lt;&gt;0,$F268&gt;0,YEAR($F268)&gt;=Preisindex!$A$6,YEAR(FK$4)&gt;=YEAR($F268),$K268="g"),ROUND(VLOOKUP(FP$4,Preisindex,4,FALSE)/VLOOKUP(YEAR($F268),Preisindex,4,FALSE),2),IF(AND($E268&lt;&gt;0,$F268&gt;0,YEAR($F268)&gt;=Preisindex!$A$6,YEAR(FK$4)&gt;=YEAR($F268),$K268="k"),ROUND(VLOOKUP(FP$4,Preisindex,2,FALSE)/VLOOKUP(YEAR($F268),Preisindex,2,FALSE),2),0)))))</f>
        <v>0</v>
      </c>
      <c r="FQ268" s="56">
        <f>IF(AND($E268&lt;&gt;0,$F268&gt;0,YEAR($F268)&lt;Preisindex!$A$6,YEAR(FK$4)&gt;=YEAR($F268),AND($K268&lt;&gt;"a",$K268&lt;&gt;"b",$K268&lt;&gt;"g",$K268&lt;&gt;"k")),1,IF(AND($E268&lt;&gt;0,$F268&gt;0,YEAR($F268)&lt;Preisindex!$A$6,YEAR(FK$4)&gt;=YEAR($F268),$K268="a"),ROUND(VLOOKUP(FP$4,Preisindex,5,FALSE)/VLOOKUP(Preisindex!$A$6,Preisindex,5,FALSE),2),IF(AND($E268&lt;&gt;0,$F268&gt;0,YEAR($F268)&lt;Preisindex!$A$6,YEAR(FK$4)&gt;=YEAR($F268),$K268="b"),ROUND(VLOOKUP(FP$4,Preisindex,3,FALSE)/VLOOKUP(Preisindex!$A$6,Preisindex,3,FALSE),2),IF(AND($E268&lt;&gt;0,$F268&gt;0,YEAR($F268)&lt;Preisindex!$A$6,YEAR(FK$4)&gt;=YEAR($F268),$K268="g"),ROUND(VLOOKUP(FP$4,Preisindex,4,FALSE)/VLOOKUP(Preisindex!$A$6,Preisindex,4,FALSE),2),IF(AND($E268&lt;&gt;0,$F268&gt;0,YEAR($F268)&lt;Preisindex!$A$6,YEAR(FK$4)&gt;=YEAR($F268),$K268="k"),ROUND(VLOOKUP(FP$4,Preisindex,2,FALSE)/VLOOKUP(Preisindex!$A$6,Preisindex,2,FALSE),2),0)))))</f>
        <v>0</v>
      </c>
      <c r="FR268" s="51">
        <f>IF(AND($E268&lt;&gt;0,$F268&gt;0,YEAR($F268)&lt;=FP$4,YEAR($F268)&gt;=Preisindex!$A$6),ROUND($E268*FP268,2),IF(AND($E268&lt;&gt;0,$F268&gt;0,YEAR($F268)&lt;=FP$4,YEAR($F268)&lt;Preisindex!$A$6),ROUND($E268*FQ268,2),0))</f>
        <v>0</v>
      </c>
      <c r="FS268" s="53">
        <f t="shared" si="819"/>
        <v>0</v>
      </c>
    </row>
    <row r="269" spans="1:175" x14ac:dyDescent="0.3">
      <c r="A269" s="185"/>
      <c r="B269" s="186"/>
      <c r="C269" s="187"/>
      <c r="D269" s="188"/>
      <c r="E269" s="189"/>
      <c r="F269" s="190"/>
      <c r="G269" s="191"/>
      <c r="H269" s="192"/>
      <c r="I269" s="193"/>
      <c r="J269" s="194"/>
      <c r="K269" s="630"/>
      <c r="L269" s="49">
        <f t="shared" si="820"/>
        <v>0</v>
      </c>
      <c r="M269" s="50">
        <f t="shared" si="821"/>
        <v>0</v>
      </c>
      <c r="N269" s="51">
        <f t="shared" si="822"/>
        <v>0</v>
      </c>
      <c r="O269" s="51"/>
      <c r="P269" s="51">
        <f t="shared" si="823"/>
        <v>0</v>
      </c>
      <c r="Q269" s="52"/>
      <c r="R269" s="52"/>
      <c r="S269" s="52"/>
      <c r="T269" s="52"/>
      <c r="U269" s="52"/>
      <c r="V269" s="53">
        <f t="shared" si="824"/>
        <v>0</v>
      </c>
      <c r="W269" s="51">
        <f t="shared" si="825"/>
        <v>0</v>
      </c>
      <c r="X269" s="51">
        <f t="shared" si="826"/>
        <v>0</v>
      </c>
      <c r="Y269" s="51">
        <f t="shared" si="827"/>
        <v>0</v>
      </c>
      <c r="Z269" s="51">
        <f t="shared" si="828"/>
        <v>0</v>
      </c>
      <c r="AA269" s="51">
        <f t="shared" si="829"/>
        <v>0</v>
      </c>
      <c r="AB269" s="51">
        <f t="shared" si="830"/>
        <v>0</v>
      </c>
      <c r="AC269" s="51">
        <f t="shared" si="831"/>
        <v>0</v>
      </c>
      <c r="AD269" s="51">
        <f t="shared" si="832"/>
        <v>0</v>
      </c>
      <c r="AE269" s="51">
        <f t="shared" si="833"/>
        <v>0</v>
      </c>
      <c r="AF269" s="51">
        <f t="shared" si="834"/>
        <v>0</v>
      </c>
      <c r="AG269" s="51">
        <f t="shared" si="835"/>
        <v>0</v>
      </c>
      <c r="AH269" s="54">
        <f t="shared" si="836"/>
        <v>0</v>
      </c>
      <c r="AI269" s="55">
        <f t="shared" si="837"/>
        <v>0</v>
      </c>
      <c r="AJ269" s="56">
        <f>IF(AND($E269&lt;&gt;0,$F269&gt;0,YEAR($F269)&gt;=Preisindex!$A$6,YEAR(AE$4)&gt;=YEAR($F269),AND($K269&lt;&gt;"a",$K269&lt;&gt;"b",$K269&lt;&gt;"g",$K269&lt;&gt;"k")),1,IF(AND($E269&lt;&gt;0,$F269&gt;0,YEAR($F269)&gt;=Preisindex!$A$6,YEAR(AE$4)&gt;=YEAR($F269),$K269="a"),ROUND(VLOOKUP(AJ$4,Preisindex,5,FALSE)/VLOOKUP(YEAR($F269),Preisindex,5,FALSE),2),IF(AND($E269&lt;&gt;0,$F269&gt;0,YEAR($F269)&gt;=Preisindex!$A$6,YEAR(AE$4)&gt;=YEAR($F269),$K269="b"),ROUND(VLOOKUP(AJ$4,Preisindex,3,FALSE)/VLOOKUP(YEAR($F269),Preisindex,3,FALSE),2),IF(AND($E269&lt;&gt;0,$F269&gt;0,YEAR($F269)&gt;=Preisindex!$A$6,YEAR(AE$4)&gt;=YEAR($F269),$K269="g"),ROUND(VLOOKUP(AJ$4,Preisindex,4,FALSE)/VLOOKUP(YEAR($F269),Preisindex,4,FALSE),2),IF(AND($E269&lt;&gt;0,$F269&gt;0,YEAR($F269)&gt;=Preisindex!$A$6,YEAR(AE$4)&gt;=YEAR($F269),$K269="k"),ROUND(VLOOKUP(AJ$4,Preisindex,2,FALSE)/VLOOKUP(YEAR($F269),Preisindex,2,FALSE),2),0)))))</f>
        <v>0</v>
      </c>
      <c r="AK269" s="56">
        <f>IF(AND($E269&lt;&gt;0,$F269&gt;0,YEAR($F269)&lt;Preisindex!$A$6,YEAR(AE$4)&gt;=YEAR($F269),AND($K269&lt;&gt;"a",$K269&lt;&gt;"b",$K269&lt;&gt;"g",$K269&lt;&gt;"k")),1,IF(AND($E269&lt;&gt;0,$F269&gt;0,YEAR($F269)&lt;Preisindex!$A$6,YEAR(AE$4)&gt;=YEAR($F269),$K269="a"),ROUND(VLOOKUP(AJ$4,Preisindex,5,FALSE)/VLOOKUP(Preisindex!$A$6,Preisindex,5,FALSE),2),IF(AND($E269&lt;&gt;0,$F269&gt;0,YEAR($F269)&lt;Preisindex!$A$6,YEAR(AE$4)&gt;=YEAR($F269),$K269="b"),ROUND(VLOOKUP(AJ$4,Preisindex,3,FALSE)/VLOOKUP(Preisindex!$A$6,Preisindex,3,FALSE),2),IF(AND($E269&lt;&gt;0,$F269&gt;0,YEAR($F269)&lt;Preisindex!$A$6,YEAR(AE$4)&gt;=YEAR($F269),$K269="g"),ROUND(VLOOKUP(AJ$4,Preisindex,4,FALSE)/VLOOKUP(Preisindex!$A$6,Preisindex,4,FALSE),2),IF(AND($E269&lt;&gt;0,$F269&gt;0,YEAR($F269)&lt;Preisindex!$A$6,YEAR(AE$4)&gt;=YEAR($F269),$K269="k"),ROUND(VLOOKUP(AJ$4,Preisindex,2,FALSE)/VLOOKUP(Preisindex!$A$6,Preisindex,2,FALSE),2),0)))))</f>
        <v>0</v>
      </c>
      <c r="AL269" s="51">
        <f>IF(AND($E269&lt;&gt;0,$F269&gt;0,YEAR($F269)&lt;=AJ$4,YEAR($F269)&gt;=Preisindex!$A$6),ROUND($E269*AJ269,2),IF(AND($E269&lt;&gt;0,$F269&gt;0,YEAR($F269)&lt;=AJ$4,YEAR($F269)&lt;Preisindex!$A$6),ROUND($E269*AK269,2),0))</f>
        <v>0</v>
      </c>
      <c r="AM269" s="53">
        <f t="shared" si="838"/>
        <v>0</v>
      </c>
      <c r="AN269" s="51">
        <f t="shared" si="754"/>
        <v>0</v>
      </c>
      <c r="AO269" s="51">
        <f t="shared" si="710"/>
        <v>0</v>
      </c>
      <c r="AP269" s="51">
        <f t="shared" si="755"/>
        <v>0</v>
      </c>
      <c r="AQ269" s="51">
        <f t="shared" si="711"/>
        <v>0</v>
      </c>
      <c r="AR269" s="51">
        <f t="shared" si="756"/>
        <v>0</v>
      </c>
      <c r="AS269" s="51">
        <f t="shared" si="712"/>
        <v>0</v>
      </c>
      <c r="AT269" s="51">
        <f t="shared" si="757"/>
        <v>0</v>
      </c>
      <c r="AU269" s="51">
        <f t="shared" si="713"/>
        <v>0</v>
      </c>
      <c r="AV269" s="51">
        <f t="shared" si="758"/>
        <v>0</v>
      </c>
      <c r="AW269" s="51">
        <f t="shared" si="714"/>
        <v>0</v>
      </c>
      <c r="AX269" s="51">
        <f t="shared" si="759"/>
        <v>0</v>
      </c>
      <c r="AY269" s="54">
        <f t="shared" si="760"/>
        <v>0</v>
      </c>
      <c r="AZ269" s="55">
        <f t="shared" si="761"/>
        <v>0</v>
      </c>
      <c r="BA269" s="56">
        <f>IF(AND($E269&lt;&gt;0,$F269&gt;0,YEAR($F269)&gt;=Preisindex!$A$6,YEAR(AV$4)&gt;=YEAR($F269),AND($K269&lt;&gt;"a",$K269&lt;&gt;"b",$K269&lt;&gt;"g",$K269&lt;&gt;"k")),1,IF(AND($E269&lt;&gt;0,$F269&gt;0,YEAR($F269)&gt;=Preisindex!$A$6,YEAR(AV$4)&gt;=YEAR($F269),$K269="a"),ROUND(VLOOKUP(BA$4,Preisindex,5,FALSE)/VLOOKUP(YEAR($F269),Preisindex,5,FALSE),2),IF(AND($E269&lt;&gt;0,$F269&gt;0,YEAR($F269)&gt;=Preisindex!$A$6,YEAR(AV$4)&gt;=YEAR($F269),$K269="b"),ROUND(VLOOKUP(BA$4,Preisindex,3,FALSE)/VLOOKUP(YEAR($F269),Preisindex,3,FALSE),2),IF(AND($E269&lt;&gt;0,$F269&gt;0,YEAR($F269)&gt;=Preisindex!$A$6,YEAR(AV$4)&gt;=YEAR($F269),$K269="g"),ROUND(VLOOKUP(BA$4,Preisindex,4,FALSE)/VLOOKUP(YEAR($F269),Preisindex,4,FALSE),2),IF(AND($E269&lt;&gt;0,$F269&gt;0,YEAR($F269)&gt;=Preisindex!$A$6,YEAR(AV$4)&gt;=YEAR($F269),$K269="k"),ROUND(VLOOKUP(BA$4,Preisindex,2,FALSE)/VLOOKUP(YEAR($F269),Preisindex,2,FALSE),2),0)))))</f>
        <v>0</v>
      </c>
      <c r="BB269" s="56">
        <f>IF(AND($E269&lt;&gt;0,$F269&gt;0,YEAR($F269)&lt;Preisindex!$A$6,YEAR(AV$4)&gt;=YEAR($F269),AND($K269&lt;&gt;"a",$K269&lt;&gt;"b",$K269&lt;&gt;"g",$K269&lt;&gt;"k")),1,IF(AND($E269&lt;&gt;0,$F269&gt;0,YEAR($F269)&lt;Preisindex!$A$6,YEAR(AV$4)&gt;=YEAR($F269),$K269="a"),ROUND(VLOOKUP(BA$4,Preisindex,5,FALSE)/VLOOKUP(Preisindex!$A$6,Preisindex,5,FALSE),2),IF(AND($E269&lt;&gt;0,$F269&gt;0,YEAR($F269)&lt;Preisindex!$A$6,YEAR(AV$4)&gt;=YEAR($F269),$K269="b"),ROUND(VLOOKUP(BA$4,Preisindex,3,FALSE)/VLOOKUP(Preisindex!$A$6,Preisindex,3,FALSE),2),IF(AND($E269&lt;&gt;0,$F269&gt;0,YEAR($F269)&lt;Preisindex!$A$6,YEAR(AV$4)&gt;=YEAR($F269),$K269="g"),ROUND(VLOOKUP(BA$4,Preisindex,4,FALSE)/VLOOKUP(Preisindex!$A$6,Preisindex,4,FALSE),2),IF(AND($E269&lt;&gt;0,$F269&gt;0,YEAR($F269)&lt;Preisindex!$A$6,YEAR(AV$4)&gt;=YEAR($F269),$K269="k"),ROUND(VLOOKUP(BA$4,Preisindex,2,FALSE)/VLOOKUP(Preisindex!$A$6,Preisindex,2,FALSE),2),0)))))</f>
        <v>0</v>
      </c>
      <c r="BC269" s="51">
        <f>IF(AND($E269&lt;&gt;0,$F269&gt;0,YEAR($F269)&lt;=BA$4,YEAR($F269)&gt;=Preisindex!$A$6),ROUND($E269*BA269,2),IF(AND($E269&lt;&gt;0,$F269&gt;0,YEAR($F269)&lt;=BA$4,YEAR($F269)&lt;Preisindex!$A$6),ROUND($E269*BB269,2),0))</f>
        <v>0</v>
      </c>
      <c r="BD269" s="53">
        <f t="shared" si="762"/>
        <v>0</v>
      </c>
      <c r="BE269" s="51">
        <f t="shared" si="754"/>
        <v>0</v>
      </c>
      <c r="BF269" s="51">
        <f t="shared" si="715"/>
        <v>0</v>
      </c>
      <c r="BG269" s="51">
        <f t="shared" si="763"/>
        <v>0</v>
      </c>
      <c r="BH269" s="51">
        <f t="shared" si="716"/>
        <v>0</v>
      </c>
      <c r="BI269" s="51">
        <f t="shared" si="764"/>
        <v>0</v>
      </c>
      <c r="BJ269" s="51">
        <f t="shared" si="717"/>
        <v>0</v>
      </c>
      <c r="BK269" s="51">
        <f t="shared" si="765"/>
        <v>0</v>
      </c>
      <c r="BL269" s="51">
        <f t="shared" si="718"/>
        <v>0</v>
      </c>
      <c r="BM269" s="51">
        <f t="shared" si="766"/>
        <v>0</v>
      </c>
      <c r="BN269" s="51">
        <f t="shared" si="719"/>
        <v>0</v>
      </c>
      <c r="BO269" s="51">
        <f t="shared" si="767"/>
        <v>0</v>
      </c>
      <c r="BP269" s="54">
        <f t="shared" si="768"/>
        <v>0</v>
      </c>
      <c r="BQ269" s="55">
        <f t="shared" si="769"/>
        <v>0</v>
      </c>
      <c r="BR269" s="56">
        <f>IF(AND($E269&lt;&gt;0,$F269&gt;0,YEAR($F269)&gt;=Preisindex!$A$6,YEAR(BM$4)&gt;=YEAR($F269),AND($K269&lt;&gt;"a",$K269&lt;&gt;"b",$K269&lt;&gt;"g",$K269&lt;&gt;"k")),1,IF(AND($E269&lt;&gt;0,$F269&gt;0,YEAR($F269)&gt;=Preisindex!$A$6,YEAR(BM$4)&gt;=YEAR($F269),$K269="a"),ROUND(VLOOKUP(BR$4,Preisindex,5,FALSE)/VLOOKUP(YEAR($F269),Preisindex,5,FALSE),2),IF(AND($E269&lt;&gt;0,$F269&gt;0,YEAR($F269)&gt;=Preisindex!$A$6,YEAR(BM$4)&gt;=YEAR($F269),$K269="b"),ROUND(VLOOKUP(BR$4,Preisindex,3,FALSE)/VLOOKUP(YEAR($F269),Preisindex,3,FALSE),2),IF(AND($E269&lt;&gt;0,$F269&gt;0,YEAR($F269)&gt;=Preisindex!$A$6,YEAR(BM$4)&gt;=YEAR($F269),$K269="g"),ROUND(VLOOKUP(BR$4,Preisindex,4,FALSE)/VLOOKUP(YEAR($F269),Preisindex,4,FALSE),2),IF(AND($E269&lt;&gt;0,$F269&gt;0,YEAR($F269)&gt;=Preisindex!$A$6,YEAR(BM$4)&gt;=YEAR($F269),$K269="k"),ROUND(VLOOKUP(BR$4,Preisindex,2,FALSE)/VLOOKUP(YEAR($F269),Preisindex,2,FALSE),2),0)))))</f>
        <v>0</v>
      </c>
      <c r="BS269" s="56">
        <f>IF(AND($E269&lt;&gt;0,$F269&gt;0,YEAR($F269)&lt;Preisindex!$A$6,YEAR(BM$4)&gt;=YEAR($F269),AND($K269&lt;&gt;"a",$K269&lt;&gt;"b",$K269&lt;&gt;"g",$K269&lt;&gt;"k")),1,IF(AND($E269&lt;&gt;0,$F269&gt;0,YEAR($F269)&lt;Preisindex!$A$6,YEAR(BM$4)&gt;=YEAR($F269),$K269="a"),ROUND(VLOOKUP(BR$4,Preisindex,5,FALSE)/VLOOKUP(Preisindex!$A$6,Preisindex,5,FALSE),2),IF(AND($E269&lt;&gt;0,$F269&gt;0,YEAR($F269)&lt;Preisindex!$A$6,YEAR(BM$4)&gt;=YEAR($F269),$K269="b"),ROUND(VLOOKUP(BR$4,Preisindex,3,FALSE)/VLOOKUP(Preisindex!$A$6,Preisindex,3,FALSE),2),IF(AND($E269&lt;&gt;0,$F269&gt;0,YEAR($F269)&lt;Preisindex!$A$6,YEAR(BM$4)&gt;=YEAR($F269),$K269="g"),ROUND(VLOOKUP(BR$4,Preisindex,4,FALSE)/VLOOKUP(Preisindex!$A$6,Preisindex,4,FALSE),2),IF(AND($E269&lt;&gt;0,$F269&gt;0,YEAR($F269)&lt;Preisindex!$A$6,YEAR(BM$4)&gt;=YEAR($F269),$K269="k"),ROUND(VLOOKUP(BR$4,Preisindex,2,FALSE)/VLOOKUP(Preisindex!$A$6,Preisindex,2,FALSE),2),0)))))</f>
        <v>0</v>
      </c>
      <c r="BT269" s="51">
        <f>IF(AND($E269&lt;&gt;0,$F269&gt;0,YEAR($F269)&lt;=BR$4,YEAR($F269)&gt;=Preisindex!$A$6),ROUND($E269*BR269,2),IF(AND($E269&lt;&gt;0,$F269&gt;0,YEAR($F269)&lt;=BR$4,YEAR($F269)&lt;Preisindex!$A$6),ROUND($E269*BS269,2),0))</f>
        <v>0</v>
      </c>
      <c r="BU269" s="53">
        <f t="shared" si="770"/>
        <v>0</v>
      </c>
      <c r="BV269" s="51">
        <f t="shared" si="754"/>
        <v>0</v>
      </c>
      <c r="BW269" s="51">
        <f t="shared" si="720"/>
        <v>0</v>
      </c>
      <c r="BX269" s="51">
        <f t="shared" si="771"/>
        <v>0</v>
      </c>
      <c r="BY269" s="51">
        <f t="shared" si="721"/>
        <v>0</v>
      </c>
      <c r="BZ269" s="51">
        <f t="shared" si="772"/>
        <v>0</v>
      </c>
      <c r="CA269" s="51">
        <f t="shared" si="722"/>
        <v>0</v>
      </c>
      <c r="CB269" s="51">
        <f t="shared" si="773"/>
        <v>0</v>
      </c>
      <c r="CC269" s="51">
        <f t="shared" si="723"/>
        <v>0</v>
      </c>
      <c r="CD269" s="51">
        <f t="shared" si="774"/>
        <v>0</v>
      </c>
      <c r="CE269" s="51">
        <f t="shared" si="724"/>
        <v>0</v>
      </c>
      <c r="CF269" s="51">
        <f t="shared" si="775"/>
        <v>0</v>
      </c>
      <c r="CG269" s="54">
        <f t="shared" si="776"/>
        <v>0</v>
      </c>
      <c r="CH269" s="55">
        <f t="shared" si="777"/>
        <v>0</v>
      </c>
      <c r="CI269" s="56">
        <f>IF(AND($E269&lt;&gt;0,$F269&gt;0,YEAR($F269)&gt;=Preisindex!$A$6,YEAR(CD$4)&gt;=YEAR($F269),AND($K269&lt;&gt;"a",$K269&lt;&gt;"b",$K269&lt;&gt;"g",$K269&lt;&gt;"k")),1,IF(AND($E269&lt;&gt;0,$F269&gt;0,YEAR($F269)&gt;=Preisindex!$A$6,YEAR(CD$4)&gt;=YEAR($F269),$K269="a"),ROUND(VLOOKUP(CI$4,Preisindex,5,FALSE)/VLOOKUP(YEAR($F269),Preisindex,5,FALSE),2),IF(AND($E269&lt;&gt;0,$F269&gt;0,YEAR($F269)&gt;=Preisindex!$A$6,YEAR(CD$4)&gt;=YEAR($F269),$K269="b"),ROUND(VLOOKUP(CI$4,Preisindex,3,FALSE)/VLOOKUP(YEAR($F269),Preisindex,3,FALSE),2),IF(AND($E269&lt;&gt;0,$F269&gt;0,YEAR($F269)&gt;=Preisindex!$A$6,YEAR(CD$4)&gt;=YEAR($F269),$K269="g"),ROUND(VLOOKUP(CI$4,Preisindex,4,FALSE)/VLOOKUP(YEAR($F269),Preisindex,4,FALSE),2),IF(AND($E269&lt;&gt;0,$F269&gt;0,YEAR($F269)&gt;=Preisindex!$A$6,YEAR(CD$4)&gt;=YEAR($F269),$K269="k"),ROUND(VLOOKUP(CI$4,Preisindex,2,FALSE)/VLOOKUP(YEAR($F269),Preisindex,2,FALSE),2),0)))))</f>
        <v>0</v>
      </c>
      <c r="CJ269" s="56">
        <f>IF(AND($E269&lt;&gt;0,$F269&gt;0,YEAR($F269)&lt;Preisindex!$A$6,YEAR(CD$4)&gt;=YEAR($F269),AND($K269&lt;&gt;"a",$K269&lt;&gt;"b",$K269&lt;&gt;"g",$K269&lt;&gt;"k")),1,IF(AND($E269&lt;&gt;0,$F269&gt;0,YEAR($F269)&lt;Preisindex!$A$6,YEAR(CD$4)&gt;=YEAR($F269),$K269="a"),ROUND(VLOOKUP(CI$4,Preisindex,5,FALSE)/VLOOKUP(Preisindex!$A$6,Preisindex,5,FALSE),2),IF(AND($E269&lt;&gt;0,$F269&gt;0,YEAR($F269)&lt;Preisindex!$A$6,YEAR(CD$4)&gt;=YEAR($F269),$K269="b"),ROUND(VLOOKUP(CI$4,Preisindex,3,FALSE)/VLOOKUP(Preisindex!$A$6,Preisindex,3,FALSE),2),IF(AND($E269&lt;&gt;0,$F269&gt;0,YEAR($F269)&lt;Preisindex!$A$6,YEAR(CD$4)&gt;=YEAR($F269),$K269="g"),ROUND(VLOOKUP(CI$4,Preisindex,4,FALSE)/VLOOKUP(Preisindex!$A$6,Preisindex,4,FALSE),2),IF(AND($E269&lt;&gt;0,$F269&gt;0,YEAR($F269)&lt;Preisindex!$A$6,YEAR(CD$4)&gt;=YEAR($F269),$K269="k"),ROUND(VLOOKUP(CI$4,Preisindex,2,FALSE)/VLOOKUP(Preisindex!$A$6,Preisindex,2,FALSE),2),0)))))</f>
        <v>0</v>
      </c>
      <c r="CK269" s="51">
        <f>IF(AND($E269&lt;&gt;0,$F269&gt;0,YEAR($F269)&lt;=CI$4,YEAR($F269)&gt;=Preisindex!$A$6),ROUND($E269*CI269,2),IF(AND($E269&lt;&gt;0,$F269&gt;0,YEAR($F269)&lt;=CI$4,YEAR($F269)&lt;Preisindex!$A$6),ROUND($E269*CJ269,2),0))</f>
        <v>0</v>
      </c>
      <c r="CL269" s="53">
        <f t="shared" si="778"/>
        <v>0</v>
      </c>
      <c r="CM269" s="51">
        <f t="shared" si="754"/>
        <v>0</v>
      </c>
      <c r="CN269" s="51">
        <f t="shared" si="725"/>
        <v>0</v>
      </c>
      <c r="CO269" s="51">
        <f t="shared" si="779"/>
        <v>0</v>
      </c>
      <c r="CP269" s="51">
        <f t="shared" si="726"/>
        <v>0</v>
      </c>
      <c r="CQ269" s="51">
        <f t="shared" si="780"/>
        <v>0</v>
      </c>
      <c r="CR269" s="51">
        <f t="shared" si="727"/>
        <v>0</v>
      </c>
      <c r="CS269" s="51">
        <f t="shared" si="781"/>
        <v>0</v>
      </c>
      <c r="CT269" s="51">
        <f t="shared" si="728"/>
        <v>0</v>
      </c>
      <c r="CU269" s="51">
        <f t="shared" si="782"/>
        <v>0</v>
      </c>
      <c r="CV269" s="51">
        <f t="shared" si="729"/>
        <v>0</v>
      </c>
      <c r="CW269" s="51">
        <f t="shared" si="783"/>
        <v>0</v>
      </c>
      <c r="CX269" s="54">
        <f t="shared" si="784"/>
        <v>0</v>
      </c>
      <c r="CY269" s="55">
        <f t="shared" si="785"/>
        <v>0</v>
      </c>
      <c r="CZ269" s="56">
        <f>IF(AND($E269&lt;&gt;0,$F269&gt;0,YEAR($F269)&gt;=Preisindex!$A$6,YEAR(CU$4)&gt;=YEAR($F269),AND($K269&lt;&gt;"a",$K269&lt;&gt;"b",$K269&lt;&gt;"g",$K269&lt;&gt;"k")),1,IF(AND($E269&lt;&gt;0,$F269&gt;0,YEAR($F269)&gt;=Preisindex!$A$6,YEAR(CU$4)&gt;=YEAR($F269),$K269="a"),ROUND(VLOOKUP(CZ$4,Preisindex,5,FALSE)/VLOOKUP(YEAR($F269),Preisindex,5,FALSE),2),IF(AND($E269&lt;&gt;0,$F269&gt;0,YEAR($F269)&gt;=Preisindex!$A$6,YEAR(CU$4)&gt;=YEAR($F269),$K269="b"),ROUND(VLOOKUP(CZ$4,Preisindex,3,FALSE)/VLOOKUP(YEAR($F269),Preisindex,3,FALSE),2),IF(AND($E269&lt;&gt;0,$F269&gt;0,YEAR($F269)&gt;=Preisindex!$A$6,YEAR(CU$4)&gt;=YEAR($F269),$K269="g"),ROUND(VLOOKUP(CZ$4,Preisindex,4,FALSE)/VLOOKUP(YEAR($F269),Preisindex,4,FALSE),2),IF(AND($E269&lt;&gt;0,$F269&gt;0,YEAR($F269)&gt;=Preisindex!$A$6,YEAR(CU$4)&gt;=YEAR($F269),$K269="k"),ROUND(VLOOKUP(CZ$4,Preisindex,2,FALSE)/VLOOKUP(YEAR($F269),Preisindex,2,FALSE),2),0)))))</f>
        <v>0</v>
      </c>
      <c r="DA269" s="56">
        <f>IF(AND($E269&lt;&gt;0,$F269&gt;0,YEAR($F269)&lt;Preisindex!$A$6,YEAR(CU$4)&gt;=YEAR($F269),AND($K269&lt;&gt;"a",$K269&lt;&gt;"b",$K269&lt;&gt;"g",$K269&lt;&gt;"k")),1,IF(AND($E269&lt;&gt;0,$F269&gt;0,YEAR($F269)&lt;Preisindex!$A$6,YEAR(CU$4)&gt;=YEAR($F269),$K269="a"),ROUND(VLOOKUP(CZ$4,Preisindex,5,FALSE)/VLOOKUP(Preisindex!$A$6,Preisindex,5,FALSE),2),IF(AND($E269&lt;&gt;0,$F269&gt;0,YEAR($F269)&lt;Preisindex!$A$6,YEAR(CU$4)&gt;=YEAR($F269),$K269="b"),ROUND(VLOOKUP(CZ$4,Preisindex,3,FALSE)/VLOOKUP(Preisindex!$A$6,Preisindex,3,FALSE),2),IF(AND($E269&lt;&gt;0,$F269&gt;0,YEAR($F269)&lt;Preisindex!$A$6,YEAR(CU$4)&gt;=YEAR($F269),$K269="g"),ROUND(VLOOKUP(CZ$4,Preisindex,4,FALSE)/VLOOKUP(Preisindex!$A$6,Preisindex,4,FALSE),2),IF(AND($E269&lt;&gt;0,$F269&gt;0,YEAR($F269)&lt;Preisindex!$A$6,YEAR(CU$4)&gt;=YEAR($F269),$K269="k"),ROUND(VLOOKUP(CZ$4,Preisindex,2,FALSE)/VLOOKUP(Preisindex!$A$6,Preisindex,2,FALSE),2),0)))))</f>
        <v>0</v>
      </c>
      <c r="DB269" s="51">
        <f>IF(AND($E269&lt;&gt;0,$F269&gt;0,YEAR($F269)&lt;=CZ$4,YEAR($F269)&gt;=Preisindex!$A$6),ROUND($E269*CZ269,2),IF(AND($E269&lt;&gt;0,$F269&gt;0,YEAR($F269)&lt;=CZ$4,YEAR($F269)&lt;Preisindex!$A$6),ROUND($E269*DA269,2),0))</f>
        <v>0</v>
      </c>
      <c r="DC269" s="53">
        <f t="shared" si="786"/>
        <v>0</v>
      </c>
      <c r="DD269" s="51">
        <f t="shared" si="787"/>
        <v>0</v>
      </c>
      <c r="DE269" s="51">
        <f t="shared" si="730"/>
        <v>0</v>
      </c>
      <c r="DF269" s="51">
        <f t="shared" si="788"/>
        <v>0</v>
      </c>
      <c r="DG269" s="51">
        <f t="shared" si="731"/>
        <v>0</v>
      </c>
      <c r="DH269" s="51">
        <f t="shared" si="789"/>
        <v>0</v>
      </c>
      <c r="DI269" s="51">
        <f t="shared" si="732"/>
        <v>0</v>
      </c>
      <c r="DJ269" s="51">
        <f t="shared" si="790"/>
        <v>0</v>
      </c>
      <c r="DK269" s="51">
        <f t="shared" si="733"/>
        <v>0</v>
      </c>
      <c r="DL269" s="51">
        <f t="shared" si="791"/>
        <v>0</v>
      </c>
      <c r="DM269" s="51">
        <f t="shared" si="734"/>
        <v>0</v>
      </c>
      <c r="DN269" s="51">
        <f t="shared" si="792"/>
        <v>0</v>
      </c>
      <c r="DO269" s="54">
        <f t="shared" si="793"/>
        <v>0</v>
      </c>
      <c r="DP269" s="55">
        <f t="shared" si="794"/>
        <v>0</v>
      </c>
      <c r="DQ269" s="56">
        <f>IF(AND($E269&lt;&gt;0,$F269&gt;0,YEAR($F269)&gt;=Preisindex!$A$6,YEAR(DL$4)&gt;=YEAR($F269),AND($K269&lt;&gt;"a",$K269&lt;&gt;"b",$K269&lt;&gt;"g",$K269&lt;&gt;"k")),1,IF(AND($E269&lt;&gt;0,$F269&gt;0,YEAR($F269)&gt;=Preisindex!$A$6,YEAR(DL$4)&gt;=YEAR($F269),$K269="a"),ROUND(VLOOKUP(DQ$4,Preisindex,5,FALSE)/VLOOKUP(YEAR($F269),Preisindex,5,FALSE),2),IF(AND($E269&lt;&gt;0,$F269&gt;0,YEAR($F269)&gt;=Preisindex!$A$6,YEAR(DL$4)&gt;=YEAR($F269),$K269="b"),ROUND(VLOOKUP(DQ$4,Preisindex,3,FALSE)/VLOOKUP(YEAR($F269),Preisindex,3,FALSE),2),IF(AND($E269&lt;&gt;0,$F269&gt;0,YEAR($F269)&gt;=Preisindex!$A$6,YEAR(DL$4)&gt;=YEAR($F269),$K269="g"),ROUND(VLOOKUP(DQ$4,Preisindex,4,FALSE)/VLOOKUP(YEAR($F269),Preisindex,4,FALSE),2),IF(AND($E269&lt;&gt;0,$F269&gt;0,YEAR($F269)&gt;=Preisindex!$A$6,YEAR(DL$4)&gt;=YEAR($F269),$K269="k"),ROUND(VLOOKUP(DQ$4,Preisindex,2,FALSE)/VLOOKUP(YEAR($F269),Preisindex,2,FALSE),2),0)))))</f>
        <v>0</v>
      </c>
      <c r="DR269" s="56">
        <f>IF(AND($E269&lt;&gt;0,$F269&gt;0,YEAR($F269)&lt;Preisindex!$A$6,YEAR(DL$4)&gt;=YEAR($F269),AND($K269&lt;&gt;"a",$K269&lt;&gt;"b",$K269&lt;&gt;"g",$K269&lt;&gt;"k")),1,IF(AND($E269&lt;&gt;0,$F269&gt;0,YEAR($F269)&lt;Preisindex!$A$6,YEAR(DL$4)&gt;=YEAR($F269),$K269="a"),ROUND(VLOOKUP(DQ$4,Preisindex,5,FALSE)/VLOOKUP(Preisindex!$A$6,Preisindex,5,FALSE),2),IF(AND($E269&lt;&gt;0,$F269&gt;0,YEAR($F269)&lt;Preisindex!$A$6,YEAR(DL$4)&gt;=YEAR($F269),$K269="b"),ROUND(VLOOKUP(DQ$4,Preisindex,3,FALSE)/VLOOKUP(Preisindex!$A$6,Preisindex,3,FALSE),2),IF(AND($E269&lt;&gt;0,$F269&gt;0,YEAR($F269)&lt;Preisindex!$A$6,YEAR(DL$4)&gt;=YEAR($F269),$K269="g"),ROUND(VLOOKUP(DQ$4,Preisindex,4,FALSE)/VLOOKUP(Preisindex!$A$6,Preisindex,4,FALSE),2),IF(AND($E269&lt;&gt;0,$F269&gt;0,YEAR($F269)&lt;Preisindex!$A$6,YEAR(DL$4)&gt;=YEAR($F269),$K269="k"),ROUND(VLOOKUP(DQ$4,Preisindex,2,FALSE)/VLOOKUP(Preisindex!$A$6,Preisindex,2,FALSE),2),0)))))</f>
        <v>0</v>
      </c>
      <c r="DS269" s="51">
        <f>IF(AND($E269&lt;&gt;0,$F269&gt;0,YEAR($F269)&lt;=DQ$4,YEAR($F269)&gt;=Preisindex!$A$6),ROUND($E269*DQ269,2),IF(AND($E269&lt;&gt;0,$F269&gt;0,YEAR($F269)&lt;=DQ$4,YEAR($F269)&lt;Preisindex!$A$6),ROUND($E269*DR269,2),0))</f>
        <v>0</v>
      </c>
      <c r="DT269" s="53">
        <f t="shared" si="795"/>
        <v>0</v>
      </c>
      <c r="DU269" s="51">
        <f t="shared" si="787"/>
        <v>0</v>
      </c>
      <c r="DV269" s="51">
        <f t="shared" si="735"/>
        <v>0</v>
      </c>
      <c r="DW269" s="51">
        <f t="shared" si="796"/>
        <v>0</v>
      </c>
      <c r="DX269" s="51">
        <f t="shared" si="736"/>
        <v>0</v>
      </c>
      <c r="DY269" s="51">
        <f t="shared" si="797"/>
        <v>0</v>
      </c>
      <c r="DZ269" s="51">
        <f t="shared" si="737"/>
        <v>0</v>
      </c>
      <c r="EA269" s="51">
        <f t="shared" si="798"/>
        <v>0</v>
      </c>
      <c r="EB269" s="51">
        <f t="shared" si="738"/>
        <v>0</v>
      </c>
      <c r="EC269" s="51">
        <f t="shared" si="799"/>
        <v>0</v>
      </c>
      <c r="ED269" s="51">
        <f t="shared" si="739"/>
        <v>0</v>
      </c>
      <c r="EE269" s="51">
        <f t="shared" si="800"/>
        <v>0</v>
      </c>
      <c r="EF269" s="54">
        <f t="shared" si="801"/>
        <v>0</v>
      </c>
      <c r="EG269" s="55">
        <f t="shared" si="802"/>
        <v>0</v>
      </c>
      <c r="EH269" s="56">
        <f>IF(AND($E269&lt;&gt;0,$F269&gt;0,YEAR($F269)&gt;=Preisindex!$A$6,YEAR(EC$4)&gt;=YEAR($F269),AND($K269&lt;&gt;"a",$K269&lt;&gt;"b",$K269&lt;&gt;"g",$K269&lt;&gt;"k")),1,IF(AND($E269&lt;&gt;0,$F269&gt;0,YEAR($F269)&gt;=Preisindex!$A$6,YEAR(EC$4)&gt;=YEAR($F269),$K269="a"),ROUND(VLOOKUP(EH$4,Preisindex,5,FALSE)/VLOOKUP(YEAR($F269),Preisindex,5,FALSE),2),IF(AND($E269&lt;&gt;0,$F269&gt;0,YEAR($F269)&gt;=Preisindex!$A$6,YEAR(EC$4)&gt;=YEAR($F269),$K269="b"),ROUND(VLOOKUP(EH$4,Preisindex,3,FALSE)/VLOOKUP(YEAR($F269),Preisindex,3,FALSE),2),IF(AND($E269&lt;&gt;0,$F269&gt;0,YEAR($F269)&gt;=Preisindex!$A$6,YEAR(EC$4)&gt;=YEAR($F269),$K269="g"),ROUND(VLOOKUP(EH$4,Preisindex,4,FALSE)/VLOOKUP(YEAR($F269),Preisindex,4,FALSE),2),IF(AND($E269&lt;&gt;0,$F269&gt;0,YEAR($F269)&gt;=Preisindex!$A$6,YEAR(EC$4)&gt;=YEAR($F269),$K269="k"),ROUND(VLOOKUP(EH$4,Preisindex,2,FALSE)/VLOOKUP(YEAR($F269),Preisindex,2,FALSE),2),0)))))</f>
        <v>0</v>
      </c>
      <c r="EI269" s="56">
        <f>IF(AND($E269&lt;&gt;0,$F269&gt;0,YEAR($F269)&lt;Preisindex!$A$6,YEAR(EC$4)&gt;=YEAR($F269),AND($K269&lt;&gt;"a",$K269&lt;&gt;"b",$K269&lt;&gt;"g",$K269&lt;&gt;"k")),1,IF(AND($E269&lt;&gt;0,$F269&gt;0,YEAR($F269)&lt;Preisindex!$A$6,YEAR(EC$4)&gt;=YEAR($F269),$K269="a"),ROUND(VLOOKUP(EH$4,Preisindex,5,FALSE)/VLOOKUP(Preisindex!$A$6,Preisindex,5,FALSE),2),IF(AND($E269&lt;&gt;0,$F269&gt;0,YEAR($F269)&lt;Preisindex!$A$6,YEAR(EC$4)&gt;=YEAR($F269),$K269="b"),ROUND(VLOOKUP(EH$4,Preisindex,3,FALSE)/VLOOKUP(Preisindex!$A$6,Preisindex,3,FALSE),2),IF(AND($E269&lt;&gt;0,$F269&gt;0,YEAR($F269)&lt;Preisindex!$A$6,YEAR(EC$4)&gt;=YEAR($F269),$K269="g"),ROUND(VLOOKUP(EH$4,Preisindex,4,FALSE)/VLOOKUP(Preisindex!$A$6,Preisindex,4,FALSE),2),IF(AND($E269&lt;&gt;0,$F269&gt;0,YEAR($F269)&lt;Preisindex!$A$6,YEAR(EC$4)&gt;=YEAR($F269),$K269="k"),ROUND(VLOOKUP(EH$4,Preisindex,2,FALSE)/VLOOKUP(Preisindex!$A$6,Preisindex,2,FALSE),2),0)))))</f>
        <v>0</v>
      </c>
      <c r="EJ269" s="51">
        <f>IF(AND($E269&lt;&gt;0,$F269&gt;0,YEAR($F269)&lt;=EH$4,YEAR($F269)&gt;=Preisindex!$A$6),ROUND($E269*EH269,2),IF(AND($E269&lt;&gt;0,$F269&gt;0,YEAR($F269)&lt;=EH$4,YEAR($F269)&lt;Preisindex!$A$6),ROUND($E269*EI269,2),0))</f>
        <v>0</v>
      </c>
      <c r="EK269" s="53">
        <f t="shared" si="803"/>
        <v>0</v>
      </c>
      <c r="EL269" s="51">
        <f t="shared" si="787"/>
        <v>0</v>
      </c>
      <c r="EM269" s="51">
        <f t="shared" si="740"/>
        <v>0</v>
      </c>
      <c r="EN269" s="51">
        <f t="shared" si="804"/>
        <v>0</v>
      </c>
      <c r="EO269" s="51">
        <f t="shared" si="741"/>
        <v>0</v>
      </c>
      <c r="EP269" s="51">
        <f t="shared" si="805"/>
        <v>0</v>
      </c>
      <c r="EQ269" s="51">
        <f t="shared" si="742"/>
        <v>0</v>
      </c>
      <c r="ER269" s="51">
        <f t="shared" si="806"/>
        <v>0</v>
      </c>
      <c r="ES269" s="51">
        <f t="shared" si="743"/>
        <v>0</v>
      </c>
      <c r="ET269" s="51">
        <f t="shared" si="807"/>
        <v>0</v>
      </c>
      <c r="EU269" s="51">
        <f t="shared" si="744"/>
        <v>0</v>
      </c>
      <c r="EV269" s="51">
        <f t="shared" si="808"/>
        <v>0</v>
      </c>
      <c r="EW269" s="54">
        <f t="shared" si="809"/>
        <v>0</v>
      </c>
      <c r="EX269" s="55">
        <f t="shared" si="810"/>
        <v>0</v>
      </c>
      <c r="EY269" s="56">
        <f>IF(AND($E269&lt;&gt;0,$F269&gt;0,YEAR($F269)&gt;=Preisindex!$A$6,YEAR(ET$4)&gt;=YEAR($F269),AND($K269&lt;&gt;"a",$K269&lt;&gt;"b",$K269&lt;&gt;"g",$K269&lt;&gt;"k")),1,IF(AND($E269&lt;&gt;0,$F269&gt;0,YEAR($F269)&gt;=Preisindex!$A$6,YEAR(ET$4)&gt;=YEAR($F269),$K269="a"),ROUND(VLOOKUP(EY$4,Preisindex,5,FALSE)/VLOOKUP(YEAR($F269),Preisindex,5,FALSE),2),IF(AND($E269&lt;&gt;0,$F269&gt;0,YEAR($F269)&gt;=Preisindex!$A$6,YEAR(ET$4)&gt;=YEAR($F269),$K269="b"),ROUND(VLOOKUP(EY$4,Preisindex,3,FALSE)/VLOOKUP(YEAR($F269),Preisindex,3,FALSE),2),IF(AND($E269&lt;&gt;0,$F269&gt;0,YEAR($F269)&gt;=Preisindex!$A$6,YEAR(ET$4)&gt;=YEAR($F269),$K269="g"),ROUND(VLOOKUP(EY$4,Preisindex,4,FALSE)/VLOOKUP(YEAR($F269),Preisindex,4,FALSE),2),IF(AND($E269&lt;&gt;0,$F269&gt;0,YEAR($F269)&gt;=Preisindex!$A$6,YEAR(ET$4)&gt;=YEAR($F269),$K269="k"),ROUND(VLOOKUP(EY$4,Preisindex,2,FALSE)/VLOOKUP(YEAR($F269),Preisindex,2,FALSE),2),0)))))</f>
        <v>0</v>
      </c>
      <c r="EZ269" s="56">
        <f>IF(AND($E269&lt;&gt;0,$F269&gt;0,YEAR($F269)&lt;Preisindex!$A$6,YEAR(ET$4)&gt;=YEAR($F269),AND($K269&lt;&gt;"a",$K269&lt;&gt;"b",$K269&lt;&gt;"g",$K269&lt;&gt;"k")),1,IF(AND($E269&lt;&gt;0,$F269&gt;0,YEAR($F269)&lt;Preisindex!$A$6,YEAR(ET$4)&gt;=YEAR($F269),$K269="a"),ROUND(VLOOKUP(EY$4,Preisindex,5,FALSE)/VLOOKUP(Preisindex!$A$6,Preisindex,5,FALSE),2),IF(AND($E269&lt;&gt;0,$F269&gt;0,YEAR($F269)&lt;Preisindex!$A$6,YEAR(ET$4)&gt;=YEAR($F269),$K269="b"),ROUND(VLOOKUP(EY$4,Preisindex,3,FALSE)/VLOOKUP(Preisindex!$A$6,Preisindex,3,FALSE),2),IF(AND($E269&lt;&gt;0,$F269&gt;0,YEAR($F269)&lt;Preisindex!$A$6,YEAR(ET$4)&gt;=YEAR($F269),$K269="g"),ROUND(VLOOKUP(EY$4,Preisindex,4,FALSE)/VLOOKUP(Preisindex!$A$6,Preisindex,4,FALSE),2),IF(AND($E269&lt;&gt;0,$F269&gt;0,YEAR($F269)&lt;Preisindex!$A$6,YEAR(ET$4)&gt;=YEAR($F269),$K269="k"),ROUND(VLOOKUP(EY$4,Preisindex,2,FALSE)/VLOOKUP(Preisindex!$A$6,Preisindex,2,FALSE),2),0)))))</f>
        <v>0</v>
      </c>
      <c r="FA269" s="51">
        <f>IF(AND($E269&lt;&gt;0,$F269&gt;0,YEAR($F269)&lt;=EY$4,YEAR($F269)&gt;=Preisindex!$A$6),ROUND($E269*EY269,2),IF(AND($E269&lt;&gt;0,$F269&gt;0,YEAR($F269)&lt;=EY$4,YEAR($F269)&lt;Preisindex!$A$6),ROUND($E269*EZ269,2),0))</f>
        <v>0</v>
      </c>
      <c r="FB269" s="53">
        <f t="shared" si="811"/>
        <v>0</v>
      </c>
      <c r="FC269" s="51">
        <f t="shared" si="787"/>
        <v>0</v>
      </c>
      <c r="FD269" s="51">
        <f t="shared" si="745"/>
        <v>0</v>
      </c>
      <c r="FE269" s="51">
        <f t="shared" si="812"/>
        <v>0</v>
      </c>
      <c r="FF269" s="51">
        <f t="shared" si="746"/>
        <v>0</v>
      </c>
      <c r="FG269" s="51">
        <f t="shared" si="813"/>
        <v>0</v>
      </c>
      <c r="FH269" s="51">
        <f t="shared" si="747"/>
        <v>0</v>
      </c>
      <c r="FI269" s="51">
        <f t="shared" si="814"/>
        <v>0</v>
      </c>
      <c r="FJ269" s="51">
        <f t="shared" si="748"/>
        <v>0</v>
      </c>
      <c r="FK269" s="51">
        <f t="shared" si="815"/>
        <v>0</v>
      </c>
      <c r="FL269" s="51">
        <f t="shared" si="749"/>
        <v>0</v>
      </c>
      <c r="FM269" s="51">
        <f t="shared" si="816"/>
        <v>0</v>
      </c>
      <c r="FN269" s="54">
        <f t="shared" si="817"/>
        <v>0</v>
      </c>
      <c r="FO269" s="55">
        <f t="shared" si="818"/>
        <v>0</v>
      </c>
      <c r="FP269" s="56">
        <f>IF(AND($E269&lt;&gt;0,$F269&gt;0,YEAR($F269)&gt;=Preisindex!$A$6,YEAR(FK$4)&gt;=YEAR($F269),AND($K269&lt;&gt;"a",$K269&lt;&gt;"b",$K269&lt;&gt;"g",$K269&lt;&gt;"k")),1,IF(AND($E269&lt;&gt;0,$F269&gt;0,YEAR($F269)&gt;=Preisindex!$A$6,YEAR(FK$4)&gt;=YEAR($F269),$K269="a"),ROUND(VLOOKUP(FP$4,Preisindex,5,FALSE)/VLOOKUP(YEAR($F269),Preisindex,5,FALSE),2),IF(AND($E269&lt;&gt;0,$F269&gt;0,YEAR($F269)&gt;=Preisindex!$A$6,YEAR(FK$4)&gt;=YEAR($F269),$K269="b"),ROUND(VLOOKUP(FP$4,Preisindex,3,FALSE)/VLOOKUP(YEAR($F269),Preisindex,3,FALSE),2),IF(AND($E269&lt;&gt;0,$F269&gt;0,YEAR($F269)&gt;=Preisindex!$A$6,YEAR(FK$4)&gt;=YEAR($F269),$K269="g"),ROUND(VLOOKUP(FP$4,Preisindex,4,FALSE)/VLOOKUP(YEAR($F269),Preisindex,4,FALSE),2),IF(AND($E269&lt;&gt;0,$F269&gt;0,YEAR($F269)&gt;=Preisindex!$A$6,YEAR(FK$4)&gt;=YEAR($F269),$K269="k"),ROUND(VLOOKUP(FP$4,Preisindex,2,FALSE)/VLOOKUP(YEAR($F269),Preisindex,2,FALSE),2),0)))))</f>
        <v>0</v>
      </c>
      <c r="FQ269" s="56">
        <f>IF(AND($E269&lt;&gt;0,$F269&gt;0,YEAR($F269)&lt;Preisindex!$A$6,YEAR(FK$4)&gt;=YEAR($F269),AND($K269&lt;&gt;"a",$K269&lt;&gt;"b",$K269&lt;&gt;"g",$K269&lt;&gt;"k")),1,IF(AND($E269&lt;&gt;0,$F269&gt;0,YEAR($F269)&lt;Preisindex!$A$6,YEAR(FK$4)&gt;=YEAR($F269),$K269="a"),ROUND(VLOOKUP(FP$4,Preisindex,5,FALSE)/VLOOKUP(Preisindex!$A$6,Preisindex,5,FALSE),2),IF(AND($E269&lt;&gt;0,$F269&gt;0,YEAR($F269)&lt;Preisindex!$A$6,YEAR(FK$4)&gt;=YEAR($F269),$K269="b"),ROUND(VLOOKUP(FP$4,Preisindex,3,FALSE)/VLOOKUP(Preisindex!$A$6,Preisindex,3,FALSE),2),IF(AND($E269&lt;&gt;0,$F269&gt;0,YEAR($F269)&lt;Preisindex!$A$6,YEAR(FK$4)&gt;=YEAR($F269),$K269="g"),ROUND(VLOOKUP(FP$4,Preisindex,4,FALSE)/VLOOKUP(Preisindex!$A$6,Preisindex,4,FALSE),2),IF(AND($E269&lt;&gt;0,$F269&gt;0,YEAR($F269)&lt;Preisindex!$A$6,YEAR(FK$4)&gt;=YEAR($F269),$K269="k"),ROUND(VLOOKUP(FP$4,Preisindex,2,FALSE)/VLOOKUP(Preisindex!$A$6,Preisindex,2,FALSE),2),0)))))</f>
        <v>0</v>
      </c>
      <c r="FR269" s="51">
        <f>IF(AND($E269&lt;&gt;0,$F269&gt;0,YEAR($F269)&lt;=FP$4,YEAR($F269)&gt;=Preisindex!$A$6),ROUND($E269*FP269,2),IF(AND($E269&lt;&gt;0,$F269&gt;0,YEAR($F269)&lt;=FP$4,YEAR($F269)&lt;Preisindex!$A$6),ROUND($E269*FQ269,2),0))</f>
        <v>0</v>
      </c>
      <c r="FS269" s="53">
        <f t="shared" si="819"/>
        <v>0</v>
      </c>
    </row>
    <row r="270" spans="1:175" x14ac:dyDescent="0.3">
      <c r="A270" s="185"/>
      <c r="B270" s="186"/>
      <c r="C270" s="187"/>
      <c r="D270" s="188"/>
      <c r="E270" s="189"/>
      <c r="F270" s="190"/>
      <c r="G270" s="191"/>
      <c r="H270" s="192"/>
      <c r="I270" s="193"/>
      <c r="J270" s="194"/>
      <c r="K270" s="630"/>
      <c r="L270" s="49">
        <f t="shared" si="820"/>
        <v>0</v>
      </c>
      <c r="M270" s="50">
        <f t="shared" si="821"/>
        <v>0</v>
      </c>
      <c r="N270" s="51">
        <f t="shared" si="822"/>
        <v>0</v>
      </c>
      <c r="O270" s="51"/>
      <c r="P270" s="51">
        <f t="shared" si="823"/>
        <v>0</v>
      </c>
      <c r="Q270" s="52"/>
      <c r="R270" s="52"/>
      <c r="S270" s="52"/>
      <c r="T270" s="52"/>
      <c r="U270" s="52"/>
      <c r="V270" s="53">
        <f t="shared" si="824"/>
        <v>0</v>
      </c>
      <c r="W270" s="51">
        <f t="shared" si="825"/>
        <v>0</v>
      </c>
      <c r="X270" s="51">
        <f t="shared" si="826"/>
        <v>0</v>
      </c>
      <c r="Y270" s="51">
        <f t="shared" si="827"/>
        <v>0</v>
      </c>
      <c r="Z270" s="51">
        <f t="shared" si="828"/>
        <v>0</v>
      </c>
      <c r="AA270" s="51">
        <f t="shared" si="829"/>
        <v>0</v>
      </c>
      <c r="AB270" s="51">
        <f t="shared" si="830"/>
        <v>0</v>
      </c>
      <c r="AC270" s="51">
        <f t="shared" si="831"/>
        <v>0</v>
      </c>
      <c r="AD270" s="51">
        <f t="shared" si="832"/>
        <v>0</v>
      </c>
      <c r="AE270" s="51">
        <f t="shared" si="833"/>
        <v>0</v>
      </c>
      <c r="AF270" s="51">
        <f t="shared" si="834"/>
        <v>0</v>
      </c>
      <c r="AG270" s="51">
        <f t="shared" si="835"/>
        <v>0</v>
      </c>
      <c r="AH270" s="54">
        <f t="shared" si="836"/>
        <v>0</v>
      </c>
      <c r="AI270" s="55">
        <f t="shared" si="837"/>
        <v>0</v>
      </c>
      <c r="AJ270" s="56">
        <f>IF(AND($E270&lt;&gt;0,$F270&gt;0,YEAR($F270)&gt;=Preisindex!$A$6,YEAR(AE$4)&gt;=YEAR($F270),AND($K270&lt;&gt;"a",$K270&lt;&gt;"b",$K270&lt;&gt;"g",$K270&lt;&gt;"k")),1,IF(AND($E270&lt;&gt;0,$F270&gt;0,YEAR($F270)&gt;=Preisindex!$A$6,YEAR(AE$4)&gt;=YEAR($F270),$K270="a"),ROUND(VLOOKUP(AJ$4,Preisindex,5,FALSE)/VLOOKUP(YEAR($F270),Preisindex,5,FALSE),2),IF(AND($E270&lt;&gt;0,$F270&gt;0,YEAR($F270)&gt;=Preisindex!$A$6,YEAR(AE$4)&gt;=YEAR($F270),$K270="b"),ROUND(VLOOKUP(AJ$4,Preisindex,3,FALSE)/VLOOKUP(YEAR($F270),Preisindex,3,FALSE),2),IF(AND($E270&lt;&gt;0,$F270&gt;0,YEAR($F270)&gt;=Preisindex!$A$6,YEAR(AE$4)&gt;=YEAR($F270),$K270="g"),ROUND(VLOOKUP(AJ$4,Preisindex,4,FALSE)/VLOOKUP(YEAR($F270),Preisindex,4,FALSE),2),IF(AND($E270&lt;&gt;0,$F270&gt;0,YEAR($F270)&gt;=Preisindex!$A$6,YEAR(AE$4)&gt;=YEAR($F270),$K270="k"),ROUND(VLOOKUP(AJ$4,Preisindex,2,FALSE)/VLOOKUP(YEAR($F270),Preisindex,2,FALSE),2),0)))))</f>
        <v>0</v>
      </c>
      <c r="AK270" s="56">
        <f>IF(AND($E270&lt;&gt;0,$F270&gt;0,YEAR($F270)&lt;Preisindex!$A$6,YEAR(AE$4)&gt;=YEAR($F270),AND($K270&lt;&gt;"a",$K270&lt;&gt;"b",$K270&lt;&gt;"g",$K270&lt;&gt;"k")),1,IF(AND($E270&lt;&gt;0,$F270&gt;0,YEAR($F270)&lt;Preisindex!$A$6,YEAR(AE$4)&gt;=YEAR($F270),$K270="a"),ROUND(VLOOKUP(AJ$4,Preisindex,5,FALSE)/VLOOKUP(Preisindex!$A$6,Preisindex,5,FALSE),2),IF(AND($E270&lt;&gt;0,$F270&gt;0,YEAR($F270)&lt;Preisindex!$A$6,YEAR(AE$4)&gt;=YEAR($F270),$K270="b"),ROUND(VLOOKUP(AJ$4,Preisindex,3,FALSE)/VLOOKUP(Preisindex!$A$6,Preisindex,3,FALSE),2),IF(AND($E270&lt;&gt;0,$F270&gt;0,YEAR($F270)&lt;Preisindex!$A$6,YEAR(AE$4)&gt;=YEAR($F270),$K270="g"),ROUND(VLOOKUP(AJ$4,Preisindex,4,FALSE)/VLOOKUP(Preisindex!$A$6,Preisindex,4,FALSE),2),IF(AND($E270&lt;&gt;0,$F270&gt;0,YEAR($F270)&lt;Preisindex!$A$6,YEAR(AE$4)&gt;=YEAR($F270),$K270="k"),ROUND(VLOOKUP(AJ$4,Preisindex,2,FALSE)/VLOOKUP(Preisindex!$A$6,Preisindex,2,FALSE),2),0)))))</f>
        <v>0</v>
      </c>
      <c r="AL270" s="51">
        <f>IF(AND($E270&lt;&gt;0,$F270&gt;0,YEAR($F270)&lt;=AJ$4,YEAR($F270)&gt;=Preisindex!$A$6),ROUND($E270*AJ270,2),IF(AND($E270&lt;&gt;0,$F270&gt;0,YEAR($F270)&lt;=AJ$4,YEAR($F270)&lt;Preisindex!$A$6),ROUND($E270*AK270,2),0))</f>
        <v>0</v>
      </c>
      <c r="AM270" s="53">
        <f t="shared" si="838"/>
        <v>0</v>
      </c>
      <c r="AN270" s="51">
        <f t="shared" si="754"/>
        <v>0</v>
      </c>
      <c r="AO270" s="51">
        <f t="shared" si="710"/>
        <v>0</v>
      </c>
      <c r="AP270" s="51">
        <f t="shared" si="755"/>
        <v>0</v>
      </c>
      <c r="AQ270" s="51">
        <f t="shared" si="711"/>
        <v>0</v>
      </c>
      <c r="AR270" s="51">
        <f t="shared" si="756"/>
        <v>0</v>
      </c>
      <c r="AS270" s="51">
        <f t="shared" si="712"/>
        <v>0</v>
      </c>
      <c r="AT270" s="51">
        <f t="shared" si="757"/>
        <v>0</v>
      </c>
      <c r="AU270" s="51">
        <f t="shared" si="713"/>
        <v>0</v>
      </c>
      <c r="AV270" s="51">
        <f t="shared" si="758"/>
        <v>0</v>
      </c>
      <c r="AW270" s="51">
        <f t="shared" si="714"/>
        <v>0</v>
      </c>
      <c r="AX270" s="51">
        <f t="shared" si="759"/>
        <v>0</v>
      </c>
      <c r="AY270" s="54">
        <f t="shared" si="760"/>
        <v>0</v>
      </c>
      <c r="AZ270" s="55">
        <f t="shared" si="761"/>
        <v>0</v>
      </c>
      <c r="BA270" s="56">
        <f>IF(AND($E270&lt;&gt;0,$F270&gt;0,YEAR($F270)&gt;=Preisindex!$A$6,YEAR(AV$4)&gt;=YEAR($F270),AND($K270&lt;&gt;"a",$K270&lt;&gt;"b",$K270&lt;&gt;"g",$K270&lt;&gt;"k")),1,IF(AND($E270&lt;&gt;0,$F270&gt;0,YEAR($F270)&gt;=Preisindex!$A$6,YEAR(AV$4)&gt;=YEAR($F270),$K270="a"),ROUND(VLOOKUP(BA$4,Preisindex,5,FALSE)/VLOOKUP(YEAR($F270),Preisindex,5,FALSE),2),IF(AND($E270&lt;&gt;0,$F270&gt;0,YEAR($F270)&gt;=Preisindex!$A$6,YEAR(AV$4)&gt;=YEAR($F270),$K270="b"),ROUND(VLOOKUP(BA$4,Preisindex,3,FALSE)/VLOOKUP(YEAR($F270),Preisindex,3,FALSE),2),IF(AND($E270&lt;&gt;0,$F270&gt;0,YEAR($F270)&gt;=Preisindex!$A$6,YEAR(AV$4)&gt;=YEAR($F270),$K270="g"),ROUND(VLOOKUP(BA$4,Preisindex,4,FALSE)/VLOOKUP(YEAR($F270),Preisindex,4,FALSE),2),IF(AND($E270&lt;&gt;0,$F270&gt;0,YEAR($F270)&gt;=Preisindex!$A$6,YEAR(AV$4)&gt;=YEAR($F270),$K270="k"),ROUND(VLOOKUP(BA$4,Preisindex,2,FALSE)/VLOOKUP(YEAR($F270),Preisindex,2,FALSE),2),0)))))</f>
        <v>0</v>
      </c>
      <c r="BB270" s="56">
        <f>IF(AND($E270&lt;&gt;0,$F270&gt;0,YEAR($F270)&lt;Preisindex!$A$6,YEAR(AV$4)&gt;=YEAR($F270),AND($K270&lt;&gt;"a",$K270&lt;&gt;"b",$K270&lt;&gt;"g",$K270&lt;&gt;"k")),1,IF(AND($E270&lt;&gt;0,$F270&gt;0,YEAR($F270)&lt;Preisindex!$A$6,YEAR(AV$4)&gt;=YEAR($F270),$K270="a"),ROUND(VLOOKUP(BA$4,Preisindex,5,FALSE)/VLOOKUP(Preisindex!$A$6,Preisindex,5,FALSE),2),IF(AND($E270&lt;&gt;0,$F270&gt;0,YEAR($F270)&lt;Preisindex!$A$6,YEAR(AV$4)&gt;=YEAR($F270),$K270="b"),ROUND(VLOOKUP(BA$4,Preisindex,3,FALSE)/VLOOKUP(Preisindex!$A$6,Preisindex,3,FALSE),2),IF(AND($E270&lt;&gt;0,$F270&gt;0,YEAR($F270)&lt;Preisindex!$A$6,YEAR(AV$4)&gt;=YEAR($F270),$K270="g"),ROUND(VLOOKUP(BA$4,Preisindex,4,FALSE)/VLOOKUP(Preisindex!$A$6,Preisindex,4,FALSE),2),IF(AND($E270&lt;&gt;0,$F270&gt;0,YEAR($F270)&lt;Preisindex!$A$6,YEAR(AV$4)&gt;=YEAR($F270),$K270="k"),ROUND(VLOOKUP(BA$4,Preisindex,2,FALSE)/VLOOKUP(Preisindex!$A$6,Preisindex,2,FALSE),2),0)))))</f>
        <v>0</v>
      </c>
      <c r="BC270" s="51">
        <f>IF(AND($E270&lt;&gt;0,$F270&gt;0,YEAR($F270)&lt;=BA$4,YEAR($F270)&gt;=Preisindex!$A$6),ROUND($E270*BA270,2),IF(AND($E270&lt;&gt;0,$F270&gt;0,YEAR($F270)&lt;=BA$4,YEAR($F270)&lt;Preisindex!$A$6),ROUND($E270*BB270,2),0))</f>
        <v>0</v>
      </c>
      <c r="BD270" s="53">
        <f t="shared" si="762"/>
        <v>0</v>
      </c>
      <c r="BE270" s="51">
        <f t="shared" si="754"/>
        <v>0</v>
      </c>
      <c r="BF270" s="51">
        <f t="shared" si="715"/>
        <v>0</v>
      </c>
      <c r="BG270" s="51">
        <f t="shared" si="763"/>
        <v>0</v>
      </c>
      <c r="BH270" s="51">
        <f t="shared" si="716"/>
        <v>0</v>
      </c>
      <c r="BI270" s="51">
        <f t="shared" si="764"/>
        <v>0</v>
      </c>
      <c r="BJ270" s="51">
        <f t="shared" si="717"/>
        <v>0</v>
      </c>
      <c r="BK270" s="51">
        <f t="shared" si="765"/>
        <v>0</v>
      </c>
      <c r="BL270" s="51">
        <f t="shared" si="718"/>
        <v>0</v>
      </c>
      <c r="BM270" s="51">
        <f t="shared" si="766"/>
        <v>0</v>
      </c>
      <c r="BN270" s="51">
        <f t="shared" si="719"/>
        <v>0</v>
      </c>
      <c r="BO270" s="51">
        <f t="shared" si="767"/>
        <v>0</v>
      </c>
      <c r="BP270" s="54">
        <f t="shared" si="768"/>
        <v>0</v>
      </c>
      <c r="BQ270" s="55">
        <f t="shared" si="769"/>
        <v>0</v>
      </c>
      <c r="BR270" s="56">
        <f>IF(AND($E270&lt;&gt;0,$F270&gt;0,YEAR($F270)&gt;=Preisindex!$A$6,YEAR(BM$4)&gt;=YEAR($F270),AND($K270&lt;&gt;"a",$K270&lt;&gt;"b",$K270&lt;&gt;"g",$K270&lt;&gt;"k")),1,IF(AND($E270&lt;&gt;0,$F270&gt;0,YEAR($F270)&gt;=Preisindex!$A$6,YEAR(BM$4)&gt;=YEAR($F270),$K270="a"),ROUND(VLOOKUP(BR$4,Preisindex,5,FALSE)/VLOOKUP(YEAR($F270),Preisindex,5,FALSE),2),IF(AND($E270&lt;&gt;0,$F270&gt;0,YEAR($F270)&gt;=Preisindex!$A$6,YEAR(BM$4)&gt;=YEAR($F270),$K270="b"),ROUND(VLOOKUP(BR$4,Preisindex,3,FALSE)/VLOOKUP(YEAR($F270),Preisindex,3,FALSE),2),IF(AND($E270&lt;&gt;0,$F270&gt;0,YEAR($F270)&gt;=Preisindex!$A$6,YEAR(BM$4)&gt;=YEAR($F270),$K270="g"),ROUND(VLOOKUP(BR$4,Preisindex,4,FALSE)/VLOOKUP(YEAR($F270),Preisindex,4,FALSE),2),IF(AND($E270&lt;&gt;0,$F270&gt;0,YEAR($F270)&gt;=Preisindex!$A$6,YEAR(BM$4)&gt;=YEAR($F270),$K270="k"),ROUND(VLOOKUP(BR$4,Preisindex,2,FALSE)/VLOOKUP(YEAR($F270),Preisindex,2,FALSE),2),0)))))</f>
        <v>0</v>
      </c>
      <c r="BS270" s="56">
        <f>IF(AND($E270&lt;&gt;0,$F270&gt;0,YEAR($F270)&lt;Preisindex!$A$6,YEAR(BM$4)&gt;=YEAR($F270),AND($K270&lt;&gt;"a",$K270&lt;&gt;"b",$K270&lt;&gt;"g",$K270&lt;&gt;"k")),1,IF(AND($E270&lt;&gt;0,$F270&gt;0,YEAR($F270)&lt;Preisindex!$A$6,YEAR(BM$4)&gt;=YEAR($F270),$K270="a"),ROUND(VLOOKUP(BR$4,Preisindex,5,FALSE)/VLOOKUP(Preisindex!$A$6,Preisindex,5,FALSE),2),IF(AND($E270&lt;&gt;0,$F270&gt;0,YEAR($F270)&lt;Preisindex!$A$6,YEAR(BM$4)&gt;=YEAR($F270),$K270="b"),ROUND(VLOOKUP(BR$4,Preisindex,3,FALSE)/VLOOKUP(Preisindex!$A$6,Preisindex,3,FALSE),2),IF(AND($E270&lt;&gt;0,$F270&gt;0,YEAR($F270)&lt;Preisindex!$A$6,YEAR(BM$4)&gt;=YEAR($F270),$K270="g"),ROUND(VLOOKUP(BR$4,Preisindex,4,FALSE)/VLOOKUP(Preisindex!$A$6,Preisindex,4,FALSE),2),IF(AND($E270&lt;&gt;0,$F270&gt;0,YEAR($F270)&lt;Preisindex!$A$6,YEAR(BM$4)&gt;=YEAR($F270),$K270="k"),ROUND(VLOOKUP(BR$4,Preisindex,2,FALSE)/VLOOKUP(Preisindex!$A$6,Preisindex,2,FALSE),2),0)))))</f>
        <v>0</v>
      </c>
      <c r="BT270" s="51">
        <f>IF(AND($E270&lt;&gt;0,$F270&gt;0,YEAR($F270)&lt;=BR$4,YEAR($F270)&gt;=Preisindex!$A$6),ROUND($E270*BR270,2),IF(AND($E270&lt;&gt;0,$F270&gt;0,YEAR($F270)&lt;=BR$4,YEAR($F270)&lt;Preisindex!$A$6),ROUND($E270*BS270,2),0))</f>
        <v>0</v>
      </c>
      <c r="BU270" s="53">
        <f t="shared" si="770"/>
        <v>0</v>
      </c>
      <c r="BV270" s="51">
        <f t="shared" si="754"/>
        <v>0</v>
      </c>
      <c r="BW270" s="51">
        <f t="shared" si="720"/>
        <v>0</v>
      </c>
      <c r="BX270" s="51">
        <f t="shared" si="771"/>
        <v>0</v>
      </c>
      <c r="BY270" s="51">
        <f t="shared" si="721"/>
        <v>0</v>
      </c>
      <c r="BZ270" s="51">
        <f t="shared" si="772"/>
        <v>0</v>
      </c>
      <c r="CA270" s="51">
        <f t="shared" si="722"/>
        <v>0</v>
      </c>
      <c r="CB270" s="51">
        <f t="shared" si="773"/>
        <v>0</v>
      </c>
      <c r="CC270" s="51">
        <f t="shared" si="723"/>
        <v>0</v>
      </c>
      <c r="CD270" s="51">
        <f t="shared" si="774"/>
        <v>0</v>
      </c>
      <c r="CE270" s="51">
        <f t="shared" si="724"/>
        <v>0</v>
      </c>
      <c r="CF270" s="51">
        <f t="shared" si="775"/>
        <v>0</v>
      </c>
      <c r="CG270" s="54">
        <f t="shared" si="776"/>
        <v>0</v>
      </c>
      <c r="CH270" s="55">
        <f t="shared" si="777"/>
        <v>0</v>
      </c>
      <c r="CI270" s="56">
        <f>IF(AND($E270&lt;&gt;0,$F270&gt;0,YEAR($F270)&gt;=Preisindex!$A$6,YEAR(CD$4)&gt;=YEAR($F270),AND($K270&lt;&gt;"a",$K270&lt;&gt;"b",$K270&lt;&gt;"g",$K270&lt;&gt;"k")),1,IF(AND($E270&lt;&gt;0,$F270&gt;0,YEAR($F270)&gt;=Preisindex!$A$6,YEAR(CD$4)&gt;=YEAR($F270),$K270="a"),ROUND(VLOOKUP(CI$4,Preisindex,5,FALSE)/VLOOKUP(YEAR($F270),Preisindex,5,FALSE),2),IF(AND($E270&lt;&gt;0,$F270&gt;0,YEAR($F270)&gt;=Preisindex!$A$6,YEAR(CD$4)&gt;=YEAR($F270),$K270="b"),ROUND(VLOOKUP(CI$4,Preisindex,3,FALSE)/VLOOKUP(YEAR($F270),Preisindex,3,FALSE),2),IF(AND($E270&lt;&gt;0,$F270&gt;0,YEAR($F270)&gt;=Preisindex!$A$6,YEAR(CD$4)&gt;=YEAR($F270),$K270="g"),ROUND(VLOOKUP(CI$4,Preisindex,4,FALSE)/VLOOKUP(YEAR($F270),Preisindex,4,FALSE),2),IF(AND($E270&lt;&gt;0,$F270&gt;0,YEAR($F270)&gt;=Preisindex!$A$6,YEAR(CD$4)&gt;=YEAR($F270),$K270="k"),ROUND(VLOOKUP(CI$4,Preisindex,2,FALSE)/VLOOKUP(YEAR($F270),Preisindex,2,FALSE),2),0)))))</f>
        <v>0</v>
      </c>
      <c r="CJ270" s="56">
        <f>IF(AND($E270&lt;&gt;0,$F270&gt;0,YEAR($F270)&lt;Preisindex!$A$6,YEAR(CD$4)&gt;=YEAR($F270),AND($K270&lt;&gt;"a",$K270&lt;&gt;"b",$K270&lt;&gt;"g",$K270&lt;&gt;"k")),1,IF(AND($E270&lt;&gt;0,$F270&gt;0,YEAR($F270)&lt;Preisindex!$A$6,YEAR(CD$4)&gt;=YEAR($F270),$K270="a"),ROUND(VLOOKUP(CI$4,Preisindex,5,FALSE)/VLOOKUP(Preisindex!$A$6,Preisindex,5,FALSE),2),IF(AND($E270&lt;&gt;0,$F270&gt;0,YEAR($F270)&lt;Preisindex!$A$6,YEAR(CD$4)&gt;=YEAR($F270),$K270="b"),ROUND(VLOOKUP(CI$4,Preisindex,3,FALSE)/VLOOKUP(Preisindex!$A$6,Preisindex,3,FALSE),2),IF(AND($E270&lt;&gt;0,$F270&gt;0,YEAR($F270)&lt;Preisindex!$A$6,YEAR(CD$4)&gt;=YEAR($F270),$K270="g"),ROUND(VLOOKUP(CI$4,Preisindex,4,FALSE)/VLOOKUP(Preisindex!$A$6,Preisindex,4,FALSE),2),IF(AND($E270&lt;&gt;0,$F270&gt;0,YEAR($F270)&lt;Preisindex!$A$6,YEAR(CD$4)&gt;=YEAR($F270),$K270="k"),ROUND(VLOOKUP(CI$4,Preisindex,2,FALSE)/VLOOKUP(Preisindex!$A$6,Preisindex,2,FALSE),2),0)))))</f>
        <v>0</v>
      </c>
      <c r="CK270" s="51">
        <f>IF(AND($E270&lt;&gt;0,$F270&gt;0,YEAR($F270)&lt;=CI$4,YEAR($F270)&gt;=Preisindex!$A$6),ROUND($E270*CI270,2),IF(AND($E270&lt;&gt;0,$F270&gt;0,YEAR($F270)&lt;=CI$4,YEAR($F270)&lt;Preisindex!$A$6),ROUND($E270*CJ270,2),0))</f>
        <v>0</v>
      </c>
      <c r="CL270" s="53">
        <f t="shared" si="778"/>
        <v>0</v>
      </c>
      <c r="CM270" s="51">
        <f t="shared" si="754"/>
        <v>0</v>
      </c>
      <c r="CN270" s="51">
        <f t="shared" si="725"/>
        <v>0</v>
      </c>
      <c r="CO270" s="51">
        <f t="shared" si="779"/>
        <v>0</v>
      </c>
      <c r="CP270" s="51">
        <f t="shared" si="726"/>
        <v>0</v>
      </c>
      <c r="CQ270" s="51">
        <f t="shared" si="780"/>
        <v>0</v>
      </c>
      <c r="CR270" s="51">
        <f t="shared" si="727"/>
        <v>0</v>
      </c>
      <c r="CS270" s="51">
        <f t="shared" si="781"/>
        <v>0</v>
      </c>
      <c r="CT270" s="51">
        <f t="shared" si="728"/>
        <v>0</v>
      </c>
      <c r="CU270" s="51">
        <f t="shared" si="782"/>
        <v>0</v>
      </c>
      <c r="CV270" s="51">
        <f t="shared" si="729"/>
        <v>0</v>
      </c>
      <c r="CW270" s="51">
        <f t="shared" si="783"/>
        <v>0</v>
      </c>
      <c r="CX270" s="54">
        <f t="shared" si="784"/>
        <v>0</v>
      </c>
      <c r="CY270" s="55">
        <f t="shared" si="785"/>
        <v>0</v>
      </c>
      <c r="CZ270" s="56">
        <f>IF(AND($E270&lt;&gt;0,$F270&gt;0,YEAR($F270)&gt;=Preisindex!$A$6,YEAR(CU$4)&gt;=YEAR($F270),AND($K270&lt;&gt;"a",$K270&lt;&gt;"b",$K270&lt;&gt;"g",$K270&lt;&gt;"k")),1,IF(AND($E270&lt;&gt;0,$F270&gt;0,YEAR($F270)&gt;=Preisindex!$A$6,YEAR(CU$4)&gt;=YEAR($F270),$K270="a"),ROUND(VLOOKUP(CZ$4,Preisindex,5,FALSE)/VLOOKUP(YEAR($F270),Preisindex,5,FALSE),2),IF(AND($E270&lt;&gt;0,$F270&gt;0,YEAR($F270)&gt;=Preisindex!$A$6,YEAR(CU$4)&gt;=YEAR($F270),$K270="b"),ROUND(VLOOKUP(CZ$4,Preisindex,3,FALSE)/VLOOKUP(YEAR($F270),Preisindex,3,FALSE),2),IF(AND($E270&lt;&gt;0,$F270&gt;0,YEAR($F270)&gt;=Preisindex!$A$6,YEAR(CU$4)&gt;=YEAR($F270),$K270="g"),ROUND(VLOOKUP(CZ$4,Preisindex,4,FALSE)/VLOOKUP(YEAR($F270),Preisindex,4,FALSE),2),IF(AND($E270&lt;&gt;0,$F270&gt;0,YEAR($F270)&gt;=Preisindex!$A$6,YEAR(CU$4)&gt;=YEAR($F270),$K270="k"),ROUND(VLOOKUP(CZ$4,Preisindex,2,FALSE)/VLOOKUP(YEAR($F270),Preisindex,2,FALSE),2),0)))))</f>
        <v>0</v>
      </c>
      <c r="DA270" s="56">
        <f>IF(AND($E270&lt;&gt;0,$F270&gt;0,YEAR($F270)&lt;Preisindex!$A$6,YEAR(CU$4)&gt;=YEAR($F270),AND($K270&lt;&gt;"a",$K270&lt;&gt;"b",$K270&lt;&gt;"g",$K270&lt;&gt;"k")),1,IF(AND($E270&lt;&gt;0,$F270&gt;0,YEAR($F270)&lt;Preisindex!$A$6,YEAR(CU$4)&gt;=YEAR($F270),$K270="a"),ROUND(VLOOKUP(CZ$4,Preisindex,5,FALSE)/VLOOKUP(Preisindex!$A$6,Preisindex,5,FALSE),2),IF(AND($E270&lt;&gt;0,$F270&gt;0,YEAR($F270)&lt;Preisindex!$A$6,YEAR(CU$4)&gt;=YEAR($F270),$K270="b"),ROUND(VLOOKUP(CZ$4,Preisindex,3,FALSE)/VLOOKUP(Preisindex!$A$6,Preisindex,3,FALSE),2),IF(AND($E270&lt;&gt;0,$F270&gt;0,YEAR($F270)&lt;Preisindex!$A$6,YEAR(CU$4)&gt;=YEAR($F270),$K270="g"),ROUND(VLOOKUP(CZ$4,Preisindex,4,FALSE)/VLOOKUP(Preisindex!$A$6,Preisindex,4,FALSE),2),IF(AND($E270&lt;&gt;0,$F270&gt;0,YEAR($F270)&lt;Preisindex!$A$6,YEAR(CU$4)&gt;=YEAR($F270),$K270="k"),ROUND(VLOOKUP(CZ$4,Preisindex,2,FALSE)/VLOOKUP(Preisindex!$A$6,Preisindex,2,FALSE),2),0)))))</f>
        <v>0</v>
      </c>
      <c r="DB270" s="51">
        <f>IF(AND($E270&lt;&gt;0,$F270&gt;0,YEAR($F270)&lt;=CZ$4,YEAR($F270)&gt;=Preisindex!$A$6),ROUND($E270*CZ270,2),IF(AND($E270&lt;&gt;0,$F270&gt;0,YEAR($F270)&lt;=CZ$4,YEAR($F270)&lt;Preisindex!$A$6),ROUND($E270*DA270,2),0))</f>
        <v>0</v>
      </c>
      <c r="DC270" s="53">
        <f t="shared" si="786"/>
        <v>0</v>
      </c>
      <c r="DD270" s="51">
        <f t="shared" si="787"/>
        <v>0</v>
      </c>
      <c r="DE270" s="51">
        <f t="shared" si="730"/>
        <v>0</v>
      </c>
      <c r="DF270" s="51">
        <f t="shared" si="788"/>
        <v>0</v>
      </c>
      <c r="DG270" s="51">
        <f t="shared" si="731"/>
        <v>0</v>
      </c>
      <c r="DH270" s="51">
        <f t="shared" si="789"/>
        <v>0</v>
      </c>
      <c r="DI270" s="51">
        <f t="shared" si="732"/>
        <v>0</v>
      </c>
      <c r="DJ270" s="51">
        <f t="shared" si="790"/>
        <v>0</v>
      </c>
      <c r="DK270" s="51">
        <f t="shared" si="733"/>
        <v>0</v>
      </c>
      <c r="DL270" s="51">
        <f t="shared" si="791"/>
        <v>0</v>
      </c>
      <c r="DM270" s="51">
        <f t="shared" si="734"/>
        <v>0</v>
      </c>
      <c r="DN270" s="51">
        <f t="shared" si="792"/>
        <v>0</v>
      </c>
      <c r="DO270" s="54">
        <f t="shared" si="793"/>
        <v>0</v>
      </c>
      <c r="DP270" s="55">
        <f t="shared" si="794"/>
        <v>0</v>
      </c>
      <c r="DQ270" s="56">
        <f>IF(AND($E270&lt;&gt;0,$F270&gt;0,YEAR($F270)&gt;=Preisindex!$A$6,YEAR(DL$4)&gt;=YEAR($F270),AND($K270&lt;&gt;"a",$K270&lt;&gt;"b",$K270&lt;&gt;"g",$K270&lt;&gt;"k")),1,IF(AND($E270&lt;&gt;0,$F270&gt;0,YEAR($F270)&gt;=Preisindex!$A$6,YEAR(DL$4)&gt;=YEAR($F270),$K270="a"),ROUND(VLOOKUP(DQ$4,Preisindex,5,FALSE)/VLOOKUP(YEAR($F270),Preisindex,5,FALSE),2),IF(AND($E270&lt;&gt;0,$F270&gt;0,YEAR($F270)&gt;=Preisindex!$A$6,YEAR(DL$4)&gt;=YEAR($F270),$K270="b"),ROUND(VLOOKUP(DQ$4,Preisindex,3,FALSE)/VLOOKUP(YEAR($F270),Preisindex,3,FALSE),2),IF(AND($E270&lt;&gt;0,$F270&gt;0,YEAR($F270)&gt;=Preisindex!$A$6,YEAR(DL$4)&gt;=YEAR($F270),$K270="g"),ROUND(VLOOKUP(DQ$4,Preisindex,4,FALSE)/VLOOKUP(YEAR($F270),Preisindex,4,FALSE),2),IF(AND($E270&lt;&gt;0,$F270&gt;0,YEAR($F270)&gt;=Preisindex!$A$6,YEAR(DL$4)&gt;=YEAR($F270),$K270="k"),ROUND(VLOOKUP(DQ$4,Preisindex,2,FALSE)/VLOOKUP(YEAR($F270),Preisindex,2,FALSE),2),0)))))</f>
        <v>0</v>
      </c>
      <c r="DR270" s="56">
        <f>IF(AND($E270&lt;&gt;0,$F270&gt;0,YEAR($F270)&lt;Preisindex!$A$6,YEAR(DL$4)&gt;=YEAR($F270),AND($K270&lt;&gt;"a",$K270&lt;&gt;"b",$K270&lt;&gt;"g",$K270&lt;&gt;"k")),1,IF(AND($E270&lt;&gt;0,$F270&gt;0,YEAR($F270)&lt;Preisindex!$A$6,YEAR(DL$4)&gt;=YEAR($F270),$K270="a"),ROUND(VLOOKUP(DQ$4,Preisindex,5,FALSE)/VLOOKUP(Preisindex!$A$6,Preisindex,5,FALSE),2),IF(AND($E270&lt;&gt;0,$F270&gt;0,YEAR($F270)&lt;Preisindex!$A$6,YEAR(DL$4)&gt;=YEAR($F270),$K270="b"),ROUND(VLOOKUP(DQ$4,Preisindex,3,FALSE)/VLOOKUP(Preisindex!$A$6,Preisindex,3,FALSE),2),IF(AND($E270&lt;&gt;0,$F270&gt;0,YEAR($F270)&lt;Preisindex!$A$6,YEAR(DL$4)&gt;=YEAR($F270),$K270="g"),ROUND(VLOOKUP(DQ$4,Preisindex,4,FALSE)/VLOOKUP(Preisindex!$A$6,Preisindex,4,FALSE),2),IF(AND($E270&lt;&gt;0,$F270&gt;0,YEAR($F270)&lt;Preisindex!$A$6,YEAR(DL$4)&gt;=YEAR($F270),$K270="k"),ROUND(VLOOKUP(DQ$4,Preisindex,2,FALSE)/VLOOKUP(Preisindex!$A$6,Preisindex,2,FALSE),2),0)))))</f>
        <v>0</v>
      </c>
      <c r="DS270" s="51">
        <f>IF(AND($E270&lt;&gt;0,$F270&gt;0,YEAR($F270)&lt;=DQ$4,YEAR($F270)&gt;=Preisindex!$A$6),ROUND($E270*DQ270,2),IF(AND($E270&lt;&gt;0,$F270&gt;0,YEAR($F270)&lt;=DQ$4,YEAR($F270)&lt;Preisindex!$A$6),ROUND($E270*DR270,2),0))</f>
        <v>0</v>
      </c>
      <c r="DT270" s="53">
        <f t="shared" si="795"/>
        <v>0</v>
      </c>
      <c r="DU270" s="51">
        <f t="shared" si="787"/>
        <v>0</v>
      </c>
      <c r="DV270" s="51">
        <f t="shared" si="735"/>
        <v>0</v>
      </c>
      <c r="DW270" s="51">
        <f t="shared" si="796"/>
        <v>0</v>
      </c>
      <c r="DX270" s="51">
        <f t="shared" si="736"/>
        <v>0</v>
      </c>
      <c r="DY270" s="51">
        <f t="shared" si="797"/>
        <v>0</v>
      </c>
      <c r="DZ270" s="51">
        <f t="shared" si="737"/>
        <v>0</v>
      </c>
      <c r="EA270" s="51">
        <f t="shared" si="798"/>
        <v>0</v>
      </c>
      <c r="EB270" s="51">
        <f t="shared" si="738"/>
        <v>0</v>
      </c>
      <c r="EC270" s="51">
        <f t="shared" si="799"/>
        <v>0</v>
      </c>
      <c r="ED270" s="51">
        <f t="shared" si="739"/>
        <v>0</v>
      </c>
      <c r="EE270" s="51">
        <f t="shared" si="800"/>
        <v>0</v>
      </c>
      <c r="EF270" s="54">
        <f t="shared" si="801"/>
        <v>0</v>
      </c>
      <c r="EG270" s="55">
        <f t="shared" si="802"/>
        <v>0</v>
      </c>
      <c r="EH270" s="56">
        <f>IF(AND($E270&lt;&gt;0,$F270&gt;0,YEAR($F270)&gt;=Preisindex!$A$6,YEAR(EC$4)&gt;=YEAR($F270),AND($K270&lt;&gt;"a",$K270&lt;&gt;"b",$K270&lt;&gt;"g",$K270&lt;&gt;"k")),1,IF(AND($E270&lt;&gt;0,$F270&gt;0,YEAR($F270)&gt;=Preisindex!$A$6,YEAR(EC$4)&gt;=YEAR($F270),$K270="a"),ROUND(VLOOKUP(EH$4,Preisindex,5,FALSE)/VLOOKUP(YEAR($F270),Preisindex,5,FALSE),2),IF(AND($E270&lt;&gt;0,$F270&gt;0,YEAR($F270)&gt;=Preisindex!$A$6,YEAR(EC$4)&gt;=YEAR($F270),$K270="b"),ROUND(VLOOKUP(EH$4,Preisindex,3,FALSE)/VLOOKUP(YEAR($F270),Preisindex,3,FALSE),2),IF(AND($E270&lt;&gt;0,$F270&gt;0,YEAR($F270)&gt;=Preisindex!$A$6,YEAR(EC$4)&gt;=YEAR($F270),$K270="g"),ROUND(VLOOKUP(EH$4,Preisindex,4,FALSE)/VLOOKUP(YEAR($F270),Preisindex,4,FALSE),2),IF(AND($E270&lt;&gt;0,$F270&gt;0,YEAR($F270)&gt;=Preisindex!$A$6,YEAR(EC$4)&gt;=YEAR($F270),$K270="k"),ROUND(VLOOKUP(EH$4,Preisindex,2,FALSE)/VLOOKUP(YEAR($F270),Preisindex,2,FALSE),2),0)))))</f>
        <v>0</v>
      </c>
      <c r="EI270" s="56">
        <f>IF(AND($E270&lt;&gt;0,$F270&gt;0,YEAR($F270)&lt;Preisindex!$A$6,YEAR(EC$4)&gt;=YEAR($F270),AND($K270&lt;&gt;"a",$K270&lt;&gt;"b",$K270&lt;&gt;"g",$K270&lt;&gt;"k")),1,IF(AND($E270&lt;&gt;0,$F270&gt;0,YEAR($F270)&lt;Preisindex!$A$6,YEAR(EC$4)&gt;=YEAR($F270),$K270="a"),ROUND(VLOOKUP(EH$4,Preisindex,5,FALSE)/VLOOKUP(Preisindex!$A$6,Preisindex,5,FALSE),2),IF(AND($E270&lt;&gt;0,$F270&gt;0,YEAR($F270)&lt;Preisindex!$A$6,YEAR(EC$4)&gt;=YEAR($F270),$K270="b"),ROUND(VLOOKUP(EH$4,Preisindex,3,FALSE)/VLOOKUP(Preisindex!$A$6,Preisindex,3,FALSE),2),IF(AND($E270&lt;&gt;0,$F270&gt;0,YEAR($F270)&lt;Preisindex!$A$6,YEAR(EC$4)&gt;=YEAR($F270),$K270="g"),ROUND(VLOOKUP(EH$4,Preisindex,4,FALSE)/VLOOKUP(Preisindex!$A$6,Preisindex,4,FALSE),2),IF(AND($E270&lt;&gt;0,$F270&gt;0,YEAR($F270)&lt;Preisindex!$A$6,YEAR(EC$4)&gt;=YEAR($F270),$K270="k"),ROUND(VLOOKUP(EH$4,Preisindex,2,FALSE)/VLOOKUP(Preisindex!$A$6,Preisindex,2,FALSE),2),0)))))</f>
        <v>0</v>
      </c>
      <c r="EJ270" s="51">
        <f>IF(AND($E270&lt;&gt;0,$F270&gt;0,YEAR($F270)&lt;=EH$4,YEAR($F270)&gt;=Preisindex!$A$6),ROUND($E270*EH270,2),IF(AND($E270&lt;&gt;0,$F270&gt;0,YEAR($F270)&lt;=EH$4,YEAR($F270)&lt;Preisindex!$A$6),ROUND($E270*EI270,2),0))</f>
        <v>0</v>
      </c>
      <c r="EK270" s="53">
        <f t="shared" si="803"/>
        <v>0</v>
      </c>
      <c r="EL270" s="51">
        <f t="shared" si="787"/>
        <v>0</v>
      </c>
      <c r="EM270" s="51">
        <f t="shared" si="740"/>
        <v>0</v>
      </c>
      <c r="EN270" s="51">
        <f t="shared" si="804"/>
        <v>0</v>
      </c>
      <c r="EO270" s="51">
        <f t="shared" si="741"/>
        <v>0</v>
      </c>
      <c r="EP270" s="51">
        <f t="shared" si="805"/>
        <v>0</v>
      </c>
      <c r="EQ270" s="51">
        <f t="shared" si="742"/>
        <v>0</v>
      </c>
      <c r="ER270" s="51">
        <f t="shared" si="806"/>
        <v>0</v>
      </c>
      <c r="ES270" s="51">
        <f t="shared" si="743"/>
        <v>0</v>
      </c>
      <c r="ET270" s="51">
        <f t="shared" si="807"/>
        <v>0</v>
      </c>
      <c r="EU270" s="51">
        <f t="shared" si="744"/>
        <v>0</v>
      </c>
      <c r="EV270" s="51">
        <f t="shared" si="808"/>
        <v>0</v>
      </c>
      <c r="EW270" s="54">
        <f t="shared" si="809"/>
        <v>0</v>
      </c>
      <c r="EX270" s="55">
        <f t="shared" si="810"/>
        <v>0</v>
      </c>
      <c r="EY270" s="56">
        <f>IF(AND($E270&lt;&gt;0,$F270&gt;0,YEAR($F270)&gt;=Preisindex!$A$6,YEAR(ET$4)&gt;=YEAR($F270),AND($K270&lt;&gt;"a",$K270&lt;&gt;"b",$K270&lt;&gt;"g",$K270&lt;&gt;"k")),1,IF(AND($E270&lt;&gt;0,$F270&gt;0,YEAR($F270)&gt;=Preisindex!$A$6,YEAR(ET$4)&gt;=YEAR($F270),$K270="a"),ROUND(VLOOKUP(EY$4,Preisindex,5,FALSE)/VLOOKUP(YEAR($F270),Preisindex,5,FALSE),2),IF(AND($E270&lt;&gt;0,$F270&gt;0,YEAR($F270)&gt;=Preisindex!$A$6,YEAR(ET$4)&gt;=YEAR($F270),$K270="b"),ROUND(VLOOKUP(EY$4,Preisindex,3,FALSE)/VLOOKUP(YEAR($F270),Preisindex,3,FALSE),2),IF(AND($E270&lt;&gt;0,$F270&gt;0,YEAR($F270)&gt;=Preisindex!$A$6,YEAR(ET$4)&gt;=YEAR($F270),$K270="g"),ROUND(VLOOKUP(EY$4,Preisindex,4,FALSE)/VLOOKUP(YEAR($F270),Preisindex,4,FALSE),2),IF(AND($E270&lt;&gt;0,$F270&gt;0,YEAR($F270)&gt;=Preisindex!$A$6,YEAR(ET$4)&gt;=YEAR($F270),$K270="k"),ROUND(VLOOKUP(EY$4,Preisindex,2,FALSE)/VLOOKUP(YEAR($F270),Preisindex,2,FALSE),2),0)))))</f>
        <v>0</v>
      </c>
      <c r="EZ270" s="56">
        <f>IF(AND($E270&lt;&gt;0,$F270&gt;0,YEAR($F270)&lt;Preisindex!$A$6,YEAR(ET$4)&gt;=YEAR($F270),AND($K270&lt;&gt;"a",$K270&lt;&gt;"b",$K270&lt;&gt;"g",$K270&lt;&gt;"k")),1,IF(AND($E270&lt;&gt;0,$F270&gt;0,YEAR($F270)&lt;Preisindex!$A$6,YEAR(ET$4)&gt;=YEAR($F270),$K270="a"),ROUND(VLOOKUP(EY$4,Preisindex,5,FALSE)/VLOOKUP(Preisindex!$A$6,Preisindex,5,FALSE),2),IF(AND($E270&lt;&gt;0,$F270&gt;0,YEAR($F270)&lt;Preisindex!$A$6,YEAR(ET$4)&gt;=YEAR($F270),$K270="b"),ROUND(VLOOKUP(EY$4,Preisindex,3,FALSE)/VLOOKUP(Preisindex!$A$6,Preisindex,3,FALSE),2),IF(AND($E270&lt;&gt;0,$F270&gt;0,YEAR($F270)&lt;Preisindex!$A$6,YEAR(ET$4)&gt;=YEAR($F270),$K270="g"),ROUND(VLOOKUP(EY$4,Preisindex,4,FALSE)/VLOOKUP(Preisindex!$A$6,Preisindex,4,FALSE),2),IF(AND($E270&lt;&gt;0,$F270&gt;0,YEAR($F270)&lt;Preisindex!$A$6,YEAR(ET$4)&gt;=YEAR($F270),$K270="k"),ROUND(VLOOKUP(EY$4,Preisindex,2,FALSE)/VLOOKUP(Preisindex!$A$6,Preisindex,2,FALSE),2),0)))))</f>
        <v>0</v>
      </c>
      <c r="FA270" s="51">
        <f>IF(AND($E270&lt;&gt;0,$F270&gt;0,YEAR($F270)&lt;=EY$4,YEAR($F270)&gt;=Preisindex!$A$6),ROUND($E270*EY270,2),IF(AND($E270&lt;&gt;0,$F270&gt;0,YEAR($F270)&lt;=EY$4,YEAR($F270)&lt;Preisindex!$A$6),ROUND($E270*EZ270,2),0))</f>
        <v>0</v>
      </c>
      <c r="FB270" s="53">
        <f t="shared" si="811"/>
        <v>0</v>
      </c>
      <c r="FC270" s="51">
        <f t="shared" si="787"/>
        <v>0</v>
      </c>
      <c r="FD270" s="51">
        <f t="shared" si="745"/>
        <v>0</v>
      </c>
      <c r="FE270" s="51">
        <f t="shared" si="812"/>
        <v>0</v>
      </c>
      <c r="FF270" s="51">
        <f t="shared" si="746"/>
        <v>0</v>
      </c>
      <c r="FG270" s="51">
        <f t="shared" si="813"/>
        <v>0</v>
      </c>
      <c r="FH270" s="51">
        <f t="shared" si="747"/>
        <v>0</v>
      </c>
      <c r="FI270" s="51">
        <f t="shared" si="814"/>
        <v>0</v>
      </c>
      <c r="FJ270" s="51">
        <f t="shared" si="748"/>
        <v>0</v>
      </c>
      <c r="FK270" s="51">
        <f t="shared" si="815"/>
        <v>0</v>
      </c>
      <c r="FL270" s="51">
        <f t="shared" si="749"/>
        <v>0</v>
      </c>
      <c r="FM270" s="51">
        <f t="shared" si="816"/>
        <v>0</v>
      </c>
      <c r="FN270" s="54">
        <f t="shared" si="817"/>
        <v>0</v>
      </c>
      <c r="FO270" s="55">
        <f t="shared" si="818"/>
        <v>0</v>
      </c>
      <c r="FP270" s="56">
        <f>IF(AND($E270&lt;&gt;0,$F270&gt;0,YEAR($F270)&gt;=Preisindex!$A$6,YEAR(FK$4)&gt;=YEAR($F270),AND($K270&lt;&gt;"a",$K270&lt;&gt;"b",$K270&lt;&gt;"g",$K270&lt;&gt;"k")),1,IF(AND($E270&lt;&gt;0,$F270&gt;0,YEAR($F270)&gt;=Preisindex!$A$6,YEAR(FK$4)&gt;=YEAR($F270),$K270="a"),ROUND(VLOOKUP(FP$4,Preisindex,5,FALSE)/VLOOKUP(YEAR($F270),Preisindex,5,FALSE),2),IF(AND($E270&lt;&gt;0,$F270&gt;0,YEAR($F270)&gt;=Preisindex!$A$6,YEAR(FK$4)&gt;=YEAR($F270),$K270="b"),ROUND(VLOOKUP(FP$4,Preisindex,3,FALSE)/VLOOKUP(YEAR($F270),Preisindex,3,FALSE),2),IF(AND($E270&lt;&gt;0,$F270&gt;0,YEAR($F270)&gt;=Preisindex!$A$6,YEAR(FK$4)&gt;=YEAR($F270),$K270="g"),ROUND(VLOOKUP(FP$4,Preisindex,4,FALSE)/VLOOKUP(YEAR($F270),Preisindex,4,FALSE),2),IF(AND($E270&lt;&gt;0,$F270&gt;0,YEAR($F270)&gt;=Preisindex!$A$6,YEAR(FK$4)&gt;=YEAR($F270),$K270="k"),ROUND(VLOOKUP(FP$4,Preisindex,2,FALSE)/VLOOKUP(YEAR($F270),Preisindex,2,FALSE),2),0)))))</f>
        <v>0</v>
      </c>
      <c r="FQ270" s="56">
        <f>IF(AND($E270&lt;&gt;0,$F270&gt;0,YEAR($F270)&lt;Preisindex!$A$6,YEAR(FK$4)&gt;=YEAR($F270),AND($K270&lt;&gt;"a",$K270&lt;&gt;"b",$K270&lt;&gt;"g",$K270&lt;&gt;"k")),1,IF(AND($E270&lt;&gt;0,$F270&gt;0,YEAR($F270)&lt;Preisindex!$A$6,YEAR(FK$4)&gt;=YEAR($F270),$K270="a"),ROUND(VLOOKUP(FP$4,Preisindex,5,FALSE)/VLOOKUP(Preisindex!$A$6,Preisindex,5,FALSE),2),IF(AND($E270&lt;&gt;0,$F270&gt;0,YEAR($F270)&lt;Preisindex!$A$6,YEAR(FK$4)&gt;=YEAR($F270),$K270="b"),ROUND(VLOOKUP(FP$4,Preisindex,3,FALSE)/VLOOKUP(Preisindex!$A$6,Preisindex,3,FALSE),2),IF(AND($E270&lt;&gt;0,$F270&gt;0,YEAR($F270)&lt;Preisindex!$A$6,YEAR(FK$4)&gt;=YEAR($F270),$K270="g"),ROUND(VLOOKUP(FP$4,Preisindex,4,FALSE)/VLOOKUP(Preisindex!$A$6,Preisindex,4,FALSE),2),IF(AND($E270&lt;&gt;0,$F270&gt;0,YEAR($F270)&lt;Preisindex!$A$6,YEAR(FK$4)&gt;=YEAR($F270),$K270="k"),ROUND(VLOOKUP(FP$4,Preisindex,2,FALSE)/VLOOKUP(Preisindex!$A$6,Preisindex,2,FALSE),2),0)))))</f>
        <v>0</v>
      </c>
      <c r="FR270" s="51">
        <f>IF(AND($E270&lt;&gt;0,$F270&gt;0,YEAR($F270)&lt;=FP$4,YEAR($F270)&gt;=Preisindex!$A$6),ROUND($E270*FP270,2),IF(AND($E270&lt;&gt;0,$F270&gt;0,YEAR($F270)&lt;=FP$4,YEAR($F270)&lt;Preisindex!$A$6),ROUND($E270*FQ270,2),0))</f>
        <v>0</v>
      </c>
      <c r="FS270" s="53">
        <f t="shared" si="819"/>
        <v>0</v>
      </c>
    </row>
    <row r="271" spans="1:175" x14ac:dyDescent="0.3">
      <c r="A271" s="185"/>
      <c r="B271" s="186"/>
      <c r="C271" s="187"/>
      <c r="D271" s="188"/>
      <c r="E271" s="189"/>
      <c r="F271" s="190"/>
      <c r="G271" s="191"/>
      <c r="H271" s="192"/>
      <c r="I271" s="193"/>
      <c r="J271" s="194"/>
      <c r="K271" s="630"/>
      <c r="L271" s="49">
        <f t="shared" si="820"/>
        <v>0</v>
      </c>
      <c r="M271" s="50">
        <f t="shared" si="821"/>
        <v>0</v>
      </c>
      <c r="N271" s="51">
        <f t="shared" si="822"/>
        <v>0</v>
      </c>
      <c r="O271" s="51"/>
      <c r="P271" s="51">
        <f t="shared" si="823"/>
        <v>0</v>
      </c>
      <c r="Q271" s="52"/>
      <c r="R271" s="52"/>
      <c r="S271" s="52"/>
      <c r="T271" s="52"/>
      <c r="U271" s="52"/>
      <c r="V271" s="53">
        <f t="shared" si="824"/>
        <v>0</v>
      </c>
      <c r="W271" s="51">
        <f t="shared" si="825"/>
        <v>0</v>
      </c>
      <c r="X271" s="51">
        <f t="shared" si="826"/>
        <v>0</v>
      </c>
      <c r="Y271" s="51">
        <f t="shared" si="827"/>
        <v>0</v>
      </c>
      <c r="Z271" s="51">
        <f t="shared" si="828"/>
        <v>0</v>
      </c>
      <c r="AA271" s="51">
        <f t="shared" si="829"/>
        <v>0</v>
      </c>
      <c r="AB271" s="51">
        <f t="shared" si="830"/>
        <v>0</v>
      </c>
      <c r="AC271" s="51">
        <f t="shared" si="831"/>
        <v>0</v>
      </c>
      <c r="AD271" s="51">
        <f t="shared" si="832"/>
        <v>0</v>
      </c>
      <c r="AE271" s="51">
        <f t="shared" si="833"/>
        <v>0</v>
      </c>
      <c r="AF271" s="51">
        <f t="shared" si="834"/>
        <v>0</v>
      </c>
      <c r="AG271" s="51">
        <f t="shared" si="835"/>
        <v>0</v>
      </c>
      <c r="AH271" s="54">
        <f t="shared" si="836"/>
        <v>0</v>
      </c>
      <c r="AI271" s="55">
        <f t="shared" si="837"/>
        <v>0</v>
      </c>
      <c r="AJ271" s="56">
        <f>IF(AND($E271&lt;&gt;0,$F271&gt;0,YEAR($F271)&gt;=Preisindex!$A$6,YEAR(AE$4)&gt;=YEAR($F271),AND($K271&lt;&gt;"a",$K271&lt;&gt;"b",$K271&lt;&gt;"g",$K271&lt;&gt;"k")),1,IF(AND($E271&lt;&gt;0,$F271&gt;0,YEAR($F271)&gt;=Preisindex!$A$6,YEAR(AE$4)&gt;=YEAR($F271),$K271="a"),ROUND(VLOOKUP(AJ$4,Preisindex,5,FALSE)/VLOOKUP(YEAR($F271),Preisindex,5,FALSE),2),IF(AND($E271&lt;&gt;0,$F271&gt;0,YEAR($F271)&gt;=Preisindex!$A$6,YEAR(AE$4)&gt;=YEAR($F271),$K271="b"),ROUND(VLOOKUP(AJ$4,Preisindex,3,FALSE)/VLOOKUP(YEAR($F271),Preisindex,3,FALSE),2),IF(AND($E271&lt;&gt;0,$F271&gt;0,YEAR($F271)&gt;=Preisindex!$A$6,YEAR(AE$4)&gt;=YEAR($F271),$K271="g"),ROUND(VLOOKUP(AJ$4,Preisindex,4,FALSE)/VLOOKUP(YEAR($F271),Preisindex,4,FALSE),2),IF(AND($E271&lt;&gt;0,$F271&gt;0,YEAR($F271)&gt;=Preisindex!$A$6,YEAR(AE$4)&gt;=YEAR($F271),$K271="k"),ROUND(VLOOKUP(AJ$4,Preisindex,2,FALSE)/VLOOKUP(YEAR($F271),Preisindex,2,FALSE),2),0)))))</f>
        <v>0</v>
      </c>
      <c r="AK271" s="56">
        <f>IF(AND($E271&lt;&gt;0,$F271&gt;0,YEAR($F271)&lt;Preisindex!$A$6,YEAR(AE$4)&gt;=YEAR($F271),AND($K271&lt;&gt;"a",$K271&lt;&gt;"b",$K271&lt;&gt;"g",$K271&lt;&gt;"k")),1,IF(AND($E271&lt;&gt;0,$F271&gt;0,YEAR($F271)&lt;Preisindex!$A$6,YEAR(AE$4)&gt;=YEAR($F271),$K271="a"),ROUND(VLOOKUP(AJ$4,Preisindex,5,FALSE)/VLOOKUP(Preisindex!$A$6,Preisindex,5,FALSE),2),IF(AND($E271&lt;&gt;0,$F271&gt;0,YEAR($F271)&lt;Preisindex!$A$6,YEAR(AE$4)&gt;=YEAR($F271),$K271="b"),ROUND(VLOOKUP(AJ$4,Preisindex,3,FALSE)/VLOOKUP(Preisindex!$A$6,Preisindex,3,FALSE),2),IF(AND($E271&lt;&gt;0,$F271&gt;0,YEAR($F271)&lt;Preisindex!$A$6,YEAR(AE$4)&gt;=YEAR($F271),$K271="g"),ROUND(VLOOKUP(AJ$4,Preisindex,4,FALSE)/VLOOKUP(Preisindex!$A$6,Preisindex,4,FALSE),2),IF(AND($E271&lt;&gt;0,$F271&gt;0,YEAR($F271)&lt;Preisindex!$A$6,YEAR(AE$4)&gt;=YEAR($F271),$K271="k"),ROUND(VLOOKUP(AJ$4,Preisindex,2,FALSE)/VLOOKUP(Preisindex!$A$6,Preisindex,2,FALSE),2),0)))))</f>
        <v>0</v>
      </c>
      <c r="AL271" s="51">
        <f>IF(AND($E271&lt;&gt;0,$F271&gt;0,YEAR($F271)&lt;=AJ$4,YEAR($F271)&gt;=Preisindex!$A$6),ROUND($E271*AJ271,2),IF(AND($E271&lt;&gt;0,$F271&gt;0,YEAR($F271)&lt;=AJ$4,YEAR($F271)&lt;Preisindex!$A$6),ROUND($E271*AK271,2),0))</f>
        <v>0</v>
      </c>
      <c r="AM271" s="53">
        <f t="shared" si="838"/>
        <v>0</v>
      </c>
      <c r="AN271" s="51">
        <f t="shared" si="754"/>
        <v>0</v>
      </c>
      <c r="AO271" s="51">
        <f t="shared" si="710"/>
        <v>0</v>
      </c>
      <c r="AP271" s="51">
        <f t="shared" si="755"/>
        <v>0</v>
      </c>
      <c r="AQ271" s="51">
        <f t="shared" si="711"/>
        <v>0</v>
      </c>
      <c r="AR271" s="51">
        <f t="shared" si="756"/>
        <v>0</v>
      </c>
      <c r="AS271" s="51">
        <f t="shared" si="712"/>
        <v>0</v>
      </c>
      <c r="AT271" s="51">
        <f t="shared" si="757"/>
        <v>0</v>
      </c>
      <c r="AU271" s="51">
        <f t="shared" si="713"/>
        <v>0</v>
      </c>
      <c r="AV271" s="51">
        <f t="shared" si="758"/>
        <v>0</v>
      </c>
      <c r="AW271" s="51">
        <f t="shared" si="714"/>
        <v>0</v>
      </c>
      <c r="AX271" s="51">
        <f t="shared" si="759"/>
        <v>0</v>
      </c>
      <c r="AY271" s="54">
        <f t="shared" si="760"/>
        <v>0</v>
      </c>
      <c r="AZ271" s="55">
        <f t="shared" si="761"/>
        <v>0</v>
      </c>
      <c r="BA271" s="56">
        <f>IF(AND($E271&lt;&gt;0,$F271&gt;0,YEAR($F271)&gt;=Preisindex!$A$6,YEAR(AV$4)&gt;=YEAR($F271),AND($K271&lt;&gt;"a",$K271&lt;&gt;"b",$K271&lt;&gt;"g",$K271&lt;&gt;"k")),1,IF(AND($E271&lt;&gt;0,$F271&gt;0,YEAR($F271)&gt;=Preisindex!$A$6,YEAR(AV$4)&gt;=YEAR($F271),$K271="a"),ROUND(VLOOKUP(BA$4,Preisindex,5,FALSE)/VLOOKUP(YEAR($F271),Preisindex,5,FALSE),2),IF(AND($E271&lt;&gt;0,$F271&gt;0,YEAR($F271)&gt;=Preisindex!$A$6,YEAR(AV$4)&gt;=YEAR($F271),$K271="b"),ROUND(VLOOKUP(BA$4,Preisindex,3,FALSE)/VLOOKUP(YEAR($F271),Preisindex,3,FALSE),2),IF(AND($E271&lt;&gt;0,$F271&gt;0,YEAR($F271)&gt;=Preisindex!$A$6,YEAR(AV$4)&gt;=YEAR($F271),$K271="g"),ROUND(VLOOKUP(BA$4,Preisindex,4,FALSE)/VLOOKUP(YEAR($F271),Preisindex,4,FALSE),2),IF(AND($E271&lt;&gt;0,$F271&gt;0,YEAR($F271)&gt;=Preisindex!$A$6,YEAR(AV$4)&gt;=YEAR($F271),$K271="k"),ROUND(VLOOKUP(BA$4,Preisindex,2,FALSE)/VLOOKUP(YEAR($F271),Preisindex,2,FALSE),2),0)))))</f>
        <v>0</v>
      </c>
      <c r="BB271" s="56">
        <f>IF(AND($E271&lt;&gt;0,$F271&gt;0,YEAR($F271)&lt;Preisindex!$A$6,YEAR(AV$4)&gt;=YEAR($F271),AND($K271&lt;&gt;"a",$K271&lt;&gt;"b",$K271&lt;&gt;"g",$K271&lt;&gt;"k")),1,IF(AND($E271&lt;&gt;0,$F271&gt;0,YEAR($F271)&lt;Preisindex!$A$6,YEAR(AV$4)&gt;=YEAR($F271),$K271="a"),ROUND(VLOOKUP(BA$4,Preisindex,5,FALSE)/VLOOKUP(Preisindex!$A$6,Preisindex,5,FALSE),2),IF(AND($E271&lt;&gt;0,$F271&gt;0,YEAR($F271)&lt;Preisindex!$A$6,YEAR(AV$4)&gt;=YEAR($F271),$K271="b"),ROUND(VLOOKUP(BA$4,Preisindex,3,FALSE)/VLOOKUP(Preisindex!$A$6,Preisindex,3,FALSE),2),IF(AND($E271&lt;&gt;0,$F271&gt;0,YEAR($F271)&lt;Preisindex!$A$6,YEAR(AV$4)&gt;=YEAR($F271),$K271="g"),ROUND(VLOOKUP(BA$4,Preisindex,4,FALSE)/VLOOKUP(Preisindex!$A$6,Preisindex,4,FALSE),2),IF(AND($E271&lt;&gt;0,$F271&gt;0,YEAR($F271)&lt;Preisindex!$A$6,YEAR(AV$4)&gt;=YEAR($F271),$K271="k"),ROUND(VLOOKUP(BA$4,Preisindex,2,FALSE)/VLOOKUP(Preisindex!$A$6,Preisindex,2,FALSE),2),0)))))</f>
        <v>0</v>
      </c>
      <c r="BC271" s="51">
        <f>IF(AND($E271&lt;&gt;0,$F271&gt;0,YEAR($F271)&lt;=BA$4,YEAR($F271)&gt;=Preisindex!$A$6),ROUND($E271*BA271,2),IF(AND($E271&lt;&gt;0,$F271&gt;0,YEAR($F271)&lt;=BA$4,YEAR($F271)&lt;Preisindex!$A$6),ROUND($E271*BB271,2),0))</f>
        <v>0</v>
      </c>
      <c r="BD271" s="53">
        <f t="shared" si="762"/>
        <v>0</v>
      </c>
      <c r="BE271" s="51">
        <f t="shared" si="754"/>
        <v>0</v>
      </c>
      <c r="BF271" s="51">
        <f t="shared" si="715"/>
        <v>0</v>
      </c>
      <c r="BG271" s="51">
        <f t="shared" si="763"/>
        <v>0</v>
      </c>
      <c r="BH271" s="51">
        <f t="shared" si="716"/>
        <v>0</v>
      </c>
      <c r="BI271" s="51">
        <f t="shared" si="764"/>
        <v>0</v>
      </c>
      <c r="BJ271" s="51">
        <f t="shared" si="717"/>
        <v>0</v>
      </c>
      <c r="BK271" s="51">
        <f t="shared" si="765"/>
        <v>0</v>
      </c>
      <c r="BL271" s="51">
        <f t="shared" si="718"/>
        <v>0</v>
      </c>
      <c r="BM271" s="51">
        <f t="shared" si="766"/>
        <v>0</v>
      </c>
      <c r="BN271" s="51">
        <f t="shared" si="719"/>
        <v>0</v>
      </c>
      <c r="BO271" s="51">
        <f t="shared" si="767"/>
        <v>0</v>
      </c>
      <c r="BP271" s="54">
        <f t="shared" si="768"/>
        <v>0</v>
      </c>
      <c r="BQ271" s="55">
        <f t="shared" si="769"/>
        <v>0</v>
      </c>
      <c r="BR271" s="56">
        <f>IF(AND($E271&lt;&gt;0,$F271&gt;0,YEAR($F271)&gt;=Preisindex!$A$6,YEAR(BM$4)&gt;=YEAR($F271),AND($K271&lt;&gt;"a",$K271&lt;&gt;"b",$K271&lt;&gt;"g",$K271&lt;&gt;"k")),1,IF(AND($E271&lt;&gt;0,$F271&gt;0,YEAR($F271)&gt;=Preisindex!$A$6,YEAR(BM$4)&gt;=YEAR($F271),$K271="a"),ROUND(VLOOKUP(BR$4,Preisindex,5,FALSE)/VLOOKUP(YEAR($F271),Preisindex,5,FALSE),2),IF(AND($E271&lt;&gt;0,$F271&gt;0,YEAR($F271)&gt;=Preisindex!$A$6,YEAR(BM$4)&gt;=YEAR($F271),$K271="b"),ROUND(VLOOKUP(BR$4,Preisindex,3,FALSE)/VLOOKUP(YEAR($F271),Preisindex,3,FALSE),2),IF(AND($E271&lt;&gt;0,$F271&gt;0,YEAR($F271)&gt;=Preisindex!$A$6,YEAR(BM$4)&gt;=YEAR($F271),$K271="g"),ROUND(VLOOKUP(BR$4,Preisindex,4,FALSE)/VLOOKUP(YEAR($F271),Preisindex,4,FALSE),2),IF(AND($E271&lt;&gt;0,$F271&gt;0,YEAR($F271)&gt;=Preisindex!$A$6,YEAR(BM$4)&gt;=YEAR($F271),$K271="k"),ROUND(VLOOKUP(BR$4,Preisindex,2,FALSE)/VLOOKUP(YEAR($F271),Preisindex,2,FALSE),2),0)))))</f>
        <v>0</v>
      </c>
      <c r="BS271" s="56">
        <f>IF(AND($E271&lt;&gt;0,$F271&gt;0,YEAR($F271)&lt;Preisindex!$A$6,YEAR(BM$4)&gt;=YEAR($F271),AND($K271&lt;&gt;"a",$K271&lt;&gt;"b",$K271&lt;&gt;"g",$K271&lt;&gt;"k")),1,IF(AND($E271&lt;&gt;0,$F271&gt;0,YEAR($F271)&lt;Preisindex!$A$6,YEAR(BM$4)&gt;=YEAR($F271),$K271="a"),ROUND(VLOOKUP(BR$4,Preisindex,5,FALSE)/VLOOKUP(Preisindex!$A$6,Preisindex,5,FALSE),2),IF(AND($E271&lt;&gt;0,$F271&gt;0,YEAR($F271)&lt;Preisindex!$A$6,YEAR(BM$4)&gt;=YEAR($F271),$K271="b"),ROUND(VLOOKUP(BR$4,Preisindex,3,FALSE)/VLOOKUP(Preisindex!$A$6,Preisindex,3,FALSE),2),IF(AND($E271&lt;&gt;0,$F271&gt;0,YEAR($F271)&lt;Preisindex!$A$6,YEAR(BM$4)&gt;=YEAR($F271),$K271="g"),ROUND(VLOOKUP(BR$4,Preisindex,4,FALSE)/VLOOKUP(Preisindex!$A$6,Preisindex,4,FALSE),2),IF(AND($E271&lt;&gt;0,$F271&gt;0,YEAR($F271)&lt;Preisindex!$A$6,YEAR(BM$4)&gt;=YEAR($F271),$K271="k"),ROUND(VLOOKUP(BR$4,Preisindex,2,FALSE)/VLOOKUP(Preisindex!$A$6,Preisindex,2,FALSE),2),0)))))</f>
        <v>0</v>
      </c>
      <c r="BT271" s="51">
        <f>IF(AND($E271&lt;&gt;0,$F271&gt;0,YEAR($F271)&lt;=BR$4,YEAR($F271)&gt;=Preisindex!$A$6),ROUND($E271*BR271,2),IF(AND($E271&lt;&gt;0,$F271&gt;0,YEAR($F271)&lt;=BR$4,YEAR($F271)&lt;Preisindex!$A$6),ROUND($E271*BS271,2),0))</f>
        <v>0</v>
      </c>
      <c r="BU271" s="53">
        <f t="shared" si="770"/>
        <v>0</v>
      </c>
      <c r="BV271" s="51">
        <f t="shared" si="754"/>
        <v>0</v>
      </c>
      <c r="BW271" s="51">
        <f t="shared" si="720"/>
        <v>0</v>
      </c>
      <c r="BX271" s="51">
        <f t="shared" si="771"/>
        <v>0</v>
      </c>
      <c r="BY271" s="51">
        <f t="shared" si="721"/>
        <v>0</v>
      </c>
      <c r="BZ271" s="51">
        <f t="shared" si="772"/>
        <v>0</v>
      </c>
      <c r="CA271" s="51">
        <f t="shared" si="722"/>
        <v>0</v>
      </c>
      <c r="CB271" s="51">
        <f t="shared" si="773"/>
        <v>0</v>
      </c>
      <c r="CC271" s="51">
        <f t="shared" si="723"/>
        <v>0</v>
      </c>
      <c r="CD271" s="51">
        <f t="shared" si="774"/>
        <v>0</v>
      </c>
      <c r="CE271" s="51">
        <f t="shared" si="724"/>
        <v>0</v>
      </c>
      <c r="CF271" s="51">
        <f t="shared" si="775"/>
        <v>0</v>
      </c>
      <c r="CG271" s="54">
        <f t="shared" si="776"/>
        <v>0</v>
      </c>
      <c r="CH271" s="55">
        <f t="shared" si="777"/>
        <v>0</v>
      </c>
      <c r="CI271" s="56">
        <f>IF(AND($E271&lt;&gt;0,$F271&gt;0,YEAR($F271)&gt;=Preisindex!$A$6,YEAR(CD$4)&gt;=YEAR($F271),AND($K271&lt;&gt;"a",$K271&lt;&gt;"b",$K271&lt;&gt;"g",$K271&lt;&gt;"k")),1,IF(AND($E271&lt;&gt;0,$F271&gt;0,YEAR($F271)&gt;=Preisindex!$A$6,YEAR(CD$4)&gt;=YEAR($F271),$K271="a"),ROUND(VLOOKUP(CI$4,Preisindex,5,FALSE)/VLOOKUP(YEAR($F271),Preisindex,5,FALSE),2),IF(AND($E271&lt;&gt;0,$F271&gt;0,YEAR($F271)&gt;=Preisindex!$A$6,YEAR(CD$4)&gt;=YEAR($F271),$K271="b"),ROUND(VLOOKUP(CI$4,Preisindex,3,FALSE)/VLOOKUP(YEAR($F271),Preisindex,3,FALSE),2),IF(AND($E271&lt;&gt;0,$F271&gt;0,YEAR($F271)&gt;=Preisindex!$A$6,YEAR(CD$4)&gt;=YEAR($F271),$K271="g"),ROUND(VLOOKUP(CI$4,Preisindex,4,FALSE)/VLOOKUP(YEAR($F271),Preisindex,4,FALSE),2),IF(AND($E271&lt;&gt;0,$F271&gt;0,YEAR($F271)&gt;=Preisindex!$A$6,YEAR(CD$4)&gt;=YEAR($F271),$K271="k"),ROUND(VLOOKUP(CI$4,Preisindex,2,FALSE)/VLOOKUP(YEAR($F271),Preisindex,2,FALSE),2),0)))))</f>
        <v>0</v>
      </c>
      <c r="CJ271" s="56">
        <f>IF(AND($E271&lt;&gt;0,$F271&gt;0,YEAR($F271)&lt;Preisindex!$A$6,YEAR(CD$4)&gt;=YEAR($F271),AND($K271&lt;&gt;"a",$K271&lt;&gt;"b",$K271&lt;&gt;"g",$K271&lt;&gt;"k")),1,IF(AND($E271&lt;&gt;0,$F271&gt;0,YEAR($F271)&lt;Preisindex!$A$6,YEAR(CD$4)&gt;=YEAR($F271),$K271="a"),ROUND(VLOOKUP(CI$4,Preisindex,5,FALSE)/VLOOKUP(Preisindex!$A$6,Preisindex,5,FALSE),2),IF(AND($E271&lt;&gt;0,$F271&gt;0,YEAR($F271)&lt;Preisindex!$A$6,YEAR(CD$4)&gt;=YEAR($F271),$K271="b"),ROUND(VLOOKUP(CI$4,Preisindex,3,FALSE)/VLOOKUP(Preisindex!$A$6,Preisindex,3,FALSE),2),IF(AND($E271&lt;&gt;0,$F271&gt;0,YEAR($F271)&lt;Preisindex!$A$6,YEAR(CD$4)&gt;=YEAR($F271),$K271="g"),ROUND(VLOOKUP(CI$4,Preisindex,4,FALSE)/VLOOKUP(Preisindex!$A$6,Preisindex,4,FALSE),2),IF(AND($E271&lt;&gt;0,$F271&gt;0,YEAR($F271)&lt;Preisindex!$A$6,YEAR(CD$4)&gt;=YEAR($F271),$K271="k"),ROUND(VLOOKUP(CI$4,Preisindex,2,FALSE)/VLOOKUP(Preisindex!$A$6,Preisindex,2,FALSE),2),0)))))</f>
        <v>0</v>
      </c>
      <c r="CK271" s="51">
        <f>IF(AND($E271&lt;&gt;0,$F271&gt;0,YEAR($F271)&lt;=CI$4,YEAR($F271)&gt;=Preisindex!$A$6),ROUND($E271*CI271,2),IF(AND($E271&lt;&gt;0,$F271&gt;0,YEAR($F271)&lt;=CI$4,YEAR($F271)&lt;Preisindex!$A$6),ROUND($E271*CJ271,2),0))</f>
        <v>0</v>
      </c>
      <c r="CL271" s="53">
        <f t="shared" si="778"/>
        <v>0</v>
      </c>
      <c r="CM271" s="51">
        <f t="shared" si="754"/>
        <v>0</v>
      </c>
      <c r="CN271" s="51">
        <f t="shared" si="725"/>
        <v>0</v>
      </c>
      <c r="CO271" s="51">
        <f t="shared" si="779"/>
        <v>0</v>
      </c>
      <c r="CP271" s="51">
        <f t="shared" si="726"/>
        <v>0</v>
      </c>
      <c r="CQ271" s="51">
        <f t="shared" si="780"/>
        <v>0</v>
      </c>
      <c r="CR271" s="51">
        <f t="shared" si="727"/>
        <v>0</v>
      </c>
      <c r="CS271" s="51">
        <f t="shared" si="781"/>
        <v>0</v>
      </c>
      <c r="CT271" s="51">
        <f t="shared" si="728"/>
        <v>0</v>
      </c>
      <c r="CU271" s="51">
        <f t="shared" si="782"/>
        <v>0</v>
      </c>
      <c r="CV271" s="51">
        <f t="shared" si="729"/>
        <v>0</v>
      </c>
      <c r="CW271" s="51">
        <f t="shared" si="783"/>
        <v>0</v>
      </c>
      <c r="CX271" s="54">
        <f t="shared" si="784"/>
        <v>0</v>
      </c>
      <c r="CY271" s="55">
        <f t="shared" si="785"/>
        <v>0</v>
      </c>
      <c r="CZ271" s="56">
        <f>IF(AND($E271&lt;&gt;0,$F271&gt;0,YEAR($F271)&gt;=Preisindex!$A$6,YEAR(CU$4)&gt;=YEAR($F271),AND($K271&lt;&gt;"a",$K271&lt;&gt;"b",$K271&lt;&gt;"g",$K271&lt;&gt;"k")),1,IF(AND($E271&lt;&gt;0,$F271&gt;0,YEAR($F271)&gt;=Preisindex!$A$6,YEAR(CU$4)&gt;=YEAR($F271),$K271="a"),ROUND(VLOOKUP(CZ$4,Preisindex,5,FALSE)/VLOOKUP(YEAR($F271),Preisindex,5,FALSE),2),IF(AND($E271&lt;&gt;0,$F271&gt;0,YEAR($F271)&gt;=Preisindex!$A$6,YEAR(CU$4)&gt;=YEAR($F271),$K271="b"),ROUND(VLOOKUP(CZ$4,Preisindex,3,FALSE)/VLOOKUP(YEAR($F271),Preisindex,3,FALSE),2),IF(AND($E271&lt;&gt;0,$F271&gt;0,YEAR($F271)&gt;=Preisindex!$A$6,YEAR(CU$4)&gt;=YEAR($F271),$K271="g"),ROUND(VLOOKUP(CZ$4,Preisindex,4,FALSE)/VLOOKUP(YEAR($F271),Preisindex,4,FALSE),2),IF(AND($E271&lt;&gt;0,$F271&gt;0,YEAR($F271)&gt;=Preisindex!$A$6,YEAR(CU$4)&gt;=YEAR($F271),$K271="k"),ROUND(VLOOKUP(CZ$4,Preisindex,2,FALSE)/VLOOKUP(YEAR($F271),Preisindex,2,FALSE),2),0)))))</f>
        <v>0</v>
      </c>
      <c r="DA271" s="56">
        <f>IF(AND($E271&lt;&gt;0,$F271&gt;0,YEAR($F271)&lt;Preisindex!$A$6,YEAR(CU$4)&gt;=YEAR($F271),AND($K271&lt;&gt;"a",$K271&lt;&gt;"b",$K271&lt;&gt;"g",$K271&lt;&gt;"k")),1,IF(AND($E271&lt;&gt;0,$F271&gt;0,YEAR($F271)&lt;Preisindex!$A$6,YEAR(CU$4)&gt;=YEAR($F271),$K271="a"),ROUND(VLOOKUP(CZ$4,Preisindex,5,FALSE)/VLOOKUP(Preisindex!$A$6,Preisindex,5,FALSE),2),IF(AND($E271&lt;&gt;0,$F271&gt;0,YEAR($F271)&lt;Preisindex!$A$6,YEAR(CU$4)&gt;=YEAR($F271),$K271="b"),ROUND(VLOOKUP(CZ$4,Preisindex,3,FALSE)/VLOOKUP(Preisindex!$A$6,Preisindex,3,FALSE),2),IF(AND($E271&lt;&gt;0,$F271&gt;0,YEAR($F271)&lt;Preisindex!$A$6,YEAR(CU$4)&gt;=YEAR($F271),$K271="g"),ROUND(VLOOKUP(CZ$4,Preisindex,4,FALSE)/VLOOKUP(Preisindex!$A$6,Preisindex,4,FALSE),2),IF(AND($E271&lt;&gt;0,$F271&gt;0,YEAR($F271)&lt;Preisindex!$A$6,YEAR(CU$4)&gt;=YEAR($F271),$K271="k"),ROUND(VLOOKUP(CZ$4,Preisindex,2,FALSE)/VLOOKUP(Preisindex!$A$6,Preisindex,2,FALSE),2),0)))))</f>
        <v>0</v>
      </c>
      <c r="DB271" s="51">
        <f>IF(AND($E271&lt;&gt;0,$F271&gt;0,YEAR($F271)&lt;=CZ$4,YEAR($F271)&gt;=Preisindex!$A$6),ROUND($E271*CZ271,2),IF(AND($E271&lt;&gt;0,$F271&gt;0,YEAR($F271)&lt;=CZ$4,YEAR($F271)&lt;Preisindex!$A$6),ROUND($E271*DA271,2),0))</f>
        <v>0</v>
      </c>
      <c r="DC271" s="53">
        <f t="shared" si="786"/>
        <v>0</v>
      </c>
      <c r="DD271" s="51">
        <f t="shared" si="787"/>
        <v>0</v>
      </c>
      <c r="DE271" s="51">
        <f t="shared" si="730"/>
        <v>0</v>
      </c>
      <c r="DF271" s="51">
        <f t="shared" si="788"/>
        <v>0</v>
      </c>
      <c r="DG271" s="51">
        <f t="shared" si="731"/>
        <v>0</v>
      </c>
      <c r="DH271" s="51">
        <f t="shared" si="789"/>
        <v>0</v>
      </c>
      <c r="DI271" s="51">
        <f t="shared" si="732"/>
        <v>0</v>
      </c>
      <c r="DJ271" s="51">
        <f t="shared" si="790"/>
        <v>0</v>
      </c>
      <c r="DK271" s="51">
        <f t="shared" si="733"/>
        <v>0</v>
      </c>
      <c r="DL271" s="51">
        <f t="shared" si="791"/>
        <v>0</v>
      </c>
      <c r="DM271" s="51">
        <f t="shared" si="734"/>
        <v>0</v>
      </c>
      <c r="DN271" s="51">
        <f t="shared" si="792"/>
        <v>0</v>
      </c>
      <c r="DO271" s="54">
        <f t="shared" si="793"/>
        <v>0</v>
      </c>
      <c r="DP271" s="55">
        <f t="shared" si="794"/>
        <v>0</v>
      </c>
      <c r="DQ271" s="56">
        <f>IF(AND($E271&lt;&gt;0,$F271&gt;0,YEAR($F271)&gt;=Preisindex!$A$6,YEAR(DL$4)&gt;=YEAR($F271),AND($K271&lt;&gt;"a",$K271&lt;&gt;"b",$K271&lt;&gt;"g",$K271&lt;&gt;"k")),1,IF(AND($E271&lt;&gt;0,$F271&gt;0,YEAR($F271)&gt;=Preisindex!$A$6,YEAR(DL$4)&gt;=YEAR($F271),$K271="a"),ROUND(VLOOKUP(DQ$4,Preisindex,5,FALSE)/VLOOKUP(YEAR($F271),Preisindex,5,FALSE),2),IF(AND($E271&lt;&gt;0,$F271&gt;0,YEAR($F271)&gt;=Preisindex!$A$6,YEAR(DL$4)&gt;=YEAR($F271),$K271="b"),ROUND(VLOOKUP(DQ$4,Preisindex,3,FALSE)/VLOOKUP(YEAR($F271),Preisindex,3,FALSE),2),IF(AND($E271&lt;&gt;0,$F271&gt;0,YEAR($F271)&gt;=Preisindex!$A$6,YEAR(DL$4)&gt;=YEAR($F271),$K271="g"),ROUND(VLOOKUP(DQ$4,Preisindex,4,FALSE)/VLOOKUP(YEAR($F271),Preisindex,4,FALSE),2),IF(AND($E271&lt;&gt;0,$F271&gt;0,YEAR($F271)&gt;=Preisindex!$A$6,YEAR(DL$4)&gt;=YEAR($F271),$K271="k"),ROUND(VLOOKUP(DQ$4,Preisindex,2,FALSE)/VLOOKUP(YEAR($F271),Preisindex,2,FALSE),2),0)))))</f>
        <v>0</v>
      </c>
      <c r="DR271" s="56">
        <f>IF(AND($E271&lt;&gt;0,$F271&gt;0,YEAR($F271)&lt;Preisindex!$A$6,YEAR(DL$4)&gt;=YEAR($F271),AND($K271&lt;&gt;"a",$K271&lt;&gt;"b",$K271&lt;&gt;"g",$K271&lt;&gt;"k")),1,IF(AND($E271&lt;&gt;0,$F271&gt;0,YEAR($F271)&lt;Preisindex!$A$6,YEAR(DL$4)&gt;=YEAR($F271),$K271="a"),ROUND(VLOOKUP(DQ$4,Preisindex,5,FALSE)/VLOOKUP(Preisindex!$A$6,Preisindex,5,FALSE),2),IF(AND($E271&lt;&gt;0,$F271&gt;0,YEAR($F271)&lt;Preisindex!$A$6,YEAR(DL$4)&gt;=YEAR($F271),$K271="b"),ROUND(VLOOKUP(DQ$4,Preisindex,3,FALSE)/VLOOKUP(Preisindex!$A$6,Preisindex,3,FALSE),2),IF(AND($E271&lt;&gt;0,$F271&gt;0,YEAR($F271)&lt;Preisindex!$A$6,YEAR(DL$4)&gt;=YEAR($F271),$K271="g"),ROUND(VLOOKUP(DQ$4,Preisindex,4,FALSE)/VLOOKUP(Preisindex!$A$6,Preisindex,4,FALSE),2),IF(AND($E271&lt;&gt;0,$F271&gt;0,YEAR($F271)&lt;Preisindex!$A$6,YEAR(DL$4)&gt;=YEAR($F271),$K271="k"),ROUND(VLOOKUP(DQ$4,Preisindex,2,FALSE)/VLOOKUP(Preisindex!$A$6,Preisindex,2,FALSE),2),0)))))</f>
        <v>0</v>
      </c>
      <c r="DS271" s="51">
        <f>IF(AND($E271&lt;&gt;0,$F271&gt;0,YEAR($F271)&lt;=DQ$4,YEAR($F271)&gt;=Preisindex!$A$6),ROUND($E271*DQ271,2),IF(AND($E271&lt;&gt;0,$F271&gt;0,YEAR($F271)&lt;=DQ$4,YEAR($F271)&lt;Preisindex!$A$6),ROUND($E271*DR271,2),0))</f>
        <v>0</v>
      </c>
      <c r="DT271" s="53">
        <f t="shared" si="795"/>
        <v>0</v>
      </c>
      <c r="DU271" s="51">
        <f t="shared" si="787"/>
        <v>0</v>
      </c>
      <c r="DV271" s="51">
        <f t="shared" si="735"/>
        <v>0</v>
      </c>
      <c r="DW271" s="51">
        <f t="shared" si="796"/>
        <v>0</v>
      </c>
      <c r="DX271" s="51">
        <f t="shared" si="736"/>
        <v>0</v>
      </c>
      <c r="DY271" s="51">
        <f t="shared" si="797"/>
        <v>0</v>
      </c>
      <c r="DZ271" s="51">
        <f t="shared" si="737"/>
        <v>0</v>
      </c>
      <c r="EA271" s="51">
        <f t="shared" si="798"/>
        <v>0</v>
      </c>
      <c r="EB271" s="51">
        <f t="shared" si="738"/>
        <v>0</v>
      </c>
      <c r="EC271" s="51">
        <f t="shared" si="799"/>
        <v>0</v>
      </c>
      <c r="ED271" s="51">
        <f t="shared" si="739"/>
        <v>0</v>
      </c>
      <c r="EE271" s="51">
        <f t="shared" si="800"/>
        <v>0</v>
      </c>
      <c r="EF271" s="54">
        <f t="shared" si="801"/>
        <v>0</v>
      </c>
      <c r="EG271" s="55">
        <f t="shared" si="802"/>
        <v>0</v>
      </c>
      <c r="EH271" s="56">
        <f>IF(AND($E271&lt;&gt;0,$F271&gt;0,YEAR($F271)&gt;=Preisindex!$A$6,YEAR(EC$4)&gt;=YEAR($F271),AND($K271&lt;&gt;"a",$K271&lt;&gt;"b",$K271&lt;&gt;"g",$K271&lt;&gt;"k")),1,IF(AND($E271&lt;&gt;0,$F271&gt;0,YEAR($F271)&gt;=Preisindex!$A$6,YEAR(EC$4)&gt;=YEAR($F271),$K271="a"),ROUND(VLOOKUP(EH$4,Preisindex,5,FALSE)/VLOOKUP(YEAR($F271),Preisindex,5,FALSE),2),IF(AND($E271&lt;&gt;0,$F271&gt;0,YEAR($F271)&gt;=Preisindex!$A$6,YEAR(EC$4)&gt;=YEAR($F271),$K271="b"),ROUND(VLOOKUP(EH$4,Preisindex,3,FALSE)/VLOOKUP(YEAR($F271),Preisindex,3,FALSE),2),IF(AND($E271&lt;&gt;0,$F271&gt;0,YEAR($F271)&gt;=Preisindex!$A$6,YEAR(EC$4)&gt;=YEAR($F271),$K271="g"),ROUND(VLOOKUP(EH$4,Preisindex,4,FALSE)/VLOOKUP(YEAR($F271),Preisindex,4,FALSE),2),IF(AND($E271&lt;&gt;0,$F271&gt;0,YEAR($F271)&gt;=Preisindex!$A$6,YEAR(EC$4)&gt;=YEAR($F271),$K271="k"),ROUND(VLOOKUP(EH$4,Preisindex,2,FALSE)/VLOOKUP(YEAR($F271),Preisindex,2,FALSE),2),0)))))</f>
        <v>0</v>
      </c>
      <c r="EI271" s="56">
        <f>IF(AND($E271&lt;&gt;0,$F271&gt;0,YEAR($F271)&lt;Preisindex!$A$6,YEAR(EC$4)&gt;=YEAR($F271),AND($K271&lt;&gt;"a",$K271&lt;&gt;"b",$K271&lt;&gt;"g",$K271&lt;&gt;"k")),1,IF(AND($E271&lt;&gt;0,$F271&gt;0,YEAR($F271)&lt;Preisindex!$A$6,YEAR(EC$4)&gt;=YEAR($F271),$K271="a"),ROUND(VLOOKUP(EH$4,Preisindex,5,FALSE)/VLOOKUP(Preisindex!$A$6,Preisindex,5,FALSE),2),IF(AND($E271&lt;&gt;0,$F271&gt;0,YEAR($F271)&lt;Preisindex!$A$6,YEAR(EC$4)&gt;=YEAR($F271),$K271="b"),ROUND(VLOOKUP(EH$4,Preisindex,3,FALSE)/VLOOKUP(Preisindex!$A$6,Preisindex,3,FALSE),2),IF(AND($E271&lt;&gt;0,$F271&gt;0,YEAR($F271)&lt;Preisindex!$A$6,YEAR(EC$4)&gt;=YEAR($F271),$K271="g"),ROUND(VLOOKUP(EH$4,Preisindex,4,FALSE)/VLOOKUP(Preisindex!$A$6,Preisindex,4,FALSE),2),IF(AND($E271&lt;&gt;0,$F271&gt;0,YEAR($F271)&lt;Preisindex!$A$6,YEAR(EC$4)&gt;=YEAR($F271),$K271="k"),ROUND(VLOOKUP(EH$4,Preisindex,2,FALSE)/VLOOKUP(Preisindex!$A$6,Preisindex,2,FALSE),2),0)))))</f>
        <v>0</v>
      </c>
      <c r="EJ271" s="51">
        <f>IF(AND($E271&lt;&gt;0,$F271&gt;0,YEAR($F271)&lt;=EH$4,YEAR($F271)&gt;=Preisindex!$A$6),ROUND($E271*EH271,2),IF(AND($E271&lt;&gt;0,$F271&gt;0,YEAR($F271)&lt;=EH$4,YEAR($F271)&lt;Preisindex!$A$6),ROUND($E271*EI271,2),0))</f>
        <v>0</v>
      </c>
      <c r="EK271" s="53">
        <f t="shared" si="803"/>
        <v>0</v>
      </c>
      <c r="EL271" s="51">
        <f t="shared" si="787"/>
        <v>0</v>
      </c>
      <c r="EM271" s="51">
        <f t="shared" si="740"/>
        <v>0</v>
      </c>
      <c r="EN271" s="51">
        <f t="shared" si="804"/>
        <v>0</v>
      </c>
      <c r="EO271" s="51">
        <f t="shared" si="741"/>
        <v>0</v>
      </c>
      <c r="EP271" s="51">
        <f t="shared" si="805"/>
        <v>0</v>
      </c>
      <c r="EQ271" s="51">
        <f t="shared" si="742"/>
        <v>0</v>
      </c>
      <c r="ER271" s="51">
        <f t="shared" si="806"/>
        <v>0</v>
      </c>
      <c r="ES271" s="51">
        <f t="shared" si="743"/>
        <v>0</v>
      </c>
      <c r="ET271" s="51">
        <f t="shared" si="807"/>
        <v>0</v>
      </c>
      <c r="EU271" s="51">
        <f t="shared" si="744"/>
        <v>0</v>
      </c>
      <c r="EV271" s="51">
        <f t="shared" si="808"/>
        <v>0</v>
      </c>
      <c r="EW271" s="54">
        <f t="shared" si="809"/>
        <v>0</v>
      </c>
      <c r="EX271" s="55">
        <f t="shared" si="810"/>
        <v>0</v>
      </c>
      <c r="EY271" s="56">
        <f>IF(AND($E271&lt;&gt;0,$F271&gt;0,YEAR($F271)&gt;=Preisindex!$A$6,YEAR(ET$4)&gt;=YEAR($F271),AND($K271&lt;&gt;"a",$K271&lt;&gt;"b",$K271&lt;&gt;"g",$K271&lt;&gt;"k")),1,IF(AND($E271&lt;&gt;0,$F271&gt;0,YEAR($F271)&gt;=Preisindex!$A$6,YEAR(ET$4)&gt;=YEAR($F271),$K271="a"),ROUND(VLOOKUP(EY$4,Preisindex,5,FALSE)/VLOOKUP(YEAR($F271),Preisindex,5,FALSE),2),IF(AND($E271&lt;&gt;0,$F271&gt;0,YEAR($F271)&gt;=Preisindex!$A$6,YEAR(ET$4)&gt;=YEAR($F271),$K271="b"),ROUND(VLOOKUP(EY$4,Preisindex,3,FALSE)/VLOOKUP(YEAR($F271),Preisindex,3,FALSE),2),IF(AND($E271&lt;&gt;0,$F271&gt;0,YEAR($F271)&gt;=Preisindex!$A$6,YEAR(ET$4)&gt;=YEAR($F271),$K271="g"),ROUND(VLOOKUP(EY$4,Preisindex,4,FALSE)/VLOOKUP(YEAR($F271),Preisindex,4,FALSE),2),IF(AND($E271&lt;&gt;0,$F271&gt;0,YEAR($F271)&gt;=Preisindex!$A$6,YEAR(ET$4)&gt;=YEAR($F271),$K271="k"),ROUND(VLOOKUP(EY$4,Preisindex,2,FALSE)/VLOOKUP(YEAR($F271),Preisindex,2,FALSE),2),0)))))</f>
        <v>0</v>
      </c>
      <c r="EZ271" s="56">
        <f>IF(AND($E271&lt;&gt;0,$F271&gt;0,YEAR($F271)&lt;Preisindex!$A$6,YEAR(ET$4)&gt;=YEAR($F271),AND($K271&lt;&gt;"a",$K271&lt;&gt;"b",$K271&lt;&gt;"g",$K271&lt;&gt;"k")),1,IF(AND($E271&lt;&gt;0,$F271&gt;0,YEAR($F271)&lt;Preisindex!$A$6,YEAR(ET$4)&gt;=YEAR($F271),$K271="a"),ROUND(VLOOKUP(EY$4,Preisindex,5,FALSE)/VLOOKUP(Preisindex!$A$6,Preisindex,5,FALSE),2),IF(AND($E271&lt;&gt;0,$F271&gt;0,YEAR($F271)&lt;Preisindex!$A$6,YEAR(ET$4)&gt;=YEAR($F271),$K271="b"),ROUND(VLOOKUP(EY$4,Preisindex,3,FALSE)/VLOOKUP(Preisindex!$A$6,Preisindex,3,FALSE),2),IF(AND($E271&lt;&gt;0,$F271&gt;0,YEAR($F271)&lt;Preisindex!$A$6,YEAR(ET$4)&gt;=YEAR($F271),$K271="g"),ROUND(VLOOKUP(EY$4,Preisindex,4,FALSE)/VLOOKUP(Preisindex!$A$6,Preisindex,4,FALSE),2),IF(AND($E271&lt;&gt;0,$F271&gt;0,YEAR($F271)&lt;Preisindex!$A$6,YEAR(ET$4)&gt;=YEAR($F271),$K271="k"),ROUND(VLOOKUP(EY$4,Preisindex,2,FALSE)/VLOOKUP(Preisindex!$A$6,Preisindex,2,FALSE),2),0)))))</f>
        <v>0</v>
      </c>
      <c r="FA271" s="51">
        <f>IF(AND($E271&lt;&gt;0,$F271&gt;0,YEAR($F271)&lt;=EY$4,YEAR($F271)&gt;=Preisindex!$A$6),ROUND($E271*EY271,2),IF(AND($E271&lt;&gt;0,$F271&gt;0,YEAR($F271)&lt;=EY$4,YEAR($F271)&lt;Preisindex!$A$6),ROUND($E271*EZ271,2),0))</f>
        <v>0</v>
      </c>
      <c r="FB271" s="53">
        <f t="shared" si="811"/>
        <v>0</v>
      </c>
      <c r="FC271" s="51">
        <f t="shared" si="787"/>
        <v>0</v>
      </c>
      <c r="FD271" s="51">
        <f t="shared" si="745"/>
        <v>0</v>
      </c>
      <c r="FE271" s="51">
        <f t="shared" si="812"/>
        <v>0</v>
      </c>
      <c r="FF271" s="51">
        <f t="shared" si="746"/>
        <v>0</v>
      </c>
      <c r="FG271" s="51">
        <f t="shared" si="813"/>
        <v>0</v>
      </c>
      <c r="FH271" s="51">
        <f t="shared" si="747"/>
        <v>0</v>
      </c>
      <c r="FI271" s="51">
        <f t="shared" si="814"/>
        <v>0</v>
      </c>
      <c r="FJ271" s="51">
        <f t="shared" si="748"/>
        <v>0</v>
      </c>
      <c r="FK271" s="51">
        <f t="shared" si="815"/>
        <v>0</v>
      </c>
      <c r="FL271" s="51">
        <f t="shared" si="749"/>
        <v>0</v>
      </c>
      <c r="FM271" s="51">
        <f t="shared" si="816"/>
        <v>0</v>
      </c>
      <c r="FN271" s="54">
        <f t="shared" si="817"/>
        <v>0</v>
      </c>
      <c r="FO271" s="55">
        <f t="shared" si="818"/>
        <v>0</v>
      </c>
      <c r="FP271" s="56">
        <f>IF(AND($E271&lt;&gt;0,$F271&gt;0,YEAR($F271)&gt;=Preisindex!$A$6,YEAR(FK$4)&gt;=YEAR($F271),AND($K271&lt;&gt;"a",$K271&lt;&gt;"b",$K271&lt;&gt;"g",$K271&lt;&gt;"k")),1,IF(AND($E271&lt;&gt;0,$F271&gt;0,YEAR($F271)&gt;=Preisindex!$A$6,YEAR(FK$4)&gt;=YEAR($F271),$K271="a"),ROUND(VLOOKUP(FP$4,Preisindex,5,FALSE)/VLOOKUP(YEAR($F271),Preisindex,5,FALSE),2),IF(AND($E271&lt;&gt;0,$F271&gt;0,YEAR($F271)&gt;=Preisindex!$A$6,YEAR(FK$4)&gt;=YEAR($F271),$K271="b"),ROUND(VLOOKUP(FP$4,Preisindex,3,FALSE)/VLOOKUP(YEAR($F271),Preisindex,3,FALSE),2),IF(AND($E271&lt;&gt;0,$F271&gt;0,YEAR($F271)&gt;=Preisindex!$A$6,YEAR(FK$4)&gt;=YEAR($F271),$K271="g"),ROUND(VLOOKUP(FP$4,Preisindex,4,FALSE)/VLOOKUP(YEAR($F271),Preisindex,4,FALSE),2),IF(AND($E271&lt;&gt;0,$F271&gt;0,YEAR($F271)&gt;=Preisindex!$A$6,YEAR(FK$4)&gt;=YEAR($F271),$K271="k"),ROUND(VLOOKUP(FP$4,Preisindex,2,FALSE)/VLOOKUP(YEAR($F271),Preisindex,2,FALSE),2),0)))))</f>
        <v>0</v>
      </c>
      <c r="FQ271" s="56">
        <f>IF(AND($E271&lt;&gt;0,$F271&gt;0,YEAR($F271)&lt;Preisindex!$A$6,YEAR(FK$4)&gt;=YEAR($F271),AND($K271&lt;&gt;"a",$K271&lt;&gt;"b",$K271&lt;&gt;"g",$K271&lt;&gt;"k")),1,IF(AND($E271&lt;&gt;0,$F271&gt;0,YEAR($F271)&lt;Preisindex!$A$6,YEAR(FK$4)&gt;=YEAR($F271),$K271="a"),ROUND(VLOOKUP(FP$4,Preisindex,5,FALSE)/VLOOKUP(Preisindex!$A$6,Preisindex,5,FALSE),2),IF(AND($E271&lt;&gt;0,$F271&gt;0,YEAR($F271)&lt;Preisindex!$A$6,YEAR(FK$4)&gt;=YEAR($F271),$K271="b"),ROUND(VLOOKUP(FP$4,Preisindex,3,FALSE)/VLOOKUP(Preisindex!$A$6,Preisindex,3,FALSE),2),IF(AND($E271&lt;&gt;0,$F271&gt;0,YEAR($F271)&lt;Preisindex!$A$6,YEAR(FK$4)&gt;=YEAR($F271),$K271="g"),ROUND(VLOOKUP(FP$4,Preisindex,4,FALSE)/VLOOKUP(Preisindex!$A$6,Preisindex,4,FALSE),2),IF(AND($E271&lt;&gt;0,$F271&gt;0,YEAR($F271)&lt;Preisindex!$A$6,YEAR(FK$4)&gt;=YEAR($F271),$K271="k"),ROUND(VLOOKUP(FP$4,Preisindex,2,FALSE)/VLOOKUP(Preisindex!$A$6,Preisindex,2,FALSE),2),0)))))</f>
        <v>0</v>
      </c>
      <c r="FR271" s="51">
        <f>IF(AND($E271&lt;&gt;0,$F271&gt;0,YEAR($F271)&lt;=FP$4,YEAR($F271)&gt;=Preisindex!$A$6),ROUND($E271*FP271,2),IF(AND($E271&lt;&gt;0,$F271&gt;0,YEAR($F271)&lt;=FP$4,YEAR($F271)&lt;Preisindex!$A$6),ROUND($E271*FQ271,2),0))</f>
        <v>0</v>
      </c>
      <c r="FS271" s="53">
        <f t="shared" si="819"/>
        <v>0</v>
      </c>
    </row>
    <row r="272" spans="1:175" x14ac:dyDescent="0.3">
      <c r="A272" s="185"/>
      <c r="B272" s="186"/>
      <c r="C272" s="187"/>
      <c r="D272" s="188"/>
      <c r="E272" s="189"/>
      <c r="F272" s="190"/>
      <c r="G272" s="191"/>
      <c r="H272" s="192"/>
      <c r="I272" s="193"/>
      <c r="J272" s="194"/>
      <c r="K272" s="630"/>
      <c r="L272" s="49">
        <f t="shared" si="820"/>
        <v>0</v>
      </c>
      <c r="M272" s="50">
        <f t="shared" si="821"/>
        <v>0</v>
      </c>
      <c r="N272" s="51">
        <f t="shared" si="822"/>
        <v>0</v>
      </c>
      <c r="O272" s="51"/>
      <c r="P272" s="51">
        <f t="shared" si="823"/>
        <v>0</v>
      </c>
      <c r="Q272" s="52"/>
      <c r="R272" s="52"/>
      <c r="S272" s="52"/>
      <c r="T272" s="52"/>
      <c r="U272" s="52"/>
      <c r="V272" s="53">
        <f t="shared" si="824"/>
        <v>0</v>
      </c>
      <c r="W272" s="51">
        <f t="shared" si="825"/>
        <v>0</v>
      </c>
      <c r="X272" s="51">
        <f t="shared" si="826"/>
        <v>0</v>
      </c>
      <c r="Y272" s="51">
        <f t="shared" si="827"/>
        <v>0</v>
      </c>
      <c r="Z272" s="51">
        <f t="shared" si="828"/>
        <v>0</v>
      </c>
      <c r="AA272" s="51">
        <f t="shared" si="829"/>
        <v>0</v>
      </c>
      <c r="AB272" s="51">
        <f t="shared" si="830"/>
        <v>0</v>
      </c>
      <c r="AC272" s="51">
        <f t="shared" si="831"/>
        <v>0</v>
      </c>
      <c r="AD272" s="51">
        <f t="shared" si="832"/>
        <v>0</v>
      </c>
      <c r="AE272" s="51">
        <f t="shared" si="833"/>
        <v>0</v>
      </c>
      <c r="AF272" s="51">
        <f t="shared" si="834"/>
        <v>0</v>
      </c>
      <c r="AG272" s="51">
        <f t="shared" si="835"/>
        <v>0</v>
      </c>
      <c r="AH272" s="54">
        <f t="shared" si="836"/>
        <v>0</v>
      </c>
      <c r="AI272" s="55">
        <f t="shared" si="837"/>
        <v>0</v>
      </c>
      <c r="AJ272" s="56">
        <f>IF(AND($E272&lt;&gt;0,$F272&gt;0,YEAR($F272)&gt;=Preisindex!$A$6,YEAR(AE$4)&gt;=YEAR($F272),AND($K272&lt;&gt;"a",$K272&lt;&gt;"b",$K272&lt;&gt;"g",$K272&lt;&gt;"k")),1,IF(AND($E272&lt;&gt;0,$F272&gt;0,YEAR($F272)&gt;=Preisindex!$A$6,YEAR(AE$4)&gt;=YEAR($F272),$K272="a"),ROUND(VLOOKUP(AJ$4,Preisindex,5,FALSE)/VLOOKUP(YEAR($F272),Preisindex,5,FALSE),2),IF(AND($E272&lt;&gt;0,$F272&gt;0,YEAR($F272)&gt;=Preisindex!$A$6,YEAR(AE$4)&gt;=YEAR($F272),$K272="b"),ROUND(VLOOKUP(AJ$4,Preisindex,3,FALSE)/VLOOKUP(YEAR($F272),Preisindex,3,FALSE),2),IF(AND($E272&lt;&gt;0,$F272&gt;0,YEAR($F272)&gt;=Preisindex!$A$6,YEAR(AE$4)&gt;=YEAR($F272),$K272="g"),ROUND(VLOOKUP(AJ$4,Preisindex,4,FALSE)/VLOOKUP(YEAR($F272),Preisindex,4,FALSE),2),IF(AND($E272&lt;&gt;0,$F272&gt;0,YEAR($F272)&gt;=Preisindex!$A$6,YEAR(AE$4)&gt;=YEAR($F272),$K272="k"),ROUND(VLOOKUP(AJ$4,Preisindex,2,FALSE)/VLOOKUP(YEAR($F272),Preisindex,2,FALSE),2),0)))))</f>
        <v>0</v>
      </c>
      <c r="AK272" s="56">
        <f>IF(AND($E272&lt;&gt;0,$F272&gt;0,YEAR($F272)&lt;Preisindex!$A$6,YEAR(AE$4)&gt;=YEAR($F272),AND($K272&lt;&gt;"a",$K272&lt;&gt;"b",$K272&lt;&gt;"g",$K272&lt;&gt;"k")),1,IF(AND($E272&lt;&gt;0,$F272&gt;0,YEAR($F272)&lt;Preisindex!$A$6,YEAR(AE$4)&gt;=YEAR($F272),$K272="a"),ROUND(VLOOKUP(AJ$4,Preisindex,5,FALSE)/VLOOKUP(Preisindex!$A$6,Preisindex,5,FALSE),2),IF(AND($E272&lt;&gt;0,$F272&gt;0,YEAR($F272)&lt;Preisindex!$A$6,YEAR(AE$4)&gt;=YEAR($F272),$K272="b"),ROUND(VLOOKUP(AJ$4,Preisindex,3,FALSE)/VLOOKUP(Preisindex!$A$6,Preisindex,3,FALSE),2),IF(AND($E272&lt;&gt;0,$F272&gt;0,YEAR($F272)&lt;Preisindex!$A$6,YEAR(AE$4)&gt;=YEAR($F272),$K272="g"),ROUND(VLOOKUP(AJ$4,Preisindex,4,FALSE)/VLOOKUP(Preisindex!$A$6,Preisindex,4,FALSE),2),IF(AND($E272&lt;&gt;0,$F272&gt;0,YEAR($F272)&lt;Preisindex!$A$6,YEAR(AE$4)&gt;=YEAR($F272),$K272="k"),ROUND(VLOOKUP(AJ$4,Preisindex,2,FALSE)/VLOOKUP(Preisindex!$A$6,Preisindex,2,FALSE),2),0)))))</f>
        <v>0</v>
      </c>
      <c r="AL272" s="51">
        <f>IF(AND($E272&lt;&gt;0,$F272&gt;0,YEAR($F272)&lt;=AJ$4,YEAR($F272)&gt;=Preisindex!$A$6),ROUND($E272*AJ272,2),IF(AND($E272&lt;&gt;0,$F272&gt;0,YEAR($F272)&lt;=AJ$4,YEAR($F272)&lt;Preisindex!$A$6),ROUND($E272*AK272,2),0))</f>
        <v>0</v>
      </c>
      <c r="AM272" s="53">
        <f t="shared" si="838"/>
        <v>0</v>
      </c>
      <c r="AN272" s="51">
        <f t="shared" si="754"/>
        <v>0</v>
      </c>
      <c r="AO272" s="51">
        <f t="shared" si="710"/>
        <v>0</v>
      </c>
      <c r="AP272" s="51">
        <f t="shared" si="755"/>
        <v>0</v>
      </c>
      <c r="AQ272" s="51">
        <f t="shared" si="711"/>
        <v>0</v>
      </c>
      <c r="AR272" s="51">
        <f t="shared" si="756"/>
        <v>0</v>
      </c>
      <c r="AS272" s="51">
        <f t="shared" si="712"/>
        <v>0</v>
      </c>
      <c r="AT272" s="51">
        <f t="shared" si="757"/>
        <v>0</v>
      </c>
      <c r="AU272" s="51">
        <f t="shared" si="713"/>
        <v>0</v>
      </c>
      <c r="AV272" s="51">
        <f t="shared" si="758"/>
        <v>0</v>
      </c>
      <c r="AW272" s="51">
        <f t="shared" si="714"/>
        <v>0</v>
      </c>
      <c r="AX272" s="51">
        <f t="shared" si="759"/>
        <v>0</v>
      </c>
      <c r="AY272" s="54">
        <f t="shared" si="760"/>
        <v>0</v>
      </c>
      <c r="AZ272" s="55">
        <f t="shared" si="761"/>
        <v>0</v>
      </c>
      <c r="BA272" s="56">
        <f>IF(AND($E272&lt;&gt;0,$F272&gt;0,YEAR($F272)&gt;=Preisindex!$A$6,YEAR(AV$4)&gt;=YEAR($F272),AND($K272&lt;&gt;"a",$K272&lt;&gt;"b",$K272&lt;&gt;"g",$K272&lt;&gt;"k")),1,IF(AND($E272&lt;&gt;0,$F272&gt;0,YEAR($F272)&gt;=Preisindex!$A$6,YEAR(AV$4)&gt;=YEAR($F272),$K272="a"),ROUND(VLOOKUP(BA$4,Preisindex,5,FALSE)/VLOOKUP(YEAR($F272),Preisindex,5,FALSE),2),IF(AND($E272&lt;&gt;0,$F272&gt;0,YEAR($F272)&gt;=Preisindex!$A$6,YEAR(AV$4)&gt;=YEAR($F272),$K272="b"),ROUND(VLOOKUP(BA$4,Preisindex,3,FALSE)/VLOOKUP(YEAR($F272),Preisindex,3,FALSE),2),IF(AND($E272&lt;&gt;0,$F272&gt;0,YEAR($F272)&gt;=Preisindex!$A$6,YEAR(AV$4)&gt;=YEAR($F272),$K272="g"),ROUND(VLOOKUP(BA$4,Preisindex,4,FALSE)/VLOOKUP(YEAR($F272),Preisindex,4,FALSE),2),IF(AND($E272&lt;&gt;0,$F272&gt;0,YEAR($F272)&gt;=Preisindex!$A$6,YEAR(AV$4)&gt;=YEAR($F272),$K272="k"),ROUND(VLOOKUP(BA$4,Preisindex,2,FALSE)/VLOOKUP(YEAR($F272),Preisindex,2,FALSE),2),0)))))</f>
        <v>0</v>
      </c>
      <c r="BB272" s="56">
        <f>IF(AND($E272&lt;&gt;0,$F272&gt;0,YEAR($F272)&lt;Preisindex!$A$6,YEAR(AV$4)&gt;=YEAR($F272),AND($K272&lt;&gt;"a",$K272&lt;&gt;"b",$K272&lt;&gt;"g",$K272&lt;&gt;"k")),1,IF(AND($E272&lt;&gt;0,$F272&gt;0,YEAR($F272)&lt;Preisindex!$A$6,YEAR(AV$4)&gt;=YEAR($F272),$K272="a"),ROUND(VLOOKUP(BA$4,Preisindex,5,FALSE)/VLOOKUP(Preisindex!$A$6,Preisindex,5,FALSE),2),IF(AND($E272&lt;&gt;0,$F272&gt;0,YEAR($F272)&lt;Preisindex!$A$6,YEAR(AV$4)&gt;=YEAR($F272),$K272="b"),ROUND(VLOOKUP(BA$4,Preisindex,3,FALSE)/VLOOKUP(Preisindex!$A$6,Preisindex,3,FALSE),2),IF(AND($E272&lt;&gt;0,$F272&gt;0,YEAR($F272)&lt;Preisindex!$A$6,YEAR(AV$4)&gt;=YEAR($F272),$K272="g"),ROUND(VLOOKUP(BA$4,Preisindex,4,FALSE)/VLOOKUP(Preisindex!$A$6,Preisindex,4,FALSE),2),IF(AND($E272&lt;&gt;0,$F272&gt;0,YEAR($F272)&lt;Preisindex!$A$6,YEAR(AV$4)&gt;=YEAR($F272),$K272="k"),ROUND(VLOOKUP(BA$4,Preisindex,2,FALSE)/VLOOKUP(Preisindex!$A$6,Preisindex,2,FALSE),2),0)))))</f>
        <v>0</v>
      </c>
      <c r="BC272" s="51">
        <f>IF(AND($E272&lt;&gt;0,$F272&gt;0,YEAR($F272)&lt;=BA$4,YEAR($F272)&gt;=Preisindex!$A$6),ROUND($E272*BA272,2),IF(AND($E272&lt;&gt;0,$F272&gt;0,YEAR($F272)&lt;=BA$4,YEAR($F272)&lt;Preisindex!$A$6),ROUND($E272*BB272,2),0))</f>
        <v>0</v>
      </c>
      <c r="BD272" s="53">
        <f t="shared" si="762"/>
        <v>0</v>
      </c>
      <c r="BE272" s="51">
        <f t="shared" si="754"/>
        <v>0</v>
      </c>
      <c r="BF272" s="51">
        <f t="shared" si="715"/>
        <v>0</v>
      </c>
      <c r="BG272" s="51">
        <f t="shared" si="763"/>
        <v>0</v>
      </c>
      <c r="BH272" s="51">
        <f t="shared" si="716"/>
        <v>0</v>
      </c>
      <c r="BI272" s="51">
        <f t="shared" si="764"/>
        <v>0</v>
      </c>
      <c r="BJ272" s="51">
        <f t="shared" si="717"/>
        <v>0</v>
      </c>
      <c r="BK272" s="51">
        <f t="shared" si="765"/>
        <v>0</v>
      </c>
      <c r="BL272" s="51">
        <f t="shared" si="718"/>
        <v>0</v>
      </c>
      <c r="BM272" s="51">
        <f t="shared" si="766"/>
        <v>0</v>
      </c>
      <c r="BN272" s="51">
        <f t="shared" si="719"/>
        <v>0</v>
      </c>
      <c r="BO272" s="51">
        <f t="shared" si="767"/>
        <v>0</v>
      </c>
      <c r="BP272" s="54">
        <f t="shared" si="768"/>
        <v>0</v>
      </c>
      <c r="BQ272" s="55">
        <f t="shared" si="769"/>
        <v>0</v>
      </c>
      <c r="BR272" s="56">
        <f>IF(AND($E272&lt;&gt;0,$F272&gt;0,YEAR($F272)&gt;=Preisindex!$A$6,YEAR(BM$4)&gt;=YEAR($F272),AND($K272&lt;&gt;"a",$K272&lt;&gt;"b",$K272&lt;&gt;"g",$K272&lt;&gt;"k")),1,IF(AND($E272&lt;&gt;0,$F272&gt;0,YEAR($F272)&gt;=Preisindex!$A$6,YEAR(BM$4)&gt;=YEAR($F272),$K272="a"),ROUND(VLOOKUP(BR$4,Preisindex,5,FALSE)/VLOOKUP(YEAR($F272),Preisindex,5,FALSE),2),IF(AND($E272&lt;&gt;0,$F272&gt;0,YEAR($F272)&gt;=Preisindex!$A$6,YEAR(BM$4)&gt;=YEAR($F272),$K272="b"),ROUND(VLOOKUP(BR$4,Preisindex,3,FALSE)/VLOOKUP(YEAR($F272),Preisindex,3,FALSE),2),IF(AND($E272&lt;&gt;0,$F272&gt;0,YEAR($F272)&gt;=Preisindex!$A$6,YEAR(BM$4)&gt;=YEAR($F272),$K272="g"),ROUND(VLOOKUP(BR$4,Preisindex,4,FALSE)/VLOOKUP(YEAR($F272),Preisindex,4,FALSE),2),IF(AND($E272&lt;&gt;0,$F272&gt;0,YEAR($F272)&gt;=Preisindex!$A$6,YEAR(BM$4)&gt;=YEAR($F272),$K272="k"),ROUND(VLOOKUP(BR$4,Preisindex,2,FALSE)/VLOOKUP(YEAR($F272),Preisindex,2,FALSE),2),0)))))</f>
        <v>0</v>
      </c>
      <c r="BS272" s="56">
        <f>IF(AND($E272&lt;&gt;0,$F272&gt;0,YEAR($F272)&lt;Preisindex!$A$6,YEAR(BM$4)&gt;=YEAR($F272),AND($K272&lt;&gt;"a",$K272&lt;&gt;"b",$K272&lt;&gt;"g",$K272&lt;&gt;"k")),1,IF(AND($E272&lt;&gt;0,$F272&gt;0,YEAR($F272)&lt;Preisindex!$A$6,YEAR(BM$4)&gt;=YEAR($F272),$K272="a"),ROUND(VLOOKUP(BR$4,Preisindex,5,FALSE)/VLOOKUP(Preisindex!$A$6,Preisindex,5,FALSE),2),IF(AND($E272&lt;&gt;0,$F272&gt;0,YEAR($F272)&lt;Preisindex!$A$6,YEAR(BM$4)&gt;=YEAR($F272),$K272="b"),ROUND(VLOOKUP(BR$4,Preisindex,3,FALSE)/VLOOKUP(Preisindex!$A$6,Preisindex,3,FALSE),2),IF(AND($E272&lt;&gt;0,$F272&gt;0,YEAR($F272)&lt;Preisindex!$A$6,YEAR(BM$4)&gt;=YEAR($F272),$K272="g"),ROUND(VLOOKUP(BR$4,Preisindex,4,FALSE)/VLOOKUP(Preisindex!$A$6,Preisindex,4,FALSE),2),IF(AND($E272&lt;&gt;0,$F272&gt;0,YEAR($F272)&lt;Preisindex!$A$6,YEAR(BM$4)&gt;=YEAR($F272),$K272="k"),ROUND(VLOOKUP(BR$4,Preisindex,2,FALSE)/VLOOKUP(Preisindex!$A$6,Preisindex,2,FALSE),2),0)))))</f>
        <v>0</v>
      </c>
      <c r="BT272" s="51">
        <f>IF(AND($E272&lt;&gt;0,$F272&gt;0,YEAR($F272)&lt;=BR$4,YEAR($F272)&gt;=Preisindex!$A$6),ROUND($E272*BR272,2),IF(AND($E272&lt;&gt;0,$F272&gt;0,YEAR($F272)&lt;=BR$4,YEAR($F272)&lt;Preisindex!$A$6),ROUND($E272*BS272,2),0))</f>
        <v>0</v>
      </c>
      <c r="BU272" s="53">
        <f t="shared" si="770"/>
        <v>0</v>
      </c>
      <c r="BV272" s="51">
        <f t="shared" si="754"/>
        <v>0</v>
      </c>
      <c r="BW272" s="51">
        <f t="shared" si="720"/>
        <v>0</v>
      </c>
      <c r="BX272" s="51">
        <f t="shared" si="771"/>
        <v>0</v>
      </c>
      <c r="BY272" s="51">
        <f t="shared" si="721"/>
        <v>0</v>
      </c>
      <c r="BZ272" s="51">
        <f t="shared" si="772"/>
        <v>0</v>
      </c>
      <c r="CA272" s="51">
        <f t="shared" si="722"/>
        <v>0</v>
      </c>
      <c r="CB272" s="51">
        <f t="shared" si="773"/>
        <v>0</v>
      </c>
      <c r="CC272" s="51">
        <f t="shared" si="723"/>
        <v>0</v>
      </c>
      <c r="CD272" s="51">
        <f t="shared" si="774"/>
        <v>0</v>
      </c>
      <c r="CE272" s="51">
        <f t="shared" si="724"/>
        <v>0</v>
      </c>
      <c r="CF272" s="51">
        <f t="shared" si="775"/>
        <v>0</v>
      </c>
      <c r="CG272" s="54">
        <f t="shared" si="776"/>
        <v>0</v>
      </c>
      <c r="CH272" s="55">
        <f t="shared" si="777"/>
        <v>0</v>
      </c>
      <c r="CI272" s="56">
        <f>IF(AND($E272&lt;&gt;0,$F272&gt;0,YEAR($F272)&gt;=Preisindex!$A$6,YEAR(CD$4)&gt;=YEAR($F272),AND($K272&lt;&gt;"a",$K272&lt;&gt;"b",$K272&lt;&gt;"g",$K272&lt;&gt;"k")),1,IF(AND($E272&lt;&gt;0,$F272&gt;0,YEAR($F272)&gt;=Preisindex!$A$6,YEAR(CD$4)&gt;=YEAR($F272),$K272="a"),ROUND(VLOOKUP(CI$4,Preisindex,5,FALSE)/VLOOKUP(YEAR($F272),Preisindex,5,FALSE),2),IF(AND($E272&lt;&gt;0,$F272&gt;0,YEAR($F272)&gt;=Preisindex!$A$6,YEAR(CD$4)&gt;=YEAR($F272),$K272="b"),ROUND(VLOOKUP(CI$4,Preisindex,3,FALSE)/VLOOKUP(YEAR($F272),Preisindex,3,FALSE),2),IF(AND($E272&lt;&gt;0,$F272&gt;0,YEAR($F272)&gt;=Preisindex!$A$6,YEAR(CD$4)&gt;=YEAR($F272),$K272="g"),ROUND(VLOOKUP(CI$4,Preisindex,4,FALSE)/VLOOKUP(YEAR($F272),Preisindex,4,FALSE),2),IF(AND($E272&lt;&gt;0,$F272&gt;0,YEAR($F272)&gt;=Preisindex!$A$6,YEAR(CD$4)&gt;=YEAR($F272),$K272="k"),ROUND(VLOOKUP(CI$4,Preisindex,2,FALSE)/VLOOKUP(YEAR($F272),Preisindex,2,FALSE),2),0)))))</f>
        <v>0</v>
      </c>
      <c r="CJ272" s="56">
        <f>IF(AND($E272&lt;&gt;0,$F272&gt;0,YEAR($F272)&lt;Preisindex!$A$6,YEAR(CD$4)&gt;=YEAR($F272),AND($K272&lt;&gt;"a",$K272&lt;&gt;"b",$K272&lt;&gt;"g",$K272&lt;&gt;"k")),1,IF(AND($E272&lt;&gt;0,$F272&gt;0,YEAR($F272)&lt;Preisindex!$A$6,YEAR(CD$4)&gt;=YEAR($F272),$K272="a"),ROUND(VLOOKUP(CI$4,Preisindex,5,FALSE)/VLOOKUP(Preisindex!$A$6,Preisindex,5,FALSE),2),IF(AND($E272&lt;&gt;0,$F272&gt;0,YEAR($F272)&lt;Preisindex!$A$6,YEAR(CD$4)&gt;=YEAR($F272),$K272="b"),ROUND(VLOOKUP(CI$4,Preisindex,3,FALSE)/VLOOKUP(Preisindex!$A$6,Preisindex,3,FALSE),2),IF(AND($E272&lt;&gt;0,$F272&gt;0,YEAR($F272)&lt;Preisindex!$A$6,YEAR(CD$4)&gt;=YEAR($F272),$K272="g"),ROUND(VLOOKUP(CI$4,Preisindex,4,FALSE)/VLOOKUP(Preisindex!$A$6,Preisindex,4,FALSE),2),IF(AND($E272&lt;&gt;0,$F272&gt;0,YEAR($F272)&lt;Preisindex!$A$6,YEAR(CD$4)&gt;=YEAR($F272),$K272="k"),ROUND(VLOOKUP(CI$4,Preisindex,2,FALSE)/VLOOKUP(Preisindex!$A$6,Preisindex,2,FALSE),2),0)))))</f>
        <v>0</v>
      </c>
      <c r="CK272" s="51">
        <f>IF(AND($E272&lt;&gt;0,$F272&gt;0,YEAR($F272)&lt;=CI$4,YEAR($F272)&gt;=Preisindex!$A$6),ROUND($E272*CI272,2),IF(AND($E272&lt;&gt;0,$F272&gt;0,YEAR($F272)&lt;=CI$4,YEAR($F272)&lt;Preisindex!$A$6),ROUND($E272*CJ272,2),0))</f>
        <v>0</v>
      </c>
      <c r="CL272" s="53">
        <f t="shared" si="778"/>
        <v>0</v>
      </c>
      <c r="CM272" s="51">
        <f t="shared" si="754"/>
        <v>0</v>
      </c>
      <c r="CN272" s="51">
        <f t="shared" si="725"/>
        <v>0</v>
      </c>
      <c r="CO272" s="51">
        <f t="shared" si="779"/>
        <v>0</v>
      </c>
      <c r="CP272" s="51">
        <f t="shared" si="726"/>
        <v>0</v>
      </c>
      <c r="CQ272" s="51">
        <f t="shared" si="780"/>
        <v>0</v>
      </c>
      <c r="CR272" s="51">
        <f t="shared" si="727"/>
        <v>0</v>
      </c>
      <c r="CS272" s="51">
        <f t="shared" si="781"/>
        <v>0</v>
      </c>
      <c r="CT272" s="51">
        <f t="shared" si="728"/>
        <v>0</v>
      </c>
      <c r="CU272" s="51">
        <f t="shared" si="782"/>
        <v>0</v>
      </c>
      <c r="CV272" s="51">
        <f t="shared" si="729"/>
        <v>0</v>
      </c>
      <c r="CW272" s="51">
        <f t="shared" si="783"/>
        <v>0</v>
      </c>
      <c r="CX272" s="54">
        <f t="shared" si="784"/>
        <v>0</v>
      </c>
      <c r="CY272" s="55">
        <f t="shared" si="785"/>
        <v>0</v>
      </c>
      <c r="CZ272" s="56">
        <f>IF(AND($E272&lt;&gt;0,$F272&gt;0,YEAR($F272)&gt;=Preisindex!$A$6,YEAR(CU$4)&gt;=YEAR($F272),AND($K272&lt;&gt;"a",$K272&lt;&gt;"b",$K272&lt;&gt;"g",$K272&lt;&gt;"k")),1,IF(AND($E272&lt;&gt;0,$F272&gt;0,YEAR($F272)&gt;=Preisindex!$A$6,YEAR(CU$4)&gt;=YEAR($F272),$K272="a"),ROUND(VLOOKUP(CZ$4,Preisindex,5,FALSE)/VLOOKUP(YEAR($F272),Preisindex,5,FALSE),2),IF(AND($E272&lt;&gt;0,$F272&gt;0,YEAR($F272)&gt;=Preisindex!$A$6,YEAR(CU$4)&gt;=YEAR($F272),$K272="b"),ROUND(VLOOKUP(CZ$4,Preisindex,3,FALSE)/VLOOKUP(YEAR($F272),Preisindex,3,FALSE),2),IF(AND($E272&lt;&gt;0,$F272&gt;0,YEAR($F272)&gt;=Preisindex!$A$6,YEAR(CU$4)&gt;=YEAR($F272),$K272="g"),ROUND(VLOOKUP(CZ$4,Preisindex,4,FALSE)/VLOOKUP(YEAR($F272),Preisindex,4,FALSE),2),IF(AND($E272&lt;&gt;0,$F272&gt;0,YEAR($F272)&gt;=Preisindex!$A$6,YEAR(CU$4)&gt;=YEAR($F272),$K272="k"),ROUND(VLOOKUP(CZ$4,Preisindex,2,FALSE)/VLOOKUP(YEAR($F272),Preisindex,2,FALSE),2),0)))))</f>
        <v>0</v>
      </c>
      <c r="DA272" s="56">
        <f>IF(AND($E272&lt;&gt;0,$F272&gt;0,YEAR($F272)&lt;Preisindex!$A$6,YEAR(CU$4)&gt;=YEAR($F272),AND($K272&lt;&gt;"a",$K272&lt;&gt;"b",$K272&lt;&gt;"g",$K272&lt;&gt;"k")),1,IF(AND($E272&lt;&gt;0,$F272&gt;0,YEAR($F272)&lt;Preisindex!$A$6,YEAR(CU$4)&gt;=YEAR($F272),$K272="a"),ROUND(VLOOKUP(CZ$4,Preisindex,5,FALSE)/VLOOKUP(Preisindex!$A$6,Preisindex,5,FALSE),2),IF(AND($E272&lt;&gt;0,$F272&gt;0,YEAR($F272)&lt;Preisindex!$A$6,YEAR(CU$4)&gt;=YEAR($F272),$K272="b"),ROUND(VLOOKUP(CZ$4,Preisindex,3,FALSE)/VLOOKUP(Preisindex!$A$6,Preisindex,3,FALSE),2),IF(AND($E272&lt;&gt;0,$F272&gt;0,YEAR($F272)&lt;Preisindex!$A$6,YEAR(CU$4)&gt;=YEAR($F272),$K272="g"),ROUND(VLOOKUP(CZ$4,Preisindex,4,FALSE)/VLOOKUP(Preisindex!$A$6,Preisindex,4,FALSE),2),IF(AND($E272&lt;&gt;0,$F272&gt;0,YEAR($F272)&lt;Preisindex!$A$6,YEAR(CU$4)&gt;=YEAR($F272),$K272="k"),ROUND(VLOOKUP(CZ$4,Preisindex,2,FALSE)/VLOOKUP(Preisindex!$A$6,Preisindex,2,FALSE),2),0)))))</f>
        <v>0</v>
      </c>
      <c r="DB272" s="51">
        <f>IF(AND($E272&lt;&gt;0,$F272&gt;0,YEAR($F272)&lt;=CZ$4,YEAR($F272)&gt;=Preisindex!$A$6),ROUND($E272*CZ272,2),IF(AND($E272&lt;&gt;0,$F272&gt;0,YEAR($F272)&lt;=CZ$4,YEAR($F272)&lt;Preisindex!$A$6),ROUND($E272*DA272,2),0))</f>
        <v>0</v>
      </c>
      <c r="DC272" s="53">
        <f t="shared" si="786"/>
        <v>0</v>
      </c>
      <c r="DD272" s="51">
        <f t="shared" si="787"/>
        <v>0</v>
      </c>
      <c r="DE272" s="51">
        <f t="shared" si="730"/>
        <v>0</v>
      </c>
      <c r="DF272" s="51">
        <f t="shared" si="788"/>
        <v>0</v>
      </c>
      <c r="DG272" s="51">
        <f t="shared" si="731"/>
        <v>0</v>
      </c>
      <c r="DH272" s="51">
        <f t="shared" si="789"/>
        <v>0</v>
      </c>
      <c r="DI272" s="51">
        <f t="shared" si="732"/>
        <v>0</v>
      </c>
      <c r="DJ272" s="51">
        <f t="shared" si="790"/>
        <v>0</v>
      </c>
      <c r="DK272" s="51">
        <f t="shared" si="733"/>
        <v>0</v>
      </c>
      <c r="DL272" s="51">
        <f t="shared" si="791"/>
        <v>0</v>
      </c>
      <c r="DM272" s="51">
        <f t="shared" si="734"/>
        <v>0</v>
      </c>
      <c r="DN272" s="51">
        <f t="shared" si="792"/>
        <v>0</v>
      </c>
      <c r="DO272" s="54">
        <f t="shared" si="793"/>
        <v>0</v>
      </c>
      <c r="DP272" s="55">
        <f t="shared" si="794"/>
        <v>0</v>
      </c>
      <c r="DQ272" s="56">
        <f>IF(AND($E272&lt;&gt;0,$F272&gt;0,YEAR($F272)&gt;=Preisindex!$A$6,YEAR(DL$4)&gt;=YEAR($F272),AND($K272&lt;&gt;"a",$K272&lt;&gt;"b",$K272&lt;&gt;"g",$K272&lt;&gt;"k")),1,IF(AND($E272&lt;&gt;0,$F272&gt;0,YEAR($F272)&gt;=Preisindex!$A$6,YEAR(DL$4)&gt;=YEAR($F272),$K272="a"),ROUND(VLOOKUP(DQ$4,Preisindex,5,FALSE)/VLOOKUP(YEAR($F272),Preisindex,5,FALSE),2),IF(AND($E272&lt;&gt;0,$F272&gt;0,YEAR($F272)&gt;=Preisindex!$A$6,YEAR(DL$4)&gt;=YEAR($F272),$K272="b"),ROUND(VLOOKUP(DQ$4,Preisindex,3,FALSE)/VLOOKUP(YEAR($F272),Preisindex,3,FALSE),2),IF(AND($E272&lt;&gt;0,$F272&gt;0,YEAR($F272)&gt;=Preisindex!$A$6,YEAR(DL$4)&gt;=YEAR($F272),$K272="g"),ROUND(VLOOKUP(DQ$4,Preisindex,4,FALSE)/VLOOKUP(YEAR($F272),Preisindex,4,FALSE),2),IF(AND($E272&lt;&gt;0,$F272&gt;0,YEAR($F272)&gt;=Preisindex!$A$6,YEAR(DL$4)&gt;=YEAR($F272),$K272="k"),ROUND(VLOOKUP(DQ$4,Preisindex,2,FALSE)/VLOOKUP(YEAR($F272),Preisindex,2,FALSE),2),0)))))</f>
        <v>0</v>
      </c>
      <c r="DR272" s="56">
        <f>IF(AND($E272&lt;&gt;0,$F272&gt;0,YEAR($F272)&lt;Preisindex!$A$6,YEAR(DL$4)&gt;=YEAR($F272),AND($K272&lt;&gt;"a",$K272&lt;&gt;"b",$K272&lt;&gt;"g",$K272&lt;&gt;"k")),1,IF(AND($E272&lt;&gt;0,$F272&gt;0,YEAR($F272)&lt;Preisindex!$A$6,YEAR(DL$4)&gt;=YEAR($F272),$K272="a"),ROUND(VLOOKUP(DQ$4,Preisindex,5,FALSE)/VLOOKUP(Preisindex!$A$6,Preisindex,5,FALSE),2),IF(AND($E272&lt;&gt;0,$F272&gt;0,YEAR($F272)&lt;Preisindex!$A$6,YEAR(DL$4)&gt;=YEAR($F272),$K272="b"),ROUND(VLOOKUP(DQ$4,Preisindex,3,FALSE)/VLOOKUP(Preisindex!$A$6,Preisindex,3,FALSE),2),IF(AND($E272&lt;&gt;0,$F272&gt;0,YEAR($F272)&lt;Preisindex!$A$6,YEAR(DL$4)&gt;=YEAR($F272),$K272="g"),ROUND(VLOOKUP(DQ$4,Preisindex,4,FALSE)/VLOOKUP(Preisindex!$A$6,Preisindex,4,FALSE),2),IF(AND($E272&lt;&gt;0,$F272&gt;0,YEAR($F272)&lt;Preisindex!$A$6,YEAR(DL$4)&gt;=YEAR($F272),$K272="k"),ROUND(VLOOKUP(DQ$4,Preisindex,2,FALSE)/VLOOKUP(Preisindex!$A$6,Preisindex,2,FALSE),2),0)))))</f>
        <v>0</v>
      </c>
      <c r="DS272" s="51">
        <f>IF(AND($E272&lt;&gt;0,$F272&gt;0,YEAR($F272)&lt;=DQ$4,YEAR($F272)&gt;=Preisindex!$A$6),ROUND($E272*DQ272,2),IF(AND($E272&lt;&gt;0,$F272&gt;0,YEAR($F272)&lt;=DQ$4,YEAR($F272)&lt;Preisindex!$A$6),ROUND($E272*DR272,2),0))</f>
        <v>0</v>
      </c>
      <c r="DT272" s="53">
        <f t="shared" si="795"/>
        <v>0</v>
      </c>
      <c r="DU272" s="51">
        <f t="shared" si="787"/>
        <v>0</v>
      </c>
      <c r="DV272" s="51">
        <f t="shared" si="735"/>
        <v>0</v>
      </c>
      <c r="DW272" s="51">
        <f t="shared" si="796"/>
        <v>0</v>
      </c>
      <c r="DX272" s="51">
        <f t="shared" si="736"/>
        <v>0</v>
      </c>
      <c r="DY272" s="51">
        <f t="shared" si="797"/>
        <v>0</v>
      </c>
      <c r="DZ272" s="51">
        <f t="shared" si="737"/>
        <v>0</v>
      </c>
      <c r="EA272" s="51">
        <f t="shared" si="798"/>
        <v>0</v>
      </c>
      <c r="EB272" s="51">
        <f t="shared" si="738"/>
        <v>0</v>
      </c>
      <c r="EC272" s="51">
        <f t="shared" si="799"/>
        <v>0</v>
      </c>
      <c r="ED272" s="51">
        <f t="shared" si="739"/>
        <v>0</v>
      </c>
      <c r="EE272" s="51">
        <f t="shared" si="800"/>
        <v>0</v>
      </c>
      <c r="EF272" s="54">
        <f t="shared" si="801"/>
        <v>0</v>
      </c>
      <c r="EG272" s="55">
        <f t="shared" si="802"/>
        <v>0</v>
      </c>
      <c r="EH272" s="56">
        <f>IF(AND($E272&lt;&gt;0,$F272&gt;0,YEAR($F272)&gt;=Preisindex!$A$6,YEAR(EC$4)&gt;=YEAR($F272),AND($K272&lt;&gt;"a",$K272&lt;&gt;"b",$K272&lt;&gt;"g",$K272&lt;&gt;"k")),1,IF(AND($E272&lt;&gt;0,$F272&gt;0,YEAR($F272)&gt;=Preisindex!$A$6,YEAR(EC$4)&gt;=YEAR($F272),$K272="a"),ROUND(VLOOKUP(EH$4,Preisindex,5,FALSE)/VLOOKUP(YEAR($F272),Preisindex,5,FALSE),2),IF(AND($E272&lt;&gt;0,$F272&gt;0,YEAR($F272)&gt;=Preisindex!$A$6,YEAR(EC$4)&gt;=YEAR($F272),$K272="b"),ROUND(VLOOKUP(EH$4,Preisindex,3,FALSE)/VLOOKUP(YEAR($F272),Preisindex,3,FALSE),2),IF(AND($E272&lt;&gt;0,$F272&gt;0,YEAR($F272)&gt;=Preisindex!$A$6,YEAR(EC$4)&gt;=YEAR($F272),$K272="g"),ROUND(VLOOKUP(EH$4,Preisindex,4,FALSE)/VLOOKUP(YEAR($F272),Preisindex,4,FALSE),2),IF(AND($E272&lt;&gt;0,$F272&gt;0,YEAR($F272)&gt;=Preisindex!$A$6,YEAR(EC$4)&gt;=YEAR($F272),$K272="k"),ROUND(VLOOKUP(EH$4,Preisindex,2,FALSE)/VLOOKUP(YEAR($F272),Preisindex,2,FALSE),2),0)))))</f>
        <v>0</v>
      </c>
      <c r="EI272" s="56">
        <f>IF(AND($E272&lt;&gt;0,$F272&gt;0,YEAR($F272)&lt;Preisindex!$A$6,YEAR(EC$4)&gt;=YEAR($F272),AND($K272&lt;&gt;"a",$K272&lt;&gt;"b",$K272&lt;&gt;"g",$K272&lt;&gt;"k")),1,IF(AND($E272&lt;&gt;0,$F272&gt;0,YEAR($F272)&lt;Preisindex!$A$6,YEAR(EC$4)&gt;=YEAR($F272),$K272="a"),ROUND(VLOOKUP(EH$4,Preisindex,5,FALSE)/VLOOKUP(Preisindex!$A$6,Preisindex,5,FALSE),2),IF(AND($E272&lt;&gt;0,$F272&gt;0,YEAR($F272)&lt;Preisindex!$A$6,YEAR(EC$4)&gt;=YEAR($F272),$K272="b"),ROUND(VLOOKUP(EH$4,Preisindex,3,FALSE)/VLOOKUP(Preisindex!$A$6,Preisindex,3,FALSE),2),IF(AND($E272&lt;&gt;0,$F272&gt;0,YEAR($F272)&lt;Preisindex!$A$6,YEAR(EC$4)&gt;=YEAR($F272),$K272="g"),ROUND(VLOOKUP(EH$4,Preisindex,4,FALSE)/VLOOKUP(Preisindex!$A$6,Preisindex,4,FALSE),2),IF(AND($E272&lt;&gt;0,$F272&gt;0,YEAR($F272)&lt;Preisindex!$A$6,YEAR(EC$4)&gt;=YEAR($F272),$K272="k"),ROUND(VLOOKUP(EH$4,Preisindex,2,FALSE)/VLOOKUP(Preisindex!$A$6,Preisindex,2,FALSE),2),0)))))</f>
        <v>0</v>
      </c>
      <c r="EJ272" s="51">
        <f>IF(AND($E272&lt;&gt;0,$F272&gt;0,YEAR($F272)&lt;=EH$4,YEAR($F272)&gt;=Preisindex!$A$6),ROUND($E272*EH272,2),IF(AND($E272&lt;&gt;0,$F272&gt;0,YEAR($F272)&lt;=EH$4,YEAR($F272)&lt;Preisindex!$A$6),ROUND($E272*EI272,2),0))</f>
        <v>0</v>
      </c>
      <c r="EK272" s="53">
        <f t="shared" si="803"/>
        <v>0</v>
      </c>
      <c r="EL272" s="51">
        <f t="shared" si="787"/>
        <v>0</v>
      </c>
      <c r="EM272" s="51">
        <f t="shared" si="740"/>
        <v>0</v>
      </c>
      <c r="EN272" s="51">
        <f t="shared" si="804"/>
        <v>0</v>
      </c>
      <c r="EO272" s="51">
        <f t="shared" si="741"/>
        <v>0</v>
      </c>
      <c r="EP272" s="51">
        <f t="shared" si="805"/>
        <v>0</v>
      </c>
      <c r="EQ272" s="51">
        <f t="shared" si="742"/>
        <v>0</v>
      </c>
      <c r="ER272" s="51">
        <f t="shared" si="806"/>
        <v>0</v>
      </c>
      <c r="ES272" s="51">
        <f t="shared" si="743"/>
        <v>0</v>
      </c>
      <c r="ET272" s="51">
        <f t="shared" si="807"/>
        <v>0</v>
      </c>
      <c r="EU272" s="51">
        <f t="shared" si="744"/>
        <v>0</v>
      </c>
      <c r="EV272" s="51">
        <f t="shared" si="808"/>
        <v>0</v>
      </c>
      <c r="EW272" s="54">
        <f t="shared" si="809"/>
        <v>0</v>
      </c>
      <c r="EX272" s="55">
        <f t="shared" si="810"/>
        <v>0</v>
      </c>
      <c r="EY272" s="56">
        <f>IF(AND($E272&lt;&gt;0,$F272&gt;0,YEAR($F272)&gt;=Preisindex!$A$6,YEAR(ET$4)&gt;=YEAR($F272),AND($K272&lt;&gt;"a",$K272&lt;&gt;"b",$K272&lt;&gt;"g",$K272&lt;&gt;"k")),1,IF(AND($E272&lt;&gt;0,$F272&gt;0,YEAR($F272)&gt;=Preisindex!$A$6,YEAR(ET$4)&gt;=YEAR($F272),$K272="a"),ROUND(VLOOKUP(EY$4,Preisindex,5,FALSE)/VLOOKUP(YEAR($F272),Preisindex,5,FALSE),2),IF(AND($E272&lt;&gt;0,$F272&gt;0,YEAR($F272)&gt;=Preisindex!$A$6,YEAR(ET$4)&gt;=YEAR($F272),$K272="b"),ROUND(VLOOKUP(EY$4,Preisindex,3,FALSE)/VLOOKUP(YEAR($F272),Preisindex,3,FALSE),2),IF(AND($E272&lt;&gt;0,$F272&gt;0,YEAR($F272)&gt;=Preisindex!$A$6,YEAR(ET$4)&gt;=YEAR($F272),$K272="g"),ROUND(VLOOKUP(EY$4,Preisindex,4,FALSE)/VLOOKUP(YEAR($F272),Preisindex,4,FALSE),2),IF(AND($E272&lt;&gt;0,$F272&gt;0,YEAR($F272)&gt;=Preisindex!$A$6,YEAR(ET$4)&gt;=YEAR($F272),$K272="k"),ROUND(VLOOKUP(EY$4,Preisindex,2,FALSE)/VLOOKUP(YEAR($F272),Preisindex,2,FALSE),2),0)))))</f>
        <v>0</v>
      </c>
      <c r="EZ272" s="56">
        <f>IF(AND($E272&lt;&gt;0,$F272&gt;0,YEAR($F272)&lt;Preisindex!$A$6,YEAR(ET$4)&gt;=YEAR($F272),AND($K272&lt;&gt;"a",$K272&lt;&gt;"b",$K272&lt;&gt;"g",$K272&lt;&gt;"k")),1,IF(AND($E272&lt;&gt;0,$F272&gt;0,YEAR($F272)&lt;Preisindex!$A$6,YEAR(ET$4)&gt;=YEAR($F272),$K272="a"),ROUND(VLOOKUP(EY$4,Preisindex,5,FALSE)/VLOOKUP(Preisindex!$A$6,Preisindex,5,FALSE),2),IF(AND($E272&lt;&gt;0,$F272&gt;0,YEAR($F272)&lt;Preisindex!$A$6,YEAR(ET$4)&gt;=YEAR($F272),$K272="b"),ROUND(VLOOKUP(EY$4,Preisindex,3,FALSE)/VLOOKUP(Preisindex!$A$6,Preisindex,3,FALSE),2),IF(AND($E272&lt;&gt;0,$F272&gt;0,YEAR($F272)&lt;Preisindex!$A$6,YEAR(ET$4)&gt;=YEAR($F272),$K272="g"),ROUND(VLOOKUP(EY$4,Preisindex,4,FALSE)/VLOOKUP(Preisindex!$A$6,Preisindex,4,FALSE),2),IF(AND($E272&lt;&gt;0,$F272&gt;0,YEAR($F272)&lt;Preisindex!$A$6,YEAR(ET$4)&gt;=YEAR($F272),$K272="k"),ROUND(VLOOKUP(EY$4,Preisindex,2,FALSE)/VLOOKUP(Preisindex!$A$6,Preisindex,2,FALSE),2),0)))))</f>
        <v>0</v>
      </c>
      <c r="FA272" s="51">
        <f>IF(AND($E272&lt;&gt;0,$F272&gt;0,YEAR($F272)&lt;=EY$4,YEAR($F272)&gt;=Preisindex!$A$6),ROUND($E272*EY272,2),IF(AND($E272&lt;&gt;0,$F272&gt;0,YEAR($F272)&lt;=EY$4,YEAR($F272)&lt;Preisindex!$A$6),ROUND($E272*EZ272,2),0))</f>
        <v>0</v>
      </c>
      <c r="FB272" s="53">
        <f t="shared" si="811"/>
        <v>0</v>
      </c>
      <c r="FC272" s="51">
        <f t="shared" si="787"/>
        <v>0</v>
      </c>
      <c r="FD272" s="51">
        <f t="shared" si="745"/>
        <v>0</v>
      </c>
      <c r="FE272" s="51">
        <f t="shared" si="812"/>
        <v>0</v>
      </c>
      <c r="FF272" s="51">
        <f t="shared" si="746"/>
        <v>0</v>
      </c>
      <c r="FG272" s="51">
        <f t="shared" si="813"/>
        <v>0</v>
      </c>
      <c r="FH272" s="51">
        <f t="shared" si="747"/>
        <v>0</v>
      </c>
      <c r="FI272" s="51">
        <f t="shared" si="814"/>
        <v>0</v>
      </c>
      <c r="FJ272" s="51">
        <f t="shared" si="748"/>
        <v>0</v>
      </c>
      <c r="FK272" s="51">
        <f t="shared" si="815"/>
        <v>0</v>
      </c>
      <c r="FL272" s="51">
        <f t="shared" si="749"/>
        <v>0</v>
      </c>
      <c r="FM272" s="51">
        <f t="shared" si="816"/>
        <v>0</v>
      </c>
      <c r="FN272" s="54">
        <f t="shared" si="817"/>
        <v>0</v>
      </c>
      <c r="FO272" s="55">
        <f t="shared" si="818"/>
        <v>0</v>
      </c>
      <c r="FP272" s="56">
        <f>IF(AND($E272&lt;&gt;0,$F272&gt;0,YEAR($F272)&gt;=Preisindex!$A$6,YEAR(FK$4)&gt;=YEAR($F272),AND($K272&lt;&gt;"a",$K272&lt;&gt;"b",$K272&lt;&gt;"g",$K272&lt;&gt;"k")),1,IF(AND($E272&lt;&gt;0,$F272&gt;0,YEAR($F272)&gt;=Preisindex!$A$6,YEAR(FK$4)&gt;=YEAR($F272),$K272="a"),ROUND(VLOOKUP(FP$4,Preisindex,5,FALSE)/VLOOKUP(YEAR($F272),Preisindex,5,FALSE),2),IF(AND($E272&lt;&gt;0,$F272&gt;0,YEAR($F272)&gt;=Preisindex!$A$6,YEAR(FK$4)&gt;=YEAR($F272),$K272="b"),ROUND(VLOOKUP(FP$4,Preisindex,3,FALSE)/VLOOKUP(YEAR($F272),Preisindex,3,FALSE),2),IF(AND($E272&lt;&gt;0,$F272&gt;0,YEAR($F272)&gt;=Preisindex!$A$6,YEAR(FK$4)&gt;=YEAR($F272),$K272="g"),ROUND(VLOOKUP(FP$4,Preisindex,4,FALSE)/VLOOKUP(YEAR($F272),Preisindex,4,FALSE),2),IF(AND($E272&lt;&gt;0,$F272&gt;0,YEAR($F272)&gt;=Preisindex!$A$6,YEAR(FK$4)&gt;=YEAR($F272),$K272="k"),ROUND(VLOOKUP(FP$4,Preisindex,2,FALSE)/VLOOKUP(YEAR($F272),Preisindex,2,FALSE),2),0)))))</f>
        <v>0</v>
      </c>
      <c r="FQ272" s="56">
        <f>IF(AND($E272&lt;&gt;0,$F272&gt;0,YEAR($F272)&lt;Preisindex!$A$6,YEAR(FK$4)&gt;=YEAR($F272),AND($K272&lt;&gt;"a",$K272&lt;&gt;"b",$K272&lt;&gt;"g",$K272&lt;&gt;"k")),1,IF(AND($E272&lt;&gt;0,$F272&gt;0,YEAR($F272)&lt;Preisindex!$A$6,YEAR(FK$4)&gt;=YEAR($F272),$K272="a"),ROUND(VLOOKUP(FP$4,Preisindex,5,FALSE)/VLOOKUP(Preisindex!$A$6,Preisindex,5,FALSE),2),IF(AND($E272&lt;&gt;0,$F272&gt;0,YEAR($F272)&lt;Preisindex!$A$6,YEAR(FK$4)&gt;=YEAR($F272),$K272="b"),ROUND(VLOOKUP(FP$4,Preisindex,3,FALSE)/VLOOKUP(Preisindex!$A$6,Preisindex,3,FALSE),2),IF(AND($E272&lt;&gt;0,$F272&gt;0,YEAR($F272)&lt;Preisindex!$A$6,YEAR(FK$4)&gt;=YEAR($F272),$K272="g"),ROUND(VLOOKUP(FP$4,Preisindex,4,FALSE)/VLOOKUP(Preisindex!$A$6,Preisindex,4,FALSE),2),IF(AND($E272&lt;&gt;0,$F272&gt;0,YEAR($F272)&lt;Preisindex!$A$6,YEAR(FK$4)&gt;=YEAR($F272),$K272="k"),ROUND(VLOOKUP(FP$4,Preisindex,2,FALSE)/VLOOKUP(Preisindex!$A$6,Preisindex,2,FALSE),2),0)))))</f>
        <v>0</v>
      </c>
      <c r="FR272" s="51">
        <f>IF(AND($E272&lt;&gt;0,$F272&gt;0,YEAR($F272)&lt;=FP$4,YEAR($F272)&gt;=Preisindex!$A$6),ROUND($E272*FP272,2),IF(AND($E272&lt;&gt;0,$F272&gt;0,YEAR($F272)&lt;=FP$4,YEAR($F272)&lt;Preisindex!$A$6),ROUND($E272*FQ272,2),0))</f>
        <v>0</v>
      </c>
      <c r="FS272" s="53">
        <f t="shared" si="819"/>
        <v>0</v>
      </c>
    </row>
    <row r="273" spans="1:175" x14ac:dyDescent="0.3">
      <c r="A273" s="185"/>
      <c r="B273" s="186"/>
      <c r="C273" s="187"/>
      <c r="D273" s="188"/>
      <c r="E273" s="189"/>
      <c r="F273" s="190"/>
      <c r="G273" s="191"/>
      <c r="H273" s="192"/>
      <c r="I273" s="193"/>
      <c r="J273" s="194"/>
      <c r="K273" s="630"/>
      <c r="L273" s="49">
        <f t="shared" si="820"/>
        <v>0</v>
      </c>
      <c r="M273" s="50">
        <f t="shared" si="821"/>
        <v>0</v>
      </c>
      <c r="N273" s="51">
        <f t="shared" si="822"/>
        <v>0</v>
      </c>
      <c r="O273" s="51"/>
      <c r="P273" s="51">
        <f t="shared" si="823"/>
        <v>0</v>
      </c>
      <c r="Q273" s="52"/>
      <c r="R273" s="52"/>
      <c r="S273" s="52"/>
      <c r="T273" s="52"/>
      <c r="U273" s="52"/>
      <c r="V273" s="53">
        <f t="shared" si="824"/>
        <v>0</v>
      </c>
      <c r="W273" s="51">
        <f t="shared" si="825"/>
        <v>0</v>
      </c>
      <c r="X273" s="51">
        <f t="shared" si="826"/>
        <v>0</v>
      </c>
      <c r="Y273" s="51">
        <f t="shared" si="827"/>
        <v>0</v>
      </c>
      <c r="Z273" s="51">
        <f t="shared" si="828"/>
        <v>0</v>
      </c>
      <c r="AA273" s="51">
        <f t="shared" si="829"/>
        <v>0</v>
      </c>
      <c r="AB273" s="51">
        <f t="shared" si="830"/>
        <v>0</v>
      </c>
      <c r="AC273" s="51">
        <f t="shared" si="831"/>
        <v>0</v>
      </c>
      <c r="AD273" s="51">
        <f t="shared" si="832"/>
        <v>0</v>
      </c>
      <c r="AE273" s="51">
        <f t="shared" si="833"/>
        <v>0</v>
      </c>
      <c r="AF273" s="51">
        <f t="shared" si="834"/>
        <v>0</v>
      </c>
      <c r="AG273" s="51">
        <f t="shared" si="835"/>
        <v>0</v>
      </c>
      <c r="AH273" s="54">
        <f t="shared" si="836"/>
        <v>0</v>
      </c>
      <c r="AI273" s="55">
        <f t="shared" si="837"/>
        <v>0</v>
      </c>
      <c r="AJ273" s="56">
        <f>IF(AND($E273&lt;&gt;0,$F273&gt;0,YEAR($F273)&gt;=Preisindex!$A$6,YEAR(AE$4)&gt;=YEAR($F273),AND($K273&lt;&gt;"a",$K273&lt;&gt;"b",$K273&lt;&gt;"g",$K273&lt;&gt;"k")),1,IF(AND($E273&lt;&gt;0,$F273&gt;0,YEAR($F273)&gt;=Preisindex!$A$6,YEAR(AE$4)&gt;=YEAR($F273),$K273="a"),ROUND(VLOOKUP(AJ$4,Preisindex,5,FALSE)/VLOOKUP(YEAR($F273),Preisindex,5,FALSE),2),IF(AND($E273&lt;&gt;0,$F273&gt;0,YEAR($F273)&gt;=Preisindex!$A$6,YEAR(AE$4)&gt;=YEAR($F273),$K273="b"),ROUND(VLOOKUP(AJ$4,Preisindex,3,FALSE)/VLOOKUP(YEAR($F273),Preisindex,3,FALSE),2),IF(AND($E273&lt;&gt;0,$F273&gt;0,YEAR($F273)&gt;=Preisindex!$A$6,YEAR(AE$4)&gt;=YEAR($F273),$K273="g"),ROUND(VLOOKUP(AJ$4,Preisindex,4,FALSE)/VLOOKUP(YEAR($F273),Preisindex,4,FALSE),2),IF(AND($E273&lt;&gt;0,$F273&gt;0,YEAR($F273)&gt;=Preisindex!$A$6,YEAR(AE$4)&gt;=YEAR($F273),$K273="k"),ROUND(VLOOKUP(AJ$4,Preisindex,2,FALSE)/VLOOKUP(YEAR($F273),Preisindex,2,FALSE),2),0)))))</f>
        <v>0</v>
      </c>
      <c r="AK273" s="56">
        <f>IF(AND($E273&lt;&gt;0,$F273&gt;0,YEAR($F273)&lt;Preisindex!$A$6,YEAR(AE$4)&gt;=YEAR($F273),AND($K273&lt;&gt;"a",$K273&lt;&gt;"b",$K273&lt;&gt;"g",$K273&lt;&gt;"k")),1,IF(AND($E273&lt;&gt;0,$F273&gt;0,YEAR($F273)&lt;Preisindex!$A$6,YEAR(AE$4)&gt;=YEAR($F273),$K273="a"),ROUND(VLOOKUP(AJ$4,Preisindex,5,FALSE)/VLOOKUP(Preisindex!$A$6,Preisindex,5,FALSE),2),IF(AND($E273&lt;&gt;0,$F273&gt;0,YEAR($F273)&lt;Preisindex!$A$6,YEAR(AE$4)&gt;=YEAR($F273),$K273="b"),ROUND(VLOOKUP(AJ$4,Preisindex,3,FALSE)/VLOOKUP(Preisindex!$A$6,Preisindex,3,FALSE),2),IF(AND($E273&lt;&gt;0,$F273&gt;0,YEAR($F273)&lt;Preisindex!$A$6,YEAR(AE$4)&gt;=YEAR($F273),$K273="g"),ROUND(VLOOKUP(AJ$4,Preisindex,4,FALSE)/VLOOKUP(Preisindex!$A$6,Preisindex,4,FALSE),2),IF(AND($E273&lt;&gt;0,$F273&gt;0,YEAR($F273)&lt;Preisindex!$A$6,YEAR(AE$4)&gt;=YEAR($F273),$K273="k"),ROUND(VLOOKUP(AJ$4,Preisindex,2,FALSE)/VLOOKUP(Preisindex!$A$6,Preisindex,2,FALSE),2),0)))))</f>
        <v>0</v>
      </c>
      <c r="AL273" s="51">
        <f>IF(AND($E273&lt;&gt;0,$F273&gt;0,YEAR($F273)&lt;=AJ$4,YEAR($F273)&gt;=Preisindex!$A$6),ROUND($E273*AJ273,2),IF(AND($E273&lt;&gt;0,$F273&gt;0,YEAR($F273)&lt;=AJ$4,YEAR($F273)&lt;Preisindex!$A$6),ROUND($E273*AK273,2),0))</f>
        <v>0</v>
      </c>
      <c r="AM273" s="53">
        <f t="shared" si="838"/>
        <v>0</v>
      </c>
      <c r="AN273" s="51">
        <f t="shared" si="754"/>
        <v>0</v>
      </c>
      <c r="AO273" s="51">
        <f t="shared" si="710"/>
        <v>0</v>
      </c>
      <c r="AP273" s="51">
        <f t="shared" si="755"/>
        <v>0</v>
      </c>
      <c r="AQ273" s="51">
        <f t="shared" si="711"/>
        <v>0</v>
      </c>
      <c r="AR273" s="51">
        <f t="shared" si="756"/>
        <v>0</v>
      </c>
      <c r="AS273" s="51">
        <f t="shared" si="712"/>
        <v>0</v>
      </c>
      <c r="AT273" s="51">
        <f t="shared" si="757"/>
        <v>0</v>
      </c>
      <c r="AU273" s="51">
        <f t="shared" si="713"/>
        <v>0</v>
      </c>
      <c r="AV273" s="51">
        <f t="shared" si="758"/>
        <v>0</v>
      </c>
      <c r="AW273" s="51">
        <f t="shared" si="714"/>
        <v>0</v>
      </c>
      <c r="AX273" s="51">
        <f t="shared" si="759"/>
        <v>0</v>
      </c>
      <c r="AY273" s="54">
        <f t="shared" si="760"/>
        <v>0</v>
      </c>
      <c r="AZ273" s="55">
        <f t="shared" si="761"/>
        <v>0</v>
      </c>
      <c r="BA273" s="56">
        <f>IF(AND($E273&lt;&gt;0,$F273&gt;0,YEAR($F273)&gt;=Preisindex!$A$6,YEAR(AV$4)&gt;=YEAR($F273),AND($K273&lt;&gt;"a",$K273&lt;&gt;"b",$K273&lt;&gt;"g",$K273&lt;&gt;"k")),1,IF(AND($E273&lt;&gt;0,$F273&gt;0,YEAR($F273)&gt;=Preisindex!$A$6,YEAR(AV$4)&gt;=YEAR($F273),$K273="a"),ROUND(VLOOKUP(BA$4,Preisindex,5,FALSE)/VLOOKUP(YEAR($F273),Preisindex,5,FALSE),2),IF(AND($E273&lt;&gt;0,$F273&gt;0,YEAR($F273)&gt;=Preisindex!$A$6,YEAR(AV$4)&gt;=YEAR($F273),$K273="b"),ROUND(VLOOKUP(BA$4,Preisindex,3,FALSE)/VLOOKUP(YEAR($F273),Preisindex,3,FALSE),2),IF(AND($E273&lt;&gt;0,$F273&gt;0,YEAR($F273)&gt;=Preisindex!$A$6,YEAR(AV$4)&gt;=YEAR($F273),$K273="g"),ROUND(VLOOKUP(BA$4,Preisindex,4,FALSE)/VLOOKUP(YEAR($F273),Preisindex,4,FALSE),2),IF(AND($E273&lt;&gt;0,$F273&gt;0,YEAR($F273)&gt;=Preisindex!$A$6,YEAR(AV$4)&gt;=YEAR($F273),$K273="k"),ROUND(VLOOKUP(BA$4,Preisindex,2,FALSE)/VLOOKUP(YEAR($F273),Preisindex,2,FALSE),2),0)))))</f>
        <v>0</v>
      </c>
      <c r="BB273" s="56">
        <f>IF(AND($E273&lt;&gt;0,$F273&gt;0,YEAR($F273)&lt;Preisindex!$A$6,YEAR(AV$4)&gt;=YEAR($F273),AND($K273&lt;&gt;"a",$K273&lt;&gt;"b",$K273&lt;&gt;"g",$K273&lt;&gt;"k")),1,IF(AND($E273&lt;&gt;0,$F273&gt;0,YEAR($F273)&lt;Preisindex!$A$6,YEAR(AV$4)&gt;=YEAR($F273),$K273="a"),ROUND(VLOOKUP(BA$4,Preisindex,5,FALSE)/VLOOKUP(Preisindex!$A$6,Preisindex,5,FALSE),2),IF(AND($E273&lt;&gt;0,$F273&gt;0,YEAR($F273)&lt;Preisindex!$A$6,YEAR(AV$4)&gt;=YEAR($F273),$K273="b"),ROUND(VLOOKUP(BA$4,Preisindex,3,FALSE)/VLOOKUP(Preisindex!$A$6,Preisindex,3,FALSE),2),IF(AND($E273&lt;&gt;0,$F273&gt;0,YEAR($F273)&lt;Preisindex!$A$6,YEAR(AV$4)&gt;=YEAR($F273),$K273="g"),ROUND(VLOOKUP(BA$4,Preisindex,4,FALSE)/VLOOKUP(Preisindex!$A$6,Preisindex,4,FALSE),2),IF(AND($E273&lt;&gt;0,$F273&gt;0,YEAR($F273)&lt;Preisindex!$A$6,YEAR(AV$4)&gt;=YEAR($F273),$K273="k"),ROUND(VLOOKUP(BA$4,Preisindex,2,FALSE)/VLOOKUP(Preisindex!$A$6,Preisindex,2,FALSE),2),0)))))</f>
        <v>0</v>
      </c>
      <c r="BC273" s="51">
        <f>IF(AND($E273&lt;&gt;0,$F273&gt;0,YEAR($F273)&lt;=BA$4,YEAR($F273)&gt;=Preisindex!$A$6),ROUND($E273*BA273,2),IF(AND($E273&lt;&gt;0,$F273&gt;0,YEAR($F273)&lt;=BA$4,YEAR($F273)&lt;Preisindex!$A$6),ROUND($E273*BB273,2),0))</f>
        <v>0</v>
      </c>
      <c r="BD273" s="53">
        <f t="shared" si="762"/>
        <v>0</v>
      </c>
      <c r="BE273" s="51">
        <f t="shared" si="754"/>
        <v>0</v>
      </c>
      <c r="BF273" s="51">
        <f t="shared" si="715"/>
        <v>0</v>
      </c>
      <c r="BG273" s="51">
        <f t="shared" si="763"/>
        <v>0</v>
      </c>
      <c r="BH273" s="51">
        <f t="shared" si="716"/>
        <v>0</v>
      </c>
      <c r="BI273" s="51">
        <f t="shared" si="764"/>
        <v>0</v>
      </c>
      <c r="BJ273" s="51">
        <f t="shared" si="717"/>
        <v>0</v>
      </c>
      <c r="BK273" s="51">
        <f t="shared" si="765"/>
        <v>0</v>
      </c>
      <c r="BL273" s="51">
        <f t="shared" si="718"/>
        <v>0</v>
      </c>
      <c r="BM273" s="51">
        <f t="shared" si="766"/>
        <v>0</v>
      </c>
      <c r="BN273" s="51">
        <f t="shared" si="719"/>
        <v>0</v>
      </c>
      <c r="BO273" s="51">
        <f t="shared" si="767"/>
        <v>0</v>
      </c>
      <c r="BP273" s="54">
        <f t="shared" si="768"/>
        <v>0</v>
      </c>
      <c r="BQ273" s="55">
        <f t="shared" si="769"/>
        <v>0</v>
      </c>
      <c r="BR273" s="56">
        <f>IF(AND($E273&lt;&gt;0,$F273&gt;0,YEAR($F273)&gt;=Preisindex!$A$6,YEAR(BM$4)&gt;=YEAR($F273),AND($K273&lt;&gt;"a",$K273&lt;&gt;"b",$K273&lt;&gt;"g",$K273&lt;&gt;"k")),1,IF(AND($E273&lt;&gt;0,$F273&gt;0,YEAR($F273)&gt;=Preisindex!$A$6,YEAR(BM$4)&gt;=YEAR($F273),$K273="a"),ROUND(VLOOKUP(BR$4,Preisindex,5,FALSE)/VLOOKUP(YEAR($F273),Preisindex,5,FALSE),2),IF(AND($E273&lt;&gt;0,$F273&gt;0,YEAR($F273)&gt;=Preisindex!$A$6,YEAR(BM$4)&gt;=YEAR($F273),$K273="b"),ROUND(VLOOKUP(BR$4,Preisindex,3,FALSE)/VLOOKUP(YEAR($F273),Preisindex,3,FALSE),2),IF(AND($E273&lt;&gt;0,$F273&gt;0,YEAR($F273)&gt;=Preisindex!$A$6,YEAR(BM$4)&gt;=YEAR($F273),$K273="g"),ROUND(VLOOKUP(BR$4,Preisindex,4,FALSE)/VLOOKUP(YEAR($F273),Preisindex,4,FALSE),2),IF(AND($E273&lt;&gt;0,$F273&gt;0,YEAR($F273)&gt;=Preisindex!$A$6,YEAR(BM$4)&gt;=YEAR($F273),$K273="k"),ROUND(VLOOKUP(BR$4,Preisindex,2,FALSE)/VLOOKUP(YEAR($F273),Preisindex,2,FALSE),2),0)))))</f>
        <v>0</v>
      </c>
      <c r="BS273" s="56">
        <f>IF(AND($E273&lt;&gt;0,$F273&gt;0,YEAR($F273)&lt;Preisindex!$A$6,YEAR(BM$4)&gt;=YEAR($F273),AND($K273&lt;&gt;"a",$K273&lt;&gt;"b",$K273&lt;&gt;"g",$K273&lt;&gt;"k")),1,IF(AND($E273&lt;&gt;0,$F273&gt;0,YEAR($F273)&lt;Preisindex!$A$6,YEAR(BM$4)&gt;=YEAR($F273),$K273="a"),ROUND(VLOOKUP(BR$4,Preisindex,5,FALSE)/VLOOKUP(Preisindex!$A$6,Preisindex,5,FALSE),2),IF(AND($E273&lt;&gt;0,$F273&gt;0,YEAR($F273)&lt;Preisindex!$A$6,YEAR(BM$4)&gt;=YEAR($F273),$K273="b"),ROUND(VLOOKUP(BR$4,Preisindex,3,FALSE)/VLOOKUP(Preisindex!$A$6,Preisindex,3,FALSE),2),IF(AND($E273&lt;&gt;0,$F273&gt;0,YEAR($F273)&lt;Preisindex!$A$6,YEAR(BM$4)&gt;=YEAR($F273),$K273="g"),ROUND(VLOOKUP(BR$4,Preisindex,4,FALSE)/VLOOKUP(Preisindex!$A$6,Preisindex,4,FALSE),2),IF(AND($E273&lt;&gt;0,$F273&gt;0,YEAR($F273)&lt;Preisindex!$A$6,YEAR(BM$4)&gt;=YEAR($F273),$K273="k"),ROUND(VLOOKUP(BR$4,Preisindex,2,FALSE)/VLOOKUP(Preisindex!$A$6,Preisindex,2,FALSE),2),0)))))</f>
        <v>0</v>
      </c>
      <c r="BT273" s="51">
        <f>IF(AND($E273&lt;&gt;0,$F273&gt;0,YEAR($F273)&lt;=BR$4,YEAR($F273)&gt;=Preisindex!$A$6),ROUND($E273*BR273,2),IF(AND($E273&lt;&gt;0,$F273&gt;0,YEAR($F273)&lt;=BR$4,YEAR($F273)&lt;Preisindex!$A$6),ROUND($E273*BS273,2),0))</f>
        <v>0</v>
      </c>
      <c r="BU273" s="53">
        <f t="shared" si="770"/>
        <v>0</v>
      </c>
      <c r="BV273" s="51">
        <f t="shared" si="754"/>
        <v>0</v>
      </c>
      <c r="BW273" s="51">
        <f t="shared" si="720"/>
        <v>0</v>
      </c>
      <c r="BX273" s="51">
        <f t="shared" si="771"/>
        <v>0</v>
      </c>
      <c r="BY273" s="51">
        <f t="shared" si="721"/>
        <v>0</v>
      </c>
      <c r="BZ273" s="51">
        <f t="shared" si="772"/>
        <v>0</v>
      </c>
      <c r="CA273" s="51">
        <f t="shared" si="722"/>
        <v>0</v>
      </c>
      <c r="CB273" s="51">
        <f t="shared" si="773"/>
        <v>0</v>
      </c>
      <c r="CC273" s="51">
        <f t="shared" si="723"/>
        <v>0</v>
      </c>
      <c r="CD273" s="51">
        <f t="shared" si="774"/>
        <v>0</v>
      </c>
      <c r="CE273" s="51">
        <f t="shared" si="724"/>
        <v>0</v>
      </c>
      <c r="CF273" s="51">
        <f t="shared" si="775"/>
        <v>0</v>
      </c>
      <c r="CG273" s="54">
        <f t="shared" si="776"/>
        <v>0</v>
      </c>
      <c r="CH273" s="55">
        <f t="shared" si="777"/>
        <v>0</v>
      </c>
      <c r="CI273" s="56">
        <f>IF(AND($E273&lt;&gt;0,$F273&gt;0,YEAR($F273)&gt;=Preisindex!$A$6,YEAR(CD$4)&gt;=YEAR($F273),AND($K273&lt;&gt;"a",$K273&lt;&gt;"b",$K273&lt;&gt;"g",$K273&lt;&gt;"k")),1,IF(AND($E273&lt;&gt;0,$F273&gt;0,YEAR($F273)&gt;=Preisindex!$A$6,YEAR(CD$4)&gt;=YEAR($F273),$K273="a"),ROUND(VLOOKUP(CI$4,Preisindex,5,FALSE)/VLOOKUP(YEAR($F273),Preisindex,5,FALSE),2),IF(AND($E273&lt;&gt;0,$F273&gt;0,YEAR($F273)&gt;=Preisindex!$A$6,YEAR(CD$4)&gt;=YEAR($F273),$K273="b"),ROUND(VLOOKUP(CI$4,Preisindex,3,FALSE)/VLOOKUP(YEAR($F273),Preisindex,3,FALSE),2),IF(AND($E273&lt;&gt;0,$F273&gt;0,YEAR($F273)&gt;=Preisindex!$A$6,YEAR(CD$4)&gt;=YEAR($F273),$K273="g"),ROUND(VLOOKUP(CI$4,Preisindex,4,FALSE)/VLOOKUP(YEAR($F273),Preisindex,4,FALSE),2),IF(AND($E273&lt;&gt;0,$F273&gt;0,YEAR($F273)&gt;=Preisindex!$A$6,YEAR(CD$4)&gt;=YEAR($F273),$K273="k"),ROUND(VLOOKUP(CI$4,Preisindex,2,FALSE)/VLOOKUP(YEAR($F273),Preisindex,2,FALSE),2),0)))))</f>
        <v>0</v>
      </c>
      <c r="CJ273" s="56">
        <f>IF(AND($E273&lt;&gt;0,$F273&gt;0,YEAR($F273)&lt;Preisindex!$A$6,YEAR(CD$4)&gt;=YEAR($F273),AND($K273&lt;&gt;"a",$K273&lt;&gt;"b",$K273&lt;&gt;"g",$K273&lt;&gt;"k")),1,IF(AND($E273&lt;&gt;0,$F273&gt;0,YEAR($F273)&lt;Preisindex!$A$6,YEAR(CD$4)&gt;=YEAR($F273),$K273="a"),ROUND(VLOOKUP(CI$4,Preisindex,5,FALSE)/VLOOKUP(Preisindex!$A$6,Preisindex,5,FALSE),2),IF(AND($E273&lt;&gt;0,$F273&gt;0,YEAR($F273)&lt;Preisindex!$A$6,YEAR(CD$4)&gt;=YEAR($F273),$K273="b"),ROUND(VLOOKUP(CI$4,Preisindex,3,FALSE)/VLOOKUP(Preisindex!$A$6,Preisindex,3,FALSE),2),IF(AND($E273&lt;&gt;0,$F273&gt;0,YEAR($F273)&lt;Preisindex!$A$6,YEAR(CD$4)&gt;=YEAR($F273),$K273="g"),ROUND(VLOOKUP(CI$4,Preisindex,4,FALSE)/VLOOKUP(Preisindex!$A$6,Preisindex,4,FALSE),2),IF(AND($E273&lt;&gt;0,$F273&gt;0,YEAR($F273)&lt;Preisindex!$A$6,YEAR(CD$4)&gt;=YEAR($F273),$K273="k"),ROUND(VLOOKUP(CI$4,Preisindex,2,FALSE)/VLOOKUP(Preisindex!$A$6,Preisindex,2,FALSE),2),0)))))</f>
        <v>0</v>
      </c>
      <c r="CK273" s="51">
        <f>IF(AND($E273&lt;&gt;0,$F273&gt;0,YEAR($F273)&lt;=CI$4,YEAR($F273)&gt;=Preisindex!$A$6),ROUND($E273*CI273,2),IF(AND($E273&lt;&gt;0,$F273&gt;0,YEAR($F273)&lt;=CI$4,YEAR($F273)&lt;Preisindex!$A$6),ROUND($E273*CJ273,2),0))</f>
        <v>0</v>
      </c>
      <c r="CL273" s="53">
        <f t="shared" si="778"/>
        <v>0</v>
      </c>
      <c r="CM273" s="51">
        <f t="shared" si="754"/>
        <v>0</v>
      </c>
      <c r="CN273" s="51">
        <f t="shared" si="725"/>
        <v>0</v>
      </c>
      <c r="CO273" s="51">
        <f t="shared" si="779"/>
        <v>0</v>
      </c>
      <c r="CP273" s="51">
        <f t="shared" si="726"/>
        <v>0</v>
      </c>
      <c r="CQ273" s="51">
        <f t="shared" si="780"/>
        <v>0</v>
      </c>
      <c r="CR273" s="51">
        <f t="shared" si="727"/>
        <v>0</v>
      </c>
      <c r="CS273" s="51">
        <f t="shared" si="781"/>
        <v>0</v>
      </c>
      <c r="CT273" s="51">
        <f t="shared" si="728"/>
        <v>0</v>
      </c>
      <c r="CU273" s="51">
        <f t="shared" si="782"/>
        <v>0</v>
      </c>
      <c r="CV273" s="51">
        <f t="shared" si="729"/>
        <v>0</v>
      </c>
      <c r="CW273" s="51">
        <f t="shared" si="783"/>
        <v>0</v>
      </c>
      <c r="CX273" s="54">
        <f t="shared" si="784"/>
        <v>0</v>
      </c>
      <c r="CY273" s="55">
        <f t="shared" si="785"/>
        <v>0</v>
      </c>
      <c r="CZ273" s="56">
        <f>IF(AND($E273&lt;&gt;0,$F273&gt;0,YEAR($F273)&gt;=Preisindex!$A$6,YEAR(CU$4)&gt;=YEAR($F273),AND($K273&lt;&gt;"a",$K273&lt;&gt;"b",$K273&lt;&gt;"g",$K273&lt;&gt;"k")),1,IF(AND($E273&lt;&gt;0,$F273&gt;0,YEAR($F273)&gt;=Preisindex!$A$6,YEAR(CU$4)&gt;=YEAR($F273),$K273="a"),ROUND(VLOOKUP(CZ$4,Preisindex,5,FALSE)/VLOOKUP(YEAR($F273),Preisindex,5,FALSE),2),IF(AND($E273&lt;&gt;0,$F273&gt;0,YEAR($F273)&gt;=Preisindex!$A$6,YEAR(CU$4)&gt;=YEAR($F273),$K273="b"),ROUND(VLOOKUP(CZ$4,Preisindex,3,FALSE)/VLOOKUP(YEAR($F273),Preisindex,3,FALSE),2),IF(AND($E273&lt;&gt;0,$F273&gt;0,YEAR($F273)&gt;=Preisindex!$A$6,YEAR(CU$4)&gt;=YEAR($F273),$K273="g"),ROUND(VLOOKUP(CZ$4,Preisindex,4,FALSE)/VLOOKUP(YEAR($F273),Preisindex,4,FALSE),2),IF(AND($E273&lt;&gt;0,$F273&gt;0,YEAR($F273)&gt;=Preisindex!$A$6,YEAR(CU$4)&gt;=YEAR($F273),$K273="k"),ROUND(VLOOKUP(CZ$4,Preisindex,2,FALSE)/VLOOKUP(YEAR($F273),Preisindex,2,FALSE),2),0)))))</f>
        <v>0</v>
      </c>
      <c r="DA273" s="56">
        <f>IF(AND($E273&lt;&gt;0,$F273&gt;0,YEAR($F273)&lt;Preisindex!$A$6,YEAR(CU$4)&gt;=YEAR($F273),AND($K273&lt;&gt;"a",$K273&lt;&gt;"b",$K273&lt;&gt;"g",$K273&lt;&gt;"k")),1,IF(AND($E273&lt;&gt;0,$F273&gt;0,YEAR($F273)&lt;Preisindex!$A$6,YEAR(CU$4)&gt;=YEAR($F273),$K273="a"),ROUND(VLOOKUP(CZ$4,Preisindex,5,FALSE)/VLOOKUP(Preisindex!$A$6,Preisindex,5,FALSE),2),IF(AND($E273&lt;&gt;0,$F273&gt;0,YEAR($F273)&lt;Preisindex!$A$6,YEAR(CU$4)&gt;=YEAR($F273),$K273="b"),ROUND(VLOOKUP(CZ$4,Preisindex,3,FALSE)/VLOOKUP(Preisindex!$A$6,Preisindex,3,FALSE),2),IF(AND($E273&lt;&gt;0,$F273&gt;0,YEAR($F273)&lt;Preisindex!$A$6,YEAR(CU$4)&gt;=YEAR($F273),$K273="g"),ROUND(VLOOKUP(CZ$4,Preisindex,4,FALSE)/VLOOKUP(Preisindex!$A$6,Preisindex,4,FALSE),2),IF(AND($E273&lt;&gt;0,$F273&gt;0,YEAR($F273)&lt;Preisindex!$A$6,YEAR(CU$4)&gt;=YEAR($F273),$K273="k"),ROUND(VLOOKUP(CZ$4,Preisindex,2,FALSE)/VLOOKUP(Preisindex!$A$6,Preisindex,2,FALSE),2),0)))))</f>
        <v>0</v>
      </c>
      <c r="DB273" s="51">
        <f>IF(AND($E273&lt;&gt;0,$F273&gt;0,YEAR($F273)&lt;=CZ$4,YEAR($F273)&gt;=Preisindex!$A$6),ROUND($E273*CZ273,2),IF(AND($E273&lt;&gt;0,$F273&gt;0,YEAR($F273)&lt;=CZ$4,YEAR($F273)&lt;Preisindex!$A$6),ROUND($E273*DA273,2),0))</f>
        <v>0</v>
      </c>
      <c r="DC273" s="53">
        <f t="shared" si="786"/>
        <v>0</v>
      </c>
      <c r="DD273" s="51">
        <f t="shared" si="787"/>
        <v>0</v>
      </c>
      <c r="DE273" s="51">
        <f t="shared" si="730"/>
        <v>0</v>
      </c>
      <c r="DF273" s="51">
        <f t="shared" si="788"/>
        <v>0</v>
      </c>
      <c r="DG273" s="51">
        <f t="shared" si="731"/>
        <v>0</v>
      </c>
      <c r="DH273" s="51">
        <f t="shared" si="789"/>
        <v>0</v>
      </c>
      <c r="DI273" s="51">
        <f t="shared" si="732"/>
        <v>0</v>
      </c>
      <c r="DJ273" s="51">
        <f t="shared" si="790"/>
        <v>0</v>
      </c>
      <c r="DK273" s="51">
        <f t="shared" si="733"/>
        <v>0</v>
      </c>
      <c r="DL273" s="51">
        <f t="shared" si="791"/>
        <v>0</v>
      </c>
      <c r="DM273" s="51">
        <f t="shared" si="734"/>
        <v>0</v>
      </c>
      <c r="DN273" s="51">
        <f t="shared" si="792"/>
        <v>0</v>
      </c>
      <c r="DO273" s="54">
        <f t="shared" si="793"/>
        <v>0</v>
      </c>
      <c r="DP273" s="55">
        <f t="shared" si="794"/>
        <v>0</v>
      </c>
      <c r="DQ273" s="56">
        <f>IF(AND($E273&lt;&gt;0,$F273&gt;0,YEAR($F273)&gt;=Preisindex!$A$6,YEAR(DL$4)&gt;=YEAR($F273),AND($K273&lt;&gt;"a",$K273&lt;&gt;"b",$K273&lt;&gt;"g",$K273&lt;&gt;"k")),1,IF(AND($E273&lt;&gt;0,$F273&gt;0,YEAR($F273)&gt;=Preisindex!$A$6,YEAR(DL$4)&gt;=YEAR($F273),$K273="a"),ROUND(VLOOKUP(DQ$4,Preisindex,5,FALSE)/VLOOKUP(YEAR($F273),Preisindex,5,FALSE),2),IF(AND($E273&lt;&gt;0,$F273&gt;0,YEAR($F273)&gt;=Preisindex!$A$6,YEAR(DL$4)&gt;=YEAR($F273),$K273="b"),ROUND(VLOOKUP(DQ$4,Preisindex,3,FALSE)/VLOOKUP(YEAR($F273),Preisindex,3,FALSE),2),IF(AND($E273&lt;&gt;0,$F273&gt;0,YEAR($F273)&gt;=Preisindex!$A$6,YEAR(DL$4)&gt;=YEAR($F273),$K273="g"),ROUND(VLOOKUP(DQ$4,Preisindex,4,FALSE)/VLOOKUP(YEAR($F273),Preisindex,4,FALSE),2),IF(AND($E273&lt;&gt;0,$F273&gt;0,YEAR($F273)&gt;=Preisindex!$A$6,YEAR(DL$4)&gt;=YEAR($F273),$K273="k"),ROUND(VLOOKUP(DQ$4,Preisindex,2,FALSE)/VLOOKUP(YEAR($F273),Preisindex,2,FALSE),2),0)))))</f>
        <v>0</v>
      </c>
      <c r="DR273" s="56">
        <f>IF(AND($E273&lt;&gt;0,$F273&gt;0,YEAR($F273)&lt;Preisindex!$A$6,YEAR(DL$4)&gt;=YEAR($F273),AND($K273&lt;&gt;"a",$K273&lt;&gt;"b",$K273&lt;&gt;"g",$K273&lt;&gt;"k")),1,IF(AND($E273&lt;&gt;0,$F273&gt;0,YEAR($F273)&lt;Preisindex!$A$6,YEAR(DL$4)&gt;=YEAR($F273),$K273="a"),ROUND(VLOOKUP(DQ$4,Preisindex,5,FALSE)/VLOOKUP(Preisindex!$A$6,Preisindex,5,FALSE),2),IF(AND($E273&lt;&gt;0,$F273&gt;0,YEAR($F273)&lt;Preisindex!$A$6,YEAR(DL$4)&gt;=YEAR($F273),$K273="b"),ROUND(VLOOKUP(DQ$4,Preisindex,3,FALSE)/VLOOKUP(Preisindex!$A$6,Preisindex,3,FALSE),2),IF(AND($E273&lt;&gt;0,$F273&gt;0,YEAR($F273)&lt;Preisindex!$A$6,YEAR(DL$4)&gt;=YEAR($F273),$K273="g"),ROUND(VLOOKUP(DQ$4,Preisindex,4,FALSE)/VLOOKUP(Preisindex!$A$6,Preisindex,4,FALSE),2),IF(AND($E273&lt;&gt;0,$F273&gt;0,YEAR($F273)&lt;Preisindex!$A$6,YEAR(DL$4)&gt;=YEAR($F273),$K273="k"),ROUND(VLOOKUP(DQ$4,Preisindex,2,FALSE)/VLOOKUP(Preisindex!$A$6,Preisindex,2,FALSE),2),0)))))</f>
        <v>0</v>
      </c>
      <c r="DS273" s="51">
        <f>IF(AND($E273&lt;&gt;0,$F273&gt;0,YEAR($F273)&lt;=DQ$4,YEAR($F273)&gt;=Preisindex!$A$6),ROUND($E273*DQ273,2),IF(AND($E273&lt;&gt;0,$F273&gt;0,YEAR($F273)&lt;=DQ$4,YEAR($F273)&lt;Preisindex!$A$6),ROUND($E273*DR273,2),0))</f>
        <v>0</v>
      </c>
      <c r="DT273" s="53">
        <f t="shared" si="795"/>
        <v>0</v>
      </c>
      <c r="DU273" s="51">
        <f t="shared" si="787"/>
        <v>0</v>
      </c>
      <c r="DV273" s="51">
        <f t="shared" si="735"/>
        <v>0</v>
      </c>
      <c r="DW273" s="51">
        <f t="shared" si="796"/>
        <v>0</v>
      </c>
      <c r="DX273" s="51">
        <f t="shared" si="736"/>
        <v>0</v>
      </c>
      <c r="DY273" s="51">
        <f t="shared" si="797"/>
        <v>0</v>
      </c>
      <c r="DZ273" s="51">
        <f t="shared" si="737"/>
        <v>0</v>
      </c>
      <c r="EA273" s="51">
        <f t="shared" si="798"/>
        <v>0</v>
      </c>
      <c r="EB273" s="51">
        <f t="shared" si="738"/>
        <v>0</v>
      </c>
      <c r="EC273" s="51">
        <f t="shared" si="799"/>
        <v>0</v>
      </c>
      <c r="ED273" s="51">
        <f t="shared" si="739"/>
        <v>0</v>
      </c>
      <c r="EE273" s="51">
        <f t="shared" si="800"/>
        <v>0</v>
      </c>
      <c r="EF273" s="54">
        <f t="shared" si="801"/>
        <v>0</v>
      </c>
      <c r="EG273" s="55">
        <f t="shared" si="802"/>
        <v>0</v>
      </c>
      <c r="EH273" s="56">
        <f>IF(AND($E273&lt;&gt;0,$F273&gt;0,YEAR($F273)&gt;=Preisindex!$A$6,YEAR(EC$4)&gt;=YEAR($F273),AND($K273&lt;&gt;"a",$K273&lt;&gt;"b",$K273&lt;&gt;"g",$K273&lt;&gt;"k")),1,IF(AND($E273&lt;&gt;0,$F273&gt;0,YEAR($F273)&gt;=Preisindex!$A$6,YEAR(EC$4)&gt;=YEAR($F273),$K273="a"),ROUND(VLOOKUP(EH$4,Preisindex,5,FALSE)/VLOOKUP(YEAR($F273),Preisindex,5,FALSE),2),IF(AND($E273&lt;&gt;0,$F273&gt;0,YEAR($F273)&gt;=Preisindex!$A$6,YEAR(EC$4)&gt;=YEAR($F273),$K273="b"),ROUND(VLOOKUP(EH$4,Preisindex,3,FALSE)/VLOOKUP(YEAR($F273),Preisindex,3,FALSE),2),IF(AND($E273&lt;&gt;0,$F273&gt;0,YEAR($F273)&gt;=Preisindex!$A$6,YEAR(EC$4)&gt;=YEAR($F273),$K273="g"),ROUND(VLOOKUP(EH$4,Preisindex,4,FALSE)/VLOOKUP(YEAR($F273),Preisindex,4,FALSE),2),IF(AND($E273&lt;&gt;0,$F273&gt;0,YEAR($F273)&gt;=Preisindex!$A$6,YEAR(EC$4)&gt;=YEAR($F273),$K273="k"),ROUND(VLOOKUP(EH$4,Preisindex,2,FALSE)/VLOOKUP(YEAR($F273),Preisindex,2,FALSE),2),0)))))</f>
        <v>0</v>
      </c>
      <c r="EI273" s="56">
        <f>IF(AND($E273&lt;&gt;0,$F273&gt;0,YEAR($F273)&lt;Preisindex!$A$6,YEAR(EC$4)&gt;=YEAR($F273),AND($K273&lt;&gt;"a",$K273&lt;&gt;"b",$K273&lt;&gt;"g",$K273&lt;&gt;"k")),1,IF(AND($E273&lt;&gt;0,$F273&gt;0,YEAR($F273)&lt;Preisindex!$A$6,YEAR(EC$4)&gt;=YEAR($F273),$K273="a"),ROUND(VLOOKUP(EH$4,Preisindex,5,FALSE)/VLOOKUP(Preisindex!$A$6,Preisindex,5,FALSE),2),IF(AND($E273&lt;&gt;0,$F273&gt;0,YEAR($F273)&lt;Preisindex!$A$6,YEAR(EC$4)&gt;=YEAR($F273),$K273="b"),ROUND(VLOOKUP(EH$4,Preisindex,3,FALSE)/VLOOKUP(Preisindex!$A$6,Preisindex,3,FALSE),2),IF(AND($E273&lt;&gt;0,$F273&gt;0,YEAR($F273)&lt;Preisindex!$A$6,YEAR(EC$4)&gt;=YEAR($F273),$K273="g"),ROUND(VLOOKUP(EH$4,Preisindex,4,FALSE)/VLOOKUP(Preisindex!$A$6,Preisindex,4,FALSE),2),IF(AND($E273&lt;&gt;0,$F273&gt;0,YEAR($F273)&lt;Preisindex!$A$6,YEAR(EC$4)&gt;=YEAR($F273),$K273="k"),ROUND(VLOOKUP(EH$4,Preisindex,2,FALSE)/VLOOKUP(Preisindex!$A$6,Preisindex,2,FALSE),2),0)))))</f>
        <v>0</v>
      </c>
      <c r="EJ273" s="51">
        <f>IF(AND($E273&lt;&gt;0,$F273&gt;0,YEAR($F273)&lt;=EH$4,YEAR($F273)&gt;=Preisindex!$A$6),ROUND($E273*EH273,2),IF(AND($E273&lt;&gt;0,$F273&gt;0,YEAR($F273)&lt;=EH$4,YEAR($F273)&lt;Preisindex!$A$6),ROUND($E273*EI273,2),0))</f>
        <v>0</v>
      </c>
      <c r="EK273" s="53">
        <f t="shared" si="803"/>
        <v>0</v>
      </c>
      <c r="EL273" s="51">
        <f t="shared" si="787"/>
        <v>0</v>
      </c>
      <c r="EM273" s="51">
        <f t="shared" si="740"/>
        <v>0</v>
      </c>
      <c r="EN273" s="51">
        <f t="shared" si="804"/>
        <v>0</v>
      </c>
      <c r="EO273" s="51">
        <f t="shared" si="741"/>
        <v>0</v>
      </c>
      <c r="EP273" s="51">
        <f t="shared" si="805"/>
        <v>0</v>
      </c>
      <c r="EQ273" s="51">
        <f t="shared" si="742"/>
        <v>0</v>
      </c>
      <c r="ER273" s="51">
        <f t="shared" si="806"/>
        <v>0</v>
      </c>
      <c r="ES273" s="51">
        <f t="shared" si="743"/>
        <v>0</v>
      </c>
      <c r="ET273" s="51">
        <f t="shared" si="807"/>
        <v>0</v>
      </c>
      <c r="EU273" s="51">
        <f t="shared" si="744"/>
        <v>0</v>
      </c>
      <c r="EV273" s="51">
        <f t="shared" si="808"/>
        <v>0</v>
      </c>
      <c r="EW273" s="54">
        <f t="shared" si="809"/>
        <v>0</v>
      </c>
      <c r="EX273" s="55">
        <f t="shared" si="810"/>
        <v>0</v>
      </c>
      <c r="EY273" s="56">
        <f>IF(AND($E273&lt;&gt;0,$F273&gt;0,YEAR($F273)&gt;=Preisindex!$A$6,YEAR(ET$4)&gt;=YEAR($F273),AND($K273&lt;&gt;"a",$K273&lt;&gt;"b",$K273&lt;&gt;"g",$K273&lt;&gt;"k")),1,IF(AND($E273&lt;&gt;0,$F273&gt;0,YEAR($F273)&gt;=Preisindex!$A$6,YEAR(ET$4)&gt;=YEAR($F273),$K273="a"),ROUND(VLOOKUP(EY$4,Preisindex,5,FALSE)/VLOOKUP(YEAR($F273),Preisindex,5,FALSE),2),IF(AND($E273&lt;&gt;0,$F273&gt;0,YEAR($F273)&gt;=Preisindex!$A$6,YEAR(ET$4)&gt;=YEAR($F273),$K273="b"),ROUND(VLOOKUP(EY$4,Preisindex,3,FALSE)/VLOOKUP(YEAR($F273),Preisindex,3,FALSE),2),IF(AND($E273&lt;&gt;0,$F273&gt;0,YEAR($F273)&gt;=Preisindex!$A$6,YEAR(ET$4)&gt;=YEAR($F273),$K273="g"),ROUND(VLOOKUP(EY$4,Preisindex,4,FALSE)/VLOOKUP(YEAR($F273),Preisindex,4,FALSE),2),IF(AND($E273&lt;&gt;0,$F273&gt;0,YEAR($F273)&gt;=Preisindex!$A$6,YEAR(ET$4)&gt;=YEAR($F273),$K273="k"),ROUND(VLOOKUP(EY$4,Preisindex,2,FALSE)/VLOOKUP(YEAR($F273),Preisindex,2,FALSE),2),0)))))</f>
        <v>0</v>
      </c>
      <c r="EZ273" s="56">
        <f>IF(AND($E273&lt;&gt;0,$F273&gt;0,YEAR($F273)&lt;Preisindex!$A$6,YEAR(ET$4)&gt;=YEAR($F273),AND($K273&lt;&gt;"a",$K273&lt;&gt;"b",$K273&lt;&gt;"g",$K273&lt;&gt;"k")),1,IF(AND($E273&lt;&gt;0,$F273&gt;0,YEAR($F273)&lt;Preisindex!$A$6,YEAR(ET$4)&gt;=YEAR($F273),$K273="a"),ROUND(VLOOKUP(EY$4,Preisindex,5,FALSE)/VLOOKUP(Preisindex!$A$6,Preisindex,5,FALSE),2),IF(AND($E273&lt;&gt;0,$F273&gt;0,YEAR($F273)&lt;Preisindex!$A$6,YEAR(ET$4)&gt;=YEAR($F273),$K273="b"),ROUND(VLOOKUP(EY$4,Preisindex,3,FALSE)/VLOOKUP(Preisindex!$A$6,Preisindex,3,FALSE),2),IF(AND($E273&lt;&gt;0,$F273&gt;0,YEAR($F273)&lt;Preisindex!$A$6,YEAR(ET$4)&gt;=YEAR($F273),$K273="g"),ROUND(VLOOKUP(EY$4,Preisindex,4,FALSE)/VLOOKUP(Preisindex!$A$6,Preisindex,4,FALSE),2),IF(AND($E273&lt;&gt;0,$F273&gt;0,YEAR($F273)&lt;Preisindex!$A$6,YEAR(ET$4)&gt;=YEAR($F273),$K273="k"),ROUND(VLOOKUP(EY$4,Preisindex,2,FALSE)/VLOOKUP(Preisindex!$A$6,Preisindex,2,FALSE),2),0)))))</f>
        <v>0</v>
      </c>
      <c r="FA273" s="51">
        <f>IF(AND($E273&lt;&gt;0,$F273&gt;0,YEAR($F273)&lt;=EY$4,YEAR($F273)&gt;=Preisindex!$A$6),ROUND($E273*EY273,2),IF(AND($E273&lt;&gt;0,$F273&gt;0,YEAR($F273)&lt;=EY$4,YEAR($F273)&lt;Preisindex!$A$6),ROUND($E273*EZ273,2),0))</f>
        <v>0</v>
      </c>
      <c r="FB273" s="53">
        <f t="shared" si="811"/>
        <v>0</v>
      </c>
      <c r="FC273" s="51">
        <f t="shared" si="787"/>
        <v>0</v>
      </c>
      <c r="FD273" s="51">
        <f t="shared" si="745"/>
        <v>0</v>
      </c>
      <c r="FE273" s="51">
        <f t="shared" si="812"/>
        <v>0</v>
      </c>
      <c r="FF273" s="51">
        <f t="shared" si="746"/>
        <v>0</v>
      </c>
      <c r="FG273" s="51">
        <f t="shared" si="813"/>
        <v>0</v>
      </c>
      <c r="FH273" s="51">
        <f t="shared" si="747"/>
        <v>0</v>
      </c>
      <c r="FI273" s="51">
        <f t="shared" si="814"/>
        <v>0</v>
      </c>
      <c r="FJ273" s="51">
        <f t="shared" si="748"/>
        <v>0</v>
      </c>
      <c r="FK273" s="51">
        <f t="shared" si="815"/>
        <v>0</v>
      </c>
      <c r="FL273" s="51">
        <f t="shared" si="749"/>
        <v>0</v>
      </c>
      <c r="FM273" s="51">
        <f t="shared" si="816"/>
        <v>0</v>
      </c>
      <c r="FN273" s="54">
        <f t="shared" si="817"/>
        <v>0</v>
      </c>
      <c r="FO273" s="55">
        <f t="shared" si="818"/>
        <v>0</v>
      </c>
      <c r="FP273" s="56">
        <f>IF(AND($E273&lt;&gt;0,$F273&gt;0,YEAR($F273)&gt;=Preisindex!$A$6,YEAR(FK$4)&gt;=YEAR($F273),AND($K273&lt;&gt;"a",$K273&lt;&gt;"b",$K273&lt;&gt;"g",$K273&lt;&gt;"k")),1,IF(AND($E273&lt;&gt;0,$F273&gt;0,YEAR($F273)&gt;=Preisindex!$A$6,YEAR(FK$4)&gt;=YEAR($F273),$K273="a"),ROUND(VLOOKUP(FP$4,Preisindex,5,FALSE)/VLOOKUP(YEAR($F273),Preisindex,5,FALSE),2),IF(AND($E273&lt;&gt;0,$F273&gt;0,YEAR($F273)&gt;=Preisindex!$A$6,YEAR(FK$4)&gt;=YEAR($F273),$K273="b"),ROUND(VLOOKUP(FP$4,Preisindex,3,FALSE)/VLOOKUP(YEAR($F273),Preisindex,3,FALSE),2),IF(AND($E273&lt;&gt;0,$F273&gt;0,YEAR($F273)&gt;=Preisindex!$A$6,YEAR(FK$4)&gt;=YEAR($F273),$K273="g"),ROUND(VLOOKUP(FP$4,Preisindex,4,FALSE)/VLOOKUP(YEAR($F273),Preisindex,4,FALSE),2),IF(AND($E273&lt;&gt;0,$F273&gt;0,YEAR($F273)&gt;=Preisindex!$A$6,YEAR(FK$4)&gt;=YEAR($F273),$K273="k"),ROUND(VLOOKUP(FP$4,Preisindex,2,FALSE)/VLOOKUP(YEAR($F273),Preisindex,2,FALSE),2),0)))))</f>
        <v>0</v>
      </c>
      <c r="FQ273" s="56">
        <f>IF(AND($E273&lt;&gt;0,$F273&gt;0,YEAR($F273)&lt;Preisindex!$A$6,YEAR(FK$4)&gt;=YEAR($F273),AND($K273&lt;&gt;"a",$K273&lt;&gt;"b",$K273&lt;&gt;"g",$K273&lt;&gt;"k")),1,IF(AND($E273&lt;&gt;0,$F273&gt;0,YEAR($F273)&lt;Preisindex!$A$6,YEAR(FK$4)&gt;=YEAR($F273),$K273="a"),ROUND(VLOOKUP(FP$4,Preisindex,5,FALSE)/VLOOKUP(Preisindex!$A$6,Preisindex,5,FALSE),2),IF(AND($E273&lt;&gt;0,$F273&gt;0,YEAR($F273)&lt;Preisindex!$A$6,YEAR(FK$4)&gt;=YEAR($F273),$K273="b"),ROUND(VLOOKUP(FP$4,Preisindex,3,FALSE)/VLOOKUP(Preisindex!$A$6,Preisindex,3,FALSE),2),IF(AND($E273&lt;&gt;0,$F273&gt;0,YEAR($F273)&lt;Preisindex!$A$6,YEAR(FK$4)&gt;=YEAR($F273),$K273="g"),ROUND(VLOOKUP(FP$4,Preisindex,4,FALSE)/VLOOKUP(Preisindex!$A$6,Preisindex,4,FALSE),2),IF(AND($E273&lt;&gt;0,$F273&gt;0,YEAR($F273)&lt;Preisindex!$A$6,YEAR(FK$4)&gt;=YEAR($F273),$K273="k"),ROUND(VLOOKUP(FP$4,Preisindex,2,FALSE)/VLOOKUP(Preisindex!$A$6,Preisindex,2,FALSE),2),0)))))</f>
        <v>0</v>
      </c>
      <c r="FR273" s="51">
        <f>IF(AND($E273&lt;&gt;0,$F273&gt;0,YEAR($F273)&lt;=FP$4,YEAR($F273)&gt;=Preisindex!$A$6),ROUND($E273*FP273,2),IF(AND($E273&lt;&gt;0,$F273&gt;0,YEAR($F273)&lt;=FP$4,YEAR($F273)&lt;Preisindex!$A$6),ROUND($E273*FQ273,2),0))</f>
        <v>0</v>
      </c>
      <c r="FS273" s="53">
        <f t="shared" si="819"/>
        <v>0</v>
      </c>
    </row>
    <row r="274" spans="1:175" x14ac:dyDescent="0.3">
      <c r="A274" s="185"/>
      <c r="B274" s="186"/>
      <c r="C274" s="187"/>
      <c r="D274" s="188"/>
      <c r="E274" s="189"/>
      <c r="F274" s="190"/>
      <c r="G274" s="191"/>
      <c r="H274" s="192"/>
      <c r="I274" s="193"/>
      <c r="J274" s="194"/>
      <c r="K274" s="630"/>
      <c r="L274" s="49">
        <f t="shared" si="820"/>
        <v>0</v>
      </c>
      <c r="M274" s="50">
        <f t="shared" si="821"/>
        <v>0</v>
      </c>
      <c r="N274" s="51">
        <f t="shared" si="822"/>
        <v>0</v>
      </c>
      <c r="O274" s="51"/>
      <c r="P274" s="51">
        <f t="shared" si="823"/>
        <v>0</v>
      </c>
      <c r="Q274" s="52"/>
      <c r="R274" s="52"/>
      <c r="S274" s="52"/>
      <c r="T274" s="52"/>
      <c r="U274" s="52"/>
      <c r="V274" s="53">
        <f t="shared" si="824"/>
        <v>0</v>
      </c>
      <c r="W274" s="51">
        <f t="shared" si="825"/>
        <v>0</v>
      </c>
      <c r="X274" s="51">
        <f t="shared" si="826"/>
        <v>0</v>
      </c>
      <c r="Y274" s="51">
        <f t="shared" si="827"/>
        <v>0</v>
      </c>
      <c r="Z274" s="51">
        <f t="shared" si="828"/>
        <v>0</v>
      </c>
      <c r="AA274" s="51">
        <f t="shared" si="829"/>
        <v>0</v>
      </c>
      <c r="AB274" s="51">
        <f t="shared" si="830"/>
        <v>0</v>
      </c>
      <c r="AC274" s="51">
        <f t="shared" si="831"/>
        <v>0</v>
      </c>
      <c r="AD274" s="51">
        <f t="shared" si="832"/>
        <v>0</v>
      </c>
      <c r="AE274" s="51">
        <f t="shared" si="833"/>
        <v>0</v>
      </c>
      <c r="AF274" s="51">
        <f t="shared" si="834"/>
        <v>0</v>
      </c>
      <c r="AG274" s="51">
        <f t="shared" si="835"/>
        <v>0</v>
      </c>
      <c r="AH274" s="54">
        <f t="shared" si="836"/>
        <v>0</v>
      </c>
      <c r="AI274" s="55">
        <f t="shared" si="837"/>
        <v>0</v>
      </c>
      <c r="AJ274" s="56">
        <f>IF(AND($E274&lt;&gt;0,$F274&gt;0,YEAR($F274)&gt;=Preisindex!$A$6,YEAR(AE$4)&gt;=YEAR($F274),AND($K274&lt;&gt;"a",$K274&lt;&gt;"b",$K274&lt;&gt;"g",$K274&lt;&gt;"k")),1,IF(AND($E274&lt;&gt;0,$F274&gt;0,YEAR($F274)&gt;=Preisindex!$A$6,YEAR(AE$4)&gt;=YEAR($F274),$K274="a"),ROUND(VLOOKUP(AJ$4,Preisindex,5,FALSE)/VLOOKUP(YEAR($F274),Preisindex,5,FALSE),2),IF(AND($E274&lt;&gt;0,$F274&gt;0,YEAR($F274)&gt;=Preisindex!$A$6,YEAR(AE$4)&gt;=YEAR($F274),$K274="b"),ROUND(VLOOKUP(AJ$4,Preisindex,3,FALSE)/VLOOKUP(YEAR($F274),Preisindex,3,FALSE),2),IF(AND($E274&lt;&gt;0,$F274&gt;0,YEAR($F274)&gt;=Preisindex!$A$6,YEAR(AE$4)&gt;=YEAR($F274),$K274="g"),ROUND(VLOOKUP(AJ$4,Preisindex,4,FALSE)/VLOOKUP(YEAR($F274),Preisindex,4,FALSE),2),IF(AND($E274&lt;&gt;0,$F274&gt;0,YEAR($F274)&gt;=Preisindex!$A$6,YEAR(AE$4)&gt;=YEAR($F274),$K274="k"),ROUND(VLOOKUP(AJ$4,Preisindex,2,FALSE)/VLOOKUP(YEAR($F274),Preisindex,2,FALSE),2),0)))))</f>
        <v>0</v>
      </c>
      <c r="AK274" s="56">
        <f>IF(AND($E274&lt;&gt;0,$F274&gt;0,YEAR($F274)&lt;Preisindex!$A$6,YEAR(AE$4)&gt;=YEAR($F274),AND($K274&lt;&gt;"a",$K274&lt;&gt;"b",$K274&lt;&gt;"g",$K274&lt;&gt;"k")),1,IF(AND($E274&lt;&gt;0,$F274&gt;0,YEAR($F274)&lt;Preisindex!$A$6,YEAR(AE$4)&gt;=YEAR($F274),$K274="a"),ROUND(VLOOKUP(AJ$4,Preisindex,5,FALSE)/VLOOKUP(Preisindex!$A$6,Preisindex,5,FALSE),2),IF(AND($E274&lt;&gt;0,$F274&gt;0,YEAR($F274)&lt;Preisindex!$A$6,YEAR(AE$4)&gt;=YEAR($F274),$K274="b"),ROUND(VLOOKUP(AJ$4,Preisindex,3,FALSE)/VLOOKUP(Preisindex!$A$6,Preisindex,3,FALSE),2),IF(AND($E274&lt;&gt;0,$F274&gt;0,YEAR($F274)&lt;Preisindex!$A$6,YEAR(AE$4)&gt;=YEAR($F274),$K274="g"),ROUND(VLOOKUP(AJ$4,Preisindex,4,FALSE)/VLOOKUP(Preisindex!$A$6,Preisindex,4,FALSE),2),IF(AND($E274&lt;&gt;0,$F274&gt;0,YEAR($F274)&lt;Preisindex!$A$6,YEAR(AE$4)&gt;=YEAR($F274),$K274="k"),ROUND(VLOOKUP(AJ$4,Preisindex,2,FALSE)/VLOOKUP(Preisindex!$A$6,Preisindex,2,FALSE),2),0)))))</f>
        <v>0</v>
      </c>
      <c r="AL274" s="51">
        <f>IF(AND($E274&lt;&gt;0,$F274&gt;0,YEAR($F274)&lt;=AJ$4,YEAR($F274)&gt;=Preisindex!$A$6),ROUND($E274*AJ274,2),IF(AND($E274&lt;&gt;0,$F274&gt;0,YEAR($F274)&lt;=AJ$4,YEAR($F274)&lt;Preisindex!$A$6),ROUND($E274*AK274,2),0))</f>
        <v>0</v>
      </c>
      <c r="AM274" s="53">
        <f t="shared" si="838"/>
        <v>0</v>
      </c>
      <c r="AN274" s="51">
        <f t="shared" si="754"/>
        <v>0</v>
      </c>
      <c r="AO274" s="51">
        <f t="shared" si="710"/>
        <v>0</v>
      </c>
      <c r="AP274" s="51">
        <f t="shared" si="755"/>
        <v>0</v>
      </c>
      <c r="AQ274" s="51">
        <f t="shared" si="711"/>
        <v>0</v>
      </c>
      <c r="AR274" s="51">
        <f t="shared" si="756"/>
        <v>0</v>
      </c>
      <c r="AS274" s="51">
        <f t="shared" si="712"/>
        <v>0</v>
      </c>
      <c r="AT274" s="51">
        <f t="shared" si="757"/>
        <v>0</v>
      </c>
      <c r="AU274" s="51">
        <f t="shared" si="713"/>
        <v>0</v>
      </c>
      <c r="AV274" s="51">
        <f t="shared" si="758"/>
        <v>0</v>
      </c>
      <c r="AW274" s="51">
        <f t="shared" si="714"/>
        <v>0</v>
      </c>
      <c r="AX274" s="51">
        <f t="shared" si="759"/>
        <v>0</v>
      </c>
      <c r="AY274" s="54">
        <f t="shared" si="760"/>
        <v>0</v>
      </c>
      <c r="AZ274" s="55">
        <f t="shared" si="761"/>
        <v>0</v>
      </c>
      <c r="BA274" s="56">
        <f>IF(AND($E274&lt;&gt;0,$F274&gt;0,YEAR($F274)&gt;=Preisindex!$A$6,YEAR(AV$4)&gt;=YEAR($F274),AND($K274&lt;&gt;"a",$K274&lt;&gt;"b",$K274&lt;&gt;"g",$K274&lt;&gt;"k")),1,IF(AND($E274&lt;&gt;0,$F274&gt;0,YEAR($F274)&gt;=Preisindex!$A$6,YEAR(AV$4)&gt;=YEAR($F274),$K274="a"),ROUND(VLOOKUP(BA$4,Preisindex,5,FALSE)/VLOOKUP(YEAR($F274),Preisindex,5,FALSE),2),IF(AND($E274&lt;&gt;0,$F274&gt;0,YEAR($F274)&gt;=Preisindex!$A$6,YEAR(AV$4)&gt;=YEAR($F274),$K274="b"),ROUND(VLOOKUP(BA$4,Preisindex,3,FALSE)/VLOOKUP(YEAR($F274),Preisindex,3,FALSE),2),IF(AND($E274&lt;&gt;0,$F274&gt;0,YEAR($F274)&gt;=Preisindex!$A$6,YEAR(AV$4)&gt;=YEAR($F274),$K274="g"),ROUND(VLOOKUP(BA$4,Preisindex,4,FALSE)/VLOOKUP(YEAR($F274),Preisindex,4,FALSE),2),IF(AND($E274&lt;&gt;0,$F274&gt;0,YEAR($F274)&gt;=Preisindex!$A$6,YEAR(AV$4)&gt;=YEAR($F274),$K274="k"),ROUND(VLOOKUP(BA$4,Preisindex,2,FALSE)/VLOOKUP(YEAR($F274),Preisindex,2,FALSE),2),0)))))</f>
        <v>0</v>
      </c>
      <c r="BB274" s="56">
        <f>IF(AND($E274&lt;&gt;0,$F274&gt;0,YEAR($F274)&lt;Preisindex!$A$6,YEAR(AV$4)&gt;=YEAR($F274),AND($K274&lt;&gt;"a",$K274&lt;&gt;"b",$K274&lt;&gt;"g",$K274&lt;&gt;"k")),1,IF(AND($E274&lt;&gt;0,$F274&gt;0,YEAR($F274)&lt;Preisindex!$A$6,YEAR(AV$4)&gt;=YEAR($F274),$K274="a"),ROUND(VLOOKUP(BA$4,Preisindex,5,FALSE)/VLOOKUP(Preisindex!$A$6,Preisindex,5,FALSE),2),IF(AND($E274&lt;&gt;0,$F274&gt;0,YEAR($F274)&lt;Preisindex!$A$6,YEAR(AV$4)&gt;=YEAR($F274),$K274="b"),ROUND(VLOOKUP(BA$4,Preisindex,3,FALSE)/VLOOKUP(Preisindex!$A$6,Preisindex,3,FALSE),2),IF(AND($E274&lt;&gt;0,$F274&gt;0,YEAR($F274)&lt;Preisindex!$A$6,YEAR(AV$4)&gt;=YEAR($F274),$K274="g"),ROUND(VLOOKUP(BA$4,Preisindex,4,FALSE)/VLOOKUP(Preisindex!$A$6,Preisindex,4,FALSE),2),IF(AND($E274&lt;&gt;0,$F274&gt;0,YEAR($F274)&lt;Preisindex!$A$6,YEAR(AV$4)&gt;=YEAR($F274),$K274="k"),ROUND(VLOOKUP(BA$4,Preisindex,2,FALSE)/VLOOKUP(Preisindex!$A$6,Preisindex,2,FALSE),2),0)))))</f>
        <v>0</v>
      </c>
      <c r="BC274" s="51">
        <f>IF(AND($E274&lt;&gt;0,$F274&gt;0,YEAR($F274)&lt;=BA$4,YEAR($F274)&gt;=Preisindex!$A$6),ROUND($E274*BA274,2),IF(AND($E274&lt;&gt;0,$F274&gt;0,YEAR($F274)&lt;=BA$4,YEAR($F274)&lt;Preisindex!$A$6),ROUND($E274*BB274,2),0))</f>
        <v>0</v>
      </c>
      <c r="BD274" s="53">
        <f t="shared" si="762"/>
        <v>0</v>
      </c>
      <c r="BE274" s="51">
        <f t="shared" si="754"/>
        <v>0</v>
      </c>
      <c r="BF274" s="51">
        <f t="shared" si="715"/>
        <v>0</v>
      </c>
      <c r="BG274" s="51">
        <f t="shared" si="763"/>
        <v>0</v>
      </c>
      <c r="BH274" s="51">
        <f t="shared" si="716"/>
        <v>0</v>
      </c>
      <c r="BI274" s="51">
        <f t="shared" si="764"/>
        <v>0</v>
      </c>
      <c r="BJ274" s="51">
        <f t="shared" si="717"/>
        <v>0</v>
      </c>
      <c r="BK274" s="51">
        <f t="shared" si="765"/>
        <v>0</v>
      </c>
      <c r="BL274" s="51">
        <f t="shared" si="718"/>
        <v>0</v>
      </c>
      <c r="BM274" s="51">
        <f t="shared" si="766"/>
        <v>0</v>
      </c>
      <c r="BN274" s="51">
        <f t="shared" si="719"/>
        <v>0</v>
      </c>
      <c r="BO274" s="51">
        <f t="shared" si="767"/>
        <v>0</v>
      </c>
      <c r="BP274" s="54">
        <f t="shared" si="768"/>
        <v>0</v>
      </c>
      <c r="BQ274" s="55">
        <f t="shared" si="769"/>
        <v>0</v>
      </c>
      <c r="BR274" s="56">
        <f>IF(AND($E274&lt;&gt;0,$F274&gt;0,YEAR($F274)&gt;=Preisindex!$A$6,YEAR(BM$4)&gt;=YEAR($F274),AND($K274&lt;&gt;"a",$K274&lt;&gt;"b",$K274&lt;&gt;"g",$K274&lt;&gt;"k")),1,IF(AND($E274&lt;&gt;0,$F274&gt;0,YEAR($F274)&gt;=Preisindex!$A$6,YEAR(BM$4)&gt;=YEAR($F274),$K274="a"),ROUND(VLOOKUP(BR$4,Preisindex,5,FALSE)/VLOOKUP(YEAR($F274),Preisindex,5,FALSE),2),IF(AND($E274&lt;&gt;0,$F274&gt;0,YEAR($F274)&gt;=Preisindex!$A$6,YEAR(BM$4)&gt;=YEAR($F274),$K274="b"),ROUND(VLOOKUP(BR$4,Preisindex,3,FALSE)/VLOOKUP(YEAR($F274),Preisindex,3,FALSE),2),IF(AND($E274&lt;&gt;0,$F274&gt;0,YEAR($F274)&gt;=Preisindex!$A$6,YEAR(BM$4)&gt;=YEAR($F274),$K274="g"),ROUND(VLOOKUP(BR$4,Preisindex,4,FALSE)/VLOOKUP(YEAR($F274),Preisindex,4,FALSE),2),IF(AND($E274&lt;&gt;0,$F274&gt;0,YEAR($F274)&gt;=Preisindex!$A$6,YEAR(BM$4)&gt;=YEAR($F274),$K274="k"),ROUND(VLOOKUP(BR$4,Preisindex,2,FALSE)/VLOOKUP(YEAR($F274),Preisindex,2,FALSE),2),0)))))</f>
        <v>0</v>
      </c>
      <c r="BS274" s="56">
        <f>IF(AND($E274&lt;&gt;0,$F274&gt;0,YEAR($F274)&lt;Preisindex!$A$6,YEAR(BM$4)&gt;=YEAR($F274),AND($K274&lt;&gt;"a",$K274&lt;&gt;"b",$K274&lt;&gt;"g",$K274&lt;&gt;"k")),1,IF(AND($E274&lt;&gt;0,$F274&gt;0,YEAR($F274)&lt;Preisindex!$A$6,YEAR(BM$4)&gt;=YEAR($F274),$K274="a"),ROUND(VLOOKUP(BR$4,Preisindex,5,FALSE)/VLOOKUP(Preisindex!$A$6,Preisindex,5,FALSE),2),IF(AND($E274&lt;&gt;0,$F274&gt;0,YEAR($F274)&lt;Preisindex!$A$6,YEAR(BM$4)&gt;=YEAR($F274),$K274="b"),ROUND(VLOOKUP(BR$4,Preisindex,3,FALSE)/VLOOKUP(Preisindex!$A$6,Preisindex,3,FALSE),2),IF(AND($E274&lt;&gt;0,$F274&gt;0,YEAR($F274)&lt;Preisindex!$A$6,YEAR(BM$4)&gt;=YEAR($F274),$K274="g"),ROUND(VLOOKUP(BR$4,Preisindex,4,FALSE)/VLOOKUP(Preisindex!$A$6,Preisindex,4,FALSE),2),IF(AND($E274&lt;&gt;0,$F274&gt;0,YEAR($F274)&lt;Preisindex!$A$6,YEAR(BM$4)&gt;=YEAR($F274),$K274="k"),ROUND(VLOOKUP(BR$4,Preisindex,2,FALSE)/VLOOKUP(Preisindex!$A$6,Preisindex,2,FALSE),2),0)))))</f>
        <v>0</v>
      </c>
      <c r="BT274" s="51">
        <f>IF(AND($E274&lt;&gt;0,$F274&gt;0,YEAR($F274)&lt;=BR$4,YEAR($F274)&gt;=Preisindex!$A$6),ROUND($E274*BR274,2),IF(AND($E274&lt;&gt;0,$F274&gt;0,YEAR($F274)&lt;=BR$4,YEAR($F274)&lt;Preisindex!$A$6),ROUND($E274*BS274,2),0))</f>
        <v>0</v>
      </c>
      <c r="BU274" s="53">
        <f t="shared" si="770"/>
        <v>0</v>
      </c>
      <c r="BV274" s="51">
        <f t="shared" si="754"/>
        <v>0</v>
      </c>
      <c r="BW274" s="51">
        <f t="shared" si="720"/>
        <v>0</v>
      </c>
      <c r="BX274" s="51">
        <f t="shared" si="771"/>
        <v>0</v>
      </c>
      <c r="BY274" s="51">
        <f t="shared" si="721"/>
        <v>0</v>
      </c>
      <c r="BZ274" s="51">
        <f t="shared" si="772"/>
        <v>0</v>
      </c>
      <c r="CA274" s="51">
        <f t="shared" si="722"/>
        <v>0</v>
      </c>
      <c r="CB274" s="51">
        <f t="shared" si="773"/>
        <v>0</v>
      </c>
      <c r="CC274" s="51">
        <f t="shared" si="723"/>
        <v>0</v>
      </c>
      <c r="CD274" s="51">
        <f t="shared" si="774"/>
        <v>0</v>
      </c>
      <c r="CE274" s="51">
        <f t="shared" si="724"/>
        <v>0</v>
      </c>
      <c r="CF274" s="51">
        <f t="shared" si="775"/>
        <v>0</v>
      </c>
      <c r="CG274" s="54">
        <f t="shared" si="776"/>
        <v>0</v>
      </c>
      <c r="CH274" s="55">
        <f t="shared" si="777"/>
        <v>0</v>
      </c>
      <c r="CI274" s="56">
        <f>IF(AND($E274&lt;&gt;0,$F274&gt;0,YEAR($F274)&gt;=Preisindex!$A$6,YEAR(CD$4)&gt;=YEAR($F274),AND($K274&lt;&gt;"a",$K274&lt;&gt;"b",$K274&lt;&gt;"g",$K274&lt;&gt;"k")),1,IF(AND($E274&lt;&gt;0,$F274&gt;0,YEAR($F274)&gt;=Preisindex!$A$6,YEAR(CD$4)&gt;=YEAR($F274),$K274="a"),ROUND(VLOOKUP(CI$4,Preisindex,5,FALSE)/VLOOKUP(YEAR($F274),Preisindex,5,FALSE),2),IF(AND($E274&lt;&gt;0,$F274&gt;0,YEAR($F274)&gt;=Preisindex!$A$6,YEAR(CD$4)&gt;=YEAR($F274),$K274="b"),ROUND(VLOOKUP(CI$4,Preisindex,3,FALSE)/VLOOKUP(YEAR($F274),Preisindex,3,FALSE),2),IF(AND($E274&lt;&gt;0,$F274&gt;0,YEAR($F274)&gt;=Preisindex!$A$6,YEAR(CD$4)&gt;=YEAR($F274),$K274="g"),ROUND(VLOOKUP(CI$4,Preisindex,4,FALSE)/VLOOKUP(YEAR($F274),Preisindex,4,FALSE),2),IF(AND($E274&lt;&gt;0,$F274&gt;0,YEAR($F274)&gt;=Preisindex!$A$6,YEAR(CD$4)&gt;=YEAR($F274),$K274="k"),ROUND(VLOOKUP(CI$4,Preisindex,2,FALSE)/VLOOKUP(YEAR($F274),Preisindex,2,FALSE),2),0)))))</f>
        <v>0</v>
      </c>
      <c r="CJ274" s="56">
        <f>IF(AND($E274&lt;&gt;0,$F274&gt;0,YEAR($F274)&lt;Preisindex!$A$6,YEAR(CD$4)&gt;=YEAR($F274),AND($K274&lt;&gt;"a",$K274&lt;&gt;"b",$K274&lt;&gt;"g",$K274&lt;&gt;"k")),1,IF(AND($E274&lt;&gt;0,$F274&gt;0,YEAR($F274)&lt;Preisindex!$A$6,YEAR(CD$4)&gt;=YEAR($F274),$K274="a"),ROUND(VLOOKUP(CI$4,Preisindex,5,FALSE)/VLOOKUP(Preisindex!$A$6,Preisindex,5,FALSE),2),IF(AND($E274&lt;&gt;0,$F274&gt;0,YEAR($F274)&lt;Preisindex!$A$6,YEAR(CD$4)&gt;=YEAR($F274),$K274="b"),ROUND(VLOOKUP(CI$4,Preisindex,3,FALSE)/VLOOKUP(Preisindex!$A$6,Preisindex,3,FALSE),2),IF(AND($E274&lt;&gt;0,$F274&gt;0,YEAR($F274)&lt;Preisindex!$A$6,YEAR(CD$4)&gt;=YEAR($F274),$K274="g"),ROUND(VLOOKUP(CI$4,Preisindex,4,FALSE)/VLOOKUP(Preisindex!$A$6,Preisindex,4,FALSE),2),IF(AND($E274&lt;&gt;0,$F274&gt;0,YEAR($F274)&lt;Preisindex!$A$6,YEAR(CD$4)&gt;=YEAR($F274),$K274="k"),ROUND(VLOOKUP(CI$4,Preisindex,2,FALSE)/VLOOKUP(Preisindex!$A$6,Preisindex,2,FALSE),2),0)))))</f>
        <v>0</v>
      </c>
      <c r="CK274" s="51">
        <f>IF(AND($E274&lt;&gt;0,$F274&gt;0,YEAR($F274)&lt;=CI$4,YEAR($F274)&gt;=Preisindex!$A$6),ROUND($E274*CI274,2),IF(AND($E274&lt;&gt;0,$F274&gt;0,YEAR($F274)&lt;=CI$4,YEAR($F274)&lt;Preisindex!$A$6),ROUND($E274*CJ274,2),0))</f>
        <v>0</v>
      </c>
      <c r="CL274" s="53">
        <f t="shared" si="778"/>
        <v>0</v>
      </c>
      <c r="CM274" s="51">
        <f t="shared" si="754"/>
        <v>0</v>
      </c>
      <c r="CN274" s="51">
        <f t="shared" si="725"/>
        <v>0</v>
      </c>
      <c r="CO274" s="51">
        <f t="shared" si="779"/>
        <v>0</v>
      </c>
      <c r="CP274" s="51">
        <f t="shared" si="726"/>
        <v>0</v>
      </c>
      <c r="CQ274" s="51">
        <f t="shared" si="780"/>
        <v>0</v>
      </c>
      <c r="CR274" s="51">
        <f t="shared" si="727"/>
        <v>0</v>
      </c>
      <c r="CS274" s="51">
        <f t="shared" si="781"/>
        <v>0</v>
      </c>
      <c r="CT274" s="51">
        <f t="shared" si="728"/>
        <v>0</v>
      </c>
      <c r="CU274" s="51">
        <f t="shared" si="782"/>
        <v>0</v>
      </c>
      <c r="CV274" s="51">
        <f t="shared" si="729"/>
        <v>0</v>
      </c>
      <c r="CW274" s="51">
        <f t="shared" si="783"/>
        <v>0</v>
      </c>
      <c r="CX274" s="54">
        <f t="shared" si="784"/>
        <v>0</v>
      </c>
      <c r="CY274" s="55">
        <f t="shared" si="785"/>
        <v>0</v>
      </c>
      <c r="CZ274" s="56">
        <f>IF(AND($E274&lt;&gt;0,$F274&gt;0,YEAR($F274)&gt;=Preisindex!$A$6,YEAR(CU$4)&gt;=YEAR($F274),AND($K274&lt;&gt;"a",$K274&lt;&gt;"b",$K274&lt;&gt;"g",$K274&lt;&gt;"k")),1,IF(AND($E274&lt;&gt;0,$F274&gt;0,YEAR($F274)&gt;=Preisindex!$A$6,YEAR(CU$4)&gt;=YEAR($F274),$K274="a"),ROUND(VLOOKUP(CZ$4,Preisindex,5,FALSE)/VLOOKUP(YEAR($F274),Preisindex,5,FALSE),2),IF(AND($E274&lt;&gt;0,$F274&gt;0,YEAR($F274)&gt;=Preisindex!$A$6,YEAR(CU$4)&gt;=YEAR($F274),$K274="b"),ROUND(VLOOKUP(CZ$4,Preisindex,3,FALSE)/VLOOKUP(YEAR($F274),Preisindex,3,FALSE),2),IF(AND($E274&lt;&gt;0,$F274&gt;0,YEAR($F274)&gt;=Preisindex!$A$6,YEAR(CU$4)&gt;=YEAR($F274),$K274="g"),ROUND(VLOOKUP(CZ$4,Preisindex,4,FALSE)/VLOOKUP(YEAR($F274),Preisindex,4,FALSE),2),IF(AND($E274&lt;&gt;0,$F274&gt;0,YEAR($F274)&gt;=Preisindex!$A$6,YEAR(CU$4)&gt;=YEAR($F274),$K274="k"),ROUND(VLOOKUP(CZ$4,Preisindex,2,FALSE)/VLOOKUP(YEAR($F274),Preisindex,2,FALSE),2),0)))))</f>
        <v>0</v>
      </c>
      <c r="DA274" s="56">
        <f>IF(AND($E274&lt;&gt;0,$F274&gt;0,YEAR($F274)&lt;Preisindex!$A$6,YEAR(CU$4)&gt;=YEAR($F274),AND($K274&lt;&gt;"a",$K274&lt;&gt;"b",$K274&lt;&gt;"g",$K274&lt;&gt;"k")),1,IF(AND($E274&lt;&gt;0,$F274&gt;0,YEAR($F274)&lt;Preisindex!$A$6,YEAR(CU$4)&gt;=YEAR($F274),$K274="a"),ROUND(VLOOKUP(CZ$4,Preisindex,5,FALSE)/VLOOKUP(Preisindex!$A$6,Preisindex,5,FALSE),2),IF(AND($E274&lt;&gt;0,$F274&gt;0,YEAR($F274)&lt;Preisindex!$A$6,YEAR(CU$4)&gt;=YEAR($F274),$K274="b"),ROUND(VLOOKUP(CZ$4,Preisindex,3,FALSE)/VLOOKUP(Preisindex!$A$6,Preisindex,3,FALSE),2),IF(AND($E274&lt;&gt;0,$F274&gt;0,YEAR($F274)&lt;Preisindex!$A$6,YEAR(CU$4)&gt;=YEAR($F274),$K274="g"),ROUND(VLOOKUP(CZ$4,Preisindex,4,FALSE)/VLOOKUP(Preisindex!$A$6,Preisindex,4,FALSE),2),IF(AND($E274&lt;&gt;0,$F274&gt;0,YEAR($F274)&lt;Preisindex!$A$6,YEAR(CU$4)&gt;=YEAR($F274),$K274="k"),ROUND(VLOOKUP(CZ$4,Preisindex,2,FALSE)/VLOOKUP(Preisindex!$A$6,Preisindex,2,FALSE),2),0)))))</f>
        <v>0</v>
      </c>
      <c r="DB274" s="51">
        <f>IF(AND($E274&lt;&gt;0,$F274&gt;0,YEAR($F274)&lt;=CZ$4,YEAR($F274)&gt;=Preisindex!$A$6),ROUND($E274*CZ274,2),IF(AND($E274&lt;&gt;0,$F274&gt;0,YEAR($F274)&lt;=CZ$4,YEAR($F274)&lt;Preisindex!$A$6),ROUND($E274*DA274,2),0))</f>
        <v>0</v>
      </c>
      <c r="DC274" s="53">
        <f t="shared" si="786"/>
        <v>0</v>
      </c>
      <c r="DD274" s="51">
        <f t="shared" si="787"/>
        <v>0</v>
      </c>
      <c r="DE274" s="51">
        <f t="shared" si="730"/>
        <v>0</v>
      </c>
      <c r="DF274" s="51">
        <f t="shared" si="788"/>
        <v>0</v>
      </c>
      <c r="DG274" s="51">
        <f t="shared" si="731"/>
        <v>0</v>
      </c>
      <c r="DH274" s="51">
        <f t="shared" si="789"/>
        <v>0</v>
      </c>
      <c r="DI274" s="51">
        <f t="shared" si="732"/>
        <v>0</v>
      </c>
      <c r="DJ274" s="51">
        <f t="shared" si="790"/>
        <v>0</v>
      </c>
      <c r="DK274" s="51">
        <f t="shared" si="733"/>
        <v>0</v>
      </c>
      <c r="DL274" s="51">
        <f t="shared" si="791"/>
        <v>0</v>
      </c>
      <c r="DM274" s="51">
        <f t="shared" si="734"/>
        <v>0</v>
      </c>
      <c r="DN274" s="51">
        <f t="shared" si="792"/>
        <v>0</v>
      </c>
      <c r="DO274" s="54">
        <f t="shared" si="793"/>
        <v>0</v>
      </c>
      <c r="DP274" s="55">
        <f t="shared" si="794"/>
        <v>0</v>
      </c>
      <c r="DQ274" s="56">
        <f>IF(AND($E274&lt;&gt;0,$F274&gt;0,YEAR($F274)&gt;=Preisindex!$A$6,YEAR(DL$4)&gt;=YEAR($F274),AND($K274&lt;&gt;"a",$K274&lt;&gt;"b",$K274&lt;&gt;"g",$K274&lt;&gt;"k")),1,IF(AND($E274&lt;&gt;0,$F274&gt;0,YEAR($F274)&gt;=Preisindex!$A$6,YEAR(DL$4)&gt;=YEAR($F274),$K274="a"),ROUND(VLOOKUP(DQ$4,Preisindex,5,FALSE)/VLOOKUP(YEAR($F274),Preisindex,5,FALSE),2),IF(AND($E274&lt;&gt;0,$F274&gt;0,YEAR($F274)&gt;=Preisindex!$A$6,YEAR(DL$4)&gt;=YEAR($F274),$K274="b"),ROUND(VLOOKUP(DQ$4,Preisindex,3,FALSE)/VLOOKUP(YEAR($F274),Preisindex,3,FALSE),2),IF(AND($E274&lt;&gt;0,$F274&gt;0,YEAR($F274)&gt;=Preisindex!$A$6,YEAR(DL$4)&gt;=YEAR($F274),$K274="g"),ROUND(VLOOKUP(DQ$4,Preisindex,4,FALSE)/VLOOKUP(YEAR($F274),Preisindex,4,FALSE),2),IF(AND($E274&lt;&gt;0,$F274&gt;0,YEAR($F274)&gt;=Preisindex!$A$6,YEAR(DL$4)&gt;=YEAR($F274),$K274="k"),ROUND(VLOOKUP(DQ$4,Preisindex,2,FALSE)/VLOOKUP(YEAR($F274),Preisindex,2,FALSE),2),0)))))</f>
        <v>0</v>
      </c>
      <c r="DR274" s="56">
        <f>IF(AND($E274&lt;&gt;0,$F274&gt;0,YEAR($F274)&lt;Preisindex!$A$6,YEAR(DL$4)&gt;=YEAR($F274),AND($K274&lt;&gt;"a",$K274&lt;&gt;"b",$K274&lt;&gt;"g",$K274&lt;&gt;"k")),1,IF(AND($E274&lt;&gt;0,$F274&gt;0,YEAR($F274)&lt;Preisindex!$A$6,YEAR(DL$4)&gt;=YEAR($F274),$K274="a"),ROUND(VLOOKUP(DQ$4,Preisindex,5,FALSE)/VLOOKUP(Preisindex!$A$6,Preisindex,5,FALSE),2),IF(AND($E274&lt;&gt;0,$F274&gt;0,YEAR($F274)&lt;Preisindex!$A$6,YEAR(DL$4)&gt;=YEAR($F274),$K274="b"),ROUND(VLOOKUP(DQ$4,Preisindex,3,FALSE)/VLOOKUP(Preisindex!$A$6,Preisindex,3,FALSE),2),IF(AND($E274&lt;&gt;0,$F274&gt;0,YEAR($F274)&lt;Preisindex!$A$6,YEAR(DL$4)&gt;=YEAR($F274),$K274="g"),ROUND(VLOOKUP(DQ$4,Preisindex,4,FALSE)/VLOOKUP(Preisindex!$A$6,Preisindex,4,FALSE),2),IF(AND($E274&lt;&gt;0,$F274&gt;0,YEAR($F274)&lt;Preisindex!$A$6,YEAR(DL$4)&gt;=YEAR($F274),$K274="k"),ROUND(VLOOKUP(DQ$4,Preisindex,2,FALSE)/VLOOKUP(Preisindex!$A$6,Preisindex,2,FALSE),2),0)))))</f>
        <v>0</v>
      </c>
      <c r="DS274" s="51">
        <f>IF(AND($E274&lt;&gt;0,$F274&gt;0,YEAR($F274)&lt;=DQ$4,YEAR($F274)&gt;=Preisindex!$A$6),ROUND($E274*DQ274,2),IF(AND($E274&lt;&gt;0,$F274&gt;0,YEAR($F274)&lt;=DQ$4,YEAR($F274)&lt;Preisindex!$A$6),ROUND($E274*DR274,2),0))</f>
        <v>0</v>
      </c>
      <c r="DT274" s="53">
        <f t="shared" si="795"/>
        <v>0</v>
      </c>
      <c r="DU274" s="51">
        <f t="shared" si="787"/>
        <v>0</v>
      </c>
      <c r="DV274" s="51">
        <f t="shared" si="735"/>
        <v>0</v>
      </c>
      <c r="DW274" s="51">
        <f t="shared" si="796"/>
        <v>0</v>
      </c>
      <c r="DX274" s="51">
        <f t="shared" si="736"/>
        <v>0</v>
      </c>
      <c r="DY274" s="51">
        <f t="shared" si="797"/>
        <v>0</v>
      </c>
      <c r="DZ274" s="51">
        <f t="shared" si="737"/>
        <v>0</v>
      </c>
      <c r="EA274" s="51">
        <f t="shared" si="798"/>
        <v>0</v>
      </c>
      <c r="EB274" s="51">
        <f t="shared" si="738"/>
        <v>0</v>
      </c>
      <c r="EC274" s="51">
        <f t="shared" si="799"/>
        <v>0</v>
      </c>
      <c r="ED274" s="51">
        <f t="shared" si="739"/>
        <v>0</v>
      </c>
      <c r="EE274" s="51">
        <f t="shared" si="800"/>
        <v>0</v>
      </c>
      <c r="EF274" s="54">
        <f t="shared" si="801"/>
        <v>0</v>
      </c>
      <c r="EG274" s="55">
        <f t="shared" si="802"/>
        <v>0</v>
      </c>
      <c r="EH274" s="56">
        <f>IF(AND($E274&lt;&gt;0,$F274&gt;0,YEAR($F274)&gt;=Preisindex!$A$6,YEAR(EC$4)&gt;=YEAR($F274),AND($K274&lt;&gt;"a",$K274&lt;&gt;"b",$K274&lt;&gt;"g",$K274&lt;&gt;"k")),1,IF(AND($E274&lt;&gt;0,$F274&gt;0,YEAR($F274)&gt;=Preisindex!$A$6,YEAR(EC$4)&gt;=YEAR($F274),$K274="a"),ROUND(VLOOKUP(EH$4,Preisindex,5,FALSE)/VLOOKUP(YEAR($F274),Preisindex,5,FALSE),2),IF(AND($E274&lt;&gt;0,$F274&gt;0,YEAR($F274)&gt;=Preisindex!$A$6,YEAR(EC$4)&gt;=YEAR($F274),$K274="b"),ROUND(VLOOKUP(EH$4,Preisindex,3,FALSE)/VLOOKUP(YEAR($F274),Preisindex,3,FALSE),2),IF(AND($E274&lt;&gt;0,$F274&gt;0,YEAR($F274)&gt;=Preisindex!$A$6,YEAR(EC$4)&gt;=YEAR($F274),$K274="g"),ROUND(VLOOKUP(EH$4,Preisindex,4,FALSE)/VLOOKUP(YEAR($F274),Preisindex,4,FALSE),2),IF(AND($E274&lt;&gt;0,$F274&gt;0,YEAR($F274)&gt;=Preisindex!$A$6,YEAR(EC$4)&gt;=YEAR($F274),$K274="k"),ROUND(VLOOKUP(EH$4,Preisindex,2,FALSE)/VLOOKUP(YEAR($F274),Preisindex,2,FALSE),2),0)))))</f>
        <v>0</v>
      </c>
      <c r="EI274" s="56">
        <f>IF(AND($E274&lt;&gt;0,$F274&gt;0,YEAR($F274)&lt;Preisindex!$A$6,YEAR(EC$4)&gt;=YEAR($F274),AND($K274&lt;&gt;"a",$K274&lt;&gt;"b",$K274&lt;&gt;"g",$K274&lt;&gt;"k")),1,IF(AND($E274&lt;&gt;0,$F274&gt;0,YEAR($F274)&lt;Preisindex!$A$6,YEAR(EC$4)&gt;=YEAR($F274),$K274="a"),ROUND(VLOOKUP(EH$4,Preisindex,5,FALSE)/VLOOKUP(Preisindex!$A$6,Preisindex,5,FALSE),2),IF(AND($E274&lt;&gt;0,$F274&gt;0,YEAR($F274)&lt;Preisindex!$A$6,YEAR(EC$4)&gt;=YEAR($F274),$K274="b"),ROUND(VLOOKUP(EH$4,Preisindex,3,FALSE)/VLOOKUP(Preisindex!$A$6,Preisindex,3,FALSE),2),IF(AND($E274&lt;&gt;0,$F274&gt;0,YEAR($F274)&lt;Preisindex!$A$6,YEAR(EC$4)&gt;=YEAR($F274),$K274="g"),ROUND(VLOOKUP(EH$4,Preisindex,4,FALSE)/VLOOKUP(Preisindex!$A$6,Preisindex,4,FALSE),2),IF(AND($E274&lt;&gt;0,$F274&gt;0,YEAR($F274)&lt;Preisindex!$A$6,YEAR(EC$4)&gt;=YEAR($F274),$K274="k"),ROUND(VLOOKUP(EH$4,Preisindex,2,FALSE)/VLOOKUP(Preisindex!$A$6,Preisindex,2,FALSE),2),0)))))</f>
        <v>0</v>
      </c>
      <c r="EJ274" s="51">
        <f>IF(AND($E274&lt;&gt;0,$F274&gt;0,YEAR($F274)&lt;=EH$4,YEAR($F274)&gt;=Preisindex!$A$6),ROUND($E274*EH274,2),IF(AND($E274&lt;&gt;0,$F274&gt;0,YEAR($F274)&lt;=EH$4,YEAR($F274)&lt;Preisindex!$A$6),ROUND($E274*EI274,2),0))</f>
        <v>0</v>
      </c>
      <c r="EK274" s="53">
        <f t="shared" si="803"/>
        <v>0</v>
      </c>
      <c r="EL274" s="51">
        <f t="shared" si="787"/>
        <v>0</v>
      </c>
      <c r="EM274" s="51">
        <f t="shared" si="740"/>
        <v>0</v>
      </c>
      <c r="EN274" s="51">
        <f t="shared" si="804"/>
        <v>0</v>
      </c>
      <c r="EO274" s="51">
        <f t="shared" si="741"/>
        <v>0</v>
      </c>
      <c r="EP274" s="51">
        <f t="shared" si="805"/>
        <v>0</v>
      </c>
      <c r="EQ274" s="51">
        <f t="shared" si="742"/>
        <v>0</v>
      </c>
      <c r="ER274" s="51">
        <f t="shared" si="806"/>
        <v>0</v>
      </c>
      <c r="ES274" s="51">
        <f t="shared" si="743"/>
        <v>0</v>
      </c>
      <c r="ET274" s="51">
        <f t="shared" si="807"/>
        <v>0</v>
      </c>
      <c r="EU274" s="51">
        <f t="shared" si="744"/>
        <v>0</v>
      </c>
      <c r="EV274" s="51">
        <f t="shared" si="808"/>
        <v>0</v>
      </c>
      <c r="EW274" s="54">
        <f t="shared" si="809"/>
        <v>0</v>
      </c>
      <c r="EX274" s="55">
        <f t="shared" si="810"/>
        <v>0</v>
      </c>
      <c r="EY274" s="56">
        <f>IF(AND($E274&lt;&gt;0,$F274&gt;0,YEAR($F274)&gt;=Preisindex!$A$6,YEAR(ET$4)&gt;=YEAR($F274),AND($K274&lt;&gt;"a",$K274&lt;&gt;"b",$K274&lt;&gt;"g",$K274&lt;&gt;"k")),1,IF(AND($E274&lt;&gt;0,$F274&gt;0,YEAR($F274)&gt;=Preisindex!$A$6,YEAR(ET$4)&gt;=YEAR($F274),$K274="a"),ROUND(VLOOKUP(EY$4,Preisindex,5,FALSE)/VLOOKUP(YEAR($F274),Preisindex,5,FALSE),2),IF(AND($E274&lt;&gt;0,$F274&gt;0,YEAR($F274)&gt;=Preisindex!$A$6,YEAR(ET$4)&gt;=YEAR($F274),$K274="b"),ROUND(VLOOKUP(EY$4,Preisindex,3,FALSE)/VLOOKUP(YEAR($F274),Preisindex,3,FALSE),2),IF(AND($E274&lt;&gt;0,$F274&gt;0,YEAR($F274)&gt;=Preisindex!$A$6,YEAR(ET$4)&gt;=YEAR($F274),$K274="g"),ROUND(VLOOKUP(EY$4,Preisindex,4,FALSE)/VLOOKUP(YEAR($F274),Preisindex,4,FALSE),2),IF(AND($E274&lt;&gt;0,$F274&gt;0,YEAR($F274)&gt;=Preisindex!$A$6,YEAR(ET$4)&gt;=YEAR($F274),$K274="k"),ROUND(VLOOKUP(EY$4,Preisindex,2,FALSE)/VLOOKUP(YEAR($F274),Preisindex,2,FALSE),2),0)))))</f>
        <v>0</v>
      </c>
      <c r="EZ274" s="56">
        <f>IF(AND($E274&lt;&gt;0,$F274&gt;0,YEAR($F274)&lt;Preisindex!$A$6,YEAR(ET$4)&gt;=YEAR($F274),AND($K274&lt;&gt;"a",$K274&lt;&gt;"b",$K274&lt;&gt;"g",$K274&lt;&gt;"k")),1,IF(AND($E274&lt;&gt;0,$F274&gt;0,YEAR($F274)&lt;Preisindex!$A$6,YEAR(ET$4)&gt;=YEAR($F274),$K274="a"),ROUND(VLOOKUP(EY$4,Preisindex,5,FALSE)/VLOOKUP(Preisindex!$A$6,Preisindex,5,FALSE),2),IF(AND($E274&lt;&gt;0,$F274&gt;0,YEAR($F274)&lt;Preisindex!$A$6,YEAR(ET$4)&gt;=YEAR($F274),$K274="b"),ROUND(VLOOKUP(EY$4,Preisindex,3,FALSE)/VLOOKUP(Preisindex!$A$6,Preisindex,3,FALSE),2),IF(AND($E274&lt;&gt;0,$F274&gt;0,YEAR($F274)&lt;Preisindex!$A$6,YEAR(ET$4)&gt;=YEAR($F274),$K274="g"),ROUND(VLOOKUP(EY$4,Preisindex,4,FALSE)/VLOOKUP(Preisindex!$A$6,Preisindex,4,FALSE),2),IF(AND($E274&lt;&gt;0,$F274&gt;0,YEAR($F274)&lt;Preisindex!$A$6,YEAR(ET$4)&gt;=YEAR($F274),$K274="k"),ROUND(VLOOKUP(EY$4,Preisindex,2,FALSE)/VLOOKUP(Preisindex!$A$6,Preisindex,2,FALSE),2),0)))))</f>
        <v>0</v>
      </c>
      <c r="FA274" s="51">
        <f>IF(AND($E274&lt;&gt;0,$F274&gt;0,YEAR($F274)&lt;=EY$4,YEAR($F274)&gt;=Preisindex!$A$6),ROUND($E274*EY274,2),IF(AND($E274&lt;&gt;0,$F274&gt;0,YEAR($F274)&lt;=EY$4,YEAR($F274)&lt;Preisindex!$A$6),ROUND($E274*EZ274,2),0))</f>
        <v>0</v>
      </c>
      <c r="FB274" s="53">
        <f t="shared" si="811"/>
        <v>0</v>
      </c>
      <c r="FC274" s="51">
        <f t="shared" si="787"/>
        <v>0</v>
      </c>
      <c r="FD274" s="51">
        <f t="shared" si="745"/>
        <v>0</v>
      </c>
      <c r="FE274" s="51">
        <f t="shared" si="812"/>
        <v>0</v>
      </c>
      <c r="FF274" s="51">
        <f t="shared" si="746"/>
        <v>0</v>
      </c>
      <c r="FG274" s="51">
        <f t="shared" si="813"/>
        <v>0</v>
      </c>
      <c r="FH274" s="51">
        <f t="shared" si="747"/>
        <v>0</v>
      </c>
      <c r="FI274" s="51">
        <f t="shared" si="814"/>
        <v>0</v>
      </c>
      <c r="FJ274" s="51">
        <f t="shared" si="748"/>
        <v>0</v>
      </c>
      <c r="FK274" s="51">
        <f t="shared" si="815"/>
        <v>0</v>
      </c>
      <c r="FL274" s="51">
        <f t="shared" si="749"/>
        <v>0</v>
      </c>
      <c r="FM274" s="51">
        <f t="shared" si="816"/>
        <v>0</v>
      </c>
      <c r="FN274" s="54">
        <f t="shared" si="817"/>
        <v>0</v>
      </c>
      <c r="FO274" s="55">
        <f t="shared" si="818"/>
        <v>0</v>
      </c>
      <c r="FP274" s="56">
        <f>IF(AND($E274&lt;&gt;0,$F274&gt;0,YEAR($F274)&gt;=Preisindex!$A$6,YEAR(FK$4)&gt;=YEAR($F274),AND($K274&lt;&gt;"a",$K274&lt;&gt;"b",$K274&lt;&gt;"g",$K274&lt;&gt;"k")),1,IF(AND($E274&lt;&gt;0,$F274&gt;0,YEAR($F274)&gt;=Preisindex!$A$6,YEAR(FK$4)&gt;=YEAR($F274),$K274="a"),ROUND(VLOOKUP(FP$4,Preisindex,5,FALSE)/VLOOKUP(YEAR($F274),Preisindex,5,FALSE),2),IF(AND($E274&lt;&gt;0,$F274&gt;0,YEAR($F274)&gt;=Preisindex!$A$6,YEAR(FK$4)&gt;=YEAR($F274),$K274="b"),ROUND(VLOOKUP(FP$4,Preisindex,3,FALSE)/VLOOKUP(YEAR($F274),Preisindex,3,FALSE),2),IF(AND($E274&lt;&gt;0,$F274&gt;0,YEAR($F274)&gt;=Preisindex!$A$6,YEAR(FK$4)&gt;=YEAR($F274),$K274="g"),ROUND(VLOOKUP(FP$4,Preisindex,4,FALSE)/VLOOKUP(YEAR($F274),Preisindex,4,FALSE),2),IF(AND($E274&lt;&gt;0,$F274&gt;0,YEAR($F274)&gt;=Preisindex!$A$6,YEAR(FK$4)&gt;=YEAR($F274),$K274="k"),ROUND(VLOOKUP(FP$4,Preisindex,2,FALSE)/VLOOKUP(YEAR($F274),Preisindex,2,FALSE),2),0)))))</f>
        <v>0</v>
      </c>
      <c r="FQ274" s="56">
        <f>IF(AND($E274&lt;&gt;0,$F274&gt;0,YEAR($F274)&lt;Preisindex!$A$6,YEAR(FK$4)&gt;=YEAR($F274),AND($K274&lt;&gt;"a",$K274&lt;&gt;"b",$K274&lt;&gt;"g",$K274&lt;&gt;"k")),1,IF(AND($E274&lt;&gt;0,$F274&gt;0,YEAR($F274)&lt;Preisindex!$A$6,YEAR(FK$4)&gt;=YEAR($F274),$K274="a"),ROUND(VLOOKUP(FP$4,Preisindex,5,FALSE)/VLOOKUP(Preisindex!$A$6,Preisindex,5,FALSE),2),IF(AND($E274&lt;&gt;0,$F274&gt;0,YEAR($F274)&lt;Preisindex!$A$6,YEAR(FK$4)&gt;=YEAR($F274),$K274="b"),ROUND(VLOOKUP(FP$4,Preisindex,3,FALSE)/VLOOKUP(Preisindex!$A$6,Preisindex,3,FALSE),2),IF(AND($E274&lt;&gt;0,$F274&gt;0,YEAR($F274)&lt;Preisindex!$A$6,YEAR(FK$4)&gt;=YEAR($F274),$K274="g"),ROUND(VLOOKUP(FP$4,Preisindex,4,FALSE)/VLOOKUP(Preisindex!$A$6,Preisindex,4,FALSE),2),IF(AND($E274&lt;&gt;0,$F274&gt;0,YEAR($F274)&lt;Preisindex!$A$6,YEAR(FK$4)&gt;=YEAR($F274),$K274="k"),ROUND(VLOOKUP(FP$4,Preisindex,2,FALSE)/VLOOKUP(Preisindex!$A$6,Preisindex,2,FALSE),2),0)))))</f>
        <v>0</v>
      </c>
      <c r="FR274" s="51">
        <f>IF(AND($E274&lt;&gt;0,$F274&gt;0,YEAR($F274)&lt;=FP$4,YEAR($F274)&gt;=Preisindex!$A$6),ROUND($E274*FP274,2),IF(AND($E274&lt;&gt;0,$F274&gt;0,YEAR($F274)&lt;=FP$4,YEAR($F274)&lt;Preisindex!$A$6),ROUND($E274*FQ274,2),0))</f>
        <v>0</v>
      </c>
      <c r="FS274" s="53">
        <f t="shared" si="819"/>
        <v>0</v>
      </c>
    </row>
    <row r="275" spans="1:175" x14ac:dyDescent="0.3">
      <c r="A275" s="185"/>
      <c r="B275" s="186"/>
      <c r="C275" s="187"/>
      <c r="D275" s="188"/>
      <c r="E275" s="189"/>
      <c r="F275" s="190"/>
      <c r="G275" s="191"/>
      <c r="H275" s="192"/>
      <c r="I275" s="193"/>
      <c r="J275" s="194"/>
      <c r="K275" s="630"/>
      <c r="L275" s="49">
        <f t="shared" si="820"/>
        <v>0</v>
      </c>
      <c r="M275" s="50">
        <f t="shared" si="821"/>
        <v>0</v>
      </c>
      <c r="N275" s="51">
        <f t="shared" si="822"/>
        <v>0</v>
      </c>
      <c r="O275" s="51"/>
      <c r="P275" s="51">
        <f t="shared" si="823"/>
        <v>0</v>
      </c>
      <c r="Q275" s="52"/>
      <c r="R275" s="52"/>
      <c r="S275" s="52"/>
      <c r="T275" s="52"/>
      <c r="U275" s="52"/>
      <c r="V275" s="53">
        <f t="shared" si="824"/>
        <v>0</v>
      </c>
      <c r="W275" s="51">
        <f t="shared" si="825"/>
        <v>0</v>
      </c>
      <c r="X275" s="51">
        <f t="shared" si="826"/>
        <v>0</v>
      </c>
      <c r="Y275" s="51">
        <f t="shared" si="827"/>
        <v>0</v>
      </c>
      <c r="Z275" s="51">
        <f t="shared" si="828"/>
        <v>0</v>
      </c>
      <c r="AA275" s="51">
        <f t="shared" si="829"/>
        <v>0</v>
      </c>
      <c r="AB275" s="51">
        <f t="shared" si="830"/>
        <v>0</v>
      </c>
      <c r="AC275" s="51">
        <f t="shared" si="831"/>
        <v>0</v>
      </c>
      <c r="AD275" s="51">
        <f t="shared" si="832"/>
        <v>0</v>
      </c>
      <c r="AE275" s="51">
        <f t="shared" si="833"/>
        <v>0</v>
      </c>
      <c r="AF275" s="51">
        <f t="shared" si="834"/>
        <v>0</v>
      </c>
      <c r="AG275" s="51">
        <f t="shared" si="835"/>
        <v>0</v>
      </c>
      <c r="AH275" s="54">
        <f t="shared" si="836"/>
        <v>0</v>
      </c>
      <c r="AI275" s="55">
        <f t="shared" si="837"/>
        <v>0</v>
      </c>
      <c r="AJ275" s="56">
        <f>IF(AND($E275&lt;&gt;0,$F275&gt;0,YEAR($F275)&gt;=Preisindex!$A$6,YEAR(AE$4)&gt;=YEAR($F275),AND($K275&lt;&gt;"a",$K275&lt;&gt;"b",$K275&lt;&gt;"g",$K275&lt;&gt;"k")),1,IF(AND($E275&lt;&gt;0,$F275&gt;0,YEAR($F275)&gt;=Preisindex!$A$6,YEAR(AE$4)&gt;=YEAR($F275),$K275="a"),ROUND(VLOOKUP(AJ$4,Preisindex,5,FALSE)/VLOOKUP(YEAR($F275),Preisindex,5,FALSE),2),IF(AND($E275&lt;&gt;0,$F275&gt;0,YEAR($F275)&gt;=Preisindex!$A$6,YEAR(AE$4)&gt;=YEAR($F275),$K275="b"),ROUND(VLOOKUP(AJ$4,Preisindex,3,FALSE)/VLOOKUP(YEAR($F275),Preisindex,3,FALSE),2),IF(AND($E275&lt;&gt;0,$F275&gt;0,YEAR($F275)&gt;=Preisindex!$A$6,YEAR(AE$4)&gt;=YEAR($F275),$K275="g"),ROUND(VLOOKUP(AJ$4,Preisindex,4,FALSE)/VLOOKUP(YEAR($F275),Preisindex,4,FALSE),2),IF(AND($E275&lt;&gt;0,$F275&gt;0,YEAR($F275)&gt;=Preisindex!$A$6,YEAR(AE$4)&gt;=YEAR($F275),$K275="k"),ROUND(VLOOKUP(AJ$4,Preisindex,2,FALSE)/VLOOKUP(YEAR($F275),Preisindex,2,FALSE),2),0)))))</f>
        <v>0</v>
      </c>
      <c r="AK275" s="56">
        <f>IF(AND($E275&lt;&gt;0,$F275&gt;0,YEAR($F275)&lt;Preisindex!$A$6,YEAR(AE$4)&gt;=YEAR($F275),AND($K275&lt;&gt;"a",$K275&lt;&gt;"b",$K275&lt;&gt;"g",$K275&lt;&gt;"k")),1,IF(AND($E275&lt;&gt;0,$F275&gt;0,YEAR($F275)&lt;Preisindex!$A$6,YEAR(AE$4)&gt;=YEAR($F275),$K275="a"),ROUND(VLOOKUP(AJ$4,Preisindex,5,FALSE)/VLOOKUP(Preisindex!$A$6,Preisindex,5,FALSE),2),IF(AND($E275&lt;&gt;0,$F275&gt;0,YEAR($F275)&lt;Preisindex!$A$6,YEAR(AE$4)&gt;=YEAR($F275),$K275="b"),ROUND(VLOOKUP(AJ$4,Preisindex,3,FALSE)/VLOOKUP(Preisindex!$A$6,Preisindex,3,FALSE),2),IF(AND($E275&lt;&gt;0,$F275&gt;0,YEAR($F275)&lt;Preisindex!$A$6,YEAR(AE$4)&gt;=YEAR($F275),$K275="g"),ROUND(VLOOKUP(AJ$4,Preisindex,4,FALSE)/VLOOKUP(Preisindex!$A$6,Preisindex,4,FALSE),2),IF(AND($E275&lt;&gt;0,$F275&gt;0,YEAR($F275)&lt;Preisindex!$A$6,YEAR(AE$4)&gt;=YEAR($F275),$K275="k"),ROUND(VLOOKUP(AJ$4,Preisindex,2,FALSE)/VLOOKUP(Preisindex!$A$6,Preisindex,2,FALSE),2),0)))))</f>
        <v>0</v>
      </c>
      <c r="AL275" s="51">
        <f>IF(AND($E275&lt;&gt;0,$F275&gt;0,YEAR($F275)&lt;=AJ$4,YEAR($F275)&gt;=Preisindex!$A$6),ROUND($E275*AJ275,2),IF(AND($E275&lt;&gt;0,$F275&gt;0,YEAR($F275)&lt;=AJ$4,YEAR($F275)&lt;Preisindex!$A$6),ROUND($E275*AK275,2),0))</f>
        <v>0</v>
      </c>
      <c r="AM275" s="53">
        <f t="shared" si="838"/>
        <v>0</v>
      </c>
      <c r="AN275" s="51">
        <f t="shared" si="754"/>
        <v>0</v>
      </c>
      <c r="AO275" s="51">
        <f t="shared" si="710"/>
        <v>0</v>
      </c>
      <c r="AP275" s="51">
        <f t="shared" si="755"/>
        <v>0</v>
      </c>
      <c r="AQ275" s="51">
        <f t="shared" si="711"/>
        <v>0</v>
      </c>
      <c r="AR275" s="51">
        <f t="shared" si="756"/>
        <v>0</v>
      </c>
      <c r="AS275" s="51">
        <f t="shared" si="712"/>
        <v>0</v>
      </c>
      <c r="AT275" s="51">
        <f t="shared" si="757"/>
        <v>0</v>
      </c>
      <c r="AU275" s="51">
        <f t="shared" si="713"/>
        <v>0</v>
      </c>
      <c r="AV275" s="51">
        <f t="shared" si="758"/>
        <v>0</v>
      </c>
      <c r="AW275" s="51">
        <f t="shared" si="714"/>
        <v>0</v>
      </c>
      <c r="AX275" s="51">
        <f t="shared" si="759"/>
        <v>0</v>
      </c>
      <c r="AY275" s="54">
        <f t="shared" si="760"/>
        <v>0</v>
      </c>
      <c r="AZ275" s="55">
        <f t="shared" si="761"/>
        <v>0</v>
      </c>
      <c r="BA275" s="56">
        <f>IF(AND($E275&lt;&gt;0,$F275&gt;0,YEAR($F275)&gt;=Preisindex!$A$6,YEAR(AV$4)&gt;=YEAR($F275),AND($K275&lt;&gt;"a",$K275&lt;&gt;"b",$K275&lt;&gt;"g",$K275&lt;&gt;"k")),1,IF(AND($E275&lt;&gt;0,$F275&gt;0,YEAR($F275)&gt;=Preisindex!$A$6,YEAR(AV$4)&gt;=YEAR($F275),$K275="a"),ROUND(VLOOKUP(BA$4,Preisindex,5,FALSE)/VLOOKUP(YEAR($F275),Preisindex,5,FALSE),2),IF(AND($E275&lt;&gt;0,$F275&gt;0,YEAR($F275)&gt;=Preisindex!$A$6,YEAR(AV$4)&gt;=YEAR($F275),$K275="b"),ROUND(VLOOKUP(BA$4,Preisindex,3,FALSE)/VLOOKUP(YEAR($F275),Preisindex,3,FALSE),2),IF(AND($E275&lt;&gt;0,$F275&gt;0,YEAR($F275)&gt;=Preisindex!$A$6,YEAR(AV$4)&gt;=YEAR($F275),$K275="g"),ROUND(VLOOKUP(BA$4,Preisindex,4,FALSE)/VLOOKUP(YEAR($F275),Preisindex,4,FALSE),2),IF(AND($E275&lt;&gt;0,$F275&gt;0,YEAR($F275)&gt;=Preisindex!$A$6,YEAR(AV$4)&gt;=YEAR($F275),$K275="k"),ROUND(VLOOKUP(BA$4,Preisindex,2,FALSE)/VLOOKUP(YEAR($F275),Preisindex,2,FALSE),2),0)))))</f>
        <v>0</v>
      </c>
      <c r="BB275" s="56">
        <f>IF(AND($E275&lt;&gt;0,$F275&gt;0,YEAR($F275)&lt;Preisindex!$A$6,YEAR(AV$4)&gt;=YEAR($F275),AND($K275&lt;&gt;"a",$K275&lt;&gt;"b",$K275&lt;&gt;"g",$K275&lt;&gt;"k")),1,IF(AND($E275&lt;&gt;0,$F275&gt;0,YEAR($F275)&lt;Preisindex!$A$6,YEAR(AV$4)&gt;=YEAR($F275),$K275="a"),ROUND(VLOOKUP(BA$4,Preisindex,5,FALSE)/VLOOKUP(Preisindex!$A$6,Preisindex,5,FALSE),2),IF(AND($E275&lt;&gt;0,$F275&gt;0,YEAR($F275)&lt;Preisindex!$A$6,YEAR(AV$4)&gt;=YEAR($F275),$K275="b"),ROUND(VLOOKUP(BA$4,Preisindex,3,FALSE)/VLOOKUP(Preisindex!$A$6,Preisindex,3,FALSE),2),IF(AND($E275&lt;&gt;0,$F275&gt;0,YEAR($F275)&lt;Preisindex!$A$6,YEAR(AV$4)&gt;=YEAR($F275),$K275="g"),ROUND(VLOOKUP(BA$4,Preisindex,4,FALSE)/VLOOKUP(Preisindex!$A$6,Preisindex,4,FALSE),2),IF(AND($E275&lt;&gt;0,$F275&gt;0,YEAR($F275)&lt;Preisindex!$A$6,YEAR(AV$4)&gt;=YEAR($F275),$K275="k"),ROUND(VLOOKUP(BA$4,Preisindex,2,FALSE)/VLOOKUP(Preisindex!$A$6,Preisindex,2,FALSE),2),0)))))</f>
        <v>0</v>
      </c>
      <c r="BC275" s="51">
        <f>IF(AND($E275&lt;&gt;0,$F275&gt;0,YEAR($F275)&lt;=BA$4,YEAR($F275)&gt;=Preisindex!$A$6),ROUND($E275*BA275,2),IF(AND($E275&lt;&gt;0,$F275&gt;0,YEAR($F275)&lt;=BA$4,YEAR($F275)&lt;Preisindex!$A$6),ROUND($E275*BB275,2),0))</f>
        <v>0</v>
      </c>
      <c r="BD275" s="53">
        <f t="shared" si="762"/>
        <v>0</v>
      </c>
      <c r="BE275" s="51">
        <f t="shared" si="754"/>
        <v>0</v>
      </c>
      <c r="BF275" s="51">
        <f t="shared" si="715"/>
        <v>0</v>
      </c>
      <c r="BG275" s="51">
        <f t="shared" si="763"/>
        <v>0</v>
      </c>
      <c r="BH275" s="51">
        <f t="shared" si="716"/>
        <v>0</v>
      </c>
      <c r="BI275" s="51">
        <f t="shared" si="764"/>
        <v>0</v>
      </c>
      <c r="BJ275" s="51">
        <f t="shared" si="717"/>
        <v>0</v>
      </c>
      <c r="BK275" s="51">
        <f t="shared" si="765"/>
        <v>0</v>
      </c>
      <c r="BL275" s="51">
        <f t="shared" si="718"/>
        <v>0</v>
      </c>
      <c r="BM275" s="51">
        <f t="shared" si="766"/>
        <v>0</v>
      </c>
      <c r="BN275" s="51">
        <f t="shared" si="719"/>
        <v>0</v>
      </c>
      <c r="BO275" s="51">
        <f t="shared" si="767"/>
        <v>0</v>
      </c>
      <c r="BP275" s="54">
        <f t="shared" si="768"/>
        <v>0</v>
      </c>
      <c r="BQ275" s="55">
        <f t="shared" si="769"/>
        <v>0</v>
      </c>
      <c r="BR275" s="56">
        <f>IF(AND($E275&lt;&gt;0,$F275&gt;0,YEAR($F275)&gt;=Preisindex!$A$6,YEAR(BM$4)&gt;=YEAR($F275),AND($K275&lt;&gt;"a",$K275&lt;&gt;"b",$K275&lt;&gt;"g",$K275&lt;&gt;"k")),1,IF(AND($E275&lt;&gt;0,$F275&gt;0,YEAR($F275)&gt;=Preisindex!$A$6,YEAR(BM$4)&gt;=YEAR($F275),$K275="a"),ROUND(VLOOKUP(BR$4,Preisindex,5,FALSE)/VLOOKUP(YEAR($F275),Preisindex,5,FALSE),2),IF(AND($E275&lt;&gt;0,$F275&gt;0,YEAR($F275)&gt;=Preisindex!$A$6,YEAR(BM$4)&gt;=YEAR($F275),$K275="b"),ROUND(VLOOKUP(BR$4,Preisindex,3,FALSE)/VLOOKUP(YEAR($F275),Preisindex,3,FALSE),2),IF(AND($E275&lt;&gt;0,$F275&gt;0,YEAR($F275)&gt;=Preisindex!$A$6,YEAR(BM$4)&gt;=YEAR($F275),$K275="g"),ROUND(VLOOKUP(BR$4,Preisindex,4,FALSE)/VLOOKUP(YEAR($F275),Preisindex,4,FALSE),2),IF(AND($E275&lt;&gt;0,$F275&gt;0,YEAR($F275)&gt;=Preisindex!$A$6,YEAR(BM$4)&gt;=YEAR($F275),$K275="k"),ROUND(VLOOKUP(BR$4,Preisindex,2,FALSE)/VLOOKUP(YEAR($F275),Preisindex,2,FALSE),2),0)))))</f>
        <v>0</v>
      </c>
      <c r="BS275" s="56">
        <f>IF(AND($E275&lt;&gt;0,$F275&gt;0,YEAR($F275)&lt;Preisindex!$A$6,YEAR(BM$4)&gt;=YEAR($F275),AND($K275&lt;&gt;"a",$K275&lt;&gt;"b",$K275&lt;&gt;"g",$K275&lt;&gt;"k")),1,IF(AND($E275&lt;&gt;0,$F275&gt;0,YEAR($F275)&lt;Preisindex!$A$6,YEAR(BM$4)&gt;=YEAR($F275),$K275="a"),ROUND(VLOOKUP(BR$4,Preisindex,5,FALSE)/VLOOKUP(Preisindex!$A$6,Preisindex,5,FALSE),2),IF(AND($E275&lt;&gt;0,$F275&gt;0,YEAR($F275)&lt;Preisindex!$A$6,YEAR(BM$4)&gt;=YEAR($F275),$K275="b"),ROUND(VLOOKUP(BR$4,Preisindex,3,FALSE)/VLOOKUP(Preisindex!$A$6,Preisindex,3,FALSE),2),IF(AND($E275&lt;&gt;0,$F275&gt;0,YEAR($F275)&lt;Preisindex!$A$6,YEAR(BM$4)&gt;=YEAR($F275),$K275="g"),ROUND(VLOOKUP(BR$4,Preisindex,4,FALSE)/VLOOKUP(Preisindex!$A$6,Preisindex,4,FALSE),2),IF(AND($E275&lt;&gt;0,$F275&gt;0,YEAR($F275)&lt;Preisindex!$A$6,YEAR(BM$4)&gt;=YEAR($F275),$K275="k"),ROUND(VLOOKUP(BR$4,Preisindex,2,FALSE)/VLOOKUP(Preisindex!$A$6,Preisindex,2,FALSE),2),0)))))</f>
        <v>0</v>
      </c>
      <c r="BT275" s="51">
        <f>IF(AND($E275&lt;&gt;0,$F275&gt;0,YEAR($F275)&lt;=BR$4,YEAR($F275)&gt;=Preisindex!$A$6),ROUND($E275*BR275,2),IF(AND($E275&lt;&gt;0,$F275&gt;0,YEAR($F275)&lt;=BR$4,YEAR($F275)&lt;Preisindex!$A$6),ROUND($E275*BS275,2),0))</f>
        <v>0</v>
      </c>
      <c r="BU275" s="53">
        <f t="shared" si="770"/>
        <v>0</v>
      </c>
      <c r="BV275" s="51">
        <f t="shared" si="754"/>
        <v>0</v>
      </c>
      <c r="BW275" s="51">
        <f t="shared" si="720"/>
        <v>0</v>
      </c>
      <c r="BX275" s="51">
        <f t="shared" si="771"/>
        <v>0</v>
      </c>
      <c r="BY275" s="51">
        <f t="shared" si="721"/>
        <v>0</v>
      </c>
      <c r="BZ275" s="51">
        <f t="shared" si="772"/>
        <v>0</v>
      </c>
      <c r="CA275" s="51">
        <f t="shared" si="722"/>
        <v>0</v>
      </c>
      <c r="CB275" s="51">
        <f t="shared" si="773"/>
        <v>0</v>
      </c>
      <c r="CC275" s="51">
        <f t="shared" si="723"/>
        <v>0</v>
      </c>
      <c r="CD275" s="51">
        <f t="shared" si="774"/>
        <v>0</v>
      </c>
      <c r="CE275" s="51">
        <f t="shared" si="724"/>
        <v>0</v>
      </c>
      <c r="CF275" s="51">
        <f t="shared" si="775"/>
        <v>0</v>
      </c>
      <c r="CG275" s="54">
        <f t="shared" si="776"/>
        <v>0</v>
      </c>
      <c r="CH275" s="55">
        <f t="shared" si="777"/>
        <v>0</v>
      </c>
      <c r="CI275" s="56">
        <f>IF(AND($E275&lt;&gt;0,$F275&gt;0,YEAR($F275)&gt;=Preisindex!$A$6,YEAR(CD$4)&gt;=YEAR($F275),AND($K275&lt;&gt;"a",$K275&lt;&gt;"b",$K275&lt;&gt;"g",$K275&lt;&gt;"k")),1,IF(AND($E275&lt;&gt;0,$F275&gt;0,YEAR($F275)&gt;=Preisindex!$A$6,YEAR(CD$4)&gt;=YEAR($F275),$K275="a"),ROUND(VLOOKUP(CI$4,Preisindex,5,FALSE)/VLOOKUP(YEAR($F275),Preisindex,5,FALSE),2),IF(AND($E275&lt;&gt;0,$F275&gt;0,YEAR($F275)&gt;=Preisindex!$A$6,YEAR(CD$4)&gt;=YEAR($F275),$K275="b"),ROUND(VLOOKUP(CI$4,Preisindex,3,FALSE)/VLOOKUP(YEAR($F275),Preisindex,3,FALSE),2),IF(AND($E275&lt;&gt;0,$F275&gt;0,YEAR($F275)&gt;=Preisindex!$A$6,YEAR(CD$4)&gt;=YEAR($F275),$K275="g"),ROUND(VLOOKUP(CI$4,Preisindex,4,FALSE)/VLOOKUP(YEAR($F275),Preisindex,4,FALSE),2),IF(AND($E275&lt;&gt;0,$F275&gt;0,YEAR($F275)&gt;=Preisindex!$A$6,YEAR(CD$4)&gt;=YEAR($F275),$K275="k"),ROUND(VLOOKUP(CI$4,Preisindex,2,FALSE)/VLOOKUP(YEAR($F275),Preisindex,2,FALSE),2),0)))))</f>
        <v>0</v>
      </c>
      <c r="CJ275" s="56">
        <f>IF(AND($E275&lt;&gt;0,$F275&gt;0,YEAR($F275)&lt;Preisindex!$A$6,YEAR(CD$4)&gt;=YEAR($F275),AND($K275&lt;&gt;"a",$K275&lt;&gt;"b",$K275&lt;&gt;"g",$K275&lt;&gt;"k")),1,IF(AND($E275&lt;&gt;0,$F275&gt;0,YEAR($F275)&lt;Preisindex!$A$6,YEAR(CD$4)&gt;=YEAR($F275),$K275="a"),ROUND(VLOOKUP(CI$4,Preisindex,5,FALSE)/VLOOKUP(Preisindex!$A$6,Preisindex,5,FALSE),2),IF(AND($E275&lt;&gt;0,$F275&gt;0,YEAR($F275)&lt;Preisindex!$A$6,YEAR(CD$4)&gt;=YEAR($F275),$K275="b"),ROUND(VLOOKUP(CI$4,Preisindex,3,FALSE)/VLOOKUP(Preisindex!$A$6,Preisindex,3,FALSE),2),IF(AND($E275&lt;&gt;0,$F275&gt;0,YEAR($F275)&lt;Preisindex!$A$6,YEAR(CD$4)&gt;=YEAR($F275),$K275="g"),ROUND(VLOOKUP(CI$4,Preisindex,4,FALSE)/VLOOKUP(Preisindex!$A$6,Preisindex,4,FALSE),2),IF(AND($E275&lt;&gt;0,$F275&gt;0,YEAR($F275)&lt;Preisindex!$A$6,YEAR(CD$4)&gt;=YEAR($F275),$K275="k"),ROUND(VLOOKUP(CI$4,Preisindex,2,FALSE)/VLOOKUP(Preisindex!$A$6,Preisindex,2,FALSE),2),0)))))</f>
        <v>0</v>
      </c>
      <c r="CK275" s="51">
        <f>IF(AND($E275&lt;&gt;0,$F275&gt;0,YEAR($F275)&lt;=CI$4,YEAR($F275)&gt;=Preisindex!$A$6),ROUND($E275*CI275,2),IF(AND($E275&lt;&gt;0,$F275&gt;0,YEAR($F275)&lt;=CI$4,YEAR($F275)&lt;Preisindex!$A$6),ROUND($E275*CJ275,2),0))</f>
        <v>0</v>
      </c>
      <c r="CL275" s="53">
        <f t="shared" si="778"/>
        <v>0</v>
      </c>
      <c r="CM275" s="51">
        <f t="shared" si="754"/>
        <v>0</v>
      </c>
      <c r="CN275" s="51">
        <f t="shared" si="725"/>
        <v>0</v>
      </c>
      <c r="CO275" s="51">
        <f t="shared" si="779"/>
        <v>0</v>
      </c>
      <c r="CP275" s="51">
        <f t="shared" si="726"/>
        <v>0</v>
      </c>
      <c r="CQ275" s="51">
        <f t="shared" si="780"/>
        <v>0</v>
      </c>
      <c r="CR275" s="51">
        <f t="shared" si="727"/>
        <v>0</v>
      </c>
      <c r="CS275" s="51">
        <f t="shared" si="781"/>
        <v>0</v>
      </c>
      <c r="CT275" s="51">
        <f t="shared" si="728"/>
        <v>0</v>
      </c>
      <c r="CU275" s="51">
        <f t="shared" si="782"/>
        <v>0</v>
      </c>
      <c r="CV275" s="51">
        <f t="shared" si="729"/>
        <v>0</v>
      </c>
      <c r="CW275" s="51">
        <f t="shared" si="783"/>
        <v>0</v>
      </c>
      <c r="CX275" s="54">
        <f t="shared" si="784"/>
        <v>0</v>
      </c>
      <c r="CY275" s="55">
        <f t="shared" si="785"/>
        <v>0</v>
      </c>
      <c r="CZ275" s="56">
        <f>IF(AND($E275&lt;&gt;0,$F275&gt;0,YEAR($F275)&gt;=Preisindex!$A$6,YEAR(CU$4)&gt;=YEAR($F275),AND($K275&lt;&gt;"a",$K275&lt;&gt;"b",$K275&lt;&gt;"g",$K275&lt;&gt;"k")),1,IF(AND($E275&lt;&gt;0,$F275&gt;0,YEAR($F275)&gt;=Preisindex!$A$6,YEAR(CU$4)&gt;=YEAR($F275),$K275="a"),ROUND(VLOOKUP(CZ$4,Preisindex,5,FALSE)/VLOOKUP(YEAR($F275),Preisindex,5,FALSE),2),IF(AND($E275&lt;&gt;0,$F275&gt;0,YEAR($F275)&gt;=Preisindex!$A$6,YEAR(CU$4)&gt;=YEAR($F275),$K275="b"),ROUND(VLOOKUP(CZ$4,Preisindex,3,FALSE)/VLOOKUP(YEAR($F275),Preisindex,3,FALSE),2),IF(AND($E275&lt;&gt;0,$F275&gt;0,YEAR($F275)&gt;=Preisindex!$A$6,YEAR(CU$4)&gt;=YEAR($F275),$K275="g"),ROUND(VLOOKUP(CZ$4,Preisindex,4,FALSE)/VLOOKUP(YEAR($F275),Preisindex,4,FALSE),2),IF(AND($E275&lt;&gt;0,$F275&gt;0,YEAR($F275)&gt;=Preisindex!$A$6,YEAR(CU$4)&gt;=YEAR($F275),$K275="k"),ROUND(VLOOKUP(CZ$4,Preisindex,2,FALSE)/VLOOKUP(YEAR($F275),Preisindex,2,FALSE),2),0)))))</f>
        <v>0</v>
      </c>
      <c r="DA275" s="56">
        <f>IF(AND($E275&lt;&gt;0,$F275&gt;0,YEAR($F275)&lt;Preisindex!$A$6,YEAR(CU$4)&gt;=YEAR($F275),AND($K275&lt;&gt;"a",$K275&lt;&gt;"b",$K275&lt;&gt;"g",$K275&lt;&gt;"k")),1,IF(AND($E275&lt;&gt;0,$F275&gt;0,YEAR($F275)&lt;Preisindex!$A$6,YEAR(CU$4)&gt;=YEAR($F275),$K275="a"),ROUND(VLOOKUP(CZ$4,Preisindex,5,FALSE)/VLOOKUP(Preisindex!$A$6,Preisindex,5,FALSE),2),IF(AND($E275&lt;&gt;0,$F275&gt;0,YEAR($F275)&lt;Preisindex!$A$6,YEAR(CU$4)&gt;=YEAR($F275),$K275="b"),ROUND(VLOOKUP(CZ$4,Preisindex,3,FALSE)/VLOOKUP(Preisindex!$A$6,Preisindex,3,FALSE),2),IF(AND($E275&lt;&gt;0,$F275&gt;0,YEAR($F275)&lt;Preisindex!$A$6,YEAR(CU$4)&gt;=YEAR($F275),$K275="g"),ROUND(VLOOKUP(CZ$4,Preisindex,4,FALSE)/VLOOKUP(Preisindex!$A$6,Preisindex,4,FALSE),2),IF(AND($E275&lt;&gt;0,$F275&gt;0,YEAR($F275)&lt;Preisindex!$A$6,YEAR(CU$4)&gt;=YEAR($F275),$K275="k"),ROUND(VLOOKUP(CZ$4,Preisindex,2,FALSE)/VLOOKUP(Preisindex!$A$6,Preisindex,2,FALSE),2),0)))))</f>
        <v>0</v>
      </c>
      <c r="DB275" s="51">
        <f>IF(AND($E275&lt;&gt;0,$F275&gt;0,YEAR($F275)&lt;=CZ$4,YEAR($F275)&gt;=Preisindex!$A$6),ROUND($E275*CZ275,2),IF(AND($E275&lt;&gt;0,$F275&gt;0,YEAR($F275)&lt;=CZ$4,YEAR($F275)&lt;Preisindex!$A$6),ROUND($E275*DA275,2),0))</f>
        <v>0</v>
      </c>
      <c r="DC275" s="53">
        <f t="shared" si="786"/>
        <v>0</v>
      </c>
      <c r="DD275" s="51">
        <f t="shared" si="787"/>
        <v>0</v>
      </c>
      <c r="DE275" s="51">
        <f t="shared" si="730"/>
        <v>0</v>
      </c>
      <c r="DF275" s="51">
        <f t="shared" si="788"/>
        <v>0</v>
      </c>
      <c r="DG275" s="51">
        <f t="shared" si="731"/>
        <v>0</v>
      </c>
      <c r="DH275" s="51">
        <f t="shared" si="789"/>
        <v>0</v>
      </c>
      <c r="DI275" s="51">
        <f t="shared" si="732"/>
        <v>0</v>
      </c>
      <c r="DJ275" s="51">
        <f t="shared" si="790"/>
        <v>0</v>
      </c>
      <c r="DK275" s="51">
        <f t="shared" si="733"/>
        <v>0</v>
      </c>
      <c r="DL275" s="51">
        <f t="shared" si="791"/>
        <v>0</v>
      </c>
      <c r="DM275" s="51">
        <f t="shared" si="734"/>
        <v>0</v>
      </c>
      <c r="DN275" s="51">
        <f t="shared" si="792"/>
        <v>0</v>
      </c>
      <c r="DO275" s="54">
        <f t="shared" si="793"/>
        <v>0</v>
      </c>
      <c r="DP275" s="55">
        <f t="shared" si="794"/>
        <v>0</v>
      </c>
      <c r="DQ275" s="56">
        <f>IF(AND($E275&lt;&gt;0,$F275&gt;0,YEAR($F275)&gt;=Preisindex!$A$6,YEAR(DL$4)&gt;=YEAR($F275),AND($K275&lt;&gt;"a",$K275&lt;&gt;"b",$K275&lt;&gt;"g",$K275&lt;&gt;"k")),1,IF(AND($E275&lt;&gt;0,$F275&gt;0,YEAR($F275)&gt;=Preisindex!$A$6,YEAR(DL$4)&gt;=YEAR($F275),$K275="a"),ROUND(VLOOKUP(DQ$4,Preisindex,5,FALSE)/VLOOKUP(YEAR($F275),Preisindex,5,FALSE),2),IF(AND($E275&lt;&gt;0,$F275&gt;0,YEAR($F275)&gt;=Preisindex!$A$6,YEAR(DL$4)&gt;=YEAR($F275),$K275="b"),ROUND(VLOOKUP(DQ$4,Preisindex,3,FALSE)/VLOOKUP(YEAR($F275),Preisindex,3,FALSE),2),IF(AND($E275&lt;&gt;0,$F275&gt;0,YEAR($F275)&gt;=Preisindex!$A$6,YEAR(DL$4)&gt;=YEAR($F275),$K275="g"),ROUND(VLOOKUP(DQ$4,Preisindex,4,FALSE)/VLOOKUP(YEAR($F275),Preisindex,4,FALSE),2),IF(AND($E275&lt;&gt;0,$F275&gt;0,YEAR($F275)&gt;=Preisindex!$A$6,YEAR(DL$4)&gt;=YEAR($F275),$K275="k"),ROUND(VLOOKUP(DQ$4,Preisindex,2,FALSE)/VLOOKUP(YEAR($F275),Preisindex,2,FALSE),2),0)))))</f>
        <v>0</v>
      </c>
      <c r="DR275" s="56">
        <f>IF(AND($E275&lt;&gt;0,$F275&gt;0,YEAR($F275)&lt;Preisindex!$A$6,YEAR(DL$4)&gt;=YEAR($F275),AND($K275&lt;&gt;"a",$K275&lt;&gt;"b",$K275&lt;&gt;"g",$K275&lt;&gt;"k")),1,IF(AND($E275&lt;&gt;0,$F275&gt;0,YEAR($F275)&lt;Preisindex!$A$6,YEAR(DL$4)&gt;=YEAR($F275),$K275="a"),ROUND(VLOOKUP(DQ$4,Preisindex,5,FALSE)/VLOOKUP(Preisindex!$A$6,Preisindex,5,FALSE),2),IF(AND($E275&lt;&gt;0,$F275&gt;0,YEAR($F275)&lt;Preisindex!$A$6,YEAR(DL$4)&gt;=YEAR($F275),$K275="b"),ROUND(VLOOKUP(DQ$4,Preisindex,3,FALSE)/VLOOKUP(Preisindex!$A$6,Preisindex,3,FALSE),2),IF(AND($E275&lt;&gt;0,$F275&gt;0,YEAR($F275)&lt;Preisindex!$A$6,YEAR(DL$4)&gt;=YEAR($F275),$K275="g"),ROUND(VLOOKUP(DQ$4,Preisindex,4,FALSE)/VLOOKUP(Preisindex!$A$6,Preisindex,4,FALSE),2),IF(AND($E275&lt;&gt;0,$F275&gt;0,YEAR($F275)&lt;Preisindex!$A$6,YEAR(DL$4)&gt;=YEAR($F275),$K275="k"),ROUND(VLOOKUP(DQ$4,Preisindex,2,FALSE)/VLOOKUP(Preisindex!$A$6,Preisindex,2,FALSE),2),0)))))</f>
        <v>0</v>
      </c>
      <c r="DS275" s="51">
        <f>IF(AND($E275&lt;&gt;0,$F275&gt;0,YEAR($F275)&lt;=DQ$4,YEAR($F275)&gt;=Preisindex!$A$6),ROUND($E275*DQ275,2),IF(AND($E275&lt;&gt;0,$F275&gt;0,YEAR($F275)&lt;=DQ$4,YEAR($F275)&lt;Preisindex!$A$6),ROUND($E275*DR275,2),0))</f>
        <v>0</v>
      </c>
      <c r="DT275" s="53">
        <f t="shared" si="795"/>
        <v>0</v>
      </c>
      <c r="DU275" s="51">
        <f t="shared" si="787"/>
        <v>0</v>
      </c>
      <c r="DV275" s="51">
        <f t="shared" si="735"/>
        <v>0</v>
      </c>
      <c r="DW275" s="51">
        <f t="shared" si="796"/>
        <v>0</v>
      </c>
      <c r="DX275" s="51">
        <f t="shared" si="736"/>
        <v>0</v>
      </c>
      <c r="DY275" s="51">
        <f t="shared" si="797"/>
        <v>0</v>
      </c>
      <c r="DZ275" s="51">
        <f t="shared" si="737"/>
        <v>0</v>
      </c>
      <c r="EA275" s="51">
        <f t="shared" si="798"/>
        <v>0</v>
      </c>
      <c r="EB275" s="51">
        <f t="shared" si="738"/>
        <v>0</v>
      </c>
      <c r="EC275" s="51">
        <f t="shared" si="799"/>
        <v>0</v>
      </c>
      <c r="ED275" s="51">
        <f t="shared" si="739"/>
        <v>0</v>
      </c>
      <c r="EE275" s="51">
        <f t="shared" si="800"/>
        <v>0</v>
      </c>
      <c r="EF275" s="54">
        <f t="shared" si="801"/>
        <v>0</v>
      </c>
      <c r="EG275" s="55">
        <f t="shared" si="802"/>
        <v>0</v>
      </c>
      <c r="EH275" s="56">
        <f>IF(AND($E275&lt;&gt;0,$F275&gt;0,YEAR($F275)&gt;=Preisindex!$A$6,YEAR(EC$4)&gt;=YEAR($F275),AND($K275&lt;&gt;"a",$K275&lt;&gt;"b",$K275&lt;&gt;"g",$K275&lt;&gt;"k")),1,IF(AND($E275&lt;&gt;0,$F275&gt;0,YEAR($F275)&gt;=Preisindex!$A$6,YEAR(EC$4)&gt;=YEAR($F275),$K275="a"),ROUND(VLOOKUP(EH$4,Preisindex,5,FALSE)/VLOOKUP(YEAR($F275),Preisindex,5,FALSE),2),IF(AND($E275&lt;&gt;0,$F275&gt;0,YEAR($F275)&gt;=Preisindex!$A$6,YEAR(EC$4)&gt;=YEAR($F275),$K275="b"),ROUND(VLOOKUP(EH$4,Preisindex,3,FALSE)/VLOOKUP(YEAR($F275),Preisindex,3,FALSE),2),IF(AND($E275&lt;&gt;0,$F275&gt;0,YEAR($F275)&gt;=Preisindex!$A$6,YEAR(EC$4)&gt;=YEAR($F275),$K275="g"),ROUND(VLOOKUP(EH$4,Preisindex,4,FALSE)/VLOOKUP(YEAR($F275),Preisindex,4,FALSE),2),IF(AND($E275&lt;&gt;0,$F275&gt;0,YEAR($F275)&gt;=Preisindex!$A$6,YEAR(EC$4)&gt;=YEAR($F275),$K275="k"),ROUND(VLOOKUP(EH$4,Preisindex,2,FALSE)/VLOOKUP(YEAR($F275),Preisindex,2,FALSE),2),0)))))</f>
        <v>0</v>
      </c>
      <c r="EI275" s="56">
        <f>IF(AND($E275&lt;&gt;0,$F275&gt;0,YEAR($F275)&lt;Preisindex!$A$6,YEAR(EC$4)&gt;=YEAR($F275),AND($K275&lt;&gt;"a",$K275&lt;&gt;"b",$K275&lt;&gt;"g",$K275&lt;&gt;"k")),1,IF(AND($E275&lt;&gt;0,$F275&gt;0,YEAR($F275)&lt;Preisindex!$A$6,YEAR(EC$4)&gt;=YEAR($F275),$K275="a"),ROUND(VLOOKUP(EH$4,Preisindex,5,FALSE)/VLOOKUP(Preisindex!$A$6,Preisindex,5,FALSE),2),IF(AND($E275&lt;&gt;0,$F275&gt;0,YEAR($F275)&lt;Preisindex!$A$6,YEAR(EC$4)&gt;=YEAR($F275),$K275="b"),ROUND(VLOOKUP(EH$4,Preisindex,3,FALSE)/VLOOKUP(Preisindex!$A$6,Preisindex,3,FALSE),2),IF(AND($E275&lt;&gt;0,$F275&gt;0,YEAR($F275)&lt;Preisindex!$A$6,YEAR(EC$4)&gt;=YEAR($F275),$K275="g"),ROUND(VLOOKUP(EH$4,Preisindex,4,FALSE)/VLOOKUP(Preisindex!$A$6,Preisindex,4,FALSE),2),IF(AND($E275&lt;&gt;0,$F275&gt;0,YEAR($F275)&lt;Preisindex!$A$6,YEAR(EC$4)&gt;=YEAR($F275),$K275="k"),ROUND(VLOOKUP(EH$4,Preisindex,2,FALSE)/VLOOKUP(Preisindex!$A$6,Preisindex,2,FALSE),2),0)))))</f>
        <v>0</v>
      </c>
      <c r="EJ275" s="51">
        <f>IF(AND($E275&lt;&gt;0,$F275&gt;0,YEAR($F275)&lt;=EH$4,YEAR($F275)&gt;=Preisindex!$A$6),ROUND($E275*EH275,2),IF(AND($E275&lt;&gt;0,$F275&gt;0,YEAR($F275)&lt;=EH$4,YEAR($F275)&lt;Preisindex!$A$6),ROUND($E275*EI275,2),0))</f>
        <v>0</v>
      </c>
      <c r="EK275" s="53">
        <f t="shared" si="803"/>
        <v>0</v>
      </c>
      <c r="EL275" s="51">
        <f t="shared" si="787"/>
        <v>0</v>
      </c>
      <c r="EM275" s="51">
        <f t="shared" si="740"/>
        <v>0</v>
      </c>
      <c r="EN275" s="51">
        <f t="shared" si="804"/>
        <v>0</v>
      </c>
      <c r="EO275" s="51">
        <f t="shared" si="741"/>
        <v>0</v>
      </c>
      <c r="EP275" s="51">
        <f t="shared" si="805"/>
        <v>0</v>
      </c>
      <c r="EQ275" s="51">
        <f t="shared" si="742"/>
        <v>0</v>
      </c>
      <c r="ER275" s="51">
        <f t="shared" si="806"/>
        <v>0</v>
      </c>
      <c r="ES275" s="51">
        <f t="shared" si="743"/>
        <v>0</v>
      </c>
      <c r="ET275" s="51">
        <f t="shared" si="807"/>
        <v>0</v>
      </c>
      <c r="EU275" s="51">
        <f t="shared" si="744"/>
        <v>0</v>
      </c>
      <c r="EV275" s="51">
        <f t="shared" si="808"/>
        <v>0</v>
      </c>
      <c r="EW275" s="54">
        <f t="shared" si="809"/>
        <v>0</v>
      </c>
      <c r="EX275" s="55">
        <f t="shared" si="810"/>
        <v>0</v>
      </c>
      <c r="EY275" s="56">
        <f>IF(AND($E275&lt;&gt;0,$F275&gt;0,YEAR($F275)&gt;=Preisindex!$A$6,YEAR(ET$4)&gt;=YEAR($F275),AND($K275&lt;&gt;"a",$K275&lt;&gt;"b",$K275&lt;&gt;"g",$K275&lt;&gt;"k")),1,IF(AND($E275&lt;&gt;0,$F275&gt;0,YEAR($F275)&gt;=Preisindex!$A$6,YEAR(ET$4)&gt;=YEAR($F275),$K275="a"),ROUND(VLOOKUP(EY$4,Preisindex,5,FALSE)/VLOOKUP(YEAR($F275),Preisindex,5,FALSE),2),IF(AND($E275&lt;&gt;0,$F275&gt;0,YEAR($F275)&gt;=Preisindex!$A$6,YEAR(ET$4)&gt;=YEAR($F275),$K275="b"),ROUND(VLOOKUP(EY$4,Preisindex,3,FALSE)/VLOOKUP(YEAR($F275),Preisindex,3,FALSE),2),IF(AND($E275&lt;&gt;0,$F275&gt;0,YEAR($F275)&gt;=Preisindex!$A$6,YEAR(ET$4)&gt;=YEAR($F275),$K275="g"),ROUND(VLOOKUP(EY$4,Preisindex,4,FALSE)/VLOOKUP(YEAR($F275),Preisindex,4,FALSE),2),IF(AND($E275&lt;&gt;0,$F275&gt;0,YEAR($F275)&gt;=Preisindex!$A$6,YEAR(ET$4)&gt;=YEAR($F275),$K275="k"),ROUND(VLOOKUP(EY$4,Preisindex,2,FALSE)/VLOOKUP(YEAR($F275),Preisindex,2,FALSE),2),0)))))</f>
        <v>0</v>
      </c>
      <c r="EZ275" s="56">
        <f>IF(AND($E275&lt;&gt;0,$F275&gt;0,YEAR($F275)&lt;Preisindex!$A$6,YEAR(ET$4)&gt;=YEAR($F275),AND($K275&lt;&gt;"a",$K275&lt;&gt;"b",$K275&lt;&gt;"g",$K275&lt;&gt;"k")),1,IF(AND($E275&lt;&gt;0,$F275&gt;0,YEAR($F275)&lt;Preisindex!$A$6,YEAR(ET$4)&gt;=YEAR($F275),$K275="a"),ROUND(VLOOKUP(EY$4,Preisindex,5,FALSE)/VLOOKUP(Preisindex!$A$6,Preisindex,5,FALSE),2),IF(AND($E275&lt;&gt;0,$F275&gt;0,YEAR($F275)&lt;Preisindex!$A$6,YEAR(ET$4)&gt;=YEAR($F275),$K275="b"),ROUND(VLOOKUP(EY$4,Preisindex,3,FALSE)/VLOOKUP(Preisindex!$A$6,Preisindex,3,FALSE),2),IF(AND($E275&lt;&gt;0,$F275&gt;0,YEAR($F275)&lt;Preisindex!$A$6,YEAR(ET$4)&gt;=YEAR($F275),$K275="g"),ROUND(VLOOKUP(EY$4,Preisindex,4,FALSE)/VLOOKUP(Preisindex!$A$6,Preisindex,4,FALSE),2),IF(AND($E275&lt;&gt;0,$F275&gt;0,YEAR($F275)&lt;Preisindex!$A$6,YEAR(ET$4)&gt;=YEAR($F275),$K275="k"),ROUND(VLOOKUP(EY$4,Preisindex,2,FALSE)/VLOOKUP(Preisindex!$A$6,Preisindex,2,FALSE),2),0)))))</f>
        <v>0</v>
      </c>
      <c r="FA275" s="51">
        <f>IF(AND($E275&lt;&gt;0,$F275&gt;0,YEAR($F275)&lt;=EY$4,YEAR($F275)&gt;=Preisindex!$A$6),ROUND($E275*EY275,2),IF(AND($E275&lt;&gt;0,$F275&gt;0,YEAR($F275)&lt;=EY$4,YEAR($F275)&lt;Preisindex!$A$6),ROUND($E275*EZ275,2),0))</f>
        <v>0</v>
      </c>
      <c r="FB275" s="53">
        <f t="shared" si="811"/>
        <v>0</v>
      </c>
      <c r="FC275" s="51">
        <f t="shared" si="787"/>
        <v>0</v>
      </c>
      <c r="FD275" s="51">
        <f t="shared" si="745"/>
        <v>0</v>
      </c>
      <c r="FE275" s="51">
        <f t="shared" si="812"/>
        <v>0</v>
      </c>
      <c r="FF275" s="51">
        <f t="shared" si="746"/>
        <v>0</v>
      </c>
      <c r="FG275" s="51">
        <f t="shared" si="813"/>
        <v>0</v>
      </c>
      <c r="FH275" s="51">
        <f t="shared" si="747"/>
        <v>0</v>
      </c>
      <c r="FI275" s="51">
        <f t="shared" si="814"/>
        <v>0</v>
      </c>
      <c r="FJ275" s="51">
        <f t="shared" si="748"/>
        <v>0</v>
      </c>
      <c r="FK275" s="51">
        <f t="shared" si="815"/>
        <v>0</v>
      </c>
      <c r="FL275" s="51">
        <f t="shared" si="749"/>
        <v>0</v>
      </c>
      <c r="FM275" s="51">
        <f t="shared" si="816"/>
        <v>0</v>
      </c>
      <c r="FN275" s="54">
        <f t="shared" si="817"/>
        <v>0</v>
      </c>
      <c r="FO275" s="55">
        <f t="shared" si="818"/>
        <v>0</v>
      </c>
      <c r="FP275" s="56">
        <f>IF(AND($E275&lt;&gt;0,$F275&gt;0,YEAR($F275)&gt;=Preisindex!$A$6,YEAR(FK$4)&gt;=YEAR($F275),AND($K275&lt;&gt;"a",$K275&lt;&gt;"b",$K275&lt;&gt;"g",$K275&lt;&gt;"k")),1,IF(AND($E275&lt;&gt;0,$F275&gt;0,YEAR($F275)&gt;=Preisindex!$A$6,YEAR(FK$4)&gt;=YEAR($F275),$K275="a"),ROUND(VLOOKUP(FP$4,Preisindex,5,FALSE)/VLOOKUP(YEAR($F275),Preisindex,5,FALSE),2),IF(AND($E275&lt;&gt;0,$F275&gt;0,YEAR($F275)&gt;=Preisindex!$A$6,YEAR(FK$4)&gt;=YEAR($F275),$K275="b"),ROUND(VLOOKUP(FP$4,Preisindex,3,FALSE)/VLOOKUP(YEAR($F275),Preisindex,3,FALSE),2),IF(AND($E275&lt;&gt;0,$F275&gt;0,YEAR($F275)&gt;=Preisindex!$A$6,YEAR(FK$4)&gt;=YEAR($F275),$K275="g"),ROUND(VLOOKUP(FP$4,Preisindex,4,FALSE)/VLOOKUP(YEAR($F275),Preisindex,4,FALSE),2),IF(AND($E275&lt;&gt;0,$F275&gt;0,YEAR($F275)&gt;=Preisindex!$A$6,YEAR(FK$4)&gt;=YEAR($F275),$K275="k"),ROUND(VLOOKUP(FP$4,Preisindex,2,FALSE)/VLOOKUP(YEAR($F275),Preisindex,2,FALSE),2),0)))))</f>
        <v>0</v>
      </c>
      <c r="FQ275" s="56">
        <f>IF(AND($E275&lt;&gt;0,$F275&gt;0,YEAR($F275)&lt;Preisindex!$A$6,YEAR(FK$4)&gt;=YEAR($F275),AND($K275&lt;&gt;"a",$K275&lt;&gt;"b",$K275&lt;&gt;"g",$K275&lt;&gt;"k")),1,IF(AND($E275&lt;&gt;0,$F275&gt;0,YEAR($F275)&lt;Preisindex!$A$6,YEAR(FK$4)&gt;=YEAR($F275),$K275="a"),ROUND(VLOOKUP(FP$4,Preisindex,5,FALSE)/VLOOKUP(Preisindex!$A$6,Preisindex,5,FALSE),2),IF(AND($E275&lt;&gt;0,$F275&gt;0,YEAR($F275)&lt;Preisindex!$A$6,YEAR(FK$4)&gt;=YEAR($F275),$K275="b"),ROUND(VLOOKUP(FP$4,Preisindex,3,FALSE)/VLOOKUP(Preisindex!$A$6,Preisindex,3,FALSE),2),IF(AND($E275&lt;&gt;0,$F275&gt;0,YEAR($F275)&lt;Preisindex!$A$6,YEAR(FK$4)&gt;=YEAR($F275),$K275="g"),ROUND(VLOOKUP(FP$4,Preisindex,4,FALSE)/VLOOKUP(Preisindex!$A$6,Preisindex,4,FALSE),2),IF(AND($E275&lt;&gt;0,$F275&gt;0,YEAR($F275)&lt;Preisindex!$A$6,YEAR(FK$4)&gt;=YEAR($F275),$K275="k"),ROUND(VLOOKUP(FP$4,Preisindex,2,FALSE)/VLOOKUP(Preisindex!$A$6,Preisindex,2,FALSE),2),0)))))</f>
        <v>0</v>
      </c>
      <c r="FR275" s="51">
        <f>IF(AND($E275&lt;&gt;0,$F275&gt;0,YEAR($F275)&lt;=FP$4,YEAR($F275)&gt;=Preisindex!$A$6),ROUND($E275*FP275,2),IF(AND($E275&lt;&gt;0,$F275&gt;0,YEAR($F275)&lt;=FP$4,YEAR($F275)&lt;Preisindex!$A$6),ROUND($E275*FQ275,2),0))</f>
        <v>0</v>
      </c>
      <c r="FS275" s="53">
        <f t="shared" si="819"/>
        <v>0</v>
      </c>
    </row>
    <row r="276" spans="1:175" x14ac:dyDescent="0.3">
      <c r="A276" s="185"/>
      <c r="B276" s="186"/>
      <c r="C276" s="187"/>
      <c r="D276" s="188"/>
      <c r="E276" s="189"/>
      <c r="F276" s="190"/>
      <c r="G276" s="191"/>
      <c r="H276" s="192"/>
      <c r="I276" s="193"/>
      <c r="J276" s="194"/>
      <c r="K276" s="630"/>
      <c r="L276" s="49">
        <f t="shared" si="820"/>
        <v>0</v>
      </c>
      <c r="M276" s="50">
        <f t="shared" si="821"/>
        <v>0</v>
      </c>
      <c r="N276" s="51">
        <f t="shared" si="822"/>
        <v>0</v>
      </c>
      <c r="O276" s="51"/>
      <c r="P276" s="51">
        <f t="shared" si="823"/>
        <v>0</v>
      </c>
      <c r="Q276" s="52"/>
      <c r="R276" s="52"/>
      <c r="S276" s="52"/>
      <c r="T276" s="52"/>
      <c r="U276" s="52"/>
      <c r="V276" s="53">
        <f t="shared" si="824"/>
        <v>0</v>
      </c>
      <c r="W276" s="51">
        <f t="shared" si="825"/>
        <v>0</v>
      </c>
      <c r="X276" s="51">
        <f t="shared" si="826"/>
        <v>0</v>
      </c>
      <c r="Y276" s="51">
        <f t="shared" si="827"/>
        <v>0</v>
      </c>
      <c r="Z276" s="51">
        <f t="shared" si="828"/>
        <v>0</v>
      </c>
      <c r="AA276" s="51">
        <f t="shared" si="829"/>
        <v>0</v>
      </c>
      <c r="AB276" s="51">
        <f t="shared" si="830"/>
        <v>0</v>
      </c>
      <c r="AC276" s="51">
        <f t="shared" si="831"/>
        <v>0</v>
      </c>
      <c r="AD276" s="51">
        <f t="shared" si="832"/>
        <v>0</v>
      </c>
      <c r="AE276" s="51">
        <f t="shared" si="833"/>
        <v>0</v>
      </c>
      <c r="AF276" s="51">
        <f t="shared" si="834"/>
        <v>0</v>
      </c>
      <c r="AG276" s="51">
        <f t="shared" si="835"/>
        <v>0</v>
      </c>
      <c r="AH276" s="54">
        <f t="shared" si="836"/>
        <v>0</v>
      </c>
      <c r="AI276" s="55">
        <f t="shared" si="837"/>
        <v>0</v>
      </c>
      <c r="AJ276" s="56">
        <f>IF(AND($E276&lt;&gt;0,$F276&gt;0,YEAR($F276)&gt;=Preisindex!$A$6,YEAR(AE$4)&gt;=YEAR($F276),AND($K276&lt;&gt;"a",$K276&lt;&gt;"b",$K276&lt;&gt;"g",$K276&lt;&gt;"k")),1,IF(AND($E276&lt;&gt;0,$F276&gt;0,YEAR($F276)&gt;=Preisindex!$A$6,YEAR(AE$4)&gt;=YEAR($F276),$K276="a"),ROUND(VLOOKUP(AJ$4,Preisindex,5,FALSE)/VLOOKUP(YEAR($F276),Preisindex,5,FALSE),2),IF(AND($E276&lt;&gt;0,$F276&gt;0,YEAR($F276)&gt;=Preisindex!$A$6,YEAR(AE$4)&gt;=YEAR($F276),$K276="b"),ROUND(VLOOKUP(AJ$4,Preisindex,3,FALSE)/VLOOKUP(YEAR($F276),Preisindex,3,FALSE),2),IF(AND($E276&lt;&gt;0,$F276&gt;0,YEAR($F276)&gt;=Preisindex!$A$6,YEAR(AE$4)&gt;=YEAR($F276),$K276="g"),ROUND(VLOOKUP(AJ$4,Preisindex,4,FALSE)/VLOOKUP(YEAR($F276),Preisindex,4,FALSE),2),IF(AND($E276&lt;&gt;0,$F276&gt;0,YEAR($F276)&gt;=Preisindex!$A$6,YEAR(AE$4)&gt;=YEAR($F276),$K276="k"),ROUND(VLOOKUP(AJ$4,Preisindex,2,FALSE)/VLOOKUP(YEAR($F276),Preisindex,2,FALSE),2),0)))))</f>
        <v>0</v>
      </c>
      <c r="AK276" s="56">
        <f>IF(AND($E276&lt;&gt;0,$F276&gt;0,YEAR($F276)&lt;Preisindex!$A$6,YEAR(AE$4)&gt;=YEAR($F276),AND($K276&lt;&gt;"a",$K276&lt;&gt;"b",$K276&lt;&gt;"g",$K276&lt;&gt;"k")),1,IF(AND($E276&lt;&gt;0,$F276&gt;0,YEAR($F276)&lt;Preisindex!$A$6,YEAR(AE$4)&gt;=YEAR($F276),$K276="a"),ROUND(VLOOKUP(AJ$4,Preisindex,5,FALSE)/VLOOKUP(Preisindex!$A$6,Preisindex,5,FALSE),2),IF(AND($E276&lt;&gt;0,$F276&gt;0,YEAR($F276)&lt;Preisindex!$A$6,YEAR(AE$4)&gt;=YEAR($F276),$K276="b"),ROUND(VLOOKUP(AJ$4,Preisindex,3,FALSE)/VLOOKUP(Preisindex!$A$6,Preisindex,3,FALSE),2),IF(AND($E276&lt;&gt;0,$F276&gt;0,YEAR($F276)&lt;Preisindex!$A$6,YEAR(AE$4)&gt;=YEAR($F276),$K276="g"),ROUND(VLOOKUP(AJ$4,Preisindex,4,FALSE)/VLOOKUP(Preisindex!$A$6,Preisindex,4,FALSE),2),IF(AND($E276&lt;&gt;0,$F276&gt;0,YEAR($F276)&lt;Preisindex!$A$6,YEAR(AE$4)&gt;=YEAR($F276),$K276="k"),ROUND(VLOOKUP(AJ$4,Preisindex,2,FALSE)/VLOOKUP(Preisindex!$A$6,Preisindex,2,FALSE),2),0)))))</f>
        <v>0</v>
      </c>
      <c r="AL276" s="51">
        <f>IF(AND($E276&lt;&gt;0,$F276&gt;0,YEAR($F276)&lt;=AJ$4,YEAR($F276)&gt;=Preisindex!$A$6),ROUND($E276*AJ276,2),IF(AND($E276&lt;&gt;0,$F276&gt;0,YEAR($F276)&lt;=AJ$4,YEAR($F276)&lt;Preisindex!$A$6),ROUND($E276*AK276,2),0))</f>
        <v>0</v>
      </c>
      <c r="AM276" s="53">
        <f t="shared" si="838"/>
        <v>0</v>
      </c>
      <c r="AN276" s="51">
        <f t="shared" si="754"/>
        <v>0</v>
      </c>
      <c r="AO276" s="51">
        <f t="shared" si="710"/>
        <v>0</v>
      </c>
      <c r="AP276" s="51">
        <f t="shared" si="755"/>
        <v>0</v>
      </c>
      <c r="AQ276" s="51">
        <f t="shared" si="711"/>
        <v>0</v>
      </c>
      <c r="AR276" s="51">
        <f t="shared" si="756"/>
        <v>0</v>
      </c>
      <c r="AS276" s="51">
        <f t="shared" si="712"/>
        <v>0</v>
      </c>
      <c r="AT276" s="51">
        <f t="shared" si="757"/>
        <v>0</v>
      </c>
      <c r="AU276" s="51">
        <f t="shared" si="713"/>
        <v>0</v>
      </c>
      <c r="AV276" s="51">
        <f t="shared" si="758"/>
        <v>0</v>
      </c>
      <c r="AW276" s="51">
        <f t="shared" si="714"/>
        <v>0</v>
      </c>
      <c r="AX276" s="51">
        <f t="shared" si="759"/>
        <v>0</v>
      </c>
      <c r="AY276" s="54">
        <f t="shared" si="760"/>
        <v>0</v>
      </c>
      <c r="AZ276" s="55">
        <f t="shared" si="761"/>
        <v>0</v>
      </c>
      <c r="BA276" s="56">
        <f>IF(AND($E276&lt;&gt;0,$F276&gt;0,YEAR($F276)&gt;=Preisindex!$A$6,YEAR(AV$4)&gt;=YEAR($F276),AND($K276&lt;&gt;"a",$K276&lt;&gt;"b",$K276&lt;&gt;"g",$K276&lt;&gt;"k")),1,IF(AND($E276&lt;&gt;0,$F276&gt;0,YEAR($F276)&gt;=Preisindex!$A$6,YEAR(AV$4)&gt;=YEAR($F276),$K276="a"),ROUND(VLOOKUP(BA$4,Preisindex,5,FALSE)/VLOOKUP(YEAR($F276),Preisindex,5,FALSE),2),IF(AND($E276&lt;&gt;0,$F276&gt;0,YEAR($F276)&gt;=Preisindex!$A$6,YEAR(AV$4)&gt;=YEAR($F276),$K276="b"),ROUND(VLOOKUP(BA$4,Preisindex,3,FALSE)/VLOOKUP(YEAR($F276),Preisindex,3,FALSE),2),IF(AND($E276&lt;&gt;0,$F276&gt;0,YEAR($F276)&gt;=Preisindex!$A$6,YEAR(AV$4)&gt;=YEAR($F276),$K276="g"),ROUND(VLOOKUP(BA$4,Preisindex,4,FALSE)/VLOOKUP(YEAR($F276),Preisindex,4,FALSE),2),IF(AND($E276&lt;&gt;0,$F276&gt;0,YEAR($F276)&gt;=Preisindex!$A$6,YEAR(AV$4)&gt;=YEAR($F276),$K276="k"),ROUND(VLOOKUP(BA$4,Preisindex,2,FALSE)/VLOOKUP(YEAR($F276),Preisindex,2,FALSE),2),0)))))</f>
        <v>0</v>
      </c>
      <c r="BB276" s="56">
        <f>IF(AND($E276&lt;&gt;0,$F276&gt;0,YEAR($F276)&lt;Preisindex!$A$6,YEAR(AV$4)&gt;=YEAR($F276),AND($K276&lt;&gt;"a",$K276&lt;&gt;"b",$K276&lt;&gt;"g",$K276&lt;&gt;"k")),1,IF(AND($E276&lt;&gt;0,$F276&gt;0,YEAR($F276)&lt;Preisindex!$A$6,YEAR(AV$4)&gt;=YEAR($F276),$K276="a"),ROUND(VLOOKUP(BA$4,Preisindex,5,FALSE)/VLOOKUP(Preisindex!$A$6,Preisindex,5,FALSE),2),IF(AND($E276&lt;&gt;0,$F276&gt;0,YEAR($F276)&lt;Preisindex!$A$6,YEAR(AV$4)&gt;=YEAR($F276),$K276="b"),ROUND(VLOOKUP(BA$4,Preisindex,3,FALSE)/VLOOKUP(Preisindex!$A$6,Preisindex,3,FALSE),2),IF(AND($E276&lt;&gt;0,$F276&gt;0,YEAR($F276)&lt;Preisindex!$A$6,YEAR(AV$4)&gt;=YEAR($F276),$K276="g"),ROUND(VLOOKUP(BA$4,Preisindex,4,FALSE)/VLOOKUP(Preisindex!$A$6,Preisindex,4,FALSE),2),IF(AND($E276&lt;&gt;0,$F276&gt;0,YEAR($F276)&lt;Preisindex!$A$6,YEAR(AV$4)&gt;=YEAR($F276),$K276="k"),ROUND(VLOOKUP(BA$4,Preisindex,2,FALSE)/VLOOKUP(Preisindex!$A$6,Preisindex,2,FALSE),2),0)))))</f>
        <v>0</v>
      </c>
      <c r="BC276" s="51">
        <f>IF(AND($E276&lt;&gt;0,$F276&gt;0,YEAR($F276)&lt;=BA$4,YEAR($F276)&gt;=Preisindex!$A$6),ROUND($E276*BA276,2),IF(AND($E276&lt;&gt;0,$F276&gt;0,YEAR($F276)&lt;=BA$4,YEAR($F276)&lt;Preisindex!$A$6),ROUND($E276*BB276,2),0))</f>
        <v>0</v>
      </c>
      <c r="BD276" s="53">
        <f t="shared" si="762"/>
        <v>0</v>
      </c>
      <c r="BE276" s="51">
        <f t="shared" si="754"/>
        <v>0</v>
      </c>
      <c r="BF276" s="51">
        <f t="shared" si="715"/>
        <v>0</v>
      </c>
      <c r="BG276" s="51">
        <f t="shared" si="763"/>
        <v>0</v>
      </c>
      <c r="BH276" s="51">
        <f t="shared" si="716"/>
        <v>0</v>
      </c>
      <c r="BI276" s="51">
        <f t="shared" si="764"/>
        <v>0</v>
      </c>
      <c r="BJ276" s="51">
        <f t="shared" si="717"/>
        <v>0</v>
      </c>
      <c r="BK276" s="51">
        <f t="shared" si="765"/>
        <v>0</v>
      </c>
      <c r="BL276" s="51">
        <f t="shared" si="718"/>
        <v>0</v>
      </c>
      <c r="BM276" s="51">
        <f t="shared" si="766"/>
        <v>0</v>
      </c>
      <c r="BN276" s="51">
        <f t="shared" si="719"/>
        <v>0</v>
      </c>
      <c r="BO276" s="51">
        <f t="shared" si="767"/>
        <v>0</v>
      </c>
      <c r="BP276" s="54">
        <f t="shared" si="768"/>
        <v>0</v>
      </c>
      <c r="BQ276" s="55">
        <f t="shared" si="769"/>
        <v>0</v>
      </c>
      <c r="BR276" s="56">
        <f>IF(AND($E276&lt;&gt;0,$F276&gt;0,YEAR($F276)&gt;=Preisindex!$A$6,YEAR(BM$4)&gt;=YEAR($F276),AND($K276&lt;&gt;"a",$K276&lt;&gt;"b",$K276&lt;&gt;"g",$K276&lt;&gt;"k")),1,IF(AND($E276&lt;&gt;0,$F276&gt;0,YEAR($F276)&gt;=Preisindex!$A$6,YEAR(BM$4)&gt;=YEAR($F276),$K276="a"),ROUND(VLOOKUP(BR$4,Preisindex,5,FALSE)/VLOOKUP(YEAR($F276),Preisindex,5,FALSE),2),IF(AND($E276&lt;&gt;0,$F276&gt;0,YEAR($F276)&gt;=Preisindex!$A$6,YEAR(BM$4)&gt;=YEAR($F276),$K276="b"),ROUND(VLOOKUP(BR$4,Preisindex,3,FALSE)/VLOOKUP(YEAR($F276),Preisindex,3,FALSE),2),IF(AND($E276&lt;&gt;0,$F276&gt;0,YEAR($F276)&gt;=Preisindex!$A$6,YEAR(BM$4)&gt;=YEAR($F276),$K276="g"),ROUND(VLOOKUP(BR$4,Preisindex,4,FALSE)/VLOOKUP(YEAR($F276),Preisindex,4,FALSE),2),IF(AND($E276&lt;&gt;0,$F276&gt;0,YEAR($F276)&gt;=Preisindex!$A$6,YEAR(BM$4)&gt;=YEAR($F276),$K276="k"),ROUND(VLOOKUP(BR$4,Preisindex,2,FALSE)/VLOOKUP(YEAR($F276),Preisindex,2,FALSE),2),0)))))</f>
        <v>0</v>
      </c>
      <c r="BS276" s="56">
        <f>IF(AND($E276&lt;&gt;0,$F276&gt;0,YEAR($F276)&lt;Preisindex!$A$6,YEAR(BM$4)&gt;=YEAR($F276),AND($K276&lt;&gt;"a",$K276&lt;&gt;"b",$K276&lt;&gt;"g",$K276&lt;&gt;"k")),1,IF(AND($E276&lt;&gt;0,$F276&gt;0,YEAR($F276)&lt;Preisindex!$A$6,YEAR(BM$4)&gt;=YEAR($F276),$K276="a"),ROUND(VLOOKUP(BR$4,Preisindex,5,FALSE)/VLOOKUP(Preisindex!$A$6,Preisindex,5,FALSE),2),IF(AND($E276&lt;&gt;0,$F276&gt;0,YEAR($F276)&lt;Preisindex!$A$6,YEAR(BM$4)&gt;=YEAR($F276),$K276="b"),ROUND(VLOOKUP(BR$4,Preisindex,3,FALSE)/VLOOKUP(Preisindex!$A$6,Preisindex,3,FALSE),2),IF(AND($E276&lt;&gt;0,$F276&gt;0,YEAR($F276)&lt;Preisindex!$A$6,YEAR(BM$4)&gt;=YEAR($F276),$K276="g"),ROUND(VLOOKUP(BR$4,Preisindex,4,FALSE)/VLOOKUP(Preisindex!$A$6,Preisindex,4,FALSE),2),IF(AND($E276&lt;&gt;0,$F276&gt;0,YEAR($F276)&lt;Preisindex!$A$6,YEAR(BM$4)&gt;=YEAR($F276),$K276="k"),ROUND(VLOOKUP(BR$4,Preisindex,2,FALSE)/VLOOKUP(Preisindex!$A$6,Preisindex,2,FALSE),2),0)))))</f>
        <v>0</v>
      </c>
      <c r="BT276" s="51">
        <f>IF(AND($E276&lt;&gt;0,$F276&gt;0,YEAR($F276)&lt;=BR$4,YEAR($F276)&gt;=Preisindex!$A$6),ROUND($E276*BR276,2),IF(AND($E276&lt;&gt;0,$F276&gt;0,YEAR($F276)&lt;=BR$4,YEAR($F276)&lt;Preisindex!$A$6),ROUND($E276*BS276,2),0))</f>
        <v>0</v>
      </c>
      <c r="BU276" s="53">
        <f t="shared" si="770"/>
        <v>0</v>
      </c>
      <c r="BV276" s="51">
        <f t="shared" si="754"/>
        <v>0</v>
      </c>
      <c r="BW276" s="51">
        <f t="shared" si="720"/>
        <v>0</v>
      </c>
      <c r="BX276" s="51">
        <f t="shared" si="771"/>
        <v>0</v>
      </c>
      <c r="BY276" s="51">
        <f t="shared" si="721"/>
        <v>0</v>
      </c>
      <c r="BZ276" s="51">
        <f t="shared" si="772"/>
        <v>0</v>
      </c>
      <c r="CA276" s="51">
        <f t="shared" si="722"/>
        <v>0</v>
      </c>
      <c r="CB276" s="51">
        <f t="shared" si="773"/>
        <v>0</v>
      </c>
      <c r="CC276" s="51">
        <f t="shared" si="723"/>
        <v>0</v>
      </c>
      <c r="CD276" s="51">
        <f t="shared" si="774"/>
        <v>0</v>
      </c>
      <c r="CE276" s="51">
        <f t="shared" si="724"/>
        <v>0</v>
      </c>
      <c r="CF276" s="51">
        <f t="shared" si="775"/>
        <v>0</v>
      </c>
      <c r="CG276" s="54">
        <f t="shared" si="776"/>
        <v>0</v>
      </c>
      <c r="CH276" s="55">
        <f t="shared" si="777"/>
        <v>0</v>
      </c>
      <c r="CI276" s="56">
        <f>IF(AND($E276&lt;&gt;0,$F276&gt;0,YEAR($F276)&gt;=Preisindex!$A$6,YEAR(CD$4)&gt;=YEAR($F276),AND($K276&lt;&gt;"a",$K276&lt;&gt;"b",$K276&lt;&gt;"g",$K276&lt;&gt;"k")),1,IF(AND($E276&lt;&gt;0,$F276&gt;0,YEAR($F276)&gt;=Preisindex!$A$6,YEAR(CD$4)&gt;=YEAR($F276),$K276="a"),ROUND(VLOOKUP(CI$4,Preisindex,5,FALSE)/VLOOKUP(YEAR($F276),Preisindex,5,FALSE),2),IF(AND($E276&lt;&gt;0,$F276&gt;0,YEAR($F276)&gt;=Preisindex!$A$6,YEAR(CD$4)&gt;=YEAR($F276),$K276="b"),ROUND(VLOOKUP(CI$4,Preisindex,3,FALSE)/VLOOKUP(YEAR($F276),Preisindex,3,FALSE),2),IF(AND($E276&lt;&gt;0,$F276&gt;0,YEAR($F276)&gt;=Preisindex!$A$6,YEAR(CD$4)&gt;=YEAR($F276),$K276="g"),ROUND(VLOOKUP(CI$4,Preisindex,4,FALSE)/VLOOKUP(YEAR($F276),Preisindex,4,FALSE),2),IF(AND($E276&lt;&gt;0,$F276&gt;0,YEAR($F276)&gt;=Preisindex!$A$6,YEAR(CD$4)&gt;=YEAR($F276),$K276="k"),ROUND(VLOOKUP(CI$4,Preisindex,2,FALSE)/VLOOKUP(YEAR($F276),Preisindex,2,FALSE),2),0)))))</f>
        <v>0</v>
      </c>
      <c r="CJ276" s="56">
        <f>IF(AND($E276&lt;&gt;0,$F276&gt;0,YEAR($F276)&lt;Preisindex!$A$6,YEAR(CD$4)&gt;=YEAR($F276),AND($K276&lt;&gt;"a",$K276&lt;&gt;"b",$K276&lt;&gt;"g",$K276&lt;&gt;"k")),1,IF(AND($E276&lt;&gt;0,$F276&gt;0,YEAR($F276)&lt;Preisindex!$A$6,YEAR(CD$4)&gt;=YEAR($F276),$K276="a"),ROUND(VLOOKUP(CI$4,Preisindex,5,FALSE)/VLOOKUP(Preisindex!$A$6,Preisindex,5,FALSE),2),IF(AND($E276&lt;&gt;0,$F276&gt;0,YEAR($F276)&lt;Preisindex!$A$6,YEAR(CD$4)&gt;=YEAR($F276),$K276="b"),ROUND(VLOOKUP(CI$4,Preisindex,3,FALSE)/VLOOKUP(Preisindex!$A$6,Preisindex,3,FALSE),2),IF(AND($E276&lt;&gt;0,$F276&gt;0,YEAR($F276)&lt;Preisindex!$A$6,YEAR(CD$4)&gt;=YEAR($F276),$K276="g"),ROUND(VLOOKUP(CI$4,Preisindex,4,FALSE)/VLOOKUP(Preisindex!$A$6,Preisindex,4,FALSE),2),IF(AND($E276&lt;&gt;0,$F276&gt;0,YEAR($F276)&lt;Preisindex!$A$6,YEAR(CD$4)&gt;=YEAR($F276),$K276="k"),ROUND(VLOOKUP(CI$4,Preisindex,2,FALSE)/VLOOKUP(Preisindex!$A$6,Preisindex,2,FALSE),2),0)))))</f>
        <v>0</v>
      </c>
      <c r="CK276" s="51">
        <f>IF(AND($E276&lt;&gt;0,$F276&gt;0,YEAR($F276)&lt;=CI$4,YEAR($F276)&gt;=Preisindex!$A$6),ROUND($E276*CI276,2),IF(AND($E276&lt;&gt;0,$F276&gt;0,YEAR($F276)&lt;=CI$4,YEAR($F276)&lt;Preisindex!$A$6),ROUND($E276*CJ276,2),0))</f>
        <v>0</v>
      </c>
      <c r="CL276" s="53">
        <f t="shared" si="778"/>
        <v>0</v>
      </c>
      <c r="CM276" s="51">
        <f t="shared" si="754"/>
        <v>0</v>
      </c>
      <c r="CN276" s="51">
        <f t="shared" si="725"/>
        <v>0</v>
      </c>
      <c r="CO276" s="51">
        <f t="shared" si="779"/>
        <v>0</v>
      </c>
      <c r="CP276" s="51">
        <f t="shared" si="726"/>
        <v>0</v>
      </c>
      <c r="CQ276" s="51">
        <f t="shared" si="780"/>
        <v>0</v>
      </c>
      <c r="CR276" s="51">
        <f t="shared" si="727"/>
        <v>0</v>
      </c>
      <c r="CS276" s="51">
        <f t="shared" si="781"/>
        <v>0</v>
      </c>
      <c r="CT276" s="51">
        <f t="shared" si="728"/>
        <v>0</v>
      </c>
      <c r="CU276" s="51">
        <f t="shared" si="782"/>
        <v>0</v>
      </c>
      <c r="CV276" s="51">
        <f t="shared" si="729"/>
        <v>0</v>
      </c>
      <c r="CW276" s="51">
        <f t="shared" si="783"/>
        <v>0</v>
      </c>
      <c r="CX276" s="54">
        <f t="shared" si="784"/>
        <v>0</v>
      </c>
      <c r="CY276" s="55">
        <f t="shared" si="785"/>
        <v>0</v>
      </c>
      <c r="CZ276" s="56">
        <f>IF(AND($E276&lt;&gt;0,$F276&gt;0,YEAR($F276)&gt;=Preisindex!$A$6,YEAR(CU$4)&gt;=YEAR($F276),AND($K276&lt;&gt;"a",$K276&lt;&gt;"b",$K276&lt;&gt;"g",$K276&lt;&gt;"k")),1,IF(AND($E276&lt;&gt;0,$F276&gt;0,YEAR($F276)&gt;=Preisindex!$A$6,YEAR(CU$4)&gt;=YEAR($F276),$K276="a"),ROUND(VLOOKUP(CZ$4,Preisindex,5,FALSE)/VLOOKUP(YEAR($F276),Preisindex,5,FALSE),2),IF(AND($E276&lt;&gt;0,$F276&gt;0,YEAR($F276)&gt;=Preisindex!$A$6,YEAR(CU$4)&gt;=YEAR($F276),$K276="b"),ROUND(VLOOKUP(CZ$4,Preisindex,3,FALSE)/VLOOKUP(YEAR($F276),Preisindex,3,FALSE),2),IF(AND($E276&lt;&gt;0,$F276&gt;0,YEAR($F276)&gt;=Preisindex!$A$6,YEAR(CU$4)&gt;=YEAR($F276),$K276="g"),ROUND(VLOOKUP(CZ$4,Preisindex,4,FALSE)/VLOOKUP(YEAR($F276),Preisindex,4,FALSE),2),IF(AND($E276&lt;&gt;0,$F276&gt;0,YEAR($F276)&gt;=Preisindex!$A$6,YEAR(CU$4)&gt;=YEAR($F276),$K276="k"),ROUND(VLOOKUP(CZ$4,Preisindex,2,FALSE)/VLOOKUP(YEAR($F276),Preisindex,2,FALSE),2),0)))))</f>
        <v>0</v>
      </c>
      <c r="DA276" s="56">
        <f>IF(AND($E276&lt;&gt;0,$F276&gt;0,YEAR($F276)&lt;Preisindex!$A$6,YEAR(CU$4)&gt;=YEAR($F276),AND($K276&lt;&gt;"a",$K276&lt;&gt;"b",$K276&lt;&gt;"g",$K276&lt;&gt;"k")),1,IF(AND($E276&lt;&gt;0,$F276&gt;0,YEAR($F276)&lt;Preisindex!$A$6,YEAR(CU$4)&gt;=YEAR($F276),$K276="a"),ROUND(VLOOKUP(CZ$4,Preisindex,5,FALSE)/VLOOKUP(Preisindex!$A$6,Preisindex,5,FALSE),2),IF(AND($E276&lt;&gt;0,$F276&gt;0,YEAR($F276)&lt;Preisindex!$A$6,YEAR(CU$4)&gt;=YEAR($F276),$K276="b"),ROUND(VLOOKUP(CZ$4,Preisindex,3,FALSE)/VLOOKUP(Preisindex!$A$6,Preisindex,3,FALSE),2),IF(AND($E276&lt;&gt;0,$F276&gt;0,YEAR($F276)&lt;Preisindex!$A$6,YEAR(CU$4)&gt;=YEAR($F276),$K276="g"),ROUND(VLOOKUP(CZ$4,Preisindex,4,FALSE)/VLOOKUP(Preisindex!$A$6,Preisindex,4,FALSE),2),IF(AND($E276&lt;&gt;0,$F276&gt;0,YEAR($F276)&lt;Preisindex!$A$6,YEAR(CU$4)&gt;=YEAR($F276),$K276="k"),ROUND(VLOOKUP(CZ$4,Preisindex,2,FALSE)/VLOOKUP(Preisindex!$A$6,Preisindex,2,FALSE),2),0)))))</f>
        <v>0</v>
      </c>
      <c r="DB276" s="51">
        <f>IF(AND($E276&lt;&gt;0,$F276&gt;0,YEAR($F276)&lt;=CZ$4,YEAR($F276)&gt;=Preisindex!$A$6),ROUND($E276*CZ276,2),IF(AND($E276&lt;&gt;0,$F276&gt;0,YEAR($F276)&lt;=CZ$4,YEAR($F276)&lt;Preisindex!$A$6),ROUND($E276*DA276,2),0))</f>
        <v>0</v>
      </c>
      <c r="DC276" s="53">
        <f t="shared" si="786"/>
        <v>0</v>
      </c>
      <c r="DD276" s="51">
        <f t="shared" si="787"/>
        <v>0</v>
      </c>
      <c r="DE276" s="51">
        <f t="shared" si="730"/>
        <v>0</v>
      </c>
      <c r="DF276" s="51">
        <f t="shared" si="788"/>
        <v>0</v>
      </c>
      <c r="DG276" s="51">
        <f t="shared" si="731"/>
        <v>0</v>
      </c>
      <c r="DH276" s="51">
        <f t="shared" si="789"/>
        <v>0</v>
      </c>
      <c r="DI276" s="51">
        <f t="shared" si="732"/>
        <v>0</v>
      </c>
      <c r="DJ276" s="51">
        <f t="shared" si="790"/>
        <v>0</v>
      </c>
      <c r="DK276" s="51">
        <f t="shared" si="733"/>
        <v>0</v>
      </c>
      <c r="DL276" s="51">
        <f t="shared" si="791"/>
        <v>0</v>
      </c>
      <c r="DM276" s="51">
        <f t="shared" si="734"/>
        <v>0</v>
      </c>
      <c r="DN276" s="51">
        <f t="shared" si="792"/>
        <v>0</v>
      </c>
      <c r="DO276" s="54">
        <f t="shared" si="793"/>
        <v>0</v>
      </c>
      <c r="DP276" s="55">
        <f t="shared" si="794"/>
        <v>0</v>
      </c>
      <c r="DQ276" s="56">
        <f>IF(AND($E276&lt;&gt;0,$F276&gt;0,YEAR($F276)&gt;=Preisindex!$A$6,YEAR(DL$4)&gt;=YEAR($F276),AND($K276&lt;&gt;"a",$K276&lt;&gt;"b",$K276&lt;&gt;"g",$K276&lt;&gt;"k")),1,IF(AND($E276&lt;&gt;0,$F276&gt;0,YEAR($F276)&gt;=Preisindex!$A$6,YEAR(DL$4)&gt;=YEAR($F276),$K276="a"),ROUND(VLOOKUP(DQ$4,Preisindex,5,FALSE)/VLOOKUP(YEAR($F276),Preisindex,5,FALSE),2),IF(AND($E276&lt;&gt;0,$F276&gt;0,YEAR($F276)&gt;=Preisindex!$A$6,YEAR(DL$4)&gt;=YEAR($F276),$K276="b"),ROUND(VLOOKUP(DQ$4,Preisindex,3,FALSE)/VLOOKUP(YEAR($F276),Preisindex,3,FALSE),2),IF(AND($E276&lt;&gt;0,$F276&gt;0,YEAR($F276)&gt;=Preisindex!$A$6,YEAR(DL$4)&gt;=YEAR($F276),$K276="g"),ROUND(VLOOKUP(DQ$4,Preisindex,4,FALSE)/VLOOKUP(YEAR($F276),Preisindex,4,FALSE),2),IF(AND($E276&lt;&gt;0,$F276&gt;0,YEAR($F276)&gt;=Preisindex!$A$6,YEAR(DL$4)&gt;=YEAR($F276),$K276="k"),ROUND(VLOOKUP(DQ$4,Preisindex,2,FALSE)/VLOOKUP(YEAR($F276),Preisindex,2,FALSE),2),0)))))</f>
        <v>0</v>
      </c>
      <c r="DR276" s="56">
        <f>IF(AND($E276&lt;&gt;0,$F276&gt;0,YEAR($F276)&lt;Preisindex!$A$6,YEAR(DL$4)&gt;=YEAR($F276),AND($K276&lt;&gt;"a",$K276&lt;&gt;"b",$K276&lt;&gt;"g",$K276&lt;&gt;"k")),1,IF(AND($E276&lt;&gt;0,$F276&gt;0,YEAR($F276)&lt;Preisindex!$A$6,YEAR(DL$4)&gt;=YEAR($F276),$K276="a"),ROUND(VLOOKUP(DQ$4,Preisindex,5,FALSE)/VLOOKUP(Preisindex!$A$6,Preisindex,5,FALSE),2),IF(AND($E276&lt;&gt;0,$F276&gt;0,YEAR($F276)&lt;Preisindex!$A$6,YEAR(DL$4)&gt;=YEAR($F276),$K276="b"),ROUND(VLOOKUP(DQ$4,Preisindex,3,FALSE)/VLOOKUP(Preisindex!$A$6,Preisindex,3,FALSE),2),IF(AND($E276&lt;&gt;0,$F276&gt;0,YEAR($F276)&lt;Preisindex!$A$6,YEAR(DL$4)&gt;=YEAR($F276),$K276="g"),ROUND(VLOOKUP(DQ$4,Preisindex,4,FALSE)/VLOOKUP(Preisindex!$A$6,Preisindex,4,FALSE),2),IF(AND($E276&lt;&gt;0,$F276&gt;0,YEAR($F276)&lt;Preisindex!$A$6,YEAR(DL$4)&gt;=YEAR($F276),$K276="k"),ROUND(VLOOKUP(DQ$4,Preisindex,2,FALSE)/VLOOKUP(Preisindex!$A$6,Preisindex,2,FALSE),2),0)))))</f>
        <v>0</v>
      </c>
      <c r="DS276" s="51">
        <f>IF(AND($E276&lt;&gt;0,$F276&gt;0,YEAR($F276)&lt;=DQ$4,YEAR($F276)&gt;=Preisindex!$A$6),ROUND($E276*DQ276,2),IF(AND($E276&lt;&gt;0,$F276&gt;0,YEAR($F276)&lt;=DQ$4,YEAR($F276)&lt;Preisindex!$A$6),ROUND($E276*DR276,2),0))</f>
        <v>0</v>
      </c>
      <c r="DT276" s="53">
        <f t="shared" si="795"/>
        <v>0</v>
      </c>
      <c r="DU276" s="51">
        <f t="shared" si="787"/>
        <v>0</v>
      </c>
      <c r="DV276" s="51">
        <f t="shared" si="735"/>
        <v>0</v>
      </c>
      <c r="DW276" s="51">
        <f t="shared" si="796"/>
        <v>0</v>
      </c>
      <c r="DX276" s="51">
        <f t="shared" si="736"/>
        <v>0</v>
      </c>
      <c r="DY276" s="51">
        <f t="shared" si="797"/>
        <v>0</v>
      </c>
      <c r="DZ276" s="51">
        <f t="shared" si="737"/>
        <v>0</v>
      </c>
      <c r="EA276" s="51">
        <f t="shared" si="798"/>
        <v>0</v>
      </c>
      <c r="EB276" s="51">
        <f t="shared" si="738"/>
        <v>0</v>
      </c>
      <c r="EC276" s="51">
        <f t="shared" si="799"/>
        <v>0</v>
      </c>
      <c r="ED276" s="51">
        <f t="shared" si="739"/>
        <v>0</v>
      </c>
      <c r="EE276" s="51">
        <f t="shared" si="800"/>
        <v>0</v>
      </c>
      <c r="EF276" s="54">
        <f t="shared" si="801"/>
        <v>0</v>
      </c>
      <c r="EG276" s="55">
        <f t="shared" si="802"/>
        <v>0</v>
      </c>
      <c r="EH276" s="56">
        <f>IF(AND($E276&lt;&gt;0,$F276&gt;0,YEAR($F276)&gt;=Preisindex!$A$6,YEAR(EC$4)&gt;=YEAR($F276),AND($K276&lt;&gt;"a",$K276&lt;&gt;"b",$K276&lt;&gt;"g",$K276&lt;&gt;"k")),1,IF(AND($E276&lt;&gt;0,$F276&gt;0,YEAR($F276)&gt;=Preisindex!$A$6,YEAR(EC$4)&gt;=YEAR($F276),$K276="a"),ROUND(VLOOKUP(EH$4,Preisindex,5,FALSE)/VLOOKUP(YEAR($F276),Preisindex,5,FALSE),2),IF(AND($E276&lt;&gt;0,$F276&gt;0,YEAR($F276)&gt;=Preisindex!$A$6,YEAR(EC$4)&gt;=YEAR($F276),$K276="b"),ROUND(VLOOKUP(EH$4,Preisindex,3,FALSE)/VLOOKUP(YEAR($F276),Preisindex,3,FALSE),2),IF(AND($E276&lt;&gt;0,$F276&gt;0,YEAR($F276)&gt;=Preisindex!$A$6,YEAR(EC$4)&gt;=YEAR($F276),$K276="g"),ROUND(VLOOKUP(EH$4,Preisindex,4,FALSE)/VLOOKUP(YEAR($F276),Preisindex,4,FALSE),2),IF(AND($E276&lt;&gt;0,$F276&gt;0,YEAR($F276)&gt;=Preisindex!$A$6,YEAR(EC$4)&gt;=YEAR($F276),$K276="k"),ROUND(VLOOKUP(EH$4,Preisindex,2,FALSE)/VLOOKUP(YEAR($F276),Preisindex,2,FALSE),2),0)))))</f>
        <v>0</v>
      </c>
      <c r="EI276" s="56">
        <f>IF(AND($E276&lt;&gt;0,$F276&gt;0,YEAR($F276)&lt;Preisindex!$A$6,YEAR(EC$4)&gt;=YEAR($F276),AND($K276&lt;&gt;"a",$K276&lt;&gt;"b",$K276&lt;&gt;"g",$K276&lt;&gt;"k")),1,IF(AND($E276&lt;&gt;0,$F276&gt;0,YEAR($F276)&lt;Preisindex!$A$6,YEAR(EC$4)&gt;=YEAR($F276),$K276="a"),ROUND(VLOOKUP(EH$4,Preisindex,5,FALSE)/VLOOKUP(Preisindex!$A$6,Preisindex,5,FALSE),2),IF(AND($E276&lt;&gt;0,$F276&gt;0,YEAR($F276)&lt;Preisindex!$A$6,YEAR(EC$4)&gt;=YEAR($F276),$K276="b"),ROUND(VLOOKUP(EH$4,Preisindex,3,FALSE)/VLOOKUP(Preisindex!$A$6,Preisindex,3,FALSE),2),IF(AND($E276&lt;&gt;0,$F276&gt;0,YEAR($F276)&lt;Preisindex!$A$6,YEAR(EC$4)&gt;=YEAR($F276),$K276="g"),ROUND(VLOOKUP(EH$4,Preisindex,4,FALSE)/VLOOKUP(Preisindex!$A$6,Preisindex,4,FALSE),2),IF(AND($E276&lt;&gt;0,$F276&gt;0,YEAR($F276)&lt;Preisindex!$A$6,YEAR(EC$4)&gt;=YEAR($F276),$K276="k"),ROUND(VLOOKUP(EH$4,Preisindex,2,FALSE)/VLOOKUP(Preisindex!$A$6,Preisindex,2,FALSE),2),0)))))</f>
        <v>0</v>
      </c>
      <c r="EJ276" s="51">
        <f>IF(AND($E276&lt;&gt;0,$F276&gt;0,YEAR($F276)&lt;=EH$4,YEAR($F276)&gt;=Preisindex!$A$6),ROUND($E276*EH276,2),IF(AND($E276&lt;&gt;0,$F276&gt;0,YEAR($F276)&lt;=EH$4,YEAR($F276)&lt;Preisindex!$A$6),ROUND($E276*EI276,2),0))</f>
        <v>0</v>
      </c>
      <c r="EK276" s="53">
        <f t="shared" si="803"/>
        <v>0</v>
      </c>
      <c r="EL276" s="51">
        <f t="shared" si="787"/>
        <v>0</v>
      </c>
      <c r="EM276" s="51">
        <f t="shared" si="740"/>
        <v>0</v>
      </c>
      <c r="EN276" s="51">
        <f t="shared" si="804"/>
        <v>0</v>
      </c>
      <c r="EO276" s="51">
        <f t="shared" si="741"/>
        <v>0</v>
      </c>
      <c r="EP276" s="51">
        <f t="shared" si="805"/>
        <v>0</v>
      </c>
      <c r="EQ276" s="51">
        <f t="shared" si="742"/>
        <v>0</v>
      </c>
      <c r="ER276" s="51">
        <f t="shared" si="806"/>
        <v>0</v>
      </c>
      <c r="ES276" s="51">
        <f t="shared" si="743"/>
        <v>0</v>
      </c>
      <c r="ET276" s="51">
        <f t="shared" si="807"/>
        <v>0</v>
      </c>
      <c r="EU276" s="51">
        <f t="shared" si="744"/>
        <v>0</v>
      </c>
      <c r="EV276" s="51">
        <f t="shared" si="808"/>
        <v>0</v>
      </c>
      <c r="EW276" s="54">
        <f t="shared" si="809"/>
        <v>0</v>
      </c>
      <c r="EX276" s="55">
        <f t="shared" si="810"/>
        <v>0</v>
      </c>
      <c r="EY276" s="56">
        <f>IF(AND($E276&lt;&gt;0,$F276&gt;0,YEAR($F276)&gt;=Preisindex!$A$6,YEAR(ET$4)&gt;=YEAR($F276),AND($K276&lt;&gt;"a",$K276&lt;&gt;"b",$K276&lt;&gt;"g",$K276&lt;&gt;"k")),1,IF(AND($E276&lt;&gt;0,$F276&gt;0,YEAR($F276)&gt;=Preisindex!$A$6,YEAR(ET$4)&gt;=YEAR($F276),$K276="a"),ROUND(VLOOKUP(EY$4,Preisindex,5,FALSE)/VLOOKUP(YEAR($F276),Preisindex,5,FALSE),2),IF(AND($E276&lt;&gt;0,$F276&gt;0,YEAR($F276)&gt;=Preisindex!$A$6,YEAR(ET$4)&gt;=YEAR($F276),$K276="b"),ROUND(VLOOKUP(EY$4,Preisindex,3,FALSE)/VLOOKUP(YEAR($F276),Preisindex,3,FALSE),2),IF(AND($E276&lt;&gt;0,$F276&gt;0,YEAR($F276)&gt;=Preisindex!$A$6,YEAR(ET$4)&gt;=YEAR($F276),$K276="g"),ROUND(VLOOKUP(EY$4,Preisindex,4,FALSE)/VLOOKUP(YEAR($F276),Preisindex,4,FALSE),2),IF(AND($E276&lt;&gt;0,$F276&gt;0,YEAR($F276)&gt;=Preisindex!$A$6,YEAR(ET$4)&gt;=YEAR($F276),$K276="k"),ROUND(VLOOKUP(EY$4,Preisindex,2,FALSE)/VLOOKUP(YEAR($F276),Preisindex,2,FALSE),2),0)))))</f>
        <v>0</v>
      </c>
      <c r="EZ276" s="56">
        <f>IF(AND($E276&lt;&gt;0,$F276&gt;0,YEAR($F276)&lt;Preisindex!$A$6,YEAR(ET$4)&gt;=YEAR($F276),AND($K276&lt;&gt;"a",$K276&lt;&gt;"b",$K276&lt;&gt;"g",$K276&lt;&gt;"k")),1,IF(AND($E276&lt;&gt;0,$F276&gt;0,YEAR($F276)&lt;Preisindex!$A$6,YEAR(ET$4)&gt;=YEAR($F276),$K276="a"),ROUND(VLOOKUP(EY$4,Preisindex,5,FALSE)/VLOOKUP(Preisindex!$A$6,Preisindex,5,FALSE),2),IF(AND($E276&lt;&gt;0,$F276&gt;0,YEAR($F276)&lt;Preisindex!$A$6,YEAR(ET$4)&gt;=YEAR($F276),$K276="b"),ROUND(VLOOKUP(EY$4,Preisindex,3,FALSE)/VLOOKUP(Preisindex!$A$6,Preisindex,3,FALSE),2),IF(AND($E276&lt;&gt;0,$F276&gt;0,YEAR($F276)&lt;Preisindex!$A$6,YEAR(ET$4)&gt;=YEAR($F276),$K276="g"),ROUND(VLOOKUP(EY$4,Preisindex,4,FALSE)/VLOOKUP(Preisindex!$A$6,Preisindex,4,FALSE),2),IF(AND($E276&lt;&gt;0,$F276&gt;0,YEAR($F276)&lt;Preisindex!$A$6,YEAR(ET$4)&gt;=YEAR($F276),$K276="k"),ROUND(VLOOKUP(EY$4,Preisindex,2,FALSE)/VLOOKUP(Preisindex!$A$6,Preisindex,2,FALSE),2),0)))))</f>
        <v>0</v>
      </c>
      <c r="FA276" s="51">
        <f>IF(AND($E276&lt;&gt;0,$F276&gt;0,YEAR($F276)&lt;=EY$4,YEAR($F276)&gt;=Preisindex!$A$6),ROUND($E276*EY276,2),IF(AND($E276&lt;&gt;0,$F276&gt;0,YEAR($F276)&lt;=EY$4,YEAR($F276)&lt;Preisindex!$A$6),ROUND($E276*EZ276,2),0))</f>
        <v>0</v>
      </c>
      <c r="FB276" s="53">
        <f t="shared" si="811"/>
        <v>0</v>
      </c>
      <c r="FC276" s="51">
        <f t="shared" si="787"/>
        <v>0</v>
      </c>
      <c r="FD276" s="51">
        <f t="shared" si="745"/>
        <v>0</v>
      </c>
      <c r="FE276" s="51">
        <f t="shared" si="812"/>
        <v>0</v>
      </c>
      <c r="FF276" s="51">
        <f t="shared" si="746"/>
        <v>0</v>
      </c>
      <c r="FG276" s="51">
        <f t="shared" si="813"/>
        <v>0</v>
      </c>
      <c r="FH276" s="51">
        <f t="shared" si="747"/>
        <v>0</v>
      </c>
      <c r="FI276" s="51">
        <f t="shared" si="814"/>
        <v>0</v>
      </c>
      <c r="FJ276" s="51">
        <f t="shared" si="748"/>
        <v>0</v>
      </c>
      <c r="FK276" s="51">
        <f t="shared" si="815"/>
        <v>0</v>
      </c>
      <c r="FL276" s="51">
        <f t="shared" si="749"/>
        <v>0</v>
      </c>
      <c r="FM276" s="51">
        <f t="shared" si="816"/>
        <v>0</v>
      </c>
      <c r="FN276" s="54">
        <f t="shared" si="817"/>
        <v>0</v>
      </c>
      <c r="FO276" s="55">
        <f t="shared" si="818"/>
        <v>0</v>
      </c>
      <c r="FP276" s="56">
        <f>IF(AND($E276&lt;&gt;0,$F276&gt;0,YEAR($F276)&gt;=Preisindex!$A$6,YEAR(FK$4)&gt;=YEAR($F276),AND($K276&lt;&gt;"a",$K276&lt;&gt;"b",$K276&lt;&gt;"g",$K276&lt;&gt;"k")),1,IF(AND($E276&lt;&gt;0,$F276&gt;0,YEAR($F276)&gt;=Preisindex!$A$6,YEAR(FK$4)&gt;=YEAR($F276),$K276="a"),ROUND(VLOOKUP(FP$4,Preisindex,5,FALSE)/VLOOKUP(YEAR($F276),Preisindex,5,FALSE),2),IF(AND($E276&lt;&gt;0,$F276&gt;0,YEAR($F276)&gt;=Preisindex!$A$6,YEAR(FK$4)&gt;=YEAR($F276),$K276="b"),ROUND(VLOOKUP(FP$4,Preisindex,3,FALSE)/VLOOKUP(YEAR($F276),Preisindex,3,FALSE),2),IF(AND($E276&lt;&gt;0,$F276&gt;0,YEAR($F276)&gt;=Preisindex!$A$6,YEAR(FK$4)&gt;=YEAR($F276),$K276="g"),ROUND(VLOOKUP(FP$4,Preisindex,4,FALSE)/VLOOKUP(YEAR($F276),Preisindex,4,FALSE),2),IF(AND($E276&lt;&gt;0,$F276&gt;0,YEAR($F276)&gt;=Preisindex!$A$6,YEAR(FK$4)&gt;=YEAR($F276),$K276="k"),ROUND(VLOOKUP(FP$4,Preisindex,2,FALSE)/VLOOKUP(YEAR($F276),Preisindex,2,FALSE),2),0)))))</f>
        <v>0</v>
      </c>
      <c r="FQ276" s="56">
        <f>IF(AND($E276&lt;&gt;0,$F276&gt;0,YEAR($F276)&lt;Preisindex!$A$6,YEAR(FK$4)&gt;=YEAR($F276),AND($K276&lt;&gt;"a",$K276&lt;&gt;"b",$K276&lt;&gt;"g",$K276&lt;&gt;"k")),1,IF(AND($E276&lt;&gt;0,$F276&gt;0,YEAR($F276)&lt;Preisindex!$A$6,YEAR(FK$4)&gt;=YEAR($F276),$K276="a"),ROUND(VLOOKUP(FP$4,Preisindex,5,FALSE)/VLOOKUP(Preisindex!$A$6,Preisindex,5,FALSE),2),IF(AND($E276&lt;&gt;0,$F276&gt;0,YEAR($F276)&lt;Preisindex!$A$6,YEAR(FK$4)&gt;=YEAR($F276),$K276="b"),ROUND(VLOOKUP(FP$4,Preisindex,3,FALSE)/VLOOKUP(Preisindex!$A$6,Preisindex,3,FALSE),2),IF(AND($E276&lt;&gt;0,$F276&gt;0,YEAR($F276)&lt;Preisindex!$A$6,YEAR(FK$4)&gt;=YEAR($F276),$K276="g"),ROUND(VLOOKUP(FP$4,Preisindex,4,FALSE)/VLOOKUP(Preisindex!$A$6,Preisindex,4,FALSE),2),IF(AND($E276&lt;&gt;0,$F276&gt;0,YEAR($F276)&lt;Preisindex!$A$6,YEAR(FK$4)&gt;=YEAR($F276),$K276="k"),ROUND(VLOOKUP(FP$4,Preisindex,2,FALSE)/VLOOKUP(Preisindex!$A$6,Preisindex,2,FALSE),2),0)))))</f>
        <v>0</v>
      </c>
      <c r="FR276" s="51">
        <f>IF(AND($E276&lt;&gt;0,$F276&gt;0,YEAR($F276)&lt;=FP$4,YEAR($F276)&gt;=Preisindex!$A$6),ROUND($E276*FP276,2),IF(AND($E276&lt;&gt;0,$F276&gt;0,YEAR($F276)&lt;=FP$4,YEAR($F276)&lt;Preisindex!$A$6),ROUND($E276*FQ276,2),0))</f>
        <v>0</v>
      </c>
      <c r="FS276" s="53">
        <f t="shared" si="819"/>
        <v>0</v>
      </c>
    </row>
    <row r="277" spans="1:175" x14ac:dyDescent="0.3">
      <c r="A277" s="185"/>
      <c r="B277" s="186"/>
      <c r="C277" s="187"/>
      <c r="D277" s="188"/>
      <c r="E277" s="189"/>
      <c r="F277" s="190"/>
      <c r="G277" s="191"/>
      <c r="H277" s="192"/>
      <c r="I277" s="193"/>
      <c r="J277" s="194"/>
      <c r="K277" s="630"/>
      <c r="L277" s="49">
        <f t="shared" si="820"/>
        <v>0</v>
      </c>
      <c r="M277" s="50">
        <f t="shared" si="821"/>
        <v>0</v>
      </c>
      <c r="N277" s="51">
        <f t="shared" si="822"/>
        <v>0</v>
      </c>
      <c r="O277" s="51"/>
      <c r="P277" s="51">
        <f t="shared" si="823"/>
        <v>0</v>
      </c>
      <c r="Q277" s="52"/>
      <c r="R277" s="52"/>
      <c r="S277" s="52"/>
      <c r="T277" s="52"/>
      <c r="U277" s="52"/>
      <c r="V277" s="53">
        <f t="shared" si="824"/>
        <v>0</v>
      </c>
      <c r="W277" s="51">
        <f t="shared" si="825"/>
        <v>0</v>
      </c>
      <c r="X277" s="51">
        <f t="shared" si="826"/>
        <v>0</v>
      </c>
      <c r="Y277" s="51">
        <f t="shared" si="827"/>
        <v>0</v>
      </c>
      <c r="Z277" s="51">
        <f t="shared" si="828"/>
        <v>0</v>
      </c>
      <c r="AA277" s="51">
        <f t="shared" si="829"/>
        <v>0</v>
      </c>
      <c r="AB277" s="51">
        <f t="shared" si="830"/>
        <v>0</v>
      </c>
      <c r="AC277" s="51">
        <f t="shared" si="831"/>
        <v>0</v>
      </c>
      <c r="AD277" s="51">
        <f t="shared" si="832"/>
        <v>0</v>
      </c>
      <c r="AE277" s="51">
        <f t="shared" si="833"/>
        <v>0</v>
      </c>
      <c r="AF277" s="51">
        <f t="shared" si="834"/>
        <v>0</v>
      </c>
      <c r="AG277" s="51">
        <f t="shared" si="835"/>
        <v>0</v>
      </c>
      <c r="AH277" s="54">
        <f t="shared" si="836"/>
        <v>0</v>
      </c>
      <c r="AI277" s="55">
        <f t="shared" si="837"/>
        <v>0</v>
      </c>
      <c r="AJ277" s="56">
        <f>IF(AND($E277&lt;&gt;0,$F277&gt;0,YEAR($F277)&gt;=Preisindex!$A$6,YEAR(AE$4)&gt;=YEAR($F277),AND($K277&lt;&gt;"a",$K277&lt;&gt;"b",$K277&lt;&gt;"g",$K277&lt;&gt;"k")),1,IF(AND($E277&lt;&gt;0,$F277&gt;0,YEAR($F277)&gt;=Preisindex!$A$6,YEAR(AE$4)&gt;=YEAR($F277),$K277="a"),ROUND(VLOOKUP(AJ$4,Preisindex,5,FALSE)/VLOOKUP(YEAR($F277),Preisindex,5,FALSE),2),IF(AND($E277&lt;&gt;0,$F277&gt;0,YEAR($F277)&gt;=Preisindex!$A$6,YEAR(AE$4)&gt;=YEAR($F277),$K277="b"),ROUND(VLOOKUP(AJ$4,Preisindex,3,FALSE)/VLOOKUP(YEAR($F277),Preisindex,3,FALSE),2),IF(AND($E277&lt;&gt;0,$F277&gt;0,YEAR($F277)&gt;=Preisindex!$A$6,YEAR(AE$4)&gt;=YEAR($F277),$K277="g"),ROUND(VLOOKUP(AJ$4,Preisindex,4,FALSE)/VLOOKUP(YEAR($F277),Preisindex,4,FALSE),2),IF(AND($E277&lt;&gt;0,$F277&gt;0,YEAR($F277)&gt;=Preisindex!$A$6,YEAR(AE$4)&gt;=YEAR($F277),$K277="k"),ROUND(VLOOKUP(AJ$4,Preisindex,2,FALSE)/VLOOKUP(YEAR($F277),Preisindex,2,FALSE),2),0)))))</f>
        <v>0</v>
      </c>
      <c r="AK277" s="56">
        <f>IF(AND($E277&lt;&gt;0,$F277&gt;0,YEAR($F277)&lt;Preisindex!$A$6,YEAR(AE$4)&gt;=YEAR($F277),AND($K277&lt;&gt;"a",$K277&lt;&gt;"b",$K277&lt;&gt;"g",$K277&lt;&gt;"k")),1,IF(AND($E277&lt;&gt;0,$F277&gt;0,YEAR($F277)&lt;Preisindex!$A$6,YEAR(AE$4)&gt;=YEAR($F277),$K277="a"),ROUND(VLOOKUP(AJ$4,Preisindex,5,FALSE)/VLOOKUP(Preisindex!$A$6,Preisindex,5,FALSE),2),IF(AND($E277&lt;&gt;0,$F277&gt;0,YEAR($F277)&lt;Preisindex!$A$6,YEAR(AE$4)&gt;=YEAR($F277),$K277="b"),ROUND(VLOOKUP(AJ$4,Preisindex,3,FALSE)/VLOOKUP(Preisindex!$A$6,Preisindex,3,FALSE),2),IF(AND($E277&lt;&gt;0,$F277&gt;0,YEAR($F277)&lt;Preisindex!$A$6,YEAR(AE$4)&gt;=YEAR($F277),$K277="g"),ROUND(VLOOKUP(AJ$4,Preisindex,4,FALSE)/VLOOKUP(Preisindex!$A$6,Preisindex,4,FALSE),2),IF(AND($E277&lt;&gt;0,$F277&gt;0,YEAR($F277)&lt;Preisindex!$A$6,YEAR(AE$4)&gt;=YEAR($F277),$K277="k"),ROUND(VLOOKUP(AJ$4,Preisindex,2,FALSE)/VLOOKUP(Preisindex!$A$6,Preisindex,2,FALSE),2),0)))))</f>
        <v>0</v>
      </c>
      <c r="AL277" s="51">
        <f>IF(AND($E277&lt;&gt;0,$F277&gt;0,YEAR($F277)&lt;=AJ$4,YEAR($F277)&gt;=Preisindex!$A$6),ROUND($E277*AJ277,2),IF(AND($E277&lt;&gt;0,$F277&gt;0,YEAR($F277)&lt;=AJ$4,YEAR($F277)&lt;Preisindex!$A$6),ROUND($E277*AK277,2),0))</f>
        <v>0</v>
      </c>
      <c r="AM277" s="53">
        <f t="shared" si="838"/>
        <v>0</v>
      </c>
      <c r="AN277" s="51">
        <f t="shared" ref="AN277:CM292" si="839">IF(YEAR($F277)=AN$4,$E277,0)</f>
        <v>0</v>
      </c>
      <c r="AO277" s="51">
        <f t="shared" si="710"/>
        <v>0</v>
      </c>
      <c r="AP277" s="51">
        <f t="shared" si="755"/>
        <v>0</v>
      </c>
      <c r="AQ277" s="51">
        <f t="shared" si="711"/>
        <v>0</v>
      </c>
      <c r="AR277" s="51">
        <f t="shared" si="756"/>
        <v>0</v>
      </c>
      <c r="AS277" s="51">
        <f t="shared" si="712"/>
        <v>0</v>
      </c>
      <c r="AT277" s="51">
        <f t="shared" si="757"/>
        <v>0</v>
      </c>
      <c r="AU277" s="51">
        <f t="shared" si="713"/>
        <v>0</v>
      </c>
      <c r="AV277" s="51">
        <f t="shared" si="758"/>
        <v>0</v>
      </c>
      <c r="AW277" s="51">
        <f t="shared" si="714"/>
        <v>0</v>
      </c>
      <c r="AX277" s="51">
        <f t="shared" si="759"/>
        <v>0</v>
      </c>
      <c r="AY277" s="54">
        <f t="shared" si="760"/>
        <v>0</v>
      </c>
      <c r="AZ277" s="55">
        <f t="shared" si="761"/>
        <v>0</v>
      </c>
      <c r="BA277" s="56">
        <f>IF(AND($E277&lt;&gt;0,$F277&gt;0,YEAR($F277)&gt;=Preisindex!$A$6,YEAR(AV$4)&gt;=YEAR($F277),AND($K277&lt;&gt;"a",$K277&lt;&gt;"b",$K277&lt;&gt;"g",$K277&lt;&gt;"k")),1,IF(AND($E277&lt;&gt;0,$F277&gt;0,YEAR($F277)&gt;=Preisindex!$A$6,YEAR(AV$4)&gt;=YEAR($F277),$K277="a"),ROUND(VLOOKUP(BA$4,Preisindex,5,FALSE)/VLOOKUP(YEAR($F277),Preisindex,5,FALSE),2),IF(AND($E277&lt;&gt;0,$F277&gt;0,YEAR($F277)&gt;=Preisindex!$A$6,YEAR(AV$4)&gt;=YEAR($F277),$K277="b"),ROUND(VLOOKUP(BA$4,Preisindex,3,FALSE)/VLOOKUP(YEAR($F277),Preisindex,3,FALSE),2),IF(AND($E277&lt;&gt;0,$F277&gt;0,YEAR($F277)&gt;=Preisindex!$A$6,YEAR(AV$4)&gt;=YEAR($F277),$K277="g"),ROUND(VLOOKUP(BA$4,Preisindex,4,FALSE)/VLOOKUP(YEAR($F277),Preisindex,4,FALSE),2),IF(AND($E277&lt;&gt;0,$F277&gt;0,YEAR($F277)&gt;=Preisindex!$A$6,YEAR(AV$4)&gt;=YEAR($F277),$K277="k"),ROUND(VLOOKUP(BA$4,Preisindex,2,FALSE)/VLOOKUP(YEAR($F277),Preisindex,2,FALSE),2),0)))))</f>
        <v>0</v>
      </c>
      <c r="BB277" s="56">
        <f>IF(AND($E277&lt;&gt;0,$F277&gt;0,YEAR($F277)&lt;Preisindex!$A$6,YEAR(AV$4)&gt;=YEAR($F277),AND($K277&lt;&gt;"a",$K277&lt;&gt;"b",$K277&lt;&gt;"g",$K277&lt;&gt;"k")),1,IF(AND($E277&lt;&gt;0,$F277&gt;0,YEAR($F277)&lt;Preisindex!$A$6,YEAR(AV$4)&gt;=YEAR($F277),$K277="a"),ROUND(VLOOKUP(BA$4,Preisindex,5,FALSE)/VLOOKUP(Preisindex!$A$6,Preisindex,5,FALSE),2),IF(AND($E277&lt;&gt;0,$F277&gt;0,YEAR($F277)&lt;Preisindex!$A$6,YEAR(AV$4)&gt;=YEAR($F277),$K277="b"),ROUND(VLOOKUP(BA$4,Preisindex,3,FALSE)/VLOOKUP(Preisindex!$A$6,Preisindex,3,FALSE),2),IF(AND($E277&lt;&gt;0,$F277&gt;0,YEAR($F277)&lt;Preisindex!$A$6,YEAR(AV$4)&gt;=YEAR($F277),$K277="g"),ROUND(VLOOKUP(BA$4,Preisindex,4,FALSE)/VLOOKUP(Preisindex!$A$6,Preisindex,4,FALSE),2),IF(AND($E277&lt;&gt;0,$F277&gt;0,YEAR($F277)&lt;Preisindex!$A$6,YEAR(AV$4)&gt;=YEAR($F277),$K277="k"),ROUND(VLOOKUP(BA$4,Preisindex,2,FALSE)/VLOOKUP(Preisindex!$A$6,Preisindex,2,FALSE),2),0)))))</f>
        <v>0</v>
      </c>
      <c r="BC277" s="51">
        <f>IF(AND($E277&lt;&gt;0,$F277&gt;0,YEAR($F277)&lt;=BA$4,YEAR($F277)&gt;=Preisindex!$A$6),ROUND($E277*BA277,2),IF(AND($E277&lt;&gt;0,$F277&gt;0,YEAR($F277)&lt;=BA$4,YEAR($F277)&lt;Preisindex!$A$6),ROUND($E277*BB277,2),0))</f>
        <v>0</v>
      </c>
      <c r="BD277" s="53">
        <f t="shared" si="762"/>
        <v>0</v>
      </c>
      <c r="BE277" s="51">
        <f t="shared" si="839"/>
        <v>0</v>
      </c>
      <c r="BF277" s="51">
        <f t="shared" si="715"/>
        <v>0</v>
      </c>
      <c r="BG277" s="51">
        <f t="shared" si="763"/>
        <v>0</v>
      </c>
      <c r="BH277" s="51">
        <f t="shared" si="716"/>
        <v>0</v>
      </c>
      <c r="BI277" s="51">
        <f t="shared" si="764"/>
        <v>0</v>
      </c>
      <c r="BJ277" s="51">
        <f t="shared" si="717"/>
        <v>0</v>
      </c>
      <c r="BK277" s="51">
        <f t="shared" si="765"/>
        <v>0</v>
      </c>
      <c r="BL277" s="51">
        <f t="shared" si="718"/>
        <v>0</v>
      </c>
      <c r="BM277" s="51">
        <f t="shared" si="766"/>
        <v>0</v>
      </c>
      <c r="BN277" s="51">
        <f t="shared" si="719"/>
        <v>0</v>
      </c>
      <c r="BO277" s="51">
        <f t="shared" si="767"/>
        <v>0</v>
      </c>
      <c r="BP277" s="54">
        <f t="shared" si="768"/>
        <v>0</v>
      </c>
      <c r="BQ277" s="55">
        <f t="shared" si="769"/>
        <v>0</v>
      </c>
      <c r="BR277" s="56">
        <f>IF(AND($E277&lt;&gt;0,$F277&gt;0,YEAR($F277)&gt;=Preisindex!$A$6,YEAR(BM$4)&gt;=YEAR($F277),AND($K277&lt;&gt;"a",$K277&lt;&gt;"b",$K277&lt;&gt;"g",$K277&lt;&gt;"k")),1,IF(AND($E277&lt;&gt;0,$F277&gt;0,YEAR($F277)&gt;=Preisindex!$A$6,YEAR(BM$4)&gt;=YEAR($F277),$K277="a"),ROUND(VLOOKUP(BR$4,Preisindex,5,FALSE)/VLOOKUP(YEAR($F277),Preisindex,5,FALSE),2),IF(AND($E277&lt;&gt;0,$F277&gt;0,YEAR($F277)&gt;=Preisindex!$A$6,YEAR(BM$4)&gt;=YEAR($F277),$K277="b"),ROUND(VLOOKUP(BR$4,Preisindex,3,FALSE)/VLOOKUP(YEAR($F277),Preisindex,3,FALSE),2),IF(AND($E277&lt;&gt;0,$F277&gt;0,YEAR($F277)&gt;=Preisindex!$A$6,YEAR(BM$4)&gt;=YEAR($F277),$K277="g"),ROUND(VLOOKUP(BR$4,Preisindex,4,FALSE)/VLOOKUP(YEAR($F277),Preisindex,4,FALSE),2),IF(AND($E277&lt;&gt;0,$F277&gt;0,YEAR($F277)&gt;=Preisindex!$A$6,YEAR(BM$4)&gt;=YEAR($F277),$K277="k"),ROUND(VLOOKUP(BR$4,Preisindex,2,FALSE)/VLOOKUP(YEAR($F277),Preisindex,2,FALSE),2),0)))))</f>
        <v>0</v>
      </c>
      <c r="BS277" s="56">
        <f>IF(AND($E277&lt;&gt;0,$F277&gt;0,YEAR($F277)&lt;Preisindex!$A$6,YEAR(BM$4)&gt;=YEAR($F277),AND($K277&lt;&gt;"a",$K277&lt;&gt;"b",$K277&lt;&gt;"g",$K277&lt;&gt;"k")),1,IF(AND($E277&lt;&gt;0,$F277&gt;0,YEAR($F277)&lt;Preisindex!$A$6,YEAR(BM$4)&gt;=YEAR($F277),$K277="a"),ROUND(VLOOKUP(BR$4,Preisindex,5,FALSE)/VLOOKUP(Preisindex!$A$6,Preisindex,5,FALSE),2),IF(AND($E277&lt;&gt;0,$F277&gt;0,YEAR($F277)&lt;Preisindex!$A$6,YEAR(BM$4)&gt;=YEAR($F277),$K277="b"),ROUND(VLOOKUP(BR$4,Preisindex,3,FALSE)/VLOOKUP(Preisindex!$A$6,Preisindex,3,FALSE),2),IF(AND($E277&lt;&gt;0,$F277&gt;0,YEAR($F277)&lt;Preisindex!$A$6,YEAR(BM$4)&gt;=YEAR($F277),$K277="g"),ROUND(VLOOKUP(BR$4,Preisindex,4,FALSE)/VLOOKUP(Preisindex!$A$6,Preisindex,4,FALSE),2),IF(AND($E277&lt;&gt;0,$F277&gt;0,YEAR($F277)&lt;Preisindex!$A$6,YEAR(BM$4)&gt;=YEAR($F277),$K277="k"),ROUND(VLOOKUP(BR$4,Preisindex,2,FALSE)/VLOOKUP(Preisindex!$A$6,Preisindex,2,FALSE),2),0)))))</f>
        <v>0</v>
      </c>
      <c r="BT277" s="51">
        <f>IF(AND($E277&lt;&gt;0,$F277&gt;0,YEAR($F277)&lt;=BR$4,YEAR($F277)&gt;=Preisindex!$A$6),ROUND($E277*BR277,2),IF(AND($E277&lt;&gt;0,$F277&gt;0,YEAR($F277)&lt;=BR$4,YEAR($F277)&lt;Preisindex!$A$6),ROUND($E277*BS277,2),0))</f>
        <v>0</v>
      </c>
      <c r="BU277" s="53">
        <f t="shared" si="770"/>
        <v>0</v>
      </c>
      <c r="BV277" s="51">
        <f t="shared" si="839"/>
        <v>0</v>
      </c>
      <c r="BW277" s="51">
        <f t="shared" si="720"/>
        <v>0</v>
      </c>
      <c r="BX277" s="51">
        <f t="shared" si="771"/>
        <v>0</v>
      </c>
      <c r="BY277" s="51">
        <f t="shared" si="721"/>
        <v>0</v>
      </c>
      <c r="BZ277" s="51">
        <f t="shared" si="772"/>
        <v>0</v>
      </c>
      <c r="CA277" s="51">
        <f t="shared" si="722"/>
        <v>0</v>
      </c>
      <c r="CB277" s="51">
        <f t="shared" si="773"/>
        <v>0</v>
      </c>
      <c r="CC277" s="51">
        <f t="shared" si="723"/>
        <v>0</v>
      </c>
      <c r="CD277" s="51">
        <f t="shared" si="774"/>
        <v>0</v>
      </c>
      <c r="CE277" s="51">
        <f t="shared" si="724"/>
        <v>0</v>
      </c>
      <c r="CF277" s="51">
        <f t="shared" si="775"/>
        <v>0</v>
      </c>
      <c r="CG277" s="54">
        <f t="shared" si="776"/>
        <v>0</v>
      </c>
      <c r="CH277" s="55">
        <f t="shared" si="777"/>
        <v>0</v>
      </c>
      <c r="CI277" s="56">
        <f>IF(AND($E277&lt;&gt;0,$F277&gt;0,YEAR($F277)&gt;=Preisindex!$A$6,YEAR(CD$4)&gt;=YEAR($F277),AND($K277&lt;&gt;"a",$K277&lt;&gt;"b",$K277&lt;&gt;"g",$K277&lt;&gt;"k")),1,IF(AND($E277&lt;&gt;0,$F277&gt;0,YEAR($F277)&gt;=Preisindex!$A$6,YEAR(CD$4)&gt;=YEAR($F277),$K277="a"),ROUND(VLOOKUP(CI$4,Preisindex,5,FALSE)/VLOOKUP(YEAR($F277),Preisindex,5,FALSE),2),IF(AND($E277&lt;&gt;0,$F277&gt;0,YEAR($F277)&gt;=Preisindex!$A$6,YEAR(CD$4)&gt;=YEAR($F277),$K277="b"),ROUND(VLOOKUP(CI$4,Preisindex,3,FALSE)/VLOOKUP(YEAR($F277),Preisindex,3,FALSE),2),IF(AND($E277&lt;&gt;0,$F277&gt;0,YEAR($F277)&gt;=Preisindex!$A$6,YEAR(CD$4)&gt;=YEAR($F277),$K277="g"),ROUND(VLOOKUP(CI$4,Preisindex,4,FALSE)/VLOOKUP(YEAR($F277),Preisindex,4,FALSE),2),IF(AND($E277&lt;&gt;0,$F277&gt;0,YEAR($F277)&gt;=Preisindex!$A$6,YEAR(CD$4)&gt;=YEAR($F277),$K277="k"),ROUND(VLOOKUP(CI$4,Preisindex,2,FALSE)/VLOOKUP(YEAR($F277),Preisindex,2,FALSE),2),0)))))</f>
        <v>0</v>
      </c>
      <c r="CJ277" s="56">
        <f>IF(AND($E277&lt;&gt;0,$F277&gt;0,YEAR($F277)&lt;Preisindex!$A$6,YEAR(CD$4)&gt;=YEAR($F277),AND($K277&lt;&gt;"a",$K277&lt;&gt;"b",$K277&lt;&gt;"g",$K277&lt;&gt;"k")),1,IF(AND($E277&lt;&gt;0,$F277&gt;0,YEAR($F277)&lt;Preisindex!$A$6,YEAR(CD$4)&gt;=YEAR($F277),$K277="a"),ROUND(VLOOKUP(CI$4,Preisindex,5,FALSE)/VLOOKUP(Preisindex!$A$6,Preisindex,5,FALSE),2),IF(AND($E277&lt;&gt;0,$F277&gt;0,YEAR($F277)&lt;Preisindex!$A$6,YEAR(CD$4)&gt;=YEAR($F277),$K277="b"),ROUND(VLOOKUP(CI$4,Preisindex,3,FALSE)/VLOOKUP(Preisindex!$A$6,Preisindex,3,FALSE),2),IF(AND($E277&lt;&gt;0,$F277&gt;0,YEAR($F277)&lt;Preisindex!$A$6,YEAR(CD$4)&gt;=YEAR($F277),$K277="g"),ROUND(VLOOKUP(CI$4,Preisindex,4,FALSE)/VLOOKUP(Preisindex!$A$6,Preisindex,4,FALSE),2),IF(AND($E277&lt;&gt;0,$F277&gt;0,YEAR($F277)&lt;Preisindex!$A$6,YEAR(CD$4)&gt;=YEAR($F277),$K277="k"),ROUND(VLOOKUP(CI$4,Preisindex,2,FALSE)/VLOOKUP(Preisindex!$A$6,Preisindex,2,FALSE),2),0)))))</f>
        <v>0</v>
      </c>
      <c r="CK277" s="51">
        <f>IF(AND($E277&lt;&gt;0,$F277&gt;0,YEAR($F277)&lt;=CI$4,YEAR($F277)&gt;=Preisindex!$A$6),ROUND($E277*CI277,2),IF(AND($E277&lt;&gt;0,$F277&gt;0,YEAR($F277)&lt;=CI$4,YEAR($F277)&lt;Preisindex!$A$6),ROUND($E277*CJ277,2),0))</f>
        <v>0</v>
      </c>
      <c r="CL277" s="53">
        <f t="shared" si="778"/>
        <v>0</v>
      </c>
      <c r="CM277" s="51">
        <f t="shared" si="839"/>
        <v>0</v>
      </c>
      <c r="CN277" s="51">
        <f t="shared" si="725"/>
        <v>0</v>
      </c>
      <c r="CO277" s="51">
        <f t="shared" si="779"/>
        <v>0</v>
      </c>
      <c r="CP277" s="51">
        <f t="shared" si="726"/>
        <v>0</v>
      </c>
      <c r="CQ277" s="51">
        <f t="shared" si="780"/>
        <v>0</v>
      </c>
      <c r="CR277" s="51">
        <f t="shared" si="727"/>
        <v>0</v>
      </c>
      <c r="CS277" s="51">
        <f t="shared" si="781"/>
        <v>0</v>
      </c>
      <c r="CT277" s="51">
        <f t="shared" si="728"/>
        <v>0</v>
      </c>
      <c r="CU277" s="51">
        <f t="shared" si="782"/>
        <v>0</v>
      </c>
      <c r="CV277" s="51">
        <f t="shared" si="729"/>
        <v>0</v>
      </c>
      <c r="CW277" s="51">
        <f t="shared" si="783"/>
        <v>0</v>
      </c>
      <c r="CX277" s="54">
        <f t="shared" si="784"/>
        <v>0</v>
      </c>
      <c r="CY277" s="55">
        <f t="shared" si="785"/>
        <v>0</v>
      </c>
      <c r="CZ277" s="56">
        <f>IF(AND($E277&lt;&gt;0,$F277&gt;0,YEAR($F277)&gt;=Preisindex!$A$6,YEAR(CU$4)&gt;=YEAR($F277),AND($K277&lt;&gt;"a",$K277&lt;&gt;"b",$K277&lt;&gt;"g",$K277&lt;&gt;"k")),1,IF(AND($E277&lt;&gt;0,$F277&gt;0,YEAR($F277)&gt;=Preisindex!$A$6,YEAR(CU$4)&gt;=YEAR($F277),$K277="a"),ROUND(VLOOKUP(CZ$4,Preisindex,5,FALSE)/VLOOKUP(YEAR($F277),Preisindex,5,FALSE),2),IF(AND($E277&lt;&gt;0,$F277&gt;0,YEAR($F277)&gt;=Preisindex!$A$6,YEAR(CU$4)&gt;=YEAR($F277),$K277="b"),ROUND(VLOOKUP(CZ$4,Preisindex,3,FALSE)/VLOOKUP(YEAR($F277),Preisindex,3,FALSE),2),IF(AND($E277&lt;&gt;0,$F277&gt;0,YEAR($F277)&gt;=Preisindex!$A$6,YEAR(CU$4)&gt;=YEAR($F277),$K277="g"),ROUND(VLOOKUP(CZ$4,Preisindex,4,FALSE)/VLOOKUP(YEAR($F277),Preisindex,4,FALSE),2),IF(AND($E277&lt;&gt;0,$F277&gt;0,YEAR($F277)&gt;=Preisindex!$A$6,YEAR(CU$4)&gt;=YEAR($F277),$K277="k"),ROUND(VLOOKUP(CZ$4,Preisindex,2,FALSE)/VLOOKUP(YEAR($F277),Preisindex,2,FALSE),2),0)))))</f>
        <v>0</v>
      </c>
      <c r="DA277" s="56">
        <f>IF(AND($E277&lt;&gt;0,$F277&gt;0,YEAR($F277)&lt;Preisindex!$A$6,YEAR(CU$4)&gt;=YEAR($F277),AND($K277&lt;&gt;"a",$K277&lt;&gt;"b",$K277&lt;&gt;"g",$K277&lt;&gt;"k")),1,IF(AND($E277&lt;&gt;0,$F277&gt;0,YEAR($F277)&lt;Preisindex!$A$6,YEAR(CU$4)&gt;=YEAR($F277),$K277="a"),ROUND(VLOOKUP(CZ$4,Preisindex,5,FALSE)/VLOOKUP(Preisindex!$A$6,Preisindex,5,FALSE),2),IF(AND($E277&lt;&gt;0,$F277&gt;0,YEAR($F277)&lt;Preisindex!$A$6,YEAR(CU$4)&gt;=YEAR($F277),$K277="b"),ROUND(VLOOKUP(CZ$4,Preisindex,3,FALSE)/VLOOKUP(Preisindex!$A$6,Preisindex,3,FALSE),2),IF(AND($E277&lt;&gt;0,$F277&gt;0,YEAR($F277)&lt;Preisindex!$A$6,YEAR(CU$4)&gt;=YEAR($F277),$K277="g"),ROUND(VLOOKUP(CZ$4,Preisindex,4,FALSE)/VLOOKUP(Preisindex!$A$6,Preisindex,4,FALSE),2),IF(AND($E277&lt;&gt;0,$F277&gt;0,YEAR($F277)&lt;Preisindex!$A$6,YEAR(CU$4)&gt;=YEAR($F277),$K277="k"),ROUND(VLOOKUP(CZ$4,Preisindex,2,FALSE)/VLOOKUP(Preisindex!$A$6,Preisindex,2,FALSE),2),0)))))</f>
        <v>0</v>
      </c>
      <c r="DB277" s="51">
        <f>IF(AND($E277&lt;&gt;0,$F277&gt;0,YEAR($F277)&lt;=CZ$4,YEAR($F277)&gt;=Preisindex!$A$6),ROUND($E277*CZ277,2),IF(AND($E277&lt;&gt;0,$F277&gt;0,YEAR($F277)&lt;=CZ$4,YEAR($F277)&lt;Preisindex!$A$6),ROUND($E277*DA277,2),0))</f>
        <v>0</v>
      </c>
      <c r="DC277" s="53">
        <f t="shared" si="786"/>
        <v>0</v>
      </c>
      <c r="DD277" s="51">
        <f t="shared" ref="DD277:FC292" si="840">IF(YEAR($F277)=DD$4,$E277,0)</f>
        <v>0</v>
      </c>
      <c r="DE277" s="51">
        <f t="shared" si="730"/>
        <v>0</v>
      </c>
      <c r="DF277" s="51">
        <f t="shared" si="788"/>
        <v>0</v>
      </c>
      <c r="DG277" s="51">
        <f t="shared" si="731"/>
        <v>0</v>
      </c>
      <c r="DH277" s="51">
        <f t="shared" si="789"/>
        <v>0</v>
      </c>
      <c r="DI277" s="51">
        <f t="shared" si="732"/>
        <v>0</v>
      </c>
      <c r="DJ277" s="51">
        <f t="shared" si="790"/>
        <v>0</v>
      </c>
      <c r="DK277" s="51">
        <f t="shared" si="733"/>
        <v>0</v>
      </c>
      <c r="DL277" s="51">
        <f t="shared" si="791"/>
        <v>0</v>
      </c>
      <c r="DM277" s="51">
        <f t="shared" si="734"/>
        <v>0</v>
      </c>
      <c r="DN277" s="51">
        <f t="shared" si="792"/>
        <v>0</v>
      </c>
      <c r="DO277" s="54">
        <f t="shared" si="793"/>
        <v>0</v>
      </c>
      <c r="DP277" s="55">
        <f t="shared" si="794"/>
        <v>0</v>
      </c>
      <c r="DQ277" s="56">
        <f>IF(AND($E277&lt;&gt;0,$F277&gt;0,YEAR($F277)&gt;=Preisindex!$A$6,YEAR(DL$4)&gt;=YEAR($F277),AND($K277&lt;&gt;"a",$K277&lt;&gt;"b",$K277&lt;&gt;"g",$K277&lt;&gt;"k")),1,IF(AND($E277&lt;&gt;0,$F277&gt;0,YEAR($F277)&gt;=Preisindex!$A$6,YEAR(DL$4)&gt;=YEAR($F277),$K277="a"),ROUND(VLOOKUP(DQ$4,Preisindex,5,FALSE)/VLOOKUP(YEAR($F277),Preisindex,5,FALSE),2),IF(AND($E277&lt;&gt;0,$F277&gt;0,YEAR($F277)&gt;=Preisindex!$A$6,YEAR(DL$4)&gt;=YEAR($F277),$K277="b"),ROUND(VLOOKUP(DQ$4,Preisindex,3,FALSE)/VLOOKUP(YEAR($F277),Preisindex,3,FALSE),2),IF(AND($E277&lt;&gt;0,$F277&gt;0,YEAR($F277)&gt;=Preisindex!$A$6,YEAR(DL$4)&gt;=YEAR($F277),$K277="g"),ROUND(VLOOKUP(DQ$4,Preisindex,4,FALSE)/VLOOKUP(YEAR($F277),Preisindex,4,FALSE),2),IF(AND($E277&lt;&gt;0,$F277&gt;0,YEAR($F277)&gt;=Preisindex!$A$6,YEAR(DL$4)&gt;=YEAR($F277),$K277="k"),ROUND(VLOOKUP(DQ$4,Preisindex,2,FALSE)/VLOOKUP(YEAR($F277),Preisindex,2,FALSE),2),0)))))</f>
        <v>0</v>
      </c>
      <c r="DR277" s="56">
        <f>IF(AND($E277&lt;&gt;0,$F277&gt;0,YEAR($F277)&lt;Preisindex!$A$6,YEAR(DL$4)&gt;=YEAR($F277),AND($K277&lt;&gt;"a",$K277&lt;&gt;"b",$K277&lt;&gt;"g",$K277&lt;&gt;"k")),1,IF(AND($E277&lt;&gt;0,$F277&gt;0,YEAR($F277)&lt;Preisindex!$A$6,YEAR(DL$4)&gt;=YEAR($F277),$K277="a"),ROUND(VLOOKUP(DQ$4,Preisindex,5,FALSE)/VLOOKUP(Preisindex!$A$6,Preisindex,5,FALSE),2),IF(AND($E277&lt;&gt;0,$F277&gt;0,YEAR($F277)&lt;Preisindex!$A$6,YEAR(DL$4)&gt;=YEAR($F277),$K277="b"),ROUND(VLOOKUP(DQ$4,Preisindex,3,FALSE)/VLOOKUP(Preisindex!$A$6,Preisindex,3,FALSE),2),IF(AND($E277&lt;&gt;0,$F277&gt;0,YEAR($F277)&lt;Preisindex!$A$6,YEAR(DL$4)&gt;=YEAR($F277),$K277="g"),ROUND(VLOOKUP(DQ$4,Preisindex,4,FALSE)/VLOOKUP(Preisindex!$A$6,Preisindex,4,FALSE),2),IF(AND($E277&lt;&gt;0,$F277&gt;0,YEAR($F277)&lt;Preisindex!$A$6,YEAR(DL$4)&gt;=YEAR($F277),$K277="k"),ROUND(VLOOKUP(DQ$4,Preisindex,2,FALSE)/VLOOKUP(Preisindex!$A$6,Preisindex,2,FALSE),2),0)))))</f>
        <v>0</v>
      </c>
      <c r="DS277" s="51">
        <f>IF(AND($E277&lt;&gt;0,$F277&gt;0,YEAR($F277)&lt;=DQ$4,YEAR($F277)&gt;=Preisindex!$A$6),ROUND($E277*DQ277,2),IF(AND($E277&lt;&gt;0,$F277&gt;0,YEAR($F277)&lt;=DQ$4,YEAR($F277)&lt;Preisindex!$A$6),ROUND($E277*DR277,2),0))</f>
        <v>0</v>
      </c>
      <c r="DT277" s="53">
        <f t="shared" si="795"/>
        <v>0</v>
      </c>
      <c r="DU277" s="51">
        <f t="shared" si="840"/>
        <v>0</v>
      </c>
      <c r="DV277" s="51">
        <f t="shared" si="735"/>
        <v>0</v>
      </c>
      <c r="DW277" s="51">
        <f t="shared" si="796"/>
        <v>0</v>
      </c>
      <c r="DX277" s="51">
        <f t="shared" si="736"/>
        <v>0</v>
      </c>
      <c r="DY277" s="51">
        <f t="shared" si="797"/>
        <v>0</v>
      </c>
      <c r="DZ277" s="51">
        <f t="shared" si="737"/>
        <v>0</v>
      </c>
      <c r="EA277" s="51">
        <f t="shared" si="798"/>
        <v>0</v>
      </c>
      <c r="EB277" s="51">
        <f t="shared" si="738"/>
        <v>0</v>
      </c>
      <c r="EC277" s="51">
        <f t="shared" si="799"/>
        <v>0</v>
      </c>
      <c r="ED277" s="51">
        <f t="shared" si="739"/>
        <v>0</v>
      </c>
      <c r="EE277" s="51">
        <f t="shared" si="800"/>
        <v>0</v>
      </c>
      <c r="EF277" s="54">
        <f t="shared" si="801"/>
        <v>0</v>
      </c>
      <c r="EG277" s="55">
        <f t="shared" si="802"/>
        <v>0</v>
      </c>
      <c r="EH277" s="56">
        <f>IF(AND($E277&lt;&gt;0,$F277&gt;0,YEAR($F277)&gt;=Preisindex!$A$6,YEAR(EC$4)&gt;=YEAR($F277),AND($K277&lt;&gt;"a",$K277&lt;&gt;"b",$K277&lt;&gt;"g",$K277&lt;&gt;"k")),1,IF(AND($E277&lt;&gt;0,$F277&gt;0,YEAR($F277)&gt;=Preisindex!$A$6,YEAR(EC$4)&gt;=YEAR($F277),$K277="a"),ROUND(VLOOKUP(EH$4,Preisindex,5,FALSE)/VLOOKUP(YEAR($F277),Preisindex,5,FALSE),2),IF(AND($E277&lt;&gt;0,$F277&gt;0,YEAR($F277)&gt;=Preisindex!$A$6,YEAR(EC$4)&gt;=YEAR($F277),$K277="b"),ROUND(VLOOKUP(EH$4,Preisindex,3,FALSE)/VLOOKUP(YEAR($F277),Preisindex,3,FALSE),2),IF(AND($E277&lt;&gt;0,$F277&gt;0,YEAR($F277)&gt;=Preisindex!$A$6,YEAR(EC$4)&gt;=YEAR($F277),$K277="g"),ROUND(VLOOKUP(EH$4,Preisindex,4,FALSE)/VLOOKUP(YEAR($F277),Preisindex,4,FALSE),2),IF(AND($E277&lt;&gt;0,$F277&gt;0,YEAR($F277)&gt;=Preisindex!$A$6,YEAR(EC$4)&gt;=YEAR($F277),$K277="k"),ROUND(VLOOKUP(EH$4,Preisindex,2,FALSE)/VLOOKUP(YEAR($F277),Preisindex,2,FALSE),2),0)))))</f>
        <v>0</v>
      </c>
      <c r="EI277" s="56">
        <f>IF(AND($E277&lt;&gt;0,$F277&gt;0,YEAR($F277)&lt;Preisindex!$A$6,YEAR(EC$4)&gt;=YEAR($F277),AND($K277&lt;&gt;"a",$K277&lt;&gt;"b",$K277&lt;&gt;"g",$K277&lt;&gt;"k")),1,IF(AND($E277&lt;&gt;0,$F277&gt;0,YEAR($F277)&lt;Preisindex!$A$6,YEAR(EC$4)&gt;=YEAR($F277),$K277="a"),ROUND(VLOOKUP(EH$4,Preisindex,5,FALSE)/VLOOKUP(Preisindex!$A$6,Preisindex,5,FALSE),2),IF(AND($E277&lt;&gt;0,$F277&gt;0,YEAR($F277)&lt;Preisindex!$A$6,YEAR(EC$4)&gt;=YEAR($F277),$K277="b"),ROUND(VLOOKUP(EH$4,Preisindex,3,FALSE)/VLOOKUP(Preisindex!$A$6,Preisindex,3,FALSE),2),IF(AND($E277&lt;&gt;0,$F277&gt;0,YEAR($F277)&lt;Preisindex!$A$6,YEAR(EC$4)&gt;=YEAR($F277),$K277="g"),ROUND(VLOOKUP(EH$4,Preisindex,4,FALSE)/VLOOKUP(Preisindex!$A$6,Preisindex,4,FALSE),2),IF(AND($E277&lt;&gt;0,$F277&gt;0,YEAR($F277)&lt;Preisindex!$A$6,YEAR(EC$4)&gt;=YEAR($F277),$K277="k"),ROUND(VLOOKUP(EH$4,Preisindex,2,FALSE)/VLOOKUP(Preisindex!$A$6,Preisindex,2,FALSE),2),0)))))</f>
        <v>0</v>
      </c>
      <c r="EJ277" s="51">
        <f>IF(AND($E277&lt;&gt;0,$F277&gt;0,YEAR($F277)&lt;=EH$4,YEAR($F277)&gt;=Preisindex!$A$6),ROUND($E277*EH277,2),IF(AND($E277&lt;&gt;0,$F277&gt;0,YEAR($F277)&lt;=EH$4,YEAR($F277)&lt;Preisindex!$A$6),ROUND($E277*EI277,2),0))</f>
        <v>0</v>
      </c>
      <c r="EK277" s="53">
        <f t="shared" si="803"/>
        <v>0</v>
      </c>
      <c r="EL277" s="51">
        <f t="shared" si="840"/>
        <v>0</v>
      </c>
      <c r="EM277" s="51">
        <f t="shared" si="740"/>
        <v>0</v>
      </c>
      <c r="EN277" s="51">
        <f t="shared" si="804"/>
        <v>0</v>
      </c>
      <c r="EO277" s="51">
        <f t="shared" si="741"/>
        <v>0</v>
      </c>
      <c r="EP277" s="51">
        <f t="shared" si="805"/>
        <v>0</v>
      </c>
      <c r="EQ277" s="51">
        <f t="shared" si="742"/>
        <v>0</v>
      </c>
      <c r="ER277" s="51">
        <f t="shared" si="806"/>
        <v>0</v>
      </c>
      <c r="ES277" s="51">
        <f t="shared" si="743"/>
        <v>0</v>
      </c>
      <c r="ET277" s="51">
        <f t="shared" si="807"/>
        <v>0</v>
      </c>
      <c r="EU277" s="51">
        <f t="shared" si="744"/>
        <v>0</v>
      </c>
      <c r="EV277" s="51">
        <f t="shared" si="808"/>
        <v>0</v>
      </c>
      <c r="EW277" s="54">
        <f t="shared" si="809"/>
        <v>0</v>
      </c>
      <c r="EX277" s="55">
        <f t="shared" si="810"/>
        <v>0</v>
      </c>
      <c r="EY277" s="56">
        <f>IF(AND($E277&lt;&gt;0,$F277&gt;0,YEAR($F277)&gt;=Preisindex!$A$6,YEAR(ET$4)&gt;=YEAR($F277),AND($K277&lt;&gt;"a",$K277&lt;&gt;"b",$K277&lt;&gt;"g",$K277&lt;&gt;"k")),1,IF(AND($E277&lt;&gt;0,$F277&gt;0,YEAR($F277)&gt;=Preisindex!$A$6,YEAR(ET$4)&gt;=YEAR($F277),$K277="a"),ROUND(VLOOKUP(EY$4,Preisindex,5,FALSE)/VLOOKUP(YEAR($F277),Preisindex,5,FALSE),2),IF(AND($E277&lt;&gt;0,$F277&gt;0,YEAR($F277)&gt;=Preisindex!$A$6,YEAR(ET$4)&gt;=YEAR($F277),$K277="b"),ROUND(VLOOKUP(EY$4,Preisindex,3,FALSE)/VLOOKUP(YEAR($F277),Preisindex,3,FALSE),2),IF(AND($E277&lt;&gt;0,$F277&gt;0,YEAR($F277)&gt;=Preisindex!$A$6,YEAR(ET$4)&gt;=YEAR($F277),$K277="g"),ROUND(VLOOKUP(EY$4,Preisindex,4,FALSE)/VLOOKUP(YEAR($F277),Preisindex,4,FALSE),2),IF(AND($E277&lt;&gt;0,$F277&gt;0,YEAR($F277)&gt;=Preisindex!$A$6,YEAR(ET$4)&gt;=YEAR($F277),$K277="k"),ROUND(VLOOKUP(EY$4,Preisindex,2,FALSE)/VLOOKUP(YEAR($F277),Preisindex,2,FALSE),2),0)))))</f>
        <v>0</v>
      </c>
      <c r="EZ277" s="56">
        <f>IF(AND($E277&lt;&gt;0,$F277&gt;0,YEAR($F277)&lt;Preisindex!$A$6,YEAR(ET$4)&gt;=YEAR($F277),AND($K277&lt;&gt;"a",$K277&lt;&gt;"b",$K277&lt;&gt;"g",$K277&lt;&gt;"k")),1,IF(AND($E277&lt;&gt;0,$F277&gt;0,YEAR($F277)&lt;Preisindex!$A$6,YEAR(ET$4)&gt;=YEAR($F277),$K277="a"),ROUND(VLOOKUP(EY$4,Preisindex,5,FALSE)/VLOOKUP(Preisindex!$A$6,Preisindex,5,FALSE),2),IF(AND($E277&lt;&gt;0,$F277&gt;0,YEAR($F277)&lt;Preisindex!$A$6,YEAR(ET$4)&gt;=YEAR($F277),$K277="b"),ROUND(VLOOKUP(EY$4,Preisindex,3,FALSE)/VLOOKUP(Preisindex!$A$6,Preisindex,3,FALSE),2),IF(AND($E277&lt;&gt;0,$F277&gt;0,YEAR($F277)&lt;Preisindex!$A$6,YEAR(ET$4)&gt;=YEAR($F277),$K277="g"),ROUND(VLOOKUP(EY$4,Preisindex,4,FALSE)/VLOOKUP(Preisindex!$A$6,Preisindex,4,FALSE),2),IF(AND($E277&lt;&gt;0,$F277&gt;0,YEAR($F277)&lt;Preisindex!$A$6,YEAR(ET$4)&gt;=YEAR($F277),$K277="k"),ROUND(VLOOKUP(EY$4,Preisindex,2,FALSE)/VLOOKUP(Preisindex!$A$6,Preisindex,2,FALSE),2),0)))))</f>
        <v>0</v>
      </c>
      <c r="FA277" s="51">
        <f>IF(AND($E277&lt;&gt;0,$F277&gt;0,YEAR($F277)&lt;=EY$4,YEAR($F277)&gt;=Preisindex!$A$6),ROUND($E277*EY277,2),IF(AND($E277&lt;&gt;0,$F277&gt;0,YEAR($F277)&lt;=EY$4,YEAR($F277)&lt;Preisindex!$A$6),ROUND($E277*EZ277,2),0))</f>
        <v>0</v>
      </c>
      <c r="FB277" s="53">
        <f t="shared" si="811"/>
        <v>0</v>
      </c>
      <c r="FC277" s="51">
        <f t="shared" si="840"/>
        <v>0</v>
      </c>
      <c r="FD277" s="51">
        <f t="shared" si="745"/>
        <v>0</v>
      </c>
      <c r="FE277" s="51">
        <f t="shared" si="812"/>
        <v>0</v>
      </c>
      <c r="FF277" s="51">
        <f t="shared" si="746"/>
        <v>0</v>
      </c>
      <c r="FG277" s="51">
        <f t="shared" si="813"/>
        <v>0</v>
      </c>
      <c r="FH277" s="51">
        <f t="shared" si="747"/>
        <v>0</v>
      </c>
      <c r="FI277" s="51">
        <f t="shared" si="814"/>
        <v>0</v>
      </c>
      <c r="FJ277" s="51">
        <f t="shared" si="748"/>
        <v>0</v>
      </c>
      <c r="FK277" s="51">
        <f t="shared" si="815"/>
        <v>0</v>
      </c>
      <c r="FL277" s="51">
        <f t="shared" si="749"/>
        <v>0</v>
      </c>
      <c r="FM277" s="51">
        <f t="shared" si="816"/>
        <v>0</v>
      </c>
      <c r="FN277" s="54">
        <f t="shared" si="817"/>
        <v>0</v>
      </c>
      <c r="FO277" s="55">
        <f t="shared" si="818"/>
        <v>0</v>
      </c>
      <c r="FP277" s="56">
        <f>IF(AND($E277&lt;&gt;0,$F277&gt;0,YEAR($F277)&gt;=Preisindex!$A$6,YEAR(FK$4)&gt;=YEAR($F277),AND($K277&lt;&gt;"a",$K277&lt;&gt;"b",$K277&lt;&gt;"g",$K277&lt;&gt;"k")),1,IF(AND($E277&lt;&gt;0,$F277&gt;0,YEAR($F277)&gt;=Preisindex!$A$6,YEAR(FK$4)&gt;=YEAR($F277),$K277="a"),ROUND(VLOOKUP(FP$4,Preisindex,5,FALSE)/VLOOKUP(YEAR($F277),Preisindex,5,FALSE),2),IF(AND($E277&lt;&gt;0,$F277&gt;0,YEAR($F277)&gt;=Preisindex!$A$6,YEAR(FK$4)&gt;=YEAR($F277),$K277="b"),ROUND(VLOOKUP(FP$4,Preisindex,3,FALSE)/VLOOKUP(YEAR($F277),Preisindex,3,FALSE),2),IF(AND($E277&lt;&gt;0,$F277&gt;0,YEAR($F277)&gt;=Preisindex!$A$6,YEAR(FK$4)&gt;=YEAR($F277),$K277="g"),ROUND(VLOOKUP(FP$4,Preisindex,4,FALSE)/VLOOKUP(YEAR($F277),Preisindex,4,FALSE),2),IF(AND($E277&lt;&gt;0,$F277&gt;0,YEAR($F277)&gt;=Preisindex!$A$6,YEAR(FK$4)&gt;=YEAR($F277),$K277="k"),ROUND(VLOOKUP(FP$4,Preisindex,2,FALSE)/VLOOKUP(YEAR($F277),Preisindex,2,FALSE),2),0)))))</f>
        <v>0</v>
      </c>
      <c r="FQ277" s="56">
        <f>IF(AND($E277&lt;&gt;0,$F277&gt;0,YEAR($F277)&lt;Preisindex!$A$6,YEAR(FK$4)&gt;=YEAR($F277),AND($K277&lt;&gt;"a",$K277&lt;&gt;"b",$K277&lt;&gt;"g",$K277&lt;&gt;"k")),1,IF(AND($E277&lt;&gt;0,$F277&gt;0,YEAR($F277)&lt;Preisindex!$A$6,YEAR(FK$4)&gt;=YEAR($F277),$K277="a"),ROUND(VLOOKUP(FP$4,Preisindex,5,FALSE)/VLOOKUP(Preisindex!$A$6,Preisindex,5,FALSE),2),IF(AND($E277&lt;&gt;0,$F277&gt;0,YEAR($F277)&lt;Preisindex!$A$6,YEAR(FK$4)&gt;=YEAR($F277),$K277="b"),ROUND(VLOOKUP(FP$4,Preisindex,3,FALSE)/VLOOKUP(Preisindex!$A$6,Preisindex,3,FALSE),2),IF(AND($E277&lt;&gt;0,$F277&gt;0,YEAR($F277)&lt;Preisindex!$A$6,YEAR(FK$4)&gt;=YEAR($F277),$K277="g"),ROUND(VLOOKUP(FP$4,Preisindex,4,FALSE)/VLOOKUP(Preisindex!$A$6,Preisindex,4,FALSE),2),IF(AND($E277&lt;&gt;0,$F277&gt;0,YEAR($F277)&lt;Preisindex!$A$6,YEAR(FK$4)&gt;=YEAR($F277),$K277="k"),ROUND(VLOOKUP(FP$4,Preisindex,2,FALSE)/VLOOKUP(Preisindex!$A$6,Preisindex,2,FALSE),2),0)))))</f>
        <v>0</v>
      </c>
      <c r="FR277" s="51">
        <f>IF(AND($E277&lt;&gt;0,$F277&gt;0,YEAR($F277)&lt;=FP$4,YEAR($F277)&gt;=Preisindex!$A$6),ROUND($E277*FP277,2),IF(AND($E277&lt;&gt;0,$F277&gt;0,YEAR($F277)&lt;=FP$4,YEAR($F277)&lt;Preisindex!$A$6),ROUND($E277*FQ277,2),0))</f>
        <v>0</v>
      </c>
      <c r="FS277" s="53">
        <f t="shared" si="819"/>
        <v>0</v>
      </c>
    </row>
    <row r="278" spans="1:175" x14ac:dyDescent="0.3">
      <c r="A278" s="185"/>
      <c r="B278" s="186"/>
      <c r="C278" s="187"/>
      <c r="D278" s="188"/>
      <c r="E278" s="189"/>
      <c r="F278" s="190"/>
      <c r="G278" s="191"/>
      <c r="H278" s="192"/>
      <c r="I278" s="193"/>
      <c r="J278" s="194"/>
      <c r="K278" s="630"/>
      <c r="L278" s="49">
        <f t="shared" si="820"/>
        <v>0</v>
      </c>
      <c r="M278" s="50">
        <f t="shared" si="821"/>
        <v>0</v>
      </c>
      <c r="N278" s="51">
        <f t="shared" si="822"/>
        <v>0</v>
      </c>
      <c r="O278" s="51"/>
      <c r="P278" s="51">
        <f t="shared" si="823"/>
        <v>0</v>
      </c>
      <c r="Q278" s="52"/>
      <c r="R278" s="52"/>
      <c r="S278" s="52"/>
      <c r="T278" s="52"/>
      <c r="U278" s="52"/>
      <c r="V278" s="53">
        <f t="shared" si="824"/>
        <v>0</v>
      </c>
      <c r="W278" s="51">
        <f t="shared" si="825"/>
        <v>0</v>
      </c>
      <c r="X278" s="51">
        <f t="shared" si="826"/>
        <v>0</v>
      </c>
      <c r="Y278" s="51">
        <f t="shared" si="827"/>
        <v>0</v>
      </c>
      <c r="Z278" s="51">
        <f t="shared" si="828"/>
        <v>0</v>
      </c>
      <c r="AA278" s="51">
        <f t="shared" si="829"/>
        <v>0</v>
      </c>
      <c r="AB278" s="51">
        <f t="shared" si="830"/>
        <v>0</v>
      </c>
      <c r="AC278" s="51">
        <f t="shared" si="831"/>
        <v>0</v>
      </c>
      <c r="AD278" s="51">
        <f t="shared" si="832"/>
        <v>0</v>
      </c>
      <c r="AE278" s="51">
        <f t="shared" si="833"/>
        <v>0</v>
      </c>
      <c r="AF278" s="51">
        <f t="shared" si="834"/>
        <v>0</v>
      </c>
      <c r="AG278" s="51">
        <f t="shared" si="835"/>
        <v>0</v>
      </c>
      <c r="AH278" s="54">
        <f t="shared" si="836"/>
        <v>0</v>
      </c>
      <c r="AI278" s="55">
        <f t="shared" si="837"/>
        <v>0</v>
      </c>
      <c r="AJ278" s="56">
        <f>IF(AND($E278&lt;&gt;0,$F278&gt;0,YEAR($F278)&gt;=Preisindex!$A$6,YEAR(AE$4)&gt;=YEAR($F278),AND($K278&lt;&gt;"a",$K278&lt;&gt;"b",$K278&lt;&gt;"g",$K278&lt;&gt;"k")),1,IF(AND($E278&lt;&gt;0,$F278&gt;0,YEAR($F278)&gt;=Preisindex!$A$6,YEAR(AE$4)&gt;=YEAR($F278),$K278="a"),ROUND(VLOOKUP(AJ$4,Preisindex,5,FALSE)/VLOOKUP(YEAR($F278),Preisindex,5,FALSE),2),IF(AND($E278&lt;&gt;0,$F278&gt;0,YEAR($F278)&gt;=Preisindex!$A$6,YEAR(AE$4)&gt;=YEAR($F278),$K278="b"),ROUND(VLOOKUP(AJ$4,Preisindex,3,FALSE)/VLOOKUP(YEAR($F278),Preisindex,3,FALSE),2),IF(AND($E278&lt;&gt;0,$F278&gt;0,YEAR($F278)&gt;=Preisindex!$A$6,YEAR(AE$4)&gt;=YEAR($F278),$K278="g"),ROUND(VLOOKUP(AJ$4,Preisindex,4,FALSE)/VLOOKUP(YEAR($F278),Preisindex,4,FALSE),2),IF(AND($E278&lt;&gt;0,$F278&gt;0,YEAR($F278)&gt;=Preisindex!$A$6,YEAR(AE$4)&gt;=YEAR($F278),$K278="k"),ROUND(VLOOKUP(AJ$4,Preisindex,2,FALSE)/VLOOKUP(YEAR($F278),Preisindex,2,FALSE),2),0)))))</f>
        <v>0</v>
      </c>
      <c r="AK278" s="56">
        <f>IF(AND($E278&lt;&gt;0,$F278&gt;0,YEAR($F278)&lt;Preisindex!$A$6,YEAR(AE$4)&gt;=YEAR($F278),AND($K278&lt;&gt;"a",$K278&lt;&gt;"b",$K278&lt;&gt;"g",$K278&lt;&gt;"k")),1,IF(AND($E278&lt;&gt;0,$F278&gt;0,YEAR($F278)&lt;Preisindex!$A$6,YEAR(AE$4)&gt;=YEAR($F278),$K278="a"),ROUND(VLOOKUP(AJ$4,Preisindex,5,FALSE)/VLOOKUP(Preisindex!$A$6,Preisindex,5,FALSE),2),IF(AND($E278&lt;&gt;0,$F278&gt;0,YEAR($F278)&lt;Preisindex!$A$6,YEAR(AE$4)&gt;=YEAR($F278),$K278="b"),ROUND(VLOOKUP(AJ$4,Preisindex,3,FALSE)/VLOOKUP(Preisindex!$A$6,Preisindex,3,FALSE),2),IF(AND($E278&lt;&gt;0,$F278&gt;0,YEAR($F278)&lt;Preisindex!$A$6,YEAR(AE$4)&gt;=YEAR($F278),$K278="g"),ROUND(VLOOKUP(AJ$4,Preisindex,4,FALSE)/VLOOKUP(Preisindex!$A$6,Preisindex,4,FALSE),2),IF(AND($E278&lt;&gt;0,$F278&gt;0,YEAR($F278)&lt;Preisindex!$A$6,YEAR(AE$4)&gt;=YEAR($F278),$K278="k"),ROUND(VLOOKUP(AJ$4,Preisindex,2,FALSE)/VLOOKUP(Preisindex!$A$6,Preisindex,2,FALSE),2),0)))))</f>
        <v>0</v>
      </c>
      <c r="AL278" s="51">
        <f>IF(AND($E278&lt;&gt;0,$F278&gt;0,YEAR($F278)&lt;=AJ$4,YEAR($F278)&gt;=Preisindex!$A$6),ROUND($E278*AJ278,2),IF(AND($E278&lt;&gt;0,$F278&gt;0,YEAR($F278)&lt;=AJ$4,YEAR($F278)&lt;Preisindex!$A$6),ROUND($E278*AK278,2),0))</f>
        <v>0</v>
      </c>
      <c r="AM278" s="53">
        <f t="shared" si="838"/>
        <v>0</v>
      </c>
      <c r="AN278" s="51">
        <f t="shared" si="839"/>
        <v>0</v>
      </c>
      <c r="AO278" s="51">
        <f t="shared" ref="AO278:AO319" si="841">IF($J278&lt;&gt;"H",AN278,0)</f>
        <v>0</v>
      </c>
      <c r="AP278" s="51">
        <f t="shared" si="755"/>
        <v>0</v>
      </c>
      <c r="AQ278" s="51">
        <f t="shared" ref="AQ278:AQ319" si="842">IF($J278&lt;&gt;"H",AP278,0)</f>
        <v>0</v>
      </c>
      <c r="AR278" s="51">
        <f t="shared" si="756"/>
        <v>0</v>
      </c>
      <c r="AS278" s="51">
        <f t="shared" ref="AS278:AS319" si="843">IF(AT278&lt;&gt;0,ROUND(AT278/$M278*AR278,2),0)</f>
        <v>0</v>
      </c>
      <c r="AT278" s="51">
        <f t="shared" si="757"/>
        <v>0</v>
      </c>
      <c r="AU278" s="51">
        <f t="shared" ref="AU278:AU319" si="844">IF($J278&lt;&gt;"H",AT278,0)</f>
        <v>0</v>
      </c>
      <c r="AV278" s="51">
        <f t="shared" si="758"/>
        <v>0</v>
      </c>
      <c r="AW278" s="51">
        <f t="shared" ref="AW278:AW319" si="845">IF($J278&lt;&gt;"H",AV278,0)</f>
        <v>0</v>
      </c>
      <c r="AX278" s="51">
        <f t="shared" si="759"/>
        <v>0</v>
      </c>
      <c r="AY278" s="54">
        <f t="shared" si="760"/>
        <v>0</v>
      </c>
      <c r="AZ278" s="55">
        <f t="shared" si="761"/>
        <v>0</v>
      </c>
      <c r="BA278" s="56">
        <f>IF(AND($E278&lt;&gt;0,$F278&gt;0,YEAR($F278)&gt;=Preisindex!$A$6,YEAR(AV$4)&gt;=YEAR($F278),AND($K278&lt;&gt;"a",$K278&lt;&gt;"b",$K278&lt;&gt;"g",$K278&lt;&gt;"k")),1,IF(AND($E278&lt;&gt;0,$F278&gt;0,YEAR($F278)&gt;=Preisindex!$A$6,YEAR(AV$4)&gt;=YEAR($F278),$K278="a"),ROUND(VLOOKUP(BA$4,Preisindex,5,FALSE)/VLOOKUP(YEAR($F278),Preisindex,5,FALSE),2),IF(AND($E278&lt;&gt;0,$F278&gt;0,YEAR($F278)&gt;=Preisindex!$A$6,YEAR(AV$4)&gt;=YEAR($F278),$K278="b"),ROUND(VLOOKUP(BA$4,Preisindex,3,FALSE)/VLOOKUP(YEAR($F278),Preisindex,3,FALSE),2),IF(AND($E278&lt;&gt;0,$F278&gt;0,YEAR($F278)&gt;=Preisindex!$A$6,YEAR(AV$4)&gt;=YEAR($F278),$K278="g"),ROUND(VLOOKUP(BA$4,Preisindex,4,FALSE)/VLOOKUP(YEAR($F278),Preisindex,4,FALSE),2),IF(AND($E278&lt;&gt;0,$F278&gt;0,YEAR($F278)&gt;=Preisindex!$A$6,YEAR(AV$4)&gt;=YEAR($F278),$K278="k"),ROUND(VLOOKUP(BA$4,Preisindex,2,FALSE)/VLOOKUP(YEAR($F278),Preisindex,2,FALSE),2),0)))))</f>
        <v>0</v>
      </c>
      <c r="BB278" s="56">
        <f>IF(AND($E278&lt;&gt;0,$F278&gt;0,YEAR($F278)&lt;Preisindex!$A$6,YEAR(AV$4)&gt;=YEAR($F278),AND($K278&lt;&gt;"a",$K278&lt;&gt;"b",$K278&lt;&gt;"g",$K278&lt;&gt;"k")),1,IF(AND($E278&lt;&gt;0,$F278&gt;0,YEAR($F278)&lt;Preisindex!$A$6,YEAR(AV$4)&gt;=YEAR($F278),$K278="a"),ROUND(VLOOKUP(BA$4,Preisindex,5,FALSE)/VLOOKUP(Preisindex!$A$6,Preisindex,5,FALSE),2),IF(AND($E278&lt;&gt;0,$F278&gt;0,YEAR($F278)&lt;Preisindex!$A$6,YEAR(AV$4)&gt;=YEAR($F278),$K278="b"),ROUND(VLOOKUP(BA$4,Preisindex,3,FALSE)/VLOOKUP(Preisindex!$A$6,Preisindex,3,FALSE),2),IF(AND($E278&lt;&gt;0,$F278&gt;0,YEAR($F278)&lt;Preisindex!$A$6,YEAR(AV$4)&gt;=YEAR($F278),$K278="g"),ROUND(VLOOKUP(BA$4,Preisindex,4,FALSE)/VLOOKUP(Preisindex!$A$6,Preisindex,4,FALSE),2),IF(AND($E278&lt;&gt;0,$F278&gt;0,YEAR($F278)&lt;Preisindex!$A$6,YEAR(AV$4)&gt;=YEAR($F278),$K278="k"),ROUND(VLOOKUP(BA$4,Preisindex,2,FALSE)/VLOOKUP(Preisindex!$A$6,Preisindex,2,FALSE),2),0)))))</f>
        <v>0</v>
      </c>
      <c r="BC278" s="51">
        <f>IF(AND($E278&lt;&gt;0,$F278&gt;0,YEAR($F278)&lt;=BA$4,YEAR($F278)&gt;=Preisindex!$A$6),ROUND($E278*BA278,2),IF(AND($E278&lt;&gt;0,$F278&gt;0,YEAR($F278)&lt;=BA$4,YEAR($F278)&lt;Preisindex!$A$6),ROUND($E278*BB278,2),0))</f>
        <v>0</v>
      </c>
      <c r="BD278" s="53">
        <f t="shared" si="762"/>
        <v>0</v>
      </c>
      <c r="BE278" s="51">
        <f t="shared" si="839"/>
        <v>0</v>
      </c>
      <c r="BF278" s="51">
        <f t="shared" ref="BF278:BF319" si="846">IF($J278&lt;&gt;"H",BE278,0)</f>
        <v>0</v>
      </c>
      <c r="BG278" s="51">
        <f t="shared" si="763"/>
        <v>0</v>
      </c>
      <c r="BH278" s="51">
        <f t="shared" ref="BH278:BH319" si="847">IF($J278&lt;&gt;"H",BG278,0)</f>
        <v>0</v>
      </c>
      <c r="BI278" s="51">
        <f t="shared" si="764"/>
        <v>0</v>
      </c>
      <c r="BJ278" s="51">
        <f t="shared" ref="BJ278:BJ319" si="848">IF(BK278&lt;&gt;0,ROUND(BK278/$M278*BI278,2),0)</f>
        <v>0</v>
      </c>
      <c r="BK278" s="51">
        <f t="shared" si="765"/>
        <v>0</v>
      </c>
      <c r="BL278" s="51">
        <f t="shared" ref="BL278:BL319" si="849">IF($J278&lt;&gt;"H",BK278,0)</f>
        <v>0</v>
      </c>
      <c r="BM278" s="51">
        <f t="shared" si="766"/>
        <v>0</v>
      </c>
      <c r="BN278" s="51">
        <f t="shared" ref="BN278:BN319" si="850">IF($J278&lt;&gt;"H",BM278,0)</f>
        <v>0</v>
      </c>
      <c r="BO278" s="51">
        <f t="shared" si="767"/>
        <v>0</v>
      </c>
      <c r="BP278" s="54">
        <f t="shared" si="768"/>
        <v>0</v>
      </c>
      <c r="BQ278" s="55">
        <f t="shared" si="769"/>
        <v>0</v>
      </c>
      <c r="BR278" s="56">
        <f>IF(AND($E278&lt;&gt;0,$F278&gt;0,YEAR($F278)&gt;=Preisindex!$A$6,YEAR(BM$4)&gt;=YEAR($F278),AND($K278&lt;&gt;"a",$K278&lt;&gt;"b",$K278&lt;&gt;"g",$K278&lt;&gt;"k")),1,IF(AND($E278&lt;&gt;0,$F278&gt;0,YEAR($F278)&gt;=Preisindex!$A$6,YEAR(BM$4)&gt;=YEAR($F278),$K278="a"),ROUND(VLOOKUP(BR$4,Preisindex,5,FALSE)/VLOOKUP(YEAR($F278),Preisindex,5,FALSE),2),IF(AND($E278&lt;&gt;0,$F278&gt;0,YEAR($F278)&gt;=Preisindex!$A$6,YEAR(BM$4)&gt;=YEAR($F278),$K278="b"),ROUND(VLOOKUP(BR$4,Preisindex,3,FALSE)/VLOOKUP(YEAR($F278),Preisindex,3,FALSE),2),IF(AND($E278&lt;&gt;0,$F278&gt;0,YEAR($F278)&gt;=Preisindex!$A$6,YEAR(BM$4)&gt;=YEAR($F278),$K278="g"),ROUND(VLOOKUP(BR$4,Preisindex,4,FALSE)/VLOOKUP(YEAR($F278),Preisindex,4,FALSE),2),IF(AND($E278&lt;&gt;0,$F278&gt;0,YEAR($F278)&gt;=Preisindex!$A$6,YEAR(BM$4)&gt;=YEAR($F278),$K278="k"),ROUND(VLOOKUP(BR$4,Preisindex,2,FALSE)/VLOOKUP(YEAR($F278),Preisindex,2,FALSE),2),0)))))</f>
        <v>0</v>
      </c>
      <c r="BS278" s="56">
        <f>IF(AND($E278&lt;&gt;0,$F278&gt;0,YEAR($F278)&lt;Preisindex!$A$6,YEAR(BM$4)&gt;=YEAR($F278),AND($K278&lt;&gt;"a",$K278&lt;&gt;"b",$K278&lt;&gt;"g",$K278&lt;&gt;"k")),1,IF(AND($E278&lt;&gt;0,$F278&gt;0,YEAR($F278)&lt;Preisindex!$A$6,YEAR(BM$4)&gt;=YEAR($F278),$K278="a"),ROUND(VLOOKUP(BR$4,Preisindex,5,FALSE)/VLOOKUP(Preisindex!$A$6,Preisindex,5,FALSE),2),IF(AND($E278&lt;&gt;0,$F278&gt;0,YEAR($F278)&lt;Preisindex!$A$6,YEAR(BM$4)&gt;=YEAR($F278),$K278="b"),ROUND(VLOOKUP(BR$4,Preisindex,3,FALSE)/VLOOKUP(Preisindex!$A$6,Preisindex,3,FALSE),2),IF(AND($E278&lt;&gt;0,$F278&gt;0,YEAR($F278)&lt;Preisindex!$A$6,YEAR(BM$4)&gt;=YEAR($F278),$K278="g"),ROUND(VLOOKUP(BR$4,Preisindex,4,FALSE)/VLOOKUP(Preisindex!$A$6,Preisindex,4,FALSE),2),IF(AND($E278&lt;&gt;0,$F278&gt;0,YEAR($F278)&lt;Preisindex!$A$6,YEAR(BM$4)&gt;=YEAR($F278),$K278="k"),ROUND(VLOOKUP(BR$4,Preisindex,2,FALSE)/VLOOKUP(Preisindex!$A$6,Preisindex,2,FALSE),2),0)))))</f>
        <v>0</v>
      </c>
      <c r="BT278" s="51">
        <f>IF(AND($E278&lt;&gt;0,$F278&gt;0,YEAR($F278)&lt;=BR$4,YEAR($F278)&gt;=Preisindex!$A$6),ROUND($E278*BR278,2),IF(AND($E278&lt;&gt;0,$F278&gt;0,YEAR($F278)&lt;=BR$4,YEAR($F278)&lt;Preisindex!$A$6),ROUND($E278*BS278,2),0))</f>
        <v>0</v>
      </c>
      <c r="BU278" s="53">
        <f t="shared" si="770"/>
        <v>0</v>
      </c>
      <c r="BV278" s="51">
        <f t="shared" si="839"/>
        <v>0</v>
      </c>
      <c r="BW278" s="51">
        <f t="shared" ref="BW278:BW319" si="851">IF($J278&lt;&gt;"H",BV278,0)</f>
        <v>0</v>
      </c>
      <c r="BX278" s="51">
        <f t="shared" si="771"/>
        <v>0</v>
      </c>
      <c r="BY278" s="51">
        <f t="shared" ref="BY278:BY319" si="852">IF($J278&lt;&gt;"H",BX278,0)</f>
        <v>0</v>
      </c>
      <c r="BZ278" s="51">
        <f t="shared" si="772"/>
        <v>0</v>
      </c>
      <c r="CA278" s="51">
        <f t="shared" ref="CA278:CA319" si="853">IF(CB278&lt;&gt;0,ROUND(CB278/$M278*BZ278,2),0)</f>
        <v>0</v>
      </c>
      <c r="CB278" s="51">
        <f t="shared" si="773"/>
        <v>0</v>
      </c>
      <c r="CC278" s="51">
        <f t="shared" ref="CC278:CC319" si="854">IF($J278&lt;&gt;"H",CB278,0)</f>
        <v>0</v>
      </c>
      <c r="CD278" s="51">
        <f t="shared" si="774"/>
        <v>0</v>
      </c>
      <c r="CE278" s="51">
        <f t="shared" ref="CE278:CE319" si="855">IF($J278&lt;&gt;"H",CD278,0)</f>
        <v>0</v>
      </c>
      <c r="CF278" s="51">
        <f t="shared" si="775"/>
        <v>0</v>
      </c>
      <c r="CG278" s="54">
        <f t="shared" si="776"/>
        <v>0</v>
      </c>
      <c r="CH278" s="55">
        <f t="shared" si="777"/>
        <v>0</v>
      </c>
      <c r="CI278" s="56">
        <f>IF(AND($E278&lt;&gt;0,$F278&gt;0,YEAR($F278)&gt;=Preisindex!$A$6,YEAR(CD$4)&gt;=YEAR($F278),AND($K278&lt;&gt;"a",$K278&lt;&gt;"b",$K278&lt;&gt;"g",$K278&lt;&gt;"k")),1,IF(AND($E278&lt;&gt;0,$F278&gt;0,YEAR($F278)&gt;=Preisindex!$A$6,YEAR(CD$4)&gt;=YEAR($F278),$K278="a"),ROUND(VLOOKUP(CI$4,Preisindex,5,FALSE)/VLOOKUP(YEAR($F278),Preisindex,5,FALSE),2),IF(AND($E278&lt;&gt;0,$F278&gt;0,YEAR($F278)&gt;=Preisindex!$A$6,YEAR(CD$4)&gt;=YEAR($F278),$K278="b"),ROUND(VLOOKUP(CI$4,Preisindex,3,FALSE)/VLOOKUP(YEAR($F278),Preisindex,3,FALSE),2),IF(AND($E278&lt;&gt;0,$F278&gt;0,YEAR($F278)&gt;=Preisindex!$A$6,YEAR(CD$4)&gt;=YEAR($F278),$K278="g"),ROUND(VLOOKUP(CI$4,Preisindex,4,FALSE)/VLOOKUP(YEAR($F278),Preisindex,4,FALSE),2),IF(AND($E278&lt;&gt;0,$F278&gt;0,YEAR($F278)&gt;=Preisindex!$A$6,YEAR(CD$4)&gt;=YEAR($F278),$K278="k"),ROUND(VLOOKUP(CI$4,Preisindex,2,FALSE)/VLOOKUP(YEAR($F278),Preisindex,2,FALSE),2),0)))))</f>
        <v>0</v>
      </c>
      <c r="CJ278" s="56">
        <f>IF(AND($E278&lt;&gt;0,$F278&gt;0,YEAR($F278)&lt;Preisindex!$A$6,YEAR(CD$4)&gt;=YEAR($F278),AND($K278&lt;&gt;"a",$K278&lt;&gt;"b",$K278&lt;&gt;"g",$K278&lt;&gt;"k")),1,IF(AND($E278&lt;&gt;0,$F278&gt;0,YEAR($F278)&lt;Preisindex!$A$6,YEAR(CD$4)&gt;=YEAR($F278),$K278="a"),ROUND(VLOOKUP(CI$4,Preisindex,5,FALSE)/VLOOKUP(Preisindex!$A$6,Preisindex,5,FALSE),2),IF(AND($E278&lt;&gt;0,$F278&gt;0,YEAR($F278)&lt;Preisindex!$A$6,YEAR(CD$4)&gt;=YEAR($F278),$K278="b"),ROUND(VLOOKUP(CI$4,Preisindex,3,FALSE)/VLOOKUP(Preisindex!$A$6,Preisindex,3,FALSE),2),IF(AND($E278&lt;&gt;0,$F278&gt;0,YEAR($F278)&lt;Preisindex!$A$6,YEAR(CD$4)&gt;=YEAR($F278),$K278="g"),ROUND(VLOOKUP(CI$4,Preisindex,4,FALSE)/VLOOKUP(Preisindex!$A$6,Preisindex,4,FALSE),2),IF(AND($E278&lt;&gt;0,$F278&gt;0,YEAR($F278)&lt;Preisindex!$A$6,YEAR(CD$4)&gt;=YEAR($F278),$K278="k"),ROUND(VLOOKUP(CI$4,Preisindex,2,FALSE)/VLOOKUP(Preisindex!$A$6,Preisindex,2,FALSE),2),0)))))</f>
        <v>0</v>
      </c>
      <c r="CK278" s="51">
        <f>IF(AND($E278&lt;&gt;0,$F278&gt;0,YEAR($F278)&lt;=CI$4,YEAR($F278)&gt;=Preisindex!$A$6),ROUND($E278*CI278,2),IF(AND($E278&lt;&gt;0,$F278&gt;0,YEAR($F278)&lt;=CI$4,YEAR($F278)&lt;Preisindex!$A$6),ROUND($E278*CJ278,2),0))</f>
        <v>0</v>
      </c>
      <c r="CL278" s="53">
        <f t="shared" si="778"/>
        <v>0</v>
      </c>
      <c r="CM278" s="51">
        <f t="shared" si="839"/>
        <v>0</v>
      </c>
      <c r="CN278" s="51">
        <f t="shared" ref="CN278:CN319" si="856">IF($J278&lt;&gt;"H",CM278,0)</f>
        <v>0</v>
      </c>
      <c r="CO278" s="51">
        <f t="shared" si="779"/>
        <v>0</v>
      </c>
      <c r="CP278" s="51">
        <f t="shared" ref="CP278:CP319" si="857">IF($J278&lt;&gt;"H",CO278,0)</f>
        <v>0</v>
      </c>
      <c r="CQ278" s="51">
        <f t="shared" si="780"/>
        <v>0</v>
      </c>
      <c r="CR278" s="51">
        <f t="shared" ref="CR278:CR319" si="858">IF(CS278&lt;&gt;0,ROUND(CS278/$M278*CQ278,2),0)</f>
        <v>0</v>
      </c>
      <c r="CS278" s="51">
        <f t="shared" si="781"/>
        <v>0</v>
      </c>
      <c r="CT278" s="51">
        <f t="shared" ref="CT278:CT319" si="859">IF($J278&lt;&gt;"H",CS278,0)</f>
        <v>0</v>
      </c>
      <c r="CU278" s="51">
        <f t="shared" si="782"/>
        <v>0</v>
      </c>
      <c r="CV278" s="51">
        <f t="shared" ref="CV278:CV319" si="860">IF($J278&lt;&gt;"H",CU278,0)</f>
        <v>0</v>
      </c>
      <c r="CW278" s="51">
        <f t="shared" si="783"/>
        <v>0</v>
      </c>
      <c r="CX278" s="54">
        <f t="shared" si="784"/>
        <v>0</v>
      </c>
      <c r="CY278" s="55">
        <f t="shared" si="785"/>
        <v>0</v>
      </c>
      <c r="CZ278" s="56">
        <f>IF(AND($E278&lt;&gt;0,$F278&gt;0,YEAR($F278)&gt;=Preisindex!$A$6,YEAR(CU$4)&gt;=YEAR($F278),AND($K278&lt;&gt;"a",$K278&lt;&gt;"b",$K278&lt;&gt;"g",$K278&lt;&gt;"k")),1,IF(AND($E278&lt;&gt;0,$F278&gt;0,YEAR($F278)&gt;=Preisindex!$A$6,YEAR(CU$4)&gt;=YEAR($F278),$K278="a"),ROUND(VLOOKUP(CZ$4,Preisindex,5,FALSE)/VLOOKUP(YEAR($F278),Preisindex,5,FALSE),2),IF(AND($E278&lt;&gt;0,$F278&gt;0,YEAR($F278)&gt;=Preisindex!$A$6,YEAR(CU$4)&gt;=YEAR($F278),$K278="b"),ROUND(VLOOKUP(CZ$4,Preisindex,3,FALSE)/VLOOKUP(YEAR($F278),Preisindex,3,FALSE),2),IF(AND($E278&lt;&gt;0,$F278&gt;0,YEAR($F278)&gt;=Preisindex!$A$6,YEAR(CU$4)&gt;=YEAR($F278),$K278="g"),ROUND(VLOOKUP(CZ$4,Preisindex,4,FALSE)/VLOOKUP(YEAR($F278),Preisindex,4,FALSE),2),IF(AND($E278&lt;&gt;0,$F278&gt;0,YEAR($F278)&gt;=Preisindex!$A$6,YEAR(CU$4)&gt;=YEAR($F278),$K278="k"),ROUND(VLOOKUP(CZ$4,Preisindex,2,FALSE)/VLOOKUP(YEAR($F278),Preisindex,2,FALSE),2),0)))))</f>
        <v>0</v>
      </c>
      <c r="DA278" s="56">
        <f>IF(AND($E278&lt;&gt;0,$F278&gt;0,YEAR($F278)&lt;Preisindex!$A$6,YEAR(CU$4)&gt;=YEAR($F278),AND($K278&lt;&gt;"a",$K278&lt;&gt;"b",$K278&lt;&gt;"g",$K278&lt;&gt;"k")),1,IF(AND($E278&lt;&gt;0,$F278&gt;0,YEAR($F278)&lt;Preisindex!$A$6,YEAR(CU$4)&gt;=YEAR($F278),$K278="a"),ROUND(VLOOKUP(CZ$4,Preisindex,5,FALSE)/VLOOKUP(Preisindex!$A$6,Preisindex,5,FALSE),2),IF(AND($E278&lt;&gt;0,$F278&gt;0,YEAR($F278)&lt;Preisindex!$A$6,YEAR(CU$4)&gt;=YEAR($F278),$K278="b"),ROUND(VLOOKUP(CZ$4,Preisindex,3,FALSE)/VLOOKUP(Preisindex!$A$6,Preisindex,3,FALSE),2),IF(AND($E278&lt;&gt;0,$F278&gt;0,YEAR($F278)&lt;Preisindex!$A$6,YEAR(CU$4)&gt;=YEAR($F278),$K278="g"),ROUND(VLOOKUP(CZ$4,Preisindex,4,FALSE)/VLOOKUP(Preisindex!$A$6,Preisindex,4,FALSE),2),IF(AND($E278&lt;&gt;0,$F278&gt;0,YEAR($F278)&lt;Preisindex!$A$6,YEAR(CU$4)&gt;=YEAR($F278),$K278="k"),ROUND(VLOOKUP(CZ$4,Preisindex,2,FALSE)/VLOOKUP(Preisindex!$A$6,Preisindex,2,FALSE),2),0)))))</f>
        <v>0</v>
      </c>
      <c r="DB278" s="51">
        <f>IF(AND($E278&lt;&gt;0,$F278&gt;0,YEAR($F278)&lt;=CZ$4,YEAR($F278)&gt;=Preisindex!$A$6),ROUND($E278*CZ278,2),IF(AND($E278&lt;&gt;0,$F278&gt;0,YEAR($F278)&lt;=CZ$4,YEAR($F278)&lt;Preisindex!$A$6),ROUND($E278*DA278,2),0))</f>
        <v>0</v>
      </c>
      <c r="DC278" s="53">
        <f t="shared" si="786"/>
        <v>0</v>
      </c>
      <c r="DD278" s="51">
        <f t="shared" si="840"/>
        <v>0</v>
      </c>
      <c r="DE278" s="51">
        <f t="shared" ref="DE278:DE319" si="861">IF($J278&lt;&gt;"H",DD278,0)</f>
        <v>0</v>
      </c>
      <c r="DF278" s="51">
        <f t="shared" si="788"/>
        <v>0</v>
      </c>
      <c r="DG278" s="51">
        <f t="shared" ref="DG278:DG319" si="862">IF($J278&lt;&gt;"H",DF278,0)</f>
        <v>0</v>
      </c>
      <c r="DH278" s="51">
        <f t="shared" si="789"/>
        <v>0</v>
      </c>
      <c r="DI278" s="51">
        <f t="shared" ref="DI278:DI319" si="863">IF(DJ278&lt;&gt;0,ROUND(DJ278/$M278*DH278,2),0)</f>
        <v>0</v>
      </c>
      <c r="DJ278" s="51">
        <f t="shared" si="790"/>
        <v>0</v>
      </c>
      <c r="DK278" s="51">
        <f t="shared" ref="DK278:DK319" si="864">IF($J278&lt;&gt;"H",DJ278,0)</f>
        <v>0</v>
      </c>
      <c r="DL278" s="51">
        <f t="shared" si="791"/>
        <v>0</v>
      </c>
      <c r="DM278" s="51">
        <f t="shared" ref="DM278:DM319" si="865">IF($J278&lt;&gt;"H",DL278,0)</f>
        <v>0</v>
      </c>
      <c r="DN278" s="51">
        <f t="shared" si="792"/>
        <v>0</v>
      </c>
      <c r="DO278" s="54">
        <f t="shared" si="793"/>
        <v>0</v>
      </c>
      <c r="DP278" s="55">
        <f t="shared" si="794"/>
        <v>0</v>
      </c>
      <c r="DQ278" s="56">
        <f>IF(AND($E278&lt;&gt;0,$F278&gt;0,YEAR($F278)&gt;=Preisindex!$A$6,YEAR(DL$4)&gt;=YEAR($F278),AND($K278&lt;&gt;"a",$K278&lt;&gt;"b",$K278&lt;&gt;"g",$K278&lt;&gt;"k")),1,IF(AND($E278&lt;&gt;0,$F278&gt;0,YEAR($F278)&gt;=Preisindex!$A$6,YEAR(DL$4)&gt;=YEAR($F278),$K278="a"),ROUND(VLOOKUP(DQ$4,Preisindex,5,FALSE)/VLOOKUP(YEAR($F278),Preisindex,5,FALSE),2),IF(AND($E278&lt;&gt;0,$F278&gt;0,YEAR($F278)&gt;=Preisindex!$A$6,YEAR(DL$4)&gt;=YEAR($F278),$K278="b"),ROUND(VLOOKUP(DQ$4,Preisindex,3,FALSE)/VLOOKUP(YEAR($F278),Preisindex,3,FALSE),2),IF(AND($E278&lt;&gt;0,$F278&gt;0,YEAR($F278)&gt;=Preisindex!$A$6,YEAR(DL$4)&gt;=YEAR($F278),$K278="g"),ROUND(VLOOKUP(DQ$4,Preisindex,4,FALSE)/VLOOKUP(YEAR($F278),Preisindex,4,FALSE),2),IF(AND($E278&lt;&gt;0,$F278&gt;0,YEAR($F278)&gt;=Preisindex!$A$6,YEAR(DL$4)&gt;=YEAR($F278),$K278="k"),ROUND(VLOOKUP(DQ$4,Preisindex,2,FALSE)/VLOOKUP(YEAR($F278),Preisindex,2,FALSE),2),0)))))</f>
        <v>0</v>
      </c>
      <c r="DR278" s="56">
        <f>IF(AND($E278&lt;&gt;0,$F278&gt;0,YEAR($F278)&lt;Preisindex!$A$6,YEAR(DL$4)&gt;=YEAR($F278),AND($K278&lt;&gt;"a",$K278&lt;&gt;"b",$K278&lt;&gt;"g",$K278&lt;&gt;"k")),1,IF(AND($E278&lt;&gt;0,$F278&gt;0,YEAR($F278)&lt;Preisindex!$A$6,YEAR(DL$4)&gt;=YEAR($F278),$K278="a"),ROUND(VLOOKUP(DQ$4,Preisindex,5,FALSE)/VLOOKUP(Preisindex!$A$6,Preisindex,5,FALSE),2),IF(AND($E278&lt;&gt;0,$F278&gt;0,YEAR($F278)&lt;Preisindex!$A$6,YEAR(DL$4)&gt;=YEAR($F278),$K278="b"),ROUND(VLOOKUP(DQ$4,Preisindex,3,FALSE)/VLOOKUP(Preisindex!$A$6,Preisindex,3,FALSE),2),IF(AND($E278&lt;&gt;0,$F278&gt;0,YEAR($F278)&lt;Preisindex!$A$6,YEAR(DL$4)&gt;=YEAR($F278),$K278="g"),ROUND(VLOOKUP(DQ$4,Preisindex,4,FALSE)/VLOOKUP(Preisindex!$A$6,Preisindex,4,FALSE),2),IF(AND($E278&lt;&gt;0,$F278&gt;0,YEAR($F278)&lt;Preisindex!$A$6,YEAR(DL$4)&gt;=YEAR($F278),$K278="k"),ROUND(VLOOKUP(DQ$4,Preisindex,2,FALSE)/VLOOKUP(Preisindex!$A$6,Preisindex,2,FALSE),2),0)))))</f>
        <v>0</v>
      </c>
      <c r="DS278" s="51">
        <f>IF(AND($E278&lt;&gt;0,$F278&gt;0,YEAR($F278)&lt;=DQ$4,YEAR($F278)&gt;=Preisindex!$A$6),ROUND($E278*DQ278,2),IF(AND($E278&lt;&gt;0,$F278&gt;0,YEAR($F278)&lt;=DQ$4,YEAR($F278)&lt;Preisindex!$A$6),ROUND($E278*DR278,2),0))</f>
        <v>0</v>
      </c>
      <c r="DT278" s="53">
        <f t="shared" si="795"/>
        <v>0</v>
      </c>
      <c r="DU278" s="51">
        <f t="shared" si="840"/>
        <v>0</v>
      </c>
      <c r="DV278" s="51">
        <f t="shared" ref="DV278:DV319" si="866">IF($J278&lt;&gt;"H",DU278,0)</f>
        <v>0</v>
      </c>
      <c r="DW278" s="51">
        <f t="shared" si="796"/>
        <v>0</v>
      </c>
      <c r="DX278" s="51">
        <f t="shared" ref="DX278:DX319" si="867">IF($J278&lt;&gt;"H",DW278,0)</f>
        <v>0</v>
      </c>
      <c r="DY278" s="51">
        <f t="shared" si="797"/>
        <v>0</v>
      </c>
      <c r="DZ278" s="51">
        <f t="shared" ref="DZ278:DZ319" si="868">IF(EA278&lt;&gt;0,ROUND(EA278/$M278*DY278,2),0)</f>
        <v>0</v>
      </c>
      <c r="EA278" s="51">
        <f t="shared" si="798"/>
        <v>0</v>
      </c>
      <c r="EB278" s="51">
        <f t="shared" ref="EB278:EB319" si="869">IF($J278&lt;&gt;"H",EA278,0)</f>
        <v>0</v>
      </c>
      <c r="EC278" s="51">
        <f t="shared" si="799"/>
        <v>0</v>
      </c>
      <c r="ED278" s="51">
        <f t="shared" ref="ED278:ED319" si="870">IF($J278&lt;&gt;"H",EC278,0)</f>
        <v>0</v>
      </c>
      <c r="EE278" s="51">
        <f t="shared" si="800"/>
        <v>0</v>
      </c>
      <c r="EF278" s="54">
        <f t="shared" si="801"/>
        <v>0</v>
      </c>
      <c r="EG278" s="55">
        <f t="shared" si="802"/>
        <v>0</v>
      </c>
      <c r="EH278" s="56">
        <f>IF(AND($E278&lt;&gt;0,$F278&gt;0,YEAR($F278)&gt;=Preisindex!$A$6,YEAR(EC$4)&gt;=YEAR($F278),AND($K278&lt;&gt;"a",$K278&lt;&gt;"b",$K278&lt;&gt;"g",$K278&lt;&gt;"k")),1,IF(AND($E278&lt;&gt;0,$F278&gt;0,YEAR($F278)&gt;=Preisindex!$A$6,YEAR(EC$4)&gt;=YEAR($F278),$K278="a"),ROUND(VLOOKUP(EH$4,Preisindex,5,FALSE)/VLOOKUP(YEAR($F278),Preisindex,5,FALSE),2),IF(AND($E278&lt;&gt;0,$F278&gt;0,YEAR($F278)&gt;=Preisindex!$A$6,YEAR(EC$4)&gt;=YEAR($F278),$K278="b"),ROUND(VLOOKUP(EH$4,Preisindex,3,FALSE)/VLOOKUP(YEAR($F278),Preisindex,3,FALSE),2),IF(AND($E278&lt;&gt;0,$F278&gt;0,YEAR($F278)&gt;=Preisindex!$A$6,YEAR(EC$4)&gt;=YEAR($F278),$K278="g"),ROUND(VLOOKUP(EH$4,Preisindex,4,FALSE)/VLOOKUP(YEAR($F278),Preisindex,4,FALSE),2),IF(AND($E278&lt;&gt;0,$F278&gt;0,YEAR($F278)&gt;=Preisindex!$A$6,YEAR(EC$4)&gt;=YEAR($F278),$K278="k"),ROUND(VLOOKUP(EH$4,Preisindex,2,FALSE)/VLOOKUP(YEAR($F278),Preisindex,2,FALSE),2),0)))))</f>
        <v>0</v>
      </c>
      <c r="EI278" s="56">
        <f>IF(AND($E278&lt;&gt;0,$F278&gt;0,YEAR($F278)&lt;Preisindex!$A$6,YEAR(EC$4)&gt;=YEAR($F278),AND($K278&lt;&gt;"a",$K278&lt;&gt;"b",$K278&lt;&gt;"g",$K278&lt;&gt;"k")),1,IF(AND($E278&lt;&gt;0,$F278&gt;0,YEAR($F278)&lt;Preisindex!$A$6,YEAR(EC$4)&gt;=YEAR($F278),$K278="a"),ROUND(VLOOKUP(EH$4,Preisindex,5,FALSE)/VLOOKUP(Preisindex!$A$6,Preisindex,5,FALSE),2),IF(AND($E278&lt;&gt;0,$F278&gt;0,YEAR($F278)&lt;Preisindex!$A$6,YEAR(EC$4)&gt;=YEAR($F278),$K278="b"),ROUND(VLOOKUP(EH$4,Preisindex,3,FALSE)/VLOOKUP(Preisindex!$A$6,Preisindex,3,FALSE),2),IF(AND($E278&lt;&gt;0,$F278&gt;0,YEAR($F278)&lt;Preisindex!$A$6,YEAR(EC$4)&gt;=YEAR($F278),$K278="g"),ROUND(VLOOKUP(EH$4,Preisindex,4,FALSE)/VLOOKUP(Preisindex!$A$6,Preisindex,4,FALSE),2),IF(AND($E278&lt;&gt;0,$F278&gt;0,YEAR($F278)&lt;Preisindex!$A$6,YEAR(EC$4)&gt;=YEAR($F278),$K278="k"),ROUND(VLOOKUP(EH$4,Preisindex,2,FALSE)/VLOOKUP(Preisindex!$A$6,Preisindex,2,FALSE),2),0)))))</f>
        <v>0</v>
      </c>
      <c r="EJ278" s="51">
        <f>IF(AND($E278&lt;&gt;0,$F278&gt;0,YEAR($F278)&lt;=EH$4,YEAR($F278)&gt;=Preisindex!$A$6),ROUND($E278*EH278,2),IF(AND($E278&lt;&gt;0,$F278&gt;0,YEAR($F278)&lt;=EH$4,YEAR($F278)&lt;Preisindex!$A$6),ROUND($E278*EI278,2),0))</f>
        <v>0</v>
      </c>
      <c r="EK278" s="53">
        <f t="shared" si="803"/>
        <v>0</v>
      </c>
      <c r="EL278" s="51">
        <f t="shared" si="840"/>
        <v>0</v>
      </c>
      <c r="EM278" s="51">
        <f t="shared" ref="EM278:EM319" si="871">IF($J278&lt;&gt;"H",EL278,0)</f>
        <v>0</v>
      </c>
      <c r="EN278" s="51">
        <f t="shared" si="804"/>
        <v>0</v>
      </c>
      <c r="EO278" s="51">
        <f t="shared" ref="EO278:EO319" si="872">IF($J278&lt;&gt;"H",EN278,0)</f>
        <v>0</v>
      </c>
      <c r="EP278" s="51">
        <f t="shared" si="805"/>
        <v>0</v>
      </c>
      <c r="EQ278" s="51">
        <f t="shared" ref="EQ278:EQ319" si="873">IF(ER278&lt;&gt;0,ROUND(ER278/$M278*EP278,2),0)</f>
        <v>0</v>
      </c>
      <c r="ER278" s="51">
        <f t="shared" si="806"/>
        <v>0</v>
      </c>
      <c r="ES278" s="51">
        <f t="shared" ref="ES278:ES319" si="874">IF($J278&lt;&gt;"H",ER278,0)</f>
        <v>0</v>
      </c>
      <c r="ET278" s="51">
        <f t="shared" si="807"/>
        <v>0</v>
      </c>
      <c r="EU278" s="51">
        <f t="shared" ref="EU278:EU319" si="875">IF($J278&lt;&gt;"H",ET278,0)</f>
        <v>0</v>
      </c>
      <c r="EV278" s="51">
        <f t="shared" si="808"/>
        <v>0</v>
      </c>
      <c r="EW278" s="54">
        <f t="shared" si="809"/>
        <v>0</v>
      </c>
      <c r="EX278" s="55">
        <f t="shared" si="810"/>
        <v>0</v>
      </c>
      <c r="EY278" s="56">
        <f>IF(AND($E278&lt;&gt;0,$F278&gt;0,YEAR($F278)&gt;=Preisindex!$A$6,YEAR(ET$4)&gt;=YEAR($F278),AND($K278&lt;&gt;"a",$K278&lt;&gt;"b",$K278&lt;&gt;"g",$K278&lt;&gt;"k")),1,IF(AND($E278&lt;&gt;0,$F278&gt;0,YEAR($F278)&gt;=Preisindex!$A$6,YEAR(ET$4)&gt;=YEAR($F278),$K278="a"),ROUND(VLOOKUP(EY$4,Preisindex,5,FALSE)/VLOOKUP(YEAR($F278),Preisindex,5,FALSE),2),IF(AND($E278&lt;&gt;0,$F278&gt;0,YEAR($F278)&gt;=Preisindex!$A$6,YEAR(ET$4)&gt;=YEAR($F278),$K278="b"),ROUND(VLOOKUP(EY$4,Preisindex,3,FALSE)/VLOOKUP(YEAR($F278),Preisindex,3,FALSE),2),IF(AND($E278&lt;&gt;0,$F278&gt;0,YEAR($F278)&gt;=Preisindex!$A$6,YEAR(ET$4)&gt;=YEAR($F278),$K278="g"),ROUND(VLOOKUP(EY$4,Preisindex,4,FALSE)/VLOOKUP(YEAR($F278),Preisindex,4,FALSE),2),IF(AND($E278&lt;&gt;0,$F278&gt;0,YEAR($F278)&gt;=Preisindex!$A$6,YEAR(ET$4)&gt;=YEAR($F278),$K278="k"),ROUND(VLOOKUP(EY$4,Preisindex,2,FALSE)/VLOOKUP(YEAR($F278),Preisindex,2,FALSE),2),0)))))</f>
        <v>0</v>
      </c>
      <c r="EZ278" s="56">
        <f>IF(AND($E278&lt;&gt;0,$F278&gt;0,YEAR($F278)&lt;Preisindex!$A$6,YEAR(ET$4)&gt;=YEAR($F278),AND($K278&lt;&gt;"a",$K278&lt;&gt;"b",$K278&lt;&gt;"g",$K278&lt;&gt;"k")),1,IF(AND($E278&lt;&gt;0,$F278&gt;0,YEAR($F278)&lt;Preisindex!$A$6,YEAR(ET$4)&gt;=YEAR($F278),$K278="a"),ROUND(VLOOKUP(EY$4,Preisindex,5,FALSE)/VLOOKUP(Preisindex!$A$6,Preisindex,5,FALSE),2),IF(AND($E278&lt;&gt;0,$F278&gt;0,YEAR($F278)&lt;Preisindex!$A$6,YEAR(ET$4)&gt;=YEAR($F278),$K278="b"),ROUND(VLOOKUP(EY$4,Preisindex,3,FALSE)/VLOOKUP(Preisindex!$A$6,Preisindex,3,FALSE),2),IF(AND($E278&lt;&gt;0,$F278&gt;0,YEAR($F278)&lt;Preisindex!$A$6,YEAR(ET$4)&gt;=YEAR($F278),$K278="g"),ROUND(VLOOKUP(EY$4,Preisindex,4,FALSE)/VLOOKUP(Preisindex!$A$6,Preisindex,4,FALSE),2),IF(AND($E278&lt;&gt;0,$F278&gt;0,YEAR($F278)&lt;Preisindex!$A$6,YEAR(ET$4)&gt;=YEAR($F278),$K278="k"),ROUND(VLOOKUP(EY$4,Preisindex,2,FALSE)/VLOOKUP(Preisindex!$A$6,Preisindex,2,FALSE),2),0)))))</f>
        <v>0</v>
      </c>
      <c r="FA278" s="51">
        <f>IF(AND($E278&lt;&gt;0,$F278&gt;0,YEAR($F278)&lt;=EY$4,YEAR($F278)&gt;=Preisindex!$A$6),ROUND($E278*EY278,2),IF(AND($E278&lt;&gt;0,$F278&gt;0,YEAR($F278)&lt;=EY$4,YEAR($F278)&lt;Preisindex!$A$6),ROUND($E278*EZ278,2),0))</f>
        <v>0</v>
      </c>
      <c r="FB278" s="53">
        <f t="shared" si="811"/>
        <v>0</v>
      </c>
      <c r="FC278" s="51">
        <f t="shared" si="840"/>
        <v>0</v>
      </c>
      <c r="FD278" s="51">
        <f t="shared" ref="FD278:FD319" si="876">IF($J278&lt;&gt;"H",FC278,0)</f>
        <v>0</v>
      </c>
      <c r="FE278" s="51">
        <f t="shared" si="812"/>
        <v>0</v>
      </c>
      <c r="FF278" s="51">
        <f t="shared" ref="FF278:FF319" si="877">IF($J278&lt;&gt;"H",FE278,0)</f>
        <v>0</v>
      </c>
      <c r="FG278" s="51">
        <f t="shared" si="813"/>
        <v>0</v>
      </c>
      <c r="FH278" s="51">
        <f t="shared" ref="FH278:FH319" si="878">IF(FI278&lt;&gt;0,ROUND(FI278/$M278*FG278,2),0)</f>
        <v>0</v>
      </c>
      <c r="FI278" s="51">
        <f t="shared" si="814"/>
        <v>0</v>
      </c>
      <c r="FJ278" s="51">
        <f t="shared" ref="FJ278:FJ319" si="879">IF($J278&lt;&gt;"H",FI278,0)</f>
        <v>0</v>
      </c>
      <c r="FK278" s="51">
        <f t="shared" si="815"/>
        <v>0</v>
      </c>
      <c r="FL278" s="51">
        <f t="shared" ref="FL278:FL319" si="880">IF($J278&lt;&gt;"H",FK278,0)</f>
        <v>0</v>
      </c>
      <c r="FM278" s="51">
        <f t="shared" si="816"/>
        <v>0</v>
      </c>
      <c r="FN278" s="54">
        <f t="shared" si="817"/>
        <v>0</v>
      </c>
      <c r="FO278" s="55">
        <f t="shared" si="818"/>
        <v>0</v>
      </c>
      <c r="FP278" s="56">
        <f>IF(AND($E278&lt;&gt;0,$F278&gt;0,YEAR($F278)&gt;=Preisindex!$A$6,YEAR(FK$4)&gt;=YEAR($F278),AND($K278&lt;&gt;"a",$K278&lt;&gt;"b",$K278&lt;&gt;"g",$K278&lt;&gt;"k")),1,IF(AND($E278&lt;&gt;0,$F278&gt;0,YEAR($F278)&gt;=Preisindex!$A$6,YEAR(FK$4)&gt;=YEAR($F278),$K278="a"),ROUND(VLOOKUP(FP$4,Preisindex,5,FALSE)/VLOOKUP(YEAR($F278),Preisindex,5,FALSE),2),IF(AND($E278&lt;&gt;0,$F278&gt;0,YEAR($F278)&gt;=Preisindex!$A$6,YEAR(FK$4)&gt;=YEAR($F278),$K278="b"),ROUND(VLOOKUP(FP$4,Preisindex,3,FALSE)/VLOOKUP(YEAR($F278),Preisindex,3,FALSE),2),IF(AND($E278&lt;&gt;0,$F278&gt;0,YEAR($F278)&gt;=Preisindex!$A$6,YEAR(FK$4)&gt;=YEAR($F278),$K278="g"),ROUND(VLOOKUP(FP$4,Preisindex,4,FALSE)/VLOOKUP(YEAR($F278),Preisindex,4,FALSE),2),IF(AND($E278&lt;&gt;0,$F278&gt;0,YEAR($F278)&gt;=Preisindex!$A$6,YEAR(FK$4)&gt;=YEAR($F278),$K278="k"),ROUND(VLOOKUP(FP$4,Preisindex,2,FALSE)/VLOOKUP(YEAR($F278),Preisindex,2,FALSE),2),0)))))</f>
        <v>0</v>
      </c>
      <c r="FQ278" s="56">
        <f>IF(AND($E278&lt;&gt;0,$F278&gt;0,YEAR($F278)&lt;Preisindex!$A$6,YEAR(FK$4)&gt;=YEAR($F278),AND($K278&lt;&gt;"a",$K278&lt;&gt;"b",$K278&lt;&gt;"g",$K278&lt;&gt;"k")),1,IF(AND($E278&lt;&gt;0,$F278&gt;0,YEAR($F278)&lt;Preisindex!$A$6,YEAR(FK$4)&gt;=YEAR($F278),$K278="a"),ROUND(VLOOKUP(FP$4,Preisindex,5,FALSE)/VLOOKUP(Preisindex!$A$6,Preisindex,5,FALSE),2),IF(AND($E278&lt;&gt;0,$F278&gt;0,YEAR($F278)&lt;Preisindex!$A$6,YEAR(FK$4)&gt;=YEAR($F278),$K278="b"),ROUND(VLOOKUP(FP$4,Preisindex,3,FALSE)/VLOOKUP(Preisindex!$A$6,Preisindex,3,FALSE),2),IF(AND($E278&lt;&gt;0,$F278&gt;0,YEAR($F278)&lt;Preisindex!$A$6,YEAR(FK$4)&gt;=YEAR($F278),$K278="g"),ROUND(VLOOKUP(FP$4,Preisindex,4,FALSE)/VLOOKUP(Preisindex!$A$6,Preisindex,4,FALSE),2),IF(AND($E278&lt;&gt;0,$F278&gt;0,YEAR($F278)&lt;Preisindex!$A$6,YEAR(FK$4)&gt;=YEAR($F278),$K278="k"),ROUND(VLOOKUP(FP$4,Preisindex,2,FALSE)/VLOOKUP(Preisindex!$A$6,Preisindex,2,FALSE),2),0)))))</f>
        <v>0</v>
      </c>
      <c r="FR278" s="51">
        <f>IF(AND($E278&lt;&gt;0,$F278&gt;0,YEAR($F278)&lt;=FP$4,YEAR($F278)&gt;=Preisindex!$A$6),ROUND($E278*FP278,2),IF(AND($E278&lt;&gt;0,$F278&gt;0,YEAR($F278)&lt;=FP$4,YEAR($F278)&lt;Preisindex!$A$6),ROUND($E278*FQ278,2),0))</f>
        <v>0</v>
      </c>
      <c r="FS278" s="53">
        <f t="shared" si="819"/>
        <v>0</v>
      </c>
    </row>
    <row r="279" spans="1:175" x14ac:dyDescent="0.3">
      <c r="A279" s="185"/>
      <c r="B279" s="186"/>
      <c r="C279" s="187"/>
      <c r="D279" s="188"/>
      <c r="E279" s="189"/>
      <c r="F279" s="190"/>
      <c r="G279" s="191"/>
      <c r="H279" s="192"/>
      <c r="I279" s="193"/>
      <c r="J279" s="194"/>
      <c r="K279" s="630"/>
      <c r="L279" s="49">
        <f t="shared" si="820"/>
        <v>0</v>
      </c>
      <c r="M279" s="50">
        <f t="shared" si="821"/>
        <v>0</v>
      </c>
      <c r="N279" s="51">
        <f t="shared" si="822"/>
        <v>0</v>
      </c>
      <c r="O279" s="51"/>
      <c r="P279" s="51">
        <f t="shared" si="823"/>
        <v>0</v>
      </c>
      <c r="Q279" s="52"/>
      <c r="R279" s="52"/>
      <c r="S279" s="52"/>
      <c r="T279" s="52"/>
      <c r="U279" s="52"/>
      <c r="V279" s="53">
        <f t="shared" si="824"/>
        <v>0</v>
      </c>
      <c r="W279" s="51">
        <f t="shared" si="825"/>
        <v>0</v>
      </c>
      <c r="X279" s="51">
        <f t="shared" si="826"/>
        <v>0</v>
      </c>
      <c r="Y279" s="51">
        <f t="shared" si="827"/>
        <v>0</v>
      </c>
      <c r="Z279" s="51">
        <f t="shared" si="828"/>
        <v>0</v>
      </c>
      <c r="AA279" s="51">
        <f t="shared" si="829"/>
        <v>0</v>
      </c>
      <c r="AB279" s="51">
        <f t="shared" si="830"/>
        <v>0</v>
      </c>
      <c r="AC279" s="51">
        <f t="shared" si="831"/>
        <v>0</v>
      </c>
      <c r="AD279" s="51">
        <f t="shared" si="832"/>
        <v>0</v>
      </c>
      <c r="AE279" s="51">
        <f t="shared" si="833"/>
        <v>0</v>
      </c>
      <c r="AF279" s="51">
        <f t="shared" si="834"/>
        <v>0</v>
      </c>
      <c r="AG279" s="51">
        <f t="shared" si="835"/>
        <v>0</v>
      </c>
      <c r="AH279" s="54">
        <f t="shared" si="836"/>
        <v>0</v>
      </c>
      <c r="AI279" s="55">
        <f t="shared" si="837"/>
        <v>0</v>
      </c>
      <c r="AJ279" s="56">
        <f>IF(AND($E279&lt;&gt;0,$F279&gt;0,YEAR($F279)&gt;=Preisindex!$A$6,YEAR(AE$4)&gt;=YEAR($F279),AND($K279&lt;&gt;"a",$K279&lt;&gt;"b",$K279&lt;&gt;"g",$K279&lt;&gt;"k")),1,IF(AND($E279&lt;&gt;0,$F279&gt;0,YEAR($F279)&gt;=Preisindex!$A$6,YEAR(AE$4)&gt;=YEAR($F279),$K279="a"),ROUND(VLOOKUP(AJ$4,Preisindex,5,FALSE)/VLOOKUP(YEAR($F279),Preisindex,5,FALSE),2),IF(AND($E279&lt;&gt;0,$F279&gt;0,YEAR($F279)&gt;=Preisindex!$A$6,YEAR(AE$4)&gt;=YEAR($F279),$K279="b"),ROUND(VLOOKUP(AJ$4,Preisindex,3,FALSE)/VLOOKUP(YEAR($F279),Preisindex,3,FALSE),2),IF(AND($E279&lt;&gt;0,$F279&gt;0,YEAR($F279)&gt;=Preisindex!$A$6,YEAR(AE$4)&gt;=YEAR($F279),$K279="g"),ROUND(VLOOKUP(AJ$4,Preisindex,4,FALSE)/VLOOKUP(YEAR($F279),Preisindex,4,FALSE),2),IF(AND($E279&lt;&gt;0,$F279&gt;0,YEAR($F279)&gt;=Preisindex!$A$6,YEAR(AE$4)&gt;=YEAR($F279),$K279="k"),ROUND(VLOOKUP(AJ$4,Preisindex,2,FALSE)/VLOOKUP(YEAR($F279),Preisindex,2,FALSE),2),0)))))</f>
        <v>0</v>
      </c>
      <c r="AK279" s="56">
        <f>IF(AND($E279&lt;&gt;0,$F279&gt;0,YEAR($F279)&lt;Preisindex!$A$6,YEAR(AE$4)&gt;=YEAR($F279),AND($K279&lt;&gt;"a",$K279&lt;&gt;"b",$K279&lt;&gt;"g",$K279&lt;&gt;"k")),1,IF(AND($E279&lt;&gt;0,$F279&gt;0,YEAR($F279)&lt;Preisindex!$A$6,YEAR(AE$4)&gt;=YEAR($F279),$K279="a"),ROUND(VLOOKUP(AJ$4,Preisindex,5,FALSE)/VLOOKUP(Preisindex!$A$6,Preisindex,5,FALSE),2),IF(AND($E279&lt;&gt;0,$F279&gt;0,YEAR($F279)&lt;Preisindex!$A$6,YEAR(AE$4)&gt;=YEAR($F279),$K279="b"),ROUND(VLOOKUP(AJ$4,Preisindex,3,FALSE)/VLOOKUP(Preisindex!$A$6,Preisindex,3,FALSE),2),IF(AND($E279&lt;&gt;0,$F279&gt;0,YEAR($F279)&lt;Preisindex!$A$6,YEAR(AE$4)&gt;=YEAR($F279),$K279="g"),ROUND(VLOOKUP(AJ$4,Preisindex,4,FALSE)/VLOOKUP(Preisindex!$A$6,Preisindex,4,FALSE),2),IF(AND($E279&lt;&gt;0,$F279&gt;0,YEAR($F279)&lt;Preisindex!$A$6,YEAR(AE$4)&gt;=YEAR($F279),$K279="k"),ROUND(VLOOKUP(AJ$4,Preisindex,2,FALSE)/VLOOKUP(Preisindex!$A$6,Preisindex,2,FALSE),2),0)))))</f>
        <v>0</v>
      </c>
      <c r="AL279" s="51">
        <f>IF(AND($E279&lt;&gt;0,$F279&gt;0,YEAR($F279)&lt;=AJ$4,YEAR($F279)&gt;=Preisindex!$A$6),ROUND($E279*AJ279,2),IF(AND($E279&lt;&gt;0,$F279&gt;0,YEAR($F279)&lt;=AJ$4,YEAR($F279)&lt;Preisindex!$A$6),ROUND($E279*AK279,2),0))</f>
        <v>0</v>
      </c>
      <c r="AM279" s="53">
        <f t="shared" si="838"/>
        <v>0</v>
      </c>
      <c r="AN279" s="51">
        <f t="shared" si="839"/>
        <v>0</v>
      </c>
      <c r="AO279" s="51">
        <f t="shared" si="841"/>
        <v>0</v>
      </c>
      <c r="AP279" s="51">
        <f t="shared" si="755"/>
        <v>0</v>
      </c>
      <c r="AQ279" s="51">
        <f t="shared" si="842"/>
        <v>0</v>
      </c>
      <c r="AR279" s="51">
        <f t="shared" si="756"/>
        <v>0</v>
      </c>
      <c r="AS279" s="51">
        <f t="shared" si="843"/>
        <v>0</v>
      </c>
      <c r="AT279" s="51">
        <f t="shared" si="757"/>
        <v>0</v>
      </c>
      <c r="AU279" s="51">
        <f t="shared" si="844"/>
        <v>0</v>
      </c>
      <c r="AV279" s="51">
        <f t="shared" si="758"/>
        <v>0</v>
      </c>
      <c r="AW279" s="51">
        <f t="shared" si="845"/>
        <v>0</v>
      </c>
      <c r="AX279" s="51">
        <f t="shared" si="759"/>
        <v>0</v>
      </c>
      <c r="AY279" s="54">
        <f t="shared" si="760"/>
        <v>0</v>
      </c>
      <c r="AZ279" s="55">
        <f t="shared" si="761"/>
        <v>0</v>
      </c>
      <c r="BA279" s="56">
        <f>IF(AND($E279&lt;&gt;0,$F279&gt;0,YEAR($F279)&gt;=Preisindex!$A$6,YEAR(AV$4)&gt;=YEAR($F279),AND($K279&lt;&gt;"a",$K279&lt;&gt;"b",$K279&lt;&gt;"g",$K279&lt;&gt;"k")),1,IF(AND($E279&lt;&gt;0,$F279&gt;0,YEAR($F279)&gt;=Preisindex!$A$6,YEAR(AV$4)&gt;=YEAR($F279),$K279="a"),ROUND(VLOOKUP(BA$4,Preisindex,5,FALSE)/VLOOKUP(YEAR($F279),Preisindex,5,FALSE),2),IF(AND($E279&lt;&gt;0,$F279&gt;0,YEAR($F279)&gt;=Preisindex!$A$6,YEAR(AV$4)&gt;=YEAR($F279),$K279="b"),ROUND(VLOOKUP(BA$4,Preisindex,3,FALSE)/VLOOKUP(YEAR($F279),Preisindex,3,FALSE),2),IF(AND($E279&lt;&gt;0,$F279&gt;0,YEAR($F279)&gt;=Preisindex!$A$6,YEAR(AV$4)&gt;=YEAR($F279),$K279="g"),ROUND(VLOOKUP(BA$4,Preisindex,4,FALSE)/VLOOKUP(YEAR($F279),Preisindex,4,FALSE),2),IF(AND($E279&lt;&gt;0,$F279&gt;0,YEAR($F279)&gt;=Preisindex!$A$6,YEAR(AV$4)&gt;=YEAR($F279),$K279="k"),ROUND(VLOOKUP(BA$4,Preisindex,2,FALSE)/VLOOKUP(YEAR($F279),Preisindex,2,FALSE),2),0)))))</f>
        <v>0</v>
      </c>
      <c r="BB279" s="56">
        <f>IF(AND($E279&lt;&gt;0,$F279&gt;0,YEAR($F279)&lt;Preisindex!$A$6,YEAR(AV$4)&gt;=YEAR($F279),AND($K279&lt;&gt;"a",$K279&lt;&gt;"b",$K279&lt;&gt;"g",$K279&lt;&gt;"k")),1,IF(AND($E279&lt;&gt;0,$F279&gt;0,YEAR($F279)&lt;Preisindex!$A$6,YEAR(AV$4)&gt;=YEAR($F279),$K279="a"),ROUND(VLOOKUP(BA$4,Preisindex,5,FALSE)/VLOOKUP(Preisindex!$A$6,Preisindex,5,FALSE),2),IF(AND($E279&lt;&gt;0,$F279&gt;0,YEAR($F279)&lt;Preisindex!$A$6,YEAR(AV$4)&gt;=YEAR($F279),$K279="b"),ROUND(VLOOKUP(BA$4,Preisindex,3,FALSE)/VLOOKUP(Preisindex!$A$6,Preisindex,3,FALSE),2),IF(AND($E279&lt;&gt;0,$F279&gt;0,YEAR($F279)&lt;Preisindex!$A$6,YEAR(AV$4)&gt;=YEAR($F279),$K279="g"),ROUND(VLOOKUP(BA$4,Preisindex,4,FALSE)/VLOOKUP(Preisindex!$A$6,Preisindex,4,FALSE),2),IF(AND($E279&lt;&gt;0,$F279&gt;0,YEAR($F279)&lt;Preisindex!$A$6,YEAR(AV$4)&gt;=YEAR($F279),$K279="k"),ROUND(VLOOKUP(BA$4,Preisindex,2,FALSE)/VLOOKUP(Preisindex!$A$6,Preisindex,2,FALSE),2),0)))))</f>
        <v>0</v>
      </c>
      <c r="BC279" s="51">
        <f>IF(AND($E279&lt;&gt;0,$F279&gt;0,YEAR($F279)&lt;=BA$4,YEAR($F279)&gt;=Preisindex!$A$6),ROUND($E279*BA279,2),IF(AND($E279&lt;&gt;0,$F279&gt;0,YEAR($F279)&lt;=BA$4,YEAR($F279)&lt;Preisindex!$A$6),ROUND($E279*BB279,2),0))</f>
        <v>0</v>
      </c>
      <c r="BD279" s="53">
        <f t="shared" si="762"/>
        <v>0</v>
      </c>
      <c r="BE279" s="51">
        <f t="shared" si="839"/>
        <v>0</v>
      </c>
      <c r="BF279" s="51">
        <f t="shared" si="846"/>
        <v>0</v>
      </c>
      <c r="BG279" s="51">
        <f t="shared" si="763"/>
        <v>0</v>
      </c>
      <c r="BH279" s="51">
        <f t="shared" si="847"/>
        <v>0</v>
      </c>
      <c r="BI279" s="51">
        <f t="shared" si="764"/>
        <v>0</v>
      </c>
      <c r="BJ279" s="51">
        <f t="shared" si="848"/>
        <v>0</v>
      </c>
      <c r="BK279" s="51">
        <f t="shared" si="765"/>
        <v>0</v>
      </c>
      <c r="BL279" s="51">
        <f t="shared" si="849"/>
        <v>0</v>
      </c>
      <c r="BM279" s="51">
        <f t="shared" si="766"/>
        <v>0</v>
      </c>
      <c r="BN279" s="51">
        <f t="shared" si="850"/>
        <v>0</v>
      </c>
      <c r="BO279" s="51">
        <f t="shared" si="767"/>
        <v>0</v>
      </c>
      <c r="BP279" s="54">
        <f t="shared" si="768"/>
        <v>0</v>
      </c>
      <c r="BQ279" s="55">
        <f t="shared" si="769"/>
        <v>0</v>
      </c>
      <c r="BR279" s="56">
        <f>IF(AND($E279&lt;&gt;0,$F279&gt;0,YEAR($F279)&gt;=Preisindex!$A$6,YEAR(BM$4)&gt;=YEAR($F279),AND($K279&lt;&gt;"a",$K279&lt;&gt;"b",$K279&lt;&gt;"g",$K279&lt;&gt;"k")),1,IF(AND($E279&lt;&gt;0,$F279&gt;0,YEAR($F279)&gt;=Preisindex!$A$6,YEAR(BM$4)&gt;=YEAR($F279),$K279="a"),ROUND(VLOOKUP(BR$4,Preisindex,5,FALSE)/VLOOKUP(YEAR($F279),Preisindex,5,FALSE),2),IF(AND($E279&lt;&gt;0,$F279&gt;0,YEAR($F279)&gt;=Preisindex!$A$6,YEAR(BM$4)&gt;=YEAR($F279),$K279="b"),ROUND(VLOOKUP(BR$4,Preisindex,3,FALSE)/VLOOKUP(YEAR($F279),Preisindex,3,FALSE),2),IF(AND($E279&lt;&gt;0,$F279&gt;0,YEAR($F279)&gt;=Preisindex!$A$6,YEAR(BM$4)&gt;=YEAR($F279),$K279="g"),ROUND(VLOOKUP(BR$4,Preisindex,4,FALSE)/VLOOKUP(YEAR($F279),Preisindex,4,FALSE),2),IF(AND($E279&lt;&gt;0,$F279&gt;0,YEAR($F279)&gt;=Preisindex!$A$6,YEAR(BM$4)&gt;=YEAR($F279),$K279="k"),ROUND(VLOOKUP(BR$4,Preisindex,2,FALSE)/VLOOKUP(YEAR($F279),Preisindex,2,FALSE),2),0)))))</f>
        <v>0</v>
      </c>
      <c r="BS279" s="56">
        <f>IF(AND($E279&lt;&gt;0,$F279&gt;0,YEAR($F279)&lt;Preisindex!$A$6,YEAR(BM$4)&gt;=YEAR($F279),AND($K279&lt;&gt;"a",$K279&lt;&gt;"b",$K279&lt;&gt;"g",$K279&lt;&gt;"k")),1,IF(AND($E279&lt;&gt;0,$F279&gt;0,YEAR($F279)&lt;Preisindex!$A$6,YEAR(BM$4)&gt;=YEAR($F279),$K279="a"),ROUND(VLOOKUP(BR$4,Preisindex,5,FALSE)/VLOOKUP(Preisindex!$A$6,Preisindex,5,FALSE),2),IF(AND($E279&lt;&gt;0,$F279&gt;0,YEAR($F279)&lt;Preisindex!$A$6,YEAR(BM$4)&gt;=YEAR($F279),$K279="b"),ROUND(VLOOKUP(BR$4,Preisindex,3,FALSE)/VLOOKUP(Preisindex!$A$6,Preisindex,3,FALSE),2),IF(AND($E279&lt;&gt;0,$F279&gt;0,YEAR($F279)&lt;Preisindex!$A$6,YEAR(BM$4)&gt;=YEAR($F279),$K279="g"),ROUND(VLOOKUP(BR$4,Preisindex,4,FALSE)/VLOOKUP(Preisindex!$A$6,Preisindex,4,FALSE),2),IF(AND($E279&lt;&gt;0,$F279&gt;0,YEAR($F279)&lt;Preisindex!$A$6,YEAR(BM$4)&gt;=YEAR($F279),$K279="k"),ROUND(VLOOKUP(BR$4,Preisindex,2,FALSE)/VLOOKUP(Preisindex!$A$6,Preisindex,2,FALSE),2),0)))))</f>
        <v>0</v>
      </c>
      <c r="BT279" s="51">
        <f>IF(AND($E279&lt;&gt;0,$F279&gt;0,YEAR($F279)&lt;=BR$4,YEAR($F279)&gt;=Preisindex!$A$6),ROUND($E279*BR279,2),IF(AND($E279&lt;&gt;0,$F279&gt;0,YEAR($F279)&lt;=BR$4,YEAR($F279)&lt;Preisindex!$A$6),ROUND($E279*BS279,2),0))</f>
        <v>0</v>
      </c>
      <c r="BU279" s="53">
        <f t="shared" si="770"/>
        <v>0</v>
      </c>
      <c r="BV279" s="51">
        <f t="shared" si="839"/>
        <v>0</v>
      </c>
      <c r="BW279" s="51">
        <f t="shared" si="851"/>
        <v>0</v>
      </c>
      <c r="BX279" s="51">
        <f t="shared" si="771"/>
        <v>0</v>
      </c>
      <c r="BY279" s="51">
        <f t="shared" si="852"/>
        <v>0</v>
      </c>
      <c r="BZ279" s="51">
        <f t="shared" si="772"/>
        <v>0</v>
      </c>
      <c r="CA279" s="51">
        <f t="shared" si="853"/>
        <v>0</v>
      </c>
      <c r="CB279" s="51">
        <f t="shared" si="773"/>
        <v>0</v>
      </c>
      <c r="CC279" s="51">
        <f t="shared" si="854"/>
        <v>0</v>
      </c>
      <c r="CD279" s="51">
        <f t="shared" si="774"/>
        <v>0</v>
      </c>
      <c r="CE279" s="51">
        <f t="shared" si="855"/>
        <v>0</v>
      </c>
      <c r="CF279" s="51">
        <f t="shared" si="775"/>
        <v>0</v>
      </c>
      <c r="CG279" s="54">
        <f t="shared" si="776"/>
        <v>0</v>
      </c>
      <c r="CH279" s="55">
        <f t="shared" si="777"/>
        <v>0</v>
      </c>
      <c r="CI279" s="56">
        <f>IF(AND($E279&lt;&gt;0,$F279&gt;0,YEAR($F279)&gt;=Preisindex!$A$6,YEAR(CD$4)&gt;=YEAR($F279),AND($K279&lt;&gt;"a",$K279&lt;&gt;"b",$K279&lt;&gt;"g",$K279&lt;&gt;"k")),1,IF(AND($E279&lt;&gt;0,$F279&gt;0,YEAR($F279)&gt;=Preisindex!$A$6,YEAR(CD$4)&gt;=YEAR($F279),$K279="a"),ROUND(VLOOKUP(CI$4,Preisindex,5,FALSE)/VLOOKUP(YEAR($F279),Preisindex,5,FALSE),2),IF(AND($E279&lt;&gt;0,$F279&gt;0,YEAR($F279)&gt;=Preisindex!$A$6,YEAR(CD$4)&gt;=YEAR($F279),$K279="b"),ROUND(VLOOKUP(CI$4,Preisindex,3,FALSE)/VLOOKUP(YEAR($F279),Preisindex,3,FALSE),2),IF(AND($E279&lt;&gt;0,$F279&gt;0,YEAR($F279)&gt;=Preisindex!$A$6,YEAR(CD$4)&gt;=YEAR($F279),$K279="g"),ROUND(VLOOKUP(CI$4,Preisindex,4,FALSE)/VLOOKUP(YEAR($F279),Preisindex,4,FALSE),2),IF(AND($E279&lt;&gt;0,$F279&gt;0,YEAR($F279)&gt;=Preisindex!$A$6,YEAR(CD$4)&gt;=YEAR($F279),$K279="k"),ROUND(VLOOKUP(CI$4,Preisindex,2,FALSE)/VLOOKUP(YEAR($F279),Preisindex,2,FALSE),2),0)))))</f>
        <v>0</v>
      </c>
      <c r="CJ279" s="56">
        <f>IF(AND($E279&lt;&gt;0,$F279&gt;0,YEAR($F279)&lt;Preisindex!$A$6,YEAR(CD$4)&gt;=YEAR($F279),AND($K279&lt;&gt;"a",$K279&lt;&gt;"b",$K279&lt;&gt;"g",$K279&lt;&gt;"k")),1,IF(AND($E279&lt;&gt;0,$F279&gt;0,YEAR($F279)&lt;Preisindex!$A$6,YEAR(CD$4)&gt;=YEAR($F279),$K279="a"),ROUND(VLOOKUP(CI$4,Preisindex,5,FALSE)/VLOOKUP(Preisindex!$A$6,Preisindex,5,FALSE),2),IF(AND($E279&lt;&gt;0,$F279&gt;0,YEAR($F279)&lt;Preisindex!$A$6,YEAR(CD$4)&gt;=YEAR($F279),$K279="b"),ROUND(VLOOKUP(CI$4,Preisindex,3,FALSE)/VLOOKUP(Preisindex!$A$6,Preisindex,3,FALSE),2),IF(AND($E279&lt;&gt;0,$F279&gt;0,YEAR($F279)&lt;Preisindex!$A$6,YEAR(CD$4)&gt;=YEAR($F279),$K279="g"),ROUND(VLOOKUP(CI$4,Preisindex,4,FALSE)/VLOOKUP(Preisindex!$A$6,Preisindex,4,FALSE),2),IF(AND($E279&lt;&gt;0,$F279&gt;0,YEAR($F279)&lt;Preisindex!$A$6,YEAR(CD$4)&gt;=YEAR($F279),$K279="k"),ROUND(VLOOKUP(CI$4,Preisindex,2,FALSE)/VLOOKUP(Preisindex!$A$6,Preisindex,2,FALSE),2),0)))))</f>
        <v>0</v>
      </c>
      <c r="CK279" s="51">
        <f>IF(AND($E279&lt;&gt;0,$F279&gt;0,YEAR($F279)&lt;=CI$4,YEAR($F279)&gt;=Preisindex!$A$6),ROUND($E279*CI279,2),IF(AND($E279&lt;&gt;0,$F279&gt;0,YEAR($F279)&lt;=CI$4,YEAR($F279)&lt;Preisindex!$A$6),ROUND($E279*CJ279,2),0))</f>
        <v>0</v>
      </c>
      <c r="CL279" s="53">
        <f t="shared" si="778"/>
        <v>0</v>
      </c>
      <c r="CM279" s="51">
        <f t="shared" si="839"/>
        <v>0</v>
      </c>
      <c r="CN279" s="51">
        <f t="shared" si="856"/>
        <v>0</v>
      </c>
      <c r="CO279" s="51">
        <f t="shared" si="779"/>
        <v>0</v>
      </c>
      <c r="CP279" s="51">
        <f t="shared" si="857"/>
        <v>0</v>
      </c>
      <c r="CQ279" s="51">
        <f t="shared" si="780"/>
        <v>0</v>
      </c>
      <c r="CR279" s="51">
        <f t="shared" si="858"/>
        <v>0</v>
      </c>
      <c r="CS279" s="51">
        <f t="shared" si="781"/>
        <v>0</v>
      </c>
      <c r="CT279" s="51">
        <f t="shared" si="859"/>
        <v>0</v>
      </c>
      <c r="CU279" s="51">
        <f t="shared" si="782"/>
        <v>0</v>
      </c>
      <c r="CV279" s="51">
        <f t="shared" si="860"/>
        <v>0</v>
      </c>
      <c r="CW279" s="51">
        <f t="shared" si="783"/>
        <v>0</v>
      </c>
      <c r="CX279" s="54">
        <f t="shared" si="784"/>
        <v>0</v>
      </c>
      <c r="CY279" s="55">
        <f t="shared" si="785"/>
        <v>0</v>
      </c>
      <c r="CZ279" s="56">
        <f>IF(AND($E279&lt;&gt;0,$F279&gt;0,YEAR($F279)&gt;=Preisindex!$A$6,YEAR(CU$4)&gt;=YEAR($F279),AND($K279&lt;&gt;"a",$K279&lt;&gt;"b",$K279&lt;&gt;"g",$K279&lt;&gt;"k")),1,IF(AND($E279&lt;&gt;0,$F279&gt;0,YEAR($F279)&gt;=Preisindex!$A$6,YEAR(CU$4)&gt;=YEAR($F279),$K279="a"),ROUND(VLOOKUP(CZ$4,Preisindex,5,FALSE)/VLOOKUP(YEAR($F279),Preisindex,5,FALSE),2),IF(AND($E279&lt;&gt;0,$F279&gt;0,YEAR($F279)&gt;=Preisindex!$A$6,YEAR(CU$4)&gt;=YEAR($F279),$K279="b"),ROUND(VLOOKUP(CZ$4,Preisindex,3,FALSE)/VLOOKUP(YEAR($F279),Preisindex,3,FALSE),2),IF(AND($E279&lt;&gt;0,$F279&gt;0,YEAR($F279)&gt;=Preisindex!$A$6,YEAR(CU$4)&gt;=YEAR($F279),$K279="g"),ROUND(VLOOKUP(CZ$4,Preisindex,4,FALSE)/VLOOKUP(YEAR($F279),Preisindex,4,FALSE),2),IF(AND($E279&lt;&gt;0,$F279&gt;0,YEAR($F279)&gt;=Preisindex!$A$6,YEAR(CU$4)&gt;=YEAR($F279),$K279="k"),ROUND(VLOOKUP(CZ$4,Preisindex,2,FALSE)/VLOOKUP(YEAR($F279),Preisindex,2,FALSE),2),0)))))</f>
        <v>0</v>
      </c>
      <c r="DA279" s="56">
        <f>IF(AND($E279&lt;&gt;0,$F279&gt;0,YEAR($F279)&lt;Preisindex!$A$6,YEAR(CU$4)&gt;=YEAR($F279),AND($K279&lt;&gt;"a",$K279&lt;&gt;"b",$K279&lt;&gt;"g",$K279&lt;&gt;"k")),1,IF(AND($E279&lt;&gt;0,$F279&gt;0,YEAR($F279)&lt;Preisindex!$A$6,YEAR(CU$4)&gt;=YEAR($F279),$K279="a"),ROUND(VLOOKUP(CZ$4,Preisindex,5,FALSE)/VLOOKUP(Preisindex!$A$6,Preisindex,5,FALSE),2),IF(AND($E279&lt;&gt;0,$F279&gt;0,YEAR($F279)&lt;Preisindex!$A$6,YEAR(CU$4)&gt;=YEAR($F279),$K279="b"),ROUND(VLOOKUP(CZ$4,Preisindex,3,FALSE)/VLOOKUP(Preisindex!$A$6,Preisindex,3,FALSE),2),IF(AND($E279&lt;&gt;0,$F279&gt;0,YEAR($F279)&lt;Preisindex!$A$6,YEAR(CU$4)&gt;=YEAR($F279),$K279="g"),ROUND(VLOOKUP(CZ$4,Preisindex,4,FALSE)/VLOOKUP(Preisindex!$A$6,Preisindex,4,FALSE),2),IF(AND($E279&lt;&gt;0,$F279&gt;0,YEAR($F279)&lt;Preisindex!$A$6,YEAR(CU$4)&gt;=YEAR($F279),$K279="k"),ROUND(VLOOKUP(CZ$4,Preisindex,2,FALSE)/VLOOKUP(Preisindex!$A$6,Preisindex,2,FALSE),2),0)))))</f>
        <v>0</v>
      </c>
      <c r="DB279" s="51">
        <f>IF(AND($E279&lt;&gt;0,$F279&gt;0,YEAR($F279)&lt;=CZ$4,YEAR($F279)&gt;=Preisindex!$A$6),ROUND($E279*CZ279,2),IF(AND($E279&lt;&gt;0,$F279&gt;0,YEAR($F279)&lt;=CZ$4,YEAR($F279)&lt;Preisindex!$A$6),ROUND($E279*DA279,2),0))</f>
        <v>0</v>
      </c>
      <c r="DC279" s="53">
        <f t="shared" si="786"/>
        <v>0</v>
      </c>
      <c r="DD279" s="51">
        <f t="shared" si="840"/>
        <v>0</v>
      </c>
      <c r="DE279" s="51">
        <f t="shared" si="861"/>
        <v>0</v>
      </c>
      <c r="DF279" s="51">
        <f t="shared" si="788"/>
        <v>0</v>
      </c>
      <c r="DG279" s="51">
        <f t="shared" si="862"/>
        <v>0</v>
      </c>
      <c r="DH279" s="51">
        <f t="shared" si="789"/>
        <v>0</v>
      </c>
      <c r="DI279" s="51">
        <f t="shared" si="863"/>
        <v>0</v>
      </c>
      <c r="DJ279" s="51">
        <f t="shared" si="790"/>
        <v>0</v>
      </c>
      <c r="DK279" s="51">
        <f t="shared" si="864"/>
        <v>0</v>
      </c>
      <c r="DL279" s="51">
        <f t="shared" si="791"/>
        <v>0</v>
      </c>
      <c r="DM279" s="51">
        <f t="shared" si="865"/>
        <v>0</v>
      </c>
      <c r="DN279" s="51">
        <f t="shared" si="792"/>
        <v>0</v>
      </c>
      <c r="DO279" s="54">
        <f t="shared" si="793"/>
        <v>0</v>
      </c>
      <c r="DP279" s="55">
        <f t="shared" si="794"/>
        <v>0</v>
      </c>
      <c r="DQ279" s="56">
        <f>IF(AND($E279&lt;&gt;0,$F279&gt;0,YEAR($F279)&gt;=Preisindex!$A$6,YEAR(DL$4)&gt;=YEAR($F279),AND($K279&lt;&gt;"a",$K279&lt;&gt;"b",$K279&lt;&gt;"g",$K279&lt;&gt;"k")),1,IF(AND($E279&lt;&gt;0,$F279&gt;0,YEAR($F279)&gt;=Preisindex!$A$6,YEAR(DL$4)&gt;=YEAR($F279),$K279="a"),ROUND(VLOOKUP(DQ$4,Preisindex,5,FALSE)/VLOOKUP(YEAR($F279),Preisindex,5,FALSE),2),IF(AND($E279&lt;&gt;0,$F279&gt;0,YEAR($F279)&gt;=Preisindex!$A$6,YEAR(DL$4)&gt;=YEAR($F279),$K279="b"),ROUND(VLOOKUP(DQ$4,Preisindex,3,FALSE)/VLOOKUP(YEAR($F279),Preisindex,3,FALSE),2),IF(AND($E279&lt;&gt;0,$F279&gt;0,YEAR($F279)&gt;=Preisindex!$A$6,YEAR(DL$4)&gt;=YEAR($F279),$K279="g"),ROUND(VLOOKUP(DQ$4,Preisindex,4,FALSE)/VLOOKUP(YEAR($F279),Preisindex,4,FALSE),2),IF(AND($E279&lt;&gt;0,$F279&gt;0,YEAR($F279)&gt;=Preisindex!$A$6,YEAR(DL$4)&gt;=YEAR($F279),$K279="k"),ROUND(VLOOKUP(DQ$4,Preisindex,2,FALSE)/VLOOKUP(YEAR($F279),Preisindex,2,FALSE),2),0)))))</f>
        <v>0</v>
      </c>
      <c r="DR279" s="56">
        <f>IF(AND($E279&lt;&gt;0,$F279&gt;0,YEAR($F279)&lt;Preisindex!$A$6,YEAR(DL$4)&gt;=YEAR($F279),AND($K279&lt;&gt;"a",$K279&lt;&gt;"b",$K279&lt;&gt;"g",$K279&lt;&gt;"k")),1,IF(AND($E279&lt;&gt;0,$F279&gt;0,YEAR($F279)&lt;Preisindex!$A$6,YEAR(DL$4)&gt;=YEAR($F279),$K279="a"),ROUND(VLOOKUP(DQ$4,Preisindex,5,FALSE)/VLOOKUP(Preisindex!$A$6,Preisindex,5,FALSE),2),IF(AND($E279&lt;&gt;0,$F279&gt;0,YEAR($F279)&lt;Preisindex!$A$6,YEAR(DL$4)&gt;=YEAR($F279),$K279="b"),ROUND(VLOOKUP(DQ$4,Preisindex,3,FALSE)/VLOOKUP(Preisindex!$A$6,Preisindex,3,FALSE),2),IF(AND($E279&lt;&gt;0,$F279&gt;0,YEAR($F279)&lt;Preisindex!$A$6,YEAR(DL$4)&gt;=YEAR($F279),$K279="g"),ROUND(VLOOKUP(DQ$4,Preisindex,4,FALSE)/VLOOKUP(Preisindex!$A$6,Preisindex,4,FALSE),2),IF(AND($E279&lt;&gt;0,$F279&gt;0,YEAR($F279)&lt;Preisindex!$A$6,YEAR(DL$4)&gt;=YEAR($F279),$K279="k"),ROUND(VLOOKUP(DQ$4,Preisindex,2,FALSE)/VLOOKUP(Preisindex!$A$6,Preisindex,2,FALSE),2),0)))))</f>
        <v>0</v>
      </c>
      <c r="DS279" s="51">
        <f>IF(AND($E279&lt;&gt;0,$F279&gt;0,YEAR($F279)&lt;=DQ$4,YEAR($F279)&gt;=Preisindex!$A$6),ROUND($E279*DQ279,2),IF(AND($E279&lt;&gt;0,$F279&gt;0,YEAR($F279)&lt;=DQ$4,YEAR($F279)&lt;Preisindex!$A$6),ROUND($E279*DR279,2),0))</f>
        <v>0</v>
      </c>
      <c r="DT279" s="53">
        <f t="shared" si="795"/>
        <v>0</v>
      </c>
      <c r="DU279" s="51">
        <f t="shared" si="840"/>
        <v>0</v>
      </c>
      <c r="DV279" s="51">
        <f t="shared" si="866"/>
        <v>0</v>
      </c>
      <c r="DW279" s="51">
        <f t="shared" si="796"/>
        <v>0</v>
      </c>
      <c r="DX279" s="51">
        <f t="shared" si="867"/>
        <v>0</v>
      </c>
      <c r="DY279" s="51">
        <f t="shared" si="797"/>
        <v>0</v>
      </c>
      <c r="DZ279" s="51">
        <f t="shared" si="868"/>
        <v>0</v>
      </c>
      <c r="EA279" s="51">
        <f t="shared" si="798"/>
        <v>0</v>
      </c>
      <c r="EB279" s="51">
        <f t="shared" si="869"/>
        <v>0</v>
      </c>
      <c r="EC279" s="51">
        <f t="shared" si="799"/>
        <v>0</v>
      </c>
      <c r="ED279" s="51">
        <f t="shared" si="870"/>
        <v>0</v>
      </c>
      <c r="EE279" s="51">
        <f t="shared" si="800"/>
        <v>0</v>
      </c>
      <c r="EF279" s="54">
        <f t="shared" si="801"/>
        <v>0</v>
      </c>
      <c r="EG279" s="55">
        <f t="shared" si="802"/>
        <v>0</v>
      </c>
      <c r="EH279" s="56">
        <f>IF(AND($E279&lt;&gt;0,$F279&gt;0,YEAR($F279)&gt;=Preisindex!$A$6,YEAR(EC$4)&gt;=YEAR($F279),AND($K279&lt;&gt;"a",$K279&lt;&gt;"b",$K279&lt;&gt;"g",$K279&lt;&gt;"k")),1,IF(AND($E279&lt;&gt;0,$F279&gt;0,YEAR($F279)&gt;=Preisindex!$A$6,YEAR(EC$4)&gt;=YEAR($F279),$K279="a"),ROUND(VLOOKUP(EH$4,Preisindex,5,FALSE)/VLOOKUP(YEAR($F279),Preisindex,5,FALSE),2),IF(AND($E279&lt;&gt;0,$F279&gt;0,YEAR($F279)&gt;=Preisindex!$A$6,YEAR(EC$4)&gt;=YEAR($F279),$K279="b"),ROUND(VLOOKUP(EH$4,Preisindex,3,FALSE)/VLOOKUP(YEAR($F279),Preisindex,3,FALSE),2),IF(AND($E279&lt;&gt;0,$F279&gt;0,YEAR($F279)&gt;=Preisindex!$A$6,YEAR(EC$4)&gt;=YEAR($F279),$K279="g"),ROUND(VLOOKUP(EH$4,Preisindex,4,FALSE)/VLOOKUP(YEAR($F279),Preisindex,4,FALSE),2),IF(AND($E279&lt;&gt;0,$F279&gt;0,YEAR($F279)&gt;=Preisindex!$A$6,YEAR(EC$4)&gt;=YEAR($F279),$K279="k"),ROUND(VLOOKUP(EH$4,Preisindex,2,FALSE)/VLOOKUP(YEAR($F279),Preisindex,2,FALSE),2),0)))))</f>
        <v>0</v>
      </c>
      <c r="EI279" s="56">
        <f>IF(AND($E279&lt;&gt;0,$F279&gt;0,YEAR($F279)&lt;Preisindex!$A$6,YEAR(EC$4)&gt;=YEAR($F279),AND($K279&lt;&gt;"a",$K279&lt;&gt;"b",$K279&lt;&gt;"g",$K279&lt;&gt;"k")),1,IF(AND($E279&lt;&gt;0,$F279&gt;0,YEAR($F279)&lt;Preisindex!$A$6,YEAR(EC$4)&gt;=YEAR($F279),$K279="a"),ROUND(VLOOKUP(EH$4,Preisindex,5,FALSE)/VLOOKUP(Preisindex!$A$6,Preisindex,5,FALSE),2),IF(AND($E279&lt;&gt;0,$F279&gt;0,YEAR($F279)&lt;Preisindex!$A$6,YEAR(EC$4)&gt;=YEAR($F279),$K279="b"),ROUND(VLOOKUP(EH$4,Preisindex,3,FALSE)/VLOOKUP(Preisindex!$A$6,Preisindex,3,FALSE),2),IF(AND($E279&lt;&gt;0,$F279&gt;0,YEAR($F279)&lt;Preisindex!$A$6,YEAR(EC$4)&gt;=YEAR($F279),$K279="g"),ROUND(VLOOKUP(EH$4,Preisindex,4,FALSE)/VLOOKUP(Preisindex!$A$6,Preisindex,4,FALSE),2),IF(AND($E279&lt;&gt;0,$F279&gt;0,YEAR($F279)&lt;Preisindex!$A$6,YEAR(EC$4)&gt;=YEAR($F279),$K279="k"),ROUND(VLOOKUP(EH$4,Preisindex,2,FALSE)/VLOOKUP(Preisindex!$A$6,Preisindex,2,FALSE),2),0)))))</f>
        <v>0</v>
      </c>
      <c r="EJ279" s="51">
        <f>IF(AND($E279&lt;&gt;0,$F279&gt;0,YEAR($F279)&lt;=EH$4,YEAR($F279)&gt;=Preisindex!$A$6),ROUND($E279*EH279,2),IF(AND($E279&lt;&gt;0,$F279&gt;0,YEAR($F279)&lt;=EH$4,YEAR($F279)&lt;Preisindex!$A$6),ROUND($E279*EI279,2),0))</f>
        <v>0</v>
      </c>
      <c r="EK279" s="53">
        <f t="shared" si="803"/>
        <v>0</v>
      </c>
      <c r="EL279" s="51">
        <f t="shared" si="840"/>
        <v>0</v>
      </c>
      <c r="EM279" s="51">
        <f t="shared" si="871"/>
        <v>0</v>
      </c>
      <c r="EN279" s="51">
        <f t="shared" si="804"/>
        <v>0</v>
      </c>
      <c r="EO279" s="51">
        <f t="shared" si="872"/>
        <v>0</v>
      </c>
      <c r="EP279" s="51">
        <f t="shared" si="805"/>
        <v>0</v>
      </c>
      <c r="EQ279" s="51">
        <f t="shared" si="873"/>
        <v>0</v>
      </c>
      <c r="ER279" s="51">
        <f t="shared" si="806"/>
        <v>0</v>
      </c>
      <c r="ES279" s="51">
        <f t="shared" si="874"/>
        <v>0</v>
      </c>
      <c r="ET279" s="51">
        <f t="shared" si="807"/>
        <v>0</v>
      </c>
      <c r="EU279" s="51">
        <f t="shared" si="875"/>
        <v>0</v>
      </c>
      <c r="EV279" s="51">
        <f t="shared" si="808"/>
        <v>0</v>
      </c>
      <c r="EW279" s="54">
        <f t="shared" si="809"/>
        <v>0</v>
      </c>
      <c r="EX279" s="55">
        <f t="shared" si="810"/>
        <v>0</v>
      </c>
      <c r="EY279" s="56">
        <f>IF(AND($E279&lt;&gt;0,$F279&gt;0,YEAR($F279)&gt;=Preisindex!$A$6,YEAR(ET$4)&gt;=YEAR($F279),AND($K279&lt;&gt;"a",$K279&lt;&gt;"b",$K279&lt;&gt;"g",$K279&lt;&gt;"k")),1,IF(AND($E279&lt;&gt;0,$F279&gt;0,YEAR($F279)&gt;=Preisindex!$A$6,YEAR(ET$4)&gt;=YEAR($F279),$K279="a"),ROUND(VLOOKUP(EY$4,Preisindex,5,FALSE)/VLOOKUP(YEAR($F279),Preisindex,5,FALSE),2),IF(AND($E279&lt;&gt;0,$F279&gt;0,YEAR($F279)&gt;=Preisindex!$A$6,YEAR(ET$4)&gt;=YEAR($F279),$K279="b"),ROUND(VLOOKUP(EY$4,Preisindex,3,FALSE)/VLOOKUP(YEAR($F279),Preisindex,3,FALSE),2),IF(AND($E279&lt;&gt;0,$F279&gt;0,YEAR($F279)&gt;=Preisindex!$A$6,YEAR(ET$4)&gt;=YEAR($F279),$K279="g"),ROUND(VLOOKUP(EY$4,Preisindex,4,FALSE)/VLOOKUP(YEAR($F279),Preisindex,4,FALSE),2),IF(AND($E279&lt;&gt;0,$F279&gt;0,YEAR($F279)&gt;=Preisindex!$A$6,YEAR(ET$4)&gt;=YEAR($F279),$K279="k"),ROUND(VLOOKUP(EY$4,Preisindex,2,FALSE)/VLOOKUP(YEAR($F279),Preisindex,2,FALSE),2),0)))))</f>
        <v>0</v>
      </c>
      <c r="EZ279" s="56">
        <f>IF(AND($E279&lt;&gt;0,$F279&gt;0,YEAR($F279)&lt;Preisindex!$A$6,YEAR(ET$4)&gt;=YEAR($F279),AND($K279&lt;&gt;"a",$K279&lt;&gt;"b",$K279&lt;&gt;"g",$K279&lt;&gt;"k")),1,IF(AND($E279&lt;&gt;0,$F279&gt;0,YEAR($F279)&lt;Preisindex!$A$6,YEAR(ET$4)&gt;=YEAR($F279),$K279="a"),ROUND(VLOOKUP(EY$4,Preisindex,5,FALSE)/VLOOKUP(Preisindex!$A$6,Preisindex,5,FALSE),2),IF(AND($E279&lt;&gt;0,$F279&gt;0,YEAR($F279)&lt;Preisindex!$A$6,YEAR(ET$4)&gt;=YEAR($F279),$K279="b"),ROUND(VLOOKUP(EY$4,Preisindex,3,FALSE)/VLOOKUP(Preisindex!$A$6,Preisindex,3,FALSE),2),IF(AND($E279&lt;&gt;0,$F279&gt;0,YEAR($F279)&lt;Preisindex!$A$6,YEAR(ET$4)&gt;=YEAR($F279),$K279="g"),ROUND(VLOOKUP(EY$4,Preisindex,4,FALSE)/VLOOKUP(Preisindex!$A$6,Preisindex,4,FALSE),2),IF(AND($E279&lt;&gt;0,$F279&gt;0,YEAR($F279)&lt;Preisindex!$A$6,YEAR(ET$4)&gt;=YEAR($F279),$K279="k"),ROUND(VLOOKUP(EY$4,Preisindex,2,FALSE)/VLOOKUP(Preisindex!$A$6,Preisindex,2,FALSE),2),0)))))</f>
        <v>0</v>
      </c>
      <c r="FA279" s="51">
        <f>IF(AND($E279&lt;&gt;0,$F279&gt;0,YEAR($F279)&lt;=EY$4,YEAR($F279)&gt;=Preisindex!$A$6),ROUND($E279*EY279,2),IF(AND($E279&lt;&gt;0,$F279&gt;0,YEAR($F279)&lt;=EY$4,YEAR($F279)&lt;Preisindex!$A$6),ROUND($E279*EZ279,2),0))</f>
        <v>0</v>
      </c>
      <c r="FB279" s="53">
        <f t="shared" si="811"/>
        <v>0</v>
      </c>
      <c r="FC279" s="51">
        <f t="shared" si="840"/>
        <v>0</v>
      </c>
      <c r="FD279" s="51">
        <f t="shared" si="876"/>
        <v>0</v>
      </c>
      <c r="FE279" s="51">
        <f t="shared" si="812"/>
        <v>0</v>
      </c>
      <c r="FF279" s="51">
        <f t="shared" si="877"/>
        <v>0</v>
      </c>
      <c r="FG279" s="51">
        <f t="shared" si="813"/>
        <v>0</v>
      </c>
      <c r="FH279" s="51">
        <f t="shared" si="878"/>
        <v>0</v>
      </c>
      <c r="FI279" s="51">
        <f t="shared" si="814"/>
        <v>0</v>
      </c>
      <c r="FJ279" s="51">
        <f t="shared" si="879"/>
        <v>0</v>
      </c>
      <c r="FK279" s="51">
        <f t="shared" si="815"/>
        <v>0</v>
      </c>
      <c r="FL279" s="51">
        <f t="shared" si="880"/>
        <v>0</v>
      </c>
      <c r="FM279" s="51">
        <f t="shared" si="816"/>
        <v>0</v>
      </c>
      <c r="FN279" s="54">
        <f t="shared" si="817"/>
        <v>0</v>
      </c>
      <c r="FO279" s="55">
        <f t="shared" si="818"/>
        <v>0</v>
      </c>
      <c r="FP279" s="56">
        <f>IF(AND($E279&lt;&gt;0,$F279&gt;0,YEAR($F279)&gt;=Preisindex!$A$6,YEAR(FK$4)&gt;=YEAR($F279),AND($K279&lt;&gt;"a",$K279&lt;&gt;"b",$K279&lt;&gt;"g",$K279&lt;&gt;"k")),1,IF(AND($E279&lt;&gt;0,$F279&gt;0,YEAR($F279)&gt;=Preisindex!$A$6,YEAR(FK$4)&gt;=YEAR($F279),$K279="a"),ROUND(VLOOKUP(FP$4,Preisindex,5,FALSE)/VLOOKUP(YEAR($F279),Preisindex,5,FALSE),2),IF(AND($E279&lt;&gt;0,$F279&gt;0,YEAR($F279)&gt;=Preisindex!$A$6,YEAR(FK$4)&gt;=YEAR($F279),$K279="b"),ROUND(VLOOKUP(FP$4,Preisindex,3,FALSE)/VLOOKUP(YEAR($F279),Preisindex,3,FALSE),2),IF(AND($E279&lt;&gt;0,$F279&gt;0,YEAR($F279)&gt;=Preisindex!$A$6,YEAR(FK$4)&gt;=YEAR($F279),$K279="g"),ROUND(VLOOKUP(FP$4,Preisindex,4,FALSE)/VLOOKUP(YEAR($F279),Preisindex,4,FALSE),2),IF(AND($E279&lt;&gt;0,$F279&gt;0,YEAR($F279)&gt;=Preisindex!$A$6,YEAR(FK$4)&gt;=YEAR($F279),$K279="k"),ROUND(VLOOKUP(FP$4,Preisindex,2,FALSE)/VLOOKUP(YEAR($F279),Preisindex,2,FALSE),2),0)))))</f>
        <v>0</v>
      </c>
      <c r="FQ279" s="56">
        <f>IF(AND($E279&lt;&gt;0,$F279&gt;0,YEAR($F279)&lt;Preisindex!$A$6,YEAR(FK$4)&gt;=YEAR($F279),AND($K279&lt;&gt;"a",$K279&lt;&gt;"b",$K279&lt;&gt;"g",$K279&lt;&gt;"k")),1,IF(AND($E279&lt;&gt;0,$F279&gt;0,YEAR($F279)&lt;Preisindex!$A$6,YEAR(FK$4)&gt;=YEAR($F279),$K279="a"),ROUND(VLOOKUP(FP$4,Preisindex,5,FALSE)/VLOOKUP(Preisindex!$A$6,Preisindex,5,FALSE),2),IF(AND($E279&lt;&gt;0,$F279&gt;0,YEAR($F279)&lt;Preisindex!$A$6,YEAR(FK$4)&gt;=YEAR($F279),$K279="b"),ROUND(VLOOKUP(FP$4,Preisindex,3,FALSE)/VLOOKUP(Preisindex!$A$6,Preisindex,3,FALSE),2),IF(AND($E279&lt;&gt;0,$F279&gt;0,YEAR($F279)&lt;Preisindex!$A$6,YEAR(FK$4)&gt;=YEAR($F279),$K279="g"),ROUND(VLOOKUP(FP$4,Preisindex,4,FALSE)/VLOOKUP(Preisindex!$A$6,Preisindex,4,FALSE),2),IF(AND($E279&lt;&gt;0,$F279&gt;0,YEAR($F279)&lt;Preisindex!$A$6,YEAR(FK$4)&gt;=YEAR($F279),$K279="k"),ROUND(VLOOKUP(FP$4,Preisindex,2,FALSE)/VLOOKUP(Preisindex!$A$6,Preisindex,2,FALSE),2),0)))))</f>
        <v>0</v>
      </c>
      <c r="FR279" s="51">
        <f>IF(AND($E279&lt;&gt;0,$F279&gt;0,YEAR($F279)&lt;=FP$4,YEAR($F279)&gt;=Preisindex!$A$6),ROUND($E279*FP279,2),IF(AND($E279&lt;&gt;0,$F279&gt;0,YEAR($F279)&lt;=FP$4,YEAR($F279)&lt;Preisindex!$A$6),ROUND($E279*FQ279,2),0))</f>
        <v>0</v>
      </c>
      <c r="FS279" s="53">
        <f t="shared" si="819"/>
        <v>0</v>
      </c>
    </row>
    <row r="280" spans="1:175" x14ac:dyDescent="0.3">
      <c r="A280" s="185"/>
      <c r="B280" s="186"/>
      <c r="C280" s="187"/>
      <c r="D280" s="188"/>
      <c r="E280" s="189"/>
      <c r="F280" s="190"/>
      <c r="G280" s="191"/>
      <c r="H280" s="192"/>
      <c r="I280" s="193"/>
      <c r="J280" s="194"/>
      <c r="K280" s="630"/>
      <c r="L280" s="49">
        <f t="shared" si="820"/>
        <v>0</v>
      </c>
      <c r="M280" s="50">
        <f t="shared" si="821"/>
        <v>0</v>
      </c>
      <c r="N280" s="51">
        <f t="shared" si="822"/>
        <v>0</v>
      </c>
      <c r="O280" s="51"/>
      <c r="P280" s="51">
        <f t="shared" si="823"/>
        <v>0</v>
      </c>
      <c r="Q280" s="52"/>
      <c r="R280" s="52"/>
      <c r="S280" s="52"/>
      <c r="T280" s="52"/>
      <c r="U280" s="52"/>
      <c r="V280" s="53">
        <f t="shared" si="824"/>
        <v>0</v>
      </c>
      <c r="W280" s="51">
        <f t="shared" si="825"/>
        <v>0</v>
      </c>
      <c r="X280" s="51">
        <f t="shared" si="826"/>
        <v>0</v>
      </c>
      <c r="Y280" s="51">
        <f t="shared" si="827"/>
        <v>0</v>
      </c>
      <c r="Z280" s="51">
        <f t="shared" si="828"/>
        <v>0</v>
      </c>
      <c r="AA280" s="51">
        <f t="shared" si="829"/>
        <v>0</v>
      </c>
      <c r="AB280" s="51">
        <f t="shared" si="830"/>
        <v>0</v>
      </c>
      <c r="AC280" s="51">
        <f t="shared" si="831"/>
        <v>0</v>
      </c>
      <c r="AD280" s="51">
        <f t="shared" si="832"/>
        <v>0</v>
      </c>
      <c r="AE280" s="51">
        <f t="shared" si="833"/>
        <v>0</v>
      </c>
      <c r="AF280" s="51">
        <f t="shared" si="834"/>
        <v>0</v>
      </c>
      <c r="AG280" s="51">
        <f t="shared" si="835"/>
        <v>0</v>
      </c>
      <c r="AH280" s="54">
        <f t="shared" si="836"/>
        <v>0</v>
      </c>
      <c r="AI280" s="55">
        <f t="shared" si="837"/>
        <v>0</v>
      </c>
      <c r="AJ280" s="56">
        <f>IF(AND($E280&lt;&gt;0,$F280&gt;0,YEAR($F280)&gt;=Preisindex!$A$6,YEAR(AE$4)&gt;=YEAR($F280),AND($K280&lt;&gt;"a",$K280&lt;&gt;"b",$K280&lt;&gt;"g",$K280&lt;&gt;"k")),1,IF(AND($E280&lt;&gt;0,$F280&gt;0,YEAR($F280)&gt;=Preisindex!$A$6,YEAR(AE$4)&gt;=YEAR($F280),$K280="a"),ROUND(VLOOKUP(AJ$4,Preisindex,5,FALSE)/VLOOKUP(YEAR($F280),Preisindex,5,FALSE),2),IF(AND($E280&lt;&gt;0,$F280&gt;0,YEAR($F280)&gt;=Preisindex!$A$6,YEAR(AE$4)&gt;=YEAR($F280),$K280="b"),ROUND(VLOOKUP(AJ$4,Preisindex,3,FALSE)/VLOOKUP(YEAR($F280),Preisindex,3,FALSE),2),IF(AND($E280&lt;&gt;0,$F280&gt;0,YEAR($F280)&gt;=Preisindex!$A$6,YEAR(AE$4)&gt;=YEAR($F280),$K280="g"),ROUND(VLOOKUP(AJ$4,Preisindex,4,FALSE)/VLOOKUP(YEAR($F280),Preisindex,4,FALSE),2),IF(AND($E280&lt;&gt;0,$F280&gt;0,YEAR($F280)&gt;=Preisindex!$A$6,YEAR(AE$4)&gt;=YEAR($F280),$K280="k"),ROUND(VLOOKUP(AJ$4,Preisindex,2,FALSE)/VLOOKUP(YEAR($F280),Preisindex,2,FALSE),2),0)))))</f>
        <v>0</v>
      </c>
      <c r="AK280" s="56">
        <f>IF(AND($E280&lt;&gt;0,$F280&gt;0,YEAR($F280)&lt;Preisindex!$A$6,YEAR(AE$4)&gt;=YEAR($F280),AND($K280&lt;&gt;"a",$K280&lt;&gt;"b",$K280&lt;&gt;"g",$K280&lt;&gt;"k")),1,IF(AND($E280&lt;&gt;0,$F280&gt;0,YEAR($F280)&lt;Preisindex!$A$6,YEAR(AE$4)&gt;=YEAR($F280),$K280="a"),ROUND(VLOOKUP(AJ$4,Preisindex,5,FALSE)/VLOOKUP(Preisindex!$A$6,Preisindex,5,FALSE),2),IF(AND($E280&lt;&gt;0,$F280&gt;0,YEAR($F280)&lt;Preisindex!$A$6,YEAR(AE$4)&gt;=YEAR($F280),$K280="b"),ROUND(VLOOKUP(AJ$4,Preisindex,3,FALSE)/VLOOKUP(Preisindex!$A$6,Preisindex,3,FALSE),2),IF(AND($E280&lt;&gt;0,$F280&gt;0,YEAR($F280)&lt;Preisindex!$A$6,YEAR(AE$4)&gt;=YEAR($F280),$K280="g"),ROUND(VLOOKUP(AJ$4,Preisindex,4,FALSE)/VLOOKUP(Preisindex!$A$6,Preisindex,4,FALSE),2),IF(AND($E280&lt;&gt;0,$F280&gt;0,YEAR($F280)&lt;Preisindex!$A$6,YEAR(AE$4)&gt;=YEAR($F280),$K280="k"),ROUND(VLOOKUP(AJ$4,Preisindex,2,FALSE)/VLOOKUP(Preisindex!$A$6,Preisindex,2,FALSE),2),0)))))</f>
        <v>0</v>
      </c>
      <c r="AL280" s="51">
        <f>IF(AND($E280&lt;&gt;0,$F280&gt;0,YEAR($F280)&lt;=AJ$4,YEAR($F280)&gt;=Preisindex!$A$6),ROUND($E280*AJ280,2),IF(AND($E280&lt;&gt;0,$F280&gt;0,YEAR($F280)&lt;=AJ$4,YEAR($F280)&lt;Preisindex!$A$6),ROUND($E280*AK280,2),0))</f>
        <v>0</v>
      </c>
      <c r="AM280" s="53">
        <f t="shared" si="838"/>
        <v>0</v>
      </c>
      <c r="AN280" s="51">
        <f t="shared" si="839"/>
        <v>0</v>
      </c>
      <c r="AO280" s="51">
        <f t="shared" si="841"/>
        <v>0</v>
      </c>
      <c r="AP280" s="51">
        <f t="shared" si="755"/>
        <v>0</v>
      </c>
      <c r="AQ280" s="51">
        <f t="shared" si="842"/>
        <v>0</v>
      </c>
      <c r="AR280" s="51">
        <f t="shared" si="756"/>
        <v>0</v>
      </c>
      <c r="AS280" s="51">
        <f t="shared" si="843"/>
        <v>0</v>
      </c>
      <c r="AT280" s="51">
        <f t="shared" si="757"/>
        <v>0</v>
      </c>
      <c r="AU280" s="51">
        <f t="shared" si="844"/>
        <v>0</v>
      </c>
      <c r="AV280" s="51">
        <f t="shared" si="758"/>
        <v>0</v>
      </c>
      <c r="AW280" s="51">
        <f t="shared" si="845"/>
        <v>0</v>
      </c>
      <c r="AX280" s="51">
        <f t="shared" si="759"/>
        <v>0</v>
      </c>
      <c r="AY280" s="54">
        <f t="shared" si="760"/>
        <v>0</v>
      </c>
      <c r="AZ280" s="55">
        <f t="shared" si="761"/>
        <v>0</v>
      </c>
      <c r="BA280" s="56">
        <f>IF(AND($E280&lt;&gt;0,$F280&gt;0,YEAR($F280)&gt;=Preisindex!$A$6,YEAR(AV$4)&gt;=YEAR($F280),AND($K280&lt;&gt;"a",$K280&lt;&gt;"b",$K280&lt;&gt;"g",$K280&lt;&gt;"k")),1,IF(AND($E280&lt;&gt;0,$F280&gt;0,YEAR($F280)&gt;=Preisindex!$A$6,YEAR(AV$4)&gt;=YEAR($F280),$K280="a"),ROUND(VLOOKUP(BA$4,Preisindex,5,FALSE)/VLOOKUP(YEAR($F280),Preisindex,5,FALSE),2),IF(AND($E280&lt;&gt;0,$F280&gt;0,YEAR($F280)&gt;=Preisindex!$A$6,YEAR(AV$4)&gt;=YEAR($F280),$K280="b"),ROUND(VLOOKUP(BA$4,Preisindex,3,FALSE)/VLOOKUP(YEAR($F280),Preisindex,3,FALSE),2),IF(AND($E280&lt;&gt;0,$F280&gt;0,YEAR($F280)&gt;=Preisindex!$A$6,YEAR(AV$4)&gt;=YEAR($F280),$K280="g"),ROUND(VLOOKUP(BA$4,Preisindex,4,FALSE)/VLOOKUP(YEAR($F280),Preisindex,4,FALSE),2),IF(AND($E280&lt;&gt;0,$F280&gt;0,YEAR($F280)&gt;=Preisindex!$A$6,YEAR(AV$4)&gt;=YEAR($F280),$K280="k"),ROUND(VLOOKUP(BA$4,Preisindex,2,FALSE)/VLOOKUP(YEAR($F280),Preisindex,2,FALSE),2),0)))))</f>
        <v>0</v>
      </c>
      <c r="BB280" s="56">
        <f>IF(AND($E280&lt;&gt;0,$F280&gt;0,YEAR($F280)&lt;Preisindex!$A$6,YEAR(AV$4)&gt;=YEAR($F280),AND($K280&lt;&gt;"a",$K280&lt;&gt;"b",$K280&lt;&gt;"g",$K280&lt;&gt;"k")),1,IF(AND($E280&lt;&gt;0,$F280&gt;0,YEAR($F280)&lt;Preisindex!$A$6,YEAR(AV$4)&gt;=YEAR($F280),$K280="a"),ROUND(VLOOKUP(BA$4,Preisindex,5,FALSE)/VLOOKUP(Preisindex!$A$6,Preisindex,5,FALSE),2),IF(AND($E280&lt;&gt;0,$F280&gt;0,YEAR($F280)&lt;Preisindex!$A$6,YEAR(AV$4)&gt;=YEAR($F280),$K280="b"),ROUND(VLOOKUP(BA$4,Preisindex,3,FALSE)/VLOOKUP(Preisindex!$A$6,Preisindex,3,FALSE),2),IF(AND($E280&lt;&gt;0,$F280&gt;0,YEAR($F280)&lt;Preisindex!$A$6,YEAR(AV$4)&gt;=YEAR($F280),$K280="g"),ROUND(VLOOKUP(BA$4,Preisindex,4,FALSE)/VLOOKUP(Preisindex!$A$6,Preisindex,4,FALSE),2),IF(AND($E280&lt;&gt;0,$F280&gt;0,YEAR($F280)&lt;Preisindex!$A$6,YEAR(AV$4)&gt;=YEAR($F280),$K280="k"),ROUND(VLOOKUP(BA$4,Preisindex,2,FALSE)/VLOOKUP(Preisindex!$A$6,Preisindex,2,FALSE),2),0)))))</f>
        <v>0</v>
      </c>
      <c r="BC280" s="51">
        <f>IF(AND($E280&lt;&gt;0,$F280&gt;0,YEAR($F280)&lt;=BA$4,YEAR($F280)&gt;=Preisindex!$A$6),ROUND($E280*BA280,2),IF(AND($E280&lt;&gt;0,$F280&gt;0,YEAR($F280)&lt;=BA$4,YEAR($F280)&lt;Preisindex!$A$6),ROUND($E280*BB280,2),0))</f>
        <v>0</v>
      </c>
      <c r="BD280" s="53">
        <f t="shared" si="762"/>
        <v>0</v>
      </c>
      <c r="BE280" s="51">
        <f t="shared" si="839"/>
        <v>0</v>
      </c>
      <c r="BF280" s="51">
        <f t="shared" si="846"/>
        <v>0</v>
      </c>
      <c r="BG280" s="51">
        <f t="shared" si="763"/>
        <v>0</v>
      </c>
      <c r="BH280" s="51">
        <f t="shared" si="847"/>
        <v>0</v>
      </c>
      <c r="BI280" s="51">
        <f t="shared" si="764"/>
        <v>0</v>
      </c>
      <c r="BJ280" s="51">
        <f t="shared" si="848"/>
        <v>0</v>
      </c>
      <c r="BK280" s="51">
        <f t="shared" si="765"/>
        <v>0</v>
      </c>
      <c r="BL280" s="51">
        <f t="shared" si="849"/>
        <v>0</v>
      </c>
      <c r="BM280" s="51">
        <f t="shared" si="766"/>
        <v>0</v>
      </c>
      <c r="BN280" s="51">
        <f t="shared" si="850"/>
        <v>0</v>
      </c>
      <c r="BO280" s="51">
        <f t="shared" si="767"/>
        <v>0</v>
      </c>
      <c r="BP280" s="54">
        <f t="shared" si="768"/>
        <v>0</v>
      </c>
      <c r="BQ280" s="55">
        <f t="shared" si="769"/>
        <v>0</v>
      </c>
      <c r="BR280" s="56">
        <f>IF(AND($E280&lt;&gt;0,$F280&gt;0,YEAR($F280)&gt;=Preisindex!$A$6,YEAR(BM$4)&gt;=YEAR($F280),AND($K280&lt;&gt;"a",$K280&lt;&gt;"b",$K280&lt;&gt;"g",$K280&lt;&gt;"k")),1,IF(AND($E280&lt;&gt;0,$F280&gt;0,YEAR($F280)&gt;=Preisindex!$A$6,YEAR(BM$4)&gt;=YEAR($F280),$K280="a"),ROUND(VLOOKUP(BR$4,Preisindex,5,FALSE)/VLOOKUP(YEAR($F280),Preisindex,5,FALSE),2),IF(AND($E280&lt;&gt;0,$F280&gt;0,YEAR($F280)&gt;=Preisindex!$A$6,YEAR(BM$4)&gt;=YEAR($F280),$K280="b"),ROUND(VLOOKUP(BR$4,Preisindex,3,FALSE)/VLOOKUP(YEAR($F280),Preisindex,3,FALSE),2),IF(AND($E280&lt;&gt;0,$F280&gt;0,YEAR($F280)&gt;=Preisindex!$A$6,YEAR(BM$4)&gt;=YEAR($F280),$K280="g"),ROUND(VLOOKUP(BR$4,Preisindex,4,FALSE)/VLOOKUP(YEAR($F280),Preisindex,4,FALSE),2),IF(AND($E280&lt;&gt;0,$F280&gt;0,YEAR($F280)&gt;=Preisindex!$A$6,YEAR(BM$4)&gt;=YEAR($F280),$K280="k"),ROUND(VLOOKUP(BR$4,Preisindex,2,FALSE)/VLOOKUP(YEAR($F280),Preisindex,2,FALSE),2),0)))))</f>
        <v>0</v>
      </c>
      <c r="BS280" s="56">
        <f>IF(AND($E280&lt;&gt;0,$F280&gt;0,YEAR($F280)&lt;Preisindex!$A$6,YEAR(BM$4)&gt;=YEAR($F280),AND($K280&lt;&gt;"a",$K280&lt;&gt;"b",$K280&lt;&gt;"g",$K280&lt;&gt;"k")),1,IF(AND($E280&lt;&gt;0,$F280&gt;0,YEAR($F280)&lt;Preisindex!$A$6,YEAR(BM$4)&gt;=YEAR($F280),$K280="a"),ROUND(VLOOKUP(BR$4,Preisindex,5,FALSE)/VLOOKUP(Preisindex!$A$6,Preisindex,5,FALSE),2),IF(AND($E280&lt;&gt;0,$F280&gt;0,YEAR($F280)&lt;Preisindex!$A$6,YEAR(BM$4)&gt;=YEAR($F280),$K280="b"),ROUND(VLOOKUP(BR$4,Preisindex,3,FALSE)/VLOOKUP(Preisindex!$A$6,Preisindex,3,FALSE),2),IF(AND($E280&lt;&gt;0,$F280&gt;0,YEAR($F280)&lt;Preisindex!$A$6,YEAR(BM$4)&gt;=YEAR($F280),$K280="g"),ROUND(VLOOKUP(BR$4,Preisindex,4,FALSE)/VLOOKUP(Preisindex!$A$6,Preisindex,4,FALSE),2),IF(AND($E280&lt;&gt;0,$F280&gt;0,YEAR($F280)&lt;Preisindex!$A$6,YEAR(BM$4)&gt;=YEAR($F280),$K280="k"),ROUND(VLOOKUP(BR$4,Preisindex,2,FALSE)/VLOOKUP(Preisindex!$A$6,Preisindex,2,FALSE),2),0)))))</f>
        <v>0</v>
      </c>
      <c r="BT280" s="51">
        <f>IF(AND($E280&lt;&gt;0,$F280&gt;0,YEAR($F280)&lt;=BR$4,YEAR($F280)&gt;=Preisindex!$A$6),ROUND($E280*BR280,2),IF(AND($E280&lt;&gt;0,$F280&gt;0,YEAR($F280)&lt;=BR$4,YEAR($F280)&lt;Preisindex!$A$6),ROUND($E280*BS280,2),0))</f>
        <v>0</v>
      </c>
      <c r="BU280" s="53">
        <f t="shared" si="770"/>
        <v>0</v>
      </c>
      <c r="BV280" s="51">
        <f t="shared" si="839"/>
        <v>0</v>
      </c>
      <c r="BW280" s="51">
        <f t="shared" si="851"/>
        <v>0</v>
      </c>
      <c r="BX280" s="51">
        <f t="shared" si="771"/>
        <v>0</v>
      </c>
      <c r="BY280" s="51">
        <f t="shared" si="852"/>
        <v>0</v>
      </c>
      <c r="BZ280" s="51">
        <f t="shared" si="772"/>
        <v>0</v>
      </c>
      <c r="CA280" s="51">
        <f t="shared" si="853"/>
        <v>0</v>
      </c>
      <c r="CB280" s="51">
        <f t="shared" si="773"/>
        <v>0</v>
      </c>
      <c r="CC280" s="51">
        <f t="shared" si="854"/>
        <v>0</v>
      </c>
      <c r="CD280" s="51">
        <f t="shared" si="774"/>
        <v>0</v>
      </c>
      <c r="CE280" s="51">
        <f t="shared" si="855"/>
        <v>0</v>
      </c>
      <c r="CF280" s="51">
        <f t="shared" si="775"/>
        <v>0</v>
      </c>
      <c r="CG280" s="54">
        <f t="shared" si="776"/>
        <v>0</v>
      </c>
      <c r="CH280" s="55">
        <f t="shared" si="777"/>
        <v>0</v>
      </c>
      <c r="CI280" s="56">
        <f>IF(AND($E280&lt;&gt;0,$F280&gt;0,YEAR($F280)&gt;=Preisindex!$A$6,YEAR(CD$4)&gt;=YEAR($F280),AND($K280&lt;&gt;"a",$K280&lt;&gt;"b",$K280&lt;&gt;"g",$K280&lt;&gt;"k")),1,IF(AND($E280&lt;&gt;0,$F280&gt;0,YEAR($F280)&gt;=Preisindex!$A$6,YEAR(CD$4)&gt;=YEAR($F280),$K280="a"),ROUND(VLOOKUP(CI$4,Preisindex,5,FALSE)/VLOOKUP(YEAR($F280),Preisindex,5,FALSE),2),IF(AND($E280&lt;&gt;0,$F280&gt;0,YEAR($F280)&gt;=Preisindex!$A$6,YEAR(CD$4)&gt;=YEAR($F280),$K280="b"),ROUND(VLOOKUP(CI$4,Preisindex,3,FALSE)/VLOOKUP(YEAR($F280),Preisindex,3,FALSE),2),IF(AND($E280&lt;&gt;0,$F280&gt;0,YEAR($F280)&gt;=Preisindex!$A$6,YEAR(CD$4)&gt;=YEAR($F280),$K280="g"),ROUND(VLOOKUP(CI$4,Preisindex,4,FALSE)/VLOOKUP(YEAR($F280),Preisindex,4,FALSE),2),IF(AND($E280&lt;&gt;0,$F280&gt;0,YEAR($F280)&gt;=Preisindex!$A$6,YEAR(CD$4)&gt;=YEAR($F280),$K280="k"),ROUND(VLOOKUP(CI$4,Preisindex,2,FALSE)/VLOOKUP(YEAR($F280),Preisindex,2,FALSE),2),0)))))</f>
        <v>0</v>
      </c>
      <c r="CJ280" s="56">
        <f>IF(AND($E280&lt;&gt;0,$F280&gt;0,YEAR($F280)&lt;Preisindex!$A$6,YEAR(CD$4)&gt;=YEAR($F280),AND($K280&lt;&gt;"a",$K280&lt;&gt;"b",$K280&lt;&gt;"g",$K280&lt;&gt;"k")),1,IF(AND($E280&lt;&gt;0,$F280&gt;0,YEAR($F280)&lt;Preisindex!$A$6,YEAR(CD$4)&gt;=YEAR($F280),$K280="a"),ROUND(VLOOKUP(CI$4,Preisindex,5,FALSE)/VLOOKUP(Preisindex!$A$6,Preisindex,5,FALSE),2),IF(AND($E280&lt;&gt;0,$F280&gt;0,YEAR($F280)&lt;Preisindex!$A$6,YEAR(CD$4)&gt;=YEAR($F280),$K280="b"),ROUND(VLOOKUP(CI$4,Preisindex,3,FALSE)/VLOOKUP(Preisindex!$A$6,Preisindex,3,FALSE),2),IF(AND($E280&lt;&gt;0,$F280&gt;0,YEAR($F280)&lt;Preisindex!$A$6,YEAR(CD$4)&gt;=YEAR($F280),$K280="g"),ROUND(VLOOKUP(CI$4,Preisindex,4,FALSE)/VLOOKUP(Preisindex!$A$6,Preisindex,4,FALSE),2),IF(AND($E280&lt;&gt;0,$F280&gt;0,YEAR($F280)&lt;Preisindex!$A$6,YEAR(CD$4)&gt;=YEAR($F280),$K280="k"),ROUND(VLOOKUP(CI$4,Preisindex,2,FALSE)/VLOOKUP(Preisindex!$A$6,Preisindex,2,FALSE),2),0)))))</f>
        <v>0</v>
      </c>
      <c r="CK280" s="51">
        <f>IF(AND($E280&lt;&gt;0,$F280&gt;0,YEAR($F280)&lt;=CI$4,YEAR($F280)&gt;=Preisindex!$A$6),ROUND($E280*CI280,2),IF(AND($E280&lt;&gt;0,$F280&gt;0,YEAR($F280)&lt;=CI$4,YEAR($F280)&lt;Preisindex!$A$6),ROUND($E280*CJ280,2),0))</f>
        <v>0</v>
      </c>
      <c r="CL280" s="53">
        <f t="shared" si="778"/>
        <v>0</v>
      </c>
      <c r="CM280" s="51">
        <f t="shared" si="839"/>
        <v>0</v>
      </c>
      <c r="CN280" s="51">
        <f t="shared" si="856"/>
        <v>0</v>
      </c>
      <c r="CO280" s="51">
        <f t="shared" si="779"/>
        <v>0</v>
      </c>
      <c r="CP280" s="51">
        <f t="shared" si="857"/>
        <v>0</v>
      </c>
      <c r="CQ280" s="51">
        <f t="shared" si="780"/>
        <v>0</v>
      </c>
      <c r="CR280" s="51">
        <f t="shared" si="858"/>
        <v>0</v>
      </c>
      <c r="CS280" s="51">
        <f t="shared" si="781"/>
        <v>0</v>
      </c>
      <c r="CT280" s="51">
        <f t="shared" si="859"/>
        <v>0</v>
      </c>
      <c r="CU280" s="51">
        <f t="shared" si="782"/>
        <v>0</v>
      </c>
      <c r="CV280" s="51">
        <f t="shared" si="860"/>
        <v>0</v>
      </c>
      <c r="CW280" s="51">
        <f t="shared" si="783"/>
        <v>0</v>
      </c>
      <c r="CX280" s="54">
        <f t="shared" si="784"/>
        <v>0</v>
      </c>
      <c r="CY280" s="55">
        <f t="shared" si="785"/>
        <v>0</v>
      </c>
      <c r="CZ280" s="56">
        <f>IF(AND($E280&lt;&gt;0,$F280&gt;0,YEAR($F280)&gt;=Preisindex!$A$6,YEAR(CU$4)&gt;=YEAR($F280),AND($K280&lt;&gt;"a",$K280&lt;&gt;"b",$K280&lt;&gt;"g",$K280&lt;&gt;"k")),1,IF(AND($E280&lt;&gt;0,$F280&gt;0,YEAR($F280)&gt;=Preisindex!$A$6,YEAR(CU$4)&gt;=YEAR($F280),$K280="a"),ROUND(VLOOKUP(CZ$4,Preisindex,5,FALSE)/VLOOKUP(YEAR($F280),Preisindex,5,FALSE),2),IF(AND($E280&lt;&gt;0,$F280&gt;0,YEAR($F280)&gt;=Preisindex!$A$6,YEAR(CU$4)&gt;=YEAR($F280),$K280="b"),ROUND(VLOOKUP(CZ$4,Preisindex,3,FALSE)/VLOOKUP(YEAR($F280),Preisindex,3,FALSE),2),IF(AND($E280&lt;&gt;0,$F280&gt;0,YEAR($F280)&gt;=Preisindex!$A$6,YEAR(CU$4)&gt;=YEAR($F280),$K280="g"),ROUND(VLOOKUP(CZ$4,Preisindex,4,FALSE)/VLOOKUP(YEAR($F280),Preisindex,4,FALSE),2),IF(AND($E280&lt;&gt;0,$F280&gt;0,YEAR($F280)&gt;=Preisindex!$A$6,YEAR(CU$4)&gt;=YEAR($F280),$K280="k"),ROUND(VLOOKUP(CZ$4,Preisindex,2,FALSE)/VLOOKUP(YEAR($F280),Preisindex,2,FALSE),2),0)))))</f>
        <v>0</v>
      </c>
      <c r="DA280" s="56">
        <f>IF(AND($E280&lt;&gt;0,$F280&gt;0,YEAR($F280)&lt;Preisindex!$A$6,YEAR(CU$4)&gt;=YEAR($F280),AND($K280&lt;&gt;"a",$K280&lt;&gt;"b",$K280&lt;&gt;"g",$K280&lt;&gt;"k")),1,IF(AND($E280&lt;&gt;0,$F280&gt;0,YEAR($F280)&lt;Preisindex!$A$6,YEAR(CU$4)&gt;=YEAR($F280),$K280="a"),ROUND(VLOOKUP(CZ$4,Preisindex,5,FALSE)/VLOOKUP(Preisindex!$A$6,Preisindex,5,FALSE),2),IF(AND($E280&lt;&gt;0,$F280&gt;0,YEAR($F280)&lt;Preisindex!$A$6,YEAR(CU$4)&gt;=YEAR($F280),$K280="b"),ROUND(VLOOKUP(CZ$4,Preisindex,3,FALSE)/VLOOKUP(Preisindex!$A$6,Preisindex,3,FALSE),2),IF(AND($E280&lt;&gt;0,$F280&gt;0,YEAR($F280)&lt;Preisindex!$A$6,YEAR(CU$4)&gt;=YEAR($F280),$K280="g"),ROUND(VLOOKUP(CZ$4,Preisindex,4,FALSE)/VLOOKUP(Preisindex!$A$6,Preisindex,4,FALSE),2),IF(AND($E280&lt;&gt;0,$F280&gt;0,YEAR($F280)&lt;Preisindex!$A$6,YEAR(CU$4)&gt;=YEAR($F280),$K280="k"),ROUND(VLOOKUP(CZ$4,Preisindex,2,FALSE)/VLOOKUP(Preisindex!$A$6,Preisindex,2,FALSE),2),0)))))</f>
        <v>0</v>
      </c>
      <c r="DB280" s="51">
        <f>IF(AND($E280&lt;&gt;0,$F280&gt;0,YEAR($F280)&lt;=CZ$4,YEAR($F280)&gt;=Preisindex!$A$6),ROUND($E280*CZ280,2),IF(AND($E280&lt;&gt;0,$F280&gt;0,YEAR($F280)&lt;=CZ$4,YEAR($F280)&lt;Preisindex!$A$6),ROUND($E280*DA280,2),0))</f>
        <v>0</v>
      </c>
      <c r="DC280" s="53">
        <f t="shared" si="786"/>
        <v>0</v>
      </c>
      <c r="DD280" s="51">
        <f t="shared" si="840"/>
        <v>0</v>
      </c>
      <c r="DE280" s="51">
        <f t="shared" si="861"/>
        <v>0</v>
      </c>
      <c r="DF280" s="51">
        <f t="shared" si="788"/>
        <v>0</v>
      </c>
      <c r="DG280" s="51">
        <f t="shared" si="862"/>
        <v>0</v>
      </c>
      <c r="DH280" s="51">
        <f t="shared" si="789"/>
        <v>0</v>
      </c>
      <c r="DI280" s="51">
        <f t="shared" si="863"/>
        <v>0</v>
      </c>
      <c r="DJ280" s="51">
        <f t="shared" si="790"/>
        <v>0</v>
      </c>
      <c r="DK280" s="51">
        <f t="shared" si="864"/>
        <v>0</v>
      </c>
      <c r="DL280" s="51">
        <f t="shared" si="791"/>
        <v>0</v>
      </c>
      <c r="DM280" s="51">
        <f t="shared" si="865"/>
        <v>0</v>
      </c>
      <c r="DN280" s="51">
        <f t="shared" si="792"/>
        <v>0</v>
      </c>
      <c r="DO280" s="54">
        <f t="shared" si="793"/>
        <v>0</v>
      </c>
      <c r="DP280" s="55">
        <f t="shared" si="794"/>
        <v>0</v>
      </c>
      <c r="DQ280" s="56">
        <f>IF(AND($E280&lt;&gt;0,$F280&gt;0,YEAR($F280)&gt;=Preisindex!$A$6,YEAR(DL$4)&gt;=YEAR($F280),AND($K280&lt;&gt;"a",$K280&lt;&gt;"b",$K280&lt;&gt;"g",$K280&lt;&gt;"k")),1,IF(AND($E280&lt;&gt;0,$F280&gt;0,YEAR($F280)&gt;=Preisindex!$A$6,YEAR(DL$4)&gt;=YEAR($F280),$K280="a"),ROUND(VLOOKUP(DQ$4,Preisindex,5,FALSE)/VLOOKUP(YEAR($F280),Preisindex,5,FALSE),2),IF(AND($E280&lt;&gt;0,$F280&gt;0,YEAR($F280)&gt;=Preisindex!$A$6,YEAR(DL$4)&gt;=YEAR($F280),$K280="b"),ROUND(VLOOKUP(DQ$4,Preisindex,3,FALSE)/VLOOKUP(YEAR($F280),Preisindex,3,FALSE),2),IF(AND($E280&lt;&gt;0,$F280&gt;0,YEAR($F280)&gt;=Preisindex!$A$6,YEAR(DL$4)&gt;=YEAR($F280),$K280="g"),ROUND(VLOOKUP(DQ$4,Preisindex,4,FALSE)/VLOOKUP(YEAR($F280),Preisindex,4,FALSE),2),IF(AND($E280&lt;&gt;0,$F280&gt;0,YEAR($F280)&gt;=Preisindex!$A$6,YEAR(DL$4)&gt;=YEAR($F280),$K280="k"),ROUND(VLOOKUP(DQ$4,Preisindex,2,FALSE)/VLOOKUP(YEAR($F280),Preisindex,2,FALSE),2),0)))))</f>
        <v>0</v>
      </c>
      <c r="DR280" s="56">
        <f>IF(AND($E280&lt;&gt;0,$F280&gt;0,YEAR($F280)&lt;Preisindex!$A$6,YEAR(DL$4)&gt;=YEAR($F280),AND($K280&lt;&gt;"a",$K280&lt;&gt;"b",$K280&lt;&gt;"g",$K280&lt;&gt;"k")),1,IF(AND($E280&lt;&gt;0,$F280&gt;0,YEAR($F280)&lt;Preisindex!$A$6,YEAR(DL$4)&gt;=YEAR($F280),$K280="a"),ROUND(VLOOKUP(DQ$4,Preisindex,5,FALSE)/VLOOKUP(Preisindex!$A$6,Preisindex,5,FALSE),2),IF(AND($E280&lt;&gt;0,$F280&gt;0,YEAR($F280)&lt;Preisindex!$A$6,YEAR(DL$4)&gt;=YEAR($F280),$K280="b"),ROUND(VLOOKUP(DQ$4,Preisindex,3,FALSE)/VLOOKUP(Preisindex!$A$6,Preisindex,3,FALSE),2),IF(AND($E280&lt;&gt;0,$F280&gt;0,YEAR($F280)&lt;Preisindex!$A$6,YEAR(DL$4)&gt;=YEAR($F280),$K280="g"),ROUND(VLOOKUP(DQ$4,Preisindex,4,FALSE)/VLOOKUP(Preisindex!$A$6,Preisindex,4,FALSE),2),IF(AND($E280&lt;&gt;0,$F280&gt;0,YEAR($F280)&lt;Preisindex!$A$6,YEAR(DL$4)&gt;=YEAR($F280),$K280="k"),ROUND(VLOOKUP(DQ$4,Preisindex,2,FALSE)/VLOOKUP(Preisindex!$A$6,Preisindex,2,FALSE),2),0)))))</f>
        <v>0</v>
      </c>
      <c r="DS280" s="51">
        <f>IF(AND($E280&lt;&gt;0,$F280&gt;0,YEAR($F280)&lt;=DQ$4,YEAR($F280)&gt;=Preisindex!$A$6),ROUND($E280*DQ280,2),IF(AND($E280&lt;&gt;0,$F280&gt;0,YEAR($F280)&lt;=DQ$4,YEAR($F280)&lt;Preisindex!$A$6),ROUND($E280*DR280,2),0))</f>
        <v>0</v>
      </c>
      <c r="DT280" s="53">
        <f t="shared" si="795"/>
        <v>0</v>
      </c>
      <c r="DU280" s="51">
        <f t="shared" si="840"/>
        <v>0</v>
      </c>
      <c r="DV280" s="51">
        <f t="shared" si="866"/>
        <v>0</v>
      </c>
      <c r="DW280" s="51">
        <f t="shared" si="796"/>
        <v>0</v>
      </c>
      <c r="DX280" s="51">
        <f t="shared" si="867"/>
        <v>0</v>
      </c>
      <c r="DY280" s="51">
        <f t="shared" si="797"/>
        <v>0</v>
      </c>
      <c r="DZ280" s="51">
        <f t="shared" si="868"/>
        <v>0</v>
      </c>
      <c r="EA280" s="51">
        <f t="shared" si="798"/>
        <v>0</v>
      </c>
      <c r="EB280" s="51">
        <f t="shared" si="869"/>
        <v>0</v>
      </c>
      <c r="EC280" s="51">
        <f t="shared" si="799"/>
        <v>0</v>
      </c>
      <c r="ED280" s="51">
        <f t="shared" si="870"/>
        <v>0</v>
      </c>
      <c r="EE280" s="51">
        <f t="shared" si="800"/>
        <v>0</v>
      </c>
      <c r="EF280" s="54">
        <f t="shared" si="801"/>
        <v>0</v>
      </c>
      <c r="EG280" s="55">
        <f t="shared" si="802"/>
        <v>0</v>
      </c>
      <c r="EH280" s="56">
        <f>IF(AND($E280&lt;&gt;0,$F280&gt;0,YEAR($F280)&gt;=Preisindex!$A$6,YEAR(EC$4)&gt;=YEAR($F280),AND($K280&lt;&gt;"a",$K280&lt;&gt;"b",$K280&lt;&gt;"g",$K280&lt;&gt;"k")),1,IF(AND($E280&lt;&gt;0,$F280&gt;0,YEAR($F280)&gt;=Preisindex!$A$6,YEAR(EC$4)&gt;=YEAR($F280),$K280="a"),ROUND(VLOOKUP(EH$4,Preisindex,5,FALSE)/VLOOKUP(YEAR($F280),Preisindex,5,FALSE),2),IF(AND($E280&lt;&gt;0,$F280&gt;0,YEAR($F280)&gt;=Preisindex!$A$6,YEAR(EC$4)&gt;=YEAR($F280),$K280="b"),ROUND(VLOOKUP(EH$4,Preisindex,3,FALSE)/VLOOKUP(YEAR($F280),Preisindex,3,FALSE),2),IF(AND($E280&lt;&gt;0,$F280&gt;0,YEAR($F280)&gt;=Preisindex!$A$6,YEAR(EC$4)&gt;=YEAR($F280),$K280="g"),ROUND(VLOOKUP(EH$4,Preisindex,4,FALSE)/VLOOKUP(YEAR($F280),Preisindex,4,FALSE),2),IF(AND($E280&lt;&gt;0,$F280&gt;0,YEAR($F280)&gt;=Preisindex!$A$6,YEAR(EC$4)&gt;=YEAR($F280),$K280="k"),ROUND(VLOOKUP(EH$4,Preisindex,2,FALSE)/VLOOKUP(YEAR($F280),Preisindex,2,FALSE),2),0)))))</f>
        <v>0</v>
      </c>
      <c r="EI280" s="56">
        <f>IF(AND($E280&lt;&gt;0,$F280&gt;0,YEAR($F280)&lt;Preisindex!$A$6,YEAR(EC$4)&gt;=YEAR($F280),AND($K280&lt;&gt;"a",$K280&lt;&gt;"b",$K280&lt;&gt;"g",$K280&lt;&gt;"k")),1,IF(AND($E280&lt;&gt;0,$F280&gt;0,YEAR($F280)&lt;Preisindex!$A$6,YEAR(EC$4)&gt;=YEAR($F280),$K280="a"),ROUND(VLOOKUP(EH$4,Preisindex,5,FALSE)/VLOOKUP(Preisindex!$A$6,Preisindex,5,FALSE),2),IF(AND($E280&lt;&gt;0,$F280&gt;0,YEAR($F280)&lt;Preisindex!$A$6,YEAR(EC$4)&gt;=YEAR($F280),$K280="b"),ROUND(VLOOKUP(EH$4,Preisindex,3,FALSE)/VLOOKUP(Preisindex!$A$6,Preisindex,3,FALSE),2),IF(AND($E280&lt;&gt;0,$F280&gt;0,YEAR($F280)&lt;Preisindex!$A$6,YEAR(EC$4)&gt;=YEAR($F280),$K280="g"),ROUND(VLOOKUP(EH$4,Preisindex,4,FALSE)/VLOOKUP(Preisindex!$A$6,Preisindex,4,FALSE),2),IF(AND($E280&lt;&gt;0,$F280&gt;0,YEAR($F280)&lt;Preisindex!$A$6,YEAR(EC$4)&gt;=YEAR($F280),$K280="k"),ROUND(VLOOKUP(EH$4,Preisindex,2,FALSE)/VLOOKUP(Preisindex!$A$6,Preisindex,2,FALSE),2),0)))))</f>
        <v>0</v>
      </c>
      <c r="EJ280" s="51">
        <f>IF(AND($E280&lt;&gt;0,$F280&gt;0,YEAR($F280)&lt;=EH$4,YEAR($F280)&gt;=Preisindex!$A$6),ROUND($E280*EH280,2),IF(AND($E280&lt;&gt;0,$F280&gt;0,YEAR($F280)&lt;=EH$4,YEAR($F280)&lt;Preisindex!$A$6),ROUND($E280*EI280,2),0))</f>
        <v>0</v>
      </c>
      <c r="EK280" s="53">
        <f t="shared" si="803"/>
        <v>0</v>
      </c>
      <c r="EL280" s="51">
        <f t="shared" si="840"/>
        <v>0</v>
      </c>
      <c r="EM280" s="51">
        <f t="shared" si="871"/>
        <v>0</v>
      </c>
      <c r="EN280" s="51">
        <f t="shared" si="804"/>
        <v>0</v>
      </c>
      <c r="EO280" s="51">
        <f t="shared" si="872"/>
        <v>0</v>
      </c>
      <c r="EP280" s="51">
        <f t="shared" si="805"/>
        <v>0</v>
      </c>
      <c r="EQ280" s="51">
        <f t="shared" si="873"/>
        <v>0</v>
      </c>
      <c r="ER280" s="51">
        <f t="shared" si="806"/>
        <v>0</v>
      </c>
      <c r="ES280" s="51">
        <f t="shared" si="874"/>
        <v>0</v>
      </c>
      <c r="ET280" s="51">
        <f t="shared" si="807"/>
        <v>0</v>
      </c>
      <c r="EU280" s="51">
        <f t="shared" si="875"/>
        <v>0</v>
      </c>
      <c r="EV280" s="51">
        <f t="shared" si="808"/>
        <v>0</v>
      </c>
      <c r="EW280" s="54">
        <f t="shared" si="809"/>
        <v>0</v>
      </c>
      <c r="EX280" s="55">
        <f t="shared" si="810"/>
        <v>0</v>
      </c>
      <c r="EY280" s="56">
        <f>IF(AND($E280&lt;&gt;0,$F280&gt;0,YEAR($F280)&gt;=Preisindex!$A$6,YEAR(ET$4)&gt;=YEAR($F280),AND($K280&lt;&gt;"a",$K280&lt;&gt;"b",$K280&lt;&gt;"g",$K280&lt;&gt;"k")),1,IF(AND($E280&lt;&gt;0,$F280&gt;0,YEAR($F280)&gt;=Preisindex!$A$6,YEAR(ET$4)&gt;=YEAR($F280),$K280="a"),ROUND(VLOOKUP(EY$4,Preisindex,5,FALSE)/VLOOKUP(YEAR($F280),Preisindex,5,FALSE),2),IF(AND($E280&lt;&gt;0,$F280&gt;0,YEAR($F280)&gt;=Preisindex!$A$6,YEAR(ET$4)&gt;=YEAR($F280),$K280="b"),ROUND(VLOOKUP(EY$4,Preisindex,3,FALSE)/VLOOKUP(YEAR($F280),Preisindex,3,FALSE),2),IF(AND($E280&lt;&gt;0,$F280&gt;0,YEAR($F280)&gt;=Preisindex!$A$6,YEAR(ET$4)&gt;=YEAR($F280),$K280="g"),ROUND(VLOOKUP(EY$4,Preisindex,4,FALSE)/VLOOKUP(YEAR($F280),Preisindex,4,FALSE),2),IF(AND($E280&lt;&gt;0,$F280&gt;0,YEAR($F280)&gt;=Preisindex!$A$6,YEAR(ET$4)&gt;=YEAR($F280),$K280="k"),ROUND(VLOOKUP(EY$4,Preisindex,2,FALSE)/VLOOKUP(YEAR($F280),Preisindex,2,FALSE),2),0)))))</f>
        <v>0</v>
      </c>
      <c r="EZ280" s="56">
        <f>IF(AND($E280&lt;&gt;0,$F280&gt;0,YEAR($F280)&lt;Preisindex!$A$6,YEAR(ET$4)&gt;=YEAR($F280),AND($K280&lt;&gt;"a",$K280&lt;&gt;"b",$K280&lt;&gt;"g",$K280&lt;&gt;"k")),1,IF(AND($E280&lt;&gt;0,$F280&gt;0,YEAR($F280)&lt;Preisindex!$A$6,YEAR(ET$4)&gt;=YEAR($F280),$K280="a"),ROUND(VLOOKUP(EY$4,Preisindex,5,FALSE)/VLOOKUP(Preisindex!$A$6,Preisindex,5,FALSE),2),IF(AND($E280&lt;&gt;0,$F280&gt;0,YEAR($F280)&lt;Preisindex!$A$6,YEAR(ET$4)&gt;=YEAR($F280),$K280="b"),ROUND(VLOOKUP(EY$4,Preisindex,3,FALSE)/VLOOKUP(Preisindex!$A$6,Preisindex,3,FALSE),2),IF(AND($E280&lt;&gt;0,$F280&gt;0,YEAR($F280)&lt;Preisindex!$A$6,YEAR(ET$4)&gt;=YEAR($F280),$K280="g"),ROUND(VLOOKUP(EY$4,Preisindex,4,FALSE)/VLOOKUP(Preisindex!$A$6,Preisindex,4,FALSE),2),IF(AND($E280&lt;&gt;0,$F280&gt;0,YEAR($F280)&lt;Preisindex!$A$6,YEAR(ET$4)&gt;=YEAR($F280),$K280="k"),ROUND(VLOOKUP(EY$4,Preisindex,2,FALSE)/VLOOKUP(Preisindex!$A$6,Preisindex,2,FALSE),2),0)))))</f>
        <v>0</v>
      </c>
      <c r="FA280" s="51">
        <f>IF(AND($E280&lt;&gt;0,$F280&gt;0,YEAR($F280)&lt;=EY$4,YEAR($F280)&gt;=Preisindex!$A$6),ROUND($E280*EY280,2),IF(AND($E280&lt;&gt;0,$F280&gt;0,YEAR($F280)&lt;=EY$4,YEAR($F280)&lt;Preisindex!$A$6),ROUND($E280*EZ280,2),0))</f>
        <v>0</v>
      </c>
      <c r="FB280" s="53">
        <f t="shared" si="811"/>
        <v>0</v>
      </c>
      <c r="FC280" s="51">
        <f t="shared" si="840"/>
        <v>0</v>
      </c>
      <c r="FD280" s="51">
        <f t="shared" si="876"/>
        <v>0</v>
      </c>
      <c r="FE280" s="51">
        <f t="shared" si="812"/>
        <v>0</v>
      </c>
      <c r="FF280" s="51">
        <f t="shared" si="877"/>
        <v>0</v>
      </c>
      <c r="FG280" s="51">
        <f t="shared" si="813"/>
        <v>0</v>
      </c>
      <c r="FH280" s="51">
        <f t="shared" si="878"/>
        <v>0</v>
      </c>
      <c r="FI280" s="51">
        <f t="shared" si="814"/>
        <v>0</v>
      </c>
      <c r="FJ280" s="51">
        <f t="shared" si="879"/>
        <v>0</v>
      </c>
      <c r="FK280" s="51">
        <f t="shared" si="815"/>
        <v>0</v>
      </c>
      <c r="FL280" s="51">
        <f t="shared" si="880"/>
        <v>0</v>
      </c>
      <c r="FM280" s="51">
        <f t="shared" si="816"/>
        <v>0</v>
      </c>
      <c r="FN280" s="54">
        <f t="shared" si="817"/>
        <v>0</v>
      </c>
      <c r="FO280" s="55">
        <f t="shared" si="818"/>
        <v>0</v>
      </c>
      <c r="FP280" s="56">
        <f>IF(AND($E280&lt;&gt;0,$F280&gt;0,YEAR($F280)&gt;=Preisindex!$A$6,YEAR(FK$4)&gt;=YEAR($F280),AND($K280&lt;&gt;"a",$K280&lt;&gt;"b",$K280&lt;&gt;"g",$K280&lt;&gt;"k")),1,IF(AND($E280&lt;&gt;0,$F280&gt;0,YEAR($F280)&gt;=Preisindex!$A$6,YEAR(FK$4)&gt;=YEAR($F280),$K280="a"),ROUND(VLOOKUP(FP$4,Preisindex,5,FALSE)/VLOOKUP(YEAR($F280),Preisindex,5,FALSE),2),IF(AND($E280&lt;&gt;0,$F280&gt;0,YEAR($F280)&gt;=Preisindex!$A$6,YEAR(FK$4)&gt;=YEAR($F280),$K280="b"),ROUND(VLOOKUP(FP$4,Preisindex,3,FALSE)/VLOOKUP(YEAR($F280),Preisindex,3,FALSE),2),IF(AND($E280&lt;&gt;0,$F280&gt;0,YEAR($F280)&gt;=Preisindex!$A$6,YEAR(FK$4)&gt;=YEAR($F280),$K280="g"),ROUND(VLOOKUP(FP$4,Preisindex,4,FALSE)/VLOOKUP(YEAR($F280),Preisindex,4,FALSE),2),IF(AND($E280&lt;&gt;0,$F280&gt;0,YEAR($F280)&gt;=Preisindex!$A$6,YEAR(FK$4)&gt;=YEAR($F280),$K280="k"),ROUND(VLOOKUP(FP$4,Preisindex,2,FALSE)/VLOOKUP(YEAR($F280),Preisindex,2,FALSE),2),0)))))</f>
        <v>0</v>
      </c>
      <c r="FQ280" s="56">
        <f>IF(AND($E280&lt;&gt;0,$F280&gt;0,YEAR($F280)&lt;Preisindex!$A$6,YEAR(FK$4)&gt;=YEAR($F280),AND($K280&lt;&gt;"a",$K280&lt;&gt;"b",$K280&lt;&gt;"g",$K280&lt;&gt;"k")),1,IF(AND($E280&lt;&gt;0,$F280&gt;0,YEAR($F280)&lt;Preisindex!$A$6,YEAR(FK$4)&gt;=YEAR($F280),$K280="a"),ROUND(VLOOKUP(FP$4,Preisindex,5,FALSE)/VLOOKUP(Preisindex!$A$6,Preisindex,5,FALSE),2),IF(AND($E280&lt;&gt;0,$F280&gt;0,YEAR($F280)&lt;Preisindex!$A$6,YEAR(FK$4)&gt;=YEAR($F280),$K280="b"),ROUND(VLOOKUP(FP$4,Preisindex,3,FALSE)/VLOOKUP(Preisindex!$A$6,Preisindex,3,FALSE),2),IF(AND($E280&lt;&gt;0,$F280&gt;0,YEAR($F280)&lt;Preisindex!$A$6,YEAR(FK$4)&gt;=YEAR($F280),$K280="g"),ROUND(VLOOKUP(FP$4,Preisindex,4,FALSE)/VLOOKUP(Preisindex!$A$6,Preisindex,4,FALSE),2),IF(AND($E280&lt;&gt;0,$F280&gt;0,YEAR($F280)&lt;Preisindex!$A$6,YEAR(FK$4)&gt;=YEAR($F280),$K280="k"),ROUND(VLOOKUP(FP$4,Preisindex,2,FALSE)/VLOOKUP(Preisindex!$A$6,Preisindex,2,FALSE),2),0)))))</f>
        <v>0</v>
      </c>
      <c r="FR280" s="51">
        <f>IF(AND($E280&lt;&gt;0,$F280&gt;0,YEAR($F280)&lt;=FP$4,YEAR($F280)&gt;=Preisindex!$A$6),ROUND($E280*FP280,2),IF(AND($E280&lt;&gt;0,$F280&gt;0,YEAR($F280)&lt;=FP$4,YEAR($F280)&lt;Preisindex!$A$6),ROUND($E280*FQ280,2),0))</f>
        <v>0</v>
      </c>
      <c r="FS280" s="53">
        <f t="shared" si="819"/>
        <v>0</v>
      </c>
    </row>
    <row r="281" spans="1:175" x14ac:dyDescent="0.3">
      <c r="A281" s="185"/>
      <c r="B281" s="186"/>
      <c r="C281" s="187"/>
      <c r="D281" s="188"/>
      <c r="E281" s="189"/>
      <c r="F281" s="190"/>
      <c r="G281" s="191"/>
      <c r="H281" s="192"/>
      <c r="I281" s="193"/>
      <c r="J281" s="194"/>
      <c r="K281" s="630"/>
      <c r="L281" s="49">
        <f t="shared" si="820"/>
        <v>0</v>
      </c>
      <c r="M281" s="50">
        <f t="shared" si="821"/>
        <v>0</v>
      </c>
      <c r="N281" s="51">
        <f t="shared" si="822"/>
        <v>0</v>
      </c>
      <c r="O281" s="51"/>
      <c r="P281" s="51">
        <f t="shared" si="823"/>
        <v>0</v>
      </c>
      <c r="Q281" s="52"/>
      <c r="R281" s="52"/>
      <c r="S281" s="52"/>
      <c r="T281" s="52"/>
      <c r="U281" s="52"/>
      <c r="V281" s="53">
        <f t="shared" si="824"/>
        <v>0</v>
      </c>
      <c r="W281" s="51">
        <f t="shared" si="825"/>
        <v>0</v>
      </c>
      <c r="X281" s="51">
        <f t="shared" si="826"/>
        <v>0</v>
      </c>
      <c r="Y281" s="51">
        <f t="shared" si="827"/>
        <v>0</v>
      </c>
      <c r="Z281" s="51">
        <f t="shared" si="828"/>
        <v>0</v>
      </c>
      <c r="AA281" s="51">
        <f t="shared" si="829"/>
        <v>0</v>
      </c>
      <c r="AB281" s="51">
        <f t="shared" si="830"/>
        <v>0</v>
      </c>
      <c r="AC281" s="51">
        <f t="shared" si="831"/>
        <v>0</v>
      </c>
      <c r="AD281" s="51">
        <f t="shared" si="832"/>
        <v>0</v>
      </c>
      <c r="AE281" s="51">
        <f t="shared" si="833"/>
        <v>0</v>
      </c>
      <c r="AF281" s="51">
        <f t="shared" si="834"/>
        <v>0</v>
      </c>
      <c r="AG281" s="51">
        <f t="shared" si="835"/>
        <v>0</v>
      </c>
      <c r="AH281" s="54">
        <f t="shared" si="836"/>
        <v>0</v>
      </c>
      <c r="AI281" s="55">
        <f t="shared" si="837"/>
        <v>0</v>
      </c>
      <c r="AJ281" s="56">
        <f>IF(AND($E281&lt;&gt;0,$F281&gt;0,YEAR($F281)&gt;=Preisindex!$A$6,YEAR(AE$4)&gt;=YEAR($F281),AND($K281&lt;&gt;"a",$K281&lt;&gt;"b",$K281&lt;&gt;"g",$K281&lt;&gt;"k")),1,IF(AND($E281&lt;&gt;0,$F281&gt;0,YEAR($F281)&gt;=Preisindex!$A$6,YEAR(AE$4)&gt;=YEAR($F281),$K281="a"),ROUND(VLOOKUP(AJ$4,Preisindex,5,FALSE)/VLOOKUP(YEAR($F281),Preisindex,5,FALSE),2),IF(AND($E281&lt;&gt;0,$F281&gt;0,YEAR($F281)&gt;=Preisindex!$A$6,YEAR(AE$4)&gt;=YEAR($F281),$K281="b"),ROUND(VLOOKUP(AJ$4,Preisindex,3,FALSE)/VLOOKUP(YEAR($F281),Preisindex,3,FALSE),2),IF(AND($E281&lt;&gt;0,$F281&gt;0,YEAR($F281)&gt;=Preisindex!$A$6,YEAR(AE$4)&gt;=YEAR($F281),$K281="g"),ROUND(VLOOKUP(AJ$4,Preisindex,4,FALSE)/VLOOKUP(YEAR($F281),Preisindex,4,FALSE),2),IF(AND($E281&lt;&gt;0,$F281&gt;0,YEAR($F281)&gt;=Preisindex!$A$6,YEAR(AE$4)&gt;=YEAR($F281),$K281="k"),ROUND(VLOOKUP(AJ$4,Preisindex,2,FALSE)/VLOOKUP(YEAR($F281),Preisindex,2,FALSE),2),0)))))</f>
        <v>0</v>
      </c>
      <c r="AK281" s="56">
        <f>IF(AND($E281&lt;&gt;0,$F281&gt;0,YEAR($F281)&lt;Preisindex!$A$6,YEAR(AE$4)&gt;=YEAR($F281),AND($K281&lt;&gt;"a",$K281&lt;&gt;"b",$K281&lt;&gt;"g",$K281&lt;&gt;"k")),1,IF(AND($E281&lt;&gt;0,$F281&gt;0,YEAR($F281)&lt;Preisindex!$A$6,YEAR(AE$4)&gt;=YEAR($F281),$K281="a"),ROUND(VLOOKUP(AJ$4,Preisindex,5,FALSE)/VLOOKUP(Preisindex!$A$6,Preisindex,5,FALSE),2),IF(AND($E281&lt;&gt;0,$F281&gt;0,YEAR($F281)&lt;Preisindex!$A$6,YEAR(AE$4)&gt;=YEAR($F281),$K281="b"),ROUND(VLOOKUP(AJ$4,Preisindex,3,FALSE)/VLOOKUP(Preisindex!$A$6,Preisindex,3,FALSE),2),IF(AND($E281&lt;&gt;0,$F281&gt;0,YEAR($F281)&lt;Preisindex!$A$6,YEAR(AE$4)&gt;=YEAR($F281),$K281="g"),ROUND(VLOOKUP(AJ$4,Preisindex,4,FALSE)/VLOOKUP(Preisindex!$A$6,Preisindex,4,FALSE),2),IF(AND($E281&lt;&gt;0,$F281&gt;0,YEAR($F281)&lt;Preisindex!$A$6,YEAR(AE$4)&gt;=YEAR($F281),$K281="k"),ROUND(VLOOKUP(AJ$4,Preisindex,2,FALSE)/VLOOKUP(Preisindex!$A$6,Preisindex,2,FALSE),2),0)))))</f>
        <v>0</v>
      </c>
      <c r="AL281" s="51">
        <f>IF(AND($E281&lt;&gt;0,$F281&gt;0,YEAR($F281)&lt;=AJ$4,YEAR($F281)&gt;=Preisindex!$A$6),ROUND($E281*AJ281,2),IF(AND($E281&lt;&gt;0,$F281&gt;0,YEAR($F281)&lt;=AJ$4,YEAR($F281)&lt;Preisindex!$A$6),ROUND($E281*AK281,2),0))</f>
        <v>0</v>
      </c>
      <c r="AM281" s="53">
        <f t="shared" si="838"/>
        <v>0</v>
      </c>
      <c r="AN281" s="51">
        <f t="shared" si="839"/>
        <v>0</v>
      </c>
      <c r="AO281" s="51">
        <f t="shared" si="841"/>
        <v>0</v>
      </c>
      <c r="AP281" s="51">
        <f t="shared" si="755"/>
        <v>0</v>
      </c>
      <c r="AQ281" s="51">
        <f t="shared" si="842"/>
        <v>0</v>
      </c>
      <c r="AR281" s="51">
        <f t="shared" si="756"/>
        <v>0</v>
      </c>
      <c r="AS281" s="51">
        <f t="shared" si="843"/>
        <v>0</v>
      </c>
      <c r="AT281" s="51">
        <f t="shared" si="757"/>
        <v>0</v>
      </c>
      <c r="AU281" s="51">
        <f t="shared" si="844"/>
        <v>0</v>
      </c>
      <c r="AV281" s="51">
        <f t="shared" si="758"/>
        <v>0</v>
      </c>
      <c r="AW281" s="51">
        <f t="shared" si="845"/>
        <v>0</v>
      </c>
      <c r="AX281" s="51">
        <f t="shared" si="759"/>
        <v>0</v>
      </c>
      <c r="AY281" s="54">
        <f t="shared" si="760"/>
        <v>0</v>
      </c>
      <c r="AZ281" s="55">
        <f t="shared" si="761"/>
        <v>0</v>
      </c>
      <c r="BA281" s="56">
        <f>IF(AND($E281&lt;&gt;0,$F281&gt;0,YEAR($F281)&gt;=Preisindex!$A$6,YEAR(AV$4)&gt;=YEAR($F281),AND($K281&lt;&gt;"a",$K281&lt;&gt;"b",$K281&lt;&gt;"g",$K281&lt;&gt;"k")),1,IF(AND($E281&lt;&gt;0,$F281&gt;0,YEAR($F281)&gt;=Preisindex!$A$6,YEAR(AV$4)&gt;=YEAR($F281),$K281="a"),ROUND(VLOOKUP(BA$4,Preisindex,5,FALSE)/VLOOKUP(YEAR($F281),Preisindex,5,FALSE),2),IF(AND($E281&lt;&gt;0,$F281&gt;0,YEAR($F281)&gt;=Preisindex!$A$6,YEAR(AV$4)&gt;=YEAR($F281),$K281="b"),ROUND(VLOOKUP(BA$4,Preisindex,3,FALSE)/VLOOKUP(YEAR($F281),Preisindex,3,FALSE),2),IF(AND($E281&lt;&gt;0,$F281&gt;0,YEAR($F281)&gt;=Preisindex!$A$6,YEAR(AV$4)&gt;=YEAR($F281),$K281="g"),ROUND(VLOOKUP(BA$4,Preisindex,4,FALSE)/VLOOKUP(YEAR($F281),Preisindex,4,FALSE),2),IF(AND($E281&lt;&gt;0,$F281&gt;0,YEAR($F281)&gt;=Preisindex!$A$6,YEAR(AV$4)&gt;=YEAR($F281),$K281="k"),ROUND(VLOOKUP(BA$4,Preisindex,2,FALSE)/VLOOKUP(YEAR($F281),Preisindex,2,FALSE),2),0)))))</f>
        <v>0</v>
      </c>
      <c r="BB281" s="56">
        <f>IF(AND($E281&lt;&gt;0,$F281&gt;0,YEAR($F281)&lt;Preisindex!$A$6,YEAR(AV$4)&gt;=YEAR($F281),AND($K281&lt;&gt;"a",$K281&lt;&gt;"b",$K281&lt;&gt;"g",$K281&lt;&gt;"k")),1,IF(AND($E281&lt;&gt;0,$F281&gt;0,YEAR($F281)&lt;Preisindex!$A$6,YEAR(AV$4)&gt;=YEAR($F281),$K281="a"),ROUND(VLOOKUP(BA$4,Preisindex,5,FALSE)/VLOOKUP(Preisindex!$A$6,Preisindex,5,FALSE),2),IF(AND($E281&lt;&gt;0,$F281&gt;0,YEAR($F281)&lt;Preisindex!$A$6,YEAR(AV$4)&gt;=YEAR($F281),$K281="b"),ROUND(VLOOKUP(BA$4,Preisindex,3,FALSE)/VLOOKUP(Preisindex!$A$6,Preisindex,3,FALSE),2),IF(AND($E281&lt;&gt;0,$F281&gt;0,YEAR($F281)&lt;Preisindex!$A$6,YEAR(AV$4)&gt;=YEAR($F281),$K281="g"),ROUND(VLOOKUP(BA$4,Preisindex,4,FALSE)/VLOOKUP(Preisindex!$A$6,Preisindex,4,FALSE),2),IF(AND($E281&lt;&gt;0,$F281&gt;0,YEAR($F281)&lt;Preisindex!$A$6,YEAR(AV$4)&gt;=YEAR($F281),$K281="k"),ROUND(VLOOKUP(BA$4,Preisindex,2,FALSE)/VLOOKUP(Preisindex!$A$6,Preisindex,2,FALSE),2),0)))))</f>
        <v>0</v>
      </c>
      <c r="BC281" s="51">
        <f>IF(AND($E281&lt;&gt;0,$F281&gt;0,YEAR($F281)&lt;=BA$4,YEAR($F281)&gt;=Preisindex!$A$6),ROUND($E281*BA281,2),IF(AND($E281&lt;&gt;0,$F281&gt;0,YEAR($F281)&lt;=BA$4,YEAR($F281)&lt;Preisindex!$A$6),ROUND($E281*BB281,2),0))</f>
        <v>0</v>
      </c>
      <c r="BD281" s="53">
        <f t="shared" si="762"/>
        <v>0</v>
      </c>
      <c r="BE281" s="51">
        <f t="shared" si="839"/>
        <v>0</v>
      </c>
      <c r="BF281" s="51">
        <f t="shared" si="846"/>
        <v>0</v>
      </c>
      <c r="BG281" s="51">
        <f t="shared" si="763"/>
        <v>0</v>
      </c>
      <c r="BH281" s="51">
        <f t="shared" si="847"/>
        <v>0</v>
      </c>
      <c r="BI281" s="51">
        <f t="shared" si="764"/>
        <v>0</v>
      </c>
      <c r="BJ281" s="51">
        <f t="shared" si="848"/>
        <v>0</v>
      </c>
      <c r="BK281" s="51">
        <f t="shared" si="765"/>
        <v>0</v>
      </c>
      <c r="BL281" s="51">
        <f t="shared" si="849"/>
        <v>0</v>
      </c>
      <c r="BM281" s="51">
        <f t="shared" si="766"/>
        <v>0</v>
      </c>
      <c r="BN281" s="51">
        <f t="shared" si="850"/>
        <v>0</v>
      </c>
      <c r="BO281" s="51">
        <f t="shared" si="767"/>
        <v>0</v>
      </c>
      <c r="BP281" s="54">
        <f t="shared" si="768"/>
        <v>0</v>
      </c>
      <c r="BQ281" s="55">
        <f t="shared" si="769"/>
        <v>0</v>
      </c>
      <c r="BR281" s="56">
        <f>IF(AND($E281&lt;&gt;0,$F281&gt;0,YEAR($F281)&gt;=Preisindex!$A$6,YEAR(BM$4)&gt;=YEAR($F281),AND($K281&lt;&gt;"a",$K281&lt;&gt;"b",$K281&lt;&gt;"g",$K281&lt;&gt;"k")),1,IF(AND($E281&lt;&gt;0,$F281&gt;0,YEAR($F281)&gt;=Preisindex!$A$6,YEAR(BM$4)&gt;=YEAR($F281),$K281="a"),ROUND(VLOOKUP(BR$4,Preisindex,5,FALSE)/VLOOKUP(YEAR($F281),Preisindex,5,FALSE),2),IF(AND($E281&lt;&gt;0,$F281&gt;0,YEAR($F281)&gt;=Preisindex!$A$6,YEAR(BM$4)&gt;=YEAR($F281),$K281="b"),ROUND(VLOOKUP(BR$4,Preisindex,3,FALSE)/VLOOKUP(YEAR($F281),Preisindex,3,FALSE),2),IF(AND($E281&lt;&gt;0,$F281&gt;0,YEAR($F281)&gt;=Preisindex!$A$6,YEAR(BM$4)&gt;=YEAR($F281),$K281="g"),ROUND(VLOOKUP(BR$4,Preisindex,4,FALSE)/VLOOKUP(YEAR($F281),Preisindex,4,FALSE),2),IF(AND($E281&lt;&gt;0,$F281&gt;0,YEAR($F281)&gt;=Preisindex!$A$6,YEAR(BM$4)&gt;=YEAR($F281),$K281="k"),ROUND(VLOOKUP(BR$4,Preisindex,2,FALSE)/VLOOKUP(YEAR($F281),Preisindex,2,FALSE),2),0)))))</f>
        <v>0</v>
      </c>
      <c r="BS281" s="56">
        <f>IF(AND($E281&lt;&gt;0,$F281&gt;0,YEAR($F281)&lt;Preisindex!$A$6,YEAR(BM$4)&gt;=YEAR($F281),AND($K281&lt;&gt;"a",$K281&lt;&gt;"b",$K281&lt;&gt;"g",$K281&lt;&gt;"k")),1,IF(AND($E281&lt;&gt;0,$F281&gt;0,YEAR($F281)&lt;Preisindex!$A$6,YEAR(BM$4)&gt;=YEAR($F281),$K281="a"),ROUND(VLOOKUP(BR$4,Preisindex,5,FALSE)/VLOOKUP(Preisindex!$A$6,Preisindex,5,FALSE),2),IF(AND($E281&lt;&gt;0,$F281&gt;0,YEAR($F281)&lt;Preisindex!$A$6,YEAR(BM$4)&gt;=YEAR($F281),$K281="b"),ROUND(VLOOKUP(BR$4,Preisindex,3,FALSE)/VLOOKUP(Preisindex!$A$6,Preisindex,3,FALSE),2),IF(AND($E281&lt;&gt;0,$F281&gt;0,YEAR($F281)&lt;Preisindex!$A$6,YEAR(BM$4)&gt;=YEAR($F281),$K281="g"),ROUND(VLOOKUP(BR$4,Preisindex,4,FALSE)/VLOOKUP(Preisindex!$A$6,Preisindex,4,FALSE),2),IF(AND($E281&lt;&gt;0,$F281&gt;0,YEAR($F281)&lt;Preisindex!$A$6,YEAR(BM$4)&gt;=YEAR($F281),$K281="k"),ROUND(VLOOKUP(BR$4,Preisindex,2,FALSE)/VLOOKUP(Preisindex!$A$6,Preisindex,2,FALSE),2),0)))))</f>
        <v>0</v>
      </c>
      <c r="BT281" s="51">
        <f>IF(AND($E281&lt;&gt;0,$F281&gt;0,YEAR($F281)&lt;=BR$4,YEAR($F281)&gt;=Preisindex!$A$6),ROUND($E281*BR281,2),IF(AND($E281&lt;&gt;0,$F281&gt;0,YEAR($F281)&lt;=BR$4,YEAR($F281)&lt;Preisindex!$A$6),ROUND($E281*BS281,2),0))</f>
        <v>0</v>
      </c>
      <c r="BU281" s="53">
        <f t="shared" si="770"/>
        <v>0</v>
      </c>
      <c r="BV281" s="51">
        <f t="shared" si="839"/>
        <v>0</v>
      </c>
      <c r="BW281" s="51">
        <f t="shared" si="851"/>
        <v>0</v>
      </c>
      <c r="BX281" s="51">
        <f t="shared" si="771"/>
        <v>0</v>
      </c>
      <c r="BY281" s="51">
        <f t="shared" si="852"/>
        <v>0</v>
      </c>
      <c r="BZ281" s="51">
        <f t="shared" si="772"/>
        <v>0</v>
      </c>
      <c r="CA281" s="51">
        <f t="shared" si="853"/>
        <v>0</v>
      </c>
      <c r="CB281" s="51">
        <f t="shared" si="773"/>
        <v>0</v>
      </c>
      <c r="CC281" s="51">
        <f t="shared" si="854"/>
        <v>0</v>
      </c>
      <c r="CD281" s="51">
        <f t="shared" si="774"/>
        <v>0</v>
      </c>
      <c r="CE281" s="51">
        <f t="shared" si="855"/>
        <v>0</v>
      </c>
      <c r="CF281" s="51">
        <f t="shared" si="775"/>
        <v>0</v>
      </c>
      <c r="CG281" s="54">
        <f t="shared" si="776"/>
        <v>0</v>
      </c>
      <c r="CH281" s="55">
        <f t="shared" si="777"/>
        <v>0</v>
      </c>
      <c r="CI281" s="56">
        <f>IF(AND($E281&lt;&gt;0,$F281&gt;0,YEAR($F281)&gt;=Preisindex!$A$6,YEAR(CD$4)&gt;=YEAR($F281),AND($K281&lt;&gt;"a",$K281&lt;&gt;"b",$K281&lt;&gt;"g",$K281&lt;&gt;"k")),1,IF(AND($E281&lt;&gt;0,$F281&gt;0,YEAR($F281)&gt;=Preisindex!$A$6,YEAR(CD$4)&gt;=YEAR($F281),$K281="a"),ROUND(VLOOKUP(CI$4,Preisindex,5,FALSE)/VLOOKUP(YEAR($F281),Preisindex,5,FALSE),2),IF(AND($E281&lt;&gt;0,$F281&gt;0,YEAR($F281)&gt;=Preisindex!$A$6,YEAR(CD$4)&gt;=YEAR($F281),$K281="b"),ROUND(VLOOKUP(CI$4,Preisindex,3,FALSE)/VLOOKUP(YEAR($F281),Preisindex,3,FALSE),2),IF(AND($E281&lt;&gt;0,$F281&gt;0,YEAR($F281)&gt;=Preisindex!$A$6,YEAR(CD$4)&gt;=YEAR($F281),$K281="g"),ROUND(VLOOKUP(CI$4,Preisindex,4,FALSE)/VLOOKUP(YEAR($F281),Preisindex,4,FALSE),2),IF(AND($E281&lt;&gt;0,$F281&gt;0,YEAR($F281)&gt;=Preisindex!$A$6,YEAR(CD$4)&gt;=YEAR($F281),$K281="k"),ROUND(VLOOKUP(CI$4,Preisindex,2,FALSE)/VLOOKUP(YEAR($F281),Preisindex,2,FALSE),2),0)))))</f>
        <v>0</v>
      </c>
      <c r="CJ281" s="56">
        <f>IF(AND($E281&lt;&gt;0,$F281&gt;0,YEAR($F281)&lt;Preisindex!$A$6,YEAR(CD$4)&gt;=YEAR($F281),AND($K281&lt;&gt;"a",$K281&lt;&gt;"b",$K281&lt;&gt;"g",$K281&lt;&gt;"k")),1,IF(AND($E281&lt;&gt;0,$F281&gt;0,YEAR($F281)&lt;Preisindex!$A$6,YEAR(CD$4)&gt;=YEAR($F281),$K281="a"),ROUND(VLOOKUP(CI$4,Preisindex,5,FALSE)/VLOOKUP(Preisindex!$A$6,Preisindex,5,FALSE),2),IF(AND($E281&lt;&gt;0,$F281&gt;0,YEAR($F281)&lt;Preisindex!$A$6,YEAR(CD$4)&gt;=YEAR($F281),$K281="b"),ROUND(VLOOKUP(CI$4,Preisindex,3,FALSE)/VLOOKUP(Preisindex!$A$6,Preisindex,3,FALSE),2),IF(AND($E281&lt;&gt;0,$F281&gt;0,YEAR($F281)&lt;Preisindex!$A$6,YEAR(CD$4)&gt;=YEAR($F281),$K281="g"),ROUND(VLOOKUP(CI$4,Preisindex,4,FALSE)/VLOOKUP(Preisindex!$A$6,Preisindex,4,FALSE),2),IF(AND($E281&lt;&gt;0,$F281&gt;0,YEAR($F281)&lt;Preisindex!$A$6,YEAR(CD$4)&gt;=YEAR($F281),$K281="k"),ROUND(VLOOKUP(CI$4,Preisindex,2,FALSE)/VLOOKUP(Preisindex!$A$6,Preisindex,2,FALSE),2),0)))))</f>
        <v>0</v>
      </c>
      <c r="CK281" s="51">
        <f>IF(AND($E281&lt;&gt;0,$F281&gt;0,YEAR($F281)&lt;=CI$4,YEAR($F281)&gt;=Preisindex!$A$6),ROUND($E281*CI281,2),IF(AND($E281&lt;&gt;0,$F281&gt;0,YEAR($F281)&lt;=CI$4,YEAR($F281)&lt;Preisindex!$A$6),ROUND($E281*CJ281,2),0))</f>
        <v>0</v>
      </c>
      <c r="CL281" s="53">
        <f t="shared" si="778"/>
        <v>0</v>
      </c>
      <c r="CM281" s="51">
        <f t="shared" si="839"/>
        <v>0</v>
      </c>
      <c r="CN281" s="51">
        <f t="shared" si="856"/>
        <v>0</v>
      </c>
      <c r="CO281" s="51">
        <f t="shared" si="779"/>
        <v>0</v>
      </c>
      <c r="CP281" s="51">
        <f t="shared" si="857"/>
        <v>0</v>
      </c>
      <c r="CQ281" s="51">
        <f t="shared" si="780"/>
        <v>0</v>
      </c>
      <c r="CR281" s="51">
        <f t="shared" si="858"/>
        <v>0</v>
      </c>
      <c r="CS281" s="51">
        <f t="shared" si="781"/>
        <v>0</v>
      </c>
      <c r="CT281" s="51">
        <f t="shared" si="859"/>
        <v>0</v>
      </c>
      <c r="CU281" s="51">
        <f t="shared" si="782"/>
        <v>0</v>
      </c>
      <c r="CV281" s="51">
        <f t="shared" si="860"/>
        <v>0</v>
      </c>
      <c r="CW281" s="51">
        <f t="shared" si="783"/>
        <v>0</v>
      </c>
      <c r="CX281" s="54">
        <f t="shared" si="784"/>
        <v>0</v>
      </c>
      <c r="CY281" s="55">
        <f t="shared" si="785"/>
        <v>0</v>
      </c>
      <c r="CZ281" s="56">
        <f>IF(AND($E281&lt;&gt;0,$F281&gt;0,YEAR($F281)&gt;=Preisindex!$A$6,YEAR(CU$4)&gt;=YEAR($F281),AND($K281&lt;&gt;"a",$K281&lt;&gt;"b",$K281&lt;&gt;"g",$K281&lt;&gt;"k")),1,IF(AND($E281&lt;&gt;0,$F281&gt;0,YEAR($F281)&gt;=Preisindex!$A$6,YEAR(CU$4)&gt;=YEAR($F281),$K281="a"),ROUND(VLOOKUP(CZ$4,Preisindex,5,FALSE)/VLOOKUP(YEAR($F281),Preisindex,5,FALSE),2),IF(AND($E281&lt;&gt;0,$F281&gt;0,YEAR($F281)&gt;=Preisindex!$A$6,YEAR(CU$4)&gt;=YEAR($F281),$K281="b"),ROUND(VLOOKUP(CZ$4,Preisindex,3,FALSE)/VLOOKUP(YEAR($F281),Preisindex,3,FALSE),2),IF(AND($E281&lt;&gt;0,$F281&gt;0,YEAR($F281)&gt;=Preisindex!$A$6,YEAR(CU$4)&gt;=YEAR($F281),$K281="g"),ROUND(VLOOKUP(CZ$4,Preisindex,4,FALSE)/VLOOKUP(YEAR($F281),Preisindex,4,FALSE),2),IF(AND($E281&lt;&gt;0,$F281&gt;0,YEAR($F281)&gt;=Preisindex!$A$6,YEAR(CU$4)&gt;=YEAR($F281),$K281="k"),ROUND(VLOOKUP(CZ$4,Preisindex,2,FALSE)/VLOOKUP(YEAR($F281),Preisindex,2,FALSE),2),0)))))</f>
        <v>0</v>
      </c>
      <c r="DA281" s="56">
        <f>IF(AND($E281&lt;&gt;0,$F281&gt;0,YEAR($F281)&lt;Preisindex!$A$6,YEAR(CU$4)&gt;=YEAR($F281),AND($K281&lt;&gt;"a",$K281&lt;&gt;"b",$K281&lt;&gt;"g",$K281&lt;&gt;"k")),1,IF(AND($E281&lt;&gt;0,$F281&gt;0,YEAR($F281)&lt;Preisindex!$A$6,YEAR(CU$4)&gt;=YEAR($F281),$K281="a"),ROUND(VLOOKUP(CZ$4,Preisindex,5,FALSE)/VLOOKUP(Preisindex!$A$6,Preisindex,5,FALSE),2),IF(AND($E281&lt;&gt;0,$F281&gt;0,YEAR($F281)&lt;Preisindex!$A$6,YEAR(CU$4)&gt;=YEAR($F281),$K281="b"),ROUND(VLOOKUP(CZ$4,Preisindex,3,FALSE)/VLOOKUP(Preisindex!$A$6,Preisindex,3,FALSE),2),IF(AND($E281&lt;&gt;0,$F281&gt;0,YEAR($F281)&lt;Preisindex!$A$6,YEAR(CU$4)&gt;=YEAR($F281),$K281="g"),ROUND(VLOOKUP(CZ$4,Preisindex,4,FALSE)/VLOOKUP(Preisindex!$A$6,Preisindex,4,FALSE),2),IF(AND($E281&lt;&gt;0,$F281&gt;0,YEAR($F281)&lt;Preisindex!$A$6,YEAR(CU$4)&gt;=YEAR($F281),$K281="k"),ROUND(VLOOKUP(CZ$4,Preisindex,2,FALSE)/VLOOKUP(Preisindex!$A$6,Preisindex,2,FALSE),2),0)))))</f>
        <v>0</v>
      </c>
      <c r="DB281" s="51">
        <f>IF(AND($E281&lt;&gt;0,$F281&gt;0,YEAR($F281)&lt;=CZ$4,YEAR($F281)&gt;=Preisindex!$A$6),ROUND($E281*CZ281,2),IF(AND($E281&lt;&gt;0,$F281&gt;0,YEAR($F281)&lt;=CZ$4,YEAR($F281)&lt;Preisindex!$A$6),ROUND($E281*DA281,2),0))</f>
        <v>0</v>
      </c>
      <c r="DC281" s="53">
        <f t="shared" si="786"/>
        <v>0</v>
      </c>
      <c r="DD281" s="51">
        <f t="shared" si="840"/>
        <v>0</v>
      </c>
      <c r="DE281" s="51">
        <f t="shared" si="861"/>
        <v>0</v>
      </c>
      <c r="DF281" s="51">
        <f t="shared" si="788"/>
        <v>0</v>
      </c>
      <c r="DG281" s="51">
        <f t="shared" si="862"/>
        <v>0</v>
      </c>
      <c r="DH281" s="51">
        <f t="shared" si="789"/>
        <v>0</v>
      </c>
      <c r="DI281" s="51">
        <f t="shared" si="863"/>
        <v>0</v>
      </c>
      <c r="DJ281" s="51">
        <f t="shared" si="790"/>
        <v>0</v>
      </c>
      <c r="DK281" s="51">
        <f t="shared" si="864"/>
        <v>0</v>
      </c>
      <c r="DL281" s="51">
        <f t="shared" si="791"/>
        <v>0</v>
      </c>
      <c r="DM281" s="51">
        <f t="shared" si="865"/>
        <v>0</v>
      </c>
      <c r="DN281" s="51">
        <f t="shared" si="792"/>
        <v>0</v>
      </c>
      <c r="DO281" s="54">
        <f t="shared" si="793"/>
        <v>0</v>
      </c>
      <c r="DP281" s="55">
        <f t="shared" si="794"/>
        <v>0</v>
      </c>
      <c r="DQ281" s="56">
        <f>IF(AND($E281&lt;&gt;0,$F281&gt;0,YEAR($F281)&gt;=Preisindex!$A$6,YEAR(DL$4)&gt;=YEAR($F281),AND($K281&lt;&gt;"a",$K281&lt;&gt;"b",$K281&lt;&gt;"g",$K281&lt;&gt;"k")),1,IF(AND($E281&lt;&gt;0,$F281&gt;0,YEAR($F281)&gt;=Preisindex!$A$6,YEAR(DL$4)&gt;=YEAR($F281),$K281="a"),ROUND(VLOOKUP(DQ$4,Preisindex,5,FALSE)/VLOOKUP(YEAR($F281),Preisindex,5,FALSE),2),IF(AND($E281&lt;&gt;0,$F281&gt;0,YEAR($F281)&gt;=Preisindex!$A$6,YEAR(DL$4)&gt;=YEAR($F281),$K281="b"),ROUND(VLOOKUP(DQ$4,Preisindex,3,FALSE)/VLOOKUP(YEAR($F281),Preisindex,3,FALSE),2),IF(AND($E281&lt;&gt;0,$F281&gt;0,YEAR($F281)&gt;=Preisindex!$A$6,YEAR(DL$4)&gt;=YEAR($F281),$K281="g"),ROUND(VLOOKUP(DQ$4,Preisindex,4,FALSE)/VLOOKUP(YEAR($F281),Preisindex,4,FALSE),2),IF(AND($E281&lt;&gt;0,$F281&gt;0,YEAR($F281)&gt;=Preisindex!$A$6,YEAR(DL$4)&gt;=YEAR($F281),$K281="k"),ROUND(VLOOKUP(DQ$4,Preisindex,2,FALSE)/VLOOKUP(YEAR($F281),Preisindex,2,FALSE),2),0)))))</f>
        <v>0</v>
      </c>
      <c r="DR281" s="56">
        <f>IF(AND($E281&lt;&gt;0,$F281&gt;0,YEAR($F281)&lt;Preisindex!$A$6,YEAR(DL$4)&gt;=YEAR($F281),AND($K281&lt;&gt;"a",$K281&lt;&gt;"b",$K281&lt;&gt;"g",$K281&lt;&gt;"k")),1,IF(AND($E281&lt;&gt;0,$F281&gt;0,YEAR($F281)&lt;Preisindex!$A$6,YEAR(DL$4)&gt;=YEAR($F281),$K281="a"),ROUND(VLOOKUP(DQ$4,Preisindex,5,FALSE)/VLOOKUP(Preisindex!$A$6,Preisindex,5,FALSE),2),IF(AND($E281&lt;&gt;0,$F281&gt;0,YEAR($F281)&lt;Preisindex!$A$6,YEAR(DL$4)&gt;=YEAR($F281),$K281="b"),ROUND(VLOOKUP(DQ$4,Preisindex,3,FALSE)/VLOOKUP(Preisindex!$A$6,Preisindex,3,FALSE),2),IF(AND($E281&lt;&gt;0,$F281&gt;0,YEAR($F281)&lt;Preisindex!$A$6,YEAR(DL$4)&gt;=YEAR($F281),$K281="g"),ROUND(VLOOKUP(DQ$4,Preisindex,4,FALSE)/VLOOKUP(Preisindex!$A$6,Preisindex,4,FALSE),2),IF(AND($E281&lt;&gt;0,$F281&gt;0,YEAR($F281)&lt;Preisindex!$A$6,YEAR(DL$4)&gt;=YEAR($F281),$K281="k"),ROUND(VLOOKUP(DQ$4,Preisindex,2,FALSE)/VLOOKUP(Preisindex!$A$6,Preisindex,2,FALSE),2),0)))))</f>
        <v>0</v>
      </c>
      <c r="DS281" s="51">
        <f>IF(AND($E281&lt;&gt;0,$F281&gt;0,YEAR($F281)&lt;=DQ$4,YEAR($F281)&gt;=Preisindex!$A$6),ROUND($E281*DQ281,2),IF(AND($E281&lt;&gt;0,$F281&gt;0,YEAR($F281)&lt;=DQ$4,YEAR($F281)&lt;Preisindex!$A$6),ROUND($E281*DR281,2),0))</f>
        <v>0</v>
      </c>
      <c r="DT281" s="53">
        <f t="shared" si="795"/>
        <v>0</v>
      </c>
      <c r="DU281" s="51">
        <f t="shared" si="840"/>
        <v>0</v>
      </c>
      <c r="DV281" s="51">
        <f t="shared" si="866"/>
        <v>0</v>
      </c>
      <c r="DW281" s="51">
        <f t="shared" si="796"/>
        <v>0</v>
      </c>
      <c r="DX281" s="51">
        <f t="shared" si="867"/>
        <v>0</v>
      </c>
      <c r="DY281" s="51">
        <f t="shared" si="797"/>
        <v>0</v>
      </c>
      <c r="DZ281" s="51">
        <f t="shared" si="868"/>
        <v>0</v>
      </c>
      <c r="EA281" s="51">
        <f t="shared" si="798"/>
        <v>0</v>
      </c>
      <c r="EB281" s="51">
        <f t="shared" si="869"/>
        <v>0</v>
      </c>
      <c r="EC281" s="51">
        <f t="shared" si="799"/>
        <v>0</v>
      </c>
      <c r="ED281" s="51">
        <f t="shared" si="870"/>
        <v>0</v>
      </c>
      <c r="EE281" s="51">
        <f t="shared" si="800"/>
        <v>0</v>
      </c>
      <c r="EF281" s="54">
        <f t="shared" si="801"/>
        <v>0</v>
      </c>
      <c r="EG281" s="55">
        <f t="shared" si="802"/>
        <v>0</v>
      </c>
      <c r="EH281" s="56">
        <f>IF(AND($E281&lt;&gt;0,$F281&gt;0,YEAR($F281)&gt;=Preisindex!$A$6,YEAR(EC$4)&gt;=YEAR($F281),AND($K281&lt;&gt;"a",$K281&lt;&gt;"b",$K281&lt;&gt;"g",$K281&lt;&gt;"k")),1,IF(AND($E281&lt;&gt;0,$F281&gt;0,YEAR($F281)&gt;=Preisindex!$A$6,YEAR(EC$4)&gt;=YEAR($F281),$K281="a"),ROUND(VLOOKUP(EH$4,Preisindex,5,FALSE)/VLOOKUP(YEAR($F281),Preisindex,5,FALSE),2),IF(AND($E281&lt;&gt;0,$F281&gt;0,YEAR($F281)&gt;=Preisindex!$A$6,YEAR(EC$4)&gt;=YEAR($F281),$K281="b"),ROUND(VLOOKUP(EH$4,Preisindex,3,FALSE)/VLOOKUP(YEAR($F281),Preisindex,3,FALSE),2),IF(AND($E281&lt;&gt;0,$F281&gt;0,YEAR($F281)&gt;=Preisindex!$A$6,YEAR(EC$4)&gt;=YEAR($F281),$K281="g"),ROUND(VLOOKUP(EH$4,Preisindex,4,FALSE)/VLOOKUP(YEAR($F281),Preisindex,4,FALSE),2),IF(AND($E281&lt;&gt;0,$F281&gt;0,YEAR($F281)&gt;=Preisindex!$A$6,YEAR(EC$4)&gt;=YEAR($F281),$K281="k"),ROUND(VLOOKUP(EH$4,Preisindex,2,FALSE)/VLOOKUP(YEAR($F281),Preisindex,2,FALSE),2),0)))))</f>
        <v>0</v>
      </c>
      <c r="EI281" s="56">
        <f>IF(AND($E281&lt;&gt;0,$F281&gt;0,YEAR($F281)&lt;Preisindex!$A$6,YEAR(EC$4)&gt;=YEAR($F281),AND($K281&lt;&gt;"a",$K281&lt;&gt;"b",$K281&lt;&gt;"g",$K281&lt;&gt;"k")),1,IF(AND($E281&lt;&gt;0,$F281&gt;0,YEAR($F281)&lt;Preisindex!$A$6,YEAR(EC$4)&gt;=YEAR($F281),$K281="a"),ROUND(VLOOKUP(EH$4,Preisindex,5,FALSE)/VLOOKUP(Preisindex!$A$6,Preisindex,5,FALSE),2),IF(AND($E281&lt;&gt;0,$F281&gt;0,YEAR($F281)&lt;Preisindex!$A$6,YEAR(EC$4)&gt;=YEAR($F281),$K281="b"),ROUND(VLOOKUP(EH$4,Preisindex,3,FALSE)/VLOOKUP(Preisindex!$A$6,Preisindex,3,FALSE),2),IF(AND($E281&lt;&gt;0,$F281&gt;0,YEAR($F281)&lt;Preisindex!$A$6,YEAR(EC$4)&gt;=YEAR($F281),$K281="g"),ROUND(VLOOKUP(EH$4,Preisindex,4,FALSE)/VLOOKUP(Preisindex!$A$6,Preisindex,4,FALSE),2),IF(AND($E281&lt;&gt;0,$F281&gt;0,YEAR($F281)&lt;Preisindex!$A$6,YEAR(EC$4)&gt;=YEAR($F281),$K281="k"),ROUND(VLOOKUP(EH$4,Preisindex,2,FALSE)/VLOOKUP(Preisindex!$A$6,Preisindex,2,FALSE),2),0)))))</f>
        <v>0</v>
      </c>
      <c r="EJ281" s="51">
        <f>IF(AND($E281&lt;&gt;0,$F281&gt;0,YEAR($F281)&lt;=EH$4,YEAR($F281)&gt;=Preisindex!$A$6),ROUND($E281*EH281,2),IF(AND($E281&lt;&gt;0,$F281&gt;0,YEAR($F281)&lt;=EH$4,YEAR($F281)&lt;Preisindex!$A$6),ROUND($E281*EI281,2),0))</f>
        <v>0</v>
      </c>
      <c r="EK281" s="53">
        <f t="shared" si="803"/>
        <v>0</v>
      </c>
      <c r="EL281" s="51">
        <f t="shared" si="840"/>
        <v>0</v>
      </c>
      <c r="EM281" s="51">
        <f t="shared" si="871"/>
        <v>0</v>
      </c>
      <c r="EN281" s="51">
        <f t="shared" si="804"/>
        <v>0</v>
      </c>
      <c r="EO281" s="51">
        <f t="shared" si="872"/>
        <v>0</v>
      </c>
      <c r="EP281" s="51">
        <f t="shared" si="805"/>
        <v>0</v>
      </c>
      <c r="EQ281" s="51">
        <f t="shared" si="873"/>
        <v>0</v>
      </c>
      <c r="ER281" s="51">
        <f t="shared" si="806"/>
        <v>0</v>
      </c>
      <c r="ES281" s="51">
        <f t="shared" si="874"/>
        <v>0</v>
      </c>
      <c r="ET281" s="51">
        <f t="shared" si="807"/>
        <v>0</v>
      </c>
      <c r="EU281" s="51">
        <f t="shared" si="875"/>
        <v>0</v>
      </c>
      <c r="EV281" s="51">
        <f t="shared" si="808"/>
        <v>0</v>
      </c>
      <c r="EW281" s="54">
        <f t="shared" si="809"/>
        <v>0</v>
      </c>
      <c r="EX281" s="55">
        <f t="shared" si="810"/>
        <v>0</v>
      </c>
      <c r="EY281" s="56">
        <f>IF(AND($E281&lt;&gt;0,$F281&gt;0,YEAR($F281)&gt;=Preisindex!$A$6,YEAR(ET$4)&gt;=YEAR($F281),AND($K281&lt;&gt;"a",$K281&lt;&gt;"b",$K281&lt;&gt;"g",$K281&lt;&gt;"k")),1,IF(AND($E281&lt;&gt;0,$F281&gt;0,YEAR($F281)&gt;=Preisindex!$A$6,YEAR(ET$4)&gt;=YEAR($F281),$K281="a"),ROUND(VLOOKUP(EY$4,Preisindex,5,FALSE)/VLOOKUP(YEAR($F281),Preisindex,5,FALSE),2),IF(AND($E281&lt;&gt;0,$F281&gt;0,YEAR($F281)&gt;=Preisindex!$A$6,YEAR(ET$4)&gt;=YEAR($F281),$K281="b"),ROUND(VLOOKUP(EY$4,Preisindex,3,FALSE)/VLOOKUP(YEAR($F281),Preisindex,3,FALSE),2),IF(AND($E281&lt;&gt;0,$F281&gt;0,YEAR($F281)&gt;=Preisindex!$A$6,YEAR(ET$4)&gt;=YEAR($F281),$K281="g"),ROUND(VLOOKUP(EY$4,Preisindex,4,FALSE)/VLOOKUP(YEAR($F281),Preisindex,4,FALSE),2),IF(AND($E281&lt;&gt;0,$F281&gt;0,YEAR($F281)&gt;=Preisindex!$A$6,YEAR(ET$4)&gt;=YEAR($F281),$K281="k"),ROUND(VLOOKUP(EY$4,Preisindex,2,FALSE)/VLOOKUP(YEAR($F281),Preisindex,2,FALSE),2),0)))))</f>
        <v>0</v>
      </c>
      <c r="EZ281" s="56">
        <f>IF(AND($E281&lt;&gt;0,$F281&gt;0,YEAR($F281)&lt;Preisindex!$A$6,YEAR(ET$4)&gt;=YEAR($F281),AND($K281&lt;&gt;"a",$K281&lt;&gt;"b",$K281&lt;&gt;"g",$K281&lt;&gt;"k")),1,IF(AND($E281&lt;&gt;0,$F281&gt;0,YEAR($F281)&lt;Preisindex!$A$6,YEAR(ET$4)&gt;=YEAR($F281),$K281="a"),ROUND(VLOOKUP(EY$4,Preisindex,5,FALSE)/VLOOKUP(Preisindex!$A$6,Preisindex,5,FALSE),2),IF(AND($E281&lt;&gt;0,$F281&gt;0,YEAR($F281)&lt;Preisindex!$A$6,YEAR(ET$4)&gt;=YEAR($F281),$K281="b"),ROUND(VLOOKUP(EY$4,Preisindex,3,FALSE)/VLOOKUP(Preisindex!$A$6,Preisindex,3,FALSE),2),IF(AND($E281&lt;&gt;0,$F281&gt;0,YEAR($F281)&lt;Preisindex!$A$6,YEAR(ET$4)&gt;=YEAR($F281),$K281="g"),ROUND(VLOOKUP(EY$4,Preisindex,4,FALSE)/VLOOKUP(Preisindex!$A$6,Preisindex,4,FALSE),2),IF(AND($E281&lt;&gt;0,$F281&gt;0,YEAR($F281)&lt;Preisindex!$A$6,YEAR(ET$4)&gt;=YEAR($F281),$K281="k"),ROUND(VLOOKUP(EY$4,Preisindex,2,FALSE)/VLOOKUP(Preisindex!$A$6,Preisindex,2,FALSE),2),0)))))</f>
        <v>0</v>
      </c>
      <c r="FA281" s="51">
        <f>IF(AND($E281&lt;&gt;0,$F281&gt;0,YEAR($F281)&lt;=EY$4,YEAR($F281)&gt;=Preisindex!$A$6),ROUND($E281*EY281,2),IF(AND($E281&lt;&gt;0,$F281&gt;0,YEAR($F281)&lt;=EY$4,YEAR($F281)&lt;Preisindex!$A$6),ROUND($E281*EZ281,2),0))</f>
        <v>0</v>
      </c>
      <c r="FB281" s="53">
        <f t="shared" si="811"/>
        <v>0</v>
      </c>
      <c r="FC281" s="51">
        <f t="shared" si="840"/>
        <v>0</v>
      </c>
      <c r="FD281" s="51">
        <f t="shared" si="876"/>
        <v>0</v>
      </c>
      <c r="FE281" s="51">
        <f t="shared" si="812"/>
        <v>0</v>
      </c>
      <c r="FF281" s="51">
        <f t="shared" si="877"/>
        <v>0</v>
      </c>
      <c r="FG281" s="51">
        <f t="shared" si="813"/>
        <v>0</v>
      </c>
      <c r="FH281" s="51">
        <f t="shared" si="878"/>
        <v>0</v>
      </c>
      <c r="FI281" s="51">
        <f t="shared" si="814"/>
        <v>0</v>
      </c>
      <c r="FJ281" s="51">
        <f t="shared" si="879"/>
        <v>0</v>
      </c>
      <c r="FK281" s="51">
        <f t="shared" si="815"/>
        <v>0</v>
      </c>
      <c r="FL281" s="51">
        <f t="shared" si="880"/>
        <v>0</v>
      </c>
      <c r="FM281" s="51">
        <f t="shared" si="816"/>
        <v>0</v>
      </c>
      <c r="FN281" s="54">
        <f t="shared" si="817"/>
        <v>0</v>
      </c>
      <c r="FO281" s="55">
        <f t="shared" si="818"/>
        <v>0</v>
      </c>
      <c r="FP281" s="56">
        <f>IF(AND($E281&lt;&gt;0,$F281&gt;0,YEAR($F281)&gt;=Preisindex!$A$6,YEAR(FK$4)&gt;=YEAR($F281),AND($K281&lt;&gt;"a",$K281&lt;&gt;"b",$K281&lt;&gt;"g",$K281&lt;&gt;"k")),1,IF(AND($E281&lt;&gt;0,$F281&gt;0,YEAR($F281)&gt;=Preisindex!$A$6,YEAR(FK$4)&gt;=YEAR($F281),$K281="a"),ROUND(VLOOKUP(FP$4,Preisindex,5,FALSE)/VLOOKUP(YEAR($F281),Preisindex,5,FALSE),2),IF(AND($E281&lt;&gt;0,$F281&gt;0,YEAR($F281)&gt;=Preisindex!$A$6,YEAR(FK$4)&gt;=YEAR($F281),$K281="b"),ROUND(VLOOKUP(FP$4,Preisindex,3,FALSE)/VLOOKUP(YEAR($F281),Preisindex,3,FALSE),2),IF(AND($E281&lt;&gt;0,$F281&gt;0,YEAR($F281)&gt;=Preisindex!$A$6,YEAR(FK$4)&gt;=YEAR($F281),$K281="g"),ROUND(VLOOKUP(FP$4,Preisindex,4,FALSE)/VLOOKUP(YEAR($F281),Preisindex,4,FALSE),2),IF(AND($E281&lt;&gt;0,$F281&gt;0,YEAR($F281)&gt;=Preisindex!$A$6,YEAR(FK$4)&gt;=YEAR($F281),$K281="k"),ROUND(VLOOKUP(FP$4,Preisindex,2,FALSE)/VLOOKUP(YEAR($F281),Preisindex,2,FALSE),2),0)))))</f>
        <v>0</v>
      </c>
      <c r="FQ281" s="56">
        <f>IF(AND($E281&lt;&gt;0,$F281&gt;0,YEAR($F281)&lt;Preisindex!$A$6,YEAR(FK$4)&gt;=YEAR($F281),AND($K281&lt;&gt;"a",$K281&lt;&gt;"b",$K281&lt;&gt;"g",$K281&lt;&gt;"k")),1,IF(AND($E281&lt;&gt;0,$F281&gt;0,YEAR($F281)&lt;Preisindex!$A$6,YEAR(FK$4)&gt;=YEAR($F281),$K281="a"),ROUND(VLOOKUP(FP$4,Preisindex,5,FALSE)/VLOOKUP(Preisindex!$A$6,Preisindex,5,FALSE),2),IF(AND($E281&lt;&gt;0,$F281&gt;0,YEAR($F281)&lt;Preisindex!$A$6,YEAR(FK$4)&gt;=YEAR($F281),$K281="b"),ROUND(VLOOKUP(FP$4,Preisindex,3,FALSE)/VLOOKUP(Preisindex!$A$6,Preisindex,3,FALSE),2),IF(AND($E281&lt;&gt;0,$F281&gt;0,YEAR($F281)&lt;Preisindex!$A$6,YEAR(FK$4)&gt;=YEAR($F281),$K281="g"),ROUND(VLOOKUP(FP$4,Preisindex,4,FALSE)/VLOOKUP(Preisindex!$A$6,Preisindex,4,FALSE),2),IF(AND($E281&lt;&gt;0,$F281&gt;0,YEAR($F281)&lt;Preisindex!$A$6,YEAR(FK$4)&gt;=YEAR($F281),$K281="k"),ROUND(VLOOKUP(FP$4,Preisindex,2,FALSE)/VLOOKUP(Preisindex!$A$6,Preisindex,2,FALSE),2),0)))))</f>
        <v>0</v>
      </c>
      <c r="FR281" s="51">
        <f>IF(AND($E281&lt;&gt;0,$F281&gt;0,YEAR($F281)&lt;=FP$4,YEAR($F281)&gt;=Preisindex!$A$6),ROUND($E281*FP281,2),IF(AND($E281&lt;&gt;0,$F281&gt;0,YEAR($F281)&lt;=FP$4,YEAR($F281)&lt;Preisindex!$A$6),ROUND($E281*FQ281,2),0))</f>
        <v>0</v>
      </c>
      <c r="FS281" s="53">
        <f t="shared" si="819"/>
        <v>0</v>
      </c>
    </row>
    <row r="282" spans="1:175" x14ac:dyDescent="0.3">
      <c r="A282" s="185"/>
      <c r="B282" s="186"/>
      <c r="C282" s="187"/>
      <c r="D282" s="188"/>
      <c r="E282" s="189"/>
      <c r="F282" s="190"/>
      <c r="G282" s="191"/>
      <c r="H282" s="192"/>
      <c r="I282" s="193"/>
      <c r="J282" s="194"/>
      <c r="K282" s="630"/>
      <c r="L282" s="49">
        <f t="shared" si="820"/>
        <v>0</v>
      </c>
      <c r="M282" s="50">
        <f t="shared" si="821"/>
        <v>0</v>
      </c>
      <c r="N282" s="51">
        <f t="shared" si="822"/>
        <v>0</v>
      </c>
      <c r="O282" s="51"/>
      <c r="P282" s="51">
        <f t="shared" si="823"/>
        <v>0</v>
      </c>
      <c r="Q282" s="52"/>
      <c r="R282" s="52"/>
      <c r="S282" s="52"/>
      <c r="T282" s="52"/>
      <c r="U282" s="52"/>
      <c r="V282" s="53">
        <f t="shared" si="824"/>
        <v>0</v>
      </c>
      <c r="W282" s="51">
        <f t="shared" si="825"/>
        <v>0</v>
      </c>
      <c r="X282" s="51">
        <f t="shared" si="826"/>
        <v>0</v>
      </c>
      <c r="Y282" s="51">
        <f t="shared" si="827"/>
        <v>0</v>
      </c>
      <c r="Z282" s="51">
        <f t="shared" si="828"/>
        <v>0</v>
      </c>
      <c r="AA282" s="51">
        <f t="shared" si="829"/>
        <v>0</v>
      </c>
      <c r="AB282" s="51">
        <f t="shared" si="830"/>
        <v>0</v>
      </c>
      <c r="AC282" s="51">
        <f t="shared" si="831"/>
        <v>0</v>
      </c>
      <c r="AD282" s="51">
        <f t="shared" si="832"/>
        <v>0</v>
      </c>
      <c r="AE282" s="51">
        <f t="shared" si="833"/>
        <v>0</v>
      </c>
      <c r="AF282" s="51">
        <f t="shared" si="834"/>
        <v>0</v>
      </c>
      <c r="AG282" s="51">
        <f t="shared" si="835"/>
        <v>0</v>
      </c>
      <c r="AH282" s="54">
        <f t="shared" si="836"/>
        <v>0</v>
      </c>
      <c r="AI282" s="55">
        <f t="shared" si="837"/>
        <v>0</v>
      </c>
      <c r="AJ282" s="56">
        <f>IF(AND($E282&lt;&gt;0,$F282&gt;0,YEAR($F282)&gt;=Preisindex!$A$6,YEAR(AE$4)&gt;=YEAR($F282),AND($K282&lt;&gt;"a",$K282&lt;&gt;"b",$K282&lt;&gt;"g",$K282&lt;&gt;"k")),1,IF(AND($E282&lt;&gt;0,$F282&gt;0,YEAR($F282)&gt;=Preisindex!$A$6,YEAR(AE$4)&gt;=YEAR($F282),$K282="a"),ROUND(VLOOKUP(AJ$4,Preisindex,5,FALSE)/VLOOKUP(YEAR($F282),Preisindex,5,FALSE),2),IF(AND($E282&lt;&gt;0,$F282&gt;0,YEAR($F282)&gt;=Preisindex!$A$6,YEAR(AE$4)&gt;=YEAR($F282),$K282="b"),ROUND(VLOOKUP(AJ$4,Preisindex,3,FALSE)/VLOOKUP(YEAR($F282),Preisindex,3,FALSE),2),IF(AND($E282&lt;&gt;0,$F282&gt;0,YEAR($F282)&gt;=Preisindex!$A$6,YEAR(AE$4)&gt;=YEAR($F282),$K282="g"),ROUND(VLOOKUP(AJ$4,Preisindex,4,FALSE)/VLOOKUP(YEAR($F282),Preisindex,4,FALSE),2),IF(AND($E282&lt;&gt;0,$F282&gt;0,YEAR($F282)&gt;=Preisindex!$A$6,YEAR(AE$4)&gt;=YEAR($F282),$K282="k"),ROUND(VLOOKUP(AJ$4,Preisindex,2,FALSE)/VLOOKUP(YEAR($F282),Preisindex,2,FALSE),2),0)))))</f>
        <v>0</v>
      </c>
      <c r="AK282" s="56">
        <f>IF(AND($E282&lt;&gt;0,$F282&gt;0,YEAR($F282)&lt;Preisindex!$A$6,YEAR(AE$4)&gt;=YEAR($F282),AND($K282&lt;&gt;"a",$K282&lt;&gt;"b",$K282&lt;&gt;"g",$K282&lt;&gt;"k")),1,IF(AND($E282&lt;&gt;0,$F282&gt;0,YEAR($F282)&lt;Preisindex!$A$6,YEAR(AE$4)&gt;=YEAR($F282),$K282="a"),ROUND(VLOOKUP(AJ$4,Preisindex,5,FALSE)/VLOOKUP(Preisindex!$A$6,Preisindex,5,FALSE),2),IF(AND($E282&lt;&gt;0,$F282&gt;0,YEAR($F282)&lt;Preisindex!$A$6,YEAR(AE$4)&gt;=YEAR($F282),$K282="b"),ROUND(VLOOKUP(AJ$4,Preisindex,3,FALSE)/VLOOKUP(Preisindex!$A$6,Preisindex,3,FALSE),2),IF(AND($E282&lt;&gt;0,$F282&gt;0,YEAR($F282)&lt;Preisindex!$A$6,YEAR(AE$4)&gt;=YEAR($F282),$K282="g"),ROUND(VLOOKUP(AJ$4,Preisindex,4,FALSE)/VLOOKUP(Preisindex!$A$6,Preisindex,4,FALSE),2),IF(AND($E282&lt;&gt;0,$F282&gt;0,YEAR($F282)&lt;Preisindex!$A$6,YEAR(AE$4)&gt;=YEAR($F282),$K282="k"),ROUND(VLOOKUP(AJ$4,Preisindex,2,FALSE)/VLOOKUP(Preisindex!$A$6,Preisindex,2,FALSE),2),0)))))</f>
        <v>0</v>
      </c>
      <c r="AL282" s="51">
        <f>IF(AND($E282&lt;&gt;0,$F282&gt;0,YEAR($F282)&lt;=AJ$4,YEAR($F282)&gt;=Preisindex!$A$6),ROUND($E282*AJ282,2),IF(AND($E282&lt;&gt;0,$F282&gt;0,YEAR($F282)&lt;=AJ$4,YEAR($F282)&lt;Preisindex!$A$6),ROUND($E282*AK282,2),0))</f>
        <v>0</v>
      </c>
      <c r="AM282" s="53">
        <f t="shared" si="838"/>
        <v>0</v>
      </c>
      <c r="AN282" s="51">
        <f t="shared" si="839"/>
        <v>0</v>
      </c>
      <c r="AO282" s="51">
        <f t="shared" si="841"/>
        <v>0</v>
      </c>
      <c r="AP282" s="51">
        <f t="shared" si="755"/>
        <v>0</v>
      </c>
      <c r="AQ282" s="51">
        <f t="shared" si="842"/>
        <v>0</v>
      </c>
      <c r="AR282" s="51">
        <f t="shared" si="756"/>
        <v>0</v>
      </c>
      <c r="AS282" s="51">
        <f t="shared" si="843"/>
        <v>0</v>
      </c>
      <c r="AT282" s="51">
        <f t="shared" si="757"/>
        <v>0</v>
      </c>
      <c r="AU282" s="51">
        <f t="shared" si="844"/>
        <v>0</v>
      </c>
      <c r="AV282" s="51">
        <f t="shared" si="758"/>
        <v>0</v>
      </c>
      <c r="AW282" s="51">
        <f t="shared" si="845"/>
        <v>0</v>
      </c>
      <c r="AX282" s="51">
        <f t="shared" si="759"/>
        <v>0</v>
      </c>
      <c r="AY282" s="54">
        <f t="shared" si="760"/>
        <v>0</v>
      </c>
      <c r="AZ282" s="55">
        <f t="shared" si="761"/>
        <v>0</v>
      </c>
      <c r="BA282" s="56">
        <f>IF(AND($E282&lt;&gt;0,$F282&gt;0,YEAR($F282)&gt;=Preisindex!$A$6,YEAR(AV$4)&gt;=YEAR($F282),AND($K282&lt;&gt;"a",$K282&lt;&gt;"b",$K282&lt;&gt;"g",$K282&lt;&gt;"k")),1,IF(AND($E282&lt;&gt;0,$F282&gt;0,YEAR($F282)&gt;=Preisindex!$A$6,YEAR(AV$4)&gt;=YEAR($F282),$K282="a"),ROUND(VLOOKUP(BA$4,Preisindex,5,FALSE)/VLOOKUP(YEAR($F282),Preisindex,5,FALSE),2),IF(AND($E282&lt;&gt;0,$F282&gt;0,YEAR($F282)&gt;=Preisindex!$A$6,YEAR(AV$4)&gt;=YEAR($F282),$K282="b"),ROUND(VLOOKUP(BA$4,Preisindex,3,FALSE)/VLOOKUP(YEAR($F282),Preisindex,3,FALSE),2),IF(AND($E282&lt;&gt;0,$F282&gt;0,YEAR($F282)&gt;=Preisindex!$A$6,YEAR(AV$4)&gt;=YEAR($F282),$K282="g"),ROUND(VLOOKUP(BA$4,Preisindex,4,FALSE)/VLOOKUP(YEAR($F282),Preisindex,4,FALSE),2),IF(AND($E282&lt;&gt;0,$F282&gt;0,YEAR($F282)&gt;=Preisindex!$A$6,YEAR(AV$4)&gt;=YEAR($F282),$K282="k"),ROUND(VLOOKUP(BA$4,Preisindex,2,FALSE)/VLOOKUP(YEAR($F282),Preisindex,2,FALSE),2),0)))))</f>
        <v>0</v>
      </c>
      <c r="BB282" s="56">
        <f>IF(AND($E282&lt;&gt;0,$F282&gt;0,YEAR($F282)&lt;Preisindex!$A$6,YEAR(AV$4)&gt;=YEAR($F282),AND($K282&lt;&gt;"a",$K282&lt;&gt;"b",$K282&lt;&gt;"g",$K282&lt;&gt;"k")),1,IF(AND($E282&lt;&gt;0,$F282&gt;0,YEAR($F282)&lt;Preisindex!$A$6,YEAR(AV$4)&gt;=YEAR($F282),$K282="a"),ROUND(VLOOKUP(BA$4,Preisindex,5,FALSE)/VLOOKUP(Preisindex!$A$6,Preisindex,5,FALSE),2),IF(AND($E282&lt;&gt;0,$F282&gt;0,YEAR($F282)&lt;Preisindex!$A$6,YEAR(AV$4)&gt;=YEAR($F282),$K282="b"),ROUND(VLOOKUP(BA$4,Preisindex,3,FALSE)/VLOOKUP(Preisindex!$A$6,Preisindex,3,FALSE),2),IF(AND($E282&lt;&gt;0,$F282&gt;0,YEAR($F282)&lt;Preisindex!$A$6,YEAR(AV$4)&gt;=YEAR($F282),$K282="g"),ROUND(VLOOKUP(BA$4,Preisindex,4,FALSE)/VLOOKUP(Preisindex!$A$6,Preisindex,4,FALSE),2),IF(AND($E282&lt;&gt;0,$F282&gt;0,YEAR($F282)&lt;Preisindex!$A$6,YEAR(AV$4)&gt;=YEAR($F282),$K282="k"),ROUND(VLOOKUP(BA$4,Preisindex,2,FALSE)/VLOOKUP(Preisindex!$A$6,Preisindex,2,FALSE),2),0)))))</f>
        <v>0</v>
      </c>
      <c r="BC282" s="51">
        <f>IF(AND($E282&lt;&gt;0,$F282&gt;0,YEAR($F282)&lt;=BA$4,YEAR($F282)&gt;=Preisindex!$A$6),ROUND($E282*BA282,2),IF(AND($E282&lt;&gt;0,$F282&gt;0,YEAR($F282)&lt;=BA$4,YEAR($F282)&lt;Preisindex!$A$6),ROUND($E282*BB282,2),0))</f>
        <v>0</v>
      </c>
      <c r="BD282" s="53">
        <f t="shared" si="762"/>
        <v>0</v>
      </c>
      <c r="BE282" s="51">
        <f t="shared" si="839"/>
        <v>0</v>
      </c>
      <c r="BF282" s="51">
        <f t="shared" si="846"/>
        <v>0</v>
      </c>
      <c r="BG282" s="51">
        <f t="shared" si="763"/>
        <v>0</v>
      </c>
      <c r="BH282" s="51">
        <f t="shared" si="847"/>
        <v>0</v>
      </c>
      <c r="BI282" s="51">
        <f t="shared" si="764"/>
        <v>0</v>
      </c>
      <c r="BJ282" s="51">
        <f t="shared" si="848"/>
        <v>0</v>
      </c>
      <c r="BK282" s="51">
        <f t="shared" si="765"/>
        <v>0</v>
      </c>
      <c r="BL282" s="51">
        <f t="shared" si="849"/>
        <v>0</v>
      </c>
      <c r="BM282" s="51">
        <f t="shared" si="766"/>
        <v>0</v>
      </c>
      <c r="BN282" s="51">
        <f t="shared" si="850"/>
        <v>0</v>
      </c>
      <c r="BO282" s="51">
        <f t="shared" si="767"/>
        <v>0</v>
      </c>
      <c r="BP282" s="54">
        <f t="shared" si="768"/>
        <v>0</v>
      </c>
      <c r="BQ282" s="55">
        <f t="shared" si="769"/>
        <v>0</v>
      </c>
      <c r="BR282" s="56">
        <f>IF(AND($E282&lt;&gt;0,$F282&gt;0,YEAR($F282)&gt;=Preisindex!$A$6,YEAR(BM$4)&gt;=YEAR($F282),AND($K282&lt;&gt;"a",$K282&lt;&gt;"b",$K282&lt;&gt;"g",$K282&lt;&gt;"k")),1,IF(AND($E282&lt;&gt;0,$F282&gt;0,YEAR($F282)&gt;=Preisindex!$A$6,YEAR(BM$4)&gt;=YEAR($F282),$K282="a"),ROUND(VLOOKUP(BR$4,Preisindex,5,FALSE)/VLOOKUP(YEAR($F282),Preisindex,5,FALSE),2),IF(AND($E282&lt;&gt;0,$F282&gt;0,YEAR($F282)&gt;=Preisindex!$A$6,YEAR(BM$4)&gt;=YEAR($F282),$K282="b"),ROUND(VLOOKUP(BR$4,Preisindex,3,FALSE)/VLOOKUP(YEAR($F282),Preisindex,3,FALSE),2),IF(AND($E282&lt;&gt;0,$F282&gt;0,YEAR($F282)&gt;=Preisindex!$A$6,YEAR(BM$4)&gt;=YEAR($F282),$K282="g"),ROUND(VLOOKUP(BR$4,Preisindex,4,FALSE)/VLOOKUP(YEAR($F282),Preisindex,4,FALSE),2),IF(AND($E282&lt;&gt;0,$F282&gt;0,YEAR($F282)&gt;=Preisindex!$A$6,YEAR(BM$4)&gt;=YEAR($F282),$K282="k"),ROUND(VLOOKUP(BR$4,Preisindex,2,FALSE)/VLOOKUP(YEAR($F282),Preisindex,2,FALSE),2),0)))))</f>
        <v>0</v>
      </c>
      <c r="BS282" s="56">
        <f>IF(AND($E282&lt;&gt;0,$F282&gt;0,YEAR($F282)&lt;Preisindex!$A$6,YEAR(BM$4)&gt;=YEAR($F282),AND($K282&lt;&gt;"a",$K282&lt;&gt;"b",$K282&lt;&gt;"g",$K282&lt;&gt;"k")),1,IF(AND($E282&lt;&gt;0,$F282&gt;0,YEAR($F282)&lt;Preisindex!$A$6,YEAR(BM$4)&gt;=YEAR($F282),$K282="a"),ROUND(VLOOKUP(BR$4,Preisindex,5,FALSE)/VLOOKUP(Preisindex!$A$6,Preisindex,5,FALSE),2),IF(AND($E282&lt;&gt;0,$F282&gt;0,YEAR($F282)&lt;Preisindex!$A$6,YEAR(BM$4)&gt;=YEAR($F282),$K282="b"),ROUND(VLOOKUP(BR$4,Preisindex,3,FALSE)/VLOOKUP(Preisindex!$A$6,Preisindex,3,FALSE),2),IF(AND($E282&lt;&gt;0,$F282&gt;0,YEAR($F282)&lt;Preisindex!$A$6,YEAR(BM$4)&gt;=YEAR($F282),$K282="g"),ROUND(VLOOKUP(BR$4,Preisindex,4,FALSE)/VLOOKUP(Preisindex!$A$6,Preisindex,4,FALSE),2),IF(AND($E282&lt;&gt;0,$F282&gt;0,YEAR($F282)&lt;Preisindex!$A$6,YEAR(BM$4)&gt;=YEAR($F282),$K282="k"),ROUND(VLOOKUP(BR$4,Preisindex,2,FALSE)/VLOOKUP(Preisindex!$A$6,Preisindex,2,FALSE),2),0)))))</f>
        <v>0</v>
      </c>
      <c r="BT282" s="51">
        <f>IF(AND($E282&lt;&gt;0,$F282&gt;0,YEAR($F282)&lt;=BR$4,YEAR($F282)&gt;=Preisindex!$A$6),ROUND($E282*BR282,2),IF(AND($E282&lt;&gt;0,$F282&gt;0,YEAR($F282)&lt;=BR$4,YEAR($F282)&lt;Preisindex!$A$6),ROUND($E282*BS282,2),0))</f>
        <v>0</v>
      </c>
      <c r="BU282" s="53">
        <f t="shared" si="770"/>
        <v>0</v>
      </c>
      <c r="BV282" s="51">
        <f t="shared" si="839"/>
        <v>0</v>
      </c>
      <c r="BW282" s="51">
        <f t="shared" si="851"/>
        <v>0</v>
      </c>
      <c r="BX282" s="51">
        <f t="shared" si="771"/>
        <v>0</v>
      </c>
      <c r="BY282" s="51">
        <f t="shared" si="852"/>
        <v>0</v>
      </c>
      <c r="BZ282" s="51">
        <f t="shared" si="772"/>
        <v>0</v>
      </c>
      <c r="CA282" s="51">
        <f t="shared" si="853"/>
        <v>0</v>
      </c>
      <c r="CB282" s="51">
        <f t="shared" si="773"/>
        <v>0</v>
      </c>
      <c r="CC282" s="51">
        <f t="shared" si="854"/>
        <v>0</v>
      </c>
      <c r="CD282" s="51">
        <f t="shared" si="774"/>
        <v>0</v>
      </c>
      <c r="CE282" s="51">
        <f t="shared" si="855"/>
        <v>0</v>
      </c>
      <c r="CF282" s="51">
        <f t="shared" si="775"/>
        <v>0</v>
      </c>
      <c r="CG282" s="54">
        <f t="shared" si="776"/>
        <v>0</v>
      </c>
      <c r="CH282" s="55">
        <f t="shared" si="777"/>
        <v>0</v>
      </c>
      <c r="CI282" s="56">
        <f>IF(AND($E282&lt;&gt;0,$F282&gt;0,YEAR($F282)&gt;=Preisindex!$A$6,YEAR(CD$4)&gt;=YEAR($F282),AND($K282&lt;&gt;"a",$K282&lt;&gt;"b",$K282&lt;&gt;"g",$K282&lt;&gt;"k")),1,IF(AND($E282&lt;&gt;0,$F282&gt;0,YEAR($F282)&gt;=Preisindex!$A$6,YEAR(CD$4)&gt;=YEAR($F282),$K282="a"),ROUND(VLOOKUP(CI$4,Preisindex,5,FALSE)/VLOOKUP(YEAR($F282),Preisindex,5,FALSE),2),IF(AND($E282&lt;&gt;0,$F282&gt;0,YEAR($F282)&gt;=Preisindex!$A$6,YEAR(CD$4)&gt;=YEAR($F282),$K282="b"),ROUND(VLOOKUP(CI$4,Preisindex,3,FALSE)/VLOOKUP(YEAR($F282),Preisindex,3,FALSE),2),IF(AND($E282&lt;&gt;0,$F282&gt;0,YEAR($F282)&gt;=Preisindex!$A$6,YEAR(CD$4)&gt;=YEAR($F282),$K282="g"),ROUND(VLOOKUP(CI$4,Preisindex,4,FALSE)/VLOOKUP(YEAR($F282),Preisindex,4,FALSE),2),IF(AND($E282&lt;&gt;0,$F282&gt;0,YEAR($F282)&gt;=Preisindex!$A$6,YEAR(CD$4)&gt;=YEAR($F282),$K282="k"),ROUND(VLOOKUP(CI$4,Preisindex,2,FALSE)/VLOOKUP(YEAR($F282),Preisindex,2,FALSE),2),0)))))</f>
        <v>0</v>
      </c>
      <c r="CJ282" s="56">
        <f>IF(AND($E282&lt;&gt;0,$F282&gt;0,YEAR($F282)&lt;Preisindex!$A$6,YEAR(CD$4)&gt;=YEAR($F282),AND($K282&lt;&gt;"a",$K282&lt;&gt;"b",$K282&lt;&gt;"g",$K282&lt;&gt;"k")),1,IF(AND($E282&lt;&gt;0,$F282&gt;0,YEAR($F282)&lt;Preisindex!$A$6,YEAR(CD$4)&gt;=YEAR($F282),$K282="a"),ROUND(VLOOKUP(CI$4,Preisindex,5,FALSE)/VLOOKUP(Preisindex!$A$6,Preisindex,5,FALSE),2),IF(AND($E282&lt;&gt;0,$F282&gt;0,YEAR($F282)&lt;Preisindex!$A$6,YEAR(CD$4)&gt;=YEAR($F282),$K282="b"),ROUND(VLOOKUP(CI$4,Preisindex,3,FALSE)/VLOOKUP(Preisindex!$A$6,Preisindex,3,FALSE),2),IF(AND($E282&lt;&gt;0,$F282&gt;0,YEAR($F282)&lt;Preisindex!$A$6,YEAR(CD$4)&gt;=YEAR($F282),$K282="g"),ROUND(VLOOKUP(CI$4,Preisindex,4,FALSE)/VLOOKUP(Preisindex!$A$6,Preisindex,4,FALSE),2),IF(AND($E282&lt;&gt;0,$F282&gt;0,YEAR($F282)&lt;Preisindex!$A$6,YEAR(CD$4)&gt;=YEAR($F282),$K282="k"),ROUND(VLOOKUP(CI$4,Preisindex,2,FALSE)/VLOOKUP(Preisindex!$A$6,Preisindex,2,FALSE),2),0)))))</f>
        <v>0</v>
      </c>
      <c r="CK282" s="51">
        <f>IF(AND($E282&lt;&gt;0,$F282&gt;0,YEAR($F282)&lt;=CI$4,YEAR($F282)&gt;=Preisindex!$A$6),ROUND($E282*CI282,2),IF(AND($E282&lt;&gt;0,$F282&gt;0,YEAR($F282)&lt;=CI$4,YEAR($F282)&lt;Preisindex!$A$6),ROUND($E282*CJ282,2),0))</f>
        <v>0</v>
      </c>
      <c r="CL282" s="53">
        <f t="shared" si="778"/>
        <v>0</v>
      </c>
      <c r="CM282" s="51">
        <f t="shared" si="839"/>
        <v>0</v>
      </c>
      <c r="CN282" s="51">
        <f t="shared" si="856"/>
        <v>0</v>
      </c>
      <c r="CO282" s="51">
        <f t="shared" si="779"/>
        <v>0</v>
      </c>
      <c r="CP282" s="51">
        <f t="shared" si="857"/>
        <v>0</v>
      </c>
      <c r="CQ282" s="51">
        <f t="shared" si="780"/>
        <v>0</v>
      </c>
      <c r="CR282" s="51">
        <f t="shared" si="858"/>
        <v>0</v>
      </c>
      <c r="CS282" s="51">
        <f t="shared" si="781"/>
        <v>0</v>
      </c>
      <c r="CT282" s="51">
        <f t="shared" si="859"/>
        <v>0</v>
      </c>
      <c r="CU282" s="51">
        <f t="shared" si="782"/>
        <v>0</v>
      </c>
      <c r="CV282" s="51">
        <f t="shared" si="860"/>
        <v>0</v>
      </c>
      <c r="CW282" s="51">
        <f t="shared" si="783"/>
        <v>0</v>
      </c>
      <c r="CX282" s="54">
        <f t="shared" si="784"/>
        <v>0</v>
      </c>
      <c r="CY282" s="55">
        <f t="shared" si="785"/>
        <v>0</v>
      </c>
      <c r="CZ282" s="56">
        <f>IF(AND($E282&lt;&gt;0,$F282&gt;0,YEAR($F282)&gt;=Preisindex!$A$6,YEAR(CU$4)&gt;=YEAR($F282),AND($K282&lt;&gt;"a",$K282&lt;&gt;"b",$K282&lt;&gt;"g",$K282&lt;&gt;"k")),1,IF(AND($E282&lt;&gt;0,$F282&gt;0,YEAR($F282)&gt;=Preisindex!$A$6,YEAR(CU$4)&gt;=YEAR($F282),$K282="a"),ROUND(VLOOKUP(CZ$4,Preisindex,5,FALSE)/VLOOKUP(YEAR($F282),Preisindex,5,FALSE),2),IF(AND($E282&lt;&gt;0,$F282&gt;0,YEAR($F282)&gt;=Preisindex!$A$6,YEAR(CU$4)&gt;=YEAR($F282),$K282="b"),ROUND(VLOOKUP(CZ$4,Preisindex,3,FALSE)/VLOOKUP(YEAR($F282),Preisindex,3,FALSE),2),IF(AND($E282&lt;&gt;0,$F282&gt;0,YEAR($F282)&gt;=Preisindex!$A$6,YEAR(CU$4)&gt;=YEAR($F282),$K282="g"),ROUND(VLOOKUP(CZ$4,Preisindex,4,FALSE)/VLOOKUP(YEAR($F282),Preisindex,4,FALSE),2),IF(AND($E282&lt;&gt;0,$F282&gt;0,YEAR($F282)&gt;=Preisindex!$A$6,YEAR(CU$4)&gt;=YEAR($F282),$K282="k"),ROUND(VLOOKUP(CZ$4,Preisindex,2,FALSE)/VLOOKUP(YEAR($F282),Preisindex,2,FALSE),2),0)))))</f>
        <v>0</v>
      </c>
      <c r="DA282" s="56">
        <f>IF(AND($E282&lt;&gt;0,$F282&gt;0,YEAR($F282)&lt;Preisindex!$A$6,YEAR(CU$4)&gt;=YEAR($F282),AND($K282&lt;&gt;"a",$K282&lt;&gt;"b",$K282&lt;&gt;"g",$K282&lt;&gt;"k")),1,IF(AND($E282&lt;&gt;0,$F282&gt;0,YEAR($F282)&lt;Preisindex!$A$6,YEAR(CU$4)&gt;=YEAR($F282),$K282="a"),ROUND(VLOOKUP(CZ$4,Preisindex,5,FALSE)/VLOOKUP(Preisindex!$A$6,Preisindex,5,FALSE),2),IF(AND($E282&lt;&gt;0,$F282&gt;0,YEAR($F282)&lt;Preisindex!$A$6,YEAR(CU$4)&gt;=YEAR($F282),$K282="b"),ROUND(VLOOKUP(CZ$4,Preisindex,3,FALSE)/VLOOKUP(Preisindex!$A$6,Preisindex,3,FALSE),2),IF(AND($E282&lt;&gt;0,$F282&gt;0,YEAR($F282)&lt;Preisindex!$A$6,YEAR(CU$4)&gt;=YEAR($F282),$K282="g"),ROUND(VLOOKUP(CZ$4,Preisindex,4,FALSE)/VLOOKUP(Preisindex!$A$6,Preisindex,4,FALSE),2),IF(AND($E282&lt;&gt;0,$F282&gt;0,YEAR($F282)&lt;Preisindex!$A$6,YEAR(CU$4)&gt;=YEAR($F282),$K282="k"),ROUND(VLOOKUP(CZ$4,Preisindex,2,FALSE)/VLOOKUP(Preisindex!$A$6,Preisindex,2,FALSE),2),0)))))</f>
        <v>0</v>
      </c>
      <c r="DB282" s="51">
        <f>IF(AND($E282&lt;&gt;0,$F282&gt;0,YEAR($F282)&lt;=CZ$4,YEAR($F282)&gt;=Preisindex!$A$6),ROUND($E282*CZ282,2),IF(AND($E282&lt;&gt;0,$F282&gt;0,YEAR($F282)&lt;=CZ$4,YEAR($F282)&lt;Preisindex!$A$6),ROUND($E282*DA282,2),0))</f>
        <v>0</v>
      </c>
      <c r="DC282" s="53">
        <f t="shared" si="786"/>
        <v>0</v>
      </c>
      <c r="DD282" s="51">
        <f t="shared" si="840"/>
        <v>0</v>
      </c>
      <c r="DE282" s="51">
        <f t="shared" si="861"/>
        <v>0</v>
      </c>
      <c r="DF282" s="51">
        <f t="shared" si="788"/>
        <v>0</v>
      </c>
      <c r="DG282" s="51">
        <f t="shared" si="862"/>
        <v>0</v>
      </c>
      <c r="DH282" s="51">
        <f t="shared" si="789"/>
        <v>0</v>
      </c>
      <c r="DI282" s="51">
        <f t="shared" si="863"/>
        <v>0</v>
      </c>
      <c r="DJ282" s="51">
        <f t="shared" si="790"/>
        <v>0</v>
      </c>
      <c r="DK282" s="51">
        <f t="shared" si="864"/>
        <v>0</v>
      </c>
      <c r="DL282" s="51">
        <f t="shared" si="791"/>
        <v>0</v>
      </c>
      <c r="DM282" s="51">
        <f t="shared" si="865"/>
        <v>0</v>
      </c>
      <c r="DN282" s="51">
        <f t="shared" si="792"/>
        <v>0</v>
      </c>
      <c r="DO282" s="54">
        <f t="shared" si="793"/>
        <v>0</v>
      </c>
      <c r="DP282" s="55">
        <f t="shared" si="794"/>
        <v>0</v>
      </c>
      <c r="DQ282" s="56">
        <f>IF(AND($E282&lt;&gt;0,$F282&gt;0,YEAR($F282)&gt;=Preisindex!$A$6,YEAR(DL$4)&gt;=YEAR($F282),AND($K282&lt;&gt;"a",$K282&lt;&gt;"b",$K282&lt;&gt;"g",$K282&lt;&gt;"k")),1,IF(AND($E282&lt;&gt;0,$F282&gt;0,YEAR($F282)&gt;=Preisindex!$A$6,YEAR(DL$4)&gt;=YEAR($F282),$K282="a"),ROUND(VLOOKUP(DQ$4,Preisindex,5,FALSE)/VLOOKUP(YEAR($F282),Preisindex,5,FALSE),2),IF(AND($E282&lt;&gt;0,$F282&gt;0,YEAR($F282)&gt;=Preisindex!$A$6,YEAR(DL$4)&gt;=YEAR($F282),$K282="b"),ROUND(VLOOKUP(DQ$4,Preisindex,3,FALSE)/VLOOKUP(YEAR($F282),Preisindex,3,FALSE),2),IF(AND($E282&lt;&gt;0,$F282&gt;0,YEAR($F282)&gt;=Preisindex!$A$6,YEAR(DL$4)&gt;=YEAR($F282),$K282="g"),ROUND(VLOOKUP(DQ$4,Preisindex,4,FALSE)/VLOOKUP(YEAR($F282),Preisindex,4,FALSE),2),IF(AND($E282&lt;&gt;0,$F282&gt;0,YEAR($F282)&gt;=Preisindex!$A$6,YEAR(DL$4)&gt;=YEAR($F282),$K282="k"),ROUND(VLOOKUP(DQ$4,Preisindex,2,FALSE)/VLOOKUP(YEAR($F282),Preisindex,2,FALSE),2),0)))))</f>
        <v>0</v>
      </c>
      <c r="DR282" s="56">
        <f>IF(AND($E282&lt;&gt;0,$F282&gt;0,YEAR($F282)&lt;Preisindex!$A$6,YEAR(DL$4)&gt;=YEAR($F282),AND($K282&lt;&gt;"a",$K282&lt;&gt;"b",$K282&lt;&gt;"g",$K282&lt;&gt;"k")),1,IF(AND($E282&lt;&gt;0,$F282&gt;0,YEAR($F282)&lt;Preisindex!$A$6,YEAR(DL$4)&gt;=YEAR($F282),$K282="a"),ROUND(VLOOKUP(DQ$4,Preisindex,5,FALSE)/VLOOKUP(Preisindex!$A$6,Preisindex,5,FALSE),2),IF(AND($E282&lt;&gt;0,$F282&gt;0,YEAR($F282)&lt;Preisindex!$A$6,YEAR(DL$4)&gt;=YEAR($F282),$K282="b"),ROUND(VLOOKUP(DQ$4,Preisindex,3,FALSE)/VLOOKUP(Preisindex!$A$6,Preisindex,3,FALSE),2),IF(AND($E282&lt;&gt;0,$F282&gt;0,YEAR($F282)&lt;Preisindex!$A$6,YEAR(DL$4)&gt;=YEAR($F282),$K282="g"),ROUND(VLOOKUP(DQ$4,Preisindex,4,FALSE)/VLOOKUP(Preisindex!$A$6,Preisindex,4,FALSE),2),IF(AND($E282&lt;&gt;0,$F282&gt;0,YEAR($F282)&lt;Preisindex!$A$6,YEAR(DL$4)&gt;=YEAR($F282),$K282="k"),ROUND(VLOOKUP(DQ$4,Preisindex,2,FALSE)/VLOOKUP(Preisindex!$A$6,Preisindex,2,FALSE),2),0)))))</f>
        <v>0</v>
      </c>
      <c r="DS282" s="51">
        <f>IF(AND($E282&lt;&gt;0,$F282&gt;0,YEAR($F282)&lt;=DQ$4,YEAR($F282)&gt;=Preisindex!$A$6),ROUND($E282*DQ282,2),IF(AND($E282&lt;&gt;0,$F282&gt;0,YEAR($F282)&lt;=DQ$4,YEAR($F282)&lt;Preisindex!$A$6),ROUND($E282*DR282,2),0))</f>
        <v>0</v>
      </c>
      <c r="DT282" s="53">
        <f t="shared" si="795"/>
        <v>0</v>
      </c>
      <c r="DU282" s="51">
        <f t="shared" si="840"/>
        <v>0</v>
      </c>
      <c r="DV282" s="51">
        <f t="shared" si="866"/>
        <v>0</v>
      </c>
      <c r="DW282" s="51">
        <f t="shared" si="796"/>
        <v>0</v>
      </c>
      <c r="DX282" s="51">
        <f t="shared" si="867"/>
        <v>0</v>
      </c>
      <c r="DY282" s="51">
        <f t="shared" si="797"/>
        <v>0</v>
      </c>
      <c r="DZ282" s="51">
        <f t="shared" si="868"/>
        <v>0</v>
      </c>
      <c r="EA282" s="51">
        <f t="shared" si="798"/>
        <v>0</v>
      </c>
      <c r="EB282" s="51">
        <f t="shared" si="869"/>
        <v>0</v>
      </c>
      <c r="EC282" s="51">
        <f t="shared" si="799"/>
        <v>0</v>
      </c>
      <c r="ED282" s="51">
        <f t="shared" si="870"/>
        <v>0</v>
      </c>
      <c r="EE282" s="51">
        <f t="shared" si="800"/>
        <v>0</v>
      </c>
      <c r="EF282" s="54">
        <f t="shared" si="801"/>
        <v>0</v>
      </c>
      <c r="EG282" s="55">
        <f t="shared" si="802"/>
        <v>0</v>
      </c>
      <c r="EH282" s="56">
        <f>IF(AND($E282&lt;&gt;0,$F282&gt;0,YEAR($F282)&gt;=Preisindex!$A$6,YEAR(EC$4)&gt;=YEAR($F282),AND($K282&lt;&gt;"a",$K282&lt;&gt;"b",$K282&lt;&gt;"g",$K282&lt;&gt;"k")),1,IF(AND($E282&lt;&gt;0,$F282&gt;0,YEAR($F282)&gt;=Preisindex!$A$6,YEAR(EC$4)&gt;=YEAR($F282),$K282="a"),ROUND(VLOOKUP(EH$4,Preisindex,5,FALSE)/VLOOKUP(YEAR($F282),Preisindex,5,FALSE),2),IF(AND($E282&lt;&gt;0,$F282&gt;0,YEAR($F282)&gt;=Preisindex!$A$6,YEAR(EC$4)&gt;=YEAR($F282),$K282="b"),ROUND(VLOOKUP(EH$4,Preisindex,3,FALSE)/VLOOKUP(YEAR($F282),Preisindex,3,FALSE),2),IF(AND($E282&lt;&gt;0,$F282&gt;0,YEAR($F282)&gt;=Preisindex!$A$6,YEAR(EC$4)&gt;=YEAR($F282),$K282="g"),ROUND(VLOOKUP(EH$4,Preisindex,4,FALSE)/VLOOKUP(YEAR($F282),Preisindex,4,FALSE),2),IF(AND($E282&lt;&gt;0,$F282&gt;0,YEAR($F282)&gt;=Preisindex!$A$6,YEAR(EC$4)&gt;=YEAR($F282),$K282="k"),ROUND(VLOOKUP(EH$4,Preisindex,2,FALSE)/VLOOKUP(YEAR($F282),Preisindex,2,FALSE),2),0)))))</f>
        <v>0</v>
      </c>
      <c r="EI282" s="56">
        <f>IF(AND($E282&lt;&gt;0,$F282&gt;0,YEAR($F282)&lt;Preisindex!$A$6,YEAR(EC$4)&gt;=YEAR($F282),AND($K282&lt;&gt;"a",$K282&lt;&gt;"b",$K282&lt;&gt;"g",$K282&lt;&gt;"k")),1,IF(AND($E282&lt;&gt;0,$F282&gt;0,YEAR($F282)&lt;Preisindex!$A$6,YEAR(EC$4)&gt;=YEAR($F282),$K282="a"),ROUND(VLOOKUP(EH$4,Preisindex,5,FALSE)/VLOOKUP(Preisindex!$A$6,Preisindex,5,FALSE),2),IF(AND($E282&lt;&gt;0,$F282&gt;0,YEAR($F282)&lt;Preisindex!$A$6,YEAR(EC$4)&gt;=YEAR($F282),$K282="b"),ROUND(VLOOKUP(EH$4,Preisindex,3,FALSE)/VLOOKUP(Preisindex!$A$6,Preisindex,3,FALSE),2),IF(AND($E282&lt;&gt;0,$F282&gt;0,YEAR($F282)&lt;Preisindex!$A$6,YEAR(EC$4)&gt;=YEAR($F282),$K282="g"),ROUND(VLOOKUP(EH$4,Preisindex,4,FALSE)/VLOOKUP(Preisindex!$A$6,Preisindex,4,FALSE),2),IF(AND($E282&lt;&gt;0,$F282&gt;0,YEAR($F282)&lt;Preisindex!$A$6,YEAR(EC$4)&gt;=YEAR($F282),$K282="k"),ROUND(VLOOKUP(EH$4,Preisindex,2,FALSE)/VLOOKUP(Preisindex!$A$6,Preisindex,2,FALSE),2),0)))))</f>
        <v>0</v>
      </c>
      <c r="EJ282" s="51">
        <f>IF(AND($E282&lt;&gt;0,$F282&gt;0,YEAR($F282)&lt;=EH$4,YEAR($F282)&gt;=Preisindex!$A$6),ROUND($E282*EH282,2),IF(AND($E282&lt;&gt;0,$F282&gt;0,YEAR($F282)&lt;=EH$4,YEAR($F282)&lt;Preisindex!$A$6),ROUND($E282*EI282,2),0))</f>
        <v>0</v>
      </c>
      <c r="EK282" s="53">
        <f t="shared" si="803"/>
        <v>0</v>
      </c>
      <c r="EL282" s="51">
        <f t="shared" si="840"/>
        <v>0</v>
      </c>
      <c r="EM282" s="51">
        <f t="shared" si="871"/>
        <v>0</v>
      </c>
      <c r="EN282" s="51">
        <f t="shared" si="804"/>
        <v>0</v>
      </c>
      <c r="EO282" s="51">
        <f t="shared" si="872"/>
        <v>0</v>
      </c>
      <c r="EP282" s="51">
        <f t="shared" si="805"/>
        <v>0</v>
      </c>
      <c r="EQ282" s="51">
        <f t="shared" si="873"/>
        <v>0</v>
      </c>
      <c r="ER282" s="51">
        <f t="shared" si="806"/>
        <v>0</v>
      </c>
      <c r="ES282" s="51">
        <f t="shared" si="874"/>
        <v>0</v>
      </c>
      <c r="ET282" s="51">
        <f t="shared" si="807"/>
        <v>0</v>
      </c>
      <c r="EU282" s="51">
        <f t="shared" si="875"/>
        <v>0</v>
      </c>
      <c r="EV282" s="51">
        <f t="shared" si="808"/>
        <v>0</v>
      </c>
      <c r="EW282" s="54">
        <f t="shared" si="809"/>
        <v>0</v>
      </c>
      <c r="EX282" s="55">
        <f t="shared" si="810"/>
        <v>0</v>
      </c>
      <c r="EY282" s="56">
        <f>IF(AND($E282&lt;&gt;0,$F282&gt;0,YEAR($F282)&gt;=Preisindex!$A$6,YEAR(ET$4)&gt;=YEAR($F282),AND($K282&lt;&gt;"a",$K282&lt;&gt;"b",$K282&lt;&gt;"g",$K282&lt;&gt;"k")),1,IF(AND($E282&lt;&gt;0,$F282&gt;0,YEAR($F282)&gt;=Preisindex!$A$6,YEAR(ET$4)&gt;=YEAR($F282),$K282="a"),ROUND(VLOOKUP(EY$4,Preisindex,5,FALSE)/VLOOKUP(YEAR($F282),Preisindex,5,FALSE),2),IF(AND($E282&lt;&gt;0,$F282&gt;0,YEAR($F282)&gt;=Preisindex!$A$6,YEAR(ET$4)&gt;=YEAR($F282),$K282="b"),ROUND(VLOOKUP(EY$4,Preisindex,3,FALSE)/VLOOKUP(YEAR($F282),Preisindex,3,FALSE),2),IF(AND($E282&lt;&gt;0,$F282&gt;0,YEAR($F282)&gt;=Preisindex!$A$6,YEAR(ET$4)&gt;=YEAR($F282),$K282="g"),ROUND(VLOOKUP(EY$4,Preisindex,4,FALSE)/VLOOKUP(YEAR($F282),Preisindex,4,FALSE),2),IF(AND($E282&lt;&gt;0,$F282&gt;0,YEAR($F282)&gt;=Preisindex!$A$6,YEAR(ET$4)&gt;=YEAR($F282),$K282="k"),ROUND(VLOOKUP(EY$4,Preisindex,2,FALSE)/VLOOKUP(YEAR($F282),Preisindex,2,FALSE),2),0)))))</f>
        <v>0</v>
      </c>
      <c r="EZ282" s="56">
        <f>IF(AND($E282&lt;&gt;0,$F282&gt;0,YEAR($F282)&lt;Preisindex!$A$6,YEAR(ET$4)&gt;=YEAR($F282),AND($K282&lt;&gt;"a",$K282&lt;&gt;"b",$K282&lt;&gt;"g",$K282&lt;&gt;"k")),1,IF(AND($E282&lt;&gt;0,$F282&gt;0,YEAR($F282)&lt;Preisindex!$A$6,YEAR(ET$4)&gt;=YEAR($F282),$K282="a"),ROUND(VLOOKUP(EY$4,Preisindex,5,FALSE)/VLOOKUP(Preisindex!$A$6,Preisindex,5,FALSE),2),IF(AND($E282&lt;&gt;0,$F282&gt;0,YEAR($F282)&lt;Preisindex!$A$6,YEAR(ET$4)&gt;=YEAR($F282),$K282="b"),ROUND(VLOOKUP(EY$4,Preisindex,3,FALSE)/VLOOKUP(Preisindex!$A$6,Preisindex,3,FALSE),2),IF(AND($E282&lt;&gt;0,$F282&gt;0,YEAR($F282)&lt;Preisindex!$A$6,YEAR(ET$4)&gt;=YEAR($F282),$K282="g"),ROUND(VLOOKUP(EY$4,Preisindex,4,FALSE)/VLOOKUP(Preisindex!$A$6,Preisindex,4,FALSE),2),IF(AND($E282&lt;&gt;0,$F282&gt;0,YEAR($F282)&lt;Preisindex!$A$6,YEAR(ET$4)&gt;=YEAR($F282),$K282="k"),ROUND(VLOOKUP(EY$4,Preisindex,2,FALSE)/VLOOKUP(Preisindex!$A$6,Preisindex,2,FALSE),2),0)))))</f>
        <v>0</v>
      </c>
      <c r="FA282" s="51">
        <f>IF(AND($E282&lt;&gt;0,$F282&gt;0,YEAR($F282)&lt;=EY$4,YEAR($F282)&gt;=Preisindex!$A$6),ROUND($E282*EY282,2),IF(AND($E282&lt;&gt;0,$F282&gt;0,YEAR($F282)&lt;=EY$4,YEAR($F282)&lt;Preisindex!$A$6),ROUND($E282*EZ282,2),0))</f>
        <v>0</v>
      </c>
      <c r="FB282" s="53">
        <f t="shared" si="811"/>
        <v>0</v>
      </c>
      <c r="FC282" s="51">
        <f t="shared" si="840"/>
        <v>0</v>
      </c>
      <c r="FD282" s="51">
        <f t="shared" si="876"/>
        <v>0</v>
      </c>
      <c r="FE282" s="51">
        <f t="shared" si="812"/>
        <v>0</v>
      </c>
      <c r="FF282" s="51">
        <f t="shared" si="877"/>
        <v>0</v>
      </c>
      <c r="FG282" s="51">
        <f t="shared" si="813"/>
        <v>0</v>
      </c>
      <c r="FH282" s="51">
        <f t="shared" si="878"/>
        <v>0</v>
      </c>
      <c r="FI282" s="51">
        <f t="shared" si="814"/>
        <v>0</v>
      </c>
      <c r="FJ282" s="51">
        <f t="shared" si="879"/>
        <v>0</v>
      </c>
      <c r="FK282" s="51">
        <f t="shared" si="815"/>
        <v>0</v>
      </c>
      <c r="FL282" s="51">
        <f t="shared" si="880"/>
        <v>0</v>
      </c>
      <c r="FM282" s="51">
        <f t="shared" si="816"/>
        <v>0</v>
      </c>
      <c r="FN282" s="54">
        <f t="shared" si="817"/>
        <v>0</v>
      </c>
      <c r="FO282" s="55">
        <f t="shared" si="818"/>
        <v>0</v>
      </c>
      <c r="FP282" s="56">
        <f>IF(AND($E282&lt;&gt;0,$F282&gt;0,YEAR($F282)&gt;=Preisindex!$A$6,YEAR(FK$4)&gt;=YEAR($F282),AND($K282&lt;&gt;"a",$K282&lt;&gt;"b",$K282&lt;&gt;"g",$K282&lt;&gt;"k")),1,IF(AND($E282&lt;&gt;0,$F282&gt;0,YEAR($F282)&gt;=Preisindex!$A$6,YEAR(FK$4)&gt;=YEAR($F282),$K282="a"),ROUND(VLOOKUP(FP$4,Preisindex,5,FALSE)/VLOOKUP(YEAR($F282),Preisindex,5,FALSE),2),IF(AND($E282&lt;&gt;0,$F282&gt;0,YEAR($F282)&gt;=Preisindex!$A$6,YEAR(FK$4)&gt;=YEAR($F282),$K282="b"),ROUND(VLOOKUP(FP$4,Preisindex,3,FALSE)/VLOOKUP(YEAR($F282),Preisindex,3,FALSE),2),IF(AND($E282&lt;&gt;0,$F282&gt;0,YEAR($F282)&gt;=Preisindex!$A$6,YEAR(FK$4)&gt;=YEAR($F282),$K282="g"),ROUND(VLOOKUP(FP$4,Preisindex,4,FALSE)/VLOOKUP(YEAR($F282),Preisindex,4,FALSE),2),IF(AND($E282&lt;&gt;0,$F282&gt;0,YEAR($F282)&gt;=Preisindex!$A$6,YEAR(FK$4)&gt;=YEAR($F282),$K282="k"),ROUND(VLOOKUP(FP$4,Preisindex,2,FALSE)/VLOOKUP(YEAR($F282),Preisindex,2,FALSE),2),0)))))</f>
        <v>0</v>
      </c>
      <c r="FQ282" s="56">
        <f>IF(AND($E282&lt;&gt;0,$F282&gt;0,YEAR($F282)&lt;Preisindex!$A$6,YEAR(FK$4)&gt;=YEAR($F282),AND($K282&lt;&gt;"a",$K282&lt;&gt;"b",$K282&lt;&gt;"g",$K282&lt;&gt;"k")),1,IF(AND($E282&lt;&gt;0,$F282&gt;0,YEAR($F282)&lt;Preisindex!$A$6,YEAR(FK$4)&gt;=YEAR($F282),$K282="a"),ROUND(VLOOKUP(FP$4,Preisindex,5,FALSE)/VLOOKUP(Preisindex!$A$6,Preisindex,5,FALSE),2),IF(AND($E282&lt;&gt;0,$F282&gt;0,YEAR($F282)&lt;Preisindex!$A$6,YEAR(FK$4)&gt;=YEAR($F282),$K282="b"),ROUND(VLOOKUP(FP$4,Preisindex,3,FALSE)/VLOOKUP(Preisindex!$A$6,Preisindex,3,FALSE),2),IF(AND($E282&lt;&gt;0,$F282&gt;0,YEAR($F282)&lt;Preisindex!$A$6,YEAR(FK$4)&gt;=YEAR($F282),$K282="g"),ROUND(VLOOKUP(FP$4,Preisindex,4,FALSE)/VLOOKUP(Preisindex!$A$6,Preisindex,4,FALSE),2),IF(AND($E282&lt;&gt;0,$F282&gt;0,YEAR($F282)&lt;Preisindex!$A$6,YEAR(FK$4)&gt;=YEAR($F282),$K282="k"),ROUND(VLOOKUP(FP$4,Preisindex,2,FALSE)/VLOOKUP(Preisindex!$A$6,Preisindex,2,FALSE),2),0)))))</f>
        <v>0</v>
      </c>
      <c r="FR282" s="51">
        <f>IF(AND($E282&lt;&gt;0,$F282&gt;0,YEAR($F282)&lt;=FP$4,YEAR($F282)&gt;=Preisindex!$A$6),ROUND($E282*FP282,2),IF(AND($E282&lt;&gt;0,$F282&gt;0,YEAR($F282)&lt;=FP$4,YEAR($F282)&lt;Preisindex!$A$6),ROUND($E282*FQ282,2),0))</f>
        <v>0</v>
      </c>
      <c r="FS282" s="53">
        <f t="shared" si="819"/>
        <v>0</v>
      </c>
    </row>
    <row r="283" spans="1:175" x14ac:dyDescent="0.3">
      <c r="A283" s="185"/>
      <c r="B283" s="186"/>
      <c r="C283" s="187"/>
      <c r="D283" s="188"/>
      <c r="E283" s="189"/>
      <c r="F283" s="190"/>
      <c r="G283" s="191"/>
      <c r="H283" s="192"/>
      <c r="I283" s="193"/>
      <c r="J283" s="194"/>
      <c r="K283" s="630"/>
      <c r="L283" s="49">
        <f t="shared" si="820"/>
        <v>0</v>
      </c>
      <c r="M283" s="50">
        <f t="shared" si="821"/>
        <v>0</v>
      </c>
      <c r="N283" s="51">
        <f t="shared" si="822"/>
        <v>0</v>
      </c>
      <c r="O283" s="51"/>
      <c r="P283" s="51">
        <f t="shared" si="823"/>
        <v>0</v>
      </c>
      <c r="Q283" s="52"/>
      <c r="R283" s="52"/>
      <c r="S283" s="52"/>
      <c r="T283" s="52"/>
      <c r="U283" s="52"/>
      <c r="V283" s="53">
        <f t="shared" si="824"/>
        <v>0</v>
      </c>
      <c r="W283" s="51">
        <f t="shared" si="825"/>
        <v>0</v>
      </c>
      <c r="X283" s="51">
        <f t="shared" si="826"/>
        <v>0</v>
      </c>
      <c r="Y283" s="51">
        <f t="shared" si="827"/>
        <v>0</v>
      </c>
      <c r="Z283" s="51">
        <f t="shared" si="828"/>
        <v>0</v>
      </c>
      <c r="AA283" s="51">
        <f t="shared" si="829"/>
        <v>0</v>
      </c>
      <c r="AB283" s="51">
        <f t="shared" si="830"/>
        <v>0</v>
      </c>
      <c r="AC283" s="51">
        <f t="shared" si="831"/>
        <v>0</v>
      </c>
      <c r="AD283" s="51">
        <f t="shared" si="832"/>
        <v>0</v>
      </c>
      <c r="AE283" s="51">
        <f t="shared" si="833"/>
        <v>0</v>
      </c>
      <c r="AF283" s="51">
        <f t="shared" si="834"/>
        <v>0</v>
      </c>
      <c r="AG283" s="51">
        <f t="shared" si="835"/>
        <v>0</v>
      </c>
      <c r="AH283" s="54">
        <f t="shared" si="836"/>
        <v>0</v>
      </c>
      <c r="AI283" s="55">
        <f t="shared" si="837"/>
        <v>0</v>
      </c>
      <c r="AJ283" s="56">
        <f>IF(AND($E283&lt;&gt;0,$F283&gt;0,YEAR($F283)&gt;=Preisindex!$A$6,YEAR(AE$4)&gt;=YEAR($F283),AND($K283&lt;&gt;"a",$K283&lt;&gt;"b",$K283&lt;&gt;"g",$K283&lt;&gt;"k")),1,IF(AND($E283&lt;&gt;0,$F283&gt;0,YEAR($F283)&gt;=Preisindex!$A$6,YEAR(AE$4)&gt;=YEAR($F283),$K283="a"),ROUND(VLOOKUP(AJ$4,Preisindex,5,FALSE)/VLOOKUP(YEAR($F283),Preisindex,5,FALSE),2),IF(AND($E283&lt;&gt;0,$F283&gt;0,YEAR($F283)&gt;=Preisindex!$A$6,YEAR(AE$4)&gt;=YEAR($F283),$K283="b"),ROUND(VLOOKUP(AJ$4,Preisindex,3,FALSE)/VLOOKUP(YEAR($F283),Preisindex,3,FALSE),2),IF(AND($E283&lt;&gt;0,$F283&gt;0,YEAR($F283)&gt;=Preisindex!$A$6,YEAR(AE$4)&gt;=YEAR($F283),$K283="g"),ROUND(VLOOKUP(AJ$4,Preisindex,4,FALSE)/VLOOKUP(YEAR($F283),Preisindex,4,FALSE),2),IF(AND($E283&lt;&gt;0,$F283&gt;0,YEAR($F283)&gt;=Preisindex!$A$6,YEAR(AE$4)&gt;=YEAR($F283),$K283="k"),ROUND(VLOOKUP(AJ$4,Preisindex,2,FALSE)/VLOOKUP(YEAR($F283),Preisindex,2,FALSE),2),0)))))</f>
        <v>0</v>
      </c>
      <c r="AK283" s="56">
        <f>IF(AND($E283&lt;&gt;0,$F283&gt;0,YEAR($F283)&lt;Preisindex!$A$6,YEAR(AE$4)&gt;=YEAR($F283),AND($K283&lt;&gt;"a",$K283&lt;&gt;"b",$K283&lt;&gt;"g",$K283&lt;&gt;"k")),1,IF(AND($E283&lt;&gt;0,$F283&gt;0,YEAR($F283)&lt;Preisindex!$A$6,YEAR(AE$4)&gt;=YEAR($F283),$K283="a"),ROUND(VLOOKUP(AJ$4,Preisindex,5,FALSE)/VLOOKUP(Preisindex!$A$6,Preisindex,5,FALSE),2),IF(AND($E283&lt;&gt;0,$F283&gt;0,YEAR($F283)&lt;Preisindex!$A$6,YEAR(AE$4)&gt;=YEAR($F283),$K283="b"),ROUND(VLOOKUP(AJ$4,Preisindex,3,FALSE)/VLOOKUP(Preisindex!$A$6,Preisindex,3,FALSE),2),IF(AND($E283&lt;&gt;0,$F283&gt;0,YEAR($F283)&lt;Preisindex!$A$6,YEAR(AE$4)&gt;=YEAR($F283),$K283="g"),ROUND(VLOOKUP(AJ$4,Preisindex,4,FALSE)/VLOOKUP(Preisindex!$A$6,Preisindex,4,FALSE),2),IF(AND($E283&lt;&gt;0,$F283&gt;0,YEAR($F283)&lt;Preisindex!$A$6,YEAR(AE$4)&gt;=YEAR($F283),$K283="k"),ROUND(VLOOKUP(AJ$4,Preisindex,2,FALSE)/VLOOKUP(Preisindex!$A$6,Preisindex,2,FALSE),2),0)))))</f>
        <v>0</v>
      </c>
      <c r="AL283" s="51">
        <f>IF(AND($E283&lt;&gt;0,$F283&gt;0,YEAR($F283)&lt;=AJ$4,YEAR($F283)&gt;=Preisindex!$A$6),ROUND($E283*AJ283,2),IF(AND($E283&lt;&gt;0,$F283&gt;0,YEAR($F283)&lt;=AJ$4,YEAR($F283)&lt;Preisindex!$A$6),ROUND($E283*AK283,2),0))</f>
        <v>0</v>
      </c>
      <c r="AM283" s="53">
        <f t="shared" si="838"/>
        <v>0</v>
      </c>
      <c r="AN283" s="51">
        <f t="shared" si="839"/>
        <v>0</v>
      </c>
      <c r="AO283" s="51">
        <f t="shared" si="841"/>
        <v>0</v>
      </c>
      <c r="AP283" s="51">
        <f t="shared" si="755"/>
        <v>0</v>
      </c>
      <c r="AQ283" s="51">
        <f t="shared" si="842"/>
        <v>0</v>
      </c>
      <c r="AR283" s="51">
        <f t="shared" si="756"/>
        <v>0</v>
      </c>
      <c r="AS283" s="51">
        <f t="shared" si="843"/>
        <v>0</v>
      </c>
      <c r="AT283" s="51">
        <f t="shared" si="757"/>
        <v>0</v>
      </c>
      <c r="AU283" s="51">
        <f t="shared" si="844"/>
        <v>0</v>
      </c>
      <c r="AV283" s="51">
        <f t="shared" si="758"/>
        <v>0</v>
      </c>
      <c r="AW283" s="51">
        <f t="shared" si="845"/>
        <v>0</v>
      </c>
      <c r="AX283" s="51">
        <f t="shared" si="759"/>
        <v>0</v>
      </c>
      <c r="AY283" s="54">
        <f t="shared" si="760"/>
        <v>0</v>
      </c>
      <c r="AZ283" s="55">
        <f t="shared" si="761"/>
        <v>0</v>
      </c>
      <c r="BA283" s="56">
        <f>IF(AND($E283&lt;&gt;0,$F283&gt;0,YEAR($F283)&gt;=Preisindex!$A$6,YEAR(AV$4)&gt;=YEAR($F283),AND($K283&lt;&gt;"a",$K283&lt;&gt;"b",$K283&lt;&gt;"g",$K283&lt;&gt;"k")),1,IF(AND($E283&lt;&gt;0,$F283&gt;0,YEAR($F283)&gt;=Preisindex!$A$6,YEAR(AV$4)&gt;=YEAR($F283),$K283="a"),ROUND(VLOOKUP(BA$4,Preisindex,5,FALSE)/VLOOKUP(YEAR($F283),Preisindex,5,FALSE),2),IF(AND($E283&lt;&gt;0,$F283&gt;0,YEAR($F283)&gt;=Preisindex!$A$6,YEAR(AV$4)&gt;=YEAR($F283),$K283="b"),ROUND(VLOOKUP(BA$4,Preisindex,3,FALSE)/VLOOKUP(YEAR($F283),Preisindex,3,FALSE),2),IF(AND($E283&lt;&gt;0,$F283&gt;0,YEAR($F283)&gt;=Preisindex!$A$6,YEAR(AV$4)&gt;=YEAR($F283),$K283="g"),ROUND(VLOOKUP(BA$4,Preisindex,4,FALSE)/VLOOKUP(YEAR($F283),Preisindex,4,FALSE),2),IF(AND($E283&lt;&gt;0,$F283&gt;0,YEAR($F283)&gt;=Preisindex!$A$6,YEAR(AV$4)&gt;=YEAR($F283),$K283="k"),ROUND(VLOOKUP(BA$4,Preisindex,2,FALSE)/VLOOKUP(YEAR($F283),Preisindex,2,FALSE),2),0)))))</f>
        <v>0</v>
      </c>
      <c r="BB283" s="56">
        <f>IF(AND($E283&lt;&gt;0,$F283&gt;0,YEAR($F283)&lt;Preisindex!$A$6,YEAR(AV$4)&gt;=YEAR($F283),AND($K283&lt;&gt;"a",$K283&lt;&gt;"b",$K283&lt;&gt;"g",$K283&lt;&gt;"k")),1,IF(AND($E283&lt;&gt;0,$F283&gt;0,YEAR($F283)&lt;Preisindex!$A$6,YEAR(AV$4)&gt;=YEAR($F283),$K283="a"),ROUND(VLOOKUP(BA$4,Preisindex,5,FALSE)/VLOOKUP(Preisindex!$A$6,Preisindex,5,FALSE),2),IF(AND($E283&lt;&gt;0,$F283&gt;0,YEAR($F283)&lt;Preisindex!$A$6,YEAR(AV$4)&gt;=YEAR($F283),$K283="b"),ROUND(VLOOKUP(BA$4,Preisindex,3,FALSE)/VLOOKUP(Preisindex!$A$6,Preisindex,3,FALSE),2),IF(AND($E283&lt;&gt;0,$F283&gt;0,YEAR($F283)&lt;Preisindex!$A$6,YEAR(AV$4)&gt;=YEAR($F283),$K283="g"),ROUND(VLOOKUP(BA$4,Preisindex,4,FALSE)/VLOOKUP(Preisindex!$A$6,Preisindex,4,FALSE),2),IF(AND($E283&lt;&gt;0,$F283&gt;0,YEAR($F283)&lt;Preisindex!$A$6,YEAR(AV$4)&gt;=YEAR($F283),$K283="k"),ROUND(VLOOKUP(BA$4,Preisindex,2,FALSE)/VLOOKUP(Preisindex!$A$6,Preisindex,2,FALSE),2),0)))))</f>
        <v>0</v>
      </c>
      <c r="BC283" s="51">
        <f>IF(AND($E283&lt;&gt;0,$F283&gt;0,YEAR($F283)&lt;=BA$4,YEAR($F283)&gt;=Preisindex!$A$6),ROUND($E283*BA283,2),IF(AND($E283&lt;&gt;0,$F283&gt;0,YEAR($F283)&lt;=BA$4,YEAR($F283)&lt;Preisindex!$A$6),ROUND($E283*BB283,2),0))</f>
        <v>0</v>
      </c>
      <c r="BD283" s="53">
        <f t="shared" si="762"/>
        <v>0</v>
      </c>
      <c r="BE283" s="51">
        <f t="shared" si="839"/>
        <v>0</v>
      </c>
      <c r="BF283" s="51">
        <f t="shared" si="846"/>
        <v>0</v>
      </c>
      <c r="BG283" s="51">
        <f t="shared" si="763"/>
        <v>0</v>
      </c>
      <c r="BH283" s="51">
        <f t="shared" si="847"/>
        <v>0</v>
      </c>
      <c r="BI283" s="51">
        <f t="shared" si="764"/>
        <v>0</v>
      </c>
      <c r="BJ283" s="51">
        <f t="shared" si="848"/>
        <v>0</v>
      </c>
      <c r="BK283" s="51">
        <f t="shared" si="765"/>
        <v>0</v>
      </c>
      <c r="BL283" s="51">
        <f t="shared" si="849"/>
        <v>0</v>
      </c>
      <c r="BM283" s="51">
        <f t="shared" si="766"/>
        <v>0</v>
      </c>
      <c r="BN283" s="51">
        <f t="shared" si="850"/>
        <v>0</v>
      </c>
      <c r="BO283" s="51">
        <f t="shared" si="767"/>
        <v>0</v>
      </c>
      <c r="BP283" s="54">
        <f t="shared" si="768"/>
        <v>0</v>
      </c>
      <c r="BQ283" s="55">
        <f t="shared" si="769"/>
        <v>0</v>
      </c>
      <c r="BR283" s="56">
        <f>IF(AND($E283&lt;&gt;0,$F283&gt;0,YEAR($F283)&gt;=Preisindex!$A$6,YEAR(BM$4)&gt;=YEAR($F283),AND($K283&lt;&gt;"a",$K283&lt;&gt;"b",$K283&lt;&gt;"g",$K283&lt;&gt;"k")),1,IF(AND($E283&lt;&gt;0,$F283&gt;0,YEAR($F283)&gt;=Preisindex!$A$6,YEAR(BM$4)&gt;=YEAR($F283),$K283="a"),ROUND(VLOOKUP(BR$4,Preisindex,5,FALSE)/VLOOKUP(YEAR($F283),Preisindex,5,FALSE),2),IF(AND($E283&lt;&gt;0,$F283&gt;0,YEAR($F283)&gt;=Preisindex!$A$6,YEAR(BM$4)&gt;=YEAR($F283),$K283="b"),ROUND(VLOOKUP(BR$4,Preisindex,3,FALSE)/VLOOKUP(YEAR($F283),Preisindex,3,FALSE),2),IF(AND($E283&lt;&gt;0,$F283&gt;0,YEAR($F283)&gt;=Preisindex!$A$6,YEAR(BM$4)&gt;=YEAR($F283),$K283="g"),ROUND(VLOOKUP(BR$4,Preisindex,4,FALSE)/VLOOKUP(YEAR($F283),Preisindex,4,FALSE),2),IF(AND($E283&lt;&gt;0,$F283&gt;0,YEAR($F283)&gt;=Preisindex!$A$6,YEAR(BM$4)&gt;=YEAR($F283),$K283="k"),ROUND(VLOOKUP(BR$4,Preisindex,2,FALSE)/VLOOKUP(YEAR($F283),Preisindex,2,FALSE),2),0)))))</f>
        <v>0</v>
      </c>
      <c r="BS283" s="56">
        <f>IF(AND($E283&lt;&gt;0,$F283&gt;0,YEAR($F283)&lt;Preisindex!$A$6,YEAR(BM$4)&gt;=YEAR($F283),AND($K283&lt;&gt;"a",$K283&lt;&gt;"b",$K283&lt;&gt;"g",$K283&lt;&gt;"k")),1,IF(AND($E283&lt;&gt;0,$F283&gt;0,YEAR($F283)&lt;Preisindex!$A$6,YEAR(BM$4)&gt;=YEAR($F283),$K283="a"),ROUND(VLOOKUP(BR$4,Preisindex,5,FALSE)/VLOOKUP(Preisindex!$A$6,Preisindex,5,FALSE),2),IF(AND($E283&lt;&gt;0,$F283&gt;0,YEAR($F283)&lt;Preisindex!$A$6,YEAR(BM$4)&gt;=YEAR($F283),$K283="b"),ROUND(VLOOKUP(BR$4,Preisindex,3,FALSE)/VLOOKUP(Preisindex!$A$6,Preisindex,3,FALSE),2),IF(AND($E283&lt;&gt;0,$F283&gt;0,YEAR($F283)&lt;Preisindex!$A$6,YEAR(BM$4)&gt;=YEAR($F283),$K283="g"),ROUND(VLOOKUP(BR$4,Preisindex,4,FALSE)/VLOOKUP(Preisindex!$A$6,Preisindex,4,FALSE),2),IF(AND($E283&lt;&gt;0,$F283&gt;0,YEAR($F283)&lt;Preisindex!$A$6,YEAR(BM$4)&gt;=YEAR($F283),$K283="k"),ROUND(VLOOKUP(BR$4,Preisindex,2,FALSE)/VLOOKUP(Preisindex!$A$6,Preisindex,2,FALSE),2),0)))))</f>
        <v>0</v>
      </c>
      <c r="BT283" s="51">
        <f>IF(AND($E283&lt;&gt;0,$F283&gt;0,YEAR($F283)&lt;=BR$4,YEAR($F283)&gt;=Preisindex!$A$6),ROUND($E283*BR283,2),IF(AND($E283&lt;&gt;0,$F283&gt;0,YEAR($F283)&lt;=BR$4,YEAR($F283)&lt;Preisindex!$A$6),ROUND($E283*BS283,2),0))</f>
        <v>0</v>
      </c>
      <c r="BU283" s="53">
        <f t="shared" si="770"/>
        <v>0</v>
      </c>
      <c r="BV283" s="51">
        <f t="shared" si="839"/>
        <v>0</v>
      </c>
      <c r="BW283" s="51">
        <f t="shared" si="851"/>
        <v>0</v>
      </c>
      <c r="BX283" s="51">
        <f t="shared" si="771"/>
        <v>0</v>
      </c>
      <c r="BY283" s="51">
        <f t="shared" si="852"/>
        <v>0</v>
      </c>
      <c r="BZ283" s="51">
        <f t="shared" si="772"/>
        <v>0</v>
      </c>
      <c r="CA283" s="51">
        <f t="shared" si="853"/>
        <v>0</v>
      </c>
      <c r="CB283" s="51">
        <f t="shared" si="773"/>
        <v>0</v>
      </c>
      <c r="CC283" s="51">
        <f t="shared" si="854"/>
        <v>0</v>
      </c>
      <c r="CD283" s="51">
        <f t="shared" si="774"/>
        <v>0</v>
      </c>
      <c r="CE283" s="51">
        <f t="shared" si="855"/>
        <v>0</v>
      </c>
      <c r="CF283" s="51">
        <f t="shared" si="775"/>
        <v>0</v>
      </c>
      <c r="CG283" s="54">
        <f t="shared" si="776"/>
        <v>0</v>
      </c>
      <c r="CH283" s="55">
        <f t="shared" si="777"/>
        <v>0</v>
      </c>
      <c r="CI283" s="56">
        <f>IF(AND($E283&lt;&gt;0,$F283&gt;0,YEAR($F283)&gt;=Preisindex!$A$6,YEAR(CD$4)&gt;=YEAR($F283),AND($K283&lt;&gt;"a",$K283&lt;&gt;"b",$K283&lt;&gt;"g",$K283&lt;&gt;"k")),1,IF(AND($E283&lt;&gt;0,$F283&gt;0,YEAR($F283)&gt;=Preisindex!$A$6,YEAR(CD$4)&gt;=YEAR($F283),$K283="a"),ROUND(VLOOKUP(CI$4,Preisindex,5,FALSE)/VLOOKUP(YEAR($F283),Preisindex,5,FALSE),2),IF(AND($E283&lt;&gt;0,$F283&gt;0,YEAR($F283)&gt;=Preisindex!$A$6,YEAR(CD$4)&gt;=YEAR($F283),$K283="b"),ROUND(VLOOKUP(CI$4,Preisindex,3,FALSE)/VLOOKUP(YEAR($F283),Preisindex,3,FALSE),2),IF(AND($E283&lt;&gt;0,$F283&gt;0,YEAR($F283)&gt;=Preisindex!$A$6,YEAR(CD$4)&gt;=YEAR($F283),$K283="g"),ROUND(VLOOKUP(CI$4,Preisindex,4,FALSE)/VLOOKUP(YEAR($F283),Preisindex,4,FALSE),2),IF(AND($E283&lt;&gt;0,$F283&gt;0,YEAR($F283)&gt;=Preisindex!$A$6,YEAR(CD$4)&gt;=YEAR($F283),$K283="k"),ROUND(VLOOKUP(CI$4,Preisindex,2,FALSE)/VLOOKUP(YEAR($F283),Preisindex,2,FALSE),2),0)))))</f>
        <v>0</v>
      </c>
      <c r="CJ283" s="56">
        <f>IF(AND($E283&lt;&gt;0,$F283&gt;0,YEAR($F283)&lt;Preisindex!$A$6,YEAR(CD$4)&gt;=YEAR($F283),AND($K283&lt;&gt;"a",$K283&lt;&gt;"b",$K283&lt;&gt;"g",$K283&lt;&gt;"k")),1,IF(AND($E283&lt;&gt;0,$F283&gt;0,YEAR($F283)&lt;Preisindex!$A$6,YEAR(CD$4)&gt;=YEAR($F283),$K283="a"),ROUND(VLOOKUP(CI$4,Preisindex,5,FALSE)/VLOOKUP(Preisindex!$A$6,Preisindex,5,FALSE),2),IF(AND($E283&lt;&gt;0,$F283&gt;0,YEAR($F283)&lt;Preisindex!$A$6,YEAR(CD$4)&gt;=YEAR($F283),$K283="b"),ROUND(VLOOKUP(CI$4,Preisindex,3,FALSE)/VLOOKUP(Preisindex!$A$6,Preisindex,3,FALSE),2),IF(AND($E283&lt;&gt;0,$F283&gt;0,YEAR($F283)&lt;Preisindex!$A$6,YEAR(CD$4)&gt;=YEAR($F283),$K283="g"),ROUND(VLOOKUP(CI$4,Preisindex,4,FALSE)/VLOOKUP(Preisindex!$A$6,Preisindex,4,FALSE),2),IF(AND($E283&lt;&gt;0,$F283&gt;0,YEAR($F283)&lt;Preisindex!$A$6,YEAR(CD$4)&gt;=YEAR($F283),$K283="k"),ROUND(VLOOKUP(CI$4,Preisindex,2,FALSE)/VLOOKUP(Preisindex!$A$6,Preisindex,2,FALSE),2),0)))))</f>
        <v>0</v>
      </c>
      <c r="CK283" s="51">
        <f>IF(AND($E283&lt;&gt;0,$F283&gt;0,YEAR($F283)&lt;=CI$4,YEAR($F283)&gt;=Preisindex!$A$6),ROUND($E283*CI283,2),IF(AND($E283&lt;&gt;0,$F283&gt;0,YEAR($F283)&lt;=CI$4,YEAR($F283)&lt;Preisindex!$A$6),ROUND($E283*CJ283,2),0))</f>
        <v>0</v>
      </c>
      <c r="CL283" s="53">
        <f t="shared" si="778"/>
        <v>0</v>
      </c>
      <c r="CM283" s="51">
        <f t="shared" si="839"/>
        <v>0</v>
      </c>
      <c r="CN283" s="51">
        <f t="shared" si="856"/>
        <v>0</v>
      </c>
      <c r="CO283" s="51">
        <f t="shared" si="779"/>
        <v>0</v>
      </c>
      <c r="CP283" s="51">
        <f t="shared" si="857"/>
        <v>0</v>
      </c>
      <c r="CQ283" s="51">
        <f t="shared" si="780"/>
        <v>0</v>
      </c>
      <c r="CR283" s="51">
        <f t="shared" si="858"/>
        <v>0</v>
      </c>
      <c r="CS283" s="51">
        <f t="shared" si="781"/>
        <v>0</v>
      </c>
      <c r="CT283" s="51">
        <f t="shared" si="859"/>
        <v>0</v>
      </c>
      <c r="CU283" s="51">
        <f t="shared" si="782"/>
        <v>0</v>
      </c>
      <c r="CV283" s="51">
        <f t="shared" si="860"/>
        <v>0</v>
      </c>
      <c r="CW283" s="51">
        <f t="shared" si="783"/>
        <v>0</v>
      </c>
      <c r="CX283" s="54">
        <f t="shared" si="784"/>
        <v>0</v>
      </c>
      <c r="CY283" s="55">
        <f t="shared" si="785"/>
        <v>0</v>
      </c>
      <c r="CZ283" s="56">
        <f>IF(AND($E283&lt;&gt;0,$F283&gt;0,YEAR($F283)&gt;=Preisindex!$A$6,YEAR(CU$4)&gt;=YEAR($F283),AND($K283&lt;&gt;"a",$K283&lt;&gt;"b",$K283&lt;&gt;"g",$K283&lt;&gt;"k")),1,IF(AND($E283&lt;&gt;0,$F283&gt;0,YEAR($F283)&gt;=Preisindex!$A$6,YEAR(CU$4)&gt;=YEAR($F283),$K283="a"),ROUND(VLOOKUP(CZ$4,Preisindex,5,FALSE)/VLOOKUP(YEAR($F283),Preisindex,5,FALSE),2),IF(AND($E283&lt;&gt;0,$F283&gt;0,YEAR($F283)&gt;=Preisindex!$A$6,YEAR(CU$4)&gt;=YEAR($F283),$K283="b"),ROUND(VLOOKUP(CZ$4,Preisindex,3,FALSE)/VLOOKUP(YEAR($F283),Preisindex,3,FALSE),2),IF(AND($E283&lt;&gt;0,$F283&gt;0,YEAR($F283)&gt;=Preisindex!$A$6,YEAR(CU$4)&gt;=YEAR($F283),$K283="g"),ROUND(VLOOKUP(CZ$4,Preisindex,4,FALSE)/VLOOKUP(YEAR($F283),Preisindex,4,FALSE),2),IF(AND($E283&lt;&gt;0,$F283&gt;0,YEAR($F283)&gt;=Preisindex!$A$6,YEAR(CU$4)&gt;=YEAR($F283),$K283="k"),ROUND(VLOOKUP(CZ$4,Preisindex,2,FALSE)/VLOOKUP(YEAR($F283),Preisindex,2,FALSE),2),0)))))</f>
        <v>0</v>
      </c>
      <c r="DA283" s="56">
        <f>IF(AND($E283&lt;&gt;0,$F283&gt;0,YEAR($F283)&lt;Preisindex!$A$6,YEAR(CU$4)&gt;=YEAR($F283),AND($K283&lt;&gt;"a",$K283&lt;&gt;"b",$K283&lt;&gt;"g",$K283&lt;&gt;"k")),1,IF(AND($E283&lt;&gt;0,$F283&gt;0,YEAR($F283)&lt;Preisindex!$A$6,YEAR(CU$4)&gt;=YEAR($F283),$K283="a"),ROUND(VLOOKUP(CZ$4,Preisindex,5,FALSE)/VLOOKUP(Preisindex!$A$6,Preisindex,5,FALSE),2),IF(AND($E283&lt;&gt;0,$F283&gt;0,YEAR($F283)&lt;Preisindex!$A$6,YEAR(CU$4)&gt;=YEAR($F283),$K283="b"),ROUND(VLOOKUP(CZ$4,Preisindex,3,FALSE)/VLOOKUP(Preisindex!$A$6,Preisindex,3,FALSE),2),IF(AND($E283&lt;&gt;0,$F283&gt;0,YEAR($F283)&lt;Preisindex!$A$6,YEAR(CU$4)&gt;=YEAR($F283),$K283="g"),ROUND(VLOOKUP(CZ$4,Preisindex,4,FALSE)/VLOOKUP(Preisindex!$A$6,Preisindex,4,FALSE),2),IF(AND($E283&lt;&gt;0,$F283&gt;0,YEAR($F283)&lt;Preisindex!$A$6,YEAR(CU$4)&gt;=YEAR($F283),$K283="k"),ROUND(VLOOKUP(CZ$4,Preisindex,2,FALSE)/VLOOKUP(Preisindex!$A$6,Preisindex,2,FALSE),2),0)))))</f>
        <v>0</v>
      </c>
      <c r="DB283" s="51">
        <f>IF(AND($E283&lt;&gt;0,$F283&gt;0,YEAR($F283)&lt;=CZ$4,YEAR($F283)&gt;=Preisindex!$A$6),ROUND($E283*CZ283,2),IF(AND($E283&lt;&gt;0,$F283&gt;0,YEAR($F283)&lt;=CZ$4,YEAR($F283)&lt;Preisindex!$A$6),ROUND($E283*DA283,2),0))</f>
        <v>0</v>
      </c>
      <c r="DC283" s="53">
        <f t="shared" si="786"/>
        <v>0</v>
      </c>
      <c r="DD283" s="51">
        <f t="shared" si="840"/>
        <v>0</v>
      </c>
      <c r="DE283" s="51">
        <f t="shared" si="861"/>
        <v>0</v>
      </c>
      <c r="DF283" s="51">
        <f t="shared" si="788"/>
        <v>0</v>
      </c>
      <c r="DG283" s="51">
        <f t="shared" si="862"/>
        <v>0</v>
      </c>
      <c r="DH283" s="51">
        <f t="shared" si="789"/>
        <v>0</v>
      </c>
      <c r="DI283" s="51">
        <f t="shared" si="863"/>
        <v>0</v>
      </c>
      <c r="DJ283" s="51">
        <f t="shared" si="790"/>
        <v>0</v>
      </c>
      <c r="DK283" s="51">
        <f t="shared" si="864"/>
        <v>0</v>
      </c>
      <c r="DL283" s="51">
        <f t="shared" si="791"/>
        <v>0</v>
      </c>
      <c r="DM283" s="51">
        <f t="shared" si="865"/>
        <v>0</v>
      </c>
      <c r="DN283" s="51">
        <f t="shared" si="792"/>
        <v>0</v>
      </c>
      <c r="DO283" s="54">
        <f t="shared" si="793"/>
        <v>0</v>
      </c>
      <c r="DP283" s="55">
        <f t="shared" si="794"/>
        <v>0</v>
      </c>
      <c r="DQ283" s="56">
        <f>IF(AND($E283&lt;&gt;0,$F283&gt;0,YEAR($F283)&gt;=Preisindex!$A$6,YEAR(DL$4)&gt;=YEAR($F283),AND($K283&lt;&gt;"a",$K283&lt;&gt;"b",$K283&lt;&gt;"g",$K283&lt;&gt;"k")),1,IF(AND($E283&lt;&gt;0,$F283&gt;0,YEAR($F283)&gt;=Preisindex!$A$6,YEAR(DL$4)&gt;=YEAR($F283),$K283="a"),ROUND(VLOOKUP(DQ$4,Preisindex,5,FALSE)/VLOOKUP(YEAR($F283),Preisindex,5,FALSE),2),IF(AND($E283&lt;&gt;0,$F283&gt;0,YEAR($F283)&gt;=Preisindex!$A$6,YEAR(DL$4)&gt;=YEAR($F283),$K283="b"),ROUND(VLOOKUP(DQ$4,Preisindex,3,FALSE)/VLOOKUP(YEAR($F283),Preisindex,3,FALSE),2),IF(AND($E283&lt;&gt;0,$F283&gt;0,YEAR($F283)&gt;=Preisindex!$A$6,YEAR(DL$4)&gt;=YEAR($F283),$K283="g"),ROUND(VLOOKUP(DQ$4,Preisindex,4,FALSE)/VLOOKUP(YEAR($F283),Preisindex,4,FALSE),2),IF(AND($E283&lt;&gt;0,$F283&gt;0,YEAR($F283)&gt;=Preisindex!$A$6,YEAR(DL$4)&gt;=YEAR($F283),$K283="k"),ROUND(VLOOKUP(DQ$4,Preisindex,2,FALSE)/VLOOKUP(YEAR($F283),Preisindex,2,FALSE),2),0)))))</f>
        <v>0</v>
      </c>
      <c r="DR283" s="56">
        <f>IF(AND($E283&lt;&gt;0,$F283&gt;0,YEAR($F283)&lt;Preisindex!$A$6,YEAR(DL$4)&gt;=YEAR($F283),AND($K283&lt;&gt;"a",$K283&lt;&gt;"b",$K283&lt;&gt;"g",$K283&lt;&gt;"k")),1,IF(AND($E283&lt;&gt;0,$F283&gt;0,YEAR($F283)&lt;Preisindex!$A$6,YEAR(DL$4)&gt;=YEAR($F283),$K283="a"),ROUND(VLOOKUP(DQ$4,Preisindex,5,FALSE)/VLOOKUP(Preisindex!$A$6,Preisindex,5,FALSE),2),IF(AND($E283&lt;&gt;0,$F283&gt;0,YEAR($F283)&lt;Preisindex!$A$6,YEAR(DL$4)&gt;=YEAR($F283),$K283="b"),ROUND(VLOOKUP(DQ$4,Preisindex,3,FALSE)/VLOOKUP(Preisindex!$A$6,Preisindex,3,FALSE),2),IF(AND($E283&lt;&gt;0,$F283&gt;0,YEAR($F283)&lt;Preisindex!$A$6,YEAR(DL$4)&gt;=YEAR($F283),$K283="g"),ROUND(VLOOKUP(DQ$4,Preisindex,4,FALSE)/VLOOKUP(Preisindex!$A$6,Preisindex,4,FALSE),2),IF(AND($E283&lt;&gt;0,$F283&gt;0,YEAR($F283)&lt;Preisindex!$A$6,YEAR(DL$4)&gt;=YEAR($F283),$K283="k"),ROUND(VLOOKUP(DQ$4,Preisindex,2,FALSE)/VLOOKUP(Preisindex!$A$6,Preisindex,2,FALSE),2),0)))))</f>
        <v>0</v>
      </c>
      <c r="DS283" s="51">
        <f>IF(AND($E283&lt;&gt;0,$F283&gt;0,YEAR($F283)&lt;=DQ$4,YEAR($F283)&gt;=Preisindex!$A$6),ROUND($E283*DQ283,2),IF(AND($E283&lt;&gt;0,$F283&gt;0,YEAR($F283)&lt;=DQ$4,YEAR($F283)&lt;Preisindex!$A$6),ROUND($E283*DR283,2),0))</f>
        <v>0</v>
      </c>
      <c r="DT283" s="53">
        <f t="shared" si="795"/>
        <v>0</v>
      </c>
      <c r="DU283" s="51">
        <f t="shared" si="840"/>
        <v>0</v>
      </c>
      <c r="DV283" s="51">
        <f t="shared" si="866"/>
        <v>0</v>
      </c>
      <c r="DW283" s="51">
        <f t="shared" si="796"/>
        <v>0</v>
      </c>
      <c r="DX283" s="51">
        <f t="shared" si="867"/>
        <v>0</v>
      </c>
      <c r="DY283" s="51">
        <f t="shared" si="797"/>
        <v>0</v>
      </c>
      <c r="DZ283" s="51">
        <f t="shared" si="868"/>
        <v>0</v>
      </c>
      <c r="EA283" s="51">
        <f t="shared" si="798"/>
        <v>0</v>
      </c>
      <c r="EB283" s="51">
        <f t="shared" si="869"/>
        <v>0</v>
      </c>
      <c r="EC283" s="51">
        <f t="shared" si="799"/>
        <v>0</v>
      </c>
      <c r="ED283" s="51">
        <f t="shared" si="870"/>
        <v>0</v>
      </c>
      <c r="EE283" s="51">
        <f t="shared" si="800"/>
        <v>0</v>
      </c>
      <c r="EF283" s="54">
        <f t="shared" si="801"/>
        <v>0</v>
      </c>
      <c r="EG283" s="55">
        <f t="shared" si="802"/>
        <v>0</v>
      </c>
      <c r="EH283" s="56">
        <f>IF(AND($E283&lt;&gt;0,$F283&gt;0,YEAR($F283)&gt;=Preisindex!$A$6,YEAR(EC$4)&gt;=YEAR($F283),AND($K283&lt;&gt;"a",$K283&lt;&gt;"b",$K283&lt;&gt;"g",$K283&lt;&gt;"k")),1,IF(AND($E283&lt;&gt;0,$F283&gt;0,YEAR($F283)&gt;=Preisindex!$A$6,YEAR(EC$4)&gt;=YEAR($F283),$K283="a"),ROUND(VLOOKUP(EH$4,Preisindex,5,FALSE)/VLOOKUP(YEAR($F283),Preisindex,5,FALSE),2),IF(AND($E283&lt;&gt;0,$F283&gt;0,YEAR($F283)&gt;=Preisindex!$A$6,YEAR(EC$4)&gt;=YEAR($F283),$K283="b"),ROUND(VLOOKUP(EH$4,Preisindex,3,FALSE)/VLOOKUP(YEAR($F283),Preisindex,3,FALSE),2),IF(AND($E283&lt;&gt;0,$F283&gt;0,YEAR($F283)&gt;=Preisindex!$A$6,YEAR(EC$4)&gt;=YEAR($F283),$K283="g"),ROUND(VLOOKUP(EH$4,Preisindex,4,FALSE)/VLOOKUP(YEAR($F283),Preisindex,4,FALSE),2),IF(AND($E283&lt;&gt;0,$F283&gt;0,YEAR($F283)&gt;=Preisindex!$A$6,YEAR(EC$4)&gt;=YEAR($F283),$K283="k"),ROUND(VLOOKUP(EH$4,Preisindex,2,FALSE)/VLOOKUP(YEAR($F283),Preisindex,2,FALSE),2),0)))))</f>
        <v>0</v>
      </c>
      <c r="EI283" s="56">
        <f>IF(AND($E283&lt;&gt;0,$F283&gt;0,YEAR($F283)&lt;Preisindex!$A$6,YEAR(EC$4)&gt;=YEAR($F283),AND($K283&lt;&gt;"a",$K283&lt;&gt;"b",$K283&lt;&gt;"g",$K283&lt;&gt;"k")),1,IF(AND($E283&lt;&gt;0,$F283&gt;0,YEAR($F283)&lt;Preisindex!$A$6,YEAR(EC$4)&gt;=YEAR($F283),$K283="a"),ROUND(VLOOKUP(EH$4,Preisindex,5,FALSE)/VLOOKUP(Preisindex!$A$6,Preisindex,5,FALSE),2),IF(AND($E283&lt;&gt;0,$F283&gt;0,YEAR($F283)&lt;Preisindex!$A$6,YEAR(EC$4)&gt;=YEAR($F283),$K283="b"),ROUND(VLOOKUP(EH$4,Preisindex,3,FALSE)/VLOOKUP(Preisindex!$A$6,Preisindex,3,FALSE),2),IF(AND($E283&lt;&gt;0,$F283&gt;0,YEAR($F283)&lt;Preisindex!$A$6,YEAR(EC$4)&gt;=YEAR($F283),$K283="g"),ROUND(VLOOKUP(EH$4,Preisindex,4,FALSE)/VLOOKUP(Preisindex!$A$6,Preisindex,4,FALSE),2),IF(AND($E283&lt;&gt;0,$F283&gt;0,YEAR($F283)&lt;Preisindex!$A$6,YEAR(EC$4)&gt;=YEAR($F283),$K283="k"),ROUND(VLOOKUP(EH$4,Preisindex,2,FALSE)/VLOOKUP(Preisindex!$A$6,Preisindex,2,FALSE),2),0)))))</f>
        <v>0</v>
      </c>
      <c r="EJ283" s="51">
        <f>IF(AND($E283&lt;&gt;0,$F283&gt;0,YEAR($F283)&lt;=EH$4,YEAR($F283)&gt;=Preisindex!$A$6),ROUND($E283*EH283,2),IF(AND($E283&lt;&gt;0,$F283&gt;0,YEAR($F283)&lt;=EH$4,YEAR($F283)&lt;Preisindex!$A$6),ROUND($E283*EI283,2),0))</f>
        <v>0</v>
      </c>
      <c r="EK283" s="53">
        <f t="shared" si="803"/>
        <v>0</v>
      </c>
      <c r="EL283" s="51">
        <f t="shared" si="840"/>
        <v>0</v>
      </c>
      <c r="EM283" s="51">
        <f t="shared" si="871"/>
        <v>0</v>
      </c>
      <c r="EN283" s="51">
        <f t="shared" si="804"/>
        <v>0</v>
      </c>
      <c r="EO283" s="51">
        <f t="shared" si="872"/>
        <v>0</v>
      </c>
      <c r="EP283" s="51">
        <f t="shared" si="805"/>
        <v>0</v>
      </c>
      <c r="EQ283" s="51">
        <f t="shared" si="873"/>
        <v>0</v>
      </c>
      <c r="ER283" s="51">
        <f t="shared" si="806"/>
        <v>0</v>
      </c>
      <c r="ES283" s="51">
        <f t="shared" si="874"/>
        <v>0</v>
      </c>
      <c r="ET283" s="51">
        <f t="shared" si="807"/>
        <v>0</v>
      </c>
      <c r="EU283" s="51">
        <f t="shared" si="875"/>
        <v>0</v>
      </c>
      <c r="EV283" s="51">
        <f t="shared" si="808"/>
        <v>0</v>
      </c>
      <c r="EW283" s="54">
        <f t="shared" si="809"/>
        <v>0</v>
      </c>
      <c r="EX283" s="55">
        <f t="shared" si="810"/>
        <v>0</v>
      </c>
      <c r="EY283" s="56">
        <f>IF(AND($E283&lt;&gt;0,$F283&gt;0,YEAR($F283)&gt;=Preisindex!$A$6,YEAR(ET$4)&gt;=YEAR($F283),AND($K283&lt;&gt;"a",$K283&lt;&gt;"b",$K283&lt;&gt;"g",$K283&lt;&gt;"k")),1,IF(AND($E283&lt;&gt;0,$F283&gt;0,YEAR($F283)&gt;=Preisindex!$A$6,YEAR(ET$4)&gt;=YEAR($F283),$K283="a"),ROUND(VLOOKUP(EY$4,Preisindex,5,FALSE)/VLOOKUP(YEAR($F283),Preisindex,5,FALSE),2),IF(AND($E283&lt;&gt;0,$F283&gt;0,YEAR($F283)&gt;=Preisindex!$A$6,YEAR(ET$4)&gt;=YEAR($F283),$K283="b"),ROUND(VLOOKUP(EY$4,Preisindex,3,FALSE)/VLOOKUP(YEAR($F283),Preisindex,3,FALSE),2),IF(AND($E283&lt;&gt;0,$F283&gt;0,YEAR($F283)&gt;=Preisindex!$A$6,YEAR(ET$4)&gt;=YEAR($F283),$K283="g"),ROUND(VLOOKUP(EY$4,Preisindex,4,FALSE)/VLOOKUP(YEAR($F283),Preisindex,4,FALSE),2),IF(AND($E283&lt;&gt;0,$F283&gt;0,YEAR($F283)&gt;=Preisindex!$A$6,YEAR(ET$4)&gt;=YEAR($F283),$K283="k"),ROUND(VLOOKUP(EY$4,Preisindex,2,FALSE)/VLOOKUP(YEAR($F283),Preisindex,2,FALSE),2),0)))))</f>
        <v>0</v>
      </c>
      <c r="EZ283" s="56">
        <f>IF(AND($E283&lt;&gt;0,$F283&gt;0,YEAR($F283)&lt;Preisindex!$A$6,YEAR(ET$4)&gt;=YEAR($F283),AND($K283&lt;&gt;"a",$K283&lt;&gt;"b",$K283&lt;&gt;"g",$K283&lt;&gt;"k")),1,IF(AND($E283&lt;&gt;0,$F283&gt;0,YEAR($F283)&lt;Preisindex!$A$6,YEAR(ET$4)&gt;=YEAR($F283),$K283="a"),ROUND(VLOOKUP(EY$4,Preisindex,5,FALSE)/VLOOKUP(Preisindex!$A$6,Preisindex,5,FALSE),2),IF(AND($E283&lt;&gt;0,$F283&gt;0,YEAR($F283)&lt;Preisindex!$A$6,YEAR(ET$4)&gt;=YEAR($F283),$K283="b"),ROUND(VLOOKUP(EY$4,Preisindex,3,FALSE)/VLOOKUP(Preisindex!$A$6,Preisindex,3,FALSE),2),IF(AND($E283&lt;&gt;0,$F283&gt;0,YEAR($F283)&lt;Preisindex!$A$6,YEAR(ET$4)&gt;=YEAR($F283),$K283="g"),ROUND(VLOOKUP(EY$4,Preisindex,4,FALSE)/VLOOKUP(Preisindex!$A$6,Preisindex,4,FALSE),2),IF(AND($E283&lt;&gt;0,$F283&gt;0,YEAR($F283)&lt;Preisindex!$A$6,YEAR(ET$4)&gt;=YEAR($F283),$K283="k"),ROUND(VLOOKUP(EY$4,Preisindex,2,FALSE)/VLOOKUP(Preisindex!$A$6,Preisindex,2,FALSE),2),0)))))</f>
        <v>0</v>
      </c>
      <c r="FA283" s="51">
        <f>IF(AND($E283&lt;&gt;0,$F283&gt;0,YEAR($F283)&lt;=EY$4,YEAR($F283)&gt;=Preisindex!$A$6),ROUND($E283*EY283,2),IF(AND($E283&lt;&gt;0,$F283&gt;0,YEAR($F283)&lt;=EY$4,YEAR($F283)&lt;Preisindex!$A$6),ROUND($E283*EZ283,2),0))</f>
        <v>0</v>
      </c>
      <c r="FB283" s="53">
        <f t="shared" si="811"/>
        <v>0</v>
      </c>
      <c r="FC283" s="51">
        <f t="shared" si="840"/>
        <v>0</v>
      </c>
      <c r="FD283" s="51">
        <f t="shared" si="876"/>
        <v>0</v>
      </c>
      <c r="FE283" s="51">
        <f t="shared" si="812"/>
        <v>0</v>
      </c>
      <c r="FF283" s="51">
        <f t="shared" si="877"/>
        <v>0</v>
      </c>
      <c r="FG283" s="51">
        <f t="shared" si="813"/>
        <v>0</v>
      </c>
      <c r="FH283" s="51">
        <f t="shared" si="878"/>
        <v>0</v>
      </c>
      <c r="FI283" s="51">
        <f t="shared" si="814"/>
        <v>0</v>
      </c>
      <c r="FJ283" s="51">
        <f t="shared" si="879"/>
        <v>0</v>
      </c>
      <c r="FK283" s="51">
        <f t="shared" si="815"/>
        <v>0</v>
      </c>
      <c r="FL283" s="51">
        <f t="shared" si="880"/>
        <v>0</v>
      </c>
      <c r="FM283" s="51">
        <f t="shared" si="816"/>
        <v>0</v>
      </c>
      <c r="FN283" s="54">
        <f t="shared" si="817"/>
        <v>0</v>
      </c>
      <c r="FO283" s="55">
        <f t="shared" si="818"/>
        <v>0</v>
      </c>
      <c r="FP283" s="56">
        <f>IF(AND($E283&lt;&gt;0,$F283&gt;0,YEAR($F283)&gt;=Preisindex!$A$6,YEAR(FK$4)&gt;=YEAR($F283),AND($K283&lt;&gt;"a",$K283&lt;&gt;"b",$K283&lt;&gt;"g",$K283&lt;&gt;"k")),1,IF(AND($E283&lt;&gt;0,$F283&gt;0,YEAR($F283)&gt;=Preisindex!$A$6,YEAR(FK$4)&gt;=YEAR($F283),$K283="a"),ROUND(VLOOKUP(FP$4,Preisindex,5,FALSE)/VLOOKUP(YEAR($F283),Preisindex,5,FALSE),2),IF(AND($E283&lt;&gt;0,$F283&gt;0,YEAR($F283)&gt;=Preisindex!$A$6,YEAR(FK$4)&gt;=YEAR($F283),$K283="b"),ROUND(VLOOKUP(FP$4,Preisindex,3,FALSE)/VLOOKUP(YEAR($F283),Preisindex,3,FALSE),2),IF(AND($E283&lt;&gt;0,$F283&gt;0,YEAR($F283)&gt;=Preisindex!$A$6,YEAR(FK$4)&gt;=YEAR($F283),$K283="g"),ROUND(VLOOKUP(FP$4,Preisindex,4,FALSE)/VLOOKUP(YEAR($F283),Preisindex,4,FALSE),2),IF(AND($E283&lt;&gt;0,$F283&gt;0,YEAR($F283)&gt;=Preisindex!$A$6,YEAR(FK$4)&gt;=YEAR($F283),$K283="k"),ROUND(VLOOKUP(FP$4,Preisindex,2,FALSE)/VLOOKUP(YEAR($F283),Preisindex,2,FALSE),2),0)))))</f>
        <v>0</v>
      </c>
      <c r="FQ283" s="56">
        <f>IF(AND($E283&lt;&gt;0,$F283&gt;0,YEAR($F283)&lt;Preisindex!$A$6,YEAR(FK$4)&gt;=YEAR($F283),AND($K283&lt;&gt;"a",$K283&lt;&gt;"b",$K283&lt;&gt;"g",$K283&lt;&gt;"k")),1,IF(AND($E283&lt;&gt;0,$F283&gt;0,YEAR($F283)&lt;Preisindex!$A$6,YEAR(FK$4)&gt;=YEAR($F283),$K283="a"),ROUND(VLOOKUP(FP$4,Preisindex,5,FALSE)/VLOOKUP(Preisindex!$A$6,Preisindex,5,FALSE),2),IF(AND($E283&lt;&gt;0,$F283&gt;0,YEAR($F283)&lt;Preisindex!$A$6,YEAR(FK$4)&gt;=YEAR($F283),$K283="b"),ROUND(VLOOKUP(FP$4,Preisindex,3,FALSE)/VLOOKUP(Preisindex!$A$6,Preisindex,3,FALSE),2),IF(AND($E283&lt;&gt;0,$F283&gt;0,YEAR($F283)&lt;Preisindex!$A$6,YEAR(FK$4)&gt;=YEAR($F283),$K283="g"),ROUND(VLOOKUP(FP$4,Preisindex,4,FALSE)/VLOOKUP(Preisindex!$A$6,Preisindex,4,FALSE),2),IF(AND($E283&lt;&gt;0,$F283&gt;0,YEAR($F283)&lt;Preisindex!$A$6,YEAR(FK$4)&gt;=YEAR($F283),$K283="k"),ROUND(VLOOKUP(FP$4,Preisindex,2,FALSE)/VLOOKUP(Preisindex!$A$6,Preisindex,2,FALSE),2),0)))))</f>
        <v>0</v>
      </c>
      <c r="FR283" s="51">
        <f>IF(AND($E283&lt;&gt;0,$F283&gt;0,YEAR($F283)&lt;=FP$4,YEAR($F283)&gt;=Preisindex!$A$6),ROUND($E283*FP283,2),IF(AND($E283&lt;&gt;0,$F283&gt;0,YEAR($F283)&lt;=FP$4,YEAR($F283)&lt;Preisindex!$A$6),ROUND($E283*FQ283,2),0))</f>
        <v>0</v>
      </c>
      <c r="FS283" s="53">
        <f t="shared" si="819"/>
        <v>0</v>
      </c>
    </row>
    <row r="284" spans="1:175" x14ac:dyDescent="0.3">
      <c r="A284" s="185"/>
      <c r="B284" s="186"/>
      <c r="C284" s="187"/>
      <c r="D284" s="188"/>
      <c r="E284" s="189"/>
      <c r="F284" s="190"/>
      <c r="G284" s="191"/>
      <c r="H284" s="192"/>
      <c r="I284" s="193"/>
      <c r="J284" s="194"/>
      <c r="K284" s="630"/>
      <c r="L284" s="49">
        <f t="shared" si="820"/>
        <v>0</v>
      </c>
      <c r="M284" s="50">
        <f t="shared" si="821"/>
        <v>0</v>
      </c>
      <c r="N284" s="51">
        <f t="shared" si="822"/>
        <v>0</v>
      </c>
      <c r="O284" s="51"/>
      <c r="P284" s="51">
        <f t="shared" si="823"/>
        <v>0</v>
      </c>
      <c r="Q284" s="52"/>
      <c r="R284" s="52"/>
      <c r="S284" s="52"/>
      <c r="T284" s="52"/>
      <c r="U284" s="52"/>
      <c r="V284" s="53">
        <f t="shared" si="824"/>
        <v>0</v>
      </c>
      <c r="W284" s="51">
        <f t="shared" si="825"/>
        <v>0</v>
      </c>
      <c r="X284" s="51">
        <f t="shared" si="826"/>
        <v>0</v>
      </c>
      <c r="Y284" s="51">
        <f t="shared" si="827"/>
        <v>0</v>
      </c>
      <c r="Z284" s="51">
        <f t="shared" si="828"/>
        <v>0</v>
      </c>
      <c r="AA284" s="51">
        <f t="shared" si="829"/>
        <v>0</v>
      </c>
      <c r="AB284" s="51">
        <f t="shared" si="830"/>
        <v>0</v>
      </c>
      <c r="AC284" s="51">
        <f t="shared" si="831"/>
        <v>0</v>
      </c>
      <c r="AD284" s="51">
        <f t="shared" si="832"/>
        <v>0</v>
      </c>
      <c r="AE284" s="51">
        <f t="shared" si="833"/>
        <v>0</v>
      </c>
      <c r="AF284" s="51">
        <f t="shared" si="834"/>
        <v>0</v>
      </c>
      <c r="AG284" s="51">
        <f t="shared" si="835"/>
        <v>0</v>
      </c>
      <c r="AH284" s="54">
        <f t="shared" si="836"/>
        <v>0</v>
      </c>
      <c r="AI284" s="55">
        <f t="shared" si="837"/>
        <v>0</v>
      </c>
      <c r="AJ284" s="56">
        <f>IF(AND($E284&lt;&gt;0,$F284&gt;0,YEAR($F284)&gt;=Preisindex!$A$6,YEAR(AE$4)&gt;=YEAR($F284),AND($K284&lt;&gt;"a",$K284&lt;&gt;"b",$K284&lt;&gt;"g",$K284&lt;&gt;"k")),1,IF(AND($E284&lt;&gt;0,$F284&gt;0,YEAR($F284)&gt;=Preisindex!$A$6,YEAR(AE$4)&gt;=YEAR($F284),$K284="a"),ROUND(VLOOKUP(AJ$4,Preisindex,5,FALSE)/VLOOKUP(YEAR($F284),Preisindex,5,FALSE),2),IF(AND($E284&lt;&gt;0,$F284&gt;0,YEAR($F284)&gt;=Preisindex!$A$6,YEAR(AE$4)&gt;=YEAR($F284),$K284="b"),ROUND(VLOOKUP(AJ$4,Preisindex,3,FALSE)/VLOOKUP(YEAR($F284),Preisindex,3,FALSE),2),IF(AND($E284&lt;&gt;0,$F284&gt;0,YEAR($F284)&gt;=Preisindex!$A$6,YEAR(AE$4)&gt;=YEAR($F284),$K284="g"),ROUND(VLOOKUP(AJ$4,Preisindex,4,FALSE)/VLOOKUP(YEAR($F284),Preisindex,4,FALSE),2),IF(AND($E284&lt;&gt;0,$F284&gt;0,YEAR($F284)&gt;=Preisindex!$A$6,YEAR(AE$4)&gt;=YEAR($F284),$K284="k"),ROUND(VLOOKUP(AJ$4,Preisindex,2,FALSE)/VLOOKUP(YEAR($F284),Preisindex,2,FALSE),2),0)))))</f>
        <v>0</v>
      </c>
      <c r="AK284" s="56">
        <f>IF(AND($E284&lt;&gt;0,$F284&gt;0,YEAR($F284)&lt;Preisindex!$A$6,YEAR(AE$4)&gt;=YEAR($F284),AND($K284&lt;&gt;"a",$K284&lt;&gt;"b",$K284&lt;&gt;"g",$K284&lt;&gt;"k")),1,IF(AND($E284&lt;&gt;0,$F284&gt;0,YEAR($F284)&lt;Preisindex!$A$6,YEAR(AE$4)&gt;=YEAR($F284),$K284="a"),ROUND(VLOOKUP(AJ$4,Preisindex,5,FALSE)/VLOOKUP(Preisindex!$A$6,Preisindex,5,FALSE),2),IF(AND($E284&lt;&gt;0,$F284&gt;0,YEAR($F284)&lt;Preisindex!$A$6,YEAR(AE$4)&gt;=YEAR($F284),$K284="b"),ROUND(VLOOKUP(AJ$4,Preisindex,3,FALSE)/VLOOKUP(Preisindex!$A$6,Preisindex,3,FALSE),2),IF(AND($E284&lt;&gt;0,$F284&gt;0,YEAR($F284)&lt;Preisindex!$A$6,YEAR(AE$4)&gt;=YEAR($F284),$K284="g"),ROUND(VLOOKUP(AJ$4,Preisindex,4,FALSE)/VLOOKUP(Preisindex!$A$6,Preisindex,4,FALSE),2),IF(AND($E284&lt;&gt;0,$F284&gt;0,YEAR($F284)&lt;Preisindex!$A$6,YEAR(AE$4)&gt;=YEAR($F284),$K284="k"),ROUND(VLOOKUP(AJ$4,Preisindex,2,FALSE)/VLOOKUP(Preisindex!$A$6,Preisindex,2,FALSE),2),0)))))</f>
        <v>0</v>
      </c>
      <c r="AL284" s="51">
        <f>IF(AND($E284&lt;&gt;0,$F284&gt;0,YEAR($F284)&lt;=AJ$4,YEAR($F284)&gt;=Preisindex!$A$6),ROUND($E284*AJ284,2),IF(AND($E284&lt;&gt;0,$F284&gt;0,YEAR($F284)&lt;=AJ$4,YEAR($F284)&lt;Preisindex!$A$6),ROUND($E284*AK284,2),0))</f>
        <v>0</v>
      </c>
      <c r="AM284" s="53">
        <f t="shared" si="838"/>
        <v>0</v>
      </c>
      <c r="AN284" s="51">
        <f t="shared" si="839"/>
        <v>0</v>
      </c>
      <c r="AO284" s="51">
        <f t="shared" si="841"/>
        <v>0</v>
      </c>
      <c r="AP284" s="51">
        <f t="shared" si="755"/>
        <v>0</v>
      </c>
      <c r="AQ284" s="51">
        <f t="shared" si="842"/>
        <v>0</v>
      </c>
      <c r="AR284" s="51">
        <f t="shared" si="756"/>
        <v>0</v>
      </c>
      <c r="AS284" s="51">
        <f t="shared" si="843"/>
        <v>0</v>
      </c>
      <c r="AT284" s="51">
        <f t="shared" si="757"/>
        <v>0</v>
      </c>
      <c r="AU284" s="51">
        <f t="shared" si="844"/>
        <v>0</v>
      </c>
      <c r="AV284" s="51">
        <f t="shared" si="758"/>
        <v>0</v>
      </c>
      <c r="AW284" s="51">
        <f t="shared" si="845"/>
        <v>0</v>
      </c>
      <c r="AX284" s="51">
        <f t="shared" si="759"/>
        <v>0</v>
      </c>
      <c r="AY284" s="54">
        <f t="shared" si="760"/>
        <v>0</v>
      </c>
      <c r="AZ284" s="55">
        <f t="shared" si="761"/>
        <v>0</v>
      </c>
      <c r="BA284" s="56">
        <f>IF(AND($E284&lt;&gt;0,$F284&gt;0,YEAR($F284)&gt;=Preisindex!$A$6,YEAR(AV$4)&gt;=YEAR($F284),AND($K284&lt;&gt;"a",$K284&lt;&gt;"b",$K284&lt;&gt;"g",$K284&lt;&gt;"k")),1,IF(AND($E284&lt;&gt;0,$F284&gt;0,YEAR($F284)&gt;=Preisindex!$A$6,YEAR(AV$4)&gt;=YEAR($F284),$K284="a"),ROUND(VLOOKUP(BA$4,Preisindex,5,FALSE)/VLOOKUP(YEAR($F284),Preisindex,5,FALSE),2),IF(AND($E284&lt;&gt;0,$F284&gt;0,YEAR($F284)&gt;=Preisindex!$A$6,YEAR(AV$4)&gt;=YEAR($F284),$K284="b"),ROUND(VLOOKUP(BA$4,Preisindex,3,FALSE)/VLOOKUP(YEAR($F284),Preisindex,3,FALSE),2),IF(AND($E284&lt;&gt;0,$F284&gt;0,YEAR($F284)&gt;=Preisindex!$A$6,YEAR(AV$4)&gt;=YEAR($F284),$K284="g"),ROUND(VLOOKUP(BA$4,Preisindex,4,FALSE)/VLOOKUP(YEAR($F284),Preisindex,4,FALSE),2),IF(AND($E284&lt;&gt;0,$F284&gt;0,YEAR($F284)&gt;=Preisindex!$A$6,YEAR(AV$4)&gt;=YEAR($F284),$K284="k"),ROUND(VLOOKUP(BA$4,Preisindex,2,FALSE)/VLOOKUP(YEAR($F284),Preisindex,2,FALSE),2),0)))))</f>
        <v>0</v>
      </c>
      <c r="BB284" s="56">
        <f>IF(AND($E284&lt;&gt;0,$F284&gt;0,YEAR($F284)&lt;Preisindex!$A$6,YEAR(AV$4)&gt;=YEAR($F284),AND($K284&lt;&gt;"a",$K284&lt;&gt;"b",$K284&lt;&gt;"g",$K284&lt;&gt;"k")),1,IF(AND($E284&lt;&gt;0,$F284&gt;0,YEAR($F284)&lt;Preisindex!$A$6,YEAR(AV$4)&gt;=YEAR($F284),$K284="a"),ROUND(VLOOKUP(BA$4,Preisindex,5,FALSE)/VLOOKUP(Preisindex!$A$6,Preisindex,5,FALSE),2),IF(AND($E284&lt;&gt;0,$F284&gt;0,YEAR($F284)&lt;Preisindex!$A$6,YEAR(AV$4)&gt;=YEAR($F284),$K284="b"),ROUND(VLOOKUP(BA$4,Preisindex,3,FALSE)/VLOOKUP(Preisindex!$A$6,Preisindex,3,FALSE),2),IF(AND($E284&lt;&gt;0,$F284&gt;0,YEAR($F284)&lt;Preisindex!$A$6,YEAR(AV$4)&gt;=YEAR($F284),$K284="g"),ROUND(VLOOKUP(BA$4,Preisindex,4,FALSE)/VLOOKUP(Preisindex!$A$6,Preisindex,4,FALSE),2),IF(AND($E284&lt;&gt;0,$F284&gt;0,YEAR($F284)&lt;Preisindex!$A$6,YEAR(AV$4)&gt;=YEAR($F284),$K284="k"),ROUND(VLOOKUP(BA$4,Preisindex,2,FALSE)/VLOOKUP(Preisindex!$A$6,Preisindex,2,FALSE),2),0)))))</f>
        <v>0</v>
      </c>
      <c r="BC284" s="51">
        <f>IF(AND($E284&lt;&gt;0,$F284&gt;0,YEAR($F284)&lt;=BA$4,YEAR($F284)&gt;=Preisindex!$A$6),ROUND($E284*BA284,2),IF(AND($E284&lt;&gt;0,$F284&gt;0,YEAR($F284)&lt;=BA$4,YEAR($F284)&lt;Preisindex!$A$6),ROUND($E284*BB284,2),0))</f>
        <v>0</v>
      </c>
      <c r="BD284" s="53">
        <f t="shared" si="762"/>
        <v>0</v>
      </c>
      <c r="BE284" s="51">
        <f t="shared" si="839"/>
        <v>0</v>
      </c>
      <c r="BF284" s="51">
        <f t="shared" si="846"/>
        <v>0</v>
      </c>
      <c r="BG284" s="51">
        <f t="shared" si="763"/>
        <v>0</v>
      </c>
      <c r="BH284" s="51">
        <f t="shared" si="847"/>
        <v>0</v>
      </c>
      <c r="BI284" s="51">
        <f t="shared" si="764"/>
        <v>0</v>
      </c>
      <c r="BJ284" s="51">
        <f t="shared" si="848"/>
        <v>0</v>
      </c>
      <c r="BK284" s="51">
        <f t="shared" si="765"/>
        <v>0</v>
      </c>
      <c r="BL284" s="51">
        <f t="shared" si="849"/>
        <v>0</v>
      </c>
      <c r="BM284" s="51">
        <f t="shared" si="766"/>
        <v>0</v>
      </c>
      <c r="BN284" s="51">
        <f t="shared" si="850"/>
        <v>0</v>
      </c>
      <c r="BO284" s="51">
        <f t="shared" si="767"/>
        <v>0</v>
      </c>
      <c r="BP284" s="54">
        <f t="shared" si="768"/>
        <v>0</v>
      </c>
      <c r="BQ284" s="55">
        <f t="shared" si="769"/>
        <v>0</v>
      </c>
      <c r="BR284" s="56">
        <f>IF(AND($E284&lt;&gt;0,$F284&gt;0,YEAR($F284)&gt;=Preisindex!$A$6,YEAR(BM$4)&gt;=YEAR($F284),AND($K284&lt;&gt;"a",$K284&lt;&gt;"b",$K284&lt;&gt;"g",$K284&lt;&gt;"k")),1,IF(AND($E284&lt;&gt;0,$F284&gt;0,YEAR($F284)&gt;=Preisindex!$A$6,YEAR(BM$4)&gt;=YEAR($F284),$K284="a"),ROUND(VLOOKUP(BR$4,Preisindex,5,FALSE)/VLOOKUP(YEAR($F284),Preisindex,5,FALSE),2),IF(AND($E284&lt;&gt;0,$F284&gt;0,YEAR($F284)&gt;=Preisindex!$A$6,YEAR(BM$4)&gt;=YEAR($F284),$K284="b"),ROUND(VLOOKUP(BR$4,Preisindex,3,FALSE)/VLOOKUP(YEAR($F284),Preisindex,3,FALSE),2),IF(AND($E284&lt;&gt;0,$F284&gt;0,YEAR($F284)&gt;=Preisindex!$A$6,YEAR(BM$4)&gt;=YEAR($F284),$K284="g"),ROUND(VLOOKUP(BR$4,Preisindex,4,FALSE)/VLOOKUP(YEAR($F284),Preisindex,4,FALSE),2),IF(AND($E284&lt;&gt;0,$F284&gt;0,YEAR($F284)&gt;=Preisindex!$A$6,YEAR(BM$4)&gt;=YEAR($F284),$K284="k"),ROUND(VLOOKUP(BR$4,Preisindex,2,FALSE)/VLOOKUP(YEAR($F284),Preisindex,2,FALSE),2),0)))))</f>
        <v>0</v>
      </c>
      <c r="BS284" s="56">
        <f>IF(AND($E284&lt;&gt;0,$F284&gt;0,YEAR($F284)&lt;Preisindex!$A$6,YEAR(BM$4)&gt;=YEAR($F284),AND($K284&lt;&gt;"a",$K284&lt;&gt;"b",$K284&lt;&gt;"g",$K284&lt;&gt;"k")),1,IF(AND($E284&lt;&gt;0,$F284&gt;0,YEAR($F284)&lt;Preisindex!$A$6,YEAR(BM$4)&gt;=YEAR($F284),$K284="a"),ROUND(VLOOKUP(BR$4,Preisindex,5,FALSE)/VLOOKUP(Preisindex!$A$6,Preisindex,5,FALSE),2),IF(AND($E284&lt;&gt;0,$F284&gt;0,YEAR($F284)&lt;Preisindex!$A$6,YEAR(BM$4)&gt;=YEAR($F284),$K284="b"),ROUND(VLOOKUP(BR$4,Preisindex,3,FALSE)/VLOOKUP(Preisindex!$A$6,Preisindex,3,FALSE),2),IF(AND($E284&lt;&gt;0,$F284&gt;0,YEAR($F284)&lt;Preisindex!$A$6,YEAR(BM$4)&gt;=YEAR($F284),$K284="g"),ROUND(VLOOKUP(BR$4,Preisindex,4,FALSE)/VLOOKUP(Preisindex!$A$6,Preisindex,4,FALSE),2),IF(AND($E284&lt;&gt;0,$F284&gt;0,YEAR($F284)&lt;Preisindex!$A$6,YEAR(BM$4)&gt;=YEAR($F284),$K284="k"),ROUND(VLOOKUP(BR$4,Preisindex,2,FALSE)/VLOOKUP(Preisindex!$A$6,Preisindex,2,FALSE),2),0)))))</f>
        <v>0</v>
      </c>
      <c r="BT284" s="51">
        <f>IF(AND($E284&lt;&gt;0,$F284&gt;0,YEAR($F284)&lt;=BR$4,YEAR($F284)&gt;=Preisindex!$A$6),ROUND($E284*BR284,2),IF(AND($E284&lt;&gt;0,$F284&gt;0,YEAR($F284)&lt;=BR$4,YEAR($F284)&lt;Preisindex!$A$6),ROUND($E284*BS284,2),0))</f>
        <v>0</v>
      </c>
      <c r="BU284" s="53">
        <f t="shared" si="770"/>
        <v>0</v>
      </c>
      <c r="BV284" s="51">
        <f t="shared" si="839"/>
        <v>0</v>
      </c>
      <c r="BW284" s="51">
        <f t="shared" si="851"/>
        <v>0</v>
      </c>
      <c r="BX284" s="51">
        <f t="shared" si="771"/>
        <v>0</v>
      </c>
      <c r="BY284" s="51">
        <f t="shared" si="852"/>
        <v>0</v>
      </c>
      <c r="BZ284" s="51">
        <f t="shared" si="772"/>
        <v>0</v>
      </c>
      <c r="CA284" s="51">
        <f t="shared" si="853"/>
        <v>0</v>
      </c>
      <c r="CB284" s="51">
        <f t="shared" si="773"/>
        <v>0</v>
      </c>
      <c r="CC284" s="51">
        <f t="shared" si="854"/>
        <v>0</v>
      </c>
      <c r="CD284" s="51">
        <f t="shared" si="774"/>
        <v>0</v>
      </c>
      <c r="CE284" s="51">
        <f t="shared" si="855"/>
        <v>0</v>
      </c>
      <c r="CF284" s="51">
        <f t="shared" si="775"/>
        <v>0</v>
      </c>
      <c r="CG284" s="54">
        <f t="shared" si="776"/>
        <v>0</v>
      </c>
      <c r="CH284" s="55">
        <f t="shared" si="777"/>
        <v>0</v>
      </c>
      <c r="CI284" s="56">
        <f>IF(AND($E284&lt;&gt;0,$F284&gt;0,YEAR($F284)&gt;=Preisindex!$A$6,YEAR(CD$4)&gt;=YEAR($F284),AND($K284&lt;&gt;"a",$K284&lt;&gt;"b",$K284&lt;&gt;"g",$K284&lt;&gt;"k")),1,IF(AND($E284&lt;&gt;0,$F284&gt;0,YEAR($F284)&gt;=Preisindex!$A$6,YEAR(CD$4)&gt;=YEAR($F284),$K284="a"),ROUND(VLOOKUP(CI$4,Preisindex,5,FALSE)/VLOOKUP(YEAR($F284),Preisindex,5,FALSE),2),IF(AND($E284&lt;&gt;0,$F284&gt;0,YEAR($F284)&gt;=Preisindex!$A$6,YEAR(CD$4)&gt;=YEAR($F284),$K284="b"),ROUND(VLOOKUP(CI$4,Preisindex,3,FALSE)/VLOOKUP(YEAR($F284),Preisindex,3,FALSE),2),IF(AND($E284&lt;&gt;0,$F284&gt;0,YEAR($F284)&gt;=Preisindex!$A$6,YEAR(CD$4)&gt;=YEAR($F284),$K284="g"),ROUND(VLOOKUP(CI$4,Preisindex,4,FALSE)/VLOOKUP(YEAR($F284),Preisindex,4,FALSE),2),IF(AND($E284&lt;&gt;0,$F284&gt;0,YEAR($F284)&gt;=Preisindex!$A$6,YEAR(CD$4)&gt;=YEAR($F284),$K284="k"),ROUND(VLOOKUP(CI$4,Preisindex,2,FALSE)/VLOOKUP(YEAR($F284),Preisindex,2,FALSE),2),0)))))</f>
        <v>0</v>
      </c>
      <c r="CJ284" s="56">
        <f>IF(AND($E284&lt;&gt;0,$F284&gt;0,YEAR($F284)&lt;Preisindex!$A$6,YEAR(CD$4)&gt;=YEAR($F284),AND($K284&lt;&gt;"a",$K284&lt;&gt;"b",$K284&lt;&gt;"g",$K284&lt;&gt;"k")),1,IF(AND($E284&lt;&gt;0,$F284&gt;0,YEAR($F284)&lt;Preisindex!$A$6,YEAR(CD$4)&gt;=YEAR($F284),$K284="a"),ROUND(VLOOKUP(CI$4,Preisindex,5,FALSE)/VLOOKUP(Preisindex!$A$6,Preisindex,5,FALSE),2),IF(AND($E284&lt;&gt;0,$F284&gt;0,YEAR($F284)&lt;Preisindex!$A$6,YEAR(CD$4)&gt;=YEAR($F284),$K284="b"),ROUND(VLOOKUP(CI$4,Preisindex,3,FALSE)/VLOOKUP(Preisindex!$A$6,Preisindex,3,FALSE),2),IF(AND($E284&lt;&gt;0,$F284&gt;0,YEAR($F284)&lt;Preisindex!$A$6,YEAR(CD$4)&gt;=YEAR($F284),$K284="g"),ROUND(VLOOKUP(CI$4,Preisindex,4,FALSE)/VLOOKUP(Preisindex!$A$6,Preisindex,4,FALSE),2),IF(AND($E284&lt;&gt;0,$F284&gt;0,YEAR($F284)&lt;Preisindex!$A$6,YEAR(CD$4)&gt;=YEAR($F284),$K284="k"),ROUND(VLOOKUP(CI$4,Preisindex,2,FALSE)/VLOOKUP(Preisindex!$A$6,Preisindex,2,FALSE),2),0)))))</f>
        <v>0</v>
      </c>
      <c r="CK284" s="51">
        <f>IF(AND($E284&lt;&gt;0,$F284&gt;0,YEAR($F284)&lt;=CI$4,YEAR($F284)&gt;=Preisindex!$A$6),ROUND($E284*CI284,2),IF(AND($E284&lt;&gt;0,$F284&gt;0,YEAR($F284)&lt;=CI$4,YEAR($F284)&lt;Preisindex!$A$6),ROUND($E284*CJ284,2),0))</f>
        <v>0</v>
      </c>
      <c r="CL284" s="53">
        <f t="shared" si="778"/>
        <v>0</v>
      </c>
      <c r="CM284" s="51">
        <f t="shared" si="839"/>
        <v>0</v>
      </c>
      <c r="CN284" s="51">
        <f t="shared" si="856"/>
        <v>0</v>
      </c>
      <c r="CO284" s="51">
        <f t="shared" si="779"/>
        <v>0</v>
      </c>
      <c r="CP284" s="51">
        <f t="shared" si="857"/>
        <v>0</v>
      </c>
      <c r="CQ284" s="51">
        <f t="shared" si="780"/>
        <v>0</v>
      </c>
      <c r="CR284" s="51">
        <f t="shared" si="858"/>
        <v>0</v>
      </c>
      <c r="CS284" s="51">
        <f t="shared" si="781"/>
        <v>0</v>
      </c>
      <c r="CT284" s="51">
        <f t="shared" si="859"/>
        <v>0</v>
      </c>
      <c r="CU284" s="51">
        <f t="shared" si="782"/>
        <v>0</v>
      </c>
      <c r="CV284" s="51">
        <f t="shared" si="860"/>
        <v>0</v>
      </c>
      <c r="CW284" s="51">
        <f t="shared" si="783"/>
        <v>0</v>
      </c>
      <c r="CX284" s="54">
        <f t="shared" si="784"/>
        <v>0</v>
      </c>
      <c r="CY284" s="55">
        <f t="shared" si="785"/>
        <v>0</v>
      </c>
      <c r="CZ284" s="56">
        <f>IF(AND($E284&lt;&gt;0,$F284&gt;0,YEAR($F284)&gt;=Preisindex!$A$6,YEAR(CU$4)&gt;=YEAR($F284),AND($K284&lt;&gt;"a",$K284&lt;&gt;"b",$K284&lt;&gt;"g",$K284&lt;&gt;"k")),1,IF(AND($E284&lt;&gt;0,$F284&gt;0,YEAR($F284)&gt;=Preisindex!$A$6,YEAR(CU$4)&gt;=YEAR($F284),$K284="a"),ROUND(VLOOKUP(CZ$4,Preisindex,5,FALSE)/VLOOKUP(YEAR($F284),Preisindex,5,FALSE),2),IF(AND($E284&lt;&gt;0,$F284&gt;0,YEAR($F284)&gt;=Preisindex!$A$6,YEAR(CU$4)&gt;=YEAR($F284),$K284="b"),ROUND(VLOOKUP(CZ$4,Preisindex,3,FALSE)/VLOOKUP(YEAR($F284),Preisindex,3,FALSE),2),IF(AND($E284&lt;&gt;0,$F284&gt;0,YEAR($F284)&gt;=Preisindex!$A$6,YEAR(CU$4)&gt;=YEAR($F284),$K284="g"),ROUND(VLOOKUP(CZ$4,Preisindex,4,FALSE)/VLOOKUP(YEAR($F284),Preisindex,4,FALSE),2),IF(AND($E284&lt;&gt;0,$F284&gt;0,YEAR($F284)&gt;=Preisindex!$A$6,YEAR(CU$4)&gt;=YEAR($F284),$K284="k"),ROUND(VLOOKUP(CZ$4,Preisindex,2,FALSE)/VLOOKUP(YEAR($F284),Preisindex,2,FALSE),2),0)))))</f>
        <v>0</v>
      </c>
      <c r="DA284" s="56">
        <f>IF(AND($E284&lt;&gt;0,$F284&gt;0,YEAR($F284)&lt;Preisindex!$A$6,YEAR(CU$4)&gt;=YEAR($F284),AND($K284&lt;&gt;"a",$K284&lt;&gt;"b",$K284&lt;&gt;"g",$K284&lt;&gt;"k")),1,IF(AND($E284&lt;&gt;0,$F284&gt;0,YEAR($F284)&lt;Preisindex!$A$6,YEAR(CU$4)&gt;=YEAR($F284),$K284="a"),ROUND(VLOOKUP(CZ$4,Preisindex,5,FALSE)/VLOOKUP(Preisindex!$A$6,Preisindex,5,FALSE),2),IF(AND($E284&lt;&gt;0,$F284&gt;0,YEAR($F284)&lt;Preisindex!$A$6,YEAR(CU$4)&gt;=YEAR($F284),$K284="b"),ROUND(VLOOKUP(CZ$4,Preisindex,3,FALSE)/VLOOKUP(Preisindex!$A$6,Preisindex,3,FALSE),2),IF(AND($E284&lt;&gt;0,$F284&gt;0,YEAR($F284)&lt;Preisindex!$A$6,YEAR(CU$4)&gt;=YEAR($F284),$K284="g"),ROUND(VLOOKUP(CZ$4,Preisindex,4,FALSE)/VLOOKUP(Preisindex!$A$6,Preisindex,4,FALSE),2),IF(AND($E284&lt;&gt;0,$F284&gt;0,YEAR($F284)&lt;Preisindex!$A$6,YEAR(CU$4)&gt;=YEAR($F284),$K284="k"),ROUND(VLOOKUP(CZ$4,Preisindex,2,FALSE)/VLOOKUP(Preisindex!$A$6,Preisindex,2,FALSE),2),0)))))</f>
        <v>0</v>
      </c>
      <c r="DB284" s="51">
        <f>IF(AND($E284&lt;&gt;0,$F284&gt;0,YEAR($F284)&lt;=CZ$4,YEAR($F284)&gt;=Preisindex!$A$6),ROUND($E284*CZ284,2),IF(AND($E284&lt;&gt;0,$F284&gt;0,YEAR($F284)&lt;=CZ$4,YEAR($F284)&lt;Preisindex!$A$6),ROUND($E284*DA284,2),0))</f>
        <v>0</v>
      </c>
      <c r="DC284" s="53">
        <f t="shared" si="786"/>
        <v>0</v>
      </c>
      <c r="DD284" s="51">
        <f t="shared" si="840"/>
        <v>0</v>
      </c>
      <c r="DE284" s="51">
        <f t="shared" si="861"/>
        <v>0</v>
      </c>
      <c r="DF284" s="51">
        <f t="shared" si="788"/>
        <v>0</v>
      </c>
      <c r="DG284" s="51">
        <f t="shared" si="862"/>
        <v>0</v>
      </c>
      <c r="DH284" s="51">
        <f t="shared" si="789"/>
        <v>0</v>
      </c>
      <c r="DI284" s="51">
        <f t="shared" si="863"/>
        <v>0</v>
      </c>
      <c r="DJ284" s="51">
        <f t="shared" si="790"/>
        <v>0</v>
      </c>
      <c r="DK284" s="51">
        <f t="shared" si="864"/>
        <v>0</v>
      </c>
      <c r="DL284" s="51">
        <f t="shared" si="791"/>
        <v>0</v>
      </c>
      <c r="DM284" s="51">
        <f t="shared" si="865"/>
        <v>0</v>
      </c>
      <c r="DN284" s="51">
        <f t="shared" si="792"/>
        <v>0</v>
      </c>
      <c r="DO284" s="54">
        <f t="shared" si="793"/>
        <v>0</v>
      </c>
      <c r="DP284" s="55">
        <f t="shared" si="794"/>
        <v>0</v>
      </c>
      <c r="DQ284" s="56">
        <f>IF(AND($E284&lt;&gt;0,$F284&gt;0,YEAR($F284)&gt;=Preisindex!$A$6,YEAR(DL$4)&gt;=YEAR($F284),AND($K284&lt;&gt;"a",$K284&lt;&gt;"b",$K284&lt;&gt;"g",$K284&lt;&gt;"k")),1,IF(AND($E284&lt;&gt;0,$F284&gt;0,YEAR($F284)&gt;=Preisindex!$A$6,YEAR(DL$4)&gt;=YEAR($F284),$K284="a"),ROUND(VLOOKUP(DQ$4,Preisindex,5,FALSE)/VLOOKUP(YEAR($F284),Preisindex,5,FALSE),2),IF(AND($E284&lt;&gt;0,$F284&gt;0,YEAR($F284)&gt;=Preisindex!$A$6,YEAR(DL$4)&gt;=YEAR($F284),$K284="b"),ROUND(VLOOKUP(DQ$4,Preisindex,3,FALSE)/VLOOKUP(YEAR($F284),Preisindex,3,FALSE),2),IF(AND($E284&lt;&gt;0,$F284&gt;0,YEAR($F284)&gt;=Preisindex!$A$6,YEAR(DL$4)&gt;=YEAR($F284),$K284="g"),ROUND(VLOOKUP(DQ$4,Preisindex,4,FALSE)/VLOOKUP(YEAR($F284),Preisindex,4,FALSE),2),IF(AND($E284&lt;&gt;0,$F284&gt;0,YEAR($F284)&gt;=Preisindex!$A$6,YEAR(DL$4)&gt;=YEAR($F284),$K284="k"),ROUND(VLOOKUP(DQ$4,Preisindex,2,FALSE)/VLOOKUP(YEAR($F284),Preisindex,2,FALSE),2),0)))))</f>
        <v>0</v>
      </c>
      <c r="DR284" s="56">
        <f>IF(AND($E284&lt;&gt;0,$F284&gt;0,YEAR($F284)&lt;Preisindex!$A$6,YEAR(DL$4)&gt;=YEAR($F284),AND($K284&lt;&gt;"a",$K284&lt;&gt;"b",$K284&lt;&gt;"g",$K284&lt;&gt;"k")),1,IF(AND($E284&lt;&gt;0,$F284&gt;0,YEAR($F284)&lt;Preisindex!$A$6,YEAR(DL$4)&gt;=YEAR($F284),$K284="a"),ROUND(VLOOKUP(DQ$4,Preisindex,5,FALSE)/VLOOKUP(Preisindex!$A$6,Preisindex,5,FALSE),2),IF(AND($E284&lt;&gt;0,$F284&gt;0,YEAR($F284)&lt;Preisindex!$A$6,YEAR(DL$4)&gt;=YEAR($F284),$K284="b"),ROUND(VLOOKUP(DQ$4,Preisindex,3,FALSE)/VLOOKUP(Preisindex!$A$6,Preisindex,3,FALSE),2),IF(AND($E284&lt;&gt;0,$F284&gt;0,YEAR($F284)&lt;Preisindex!$A$6,YEAR(DL$4)&gt;=YEAR($F284),$K284="g"),ROUND(VLOOKUP(DQ$4,Preisindex,4,FALSE)/VLOOKUP(Preisindex!$A$6,Preisindex,4,FALSE),2),IF(AND($E284&lt;&gt;0,$F284&gt;0,YEAR($F284)&lt;Preisindex!$A$6,YEAR(DL$4)&gt;=YEAR($F284),$K284="k"),ROUND(VLOOKUP(DQ$4,Preisindex,2,FALSE)/VLOOKUP(Preisindex!$A$6,Preisindex,2,FALSE),2),0)))))</f>
        <v>0</v>
      </c>
      <c r="DS284" s="51">
        <f>IF(AND($E284&lt;&gt;0,$F284&gt;0,YEAR($F284)&lt;=DQ$4,YEAR($F284)&gt;=Preisindex!$A$6),ROUND($E284*DQ284,2),IF(AND($E284&lt;&gt;0,$F284&gt;0,YEAR($F284)&lt;=DQ$4,YEAR($F284)&lt;Preisindex!$A$6),ROUND($E284*DR284,2),0))</f>
        <v>0</v>
      </c>
      <c r="DT284" s="53">
        <f t="shared" si="795"/>
        <v>0</v>
      </c>
      <c r="DU284" s="51">
        <f t="shared" si="840"/>
        <v>0</v>
      </c>
      <c r="DV284" s="51">
        <f t="shared" si="866"/>
        <v>0</v>
      </c>
      <c r="DW284" s="51">
        <f t="shared" si="796"/>
        <v>0</v>
      </c>
      <c r="DX284" s="51">
        <f t="shared" si="867"/>
        <v>0</v>
      </c>
      <c r="DY284" s="51">
        <f t="shared" si="797"/>
        <v>0</v>
      </c>
      <c r="DZ284" s="51">
        <f t="shared" si="868"/>
        <v>0</v>
      </c>
      <c r="EA284" s="51">
        <f t="shared" si="798"/>
        <v>0</v>
      </c>
      <c r="EB284" s="51">
        <f t="shared" si="869"/>
        <v>0</v>
      </c>
      <c r="EC284" s="51">
        <f t="shared" si="799"/>
        <v>0</v>
      </c>
      <c r="ED284" s="51">
        <f t="shared" si="870"/>
        <v>0</v>
      </c>
      <c r="EE284" s="51">
        <f t="shared" si="800"/>
        <v>0</v>
      </c>
      <c r="EF284" s="54">
        <f t="shared" si="801"/>
        <v>0</v>
      </c>
      <c r="EG284" s="55">
        <f t="shared" si="802"/>
        <v>0</v>
      </c>
      <c r="EH284" s="56">
        <f>IF(AND($E284&lt;&gt;0,$F284&gt;0,YEAR($F284)&gt;=Preisindex!$A$6,YEAR(EC$4)&gt;=YEAR($F284),AND($K284&lt;&gt;"a",$K284&lt;&gt;"b",$K284&lt;&gt;"g",$K284&lt;&gt;"k")),1,IF(AND($E284&lt;&gt;0,$F284&gt;0,YEAR($F284)&gt;=Preisindex!$A$6,YEAR(EC$4)&gt;=YEAR($F284),$K284="a"),ROUND(VLOOKUP(EH$4,Preisindex,5,FALSE)/VLOOKUP(YEAR($F284),Preisindex,5,FALSE),2),IF(AND($E284&lt;&gt;0,$F284&gt;0,YEAR($F284)&gt;=Preisindex!$A$6,YEAR(EC$4)&gt;=YEAR($F284),$K284="b"),ROUND(VLOOKUP(EH$4,Preisindex,3,FALSE)/VLOOKUP(YEAR($F284),Preisindex,3,FALSE),2),IF(AND($E284&lt;&gt;0,$F284&gt;0,YEAR($F284)&gt;=Preisindex!$A$6,YEAR(EC$4)&gt;=YEAR($F284),$K284="g"),ROUND(VLOOKUP(EH$4,Preisindex,4,FALSE)/VLOOKUP(YEAR($F284),Preisindex,4,FALSE),2),IF(AND($E284&lt;&gt;0,$F284&gt;0,YEAR($F284)&gt;=Preisindex!$A$6,YEAR(EC$4)&gt;=YEAR($F284),$K284="k"),ROUND(VLOOKUP(EH$4,Preisindex,2,FALSE)/VLOOKUP(YEAR($F284),Preisindex,2,FALSE),2),0)))))</f>
        <v>0</v>
      </c>
      <c r="EI284" s="56">
        <f>IF(AND($E284&lt;&gt;0,$F284&gt;0,YEAR($F284)&lt;Preisindex!$A$6,YEAR(EC$4)&gt;=YEAR($F284),AND($K284&lt;&gt;"a",$K284&lt;&gt;"b",$K284&lt;&gt;"g",$K284&lt;&gt;"k")),1,IF(AND($E284&lt;&gt;0,$F284&gt;0,YEAR($F284)&lt;Preisindex!$A$6,YEAR(EC$4)&gt;=YEAR($F284),$K284="a"),ROUND(VLOOKUP(EH$4,Preisindex,5,FALSE)/VLOOKUP(Preisindex!$A$6,Preisindex,5,FALSE),2),IF(AND($E284&lt;&gt;0,$F284&gt;0,YEAR($F284)&lt;Preisindex!$A$6,YEAR(EC$4)&gt;=YEAR($F284),$K284="b"),ROUND(VLOOKUP(EH$4,Preisindex,3,FALSE)/VLOOKUP(Preisindex!$A$6,Preisindex,3,FALSE),2),IF(AND($E284&lt;&gt;0,$F284&gt;0,YEAR($F284)&lt;Preisindex!$A$6,YEAR(EC$4)&gt;=YEAR($F284),$K284="g"),ROUND(VLOOKUP(EH$4,Preisindex,4,FALSE)/VLOOKUP(Preisindex!$A$6,Preisindex,4,FALSE),2),IF(AND($E284&lt;&gt;0,$F284&gt;0,YEAR($F284)&lt;Preisindex!$A$6,YEAR(EC$4)&gt;=YEAR($F284),$K284="k"),ROUND(VLOOKUP(EH$4,Preisindex,2,FALSE)/VLOOKUP(Preisindex!$A$6,Preisindex,2,FALSE),2),0)))))</f>
        <v>0</v>
      </c>
      <c r="EJ284" s="51">
        <f>IF(AND($E284&lt;&gt;0,$F284&gt;0,YEAR($F284)&lt;=EH$4,YEAR($F284)&gt;=Preisindex!$A$6),ROUND($E284*EH284,2),IF(AND($E284&lt;&gt;0,$F284&gt;0,YEAR($F284)&lt;=EH$4,YEAR($F284)&lt;Preisindex!$A$6),ROUND($E284*EI284,2),0))</f>
        <v>0</v>
      </c>
      <c r="EK284" s="53">
        <f t="shared" si="803"/>
        <v>0</v>
      </c>
      <c r="EL284" s="51">
        <f t="shared" si="840"/>
        <v>0</v>
      </c>
      <c r="EM284" s="51">
        <f t="shared" si="871"/>
        <v>0</v>
      </c>
      <c r="EN284" s="51">
        <f t="shared" si="804"/>
        <v>0</v>
      </c>
      <c r="EO284" s="51">
        <f t="shared" si="872"/>
        <v>0</v>
      </c>
      <c r="EP284" s="51">
        <f t="shared" si="805"/>
        <v>0</v>
      </c>
      <c r="EQ284" s="51">
        <f t="shared" si="873"/>
        <v>0</v>
      </c>
      <c r="ER284" s="51">
        <f t="shared" si="806"/>
        <v>0</v>
      </c>
      <c r="ES284" s="51">
        <f t="shared" si="874"/>
        <v>0</v>
      </c>
      <c r="ET284" s="51">
        <f t="shared" si="807"/>
        <v>0</v>
      </c>
      <c r="EU284" s="51">
        <f t="shared" si="875"/>
        <v>0</v>
      </c>
      <c r="EV284" s="51">
        <f t="shared" si="808"/>
        <v>0</v>
      </c>
      <c r="EW284" s="54">
        <f t="shared" si="809"/>
        <v>0</v>
      </c>
      <c r="EX284" s="55">
        <f t="shared" si="810"/>
        <v>0</v>
      </c>
      <c r="EY284" s="56">
        <f>IF(AND($E284&lt;&gt;0,$F284&gt;0,YEAR($F284)&gt;=Preisindex!$A$6,YEAR(ET$4)&gt;=YEAR($F284),AND($K284&lt;&gt;"a",$K284&lt;&gt;"b",$K284&lt;&gt;"g",$K284&lt;&gt;"k")),1,IF(AND($E284&lt;&gt;0,$F284&gt;0,YEAR($F284)&gt;=Preisindex!$A$6,YEAR(ET$4)&gt;=YEAR($F284),$K284="a"),ROUND(VLOOKUP(EY$4,Preisindex,5,FALSE)/VLOOKUP(YEAR($F284),Preisindex,5,FALSE),2),IF(AND($E284&lt;&gt;0,$F284&gt;0,YEAR($F284)&gt;=Preisindex!$A$6,YEAR(ET$4)&gt;=YEAR($F284),$K284="b"),ROUND(VLOOKUP(EY$4,Preisindex,3,FALSE)/VLOOKUP(YEAR($F284),Preisindex,3,FALSE),2),IF(AND($E284&lt;&gt;0,$F284&gt;0,YEAR($F284)&gt;=Preisindex!$A$6,YEAR(ET$4)&gt;=YEAR($F284),$K284="g"),ROUND(VLOOKUP(EY$4,Preisindex,4,FALSE)/VLOOKUP(YEAR($F284),Preisindex,4,FALSE),2),IF(AND($E284&lt;&gt;0,$F284&gt;0,YEAR($F284)&gt;=Preisindex!$A$6,YEAR(ET$4)&gt;=YEAR($F284),$K284="k"),ROUND(VLOOKUP(EY$4,Preisindex,2,FALSE)/VLOOKUP(YEAR($F284),Preisindex,2,FALSE),2),0)))))</f>
        <v>0</v>
      </c>
      <c r="EZ284" s="56">
        <f>IF(AND($E284&lt;&gt;0,$F284&gt;0,YEAR($F284)&lt;Preisindex!$A$6,YEAR(ET$4)&gt;=YEAR($F284),AND($K284&lt;&gt;"a",$K284&lt;&gt;"b",$K284&lt;&gt;"g",$K284&lt;&gt;"k")),1,IF(AND($E284&lt;&gt;0,$F284&gt;0,YEAR($F284)&lt;Preisindex!$A$6,YEAR(ET$4)&gt;=YEAR($F284),$K284="a"),ROUND(VLOOKUP(EY$4,Preisindex,5,FALSE)/VLOOKUP(Preisindex!$A$6,Preisindex,5,FALSE),2),IF(AND($E284&lt;&gt;0,$F284&gt;0,YEAR($F284)&lt;Preisindex!$A$6,YEAR(ET$4)&gt;=YEAR($F284),$K284="b"),ROUND(VLOOKUP(EY$4,Preisindex,3,FALSE)/VLOOKUP(Preisindex!$A$6,Preisindex,3,FALSE),2),IF(AND($E284&lt;&gt;0,$F284&gt;0,YEAR($F284)&lt;Preisindex!$A$6,YEAR(ET$4)&gt;=YEAR($F284),$K284="g"),ROUND(VLOOKUP(EY$4,Preisindex,4,FALSE)/VLOOKUP(Preisindex!$A$6,Preisindex,4,FALSE),2),IF(AND($E284&lt;&gt;0,$F284&gt;0,YEAR($F284)&lt;Preisindex!$A$6,YEAR(ET$4)&gt;=YEAR($F284),$K284="k"),ROUND(VLOOKUP(EY$4,Preisindex,2,FALSE)/VLOOKUP(Preisindex!$A$6,Preisindex,2,FALSE),2),0)))))</f>
        <v>0</v>
      </c>
      <c r="FA284" s="51">
        <f>IF(AND($E284&lt;&gt;0,$F284&gt;0,YEAR($F284)&lt;=EY$4,YEAR($F284)&gt;=Preisindex!$A$6),ROUND($E284*EY284,2),IF(AND($E284&lt;&gt;0,$F284&gt;0,YEAR($F284)&lt;=EY$4,YEAR($F284)&lt;Preisindex!$A$6),ROUND($E284*EZ284,2),0))</f>
        <v>0</v>
      </c>
      <c r="FB284" s="53">
        <f t="shared" si="811"/>
        <v>0</v>
      </c>
      <c r="FC284" s="51">
        <f t="shared" si="840"/>
        <v>0</v>
      </c>
      <c r="FD284" s="51">
        <f t="shared" si="876"/>
        <v>0</v>
      </c>
      <c r="FE284" s="51">
        <f t="shared" si="812"/>
        <v>0</v>
      </c>
      <c r="FF284" s="51">
        <f t="shared" si="877"/>
        <v>0</v>
      </c>
      <c r="FG284" s="51">
        <f t="shared" si="813"/>
        <v>0</v>
      </c>
      <c r="FH284" s="51">
        <f t="shared" si="878"/>
        <v>0</v>
      </c>
      <c r="FI284" s="51">
        <f t="shared" si="814"/>
        <v>0</v>
      </c>
      <c r="FJ284" s="51">
        <f t="shared" si="879"/>
        <v>0</v>
      </c>
      <c r="FK284" s="51">
        <f t="shared" si="815"/>
        <v>0</v>
      </c>
      <c r="FL284" s="51">
        <f t="shared" si="880"/>
        <v>0</v>
      </c>
      <c r="FM284" s="51">
        <f t="shared" si="816"/>
        <v>0</v>
      </c>
      <c r="FN284" s="54">
        <f t="shared" si="817"/>
        <v>0</v>
      </c>
      <c r="FO284" s="55">
        <f t="shared" si="818"/>
        <v>0</v>
      </c>
      <c r="FP284" s="56">
        <f>IF(AND($E284&lt;&gt;0,$F284&gt;0,YEAR($F284)&gt;=Preisindex!$A$6,YEAR(FK$4)&gt;=YEAR($F284),AND($K284&lt;&gt;"a",$K284&lt;&gt;"b",$K284&lt;&gt;"g",$K284&lt;&gt;"k")),1,IF(AND($E284&lt;&gt;0,$F284&gt;0,YEAR($F284)&gt;=Preisindex!$A$6,YEAR(FK$4)&gt;=YEAR($F284),$K284="a"),ROUND(VLOOKUP(FP$4,Preisindex,5,FALSE)/VLOOKUP(YEAR($F284),Preisindex,5,FALSE),2),IF(AND($E284&lt;&gt;0,$F284&gt;0,YEAR($F284)&gt;=Preisindex!$A$6,YEAR(FK$4)&gt;=YEAR($F284),$K284="b"),ROUND(VLOOKUP(FP$4,Preisindex,3,FALSE)/VLOOKUP(YEAR($F284),Preisindex,3,FALSE),2),IF(AND($E284&lt;&gt;0,$F284&gt;0,YEAR($F284)&gt;=Preisindex!$A$6,YEAR(FK$4)&gt;=YEAR($F284),$K284="g"),ROUND(VLOOKUP(FP$4,Preisindex,4,FALSE)/VLOOKUP(YEAR($F284),Preisindex,4,FALSE),2),IF(AND($E284&lt;&gt;0,$F284&gt;0,YEAR($F284)&gt;=Preisindex!$A$6,YEAR(FK$4)&gt;=YEAR($F284),$K284="k"),ROUND(VLOOKUP(FP$4,Preisindex,2,FALSE)/VLOOKUP(YEAR($F284),Preisindex,2,FALSE),2),0)))))</f>
        <v>0</v>
      </c>
      <c r="FQ284" s="56">
        <f>IF(AND($E284&lt;&gt;0,$F284&gt;0,YEAR($F284)&lt;Preisindex!$A$6,YEAR(FK$4)&gt;=YEAR($F284),AND($K284&lt;&gt;"a",$K284&lt;&gt;"b",$K284&lt;&gt;"g",$K284&lt;&gt;"k")),1,IF(AND($E284&lt;&gt;0,$F284&gt;0,YEAR($F284)&lt;Preisindex!$A$6,YEAR(FK$4)&gt;=YEAR($F284),$K284="a"),ROUND(VLOOKUP(FP$4,Preisindex,5,FALSE)/VLOOKUP(Preisindex!$A$6,Preisindex,5,FALSE),2),IF(AND($E284&lt;&gt;0,$F284&gt;0,YEAR($F284)&lt;Preisindex!$A$6,YEAR(FK$4)&gt;=YEAR($F284),$K284="b"),ROUND(VLOOKUP(FP$4,Preisindex,3,FALSE)/VLOOKUP(Preisindex!$A$6,Preisindex,3,FALSE),2),IF(AND($E284&lt;&gt;0,$F284&gt;0,YEAR($F284)&lt;Preisindex!$A$6,YEAR(FK$4)&gt;=YEAR($F284),$K284="g"),ROUND(VLOOKUP(FP$4,Preisindex,4,FALSE)/VLOOKUP(Preisindex!$A$6,Preisindex,4,FALSE),2),IF(AND($E284&lt;&gt;0,$F284&gt;0,YEAR($F284)&lt;Preisindex!$A$6,YEAR(FK$4)&gt;=YEAR($F284),$K284="k"),ROUND(VLOOKUP(FP$4,Preisindex,2,FALSE)/VLOOKUP(Preisindex!$A$6,Preisindex,2,FALSE),2),0)))))</f>
        <v>0</v>
      </c>
      <c r="FR284" s="51">
        <f>IF(AND($E284&lt;&gt;0,$F284&gt;0,YEAR($F284)&lt;=FP$4,YEAR($F284)&gt;=Preisindex!$A$6),ROUND($E284*FP284,2),IF(AND($E284&lt;&gt;0,$F284&gt;0,YEAR($F284)&lt;=FP$4,YEAR($F284)&lt;Preisindex!$A$6),ROUND($E284*FQ284,2),0))</f>
        <v>0</v>
      </c>
      <c r="FS284" s="53">
        <f t="shared" si="819"/>
        <v>0</v>
      </c>
    </row>
    <row r="285" spans="1:175" x14ac:dyDescent="0.3">
      <c r="A285" s="185"/>
      <c r="B285" s="186"/>
      <c r="C285" s="187"/>
      <c r="D285" s="188"/>
      <c r="E285" s="189"/>
      <c r="F285" s="190"/>
      <c r="G285" s="191"/>
      <c r="H285" s="192"/>
      <c r="I285" s="193"/>
      <c r="J285" s="194"/>
      <c r="K285" s="630"/>
      <c r="L285" s="49">
        <f t="shared" si="820"/>
        <v>0</v>
      </c>
      <c r="M285" s="50">
        <f t="shared" si="821"/>
        <v>0</v>
      </c>
      <c r="N285" s="51">
        <f t="shared" si="822"/>
        <v>0</v>
      </c>
      <c r="O285" s="51"/>
      <c r="P285" s="51">
        <f t="shared" si="823"/>
        <v>0</v>
      </c>
      <c r="Q285" s="52"/>
      <c r="R285" s="52"/>
      <c r="S285" s="52"/>
      <c r="T285" s="52"/>
      <c r="U285" s="52"/>
      <c r="V285" s="53">
        <f t="shared" si="824"/>
        <v>0</v>
      </c>
      <c r="W285" s="51">
        <f t="shared" si="825"/>
        <v>0</v>
      </c>
      <c r="X285" s="51">
        <f t="shared" si="826"/>
        <v>0</v>
      </c>
      <c r="Y285" s="51">
        <f t="shared" si="827"/>
        <v>0</v>
      </c>
      <c r="Z285" s="51">
        <f t="shared" si="828"/>
        <v>0</v>
      </c>
      <c r="AA285" s="51">
        <f t="shared" si="829"/>
        <v>0</v>
      </c>
      <c r="AB285" s="51">
        <f t="shared" si="830"/>
        <v>0</v>
      </c>
      <c r="AC285" s="51">
        <f t="shared" si="831"/>
        <v>0</v>
      </c>
      <c r="AD285" s="51">
        <f t="shared" si="832"/>
        <v>0</v>
      </c>
      <c r="AE285" s="51">
        <f t="shared" si="833"/>
        <v>0</v>
      </c>
      <c r="AF285" s="51">
        <f t="shared" si="834"/>
        <v>0</v>
      </c>
      <c r="AG285" s="51">
        <f t="shared" si="835"/>
        <v>0</v>
      </c>
      <c r="AH285" s="54">
        <f t="shared" si="836"/>
        <v>0</v>
      </c>
      <c r="AI285" s="55">
        <f t="shared" si="837"/>
        <v>0</v>
      </c>
      <c r="AJ285" s="56">
        <f>IF(AND($E285&lt;&gt;0,$F285&gt;0,YEAR($F285)&gt;=Preisindex!$A$6,YEAR(AE$4)&gt;=YEAR($F285),AND($K285&lt;&gt;"a",$K285&lt;&gt;"b",$K285&lt;&gt;"g",$K285&lt;&gt;"k")),1,IF(AND($E285&lt;&gt;0,$F285&gt;0,YEAR($F285)&gt;=Preisindex!$A$6,YEAR(AE$4)&gt;=YEAR($F285),$K285="a"),ROUND(VLOOKUP(AJ$4,Preisindex,5,FALSE)/VLOOKUP(YEAR($F285),Preisindex,5,FALSE),2),IF(AND($E285&lt;&gt;0,$F285&gt;0,YEAR($F285)&gt;=Preisindex!$A$6,YEAR(AE$4)&gt;=YEAR($F285),$K285="b"),ROUND(VLOOKUP(AJ$4,Preisindex,3,FALSE)/VLOOKUP(YEAR($F285),Preisindex,3,FALSE),2),IF(AND($E285&lt;&gt;0,$F285&gt;0,YEAR($F285)&gt;=Preisindex!$A$6,YEAR(AE$4)&gt;=YEAR($F285),$K285="g"),ROUND(VLOOKUP(AJ$4,Preisindex,4,FALSE)/VLOOKUP(YEAR($F285),Preisindex,4,FALSE),2),IF(AND($E285&lt;&gt;0,$F285&gt;0,YEAR($F285)&gt;=Preisindex!$A$6,YEAR(AE$4)&gt;=YEAR($F285),$K285="k"),ROUND(VLOOKUP(AJ$4,Preisindex,2,FALSE)/VLOOKUP(YEAR($F285),Preisindex,2,FALSE),2),0)))))</f>
        <v>0</v>
      </c>
      <c r="AK285" s="56">
        <f>IF(AND($E285&lt;&gt;0,$F285&gt;0,YEAR($F285)&lt;Preisindex!$A$6,YEAR(AE$4)&gt;=YEAR($F285),AND($K285&lt;&gt;"a",$K285&lt;&gt;"b",$K285&lt;&gt;"g",$K285&lt;&gt;"k")),1,IF(AND($E285&lt;&gt;0,$F285&gt;0,YEAR($F285)&lt;Preisindex!$A$6,YEAR(AE$4)&gt;=YEAR($F285),$K285="a"),ROUND(VLOOKUP(AJ$4,Preisindex,5,FALSE)/VLOOKUP(Preisindex!$A$6,Preisindex,5,FALSE),2),IF(AND($E285&lt;&gt;0,$F285&gt;0,YEAR($F285)&lt;Preisindex!$A$6,YEAR(AE$4)&gt;=YEAR($F285),$K285="b"),ROUND(VLOOKUP(AJ$4,Preisindex,3,FALSE)/VLOOKUP(Preisindex!$A$6,Preisindex,3,FALSE),2),IF(AND($E285&lt;&gt;0,$F285&gt;0,YEAR($F285)&lt;Preisindex!$A$6,YEAR(AE$4)&gt;=YEAR($F285),$K285="g"),ROUND(VLOOKUP(AJ$4,Preisindex,4,FALSE)/VLOOKUP(Preisindex!$A$6,Preisindex,4,FALSE),2),IF(AND($E285&lt;&gt;0,$F285&gt;0,YEAR($F285)&lt;Preisindex!$A$6,YEAR(AE$4)&gt;=YEAR($F285),$K285="k"),ROUND(VLOOKUP(AJ$4,Preisindex,2,FALSE)/VLOOKUP(Preisindex!$A$6,Preisindex,2,FALSE),2),0)))))</f>
        <v>0</v>
      </c>
      <c r="AL285" s="51">
        <f>IF(AND($E285&lt;&gt;0,$F285&gt;0,YEAR($F285)&lt;=AJ$4,YEAR($F285)&gt;=Preisindex!$A$6),ROUND($E285*AJ285,2),IF(AND($E285&lt;&gt;0,$F285&gt;0,YEAR($F285)&lt;=AJ$4,YEAR($F285)&lt;Preisindex!$A$6),ROUND($E285*AK285,2),0))</f>
        <v>0</v>
      </c>
      <c r="AM285" s="53">
        <f t="shared" si="838"/>
        <v>0</v>
      </c>
      <c r="AN285" s="51">
        <f t="shared" si="839"/>
        <v>0</v>
      </c>
      <c r="AO285" s="51">
        <f t="shared" si="841"/>
        <v>0</v>
      </c>
      <c r="AP285" s="51">
        <f t="shared" si="755"/>
        <v>0</v>
      </c>
      <c r="AQ285" s="51">
        <f t="shared" si="842"/>
        <v>0</v>
      </c>
      <c r="AR285" s="51">
        <f t="shared" si="756"/>
        <v>0</v>
      </c>
      <c r="AS285" s="51">
        <f t="shared" si="843"/>
        <v>0</v>
      </c>
      <c r="AT285" s="51">
        <f t="shared" si="757"/>
        <v>0</v>
      </c>
      <c r="AU285" s="51">
        <f t="shared" si="844"/>
        <v>0</v>
      </c>
      <c r="AV285" s="51">
        <f t="shared" si="758"/>
        <v>0</v>
      </c>
      <c r="AW285" s="51">
        <f t="shared" si="845"/>
        <v>0</v>
      </c>
      <c r="AX285" s="51">
        <f t="shared" si="759"/>
        <v>0</v>
      </c>
      <c r="AY285" s="54">
        <f t="shared" si="760"/>
        <v>0</v>
      </c>
      <c r="AZ285" s="55">
        <f t="shared" si="761"/>
        <v>0</v>
      </c>
      <c r="BA285" s="56">
        <f>IF(AND($E285&lt;&gt;0,$F285&gt;0,YEAR($F285)&gt;=Preisindex!$A$6,YEAR(AV$4)&gt;=YEAR($F285),AND($K285&lt;&gt;"a",$K285&lt;&gt;"b",$K285&lt;&gt;"g",$K285&lt;&gt;"k")),1,IF(AND($E285&lt;&gt;0,$F285&gt;0,YEAR($F285)&gt;=Preisindex!$A$6,YEAR(AV$4)&gt;=YEAR($F285),$K285="a"),ROUND(VLOOKUP(BA$4,Preisindex,5,FALSE)/VLOOKUP(YEAR($F285),Preisindex,5,FALSE),2),IF(AND($E285&lt;&gt;0,$F285&gt;0,YEAR($F285)&gt;=Preisindex!$A$6,YEAR(AV$4)&gt;=YEAR($F285),$K285="b"),ROUND(VLOOKUP(BA$4,Preisindex,3,FALSE)/VLOOKUP(YEAR($F285),Preisindex,3,FALSE),2),IF(AND($E285&lt;&gt;0,$F285&gt;0,YEAR($F285)&gt;=Preisindex!$A$6,YEAR(AV$4)&gt;=YEAR($F285),$K285="g"),ROUND(VLOOKUP(BA$4,Preisindex,4,FALSE)/VLOOKUP(YEAR($F285),Preisindex,4,FALSE),2),IF(AND($E285&lt;&gt;0,$F285&gt;0,YEAR($F285)&gt;=Preisindex!$A$6,YEAR(AV$4)&gt;=YEAR($F285),$K285="k"),ROUND(VLOOKUP(BA$4,Preisindex,2,FALSE)/VLOOKUP(YEAR($F285),Preisindex,2,FALSE),2),0)))))</f>
        <v>0</v>
      </c>
      <c r="BB285" s="56">
        <f>IF(AND($E285&lt;&gt;0,$F285&gt;0,YEAR($F285)&lt;Preisindex!$A$6,YEAR(AV$4)&gt;=YEAR($F285),AND($K285&lt;&gt;"a",$K285&lt;&gt;"b",$K285&lt;&gt;"g",$K285&lt;&gt;"k")),1,IF(AND($E285&lt;&gt;0,$F285&gt;0,YEAR($F285)&lt;Preisindex!$A$6,YEAR(AV$4)&gt;=YEAR($F285),$K285="a"),ROUND(VLOOKUP(BA$4,Preisindex,5,FALSE)/VLOOKUP(Preisindex!$A$6,Preisindex,5,FALSE),2),IF(AND($E285&lt;&gt;0,$F285&gt;0,YEAR($F285)&lt;Preisindex!$A$6,YEAR(AV$4)&gt;=YEAR($F285),$K285="b"),ROUND(VLOOKUP(BA$4,Preisindex,3,FALSE)/VLOOKUP(Preisindex!$A$6,Preisindex,3,FALSE),2),IF(AND($E285&lt;&gt;0,$F285&gt;0,YEAR($F285)&lt;Preisindex!$A$6,YEAR(AV$4)&gt;=YEAR($F285),$K285="g"),ROUND(VLOOKUP(BA$4,Preisindex,4,FALSE)/VLOOKUP(Preisindex!$A$6,Preisindex,4,FALSE),2),IF(AND($E285&lt;&gt;0,$F285&gt;0,YEAR($F285)&lt;Preisindex!$A$6,YEAR(AV$4)&gt;=YEAR($F285),$K285="k"),ROUND(VLOOKUP(BA$4,Preisindex,2,FALSE)/VLOOKUP(Preisindex!$A$6,Preisindex,2,FALSE),2),0)))))</f>
        <v>0</v>
      </c>
      <c r="BC285" s="51">
        <f>IF(AND($E285&lt;&gt;0,$F285&gt;0,YEAR($F285)&lt;=BA$4,YEAR($F285)&gt;=Preisindex!$A$6),ROUND($E285*BA285,2),IF(AND($E285&lt;&gt;0,$F285&gt;0,YEAR($F285)&lt;=BA$4,YEAR($F285)&lt;Preisindex!$A$6),ROUND($E285*BB285,2),0))</f>
        <v>0</v>
      </c>
      <c r="BD285" s="53">
        <f t="shared" si="762"/>
        <v>0</v>
      </c>
      <c r="BE285" s="51">
        <f t="shared" si="839"/>
        <v>0</v>
      </c>
      <c r="BF285" s="51">
        <f t="shared" si="846"/>
        <v>0</v>
      </c>
      <c r="BG285" s="51">
        <f t="shared" si="763"/>
        <v>0</v>
      </c>
      <c r="BH285" s="51">
        <f t="shared" si="847"/>
        <v>0</v>
      </c>
      <c r="BI285" s="51">
        <f t="shared" si="764"/>
        <v>0</v>
      </c>
      <c r="BJ285" s="51">
        <f t="shared" si="848"/>
        <v>0</v>
      </c>
      <c r="BK285" s="51">
        <f t="shared" si="765"/>
        <v>0</v>
      </c>
      <c r="BL285" s="51">
        <f t="shared" si="849"/>
        <v>0</v>
      </c>
      <c r="BM285" s="51">
        <f t="shared" si="766"/>
        <v>0</v>
      </c>
      <c r="BN285" s="51">
        <f t="shared" si="850"/>
        <v>0</v>
      </c>
      <c r="BO285" s="51">
        <f t="shared" si="767"/>
        <v>0</v>
      </c>
      <c r="BP285" s="54">
        <f t="shared" si="768"/>
        <v>0</v>
      </c>
      <c r="BQ285" s="55">
        <f t="shared" si="769"/>
        <v>0</v>
      </c>
      <c r="BR285" s="56">
        <f>IF(AND($E285&lt;&gt;0,$F285&gt;0,YEAR($F285)&gt;=Preisindex!$A$6,YEAR(BM$4)&gt;=YEAR($F285),AND($K285&lt;&gt;"a",$K285&lt;&gt;"b",$K285&lt;&gt;"g",$K285&lt;&gt;"k")),1,IF(AND($E285&lt;&gt;0,$F285&gt;0,YEAR($F285)&gt;=Preisindex!$A$6,YEAR(BM$4)&gt;=YEAR($F285),$K285="a"),ROUND(VLOOKUP(BR$4,Preisindex,5,FALSE)/VLOOKUP(YEAR($F285),Preisindex,5,FALSE),2),IF(AND($E285&lt;&gt;0,$F285&gt;0,YEAR($F285)&gt;=Preisindex!$A$6,YEAR(BM$4)&gt;=YEAR($F285),$K285="b"),ROUND(VLOOKUP(BR$4,Preisindex,3,FALSE)/VLOOKUP(YEAR($F285),Preisindex,3,FALSE),2),IF(AND($E285&lt;&gt;0,$F285&gt;0,YEAR($F285)&gt;=Preisindex!$A$6,YEAR(BM$4)&gt;=YEAR($F285),$K285="g"),ROUND(VLOOKUP(BR$4,Preisindex,4,FALSE)/VLOOKUP(YEAR($F285),Preisindex,4,FALSE),2),IF(AND($E285&lt;&gt;0,$F285&gt;0,YEAR($F285)&gt;=Preisindex!$A$6,YEAR(BM$4)&gt;=YEAR($F285),$K285="k"),ROUND(VLOOKUP(BR$4,Preisindex,2,FALSE)/VLOOKUP(YEAR($F285),Preisindex,2,FALSE),2),0)))))</f>
        <v>0</v>
      </c>
      <c r="BS285" s="56">
        <f>IF(AND($E285&lt;&gt;0,$F285&gt;0,YEAR($F285)&lt;Preisindex!$A$6,YEAR(BM$4)&gt;=YEAR($F285),AND($K285&lt;&gt;"a",$K285&lt;&gt;"b",$K285&lt;&gt;"g",$K285&lt;&gt;"k")),1,IF(AND($E285&lt;&gt;0,$F285&gt;0,YEAR($F285)&lt;Preisindex!$A$6,YEAR(BM$4)&gt;=YEAR($F285),$K285="a"),ROUND(VLOOKUP(BR$4,Preisindex,5,FALSE)/VLOOKUP(Preisindex!$A$6,Preisindex,5,FALSE),2),IF(AND($E285&lt;&gt;0,$F285&gt;0,YEAR($F285)&lt;Preisindex!$A$6,YEAR(BM$4)&gt;=YEAR($F285),$K285="b"),ROUND(VLOOKUP(BR$4,Preisindex,3,FALSE)/VLOOKUP(Preisindex!$A$6,Preisindex,3,FALSE),2),IF(AND($E285&lt;&gt;0,$F285&gt;0,YEAR($F285)&lt;Preisindex!$A$6,YEAR(BM$4)&gt;=YEAR($F285),$K285="g"),ROUND(VLOOKUP(BR$4,Preisindex,4,FALSE)/VLOOKUP(Preisindex!$A$6,Preisindex,4,FALSE),2),IF(AND($E285&lt;&gt;0,$F285&gt;0,YEAR($F285)&lt;Preisindex!$A$6,YEAR(BM$4)&gt;=YEAR($F285),$K285="k"),ROUND(VLOOKUP(BR$4,Preisindex,2,FALSE)/VLOOKUP(Preisindex!$A$6,Preisindex,2,FALSE),2),0)))))</f>
        <v>0</v>
      </c>
      <c r="BT285" s="51">
        <f>IF(AND($E285&lt;&gt;0,$F285&gt;0,YEAR($F285)&lt;=BR$4,YEAR($F285)&gt;=Preisindex!$A$6),ROUND($E285*BR285,2),IF(AND($E285&lt;&gt;0,$F285&gt;0,YEAR($F285)&lt;=BR$4,YEAR($F285)&lt;Preisindex!$A$6),ROUND($E285*BS285,2),0))</f>
        <v>0</v>
      </c>
      <c r="BU285" s="53">
        <f t="shared" si="770"/>
        <v>0</v>
      </c>
      <c r="BV285" s="51">
        <f t="shared" si="839"/>
        <v>0</v>
      </c>
      <c r="BW285" s="51">
        <f t="shared" si="851"/>
        <v>0</v>
      </c>
      <c r="BX285" s="51">
        <f t="shared" si="771"/>
        <v>0</v>
      </c>
      <c r="BY285" s="51">
        <f t="shared" si="852"/>
        <v>0</v>
      </c>
      <c r="BZ285" s="51">
        <f t="shared" si="772"/>
        <v>0</v>
      </c>
      <c r="CA285" s="51">
        <f t="shared" si="853"/>
        <v>0</v>
      </c>
      <c r="CB285" s="51">
        <f t="shared" si="773"/>
        <v>0</v>
      </c>
      <c r="CC285" s="51">
        <f t="shared" si="854"/>
        <v>0</v>
      </c>
      <c r="CD285" s="51">
        <f t="shared" si="774"/>
        <v>0</v>
      </c>
      <c r="CE285" s="51">
        <f t="shared" si="855"/>
        <v>0</v>
      </c>
      <c r="CF285" s="51">
        <f t="shared" si="775"/>
        <v>0</v>
      </c>
      <c r="CG285" s="54">
        <f t="shared" si="776"/>
        <v>0</v>
      </c>
      <c r="CH285" s="55">
        <f t="shared" si="777"/>
        <v>0</v>
      </c>
      <c r="CI285" s="56">
        <f>IF(AND($E285&lt;&gt;0,$F285&gt;0,YEAR($F285)&gt;=Preisindex!$A$6,YEAR(CD$4)&gt;=YEAR($F285),AND($K285&lt;&gt;"a",$K285&lt;&gt;"b",$K285&lt;&gt;"g",$K285&lt;&gt;"k")),1,IF(AND($E285&lt;&gt;0,$F285&gt;0,YEAR($F285)&gt;=Preisindex!$A$6,YEAR(CD$4)&gt;=YEAR($F285),$K285="a"),ROUND(VLOOKUP(CI$4,Preisindex,5,FALSE)/VLOOKUP(YEAR($F285),Preisindex,5,FALSE),2),IF(AND($E285&lt;&gt;0,$F285&gt;0,YEAR($F285)&gt;=Preisindex!$A$6,YEAR(CD$4)&gt;=YEAR($F285),$K285="b"),ROUND(VLOOKUP(CI$4,Preisindex,3,FALSE)/VLOOKUP(YEAR($F285),Preisindex,3,FALSE),2),IF(AND($E285&lt;&gt;0,$F285&gt;0,YEAR($F285)&gt;=Preisindex!$A$6,YEAR(CD$4)&gt;=YEAR($F285),$K285="g"),ROUND(VLOOKUP(CI$4,Preisindex,4,FALSE)/VLOOKUP(YEAR($F285),Preisindex,4,FALSE),2),IF(AND($E285&lt;&gt;0,$F285&gt;0,YEAR($F285)&gt;=Preisindex!$A$6,YEAR(CD$4)&gt;=YEAR($F285),$K285="k"),ROUND(VLOOKUP(CI$4,Preisindex,2,FALSE)/VLOOKUP(YEAR($F285),Preisindex,2,FALSE),2),0)))))</f>
        <v>0</v>
      </c>
      <c r="CJ285" s="56">
        <f>IF(AND($E285&lt;&gt;0,$F285&gt;0,YEAR($F285)&lt;Preisindex!$A$6,YEAR(CD$4)&gt;=YEAR($F285),AND($K285&lt;&gt;"a",$K285&lt;&gt;"b",$K285&lt;&gt;"g",$K285&lt;&gt;"k")),1,IF(AND($E285&lt;&gt;0,$F285&gt;0,YEAR($F285)&lt;Preisindex!$A$6,YEAR(CD$4)&gt;=YEAR($F285),$K285="a"),ROUND(VLOOKUP(CI$4,Preisindex,5,FALSE)/VLOOKUP(Preisindex!$A$6,Preisindex,5,FALSE),2),IF(AND($E285&lt;&gt;0,$F285&gt;0,YEAR($F285)&lt;Preisindex!$A$6,YEAR(CD$4)&gt;=YEAR($F285),$K285="b"),ROUND(VLOOKUP(CI$4,Preisindex,3,FALSE)/VLOOKUP(Preisindex!$A$6,Preisindex,3,FALSE),2),IF(AND($E285&lt;&gt;0,$F285&gt;0,YEAR($F285)&lt;Preisindex!$A$6,YEAR(CD$4)&gt;=YEAR($F285),$K285="g"),ROUND(VLOOKUP(CI$4,Preisindex,4,FALSE)/VLOOKUP(Preisindex!$A$6,Preisindex,4,FALSE),2),IF(AND($E285&lt;&gt;0,$F285&gt;0,YEAR($F285)&lt;Preisindex!$A$6,YEAR(CD$4)&gt;=YEAR($F285),$K285="k"),ROUND(VLOOKUP(CI$4,Preisindex,2,FALSE)/VLOOKUP(Preisindex!$A$6,Preisindex,2,FALSE),2),0)))))</f>
        <v>0</v>
      </c>
      <c r="CK285" s="51">
        <f>IF(AND($E285&lt;&gt;0,$F285&gt;0,YEAR($F285)&lt;=CI$4,YEAR($F285)&gt;=Preisindex!$A$6),ROUND($E285*CI285,2),IF(AND($E285&lt;&gt;0,$F285&gt;0,YEAR($F285)&lt;=CI$4,YEAR($F285)&lt;Preisindex!$A$6),ROUND($E285*CJ285,2),0))</f>
        <v>0</v>
      </c>
      <c r="CL285" s="53">
        <f t="shared" si="778"/>
        <v>0</v>
      </c>
      <c r="CM285" s="51">
        <f t="shared" si="839"/>
        <v>0</v>
      </c>
      <c r="CN285" s="51">
        <f t="shared" si="856"/>
        <v>0</v>
      </c>
      <c r="CO285" s="51">
        <f t="shared" si="779"/>
        <v>0</v>
      </c>
      <c r="CP285" s="51">
        <f t="shared" si="857"/>
        <v>0</v>
      </c>
      <c r="CQ285" s="51">
        <f t="shared" si="780"/>
        <v>0</v>
      </c>
      <c r="CR285" s="51">
        <f t="shared" si="858"/>
        <v>0</v>
      </c>
      <c r="CS285" s="51">
        <f t="shared" si="781"/>
        <v>0</v>
      </c>
      <c r="CT285" s="51">
        <f t="shared" si="859"/>
        <v>0</v>
      </c>
      <c r="CU285" s="51">
        <f t="shared" si="782"/>
        <v>0</v>
      </c>
      <c r="CV285" s="51">
        <f t="shared" si="860"/>
        <v>0</v>
      </c>
      <c r="CW285" s="51">
        <f t="shared" si="783"/>
        <v>0</v>
      </c>
      <c r="CX285" s="54">
        <f t="shared" si="784"/>
        <v>0</v>
      </c>
      <c r="CY285" s="55">
        <f t="shared" si="785"/>
        <v>0</v>
      </c>
      <c r="CZ285" s="56">
        <f>IF(AND($E285&lt;&gt;0,$F285&gt;0,YEAR($F285)&gt;=Preisindex!$A$6,YEAR(CU$4)&gt;=YEAR($F285),AND($K285&lt;&gt;"a",$K285&lt;&gt;"b",$K285&lt;&gt;"g",$K285&lt;&gt;"k")),1,IF(AND($E285&lt;&gt;0,$F285&gt;0,YEAR($F285)&gt;=Preisindex!$A$6,YEAR(CU$4)&gt;=YEAR($F285),$K285="a"),ROUND(VLOOKUP(CZ$4,Preisindex,5,FALSE)/VLOOKUP(YEAR($F285),Preisindex,5,FALSE),2),IF(AND($E285&lt;&gt;0,$F285&gt;0,YEAR($F285)&gt;=Preisindex!$A$6,YEAR(CU$4)&gt;=YEAR($F285),$K285="b"),ROUND(VLOOKUP(CZ$4,Preisindex,3,FALSE)/VLOOKUP(YEAR($F285),Preisindex,3,FALSE),2),IF(AND($E285&lt;&gt;0,$F285&gt;0,YEAR($F285)&gt;=Preisindex!$A$6,YEAR(CU$4)&gt;=YEAR($F285),$K285="g"),ROUND(VLOOKUP(CZ$4,Preisindex,4,FALSE)/VLOOKUP(YEAR($F285),Preisindex,4,FALSE),2),IF(AND($E285&lt;&gt;0,$F285&gt;0,YEAR($F285)&gt;=Preisindex!$A$6,YEAR(CU$4)&gt;=YEAR($F285),$K285="k"),ROUND(VLOOKUP(CZ$4,Preisindex,2,FALSE)/VLOOKUP(YEAR($F285),Preisindex,2,FALSE),2),0)))))</f>
        <v>0</v>
      </c>
      <c r="DA285" s="56">
        <f>IF(AND($E285&lt;&gt;0,$F285&gt;0,YEAR($F285)&lt;Preisindex!$A$6,YEAR(CU$4)&gt;=YEAR($F285),AND($K285&lt;&gt;"a",$K285&lt;&gt;"b",$K285&lt;&gt;"g",$K285&lt;&gt;"k")),1,IF(AND($E285&lt;&gt;0,$F285&gt;0,YEAR($F285)&lt;Preisindex!$A$6,YEAR(CU$4)&gt;=YEAR($F285),$K285="a"),ROUND(VLOOKUP(CZ$4,Preisindex,5,FALSE)/VLOOKUP(Preisindex!$A$6,Preisindex,5,FALSE),2),IF(AND($E285&lt;&gt;0,$F285&gt;0,YEAR($F285)&lt;Preisindex!$A$6,YEAR(CU$4)&gt;=YEAR($F285),$K285="b"),ROUND(VLOOKUP(CZ$4,Preisindex,3,FALSE)/VLOOKUP(Preisindex!$A$6,Preisindex,3,FALSE),2),IF(AND($E285&lt;&gt;0,$F285&gt;0,YEAR($F285)&lt;Preisindex!$A$6,YEAR(CU$4)&gt;=YEAR($F285),$K285="g"),ROUND(VLOOKUP(CZ$4,Preisindex,4,FALSE)/VLOOKUP(Preisindex!$A$6,Preisindex,4,FALSE),2),IF(AND($E285&lt;&gt;0,$F285&gt;0,YEAR($F285)&lt;Preisindex!$A$6,YEAR(CU$4)&gt;=YEAR($F285),$K285="k"),ROUND(VLOOKUP(CZ$4,Preisindex,2,FALSE)/VLOOKUP(Preisindex!$A$6,Preisindex,2,FALSE),2),0)))))</f>
        <v>0</v>
      </c>
      <c r="DB285" s="51">
        <f>IF(AND($E285&lt;&gt;0,$F285&gt;0,YEAR($F285)&lt;=CZ$4,YEAR($F285)&gt;=Preisindex!$A$6),ROUND($E285*CZ285,2),IF(AND($E285&lt;&gt;0,$F285&gt;0,YEAR($F285)&lt;=CZ$4,YEAR($F285)&lt;Preisindex!$A$6),ROUND($E285*DA285,2),0))</f>
        <v>0</v>
      </c>
      <c r="DC285" s="53">
        <f t="shared" si="786"/>
        <v>0</v>
      </c>
      <c r="DD285" s="51">
        <f t="shared" si="840"/>
        <v>0</v>
      </c>
      <c r="DE285" s="51">
        <f t="shared" si="861"/>
        <v>0</v>
      </c>
      <c r="DF285" s="51">
        <f t="shared" si="788"/>
        <v>0</v>
      </c>
      <c r="DG285" s="51">
        <f t="shared" si="862"/>
        <v>0</v>
      </c>
      <c r="DH285" s="51">
        <f t="shared" si="789"/>
        <v>0</v>
      </c>
      <c r="DI285" s="51">
        <f t="shared" si="863"/>
        <v>0</v>
      </c>
      <c r="DJ285" s="51">
        <f t="shared" si="790"/>
        <v>0</v>
      </c>
      <c r="DK285" s="51">
        <f t="shared" si="864"/>
        <v>0</v>
      </c>
      <c r="DL285" s="51">
        <f t="shared" si="791"/>
        <v>0</v>
      </c>
      <c r="DM285" s="51">
        <f t="shared" si="865"/>
        <v>0</v>
      </c>
      <c r="DN285" s="51">
        <f t="shared" si="792"/>
        <v>0</v>
      </c>
      <c r="DO285" s="54">
        <f t="shared" si="793"/>
        <v>0</v>
      </c>
      <c r="DP285" s="55">
        <f t="shared" si="794"/>
        <v>0</v>
      </c>
      <c r="DQ285" s="56">
        <f>IF(AND($E285&lt;&gt;0,$F285&gt;0,YEAR($F285)&gt;=Preisindex!$A$6,YEAR(DL$4)&gt;=YEAR($F285),AND($K285&lt;&gt;"a",$K285&lt;&gt;"b",$K285&lt;&gt;"g",$K285&lt;&gt;"k")),1,IF(AND($E285&lt;&gt;0,$F285&gt;0,YEAR($F285)&gt;=Preisindex!$A$6,YEAR(DL$4)&gt;=YEAR($F285),$K285="a"),ROUND(VLOOKUP(DQ$4,Preisindex,5,FALSE)/VLOOKUP(YEAR($F285),Preisindex,5,FALSE),2),IF(AND($E285&lt;&gt;0,$F285&gt;0,YEAR($F285)&gt;=Preisindex!$A$6,YEAR(DL$4)&gt;=YEAR($F285),$K285="b"),ROUND(VLOOKUP(DQ$4,Preisindex,3,FALSE)/VLOOKUP(YEAR($F285),Preisindex,3,FALSE),2),IF(AND($E285&lt;&gt;0,$F285&gt;0,YEAR($F285)&gt;=Preisindex!$A$6,YEAR(DL$4)&gt;=YEAR($F285),$K285="g"),ROUND(VLOOKUP(DQ$4,Preisindex,4,FALSE)/VLOOKUP(YEAR($F285),Preisindex,4,FALSE),2),IF(AND($E285&lt;&gt;0,$F285&gt;0,YEAR($F285)&gt;=Preisindex!$A$6,YEAR(DL$4)&gt;=YEAR($F285),$K285="k"),ROUND(VLOOKUP(DQ$4,Preisindex,2,FALSE)/VLOOKUP(YEAR($F285),Preisindex,2,FALSE),2),0)))))</f>
        <v>0</v>
      </c>
      <c r="DR285" s="56">
        <f>IF(AND($E285&lt;&gt;0,$F285&gt;0,YEAR($F285)&lt;Preisindex!$A$6,YEAR(DL$4)&gt;=YEAR($F285),AND($K285&lt;&gt;"a",$K285&lt;&gt;"b",$K285&lt;&gt;"g",$K285&lt;&gt;"k")),1,IF(AND($E285&lt;&gt;0,$F285&gt;0,YEAR($F285)&lt;Preisindex!$A$6,YEAR(DL$4)&gt;=YEAR($F285),$K285="a"),ROUND(VLOOKUP(DQ$4,Preisindex,5,FALSE)/VLOOKUP(Preisindex!$A$6,Preisindex,5,FALSE),2),IF(AND($E285&lt;&gt;0,$F285&gt;0,YEAR($F285)&lt;Preisindex!$A$6,YEAR(DL$4)&gt;=YEAR($F285),$K285="b"),ROUND(VLOOKUP(DQ$4,Preisindex,3,FALSE)/VLOOKUP(Preisindex!$A$6,Preisindex,3,FALSE),2),IF(AND($E285&lt;&gt;0,$F285&gt;0,YEAR($F285)&lt;Preisindex!$A$6,YEAR(DL$4)&gt;=YEAR($F285),$K285="g"),ROUND(VLOOKUP(DQ$4,Preisindex,4,FALSE)/VLOOKUP(Preisindex!$A$6,Preisindex,4,FALSE),2),IF(AND($E285&lt;&gt;0,$F285&gt;0,YEAR($F285)&lt;Preisindex!$A$6,YEAR(DL$4)&gt;=YEAR($F285),$K285="k"),ROUND(VLOOKUP(DQ$4,Preisindex,2,FALSE)/VLOOKUP(Preisindex!$A$6,Preisindex,2,FALSE),2),0)))))</f>
        <v>0</v>
      </c>
      <c r="DS285" s="51">
        <f>IF(AND($E285&lt;&gt;0,$F285&gt;0,YEAR($F285)&lt;=DQ$4,YEAR($F285)&gt;=Preisindex!$A$6),ROUND($E285*DQ285,2),IF(AND($E285&lt;&gt;0,$F285&gt;0,YEAR($F285)&lt;=DQ$4,YEAR($F285)&lt;Preisindex!$A$6),ROUND($E285*DR285,2),0))</f>
        <v>0</v>
      </c>
      <c r="DT285" s="53">
        <f t="shared" si="795"/>
        <v>0</v>
      </c>
      <c r="DU285" s="51">
        <f t="shared" si="840"/>
        <v>0</v>
      </c>
      <c r="DV285" s="51">
        <f t="shared" si="866"/>
        <v>0</v>
      </c>
      <c r="DW285" s="51">
        <f t="shared" si="796"/>
        <v>0</v>
      </c>
      <c r="DX285" s="51">
        <f t="shared" si="867"/>
        <v>0</v>
      </c>
      <c r="DY285" s="51">
        <f t="shared" si="797"/>
        <v>0</v>
      </c>
      <c r="DZ285" s="51">
        <f t="shared" si="868"/>
        <v>0</v>
      </c>
      <c r="EA285" s="51">
        <f t="shared" si="798"/>
        <v>0</v>
      </c>
      <c r="EB285" s="51">
        <f t="shared" si="869"/>
        <v>0</v>
      </c>
      <c r="EC285" s="51">
        <f t="shared" si="799"/>
        <v>0</v>
      </c>
      <c r="ED285" s="51">
        <f t="shared" si="870"/>
        <v>0</v>
      </c>
      <c r="EE285" s="51">
        <f t="shared" si="800"/>
        <v>0</v>
      </c>
      <c r="EF285" s="54">
        <f t="shared" si="801"/>
        <v>0</v>
      </c>
      <c r="EG285" s="55">
        <f t="shared" si="802"/>
        <v>0</v>
      </c>
      <c r="EH285" s="56">
        <f>IF(AND($E285&lt;&gt;0,$F285&gt;0,YEAR($F285)&gt;=Preisindex!$A$6,YEAR(EC$4)&gt;=YEAR($F285),AND($K285&lt;&gt;"a",$K285&lt;&gt;"b",$K285&lt;&gt;"g",$K285&lt;&gt;"k")),1,IF(AND($E285&lt;&gt;0,$F285&gt;0,YEAR($F285)&gt;=Preisindex!$A$6,YEAR(EC$4)&gt;=YEAR($F285),$K285="a"),ROUND(VLOOKUP(EH$4,Preisindex,5,FALSE)/VLOOKUP(YEAR($F285),Preisindex,5,FALSE),2),IF(AND($E285&lt;&gt;0,$F285&gt;0,YEAR($F285)&gt;=Preisindex!$A$6,YEAR(EC$4)&gt;=YEAR($F285),$K285="b"),ROUND(VLOOKUP(EH$4,Preisindex,3,FALSE)/VLOOKUP(YEAR($F285),Preisindex,3,FALSE),2),IF(AND($E285&lt;&gt;0,$F285&gt;0,YEAR($F285)&gt;=Preisindex!$A$6,YEAR(EC$4)&gt;=YEAR($F285),$K285="g"),ROUND(VLOOKUP(EH$4,Preisindex,4,FALSE)/VLOOKUP(YEAR($F285),Preisindex,4,FALSE),2),IF(AND($E285&lt;&gt;0,$F285&gt;0,YEAR($F285)&gt;=Preisindex!$A$6,YEAR(EC$4)&gt;=YEAR($F285),$K285="k"),ROUND(VLOOKUP(EH$4,Preisindex,2,FALSE)/VLOOKUP(YEAR($F285),Preisindex,2,FALSE),2),0)))))</f>
        <v>0</v>
      </c>
      <c r="EI285" s="56">
        <f>IF(AND($E285&lt;&gt;0,$F285&gt;0,YEAR($F285)&lt;Preisindex!$A$6,YEAR(EC$4)&gt;=YEAR($F285),AND($K285&lt;&gt;"a",$K285&lt;&gt;"b",$K285&lt;&gt;"g",$K285&lt;&gt;"k")),1,IF(AND($E285&lt;&gt;0,$F285&gt;0,YEAR($F285)&lt;Preisindex!$A$6,YEAR(EC$4)&gt;=YEAR($F285),$K285="a"),ROUND(VLOOKUP(EH$4,Preisindex,5,FALSE)/VLOOKUP(Preisindex!$A$6,Preisindex,5,FALSE),2),IF(AND($E285&lt;&gt;0,$F285&gt;0,YEAR($F285)&lt;Preisindex!$A$6,YEAR(EC$4)&gt;=YEAR($F285),$K285="b"),ROUND(VLOOKUP(EH$4,Preisindex,3,FALSE)/VLOOKUP(Preisindex!$A$6,Preisindex,3,FALSE),2),IF(AND($E285&lt;&gt;0,$F285&gt;0,YEAR($F285)&lt;Preisindex!$A$6,YEAR(EC$4)&gt;=YEAR($F285),$K285="g"),ROUND(VLOOKUP(EH$4,Preisindex,4,FALSE)/VLOOKUP(Preisindex!$A$6,Preisindex,4,FALSE),2),IF(AND($E285&lt;&gt;0,$F285&gt;0,YEAR($F285)&lt;Preisindex!$A$6,YEAR(EC$4)&gt;=YEAR($F285),$K285="k"),ROUND(VLOOKUP(EH$4,Preisindex,2,FALSE)/VLOOKUP(Preisindex!$A$6,Preisindex,2,FALSE),2),0)))))</f>
        <v>0</v>
      </c>
      <c r="EJ285" s="51">
        <f>IF(AND($E285&lt;&gt;0,$F285&gt;0,YEAR($F285)&lt;=EH$4,YEAR($F285)&gt;=Preisindex!$A$6),ROUND($E285*EH285,2),IF(AND($E285&lt;&gt;0,$F285&gt;0,YEAR($F285)&lt;=EH$4,YEAR($F285)&lt;Preisindex!$A$6),ROUND($E285*EI285,2),0))</f>
        <v>0</v>
      </c>
      <c r="EK285" s="53">
        <f t="shared" si="803"/>
        <v>0</v>
      </c>
      <c r="EL285" s="51">
        <f t="shared" si="840"/>
        <v>0</v>
      </c>
      <c r="EM285" s="51">
        <f t="shared" si="871"/>
        <v>0</v>
      </c>
      <c r="EN285" s="51">
        <f t="shared" si="804"/>
        <v>0</v>
      </c>
      <c r="EO285" s="51">
        <f t="shared" si="872"/>
        <v>0</v>
      </c>
      <c r="EP285" s="51">
        <f t="shared" si="805"/>
        <v>0</v>
      </c>
      <c r="EQ285" s="51">
        <f t="shared" si="873"/>
        <v>0</v>
      </c>
      <c r="ER285" s="51">
        <f t="shared" si="806"/>
        <v>0</v>
      </c>
      <c r="ES285" s="51">
        <f t="shared" si="874"/>
        <v>0</v>
      </c>
      <c r="ET285" s="51">
        <f t="shared" si="807"/>
        <v>0</v>
      </c>
      <c r="EU285" s="51">
        <f t="shared" si="875"/>
        <v>0</v>
      </c>
      <c r="EV285" s="51">
        <f t="shared" si="808"/>
        <v>0</v>
      </c>
      <c r="EW285" s="54">
        <f t="shared" si="809"/>
        <v>0</v>
      </c>
      <c r="EX285" s="55">
        <f t="shared" si="810"/>
        <v>0</v>
      </c>
      <c r="EY285" s="56">
        <f>IF(AND($E285&lt;&gt;0,$F285&gt;0,YEAR($F285)&gt;=Preisindex!$A$6,YEAR(ET$4)&gt;=YEAR($F285),AND($K285&lt;&gt;"a",$K285&lt;&gt;"b",$K285&lt;&gt;"g",$K285&lt;&gt;"k")),1,IF(AND($E285&lt;&gt;0,$F285&gt;0,YEAR($F285)&gt;=Preisindex!$A$6,YEAR(ET$4)&gt;=YEAR($F285),$K285="a"),ROUND(VLOOKUP(EY$4,Preisindex,5,FALSE)/VLOOKUP(YEAR($F285),Preisindex,5,FALSE),2),IF(AND($E285&lt;&gt;0,$F285&gt;0,YEAR($F285)&gt;=Preisindex!$A$6,YEAR(ET$4)&gt;=YEAR($F285),$K285="b"),ROUND(VLOOKUP(EY$4,Preisindex,3,FALSE)/VLOOKUP(YEAR($F285),Preisindex,3,FALSE),2),IF(AND($E285&lt;&gt;0,$F285&gt;0,YEAR($F285)&gt;=Preisindex!$A$6,YEAR(ET$4)&gt;=YEAR($F285),$K285="g"),ROUND(VLOOKUP(EY$4,Preisindex,4,FALSE)/VLOOKUP(YEAR($F285),Preisindex,4,FALSE),2),IF(AND($E285&lt;&gt;0,$F285&gt;0,YEAR($F285)&gt;=Preisindex!$A$6,YEAR(ET$4)&gt;=YEAR($F285),$K285="k"),ROUND(VLOOKUP(EY$4,Preisindex,2,FALSE)/VLOOKUP(YEAR($F285),Preisindex,2,FALSE),2),0)))))</f>
        <v>0</v>
      </c>
      <c r="EZ285" s="56">
        <f>IF(AND($E285&lt;&gt;0,$F285&gt;0,YEAR($F285)&lt;Preisindex!$A$6,YEAR(ET$4)&gt;=YEAR($F285),AND($K285&lt;&gt;"a",$K285&lt;&gt;"b",$K285&lt;&gt;"g",$K285&lt;&gt;"k")),1,IF(AND($E285&lt;&gt;0,$F285&gt;0,YEAR($F285)&lt;Preisindex!$A$6,YEAR(ET$4)&gt;=YEAR($F285),$K285="a"),ROUND(VLOOKUP(EY$4,Preisindex,5,FALSE)/VLOOKUP(Preisindex!$A$6,Preisindex,5,FALSE),2),IF(AND($E285&lt;&gt;0,$F285&gt;0,YEAR($F285)&lt;Preisindex!$A$6,YEAR(ET$4)&gt;=YEAR($F285),$K285="b"),ROUND(VLOOKUP(EY$4,Preisindex,3,FALSE)/VLOOKUP(Preisindex!$A$6,Preisindex,3,FALSE),2),IF(AND($E285&lt;&gt;0,$F285&gt;0,YEAR($F285)&lt;Preisindex!$A$6,YEAR(ET$4)&gt;=YEAR($F285),$K285="g"),ROUND(VLOOKUP(EY$4,Preisindex,4,FALSE)/VLOOKUP(Preisindex!$A$6,Preisindex,4,FALSE),2),IF(AND($E285&lt;&gt;0,$F285&gt;0,YEAR($F285)&lt;Preisindex!$A$6,YEAR(ET$4)&gt;=YEAR($F285),$K285="k"),ROUND(VLOOKUP(EY$4,Preisindex,2,FALSE)/VLOOKUP(Preisindex!$A$6,Preisindex,2,FALSE),2),0)))))</f>
        <v>0</v>
      </c>
      <c r="FA285" s="51">
        <f>IF(AND($E285&lt;&gt;0,$F285&gt;0,YEAR($F285)&lt;=EY$4,YEAR($F285)&gt;=Preisindex!$A$6),ROUND($E285*EY285,2),IF(AND($E285&lt;&gt;0,$F285&gt;0,YEAR($F285)&lt;=EY$4,YEAR($F285)&lt;Preisindex!$A$6),ROUND($E285*EZ285,2),0))</f>
        <v>0</v>
      </c>
      <c r="FB285" s="53">
        <f t="shared" si="811"/>
        <v>0</v>
      </c>
      <c r="FC285" s="51">
        <f t="shared" si="840"/>
        <v>0</v>
      </c>
      <c r="FD285" s="51">
        <f t="shared" si="876"/>
        <v>0</v>
      </c>
      <c r="FE285" s="51">
        <f t="shared" si="812"/>
        <v>0</v>
      </c>
      <c r="FF285" s="51">
        <f t="shared" si="877"/>
        <v>0</v>
      </c>
      <c r="FG285" s="51">
        <f t="shared" si="813"/>
        <v>0</v>
      </c>
      <c r="FH285" s="51">
        <f t="shared" si="878"/>
        <v>0</v>
      </c>
      <c r="FI285" s="51">
        <f t="shared" si="814"/>
        <v>0</v>
      </c>
      <c r="FJ285" s="51">
        <f t="shared" si="879"/>
        <v>0</v>
      </c>
      <c r="FK285" s="51">
        <f t="shared" si="815"/>
        <v>0</v>
      </c>
      <c r="FL285" s="51">
        <f t="shared" si="880"/>
        <v>0</v>
      </c>
      <c r="FM285" s="51">
        <f t="shared" si="816"/>
        <v>0</v>
      </c>
      <c r="FN285" s="54">
        <f t="shared" si="817"/>
        <v>0</v>
      </c>
      <c r="FO285" s="55">
        <f t="shared" si="818"/>
        <v>0</v>
      </c>
      <c r="FP285" s="56">
        <f>IF(AND($E285&lt;&gt;0,$F285&gt;0,YEAR($F285)&gt;=Preisindex!$A$6,YEAR(FK$4)&gt;=YEAR($F285),AND($K285&lt;&gt;"a",$K285&lt;&gt;"b",$K285&lt;&gt;"g",$K285&lt;&gt;"k")),1,IF(AND($E285&lt;&gt;0,$F285&gt;0,YEAR($F285)&gt;=Preisindex!$A$6,YEAR(FK$4)&gt;=YEAR($F285),$K285="a"),ROUND(VLOOKUP(FP$4,Preisindex,5,FALSE)/VLOOKUP(YEAR($F285),Preisindex,5,FALSE),2),IF(AND($E285&lt;&gt;0,$F285&gt;0,YEAR($F285)&gt;=Preisindex!$A$6,YEAR(FK$4)&gt;=YEAR($F285),$K285="b"),ROUND(VLOOKUP(FP$4,Preisindex,3,FALSE)/VLOOKUP(YEAR($F285),Preisindex,3,FALSE),2),IF(AND($E285&lt;&gt;0,$F285&gt;0,YEAR($F285)&gt;=Preisindex!$A$6,YEAR(FK$4)&gt;=YEAR($F285),$K285="g"),ROUND(VLOOKUP(FP$4,Preisindex,4,FALSE)/VLOOKUP(YEAR($F285),Preisindex,4,FALSE),2),IF(AND($E285&lt;&gt;0,$F285&gt;0,YEAR($F285)&gt;=Preisindex!$A$6,YEAR(FK$4)&gt;=YEAR($F285),$K285="k"),ROUND(VLOOKUP(FP$4,Preisindex,2,FALSE)/VLOOKUP(YEAR($F285),Preisindex,2,FALSE),2),0)))))</f>
        <v>0</v>
      </c>
      <c r="FQ285" s="56">
        <f>IF(AND($E285&lt;&gt;0,$F285&gt;0,YEAR($F285)&lt;Preisindex!$A$6,YEAR(FK$4)&gt;=YEAR($F285),AND($K285&lt;&gt;"a",$K285&lt;&gt;"b",$K285&lt;&gt;"g",$K285&lt;&gt;"k")),1,IF(AND($E285&lt;&gt;0,$F285&gt;0,YEAR($F285)&lt;Preisindex!$A$6,YEAR(FK$4)&gt;=YEAR($F285),$K285="a"),ROUND(VLOOKUP(FP$4,Preisindex,5,FALSE)/VLOOKUP(Preisindex!$A$6,Preisindex,5,FALSE),2),IF(AND($E285&lt;&gt;0,$F285&gt;0,YEAR($F285)&lt;Preisindex!$A$6,YEAR(FK$4)&gt;=YEAR($F285),$K285="b"),ROUND(VLOOKUP(FP$4,Preisindex,3,FALSE)/VLOOKUP(Preisindex!$A$6,Preisindex,3,FALSE),2),IF(AND($E285&lt;&gt;0,$F285&gt;0,YEAR($F285)&lt;Preisindex!$A$6,YEAR(FK$4)&gt;=YEAR($F285),$K285="g"),ROUND(VLOOKUP(FP$4,Preisindex,4,FALSE)/VLOOKUP(Preisindex!$A$6,Preisindex,4,FALSE),2),IF(AND($E285&lt;&gt;0,$F285&gt;0,YEAR($F285)&lt;Preisindex!$A$6,YEAR(FK$4)&gt;=YEAR($F285),$K285="k"),ROUND(VLOOKUP(FP$4,Preisindex,2,FALSE)/VLOOKUP(Preisindex!$A$6,Preisindex,2,FALSE),2),0)))))</f>
        <v>0</v>
      </c>
      <c r="FR285" s="51">
        <f>IF(AND($E285&lt;&gt;0,$F285&gt;0,YEAR($F285)&lt;=FP$4,YEAR($F285)&gt;=Preisindex!$A$6),ROUND($E285*FP285,2),IF(AND($E285&lt;&gt;0,$F285&gt;0,YEAR($F285)&lt;=FP$4,YEAR($F285)&lt;Preisindex!$A$6),ROUND($E285*FQ285,2),0))</f>
        <v>0</v>
      </c>
      <c r="FS285" s="53">
        <f t="shared" si="819"/>
        <v>0</v>
      </c>
    </row>
    <row r="286" spans="1:175" x14ac:dyDescent="0.3">
      <c r="A286" s="185"/>
      <c r="B286" s="186"/>
      <c r="C286" s="187"/>
      <c r="D286" s="188"/>
      <c r="E286" s="189"/>
      <c r="F286" s="190"/>
      <c r="G286" s="191"/>
      <c r="H286" s="192"/>
      <c r="I286" s="193"/>
      <c r="J286" s="194"/>
      <c r="K286" s="630"/>
      <c r="L286" s="49">
        <f t="shared" si="820"/>
        <v>0</v>
      </c>
      <c r="M286" s="50">
        <f t="shared" si="821"/>
        <v>0</v>
      </c>
      <c r="N286" s="51">
        <f t="shared" si="822"/>
        <v>0</v>
      </c>
      <c r="O286" s="51"/>
      <c r="P286" s="51">
        <f t="shared" si="823"/>
        <v>0</v>
      </c>
      <c r="Q286" s="52"/>
      <c r="R286" s="52"/>
      <c r="S286" s="52"/>
      <c r="T286" s="52"/>
      <c r="U286" s="52"/>
      <c r="V286" s="53">
        <f t="shared" si="824"/>
        <v>0</v>
      </c>
      <c r="W286" s="51">
        <f t="shared" si="825"/>
        <v>0</v>
      </c>
      <c r="X286" s="51">
        <f t="shared" si="826"/>
        <v>0</v>
      </c>
      <c r="Y286" s="51">
        <f t="shared" si="827"/>
        <v>0</v>
      </c>
      <c r="Z286" s="51">
        <f t="shared" si="828"/>
        <v>0</v>
      </c>
      <c r="AA286" s="51">
        <f t="shared" si="829"/>
        <v>0</v>
      </c>
      <c r="AB286" s="51">
        <f t="shared" si="830"/>
        <v>0</v>
      </c>
      <c r="AC286" s="51">
        <f t="shared" si="831"/>
        <v>0</v>
      </c>
      <c r="AD286" s="51">
        <f t="shared" si="832"/>
        <v>0</v>
      </c>
      <c r="AE286" s="51">
        <f t="shared" si="833"/>
        <v>0</v>
      </c>
      <c r="AF286" s="51">
        <f t="shared" si="834"/>
        <v>0</v>
      </c>
      <c r="AG286" s="51">
        <f t="shared" si="835"/>
        <v>0</v>
      </c>
      <c r="AH286" s="54">
        <f t="shared" si="836"/>
        <v>0</v>
      </c>
      <c r="AI286" s="55">
        <f t="shared" si="837"/>
        <v>0</v>
      </c>
      <c r="AJ286" s="56">
        <f>IF(AND($E286&lt;&gt;0,$F286&gt;0,YEAR($F286)&gt;=Preisindex!$A$6,YEAR(AE$4)&gt;=YEAR($F286),AND($K286&lt;&gt;"a",$K286&lt;&gt;"b",$K286&lt;&gt;"g",$K286&lt;&gt;"k")),1,IF(AND($E286&lt;&gt;0,$F286&gt;0,YEAR($F286)&gt;=Preisindex!$A$6,YEAR(AE$4)&gt;=YEAR($F286),$K286="a"),ROUND(VLOOKUP(AJ$4,Preisindex,5,FALSE)/VLOOKUP(YEAR($F286),Preisindex,5,FALSE),2),IF(AND($E286&lt;&gt;0,$F286&gt;0,YEAR($F286)&gt;=Preisindex!$A$6,YEAR(AE$4)&gt;=YEAR($F286),$K286="b"),ROUND(VLOOKUP(AJ$4,Preisindex,3,FALSE)/VLOOKUP(YEAR($F286),Preisindex,3,FALSE),2),IF(AND($E286&lt;&gt;0,$F286&gt;0,YEAR($F286)&gt;=Preisindex!$A$6,YEAR(AE$4)&gt;=YEAR($F286),$K286="g"),ROUND(VLOOKUP(AJ$4,Preisindex,4,FALSE)/VLOOKUP(YEAR($F286),Preisindex,4,FALSE),2),IF(AND($E286&lt;&gt;0,$F286&gt;0,YEAR($F286)&gt;=Preisindex!$A$6,YEAR(AE$4)&gt;=YEAR($F286),$K286="k"),ROUND(VLOOKUP(AJ$4,Preisindex,2,FALSE)/VLOOKUP(YEAR($F286),Preisindex,2,FALSE),2),0)))))</f>
        <v>0</v>
      </c>
      <c r="AK286" s="56">
        <f>IF(AND($E286&lt;&gt;0,$F286&gt;0,YEAR($F286)&lt;Preisindex!$A$6,YEAR(AE$4)&gt;=YEAR($F286),AND($K286&lt;&gt;"a",$K286&lt;&gt;"b",$K286&lt;&gt;"g",$K286&lt;&gt;"k")),1,IF(AND($E286&lt;&gt;0,$F286&gt;0,YEAR($F286)&lt;Preisindex!$A$6,YEAR(AE$4)&gt;=YEAR($F286),$K286="a"),ROUND(VLOOKUP(AJ$4,Preisindex,5,FALSE)/VLOOKUP(Preisindex!$A$6,Preisindex,5,FALSE),2),IF(AND($E286&lt;&gt;0,$F286&gt;0,YEAR($F286)&lt;Preisindex!$A$6,YEAR(AE$4)&gt;=YEAR($F286),$K286="b"),ROUND(VLOOKUP(AJ$4,Preisindex,3,FALSE)/VLOOKUP(Preisindex!$A$6,Preisindex,3,FALSE),2),IF(AND($E286&lt;&gt;0,$F286&gt;0,YEAR($F286)&lt;Preisindex!$A$6,YEAR(AE$4)&gt;=YEAR($F286),$K286="g"),ROUND(VLOOKUP(AJ$4,Preisindex,4,FALSE)/VLOOKUP(Preisindex!$A$6,Preisindex,4,FALSE),2),IF(AND($E286&lt;&gt;0,$F286&gt;0,YEAR($F286)&lt;Preisindex!$A$6,YEAR(AE$4)&gt;=YEAR($F286),$K286="k"),ROUND(VLOOKUP(AJ$4,Preisindex,2,FALSE)/VLOOKUP(Preisindex!$A$6,Preisindex,2,FALSE),2),0)))))</f>
        <v>0</v>
      </c>
      <c r="AL286" s="51">
        <f>IF(AND($E286&lt;&gt;0,$F286&gt;0,YEAR($F286)&lt;=AJ$4,YEAR($F286)&gt;=Preisindex!$A$6),ROUND($E286*AJ286,2),IF(AND($E286&lt;&gt;0,$F286&gt;0,YEAR($F286)&lt;=AJ$4,YEAR($F286)&lt;Preisindex!$A$6),ROUND($E286*AK286,2),0))</f>
        <v>0</v>
      </c>
      <c r="AM286" s="53">
        <f t="shared" si="838"/>
        <v>0</v>
      </c>
      <c r="AN286" s="51">
        <f t="shared" si="839"/>
        <v>0</v>
      </c>
      <c r="AO286" s="51">
        <f t="shared" si="841"/>
        <v>0</v>
      </c>
      <c r="AP286" s="51">
        <f t="shared" si="755"/>
        <v>0</v>
      </c>
      <c r="AQ286" s="51">
        <f t="shared" si="842"/>
        <v>0</v>
      </c>
      <c r="AR286" s="51">
        <f t="shared" si="756"/>
        <v>0</v>
      </c>
      <c r="AS286" s="51">
        <f t="shared" si="843"/>
        <v>0</v>
      </c>
      <c r="AT286" s="51">
        <f t="shared" si="757"/>
        <v>0</v>
      </c>
      <c r="AU286" s="51">
        <f t="shared" si="844"/>
        <v>0</v>
      </c>
      <c r="AV286" s="51">
        <f t="shared" si="758"/>
        <v>0</v>
      </c>
      <c r="AW286" s="51">
        <f t="shared" si="845"/>
        <v>0</v>
      </c>
      <c r="AX286" s="51">
        <f t="shared" si="759"/>
        <v>0</v>
      </c>
      <c r="AY286" s="54">
        <f t="shared" si="760"/>
        <v>0</v>
      </c>
      <c r="AZ286" s="55">
        <f t="shared" si="761"/>
        <v>0</v>
      </c>
      <c r="BA286" s="56">
        <f>IF(AND($E286&lt;&gt;0,$F286&gt;0,YEAR($F286)&gt;=Preisindex!$A$6,YEAR(AV$4)&gt;=YEAR($F286),AND($K286&lt;&gt;"a",$K286&lt;&gt;"b",$K286&lt;&gt;"g",$K286&lt;&gt;"k")),1,IF(AND($E286&lt;&gt;0,$F286&gt;0,YEAR($F286)&gt;=Preisindex!$A$6,YEAR(AV$4)&gt;=YEAR($F286),$K286="a"),ROUND(VLOOKUP(BA$4,Preisindex,5,FALSE)/VLOOKUP(YEAR($F286),Preisindex,5,FALSE),2),IF(AND($E286&lt;&gt;0,$F286&gt;0,YEAR($F286)&gt;=Preisindex!$A$6,YEAR(AV$4)&gt;=YEAR($F286),$K286="b"),ROUND(VLOOKUP(BA$4,Preisindex,3,FALSE)/VLOOKUP(YEAR($F286),Preisindex,3,FALSE),2),IF(AND($E286&lt;&gt;0,$F286&gt;0,YEAR($F286)&gt;=Preisindex!$A$6,YEAR(AV$4)&gt;=YEAR($F286),$K286="g"),ROUND(VLOOKUP(BA$4,Preisindex,4,FALSE)/VLOOKUP(YEAR($F286),Preisindex,4,FALSE),2),IF(AND($E286&lt;&gt;0,$F286&gt;0,YEAR($F286)&gt;=Preisindex!$A$6,YEAR(AV$4)&gt;=YEAR($F286),$K286="k"),ROUND(VLOOKUP(BA$4,Preisindex,2,FALSE)/VLOOKUP(YEAR($F286),Preisindex,2,FALSE),2),0)))))</f>
        <v>0</v>
      </c>
      <c r="BB286" s="56">
        <f>IF(AND($E286&lt;&gt;0,$F286&gt;0,YEAR($F286)&lt;Preisindex!$A$6,YEAR(AV$4)&gt;=YEAR($F286),AND($K286&lt;&gt;"a",$K286&lt;&gt;"b",$K286&lt;&gt;"g",$K286&lt;&gt;"k")),1,IF(AND($E286&lt;&gt;0,$F286&gt;0,YEAR($F286)&lt;Preisindex!$A$6,YEAR(AV$4)&gt;=YEAR($F286),$K286="a"),ROUND(VLOOKUP(BA$4,Preisindex,5,FALSE)/VLOOKUP(Preisindex!$A$6,Preisindex,5,FALSE),2),IF(AND($E286&lt;&gt;0,$F286&gt;0,YEAR($F286)&lt;Preisindex!$A$6,YEAR(AV$4)&gt;=YEAR($F286),$K286="b"),ROUND(VLOOKUP(BA$4,Preisindex,3,FALSE)/VLOOKUP(Preisindex!$A$6,Preisindex,3,FALSE),2),IF(AND($E286&lt;&gt;0,$F286&gt;0,YEAR($F286)&lt;Preisindex!$A$6,YEAR(AV$4)&gt;=YEAR($F286),$K286="g"),ROUND(VLOOKUP(BA$4,Preisindex,4,FALSE)/VLOOKUP(Preisindex!$A$6,Preisindex,4,FALSE),2),IF(AND($E286&lt;&gt;0,$F286&gt;0,YEAR($F286)&lt;Preisindex!$A$6,YEAR(AV$4)&gt;=YEAR($F286),$K286="k"),ROUND(VLOOKUP(BA$4,Preisindex,2,FALSE)/VLOOKUP(Preisindex!$A$6,Preisindex,2,FALSE),2),0)))))</f>
        <v>0</v>
      </c>
      <c r="BC286" s="51">
        <f>IF(AND($E286&lt;&gt;0,$F286&gt;0,YEAR($F286)&lt;=BA$4,YEAR($F286)&gt;=Preisindex!$A$6),ROUND($E286*BA286,2),IF(AND($E286&lt;&gt;0,$F286&gt;0,YEAR($F286)&lt;=BA$4,YEAR($F286)&lt;Preisindex!$A$6),ROUND($E286*BB286,2),0))</f>
        <v>0</v>
      </c>
      <c r="BD286" s="53">
        <f t="shared" si="762"/>
        <v>0</v>
      </c>
      <c r="BE286" s="51">
        <f t="shared" si="839"/>
        <v>0</v>
      </c>
      <c r="BF286" s="51">
        <f t="shared" si="846"/>
        <v>0</v>
      </c>
      <c r="BG286" s="51">
        <f t="shared" si="763"/>
        <v>0</v>
      </c>
      <c r="BH286" s="51">
        <f t="shared" si="847"/>
        <v>0</v>
      </c>
      <c r="BI286" s="51">
        <f t="shared" si="764"/>
        <v>0</v>
      </c>
      <c r="BJ286" s="51">
        <f t="shared" si="848"/>
        <v>0</v>
      </c>
      <c r="BK286" s="51">
        <f t="shared" si="765"/>
        <v>0</v>
      </c>
      <c r="BL286" s="51">
        <f t="shared" si="849"/>
        <v>0</v>
      </c>
      <c r="BM286" s="51">
        <f t="shared" si="766"/>
        <v>0</v>
      </c>
      <c r="BN286" s="51">
        <f t="shared" si="850"/>
        <v>0</v>
      </c>
      <c r="BO286" s="51">
        <f t="shared" si="767"/>
        <v>0</v>
      </c>
      <c r="BP286" s="54">
        <f t="shared" si="768"/>
        <v>0</v>
      </c>
      <c r="BQ286" s="55">
        <f t="shared" si="769"/>
        <v>0</v>
      </c>
      <c r="BR286" s="56">
        <f>IF(AND($E286&lt;&gt;0,$F286&gt;0,YEAR($F286)&gt;=Preisindex!$A$6,YEAR(BM$4)&gt;=YEAR($F286),AND($K286&lt;&gt;"a",$K286&lt;&gt;"b",$K286&lt;&gt;"g",$K286&lt;&gt;"k")),1,IF(AND($E286&lt;&gt;0,$F286&gt;0,YEAR($F286)&gt;=Preisindex!$A$6,YEAR(BM$4)&gt;=YEAR($F286),$K286="a"),ROUND(VLOOKUP(BR$4,Preisindex,5,FALSE)/VLOOKUP(YEAR($F286),Preisindex,5,FALSE),2),IF(AND($E286&lt;&gt;0,$F286&gt;0,YEAR($F286)&gt;=Preisindex!$A$6,YEAR(BM$4)&gt;=YEAR($F286),$K286="b"),ROUND(VLOOKUP(BR$4,Preisindex,3,FALSE)/VLOOKUP(YEAR($F286),Preisindex,3,FALSE),2),IF(AND($E286&lt;&gt;0,$F286&gt;0,YEAR($F286)&gt;=Preisindex!$A$6,YEAR(BM$4)&gt;=YEAR($F286),$K286="g"),ROUND(VLOOKUP(BR$4,Preisindex,4,FALSE)/VLOOKUP(YEAR($F286),Preisindex,4,FALSE),2),IF(AND($E286&lt;&gt;0,$F286&gt;0,YEAR($F286)&gt;=Preisindex!$A$6,YEAR(BM$4)&gt;=YEAR($F286),$K286="k"),ROUND(VLOOKUP(BR$4,Preisindex,2,FALSE)/VLOOKUP(YEAR($F286),Preisindex,2,FALSE),2),0)))))</f>
        <v>0</v>
      </c>
      <c r="BS286" s="56">
        <f>IF(AND($E286&lt;&gt;0,$F286&gt;0,YEAR($F286)&lt;Preisindex!$A$6,YEAR(BM$4)&gt;=YEAR($F286),AND($K286&lt;&gt;"a",$K286&lt;&gt;"b",$K286&lt;&gt;"g",$K286&lt;&gt;"k")),1,IF(AND($E286&lt;&gt;0,$F286&gt;0,YEAR($F286)&lt;Preisindex!$A$6,YEAR(BM$4)&gt;=YEAR($F286),$K286="a"),ROUND(VLOOKUP(BR$4,Preisindex,5,FALSE)/VLOOKUP(Preisindex!$A$6,Preisindex,5,FALSE),2),IF(AND($E286&lt;&gt;0,$F286&gt;0,YEAR($F286)&lt;Preisindex!$A$6,YEAR(BM$4)&gt;=YEAR($F286),$K286="b"),ROUND(VLOOKUP(BR$4,Preisindex,3,FALSE)/VLOOKUP(Preisindex!$A$6,Preisindex,3,FALSE),2),IF(AND($E286&lt;&gt;0,$F286&gt;0,YEAR($F286)&lt;Preisindex!$A$6,YEAR(BM$4)&gt;=YEAR($F286),$K286="g"),ROUND(VLOOKUP(BR$4,Preisindex,4,FALSE)/VLOOKUP(Preisindex!$A$6,Preisindex,4,FALSE),2),IF(AND($E286&lt;&gt;0,$F286&gt;0,YEAR($F286)&lt;Preisindex!$A$6,YEAR(BM$4)&gt;=YEAR($F286),$K286="k"),ROUND(VLOOKUP(BR$4,Preisindex,2,FALSE)/VLOOKUP(Preisindex!$A$6,Preisindex,2,FALSE),2),0)))))</f>
        <v>0</v>
      </c>
      <c r="BT286" s="51">
        <f>IF(AND($E286&lt;&gt;0,$F286&gt;0,YEAR($F286)&lt;=BR$4,YEAR($F286)&gt;=Preisindex!$A$6),ROUND($E286*BR286,2),IF(AND($E286&lt;&gt;0,$F286&gt;0,YEAR($F286)&lt;=BR$4,YEAR($F286)&lt;Preisindex!$A$6),ROUND($E286*BS286,2),0))</f>
        <v>0</v>
      </c>
      <c r="BU286" s="53">
        <f t="shared" si="770"/>
        <v>0</v>
      </c>
      <c r="BV286" s="51">
        <f t="shared" si="839"/>
        <v>0</v>
      </c>
      <c r="BW286" s="51">
        <f t="shared" si="851"/>
        <v>0</v>
      </c>
      <c r="BX286" s="51">
        <f t="shared" si="771"/>
        <v>0</v>
      </c>
      <c r="BY286" s="51">
        <f t="shared" si="852"/>
        <v>0</v>
      </c>
      <c r="BZ286" s="51">
        <f t="shared" si="772"/>
        <v>0</v>
      </c>
      <c r="CA286" s="51">
        <f t="shared" si="853"/>
        <v>0</v>
      </c>
      <c r="CB286" s="51">
        <f t="shared" si="773"/>
        <v>0</v>
      </c>
      <c r="CC286" s="51">
        <f t="shared" si="854"/>
        <v>0</v>
      </c>
      <c r="CD286" s="51">
        <f t="shared" si="774"/>
        <v>0</v>
      </c>
      <c r="CE286" s="51">
        <f t="shared" si="855"/>
        <v>0</v>
      </c>
      <c r="CF286" s="51">
        <f t="shared" si="775"/>
        <v>0</v>
      </c>
      <c r="CG286" s="54">
        <f t="shared" si="776"/>
        <v>0</v>
      </c>
      <c r="CH286" s="55">
        <f t="shared" si="777"/>
        <v>0</v>
      </c>
      <c r="CI286" s="56">
        <f>IF(AND($E286&lt;&gt;0,$F286&gt;0,YEAR($F286)&gt;=Preisindex!$A$6,YEAR(CD$4)&gt;=YEAR($F286),AND($K286&lt;&gt;"a",$K286&lt;&gt;"b",$K286&lt;&gt;"g",$K286&lt;&gt;"k")),1,IF(AND($E286&lt;&gt;0,$F286&gt;0,YEAR($F286)&gt;=Preisindex!$A$6,YEAR(CD$4)&gt;=YEAR($F286),$K286="a"),ROUND(VLOOKUP(CI$4,Preisindex,5,FALSE)/VLOOKUP(YEAR($F286),Preisindex,5,FALSE),2),IF(AND($E286&lt;&gt;0,$F286&gt;0,YEAR($F286)&gt;=Preisindex!$A$6,YEAR(CD$4)&gt;=YEAR($F286),$K286="b"),ROUND(VLOOKUP(CI$4,Preisindex,3,FALSE)/VLOOKUP(YEAR($F286),Preisindex,3,FALSE),2),IF(AND($E286&lt;&gt;0,$F286&gt;0,YEAR($F286)&gt;=Preisindex!$A$6,YEAR(CD$4)&gt;=YEAR($F286),$K286="g"),ROUND(VLOOKUP(CI$4,Preisindex,4,FALSE)/VLOOKUP(YEAR($F286),Preisindex,4,FALSE),2),IF(AND($E286&lt;&gt;0,$F286&gt;0,YEAR($F286)&gt;=Preisindex!$A$6,YEAR(CD$4)&gt;=YEAR($F286),$K286="k"),ROUND(VLOOKUP(CI$4,Preisindex,2,FALSE)/VLOOKUP(YEAR($F286),Preisindex,2,FALSE),2),0)))))</f>
        <v>0</v>
      </c>
      <c r="CJ286" s="56">
        <f>IF(AND($E286&lt;&gt;0,$F286&gt;0,YEAR($F286)&lt;Preisindex!$A$6,YEAR(CD$4)&gt;=YEAR($F286),AND($K286&lt;&gt;"a",$K286&lt;&gt;"b",$K286&lt;&gt;"g",$K286&lt;&gt;"k")),1,IF(AND($E286&lt;&gt;0,$F286&gt;0,YEAR($F286)&lt;Preisindex!$A$6,YEAR(CD$4)&gt;=YEAR($F286),$K286="a"),ROUND(VLOOKUP(CI$4,Preisindex,5,FALSE)/VLOOKUP(Preisindex!$A$6,Preisindex,5,FALSE),2),IF(AND($E286&lt;&gt;0,$F286&gt;0,YEAR($F286)&lt;Preisindex!$A$6,YEAR(CD$4)&gt;=YEAR($F286),$K286="b"),ROUND(VLOOKUP(CI$4,Preisindex,3,FALSE)/VLOOKUP(Preisindex!$A$6,Preisindex,3,FALSE),2),IF(AND($E286&lt;&gt;0,$F286&gt;0,YEAR($F286)&lt;Preisindex!$A$6,YEAR(CD$4)&gt;=YEAR($F286),$K286="g"),ROUND(VLOOKUP(CI$4,Preisindex,4,FALSE)/VLOOKUP(Preisindex!$A$6,Preisindex,4,FALSE),2),IF(AND($E286&lt;&gt;0,$F286&gt;0,YEAR($F286)&lt;Preisindex!$A$6,YEAR(CD$4)&gt;=YEAR($F286),$K286="k"),ROUND(VLOOKUP(CI$4,Preisindex,2,FALSE)/VLOOKUP(Preisindex!$A$6,Preisindex,2,FALSE),2),0)))))</f>
        <v>0</v>
      </c>
      <c r="CK286" s="51">
        <f>IF(AND($E286&lt;&gt;0,$F286&gt;0,YEAR($F286)&lt;=CI$4,YEAR($F286)&gt;=Preisindex!$A$6),ROUND($E286*CI286,2),IF(AND($E286&lt;&gt;0,$F286&gt;0,YEAR($F286)&lt;=CI$4,YEAR($F286)&lt;Preisindex!$A$6),ROUND($E286*CJ286,2),0))</f>
        <v>0</v>
      </c>
      <c r="CL286" s="53">
        <f t="shared" si="778"/>
        <v>0</v>
      </c>
      <c r="CM286" s="51">
        <f t="shared" si="839"/>
        <v>0</v>
      </c>
      <c r="CN286" s="51">
        <f t="shared" si="856"/>
        <v>0</v>
      </c>
      <c r="CO286" s="51">
        <f t="shared" si="779"/>
        <v>0</v>
      </c>
      <c r="CP286" s="51">
        <f t="shared" si="857"/>
        <v>0</v>
      </c>
      <c r="CQ286" s="51">
        <f t="shared" si="780"/>
        <v>0</v>
      </c>
      <c r="CR286" s="51">
        <f t="shared" si="858"/>
        <v>0</v>
      </c>
      <c r="CS286" s="51">
        <f t="shared" si="781"/>
        <v>0</v>
      </c>
      <c r="CT286" s="51">
        <f t="shared" si="859"/>
        <v>0</v>
      </c>
      <c r="CU286" s="51">
        <f t="shared" si="782"/>
        <v>0</v>
      </c>
      <c r="CV286" s="51">
        <f t="shared" si="860"/>
        <v>0</v>
      </c>
      <c r="CW286" s="51">
        <f t="shared" si="783"/>
        <v>0</v>
      </c>
      <c r="CX286" s="54">
        <f t="shared" si="784"/>
        <v>0</v>
      </c>
      <c r="CY286" s="55">
        <f t="shared" si="785"/>
        <v>0</v>
      </c>
      <c r="CZ286" s="56">
        <f>IF(AND($E286&lt;&gt;0,$F286&gt;0,YEAR($F286)&gt;=Preisindex!$A$6,YEAR(CU$4)&gt;=YEAR($F286),AND($K286&lt;&gt;"a",$K286&lt;&gt;"b",$K286&lt;&gt;"g",$K286&lt;&gt;"k")),1,IF(AND($E286&lt;&gt;0,$F286&gt;0,YEAR($F286)&gt;=Preisindex!$A$6,YEAR(CU$4)&gt;=YEAR($F286),$K286="a"),ROUND(VLOOKUP(CZ$4,Preisindex,5,FALSE)/VLOOKUP(YEAR($F286),Preisindex,5,FALSE),2),IF(AND($E286&lt;&gt;0,$F286&gt;0,YEAR($F286)&gt;=Preisindex!$A$6,YEAR(CU$4)&gt;=YEAR($F286),$K286="b"),ROUND(VLOOKUP(CZ$4,Preisindex,3,FALSE)/VLOOKUP(YEAR($F286),Preisindex,3,FALSE),2),IF(AND($E286&lt;&gt;0,$F286&gt;0,YEAR($F286)&gt;=Preisindex!$A$6,YEAR(CU$4)&gt;=YEAR($F286),$K286="g"),ROUND(VLOOKUP(CZ$4,Preisindex,4,FALSE)/VLOOKUP(YEAR($F286),Preisindex,4,FALSE),2),IF(AND($E286&lt;&gt;0,$F286&gt;0,YEAR($F286)&gt;=Preisindex!$A$6,YEAR(CU$4)&gt;=YEAR($F286),$K286="k"),ROUND(VLOOKUP(CZ$4,Preisindex,2,FALSE)/VLOOKUP(YEAR($F286),Preisindex,2,FALSE),2),0)))))</f>
        <v>0</v>
      </c>
      <c r="DA286" s="56">
        <f>IF(AND($E286&lt;&gt;0,$F286&gt;0,YEAR($F286)&lt;Preisindex!$A$6,YEAR(CU$4)&gt;=YEAR($F286),AND($K286&lt;&gt;"a",$K286&lt;&gt;"b",$K286&lt;&gt;"g",$K286&lt;&gt;"k")),1,IF(AND($E286&lt;&gt;0,$F286&gt;0,YEAR($F286)&lt;Preisindex!$A$6,YEAR(CU$4)&gt;=YEAR($F286),$K286="a"),ROUND(VLOOKUP(CZ$4,Preisindex,5,FALSE)/VLOOKUP(Preisindex!$A$6,Preisindex,5,FALSE),2),IF(AND($E286&lt;&gt;0,$F286&gt;0,YEAR($F286)&lt;Preisindex!$A$6,YEAR(CU$4)&gt;=YEAR($F286),$K286="b"),ROUND(VLOOKUP(CZ$4,Preisindex,3,FALSE)/VLOOKUP(Preisindex!$A$6,Preisindex,3,FALSE),2),IF(AND($E286&lt;&gt;0,$F286&gt;0,YEAR($F286)&lt;Preisindex!$A$6,YEAR(CU$4)&gt;=YEAR($F286),$K286="g"),ROUND(VLOOKUP(CZ$4,Preisindex,4,FALSE)/VLOOKUP(Preisindex!$A$6,Preisindex,4,FALSE),2),IF(AND($E286&lt;&gt;0,$F286&gt;0,YEAR($F286)&lt;Preisindex!$A$6,YEAR(CU$4)&gt;=YEAR($F286),$K286="k"),ROUND(VLOOKUP(CZ$4,Preisindex,2,FALSE)/VLOOKUP(Preisindex!$A$6,Preisindex,2,FALSE),2),0)))))</f>
        <v>0</v>
      </c>
      <c r="DB286" s="51">
        <f>IF(AND($E286&lt;&gt;0,$F286&gt;0,YEAR($F286)&lt;=CZ$4,YEAR($F286)&gt;=Preisindex!$A$6),ROUND($E286*CZ286,2),IF(AND($E286&lt;&gt;0,$F286&gt;0,YEAR($F286)&lt;=CZ$4,YEAR($F286)&lt;Preisindex!$A$6),ROUND($E286*DA286,2),0))</f>
        <v>0</v>
      </c>
      <c r="DC286" s="53">
        <f t="shared" si="786"/>
        <v>0</v>
      </c>
      <c r="DD286" s="51">
        <f t="shared" si="840"/>
        <v>0</v>
      </c>
      <c r="DE286" s="51">
        <f t="shared" si="861"/>
        <v>0</v>
      </c>
      <c r="DF286" s="51">
        <f t="shared" si="788"/>
        <v>0</v>
      </c>
      <c r="DG286" s="51">
        <f t="shared" si="862"/>
        <v>0</v>
      </c>
      <c r="DH286" s="51">
        <f t="shared" si="789"/>
        <v>0</v>
      </c>
      <c r="DI286" s="51">
        <f t="shared" si="863"/>
        <v>0</v>
      </c>
      <c r="DJ286" s="51">
        <f t="shared" si="790"/>
        <v>0</v>
      </c>
      <c r="DK286" s="51">
        <f t="shared" si="864"/>
        <v>0</v>
      </c>
      <c r="DL286" s="51">
        <f t="shared" si="791"/>
        <v>0</v>
      </c>
      <c r="DM286" s="51">
        <f t="shared" si="865"/>
        <v>0</v>
      </c>
      <c r="DN286" s="51">
        <f t="shared" si="792"/>
        <v>0</v>
      </c>
      <c r="DO286" s="54">
        <f t="shared" si="793"/>
        <v>0</v>
      </c>
      <c r="DP286" s="55">
        <f t="shared" si="794"/>
        <v>0</v>
      </c>
      <c r="DQ286" s="56">
        <f>IF(AND($E286&lt;&gt;0,$F286&gt;0,YEAR($F286)&gt;=Preisindex!$A$6,YEAR(DL$4)&gt;=YEAR($F286),AND($K286&lt;&gt;"a",$K286&lt;&gt;"b",$K286&lt;&gt;"g",$K286&lt;&gt;"k")),1,IF(AND($E286&lt;&gt;0,$F286&gt;0,YEAR($F286)&gt;=Preisindex!$A$6,YEAR(DL$4)&gt;=YEAR($F286),$K286="a"),ROUND(VLOOKUP(DQ$4,Preisindex,5,FALSE)/VLOOKUP(YEAR($F286),Preisindex,5,FALSE),2),IF(AND($E286&lt;&gt;0,$F286&gt;0,YEAR($F286)&gt;=Preisindex!$A$6,YEAR(DL$4)&gt;=YEAR($F286),$K286="b"),ROUND(VLOOKUP(DQ$4,Preisindex,3,FALSE)/VLOOKUP(YEAR($F286),Preisindex,3,FALSE),2),IF(AND($E286&lt;&gt;0,$F286&gt;0,YEAR($F286)&gt;=Preisindex!$A$6,YEAR(DL$4)&gt;=YEAR($F286),$K286="g"),ROUND(VLOOKUP(DQ$4,Preisindex,4,FALSE)/VLOOKUP(YEAR($F286),Preisindex,4,FALSE),2),IF(AND($E286&lt;&gt;0,$F286&gt;0,YEAR($F286)&gt;=Preisindex!$A$6,YEAR(DL$4)&gt;=YEAR($F286),$K286="k"),ROUND(VLOOKUP(DQ$4,Preisindex,2,FALSE)/VLOOKUP(YEAR($F286),Preisindex,2,FALSE),2),0)))))</f>
        <v>0</v>
      </c>
      <c r="DR286" s="56">
        <f>IF(AND($E286&lt;&gt;0,$F286&gt;0,YEAR($F286)&lt;Preisindex!$A$6,YEAR(DL$4)&gt;=YEAR($F286),AND($K286&lt;&gt;"a",$K286&lt;&gt;"b",$K286&lt;&gt;"g",$K286&lt;&gt;"k")),1,IF(AND($E286&lt;&gt;0,$F286&gt;0,YEAR($F286)&lt;Preisindex!$A$6,YEAR(DL$4)&gt;=YEAR($F286),$K286="a"),ROUND(VLOOKUP(DQ$4,Preisindex,5,FALSE)/VLOOKUP(Preisindex!$A$6,Preisindex,5,FALSE),2),IF(AND($E286&lt;&gt;0,$F286&gt;0,YEAR($F286)&lt;Preisindex!$A$6,YEAR(DL$4)&gt;=YEAR($F286),$K286="b"),ROUND(VLOOKUP(DQ$4,Preisindex,3,FALSE)/VLOOKUP(Preisindex!$A$6,Preisindex,3,FALSE),2),IF(AND($E286&lt;&gt;0,$F286&gt;0,YEAR($F286)&lt;Preisindex!$A$6,YEAR(DL$4)&gt;=YEAR($F286),$K286="g"),ROUND(VLOOKUP(DQ$4,Preisindex,4,FALSE)/VLOOKUP(Preisindex!$A$6,Preisindex,4,FALSE),2),IF(AND($E286&lt;&gt;0,$F286&gt;0,YEAR($F286)&lt;Preisindex!$A$6,YEAR(DL$4)&gt;=YEAR($F286),$K286="k"),ROUND(VLOOKUP(DQ$4,Preisindex,2,FALSE)/VLOOKUP(Preisindex!$A$6,Preisindex,2,FALSE),2),0)))))</f>
        <v>0</v>
      </c>
      <c r="DS286" s="51">
        <f>IF(AND($E286&lt;&gt;0,$F286&gt;0,YEAR($F286)&lt;=DQ$4,YEAR($F286)&gt;=Preisindex!$A$6),ROUND($E286*DQ286,2),IF(AND($E286&lt;&gt;0,$F286&gt;0,YEAR($F286)&lt;=DQ$4,YEAR($F286)&lt;Preisindex!$A$6),ROUND($E286*DR286,2),0))</f>
        <v>0</v>
      </c>
      <c r="DT286" s="53">
        <f t="shared" si="795"/>
        <v>0</v>
      </c>
      <c r="DU286" s="51">
        <f t="shared" si="840"/>
        <v>0</v>
      </c>
      <c r="DV286" s="51">
        <f t="shared" si="866"/>
        <v>0</v>
      </c>
      <c r="DW286" s="51">
        <f t="shared" si="796"/>
        <v>0</v>
      </c>
      <c r="DX286" s="51">
        <f t="shared" si="867"/>
        <v>0</v>
      </c>
      <c r="DY286" s="51">
        <f t="shared" si="797"/>
        <v>0</v>
      </c>
      <c r="DZ286" s="51">
        <f t="shared" si="868"/>
        <v>0</v>
      </c>
      <c r="EA286" s="51">
        <f t="shared" si="798"/>
        <v>0</v>
      </c>
      <c r="EB286" s="51">
        <f t="shared" si="869"/>
        <v>0</v>
      </c>
      <c r="EC286" s="51">
        <f t="shared" si="799"/>
        <v>0</v>
      </c>
      <c r="ED286" s="51">
        <f t="shared" si="870"/>
        <v>0</v>
      </c>
      <c r="EE286" s="51">
        <f t="shared" si="800"/>
        <v>0</v>
      </c>
      <c r="EF286" s="54">
        <f t="shared" si="801"/>
        <v>0</v>
      </c>
      <c r="EG286" s="55">
        <f t="shared" si="802"/>
        <v>0</v>
      </c>
      <c r="EH286" s="56">
        <f>IF(AND($E286&lt;&gt;0,$F286&gt;0,YEAR($F286)&gt;=Preisindex!$A$6,YEAR(EC$4)&gt;=YEAR($F286),AND($K286&lt;&gt;"a",$K286&lt;&gt;"b",$K286&lt;&gt;"g",$K286&lt;&gt;"k")),1,IF(AND($E286&lt;&gt;0,$F286&gt;0,YEAR($F286)&gt;=Preisindex!$A$6,YEAR(EC$4)&gt;=YEAR($F286),$K286="a"),ROUND(VLOOKUP(EH$4,Preisindex,5,FALSE)/VLOOKUP(YEAR($F286),Preisindex,5,FALSE),2),IF(AND($E286&lt;&gt;0,$F286&gt;0,YEAR($F286)&gt;=Preisindex!$A$6,YEAR(EC$4)&gt;=YEAR($F286),$K286="b"),ROUND(VLOOKUP(EH$4,Preisindex,3,FALSE)/VLOOKUP(YEAR($F286),Preisindex,3,FALSE),2),IF(AND($E286&lt;&gt;0,$F286&gt;0,YEAR($F286)&gt;=Preisindex!$A$6,YEAR(EC$4)&gt;=YEAR($F286),$K286="g"),ROUND(VLOOKUP(EH$4,Preisindex,4,FALSE)/VLOOKUP(YEAR($F286),Preisindex,4,FALSE),2),IF(AND($E286&lt;&gt;0,$F286&gt;0,YEAR($F286)&gt;=Preisindex!$A$6,YEAR(EC$4)&gt;=YEAR($F286),$K286="k"),ROUND(VLOOKUP(EH$4,Preisindex,2,FALSE)/VLOOKUP(YEAR($F286),Preisindex,2,FALSE),2),0)))))</f>
        <v>0</v>
      </c>
      <c r="EI286" s="56">
        <f>IF(AND($E286&lt;&gt;0,$F286&gt;0,YEAR($F286)&lt;Preisindex!$A$6,YEAR(EC$4)&gt;=YEAR($F286),AND($K286&lt;&gt;"a",$K286&lt;&gt;"b",$K286&lt;&gt;"g",$K286&lt;&gt;"k")),1,IF(AND($E286&lt;&gt;0,$F286&gt;0,YEAR($F286)&lt;Preisindex!$A$6,YEAR(EC$4)&gt;=YEAR($F286),$K286="a"),ROUND(VLOOKUP(EH$4,Preisindex,5,FALSE)/VLOOKUP(Preisindex!$A$6,Preisindex,5,FALSE),2),IF(AND($E286&lt;&gt;0,$F286&gt;0,YEAR($F286)&lt;Preisindex!$A$6,YEAR(EC$4)&gt;=YEAR($F286),$K286="b"),ROUND(VLOOKUP(EH$4,Preisindex,3,FALSE)/VLOOKUP(Preisindex!$A$6,Preisindex,3,FALSE),2),IF(AND($E286&lt;&gt;0,$F286&gt;0,YEAR($F286)&lt;Preisindex!$A$6,YEAR(EC$4)&gt;=YEAR($F286),$K286="g"),ROUND(VLOOKUP(EH$4,Preisindex,4,FALSE)/VLOOKUP(Preisindex!$A$6,Preisindex,4,FALSE),2),IF(AND($E286&lt;&gt;0,$F286&gt;0,YEAR($F286)&lt;Preisindex!$A$6,YEAR(EC$4)&gt;=YEAR($F286),$K286="k"),ROUND(VLOOKUP(EH$4,Preisindex,2,FALSE)/VLOOKUP(Preisindex!$A$6,Preisindex,2,FALSE),2),0)))))</f>
        <v>0</v>
      </c>
      <c r="EJ286" s="51">
        <f>IF(AND($E286&lt;&gt;0,$F286&gt;0,YEAR($F286)&lt;=EH$4,YEAR($F286)&gt;=Preisindex!$A$6),ROUND($E286*EH286,2),IF(AND($E286&lt;&gt;0,$F286&gt;0,YEAR($F286)&lt;=EH$4,YEAR($F286)&lt;Preisindex!$A$6),ROUND($E286*EI286,2),0))</f>
        <v>0</v>
      </c>
      <c r="EK286" s="53">
        <f t="shared" si="803"/>
        <v>0</v>
      </c>
      <c r="EL286" s="51">
        <f t="shared" si="840"/>
        <v>0</v>
      </c>
      <c r="EM286" s="51">
        <f t="shared" si="871"/>
        <v>0</v>
      </c>
      <c r="EN286" s="51">
        <f t="shared" si="804"/>
        <v>0</v>
      </c>
      <c r="EO286" s="51">
        <f t="shared" si="872"/>
        <v>0</v>
      </c>
      <c r="EP286" s="51">
        <f t="shared" si="805"/>
        <v>0</v>
      </c>
      <c r="EQ286" s="51">
        <f t="shared" si="873"/>
        <v>0</v>
      </c>
      <c r="ER286" s="51">
        <f t="shared" si="806"/>
        <v>0</v>
      </c>
      <c r="ES286" s="51">
        <f t="shared" si="874"/>
        <v>0</v>
      </c>
      <c r="ET286" s="51">
        <f t="shared" si="807"/>
        <v>0</v>
      </c>
      <c r="EU286" s="51">
        <f t="shared" si="875"/>
        <v>0</v>
      </c>
      <c r="EV286" s="51">
        <f t="shared" si="808"/>
        <v>0</v>
      </c>
      <c r="EW286" s="54">
        <f t="shared" si="809"/>
        <v>0</v>
      </c>
      <c r="EX286" s="55">
        <f t="shared" si="810"/>
        <v>0</v>
      </c>
      <c r="EY286" s="56">
        <f>IF(AND($E286&lt;&gt;0,$F286&gt;0,YEAR($F286)&gt;=Preisindex!$A$6,YEAR(ET$4)&gt;=YEAR($F286),AND($K286&lt;&gt;"a",$K286&lt;&gt;"b",$K286&lt;&gt;"g",$K286&lt;&gt;"k")),1,IF(AND($E286&lt;&gt;0,$F286&gt;0,YEAR($F286)&gt;=Preisindex!$A$6,YEAR(ET$4)&gt;=YEAR($F286),$K286="a"),ROUND(VLOOKUP(EY$4,Preisindex,5,FALSE)/VLOOKUP(YEAR($F286),Preisindex,5,FALSE),2),IF(AND($E286&lt;&gt;0,$F286&gt;0,YEAR($F286)&gt;=Preisindex!$A$6,YEAR(ET$4)&gt;=YEAR($F286),$K286="b"),ROUND(VLOOKUP(EY$4,Preisindex,3,FALSE)/VLOOKUP(YEAR($F286),Preisindex,3,FALSE),2),IF(AND($E286&lt;&gt;0,$F286&gt;0,YEAR($F286)&gt;=Preisindex!$A$6,YEAR(ET$4)&gt;=YEAR($F286),$K286="g"),ROUND(VLOOKUP(EY$4,Preisindex,4,FALSE)/VLOOKUP(YEAR($F286),Preisindex,4,FALSE),2),IF(AND($E286&lt;&gt;0,$F286&gt;0,YEAR($F286)&gt;=Preisindex!$A$6,YEAR(ET$4)&gt;=YEAR($F286),$K286="k"),ROUND(VLOOKUP(EY$4,Preisindex,2,FALSE)/VLOOKUP(YEAR($F286),Preisindex,2,FALSE),2),0)))))</f>
        <v>0</v>
      </c>
      <c r="EZ286" s="56">
        <f>IF(AND($E286&lt;&gt;0,$F286&gt;0,YEAR($F286)&lt;Preisindex!$A$6,YEAR(ET$4)&gt;=YEAR($F286),AND($K286&lt;&gt;"a",$K286&lt;&gt;"b",$K286&lt;&gt;"g",$K286&lt;&gt;"k")),1,IF(AND($E286&lt;&gt;0,$F286&gt;0,YEAR($F286)&lt;Preisindex!$A$6,YEAR(ET$4)&gt;=YEAR($F286),$K286="a"),ROUND(VLOOKUP(EY$4,Preisindex,5,FALSE)/VLOOKUP(Preisindex!$A$6,Preisindex,5,FALSE),2),IF(AND($E286&lt;&gt;0,$F286&gt;0,YEAR($F286)&lt;Preisindex!$A$6,YEAR(ET$4)&gt;=YEAR($F286),$K286="b"),ROUND(VLOOKUP(EY$4,Preisindex,3,FALSE)/VLOOKUP(Preisindex!$A$6,Preisindex,3,FALSE),2),IF(AND($E286&lt;&gt;0,$F286&gt;0,YEAR($F286)&lt;Preisindex!$A$6,YEAR(ET$4)&gt;=YEAR($F286),$K286="g"),ROUND(VLOOKUP(EY$4,Preisindex,4,FALSE)/VLOOKUP(Preisindex!$A$6,Preisindex,4,FALSE),2),IF(AND($E286&lt;&gt;0,$F286&gt;0,YEAR($F286)&lt;Preisindex!$A$6,YEAR(ET$4)&gt;=YEAR($F286),$K286="k"),ROUND(VLOOKUP(EY$4,Preisindex,2,FALSE)/VLOOKUP(Preisindex!$A$6,Preisindex,2,FALSE),2),0)))))</f>
        <v>0</v>
      </c>
      <c r="FA286" s="51">
        <f>IF(AND($E286&lt;&gt;0,$F286&gt;0,YEAR($F286)&lt;=EY$4,YEAR($F286)&gt;=Preisindex!$A$6),ROUND($E286*EY286,2),IF(AND($E286&lt;&gt;0,$F286&gt;0,YEAR($F286)&lt;=EY$4,YEAR($F286)&lt;Preisindex!$A$6),ROUND($E286*EZ286,2),0))</f>
        <v>0</v>
      </c>
      <c r="FB286" s="53">
        <f t="shared" si="811"/>
        <v>0</v>
      </c>
      <c r="FC286" s="51">
        <f t="shared" si="840"/>
        <v>0</v>
      </c>
      <c r="FD286" s="51">
        <f t="shared" si="876"/>
        <v>0</v>
      </c>
      <c r="FE286" s="51">
        <f t="shared" si="812"/>
        <v>0</v>
      </c>
      <c r="FF286" s="51">
        <f t="shared" si="877"/>
        <v>0</v>
      </c>
      <c r="FG286" s="51">
        <f t="shared" si="813"/>
        <v>0</v>
      </c>
      <c r="FH286" s="51">
        <f t="shared" si="878"/>
        <v>0</v>
      </c>
      <c r="FI286" s="51">
        <f t="shared" si="814"/>
        <v>0</v>
      </c>
      <c r="FJ286" s="51">
        <f t="shared" si="879"/>
        <v>0</v>
      </c>
      <c r="FK286" s="51">
        <f t="shared" si="815"/>
        <v>0</v>
      </c>
      <c r="FL286" s="51">
        <f t="shared" si="880"/>
        <v>0</v>
      </c>
      <c r="FM286" s="51">
        <f t="shared" si="816"/>
        <v>0</v>
      </c>
      <c r="FN286" s="54">
        <f t="shared" si="817"/>
        <v>0</v>
      </c>
      <c r="FO286" s="55">
        <f t="shared" si="818"/>
        <v>0</v>
      </c>
      <c r="FP286" s="56">
        <f>IF(AND($E286&lt;&gt;0,$F286&gt;0,YEAR($F286)&gt;=Preisindex!$A$6,YEAR(FK$4)&gt;=YEAR($F286),AND($K286&lt;&gt;"a",$K286&lt;&gt;"b",$K286&lt;&gt;"g",$K286&lt;&gt;"k")),1,IF(AND($E286&lt;&gt;0,$F286&gt;0,YEAR($F286)&gt;=Preisindex!$A$6,YEAR(FK$4)&gt;=YEAR($F286),$K286="a"),ROUND(VLOOKUP(FP$4,Preisindex,5,FALSE)/VLOOKUP(YEAR($F286),Preisindex,5,FALSE),2),IF(AND($E286&lt;&gt;0,$F286&gt;0,YEAR($F286)&gt;=Preisindex!$A$6,YEAR(FK$4)&gt;=YEAR($F286),$K286="b"),ROUND(VLOOKUP(FP$4,Preisindex,3,FALSE)/VLOOKUP(YEAR($F286),Preisindex,3,FALSE),2),IF(AND($E286&lt;&gt;0,$F286&gt;0,YEAR($F286)&gt;=Preisindex!$A$6,YEAR(FK$4)&gt;=YEAR($F286),$K286="g"),ROUND(VLOOKUP(FP$4,Preisindex,4,FALSE)/VLOOKUP(YEAR($F286),Preisindex,4,FALSE),2),IF(AND($E286&lt;&gt;0,$F286&gt;0,YEAR($F286)&gt;=Preisindex!$A$6,YEAR(FK$4)&gt;=YEAR($F286),$K286="k"),ROUND(VLOOKUP(FP$4,Preisindex,2,FALSE)/VLOOKUP(YEAR($F286),Preisindex,2,FALSE),2),0)))))</f>
        <v>0</v>
      </c>
      <c r="FQ286" s="56">
        <f>IF(AND($E286&lt;&gt;0,$F286&gt;0,YEAR($F286)&lt;Preisindex!$A$6,YEAR(FK$4)&gt;=YEAR($F286),AND($K286&lt;&gt;"a",$K286&lt;&gt;"b",$K286&lt;&gt;"g",$K286&lt;&gt;"k")),1,IF(AND($E286&lt;&gt;0,$F286&gt;0,YEAR($F286)&lt;Preisindex!$A$6,YEAR(FK$4)&gt;=YEAR($F286),$K286="a"),ROUND(VLOOKUP(FP$4,Preisindex,5,FALSE)/VLOOKUP(Preisindex!$A$6,Preisindex,5,FALSE),2),IF(AND($E286&lt;&gt;0,$F286&gt;0,YEAR($F286)&lt;Preisindex!$A$6,YEAR(FK$4)&gt;=YEAR($F286),$K286="b"),ROUND(VLOOKUP(FP$4,Preisindex,3,FALSE)/VLOOKUP(Preisindex!$A$6,Preisindex,3,FALSE),2),IF(AND($E286&lt;&gt;0,$F286&gt;0,YEAR($F286)&lt;Preisindex!$A$6,YEAR(FK$4)&gt;=YEAR($F286),$K286="g"),ROUND(VLOOKUP(FP$4,Preisindex,4,FALSE)/VLOOKUP(Preisindex!$A$6,Preisindex,4,FALSE),2),IF(AND($E286&lt;&gt;0,$F286&gt;0,YEAR($F286)&lt;Preisindex!$A$6,YEAR(FK$4)&gt;=YEAR($F286),$K286="k"),ROUND(VLOOKUP(FP$4,Preisindex,2,FALSE)/VLOOKUP(Preisindex!$A$6,Preisindex,2,FALSE),2),0)))))</f>
        <v>0</v>
      </c>
      <c r="FR286" s="51">
        <f>IF(AND($E286&lt;&gt;0,$F286&gt;0,YEAR($F286)&lt;=FP$4,YEAR($F286)&gt;=Preisindex!$A$6),ROUND($E286*FP286,2),IF(AND($E286&lt;&gt;0,$F286&gt;0,YEAR($F286)&lt;=FP$4,YEAR($F286)&lt;Preisindex!$A$6),ROUND($E286*FQ286,2),0))</f>
        <v>0</v>
      </c>
      <c r="FS286" s="53">
        <f t="shared" si="819"/>
        <v>0</v>
      </c>
    </row>
    <row r="287" spans="1:175" x14ac:dyDescent="0.3">
      <c r="A287" s="185"/>
      <c r="B287" s="186"/>
      <c r="C287" s="187"/>
      <c r="D287" s="188"/>
      <c r="E287" s="189"/>
      <c r="F287" s="190"/>
      <c r="G287" s="191"/>
      <c r="H287" s="192"/>
      <c r="I287" s="193"/>
      <c r="J287" s="194"/>
      <c r="K287" s="630"/>
      <c r="L287" s="49">
        <f t="shared" si="820"/>
        <v>0</v>
      </c>
      <c r="M287" s="50">
        <f t="shared" si="821"/>
        <v>0</v>
      </c>
      <c r="N287" s="51">
        <f t="shared" si="822"/>
        <v>0</v>
      </c>
      <c r="O287" s="51"/>
      <c r="P287" s="51">
        <f t="shared" si="823"/>
        <v>0</v>
      </c>
      <c r="Q287" s="52"/>
      <c r="R287" s="52"/>
      <c r="S287" s="52"/>
      <c r="T287" s="52"/>
      <c r="U287" s="52"/>
      <c r="V287" s="53">
        <f t="shared" si="824"/>
        <v>0</v>
      </c>
      <c r="W287" s="51">
        <f t="shared" si="825"/>
        <v>0</v>
      </c>
      <c r="X287" s="51">
        <f t="shared" si="826"/>
        <v>0</v>
      </c>
      <c r="Y287" s="51">
        <f t="shared" si="827"/>
        <v>0</v>
      </c>
      <c r="Z287" s="51">
        <f t="shared" si="828"/>
        <v>0</v>
      </c>
      <c r="AA287" s="51">
        <f t="shared" si="829"/>
        <v>0</v>
      </c>
      <c r="AB287" s="51">
        <f t="shared" si="830"/>
        <v>0</v>
      </c>
      <c r="AC287" s="51">
        <f t="shared" si="831"/>
        <v>0</v>
      </c>
      <c r="AD287" s="51">
        <f t="shared" si="832"/>
        <v>0</v>
      </c>
      <c r="AE287" s="51">
        <f t="shared" si="833"/>
        <v>0</v>
      </c>
      <c r="AF287" s="51">
        <f t="shared" si="834"/>
        <v>0</v>
      </c>
      <c r="AG287" s="51">
        <f t="shared" si="835"/>
        <v>0</v>
      </c>
      <c r="AH287" s="54">
        <f t="shared" si="836"/>
        <v>0</v>
      </c>
      <c r="AI287" s="55">
        <f t="shared" si="837"/>
        <v>0</v>
      </c>
      <c r="AJ287" s="56">
        <f>IF(AND($E287&lt;&gt;0,$F287&gt;0,YEAR($F287)&gt;=Preisindex!$A$6,YEAR(AE$4)&gt;=YEAR($F287),AND($K287&lt;&gt;"a",$K287&lt;&gt;"b",$K287&lt;&gt;"g",$K287&lt;&gt;"k")),1,IF(AND($E287&lt;&gt;0,$F287&gt;0,YEAR($F287)&gt;=Preisindex!$A$6,YEAR(AE$4)&gt;=YEAR($F287),$K287="a"),ROUND(VLOOKUP(AJ$4,Preisindex,5,FALSE)/VLOOKUP(YEAR($F287),Preisindex,5,FALSE),2),IF(AND($E287&lt;&gt;0,$F287&gt;0,YEAR($F287)&gt;=Preisindex!$A$6,YEAR(AE$4)&gt;=YEAR($F287),$K287="b"),ROUND(VLOOKUP(AJ$4,Preisindex,3,FALSE)/VLOOKUP(YEAR($F287),Preisindex,3,FALSE),2),IF(AND($E287&lt;&gt;0,$F287&gt;0,YEAR($F287)&gt;=Preisindex!$A$6,YEAR(AE$4)&gt;=YEAR($F287),$K287="g"),ROUND(VLOOKUP(AJ$4,Preisindex,4,FALSE)/VLOOKUP(YEAR($F287),Preisindex,4,FALSE),2),IF(AND($E287&lt;&gt;0,$F287&gt;0,YEAR($F287)&gt;=Preisindex!$A$6,YEAR(AE$4)&gt;=YEAR($F287),$K287="k"),ROUND(VLOOKUP(AJ$4,Preisindex,2,FALSE)/VLOOKUP(YEAR($F287),Preisindex,2,FALSE),2),0)))))</f>
        <v>0</v>
      </c>
      <c r="AK287" s="56">
        <f>IF(AND($E287&lt;&gt;0,$F287&gt;0,YEAR($F287)&lt;Preisindex!$A$6,YEAR(AE$4)&gt;=YEAR($F287),AND($K287&lt;&gt;"a",$K287&lt;&gt;"b",$K287&lt;&gt;"g",$K287&lt;&gt;"k")),1,IF(AND($E287&lt;&gt;0,$F287&gt;0,YEAR($F287)&lt;Preisindex!$A$6,YEAR(AE$4)&gt;=YEAR($F287),$K287="a"),ROUND(VLOOKUP(AJ$4,Preisindex,5,FALSE)/VLOOKUP(Preisindex!$A$6,Preisindex,5,FALSE),2),IF(AND($E287&lt;&gt;0,$F287&gt;0,YEAR($F287)&lt;Preisindex!$A$6,YEAR(AE$4)&gt;=YEAR($F287),$K287="b"),ROUND(VLOOKUP(AJ$4,Preisindex,3,FALSE)/VLOOKUP(Preisindex!$A$6,Preisindex,3,FALSE),2),IF(AND($E287&lt;&gt;0,$F287&gt;0,YEAR($F287)&lt;Preisindex!$A$6,YEAR(AE$4)&gt;=YEAR($F287),$K287="g"),ROUND(VLOOKUP(AJ$4,Preisindex,4,FALSE)/VLOOKUP(Preisindex!$A$6,Preisindex,4,FALSE),2),IF(AND($E287&lt;&gt;0,$F287&gt;0,YEAR($F287)&lt;Preisindex!$A$6,YEAR(AE$4)&gt;=YEAR($F287),$K287="k"),ROUND(VLOOKUP(AJ$4,Preisindex,2,FALSE)/VLOOKUP(Preisindex!$A$6,Preisindex,2,FALSE),2),0)))))</f>
        <v>0</v>
      </c>
      <c r="AL287" s="51">
        <f>IF(AND($E287&lt;&gt;0,$F287&gt;0,YEAR($F287)&lt;=AJ$4,YEAR($F287)&gt;=Preisindex!$A$6),ROUND($E287*AJ287,2),IF(AND($E287&lt;&gt;0,$F287&gt;0,YEAR($F287)&lt;=AJ$4,YEAR($F287)&lt;Preisindex!$A$6),ROUND($E287*AK287,2),0))</f>
        <v>0</v>
      </c>
      <c r="AM287" s="53">
        <f t="shared" si="838"/>
        <v>0</v>
      </c>
      <c r="AN287" s="51">
        <f t="shared" si="839"/>
        <v>0</v>
      </c>
      <c r="AO287" s="51">
        <f t="shared" si="841"/>
        <v>0</v>
      </c>
      <c r="AP287" s="51">
        <f t="shared" si="755"/>
        <v>0</v>
      </c>
      <c r="AQ287" s="51">
        <f t="shared" si="842"/>
        <v>0</v>
      </c>
      <c r="AR287" s="51">
        <f t="shared" si="756"/>
        <v>0</v>
      </c>
      <c r="AS287" s="51">
        <f t="shared" si="843"/>
        <v>0</v>
      </c>
      <c r="AT287" s="51">
        <f t="shared" si="757"/>
        <v>0</v>
      </c>
      <c r="AU287" s="51">
        <f t="shared" si="844"/>
        <v>0</v>
      </c>
      <c r="AV287" s="51">
        <f t="shared" si="758"/>
        <v>0</v>
      </c>
      <c r="AW287" s="51">
        <f t="shared" si="845"/>
        <v>0</v>
      </c>
      <c r="AX287" s="51">
        <f t="shared" si="759"/>
        <v>0</v>
      </c>
      <c r="AY287" s="54">
        <f t="shared" si="760"/>
        <v>0</v>
      </c>
      <c r="AZ287" s="55">
        <f t="shared" si="761"/>
        <v>0</v>
      </c>
      <c r="BA287" s="56">
        <f>IF(AND($E287&lt;&gt;0,$F287&gt;0,YEAR($F287)&gt;=Preisindex!$A$6,YEAR(AV$4)&gt;=YEAR($F287),AND($K287&lt;&gt;"a",$K287&lt;&gt;"b",$K287&lt;&gt;"g",$K287&lt;&gt;"k")),1,IF(AND($E287&lt;&gt;0,$F287&gt;0,YEAR($F287)&gt;=Preisindex!$A$6,YEAR(AV$4)&gt;=YEAR($F287),$K287="a"),ROUND(VLOOKUP(BA$4,Preisindex,5,FALSE)/VLOOKUP(YEAR($F287),Preisindex,5,FALSE),2),IF(AND($E287&lt;&gt;0,$F287&gt;0,YEAR($F287)&gt;=Preisindex!$A$6,YEAR(AV$4)&gt;=YEAR($F287),$K287="b"),ROUND(VLOOKUP(BA$4,Preisindex,3,FALSE)/VLOOKUP(YEAR($F287),Preisindex,3,FALSE),2),IF(AND($E287&lt;&gt;0,$F287&gt;0,YEAR($F287)&gt;=Preisindex!$A$6,YEAR(AV$4)&gt;=YEAR($F287),$K287="g"),ROUND(VLOOKUP(BA$4,Preisindex,4,FALSE)/VLOOKUP(YEAR($F287),Preisindex,4,FALSE),2),IF(AND($E287&lt;&gt;0,$F287&gt;0,YEAR($F287)&gt;=Preisindex!$A$6,YEAR(AV$4)&gt;=YEAR($F287),$K287="k"),ROUND(VLOOKUP(BA$4,Preisindex,2,FALSE)/VLOOKUP(YEAR($F287),Preisindex,2,FALSE),2),0)))))</f>
        <v>0</v>
      </c>
      <c r="BB287" s="56">
        <f>IF(AND($E287&lt;&gt;0,$F287&gt;0,YEAR($F287)&lt;Preisindex!$A$6,YEAR(AV$4)&gt;=YEAR($F287),AND($K287&lt;&gt;"a",$K287&lt;&gt;"b",$K287&lt;&gt;"g",$K287&lt;&gt;"k")),1,IF(AND($E287&lt;&gt;0,$F287&gt;0,YEAR($F287)&lt;Preisindex!$A$6,YEAR(AV$4)&gt;=YEAR($F287),$K287="a"),ROUND(VLOOKUP(BA$4,Preisindex,5,FALSE)/VLOOKUP(Preisindex!$A$6,Preisindex,5,FALSE),2),IF(AND($E287&lt;&gt;0,$F287&gt;0,YEAR($F287)&lt;Preisindex!$A$6,YEAR(AV$4)&gt;=YEAR($F287),$K287="b"),ROUND(VLOOKUP(BA$4,Preisindex,3,FALSE)/VLOOKUP(Preisindex!$A$6,Preisindex,3,FALSE),2),IF(AND($E287&lt;&gt;0,$F287&gt;0,YEAR($F287)&lt;Preisindex!$A$6,YEAR(AV$4)&gt;=YEAR($F287),$K287="g"),ROUND(VLOOKUP(BA$4,Preisindex,4,FALSE)/VLOOKUP(Preisindex!$A$6,Preisindex,4,FALSE),2),IF(AND($E287&lt;&gt;0,$F287&gt;0,YEAR($F287)&lt;Preisindex!$A$6,YEAR(AV$4)&gt;=YEAR($F287),$K287="k"),ROUND(VLOOKUP(BA$4,Preisindex,2,FALSE)/VLOOKUP(Preisindex!$A$6,Preisindex,2,FALSE),2),0)))))</f>
        <v>0</v>
      </c>
      <c r="BC287" s="51">
        <f>IF(AND($E287&lt;&gt;0,$F287&gt;0,YEAR($F287)&lt;=BA$4,YEAR($F287)&gt;=Preisindex!$A$6),ROUND($E287*BA287,2),IF(AND($E287&lt;&gt;0,$F287&gt;0,YEAR($F287)&lt;=BA$4,YEAR($F287)&lt;Preisindex!$A$6),ROUND($E287*BB287,2),0))</f>
        <v>0</v>
      </c>
      <c r="BD287" s="53">
        <f t="shared" si="762"/>
        <v>0</v>
      </c>
      <c r="BE287" s="51">
        <f t="shared" si="839"/>
        <v>0</v>
      </c>
      <c r="BF287" s="51">
        <f t="shared" si="846"/>
        <v>0</v>
      </c>
      <c r="BG287" s="51">
        <f t="shared" si="763"/>
        <v>0</v>
      </c>
      <c r="BH287" s="51">
        <f t="shared" si="847"/>
        <v>0</v>
      </c>
      <c r="BI287" s="51">
        <f t="shared" si="764"/>
        <v>0</v>
      </c>
      <c r="BJ287" s="51">
        <f t="shared" si="848"/>
        <v>0</v>
      </c>
      <c r="BK287" s="51">
        <f t="shared" si="765"/>
        <v>0</v>
      </c>
      <c r="BL287" s="51">
        <f t="shared" si="849"/>
        <v>0</v>
      </c>
      <c r="BM287" s="51">
        <f t="shared" si="766"/>
        <v>0</v>
      </c>
      <c r="BN287" s="51">
        <f t="shared" si="850"/>
        <v>0</v>
      </c>
      <c r="BO287" s="51">
        <f t="shared" si="767"/>
        <v>0</v>
      </c>
      <c r="BP287" s="54">
        <f t="shared" si="768"/>
        <v>0</v>
      </c>
      <c r="BQ287" s="55">
        <f t="shared" si="769"/>
        <v>0</v>
      </c>
      <c r="BR287" s="56">
        <f>IF(AND($E287&lt;&gt;0,$F287&gt;0,YEAR($F287)&gt;=Preisindex!$A$6,YEAR(BM$4)&gt;=YEAR($F287),AND($K287&lt;&gt;"a",$K287&lt;&gt;"b",$K287&lt;&gt;"g",$K287&lt;&gt;"k")),1,IF(AND($E287&lt;&gt;0,$F287&gt;0,YEAR($F287)&gt;=Preisindex!$A$6,YEAR(BM$4)&gt;=YEAR($F287),$K287="a"),ROUND(VLOOKUP(BR$4,Preisindex,5,FALSE)/VLOOKUP(YEAR($F287),Preisindex,5,FALSE),2),IF(AND($E287&lt;&gt;0,$F287&gt;0,YEAR($F287)&gt;=Preisindex!$A$6,YEAR(BM$4)&gt;=YEAR($F287),$K287="b"),ROUND(VLOOKUP(BR$4,Preisindex,3,FALSE)/VLOOKUP(YEAR($F287),Preisindex,3,FALSE),2),IF(AND($E287&lt;&gt;0,$F287&gt;0,YEAR($F287)&gt;=Preisindex!$A$6,YEAR(BM$4)&gt;=YEAR($F287),$K287="g"),ROUND(VLOOKUP(BR$4,Preisindex,4,FALSE)/VLOOKUP(YEAR($F287),Preisindex,4,FALSE),2),IF(AND($E287&lt;&gt;0,$F287&gt;0,YEAR($F287)&gt;=Preisindex!$A$6,YEAR(BM$4)&gt;=YEAR($F287),$K287="k"),ROUND(VLOOKUP(BR$4,Preisindex,2,FALSE)/VLOOKUP(YEAR($F287),Preisindex,2,FALSE),2),0)))))</f>
        <v>0</v>
      </c>
      <c r="BS287" s="56">
        <f>IF(AND($E287&lt;&gt;0,$F287&gt;0,YEAR($F287)&lt;Preisindex!$A$6,YEAR(BM$4)&gt;=YEAR($F287),AND($K287&lt;&gt;"a",$K287&lt;&gt;"b",$K287&lt;&gt;"g",$K287&lt;&gt;"k")),1,IF(AND($E287&lt;&gt;0,$F287&gt;0,YEAR($F287)&lt;Preisindex!$A$6,YEAR(BM$4)&gt;=YEAR($F287),$K287="a"),ROUND(VLOOKUP(BR$4,Preisindex,5,FALSE)/VLOOKUP(Preisindex!$A$6,Preisindex,5,FALSE),2),IF(AND($E287&lt;&gt;0,$F287&gt;0,YEAR($F287)&lt;Preisindex!$A$6,YEAR(BM$4)&gt;=YEAR($F287),$K287="b"),ROUND(VLOOKUP(BR$4,Preisindex,3,FALSE)/VLOOKUP(Preisindex!$A$6,Preisindex,3,FALSE),2),IF(AND($E287&lt;&gt;0,$F287&gt;0,YEAR($F287)&lt;Preisindex!$A$6,YEAR(BM$4)&gt;=YEAR($F287),$K287="g"),ROUND(VLOOKUP(BR$4,Preisindex,4,FALSE)/VLOOKUP(Preisindex!$A$6,Preisindex,4,FALSE),2),IF(AND($E287&lt;&gt;0,$F287&gt;0,YEAR($F287)&lt;Preisindex!$A$6,YEAR(BM$4)&gt;=YEAR($F287),$K287="k"),ROUND(VLOOKUP(BR$4,Preisindex,2,FALSE)/VLOOKUP(Preisindex!$A$6,Preisindex,2,FALSE),2),0)))))</f>
        <v>0</v>
      </c>
      <c r="BT287" s="51">
        <f>IF(AND($E287&lt;&gt;0,$F287&gt;0,YEAR($F287)&lt;=BR$4,YEAR($F287)&gt;=Preisindex!$A$6),ROUND($E287*BR287,2),IF(AND($E287&lt;&gt;0,$F287&gt;0,YEAR($F287)&lt;=BR$4,YEAR($F287)&lt;Preisindex!$A$6),ROUND($E287*BS287,2),0))</f>
        <v>0</v>
      </c>
      <c r="BU287" s="53">
        <f t="shared" si="770"/>
        <v>0</v>
      </c>
      <c r="BV287" s="51">
        <f t="shared" si="839"/>
        <v>0</v>
      </c>
      <c r="BW287" s="51">
        <f t="shared" si="851"/>
        <v>0</v>
      </c>
      <c r="BX287" s="51">
        <f t="shared" si="771"/>
        <v>0</v>
      </c>
      <c r="BY287" s="51">
        <f t="shared" si="852"/>
        <v>0</v>
      </c>
      <c r="BZ287" s="51">
        <f t="shared" si="772"/>
        <v>0</v>
      </c>
      <c r="CA287" s="51">
        <f t="shared" si="853"/>
        <v>0</v>
      </c>
      <c r="CB287" s="51">
        <f t="shared" si="773"/>
        <v>0</v>
      </c>
      <c r="CC287" s="51">
        <f t="shared" si="854"/>
        <v>0</v>
      </c>
      <c r="CD287" s="51">
        <f t="shared" si="774"/>
        <v>0</v>
      </c>
      <c r="CE287" s="51">
        <f t="shared" si="855"/>
        <v>0</v>
      </c>
      <c r="CF287" s="51">
        <f t="shared" si="775"/>
        <v>0</v>
      </c>
      <c r="CG287" s="54">
        <f t="shared" si="776"/>
        <v>0</v>
      </c>
      <c r="CH287" s="55">
        <f t="shared" si="777"/>
        <v>0</v>
      </c>
      <c r="CI287" s="56">
        <f>IF(AND($E287&lt;&gt;0,$F287&gt;0,YEAR($F287)&gt;=Preisindex!$A$6,YEAR(CD$4)&gt;=YEAR($F287),AND($K287&lt;&gt;"a",$K287&lt;&gt;"b",$K287&lt;&gt;"g",$K287&lt;&gt;"k")),1,IF(AND($E287&lt;&gt;0,$F287&gt;0,YEAR($F287)&gt;=Preisindex!$A$6,YEAR(CD$4)&gt;=YEAR($F287),$K287="a"),ROUND(VLOOKUP(CI$4,Preisindex,5,FALSE)/VLOOKUP(YEAR($F287),Preisindex,5,FALSE),2),IF(AND($E287&lt;&gt;0,$F287&gt;0,YEAR($F287)&gt;=Preisindex!$A$6,YEAR(CD$4)&gt;=YEAR($F287),$K287="b"),ROUND(VLOOKUP(CI$4,Preisindex,3,FALSE)/VLOOKUP(YEAR($F287),Preisindex,3,FALSE),2),IF(AND($E287&lt;&gt;0,$F287&gt;0,YEAR($F287)&gt;=Preisindex!$A$6,YEAR(CD$4)&gt;=YEAR($F287),$K287="g"),ROUND(VLOOKUP(CI$4,Preisindex,4,FALSE)/VLOOKUP(YEAR($F287),Preisindex,4,FALSE),2),IF(AND($E287&lt;&gt;0,$F287&gt;0,YEAR($F287)&gt;=Preisindex!$A$6,YEAR(CD$4)&gt;=YEAR($F287),$K287="k"),ROUND(VLOOKUP(CI$4,Preisindex,2,FALSE)/VLOOKUP(YEAR($F287),Preisindex,2,FALSE),2),0)))))</f>
        <v>0</v>
      </c>
      <c r="CJ287" s="56">
        <f>IF(AND($E287&lt;&gt;0,$F287&gt;0,YEAR($F287)&lt;Preisindex!$A$6,YEAR(CD$4)&gt;=YEAR($F287),AND($K287&lt;&gt;"a",$K287&lt;&gt;"b",$K287&lt;&gt;"g",$K287&lt;&gt;"k")),1,IF(AND($E287&lt;&gt;0,$F287&gt;0,YEAR($F287)&lt;Preisindex!$A$6,YEAR(CD$4)&gt;=YEAR($F287),$K287="a"),ROUND(VLOOKUP(CI$4,Preisindex,5,FALSE)/VLOOKUP(Preisindex!$A$6,Preisindex,5,FALSE),2),IF(AND($E287&lt;&gt;0,$F287&gt;0,YEAR($F287)&lt;Preisindex!$A$6,YEAR(CD$4)&gt;=YEAR($F287),$K287="b"),ROUND(VLOOKUP(CI$4,Preisindex,3,FALSE)/VLOOKUP(Preisindex!$A$6,Preisindex,3,FALSE),2),IF(AND($E287&lt;&gt;0,$F287&gt;0,YEAR($F287)&lt;Preisindex!$A$6,YEAR(CD$4)&gt;=YEAR($F287),$K287="g"),ROUND(VLOOKUP(CI$4,Preisindex,4,FALSE)/VLOOKUP(Preisindex!$A$6,Preisindex,4,FALSE),2),IF(AND($E287&lt;&gt;0,$F287&gt;0,YEAR($F287)&lt;Preisindex!$A$6,YEAR(CD$4)&gt;=YEAR($F287),$K287="k"),ROUND(VLOOKUP(CI$4,Preisindex,2,FALSE)/VLOOKUP(Preisindex!$A$6,Preisindex,2,FALSE),2),0)))))</f>
        <v>0</v>
      </c>
      <c r="CK287" s="51">
        <f>IF(AND($E287&lt;&gt;0,$F287&gt;0,YEAR($F287)&lt;=CI$4,YEAR($F287)&gt;=Preisindex!$A$6),ROUND($E287*CI287,2),IF(AND($E287&lt;&gt;0,$F287&gt;0,YEAR($F287)&lt;=CI$4,YEAR($F287)&lt;Preisindex!$A$6),ROUND($E287*CJ287,2),0))</f>
        <v>0</v>
      </c>
      <c r="CL287" s="53">
        <f t="shared" si="778"/>
        <v>0</v>
      </c>
      <c r="CM287" s="51">
        <f t="shared" si="839"/>
        <v>0</v>
      </c>
      <c r="CN287" s="51">
        <f t="shared" si="856"/>
        <v>0</v>
      </c>
      <c r="CO287" s="51">
        <f t="shared" si="779"/>
        <v>0</v>
      </c>
      <c r="CP287" s="51">
        <f t="shared" si="857"/>
        <v>0</v>
      </c>
      <c r="CQ287" s="51">
        <f t="shared" si="780"/>
        <v>0</v>
      </c>
      <c r="CR287" s="51">
        <f t="shared" si="858"/>
        <v>0</v>
      </c>
      <c r="CS287" s="51">
        <f t="shared" si="781"/>
        <v>0</v>
      </c>
      <c r="CT287" s="51">
        <f t="shared" si="859"/>
        <v>0</v>
      </c>
      <c r="CU287" s="51">
        <f t="shared" si="782"/>
        <v>0</v>
      </c>
      <c r="CV287" s="51">
        <f t="shared" si="860"/>
        <v>0</v>
      </c>
      <c r="CW287" s="51">
        <f t="shared" si="783"/>
        <v>0</v>
      </c>
      <c r="CX287" s="54">
        <f t="shared" si="784"/>
        <v>0</v>
      </c>
      <c r="CY287" s="55">
        <f t="shared" si="785"/>
        <v>0</v>
      </c>
      <c r="CZ287" s="56">
        <f>IF(AND($E287&lt;&gt;0,$F287&gt;0,YEAR($F287)&gt;=Preisindex!$A$6,YEAR(CU$4)&gt;=YEAR($F287),AND($K287&lt;&gt;"a",$K287&lt;&gt;"b",$K287&lt;&gt;"g",$K287&lt;&gt;"k")),1,IF(AND($E287&lt;&gt;0,$F287&gt;0,YEAR($F287)&gt;=Preisindex!$A$6,YEAR(CU$4)&gt;=YEAR($F287),$K287="a"),ROUND(VLOOKUP(CZ$4,Preisindex,5,FALSE)/VLOOKUP(YEAR($F287),Preisindex,5,FALSE),2),IF(AND($E287&lt;&gt;0,$F287&gt;0,YEAR($F287)&gt;=Preisindex!$A$6,YEAR(CU$4)&gt;=YEAR($F287),$K287="b"),ROUND(VLOOKUP(CZ$4,Preisindex,3,FALSE)/VLOOKUP(YEAR($F287),Preisindex,3,FALSE),2),IF(AND($E287&lt;&gt;0,$F287&gt;0,YEAR($F287)&gt;=Preisindex!$A$6,YEAR(CU$4)&gt;=YEAR($F287),$K287="g"),ROUND(VLOOKUP(CZ$4,Preisindex,4,FALSE)/VLOOKUP(YEAR($F287),Preisindex,4,FALSE),2),IF(AND($E287&lt;&gt;0,$F287&gt;0,YEAR($F287)&gt;=Preisindex!$A$6,YEAR(CU$4)&gt;=YEAR($F287),$K287="k"),ROUND(VLOOKUP(CZ$4,Preisindex,2,FALSE)/VLOOKUP(YEAR($F287),Preisindex,2,FALSE),2),0)))))</f>
        <v>0</v>
      </c>
      <c r="DA287" s="56">
        <f>IF(AND($E287&lt;&gt;0,$F287&gt;0,YEAR($F287)&lt;Preisindex!$A$6,YEAR(CU$4)&gt;=YEAR($F287),AND($K287&lt;&gt;"a",$K287&lt;&gt;"b",$K287&lt;&gt;"g",$K287&lt;&gt;"k")),1,IF(AND($E287&lt;&gt;0,$F287&gt;0,YEAR($F287)&lt;Preisindex!$A$6,YEAR(CU$4)&gt;=YEAR($F287),$K287="a"),ROUND(VLOOKUP(CZ$4,Preisindex,5,FALSE)/VLOOKUP(Preisindex!$A$6,Preisindex,5,FALSE),2),IF(AND($E287&lt;&gt;0,$F287&gt;0,YEAR($F287)&lt;Preisindex!$A$6,YEAR(CU$4)&gt;=YEAR($F287),$K287="b"),ROUND(VLOOKUP(CZ$4,Preisindex,3,FALSE)/VLOOKUP(Preisindex!$A$6,Preisindex,3,FALSE),2),IF(AND($E287&lt;&gt;0,$F287&gt;0,YEAR($F287)&lt;Preisindex!$A$6,YEAR(CU$4)&gt;=YEAR($F287),$K287="g"),ROUND(VLOOKUP(CZ$4,Preisindex,4,FALSE)/VLOOKUP(Preisindex!$A$6,Preisindex,4,FALSE),2),IF(AND($E287&lt;&gt;0,$F287&gt;0,YEAR($F287)&lt;Preisindex!$A$6,YEAR(CU$4)&gt;=YEAR($F287),$K287="k"),ROUND(VLOOKUP(CZ$4,Preisindex,2,FALSE)/VLOOKUP(Preisindex!$A$6,Preisindex,2,FALSE),2),0)))))</f>
        <v>0</v>
      </c>
      <c r="DB287" s="51">
        <f>IF(AND($E287&lt;&gt;0,$F287&gt;0,YEAR($F287)&lt;=CZ$4,YEAR($F287)&gt;=Preisindex!$A$6),ROUND($E287*CZ287,2),IF(AND($E287&lt;&gt;0,$F287&gt;0,YEAR($F287)&lt;=CZ$4,YEAR($F287)&lt;Preisindex!$A$6),ROUND($E287*DA287,2),0))</f>
        <v>0</v>
      </c>
      <c r="DC287" s="53">
        <f t="shared" si="786"/>
        <v>0</v>
      </c>
      <c r="DD287" s="51">
        <f t="shared" si="840"/>
        <v>0</v>
      </c>
      <c r="DE287" s="51">
        <f t="shared" si="861"/>
        <v>0</v>
      </c>
      <c r="DF287" s="51">
        <f t="shared" si="788"/>
        <v>0</v>
      </c>
      <c r="DG287" s="51">
        <f t="shared" si="862"/>
        <v>0</v>
      </c>
      <c r="DH287" s="51">
        <f t="shared" si="789"/>
        <v>0</v>
      </c>
      <c r="DI287" s="51">
        <f t="shared" si="863"/>
        <v>0</v>
      </c>
      <c r="DJ287" s="51">
        <f t="shared" si="790"/>
        <v>0</v>
      </c>
      <c r="DK287" s="51">
        <f t="shared" si="864"/>
        <v>0</v>
      </c>
      <c r="DL287" s="51">
        <f t="shared" si="791"/>
        <v>0</v>
      </c>
      <c r="DM287" s="51">
        <f t="shared" si="865"/>
        <v>0</v>
      </c>
      <c r="DN287" s="51">
        <f t="shared" si="792"/>
        <v>0</v>
      </c>
      <c r="DO287" s="54">
        <f t="shared" si="793"/>
        <v>0</v>
      </c>
      <c r="DP287" s="55">
        <f t="shared" si="794"/>
        <v>0</v>
      </c>
      <c r="DQ287" s="56">
        <f>IF(AND($E287&lt;&gt;0,$F287&gt;0,YEAR($F287)&gt;=Preisindex!$A$6,YEAR(DL$4)&gt;=YEAR($F287),AND($K287&lt;&gt;"a",$K287&lt;&gt;"b",$K287&lt;&gt;"g",$K287&lt;&gt;"k")),1,IF(AND($E287&lt;&gt;0,$F287&gt;0,YEAR($F287)&gt;=Preisindex!$A$6,YEAR(DL$4)&gt;=YEAR($F287),$K287="a"),ROUND(VLOOKUP(DQ$4,Preisindex,5,FALSE)/VLOOKUP(YEAR($F287),Preisindex,5,FALSE),2),IF(AND($E287&lt;&gt;0,$F287&gt;0,YEAR($F287)&gt;=Preisindex!$A$6,YEAR(DL$4)&gt;=YEAR($F287),$K287="b"),ROUND(VLOOKUP(DQ$4,Preisindex,3,FALSE)/VLOOKUP(YEAR($F287),Preisindex,3,FALSE),2),IF(AND($E287&lt;&gt;0,$F287&gt;0,YEAR($F287)&gt;=Preisindex!$A$6,YEAR(DL$4)&gt;=YEAR($F287),$K287="g"),ROUND(VLOOKUP(DQ$4,Preisindex,4,FALSE)/VLOOKUP(YEAR($F287),Preisindex,4,FALSE),2),IF(AND($E287&lt;&gt;0,$F287&gt;0,YEAR($F287)&gt;=Preisindex!$A$6,YEAR(DL$4)&gt;=YEAR($F287),$K287="k"),ROUND(VLOOKUP(DQ$4,Preisindex,2,FALSE)/VLOOKUP(YEAR($F287),Preisindex,2,FALSE),2),0)))))</f>
        <v>0</v>
      </c>
      <c r="DR287" s="56">
        <f>IF(AND($E287&lt;&gt;0,$F287&gt;0,YEAR($F287)&lt;Preisindex!$A$6,YEAR(DL$4)&gt;=YEAR($F287),AND($K287&lt;&gt;"a",$K287&lt;&gt;"b",$K287&lt;&gt;"g",$K287&lt;&gt;"k")),1,IF(AND($E287&lt;&gt;0,$F287&gt;0,YEAR($F287)&lt;Preisindex!$A$6,YEAR(DL$4)&gt;=YEAR($F287),$K287="a"),ROUND(VLOOKUP(DQ$4,Preisindex,5,FALSE)/VLOOKUP(Preisindex!$A$6,Preisindex,5,FALSE),2),IF(AND($E287&lt;&gt;0,$F287&gt;0,YEAR($F287)&lt;Preisindex!$A$6,YEAR(DL$4)&gt;=YEAR($F287),$K287="b"),ROUND(VLOOKUP(DQ$4,Preisindex,3,FALSE)/VLOOKUP(Preisindex!$A$6,Preisindex,3,FALSE),2),IF(AND($E287&lt;&gt;0,$F287&gt;0,YEAR($F287)&lt;Preisindex!$A$6,YEAR(DL$4)&gt;=YEAR($F287),$K287="g"),ROUND(VLOOKUP(DQ$4,Preisindex,4,FALSE)/VLOOKUP(Preisindex!$A$6,Preisindex,4,FALSE),2),IF(AND($E287&lt;&gt;0,$F287&gt;0,YEAR($F287)&lt;Preisindex!$A$6,YEAR(DL$4)&gt;=YEAR($F287),$K287="k"),ROUND(VLOOKUP(DQ$4,Preisindex,2,FALSE)/VLOOKUP(Preisindex!$A$6,Preisindex,2,FALSE),2),0)))))</f>
        <v>0</v>
      </c>
      <c r="DS287" s="51">
        <f>IF(AND($E287&lt;&gt;0,$F287&gt;0,YEAR($F287)&lt;=DQ$4,YEAR($F287)&gt;=Preisindex!$A$6),ROUND($E287*DQ287,2),IF(AND($E287&lt;&gt;0,$F287&gt;0,YEAR($F287)&lt;=DQ$4,YEAR($F287)&lt;Preisindex!$A$6),ROUND($E287*DR287,2),0))</f>
        <v>0</v>
      </c>
      <c r="DT287" s="53">
        <f t="shared" si="795"/>
        <v>0</v>
      </c>
      <c r="DU287" s="51">
        <f t="shared" si="840"/>
        <v>0</v>
      </c>
      <c r="DV287" s="51">
        <f t="shared" si="866"/>
        <v>0</v>
      </c>
      <c r="DW287" s="51">
        <f t="shared" si="796"/>
        <v>0</v>
      </c>
      <c r="DX287" s="51">
        <f t="shared" si="867"/>
        <v>0</v>
      </c>
      <c r="DY287" s="51">
        <f t="shared" si="797"/>
        <v>0</v>
      </c>
      <c r="DZ287" s="51">
        <f t="shared" si="868"/>
        <v>0</v>
      </c>
      <c r="EA287" s="51">
        <f t="shared" si="798"/>
        <v>0</v>
      </c>
      <c r="EB287" s="51">
        <f t="shared" si="869"/>
        <v>0</v>
      </c>
      <c r="EC287" s="51">
        <f t="shared" si="799"/>
        <v>0</v>
      </c>
      <c r="ED287" s="51">
        <f t="shared" si="870"/>
        <v>0</v>
      </c>
      <c r="EE287" s="51">
        <f t="shared" si="800"/>
        <v>0</v>
      </c>
      <c r="EF287" s="54">
        <f t="shared" si="801"/>
        <v>0</v>
      </c>
      <c r="EG287" s="55">
        <f t="shared" si="802"/>
        <v>0</v>
      </c>
      <c r="EH287" s="56">
        <f>IF(AND($E287&lt;&gt;0,$F287&gt;0,YEAR($F287)&gt;=Preisindex!$A$6,YEAR(EC$4)&gt;=YEAR($F287),AND($K287&lt;&gt;"a",$K287&lt;&gt;"b",$K287&lt;&gt;"g",$K287&lt;&gt;"k")),1,IF(AND($E287&lt;&gt;0,$F287&gt;0,YEAR($F287)&gt;=Preisindex!$A$6,YEAR(EC$4)&gt;=YEAR($F287),$K287="a"),ROUND(VLOOKUP(EH$4,Preisindex,5,FALSE)/VLOOKUP(YEAR($F287),Preisindex,5,FALSE),2),IF(AND($E287&lt;&gt;0,$F287&gt;0,YEAR($F287)&gt;=Preisindex!$A$6,YEAR(EC$4)&gt;=YEAR($F287),$K287="b"),ROUND(VLOOKUP(EH$4,Preisindex,3,FALSE)/VLOOKUP(YEAR($F287),Preisindex,3,FALSE),2),IF(AND($E287&lt;&gt;0,$F287&gt;0,YEAR($F287)&gt;=Preisindex!$A$6,YEAR(EC$4)&gt;=YEAR($F287),$K287="g"),ROUND(VLOOKUP(EH$4,Preisindex,4,FALSE)/VLOOKUP(YEAR($F287),Preisindex,4,FALSE),2),IF(AND($E287&lt;&gt;0,$F287&gt;0,YEAR($F287)&gt;=Preisindex!$A$6,YEAR(EC$4)&gt;=YEAR($F287),$K287="k"),ROUND(VLOOKUP(EH$4,Preisindex,2,FALSE)/VLOOKUP(YEAR($F287),Preisindex,2,FALSE),2),0)))))</f>
        <v>0</v>
      </c>
      <c r="EI287" s="56">
        <f>IF(AND($E287&lt;&gt;0,$F287&gt;0,YEAR($F287)&lt;Preisindex!$A$6,YEAR(EC$4)&gt;=YEAR($F287),AND($K287&lt;&gt;"a",$K287&lt;&gt;"b",$K287&lt;&gt;"g",$K287&lt;&gt;"k")),1,IF(AND($E287&lt;&gt;0,$F287&gt;0,YEAR($F287)&lt;Preisindex!$A$6,YEAR(EC$4)&gt;=YEAR($F287),$K287="a"),ROUND(VLOOKUP(EH$4,Preisindex,5,FALSE)/VLOOKUP(Preisindex!$A$6,Preisindex,5,FALSE),2),IF(AND($E287&lt;&gt;0,$F287&gt;0,YEAR($F287)&lt;Preisindex!$A$6,YEAR(EC$4)&gt;=YEAR($F287),$K287="b"),ROUND(VLOOKUP(EH$4,Preisindex,3,FALSE)/VLOOKUP(Preisindex!$A$6,Preisindex,3,FALSE),2),IF(AND($E287&lt;&gt;0,$F287&gt;0,YEAR($F287)&lt;Preisindex!$A$6,YEAR(EC$4)&gt;=YEAR($F287),$K287="g"),ROUND(VLOOKUP(EH$4,Preisindex,4,FALSE)/VLOOKUP(Preisindex!$A$6,Preisindex,4,FALSE),2),IF(AND($E287&lt;&gt;0,$F287&gt;0,YEAR($F287)&lt;Preisindex!$A$6,YEAR(EC$4)&gt;=YEAR($F287),$K287="k"),ROUND(VLOOKUP(EH$4,Preisindex,2,FALSE)/VLOOKUP(Preisindex!$A$6,Preisindex,2,FALSE),2),0)))))</f>
        <v>0</v>
      </c>
      <c r="EJ287" s="51">
        <f>IF(AND($E287&lt;&gt;0,$F287&gt;0,YEAR($F287)&lt;=EH$4,YEAR($F287)&gt;=Preisindex!$A$6),ROUND($E287*EH287,2),IF(AND($E287&lt;&gt;0,$F287&gt;0,YEAR($F287)&lt;=EH$4,YEAR($F287)&lt;Preisindex!$A$6),ROUND($E287*EI287,2),0))</f>
        <v>0</v>
      </c>
      <c r="EK287" s="53">
        <f t="shared" si="803"/>
        <v>0</v>
      </c>
      <c r="EL287" s="51">
        <f t="shared" si="840"/>
        <v>0</v>
      </c>
      <c r="EM287" s="51">
        <f t="shared" si="871"/>
        <v>0</v>
      </c>
      <c r="EN287" s="51">
        <f t="shared" si="804"/>
        <v>0</v>
      </c>
      <c r="EO287" s="51">
        <f t="shared" si="872"/>
        <v>0</v>
      </c>
      <c r="EP287" s="51">
        <f t="shared" si="805"/>
        <v>0</v>
      </c>
      <c r="EQ287" s="51">
        <f t="shared" si="873"/>
        <v>0</v>
      </c>
      <c r="ER287" s="51">
        <f t="shared" si="806"/>
        <v>0</v>
      </c>
      <c r="ES287" s="51">
        <f t="shared" si="874"/>
        <v>0</v>
      </c>
      <c r="ET287" s="51">
        <f t="shared" si="807"/>
        <v>0</v>
      </c>
      <c r="EU287" s="51">
        <f t="shared" si="875"/>
        <v>0</v>
      </c>
      <c r="EV287" s="51">
        <f t="shared" si="808"/>
        <v>0</v>
      </c>
      <c r="EW287" s="54">
        <f t="shared" si="809"/>
        <v>0</v>
      </c>
      <c r="EX287" s="55">
        <f t="shared" si="810"/>
        <v>0</v>
      </c>
      <c r="EY287" s="56">
        <f>IF(AND($E287&lt;&gt;0,$F287&gt;0,YEAR($F287)&gt;=Preisindex!$A$6,YEAR(ET$4)&gt;=YEAR($F287),AND($K287&lt;&gt;"a",$K287&lt;&gt;"b",$K287&lt;&gt;"g",$K287&lt;&gt;"k")),1,IF(AND($E287&lt;&gt;0,$F287&gt;0,YEAR($F287)&gt;=Preisindex!$A$6,YEAR(ET$4)&gt;=YEAR($F287),$K287="a"),ROUND(VLOOKUP(EY$4,Preisindex,5,FALSE)/VLOOKUP(YEAR($F287),Preisindex,5,FALSE),2),IF(AND($E287&lt;&gt;0,$F287&gt;0,YEAR($F287)&gt;=Preisindex!$A$6,YEAR(ET$4)&gt;=YEAR($F287),$K287="b"),ROUND(VLOOKUP(EY$4,Preisindex,3,FALSE)/VLOOKUP(YEAR($F287),Preisindex,3,FALSE),2),IF(AND($E287&lt;&gt;0,$F287&gt;0,YEAR($F287)&gt;=Preisindex!$A$6,YEAR(ET$4)&gt;=YEAR($F287),$K287="g"),ROUND(VLOOKUP(EY$4,Preisindex,4,FALSE)/VLOOKUP(YEAR($F287),Preisindex,4,FALSE),2),IF(AND($E287&lt;&gt;0,$F287&gt;0,YEAR($F287)&gt;=Preisindex!$A$6,YEAR(ET$4)&gt;=YEAR($F287),$K287="k"),ROUND(VLOOKUP(EY$4,Preisindex,2,FALSE)/VLOOKUP(YEAR($F287),Preisindex,2,FALSE),2),0)))))</f>
        <v>0</v>
      </c>
      <c r="EZ287" s="56">
        <f>IF(AND($E287&lt;&gt;0,$F287&gt;0,YEAR($F287)&lt;Preisindex!$A$6,YEAR(ET$4)&gt;=YEAR($F287),AND($K287&lt;&gt;"a",$K287&lt;&gt;"b",$K287&lt;&gt;"g",$K287&lt;&gt;"k")),1,IF(AND($E287&lt;&gt;0,$F287&gt;0,YEAR($F287)&lt;Preisindex!$A$6,YEAR(ET$4)&gt;=YEAR($F287),$K287="a"),ROUND(VLOOKUP(EY$4,Preisindex,5,FALSE)/VLOOKUP(Preisindex!$A$6,Preisindex,5,FALSE),2),IF(AND($E287&lt;&gt;0,$F287&gt;0,YEAR($F287)&lt;Preisindex!$A$6,YEAR(ET$4)&gt;=YEAR($F287),$K287="b"),ROUND(VLOOKUP(EY$4,Preisindex,3,FALSE)/VLOOKUP(Preisindex!$A$6,Preisindex,3,FALSE),2),IF(AND($E287&lt;&gt;0,$F287&gt;0,YEAR($F287)&lt;Preisindex!$A$6,YEAR(ET$4)&gt;=YEAR($F287),$K287="g"),ROUND(VLOOKUP(EY$4,Preisindex,4,FALSE)/VLOOKUP(Preisindex!$A$6,Preisindex,4,FALSE),2),IF(AND($E287&lt;&gt;0,$F287&gt;0,YEAR($F287)&lt;Preisindex!$A$6,YEAR(ET$4)&gt;=YEAR($F287),$K287="k"),ROUND(VLOOKUP(EY$4,Preisindex,2,FALSE)/VLOOKUP(Preisindex!$A$6,Preisindex,2,FALSE),2),0)))))</f>
        <v>0</v>
      </c>
      <c r="FA287" s="51">
        <f>IF(AND($E287&lt;&gt;0,$F287&gt;0,YEAR($F287)&lt;=EY$4,YEAR($F287)&gt;=Preisindex!$A$6),ROUND($E287*EY287,2),IF(AND($E287&lt;&gt;0,$F287&gt;0,YEAR($F287)&lt;=EY$4,YEAR($F287)&lt;Preisindex!$A$6),ROUND($E287*EZ287,2),0))</f>
        <v>0</v>
      </c>
      <c r="FB287" s="53">
        <f t="shared" si="811"/>
        <v>0</v>
      </c>
      <c r="FC287" s="51">
        <f t="shared" si="840"/>
        <v>0</v>
      </c>
      <c r="FD287" s="51">
        <f t="shared" si="876"/>
        <v>0</v>
      </c>
      <c r="FE287" s="51">
        <f t="shared" si="812"/>
        <v>0</v>
      </c>
      <c r="FF287" s="51">
        <f t="shared" si="877"/>
        <v>0</v>
      </c>
      <c r="FG287" s="51">
        <f t="shared" si="813"/>
        <v>0</v>
      </c>
      <c r="FH287" s="51">
        <f t="shared" si="878"/>
        <v>0</v>
      </c>
      <c r="FI287" s="51">
        <f t="shared" si="814"/>
        <v>0</v>
      </c>
      <c r="FJ287" s="51">
        <f t="shared" si="879"/>
        <v>0</v>
      </c>
      <c r="FK287" s="51">
        <f t="shared" si="815"/>
        <v>0</v>
      </c>
      <c r="FL287" s="51">
        <f t="shared" si="880"/>
        <v>0</v>
      </c>
      <c r="FM287" s="51">
        <f t="shared" si="816"/>
        <v>0</v>
      </c>
      <c r="FN287" s="54">
        <f t="shared" si="817"/>
        <v>0</v>
      </c>
      <c r="FO287" s="55">
        <f t="shared" si="818"/>
        <v>0</v>
      </c>
      <c r="FP287" s="56">
        <f>IF(AND($E287&lt;&gt;0,$F287&gt;0,YEAR($F287)&gt;=Preisindex!$A$6,YEAR(FK$4)&gt;=YEAR($F287),AND($K287&lt;&gt;"a",$K287&lt;&gt;"b",$K287&lt;&gt;"g",$K287&lt;&gt;"k")),1,IF(AND($E287&lt;&gt;0,$F287&gt;0,YEAR($F287)&gt;=Preisindex!$A$6,YEAR(FK$4)&gt;=YEAR($F287),$K287="a"),ROUND(VLOOKUP(FP$4,Preisindex,5,FALSE)/VLOOKUP(YEAR($F287),Preisindex,5,FALSE),2),IF(AND($E287&lt;&gt;0,$F287&gt;0,YEAR($F287)&gt;=Preisindex!$A$6,YEAR(FK$4)&gt;=YEAR($F287),$K287="b"),ROUND(VLOOKUP(FP$4,Preisindex,3,FALSE)/VLOOKUP(YEAR($F287),Preisindex,3,FALSE),2),IF(AND($E287&lt;&gt;0,$F287&gt;0,YEAR($F287)&gt;=Preisindex!$A$6,YEAR(FK$4)&gt;=YEAR($F287),$K287="g"),ROUND(VLOOKUP(FP$4,Preisindex,4,FALSE)/VLOOKUP(YEAR($F287),Preisindex,4,FALSE),2),IF(AND($E287&lt;&gt;0,$F287&gt;0,YEAR($F287)&gt;=Preisindex!$A$6,YEAR(FK$4)&gt;=YEAR($F287),$K287="k"),ROUND(VLOOKUP(FP$4,Preisindex,2,FALSE)/VLOOKUP(YEAR($F287),Preisindex,2,FALSE),2),0)))))</f>
        <v>0</v>
      </c>
      <c r="FQ287" s="56">
        <f>IF(AND($E287&lt;&gt;0,$F287&gt;0,YEAR($F287)&lt;Preisindex!$A$6,YEAR(FK$4)&gt;=YEAR($F287),AND($K287&lt;&gt;"a",$K287&lt;&gt;"b",$K287&lt;&gt;"g",$K287&lt;&gt;"k")),1,IF(AND($E287&lt;&gt;0,$F287&gt;0,YEAR($F287)&lt;Preisindex!$A$6,YEAR(FK$4)&gt;=YEAR($F287),$K287="a"),ROUND(VLOOKUP(FP$4,Preisindex,5,FALSE)/VLOOKUP(Preisindex!$A$6,Preisindex,5,FALSE),2),IF(AND($E287&lt;&gt;0,$F287&gt;0,YEAR($F287)&lt;Preisindex!$A$6,YEAR(FK$4)&gt;=YEAR($F287),$K287="b"),ROUND(VLOOKUP(FP$4,Preisindex,3,FALSE)/VLOOKUP(Preisindex!$A$6,Preisindex,3,FALSE),2),IF(AND($E287&lt;&gt;0,$F287&gt;0,YEAR($F287)&lt;Preisindex!$A$6,YEAR(FK$4)&gt;=YEAR($F287),$K287="g"),ROUND(VLOOKUP(FP$4,Preisindex,4,FALSE)/VLOOKUP(Preisindex!$A$6,Preisindex,4,FALSE),2),IF(AND($E287&lt;&gt;0,$F287&gt;0,YEAR($F287)&lt;Preisindex!$A$6,YEAR(FK$4)&gt;=YEAR($F287),$K287="k"),ROUND(VLOOKUP(FP$4,Preisindex,2,FALSE)/VLOOKUP(Preisindex!$A$6,Preisindex,2,FALSE),2),0)))))</f>
        <v>0</v>
      </c>
      <c r="FR287" s="51">
        <f>IF(AND($E287&lt;&gt;0,$F287&gt;0,YEAR($F287)&lt;=FP$4,YEAR($F287)&gt;=Preisindex!$A$6),ROUND($E287*FP287,2),IF(AND($E287&lt;&gt;0,$F287&gt;0,YEAR($F287)&lt;=FP$4,YEAR($F287)&lt;Preisindex!$A$6),ROUND($E287*FQ287,2),0))</f>
        <v>0</v>
      </c>
      <c r="FS287" s="53">
        <f t="shared" si="819"/>
        <v>0</v>
      </c>
    </row>
    <row r="288" spans="1:175" x14ac:dyDescent="0.3">
      <c r="A288" s="185"/>
      <c r="B288" s="186"/>
      <c r="C288" s="187"/>
      <c r="D288" s="188"/>
      <c r="E288" s="189"/>
      <c r="F288" s="190"/>
      <c r="G288" s="191"/>
      <c r="H288" s="192"/>
      <c r="I288" s="193"/>
      <c r="J288" s="194"/>
      <c r="K288" s="630"/>
      <c r="L288" s="49">
        <f t="shared" si="820"/>
        <v>0</v>
      </c>
      <c r="M288" s="50">
        <f t="shared" si="821"/>
        <v>0</v>
      </c>
      <c r="N288" s="51">
        <f t="shared" si="822"/>
        <v>0</v>
      </c>
      <c r="O288" s="51"/>
      <c r="P288" s="51">
        <f t="shared" si="823"/>
        <v>0</v>
      </c>
      <c r="Q288" s="52"/>
      <c r="R288" s="52"/>
      <c r="S288" s="52"/>
      <c r="T288" s="52"/>
      <c r="U288" s="52"/>
      <c r="V288" s="53">
        <f t="shared" si="824"/>
        <v>0</v>
      </c>
      <c r="W288" s="51">
        <f t="shared" si="825"/>
        <v>0</v>
      </c>
      <c r="X288" s="51">
        <f t="shared" si="826"/>
        <v>0</v>
      </c>
      <c r="Y288" s="51">
        <f t="shared" si="827"/>
        <v>0</v>
      </c>
      <c r="Z288" s="51">
        <f t="shared" si="828"/>
        <v>0</v>
      </c>
      <c r="AA288" s="51">
        <f t="shared" si="829"/>
        <v>0</v>
      </c>
      <c r="AB288" s="51">
        <f t="shared" si="830"/>
        <v>0</v>
      </c>
      <c r="AC288" s="51">
        <f t="shared" si="831"/>
        <v>0</v>
      </c>
      <c r="AD288" s="51">
        <f t="shared" si="832"/>
        <v>0</v>
      </c>
      <c r="AE288" s="51">
        <f t="shared" si="833"/>
        <v>0</v>
      </c>
      <c r="AF288" s="51">
        <f t="shared" si="834"/>
        <v>0</v>
      </c>
      <c r="AG288" s="51">
        <f t="shared" si="835"/>
        <v>0</v>
      </c>
      <c r="AH288" s="54">
        <f t="shared" si="836"/>
        <v>0</v>
      </c>
      <c r="AI288" s="55">
        <f t="shared" si="837"/>
        <v>0</v>
      </c>
      <c r="AJ288" s="56">
        <f>IF(AND($E288&lt;&gt;0,$F288&gt;0,YEAR($F288)&gt;=Preisindex!$A$6,YEAR(AE$4)&gt;=YEAR($F288),AND($K288&lt;&gt;"a",$K288&lt;&gt;"b",$K288&lt;&gt;"g",$K288&lt;&gt;"k")),1,IF(AND($E288&lt;&gt;0,$F288&gt;0,YEAR($F288)&gt;=Preisindex!$A$6,YEAR(AE$4)&gt;=YEAR($F288),$K288="a"),ROUND(VLOOKUP(AJ$4,Preisindex,5,FALSE)/VLOOKUP(YEAR($F288),Preisindex,5,FALSE),2),IF(AND($E288&lt;&gt;0,$F288&gt;0,YEAR($F288)&gt;=Preisindex!$A$6,YEAR(AE$4)&gt;=YEAR($F288),$K288="b"),ROUND(VLOOKUP(AJ$4,Preisindex,3,FALSE)/VLOOKUP(YEAR($F288),Preisindex,3,FALSE),2),IF(AND($E288&lt;&gt;0,$F288&gt;0,YEAR($F288)&gt;=Preisindex!$A$6,YEAR(AE$4)&gt;=YEAR($F288),$K288="g"),ROUND(VLOOKUP(AJ$4,Preisindex,4,FALSE)/VLOOKUP(YEAR($F288),Preisindex,4,FALSE),2),IF(AND($E288&lt;&gt;0,$F288&gt;0,YEAR($F288)&gt;=Preisindex!$A$6,YEAR(AE$4)&gt;=YEAR($F288),$K288="k"),ROUND(VLOOKUP(AJ$4,Preisindex,2,FALSE)/VLOOKUP(YEAR($F288),Preisindex,2,FALSE),2),0)))))</f>
        <v>0</v>
      </c>
      <c r="AK288" s="56">
        <f>IF(AND($E288&lt;&gt;0,$F288&gt;0,YEAR($F288)&lt;Preisindex!$A$6,YEAR(AE$4)&gt;=YEAR($F288),AND($K288&lt;&gt;"a",$K288&lt;&gt;"b",$K288&lt;&gt;"g",$K288&lt;&gt;"k")),1,IF(AND($E288&lt;&gt;0,$F288&gt;0,YEAR($F288)&lt;Preisindex!$A$6,YEAR(AE$4)&gt;=YEAR($F288),$K288="a"),ROUND(VLOOKUP(AJ$4,Preisindex,5,FALSE)/VLOOKUP(Preisindex!$A$6,Preisindex,5,FALSE),2),IF(AND($E288&lt;&gt;0,$F288&gt;0,YEAR($F288)&lt;Preisindex!$A$6,YEAR(AE$4)&gt;=YEAR($F288),$K288="b"),ROUND(VLOOKUP(AJ$4,Preisindex,3,FALSE)/VLOOKUP(Preisindex!$A$6,Preisindex,3,FALSE),2),IF(AND($E288&lt;&gt;0,$F288&gt;0,YEAR($F288)&lt;Preisindex!$A$6,YEAR(AE$4)&gt;=YEAR($F288),$K288="g"),ROUND(VLOOKUP(AJ$4,Preisindex,4,FALSE)/VLOOKUP(Preisindex!$A$6,Preisindex,4,FALSE),2),IF(AND($E288&lt;&gt;0,$F288&gt;0,YEAR($F288)&lt;Preisindex!$A$6,YEAR(AE$4)&gt;=YEAR($F288),$K288="k"),ROUND(VLOOKUP(AJ$4,Preisindex,2,FALSE)/VLOOKUP(Preisindex!$A$6,Preisindex,2,FALSE),2),0)))))</f>
        <v>0</v>
      </c>
      <c r="AL288" s="51">
        <f>IF(AND($E288&lt;&gt;0,$F288&gt;0,YEAR($F288)&lt;=AJ$4,YEAR($F288)&gt;=Preisindex!$A$6),ROUND($E288*AJ288,2),IF(AND($E288&lt;&gt;0,$F288&gt;0,YEAR($F288)&lt;=AJ$4,YEAR($F288)&lt;Preisindex!$A$6),ROUND($E288*AK288,2),0))</f>
        <v>0</v>
      </c>
      <c r="AM288" s="53">
        <f t="shared" si="838"/>
        <v>0</v>
      </c>
      <c r="AN288" s="51">
        <f t="shared" si="839"/>
        <v>0</v>
      </c>
      <c r="AO288" s="51">
        <f t="shared" si="841"/>
        <v>0</v>
      </c>
      <c r="AP288" s="51">
        <f t="shared" si="755"/>
        <v>0</v>
      </c>
      <c r="AQ288" s="51">
        <f t="shared" si="842"/>
        <v>0</v>
      </c>
      <c r="AR288" s="51">
        <f t="shared" si="756"/>
        <v>0</v>
      </c>
      <c r="AS288" s="51">
        <f t="shared" si="843"/>
        <v>0</v>
      </c>
      <c r="AT288" s="51">
        <f t="shared" si="757"/>
        <v>0</v>
      </c>
      <c r="AU288" s="51">
        <f t="shared" si="844"/>
        <v>0</v>
      </c>
      <c r="AV288" s="51">
        <f t="shared" si="758"/>
        <v>0</v>
      </c>
      <c r="AW288" s="51">
        <f t="shared" si="845"/>
        <v>0</v>
      </c>
      <c r="AX288" s="51">
        <f t="shared" si="759"/>
        <v>0</v>
      </c>
      <c r="AY288" s="54">
        <f t="shared" si="760"/>
        <v>0</v>
      </c>
      <c r="AZ288" s="55">
        <f t="shared" si="761"/>
        <v>0</v>
      </c>
      <c r="BA288" s="56">
        <f>IF(AND($E288&lt;&gt;0,$F288&gt;0,YEAR($F288)&gt;=Preisindex!$A$6,YEAR(AV$4)&gt;=YEAR($F288),AND($K288&lt;&gt;"a",$K288&lt;&gt;"b",$K288&lt;&gt;"g",$K288&lt;&gt;"k")),1,IF(AND($E288&lt;&gt;0,$F288&gt;0,YEAR($F288)&gt;=Preisindex!$A$6,YEAR(AV$4)&gt;=YEAR($F288),$K288="a"),ROUND(VLOOKUP(BA$4,Preisindex,5,FALSE)/VLOOKUP(YEAR($F288),Preisindex,5,FALSE),2),IF(AND($E288&lt;&gt;0,$F288&gt;0,YEAR($F288)&gt;=Preisindex!$A$6,YEAR(AV$4)&gt;=YEAR($F288),$K288="b"),ROUND(VLOOKUP(BA$4,Preisindex,3,FALSE)/VLOOKUP(YEAR($F288),Preisindex,3,FALSE),2),IF(AND($E288&lt;&gt;0,$F288&gt;0,YEAR($F288)&gt;=Preisindex!$A$6,YEAR(AV$4)&gt;=YEAR($F288),$K288="g"),ROUND(VLOOKUP(BA$4,Preisindex,4,FALSE)/VLOOKUP(YEAR($F288),Preisindex,4,FALSE),2),IF(AND($E288&lt;&gt;0,$F288&gt;0,YEAR($F288)&gt;=Preisindex!$A$6,YEAR(AV$4)&gt;=YEAR($F288),$K288="k"),ROUND(VLOOKUP(BA$4,Preisindex,2,FALSE)/VLOOKUP(YEAR($F288),Preisindex,2,FALSE),2),0)))))</f>
        <v>0</v>
      </c>
      <c r="BB288" s="56">
        <f>IF(AND($E288&lt;&gt;0,$F288&gt;0,YEAR($F288)&lt;Preisindex!$A$6,YEAR(AV$4)&gt;=YEAR($F288),AND($K288&lt;&gt;"a",$K288&lt;&gt;"b",$K288&lt;&gt;"g",$K288&lt;&gt;"k")),1,IF(AND($E288&lt;&gt;0,$F288&gt;0,YEAR($F288)&lt;Preisindex!$A$6,YEAR(AV$4)&gt;=YEAR($F288),$K288="a"),ROUND(VLOOKUP(BA$4,Preisindex,5,FALSE)/VLOOKUP(Preisindex!$A$6,Preisindex,5,FALSE),2),IF(AND($E288&lt;&gt;0,$F288&gt;0,YEAR($F288)&lt;Preisindex!$A$6,YEAR(AV$4)&gt;=YEAR($F288),$K288="b"),ROUND(VLOOKUP(BA$4,Preisindex,3,FALSE)/VLOOKUP(Preisindex!$A$6,Preisindex,3,FALSE),2),IF(AND($E288&lt;&gt;0,$F288&gt;0,YEAR($F288)&lt;Preisindex!$A$6,YEAR(AV$4)&gt;=YEAR($F288),$K288="g"),ROUND(VLOOKUP(BA$4,Preisindex,4,FALSE)/VLOOKUP(Preisindex!$A$6,Preisindex,4,FALSE),2),IF(AND($E288&lt;&gt;0,$F288&gt;0,YEAR($F288)&lt;Preisindex!$A$6,YEAR(AV$4)&gt;=YEAR($F288),$K288="k"),ROUND(VLOOKUP(BA$4,Preisindex,2,FALSE)/VLOOKUP(Preisindex!$A$6,Preisindex,2,FALSE),2),0)))))</f>
        <v>0</v>
      </c>
      <c r="BC288" s="51">
        <f>IF(AND($E288&lt;&gt;0,$F288&gt;0,YEAR($F288)&lt;=BA$4,YEAR($F288)&gt;=Preisindex!$A$6),ROUND($E288*BA288,2),IF(AND($E288&lt;&gt;0,$F288&gt;0,YEAR($F288)&lt;=BA$4,YEAR($F288)&lt;Preisindex!$A$6),ROUND($E288*BB288,2),0))</f>
        <v>0</v>
      </c>
      <c r="BD288" s="53">
        <f t="shared" si="762"/>
        <v>0</v>
      </c>
      <c r="BE288" s="51">
        <f t="shared" si="839"/>
        <v>0</v>
      </c>
      <c r="BF288" s="51">
        <f t="shared" si="846"/>
        <v>0</v>
      </c>
      <c r="BG288" s="51">
        <f t="shared" si="763"/>
        <v>0</v>
      </c>
      <c r="BH288" s="51">
        <f t="shared" si="847"/>
        <v>0</v>
      </c>
      <c r="BI288" s="51">
        <f t="shared" si="764"/>
        <v>0</v>
      </c>
      <c r="BJ288" s="51">
        <f t="shared" si="848"/>
        <v>0</v>
      </c>
      <c r="BK288" s="51">
        <f t="shared" si="765"/>
        <v>0</v>
      </c>
      <c r="BL288" s="51">
        <f t="shared" si="849"/>
        <v>0</v>
      </c>
      <c r="BM288" s="51">
        <f t="shared" si="766"/>
        <v>0</v>
      </c>
      <c r="BN288" s="51">
        <f t="shared" si="850"/>
        <v>0</v>
      </c>
      <c r="BO288" s="51">
        <f t="shared" si="767"/>
        <v>0</v>
      </c>
      <c r="BP288" s="54">
        <f t="shared" si="768"/>
        <v>0</v>
      </c>
      <c r="BQ288" s="55">
        <f t="shared" si="769"/>
        <v>0</v>
      </c>
      <c r="BR288" s="56">
        <f>IF(AND($E288&lt;&gt;0,$F288&gt;0,YEAR($F288)&gt;=Preisindex!$A$6,YEAR(BM$4)&gt;=YEAR($F288),AND($K288&lt;&gt;"a",$K288&lt;&gt;"b",$K288&lt;&gt;"g",$K288&lt;&gt;"k")),1,IF(AND($E288&lt;&gt;0,$F288&gt;0,YEAR($F288)&gt;=Preisindex!$A$6,YEAR(BM$4)&gt;=YEAR($F288),$K288="a"),ROUND(VLOOKUP(BR$4,Preisindex,5,FALSE)/VLOOKUP(YEAR($F288),Preisindex,5,FALSE),2),IF(AND($E288&lt;&gt;0,$F288&gt;0,YEAR($F288)&gt;=Preisindex!$A$6,YEAR(BM$4)&gt;=YEAR($F288),$K288="b"),ROUND(VLOOKUP(BR$4,Preisindex,3,FALSE)/VLOOKUP(YEAR($F288),Preisindex,3,FALSE),2),IF(AND($E288&lt;&gt;0,$F288&gt;0,YEAR($F288)&gt;=Preisindex!$A$6,YEAR(BM$4)&gt;=YEAR($F288),$K288="g"),ROUND(VLOOKUP(BR$4,Preisindex,4,FALSE)/VLOOKUP(YEAR($F288),Preisindex,4,FALSE),2),IF(AND($E288&lt;&gt;0,$F288&gt;0,YEAR($F288)&gt;=Preisindex!$A$6,YEAR(BM$4)&gt;=YEAR($F288),$K288="k"),ROUND(VLOOKUP(BR$4,Preisindex,2,FALSE)/VLOOKUP(YEAR($F288),Preisindex,2,FALSE),2),0)))))</f>
        <v>0</v>
      </c>
      <c r="BS288" s="56">
        <f>IF(AND($E288&lt;&gt;0,$F288&gt;0,YEAR($F288)&lt;Preisindex!$A$6,YEAR(BM$4)&gt;=YEAR($F288),AND($K288&lt;&gt;"a",$K288&lt;&gt;"b",$K288&lt;&gt;"g",$K288&lt;&gt;"k")),1,IF(AND($E288&lt;&gt;0,$F288&gt;0,YEAR($F288)&lt;Preisindex!$A$6,YEAR(BM$4)&gt;=YEAR($F288),$K288="a"),ROUND(VLOOKUP(BR$4,Preisindex,5,FALSE)/VLOOKUP(Preisindex!$A$6,Preisindex,5,FALSE),2),IF(AND($E288&lt;&gt;0,$F288&gt;0,YEAR($F288)&lt;Preisindex!$A$6,YEAR(BM$4)&gt;=YEAR($F288),$K288="b"),ROUND(VLOOKUP(BR$4,Preisindex,3,FALSE)/VLOOKUP(Preisindex!$A$6,Preisindex,3,FALSE),2),IF(AND($E288&lt;&gt;0,$F288&gt;0,YEAR($F288)&lt;Preisindex!$A$6,YEAR(BM$4)&gt;=YEAR($F288),$K288="g"),ROUND(VLOOKUP(BR$4,Preisindex,4,FALSE)/VLOOKUP(Preisindex!$A$6,Preisindex,4,FALSE),2),IF(AND($E288&lt;&gt;0,$F288&gt;0,YEAR($F288)&lt;Preisindex!$A$6,YEAR(BM$4)&gt;=YEAR($F288),$K288="k"),ROUND(VLOOKUP(BR$4,Preisindex,2,FALSE)/VLOOKUP(Preisindex!$A$6,Preisindex,2,FALSE),2),0)))))</f>
        <v>0</v>
      </c>
      <c r="BT288" s="51">
        <f>IF(AND($E288&lt;&gt;0,$F288&gt;0,YEAR($F288)&lt;=BR$4,YEAR($F288)&gt;=Preisindex!$A$6),ROUND($E288*BR288,2),IF(AND($E288&lt;&gt;0,$F288&gt;0,YEAR($F288)&lt;=BR$4,YEAR($F288)&lt;Preisindex!$A$6),ROUND($E288*BS288,2),0))</f>
        <v>0</v>
      </c>
      <c r="BU288" s="53">
        <f t="shared" si="770"/>
        <v>0</v>
      </c>
      <c r="BV288" s="51">
        <f t="shared" si="839"/>
        <v>0</v>
      </c>
      <c r="BW288" s="51">
        <f t="shared" si="851"/>
        <v>0</v>
      </c>
      <c r="BX288" s="51">
        <f t="shared" si="771"/>
        <v>0</v>
      </c>
      <c r="BY288" s="51">
        <f t="shared" si="852"/>
        <v>0</v>
      </c>
      <c r="BZ288" s="51">
        <f t="shared" si="772"/>
        <v>0</v>
      </c>
      <c r="CA288" s="51">
        <f t="shared" si="853"/>
        <v>0</v>
      </c>
      <c r="CB288" s="51">
        <f t="shared" si="773"/>
        <v>0</v>
      </c>
      <c r="CC288" s="51">
        <f t="shared" si="854"/>
        <v>0</v>
      </c>
      <c r="CD288" s="51">
        <f t="shared" si="774"/>
        <v>0</v>
      </c>
      <c r="CE288" s="51">
        <f t="shared" si="855"/>
        <v>0</v>
      </c>
      <c r="CF288" s="51">
        <f t="shared" si="775"/>
        <v>0</v>
      </c>
      <c r="CG288" s="54">
        <f t="shared" si="776"/>
        <v>0</v>
      </c>
      <c r="CH288" s="55">
        <f t="shared" si="777"/>
        <v>0</v>
      </c>
      <c r="CI288" s="56">
        <f>IF(AND($E288&lt;&gt;0,$F288&gt;0,YEAR($F288)&gt;=Preisindex!$A$6,YEAR(CD$4)&gt;=YEAR($F288),AND($K288&lt;&gt;"a",$K288&lt;&gt;"b",$K288&lt;&gt;"g",$K288&lt;&gt;"k")),1,IF(AND($E288&lt;&gt;0,$F288&gt;0,YEAR($F288)&gt;=Preisindex!$A$6,YEAR(CD$4)&gt;=YEAR($F288),$K288="a"),ROUND(VLOOKUP(CI$4,Preisindex,5,FALSE)/VLOOKUP(YEAR($F288),Preisindex,5,FALSE),2),IF(AND($E288&lt;&gt;0,$F288&gt;0,YEAR($F288)&gt;=Preisindex!$A$6,YEAR(CD$4)&gt;=YEAR($F288),$K288="b"),ROUND(VLOOKUP(CI$4,Preisindex,3,FALSE)/VLOOKUP(YEAR($F288),Preisindex,3,FALSE),2),IF(AND($E288&lt;&gt;0,$F288&gt;0,YEAR($F288)&gt;=Preisindex!$A$6,YEAR(CD$4)&gt;=YEAR($F288),$K288="g"),ROUND(VLOOKUP(CI$4,Preisindex,4,FALSE)/VLOOKUP(YEAR($F288),Preisindex,4,FALSE),2),IF(AND($E288&lt;&gt;0,$F288&gt;0,YEAR($F288)&gt;=Preisindex!$A$6,YEAR(CD$4)&gt;=YEAR($F288),$K288="k"),ROUND(VLOOKUP(CI$4,Preisindex,2,FALSE)/VLOOKUP(YEAR($F288),Preisindex,2,FALSE),2),0)))))</f>
        <v>0</v>
      </c>
      <c r="CJ288" s="56">
        <f>IF(AND($E288&lt;&gt;0,$F288&gt;0,YEAR($F288)&lt;Preisindex!$A$6,YEAR(CD$4)&gt;=YEAR($F288),AND($K288&lt;&gt;"a",$K288&lt;&gt;"b",$K288&lt;&gt;"g",$K288&lt;&gt;"k")),1,IF(AND($E288&lt;&gt;0,$F288&gt;0,YEAR($F288)&lt;Preisindex!$A$6,YEAR(CD$4)&gt;=YEAR($F288),$K288="a"),ROUND(VLOOKUP(CI$4,Preisindex,5,FALSE)/VLOOKUP(Preisindex!$A$6,Preisindex,5,FALSE),2),IF(AND($E288&lt;&gt;0,$F288&gt;0,YEAR($F288)&lt;Preisindex!$A$6,YEAR(CD$4)&gt;=YEAR($F288),$K288="b"),ROUND(VLOOKUP(CI$4,Preisindex,3,FALSE)/VLOOKUP(Preisindex!$A$6,Preisindex,3,FALSE),2),IF(AND($E288&lt;&gt;0,$F288&gt;0,YEAR($F288)&lt;Preisindex!$A$6,YEAR(CD$4)&gt;=YEAR($F288),$K288="g"),ROUND(VLOOKUP(CI$4,Preisindex,4,FALSE)/VLOOKUP(Preisindex!$A$6,Preisindex,4,FALSE),2),IF(AND($E288&lt;&gt;0,$F288&gt;0,YEAR($F288)&lt;Preisindex!$A$6,YEAR(CD$4)&gt;=YEAR($F288),$K288="k"),ROUND(VLOOKUP(CI$4,Preisindex,2,FALSE)/VLOOKUP(Preisindex!$A$6,Preisindex,2,FALSE),2),0)))))</f>
        <v>0</v>
      </c>
      <c r="CK288" s="51">
        <f>IF(AND($E288&lt;&gt;0,$F288&gt;0,YEAR($F288)&lt;=CI$4,YEAR($F288)&gt;=Preisindex!$A$6),ROUND($E288*CI288,2),IF(AND($E288&lt;&gt;0,$F288&gt;0,YEAR($F288)&lt;=CI$4,YEAR($F288)&lt;Preisindex!$A$6),ROUND($E288*CJ288,2),0))</f>
        <v>0</v>
      </c>
      <c r="CL288" s="53">
        <f t="shared" si="778"/>
        <v>0</v>
      </c>
      <c r="CM288" s="51">
        <f t="shared" si="839"/>
        <v>0</v>
      </c>
      <c r="CN288" s="51">
        <f t="shared" si="856"/>
        <v>0</v>
      </c>
      <c r="CO288" s="51">
        <f t="shared" si="779"/>
        <v>0</v>
      </c>
      <c r="CP288" s="51">
        <f t="shared" si="857"/>
        <v>0</v>
      </c>
      <c r="CQ288" s="51">
        <f t="shared" si="780"/>
        <v>0</v>
      </c>
      <c r="CR288" s="51">
        <f t="shared" si="858"/>
        <v>0</v>
      </c>
      <c r="CS288" s="51">
        <f t="shared" si="781"/>
        <v>0</v>
      </c>
      <c r="CT288" s="51">
        <f t="shared" si="859"/>
        <v>0</v>
      </c>
      <c r="CU288" s="51">
        <f t="shared" si="782"/>
        <v>0</v>
      </c>
      <c r="CV288" s="51">
        <f t="shared" si="860"/>
        <v>0</v>
      </c>
      <c r="CW288" s="51">
        <f t="shared" si="783"/>
        <v>0</v>
      </c>
      <c r="CX288" s="54">
        <f t="shared" si="784"/>
        <v>0</v>
      </c>
      <c r="CY288" s="55">
        <f t="shared" si="785"/>
        <v>0</v>
      </c>
      <c r="CZ288" s="56">
        <f>IF(AND($E288&lt;&gt;0,$F288&gt;0,YEAR($F288)&gt;=Preisindex!$A$6,YEAR(CU$4)&gt;=YEAR($F288),AND($K288&lt;&gt;"a",$K288&lt;&gt;"b",$K288&lt;&gt;"g",$K288&lt;&gt;"k")),1,IF(AND($E288&lt;&gt;0,$F288&gt;0,YEAR($F288)&gt;=Preisindex!$A$6,YEAR(CU$4)&gt;=YEAR($F288),$K288="a"),ROUND(VLOOKUP(CZ$4,Preisindex,5,FALSE)/VLOOKUP(YEAR($F288),Preisindex,5,FALSE),2),IF(AND($E288&lt;&gt;0,$F288&gt;0,YEAR($F288)&gt;=Preisindex!$A$6,YEAR(CU$4)&gt;=YEAR($F288),$K288="b"),ROUND(VLOOKUP(CZ$4,Preisindex,3,FALSE)/VLOOKUP(YEAR($F288),Preisindex,3,FALSE),2),IF(AND($E288&lt;&gt;0,$F288&gt;0,YEAR($F288)&gt;=Preisindex!$A$6,YEAR(CU$4)&gt;=YEAR($F288),$K288="g"),ROUND(VLOOKUP(CZ$4,Preisindex,4,FALSE)/VLOOKUP(YEAR($F288),Preisindex,4,FALSE),2),IF(AND($E288&lt;&gt;0,$F288&gt;0,YEAR($F288)&gt;=Preisindex!$A$6,YEAR(CU$4)&gt;=YEAR($F288),$K288="k"),ROUND(VLOOKUP(CZ$4,Preisindex,2,FALSE)/VLOOKUP(YEAR($F288),Preisindex,2,FALSE),2),0)))))</f>
        <v>0</v>
      </c>
      <c r="DA288" s="56">
        <f>IF(AND($E288&lt;&gt;0,$F288&gt;0,YEAR($F288)&lt;Preisindex!$A$6,YEAR(CU$4)&gt;=YEAR($F288),AND($K288&lt;&gt;"a",$K288&lt;&gt;"b",$K288&lt;&gt;"g",$K288&lt;&gt;"k")),1,IF(AND($E288&lt;&gt;0,$F288&gt;0,YEAR($F288)&lt;Preisindex!$A$6,YEAR(CU$4)&gt;=YEAR($F288),$K288="a"),ROUND(VLOOKUP(CZ$4,Preisindex,5,FALSE)/VLOOKUP(Preisindex!$A$6,Preisindex,5,FALSE),2),IF(AND($E288&lt;&gt;0,$F288&gt;0,YEAR($F288)&lt;Preisindex!$A$6,YEAR(CU$4)&gt;=YEAR($F288),$K288="b"),ROUND(VLOOKUP(CZ$4,Preisindex,3,FALSE)/VLOOKUP(Preisindex!$A$6,Preisindex,3,FALSE),2),IF(AND($E288&lt;&gt;0,$F288&gt;0,YEAR($F288)&lt;Preisindex!$A$6,YEAR(CU$4)&gt;=YEAR($F288),$K288="g"),ROUND(VLOOKUP(CZ$4,Preisindex,4,FALSE)/VLOOKUP(Preisindex!$A$6,Preisindex,4,FALSE),2),IF(AND($E288&lt;&gt;0,$F288&gt;0,YEAR($F288)&lt;Preisindex!$A$6,YEAR(CU$4)&gt;=YEAR($F288),$K288="k"),ROUND(VLOOKUP(CZ$4,Preisindex,2,FALSE)/VLOOKUP(Preisindex!$A$6,Preisindex,2,FALSE),2),0)))))</f>
        <v>0</v>
      </c>
      <c r="DB288" s="51">
        <f>IF(AND($E288&lt;&gt;0,$F288&gt;0,YEAR($F288)&lt;=CZ$4,YEAR($F288)&gt;=Preisindex!$A$6),ROUND($E288*CZ288,2),IF(AND($E288&lt;&gt;0,$F288&gt;0,YEAR($F288)&lt;=CZ$4,YEAR($F288)&lt;Preisindex!$A$6),ROUND($E288*DA288,2),0))</f>
        <v>0</v>
      </c>
      <c r="DC288" s="53">
        <f t="shared" si="786"/>
        <v>0</v>
      </c>
      <c r="DD288" s="51">
        <f t="shared" si="840"/>
        <v>0</v>
      </c>
      <c r="DE288" s="51">
        <f t="shared" si="861"/>
        <v>0</v>
      </c>
      <c r="DF288" s="51">
        <f t="shared" si="788"/>
        <v>0</v>
      </c>
      <c r="DG288" s="51">
        <f t="shared" si="862"/>
        <v>0</v>
      </c>
      <c r="DH288" s="51">
        <f t="shared" si="789"/>
        <v>0</v>
      </c>
      <c r="DI288" s="51">
        <f t="shared" si="863"/>
        <v>0</v>
      </c>
      <c r="DJ288" s="51">
        <f t="shared" si="790"/>
        <v>0</v>
      </c>
      <c r="DK288" s="51">
        <f t="shared" si="864"/>
        <v>0</v>
      </c>
      <c r="DL288" s="51">
        <f t="shared" si="791"/>
        <v>0</v>
      </c>
      <c r="DM288" s="51">
        <f t="shared" si="865"/>
        <v>0</v>
      </c>
      <c r="DN288" s="51">
        <f t="shared" si="792"/>
        <v>0</v>
      </c>
      <c r="DO288" s="54">
        <f t="shared" si="793"/>
        <v>0</v>
      </c>
      <c r="DP288" s="55">
        <f t="shared" si="794"/>
        <v>0</v>
      </c>
      <c r="DQ288" s="56">
        <f>IF(AND($E288&lt;&gt;0,$F288&gt;0,YEAR($F288)&gt;=Preisindex!$A$6,YEAR(DL$4)&gt;=YEAR($F288),AND($K288&lt;&gt;"a",$K288&lt;&gt;"b",$K288&lt;&gt;"g",$K288&lt;&gt;"k")),1,IF(AND($E288&lt;&gt;0,$F288&gt;0,YEAR($F288)&gt;=Preisindex!$A$6,YEAR(DL$4)&gt;=YEAR($F288),$K288="a"),ROUND(VLOOKUP(DQ$4,Preisindex,5,FALSE)/VLOOKUP(YEAR($F288),Preisindex,5,FALSE),2),IF(AND($E288&lt;&gt;0,$F288&gt;0,YEAR($F288)&gt;=Preisindex!$A$6,YEAR(DL$4)&gt;=YEAR($F288),$K288="b"),ROUND(VLOOKUP(DQ$4,Preisindex,3,FALSE)/VLOOKUP(YEAR($F288),Preisindex,3,FALSE),2),IF(AND($E288&lt;&gt;0,$F288&gt;0,YEAR($F288)&gt;=Preisindex!$A$6,YEAR(DL$4)&gt;=YEAR($F288),$K288="g"),ROUND(VLOOKUP(DQ$4,Preisindex,4,FALSE)/VLOOKUP(YEAR($F288),Preisindex,4,FALSE),2),IF(AND($E288&lt;&gt;0,$F288&gt;0,YEAR($F288)&gt;=Preisindex!$A$6,YEAR(DL$4)&gt;=YEAR($F288),$K288="k"),ROUND(VLOOKUP(DQ$4,Preisindex,2,FALSE)/VLOOKUP(YEAR($F288),Preisindex,2,FALSE),2),0)))))</f>
        <v>0</v>
      </c>
      <c r="DR288" s="56">
        <f>IF(AND($E288&lt;&gt;0,$F288&gt;0,YEAR($F288)&lt;Preisindex!$A$6,YEAR(DL$4)&gt;=YEAR($F288),AND($K288&lt;&gt;"a",$K288&lt;&gt;"b",$K288&lt;&gt;"g",$K288&lt;&gt;"k")),1,IF(AND($E288&lt;&gt;0,$F288&gt;0,YEAR($F288)&lt;Preisindex!$A$6,YEAR(DL$4)&gt;=YEAR($F288),$K288="a"),ROUND(VLOOKUP(DQ$4,Preisindex,5,FALSE)/VLOOKUP(Preisindex!$A$6,Preisindex,5,FALSE),2),IF(AND($E288&lt;&gt;0,$F288&gt;0,YEAR($F288)&lt;Preisindex!$A$6,YEAR(DL$4)&gt;=YEAR($F288),$K288="b"),ROUND(VLOOKUP(DQ$4,Preisindex,3,FALSE)/VLOOKUP(Preisindex!$A$6,Preisindex,3,FALSE),2),IF(AND($E288&lt;&gt;0,$F288&gt;0,YEAR($F288)&lt;Preisindex!$A$6,YEAR(DL$4)&gt;=YEAR($F288),$K288="g"),ROUND(VLOOKUP(DQ$4,Preisindex,4,FALSE)/VLOOKUP(Preisindex!$A$6,Preisindex,4,FALSE),2),IF(AND($E288&lt;&gt;0,$F288&gt;0,YEAR($F288)&lt;Preisindex!$A$6,YEAR(DL$4)&gt;=YEAR($F288),$K288="k"),ROUND(VLOOKUP(DQ$4,Preisindex,2,FALSE)/VLOOKUP(Preisindex!$A$6,Preisindex,2,FALSE),2),0)))))</f>
        <v>0</v>
      </c>
      <c r="DS288" s="51">
        <f>IF(AND($E288&lt;&gt;0,$F288&gt;0,YEAR($F288)&lt;=DQ$4,YEAR($F288)&gt;=Preisindex!$A$6),ROUND($E288*DQ288,2),IF(AND($E288&lt;&gt;0,$F288&gt;0,YEAR($F288)&lt;=DQ$4,YEAR($F288)&lt;Preisindex!$A$6),ROUND($E288*DR288,2),0))</f>
        <v>0</v>
      </c>
      <c r="DT288" s="53">
        <f t="shared" si="795"/>
        <v>0</v>
      </c>
      <c r="DU288" s="51">
        <f t="shared" si="840"/>
        <v>0</v>
      </c>
      <c r="DV288" s="51">
        <f t="shared" si="866"/>
        <v>0</v>
      </c>
      <c r="DW288" s="51">
        <f t="shared" si="796"/>
        <v>0</v>
      </c>
      <c r="DX288" s="51">
        <f t="shared" si="867"/>
        <v>0</v>
      </c>
      <c r="DY288" s="51">
        <f t="shared" si="797"/>
        <v>0</v>
      </c>
      <c r="DZ288" s="51">
        <f t="shared" si="868"/>
        <v>0</v>
      </c>
      <c r="EA288" s="51">
        <f t="shared" si="798"/>
        <v>0</v>
      </c>
      <c r="EB288" s="51">
        <f t="shared" si="869"/>
        <v>0</v>
      </c>
      <c r="EC288" s="51">
        <f t="shared" si="799"/>
        <v>0</v>
      </c>
      <c r="ED288" s="51">
        <f t="shared" si="870"/>
        <v>0</v>
      </c>
      <c r="EE288" s="51">
        <f t="shared" si="800"/>
        <v>0</v>
      </c>
      <c r="EF288" s="54">
        <f t="shared" si="801"/>
        <v>0</v>
      </c>
      <c r="EG288" s="55">
        <f t="shared" si="802"/>
        <v>0</v>
      </c>
      <c r="EH288" s="56">
        <f>IF(AND($E288&lt;&gt;0,$F288&gt;0,YEAR($F288)&gt;=Preisindex!$A$6,YEAR(EC$4)&gt;=YEAR($F288),AND($K288&lt;&gt;"a",$K288&lt;&gt;"b",$K288&lt;&gt;"g",$K288&lt;&gt;"k")),1,IF(AND($E288&lt;&gt;0,$F288&gt;0,YEAR($F288)&gt;=Preisindex!$A$6,YEAR(EC$4)&gt;=YEAR($F288),$K288="a"),ROUND(VLOOKUP(EH$4,Preisindex,5,FALSE)/VLOOKUP(YEAR($F288),Preisindex,5,FALSE),2),IF(AND($E288&lt;&gt;0,$F288&gt;0,YEAR($F288)&gt;=Preisindex!$A$6,YEAR(EC$4)&gt;=YEAR($F288),$K288="b"),ROUND(VLOOKUP(EH$4,Preisindex,3,FALSE)/VLOOKUP(YEAR($F288),Preisindex,3,FALSE),2),IF(AND($E288&lt;&gt;0,$F288&gt;0,YEAR($F288)&gt;=Preisindex!$A$6,YEAR(EC$4)&gt;=YEAR($F288),$K288="g"),ROUND(VLOOKUP(EH$4,Preisindex,4,FALSE)/VLOOKUP(YEAR($F288),Preisindex,4,FALSE),2),IF(AND($E288&lt;&gt;0,$F288&gt;0,YEAR($F288)&gt;=Preisindex!$A$6,YEAR(EC$4)&gt;=YEAR($F288),$K288="k"),ROUND(VLOOKUP(EH$4,Preisindex,2,FALSE)/VLOOKUP(YEAR($F288),Preisindex,2,FALSE),2),0)))))</f>
        <v>0</v>
      </c>
      <c r="EI288" s="56">
        <f>IF(AND($E288&lt;&gt;0,$F288&gt;0,YEAR($F288)&lt;Preisindex!$A$6,YEAR(EC$4)&gt;=YEAR($F288),AND($K288&lt;&gt;"a",$K288&lt;&gt;"b",$K288&lt;&gt;"g",$K288&lt;&gt;"k")),1,IF(AND($E288&lt;&gt;0,$F288&gt;0,YEAR($F288)&lt;Preisindex!$A$6,YEAR(EC$4)&gt;=YEAR($F288),$K288="a"),ROUND(VLOOKUP(EH$4,Preisindex,5,FALSE)/VLOOKUP(Preisindex!$A$6,Preisindex,5,FALSE),2),IF(AND($E288&lt;&gt;0,$F288&gt;0,YEAR($F288)&lt;Preisindex!$A$6,YEAR(EC$4)&gt;=YEAR($F288),$K288="b"),ROUND(VLOOKUP(EH$4,Preisindex,3,FALSE)/VLOOKUP(Preisindex!$A$6,Preisindex,3,FALSE),2),IF(AND($E288&lt;&gt;0,$F288&gt;0,YEAR($F288)&lt;Preisindex!$A$6,YEAR(EC$4)&gt;=YEAR($F288),$K288="g"),ROUND(VLOOKUP(EH$4,Preisindex,4,FALSE)/VLOOKUP(Preisindex!$A$6,Preisindex,4,FALSE),2),IF(AND($E288&lt;&gt;0,$F288&gt;0,YEAR($F288)&lt;Preisindex!$A$6,YEAR(EC$4)&gt;=YEAR($F288),$K288="k"),ROUND(VLOOKUP(EH$4,Preisindex,2,FALSE)/VLOOKUP(Preisindex!$A$6,Preisindex,2,FALSE),2),0)))))</f>
        <v>0</v>
      </c>
      <c r="EJ288" s="51">
        <f>IF(AND($E288&lt;&gt;0,$F288&gt;0,YEAR($F288)&lt;=EH$4,YEAR($F288)&gt;=Preisindex!$A$6),ROUND($E288*EH288,2),IF(AND($E288&lt;&gt;0,$F288&gt;0,YEAR($F288)&lt;=EH$4,YEAR($F288)&lt;Preisindex!$A$6),ROUND($E288*EI288,2),0))</f>
        <v>0</v>
      </c>
      <c r="EK288" s="53">
        <f t="shared" si="803"/>
        <v>0</v>
      </c>
      <c r="EL288" s="51">
        <f t="shared" si="840"/>
        <v>0</v>
      </c>
      <c r="EM288" s="51">
        <f t="shared" si="871"/>
        <v>0</v>
      </c>
      <c r="EN288" s="51">
        <f t="shared" si="804"/>
        <v>0</v>
      </c>
      <c r="EO288" s="51">
        <f t="shared" si="872"/>
        <v>0</v>
      </c>
      <c r="EP288" s="51">
        <f t="shared" si="805"/>
        <v>0</v>
      </c>
      <c r="EQ288" s="51">
        <f t="shared" si="873"/>
        <v>0</v>
      </c>
      <c r="ER288" s="51">
        <f t="shared" si="806"/>
        <v>0</v>
      </c>
      <c r="ES288" s="51">
        <f t="shared" si="874"/>
        <v>0</v>
      </c>
      <c r="ET288" s="51">
        <f t="shared" si="807"/>
        <v>0</v>
      </c>
      <c r="EU288" s="51">
        <f t="shared" si="875"/>
        <v>0</v>
      </c>
      <c r="EV288" s="51">
        <f t="shared" si="808"/>
        <v>0</v>
      </c>
      <c r="EW288" s="54">
        <f t="shared" si="809"/>
        <v>0</v>
      </c>
      <c r="EX288" s="55">
        <f t="shared" si="810"/>
        <v>0</v>
      </c>
      <c r="EY288" s="56">
        <f>IF(AND($E288&lt;&gt;0,$F288&gt;0,YEAR($F288)&gt;=Preisindex!$A$6,YEAR(ET$4)&gt;=YEAR($F288),AND($K288&lt;&gt;"a",$K288&lt;&gt;"b",$K288&lt;&gt;"g",$K288&lt;&gt;"k")),1,IF(AND($E288&lt;&gt;0,$F288&gt;0,YEAR($F288)&gt;=Preisindex!$A$6,YEAR(ET$4)&gt;=YEAR($F288),$K288="a"),ROUND(VLOOKUP(EY$4,Preisindex,5,FALSE)/VLOOKUP(YEAR($F288),Preisindex,5,FALSE),2),IF(AND($E288&lt;&gt;0,$F288&gt;0,YEAR($F288)&gt;=Preisindex!$A$6,YEAR(ET$4)&gt;=YEAR($F288),$K288="b"),ROUND(VLOOKUP(EY$4,Preisindex,3,FALSE)/VLOOKUP(YEAR($F288),Preisindex,3,FALSE),2),IF(AND($E288&lt;&gt;0,$F288&gt;0,YEAR($F288)&gt;=Preisindex!$A$6,YEAR(ET$4)&gt;=YEAR($F288),$K288="g"),ROUND(VLOOKUP(EY$4,Preisindex,4,FALSE)/VLOOKUP(YEAR($F288),Preisindex,4,FALSE),2),IF(AND($E288&lt;&gt;0,$F288&gt;0,YEAR($F288)&gt;=Preisindex!$A$6,YEAR(ET$4)&gt;=YEAR($F288),$K288="k"),ROUND(VLOOKUP(EY$4,Preisindex,2,FALSE)/VLOOKUP(YEAR($F288),Preisindex,2,FALSE),2),0)))))</f>
        <v>0</v>
      </c>
      <c r="EZ288" s="56">
        <f>IF(AND($E288&lt;&gt;0,$F288&gt;0,YEAR($F288)&lt;Preisindex!$A$6,YEAR(ET$4)&gt;=YEAR($F288),AND($K288&lt;&gt;"a",$K288&lt;&gt;"b",$K288&lt;&gt;"g",$K288&lt;&gt;"k")),1,IF(AND($E288&lt;&gt;0,$F288&gt;0,YEAR($F288)&lt;Preisindex!$A$6,YEAR(ET$4)&gt;=YEAR($F288),$K288="a"),ROUND(VLOOKUP(EY$4,Preisindex,5,FALSE)/VLOOKUP(Preisindex!$A$6,Preisindex,5,FALSE),2),IF(AND($E288&lt;&gt;0,$F288&gt;0,YEAR($F288)&lt;Preisindex!$A$6,YEAR(ET$4)&gt;=YEAR($F288),$K288="b"),ROUND(VLOOKUP(EY$4,Preisindex,3,FALSE)/VLOOKUP(Preisindex!$A$6,Preisindex,3,FALSE),2),IF(AND($E288&lt;&gt;0,$F288&gt;0,YEAR($F288)&lt;Preisindex!$A$6,YEAR(ET$4)&gt;=YEAR($F288),$K288="g"),ROUND(VLOOKUP(EY$4,Preisindex,4,FALSE)/VLOOKUP(Preisindex!$A$6,Preisindex,4,FALSE),2),IF(AND($E288&lt;&gt;0,$F288&gt;0,YEAR($F288)&lt;Preisindex!$A$6,YEAR(ET$4)&gt;=YEAR($F288),$K288="k"),ROUND(VLOOKUP(EY$4,Preisindex,2,FALSE)/VLOOKUP(Preisindex!$A$6,Preisindex,2,FALSE),2),0)))))</f>
        <v>0</v>
      </c>
      <c r="FA288" s="51">
        <f>IF(AND($E288&lt;&gt;0,$F288&gt;0,YEAR($F288)&lt;=EY$4,YEAR($F288)&gt;=Preisindex!$A$6),ROUND($E288*EY288,2),IF(AND($E288&lt;&gt;0,$F288&gt;0,YEAR($F288)&lt;=EY$4,YEAR($F288)&lt;Preisindex!$A$6),ROUND($E288*EZ288,2),0))</f>
        <v>0</v>
      </c>
      <c r="FB288" s="53">
        <f t="shared" si="811"/>
        <v>0</v>
      </c>
      <c r="FC288" s="51">
        <f t="shared" si="840"/>
        <v>0</v>
      </c>
      <c r="FD288" s="51">
        <f t="shared" si="876"/>
        <v>0</v>
      </c>
      <c r="FE288" s="51">
        <f t="shared" si="812"/>
        <v>0</v>
      </c>
      <c r="FF288" s="51">
        <f t="shared" si="877"/>
        <v>0</v>
      </c>
      <c r="FG288" s="51">
        <f t="shared" si="813"/>
        <v>0</v>
      </c>
      <c r="FH288" s="51">
        <f t="shared" si="878"/>
        <v>0</v>
      </c>
      <c r="FI288" s="51">
        <f t="shared" si="814"/>
        <v>0</v>
      </c>
      <c r="FJ288" s="51">
        <f t="shared" si="879"/>
        <v>0</v>
      </c>
      <c r="FK288" s="51">
        <f t="shared" si="815"/>
        <v>0</v>
      </c>
      <c r="FL288" s="51">
        <f t="shared" si="880"/>
        <v>0</v>
      </c>
      <c r="FM288" s="51">
        <f t="shared" si="816"/>
        <v>0</v>
      </c>
      <c r="FN288" s="54">
        <f t="shared" si="817"/>
        <v>0</v>
      </c>
      <c r="FO288" s="55">
        <f t="shared" si="818"/>
        <v>0</v>
      </c>
      <c r="FP288" s="56">
        <f>IF(AND($E288&lt;&gt;0,$F288&gt;0,YEAR($F288)&gt;=Preisindex!$A$6,YEAR(FK$4)&gt;=YEAR($F288),AND($K288&lt;&gt;"a",$K288&lt;&gt;"b",$K288&lt;&gt;"g",$K288&lt;&gt;"k")),1,IF(AND($E288&lt;&gt;0,$F288&gt;0,YEAR($F288)&gt;=Preisindex!$A$6,YEAR(FK$4)&gt;=YEAR($F288),$K288="a"),ROUND(VLOOKUP(FP$4,Preisindex,5,FALSE)/VLOOKUP(YEAR($F288),Preisindex,5,FALSE),2),IF(AND($E288&lt;&gt;0,$F288&gt;0,YEAR($F288)&gt;=Preisindex!$A$6,YEAR(FK$4)&gt;=YEAR($F288),$K288="b"),ROUND(VLOOKUP(FP$4,Preisindex,3,FALSE)/VLOOKUP(YEAR($F288),Preisindex,3,FALSE),2),IF(AND($E288&lt;&gt;0,$F288&gt;0,YEAR($F288)&gt;=Preisindex!$A$6,YEAR(FK$4)&gt;=YEAR($F288),$K288="g"),ROUND(VLOOKUP(FP$4,Preisindex,4,FALSE)/VLOOKUP(YEAR($F288),Preisindex,4,FALSE),2),IF(AND($E288&lt;&gt;0,$F288&gt;0,YEAR($F288)&gt;=Preisindex!$A$6,YEAR(FK$4)&gt;=YEAR($F288),$K288="k"),ROUND(VLOOKUP(FP$4,Preisindex,2,FALSE)/VLOOKUP(YEAR($F288),Preisindex,2,FALSE),2),0)))))</f>
        <v>0</v>
      </c>
      <c r="FQ288" s="56">
        <f>IF(AND($E288&lt;&gt;0,$F288&gt;0,YEAR($F288)&lt;Preisindex!$A$6,YEAR(FK$4)&gt;=YEAR($F288),AND($K288&lt;&gt;"a",$K288&lt;&gt;"b",$K288&lt;&gt;"g",$K288&lt;&gt;"k")),1,IF(AND($E288&lt;&gt;0,$F288&gt;0,YEAR($F288)&lt;Preisindex!$A$6,YEAR(FK$4)&gt;=YEAR($F288),$K288="a"),ROUND(VLOOKUP(FP$4,Preisindex,5,FALSE)/VLOOKUP(Preisindex!$A$6,Preisindex,5,FALSE),2),IF(AND($E288&lt;&gt;0,$F288&gt;0,YEAR($F288)&lt;Preisindex!$A$6,YEAR(FK$4)&gt;=YEAR($F288),$K288="b"),ROUND(VLOOKUP(FP$4,Preisindex,3,FALSE)/VLOOKUP(Preisindex!$A$6,Preisindex,3,FALSE),2),IF(AND($E288&lt;&gt;0,$F288&gt;0,YEAR($F288)&lt;Preisindex!$A$6,YEAR(FK$4)&gt;=YEAR($F288),$K288="g"),ROUND(VLOOKUP(FP$4,Preisindex,4,FALSE)/VLOOKUP(Preisindex!$A$6,Preisindex,4,FALSE),2),IF(AND($E288&lt;&gt;0,$F288&gt;0,YEAR($F288)&lt;Preisindex!$A$6,YEAR(FK$4)&gt;=YEAR($F288),$K288="k"),ROUND(VLOOKUP(FP$4,Preisindex,2,FALSE)/VLOOKUP(Preisindex!$A$6,Preisindex,2,FALSE),2),0)))))</f>
        <v>0</v>
      </c>
      <c r="FR288" s="51">
        <f>IF(AND($E288&lt;&gt;0,$F288&gt;0,YEAR($F288)&lt;=FP$4,YEAR($F288)&gt;=Preisindex!$A$6),ROUND($E288*FP288,2),IF(AND($E288&lt;&gt;0,$F288&gt;0,YEAR($F288)&lt;=FP$4,YEAR($F288)&lt;Preisindex!$A$6),ROUND($E288*FQ288,2),0))</f>
        <v>0</v>
      </c>
      <c r="FS288" s="53">
        <f t="shared" si="819"/>
        <v>0</v>
      </c>
    </row>
    <row r="289" spans="1:175" x14ac:dyDescent="0.3">
      <c r="A289" s="185"/>
      <c r="B289" s="186"/>
      <c r="C289" s="187"/>
      <c r="D289" s="188"/>
      <c r="E289" s="189"/>
      <c r="F289" s="190"/>
      <c r="G289" s="191"/>
      <c r="H289" s="192"/>
      <c r="I289" s="193"/>
      <c r="J289" s="194"/>
      <c r="K289" s="630"/>
      <c r="L289" s="49">
        <f t="shared" si="820"/>
        <v>0</v>
      </c>
      <c r="M289" s="50">
        <f t="shared" si="821"/>
        <v>0</v>
      </c>
      <c r="N289" s="51">
        <f t="shared" si="822"/>
        <v>0</v>
      </c>
      <c r="O289" s="51"/>
      <c r="P289" s="51">
        <f t="shared" si="823"/>
        <v>0</v>
      </c>
      <c r="Q289" s="52"/>
      <c r="R289" s="52"/>
      <c r="S289" s="52"/>
      <c r="T289" s="52"/>
      <c r="U289" s="52"/>
      <c r="V289" s="53">
        <f t="shared" si="824"/>
        <v>0</v>
      </c>
      <c r="W289" s="51">
        <f t="shared" si="825"/>
        <v>0</v>
      </c>
      <c r="X289" s="51">
        <f t="shared" si="826"/>
        <v>0</v>
      </c>
      <c r="Y289" s="51">
        <f t="shared" si="827"/>
        <v>0</v>
      </c>
      <c r="Z289" s="51">
        <f t="shared" si="828"/>
        <v>0</v>
      </c>
      <c r="AA289" s="51">
        <f t="shared" si="829"/>
        <v>0</v>
      </c>
      <c r="AB289" s="51">
        <f t="shared" si="830"/>
        <v>0</v>
      </c>
      <c r="AC289" s="51">
        <f t="shared" si="831"/>
        <v>0</v>
      </c>
      <c r="AD289" s="51">
        <f t="shared" si="832"/>
        <v>0</v>
      </c>
      <c r="AE289" s="51">
        <f t="shared" si="833"/>
        <v>0</v>
      </c>
      <c r="AF289" s="51">
        <f t="shared" si="834"/>
        <v>0</v>
      </c>
      <c r="AG289" s="51">
        <f t="shared" si="835"/>
        <v>0</v>
      </c>
      <c r="AH289" s="54">
        <f t="shared" si="836"/>
        <v>0</v>
      </c>
      <c r="AI289" s="55">
        <f t="shared" si="837"/>
        <v>0</v>
      </c>
      <c r="AJ289" s="56">
        <f>IF(AND($E289&lt;&gt;0,$F289&gt;0,YEAR($F289)&gt;=Preisindex!$A$6,YEAR(AE$4)&gt;=YEAR($F289),AND($K289&lt;&gt;"a",$K289&lt;&gt;"b",$K289&lt;&gt;"g",$K289&lt;&gt;"k")),1,IF(AND($E289&lt;&gt;0,$F289&gt;0,YEAR($F289)&gt;=Preisindex!$A$6,YEAR(AE$4)&gt;=YEAR($F289),$K289="a"),ROUND(VLOOKUP(AJ$4,Preisindex,5,FALSE)/VLOOKUP(YEAR($F289),Preisindex,5,FALSE),2),IF(AND($E289&lt;&gt;0,$F289&gt;0,YEAR($F289)&gt;=Preisindex!$A$6,YEAR(AE$4)&gt;=YEAR($F289),$K289="b"),ROUND(VLOOKUP(AJ$4,Preisindex,3,FALSE)/VLOOKUP(YEAR($F289),Preisindex,3,FALSE),2),IF(AND($E289&lt;&gt;0,$F289&gt;0,YEAR($F289)&gt;=Preisindex!$A$6,YEAR(AE$4)&gt;=YEAR($F289),$K289="g"),ROUND(VLOOKUP(AJ$4,Preisindex,4,FALSE)/VLOOKUP(YEAR($F289),Preisindex,4,FALSE),2),IF(AND($E289&lt;&gt;0,$F289&gt;0,YEAR($F289)&gt;=Preisindex!$A$6,YEAR(AE$4)&gt;=YEAR($F289),$K289="k"),ROUND(VLOOKUP(AJ$4,Preisindex,2,FALSE)/VLOOKUP(YEAR($F289),Preisindex,2,FALSE),2),0)))))</f>
        <v>0</v>
      </c>
      <c r="AK289" s="56">
        <f>IF(AND($E289&lt;&gt;0,$F289&gt;0,YEAR($F289)&lt;Preisindex!$A$6,YEAR(AE$4)&gt;=YEAR($F289),AND($K289&lt;&gt;"a",$K289&lt;&gt;"b",$K289&lt;&gt;"g",$K289&lt;&gt;"k")),1,IF(AND($E289&lt;&gt;0,$F289&gt;0,YEAR($F289)&lt;Preisindex!$A$6,YEAR(AE$4)&gt;=YEAR($F289),$K289="a"),ROUND(VLOOKUP(AJ$4,Preisindex,5,FALSE)/VLOOKUP(Preisindex!$A$6,Preisindex,5,FALSE),2),IF(AND($E289&lt;&gt;0,$F289&gt;0,YEAR($F289)&lt;Preisindex!$A$6,YEAR(AE$4)&gt;=YEAR($F289),$K289="b"),ROUND(VLOOKUP(AJ$4,Preisindex,3,FALSE)/VLOOKUP(Preisindex!$A$6,Preisindex,3,FALSE),2),IF(AND($E289&lt;&gt;0,$F289&gt;0,YEAR($F289)&lt;Preisindex!$A$6,YEAR(AE$4)&gt;=YEAR($F289),$K289="g"),ROUND(VLOOKUP(AJ$4,Preisindex,4,FALSE)/VLOOKUP(Preisindex!$A$6,Preisindex,4,FALSE),2),IF(AND($E289&lt;&gt;0,$F289&gt;0,YEAR($F289)&lt;Preisindex!$A$6,YEAR(AE$4)&gt;=YEAR($F289),$K289="k"),ROUND(VLOOKUP(AJ$4,Preisindex,2,FALSE)/VLOOKUP(Preisindex!$A$6,Preisindex,2,FALSE),2),0)))))</f>
        <v>0</v>
      </c>
      <c r="AL289" s="51">
        <f>IF(AND($E289&lt;&gt;0,$F289&gt;0,YEAR($F289)&lt;=AJ$4,YEAR($F289)&gt;=Preisindex!$A$6),ROUND($E289*AJ289,2),IF(AND($E289&lt;&gt;0,$F289&gt;0,YEAR($F289)&lt;=AJ$4,YEAR($F289)&lt;Preisindex!$A$6),ROUND($E289*AK289,2),0))</f>
        <v>0</v>
      </c>
      <c r="AM289" s="53">
        <f t="shared" si="838"/>
        <v>0</v>
      </c>
      <c r="AN289" s="51">
        <f t="shared" si="839"/>
        <v>0</v>
      </c>
      <c r="AO289" s="51">
        <f t="shared" si="841"/>
        <v>0</v>
      </c>
      <c r="AP289" s="51">
        <f t="shared" si="755"/>
        <v>0</v>
      </c>
      <c r="AQ289" s="51">
        <f t="shared" si="842"/>
        <v>0</v>
      </c>
      <c r="AR289" s="51">
        <f t="shared" si="756"/>
        <v>0</v>
      </c>
      <c r="AS289" s="51">
        <f t="shared" si="843"/>
        <v>0</v>
      </c>
      <c r="AT289" s="51">
        <f t="shared" si="757"/>
        <v>0</v>
      </c>
      <c r="AU289" s="51">
        <f t="shared" si="844"/>
        <v>0</v>
      </c>
      <c r="AV289" s="51">
        <f t="shared" si="758"/>
        <v>0</v>
      </c>
      <c r="AW289" s="51">
        <f t="shared" si="845"/>
        <v>0</v>
      </c>
      <c r="AX289" s="51">
        <f t="shared" si="759"/>
        <v>0</v>
      </c>
      <c r="AY289" s="54">
        <f t="shared" si="760"/>
        <v>0</v>
      </c>
      <c r="AZ289" s="55">
        <f t="shared" si="761"/>
        <v>0</v>
      </c>
      <c r="BA289" s="56">
        <f>IF(AND($E289&lt;&gt;0,$F289&gt;0,YEAR($F289)&gt;=Preisindex!$A$6,YEAR(AV$4)&gt;=YEAR($F289),AND($K289&lt;&gt;"a",$K289&lt;&gt;"b",$K289&lt;&gt;"g",$K289&lt;&gt;"k")),1,IF(AND($E289&lt;&gt;0,$F289&gt;0,YEAR($F289)&gt;=Preisindex!$A$6,YEAR(AV$4)&gt;=YEAR($F289),$K289="a"),ROUND(VLOOKUP(BA$4,Preisindex,5,FALSE)/VLOOKUP(YEAR($F289),Preisindex,5,FALSE),2),IF(AND($E289&lt;&gt;0,$F289&gt;0,YEAR($F289)&gt;=Preisindex!$A$6,YEAR(AV$4)&gt;=YEAR($F289),$K289="b"),ROUND(VLOOKUP(BA$4,Preisindex,3,FALSE)/VLOOKUP(YEAR($F289),Preisindex,3,FALSE),2),IF(AND($E289&lt;&gt;0,$F289&gt;0,YEAR($F289)&gt;=Preisindex!$A$6,YEAR(AV$4)&gt;=YEAR($F289),$K289="g"),ROUND(VLOOKUP(BA$4,Preisindex,4,FALSE)/VLOOKUP(YEAR($F289),Preisindex,4,FALSE),2),IF(AND($E289&lt;&gt;0,$F289&gt;0,YEAR($F289)&gt;=Preisindex!$A$6,YEAR(AV$4)&gt;=YEAR($F289),$K289="k"),ROUND(VLOOKUP(BA$4,Preisindex,2,FALSE)/VLOOKUP(YEAR($F289),Preisindex,2,FALSE),2),0)))))</f>
        <v>0</v>
      </c>
      <c r="BB289" s="56">
        <f>IF(AND($E289&lt;&gt;0,$F289&gt;0,YEAR($F289)&lt;Preisindex!$A$6,YEAR(AV$4)&gt;=YEAR($F289),AND($K289&lt;&gt;"a",$K289&lt;&gt;"b",$K289&lt;&gt;"g",$K289&lt;&gt;"k")),1,IF(AND($E289&lt;&gt;0,$F289&gt;0,YEAR($F289)&lt;Preisindex!$A$6,YEAR(AV$4)&gt;=YEAR($F289),$K289="a"),ROUND(VLOOKUP(BA$4,Preisindex,5,FALSE)/VLOOKUP(Preisindex!$A$6,Preisindex,5,FALSE),2),IF(AND($E289&lt;&gt;0,$F289&gt;0,YEAR($F289)&lt;Preisindex!$A$6,YEAR(AV$4)&gt;=YEAR($F289),$K289="b"),ROUND(VLOOKUP(BA$4,Preisindex,3,FALSE)/VLOOKUP(Preisindex!$A$6,Preisindex,3,FALSE),2),IF(AND($E289&lt;&gt;0,$F289&gt;0,YEAR($F289)&lt;Preisindex!$A$6,YEAR(AV$4)&gt;=YEAR($F289),$K289="g"),ROUND(VLOOKUP(BA$4,Preisindex,4,FALSE)/VLOOKUP(Preisindex!$A$6,Preisindex,4,FALSE),2),IF(AND($E289&lt;&gt;0,$F289&gt;0,YEAR($F289)&lt;Preisindex!$A$6,YEAR(AV$4)&gt;=YEAR($F289),$K289="k"),ROUND(VLOOKUP(BA$4,Preisindex,2,FALSE)/VLOOKUP(Preisindex!$A$6,Preisindex,2,FALSE),2),0)))))</f>
        <v>0</v>
      </c>
      <c r="BC289" s="51">
        <f>IF(AND($E289&lt;&gt;0,$F289&gt;0,YEAR($F289)&lt;=BA$4,YEAR($F289)&gt;=Preisindex!$A$6),ROUND($E289*BA289,2),IF(AND($E289&lt;&gt;0,$F289&gt;0,YEAR($F289)&lt;=BA$4,YEAR($F289)&lt;Preisindex!$A$6),ROUND($E289*BB289,2),0))</f>
        <v>0</v>
      </c>
      <c r="BD289" s="53">
        <f t="shared" si="762"/>
        <v>0</v>
      </c>
      <c r="BE289" s="51">
        <f t="shared" si="839"/>
        <v>0</v>
      </c>
      <c r="BF289" s="51">
        <f t="shared" si="846"/>
        <v>0</v>
      </c>
      <c r="BG289" s="51">
        <f t="shared" si="763"/>
        <v>0</v>
      </c>
      <c r="BH289" s="51">
        <f t="shared" si="847"/>
        <v>0</v>
      </c>
      <c r="BI289" s="51">
        <f t="shared" si="764"/>
        <v>0</v>
      </c>
      <c r="BJ289" s="51">
        <f t="shared" si="848"/>
        <v>0</v>
      </c>
      <c r="BK289" s="51">
        <f t="shared" si="765"/>
        <v>0</v>
      </c>
      <c r="BL289" s="51">
        <f t="shared" si="849"/>
        <v>0</v>
      </c>
      <c r="BM289" s="51">
        <f t="shared" si="766"/>
        <v>0</v>
      </c>
      <c r="BN289" s="51">
        <f t="shared" si="850"/>
        <v>0</v>
      </c>
      <c r="BO289" s="51">
        <f t="shared" si="767"/>
        <v>0</v>
      </c>
      <c r="BP289" s="54">
        <f t="shared" si="768"/>
        <v>0</v>
      </c>
      <c r="BQ289" s="55">
        <f t="shared" si="769"/>
        <v>0</v>
      </c>
      <c r="BR289" s="56">
        <f>IF(AND($E289&lt;&gt;0,$F289&gt;0,YEAR($F289)&gt;=Preisindex!$A$6,YEAR(BM$4)&gt;=YEAR($F289),AND($K289&lt;&gt;"a",$K289&lt;&gt;"b",$K289&lt;&gt;"g",$K289&lt;&gt;"k")),1,IF(AND($E289&lt;&gt;0,$F289&gt;0,YEAR($F289)&gt;=Preisindex!$A$6,YEAR(BM$4)&gt;=YEAR($F289),$K289="a"),ROUND(VLOOKUP(BR$4,Preisindex,5,FALSE)/VLOOKUP(YEAR($F289),Preisindex,5,FALSE),2),IF(AND($E289&lt;&gt;0,$F289&gt;0,YEAR($F289)&gt;=Preisindex!$A$6,YEAR(BM$4)&gt;=YEAR($F289),$K289="b"),ROUND(VLOOKUP(BR$4,Preisindex,3,FALSE)/VLOOKUP(YEAR($F289),Preisindex,3,FALSE),2),IF(AND($E289&lt;&gt;0,$F289&gt;0,YEAR($F289)&gt;=Preisindex!$A$6,YEAR(BM$4)&gt;=YEAR($F289),$K289="g"),ROUND(VLOOKUP(BR$4,Preisindex,4,FALSE)/VLOOKUP(YEAR($F289),Preisindex,4,FALSE),2),IF(AND($E289&lt;&gt;0,$F289&gt;0,YEAR($F289)&gt;=Preisindex!$A$6,YEAR(BM$4)&gt;=YEAR($F289),$K289="k"),ROUND(VLOOKUP(BR$4,Preisindex,2,FALSE)/VLOOKUP(YEAR($F289),Preisindex,2,FALSE),2),0)))))</f>
        <v>0</v>
      </c>
      <c r="BS289" s="56">
        <f>IF(AND($E289&lt;&gt;0,$F289&gt;0,YEAR($F289)&lt;Preisindex!$A$6,YEAR(BM$4)&gt;=YEAR($F289),AND($K289&lt;&gt;"a",$K289&lt;&gt;"b",$K289&lt;&gt;"g",$K289&lt;&gt;"k")),1,IF(AND($E289&lt;&gt;0,$F289&gt;0,YEAR($F289)&lt;Preisindex!$A$6,YEAR(BM$4)&gt;=YEAR($F289),$K289="a"),ROUND(VLOOKUP(BR$4,Preisindex,5,FALSE)/VLOOKUP(Preisindex!$A$6,Preisindex,5,FALSE),2),IF(AND($E289&lt;&gt;0,$F289&gt;0,YEAR($F289)&lt;Preisindex!$A$6,YEAR(BM$4)&gt;=YEAR($F289),$K289="b"),ROUND(VLOOKUP(BR$4,Preisindex,3,FALSE)/VLOOKUP(Preisindex!$A$6,Preisindex,3,FALSE),2),IF(AND($E289&lt;&gt;0,$F289&gt;0,YEAR($F289)&lt;Preisindex!$A$6,YEAR(BM$4)&gt;=YEAR($F289),$K289="g"),ROUND(VLOOKUP(BR$4,Preisindex,4,FALSE)/VLOOKUP(Preisindex!$A$6,Preisindex,4,FALSE),2),IF(AND($E289&lt;&gt;0,$F289&gt;0,YEAR($F289)&lt;Preisindex!$A$6,YEAR(BM$4)&gt;=YEAR($F289),$K289="k"),ROUND(VLOOKUP(BR$4,Preisindex,2,FALSE)/VLOOKUP(Preisindex!$A$6,Preisindex,2,FALSE),2),0)))))</f>
        <v>0</v>
      </c>
      <c r="BT289" s="51">
        <f>IF(AND($E289&lt;&gt;0,$F289&gt;0,YEAR($F289)&lt;=BR$4,YEAR($F289)&gt;=Preisindex!$A$6),ROUND($E289*BR289,2),IF(AND($E289&lt;&gt;0,$F289&gt;0,YEAR($F289)&lt;=BR$4,YEAR($F289)&lt;Preisindex!$A$6),ROUND($E289*BS289,2),0))</f>
        <v>0</v>
      </c>
      <c r="BU289" s="53">
        <f t="shared" si="770"/>
        <v>0</v>
      </c>
      <c r="BV289" s="51">
        <f t="shared" si="839"/>
        <v>0</v>
      </c>
      <c r="BW289" s="51">
        <f t="shared" si="851"/>
        <v>0</v>
      </c>
      <c r="BX289" s="51">
        <f t="shared" si="771"/>
        <v>0</v>
      </c>
      <c r="BY289" s="51">
        <f t="shared" si="852"/>
        <v>0</v>
      </c>
      <c r="BZ289" s="51">
        <f t="shared" si="772"/>
        <v>0</v>
      </c>
      <c r="CA289" s="51">
        <f t="shared" si="853"/>
        <v>0</v>
      </c>
      <c r="CB289" s="51">
        <f t="shared" si="773"/>
        <v>0</v>
      </c>
      <c r="CC289" s="51">
        <f t="shared" si="854"/>
        <v>0</v>
      </c>
      <c r="CD289" s="51">
        <f t="shared" si="774"/>
        <v>0</v>
      </c>
      <c r="CE289" s="51">
        <f t="shared" si="855"/>
        <v>0</v>
      </c>
      <c r="CF289" s="51">
        <f t="shared" si="775"/>
        <v>0</v>
      </c>
      <c r="CG289" s="54">
        <f t="shared" si="776"/>
        <v>0</v>
      </c>
      <c r="CH289" s="55">
        <f t="shared" si="777"/>
        <v>0</v>
      </c>
      <c r="CI289" s="56">
        <f>IF(AND($E289&lt;&gt;0,$F289&gt;0,YEAR($F289)&gt;=Preisindex!$A$6,YEAR(CD$4)&gt;=YEAR($F289),AND($K289&lt;&gt;"a",$K289&lt;&gt;"b",$K289&lt;&gt;"g",$K289&lt;&gt;"k")),1,IF(AND($E289&lt;&gt;0,$F289&gt;0,YEAR($F289)&gt;=Preisindex!$A$6,YEAR(CD$4)&gt;=YEAR($F289),$K289="a"),ROUND(VLOOKUP(CI$4,Preisindex,5,FALSE)/VLOOKUP(YEAR($F289),Preisindex,5,FALSE),2),IF(AND($E289&lt;&gt;0,$F289&gt;0,YEAR($F289)&gt;=Preisindex!$A$6,YEAR(CD$4)&gt;=YEAR($F289),$K289="b"),ROUND(VLOOKUP(CI$4,Preisindex,3,FALSE)/VLOOKUP(YEAR($F289),Preisindex,3,FALSE),2),IF(AND($E289&lt;&gt;0,$F289&gt;0,YEAR($F289)&gt;=Preisindex!$A$6,YEAR(CD$4)&gt;=YEAR($F289),$K289="g"),ROUND(VLOOKUP(CI$4,Preisindex,4,FALSE)/VLOOKUP(YEAR($F289),Preisindex,4,FALSE),2),IF(AND($E289&lt;&gt;0,$F289&gt;0,YEAR($F289)&gt;=Preisindex!$A$6,YEAR(CD$4)&gt;=YEAR($F289),$K289="k"),ROUND(VLOOKUP(CI$4,Preisindex,2,FALSE)/VLOOKUP(YEAR($F289),Preisindex,2,FALSE),2),0)))))</f>
        <v>0</v>
      </c>
      <c r="CJ289" s="56">
        <f>IF(AND($E289&lt;&gt;0,$F289&gt;0,YEAR($F289)&lt;Preisindex!$A$6,YEAR(CD$4)&gt;=YEAR($F289),AND($K289&lt;&gt;"a",$K289&lt;&gt;"b",$K289&lt;&gt;"g",$K289&lt;&gt;"k")),1,IF(AND($E289&lt;&gt;0,$F289&gt;0,YEAR($F289)&lt;Preisindex!$A$6,YEAR(CD$4)&gt;=YEAR($F289),$K289="a"),ROUND(VLOOKUP(CI$4,Preisindex,5,FALSE)/VLOOKUP(Preisindex!$A$6,Preisindex,5,FALSE),2),IF(AND($E289&lt;&gt;0,$F289&gt;0,YEAR($F289)&lt;Preisindex!$A$6,YEAR(CD$4)&gt;=YEAR($F289),$K289="b"),ROUND(VLOOKUP(CI$4,Preisindex,3,FALSE)/VLOOKUP(Preisindex!$A$6,Preisindex,3,FALSE),2),IF(AND($E289&lt;&gt;0,$F289&gt;0,YEAR($F289)&lt;Preisindex!$A$6,YEAR(CD$4)&gt;=YEAR($F289),$K289="g"),ROUND(VLOOKUP(CI$4,Preisindex,4,FALSE)/VLOOKUP(Preisindex!$A$6,Preisindex,4,FALSE),2),IF(AND($E289&lt;&gt;0,$F289&gt;0,YEAR($F289)&lt;Preisindex!$A$6,YEAR(CD$4)&gt;=YEAR($F289),$K289="k"),ROUND(VLOOKUP(CI$4,Preisindex,2,FALSE)/VLOOKUP(Preisindex!$A$6,Preisindex,2,FALSE),2),0)))))</f>
        <v>0</v>
      </c>
      <c r="CK289" s="51">
        <f>IF(AND($E289&lt;&gt;0,$F289&gt;0,YEAR($F289)&lt;=CI$4,YEAR($F289)&gt;=Preisindex!$A$6),ROUND($E289*CI289,2),IF(AND($E289&lt;&gt;0,$F289&gt;0,YEAR($F289)&lt;=CI$4,YEAR($F289)&lt;Preisindex!$A$6),ROUND($E289*CJ289,2),0))</f>
        <v>0</v>
      </c>
      <c r="CL289" s="53">
        <f t="shared" si="778"/>
        <v>0</v>
      </c>
      <c r="CM289" s="51">
        <f t="shared" si="839"/>
        <v>0</v>
      </c>
      <c r="CN289" s="51">
        <f t="shared" si="856"/>
        <v>0</v>
      </c>
      <c r="CO289" s="51">
        <f t="shared" si="779"/>
        <v>0</v>
      </c>
      <c r="CP289" s="51">
        <f t="shared" si="857"/>
        <v>0</v>
      </c>
      <c r="CQ289" s="51">
        <f t="shared" si="780"/>
        <v>0</v>
      </c>
      <c r="CR289" s="51">
        <f t="shared" si="858"/>
        <v>0</v>
      </c>
      <c r="CS289" s="51">
        <f t="shared" si="781"/>
        <v>0</v>
      </c>
      <c r="CT289" s="51">
        <f t="shared" si="859"/>
        <v>0</v>
      </c>
      <c r="CU289" s="51">
        <f t="shared" si="782"/>
        <v>0</v>
      </c>
      <c r="CV289" s="51">
        <f t="shared" si="860"/>
        <v>0</v>
      </c>
      <c r="CW289" s="51">
        <f t="shared" si="783"/>
        <v>0</v>
      </c>
      <c r="CX289" s="54">
        <f t="shared" si="784"/>
        <v>0</v>
      </c>
      <c r="CY289" s="55">
        <f t="shared" si="785"/>
        <v>0</v>
      </c>
      <c r="CZ289" s="56">
        <f>IF(AND($E289&lt;&gt;0,$F289&gt;0,YEAR($F289)&gt;=Preisindex!$A$6,YEAR(CU$4)&gt;=YEAR($F289),AND($K289&lt;&gt;"a",$K289&lt;&gt;"b",$K289&lt;&gt;"g",$K289&lt;&gt;"k")),1,IF(AND($E289&lt;&gt;0,$F289&gt;0,YEAR($F289)&gt;=Preisindex!$A$6,YEAR(CU$4)&gt;=YEAR($F289),$K289="a"),ROUND(VLOOKUP(CZ$4,Preisindex,5,FALSE)/VLOOKUP(YEAR($F289),Preisindex,5,FALSE),2),IF(AND($E289&lt;&gt;0,$F289&gt;0,YEAR($F289)&gt;=Preisindex!$A$6,YEAR(CU$4)&gt;=YEAR($F289),$K289="b"),ROUND(VLOOKUP(CZ$4,Preisindex,3,FALSE)/VLOOKUP(YEAR($F289),Preisindex,3,FALSE),2),IF(AND($E289&lt;&gt;0,$F289&gt;0,YEAR($F289)&gt;=Preisindex!$A$6,YEAR(CU$4)&gt;=YEAR($F289),$K289="g"),ROUND(VLOOKUP(CZ$4,Preisindex,4,FALSE)/VLOOKUP(YEAR($F289),Preisindex,4,FALSE),2),IF(AND($E289&lt;&gt;0,$F289&gt;0,YEAR($F289)&gt;=Preisindex!$A$6,YEAR(CU$4)&gt;=YEAR($F289),$K289="k"),ROUND(VLOOKUP(CZ$4,Preisindex,2,FALSE)/VLOOKUP(YEAR($F289),Preisindex,2,FALSE),2),0)))))</f>
        <v>0</v>
      </c>
      <c r="DA289" s="56">
        <f>IF(AND($E289&lt;&gt;0,$F289&gt;0,YEAR($F289)&lt;Preisindex!$A$6,YEAR(CU$4)&gt;=YEAR($F289),AND($K289&lt;&gt;"a",$K289&lt;&gt;"b",$K289&lt;&gt;"g",$K289&lt;&gt;"k")),1,IF(AND($E289&lt;&gt;0,$F289&gt;0,YEAR($F289)&lt;Preisindex!$A$6,YEAR(CU$4)&gt;=YEAR($F289),$K289="a"),ROUND(VLOOKUP(CZ$4,Preisindex,5,FALSE)/VLOOKUP(Preisindex!$A$6,Preisindex,5,FALSE),2),IF(AND($E289&lt;&gt;0,$F289&gt;0,YEAR($F289)&lt;Preisindex!$A$6,YEAR(CU$4)&gt;=YEAR($F289),$K289="b"),ROUND(VLOOKUP(CZ$4,Preisindex,3,FALSE)/VLOOKUP(Preisindex!$A$6,Preisindex,3,FALSE),2),IF(AND($E289&lt;&gt;0,$F289&gt;0,YEAR($F289)&lt;Preisindex!$A$6,YEAR(CU$4)&gt;=YEAR($F289),$K289="g"),ROUND(VLOOKUP(CZ$4,Preisindex,4,FALSE)/VLOOKUP(Preisindex!$A$6,Preisindex,4,FALSE),2),IF(AND($E289&lt;&gt;0,$F289&gt;0,YEAR($F289)&lt;Preisindex!$A$6,YEAR(CU$4)&gt;=YEAR($F289),$K289="k"),ROUND(VLOOKUP(CZ$4,Preisindex,2,FALSE)/VLOOKUP(Preisindex!$A$6,Preisindex,2,FALSE),2),0)))))</f>
        <v>0</v>
      </c>
      <c r="DB289" s="51">
        <f>IF(AND($E289&lt;&gt;0,$F289&gt;0,YEAR($F289)&lt;=CZ$4,YEAR($F289)&gt;=Preisindex!$A$6),ROUND($E289*CZ289,2),IF(AND($E289&lt;&gt;0,$F289&gt;0,YEAR($F289)&lt;=CZ$4,YEAR($F289)&lt;Preisindex!$A$6),ROUND($E289*DA289,2),0))</f>
        <v>0</v>
      </c>
      <c r="DC289" s="53">
        <f t="shared" si="786"/>
        <v>0</v>
      </c>
      <c r="DD289" s="51">
        <f t="shared" si="840"/>
        <v>0</v>
      </c>
      <c r="DE289" s="51">
        <f t="shared" si="861"/>
        <v>0</v>
      </c>
      <c r="DF289" s="51">
        <f t="shared" si="788"/>
        <v>0</v>
      </c>
      <c r="DG289" s="51">
        <f t="shared" si="862"/>
        <v>0</v>
      </c>
      <c r="DH289" s="51">
        <f t="shared" si="789"/>
        <v>0</v>
      </c>
      <c r="DI289" s="51">
        <f t="shared" si="863"/>
        <v>0</v>
      </c>
      <c r="DJ289" s="51">
        <f t="shared" si="790"/>
        <v>0</v>
      </c>
      <c r="DK289" s="51">
        <f t="shared" si="864"/>
        <v>0</v>
      </c>
      <c r="DL289" s="51">
        <f t="shared" si="791"/>
        <v>0</v>
      </c>
      <c r="DM289" s="51">
        <f t="shared" si="865"/>
        <v>0</v>
      </c>
      <c r="DN289" s="51">
        <f t="shared" si="792"/>
        <v>0</v>
      </c>
      <c r="DO289" s="54">
        <f t="shared" si="793"/>
        <v>0</v>
      </c>
      <c r="DP289" s="55">
        <f t="shared" si="794"/>
        <v>0</v>
      </c>
      <c r="DQ289" s="56">
        <f>IF(AND($E289&lt;&gt;0,$F289&gt;0,YEAR($F289)&gt;=Preisindex!$A$6,YEAR(DL$4)&gt;=YEAR($F289),AND($K289&lt;&gt;"a",$K289&lt;&gt;"b",$K289&lt;&gt;"g",$K289&lt;&gt;"k")),1,IF(AND($E289&lt;&gt;0,$F289&gt;0,YEAR($F289)&gt;=Preisindex!$A$6,YEAR(DL$4)&gt;=YEAR($F289),$K289="a"),ROUND(VLOOKUP(DQ$4,Preisindex,5,FALSE)/VLOOKUP(YEAR($F289),Preisindex,5,FALSE),2),IF(AND($E289&lt;&gt;0,$F289&gt;0,YEAR($F289)&gt;=Preisindex!$A$6,YEAR(DL$4)&gt;=YEAR($F289),$K289="b"),ROUND(VLOOKUP(DQ$4,Preisindex,3,FALSE)/VLOOKUP(YEAR($F289),Preisindex,3,FALSE),2),IF(AND($E289&lt;&gt;0,$F289&gt;0,YEAR($F289)&gt;=Preisindex!$A$6,YEAR(DL$4)&gt;=YEAR($F289),$K289="g"),ROUND(VLOOKUP(DQ$4,Preisindex,4,FALSE)/VLOOKUP(YEAR($F289),Preisindex,4,FALSE),2),IF(AND($E289&lt;&gt;0,$F289&gt;0,YEAR($F289)&gt;=Preisindex!$A$6,YEAR(DL$4)&gt;=YEAR($F289),$K289="k"),ROUND(VLOOKUP(DQ$4,Preisindex,2,FALSE)/VLOOKUP(YEAR($F289),Preisindex,2,FALSE),2),0)))))</f>
        <v>0</v>
      </c>
      <c r="DR289" s="56">
        <f>IF(AND($E289&lt;&gt;0,$F289&gt;0,YEAR($F289)&lt;Preisindex!$A$6,YEAR(DL$4)&gt;=YEAR($F289),AND($K289&lt;&gt;"a",$K289&lt;&gt;"b",$K289&lt;&gt;"g",$K289&lt;&gt;"k")),1,IF(AND($E289&lt;&gt;0,$F289&gt;0,YEAR($F289)&lt;Preisindex!$A$6,YEAR(DL$4)&gt;=YEAR($F289),$K289="a"),ROUND(VLOOKUP(DQ$4,Preisindex,5,FALSE)/VLOOKUP(Preisindex!$A$6,Preisindex,5,FALSE),2),IF(AND($E289&lt;&gt;0,$F289&gt;0,YEAR($F289)&lt;Preisindex!$A$6,YEAR(DL$4)&gt;=YEAR($F289),$K289="b"),ROUND(VLOOKUP(DQ$4,Preisindex,3,FALSE)/VLOOKUP(Preisindex!$A$6,Preisindex,3,FALSE),2),IF(AND($E289&lt;&gt;0,$F289&gt;0,YEAR($F289)&lt;Preisindex!$A$6,YEAR(DL$4)&gt;=YEAR($F289),$K289="g"),ROUND(VLOOKUP(DQ$4,Preisindex,4,FALSE)/VLOOKUP(Preisindex!$A$6,Preisindex,4,FALSE),2),IF(AND($E289&lt;&gt;0,$F289&gt;0,YEAR($F289)&lt;Preisindex!$A$6,YEAR(DL$4)&gt;=YEAR($F289),$K289="k"),ROUND(VLOOKUP(DQ$4,Preisindex,2,FALSE)/VLOOKUP(Preisindex!$A$6,Preisindex,2,FALSE),2),0)))))</f>
        <v>0</v>
      </c>
      <c r="DS289" s="51">
        <f>IF(AND($E289&lt;&gt;0,$F289&gt;0,YEAR($F289)&lt;=DQ$4,YEAR($F289)&gt;=Preisindex!$A$6),ROUND($E289*DQ289,2),IF(AND($E289&lt;&gt;0,$F289&gt;0,YEAR($F289)&lt;=DQ$4,YEAR($F289)&lt;Preisindex!$A$6),ROUND($E289*DR289,2),0))</f>
        <v>0</v>
      </c>
      <c r="DT289" s="53">
        <f t="shared" si="795"/>
        <v>0</v>
      </c>
      <c r="DU289" s="51">
        <f t="shared" si="840"/>
        <v>0</v>
      </c>
      <c r="DV289" s="51">
        <f t="shared" si="866"/>
        <v>0</v>
      </c>
      <c r="DW289" s="51">
        <f t="shared" si="796"/>
        <v>0</v>
      </c>
      <c r="DX289" s="51">
        <f t="shared" si="867"/>
        <v>0</v>
      </c>
      <c r="DY289" s="51">
        <f t="shared" si="797"/>
        <v>0</v>
      </c>
      <c r="DZ289" s="51">
        <f t="shared" si="868"/>
        <v>0</v>
      </c>
      <c r="EA289" s="51">
        <f t="shared" si="798"/>
        <v>0</v>
      </c>
      <c r="EB289" s="51">
        <f t="shared" si="869"/>
        <v>0</v>
      </c>
      <c r="EC289" s="51">
        <f t="shared" si="799"/>
        <v>0</v>
      </c>
      <c r="ED289" s="51">
        <f t="shared" si="870"/>
        <v>0</v>
      </c>
      <c r="EE289" s="51">
        <f t="shared" si="800"/>
        <v>0</v>
      </c>
      <c r="EF289" s="54">
        <f t="shared" si="801"/>
        <v>0</v>
      </c>
      <c r="EG289" s="55">
        <f t="shared" si="802"/>
        <v>0</v>
      </c>
      <c r="EH289" s="56">
        <f>IF(AND($E289&lt;&gt;0,$F289&gt;0,YEAR($F289)&gt;=Preisindex!$A$6,YEAR(EC$4)&gt;=YEAR($F289),AND($K289&lt;&gt;"a",$K289&lt;&gt;"b",$K289&lt;&gt;"g",$K289&lt;&gt;"k")),1,IF(AND($E289&lt;&gt;0,$F289&gt;0,YEAR($F289)&gt;=Preisindex!$A$6,YEAR(EC$4)&gt;=YEAR($F289),$K289="a"),ROUND(VLOOKUP(EH$4,Preisindex,5,FALSE)/VLOOKUP(YEAR($F289),Preisindex,5,FALSE),2),IF(AND($E289&lt;&gt;0,$F289&gt;0,YEAR($F289)&gt;=Preisindex!$A$6,YEAR(EC$4)&gt;=YEAR($F289),$K289="b"),ROUND(VLOOKUP(EH$4,Preisindex,3,FALSE)/VLOOKUP(YEAR($F289),Preisindex,3,FALSE),2),IF(AND($E289&lt;&gt;0,$F289&gt;0,YEAR($F289)&gt;=Preisindex!$A$6,YEAR(EC$4)&gt;=YEAR($F289),$K289="g"),ROUND(VLOOKUP(EH$4,Preisindex,4,FALSE)/VLOOKUP(YEAR($F289),Preisindex,4,FALSE),2),IF(AND($E289&lt;&gt;0,$F289&gt;0,YEAR($F289)&gt;=Preisindex!$A$6,YEAR(EC$4)&gt;=YEAR($F289),$K289="k"),ROUND(VLOOKUP(EH$4,Preisindex,2,FALSE)/VLOOKUP(YEAR($F289),Preisindex,2,FALSE),2),0)))))</f>
        <v>0</v>
      </c>
      <c r="EI289" s="56">
        <f>IF(AND($E289&lt;&gt;0,$F289&gt;0,YEAR($F289)&lt;Preisindex!$A$6,YEAR(EC$4)&gt;=YEAR($F289),AND($K289&lt;&gt;"a",$K289&lt;&gt;"b",$K289&lt;&gt;"g",$K289&lt;&gt;"k")),1,IF(AND($E289&lt;&gt;0,$F289&gt;0,YEAR($F289)&lt;Preisindex!$A$6,YEAR(EC$4)&gt;=YEAR($F289),$K289="a"),ROUND(VLOOKUP(EH$4,Preisindex,5,FALSE)/VLOOKUP(Preisindex!$A$6,Preisindex,5,FALSE),2),IF(AND($E289&lt;&gt;0,$F289&gt;0,YEAR($F289)&lt;Preisindex!$A$6,YEAR(EC$4)&gt;=YEAR($F289),$K289="b"),ROUND(VLOOKUP(EH$4,Preisindex,3,FALSE)/VLOOKUP(Preisindex!$A$6,Preisindex,3,FALSE),2),IF(AND($E289&lt;&gt;0,$F289&gt;0,YEAR($F289)&lt;Preisindex!$A$6,YEAR(EC$4)&gt;=YEAR($F289),$K289="g"),ROUND(VLOOKUP(EH$4,Preisindex,4,FALSE)/VLOOKUP(Preisindex!$A$6,Preisindex,4,FALSE),2),IF(AND($E289&lt;&gt;0,$F289&gt;0,YEAR($F289)&lt;Preisindex!$A$6,YEAR(EC$4)&gt;=YEAR($F289),$K289="k"),ROUND(VLOOKUP(EH$4,Preisindex,2,FALSE)/VLOOKUP(Preisindex!$A$6,Preisindex,2,FALSE),2),0)))))</f>
        <v>0</v>
      </c>
      <c r="EJ289" s="51">
        <f>IF(AND($E289&lt;&gt;0,$F289&gt;0,YEAR($F289)&lt;=EH$4,YEAR($F289)&gt;=Preisindex!$A$6),ROUND($E289*EH289,2),IF(AND($E289&lt;&gt;0,$F289&gt;0,YEAR($F289)&lt;=EH$4,YEAR($F289)&lt;Preisindex!$A$6),ROUND($E289*EI289,2),0))</f>
        <v>0</v>
      </c>
      <c r="EK289" s="53">
        <f t="shared" si="803"/>
        <v>0</v>
      </c>
      <c r="EL289" s="51">
        <f t="shared" si="840"/>
        <v>0</v>
      </c>
      <c r="EM289" s="51">
        <f t="shared" si="871"/>
        <v>0</v>
      </c>
      <c r="EN289" s="51">
        <f t="shared" si="804"/>
        <v>0</v>
      </c>
      <c r="EO289" s="51">
        <f t="shared" si="872"/>
        <v>0</v>
      </c>
      <c r="EP289" s="51">
        <f t="shared" si="805"/>
        <v>0</v>
      </c>
      <c r="EQ289" s="51">
        <f t="shared" si="873"/>
        <v>0</v>
      </c>
      <c r="ER289" s="51">
        <f t="shared" si="806"/>
        <v>0</v>
      </c>
      <c r="ES289" s="51">
        <f t="shared" si="874"/>
        <v>0</v>
      </c>
      <c r="ET289" s="51">
        <f t="shared" si="807"/>
        <v>0</v>
      </c>
      <c r="EU289" s="51">
        <f t="shared" si="875"/>
        <v>0</v>
      </c>
      <c r="EV289" s="51">
        <f t="shared" si="808"/>
        <v>0</v>
      </c>
      <c r="EW289" s="54">
        <f t="shared" si="809"/>
        <v>0</v>
      </c>
      <c r="EX289" s="55">
        <f t="shared" si="810"/>
        <v>0</v>
      </c>
      <c r="EY289" s="56">
        <f>IF(AND($E289&lt;&gt;0,$F289&gt;0,YEAR($F289)&gt;=Preisindex!$A$6,YEAR(ET$4)&gt;=YEAR($F289),AND($K289&lt;&gt;"a",$K289&lt;&gt;"b",$K289&lt;&gt;"g",$K289&lt;&gt;"k")),1,IF(AND($E289&lt;&gt;0,$F289&gt;0,YEAR($F289)&gt;=Preisindex!$A$6,YEAR(ET$4)&gt;=YEAR($F289),$K289="a"),ROUND(VLOOKUP(EY$4,Preisindex,5,FALSE)/VLOOKUP(YEAR($F289),Preisindex,5,FALSE),2),IF(AND($E289&lt;&gt;0,$F289&gt;0,YEAR($F289)&gt;=Preisindex!$A$6,YEAR(ET$4)&gt;=YEAR($F289),$K289="b"),ROUND(VLOOKUP(EY$4,Preisindex,3,FALSE)/VLOOKUP(YEAR($F289),Preisindex,3,FALSE),2),IF(AND($E289&lt;&gt;0,$F289&gt;0,YEAR($F289)&gt;=Preisindex!$A$6,YEAR(ET$4)&gt;=YEAR($F289),$K289="g"),ROUND(VLOOKUP(EY$4,Preisindex,4,FALSE)/VLOOKUP(YEAR($F289),Preisindex,4,FALSE),2),IF(AND($E289&lt;&gt;0,$F289&gt;0,YEAR($F289)&gt;=Preisindex!$A$6,YEAR(ET$4)&gt;=YEAR($F289),$K289="k"),ROUND(VLOOKUP(EY$4,Preisindex,2,FALSE)/VLOOKUP(YEAR($F289),Preisindex,2,FALSE),2),0)))))</f>
        <v>0</v>
      </c>
      <c r="EZ289" s="56">
        <f>IF(AND($E289&lt;&gt;0,$F289&gt;0,YEAR($F289)&lt;Preisindex!$A$6,YEAR(ET$4)&gt;=YEAR($F289),AND($K289&lt;&gt;"a",$K289&lt;&gt;"b",$K289&lt;&gt;"g",$K289&lt;&gt;"k")),1,IF(AND($E289&lt;&gt;0,$F289&gt;0,YEAR($F289)&lt;Preisindex!$A$6,YEAR(ET$4)&gt;=YEAR($F289),$K289="a"),ROUND(VLOOKUP(EY$4,Preisindex,5,FALSE)/VLOOKUP(Preisindex!$A$6,Preisindex,5,FALSE),2),IF(AND($E289&lt;&gt;0,$F289&gt;0,YEAR($F289)&lt;Preisindex!$A$6,YEAR(ET$4)&gt;=YEAR($F289),$K289="b"),ROUND(VLOOKUP(EY$4,Preisindex,3,FALSE)/VLOOKUP(Preisindex!$A$6,Preisindex,3,FALSE),2),IF(AND($E289&lt;&gt;0,$F289&gt;0,YEAR($F289)&lt;Preisindex!$A$6,YEAR(ET$4)&gt;=YEAR($F289),$K289="g"),ROUND(VLOOKUP(EY$4,Preisindex,4,FALSE)/VLOOKUP(Preisindex!$A$6,Preisindex,4,FALSE),2),IF(AND($E289&lt;&gt;0,$F289&gt;0,YEAR($F289)&lt;Preisindex!$A$6,YEAR(ET$4)&gt;=YEAR($F289),$K289="k"),ROUND(VLOOKUP(EY$4,Preisindex,2,FALSE)/VLOOKUP(Preisindex!$A$6,Preisindex,2,FALSE),2),0)))))</f>
        <v>0</v>
      </c>
      <c r="FA289" s="51">
        <f>IF(AND($E289&lt;&gt;0,$F289&gt;0,YEAR($F289)&lt;=EY$4,YEAR($F289)&gt;=Preisindex!$A$6),ROUND($E289*EY289,2),IF(AND($E289&lt;&gt;0,$F289&gt;0,YEAR($F289)&lt;=EY$4,YEAR($F289)&lt;Preisindex!$A$6),ROUND($E289*EZ289,2),0))</f>
        <v>0</v>
      </c>
      <c r="FB289" s="53">
        <f t="shared" si="811"/>
        <v>0</v>
      </c>
      <c r="FC289" s="51">
        <f t="shared" si="840"/>
        <v>0</v>
      </c>
      <c r="FD289" s="51">
        <f t="shared" si="876"/>
        <v>0</v>
      </c>
      <c r="FE289" s="51">
        <f t="shared" si="812"/>
        <v>0</v>
      </c>
      <c r="FF289" s="51">
        <f t="shared" si="877"/>
        <v>0</v>
      </c>
      <c r="FG289" s="51">
        <f t="shared" si="813"/>
        <v>0</v>
      </c>
      <c r="FH289" s="51">
        <f t="shared" si="878"/>
        <v>0</v>
      </c>
      <c r="FI289" s="51">
        <f t="shared" si="814"/>
        <v>0</v>
      </c>
      <c r="FJ289" s="51">
        <f t="shared" si="879"/>
        <v>0</v>
      </c>
      <c r="FK289" s="51">
        <f t="shared" si="815"/>
        <v>0</v>
      </c>
      <c r="FL289" s="51">
        <f t="shared" si="880"/>
        <v>0</v>
      </c>
      <c r="FM289" s="51">
        <f t="shared" si="816"/>
        <v>0</v>
      </c>
      <c r="FN289" s="54">
        <f t="shared" si="817"/>
        <v>0</v>
      </c>
      <c r="FO289" s="55">
        <f t="shared" si="818"/>
        <v>0</v>
      </c>
      <c r="FP289" s="56">
        <f>IF(AND($E289&lt;&gt;0,$F289&gt;0,YEAR($F289)&gt;=Preisindex!$A$6,YEAR(FK$4)&gt;=YEAR($F289),AND($K289&lt;&gt;"a",$K289&lt;&gt;"b",$K289&lt;&gt;"g",$K289&lt;&gt;"k")),1,IF(AND($E289&lt;&gt;0,$F289&gt;0,YEAR($F289)&gt;=Preisindex!$A$6,YEAR(FK$4)&gt;=YEAR($F289),$K289="a"),ROUND(VLOOKUP(FP$4,Preisindex,5,FALSE)/VLOOKUP(YEAR($F289),Preisindex,5,FALSE),2),IF(AND($E289&lt;&gt;0,$F289&gt;0,YEAR($F289)&gt;=Preisindex!$A$6,YEAR(FK$4)&gt;=YEAR($F289),$K289="b"),ROUND(VLOOKUP(FP$4,Preisindex,3,FALSE)/VLOOKUP(YEAR($F289),Preisindex,3,FALSE),2),IF(AND($E289&lt;&gt;0,$F289&gt;0,YEAR($F289)&gt;=Preisindex!$A$6,YEAR(FK$4)&gt;=YEAR($F289),$K289="g"),ROUND(VLOOKUP(FP$4,Preisindex,4,FALSE)/VLOOKUP(YEAR($F289),Preisindex,4,FALSE),2),IF(AND($E289&lt;&gt;0,$F289&gt;0,YEAR($F289)&gt;=Preisindex!$A$6,YEAR(FK$4)&gt;=YEAR($F289),$K289="k"),ROUND(VLOOKUP(FP$4,Preisindex,2,FALSE)/VLOOKUP(YEAR($F289),Preisindex,2,FALSE),2),0)))))</f>
        <v>0</v>
      </c>
      <c r="FQ289" s="56">
        <f>IF(AND($E289&lt;&gt;0,$F289&gt;0,YEAR($F289)&lt;Preisindex!$A$6,YEAR(FK$4)&gt;=YEAR($F289),AND($K289&lt;&gt;"a",$K289&lt;&gt;"b",$K289&lt;&gt;"g",$K289&lt;&gt;"k")),1,IF(AND($E289&lt;&gt;0,$F289&gt;0,YEAR($F289)&lt;Preisindex!$A$6,YEAR(FK$4)&gt;=YEAR($F289),$K289="a"),ROUND(VLOOKUP(FP$4,Preisindex,5,FALSE)/VLOOKUP(Preisindex!$A$6,Preisindex,5,FALSE),2),IF(AND($E289&lt;&gt;0,$F289&gt;0,YEAR($F289)&lt;Preisindex!$A$6,YEAR(FK$4)&gt;=YEAR($F289),$K289="b"),ROUND(VLOOKUP(FP$4,Preisindex,3,FALSE)/VLOOKUP(Preisindex!$A$6,Preisindex,3,FALSE),2),IF(AND($E289&lt;&gt;0,$F289&gt;0,YEAR($F289)&lt;Preisindex!$A$6,YEAR(FK$4)&gt;=YEAR($F289),$K289="g"),ROUND(VLOOKUP(FP$4,Preisindex,4,FALSE)/VLOOKUP(Preisindex!$A$6,Preisindex,4,FALSE),2),IF(AND($E289&lt;&gt;0,$F289&gt;0,YEAR($F289)&lt;Preisindex!$A$6,YEAR(FK$4)&gt;=YEAR($F289),$K289="k"),ROUND(VLOOKUP(FP$4,Preisindex,2,FALSE)/VLOOKUP(Preisindex!$A$6,Preisindex,2,FALSE),2),0)))))</f>
        <v>0</v>
      </c>
      <c r="FR289" s="51">
        <f>IF(AND($E289&lt;&gt;0,$F289&gt;0,YEAR($F289)&lt;=FP$4,YEAR($F289)&gt;=Preisindex!$A$6),ROUND($E289*FP289,2),IF(AND($E289&lt;&gt;0,$F289&gt;0,YEAR($F289)&lt;=FP$4,YEAR($F289)&lt;Preisindex!$A$6),ROUND($E289*FQ289,2),0))</f>
        <v>0</v>
      </c>
      <c r="FS289" s="53">
        <f t="shared" si="819"/>
        <v>0</v>
      </c>
    </row>
    <row r="290" spans="1:175" x14ac:dyDescent="0.3">
      <c r="A290" s="185"/>
      <c r="B290" s="186"/>
      <c r="C290" s="187"/>
      <c r="D290" s="188"/>
      <c r="E290" s="189"/>
      <c r="F290" s="190"/>
      <c r="G290" s="191"/>
      <c r="H290" s="192"/>
      <c r="I290" s="193"/>
      <c r="J290" s="194"/>
      <c r="K290" s="630"/>
      <c r="L290" s="49">
        <f t="shared" si="820"/>
        <v>0</v>
      </c>
      <c r="M290" s="50">
        <f t="shared" si="821"/>
        <v>0</v>
      </c>
      <c r="N290" s="51">
        <f t="shared" si="822"/>
        <v>0</v>
      </c>
      <c r="O290" s="51"/>
      <c r="P290" s="51">
        <f t="shared" si="823"/>
        <v>0</v>
      </c>
      <c r="Q290" s="52"/>
      <c r="R290" s="52"/>
      <c r="S290" s="52"/>
      <c r="T290" s="52"/>
      <c r="U290" s="52"/>
      <c r="V290" s="53">
        <f t="shared" si="824"/>
        <v>0</v>
      </c>
      <c r="W290" s="51">
        <f t="shared" si="825"/>
        <v>0</v>
      </c>
      <c r="X290" s="51">
        <f t="shared" si="826"/>
        <v>0</v>
      </c>
      <c r="Y290" s="51">
        <f t="shared" si="827"/>
        <v>0</v>
      </c>
      <c r="Z290" s="51">
        <f t="shared" si="828"/>
        <v>0</v>
      </c>
      <c r="AA290" s="51">
        <f t="shared" si="829"/>
        <v>0</v>
      </c>
      <c r="AB290" s="51">
        <f t="shared" si="830"/>
        <v>0</v>
      </c>
      <c r="AC290" s="51">
        <f t="shared" si="831"/>
        <v>0</v>
      </c>
      <c r="AD290" s="51">
        <f t="shared" si="832"/>
        <v>0</v>
      </c>
      <c r="AE290" s="51">
        <f t="shared" si="833"/>
        <v>0</v>
      </c>
      <c r="AF290" s="51">
        <f t="shared" si="834"/>
        <v>0</v>
      </c>
      <c r="AG290" s="51">
        <f t="shared" si="835"/>
        <v>0</v>
      </c>
      <c r="AH290" s="54">
        <f t="shared" si="836"/>
        <v>0</v>
      </c>
      <c r="AI290" s="55">
        <f t="shared" si="837"/>
        <v>0</v>
      </c>
      <c r="AJ290" s="56">
        <f>IF(AND($E290&lt;&gt;0,$F290&gt;0,YEAR($F290)&gt;=Preisindex!$A$6,YEAR(AE$4)&gt;=YEAR($F290),AND($K290&lt;&gt;"a",$K290&lt;&gt;"b",$K290&lt;&gt;"g",$K290&lt;&gt;"k")),1,IF(AND($E290&lt;&gt;0,$F290&gt;0,YEAR($F290)&gt;=Preisindex!$A$6,YEAR(AE$4)&gt;=YEAR($F290),$K290="a"),ROUND(VLOOKUP(AJ$4,Preisindex,5,FALSE)/VLOOKUP(YEAR($F290),Preisindex,5,FALSE),2),IF(AND($E290&lt;&gt;0,$F290&gt;0,YEAR($F290)&gt;=Preisindex!$A$6,YEAR(AE$4)&gt;=YEAR($F290),$K290="b"),ROUND(VLOOKUP(AJ$4,Preisindex,3,FALSE)/VLOOKUP(YEAR($F290),Preisindex,3,FALSE),2),IF(AND($E290&lt;&gt;0,$F290&gt;0,YEAR($F290)&gt;=Preisindex!$A$6,YEAR(AE$4)&gt;=YEAR($F290),$K290="g"),ROUND(VLOOKUP(AJ$4,Preisindex,4,FALSE)/VLOOKUP(YEAR($F290),Preisindex,4,FALSE),2),IF(AND($E290&lt;&gt;0,$F290&gt;0,YEAR($F290)&gt;=Preisindex!$A$6,YEAR(AE$4)&gt;=YEAR($F290),$K290="k"),ROUND(VLOOKUP(AJ$4,Preisindex,2,FALSE)/VLOOKUP(YEAR($F290),Preisindex,2,FALSE),2),0)))))</f>
        <v>0</v>
      </c>
      <c r="AK290" s="56">
        <f>IF(AND($E290&lt;&gt;0,$F290&gt;0,YEAR($F290)&lt;Preisindex!$A$6,YEAR(AE$4)&gt;=YEAR($F290),AND($K290&lt;&gt;"a",$K290&lt;&gt;"b",$K290&lt;&gt;"g",$K290&lt;&gt;"k")),1,IF(AND($E290&lt;&gt;0,$F290&gt;0,YEAR($F290)&lt;Preisindex!$A$6,YEAR(AE$4)&gt;=YEAR($F290),$K290="a"),ROUND(VLOOKUP(AJ$4,Preisindex,5,FALSE)/VLOOKUP(Preisindex!$A$6,Preisindex,5,FALSE),2),IF(AND($E290&lt;&gt;0,$F290&gt;0,YEAR($F290)&lt;Preisindex!$A$6,YEAR(AE$4)&gt;=YEAR($F290),$K290="b"),ROUND(VLOOKUP(AJ$4,Preisindex,3,FALSE)/VLOOKUP(Preisindex!$A$6,Preisindex,3,FALSE),2),IF(AND($E290&lt;&gt;0,$F290&gt;0,YEAR($F290)&lt;Preisindex!$A$6,YEAR(AE$4)&gt;=YEAR($F290),$K290="g"),ROUND(VLOOKUP(AJ$4,Preisindex,4,FALSE)/VLOOKUP(Preisindex!$A$6,Preisindex,4,FALSE),2),IF(AND($E290&lt;&gt;0,$F290&gt;0,YEAR($F290)&lt;Preisindex!$A$6,YEAR(AE$4)&gt;=YEAR($F290),$K290="k"),ROUND(VLOOKUP(AJ$4,Preisindex,2,FALSE)/VLOOKUP(Preisindex!$A$6,Preisindex,2,FALSE),2),0)))))</f>
        <v>0</v>
      </c>
      <c r="AL290" s="51">
        <f>IF(AND($E290&lt;&gt;0,$F290&gt;0,YEAR($F290)&lt;=AJ$4,YEAR($F290)&gt;=Preisindex!$A$6),ROUND($E290*AJ290,2),IF(AND($E290&lt;&gt;0,$F290&gt;0,YEAR($F290)&lt;=AJ$4,YEAR($F290)&lt;Preisindex!$A$6),ROUND($E290*AK290,2),0))</f>
        <v>0</v>
      </c>
      <c r="AM290" s="53">
        <f t="shared" si="838"/>
        <v>0</v>
      </c>
      <c r="AN290" s="51">
        <f t="shared" si="839"/>
        <v>0</v>
      </c>
      <c r="AO290" s="51">
        <f t="shared" si="841"/>
        <v>0</v>
      </c>
      <c r="AP290" s="51">
        <f t="shared" si="755"/>
        <v>0</v>
      </c>
      <c r="AQ290" s="51">
        <f t="shared" si="842"/>
        <v>0</v>
      </c>
      <c r="AR290" s="51">
        <f t="shared" si="756"/>
        <v>0</v>
      </c>
      <c r="AS290" s="51">
        <f t="shared" si="843"/>
        <v>0</v>
      </c>
      <c r="AT290" s="51">
        <f t="shared" si="757"/>
        <v>0</v>
      </c>
      <c r="AU290" s="51">
        <f t="shared" si="844"/>
        <v>0</v>
      </c>
      <c r="AV290" s="51">
        <f t="shared" si="758"/>
        <v>0</v>
      </c>
      <c r="AW290" s="51">
        <f t="shared" si="845"/>
        <v>0</v>
      </c>
      <c r="AX290" s="51">
        <f t="shared" si="759"/>
        <v>0</v>
      </c>
      <c r="AY290" s="54">
        <f t="shared" si="760"/>
        <v>0</v>
      </c>
      <c r="AZ290" s="55">
        <f t="shared" si="761"/>
        <v>0</v>
      </c>
      <c r="BA290" s="56">
        <f>IF(AND($E290&lt;&gt;0,$F290&gt;0,YEAR($F290)&gt;=Preisindex!$A$6,YEAR(AV$4)&gt;=YEAR($F290),AND($K290&lt;&gt;"a",$K290&lt;&gt;"b",$K290&lt;&gt;"g",$K290&lt;&gt;"k")),1,IF(AND($E290&lt;&gt;0,$F290&gt;0,YEAR($F290)&gt;=Preisindex!$A$6,YEAR(AV$4)&gt;=YEAR($F290),$K290="a"),ROUND(VLOOKUP(BA$4,Preisindex,5,FALSE)/VLOOKUP(YEAR($F290),Preisindex,5,FALSE),2),IF(AND($E290&lt;&gt;0,$F290&gt;0,YEAR($F290)&gt;=Preisindex!$A$6,YEAR(AV$4)&gt;=YEAR($F290),$K290="b"),ROUND(VLOOKUP(BA$4,Preisindex,3,FALSE)/VLOOKUP(YEAR($F290),Preisindex,3,FALSE),2),IF(AND($E290&lt;&gt;0,$F290&gt;0,YEAR($F290)&gt;=Preisindex!$A$6,YEAR(AV$4)&gt;=YEAR($F290),$K290="g"),ROUND(VLOOKUP(BA$4,Preisindex,4,FALSE)/VLOOKUP(YEAR($F290),Preisindex,4,FALSE),2),IF(AND($E290&lt;&gt;0,$F290&gt;0,YEAR($F290)&gt;=Preisindex!$A$6,YEAR(AV$4)&gt;=YEAR($F290),$K290="k"),ROUND(VLOOKUP(BA$4,Preisindex,2,FALSE)/VLOOKUP(YEAR($F290),Preisindex,2,FALSE),2),0)))))</f>
        <v>0</v>
      </c>
      <c r="BB290" s="56">
        <f>IF(AND($E290&lt;&gt;0,$F290&gt;0,YEAR($F290)&lt;Preisindex!$A$6,YEAR(AV$4)&gt;=YEAR($F290),AND($K290&lt;&gt;"a",$K290&lt;&gt;"b",$K290&lt;&gt;"g",$K290&lt;&gt;"k")),1,IF(AND($E290&lt;&gt;0,$F290&gt;0,YEAR($F290)&lt;Preisindex!$A$6,YEAR(AV$4)&gt;=YEAR($F290),$K290="a"),ROUND(VLOOKUP(BA$4,Preisindex,5,FALSE)/VLOOKUP(Preisindex!$A$6,Preisindex,5,FALSE),2),IF(AND($E290&lt;&gt;0,$F290&gt;0,YEAR($F290)&lt;Preisindex!$A$6,YEAR(AV$4)&gt;=YEAR($F290),$K290="b"),ROUND(VLOOKUP(BA$4,Preisindex,3,FALSE)/VLOOKUP(Preisindex!$A$6,Preisindex,3,FALSE),2),IF(AND($E290&lt;&gt;0,$F290&gt;0,YEAR($F290)&lt;Preisindex!$A$6,YEAR(AV$4)&gt;=YEAR($F290),$K290="g"),ROUND(VLOOKUP(BA$4,Preisindex,4,FALSE)/VLOOKUP(Preisindex!$A$6,Preisindex,4,FALSE),2),IF(AND($E290&lt;&gt;0,$F290&gt;0,YEAR($F290)&lt;Preisindex!$A$6,YEAR(AV$4)&gt;=YEAR($F290),$K290="k"),ROUND(VLOOKUP(BA$4,Preisindex,2,FALSE)/VLOOKUP(Preisindex!$A$6,Preisindex,2,FALSE),2),0)))))</f>
        <v>0</v>
      </c>
      <c r="BC290" s="51">
        <f>IF(AND($E290&lt;&gt;0,$F290&gt;0,YEAR($F290)&lt;=BA$4,YEAR($F290)&gt;=Preisindex!$A$6),ROUND($E290*BA290,2),IF(AND($E290&lt;&gt;0,$F290&gt;0,YEAR($F290)&lt;=BA$4,YEAR($F290)&lt;Preisindex!$A$6),ROUND($E290*BB290,2),0))</f>
        <v>0</v>
      </c>
      <c r="BD290" s="53">
        <f t="shared" si="762"/>
        <v>0</v>
      </c>
      <c r="BE290" s="51">
        <f t="shared" si="839"/>
        <v>0</v>
      </c>
      <c r="BF290" s="51">
        <f t="shared" si="846"/>
        <v>0</v>
      </c>
      <c r="BG290" s="51">
        <f t="shared" si="763"/>
        <v>0</v>
      </c>
      <c r="BH290" s="51">
        <f t="shared" si="847"/>
        <v>0</v>
      </c>
      <c r="BI290" s="51">
        <f t="shared" si="764"/>
        <v>0</v>
      </c>
      <c r="BJ290" s="51">
        <f t="shared" si="848"/>
        <v>0</v>
      </c>
      <c r="BK290" s="51">
        <f t="shared" si="765"/>
        <v>0</v>
      </c>
      <c r="BL290" s="51">
        <f t="shared" si="849"/>
        <v>0</v>
      </c>
      <c r="BM290" s="51">
        <f t="shared" si="766"/>
        <v>0</v>
      </c>
      <c r="BN290" s="51">
        <f t="shared" si="850"/>
        <v>0</v>
      </c>
      <c r="BO290" s="51">
        <f t="shared" si="767"/>
        <v>0</v>
      </c>
      <c r="BP290" s="54">
        <f t="shared" si="768"/>
        <v>0</v>
      </c>
      <c r="BQ290" s="55">
        <f t="shared" si="769"/>
        <v>0</v>
      </c>
      <c r="BR290" s="56">
        <f>IF(AND($E290&lt;&gt;0,$F290&gt;0,YEAR($F290)&gt;=Preisindex!$A$6,YEAR(BM$4)&gt;=YEAR($F290),AND($K290&lt;&gt;"a",$K290&lt;&gt;"b",$K290&lt;&gt;"g",$K290&lt;&gt;"k")),1,IF(AND($E290&lt;&gt;0,$F290&gt;0,YEAR($F290)&gt;=Preisindex!$A$6,YEAR(BM$4)&gt;=YEAR($F290),$K290="a"),ROUND(VLOOKUP(BR$4,Preisindex,5,FALSE)/VLOOKUP(YEAR($F290),Preisindex,5,FALSE),2),IF(AND($E290&lt;&gt;0,$F290&gt;0,YEAR($F290)&gt;=Preisindex!$A$6,YEAR(BM$4)&gt;=YEAR($F290),$K290="b"),ROUND(VLOOKUP(BR$4,Preisindex,3,FALSE)/VLOOKUP(YEAR($F290),Preisindex,3,FALSE),2),IF(AND($E290&lt;&gt;0,$F290&gt;0,YEAR($F290)&gt;=Preisindex!$A$6,YEAR(BM$4)&gt;=YEAR($F290),$K290="g"),ROUND(VLOOKUP(BR$4,Preisindex,4,FALSE)/VLOOKUP(YEAR($F290),Preisindex,4,FALSE),2),IF(AND($E290&lt;&gt;0,$F290&gt;0,YEAR($F290)&gt;=Preisindex!$A$6,YEAR(BM$4)&gt;=YEAR($F290),$K290="k"),ROUND(VLOOKUP(BR$4,Preisindex,2,FALSE)/VLOOKUP(YEAR($F290),Preisindex,2,FALSE),2),0)))))</f>
        <v>0</v>
      </c>
      <c r="BS290" s="56">
        <f>IF(AND($E290&lt;&gt;0,$F290&gt;0,YEAR($F290)&lt;Preisindex!$A$6,YEAR(BM$4)&gt;=YEAR($F290),AND($K290&lt;&gt;"a",$K290&lt;&gt;"b",$K290&lt;&gt;"g",$K290&lt;&gt;"k")),1,IF(AND($E290&lt;&gt;0,$F290&gt;0,YEAR($F290)&lt;Preisindex!$A$6,YEAR(BM$4)&gt;=YEAR($F290),$K290="a"),ROUND(VLOOKUP(BR$4,Preisindex,5,FALSE)/VLOOKUP(Preisindex!$A$6,Preisindex,5,FALSE),2),IF(AND($E290&lt;&gt;0,$F290&gt;0,YEAR($F290)&lt;Preisindex!$A$6,YEAR(BM$4)&gt;=YEAR($F290),$K290="b"),ROUND(VLOOKUP(BR$4,Preisindex,3,FALSE)/VLOOKUP(Preisindex!$A$6,Preisindex,3,FALSE),2),IF(AND($E290&lt;&gt;0,$F290&gt;0,YEAR($F290)&lt;Preisindex!$A$6,YEAR(BM$4)&gt;=YEAR($F290),$K290="g"),ROUND(VLOOKUP(BR$4,Preisindex,4,FALSE)/VLOOKUP(Preisindex!$A$6,Preisindex,4,FALSE),2),IF(AND($E290&lt;&gt;0,$F290&gt;0,YEAR($F290)&lt;Preisindex!$A$6,YEAR(BM$4)&gt;=YEAR($F290),$K290="k"),ROUND(VLOOKUP(BR$4,Preisindex,2,FALSE)/VLOOKUP(Preisindex!$A$6,Preisindex,2,FALSE),2),0)))))</f>
        <v>0</v>
      </c>
      <c r="BT290" s="51">
        <f>IF(AND($E290&lt;&gt;0,$F290&gt;0,YEAR($F290)&lt;=BR$4,YEAR($F290)&gt;=Preisindex!$A$6),ROUND($E290*BR290,2),IF(AND($E290&lt;&gt;0,$F290&gt;0,YEAR($F290)&lt;=BR$4,YEAR($F290)&lt;Preisindex!$A$6),ROUND($E290*BS290,2),0))</f>
        <v>0</v>
      </c>
      <c r="BU290" s="53">
        <f t="shared" si="770"/>
        <v>0</v>
      </c>
      <c r="BV290" s="51">
        <f t="shared" si="839"/>
        <v>0</v>
      </c>
      <c r="BW290" s="51">
        <f t="shared" si="851"/>
        <v>0</v>
      </c>
      <c r="BX290" s="51">
        <f t="shared" si="771"/>
        <v>0</v>
      </c>
      <c r="BY290" s="51">
        <f t="shared" si="852"/>
        <v>0</v>
      </c>
      <c r="BZ290" s="51">
        <f t="shared" si="772"/>
        <v>0</v>
      </c>
      <c r="CA290" s="51">
        <f t="shared" si="853"/>
        <v>0</v>
      </c>
      <c r="CB290" s="51">
        <f t="shared" si="773"/>
        <v>0</v>
      </c>
      <c r="CC290" s="51">
        <f t="shared" si="854"/>
        <v>0</v>
      </c>
      <c r="CD290" s="51">
        <f t="shared" si="774"/>
        <v>0</v>
      </c>
      <c r="CE290" s="51">
        <f t="shared" si="855"/>
        <v>0</v>
      </c>
      <c r="CF290" s="51">
        <f t="shared" si="775"/>
        <v>0</v>
      </c>
      <c r="CG290" s="54">
        <f t="shared" si="776"/>
        <v>0</v>
      </c>
      <c r="CH290" s="55">
        <f t="shared" si="777"/>
        <v>0</v>
      </c>
      <c r="CI290" s="56">
        <f>IF(AND($E290&lt;&gt;0,$F290&gt;0,YEAR($F290)&gt;=Preisindex!$A$6,YEAR(CD$4)&gt;=YEAR($F290),AND($K290&lt;&gt;"a",$K290&lt;&gt;"b",$K290&lt;&gt;"g",$K290&lt;&gt;"k")),1,IF(AND($E290&lt;&gt;0,$F290&gt;0,YEAR($F290)&gt;=Preisindex!$A$6,YEAR(CD$4)&gt;=YEAR($F290),$K290="a"),ROUND(VLOOKUP(CI$4,Preisindex,5,FALSE)/VLOOKUP(YEAR($F290),Preisindex,5,FALSE),2),IF(AND($E290&lt;&gt;0,$F290&gt;0,YEAR($F290)&gt;=Preisindex!$A$6,YEAR(CD$4)&gt;=YEAR($F290),$K290="b"),ROUND(VLOOKUP(CI$4,Preisindex,3,FALSE)/VLOOKUP(YEAR($F290),Preisindex,3,FALSE),2),IF(AND($E290&lt;&gt;0,$F290&gt;0,YEAR($F290)&gt;=Preisindex!$A$6,YEAR(CD$4)&gt;=YEAR($F290),$K290="g"),ROUND(VLOOKUP(CI$4,Preisindex,4,FALSE)/VLOOKUP(YEAR($F290),Preisindex,4,FALSE),2),IF(AND($E290&lt;&gt;0,$F290&gt;0,YEAR($F290)&gt;=Preisindex!$A$6,YEAR(CD$4)&gt;=YEAR($F290),$K290="k"),ROUND(VLOOKUP(CI$4,Preisindex,2,FALSE)/VLOOKUP(YEAR($F290),Preisindex,2,FALSE),2),0)))))</f>
        <v>0</v>
      </c>
      <c r="CJ290" s="56">
        <f>IF(AND($E290&lt;&gt;0,$F290&gt;0,YEAR($F290)&lt;Preisindex!$A$6,YEAR(CD$4)&gt;=YEAR($F290),AND($K290&lt;&gt;"a",$K290&lt;&gt;"b",$K290&lt;&gt;"g",$K290&lt;&gt;"k")),1,IF(AND($E290&lt;&gt;0,$F290&gt;0,YEAR($F290)&lt;Preisindex!$A$6,YEAR(CD$4)&gt;=YEAR($F290),$K290="a"),ROUND(VLOOKUP(CI$4,Preisindex,5,FALSE)/VLOOKUP(Preisindex!$A$6,Preisindex,5,FALSE),2),IF(AND($E290&lt;&gt;0,$F290&gt;0,YEAR($F290)&lt;Preisindex!$A$6,YEAR(CD$4)&gt;=YEAR($F290),$K290="b"),ROUND(VLOOKUP(CI$4,Preisindex,3,FALSE)/VLOOKUP(Preisindex!$A$6,Preisindex,3,FALSE),2),IF(AND($E290&lt;&gt;0,$F290&gt;0,YEAR($F290)&lt;Preisindex!$A$6,YEAR(CD$4)&gt;=YEAR($F290),$K290="g"),ROUND(VLOOKUP(CI$4,Preisindex,4,FALSE)/VLOOKUP(Preisindex!$A$6,Preisindex,4,FALSE),2),IF(AND($E290&lt;&gt;0,$F290&gt;0,YEAR($F290)&lt;Preisindex!$A$6,YEAR(CD$4)&gt;=YEAR($F290),$K290="k"),ROUND(VLOOKUP(CI$4,Preisindex,2,FALSE)/VLOOKUP(Preisindex!$A$6,Preisindex,2,FALSE),2),0)))))</f>
        <v>0</v>
      </c>
      <c r="CK290" s="51">
        <f>IF(AND($E290&lt;&gt;0,$F290&gt;0,YEAR($F290)&lt;=CI$4,YEAR($F290)&gt;=Preisindex!$A$6),ROUND($E290*CI290,2),IF(AND($E290&lt;&gt;0,$F290&gt;0,YEAR($F290)&lt;=CI$4,YEAR($F290)&lt;Preisindex!$A$6),ROUND($E290*CJ290,2),0))</f>
        <v>0</v>
      </c>
      <c r="CL290" s="53">
        <f t="shared" si="778"/>
        <v>0</v>
      </c>
      <c r="CM290" s="51">
        <f t="shared" si="839"/>
        <v>0</v>
      </c>
      <c r="CN290" s="51">
        <f t="shared" si="856"/>
        <v>0</v>
      </c>
      <c r="CO290" s="51">
        <f t="shared" si="779"/>
        <v>0</v>
      </c>
      <c r="CP290" s="51">
        <f t="shared" si="857"/>
        <v>0</v>
      </c>
      <c r="CQ290" s="51">
        <f t="shared" si="780"/>
        <v>0</v>
      </c>
      <c r="CR290" s="51">
        <f t="shared" si="858"/>
        <v>0</v>
      </c>
      <c r="CS290" s="51">
        <f t="shared" si="781"/>
        <v>0</v>
      </c>
      <c r="CT290" s="51">
        <f t="shared" si="859"/>
        <v>0</v>
      </c>
      <c r="CU290" s="51">
        <f t="shared" si="782"/>
        <v>0</v>
      </c>
      <c r="CV290" s="51">
        <f t="shared" si="860"/>
        <v>0</v>
      </c>
      <c r="CW290" s="51">
        <f t="shared" si="783"/>
        <v>0</v>
      </c>
      <c r="CX290" s="54">
        <f t="shared" si="784"/>
        <v>0</v>
      </c>
      <c r="CY290" s="55">
        <f t="shared" si="785"/>
        <v>0</v>
      </c>
      <c r="CZ290" s="56">
        <f>IF(AND($E290&lt;&gt;0,$F290&gt;0,YEAR($F290)&gt;=Preisindex!$A$6,YEAR(CU$4)&gt;=YEAR($F290),AND($K290&lt;&gt;"a",$K290&lt;&gt;"b",$K290&lt;&gt;"g",$K290&lt;&gt;"k")),1,IF(AND($E290&lt;&gt;0,$F290&gt;0,YEAR($F290)&gt;=Preisindex!$A$6,YEAR(CU$4)&gt;=YEAR($F290),$K290="a"),ROUND(VLOOKUP(CZ$4,Preisindex,5,FALSE)/VLOOKUP(YEAR($F290),Preisindex,5,FALSE),2),IF(AND($E290&lt;&gt;0,$F290&gt;0,YEAR($F290)&gt;=Preisindex!$A$6,YEAR(CU$4)&gt;=YEAR($F290),$K290="b"),ROUND(VLOOKUP(CZ$4,Preisindex,3,FALSE)/VLOOKUP(YEAR($F290),Preisindex,3,FALSE),2),IF(AND($E290&lt;&gt;0,$F290&gt;0,YEAR($F290)&gt;=Preisindex!$A$6,YEAR(CU$4)&gt;=YEAR($F290),$K290="g"),ROUND(VLOOKUP(CZ$4,Preisindex,4,FALSE)/VLOOKUP(YEAR($F290),Preisindex,4,FALSE),2),IF(AND($E290&lt;&gt;0,$F290&gt;0,YEAR($F290)&gt;=Preisindex!$A$6,YEAR(CU$4)&gt;=YEAR($F290),$K290="k"),ROUND(VLOOKUP(CZ$4,Preisindex,2,FALSE)/VLOOKUP(YEAR($F290),Preisindex,2,FALSE),2),0)))))</f>
        <v>0</v>
      </c>
      <c r="DA290" s="56">
        <f>IF(AND($E290&lt;&gt;0,$F290&gt;0,YEAR($F290)&lt;Preisindex!$A$6,YEAR(CU$4)&gt;=YEAR($F290),AND($K290&lt;&gt;"a",$K290&lt;&gt;"b",$K290&lt;&gt;"g",$K290&lt;&gt;"k")),1,IF(AND($E290&lt;&gt;0,$F290&gt;0,YEAR($F290)&lt;Preisindex!$A$6,YEAR(CU$4)&gt;=YEAR($F290),$K290="a"),ROUND(VLOOKUP(CZ$4,Preisindex,5,FALSE)/VLOOKUP(Preisindex!$A$6,Preisindex,5,FALSE),2),IF(AND($E290&lt;&gt;0,$F290&gt;0,YEAR($F290)&lt;Preisindex!$A$6,YEAR(CU$4)&gt;=YEAR($F290),$K290="b"),ROUND(VLOOKUP(CZ$4,Preisindex,3,FALSE)/VLOOKUP(Preisindex!$A$6,Preisindex,3,FALSE),2),IF(AND($E290&lt;&gt;0,$F290&gt;0,YEAR($F290)&lt;Preisindex!$A$6,YEAR(CU$4)&gt;=YEAR($F290),$K290="g"),ROUND(VLOOKUP(CZ$4,Preisindex,4,FALSE)/VLOOKUP(Preisindex!$A$6,Preisindex,4,FALSE),2),IF(AND($E290&lt;&gt;0,$F290&gt;0,YEAR($F290)&lt;Preisindex!$A$6,YEAR(CU$4)&gt;=YEAR($F290),$K290="k"),ROUND(VLOOKUP(CZ$4,Preisindex,2,FALSE)/VLOOKUP(Preisindex!$A$6,Preisindex,2,FALSE),2),0)))))</f>
        <v>0</v>
      </c>
      <c r="DB290" s="51">
        <f>IF(AND($E290&lt;&gt;0,$F290&gt;0,YEAR($F290)&lt;=CZ$4,YEAR($F290)&gt;=Preisindex!$A$6),ROUND($E290*CZ290,2),IF(AND($E290&lt;&gt;0,$F290&gt;0,YEAR($F290)&lt;=CZ$4,YEAR($F290)&lt;Preisindex!$A$6),ROUND($E290*DA290,2),0))</f>
        <v>0</v>
      </c>
      <c r="DC290" s="53">
        <f t="shared" si="786"/>
        <v>0</v>
      </c>
      <c r="DD290" s="51">
        <f t="shared" si="840"/>
        <v>0</v>
      </c>
      <c r="DE290" s="51">
        <f t="shared" si="861"/>
        <v>0</v>
      </c>
      <c r="DF290" s="51">
        <f t="shared" si="788"/>
        <v>0</v>
      </c>
      <c r="DG290" s="51">
        <f t="shared" si="862"/>
        <v>0</v>
      </c>
      <c r="DH290" s="51">
        <f t="shared" si="789"/>
        <v>0</v>
      </c>
      <c r="DI290" s="51">
        <f t="shared" si="863"/>
        <v>0</v>
      </c>
      <c r="DJ290" s="51">
        <f t="shared" si="790"/>
        <v>0</v>
      </c>
      <c r="DK290" s="51">
        <f t="shared" si="864"/>
        <v>0</v>
      </c>
      <c r="DL290" s="51">
        <f t="shared" si="791"/>
        <v>0</v>
      </c>
      <c r="DM290" s="51">
        <f t="shared" si="865"/>
        <v>0</v>
      </c>
      <c r="DN290" s="51">
        <f t="shared" si="792"/>
        <v>0</v>
      </c>
      <c r="DO290" s="54">
        <f t="shared" si="793"/>
        <v>0</v>
      </c>
      <c r="DP290" s="55">
        <f t="shared" si="794"/>
        <v>0</v>
      </c>
      <c r="DQ290" s="56">
        <f>IF(AND($E290&lt;&gt;0,$F290&gt;0,YEAR($F290)&gt;=Preisindex!$A$6,YEAR(DL$4)&gt;=YEAR($F290),AND($K290&lt;&gt;"a",$K290&lt;&gt;"b",$K290&lt;&gt;"g",$K290&lt;&gt;"k")),1,IF(AND($E290&lt;&gt;0,$F290&gt;0,YEAR($F290)&gt;=Preisindex!$A$6,YEAR(DL$4)&gt;=YEAR($F290),$K290="a"),ROUND(VLOOKUP(DQ$4,Preisindex,5,FALSE)/VLOOKUP(YEAR($F290),Preisindex,5,FALSE),2),IF(AND($E290&lt;&gt;0,$F290&gt;0,YEAR($F290)&gt;=Preisindex!$A$6,YEAR(DL$4)&gt;=YEAR($F290),$K290="b"),ROUND(VLOOKUP(DQ$4,Preisindex,3,FALSE)/VLOOKUP(YEAR($F290),Preisindex,3,FALSE),2),IF(AND($E290&lt;&gt;0,$F290&gt;0,YEAR($F290)&gt;=Preisindex!$A$6,YEAR(DL$4)&gt;=YEAR($F290),$K290="g"),ROUND(VLOOKUP(DQ$4,Preisindex,4,FALSE)/VLOOKUP(YEAR($F290),Preisindex,4,FALSE),2),IF(AND($E290&lt;&gt;0,$F290&gt;0,YEAR($F290)&gt;=Preisindex!$A$6,YEAR(DL$4)&gt;=YEAR($F290),$K290="k"),ROUND(VLOOKUP(DQ$4,Preisindex,2,FALSE)/VLOOKUP(YEAR($F290),Preisindex,2,FALSE),2),0)))))</f>
        <v>0</v>
      </c>
      <c r="DR290" s="56">
        <f>IF(AND($E290&lt;&gt;0,$F290&gt;0,YEAR($F290)&lt;Preisindex!$A$6,YEAR(DL$4)&gt;=YEAR($F290),AND($K290&lt;&gt;"a",$K290&lt;&gt;"b",$K290&lt;&gt;"g",$K290&lt;&gt;"k")),1,IF(AND($E290&lt;&gt;0,$F290&gt;0,YEAR($F290)&lt;Preisindex!$A$6,YEAR(DL$4)&gt;=YEAR($F290),$K290="a"),ROUND(VLOOKUP(DQ$4,Preisindex,5,FALSE)/VLOOKUP(Preisindex!$A$6,Preisindex,5,FALSE),2),IF(AND($E290&lt;&gt;0,$F290&gt;0,YEAR($F290)&lt;Preisindex!$A$6,YEAR(DL$4)&gt;=YEAR($F290),$K290="b"),ROUND(VLOOKUP(DQ$4,Preisindex,3,FALSE)/VLOOKUP(Preisindex!$A$6,Preisindex,3,FALSE),2),IF(AND($E290&lt;&gt;0,$F290&gt;0,YEAR($F290)&lt;Preisindex!$A$6,YEAR(DL$4)&gt;=YEAR($F290),$K290="g"),ROUND(VLOOKUP(DQ$4,Preisindex,4,FALSE)/VLOOKUP(Preisindex!$A$6,Preisindex,4,FALSE),2),IF(AND($E290&lt;&gt;0,$F290&gt;0,YEAR($F290)&lt;Preisindex!$A$6,YEAR(DL$4)&gt;=YEAR($F290),$K290="k"),ROUND(VLOOKUP(DQ$4,Preisindex,2,FALSE)/VLOOKUP(Preisindex!$A$6,Preisindex,2,FALSE),2),0)))))</f>
        <v>0</v>
      </c>
      <c r="DS290" s="51">
        <f>IF(AND($E290&lt;&gt;0,$F290&gt;0,YEAR($F290)&lt;=DQ$4,YEAR($F290)&gt;=Preisindex!$A$6),ROUND($E290*DQ290,2),IF(AND($E290&lt;&gt;0,$F290&gt;0,YEAR($F290)&lt;=DQ$4,YEAR($F290)&lt;Preisindex!$A$6),ROUND($E290*DR290,2),0))</f>
        <v>0</v>
      </c>
      <c r="DT290" s="53">
        <f t="shared" si="795"/>
        <v>0</v>
      </c>
      <c r="DU290" s="51">
        <f t="shared" si="840"/>
        <v>0</v>
      </c>
      <c r="DV290" s="51">
        <f t="shared" si="866"/>
        <v>0</v>
      </c>
      <c r="DW290" s="51">
        <f t="shared" si="796"/>
        <v>0</v>
      </c>
      <c r="DX290" s="51">
        <f t="shared" si="867"/>
        <v>0</v>
      </c>
      <c r="DY290" s="51">
        <f t="shared" si="797"/>
        <v>0</v>
      </c>
      <c r="DZ290" s="51">
        <f t="shared" si="868"/>
        <v>0</v>
      </c>
      <c r="EA290" s="51">
        <f t="shared" si="798"/>
        <v>0</v>
      </c>
      <c r="EB290" s="51">
        <f t="shared" si="869"/>
        <v>0</v>
      </c>
      <c r="EC290" s="51">
        <f t="shared" si="799"/>
        <v>0</v>
      </c>
      <c r="ED290" s="51">
        <f t="shared" si="870"/>
        <v>0</v>
      </c>
      <c r="EE290" s="51">
        <f t="shared" si="800"/>
        <v>0</v>
      </c>
      <c r="EF290" s="54">
        <f t="shared" si="801"/>
        <v>0</v>
      </c>
      <c r="EG290" s="55">
        <f t="shared" si="802"/>
        <v>0</v>
      </c>
      <c r="EH290" s="56">
        <f>IF(AND($E290&lt;&gt;0,$F290&gt;0,YEAR($F290)&gt;=Preisindex!$A$6,YEAR(EC$4)&gt;=YEAR($F290),AND($K290&lt;&gt;"a",$K290&lt;&gt;"b",$K290&lt;&gt;"g",$K290&lt;&gt;"k")),1,IF(AND($E290&lt;&gt;0,$F290&gt;0,YEAR($F290)&gt;=Preisindex!$A$6,YEAR(EC$4)&gt;=YEAR($F290),$K290="a"),ROUND(VLOOKUP(EH$4,Preisindex,5,FALSE)/VLOOKUP(YEAR($F290),Preisindex,5,FALSE),2),IF(AND($E290&lt;&gt;0,$F290&gt;0,YEAR($F290)&gt;=Preisindex!$A$6,YEAR(EC$4)&gt;=YEAR($F290),$K290="b"),ROUND(VLOOKUP(EH$4,Preisindex,3,FALSE)/VLOOKUP(YEAR($F290),Preisindex,3,FALSE),2),IF(AND($E290&lt;&gt;0,$F290&gt;0,YEAR($F290)&gt;=Preisindex!$A$6,YEAR(EC$4)&gt;=YEAR($F290),$K290="g"),ROUND(VLOOKUP(EH$4,Preisindex,4,FALSE)/VLOOKUP(YEAR($F290),Preisindex,4,FALSE),2),IF(AND($E290&lt;&gt;0,$F290&gt;0,YEAR($F290)&gt;=Preisindex!$A$6,YEAR(EC$4)&gt;=YEAR($F290),$K290="k"),ROUND(VLOOKUP(EH$4,Preisindex,2,FALSE)/VLOOKUP(YEAR($F290),Preisindex,2,FALSE),2),0)))))</f>
        <v>0</v>
      </c>
      <c r="EI290" s="56">
        <f>IF(AND($E290&lt;&gt;0,$F290&gt;0,YEAR($F290)&lt;Preisindex!$A$6,YEAR(EC$4)&gt;=YEAR($F290),AND($K290&lt;&gt;"a",$K290&lt;&gt;"b",$K290&lt;&gt;"g",$K290&lt;&gt;"k")),1,IF(AND($E290&lt;&gt;0,$F290&gt;0,YEAR($F290)&lt;Preisindex!$A$6,YEAR(EC$4)&gt;=YEAR($F290),$K290="a"),ROUND(VLOOKUP(EH$4,Preisindex,5,FALSE)/VLOOKUP(Preisindex!$A$6,Preisindex,5,FALSE),2),IF(AND($E290&lt;&gt;0,$F290&gt;0,YEAR($F290)&lt;Preisindex!$A$6,YEAR(EC$4)&gt;=YEAR($F290),$K290="b"),ROUND(VLOOKUP(EH$4,Preisindex,3,FALSE)/VLOOKUP(Preisindex!$A$6,Preisindex,3,FALSE),2),IF(AND($E290&lt;&gt;0,$F290&gt;0,YEAR($F290)&lt;Preisindex!$A$6,YEAR(EC$4)&gt;=YEAR($F290),$K290="g"),ROUND(VLOOKUP(EH$4,Preisindex,4,FALSE)/VLOOKUP(Preisindex!$A$6,Preisindex,4,FALSE),2),IF(AND($E290&lt;&gt;0,$F290&gt;0,YEAR($F290)&lt;Preisindex!$A$6,YEAR(EC$4)&gt;=YEAR($F290),$K290="k"),ROUND(VLOOKUP(EH$4,Preisindex,2,FALSE)/VLOOKUP(Preisindex!$A$6,Preisindex,2,FALSE),2),0)))))</f>
        <v>0</v>
      </c>
      <c r="EJ290" s="51">
        <f>IF(AND($E290&lt;&gt;0,$F290&gt;0,YEAR($F290)&lt;=EH$4,YEAR($F290)&gt;=Preisindex!$A$6),ROUND($E290*EH290,2),IF(AND($E290&lt;&gt;0,$F290&gt;0,YEAR($F290)&lt;=EH$4,YEAR($F290)&lt;Preisindex!$A$6),ROUND($E290*EI290,2),0))</f>
        <v>0</v>
      </c>
      <c r="EK290" s="53">
        <f t="shared" si="803"/>
        <v>0</v>
      </c>
      <c r="EL290" s="51">
        <f t="shared" si="840"/>
        <v>0</v>
      </c>
      <c r="EM290" s="51">
        <f t="shared" si="871"/>
        <v>0</v>
      </c>
      <c r="EN290" s="51">
        <f t="shared" si="804"/>
        <v>0</v>
      </c>
      <c r="EO290" s="51">
        <f t="shared" si="872"/>
        <v>0</v>
      </c>
      <c r="EP290" s="51">
        <f t="shared" si="805"/>
        <v>0</v>
      </c>
      <c r="EQ290" s="51">
        <f t="shared" si="873"/>
        <v>0</v>
      </c>
      <c r="ER290" s="51">
        <f t="shared" si="806"/>
        <v>0</v>
      </c>
      <c r="ES290" s="51">
        <f t="shared" si="874"/>
        <v>0</v>
      </c>
      <c r="ET290" s="51">
        <f t="shared" si="807"/>
        <v>0</v>
      </c>
      <c r="EU290" s="51">
        <f t="shared" si="875"/>
        <v>0</v>
      </c>
      <c r="EV290" s="51">
        <f t="shared" si="808"/>
        <v>0</v>
      </c>
      <c r="EW290" s="54">
        <f t="shared" si="809"/>
        <v>0</v>
      </c>
      <c r="EX290" s="55">
        <f t="shared" si="810"/>
        <v>0</v>
      </c>
      <c r="EY290" s="56">
        <f>IF(AND($E290&lt;&gt;0,$F290&gt;0,YEAR($F290)&gt;=Preisindex!$A$6,YEAR(ET$4)&gt;=YEAR($F290),AND($K290&lt;&gt;"a",$K290&lt;&gt;"b",$K290&lt;&gt;"g",$K290&lt;&gt;"k")),1,IF(AND($E290&lt;&gt;0,$F290&gt;0,YEAR($F290)&gt;=Preisindex!$A$6,YEAR(ET$4)&gt;=YEAR($F290),$K290="a"),ROUND(VLOOKUP(EY$4,Preisindex,5,FALSE)/VLOOKUP(YEAR($F290),Preisindex,5,FALSE),2),IF(AND($E290&lt;&gt;0,$F290&gt;0,YEAR($F290)&gt;=Preisindex!$A$6,YEAR(ET$4)&gt;=YEAR($F290),$K290="b"),ROUND(VLOOKUP(EY$4,Preisindex,3,FALSE)/VLOOKUP(YEAR($F290),Preisindex,3,FALSE),2),IF(AND($E290&lt;&gt;0,$F290&gt;0,YEAR($F290)&gt;=Preisindex!$A$6,YEAR(ET$4)&gt;=YEAR($F290),$K290="g"),ROUND(VLOOKUP(EY$4,Preisindex,4,FALSE)/VLOOKUP(YEAR($F290),Preisindex,4,FALSE),2),IF(AND($E290&lt;&gt;0,$F290&gt;0,YEAR($F290)&gt;=Preisindex!$A$6,YEAR(ET$4)&gt;=YEAR($F290),$K290="k"),ROUND(VLOOKUP(EY$4,Preisindex,2,FALSE)/VLOOKUP(YEAR($F290),Preisindex,2,FALSE),2),0)))))</f>
        <v>0</v>
      </c>
      <c r="EZ290" s="56">
        <f>IF(AND($E290&lt;&gt;0,$F290&gt;0,YEAR($F290)&lt;Preisindex!$A$6,YEAR(ET$4)&gt;=YEAR($F290),AND($K290&lt;&gt;"a",$K290&lt;&gt;"b",$K290&lt;&gt;"g",$K290&lt;&gt;"k")),1,IF(AND($E290&lt;&gt;0,$F290&gt;0,YEAR($F290)&lt;Preisindex!$A$6,YEAR(ET$4)&gt;=YEAR($F290),$K290="a"),ROUND(VLOOKUP(EY$4,Preisindex,5,FALSE)/VLOOKUP(Preisindex!$A$6,Preisindex,5,FALSE),2),IF(AND($E290&lt;&gt;0,$F290&gt;0,YEAR($F290)&lt;Preisindex!$A$6,YEAR(ET$4)&gt;=YEAR($F290),$K290="b"),ROUND(VLOOKUP(EY$4,Preisindex,3,FALSE)/VLOOKUP(Preisindex!$A$6,Preisindex,3,FALSE),2),IF(AND($E290&lt;&gt;0,$F290&gt;0,YEAR($F290)&lt;Preisindex!$A$6,YEAR(ET$4)&gt;=YEAR($F290),$K290="g"),ROUND(VLOOKUP(EY$4,Preisindex,4,FALSE)/VLOOKUP(Preisindex!$A$6,Preisindex,4,FALSE),2),IF(AND($E290&lt;&gt;0,$F290&gt;0,YEAR($F290)&lt;Preisindex!$A$6,YEAR(ET$4)&gt;=YEAR($F290),$K290="k"),ROUND(VLOOKUP(EY$4,Preisindex,2,FALSE)/VLOOKUP(Preisindex!$A$6,Preisindex,2,FALSE),2),0)))))</f>
        <v>0</v>
      </c>
      <c r="FA290" s="51">
        <f>IF(AND($E290&lt;&gt;0,$F290&gt;0,YEAR($F290)&lt;=EY$4,YEAR($F290)&gt;=Preisindex!$A$6),ROUND($E290*EY290,2),IF(AND($E290&lt;&gt;0,$F290&gt;0,YEAR($F290)&lt;=EY$4,YEAR($F290)&lt;Preisindex!$A$6),ROUND($E290*EZ290,2),0))</f>
        <v>0</v>
      </c>
      <c r="FB290" s="53">
        <f t="shared" si="811"/>
        <v>0</v>
      </c>
      <c r="FC290" s="51">
        <f t="shared" si="840"/>
        <v>0</v>
      </c>
      <c r="FD290" s="51">
        <f t="shared" si="876"/>
        <v>0</v>
      </c>
      <c r="FE290" s="51">
        <f t="shared" si="812"/>
        <v>0</v>
      </c>
      <c r="FF290" s="51">
        <f t="shared" si="877"/>
        <v>0</v>
      </c>
      <c r="FG290" s="51">
        <f t="shared" si="813"/>
        <v>0</v>
      </c>
      <c r="FH290" s="51">
        <f t="shared" si="878"/>
        <v>0</v>
      </c>
      <c r="FI290" s="51">
        <f t="shared" si="814"/>
        <v>0</v>
      </c>
      <c r="FJ290" s="51">
        <f t="shared" si="879"/>
        <v>0</v>
      </c>
      <c r="FK290" s="51">
        <f t="shared" si="815"/>
        <v>0</v>
      </c>
      <c r="FL290" s="51">
        <f t="shared" si="880"/>
        <v>0</v>
      </c>
      <c r="FM290" s="51">
        <f t="shared" si="816"/>
        <v>0</v>
      </c>
      <c r="FN290" s="54">
        <f t="shared" si="817"/>
        <v>0</v>
      </c>
      <c r="FO290" s="55">
        <f t="shared" si="818"/>
        <v>0</v>
      </c>
      <c r="FP290" s="56">
        <f>IF(AND($E290&lt;&gt;0,$F290&gt;0,YEAR($F290)&gt;=Preisindex!$A$6,YEAR(FK$4)&gt;=YEAR($F290),AND($K290&lt;&gt;"a",$K290&lt;&gt;"b",$K290&lt;&gt;"g",$K290&lt;&gt;"k")),1,IF(AND($E290&lt;&gt;0,$F290&gt;0,YEAR($F290)&gt;=Preisindex!$A$6,YEAR(FK$4)&gt;=YEAR($F290),$K290="a"),ROUND(VLOOKUP(FP$4,Preisindex,5,FALSE)/VLOOKUP(YEAR($F290),Preisindex,5,FALSE),2),IF(AND($E290&lt;&gt;0,$F290&gt;0,YEAR($F290)&gt;=Preisindex!$A$6,YEAR(FK$4)&gt;=YEAR($F290),$K290="b"),ROUND(VLOOKUP(FP$4,Preisindex,3,FALSE)/VLOOKUP(YEAR($F290),Preisindex,3,FALSE),2),IF(AND($E290&lt;&gt;0,$F290&gt;0,YEAR($F290)&gt;=Preisindex!$A$6,YEAR(FK$4)&gt;=YEAR($F290),$K290="g"),ROUND(VLOOKUP(FP$4,Preisindex,4,FALSE)/VLOOKUP(YEAR($F290),Preisindex,4,FALSE),2),IF(AND($E290&lt;&gt;0,$F290&gt;0,YEAR($F290)&gt;=Preisindex!$A$6,YEAR(FK$4)&gt;=YEAR($F290),$K290="k"),ROUND(VLOOKUP(FP$4,Preisindex,2,FALSE)/VLOOKUP(YEAR($F290),Preisindex,2,FALSE),2),0)))))</f>
        <v>0</v>
      </c>
      <c r="FQ290" s="56">
        <f>IF(AND($E290&lt;&gt;0,$F290&gt;0,YEAR($F290)&lt;Preisindex!$A$6,YEAR(FK$4)&gt;=YEAR($F290),AND($K290&lt;&gt;"a",$K290&lt;&gt;"b",$K290&lt;&gt;"g",$K290&lt;&gt;"k")),1,IF(AND($E290&lt;&gt;0,$F290&gt;0,YEAR($F290)&lt;Preisindex!$A$6,YEAR(FK$4)&gt;=YEAR($F290),$K290="a"),ROUND(VLOOKUP(FP$4,Preisindex,5,FALSE)/VLOOKUP(Preisindex!$A$6,Preisindex,5,FALSE),2),IF(AND($E290&lt;&gt;0,$F290&gt;0,YEAR($F290)&lt;Preisindex!$A$6,YEAR(FK$4)&gt;=YEAR($F290),$K290="b"),ROUND(VLOOKUP(FP$4,Preisindex,3,FALSE)/VLOOKUP(Preisindex!$A$6,Preisindex,3,FALSE),2),IF(AND($E290&lt;&gt;0,$F290&gt;0,YEAR($F290)&lt;Preisindex!$A$6,YEAR(FK$4)&gt;=YEAR($F290),$K290="g"),ROUND(VLOOKUP(FP$4,Preisindex,4,FALSE)/VLOOKUP(Preisindex!$A$6,Preisindex,4,FALSE),2),IF(AND($E290&lt;&gt;0,$F290&gt;0,YEAR($F290)&lt;Preisindex!$A$6,YEAR(FK$4)&gt;=YEAR($F290),$K290="k"),ROUND(VLOOKUP(FP$4,Preisindex,2,FALSE)/VLOOKUP(Preisindex!$A$6,Preisindex,2,FALSE),2),0)))))</f>
        <v>0</v>
      </c>
      <c r="FR290" s="51">
        <f>IF(AND($E290&lt;&gt;0,$F290&gt;0,YEAR($F290)&lt;=FP$4,YEAR($F290)&gt;=Preisindex!$A$6),ROUND($E290*FP290,2),IF(AND($E290&lt;&gt;0,$F290&gt;0,YEAR($F290)&lt;=FP$4,YEAR($F290)&lt;Preisindex!$A$6),ROUND($E290*FQ290,2),0))</f>
        <v>0</v>
      </c>
      <c r="FS290" s="53">
        <f t="shared" si="819"/>
        <v>0</v>
      </c>
    </row>
    <row r="291" spans="1:175" x14ac:dyDescent="0.3">
      <c r="A291" s="185"/>
      <c r="B291" s="186"/>
      <c r="C291" s="187"/>
      <c r="D291" s="188"/>
      <c r="E291" s="189"/>
      <c r="F291" s="190"/>
      <c r="G291" s="191"/>
      <c r="H291" s="192"/>
      <c r="I291" s="193"/>
      <c r="J291" s="194"/>
      <c r="K291" s="630"/>
      <c r="L291" s="49">
        <f t="shared" si="820"/>
        <v>0</v>
      </c>
      <c r="M291" s="50">
        <f t="shared" si="821"/>
        <v>0</v>
      </c>
      <c r="N291" s="51">
        <f t="shared" si="822"/>
        <v>0</v>
      </c>
      <c r="O291" s="51"/>
      <c r="P291" s="51">
        <f t="shared" si="823"/>
        <v>0</v>
      </c>
      <c r="Q291" s="52"/>
      <c r="R291" s="52"/>
      <c r="S291" s="52"/>
      <c r="T291" s="52"/>
      <c r="U291" s="52"/>
      <c r="V291" s="53">
        <f t="shared" si="824"/>
        <v>0</v>
      </c>
      <c r="W291" s="51">
        <f t="shared" si="825"/>
        <v>0</v>
      </c>
      <c r="X291" s="51">
        <f t="shared" si="826"/>
        <v>0</v>
      </c>
      <c r="Y291" s="51">
        <f t="shared" si="827"/>
        <v>0</v>
      </c>
      <c r="Z291" s="51">
        <f t="shared" si="828"/>
        <v>0</v>
      </c>
      <c r="AA291" s="51">
        <f t="shared" si="829"/>
        <v>0</v>
      </c>
      <c r="AB291" s="51">
        <f t="shared" si="830"/>
        <v>0</v>
      </c>
      <c r="AC291" s="51">
        <f t="shared" si="831"/>
        <v>0</v>
      </c>
      <c r="AD291" s="51">
        <f t="shared" si="832"/>
        <v>0</v>
      </c>
      <c r="AE291" s="51">
        <f t="shared" si="833"/>
        <v>0</v>
      </c>
      <c r="AF291" s="51">
        <f t="shared" si="834"/>
        <v>0</v>
      </c>
      <c r="AG291" s="51">
        <f t="shared" si="835"/>
        <v>0</v>
      </c>
      <c r="AH291" s="54">
        <f t="shared" si="836"/>
        <v>0</v>
      </c>
      <c r="AI291" s="55">
        <f t="shared" si="837"/>
        <v>0</v>
      </c>
      <c r="AJ291" s="56">
        <f>IF(AND($E291&lt;&gt;0,$F291&gt;0,YEAR($F291)&gt;=Preisindex!$A$6,YEAR(AE$4)&gt;=YEAR($F291),AND($K291&lt;&gt;"a",$K291&lt;&gt;"b",$K291&lt;&gt;"g",$K291&lt;&gt;"k")),1,IF(AND($E291&lt;&gt;0,$F291&gt;0,YEAR($F291)&gt;=Preisindex!$A$6,YEAR(AE$4)&gt;=YEAR($F291),$K291="a"),ROUND(VLOOKUP(AJ$4,Preisindex,5,FALSE)/VLOOKUP(YEAR($F291),Preisindex,5,FALSE),2),IF(AND($E291&lt;&gt;0,$F291&gt;0,YEAR($F291)&gt;=Preisindex!$A$6,YEAR(AE$4)&gt;=YEAR($F291),$K291="b"),ROUND(VLOOKUP(AJ$4,Preisindex,3,FALSE)/VLOOKUP(YEAR($F291),Preisindex,3,FALSE),2),IF(AND($E291&lt;&gt;0,$F291&gt;0,YEAR($F291)&gt;=Preisindex!$A$6,YEAR(AE$4)&gt;=YEAR($F291),$K291="g"),ROUND(VLOOKUP(AJ$4,Preisindex,4,FALSE)/VLOOKUP(YEAR($F291),Preisindex,4,FALSE),2),IF(AND($E291&lt;&gt;0,$F291&gt;0,YEAR($F291)&gt;=Preisindex!$A$6,YEAR(AE$4)&gt;=YEAR($F291),$K291="k"),ROUND(VLOOKUP(AJ$4,Preisindex,2,FALSE)/VLOOKUP(YEAR($F291),Preisindex,2,FALSE),2),0)))))</f>
        <v>0</v>
      </c>
      <c r="AK291" s="56">
        <f>IF(AND($E291&lt;&gt;0,$F291&gt;0,YEAR($F291)&lt;Preisindex!$A$6,YEAR(AE$4)&gt;=YEAR($F291),AND($K291&lt;&gt;"a",$K291&lt;&gt;"b",$K291&lt;&gt;"g",$K291&lt;&gt;"k")),1,IF(AND($E291&lt;&gt;0,$F291&gt;0,YEAR($F291)&lt;Preisindex!$A$6,YEAR(AE$4)&gt;=YEAR($F291),$K291="a"),ROUND(VLOOKUP(AJ$4,Preisindex,5,FALSE)/VLOOKUP(Preisindex!$A$6,Preisindex,5,FALSE),2),IF(AND($E291&lt;&gt;0,$F291&gt;0,YEAR($F291)&lt;Preisindex!$A$6,YEAR(AE$4)&gt;=YEAR($F291),$K291="b"),ROUND(VLOOKUP(AJ$4,Preisindex,3,FALSE)/VLOOKUP(Preisindex!$A$6,Preisindex,3,FALSE),2),IF(AND($E291&lt;&gt;0,$F291&gt;0,YEAR($F291)&lt;Preisindex!$A$6,YEAR(AE$4)&gt;=YEAR($F291),$K291="g"),ROUND(VLOOKUP(AJ$4,Preisindex,4,FALSE)/VLOOKUP(Preisindex!$A$6,Preisindex,4,FALSE),2),IF(AND($E291&lt;&gt;0,$F291&gt;0,YEAR($F291)&lt;Preisindex!$A$6,YEAR(AE$4)&gt;=YEAR($F291),$K291="k"),ROUND(VLOOKUP(AJ$4,Preisindex,2,FALSE)/VLOOKUP(Preisindex!$A$6,Preisindex,2,FALSE),2),0)))))</f>
        <v>0</v>
      </c>
      <c r="AL291" s="51">
        <f>IF(AND($E291&lt;&gt;0,$F291&gt;0,YEAR($F291)&lt;=AJ$4,YEAR($F291)&gt;=Preisindex!$A$6),ROUND($E291*AJ291,2),IF(AND($E291&lt;&gt;0,$F291&gt;0,YEAR($F291)&lt;=AJ$4,YEAR($F291)&lt;Preisindex!$A$6),ROUND($E291*AK291,2),0))</f>
        <v>0</v>
      </c>
      <c r="AM291" s="53">
        <f t="shared" si="838"/>
        <v>0</v>
      </c>
      <c r="AN291" s="51">
        <f t="shared" si="839"/>
        <v>0</v>
      </c>
      <c r="AO291" s="51">
        <f t="shared" si="841"/>
        <v>0</v>
      </c>
      <c r="AP291" s="51">
        <f t="shared" si="755"/>
        <v>0</v>
      </c>
      <c r="AQ291" s="51">
        <f t="shared" si="842"/>
        <v>0</v>
      </c>
      <c r="AR291" s="51">
        <f t="shared" si="756"/>
        <v>0</v>
      </c>
      <c r="AS291" s="51">
        <f t="shared" si="843"/>
        <v>0</v>
      </c>
      <c r="AT291" s="51">
        <f t="shared" si="757"/>
        <v>0</v>
      </c>
      <c r="AU291" s="51">
        <f t="shared" si="844"/>
        <v>0</v>
      </c>
      <c r="AV291" s="51">
        <f t="shared" si="758"/>
        <v>0</v>
      </c>
      <c r="AW291" s="51">
        <f t="shared" si="845"/>
        <v>0</v>
      </c>
      <c r="AX291" s="51">
        <f t="shared" si="759"/>
        <v>0</v>
      </c>
      <c r="AY291" s="54">
        <f t="shared" si="760"/>
        <v>0</v>
      </c>
      <c r="AZ291" s="55">
        <f t="shared" si="761"/>
        <v>0</v>
      </c>
      <c r="BA291" s="56">
        <f>IF(AND($E291&lt;&gt;0,$F291&gt;0,YEAR($F291)&gt;=Preisindex!$A$6,YEAR(AV$4)&gt;=YEAR($F291),AND($K291&lt;&gt;"a",$K291&lt;&gt;"b",$K291&lt;&gt;"g",$K291&lt;&gt;"k")),1,IF(AND($E291&lt;&gt;0,$F291&gt;0,YEAR($F291)&gt;=Preisindex!$A$6,YEAR(AV$4)&gt;=YEAR($F291),$K291="a"),ROUND(VLOOKUP(BA$4,Preisindex,5,FALSE)/VLOOKUP(YEAR($F291),Preisindex,5,FALSE),2),IF(AND($E291&lt;&gt;0,$F291&gt;0,YEAR($F291)&gt;=Preisindex!$A$6,YEAR(AV$4)&gt;=YEAR($F291),$K291="b"),ROUND(VLOOKUP(BA$4,Preisindex,3,FALSE)/VLOOKUP(YEAR($F291),Preisindex,3,FALSE),2),IF(AND($E291&lt;&gt;0,$F291&gt;0,YEAR($F291)&gt;=Preisindex!$A$6,YEAR(AV$4)&gt;=YEAR($F291),$K291="g"),ROUND(VLOOKUP(BA$4,Preisindex,4,FALSE)/VLOOKUP(YEAR($F291),Preisindex,4,FALSE),2),IF(AND($E291&lt;&gt;0,$F291&gt;0,YEAR($F291)&gt;=Preisindex!$A$6,YEAR(AV$4)&gt;=YEAR($F291),$K291="k"),ROUND(VLOOKUP(BA$4,Preisindex,2,FALSE)/VLOOKUP(YEAR($F291),Preisindex,2,FALSE),2),0)))))</f>
        <v>0</v>
      </c>
      <c r="BB291" s="56">
        <f>IF(AND($E291&lt;&gt;0,$F291&gt;0,YEAR($F291)&lt;Preisindex!$A$6,YEAR(AV$4)&gt;=YEAR($F291),AND($K291&lt;&gt;"a",$K291&lt;&gt;"b",$K291&lt;&gt;"g",$K291&lt;&gt;"k")),1,IF(AND($E291&lt;&gt;0,$F291&gt;0,YEAR($F291)&lt;Preisindex!$A$6,YEAR(AV$4)&gt;=YEAR($F291),$K291="a"),ROUND(VLOOKUP(BA$4,Preisindex,5,FALSE)/VLOOKUP(Preisindex!$A$6,Preisindex,5,FALSE),2),IF(AND($E291&lt;&gt;0,$F291&gt;0,YEAR($F291)&lt;Preisindex!$A$6,YEAR(AV$4)&gt;=YEAR($F291),$K291="b"),ROUND(VLOOKUP(BA$4,Preisindex,3,FALSE)/VLOOKUP(Preisindex!$A$6,Preisindex,3,FALSE),2),IF(AND($E291&lt;&gt;0,$F291&gt;0,YEAR($F291)&lt;Preisindex!$A$6,YEAR(AV$4)&gt;=YEAR($F291),$K291="g"),ROUND(VLOOKUP(BA$4,Preisindex,4,FALSE)/VLOOKUP(Preisindex!$A$6,Preisindex,4,FALSE),2),IF(AND($E291&lt;&gt;0,$F291&gt;0,YEAR($F291)&lt;Preisindex!$A$6,YEAR(AV$4)&gt;=YEAR($F291),$K291="k"),ROUND(VLOOKUP(BA$4,Preisindex,2,FALSE)/VLOOKUP(Preisindex!$A$6,Preisindex,2,FALSE),2),0)))))</f>
        <v>0</v>
      </c>
      <c r="BC291" s="51">
        <f>IF(AND($E291&lt;&gt;0,$F291&gt;0,YEAR($F291)&lt;=BA$4,YEAR($F291)&gt;=Preisindex!$A$6),ROUND($E291*BA291,2),IF(AND($E291&lt;&gt;0,$F291&gt;0,YEAR($F291)&lt;=BA$4,YEAR($F291)&lt;Preisindex!$A$6),ROUND($E291*BB291,2),0))</f>
        <v>0</v>
      </c>
      <c r="BD291" s="53">
        <f t="shared" si="762"/>
        <v>0</v>
      </c>
      <c r="BE291" s="51">
        <f t="shared" si="839"/>
        <v>0</v>
      </c>
      <c r="BF291" s="51">
        <f t="shared" si="846"/>
        <v>0</v>
      </c>
      <c r="BG291" s="51">
        <f t="shared" si="763"/>
        <v>0</v>
      </c>
      <c r="BH291" s="51">
        <f t="shared" si="847"/>
        <v>0</v>
      </c>
      <c r="BI291" s="51">
        <f t="shared" si="764"/>
        <v>0</v>
      </c>
      <c r="BJ291" s="51">
        <f t="shared" si="848"/>
        <v>0</v>
      </c>
      <c r="BK291" s="51">
        <f t="shared" si="765"/>
        <v>0</v>
      </c>
      <c r="BL291" s="51">
        <f t="shared" si="849"/>
        <v>0</v>
      </c>
      <c r="BM291" s="51">
        <f t="shared" si="766"/>
        <v>0</v>
      </c>
      <c r="BN291" s="51">
        <f t="shared" si="850"/>
        <v>0</v>
      </c>
      <c r="BO291" s="51">
        <f t="shared" si="767"/>
        <v>0</v>
      </c>
      <c r="BP291" s="54">
        <f t="shared" si="768"/>
        <v>0</v>
      </c>
      <c r="BQ291" s="55">
        <f t="shared" si="769"/>
        <v>0</v>
      </c>
      <c r="BR291" s="56">
        <f>IF(AND($E291&lt;&gt;0,$F291&gt;0,YEAR($F291)&gt;=Preisindex!$A$6,YEAR(BM$4)&gt;=YEAR($F291),AND($K291&lt;&gt;"a",$K291&lt;&gt;"b",$K291&lt;&gt;"g",$K291&lt;&gt;"k")),1,IF(AND($E291&lt;&gt;0,$F291&gt;0,YEAR($F291)&gt;=Preisindex!$A$6,YEAR(BM$4)&gt;=YEAR($F291),$K291="a"),ROUND(VLOOKUP(BR$4,Preisindex,5,FALSE)/VLOOKUP(YEAR($F291),Preisindex,5,FALSE),2),IF(AND($E291&lt;&gt;0,$F291&gt;0,YEAR($F291)&gt;=Preisindex!$A$6,YEAR(BM$4)&gt;=YEAR($F291),$K291="b"),ROUND(VLOOKUP(BR$4,Preisindex,3,FALSE)/VLOOKUP(YEAR($F291),Preisindex,3,FALSE),2),IF(AND($E291&lt;&gt;0,$F291&gt;0,YEAR($F291)&gt;=Preisindex!$A$6,YEAR(BM$4)&gt;=YEAR($F291),$K291="g"),ROUND(VLOOKUP(BR$4,Preisindex,4,FALSE)/VLOOKUP(YEAR($F291),Preisindex,4,FALSE),2),IF(AND($E291&lt;&gt;0,$F291&gt;0,YEAR($F291)&gt;=Preisindex!$A$6,YEAR(BM$4)&gt;=YEAR($F291),$K291="k"),ROUND(VLOOKUP(BR$4,Preisindex,2,FALSE)/VLOOKUP(YEAR($F291),Preisindex,2,FALSE),2),0)))))</f>
        <v>0</v>
      </c>
      <c r="BS291" s="56">
        <f>IF(AND($E291&lt;&gt;0,$F291&gt;0,YEAR($F291)&lt;Preisindex!$A$6,YEAR(BM$4)&gt;=YEAR($F291),AND($K291&lt;&gt;"a",$K291&lt;&gt;"b",$K291&lt;&gt;"g",$K291&lt;&gt;"k")),1,IF(AND($E291&lt;&gt;0,$F291&gt;0,YEAR($F291)&lt;Preisindex!$A$6,YEAR(BM$4)&gt;=YEAR($F291),$K291="a"),ROUND(VLOOKUP(BR$4,Preisindex,5,FALSE)/VLOOKUP(Preisindex!$A$6,Preisindex,5,FALSE),2),IF(AND($E291&lt;&gt;0,$F291&gt;0,YEAR($F291)&lt;Preisindex!$A$6,YEAR(BM$4)&gt;=YEAR($F291),$K291="b"),ROUND(VLOOKUP(BR$4,Preisindex,3,FALSE)/VLOOKUP(Preisindex!$A$6,Preisindex,3,FALSE),2),IF(AND($E291&lt;&gt;0,$F291&gt;0,YEAR($F291)&lt;Preisindex!$A$6,YEAR(BM$4)&gt;=YEAR($F291),$K291="g"),ROUND(VLOOKUP(BR$4,Preisindex,4,FALSE)/VLOOKUP(Preisindex!$A$6,Preisindex,4,FALSE),2),IF(AND($E291&lt;&gt;0,$F291&gt;0,YEAR($F291)&lt;Preisindex!$A$6,YEAR(BM$4)&gt;=YEAR($F291),$K291="k"),ROUND(VLOOKUP(BR$4,Preisindex,2,FALSE)/VLOOKUP(Preisindex!$A$6,Preisindex,2,FALSE),2),0)))))</f>
        <v>0</v>
      </c>
      <c r="BT291" s="51">
        <f>IF(AND($E291&lt;&gt;0,$F291&gt;0,YEAR($F291)&lt;=BR$4,YEAR($F291)&gt;=Preisindex!$A$6),ROUND($E291*BR291,2),IF(AND($E291&lt;&gt;0,$F291&gt;0,YEAR($F291)&lt;=BR$4,YEAR($F291)&lt;Preisindex!$A$6),ROUND($E291*BS291,2),0))</f>
        <v>0</v>
      </c>
      <c r="BU291" s="53">
        <f t="shared" si="770"/>
        <v>0</v>
      </c>
      <c r="BV291" s="51">
        <f t="shared" si="839"/>
        <v>0</v>
      </c>
      <c r="BW291" s="51">
        <f t="shared" si="851"/>
        <v>0</v>
      </c>
      <c r="BX291" s="51">
        <f t="shared" si="771"/>
        <v>0</v>
      </c>
      <c r="BY291" s="51">
        <f t="shared" si="852"/>
        <v>0</v>
      </c>
      <c r="BZ291" s="51">
        <f t="shared" si="772"/>
        <v>0</v>
      </c>
      <c r="CA291" s="51">
        <f t="shared" si="853"/>
        <v>0</v>
      </c>
      <c r="CB291" s="51">
        <f t="shared" si="773"/>
        <v>0</v>
      </c>
      <c r="CC291" s="51">
        <f t="shared" si="854"/>
        <v>0</v>
      </c>
      <c r="CD291" s="51">
        <f t="shared" si="774"/>
        <v>0</v>
      </c>
      <c r="CE291" s="51">
        <f t="shared" si="855"/>
        <v>0</v>
      </c>
      <c r="CF291" s="51">
        <f t="shared" si="775"/>
        <v>0</v>
      </c>
      <c r="CG291" s="54">
        <f t="shared" si="776"/>
        <v>0</v>
      </c>
      <c r="CH291" s="55">
        <f t="shared" si="777"/>
        <v>0</v>
      </c>
      <c r="CI291" s="56">
        <f>IF(AND($E291&lt;&gt;0,$F291&gt;0,YEAR($F291)&gt;=Preisindex!$A$6,YEAR(CD$4)&gt;=YEAR($F291),AND($K291&lt;&gt;"a",$K291&lt;&gt;"b",$K291&lt;&gt;"g",$K291&lt;&gt;"k")),1,IF(AND($E291&lt;&gt;0,$F291&gt;0,YEAR($F291)&gt;=Preisindex!$A$6,YEAR(CD$4)&gt;=YEAR($F291),$K291="a"),ROUND(VLOOKUP(CI$4,Preisindex,5,FALSE)/VLOOKUP(YEAR($F291),Preisindex,5,FALSE),2),IF(AND($E291&lt;&gt;0,$F291&gt;0,YEAR($F291)&gt;=Preisindex!$A$6,YEAR(CD$4)&gt;=YEAR($F291),$K291="b"),ROUND(VLOOKUP(CI$4,Preisindex,3,FALSE)/VLOOKUP(YEAR($F291),Preisindex,3,FALSE),2),IF(AND($E291&lt;&gt;0,$F291&gt;0,YEAR($F291)&gt;=Preisindex!$A$6,YEAR(CD$4)&gt;=YEAR($F291),$K291="g"),ROUND(VLOOKUP(CI$4,Preisindex,4,FALSE)/VLOOKUP(YEAR($F291),Preisindex,4,FALSE),2),IF(AND($E291&lt;&gt;0,$F291&gt;0,YEAR($F291)&gt;=Preisindex!$A$6,YEAR(CD$4)&gt;=YEAR($F291),$K291="k"),ROUND(VLOOKUP(CI$4,Preisindex,2,FALSE)/VLOOKUP(YEAR($F291),Preisindex,2,FALSE),2),0)))))</f>
        <v>0</v>
      </c>
      <c r="CJ291" s="56">
        <f>IF(AND($E291&lt;&gt;0,$F291&gt;0,YEAR($F291)&lt;Preisindex!$A$6,YEAR(CD$4)&gt;=YEAR($F291),AND($K291&lt;&gt;"a",$K291&lt;&gt;"b",$K291&lt;&gt;"g",$K291&lt;&gt;"k")),1,IF(AND($E291&lt;&gt;0,$F291&gt;0,YEAR($F291)&lt;Preisindex!$A$6,YEAR(CD$4)&gt;=YEAR($F291),$K291="a"),ROUND(VLOOKUP(CI$4,Preisindex,5,FALSE)/VLOOKUP(Preisindex!$A$6,Preisindex,5,FALSE),2),IF(AND($E291&lt;&gt;0,$F291&gt;0,YEAR($F291)&lt;Preisindex!$A$6,YEAR(CD$4)&gt;=YEAR($F291),$K291="b"),ROUND(VLOOKUP(CI$4,Preisindex,3,FALSE)/VLOOKUP(Preisindex!$A$6,Preisindex,3,FALSE),2),IF(AND($E291&lt;&gt;0,$F291&gt;0,YEAR($F291)&lt;Preisindex!$A$6,YEAR(CD$4)&gt;=YEAR($F291),$K291="g"),ROUND(VLOOKUP(CI$4,Preisindex,4,FALSE)/VLOOKUP(Preisindex!$A$6,Preisindex,4,FALSE),2),IF(AND($E291&lt;&gt;0,$F291&gt;0,YEAR($F291)&lt;Preisindex!$A$6,YEAR(CD$4)&gt;=YEAR($F291),$K291="k"),ROUND(VLOOKUP(CI$4,Preisindex,2,FALSE)/VLOOKUP(Preisindex!$A$6,Preisindex,2,FALSE),2),0)))))</f>
        <v>0</v>
      </c>
      <c r="CK291" s="51">
        <f>IF(AND($E291&lt;&gt;0,$F291&gt;0,YEAR($F291)&lt;=CI$4,YEAR($F291)&gt;=Preisindex!$A$6),ROUND($E291*CI291,2),IF(AND($E291&lt;&gt;0,$F291&gt;0,YEAR($F291)&lt;=CI$4,YEAR($F291)&lt;Preisindex!$A$6),ROUND($E291*CJ291,2),0))</f>
        <v>0</v>
      </c>
      <c r="CL291" s="53">
        <f t="shared" si="778"/>
        <v>0</v>
      </c>
      <c r="CM291" s="51">
        <f t="shared" si="839"/>
        <v>0</v>
      </c>
      <c r="CN291" s="51">
        <f t="shared" si="856"/>
        <v>0</v>
      </c>
      <c r="CO291" s="51">
        <f t="shared" si="779"/>
        <v>0</v>
      </c>
      <c r="CP291" s="51">
        <f t="shared" si="857"/>
        <v>0</v>
      </c>
      <c r="CQ291" s="51">
        <f t="shared" si="780"/>
        <v>0</v>
      </c>
      <c r="CR291" s="51">
        <f t="shared" si="858"/>
        <v>0</v>
      </c>
      <c r="CS291" s="51">
        <f t="shared" si="781"/>
        <v>0</v>
      </c>
      <c r="CT291" s="51">
        <f t="shared" si="859"/>
        <v>0</v>
      </c>
      <c r="CU291" s="51">
        <f t="shared" si="782"/>
        <v>0</v>
      </c>
      <c r="CV291" s="51">
        <f t="shared" si="860"/>
        <v>0</v>
      </c>
      <c r="CW291" s="51">
        <f t="shared" si="783"/>
        <v>0</v>
      </c>
      <c r="CX291" s="54">
        <f t="shared" si="784"/>
        <v>0</v>
      </c>
      <c r="CY291" s="55">
        <f t="shared" si="785"/>
        <v>0</v>
      </c>
      <c r="CZ291" s="56">
        <f>IF(AND($E291&lt;&gt;0,$F291&gt;0,YEAR($F291)&gt;=Preisindex!$A$6,YEAR(CU$4)&gt;=YEAR($F291),AND($K291&lt;&gt;"a",$K291&lt;&gt;"b",$K291&lt;&gt;"g",$K291&lt;&gt;"k")),1,IF(AND($E291&lt;&gt;0,$F291&gt;0,YEAR($F291)&gt;=Preisindex!$A$6,YEAR(CU$4)&gt;=YEAR($F291),$K291="a"),ROUND(VLOOKUP(CZ$4,Preisindex,5,FALSE)/VLOOKUP(YEAR($F291),Preisindex,5,FALSE),2),IF(AND($E291&lt;&gt;0,$F291&gt;0,YEAR($F291)&gt;=Preisindex!$A$6,YEAR(CU$4)&gt;=YEAR($F291),$K291="b"),ROUND(VLOOKUP(CZ$4,Preisindex,3,FALSE)/VLOOKUP(YEAR($F291),Preisindex,3,FALSE),2),IF(AND($E291&lt;&gt;0,$F291&gt;0,YEAR($F291)&gt;=Preisindex!$A$6,YEAR(CU$4)&gt;=YEAR($F291),$K291="g"),ROUND(VLOOKUP(CZ$4,Preisindex,4,FALSE)/VLOOKUP(YEAR($F291),Preisindex,4,FALSE),2),IF(AND($E291&lt;&gt;0,$F291&gt;0,YEAR($F291)&gt;=Preisindex!$A$6,YEAR(CU$4)&gt;=YEAR($F291),$K291="k"),ROUND(VLOOKUP(CZ$4,Preisindex,2,FALSE)/VLOOKUP(YEAR($F291),Preisindex,2,FALSE),2),0)))))</f>
        <v>0</v>
      </c>
      <c r="DA291" s="56">
        <f>IF(AND($E291&lt;&gt;0,$F291&gt;0,YEAR($F291)&lt;Preisindex!$A$6,YEAR(CU$4)&gt;=YEAR($F291),AND($K291&lt;&gt;"a",$K291&lt;&gt;"b",$K291&lt;&gt;"g",$K291&lt;&gt;"k")),1,IF(AND($E291&lt;&gt;0,$F291&gt;0,YEAR($F291)&lt;Preisindex!$A$6,YEAR(CU$4)&gt;=YEAR($F291),$K291="a"),ROUND(VLOOKUP(CZ$4,Preisindex,5,FALSE)/VLOOKUP(Preisindex!$A$6,Preisindex,5,FALSE),2),IF(AND($E291&lt;&gt;0,$F291&gt;0,YEAR($F291)&lt;Preisindex!$A$6,YEAR(CU$4)&gt;=YEAR($F291),$K291="b"),ROUND(VLOOKUP(CZ$4,Preisindex,3,FALSE)/VLOOKUP(Preisindex!$A$6,Preisindex,3,FALSE),2),IF(AND($E291&lt;&gt;0,$F291&gt;0,YEAR($F291)&lt;Preisindex!$A$6,YEAR(CU$4)&gt;=YEAR($F291),$K291="g"),ROUND(VLOOKUP(CZ$4,Preisindex,4,FALSE)/VLOOKUP(Preisindex!$A$6,Preisindex,4,FALSE),2),IF(AND($E291&lt;&gt;0,$F291&gt;0,YEAR($F291)&lt;Preisindex!$A$6,YEAR(CU$4)&gt;=YEAR($F291),$K291="k"),ROUND(VLOOKUP(CZ$4,Preisindex,2,FALSE)/VLOOKUP(Preisindex!$A$6,Preisindex,2,FALSE),2),0)))))</f>
        <v>0</v>
      </c>
      <c r="DB291" s="51">
        <f>IF(AND($E291&lt;&gt;0,$F291&gt;0,YEAR($F291)&lt;=CZ$4,YEAR($F291)&gt;=Preisindex!$A$6),ROUND($E291*CZ291,2),IF(AND($E291&lt;&gt;0,$F291&gt;0,YEAR($F291)&lt;=CZ$4,YEAR($F291)&lt;Preisindex!$A$6),ROUND($E291*DA291,2),0))</f>
        <v>0</v>
      </c>
      <c r="DC291" s="53">
        <f t="shared" si="786"/>
        <v>0</v>
      </c>
      <c r="DD291" s="51">
        <f t="shared" si="840"/>
        <v>0</v>
      </c>
      <c r="DE291" s="51">
        <f t="shared" si="861"/>
        <v>0</v>
      </c>
      <c r="DF291" s="51">
        <f t="shared" si="788"/>
        <v>0</v>
      </c>
      <c r="DG291" s="51">
        <f t="shared" si="862"/>
        <v>0</v>
      </c>
      <c r="DH291" s="51">
        <f t="shared" si="789"/>
        <v>0</v>
      </c>
      <c r="DI291" s="51">
        <f t="shared" si="863"/>
        <v>0</v>
      </c>
      <c r="DJ291" s="51">
        <f t="shared" si="790"/>
        <v>0</v>
      </c>
      <c r="DK291" s="51">
        <f t="shared" si="864"/>
        <v>0</v>
      </c>
      <c r="DL291" s="51">
        <f t="shared" si="791"/>
        <v>0</v>
      </c>
      <c r="DM291" s="51">
        <f t="shared" si="865"/>
        <v>0</v>
      </c>
      <c r="DN291" s="51">
        <f t="shared" si="792"/>
        <v>0</v>
      </c>
      <c r="DO291" s="54">
        <f t="shared" si="793"/>
        <v>0</v>
      </c>
      <c r="DP291" s="55">
        <f t="shared" si="794"/>
        <v>0</v>
      </c>
      <c r="DQ291" s="56">
        <f>IF(AND($E291&lt;&gt;0,$F291&gt;0,YEAR($F291)&gt;=Preisindex!$A$6,YEAR(DL$4)&gt;=YEAR($F291),AND($K291&lt;&gt;"a",$K291&lt;&gt;"b",$K291&lt;&gt;"g",$K291&lt;&gt;"k")),1,IF(AND($E291&lt;&gt;0,$F291&gt;0,YEAR($F291)&gt;=Preisindex!$A$6,YEAR(DL$4)&gt;=YEAR($F291),$K291="a"),ROUND(VLOOKUP(DQ$4,Preisindex,5,FALSE)/VLOOKUP(YEAR($F291),Preisindex,5,FALSE),2),IF(AND($E291&lt;&gt;0,$F291&gt;0,YEAR($F291)&gt;=Preisindex!$A$6,YEAR(DL$4)&gt;=YEAR($F291),$K291="b"),ROUND(VLOOKUP(DQ$4,Preisindex,3,FALSE)/VLOOKUP(YEAR($F291),Preisindex,3,FALSE),2),IF(AND($E291&lt;&gt;0,$F291&gt;0,YEAR($F291)&gt;=Preisindex!$A$6,YEAR(DL$4)&gt;=YEAR($F291),$K291="g"),ROUND(VLOOKUP(DQ$4,Preisindex,4,FALSE)/VLOOKUP(YEAR($F291),Preisindex,4,FALSE),2),IF(AND($E291&lt;&gt;0,$F291&gt;0,YEAR($F291)&gt;=Preisindex!$A$6,YEAR(DL$4)&gt;=YEAR($F291),$K291="k"),ROUND(VLOOKUP(DQ$4,Preisindex,2,FALSE)/VLOOKUP(YEAR($F291),Preisindex,2,FALSE),2),0)))))</f>
        <v>0</v>
      </c>
      <c r="DR291" s="56">
        <f>IF(AND($E291&lt;&gt;0,$F291&gt;0,YEAR($F291)&lt;Preisindex!$A$6,YEAR(DL$4)&gt;=YEAR($F291),AND($K291&lt;&gt;"a",$K291&lt;&gt;"b",$K291&lt;&gt;"g",$K291&lt;&gt;"k")),1,IF(AND($E291&lt;&gt;0,$F291&gt;0,YEAR($F291)&lt;Preisindex!$A$6,YEAR(DL$4)&gt;=YEAR($F291),$K291="a"),ROUND(VLOOKUP(DQ$4,Preisindex,5,FALSE)/VLOOKUP(Preisindex!$A$6,Preisindex,5,FALSE),2),IF(AND($E291&lt;&gt;0,$F291&gt;0,YEAR($F291)&lt;Preisindex!$A$6,YEAR(DL$4)&gt;=YEAR($F291),$K291="b"),ROUND(VLOOKUP(DQ$4,Preisindex,3,FALSE)/VLOOKUP(Preisindex!$A$6,Preisindex,3,FALSE),2),IF(AND($E291&lt;&gt;0,$F291&gt;0,YEAR($F291)&lt;Preisindex!$A$6,YEAR(DL$4)&gt;=YEAR($F291),$K291="g"),ROUND(VLOOKUP(DQ$4,Preisindex,4,FALSE)/VLOOKUP(Preisindex!$A$6,Preisindex,4,FALSE),2),IF(AND($E291&lt;&gt;0,$F291&gt;0,YEAR($F291)&lt;Preisindex!$A$6,YEAR(DL$4)&gt;=YEAR($F291),$K291="k"),ROUND(VLOOKUP(DQ$4,Preisindex,2,FALSE)/VLOOKUP(Preisindex!$A$6,Preisindex,2,FALSE),2),0)))))</f>
        <v>0</v>
      </c>
      <c r="DS291" s="51">
        <f>IF(AND($E291&lt;&gt;0,$F291&gt;0,YEAR($F291)&lt;=DQ$4,YEAR($F291)&gt;=Preisindex!$A$6),ROUND($E291*DQ291,2),IF(AND($E291&lt;&gt;0,$F291&gt;0,YEAR($F291)&lt;=DQ$4,YEAR($F291)&lt;Preisindex!$A$6),ROUND($E291*DR291,2),0))</f>
        <v>0</v>
      </c>
      <c r="DT291" s="53">
        <f t="shared" si="795"/>
        <v>0</v>
      </c>
      <c r="DU291" s="51">
        <f t="shared" si="840"/>
        <v>0</v>
      </c>
      <c r="DV291" s="51">
        <f t="shared" si="866"/>
        <v>0</v>
      </c>
      <c r="DW291" s="51">
        <f t="shared" si="796"/>
        <v>0</v>
      </c>
      <c r="DX291" s="51">
        <f t="shared" si="867"/>
        <v>0</v>
      </c>
      <c r="DY291" s="51">
        <f t="shared" si="797"/>
        <v>0</v>
      </c>
      <c r="DZ291" s="51">
        <f t="shared" si="868"/>
        <v>0</v>
      </c>
      <c r="EA291" s="51">
        <f t="shared" si="798"/>
        <v>0</v>
      </c>
      <c r="EB291" s="51">
        <f t="shared" si="869"/>
        <v>0</v>
      </c>
      <c r="EC291" s="51">
        <f t="shared" si="799"/>
        <v>0</v>
      </c>
      <c r="ED291" s="51">
        <f t="shared" si="870"/>
        <v>0</v>
      </c>
      <c r="EE291" s="51">
        <f t="shared" si="800"/>
        <v>0</v>
      </c>
      <c r="EF291" s="54">
        <f t="shared" si="801"/>
        <v>0</v>
      </c>
      <c r="EG291" s="55">
        <f t="shared" si="802"/>
        <v>0</v>
      </c>
      <c r="EH291" s="56">
        <f>IF(AND($E291&lt;&gt;0,$F291&gt;0,YEAR($F291)&gt;=Preisindex!$A$6,YEAR(EC$4)&gt;=YEAR($F291),AND($K291&lt;&gt;"a",$K291&lt;&gt;"b",$K291&lt;&gt;"g",$K291&lt;&gt;"k")),1,IF(AND($E291&lt;&gt;0,$F291&gt;0,YEAR($F291)&gt;=Preisindex!$A$6,YEAR(EC$4)&gt;=YEAR($F291),$K291="a"),ROUND(VLOOKUP(EH$4,Preisindex,5,FALSE)/VLOOKUP(YEAR($F291),Preisindex,5,FALSE),2),IF(AND($E291&lt;&gt;0,$F291&gt;0,YEAR($F291)&gt;=Preisindex!$A$6,YEAR(EC$4)&gt;=YEAR($F291),$K291="b"),ROUND(VLOOKUP(EH$4,Preisindex,3,FALSE)/VLOOKUP(YEAR($F291),Preisindex,3,FALSE),2),IF(AND($E291&lt;&gt;0,$F291&gt;0,YEAR($F291)&gt;=Preisindex!$A$6,YEAR(EC$4)&gt;=YEAR($F291),$K291="g"),ROUND(VLOOKUP(EH$4,Preisindex,4,FALSE)/VLOOKUP(YEAR($F291),Preisindex,4,FALSE),2),IF(AND($E291&lt;&gt;0,$F291&gt;0,YEAR($F291)&gt;=Preisindex!$A$6,YEAR(EC$4)&gt;=YEAR($F291),$K291="k"),ROUND(VLOOKUP(EH$4,Preisindex,2,FALSE)/VLOOKUP(YEAR($F291),Preisindex,2,FALSE),2),0)))))</f>
        <v>0</v>
      </c>
      <c r="EI291" s="56">
        <f>IF(AND($E291&lt;&gt;0,$F291&gt;0,YEAR($F291)&lt;Preisindex!$A$6,YEAR(EC$4)&gt;=YEAR($F291),AND($K291&lt;&gt;"a",$K291&lt;&gt;"b",$K291&lt;&gt;"g",$K291&lt;&gt;"k")),1,IF(AND($E291&lt;&gt;0,$F291&gt;0,YEAR($F291)&lt;Preisindex!$A$6,YEAR(EC$4)&gt;=YEAR($F291),$K291="a"),ROUND(VLOOKUP(EH$4,Preisindex,5,FALSE)/VLOOKUP(Preisindex!$A$6,Preisindex,5,FALSE),2),IF(AND($E291&lt;&gt;0,$F291&gt;0,YEAR($F291)&lt;Preisindex!$A$6,YEAR(EC$4)&gt;=YEAR($F291),$K291="b"),ROUND(VLOOKUP(EH$4,Preisindex,3,FALSE)/VLOOKUP(Preisindex!$A$6,Preisindex,3,FALSE),2),IF(AND($E291&lt;&gt;0,$F291&gt;0,YEAR($F291)&lt;Preisindex!$A$6,YEAR(EC$4)&gt;=YEAR($F291),$K291="g"),ROUND(VLOOKUP(EH$4,Preisindex,4,FALSE)/VLOOKUP(Preisindex!$A$6,Preisindex,4,FALSE),2),IF(AND($E291&lt;&gt;0,$F291&gt;0,YEAR($F291)&lt;Preisindex!$A$6,YEAR(EC$4)&gt;=YEAR($F291),$K291="k"),ROUND(VLOOKUP(EH$4,Preisindex,2,FALSE)/VLOOKUP(Preisindex!$A$6,Preisindex,2,FALSE),2),0)))))</f>
        <v>0</v>
      </c>
      <c r="EJ291" s="51">
        <f>IF(AND($E291&lt;&gt;0,$F291&gt;0,YEAR($F291)&lt;=EH$4,YEAR($F291)&gt;=Preisindex!$A$6),ROUND($E291*EH291,2),IF(AND($E291&lt;&gt;0,$F291&gt;0,YEAR($F291)&lt;=EH$4,YEAR($F291)&lt;Preisindex!$A$6),ROUND($E291*EI291,2),0))</f>
        <v>0</v>
      </c>
      <c r="EK291" s="53">
        <f t="shared" si="803"/>
        <v>0</v>
      </c>
      <c r="EL291" s="51">
        <f t="shared" si="840"/>
        <v>0</v>
      </c>
      <c r="EM291" s="51">
        <f t="shared" si="871"/>
        <v>0</v>
      </c>
      <c r="EN291" s="51">
        <f t="shared" si="804"/>
        <v>0</v>
      </c>
      <c r="EO291" s="51">
        <f t="shared" si="872"/>
        <v>0</v>
      </c>
      <c r="EP291" s="51">
        <f t="shared" si="805"/>
        <v>0</v>
      </c>
      <c r="EQ291" s="51">
        <f t="shared" si="873"/>
        <v>0</v>
      </c>
      <c r="ER291" s="51">
        <f t="shared" si="806"/>
        <v>0</v>
      </c>
      <c r="ES291" s="51">
        <f t="shared" si="874"/>
        <v>0</v>
      </c>
      <c r="ET291" s="51">
        <f t="shared" si="807"/>
        <v>0</v>
      </c>
      <c r="EU291" s="51">
        <f t="shared" si="875"/>
        <v>0</v>
      </c>
      <c r="EV291" s="51">
        <f t="shared" si="808"/>
        <v>0</v>
      </c>
      <c r="EW291" s="54">
        <f t="shared" si="809"/>
        <v>0</v>
      </c>
      <c r="EX291" s="55">
        <f t="shared" si="810"/>
        <v>0</v>
      </c>
      <c r="EY291" s="56">
        <f>IF(AND($E291&lt;&gt;0,$F291&gt;0,YEAR($F291)&gt;=Preisindex!$A$6,YEAR(ET$4)&gt;=YEAR($F291),AND($K291&lt;&gt;"a",$K291&lt;&gt;"b",$K291&lt;&gt;"g",$K291&lt;&gt;"k")),1,IF(AND($E291&lt;&gt;0,$F291&gt;0,YEAR($F291)&gt;=Preisindex!$A$6,YEAR(ET$4)&gt;=YEAR($F291),$K291="a"),ROUND(VLOOKUP(EY$4,Preisindex,5,FALSE)/VLOOKUP(YEAR($F291),Preisindex,5,FALSE),2),IF(AND($E291&lt;&gt;0,$F291&gt;0,YEAR($F291)&gt;=Preisindex!$A$6,YEAR(ET$4)&gt;=YEAR($F291),$K291="b"),ROUND(VLOOKUP(EY$4,Preisindex,3,FALSE)/VLOOKUP(YEAR($F291),Preisindex,3,FALSE),2),IF(AND($E291&lt;&gt;0,$F291&gt;0,YEAR($F291)&gt;=Preisindex!$A$6,YEAR(ET$4)&gt;=YEAR($F291),$K291="g"),ROUND(VLOOKUP(EY$4,Preisindex,4,FALSE)/VLOOKUP(YEAR($F291),Preisindex,4,FALSE),2),IF(AND($E291&lt;&gt;0,$F291&gt;0,YEAR($F291)&gt;=Preisindex!$A$6,YEAR(ET$4)&gt;=YEAR($F291),$K291="k"),ROUND(VLOOKUP(EY$4,Preisindex,2,FALSE)/VLOOKUP(YEAR($F291),Preisindex,2,FALSE),2),0)))))</f>
        <v>0</v>
      </c>
      <c r="EZ291" s="56">
        <f>IF(AND($E291&lt;&gt;0,$F291&gt;0,YEAR($F291)&lt;Preisindex!$A$6,YEAR(ET$4)&gt;=YEAR($F291),AND($K291&lt;&gt;"a",$K291&lt;&gt;"b",$K291&lt;&gt;"g",$K291&lt;&gt;"k")),1,IF(AND($E291&lt;&gt;0,$F291&gt;0,YEAR($F291)&lt;Preisindex!$A$6,YEAR(ET$4)&gt;=YEAR($F291),$K291="a"),ROUND(VLOOKUP(EY$4,Preisindex,5,FALSE)/VLOOKUP(Preisindex!$A$6,Preisindex,5,FALSE),2),IF(AND($E291&lt;&gt;0,$F291&gt;0,YEAR($F291)&lt;Preisindex!$A$6,YEAR(ET$4)&gt;=YEAR($F291),$K291="b"),ROUND(VLOOKUP(EY$4,Preisindex,3,FALSE)/VLOOKUP(Preisindex!$A$6,Preisindex,3,FALSE),2),IF(AND($E291&lt;&gt;0,$F291&gt;0,YEAR($F291)&lt;Preisindex!$A$6,YEAR(ET$4)&gt;=YEAR($F291),$K291="g"),ROUND(VLOOKUP(EY$4,Preisindex,4,FALSE)/VLOOKUP(Preisindex!$A$6,Preisindex,4,FALSE),2),IF(AND($E291&lt;&gt;0,$F291&gt;0,YEAR($F291)&lt;Preisindex!$A$6,YEAR(ET$4)&gt;=YEAR($F291),$K291="k"),ROUND(VLOOKUP(EY$4,Preisindex,2,FALSE)/VLOOKUP(Preisindex!$A$6,Preisindex,2,FALSE),2),0)))))</f>
        <v>0</v>
      </c>
      <c r="FA291" s="51">
        <f>IF(AND($E291&lt;&gt;0,$F291&gt;0,YEAR($F291)&lt;=EY$4,YEAR($F291)&gt;=Preisindex!$A$6),ROUND($E291*EY291,2),IF(AND($E291&lt;&gt;0,$F291&gt;0,YEAR($F291)&lt;=EY$4,YEAR($F291)&lt;Preisindex!$A$6),ROUND($E291*EZ291,2),0))</f>
        <v>0</v>
      </c>
      <c r="FB291" s="53">
        <f t="shared" si="811"/>
        <v>0</v>
      </c>
      <c r="FC291" s="51">
        <f t="shared" si="840"/>
        <v>0</v>
      </c>
      <c r="FD291" s="51">
        <f t="shared" si="876"/>
        <v>0</v>
      </c>
      <c r="FE291" s="51">
        <f t="shared" si="812"/>
        <v>0</v>
      </c>
      <c r="FF291" s="51">
        <f t="shared" si="877"/>
        <v>0</v>
      </c>
      <c r="FG291" s="51">
        <f t="shared" si="813"/>
        <v>0</v>
      </c>
      <c r="FH291" s="51">
        <f t="shared" si="878"/>
        <v>0</v>
      </c>
      <c r="FI291" s="51">
        <f t="shared" si="814"/>
        <v>0</v>
      </c>
      <c r="FJ291" s="51">
        <f t="shared" si="879"/>
        <v>0</v>
      </c>
      <c r="FK291" s="51">
        <f t="shared" si="815"/>
        <v>0</v>
      </c>
      <c r="FL291" s="51">
        <f t="shared" si="880"/>
        <v>0</v>
      </c>
      <c r="FM291" s="51">
        <f t="shared" si="816"/>
        <v>0</v>
      </c>
      <c r="FN291" s="54">
        <f t="shared" si="817"/>
        <v>0</v>
      </c>
      <c r="FO291" s="55">
        <f t="shared" si="818"/>
        <v>0</v>
      </c>
      <c r="FP291" s="56">
        <f>IF(AND($E291&lt;&gt;0,$F291&gt;0,YEAR($F291)&gt;=Preisindex!$A$6,YEAR(FK$4)&gt;=YEAR($F291),AND($K291&lt;&gt;"a",$K291&lt;&gt;"b",$K291&lt;&gt;"g",$K291&lt;&gt;"k")),1,IF(AND($E291&lt;&gt;0,$F291&gt;0,YEAR($F291)&gt;=Preisindex!$A$6,YEAR(FK$4)&gt;=YEAR($F291),$K291="a"),ROUND(VLOOKUP(FP$4,Preisindex,5,FALSE)/VLOOKUP(YEAR($F291),Preisindex,5,FALSE),2),IF(AND($E291&lt;&gt;0,$F291&gt;0,YEAR($F291)&gt;=Preisindex!$A$6,YEAR(FK$4)&gt;=YEAR($F291),$K291="b"),ROUND(VLOOKUP(FP$4,Preisindex,3,FALSE)/VLOOKUP(YEAR($F291),Preisindex,3,FALSE),2),IF(AND($E291&lt;&gt;0,$F291&gt;0,YEAR($F291)&gt;=Preisindex!$A$6,YEAR(FK$4)&gt;=YEAR($F291),$K291="g"),ROUND(VLOOKUP(FP$4,Preisindex,4,FALSE)/VLOOKUP(YEAR($F291),Preisindex,4,FALSE),2),IF(AND($E291&lt;&gt;0,$F291&gt;0,YEAR($F291)&gt;=Preisindex!$A$6,YEAR(FK$4)&gt;=YEAR($F291),$K291="k"),ROUND(VLOOKUP(FP$4,Preisindex,2,FALSE)/VLOOKUP(YEAR($F291),Preisindex,2,FALSE),2),0)))))</f>
        <v>0</v>
      </c>
      <c r="FQ291" s="56">
        <f>IF(AND($E291&lt;&gt;0,$F291&gt;0,YEAR($F291)&lt;Preisindex!$A$6,YEAR(FK$4)&gt;=YEAR($F291),AND($K291&lt;&gt;"a",$K291&lt;&gt;"b",$K291&lt;&gt;"g",$K291&lt;&gt;"k")),1,IF(AND($E291&lt;&gt;0,$F291&gt;0,YEAR($F291)&lt;Preisindex!$A$6,YEAR(FK$4)&gt;=YEAR($F291),$K291="a"),ROUND(VLOOKUP(FP$4,Preisindex,5,FALSE)/VLOOKUP(Preisindex!$A$6,Preisindex,5,FALSE),2),IF(AND($E291&lt;&gt;0,$F291&gt;0,YEAR($F291)&lt;Preisindex!$A$6,YEAR(FK$4)&gt;=YEAR($F291),$K291="b"),ROUND(VLOOKUP(FP$4,Preisindex,3,FALSE)/VLOOKUP(Preisindex!$A$6,Preisindex,3,FALSE),2),IF(AND($E291&lt;&gt;0,$F291&gt;0,YEAR($F291)&lt;Preisindex!$A$6,YEAR(FK$4)&gt;=YEAR($F291),$K291="g"),ROUND(VLOOKUP(FP$4,Preisindex,4,FALSE)/VLOOKUP(Preisindex!$A$6,Preisindex,4,FALSE),2),IF(AND($E291&lt;&gt;0,$F291&gt;0,YEAR($F291)&lt;Preisindex!$A$6,YEAR(FK$4)&gt;=YEAR($F291),$K291="k"),ROUND(VLOOKUP(FP$4,Preisindex,2,FALSE)/VLOOKUP(Preisindex!$A$6,Preisindex,2,FALSE),2),0)))))</f>
        <v>0</v>
      </c>
      <c r="FR291" s="51">
        <f>IF(AND($E291&lt;&gt;0,$F291&gt;0,YEAR($F291)&lt;=FP$4,YEAR($F291)&gt;=Preisindex!$A$6),ROUND($E291*FP291,2),IF(AND($E291&lt;&gt;0,$F291&gt;0,YEAR($F291)&lt;=FP$4,YEAR($F291)&lt;Preisindex!$A$6),ROUND($E291*FQ291,2),0))</f>
        <v>0</v>
      </c>
      <c r="FS291" s="53">
        <f t="shared" si="819"/>
        <v>0</v>
      </c>
    </row>
    <row r="292" spans="1:175" x14ac:dyDescent="0.3">
      <c r="A292" s="185"/>
      <c r="B292" s="186"/>
      <c r="C292" s="187"/>
      <c r="D292" s="188"/>
      <c r="E292" s="189"/>
      <c r="F292" s="190"/>
      <c r="G292" s="191"/>
      <c r="H292" s="192"/>
      <c r="I292" s="193"/>
      <c r="J292" s="194"/>
      <c r="K292" s="630"/>
      <c r="L292" s="49">
        <f t="shared" si="820"/>
        <v>0</v>
      </c>
      <c r="M292" s="50">
        <f t="shared" si="821"/>
        <v>0</v>
      </c>
      <c r="N292" s="51">
        <f t="shared" si="822"/>
        <v>0</v>
      </c>
      <c r="O292" s="51"/>
      <c r="P292" s="51">
        <f t="shared" si="823"/>
        <v>0</v>
      </c>
      <c r="Q292" s="52"/>
      <c r="R292" s="52"/>
      <c r="S292" s="52"/>
      <c r="T292" s="52"/>
      <c r="U292" s="52"/>
      <c r="V292" s="53">
        <f t="shared" si="824"/>
        <v>0</v>
      </c>
      <c r="W292" s="51">
        <f t="shared" si="825"/>
        <v>0</v>
      </c>
      <c r="X292" s="51">
        <f t="shared" si="826"/>
        <v>0</v>
      </c>
      <c r="Y292" s="51">
        <f t="shared" si="827"/>
        <v>0</v>
      </c>
      <c r="Z292" s="51">
        <f t="shared" si="828"/>
        <v>0</v>
      </c>
      <c r="AA292" s="51">
        <f t="shared" si="829"/>
        <v>0</v>
      </c>
      <c r="AB292" s="51">
        <f t="shared" si="830"/>
        <v>0</v>
      </c>
      <c r="AC292" s="51">
        <f t="shared" si="831"/>
        <v>0</v>
      </c>
      <c r="AD292" s="51">
        <f t="shared" si="832"/>
        <v>0</v>
      </c>
      <c r="AE292" s="51">
        <f t="shared" si="833"/>
        <v>0</v>
      </c>
      <c r="AF292" s="51">
        <f t="shared" si="834"/>
        <v>0</v>
      </c>
      <c r="AG292" s="51">
        <f t="shared" si="835"/>
        <v>0</v>
      </c>
      <c r="AH292" s="54">
        <f t="shared" si="836"/>
        <v>0</v>
      </c>
      <c r="AI292" s="55">
        <f t="shared" si="837"/>
        <v>0</v>
      </c>
      <c r="AJ292" s="56">
        <f>IF(AND($E292&lt;&gt;0,$F292&gt;0,YEAR($F292)&gt;=Preisindex!$A$6,YEAR(AE$4)&gt;=YEAR($F292),AND($K292&lt;&gt;"a",$K292&lt;&gt;"b",$K292&lt;&gt;"g",$K292&lt;&gt;"k")),1,IF(AND($E292&lt;&gt;0,$F292&gt;0,YEAR($F292)&gt;=Preisindex!$A$6,YEAR(AE$4)&gt;=YEAR($F292),$K292="a"),ROUND(VLOOKUP(AJ$4,Preisindex,5,FALSE)/VLOOKUP(YEAR($F292),Preisindex,5,FALSE),2),IF(AND($E292&lt;&gt;0,$F292&gt;0,YEAR($F292)&gt;=Preisindex!$A$6,YEAR(AE$4)&gt;=YEAR($F292),$K292="b"),ROUND(VLOOKUP(AJ$4,Preisindex,3,FALSE)/VLOOKUP(YEAR($F292),Preisindex,3,FALSE),2),IF(AND($E292&lt;&gt;0,$F292&gt;0,YEAR($F292)&gt;=Preisindex!$A$6,YEAR(AE$4)&gt;=YEAR($F292),$K292="g"),ROUND(VLOOKUP(AJ$4,Preisindex,4,FALSE)/VLOOKUP(YEAR($F292),Preisindex,4,FALSE),2),IF(AND($E292&lt;&gt;0,$F292&gt;0,YEAR($F292)&gt;=Preisindex!$A$6,YEAR(AE$4)&gt;=YEAR($F292),$K292="k"),ROUND(VLOOKUP(AJ$4,Preisindex,2,FALSE)/VLOOKUP(YEAR($F292),Preisindex,2,FALSE),2),0)))))</f>
        <v>0</v>
      </c>
      <c r="AK292" s="56">
        <f>IF(AND($E292&lt;&gt;0,$F292&gt;0,YEAR($F292)&lt;Preisindex!$A$6,YEAR(AE$4)&gt;=YEAR($F292),AND($K292&lt;&gt;"a",$K292&lt;&gt;"b",$K292&lt;&gt;"g",$K292&lt;&gt;"k")),1,IF(AND($E292&lt;&gt;0,$F292&gt;0,YEAR($F292)&lt;Preisindex!$A$6,YEAR(AE$4)&gt;=YEAR($F292),$K292="a"),ROUND(VLOOKUP(AJ$4,Preisindex,5,FALSE)/VLOOKUP(Preisindex!$A$6,Preisindex,5,FALSE),2),IF(AND($E292&lt;&gt;0,$F292&gt;0,YEAR($F292)&lt;Preisindex!$A$6,YEAR(AE$4)&gt;=YEAR($F292),$K292="b"),ROUND(VLOOKUP(AJ$4,Preisindex,3,FALSE)/VLOOKUP(Preisindex!$A$6,Preisindex,3,FALSE),2),IF(AND($E292&lt;&gt;0,$F292&gt;0,YEAR($F292)&lt;Preisindex!$A$6,YEAR(AE$4)&gt;=YEAR($F292),$K292="g"),ROUND(VLOOKUP(AJ$4,Preisindex,4,FALSE)/VLOOKUP(Preisindex!$A$6,Preisindex,4,FALSE),2),IF(AND($E292&lt;&gt;0,$F292&gt;0,YEAR($F292)&lt;Preisindex!$A$6,YEAR(AE$4)&gt;=YEAR($F292),$K292="k"),ROUND(VLOOKUP(AJ$4,Preisindex,2,FALSE)/VLOOKUP(Preisindex!$A$6,Preisindex,2,FALSE),2),0)))))</f>
        <v>0</v>
      </c>
      <c r="AL292" s="51">
        <f>IF(AND($E292&lt;&gt;0,$F292&gt;0,YEAR($F292)&lt;=AJ$4,YEAR($F292)&gt;=Preisindex!$A$6),ROUND($E292*AJ292,2),IF(AND($E292&lt;&gt;0,$F292&gt;0,YEAR($F292)&lt;=AJ$4,YEAR($F292)&lt;Preisindex!$A$6),ROUND($E292*AK292,2),0))</f>
        <v>0</v>
      </c>
      <c r="AM292" s="53">
        <f t="shared" si="838"/>
        <v>0</v>
      </c>
      <c r="AN292" s="51">
        <f t="shared" si="839"/>
        <v>0</v>
      </c>
      <c r="AO292" s="51">
        <f t="shared" si="841"/>
        <v>0</v>
      </c>
      <c r="AP292" s="51">
        <f t="shared" si="755"/>
        <v>0</v>
      </c>
      <c r="AQ292" s="51">
        <f t="shared" si="842"/>
        <v>0</v>
      </c>
      <c r="AR292" s="51">
        <f t="shared" si="756"/>
        <v>0</v>
      </c>
      <c r="AS292" s="51">
        <f t="shared" si="843"/>
        <v>0</v>
      </c>
      <c r="AT292" s="51">
        <f t="shared" si="757"/>
        <v>0</v>
      </c>
      <c r="AU292" s="51">
        <f t="shared" si="844"/>
        <v>0</v>
      </c>
      <c r="AV292" s="51">
        <f t="shared" si="758"/>
        <v>0</v>
      </c>
      <c r="AW292" s="51">
        <f t="shared" si="845"/>
        <v>0</v>
      </c>
      <c r="AX292" s="51">
        <f t="shared" si="759"/>
        <v>0</v>
      </c>
      <c r="AY292" s="54">
        <f t="shared" si="760"/>
        <v>0</v>
      </c>
      <c r="AZ292" s="55">
        <f t="shared" si="761"/>
        <v>0</v>
      </c>
      <c r="BA292" s="56">
        <f>IF(AND($E292&lt;&gt;0,$F292&gt;0,YEAR($F292)&gt;=Preisindex!$A$6,YEAR(AV$4)&gt;=YEAR($F292),AND($K292&lt;&gt;"a",$K292&lt;&gt;"b",$K292&lt;&gt;"g",$K292&lt;&gt;"k")),1,IF(AND($E292&lt;&gt;0,$F292&gt;0,YEAR($F292)&gt;=Preisindex!$A$6,YEAR(AV$4)&gt;=YEAR($F292),$K292="a"),ROUND(VLOOKUP(BA$4,Preisindex,5,FALSE)/VLOOKUP(YEAR($F292),Preisindex,5,FALSE),2),IF(AND($E292&lt;&gt;0,$F292&gt;0,YEAR($F292)&gt;=Preisindex!$A$6,YEAR(AV$4)&gt;=YEAR($F292),$K292="b"),ROUND(VLOOKUP(BA$4,Preisindex,3,FALSE)/VLOOKUP(YEAR($F292),Preisindex,3,FALSE),2),IF(AND($E292&lt;&gt;0,$F292&gt;0,YEAR($F292)&gt;=Preisindex!$A$6,YEAR(AV$4)&gt;=YEAR($F292),$K292="g"),ROUND(VLOOKUP(BA$4,Preisindex,4,FALSE)/VLOOKUP(YEAR($F292),Preisindex,4,FALSE),2),IF(AND($E292&lt;&gt;0,$F292&gt;0,YEAR($F292)&gt;=Preisindex!$A$6,YEAR(AV$4)&gt;=YEAR($F292),$K292="k"),ROUND(VLOOKUP(BA$4,Preisindex,2,FALSE)/VLOOKUP(YEAR($F292),Preisindex,2,FALSE),2),0)))))</f>
        <v>0</v>
      </c>
      <c r="BB292" s="56">
        <f>IF(AND($E292&lt;&gt;0,$F292&gt;0,YEAR($F292)&lt;Preisindex!$A$6,YEAR(AV$4)&gt;=YEAR($F292),AND($K292&lt;&gt;"a",$K292&lt;&gt;"b",$K292&lt;&gt;"g",$K292&lt;&gt;"k")),1,IF(AND($E292&lt;&gt;0,$F292&gt;0,YEAR($F292)&lt;Preisindex!$A$6,YEAR(AV$4)&gt;=YEAR($F292),$K292="a"),ROUND(VLOOKUP(BA$4,Preisindex,5,FALSE)/VLOOKUP(Preisindex!$A$6,Preisindex,5,FALSE),2),IF(AND($E292&lt;&gt;0,$F292&gt;0,YEAR($F292)&lt;Preisindex!$A$6,YEAR(AV$4)&gt;=YEAR($F292),$K292="b"),ROUND(VLOOKUP(BA$4,Preisindex,3,FALSE)/VLOOKUP(Preisindex!$A$6,Preisindex,3,FALSE),2),IF(AND($E292&lt;&gt;0,$F292&gt;0,YEAR($F292)&lt;Preisindex!$A$6,YEAR(AV$4)&gt;=YEAR($F292),$K292="g"),ROUND(VLOOKUP(BA$4,Preisindex,4,FALSE)/VLOOKUP(Preisindex!$A$6,Preisindex,4,FALSE),2),IF(AND($E292&lt;&gt;0,$F292&gt;0,YEAR($F292)&lt;Preisindex!$A$6,YEAR(AV$4)&gt;=YEAR($F292),$K292="k"),ROUND(VLOOKUP(BA$4,Preisindex,2,FALSE)/VLOOKUP(Preisindex!$A$6,Preisindex,2,FALSE),2),0)))))</f>
        <v>0</v>
      </c>
      <c r="BC292" s="51">
        <f>IF(AND($E292&lt;&gt;0,$F292&gt;0,YEAR($F292)&lt;=BA$4,YEAR($F292)&gt;=Preisindex!$A$6),ROUND($E292*BA292,2),IF(AND($E292&lt;&gt;0,$F292&gt;0,YEAR($F292)&lt;=BA$4,YEAR($F292)&lt;Preisindex!$A$6),ROUND($E292*BB292,2),0))</f>
        <v>0</v>
      </c>
      <c r="BD292" s="53">
        <f t="shared" si="762"/>
        <v>0</v>
      </c>
      <c r="BE292" s="51">
        <f t="shared" si="839"/>
        <v>0</v>
      </c>
      <c r="BF292" s="51">
        <f t="shared" si="846"/>
        <v>0</v>
      </c>
      <c r="BG292" s="51">
        <f t="shared" si="763"/>
        <v>0</v>
      </c>
      <c r="BH292" s="51">
        <f t="shared" si="847"/>
        <v>0</v>
      </c>
      <c r="BI292" s="51">
        <f t="shared" si="764"/>
        <v>0</v>
      </c>
      <c r="BJ292" s="51">
        <f t="shared" si="848"/>
        <v>0</v>
      </c>
      <c r="BK292" s="51">
        <f t="shared" si="765"/>
        <v>0</v>
      </c>
      <c r="BL292" s="51">
        <f t="shared" si="849"/>
        <v>0</v>
      </c>
      <c r="BM292" s="51">
        <f t="shared" si="766"/>
        <v>0</v>
      </c>
      <c r="BN292" s="51">
        <f t="shared" si="850"/>
        <v>0</v>
      </c>
      <c r="BO292" s="51">
        <f t="shared" si="767"/>
        <v>0</v>
      </c>
      <c r="BP292" s="54">
        <f t="shared" si="768"/>
        <v>0</v>
      </c>
      <c r="BQ292" s="55">
        <f t="shared" si="769"/>
        <v>0</v>
      </c>
      <c r="BR292" s="56">
        <f>IF(AND($E292&lt;&gt;0,$F292&gt;0,YEAR($F292)&gt;=Preisindex!$A$6,YEAR(BM$4)&gt;=YEAR($F292),AND($K292&lt;&gt;"a",$K292&lt;&gt;"b",$K292&lt;&gt;"g",$K292&lt;&gt;"k")),1,IF(AND($E292&lt;&gt;0,$F292&gt;0,YEAR($F292)&gt;=Preisindex!$A$6,YEAR(BM$4)&gt;=YEAR($F292),$K292="a"),ROUND(VLOOKUP(BR$4,Preisindex,5,FALSE)/VLOOKUP(YEAR($F292),Preisindex,5,FALSE),2),IF(AND($E292&lt;&gt;0,$F292&gt;0,YEAR($F292)&gt;=Preisindex!$A$6,YEAR(BM$4)&gt;=YEAR($F292),$K292="b"),ROUND(VLOOKUP(BR$4,Preisindex,3,FALSE)/VLOOKUP(YEAR($F292),Preisindex,3,FALSE),2),IF(AND($E292&lt;&gt;0,$F292&gt;0,YEAR($F292)&gt;=Preisindex!$A$6,YEAR(BM$4)&gt;=YEAR($F292),$K292="g"),ROUND(VLOOKUP(BR$4,Preisindex,4,FALSE)/VLOOKUP(YEAR($F292),Preisindex,4,FALSE),2),IF(AND($E292&lt;&gt;0,$F292&gt;0,YEAR($F292)&gt;=Preisindex!$A$6,YEAR(BM$4)&gt;=YEAR($F292),$K292="k"),ROUND(VLOOKUP(BR$4,Preisindex,2,FALSE)/VLOOKUP(YEAR($F292),Preisindex,2,FALSE),2),0)))))</f>
        <v>0</v>
      </c>
      <c r="BS292" s="56">
        <f>IF(AND($E292&lt;&gt;0,$F292&gt;0,YEAR($F292)&lt;Preisindex!$A$6,YEAR(BM$4)&gt;=YEAR($F292),AND($K292&lt;&gt;"a",$K292&lt;&gt;"b",$K292&lt;&gt;"g",$K292&lt;&gt;"k")),1,IF(AND($E292&lt;&gt;0,$F292&gt;0,YEAR($F292)&lt;Preisindex!$A$6,YEAR(BM$4)&gt;=YEAR($F292),$K292="a"),ROUND(VLOOKUP(BR$4,Preisindex,5,FALSE)/VLOOKUP(Preisindex!$A$6,Preisindex,5,FALSE),2),IF(AND($E292&lt;&gt;0,$F292&gt;0,YEAR($F292)&lt;Preisindex!$A$6,YEAR(BM$4)&gt;=YEAR($F292),$K292="b"),ROUND(VLOOKUP(BR$4,Preisindex,3,FALSE)/VLOOKUP(Preisindex!$A$6,Preisindex,3,FALSE),2),IF(AND($E292&lt;&gt;0,$F292&gt;0,YEAR($F292)&lt;Preisindex!$A$6,YEAR(BM$4)&gt;=YEAR($F292),$K292="g"),ROUND(VLOOKUP(BR$4,Preisindex,4,FALSE)/VLOOKUP(Preisindex!$A$6,Preisindex,4,FALSE),2),IF(AND($E292&lt;&gt;0,$F292&gt;0,YEAR($F292)&lt;Preisindex!$A$6,YEAR(BM$4)&gt;=YEAR($F292),$K292="k"),ROUND(VLOOKUP(BR$4,Preisindex,2,FALSE)/VLOOKUP(Preisindex!$A$6,Preisindex,2,FALSE),2),0)))))</f>
        <v>0</v>
      </c>
      <c r="BT292" s="51">
        <f>IF(AND($E292&lt;&gt;0,$F292&gt;0,YEAR($F292)&lt;=BR$4,YEAR($F292)&gt;=Preisindex!$A$6),ROUND($E292*BR292,2),IF(AND($E292&lt;&gt;0,$F292&gt;0,YEAR($F292)&lt;=BR$4,YEAR($F292)&lt;Preisindex!$A$6),ROUND($E292*BS292,2),0))</f>
        <v>0</v>
      </c>
      <c r="BU292" s="53">
        <f t="shared" si="770"/>
        <v>0</v>
      </c>
      <c r="BV292" s="51">
        <f t="shared" si="839"/>
        <v>0</v>
      </c>
      <c r="BW292" s="51">
        <f t="shared" si="851"/>
        <v>0</v>
      </c>
      <c r="BX292" s="51">
        <f t="shared" si="771"/>
        <v>0</v>
      </c>
      <c r="BY292" s="51">
        <f t="shared" si="852"/>
        <v>0</v>
      </c>
      <c r="BZ292" s="51">
        <f t="shared" si="772"/>
        <v>0</v>
      </c>
      <c r="CA292" s="51">
        <f t="shared" si="853"/>
        <v>0</v>
      </c>
      <c r="CB292" s="51">
        <f t="shared" si="773"/>
        <v>0</v>
      </c>
      <c r="CC292" s="51">
        <f t="shared" si="854"/>
        <v>0</v>
      </c>
      <c r="CD292" s="51">
        <f t="shared" si="774"/>
        <v>0</v>
      </c>
      <c r="CE292" s="51">
        <f t="shared" si="855"/>
        <v>0</v>
      </c>
      <c r="CF292" s="51">
        <f t="shared" si="775"/>
        <v>0</v>
      </c>
      <c r="CG292" s="54">
        <f t="shared" si="776"/>
        <v>0</v>
      </c>
      <c r="CH292" s="55">
        <f t="shared" si="777"/>
        <v>0</v>
      </c>
      <c r="CI292" s="56">
        <f>IF(AND($E292&lt;&gt;0,$F292&gt;0,YEAR($F292)&gt;=Preisindex!$A$6,YEAR(CD$4)&gt;=YEAR($F292),AND($K292&lt;&gt;"a",$K292&lt;&gt;"b",$K292&lt;&gt;"g",$K292&lt;&gt;"k")),1,IF(AND($E292&lt;&gt;0,$F292&gt;0,YEAR($F292)&gt;=Preisindex!$A$6,YEAR(CD$4)&gt;=YEAR($F292),$K292="a"),ROUND(VLOOKUP(CI$4,Preisindex,5,FALSE)/VLOOKUP(YEAR($F292),Preisindex,5,FALSE),2),IF(AND($E292&lt;&gt;0,$F292&gt;0,YEAR($F292)&gt;=Preisindex!$A$6,YEAR(CD$4)&gt;=YEAR($F292),$K292="b"),ROUND(VLOOKUP(CI$4,Preisindex,3,FALSE)/VLOOKUP(YEAR($F292),Preisindex,3,FALSE),2),IF(AND($E292&lt;&gt;0,$F292&gt;0,YEAR($F292)&gt;=Preisindex!$A$6,YEAR(CD$4)&gt;=YEAR($F292),$K292="g"),ROUND(VLOOKUP(CI$4,Preisindex,4,FALSE)/VLOOKUP(YEAR($F292),Preisindex,4,FALSE),2),IF(AND($E292&lt;&gt;0,$F292&gt;0,YEAR($F292)&gt;=Preisindex!$A$6,YEAR(CD$4)&gt;=YEAR($F292),$K292="k"),ROUND(VLOOKUP(CI$4,Preisindex,2,FALSE)/VLOOKUP(YEAR($F292),Preisindex,2,FALSE),2),0)))))</f>
        <v>0</v>
      </c>
      <c r="CJ292" s="56">
        <f>IF(AND($E292&lt;&gt;0,$F292&gt;0,YEAR($F292)&lt;Preisindex!$A$6,YEAR(CD$4)&gt;=YEAR($F292),AND($K292&lt;&gt;"a",$K292&lt;&gt;"b",$K292&lt;&gt;"g",$K292&lt;&gt;"k")),1,IF(AND($E292&lt;&gt;0,$F292&gt;0,YEAR($F292)&lt;Preisindex!$A$6,YEAR(CD$4)&gt;=YEAR($F292),$K292="a"),ROUND(VLOOKUP(CI$4,Preisindex,5,FALSE)/VLOOKUP(Preisindex!$A$6,Preisindex,5,FALSE),2),IF(AND($E292&lt;&gt;0,$F292&gt;0,YEAR($F292)&lt;Preisindex!$A$6,YEAR(CD$4)&gt;=YEAR($F292),$K292="b"),ROUND(VLOOKUP(CI$4,Preisindex,3,FALSE)/VLOOKUP(Preisindex!$A$6,Preisindex,3,FALSE),2),IF(AND($E292&lt;&gt;0,$F292&gt;0,YEAR($F292)&lt;Preisindex!$A$6,YEAR(CD$4)&gt;=YEAR($F292),$K292="g"),ROUND(VLOOKUP(CI$4,Preisindex,4,FALSE)/VLOOKUP(Preisindex!$A$6,Preisindex,4,FALSE),2),IF(AND($E292&lt;&gt;0,$F292&gt;0,YEAR($F292)&lt;Preisindex!$A$6,YEAR(CD$4)&gt;=YEAR($F292),$K292="k"),ROUND(VLOOKUP(CI$4,Preisindex,2,FALSE)/VLOOKUP(Preisindex!$A$6,Preisindex,2,FALSE),2),0)))))</f>
        <v>0</v>
      </c>
      <c r="CK292" s="51">
        <f>IF(AND($E292&lt;&gt;0,$F292&gt;0,YEAR($F292)&lt;=CI$4,YEAR($F292)&gt;=Preisindex!$A$6),ROUND($E292*CI292,2),IF(AND($E292&lt;&gt;0,$F292&gt;0,YEAR($F292)&lt;=CI$4,YEAR($F292)&lt;Preisindex!$A$6),ROUND($E292*CJ292,2),0))</f>
        <v>0</v>
      </c>
      <c r="CL292" s="53">
        <f t="shared" si="778"/>
        <v>0</v>
      </c>
      <c r="CM292" s="51">
        <f t="shared" si="839"/>
        <v>0</v>
      </c>
      <c r="CN292" s="51">
        <f t="shared" si="856"/>
        <v>0</v>
      </c>
      <c r="CO292" s="51">
        <f t="shared" si="779"/>
        <v>0</v>
      </c>
      <c r="CP292" s="51">
        <f t="shared" si="857"/>
        <v>0</v>
      </c>
      <c r="CQ292" s="51">
        <f t="shared" si="780"/>
        <v>0</v>
      </c>
      <c r="CR292" s="51">
        <f t="shared" si="858"/>
        <v>0</v>
      </c>
      <c r="CS292" s="51">
        <f t="shared" si="781"/>
        <v>0</v>
      </c>
      <c r="CT292" s="51">
        <f t="shared" si="859"/>
        <v>0</v>
      </c>
      <c r="CU292" s="51">
        <f t="shared" si="782"/>
        <v>0</v>
      </c>
      <c r="CV292" s="51">
        <f t="shared" si="860"/>
        <v>0</v>
      </c>
      <c r="CW292" s="51">
        <f t="shared" si="783"/>
        <v>0</v>
      </c>
      <c r="CX292" s="54">
        <f t="shared" si="784"/>
        <v>0</v>
      </c>
      <c r="CY292" s="55">
        <f t="shared" si="785"/>
        <v>0</v>
      </c>
      <c r="CZ292" s="56">
        <f>IF(AND($E292&lt;&gt;0,$F292&gt;0,YEAR($F292)&gt;=Preisindex!$A$6,YEAR(CU$4)&gt;=YEAR($F292),AND($K292&lt;&gt;"a",$K292&lt;&gt;"b",$K292&lt;&gt;"g",$K292&lt;&gt;"k")),1,IF(AND($E292&lt;&gt;0,$F292&gt;0,YEAR($F292)&gt;=Preisindex!$A$6,YEAR(CU$4)&gt;=YEAR($F292),$K292="a"),ROUND(VLOOKUP(CZ$4,Preisindex,5,FALSE)/VLOOKUP(YEAR($F292),Preisindex,5,FALSE),2),IF(AND($E292&lt;&gt;0,$F292&gt;0,YEAR($F292)&gt;=Preisindex!$A$6,YEAR(CU$4)&gt;=YEAR($F292),$K292="b"),ROUND(VLOOKUP(CZ$4,Preisindex,3,FALSE)/VLOOKUP(YEAR($F292),Preisindex,3,FALSE),2),IF(AND($E292&lt;&gt;0,$F292&gt;0,YEAR($F292)&gt;=Preisindex!$A$6,YEAR(CU$4)&gt;=YEAR($F292),$K292="g"),ROUND(VLOOKUP(CZ$4,Preisindex,4,FALSE)/VLOOKUP(YEAR($F292),Preisindex,4,FALSE),2),IF(AND($E292&lt;&gt;0,$F292&gt;0,YEAR($F292)&gt;=Preisindex!$A$6,YEAR(CU$4)&gt;=YEAR($F292),$K292="k"),ROUND(VLOOKUP(CZ$4,Preisindex,2,FALSE)/VLOOKUP(YEAR($F292),Preisindex,2,FALSE),2),0)))))</f>
        <v>0</v>
      </c>
      <c r="DA292" s="56">
        <f>IF(AND($E292&lt;&gt;0,$F292&gt;0,YEAR($F292)&lt;Preisindex!$A$6,YEAR(CU$4)&gt;=YEAR($F292),AND($K292&lt;&gt;"a",$K292&lt;&gt;"b",$K292&lt;&gt;"g",$K292&lt;&gt;"k")),1,IF(AND($E292&lt;&gt;0,$F292&gt;0,YEAR($F292)&lt;Preisindex!$A$6,YEAR(CU$4)&gt;=YEAR($F292),$K292="a"),ROUND(VLOOKUP(CZ$4,Preisindex,5,FALSE)/VLOOKUP(Preisindex!$A$6,Preisindex,5,FALSE),2),IF(AND($E292&lt;&gt;0,$F292&gt;0,YEAR($F292)&lt;Preisindex!$A$6,YEAR(CU$4)&gt;=YEAR($F292),$K292="b"),ROUND(VLOOKUP(CZ$4,Preisindex,3,FALSE)/VLOOKUP(Preisindex!$A$6,Preisindex,3,FALSE),2),IF(AND($E292&lt;&gt;0,$F292&gt;0,YEAR($F292)&lt;Preisindex!$A$6,YEAR(CU$4)&gt;=YEAR($F292),$K292="g"),ROUND(VLOOKUP(CZ$4,Preisindex,4,FALSE)/VLOOKUP(Preisindex!$A$6,Preisindex,4,FALSE),2),IF(AND($E292&lt;&gt;0,$F292&gt;0,YEAR($F292)&lt;Preisindex!$A$6,YEAR(CU$4)&gt;=YEAR($F292),$K292="k"),ROUND(VLOOKUP(CZ$4,Preisindex,2,FALSE)/VLOOKUP(Preisindex!$A$6,Preisindex,2,FALSE),2),0)))))</f>
        <v>0</v>
      </c>
      <c r="DB292" s="51">
        <f>IF(AND($E292&lt;&gt;0,$F292&gt;0,YEAR($F292)&lt;=CZ$4,YEAR($F292)&gt;=Preisindex!$A$6),ROUND($E292*CZ292,2),IF(AND($E292&lt;&gt;0,$F292&gt;0,YEAR($F292)&lt;=CZ$4,YEAR($F292)&lt;Preisindex!$A$6),ROUND($E292*DA292,2),0))</f>
        <v>0</v>
      </c>
      <c r="DC292" s="53">
        <f t="shared" si="786"/>
        <v>0</v>
      </c>
      <c r="DD292" s="51">
        <f t="shared" si="840"/>
        <v>0</v>
      </c>
      <c r="DE292" s="51">
        <f t="shared" si="861"/>
        <v>0</v>
      </c>
      <c r="DF292" s="51">
        <f t="shared" si="788"/>
        <v>0</v>
      </c>
      <c r="DG292" s="51">
        <f t="shared" si="862"/>
        <v>0</v>
      </c>
      <c r="DH292" s="51">
        <f t="shared" si="789"/>
        <v>0</v>
      </c>
      <c r="DI292" s="51">
        <f t="shared" si="863"/>
        <v>0</v>
      </c>
      <c r="DJ292" s="51">
        <f t="shared" si="790"/>
        <v>0</v>
      </c>
      <c r="DK292" s="51">
        <f t="shared" si="864"/>
        <v>0</v>
      </c>
      <c r="DL292" s="51">
        <f t="shared" si="791"/>
        <v>0</v>
      </c>
      <c r="DM292" s="51">
        <f t="shared" si="865"/>
        <v>0</v>
      </c>
      <c r="DN292" s="51">
        <f t="shared" si="792"/>
        <v>0</v>
      </c>
      <c r="DO292" s="54">
        <f t="shared" si="793"/>
        <v>0</v>
      </c>
      <c r="DP292" s="55">
        <f t="shared" si="794"/>
        <v>0</v>
      </c>
      <c r="DQ292" s="56">
        <f>IF(AND($E292&lt;&gt;0,$F292&gt;0,YEAR($F292)&gt;=Preisindex!$A$6,YEAR(DL$4)&gt;=YEAR($F292),AND($K292&lt;&gt;"a",$K292&lt;&gt;"b",$K292&lt;&gt;"g",$K292&lt;&gt;"k")),1,IF(AND($E292&lt;&gt;0,$F292&gt;0,YEAR($F292)&gt;=Preisindex!$A$6,YEAR(DL$4)&gt;=YEAR($F292),$K292="a"),ROUND(VLOOKUP(DQ$4,Preisindex,5,FALSE)/VLOOKUP(YEAR($F292),Preisindex,5,FALSE),2),IF(AND($E292&lt;&gt;0,$F292&gt;0,YEAR($F292)&gt;=Preisindex!$A$6,YEAR(DL$4)&gt;=YEAR($F292),$K292="b"),ROUND(VLOOKUP(DQ$4,Preisindex,3,FALSE)/VLOOKUP(YEAR($F292),Preisindex,3,FALSE),2),IF(AND($E292&lt;&gt;0,$F292&gt;0,YEAR($F292)&gt;=Preisindex!$A$6,YEAR(DL$4)&gt;=YEAR($F292),$K292="g"),ROUND(VLOOKUP(DQ$4,Preisindex,4,FALSE)/VLOOKUP(YEAR($F292),Preisindex,4,FALSE),2),IF(AND($E292&lt;&gt;0,$F292&gt;0,YEAR($F292)&gt;=Preisindex!$A$6,YEAR(DL$4)&gt;=YEAR($F292),$K292="k"),ROUND(VLOOKUP(DQ$4,Preisindex,2,FALSE)/VLOOKUP(YEAR($F292),Preisindex,2,FALSE),2),0)))))</f>
        <v>0</v>
      </c>
      <c r="DR292" s="56">
        <f>IF(AND($E292&lt;&gt;0,$F292&gt;0,YEAR($F292)&lt;Preisindex!$A$6,YEAR(DL$4)&gt;=YEAR($F292),AND($K292&lt;&gt;"a",$K292&lt;&gt;"b",$K292&lt;&gt;"g",$K292&lt;&gt;"k")),1,IF(AND($E292&lt;&gt;0,$F292&gt;0,YEAR($F292)&lt;Preisindex!$A$6,YEAR(DL$4)&gt;=YEAR($F292),$K292="a"),ROUND(VLOOKUP(DQ$4,Preisindex,5,FALSE)/VLOOKUP(Preisindex!$A$6,Preisindex,5,FALSE),2),IF(AND($E292&lt;&gt;0,$F292&gt;0,YEAR($F292)&lt;Preisindex!$A$6,YEAR(DL$4)&gt;=YEAR($F292),$K292="b"),ROUND(VLOOKUP(DQ$4,Preisindex,3,FALSE)/VLOOKUP(Preisindex!$A$6,Preisindex,3,FALSE),2),IF(AND($E292&lt;&gt;0,$F292&gt;0,YEAR($F292)&lt;Preisindex!$A$6,YEAR(DL$4)&gt;=YEAR($F292),$K292="g"),ROUND(VLOOKUP(DQ$4,Preisindex,4,FALSE)/VLOOKUP(Preisindex!$A$6,Preisindex,4,FALSE),2),IF(AND($E292&lt;&gt;0,$F292&gt;0,YEAR($F292)&lt;Preisindex!$A$6,YEAR(DL$4)&gt;=YEAR($F292),$K292="k"),ROUND(VLOOKUP(DQ$4,Preisindex,2,FALSE)/VLOOKUP(Preisindex!$A$6,Preisindex,2,FALSE),2),0)))))</f>
        <v>0</v>
      </c>
      <c r="DS292" s="51">
        <f>IF(AND($E292&lt;&gt;0,$F292&gt;0,YEAR($F292)&lt;=DQ$4,YEAR($F292)&gt;=Preisindex!$A$6),ROUND($E292*DQ292,2),IF(AND($E292&lt;&gt;0,$F292&gt;0,YEAR($F292)&lt;=DQ$4,YEAR($F292)&lt;Preisindex!$A$6),ROUND($E292*DR292,2),0))</f>
        <v>0</v>
      </c>
      <c r="DT292" s="53">
        <f t="shared" si="795"/>
        <v>0</v>
      </c>
      <c r="DU292" s="51">
        <f t="shared" si="840"/>
        <v>0</v>
      </c>
      <c r="DV292" s="51">
        <f t="shared" si="866"/>
        <v>0</v>
      </c>
      <c r="DW292" s="51">
        <f t="shared" si="796"/>
        <v>0</v>
      </c>
      <c r="DX292" s="51">
        <f t="shared" si="867"/>
        <v>0</v>
      </c>
      <c r="DY292" s="51">
        <f t="shared" si="797"/>
        <v>0</v>
      </c>
      <c r="DZ292" s="51">
        <f t="shared" si="868"/>
        <v>0</v>
      </c>
      <c r="EA292" s="51">
        <f t="shared" si="798"/>
        <v>0</v>
      </c>
      <c r="EB292" s="51">
        <f t="shared" si="869"/>
        <v>0</v>
      </c>
      <c r="EC292" s="51">
        <f t="shared" si="799"/>
        <v>0</v>
      </c>
      <c r="ED292" s="51">
        <f t="shared" si="870"/>
        <v>0</v>
      </c>
      <c r="EE292" s="51">
        <f t="shared" si="800"/>
        <v>0</v>
      </c>
      <c r="EF292" s="54">
        <f t="shared" si="801"/>
        <v>0</v>
      </c>
      <c r="EG292" s="55">
        <f t="shared" si="802"/>
        <v>0</v>
      </c>
      <c r="EH292" s="56">
        <f>IF(AND($E292&lt;&gt;0,$F292&gt;0,YEAR($F292)&gt;=Preisindex!$A$6,YEAR(EC$4)&gt;=YEAR($F292),AND($K292&lt;&gt;"a",$K292&lt;&gt;"b",$K292&lt;&gt;"g",$K292&lt;&gt;"k")),1,IF(AND($E292&lt;&gt;0,$F292&gt;0,YEAR($F292)&gt;=Preisindex!$A$6,YEAR(EC$4)&gt;=YEAR($F292),$K292="a"),ROUND(VLOOKUP(EH$4,Preisindex,5,FALSE)/VLOOKUP(YEAR($F292),Preisindex,5,FALSE),2),IF(AND($E292&lt;&gt;0,$F292&gt;0,YEAR($F292)&gt;=Preisindex!$A$6,YEAR(EC$4)&gt;=YEAR($F292),$K292="b"),ROUND(VLOOKUP(EH$4,Preisindex,3,FALSE)/VLOOKUP(YEAR($F292),Preisindex,3,FALSE),2),IF(AND($E292&lt;&gt;0,$F292&gt;0,YEAR($F292)&gt;=Preisindex!$A$6,YEAR(EC$4)&gt;=YEAR($F292),$K292="g"),ROUND(VLOOKUP(EH$4,Preisindex,4,FALSE)/VLOOKUP(YEAR($F292),Preisindex,4,FALSE),2),IF(AND($E292&lt;&gt;0,$F292&gt;0,YEAR($F292)&gt;=Preisindex!$A$6,YEAR(EC$4)&gt;=YEAR($F292),$K292="k"),ROUND(VLOOKUP(EH$4,Preisindex,2,FALSE)/VLOOKUP(YEAR($F292),Preisindex,2,FALSE),2),0)))))</f>
        <v>0</v>
      </c>
      <c r="EI292" s="56">
        <f>IF(AND($E292&lt;&gt;0,$F292&gt;0,YEAR($F292)&lt;Preisindex!$A$6,YEAR(EC$4)&gt;=YEAR($F292),AND($K292&lt;&gt;"a",$K292&lt;&gt;"b",$K292&lt;&gt;"g",$K292&lt;&gt;"k")),1,IF(AND($E292&lt;&gt;0,$F292&gt;0,YEAR($F292)&lt;Preisindex!$A$6,YEAR(EC$4)&gt;=YEAR($F292),$K292="a"),ROUND(VLOOKUP(EH$4,Preisindex,5,FALSE)/VLOOKUP(Preisindex!$A$6,Preisindex,5,FALSE),2),IF(AND($E292&lt;&gt;0,$F292&gt;0,YEAR($F292)&lt;Preisindex!$A$6,YEAR(EC$4)&gt;=YEAR($F292),$K292="b"),ROUND(VLOOKUP(EH$4,Preisindex,3,FALSE)/VLOOKUP(Preisindex!$A$6,Preisindex,3,FALSE),2),IF(AND($E292&lt;&gt;0,$F292&gt;0,YEAR($F292)&lt;Preisindex!$A$6,YEAR(EC$4)&gt;=YEAR($F292),$K292="g"),ROUND(VLOOKUP(EH$4,Preisindex,4,FALSE)/VLOOKUP(Preisindex!$A$6,Preisindex,4,FALSE),2),IF(AND($E292&lt;&gt;0,$F292&gt;0,YEAR($F292)&lt;Preisindex!$A$6,YEAR(EC$4)&gt;=YEAR($F292),$K292="k"),ROUND(VLOOKUP(EH$4,Preisindex,2,FALSE)/VLOOKUP(Preisindex!$A$6,Preisindex,2,FALSE),2),0)))))</f>
        <v>0</v>
      </c>
      <c r="EJ292" s="51">
        <f>IF(AND($E292&lt;&gt;0,$F292&gt;0,YEAR($F292)&lt;=EH$4,YEAR($F292)&gt;=Preisindex!$A$6),ROUND($E292*EH292,2),IF(AND($E292&lt;&gt;0,$F292&gt;0,YEAR($F292)&lt;=EH$4,YEAR($F292)&lt;Preisindex!$A$6),ROUND($E292*EI292,2),0))</f>
        <v>0</v>
      </c>
      <c r="EK292" s="53">
        <f t="shared" si="803"/>
        <v>0</v>
      </c>
      <c r="EL292" s="51">
        <f t="shared" si="840"/>
        <v>0</v>
      </c>
      <c r="EM292" s="51">
        <f t="shared" si="871"/>
        <v>0</v>
      </c>
      <c r="EN292" s="51">
        <f t="shared" si="804"/>
        <v>0</v>
      </c>
      <c r="EO292" s="51">
        <f t="shared" si="872"/>
        <v>0</v>
      </c>
      <c r="EP292" s="51">
        <f t="shared" si="805"/>
        <v>0</v>
      </c>
      <c r="EQ292" s="51">
        <f t="shared" si="873"/>
        <v>0</v>
      </c>
      <c r="ER292" s="51">
        <f t="shared" si="806"/>
        <v>0</v>
      </c>
      <c r="ES292" s="51">
        <f t="shared" si="874"/>
        <v>0</v>
      </c>
      <c r="ET292" s="51">
        <f t="shared" si="807"/>
        <v>0</v>
      </c>
      <c r="EU292" s="51">
        <f t="shared" si="875"/>
        <v>0</v>
      </c>
      <c r="EV292" s="51">
        <f t="shared" si="808"/>
        <v>0</v>
      </c>
      <c r="EW292" s="54">
        <f t="shared" si="809"/>
        <v>0</v>
      </c>
      <c r="EX292" s="55">
        <f t="shared" si="810"/>
        <v>0</v>
      </c>
      <c r="EY292" s="56">
        <f>IF(AND($E292&lt;&gt;0,$F292&gt;0,YEAR($F292)&gt;=Preisindex!$A$6,YEAR(ET$4)&gt;=YEAR($F292),AND($K292&lt;&gt;"a",$K292&lt;&gt;"b",$K292&lt;&gt;"g",$K292&lt;&gt;"k")),1,IF(AND($E292&lt;&gt;0,$F292&gt;0,YEAR($F292)&gt;=Preisindex!$A$6,YEAR(ET$4)&gt;=YEAR($F292),$K292="a"),ROUND(VLOOKUP(EY$4,Preisindex,5,FALSE)/VLOOKUP(YEAR($F292),Preisindex,5,FALSE),2),IF(AND($E292&lt;&gt;0,$F292&gt;0,YEAR($F292)&gt;=Preisindex!$A$6,YEAR(ET$4)&gt;=YEAR($F292),$K292="b"),ROUND(VLOOKUP(EY$4,Preisindex,3,FALSE)/VLOOKUP(YEAR($F292),Preisindex,3,FALSE),2),IF(AND($E292&lt;&gt;0,$F292&gt;0,YEAR($F292)&gt;=Preisindex!$A$6,YEAR(ET$4)&gt;=YEAR($F292),$K292="g"),ROUND(VLOOKUP(EY$4,Preisindex,4,FALSE)/VLOOKUP(YEAR($F292),Preisindex,4,FALSE),2),IF(AND($E292&lt;&gt;0,$F292&gt;0,YEAR($F292)&gt;=Preisindex!$A$6,YEAR(ET$4)&gt;=YEAR($F292),$K292="k"),ROUND(VLOOKUP(EY$4,Preisindex,2,FALSE)/VLOOKUP(YEAR($F292),Preisindex,2,FALSE),2),0)))))</f>
        <v>0</v>
      </c>
      <c r="EZ292" s="56">
        <f>IF(AND($E292&lt;&gt;0,$F292&gt;0,YEAR($F292)&lt;Preisindex!$A$6,YEAR(ET$4)&gt;=YEAR($F292),AND($K292&lt;&gt;"a",$K292&lt;&gt;"b",$K292&lt;&gt;"g",$K292&lt;&gt;"k")),1,IF(AND($E292&lt;&gt;0,$F292&gt;0,YEAR($F292)&lt;Preisindex!$A$6,YEAR(ET$4)&gt;=YEAR($F292),$K292="a"),ROUND(VLOOKUP(EY$4,Preisindex,5,FALSE)/VLOOKUP(Preisindex!$A$6,Preisindex,5,FALSE),2),IF(AND($E292&lt;&gt;0,$F292&gt;0,YEAR($F292)&lt;Preisindex!$A$6,YEAR(ET$4)&gt;=YEAR($F292),$K292="b"),ROUND(VLOOKUP(EY$4,Preisindex,3,FALSE)/VLOOKUP(Preisindex!$A$6,Preisindex,3,FALSE),2),IF(AND($E292&lt;&gt;0,$F292&gt;0,YEAR($F292)&lt;Preisindex!$A$6,YEAR(ET$4)&gt;=YEAR($F292),$K292="g"),ROUND(VLOOKUP(EY$4,Preisindex,4,FALSE)/VLOOKUP(Preisindex!$A$6,Preisindex,4,FALSE),2),IF(AND($E292&lt;&gt;0,$F292&gt;0,YEAR($F292)&lt;Preisindex!$A$6,YEAR(ET$4)&gt;=YEAR($F292),$K292="k"),ROUND(VLOOKUP(EY$4,Preisindex,2,FALSE)/VLOOKUP(Preisindex!$A$6,Preisindex,2,FALSE),2),0)))))</f>
        <v>0</v>
      </c>
      <c r="FA292" s="51">
        <f>IF(AND($E292&lt;&gt;0,$F292&gt;0,YEAR($F292)&lt;=EY$4,YEAR($F292)&gt;=Preisindex!$A$6),ROUND($E292*EY292,2),IF(AND($E292&lt;&gt;0,$F292&gt;0,YEAR($F292)&lt;=EY$4,YEAR($F292)&lt;Preisindex!$A$6),ROUND($E292*EZ292,2),0))</f>
        <v>0</v>
      </c>
      <c r="FB292" s="53">
        <f t="shared" si="811"/>
        <v>0</v>
      </c>
      <c r="FC292" s="51">
        <f t="shared" si="840"/>
        <v>0</v>
      </c>
      <c r="FD292" s="51">
        <f t="shared" si="876"/>
        <v>0</v>
      </c>
      <c r="FE292" s="51">
        <f t="shared" si="812"/>
        <v>0</v>
      </c>
      <c r="FF292" s="51">
        <f t="shared" si="877"/>
        <v>0</v>
      </c>
      <c r="FG292" s="51">
        <f t="shared" si="813"/>
        <v>0</v>
      </c>
      <c r="FH292" s="51">
        <f t="shared" si="878"/>
        <v>0</v>
      </c>
      <c r="FI292" s="51">
        <f t="shared" si="814"/>
        <v>0</v>
      </c>
      <c r="FJ292" s="51">
        <f t="shared" si="879"/>
        <v>0</v>
      </c>
      <c r="FK292" s="51">
        <f t="shared" si="815"/>
        <v>0</v>
      </c>
      <c r="FL292" s="51">
        <f t="shared" si="880"/>
        <v>0</v>
      </c>
      <c r="FM292" s="51">
        <f t="shared" si="816"/>
        <v>0</v>
      </c>
      <c r="FN292" s="54">
        <f t="shared" si="817"/>
        <v>0</v>
      </c>
      <c r="FO292" s="55">
        <f t="shared" si="818"/>
        <v>0</v>
      </c>
      <c r="FP292" s="56">
        <f>IF(AND($E292&lt;&gt;0,$F292&gt;0,YEAR($F292)&gt;=Preisindex!$A$6,YEAR(FK$4)&gt;=YEAR($F292),AND($K292&lt;&gt;"a",$K292&lt;&gt;"b",$K292&lt;&gt;"g",$K292&lt;&gt;"k")),1,IF(AND($E292&lt;&gt;0,$F292&gt;0,YEAR($F292)&gt;=Preisindex!$A$6,YEAR(FK$4)&gt;=YEAR($F292),$K292="a"),ROUND(VLOOKUP(FP$4,Preisindex,5,FALSE)/VLOOKUP(YEAR($F292),Preisindex,5,FALSE),2),IF(AND($E292&lt;&gt;0,$F292&gt;0,YEAR($F292)&gt;=Preisindex!$A$6,YEAR(FK$4)&gt;=YEAR($F292),$K292="b"),ROUND(VLOOKUP(FP$4,Preisindex,3,FALSE)/VLOOKUP(YEAR($F292),Preisindex,3,FALSE),2),IF(AND($E292&lt;&gt;0,$F292&gt;0,YEAR($F292)&gt;=Preisindex!$A$6,YEAR(FK$4)&gt;=YEAR($F292),$K292="g"),ROUND(VLOOKUP(FP$4,Preisindex,4,FALSE)/VLOOKUP(YEAR($F292),Preisindex,4,FALSE),2),IF(AND($E292&lt;&gt;0,$F292&gt;0,YEAR($F292)&gt;=Preisindex!$A$6,YEAR(FK$4)&gt;=YEAR($F292),$K292="k"),ROUND(VLOOKUP(FP$4,Preisindex,2,FALSE)/VLOOKUP(YEAR($F292),Preisindex,2,FALSE),2),0)))))</f>
        <v>0</v>
      </c>
      <c r="FQ292" s="56">
        <f>IF(AND($E292&lt;&gt;0,$F292&gt;0,YEAR($F292)&lt;Preisindex!$A$6,YEAR(FK$4)&gt;=YEAR($F292),AND($K292&lt;&gt;"a",$K292&lt;&gt;"b",$K292&lt;&gt;"g",$K292&lt;&gt;"k")),1,IF(AND($E292&lt;&gt;0,$F292&gt;0,YEAR($F292)&lt;Preisindex!$A$6,YEAR(FK$4)&gt;=YEAR($F292),$K292="a"),ROUND(VLOOKUP(FP$4,Preisindex,5,FALSE)/VLOOKUP(Preisindex!$A$6,Preisindex,5,FALSE),2),IF(AND($E292&lt;&gt;0,$F292&gt;0,YEAR($F292)&lt;Preisindex!$A$6,YEAR(FK$4)&gt;=YEAR($F292),$K292="b"),ROUND(VLOOKUP(FP$4,Preisindex,3,FALSE)/VLOOKUP(Preisindex!$A$6,Preisindex,3,FALSE),2),IF(AND($E292&lt;&gt;0,$F292&gt;0,YEAR($F292)&lt;Preisindex!$A$6,YEAR(FK$4)&gt;=YEAR($F292),$K292="g"),ROUND(VLOOKUP(FP$4,Preisindex,4,FALSE)/VLOOKUP(Preisindex!$A$6,Preisindex,4,FALSE),2),IF(AND($E292&lt;&gt;0,$F292&gt;0,YEAR($F292)&lt;Preisindex!$A$6,YEAR(FK$4)&gt;=YEAR($F292),$K292="k"),ROUND(VLOOKUP(FP$4,Preisindex,2,FALSE)/VLOOKUP(Preisindex!$A$6,Preisindex,2,FALSE),2),0)))))</f>
        <v>0</v>
      </c>
      <c r="FR292" s="51">
        <f>IF(AND($E292&lt;&gt;0,$F292&gt;0,YEAR($F292)&lt;=FP$4,YEAR($F292)&gt;=Preisindex!$A$6),ROUND($E292*FP292,2),IF(AND($E292&lt;&gt;0,$F292&gt;0,YEAR($F292)&lt;=FP$4,YEAR($F292)&lt;Preisindex!$A$6),ROUND($E292*FQ292,2),0))</f>
        <v>0</v>
      </c>
      <c r="FS292" s="53">
        <f t="shared" si="819"/>
        <v>0</v>
      </c>
    </row>
    <row r="293" spans="1:175" x14ac:dyDescent="0.3">
      <c r="A293" s="185"/>
      <c r="B293" s="186"/>
      <c r="C293" s="187"/>
      <c r="D293" s="188"/>
      <c r="E293" s="189"/>
      <c r="F293" s="190"/>
      <c r="G293" s="191"/>
      <c r="H293" s="192"/>
      <c r="I293" s="193"/>
      <c r="J293" s="194"/>
      <c r="K293" s="630"/>
      <c r="L293" s="49">
        <f t="shared" si="820"/>
        <v>0</v>
      </c>
      <c r="M293" s="50">
        <f t="shared" si="821"/>
        <v>0</v>
      </c>
      <c r="N293" s="51">
        <f t="shared" si="822"/>
        <v>0</v>
      </c>
      <c r="O293" s="51"/>
      <c r="P293" s="51">
        <f t="shared" si="823"/>
        <v>0</v>
      </c>
      <c r="Q293" s="52"/>
      <c r="R293" s="52"/>
      <c r="S293" s="52"/>
      <c r="T293" s="52"/>
      <c r="U293" s="52"/>
      <c r="V293" s="53">
        <f t="shared" si="824"/>
        <v>0</v>
      </c>
      <c r="W293" s="51">
        <f t="shared" si="825"/>
        <v>0</v>
      </c>
      <c r="X293" s="51">
        <f t="shared" si="826"/>
        <v>0</v>
      </c>
      <c r="Y293" s="51">
        <f t="shared" si="827"/>
        <v>0</v>
      </c>
      <c r="Z293" s="51">
        <f t="shared" si="828"/>
        <v>0</v>
      </c>
      <c r="AA293" s="51">
        <f t="shared" si="829"/>
        <v>0</v>
      </c>
      <c r="AB293" s="51">
        <f t="shared" si="830"/>
        <v>0</v>
      </c>
      <c r="AC293" s="51">
        <f t="shared" si="831"/>
        <v>0</v>
      </c>
      <c r="AD293" s="51">
        <f t="shared" si="832"/>
        <v>0</v>
      </c>
      <c r="AE293" s="51">
        <f t="shared" si="833"/>
        <v>0</v>
      </c>
      <c r="AF293" s="51">
        <f t="shared" si="834"/>
        <v>0</v>
      </c>
      <c r="AG293" s="51">
        <f t="shared" si="835"/>
        <v>0</v>
      </c>
      <c r="AH293" s="54">
        <f t="shared" si="836"/>
        <v>0</v>
      </c>
      <c r="AI293" s="55">
        <f t="shared" si="837"/>
        <v>0</v>
      </c>
      <c r="AJ293" s="56">
        <f>IF(AND($E293&lt;&gt;0,$F293&gt;0,YEAR($F293)&gt;=Preisindex!$A$6,YEAR(AE$4)&gt;=YEAR($F293),AND($K293&lt;&gt;"a",$K293&lt;&gt;"b",$K293&lt;&gt;"g",$K293&lt;&gt;"k")),1,IF(AND($E293&lt;&gt;0,$F293&gt;0,YEAR($F293)&gt;=Preisindex!$A$6,YEAR(AE$4)&gt;=YEAR($F293),$K293="a"),ROUND(VLOOKUP(AJ$4,Preisindex,5,FALSE)/VLOOKUP(YEAR($F293),Preisindex,5,FALSE),2),IF(AND($E293&lt;&gt;0,$F293&gt;0,YEAR($F293)&gt;=Preisindex!$A$6,YEAR(AE$4)&gt;=YEAR($F293),$K293="b"),ROUND(VLOOKUP(AJ$4,Preisindex,3,FALSE)/VLOOKUP(YEAR($F293),Preisindex,3,FALSE),2),IF(AND($E293&lt;&gt;0,$F293&gt;0,YEAR($F293)&gt;=Preisindex!$A$6,YEAR(AE$4)&gt;=YEAR($F293),$K293="g"),ROUND(VLOOKUP(AJ$4,Preisindex,4,FALSE)/VLOOKUP(YEAR($F293),Preisindex,4,FALSE),2),IF(AND($E293&lt;&gt;0,$F293&gt;0,YEAR($F293)&gt;=Preisindex!$A$6,YEAR(AE$4)&gt;=YEAR($F293),$K293="k"),ROUND(VLOOKUP(AJ$4,Preisindex,2,FALSE)/VLOOKUP(YEAR($F293),Preisindex,2,FALSE),2),0)))))</f>
        <v>0</v>
      </c>
      <c r="AK293" s="56">
        <f>IF(AND($E293&lt;&gt;0,$F293&gt;0,YEAR($F293)&lt;Preisindex!$A$6,YEAR(AE$4)&gt;=YEAR($F293),AND($K293&lt;&gt;"a",$K293&lt;&gt;"b",$K293&lt;&gt;"g",$K293&lt;&gt;"k")),1,IF(AND($E293&lt;&gt;0,$F293&gt;0,YEAR($F293)&lt;Preisindex!$A$6,YEAR(AE$4)&gt;=YEAR($F293),$K293="a"),ROUND(VLOOKUP(AJ$4,Preisindex,5,FALSE)/VLOOKUP(Preisindex!$A$6,Preisindex,5,FALSE),2),IF(AND($E293&lt;&gt;0,$F293&gt;0,YEAR($F293)&lt;Preisindex!$A$6,YEAR(AE$4)&gt;=YEAR($F293),$K293="b"),ROUND(VLOOKUP(AJ$4,Preisindex,3,FALSE)/VLOOKUP(Preisindex!$A$6,Preisindex,3,FALSE),2),IF(AND($E293&lt;&gt;0,$F293&gt;0,YEAR($F293)&lt;Preisindex!$A$6,YEAR(AE$4)&gt;=YEAR($F293),$K293="g"),ROUND(VLOOKUP(AJ$4,Preisindex,4,FALSE)/VLOOKUP(Preisindex!$A$6,Preisindex,4,FALSE),2),IF(AND($E293&lt;&gt;0,$F293&gt;0,YEAR($F293)&lt;Preisindex!$A$6,YEAR(AE$4)&gt;=YEAR($F293),$K293="k"),ROUND(VLOOKUP(AJ$4,Preisindex,2,FALSE)/VLOOKUP(Preisindex!$A$6,Preisindex,2,FALSE),2),0)))))</f>
        <v>0</v>
      </c>
      <c r="AL293" s="51">
        <f>IF(AND($E293&lt;&gt;0,$F293&gt;0,YEAR($F293)&lt;=AJ$4,YEAR($F293)&gt;=Preisindex!$A$6),ROUND($E293*AJ293,2),IF(AND($E293&lt;&gt;0,$F293&gt;0,YEAR($F293)&lt;=AJ$4,YEAR($F293)&lt;Preisindex!$A$6),ROUND($E293*AK293,2),0))</f>
        <v>0</v>
      </c>
      <c r="AM293" s="53">
        <f t="shared" si="838"/>
        <v>0</v>
      </c>
      <c r="AN293" s="51">
        <f t="shared" ref="AN293:CM308" si="881">IF(YEAR($F293)=AN$4,$E293,0)</f>
        <v>0</v>
      </c>
      <c r="AO293" s="51">
        <f t="shared" si="841"/>
        <v>0</v>
      </c>
      <c r="AP293" s="51">
        <f t="shared" si="755"/>
        <v>0</v>
      </c>
      <c r="AQ293" s="51">
        <f t="shared" si="842"/>
        <v>0</v>
      </c>
      <c r="AR293" s="51">
        <f t="shared" si="756"/>
        <v>0</v>
      </c>
      <c r="AS293" s="51">
        <f t="shared" si="843"/>
        <v>0</v>
      </c>
      <c r="AT293" s="51">
        <f t="shared" si="757"/>
        <v>0</v>
      </c>
      <c r="AU293" s="51">
        <f t="shared" si="844"/>
        <v>0</v>
      </c>
      <c r="AV293" s="51">
        <f t="shared" si="758"/>
        <v>0</v>
      </c>
      <c r="AW293" s="51">
        <f t="shared" si="845"/>
        <v>0</v>
      </c>
      <c r="AX293" s="51">
        <f t="shared" si="759"/>
        <v>0</v>
      </c>
      <c r="AY293" s="54">
        <f t="shared" si="760"/>
        <v>0</v>
      </c>
      <c r="AZ293" s="55">
        <f t="shared" si="761"/>
        <v>0</v>
      </c>
      <c r="BA293" s="56">
        <f>IF(AND($E293&lt;&gt;0,$F293&gt;0,YEAR($F293)&gt;=Preisindex!$A$6,YEAR(AV$4)&gt;=YEAR($F293),AND($K293&lt;&gt;"a",$K293&lt;&gt;"b",$K293&lt;&gt;"g",$K293&lt;&gt;"k")),1,IF(AND($E293&lt;&gt;0,$F293&gt;0,YEAR($F293)&gt;=Preisindex!$A$6,YEAR(AV$4)&gt;=YEAR($F293),$K293="a"),ROUND(VLOOKUP(BA$4,Preisindex,5,FALSE)/VLOOKUP(YEAR($F293),Preisindex,5,FALSE),2),IF(AND($E293&lt;&gt;0,$F293&gt;0,YEAR($F293)&gt;=Preisindex!$A$6,YEAR(AV$4)&gt;=YEAR($F293),$K293="b"),ROUND(VLOOKUP(BA$4,Preisindex,3,FALSE)/VLOOKUP(YEAR($F293),Preisindex,3,FALSE),2),IF(AND($E293&lt;&gt;0,$F293&gt;0,YEAR($F293)&gt;=Preisindex!$A$6,YEAR(AV$4)&gt;=YEAR($F293),$K293="g"),ROUND(VLOOKUP(BA$4,Preisindex,4,FALSE)/VLOOKUP(YEAR($F293),Preisindex,4,FALSE),2),IF(AND($E293&lt;&gt;0,$F293&gt;0,YEAR($F293)&gt;=Preisindex!$A$6,YEAR(AV$4)&gt;=YEAR($F293),$K293="k"),ROUND(VLOOKUP(BA$4,Preisindex,2,FALSE)/VLOOKUP(YEAR($F293),Preisindex,2,FALSE),2),0)))))</f>
        <v>0</v>
      </c>
      <c r="BB293" s="56">
        <f>IF(AND($E293&lt;&gt;0,$F293&gt;0,YEAR($F293)&lt;Preisindex!$A$6,YEAR(AV$4)&gt;=YEAR($F293),AND($K293&lt;&gt;"a",$K293&lt;&gt;"b",$K293&lt;&gt;"g",$K293&lt;&gt;"k")),1,IF(AND($E293&lt;&gt;0,$F293&gt;0,YEAR($F293)&lt;Preisindex!$A$6,YEAR(AV$4)&gt;=YEAR($F293),$K293="a"),ROUND(VLOOKUP(BA$4,Preisindex,5,FALSE)/VLOOKUP(Preisindex!$A$6,Preisindex,5,FALSE),2),IF(AND($E293&lt;&gt;0,$F293&gt;0,YEAR($F293)&lt;Preisindex!$A$6,YEAR(AV$4)&gt;=YEAR($F293),$K293="b"),ROUND(VLOOKUP(BA$4,Preisindex,3,FALSE)/VLOOKUP(Preisindex!$A$6,Preisindex,3,FALSE),2),IF(AND($E293&lt;&gt;0,$F293&gt;0,YEAR($F293)&lt;Preisindex!$A$6,YEAR(AV$4)&gt;=YEAR($F293),$K293="g"),ROUND(VLOOKUP(BA$4,Preisindex,4,FALSE)/VLOOKUP(Preisindex!$A$6,Preisindex,4,FALSE),2),IF(AND($E293&lt;&gt;0,$F293&gt;0,YEAR($F293)&lt;Preisindex!$A$6,YEAR(AV$4)&gt;=YEAR($F293),$K293="k"),ROUND(VLOOKUP(BA$4,Preisindex,2,FALSE)/VLOOKUP(Preisindex!$A$6,Preisindex,2,FALSE),2),0)))))</f>
        <v>0</v>
      </c>
      <c r="BC293" s="51">
        <f>IF(AND($E293&lt;&gt;0,$F293&gt;0,YEAR($F293)&lt;=BA$4,YEAR($F293)&gt;=Preisindex!$A$6),ROUND($E293*BA293,2),IF(AND($E293&lt;&gt;0,$F293&gt;0,YEAR($F293)&lt;=BA$4,YEAR($F293)&lt;Preisindex!$A$6),ROUND($E293*BB293,2),0))</f>
        <v>0</v>
      </c>
      <c r="BD293" s="53">
        <f t="shared" si="762"/>
        <v>0</v>
      </c>
      <c r="BE293" s="51">
        <f t="shared" si="881"/>
        <v>0</v>
      </c>
      <c r="BF293" s="51">
        <f t="shared" si="846"/>
        <v>0</v>
      </c>
      <c r="BG293" s="51">
        <f t="shared" si="763"/>
        <v>0</v>
      </c>
      <c r="BH293" s="51">
        <f t="shared" si="847"/>
        <v>0</v>
      </c>
      <c r="BI293" s="51">
        <f t="shared" si="764"/>
        <v>0</v>
      </c>
      <c r="BJ293" s="51">
        <f t="shared" si="848"/>
        <v>0</v>
      </c>
      <c r="BK293" s="51">
        <f t="shared" si="765"/>
        <v>0</v>
      </c>
      <c r="BL293" s="51">
        <f t="shared" si="849"/>
        <v>0</v>
      </c>
      <c r="BM293" s="51">
        <f t="shared" si="766"/>
        <v>0</v>
      </c>
      <c r="BN293" s="51">
        <f t="shared" si="850"/>
        <v>0</v>
      </c>
      <c r="BO293" s="51">
        <f t="shared" si="767"/>
        <v>0</v>
      </c>
      <c r="BP293" s="54">
        <f t="shared" si="768"/>
        <v>0</v>
      </c>
      <c r="BQ293" s="55">
        <f t="shared" si="769"/>
        <v>0</v>
      </c>
      <c r="BR293" s="56">
        <f>IF(AND($E293&lt;&gt;0,$F293&gt;0,YEAR($F293)&gt;=Preisindex!$A$6,YEAR(BM$4)&gt;=YEAR($F293),AND($K293&lt;&gt;"a",$K293&lt;&gt;"b",$K293&lt;&gt;"g",$K293&lt;&gt;"k")),1,IF(AND($E293&lt;&gt;0,$F293&gt;0,YEAR($F293)&gt;=Preisindex!$A$6,YEAR(BM$4)&gt;=YEAR($F293),$K293="a"),ROUND(VLOOKUP(BR$4,Preisindex,5,FALSE)/VLOOKUP(YEAR($F293),Preisindex,5,FALSE),2),IF(AND($E293&lt;&gt;0,$F293&gt;0,YEAR($F293)&gt;=Preisindex!$A$6,YEAR(BM$4)&gt;=YEAR($F293),$K293="b"),ROUND(VLOOKUP(BR$4,Preisindex,3,FALSE)/VLOOKUP(YEAR($F293),Preisindex,3,FALSE),2),IF(AND($E293&lt;&gt;0,$F293&gt;0,YEAR($F293)&gt;=Preisindex!$A$6,YEAR(BM$4)&gt;=YEAR($F293),$K293="g"),ROUND(VLOOKUP(BR$4,Preisindex,4,FALSE)/VLOOKUP(YEAR($F293),Preisindex,4,FALSE),2),IF(AND($E293&lt;&gt;0,$F293&gt;0,YEAR($F293)&gt;=Preisindex!$A$6,YEAR(BM$4)&gt;=YEAR($F293),$K293="k"),ROUND(VLOOKUP(BR$4,Preisindex,2,FALSE)/VLOOKUP(YEAR($F293),Preisindex,2,FALSE),2),0)))))</f>
        <v>0</v>
      </c>
      <c r="BS293" s="56">
        <f>IF(AND($E293&lt;&gt;0,$F293&gt;0,YEAR($F293)&lt;Preisindex!$A$6,YEAR(BM$4)&gt;=YEAR($F293),AND($K293&lt;&gt;"a",$K293&lt;&gt;"b",$K293&lt;&gt;"g",$K293&lt;&gt;"k")),1,IF(AND($E293&lt;&gt;0,$F293&gt;0,YEAR($F293)&lt;Preisindex!$A$6,YEAR(BM$4)&gt;=YEAR($F293),$K293="a"),ROUND(VLOOKUP(BR$4,Preisindex,5,FALSE)/VLOOKUP(Preisindex!$A$6,Preisindex,5,FALSE),2),IF(AND($E293&lt;&gt;0,$F293&gt;0,YEAR($F293)&lt;Preisindex!$A$6,YEAR(BM$4)&gt;=YEAR($F293),$K293="b"),ROUND(VLOOKUP(BR$4,Preisindex,3,FALSE)/VLOOKUP(Preisindex!$A$6,Preisindex,3,FALSE),2),IF(AND($E293&lt;&gt;0,$F293&gt;0,YEAR($F293)&lt;Preisindex!$A$6,YEAR(BM$4)&gt;=YEAR($F293),$K293="g"),ROUND(VLOOKUP(BR$4,Preisindex,4,FALSE)/VLOOKUP(Preisindex!$A$6,Preisindex,4,FALSE),2),IF(AND($E293&lt;&gt;0,$F293&gt;0,YEAR($F293)&lt;Preisindex!$A$6,YEAR(BM$4)&gt;=YEAR($F293),$K293="k"),ROUND(VLOOKUP(BR$4,Preisindex,2,FALSE)/VLOOKUP(Preisindex!$A$6,Preisindex,2,FALSE),2),0)))))</f>
        <v>0</v>
      </c>
      <c r="BT293" s="51">
        <f>IF(AND($E293&lt;&gt;0,$F293&gt;0,YEAR($F293)&lt;=BR$4,YEAR($F293)&gt;=Preisindex!$A$6),ROUND($E293*BR293,2),IF(AND($E293&lt;&gt;0,$F293&gt;0,YEAR($F293)&lt;=BR$4,YEAR($F293)&lt;Preisindex!$A$6),ROUND($E293*BS293,2),0))</f>
        <v>0</v>
      </c>
      <c r="BU293" s="53">
        <f t="shared" si="770"/>
        <v>0</v>
      </c>
      <c r="BV293" s="51">
        <f t="shared" si="881"/>
        <v>0</v>
      </c>
      <c r="BW293" s="51">
        <f t="shared" si="851"/>
        <v>0</v>
      </c>
      <c r="BX293" s="51">
        <f t="shared" si="771"/>
        <v>0</v>
      </c>
      <c r="BY293" s="51">
        <f t="shared" si="852"/>
        <v>0</v>
      </c>
      <c r="BZ293" s="51">
        <f t="shared" si="772"/>
        <v>0</v>
      </c>
      <c r="CA293" s="51">
        <f t="shared" si="853"/>
        <v>0</v>
      </c>
      <c r="CB293" s="51">
        <f t="shared" si="773"/>
        <v>0</v>
      </c>
      <c r="CC293" s="51">
        <f t="shared" si="854"/>
        <v>0</v>
      </c>
      <c r="CD293" s="51">
        <f t="shared" si="774"/>
        <v>0</v>
      </c>
      <c r="CE293" s="51">
        <f t="shared" si="855"/>
        <v>0</v>
      </c>
      <c r="CF293" s="51">
        <f t="shared" si="775"/>
        <v>0</v>
      </c>
      <c r="CG293" s="54">
        <f t="shared" si="776"/>
        <v>0</v>
      </c>
      <c r="CH293" s="55">
        <f t="shared" si="777"/>
        <v>0</v>
      </c>
      <c r="CI293" s="56">
        <f>IF(AND($E293&lt;&gt;0,$F293&gt;0,YEAR($F293)&gt;=Preisindex!$A$6,YEAR(CD$4)&gt;=YEAR($F293),AND($K293&lt;&gt;"a",$K293&lt;&gt;"b",$K293&lt;&gt;"g",$K293&lt;&gt;"k")),1,IF(AND($E293&lt;&gt;0,$F293&gt;0,YEAR($F293)&gt;=Preisindex!$A$6,YEAR(CD$4)&gt;=YEAR($F293),$K293="a"),ROUND(VLOOKUP(CI$4,Preisindex,5,FALSE)/VLOOKUP(YEAR($F293),Preisindex,5,FALSE),2),IF(AND($E293&lt;&gt;0,$F293&gt;0,YEAR($F293)&gt;=Preisindex!$A$6,YEAR(CD$4)&gt;=YEAR($F293),$K293="b"),ROUND(VLOOKUP(CI$4,Preisindex,3,FALSE)/VLOOKUP(YEAR($F293),Preisindex,3,FALSE),2),IF(AND($E293&lt;&gt;0,$F293&gt;0,YEAR($F293)&gt;=Preisindex!$A$6,YEAR(CD$4)&gt;=YEAR($F293),$K293="g"),ROUND(VLOOKUP(CI$4,Preisindex,4,FALSE)/VLOOKUP(YEAR($F293),Preisindex,4,FALSE),2),IF(AND($E293&lt;&gt;0,$F293&gt;0,YEAR($F293)&gt;=Preisindex!$A$6,YEAR(CD$4)&gt;=YEAR($F293),$K293="k"),ROUND(VLOOKUP(CI$4,Preisindex,2,FALSE)/VLOOKUP(YEAR($F293),Preisindex,2,FALSE),2),0)))))</f>
        <v>0</v>
      </c>
      <c r="CJ293" s="56">
        <f>IF(AND($E293&lt;&gt;0,$F293&gt;0,YEAR($F293)&lt;Preisindex!$A$6,YEAR(CD$4)&gt;=YEAR($F293),AND($K293&lt;&gt;"a",$K293&lt;&gt;"b",$K293&lt;&gt;"g",$K293&lt;&gt;"k")),1,IF(AND($E293&lt;&gt;0,$F293&gt;0,YEAR($F293)&lt;Preisindex!$A$6,YEAR(CD$4)&gt;=YEAR($F293),$K293="a"),ROUND(VLOOKUP(CI$4,Preisindex,5,FALSE)/VLOOKUP(Preisindex!$A$6,Preisindex,5,FALSE),2),IF(AND($E293&lt;&gt;0,$F293&gt;0,YEAR($F293)&lt;Preisindex!$A$6,YEAR(CD$4)&gt;=YEAR($F293),$K293="b"),ROUND(VLOOKUP(CI$4,Preisindex,3,FALSE)/VLOOKUP(Preisindex!$A$6,Preisindex,3,FALSE),2),IF(AND($E293&lt;&gt;0,$F293&gt;0,YEAR($F293)&lt;Preisindex!$A$6,YEAR(CD$4)&gt;=YEAR($F293),$K293="g"),ROUND(VLOOKUP(CI$4,Preisindex,4,FALSE)/VLOOKUP(Preisindex!$A$6,Preisindex,4,FALSE),2),IF(AND($E293&lt;&gt;0,$F293&gt;0,YEAR($F293)&lt;Preisindex!$A$6,YEAR(CD$4)&gt;=YEAR($F293),$K293="k"),ROUND(VLOOKUP(CI$4,Preisindex,2,FALSE)/VLOOKUP(Preisindex!$A$6,Preisindex,2,FALSE),2),0)))))</f>
        <v>0</v>
      </c>
      <c r="CK293" s="51">
        <f>IF(AND($E293&lt;&gt;0,$F293&gt;0,YEAR($F293)&lt;=CI$4,YEAR($F293)&gt;=Preisindex!$A$6),ROUND($E293*CI293,2),IF(AND($E293&lt;&gt;0,$F293&gt;0,YEAR($F293)&lt;=CI$4,YEAR($F293)&lt;Preisindex!$A$6),ROUND($E293*CJ293,2),0))</f>
        <v>0</v>
      </c>
      <c r="CL293" s="53">
        <f t="shared" si="778"/>
        <v>0</v>
      </c>
      <c r="CM293" s="51">
        <f t="shared" si="881"/>
        <v>0</v>
      </c>
      <c r="CN293" s="51">
        <f t="shared" si="856"/>
        <v>0</v>
      </c>
      <c r="CO293" s="51">
        <f t="shared" si="779"/>
        <v>0</v>
      </c>
      <c r="CP293" s="51">
        <f t="shared" si="857"/>
        <v>0</v>
      </c>
      <c r="CQ293" s="51">
        <f t="shared" si="780"/>
        <v>0</v>
      </c>
      <c r="CR293" s="51">
        <f t="shared" si="858"/>
        <v>0</v>
      </c>
      <c r="CS293" s="51">
        <f t="shared" si="781"/>
        <v>0</v>
      </c>
      <c r="CT293" s="51">
        <f t="shared" si="859"/>
        <v>0</v>
      </c>
      <c r="CU293" s="51">
        <f t="shared" si="782"/>
        <v>0</v>
      </c>
      <c r="CV293" s="51">
        <f t="shared" si="860"/>
        <v>0</v>
      </c>
      <c r="CW293" s="51">
        <f t="shared" si="783"/>
        <v>0</v>
      </c>
      <c r="CX293" s="54">
        <f t="shared" si="784"/>
        <v>0</v>
      </c>
      <c r="CY293" s="55">
        <f t="shared" si="785"/>
        <v>0</v>
      </c>
      <c r="CZ293" s="56">
        <f>IF(AND($E293&lt;&gt;0,$F293&gt;0,YEAR($F293)&gt;=Preisindex!$A$6,YEAR(CU$4)&gt;=YEAR($F293),AND($K293&lt;&gt;"a",$K293&lt;&gt;"b",$K293&lt;&gt;"g",$K293&lt;&gt;"k")),1,IF(AND($E293&lt;&gt;0,$F293&gt;0,YEAR($F293)&gt;=Preisindex!$A$6,YEAR(CU$4)&gt;=YEAR($F293),$K293="a"),ROUND(VLOOKUP(CZ$4,Preisindex,5,FALSE)/VLOOKUP(YEAR($F293),Preisindex,5,FALSE),2),IF(AND($E293&lt;&gt;0,$F293&gt;0,YEAR($F293)&gt;=Preisindex!$A$6,YEAR(CU$4)&gt;=YEAR($F293),$K293="b"),ROUND(VLOOKUP(CZ$4,Preisindex,3,FALSE)/VLOOKUP(YEAR($F293),Preisindex,3,FALSE),2),IF(AND($E293&lt;&gt;0,$F293&gt;0,YEAR($F293)&gt;=Preisindex!$A$6,YEAR(CU$4)&gt;=YEAR($F293),$K293="g"),ROUND(VLOOKUP(CZ$4,Preisindex,4,FALSE)/VLOOKUP(YEAR($F293),Preisindex,4,FALSE),2),IF(AND($E293&lt;&gt;0,$F293&gt;0,YEAR($F293)&gt;=Preisindex!$A$6,YEAR(CU$4)&gt;=YEAR($F293),$K293="k"),ROUND(VLOOKUP(CZ$4,Preisindex,2,FALSE)/VLOOKUP(YEAR($F293),Preisindex,2,FALSE),2),0)))))</f>
        <v>0</v>
      </c>
      <c r="DA293" s="56">
        <f>IF(AND($E293&lt;&gt;0,$F293&gt;0,YEAR($F293)&lt;Preisindex!$A$6,YEAR(CU$4)&gt;=YEAR($F293),AND($K293&lt;&gt;"a",$K293&lt;&gt;"b",$K293&lt;&gt;"g",$K293&lt;&gt;"k")),1,IF(AND($E293&lt;&gt;0,$F293&gt;0,YEAR($F293)&lt;Preisindex!$A$6,YEAR(CU$4)&gt;=YEAR($F293),$K293="a"),ROUND(VLOOKUP(CZ$4,Preisindex,5,FALSE)/VLOOKUP(Preisindex!$A$6,Preisindex,5,FALSE),2),IF(AND($E293&lt;&gt;0,$F293&gt;0,YEAR($F293)&lt;Preisindex!$A$6,YEAR(CU$4)&gt;=YEAR($F293),$K293="b"),ROUND(VLOOKUP(CZ$4,Preisindex,3,FALSE)/VLOOKUP(Preisindex!$A$6,Preisindex,3,FALSE),2),IF(AND($E293&lt;&gt;0,$F293&gt;0,YEAR($F293)&lt;Preisindex!$A$6,YEAR(CU$4)&gt;=YEAR($F293),$K293="g"),ROUND(VLOOKUP(CZ$4,Preisindex,4,FALSE)/VLOOKUP(Preisindex!$A$6,Preisindex,4,FALSE),2),IF(AND($E293&lt;&gt;0,$F293&gt;0,YEAR($F293)&lt;Preisindex!$A$6,YEAR(CU$4)&gt;=YEAR($F293),$K293="k"),ROUND(VLOOKUP(CZ$4,Preisindex,2,FALSE)/VLOOKUP(Preisindex!$A$6,Preisindex,2,FALSE),2),0)))))</f>
        <v>0</v>
      </c>
      <c r="DB293" s="51">
        <f>IF(AND($E293&lt;&gt;0,$F293&gt;0,YEAR($F293)&lt;=CZ$4,YEAR($F293)&gt;=Preisindex!$A$6),ROUND($E293*CZ293,2),IF(AND($E293&lt;&gt;0,$F293&gt;0,YEAR($F293)&lt;=CZ$4,YEAR($F293)&lt;Preisindex!$A$6),ROUND($E293*DA293,2),0))</f>
        <v>0</v>
      </c>
      <c r="DC293" s="53">
        <f t="shared" si="786"/>
        <v>0</v>
      </c>
      <c r="DD293" s="51">
        <f t="shared" ref="DD293:FC308" si="882">IF(YEAR($F293)=DD$4,$E293,0)</f>
        <v>0</v>
      </c>
      <c r="DE293" s="51">
        <f t="shared" si="861"/>
        <v>0</v>
      </c>
      <c r="DF293" s="51">
        <f t="shared" si="788"/>
        <v>0</v>
      </c>
      <c r="DG293" s="51">
        <f t="shared" si="862"/>
        <v>0</v>
      </c>
      <c r="DH293" s="51">
        <f t="shared" si="789"/>
        <v>0</v>
      </c>
      <c r="DI293" s="51">
        <f t="shared" si="863"/>
        <v>0</v>
      </c>
      <c r="DJ293" s="51">
        <f t="shared" si="790"/>
        <v>0</v>
      </c>
      <c r="DK293" s="51">
        <f t="shared" si="864"/>
        <v>0</v>
      </c>
      <c r="DL293" s="51">
        <f t="shared" si="791"/>
        <v>0</v>
      </c>
      <c r="DM293" s="51">
        <f t="shared" si="865"/>
        <v>0</v>
      </c>
      <c r="DN293" s="51">
        <f t="shared" si="792"/>
        <v>0</v>
      </c>
      <c r="DO293" s="54">
        <f t="shared" si="793"/>
        <v>0</v>
      </c>
      <c r="DP293" s="55">
        <f t="shared" si="794"/>
        <v>0</v>
      </c>
      <c r="DQ293" s="56">
        <f>IF(AND($E293&lt;&gt;0,$F293&gt;0,YEAR($F293)&gt;=Preisindex!$A$6,YEAR(DL$4)&gt;=YEAR($F293),AND($K293&lt;&gt;"a",$K293&lt;&gt;"b",$K293&lt;&gt;"g",$K293&lt;&gt;"k")),1,IF(AND($E293&lt;&gt;0,$F293&gt;0,YEAR($F293)&gt;=Preisindex!$A$6,YEAR(DL$4)&gt;=YEAR($F293),$K293="a"),ROUND(VLOOKUP(DQ$4,Preisindex,5,FALSE)/VLOOKUP(YEAR($F293),Preisindex,5,FALSE),2),IF(AND($E293&lt;&gt;0,$F293&gt;0,YEAR($F293)&gt;=Preisindex!$A$6,YEAR(DL$4)&gt;=YEAR($F293),$K293="b"),ROUND(VLOOKUP(DQ$4,Preisindex,3,FALSE)/VLOOKUP(YEAR($F293),Preisindex,3,FALSE),2),IF(AND($E293&lt;&gt;0,$F293&gt;0,YEAR($F293)&gt;=Preisindex!$A$6,YEAR(DL$4)&gt;=YEAR($F293),$K293="g"),ROUND(VLOOKUP(DQ$4,Preisindex,4,FALSE)/VLOOKUP(YEAR($F293),Preisindex,4,FALSE),2),IF(AND($E293&lt;&gt;0,$F293&gt;0,YEAR($F293)&gt;=Preisindex!$A$6,YEAR(DL$4)&gt;=YEAR($F293),$K293="k"),ROUND(VLOOKUP(DQ$4,Preisindex,2,FALSE)/VLOOKUP(YEAR($F293),Preisindex,2,FALSE),2),0)))))</f>
        <v>0</v>
      </c>
      <c r="DR293" s="56">
        <f>IF(AND($E293&lt;&gt;0,$F293&gt;0,YEAR($F293)&lt;Preisindex!$A$6,YEAR(DL$4)&gt;=YEAR($F293),AND($K293&lt;&gt;"a",$K293&lt;&gt;"b",$K293&lt;&gt;"g",$K293&lt;&gt;"k")),1,IF(AND($E293&lt;&gt;0,$F293&gt;0,YEAR($F293)&lt;Preisindex!$A$6,YEAR(DL$4)&gt;=YEAR($F293),$K293="a"),ROUND(VLOOKUP(DQ$4,Preisindex,5,FALSE)/VLOOKUP(Preisindex!$A$6,Preisindex,5,FALSE),2),IF(AND($E293&lt;&gt;0,$F293&gt;0,YEAR($F293)&lt;Preisindex!$A$6,YEAR(DL$4)&gt;=YEAR($F293),$K293="b"),ROUND(VLOOKUP(DQ$4,Preisindex,3,FALSE)/VLOOKUP(Preisindex!$A$6,Preisindex,3,FALSE),2),IF(AND($E293&lt;&gt;0,$F293&gt;0,YEAR($F293)&lt;Preisindex!$A$6,YEAR(DL$4)&gt;=YEAR($F293),$K293="g"),ROUND(VLOOKUP(DQ$4,Preisindex,4,FALSE)/VLOOKUP(Preisindex!$A$6,Preisindex,4,FALSE),2),IF(AND($E293&lt;&gt;0,$F293&gt;0,YEAR($F293)&lt;Preisindex!$A$6,YEAR(DL$4)&gt;=YEAR($F293),$K293="k"),ROUND(VLOOKUP(DQ$4,Preisindex,2,FALSE)/VLOOKUP(Preisindex!$A$6,Preisindex,2,FALSE),2),0)))))</f>
        <v>0</v>
      </c>
      <c r="DS293" s="51">
        <f>IF(AND($E293&lt;&gt;0,$F293&gt;0,YEAR($F293)&lt;=DQ$4,YEAR($F293)&gt;=Preisindex!$A$6),ROUND($E293*DQ293,2),IF(AND($E293&lt;&gt;0,$F293&gt;0,YEAR($F293)&lt;=DQ$4,YEAR($F293)&lt;Preisindex!$A$6),ROUND($E293*DR293,2),0))</f>
        <v>0</v>
      </c>
      <c r="DT293" s="53">
        <f t="shared" si="795"/>
        <v>0</v>
      </c>
      <c r="DU293" s="51">
        <f t="shared" si="882"/>
        <v>0</v>
      </c>
      <c r="DV293" s="51">
        <f t="shared" si="866"/>
        <v>0</v>
      </c>
      <c r="DW293" s="51">
        <f t="shared" si="796"/>
        <v>0</v>
      </c>
      <c r="DX293" s="51">
        <f t="shared" si="867"/>
        <v>0</v>
      </c>
      <c r="DY293" s="51">
        <f t="shared" si="797"/>
        <v>0</v>
      </c>
      <c r="DZ293" s="51">
        <f t="shared" si="868"/>
        <v>0</v>
      </c>
      <c r="EA293" s="51">
        <f t="shared" si="798"/>
        <v>0</v>
      </c>
      <c r="EB293" s="51">
        <f t="shared" si="869"/>
        <v>0</v>
      </c>
      <c r="EC293" s="51">
        <f t="shared" si="799"/>
        <v>0</v>
      </c>
      <c r="ED293" s="51">
        <f t="shared" si="870"/>
        <v>0</v>
      </c>
      <c r="EE293" s="51">
        <f t="shared" si="800"/>
        <v>0</v>
      </c>
      <c r="EF293" s="54">
        <f t="shared" si="801"/>
        <v>0</v>
      </c>
      <c r="EG293" s="55">
        <f t="shared" si="802"/>
        <v>0</v>
      </c>
      <c r="EH293" s="56">
        <f>IF(AND($E293&lt;&gt;0,$F293&gt;0,YEAR($F293)&gt;=Preisindex!$A$6,YEAR(EC$4)&gt;=YEAR($F293),AND($K293&lt;&gt;"a",$K293&lt;&gt;"b",$K293&lt;&gt;"g",$K293&lt;&gt;"k")),1,IF(AND($E293&lt;&gt;0,$F293&gt;0,YEAR($F293)&gt;=Preisindex!$A$6,YEAR(EC$4)&gt;=YEAR($F293),$K293="a"),ROUND(VLOOKUP(EH$4,Preisindex,5,FALSE)/VLOOKUP(YEAR($F293),Preisindex,5,FALSE),2),IF(AND($E293&lt;&gt;0,$F293&gt;0,YEAR($F293)&gt;=Preisindex!$A$6,YEAR(EC$4)&gt;=YEAR($F293),$K293="b"),ROUND(VLOOKUP(EH$4,Preisindex,3,FALSE)/VLOOKUP(YEAR($F293),Preisindex,3,FALSE),2),IF(AND($E293&lt;&gt;0,$F293&gt;0,YEAR($F293)&gt;=Preisindex!$A$6,YEAR(EC$4)&gt;=YEAR($F293),$K293="g"),ROUND(VLOOKUP(EH$4,Preisindex,4,FALSE)/VLOOKUP(YEAR($F293),Preisindex,4,FALSE),2),IF(AND($E293&lt;&gt;0,$F293&gt;0,YEAR($F293)&gt;=Preisindex!$A$6,YEAR(EC$4)&gt;=YEAR($F293),$K293="k"),ROUND(VLOOKUP(EH$4,Preisindex,2,FALSE)/VLOOKUP(YEAR($F293),Preisindex,2,FALSE),2),0)))))</f>
        <v>0</v>
      </c>
      <c r="EI293" s="56">
        <f>IF(AND($E293&lt;&gt;0,$F293&gt;0,YEAR($F293)&lt;Preisindex!$A$6,YEAR(EC$4)&gt;=YEAR($F293),AND($K293&lt;&gt;"a",$K293&lt;&gt;"b",$K293&lt;&gt;"g",$K293&lt;&gt;"k")),1,IF(AND($E293&lt;&gt;0,$F293&gt;0,YEAR($F293)&lt;Preisindex!$A$6,YEAR(EC$4)&gt;=YEAR($F293),$K293="a"),ROUND(VLOOKUP(EH$4,Preisindex,5,FALSE)/VLOOKUP(Preisindex!$A$6,Preisindex,5,FALSE),2),IF(AND($E293&lt;&gt;0,$F293&gt;0,YEAR($F293)&lt;Preisindex!$A$6,YEAR(EC$4)&gt;=YEAR($F293),$K293="b"),ROUND(VLOOKUP(EH$4,Preisindex,3,FALSE)/VLOOKUP(Preisindex!$A$6,Preisindex,3,FALSE),2),IF(AND($E293&lt;&gt;0,$F293&gt;0,YEAR($F293)&lt;Preisindex!$A$6,YEAR(EC$4)&gt;=YEAR($F293),$K293="g"),ROUND(VLOOKUP(EH$4,Preisindex,4,FALSE)/VLOOKUP(Preisindex!$A$6,Preisindex,4,FALSE),2),IF(AND($E293&lt;&gt;0,$F293&gt;0,YEAR($F293)&lt;Preisindex!$A$6,YEAR(EC$4)&gt;=YEAR($F293),$K293="k"),ROUND(VLOOKUP(EH$4,Preisindex,2,FALSE)/VLOOKUP(Preisindex!$A$6,Preisindex,2,FALSE),2),0)))))</f>
        <v>0</v>
      </c>
      <c r="EJ293" s="51">
        <f>IF(AND($E293&lt;&gt;0,$F293&gt;0,YEAR($F293)&lt;=EH$4,YEAR($F293)&gt;=Preisindex!$A$6),ROUND($E293*EH293,2),IF(AND($E293&lt;&gt;0,$F293&gt;0,YEAR($F293)&lt;=EH$4,YEAR($F293)&lt;Preisindex!$A$6),ROUND($E293*EI293,2),0))</f>
        <v>0</v>
      </c>
      <c r="EK293" s="53">
        <f t="shared" si="803"/>
        <v>0</v>
      </c>
      <c r="EL293" s="51">
        <f t="shared" si="882"/>
        <v>0</v>
      </c>
      <c r="EM293" s="51">
        <f t="shared" si="871"/>
        <v>0</v>
      </c>
      <c r="EN293" s="51">
        <f t="shared" si="804"/>
        <v>0</v>
      </c>
      <c r="EO293" s="51">
        <f t="shared" si="872"/>
        <v>0</v>
      </c>
      <c r="EP293" s="51">
        <f t="shared" si="805"/>
        <v>0</v>
      </c>
      <c r="EQ293" s="51">
        <f t="shared" si="873"/>
        <v>0</v>
      </c>
      <c r="ER293" s="51">
        <f t="shared" si="806"/>
        <v>0</v>
      </c>
      <c r="ES293" s="51">
        <f t="shared" si="874"/>
        <v>0</v>
      </c>
      <c r="ET293" s="51">
        <f t="shared" si="807"/>
        <v>0</v>
      </c>
      <c r="EU293" s="51">
        <f t="shared" si="875"/>
        <v>0</v>
      </c>
      <c r="EV293" s="51">
        <f t="shared" si="808"/>
        <v>0</v>
      </c>
      <c r="EW293" s="54">
        <f t="shared" si="809"/>
        <v>0</v>
      </c>
      <c r="EX293" s="55">
        <f t="shared" si="810"/>
        <v>0</v>
      </c>
      <c r="EY293" s="56">
        <f>IF(AND($E293&lt;&gt;0,$F293&gt;0,YEAR($F293)&gt;=Preisindex!$A$6,YEAR(ET$4)&gt;=YEAR($F293),AND($K293&lt;&gt;"a",$K293&lt;&gt;"b",$K293&lt;&gt;"g",$K293&lt;&gt;"k")),1,IF(AND($E293&lt;&gt;0,$F293&gt;0,YEAR($F293)&gt;=Preisindex!$A$6,YEAR(ET$4)&gt;=YEAR($F293),$K293="a"),ROUND(VLOOKUP(EY$4,Preisindex,5,FALSE)/VLOOKUP(YEAR($F293),Preisindex,5,FALSE),2),IF(AND($E293&lt;&gt;0,$F293&gt;0,YEAR($F293)&gt;=Preisindex!$A$6,YEAR(ET$4)&gt;=YEAR($F293),$K293="b"),ROUND(VLOOKUP(EY$4,Preisindex,3,FALSE)/VLOOKUP(YEAR($F293),Preisindex,3,FALSE),2),IF(AND($E293&lt;&gt;0,$F293&gt;0,YEAR($F293)&gt;=Preisindex!$A$6,YEAR(ET$4)&gt;=YEAR($F293),$K293="g"),ROUND(VLOOKUP(EY$4,Preisindex,4,FALSE)/VLOOKUP(YEAR($F293),Preisindex,4,FALSE),2),IF(AND($E293&lt;&gt;0,$F293&gt;0,YEAR($F293)&gt;=Preisindex!$A$6,YEAR(ET$4)&gt;=YEAR($F293),$K293="k"),ROUND(VLOOKUP(EY$4,Preisindex,2,FALSE)/VLOOKUP(YEAR($F293),Preisindex,2,FALSE),2),0)))))</f>
        <v>0</v>
      </c>
      <c r="EZ293" s="56">
        <f>IF(AND($E293&lt;&gt;0,$F293&gt;0,YEAR($F293)&lt;Preisindex!$A$6,YEAR(ET$4)&gt;=YEAR($F293),AND($K293&lt;&gt;"a",$K293&lt;&gt;"b",$K293&lt;&gt;"g",$K293&lt;&gt;"k")),1,IF(AND($E293&lt;&gt;0,$F293&gt;0,YEAR($F293)&lt;Preisindex!$A$6,YEAR(ET$4)&gt;=YEAR($F293),$K293="a"),ROUND(VLOOKUP(EY$4,Preisindex,5,FALSE)/VLOOKUP(Preisindex!$A$6,Preisindex,5,FALSE),2),IF(AND($E293&lt;&gt;0,$F293&gt;0,YEAR($F293)&lt;Preisindex!$A$6,YEAR(ET$4)&gt;=YEAR($F293),$K293="b"),ROUND(VLOOKUP(EY$4,Preisindex,3,FALSE)/VLOOKUP(Preisindex!$A$6,Preisindex,3,FALSE),2),IF(AND($E293&lt;&gt;0,$F293&gt;0,YEAR($F293)&lt;Preisindex!$A$6,YEAR(ET$4)&gt;=YEAR($F293),$K293="g"),ROUND(VLOOKUP(EY$4,Preisindex,4,FALSE)/VLOOKUP(Preisindex!$A$6,Preisindex,4,FALSE),2),IF(AND($E293&lt;&gt;0,$F293&gt;0,YEAR($F293)&lt;Preisindex!$A$6,YEAR(ET$4)&gt;=YEAR($F293),$K293="k"),ROUND(VLOOKUP(EY$4,Preisindex,2,FALSE)/VLOOKUP(Preisindex!$A$6,Preisindex,2,FALSE),2),0)))))</f>
        <v>0</v>
      </c>
      <c r="FA293" s="51">
        <f>IF(AND($E293&lt;&gt;0,$F293&gt;0,YEAR($F293)&lt;=EY$4,YEAR($F293)&gt;=Preisindex!$A$6),ROUND($E293*EY293,2),IF(AND($E293&lt;&gt;0,$F293&gt;0,YEAR($F293)&lt;=EY$4,YEAR($F293)&lt;Preisindex!$A$6),ROUND($E293*EZ293,2),0))</f>
        <v>0</v>
      </c>
      <c r="FB293" s="53">
        <f t="shared" si="811"/>
        <v>0</v>
      </c>
      <c r="FC293" s="51">
        <f t="shared" si="882"/>
        <v>0</v>
      </c>
      <c r="FD293" s="51">
        <f t="shared" si="876"/>
        <v>0</v>
      </c>
      <c r="FE293" s="51">
        <f t="shared" si="812"/>
        <v>0</v>
      </c>
      <c r="FF293" s="51">
        <f t="shared" si="877"/>
        <v>0</v>
      </c>
      <c r="FG293" s="51">
        <f t="shared" si="813"/>
        <v>0</v>
      </c>
      <c r="FH293" s="51">
        <f t="shared" si="878"/>
        <v>0</v>
      </c>
      <c r="FI293" s="51">
        <f t="shared" si="814"/>
        <v>0</v>
      </c>
      <c r="FJ293" s="51">
        <f t="shared" si="879"/>
        <v>0</v>
      </c>
      <c r="FK293" s="51">
        <f t="shared" si="815"/>
        <v>0</v>
      </c>
      <c r="FL293" s="51">
        <f t="shared" si="880"/>
        <v>0</v>
      </c>
      <c r="FM293" s="51">
        <f t="shared" si="816"/>
        <v>0</v>
      </c>
      <c r="FN293" s="54">
        <f t="shared" si="817"/>
        <v>0</v>
      </c>
      <c r="FO293" s="55">
        <f t="shared" si="818"/>
        <v>0</v>
      </c>
      <c r="FP293" s="56">
        <f>IF(AND($E293&lt;&gt;0,$F293&gt;0,YEAR($F293)&gt;=Preisindex!$A$6,YEAR(FK$4)&gt;=YEAR($F293),AND($K293&lt;&gt;"a",$K293&lt;&gt;"b",$K293&lt;&gt;"g",$K293&lt;&gt;"k")),1,IF(AND($E293&lt;&gt;0,$F293&gt;0,YEAR($F293)&gt;=Preisindex!$A$6,YEAR(FK$4)&gt;=YEAR($F293),$K293="a"),ROUND(VLOOKUP(FP$4,Preisindex,5,FALSE)/VLOOKUP(YEAR($F293),Preisindex,5,FALSE),2),IF(AND($E293&lt;&gt;0,$F293&gt;0,YEAR($F293)&gt;=Preisindex!$A$6,YEAR(FK$4)&gt;=YEAR($F293),$K293="b"),ROUND(VLOOKUP(FP$4,Preisindex,3,FALSE)/VLOOKUP(YEAR($F293),Preisindex,3,FALSE),2),IF(AND($E293&lt;&gt;0,$F293&gt;0,YEAR($F293)&gt;=Preisindex!$A$6,YEAR(FK$4)&gt;=YEAR($F293),$K293="g"),ROUND(VLOOKUP(FP$4,Preisindex,4,FALSE)/VLOOKUP(YEAR($F293),Preisindex,4,FALSE),2),IF(AND($E293&lt;&gt;0,$F293&gt;0,YEAR($F293)&gt;=Preisindex!$A$6,YEAR(FK$4)&gt;=YEAR($F293),$K293="k"),ROUND(VLOOKUP(FP$4,Preisindex,2,FALSE)/VLOOKUP(YEAR($F293),Preisindex,2,FALSE),2),0)))))</f>
        <v>0</v>
      </c>
      <c r="FQ293" s="56">
        <f>IF(AND($E293&lt;&gt;0,$F293&gt;0,YEAR($F293)&lt;Preisindex!$A$6,YEAR(FK$4)&gt;=YEAR($F293),AND($K293&lt;&gt;"a",$K293&lt;&gt;"b",$K293&lt;&gt;"g",$K293&lt;&gt;"k")),1,IF(AND($E293&lt;&gt;0,$F293&gt;0,YEAR($F293)&lt;Preisindex!$A$6,YEAR(FK$4)&gt;=YEAR($F293),$K293="a"),ROUND(VLOOKUP(FP$4,Preisindex,5,FALSE)/VLOOKUP(Preisindex!$A$6,Preisindex,5,FALSE),2),IF(AND($E293&lt;&gt;0,$F293&gt;0,YEAR($F293)&lt;Preisindex!$A$6,YEAR(FK$4)&gt;=YEAR($F293),$K293="b"),ROUND(VLOOKUP(FP$4,Preisindex,3,FALSE)/VLOOKUP(Preisindex!$A$6,Preisindex,3,FALSE),2),IF(AND($E293&lt;&gt;0,$F293&gt;0,YEAR($F293)&lt;Preisindex!$A$6,YEAR(FK$4)&gt;=YEAR($F293),$K293="g"),ROUND(VLOOKUP(FP$4,Preisindex,4,FALSE)/VLOOKUP(Preisindex!$A$6,Preisindex,4,FALSE),2),IF(AND($E293&lt;&gt;0,$F293&gt;0,YEAR($F293)&lt;Preisindex!$A$6,YEAR(FK$4)&gt;=YEAR($F293),$K293="k"),ROUND(VLOOKUP(FP$4,Preisindex,2,FALSE)/VLOOKUP(Preisindex!$A$6,Preisindex,2,FALSE),2),0)))))</f>
        <v>0</v>
      </c>
      <c r="FR293" s="51">
        <f>IF(AND($E293&lt;&gt;0,$F293&gt;0,YEAR($F293)&lt;=FP$4,YEAR($F293)&gt;=Preisindex!$A$6),ROUND($E293*FP293,2),IF(AND($E293&lt;&gt;0,$F293&gt;0,YEAR($F293)&lt;=FP$4,YEAR($F293)&lt;Preisindex!$A$6),ROUND($E293*FQ293,2),0))</f>
        <v>0</v>
      </c>
      <c r="FS293" s="53">
        <f t="shared" si="819"/>
        <v>0</v>
      </c>
    </row>
    <row r="294" spans="1:175" x14ac:dyDescent="0.3">
      <c r="A294" s="185"/>
      <c r="B294" s="186"/>
      <c r="C294" s="187"/>
      <c r="D294" s="188"/>
      <c r="E294" s="189"/>
      <c r="F294" s="190"/>
      <c r="G294" s="191"/>
      <c r="H294" s="192"/>
      <c r="I294" s="193"/>
      <c r="J294" s="194"/>
      <c r="K294" s="630"/>
      <c r="L294" s="49">
        <f t="shared" si="820"/>
        <v>0</v>
      </c>
      <c r="M294" s="50">
        <f t="shared" si="821"/>
        <v>0</v>
      </c>
      <c r="N294" s="51">
        <f t="shared" si="822"/>
        <v>0</v>
      </c>
      <c r="O294" s="51"/>
      <c r="P294" s="51">
        <f t="shared" si="823"/>
        <v>0</v>
      </c>
      <c r="Q294" s="52"/>
      <c r="R294" s="52"/>
      <c r="S294" s="52"/>
      <c r="T294" s="52"/>
      <c r="U294" s="52"/>
      <c r="V294" s="53">
        <f t="shared" si="824"/>
        <v>0</v>
      </c>
      <c r="W294" s="51">
        <f t="shared" si="825"/>
        <v>0</v>
      </c>
      <c r="X294" s="51">
        <f t="shared" si="826"/>
        <v>0</v>
      </c>
      <c r="Y294" s="51">
        <f t="shared" si="827"/>
        <v>0</v>
      </c>
      <c r="Z294" s="51">
        <f t="shared" si="828"/>
        <v>0</v>
      </c>
      <c r="AA294" s="51">
        <f t="shared" si="829"/>
        <v>0</v>
      </c>
      <c r="AB294" s="51">
        <f t="shared" si="830"/>
        <v>0</v>
      </c>
      <c r="AC294" s="51">
        <f t="shared" si="831"/>
        <v>0</v>
      </c>
      <c r="AD294" s="51">
        <f t="shared" si="832"/>
        <v>0</v>
      </c>
      <c r="AE294" s="51">
        <f t="shared" si="833"/>
        <v>0</v>
      </c>
      <c r="AF294" s="51">
        <f t="shared" si="834"/>
        <v>0</v>
      </c>
      <c r="AG294" s="51">
        <f t="shared" si="835"/>
        <v>0</v>
      </c>
      <c r="AH294" s="54">
        <f t="shared" si="836"/>
        <v>0</v>
      </c>
      <c r="AI294" s="55">
        <f t="shared" si="837"/>
        <v>0</v>
      </c>
      <c r="AJ294" s="56">
        <f>IF(AND($E294&lt;&gt;0,$F294&gt;0,YEAR($F294)&gt;=Preisindex!$A$6,YEAR(AE$4)&gt;=YEAR($F294),AND($K294&lt;&gt;"a",$K294&lt;&gt;"b",$K294&lt;&gt;"g",$K294&lt;&gt;"k")),1,IF(AND($E294&lt;&gt;0,$F294&gt;0,YEAR($F294)&gt;=Preisindex!$A$6,YEAR(AE$4)&gt;=YEAR($F294),$K294="a"),ROUND(VLOOKUP(AJ$4,Preisindex,5,FALSE)/VLOOKUP(YEAR($F294),Preisindex,5,FALSE),2),IF(AND($E294&lt;&gt;0,$F294&gt;0,YEAR($F294)&gt;=Preisindex!$A$6,YEAR(AE$4)&gt;=YEAR($F294),$K294="b"),ROUND(VLOOKUP(AJ$4,Preisindex,3,FALSE)/VLOOKUP(YEAR($F294),Preisindex,3,FALSE),2),IF(AND($E294&lt;&gt;0,$F294&gt;0,YEAR($F294)&gt;=Preisindex!$A$6,YEAR(AE$4)&gt;=YEAR($F294),$K294="g"),ROUND(VLOOKUP(AJ$4,Preisindex,4,FALSE)/VLOOKUP(YEAR($F294),Preisindex,4,FALSE),2),IF(AND($E294&lt;&gt;0,$F294&gt;0,YEAR($F294)&gt;=Preisindex!$A$6,YEAR(AE$4)&gt;=YEAR($F294),$K294="k"),ROUND(VLOOKUP(AJ$4,Preisindex,2,FALSE)/VLOOKUP(YEAR($F294),Preisindex,2,FALSE),2),0)))))</f>
        <v>0</v>
      </c>
      <c r="AK294" s="56">
        <f>IF(AND($E294&lt;&gt;0,$F294&gt;0,YEAR($F294)&lt;Preisindex!$A$6,YEAR(AE$4)&gt;=YEAR($F294),AND($K294&lt;&gt;"a",$K294&lt;&gt;"b",$K294&lt;&gt;"g",$K294&lt;&gt;"k")),1,IF(AND($E294&lt;&gt;0,$F294&gt;0,YEAR($F294)&lt;Preisindex!$A$6,YEAR(AE$4)&gt;=YEAR($F294),$K294="a"),ROUND(VLOOKUP(AJ$4,Preisindex,5,FALSE)/VLOOKUP(Preisindex!$A$6,Preisindex,5,FALSE),2),IF(AND($E294&lt;&gt;0,$F294&gt;0,YEAR($F294)&lt;Preisindex!$A$6,YEAR(AE$4)&gt;=YEAR($F294),$K294="b"),ROUND(VLOOKUP(AJ$4,Preisindex,3,FALSE)/VLOOKUP(Preisindex!$A$6,Preisindex,3,FALSE),2),IF(AND($E294&lt;&gt;0,$F294&gt;0,YEAR($F294)&lt;Preisindex!$A$6,YEAR(AE$4)&gt;=YEAR($F294),$K294="g"),ROUND(VLOOKUP(AJ$4,Preisindex,4,FALSE)/VLOOKUP(Preisindex!$A$6,Preisindex,4,FALSE),2),IF(AND($E294&lt;&gt;0,$F294&gt;0,YEAR($F294)&lt;Preisindex!$A$6,YEAR(AE$4)&gt;=YEAR($F294),$K294="k"),ROUND(VLOOKUP(AJ$4,Preisindex,2,FALSE)/VLOOKUP(Preisindex!$A$6,Preisindex,2,FALSE),2),0)))))</f>
        <v>0</v>
      </c>
      <c r="AL294" s="51">
        <f>IF(AND($E294&lt;&gt;0,$F294&gt;0,YEAR($F294)&lt;=AJ$4,YEAR($F294)&gt;=Preisindex!$A$6),ROUND($E294*AJ294,2),IF(AND($E294&lt;&gt;0,$F294&gt;0,YEAR($F294)&lt;=AJ$4,YEAR($F294)&lt;Preisindex!$A$6),ROUND($E294*AK294,2),0))</f>
        <v>0</v>
      </c>
      <c r="AM294" s="53">
        <f t="shared" si="838"/>
        <v>0</v>
      </c>
      <c r="AN294" s="51">
        <f t="shared" si="881"/>
        <v>0</v>
      </c>
      <c r="AO294" s="51">
        <f t="shared" si="841"/>
        <v>0</v>
      </c>
      <c r="AP294" s="51">
        <f t="shared" si="755"/>
        <v>0</v>
      </c>
      <c r="AQ294" s="51">
        <f t="shared" si="842"/>
        <v>0</v>
      </c>
      <c r="AR294" s="51">
        <f t="shared" si="756"/>
        <v>0</v>
      </c>
      <c r="AS294" s="51">
        <f t="shared" si="843"/>
        <v>0</v>
      </c>
      <c r="AT294" s="51">
        <f t="shared" si="757"/>
        <v>0</v>
      </c>
      <c r="AU294" s="51">
        <f t="shared" si="844"/>
        <v>0</v>
      </c>
      <c r="AV294" s="51">
        <f t="shared" si="758"/>
        <v>0</v>
      </c>
      <c r="AW294" s="51">
        <f t="shared" si="845"/>
        <v>0</v>
      </c>
      <c r="AX294" s="51">
        <f t="shared" si="759"/>
        <v>0</v>
      </c>
      <c r="AY294" s="54">
        <f t="shared" si="760"/>
        <v>0</v>
      </c>
      <c r="AZ294" s="55">
        <f t="shared" si="761"/>
        <v>0</v>
      </c>
      <c r="BA294" s="56">
        <f>IF(AND($E294&lt;&gt;0,$F294&gt;0,YEAR($F294)&gt;=Preisindex!$A$6,YEAR(AV$4)&gt;=YEAR($F294),AND($K294&lt;&gt;"a",$K294&lt;&gt;"b",$K294&lt;&gt;"g",$K294&lt;&gt;"k")),1,IF(AND($E294&lt;&gt;0,$F294&gt;0,YEAR($F294)&gt;=Preisindex!$A$6,YEAR(AV$4)&gt;=YEAR($F294),$K294="a"),ROUND(VLOOKUP(BA$4,Preisindex,5,FALSE)/VLOOKUP(YEAR($F294),Preisindex,5,FALSE),2),IF(AND($E294&lt;&gt;0,$F294&gt;0,YEAR($F294)&gt;=Preisindex!$A$6,YEAR(AV$4)&gt;=YEAR($F294),$K294="b"),ROUND(VLOOKUP(BA$4,Preisindex,3,FALSE)/VLOOKUP(YEAR($F294),Preisindex,3,FALSE),2),IF(AND($E294&lt;&gt;0,$F294&gt;0,YEAR($F294)&gt;=Preisindex!$A$6,YEAR(AV$4)&gt;=YEAR($F294),$K294="g"),ROUND(VLOOKUP(BA$4,Preisindex,4,FALSE)/VLOOKUP(YEAR($F294),Preisindex,4,FALSE),2),IF(AND($E294&lt;&gt;0,$F294&gt;0,YEAR($F294)&gt;=Preisindex!$A$6,YEAR(AV$4)&gt;=YEAR($F294),$K294="k"),ROUND(VLOOKUP(BA$4,Preisindex,2,FALSE)/VLOOKUP(YEAR($F294),Preisindex,2,FALSE),2),0)))))</f>
        <v>0</v>
      </c>
      <c r="BB294" s="56">
        <f>IF(AND($E294&lt;&gt;0,$F294&gt;0,YEAR($F294)&lt;Preisindex!$A$6,YEAR(AV$4)&gt;=YEAR($F294),AND($K294&lt;&gt;"a",$K294&lt;&gt;"b",$K294&lt;&gt;"g",$K294&lt;&gt;"k")),1,IF(AND($E294&lt;&gt;0,$F294&gt;0,YEAR($F294)&lt;Preisindex!$A$6,YEAR(AV$4)&gt;=YEAR($F294),$K294="a"),ROUND(VLOOKUP(BA$4,Preisindex,5,FALSE)/VLOOKUP(Preisindex!$A$6,Preisindex,5,FALSE),2),IF(AND($E294&lt;&gt;0,$F294&gt;0,YEAR($F294)&lt;Preisindex!$A$6,YEAR(AV$4)&gt;=YEAR($F294),$K294="b"),ROUND(VLOOKUP(BA$4,Preisindex,3,FALSE)/VLOOKUP(Preisindex!$A$6,Preisindex,3,FALSE),2),IF(AND($E294&lt;&gt;0,$F294&gt;0,YEAR($F294)&lt;Preisindex!$A$6,YEAR(AV$4)&gt;=YEAR($F294),$K294="g"),ROUND(VLOOKUP(BA$4,Preisindex,4,FALSE)/VLOOKUP(Preisindex!$A$6,Preisindex,4,FALSE),2),IF(AND($E294&lt;&gt;0,$F294&gt;0,YEAR($F294)&lt;Preisindex!$A$6,YEAR(AV$4)&gt;=YEAR($F294),$K294="k"),ROUND(VLOOKUP(BA$4,Preisindex,2,FALSE)/VLOOKUP(Preisindex!$A$6,Preisindex,2,FALSE),2),0)))))</f>
        <v>0</v>
      </c>
      <c r="BC294" s="51">
        <f>IF(AND($E294&lt;&gt;0,$F294&gt;0,YEAR($F294)&lt;=BA$4,YEAR($F294)&gt;=Preisindex!$A$6),ROUND($E294*BA294,2),IF(AND($E294&lt;&gt;0,$F294&gt;0,YEAR($F294)&lt;=BA$4,YEAR($F294)&lt;Preisindex!$A$6),ROUND($E294*BB294,2),0))</f>
        <v>0</v>
      </c>
      <c r="BD294" s="53">
        <f t="shared" si="762"/>
        <v>0</v>
      </c>
      <c r="BE294" s="51">
        <f t="shared" si="881"/>
        <v>0</v>
      </c>
      <c r="BF294" s="51">
        <f t="shared" si="846"/>
        <v>0</v>
      </c>
      <c r="BG294" s="51">
        <f t="shared" si="763"/>
        <v>0</v>
      </c>
      <c r="BH294" s="51">
        <f t="shared" si="847"/>
        <v>0</v>
      </c>
      <c r="BI294" s="51">
        <f t="shared" si="764"/>
        <v>0</v>
      </c>
      <c r="BJ294" s="51">
        <f t="shared" si="848"/>
        <v>0</v>
      </c>
      <c r="BK294" s="51">
        <f t="shared" si="765"/>
        <v>0</v>
      </c>
      <c r="BL294" s="51">
        <f t="shared" si="849"/>
        <v>0</v>
      </c>
      <c r="BM294" s="51">
        <f t="shared" si="766"/>
        <v>0</v>
      </c>
      <c r="BN294" s="51">
        <f t="shared" si="850"/>
        <v>0</v>
      </c>
      <c r="BO294" s="51">
        <f t="shared" si="767"/>
        <v>0</v>
      </c>
      <c r="BP294" s="54">
        <f t="shared" si="768"/>
        <v>0</v>
      </c>
      <c r="BQ294" s="55">
        <f t="shared" si="769"/>
        <v>0</v>
      </c>
      <c r="BR294" s="56">
        <f>IF(AND($E294&lt;&gt;0,$F294&gt;0,YEAR($F294)&gt;=Preisindex!$A$6,YEAR(BM$4)&gt;=YEAR($F294),AND($K294&lt;&gt;"a",$K294&lt;&gt;"b",$K294&lt;&gt;"g",$K294&lt;&gt;"k")),1,IF(AND($E294&lt;&gt;0,$F294&gt;0,YEAR($F294)&gt;=Preisindex!$A$6,YEAR(BM$4)&gt;=YEAR($F294),$K294="a"),ROUND(VLOOKUP(BR$4,Preisindex,5,FALSE)/VLOOKUP(YEAR($F294),Preisindex,5,FALSE),2),IF(AND($E294&lt;&gt;0,$F294&gt;0,YEAR($F294)&gt;=Preisindex!$A$6,YEAR(BM$4)&gt;=YEAR($F294),$K294="b"),ROUND(VLOOKUP(BR$4,Preisindex,3,FALSE)/VLOOKUP(YEAR($F294),Preisindex,3,FALSE),2),IF(AND($E294&lt;&gt;0,$F294&gt;0,YEAR($F294)&gt;=Preisindex!$A$6,YEAR(BM$4)&gt;=YEAR($F294),$K294="g"),ROUND(VLOOKUP(BR$4,Preisindex,4,FALSE)/VLOOKUP(YEAR($F294),Preisindex,4,FALSE),2),IF(AND($E294&lt;&gt;0,$F294&gt;0,YEAR($F294)&gt;=Preisindex!$A$6,YEAR(BM$4)&gt;=YEAR($F294),$K294="k"),ROUND(VLOOKUP(BR$4,Preisindex,2,FALSE)/VLOOKUP(YEAR($F294),Preisindex,2,FALSE),2),0)))))</f>
        <v>0</v>
      </c>
      <c r="BS294" s="56">
        <f>IF(AND($E294&lt;&gt;0,$F294&gt;0,YEAR($F294)&lt;Preisindex!$A$6,YEAR(BM$4)&gt;=YEAR($F294),AND($K294&lt;&gt;"a",$K294&lt;&gt;"b",$K294&lt;&gt;"g",$K294&lt;&gt;"k")),1,IF(AND($E294&lt;&gt;0,$F294&gt;0,YEAR($F294)&lt;Preisindex!$A$6,YEAR(BM$4)&gt;=YEAR($F294),$K294="a"),ROUND(VLOOKUP(BR$4,Preisindex,5,FALSE)/VLOOKUP(Preisindex!$A$6,Preisindex,5,FALSE),2),IF(AND($E294&lt;&gt;0,$F294&gt;0,YEAR($F294)&lt;Preisindex!$A$6,YEAR(BM$4)&gt;=YEAR($F294),$K294="b"),ROUND(VLOOKUP(BR$4,Preisindex,3,FALSE)/VLOOKUP(Preisindex!$A$6,Preisindex,3,FALSE),2),IF(AND($E294&lt;&gt;0,$F294&gt;0,YEAR($F294)&lt;Preisindex!$A$6,YEAR(BM$4)&gt;=YEAR($F294),$K294="g"),ROUND(VLOOKUP(BR$4,Preisindex,4,FALSE)/VLOOKUP(Preisindex!$A$6,Preisindex,4,FALSE),2),IF(AND($E294&lt;&gt;0,$F294&gt;0,YEAR($F294)&lt;Preisindex!$A$6,YEAR(BM$4)&gt;=YEAR($F294),$K294="k"),ROUND(VLOOKUP(BR$4,Preisindex,2,FALSE)/VLOOKUP(Preisindex!$A$6,Preisindex,2,FALSE),2),0)))))</f>
        <v>0</v>
      </c>
      <c r="BT294" s="51">
        <f>IF(AND($E294&lt;&gt;0,$F294&gt;0,YEAR($F294)&lt;=BR$4,YEAR($F294)&gt;=Preisindex!$A$6),ROUND($E294*BR294,2),IF(AND($E294&lt;&gt;0,$F294&gt;0,YEAR($F294)&lt;=BR$4,YEAR($F294)&lt;Preisindex!$A$6),ROUND($E294*BS294,2),0))</f>
        <v>0</v>
      </c>
      <c r="BU294" s="53">
        <f t="shared" si="770"/>
        <v>0</v>
      </c>
      <c r="BV294" s="51">
        <f t="shared" si="881"/>
        <v>0</v>
      </c>
      <c r="BW294" s="51">
        <f t="shared" si="851"/>
        <v>0</v>
      </c>
      <c r="BX294" s="51">
        <f t="shared" si="771"/>
        <v>0</v>
      </c>
      <c r="BY294" s="51">
        <f t="shared" si="852"/>
        <v>0</v>
      </c>
      <c r="BZ294" s="51">
        <f t="shared" si="772"/>
        <v>0</v>
      </c>
      <c r="CA294" s="51">
        <f t="shared" si="853"/>
        <v>0</v>
      </c>
      <c r="CB294" s="51">
        <f t="shared" si="773"/>
        <v>0</v>
      </c>
      <c r="CC294" s="51">
        <f t="shared" si="854"/>
        <v>0</v>
      </c>
      <c r="CD294" s="51">
        <f t="shared" si="774"/>
        <v>0</v>
      </c>
      <c r="CE294" s="51">
        <f t="shared" si="855"/>
        <v>0</v>
      </c>
      <c r="CF294" s="51">
        <f t="shared" si="775"/>
        <v>0</v>
      </c>
      <c r="CG294" s="54">
        <f t="shared" si="776"/>
        <v>0</v>
      </c>
      <c r="CH294" s="55">
        <f t="shared" si="777"/>
        <v>0</v>
      </c>
      <c r="CI294" s="56">
        <f>IF(AND($E294&lt;&gt;0,$F294&gt;0,YEAR($F294)&gt;=Preisindex!$A$6,YEAR(CD$4)&gt;=YEAR($F294),AND($K294&lt;&gt;"a",$K294&lt;&gt;"b",$K294&lt;&gt;"g",$K294&lt;&gt;"k")),1,IF(AND($E294&lt;&gt;0,$F294&gt;0,YEAR($F294)&gt;=Preisindex!$A$6,YEAR(CD$4)&gt;=YEAR($F294),$K294="a"),ROUND(VLOOKUP(CI$4,Preisindex,5,FALSE)/VLOOKUP(YEAR($F294),Preisindex,5,FALSE),2),IF(AND($E294&lt;&gt;0,$F294&gt;0,YEAR($F294)&gt;=Preisindex!$A$6,YEAR(CD$4)&gt;=YEAR($F294),$K294="b"),ROUND(VLOOKUP(CI$4,Preisindex,3,FALSE)/VLOOKUP(YEAR($F294),Preisindex,3,FALSE),2),IF(AND($E294&lt;&gt;0,$F294&gt;0,YEAR($F294)&gt;=Preisindex!$A$6,YEAR(CD$4)&gt;=YEAR($F294),$K294="g"),ROUND(VLOOKUP(CI$4,Preisindex,4,FALSE)/VLOOKUP(YEAR($F294),Preisindex,4,FALSE),2),IF(AND($E294&lt;&gt;0,$F294&gt;0,YEAR($F294)&gt;=Preisindex!$A$6,YEAR(CD$4)&gt;=YEAR($F294),$K294="k"),ROUND(VLOOKUP(CI$4,Preisindex,2,FALSE)/VLOOKUP(YEAR($F294),Preisindex,2,FALSE),2),0)))))</f>
        <v>0</v>
      </c>
      <c r="CJ294" s="56">
        <f>IF(AND($E294&lt;&gt;0,$F294&gt;0,YEAR($F294)&lt;Preisindex!$A$6,YEAR(CD$4)&gt;=YEAR($F294),AND($K294&lt;&gt;"a",$K294&lt;&gt;"b",$K294&lt;&gt;"g",$K294&lt;&gt;"k")),1,IF(AND($E294&lt;&gt;0,$F294&gt;0,YEAR($F294)&lt;Preisindex!$A$6,YEAR(CD$4)&gt;=YEAR($F294),$K294="a"),ROUND(VLOOKUP(CI$4,Preisindex,5,FALSE)/VLOOKUP(Preisindex!$A$6,Preisindex,5,FALSE),2),IF(AND($E294&lt;&gt;0,$F294&gt;0,YEAR($F294)&lt;Preisindex!$A$6,YEAR(CD$4)&gt;=YEAR($F294),$K294="b"),ROUND(VLOOKUP(CI$4,Preisindex,3,FALSE)/VLOOKUP(Preisindex!$A$6,Preisindex,3,FALSE),2),IF(AND($E294&lt;&gt;0,$F294&gt;0,YEAR($F294)&lt;Preisindex!$A$6,YEAR(CD$4)&gt;=YEAR($F294),$K294="g"),ROUND(VLOOKUP(CI$4,Preisindex,4,FALSE)/VLOOKUP(Preisindex!$A$6,Preisindex,4,FALSE),2),IF(AND($E294&lt;&gt;0,$F294&gt;0,YEAR($F294)&lt;Preisindex!$A$6,YEAR(CD$4)&gt;=YEAR($F294),$K294="k"),ROUND(VLOOKUP(CI$4,Preisindex,2,FALSE)/VLOOKUP(Preisindex!$A$6,Preisindex,2,FALSE),2),0)))))</f>
        <v>0</v>
      </c>
      <c r="CK294" s="51">
        <f>IF(AND($E294&lt;&gt;0,$F294&gt;0,YEAR($F294)&lt;=CI$4,YEAR($F294)&gt;=Preisindex!$A$6),ROUND($E294*CI294,2),IF(AND($E294&lt;&gt;0,$F294&gt;0,YEAR($F294)&lt;=CI$4,YEAR($F294)&lt;Preisindex!$A$6),ROUND($E294*CJ294,2),0))</f>
        <v>0</v>
      </c>
      <c r="CL294" s="53">
        <f t="shared" si="778"/>
        <v>0</v>
      </c>
      <c r="CM294" s="51">
        <f t="shared" si="881"/>
        <v>0</v>
      </c>
      <c r="CN294" s="51">
        <f t="shared" si="856"/>
        <v>0</v>
      </c>
      <c r="CO294" s="51">
        <f t="shared" si="779"/>
        <v>0</v>
      </c>
      <c r="CP294" s="51">
        <f t="shared" si="857"/>
        <v>0</v>
      </c>
      <c r="CQ294" s="51">
        <f t="shared" si="780"/>
        <v>0</v>
      </c>
      <c r="CR294" s="51">
        <f t="shared" si="858"/>
        <v>0</v>
      </c>
      <c r="CS294" s="51">
        <f t="shared" si="781"/>
        <v>0</v>
      </c>
      <c r="CT294" s="51">
        <f t="shared" si="859"/>
        <v>0</v>
      </c>
      <c r="CU294" s="51">
        <f t="shared" si="782"/>
        <v>0</v>
      </c>
      <c r="CV294" s="51">
        <f t="shared" si="860"/>
        <v>0</v>
      </c>
      <c r="CW294" s="51">
        <f t="shared" si="783"/>
        <v>0</v>
      </c>
      <c r="CX294" s="54">
        <f t="shared" si="784"/>
        <v>0</v>
      </c>
      <c r="CY294" s="55">
        <f t="shared" si="785"/>
        <v>0</v>
      </c>
      <c r="CZ294" s="56">
        <f>IF(AND($E294&lt;&gt;0,$F294&gt;0,YEAR($F294)&gt;=Preisindex!$A$6,YEAR(CU$4)&gt;=YEAR($F294),AND($K294&lt;&gt;"a",$K294&lt;&gt;"b",$K294&lt;&gt;"g",$K294&lt;&gt;"k")),1,IF(AND($E294&lt;&gt;0,$F294&gt;0,YEAR($F294)&gt;=Preisindex!$A$6,YEAR(CU$4)&gt;=YEAR($F294),$K294="a"),ROUND(VLOOKUP(CZ$4,Preisindex,5,FALSE)/VLOOKUP(YEAR($F294),Preisindex,5,FALSE),2),IF(AND($E294&lt;&gt;0,$F294&gt;0,YEAR($F294)&gt;=Preisindex!$A$6,YEAR(CU$4)&gt;=YEAR($F294),$K294="b"),ROUND(VLOOKUP(CZ$4,Preisindex,3,FALSE)/VLOOKUP(YEAR($F294),Preisindex,3,FALSE),2),IF(AND($E294&lt;&gt;0,$F294&gt;0,YEAR($F294)&gt;=Preisindex!$A$6,YEAR(CU$4)&gt;=YEAR($F294),$K294="g"),ROUND(VLOOKUP(CZ$4,Preisindex,4,FALSE)/VLOOKUP(YEAR($F294),Preisindex,4,FALSE),2),IF(AND($E294&lt;&gt;0,$F294&gt;0,YEAR($F294)&gt;=Preisindex!$A$6,YEAR(CU$4)&gt;=YEAR($F294),$K294="k"),ROUND(VLOOKUP(CZ$4,Preisindex,2,FALSE)/VLOOKUP(YEAR($F294),Preisindex,2,FALSE),2),0)))))</f>
        <v>0</v>
      </c>
      <c r="DA294" s="56">
        <f>IF(AND($E294&lt;&gt;0,$F294&gt;0,YEAR($F294)&lt;Preisindex!$A$6,YEAR(CU$4)&gt;=YEAR($F294),AND($K294&lt;&gt;"a",$K294&lt;&gt;"b",$K294&lt;&gt;"g",$K294&lt;&gt;"k")),1,IF(AND($E294&lt;&gt;0,$F294&gt;0,YEAR($F294)&lt;Preisindex!$A$6,YEAR(CU$4)&gt;=YEAR($F294),$K294="a"),ROUND(VLOOKUP(CZ$4,Preisindex,5,FALSE)/VLOOKUP(Preisindex!$A$6,Preisindex,5,FALSE),2),IF(AND($E294&lt;&gt;0,$F294&gt;0,YEAR($F294)&lt;Preisindex!$A$6,YEAR(CU$4)&gt;=YEAR($F294),$K294="b"),ROUND(VLOOKUP(CZ$4,Preisindex,3,FALSE)/VLOOKUP(Preisindex!$A$6,Preisindex,3,FALSE),2),IF(AND($E294&lt;&gt;0,$F294&gt;0,YEAR($F294)&lt;Preisindex!$A$6,YEAR(CU$4)&gt;=YEAR($F294),$K294="g"),ROUND(VLOOKUP(CZ$4,Preisindex,4,FALSE)/VLOOKUP(Preisindex!$A$6,Preisindex,4,FALSE),2),IF(AND($E294&lt;&gt;0,$F294&gt;0,YEAR($F294)&lt;Preisindex!$A$6,YEAR(CU$4)&gt;=YEAR($F294),$K294="k"),ROUND(VLOOKUP(CZ$4,Preisindex,2,FALSE)/VLOOKUP(Preisindex!$A$6,Preisindex,2,FALSE),2),0)))))</f>
        <v>0</v>
      </c>
      <c r="DB294" s="51">
        <f>IF(AND($E294&lt;&gt;0,$F294&gt;0,YEAR($F294)&lt;=CZ$4,YEAR($F294)&gt;=Preisindex!$A$6),ROUND($E294*CZ294,2),IF(AND($E294&lt;&gt;0,$F294&gt;0,YEAR($F294)&lt;=CZ$4,YEAR($F294)&lt;Preisindex!$A$6),ROUND($E294*DA294,2),0))</f>
        <v>0</v>
      </c>
      <c r="DC294" s="53">
        <f t="shared" si="786"/>
        <v>0</v>
      </c>
      <c r="DD294" s="51">
        <f t="shared" si="882"/>
        <v>0</v>
      </c>
      <c r="DE294" s="51">
        <f t="shared" si="861"/>
        <v>0</v>
      </c>
      <c r="DF294" s="51">
        <f t="shared" si="788"/>
        <v>0</v>
      </c>
      <c r="DG294" s="51">
        <f t="shared" si="862"/>
        <v>0</v>
      </c>
      <c r="DH294" s="51">
        <f t="shared" si="789"/>
        <v>0</v>
      </c>
      <c r="DI294" s="51">
        <f t="shared" si="863"/>
        <v>0</v>
      </c>
      <c r="DJ294" s="51">
        <f t="shared" si="790"/>
        <v>0</v>
      </c>
      <c r="DK294" s="51">
        <f t="shared" si="864"/>
        <v>0</v>
      </c>
      <c r="DL294" s="51">
        <f t="shared" si="791"/>
        <v>0</v>
      </c>
      <c r="DM294" s="51">
        <f t="shared" si="865"/>
        <v>0</v>
      </c>
      <c r="DN294" s="51">
        <f t="shared" si="792"/>
        <v>0</v>
      </c>
      <c r="DO294" s="54">
        <f t="shared" si="793"/>
        <v>0</v>
      </c>
      <c r="DP294" s="55">
        <f t="shared" si="794"/>
        <v>0</v>
      </c>
      <c r="DQ294" s="56">
        <f>IF(AND($E294&lt;&gt;0,$F294&gt;0,YEAR($F294)&gt;=Preisindex!$A$6,YEAR(DL$4)&gt;=YEAR($F294),AND($K294&lt;&gt;"a",$K294&lt;&gt;"b",$K294&lt;&gt;"g",$K294&lt;&gt;"k")),1,IF(AND($E294&lt;&gt;0,$F294&gt;0,YEAR($F294)&gt;=Preisindex!$A$6,YEAR(DL$4)&gt;=YEAR($F294),$K294="a"),ROUND(VLOOKUP(DQ$4,Preisindex,5,FALSE)/VLOOKUP(YEAR($F294),Preisindex,5,FALSE),2),IF(AND($E294&lt;&gt;0,$F294&gt;0,YEAR($F294)&gt;=Preisindex!$A$6,YEAR(DL$4)&gt;=YEAR($F294),$K294="b"),ROUND(VLOOKUP(DQ$4,Preisindex,3,FALSE)/VLOOKUP(YEAR($F294),Preisindex,3,FALSE),2),IF(AND($E294&lt;&gt;0,$F294&gt;0,YEAR($F294)&gt;=Preisindex!$A$6,YEAR(DL$4)&gt;=YEAR($F294),$K294="g"),ROUND(VLOOKUP(DQ$4,Preisindex,4,FALSE)/VLOOKUP(YEAR($F294),Preisindex,4,FALSE),2),IF(AND($E294&lt;&gt;0,$F294&gt;0,YEAR($F294)&gt;=Preisindex!$A$6,YEAR(DL$4)&gt;=YEAR($F294),$K294="k"),ROUND(VLOOKUP(DQ$4,Preisindex,2,FALSE)/VLOOKUP(YEAR($F294),Preisindex,2,FALSE),2),0)))))</f>
        <v>0</v>
      </c>
      <c r="DR294" s="56">
        <f>IF(AND($E294&lt;&gt;0,$F294&gt;0,YEAR($F294)&lt;Preisindex!$A$6,YEAR(DL$4)&gt;=YEAR($F294),AND($K294&lt;&gt;"a",$K294&lt;&gt;"b",$K294&lt;&gt;"g",$K294&lt;&gt;"k")),1,IF(AND($E294&lt;&gt;0,$F294&gt;0,YEAR($F294)&lt;Preisindex!$A$6,YEAR(DL$4)&gt;=YEAR($F294),$K294="a"),ROUND(VLOOKUP(DQ$4,Preisindex,5,FALSE)/VLOOKUP(Preisindex!$A$6,Preisindex,5,FALSE),2),IF(AND($E294&lt;&gt;0,$F294&gt;0,YEAR($F294)&lt;Preisindex!$A$6,YEAR(DL$4)&gt;=YEAR($F294),$K294="b"),ROUND(VLOOKUP(DQ$4,Preisindex,3,FALSE)/VLOOKUP(Preisindex!$A$6,Preisindex,3,FALSE),2),IF(AND($E294&lt;&gt;0,$F294&gt;0,YEAR($F294)&lt;Preisindex!$A$6,YEAR(DL$4)&gt;=YEAR($F294),$K294="g"),ROUND(VLOOKUP(DQ$4,Preisindex,4,FALSE)/VLOOKUP(Preisindex!$A$6,Preisindex,4,FALSE),2),IF(AND($E294&lt;&gt;0,$F294&gt;0,YEAR($F294)&lt;Preisindex!$A$6,YEAR(DL$4)&gt;=YEAR($F294),$K294="k"),ROUND(VLOOKUP(DQ$4,Preisindex,2,FALSE)/VLOOKUP(Preisindex!$A$6,Preisindex,2,FALSE),2),0)))))</f>
        <v>0</v>
      </c>
      <c r="DS294" s="51">
        <f>IF(AND($E294&lt;&gt;0,$F294&gt;0,YEAR($F294)&lt;=DQ$4,YEAR($F294)&gt;=Preisindex!$A$6),ROUND($E294*DQ294,2),IF(AND($E294&lt;&gt;0,$F294&gt;0,YEAR($F294)&lt;=DQ$4,YEAR($F294)&lt;Preisindex!$A$6),ROUND($E294*DR294,2),0))</f>
        <v>0</v>
      </c>
      <c r="DT294" s="53">
        <f t="shared" si="795"/>
        <v>0</v>
      </c>
      <c r="DU294" s="51">
        <f t="shared" si="882"/>
        <v>0</v>
      </c>
      <c r="DV294" s="51">
        <f t="shared" si="866"/>
        <v>0</v>
      </c>
      <c r="DW294" s="51">
        <f t="shared" si="796"/>
        <v>0</v>
      </c>
      <c r="DX294" s="51">
        <f t="shared" si="867"/>
        <v>0</v>
      </c>
      <c r="DY294" s="51">
        <f t="shared" si="797"/>
        <v>0</v>
      </c>
      <c r="DZ294" s="51">
        <f t="shared" si="868"/>
        <v>0</v>
      </c>
      <c r="EA294" s="51">
        <f t="shared" si="798"/>
        <v>0</v>
      </c>
      <c r="EB294" s="51">
        <f t="shared" si="869"/>
        <v>0</v>
      </c>
      <c r="EC294" s="51">
        <f t="shared" si="799"/>
        <v>0</v>
      </c>
      <c r="ED294" s="51">
        <f t="shared" si="870"/>
        <v>0</v>
      </c>
      <c r="EE294" s="51">
        <f t="shared" si="800"/>
        <v>0</v>
      </c>
      <c r="EF294" s="54">
        <f t="shared" si="801"/>
        <v>0</v>
      </c>
      <c r="EG294" s="55">
        <f t="shared" si="802"/>
        <v>0</v>
      </c>
      <c r="EH294" s="56">
        <f>IF(AND($E294&lt;&gt;0,$F294&gt;0,YEAR($F294)&gt;=Preisindex!$A$6,YEAR(EC$4)&gt;=YEAR($F294),AND($K294&lt;&gt;"a",$K294&lt;&gt;"b",$K294&lt;&gt;"g",$K294&lt;&gt;"k")),1,IF(AND($E294&lt;&gt;0,$F294&gt;0,YEAR($F294)&gt;=Preisindex!$A$6,YEAR(EC$4)&gt;=YEAR($F294),$K294="a"),ROUND(VLOOKUP(EH$4,Preisindex,5,FALSE)/VLOOKUP(YEAR($F294),Preisindex,5,FALSE),2),IF(AND($E294&lt;&gt;0,$F294&gt;0,YEAR($F294)&gt;=Preisindex!$A$6,YEAR(EC$4)&gt;=YEAR($F294),$K294="b"),ROUND(VLOOKUP(EH$4,Preisindex,3,FALSE)/VLOOKUP(YEAR($F294),Preisindex,3,FALSE),2),IF(AND($E294&lt;&gt;0,$F294&gt;0,YEAR($F294)&gt;=Preisindex!$A$6,YEAR(EC$4)&gt;=YEAR($F294),$K294="g"),ROUND(VLOOKUP(EH$4,Preisindex,4,FALSE)/VLOOKUP(YEAR($F294),Preisindex,4,FALSE),2),IF(AND($E294&lt;&gt;0,$F294&gt;0,YEAR($F294)&gt;=Preisindex!$A$6,YEAR(EC$4)&gt;=YEAR($F294),$K294="k"),ROUND(VLOOKUP(EH$4,Preisindex,2,FALSE)/VLOOKUP(YEAR($F294),Preisindex,2,FALSE),2),0)))))</f>
        <v>0</v>
      </c>
      <c r="EI294" s="56">
        <f>IF(AND($E294&lt;&gt;0,$F294&gt;0,YEAR($F294)&lt;Preisindex!$A$6,YEAR(EC$4)&gt;=YEAR($F294),AND($K294&lt;&gt;"a",$K294&lt;&gt;"b",$K294&lt;&gt;"g",$K294&lt;&gt;"k")),1,IF(AND($E294&lt;&gt;0,$F294&gt;0,YEAR($F294)&lt;Preisindex!$A$6,YEAR(EC$4)&gt;=YEAR($F294),$K294="a"),ROUND(VLOOKUP(EH$4,Preisindex,5,FALSE)/VLOOKUP(Preisindex!$A$6,Preisindex,5,FALSE),2),IF(AND($E294&lt;&gt;0,$F294&gt;0,YEAR($F294)&lt;Preisindex!$A$6,YEAR(EC$4)&gt;=YEAR($F294),$K294="b"),ROUND(VLOOKUP(EH$4,Preisindex,3,FALSE)/VLOOKUP(Preisindex!$A$6,Preisindex,3,FALSE),2),IF(AND($E294&lt;&gt;0,$F294&gt;0,YEAR($F294)&lt;Preisindex!$A$6,YEAR(EC$4)&gt;=YEAR($F294),$K294="g"),ROUND(VLOOKUP(EH$4,Preisindex,4,FALSE)/VLOOKUP(Preisindex!$A$6,Preisindex,4,FALSE),2),IF(AND($E294&lt;&gt;0,$F294&gt;0,YEAR($F294)&lt;Preisindex!$A$6,YEAR(EC$4)&gt;=YEAR($F294),$K294="k"),ROUND(VLOOKUP(EH$4,Preisindex,2,FALSE)/VLOOKUP(Preisindex!$A$6,Preisindex,2,FALSE),2),0)))))</f>
        <v>0</v>
      </c>
      <c r="EJ294" s="51">
        <f>IF(AND($E294&lt;&gt;0,$F294&gt;0,YEAR($F294)&lt;=EH$4,YEAR($F294)&gt;=Preisindex!$A$6),ROUND($E294*EH294,2),IF(AND($E294&lt;&gt;0,$F294&gt;0,YEAR($F294)&lt;=EH$4,YEAR($F294)&lt;Preisindex!$A$6),ROUND($E294*EI294,2),0))</f>
        <v>0</v>
      </c>
      <c r="EK294" s="53">
        <f t="shared" si="803"/>
        <v>0</v>
      </c>
      <c r="EL294" s="51">
        <f t="shared" si="882"/>
        <v>0</v>
      </c>
      <c r="EM294" s="51">
        <f t="shared" si="871"/>
        <v>0</v>
      </c>
      <c r="EN294" s="51">
        <f t="shared" si="804"/>
        <v>0</v>
      </c>
      <c r="EO294" s="51">
        <f t="shared" si="872"/>
        <v>0</v>
      </c>
      <c r="EP294" s="51">
        <f t="shared" si="805"/>
        <v>0</v>
      </c>
      <c r="EQ294" s="51">
        <f t="shared" si="873"/>
        <v>0</v>
      </c>
      <c r="ER294" s="51">
        <f t="shared" si="806"/>
        <v>0</v>
      </c>
      <c r="ES294" s="51">
        <f t="shared" si="874"/>
        <v>0</v>
      </c>
      <c r="ET294" s="51">
        <f t="shared" si="807"/>
        <v>0</v>
      </c>
      <c r="EU294" s="51">
        <f t="shared" si="875"/>
        <v>0</v>
      </c>
      <c r="EV294" s="51">
        <f t="shared" si="808"/>
        <v>0</v>
      </c>
      <c r="EW294" s="54">
        <f t="shared" si="809"/>
        <v>0</v>
      </c>
      <c r="EX294" s="55">
        <f t="shared" si="810"/>
        <v>0</v>
      </c>
      <c r="EY294" s="56">
        <f>IF(AND($E294&lt;&gt;0,$F294&gt;0,YEAR($F294)&gt;=Preisindex!$A$6,YEAR(ET$4)&gt;=YEAR($F294),AND($K294&lt;&gt;"a",$K294&lt;&gt;"b",$K294&lt;&gt;"g",$K294&lt;&gt;"k")),1,IF(AND($E294&lt;&gt;0,$F294&gt;0,YEAR($F294)&gt;=Preisindex!$A$6,YEAR(ET$4)&gt;=YEAR($F294),$K294="a"),ROUND(VLOOKUP(EY$4,Preisindex,5,FALSE)/VLOOKUP(YEAR($F294),Preisindex,5,FALSE),2),IF(AND($E294&lt;&gt;0,$F294&gt;0,YEAR($F294)&gt;=Preisindex!$A$6,YEAR(ET$4)&gt;=YEAR($F294),$K294="b"),ROUND(VLOOKUP(EY$4,Preisindex,3,FALSE)/VLOOKUP(YEAR($F294),Preisindex,3,FALSE),2),IF(AND($E294&lt;&gt;0,$F294&gt;0,YEAR($F294)&gt;=Preisindex!$A$6,YEAR(ET$4)&gt;=YEAR($F294),$K294="g"),ROUND(VLOOKUP(EY$4,Preisindex,4,FALSE)/VLOOKUP(YEAR($F294),Preisindex,4,FALSE),2),IF(AND($E294&lt;&gt;0,$F294&gt;0,YEAR($F294)&gt;=Preisindex!$A$6,YEAR(ET$4)&gt;=YEAR($F294),$K294="k"),ROUND(VLOOKUP(EY$4,Preisindex,2,FALSE)/VLOOKUP(YEAR($F294),Preisindex,2,FALSE),2),0)))))</f>
        <v>0</v>
      </c>
      <c r="EZ294" s="56">
        <f>IF(AND($E294&lt;&gt;0,$F294&gt;0,YEAR($F294)&lt;Preisindex!$A$6,YEAR(ET$4)&gt;=YEAR($F294),AND($K294&lt;&gt;"a",$K294&lt;&gt;"b",$K294&lt;&gt;"g",$K294&lt;&gt;"k")),1,IF(AND($E294&lt;&gt;0,$F294&gt;0,YEAR($F294)&lt;Preisindex!$A$6,YEAR(ET$4)&gt;=YEAR($F294),$K294="a"),ROUND(VLOOKUP(EY$4,Preisindex,5,FALSE)/VLOOKUP(Preisindex!$A$6,Preisindex,5,FALSE),2),IF(AND($E294&lt;&gt;0,$F294&gt;0,YEAR($F294)&lt;Preisindex!$A$6,YEAR(ET$4)&gt;=YEAR($F294),$K294="b"),ROUND(VLOOKUP(EY$4,Preisindex,3,FALSE)/VLOOKUP(Preisindex!$A$6,Preisindex,3,FALSE),2),IF(AND($E294&lt;&gt;0,$F294&gt;0,YEAR($F294)&lt;Preisindex!$A$6,YEAR(ET$4)&gt;=YEAR($F294),$K294="g"),ROUND(VLOOKUP(EY$4,Preisindex,4,FALSE)/VLOOKUP(Preisindex!$A$6,Preisindex,4,FALSE),2),IF(AND($E294&lt;&gt;0,$F294&gt;0,YEAR($F294)&lt;Preisindex!$A$6,YEAR(ET$4)&gt;=YEAR($F294),$K294="k"),ROUND(VLOOKUP(EY$4,Preisindex,2,FALSE)/VLOOKUP(Preisindex!$A$6,Preisindex,2,FALSE),2),0)))))</f>
        <v>0</v>
      </c>
      <c r="FA294" s="51">
        <f>IF(AND($E294&lt;&gt;0,$F294&gt;0,YEAR($F294)&lt;=EY$4,YEAR($F294)&gt;=Preisindex!$A$6),ROUND($E294*EY294,2),IF(AND($E294&lt;&gt;0,$F294&gt;0,YEAR($F294)&lt;=EY$4,YEAR($F294)&lt;Preisindex!$A$6),ROUND($E294*EZ294,2),0))</f>
        <v>0</v>
      </c>
      <c r="FB294" s="53">
        <f t="shared" si="811"/>
        <v>0</v>
      </c>
      <c r="FC294" s="51">
        <f t="shared" si="882"/>
        <v>0</v>
      </c>
      <c r="FD294" s="51">
        <f t="shared" si="876"/>
        <v>0</v>
      </c>
      <c r="FE294" s="51">
        <f t="shared" si="812"/>
        <v>0</v>
      </c>
      <c r="FF294" s="51">
        <f t="shared" si="877"/>
        <v>0</v>
      </c>
      <c r="FG294" s="51">
        <f t="shared" si="813"/>
        <v>0</v>
      </c>
      <c r="FH294" s="51">
        <f t="shared" si="878"/>
        <v>0</v>
      </c>
      <c r="FI294" s="51">
        <f t="shared" si="814"/>
        <v>0</v>
      </c>
      <c r="FJ294" s="51">
        <f t="shared" si="879"/>
        <v>0</v>
      </c>
      <c r="FK294" s="51">
        <f t="shared" si="815"/>
        <v>0</v>
      </c>
      <c r="FL294" s="51">
        <f t="shared" si="880"/>
        <v>0</v>
      </c>
      <c r="FM294" s="51">
        <f t="shared" si="816"/>
        <v>0</v>
      </c>
      <c r="FN294" s="54">
        <f t="shared" si="817"/>
        <v>0</v>
      </c>
      <c r="FO294" s="55">
        <f t="shared" si="818"/>
        <v>0</v>
      </c>
      <c r="FP294" s="56">
        <f>IF(AND($E294&lt;&gt;0,$F294&gt;0,YEAR($F294)&gt;=Preisindex!$A$6,YEAR(FK$4)&gt;=YEAR($F294),AND($K294&lt;&gt;"a",$K294&lt;&gt;"b",$K294&lt;&gt;"g",$K294&lt;&gt;"k")),1,IF(AND($E294&lt;&gt;0,$F294&gt;0,YEAR($F294)&gt;=Preisindex!$A$6,YEAR(FK$4)&gt;=YEAR($F294),$K294="a"),ROUND(VLOOKUP(FP$4,Preisindex,5,FALSE)/VLOOKUP(YEAR($F294),Preisindex,5,FALSE),2),IF(AND($E294&lt;&gt;0,$F294&gt;0,YEAR($F294)&gt;=Preisindex!$A$6,YEAR(FK$4)&gt;=YEAR($F294),$K294="b"),ROUND(VLOOKUP(FP$4,Preisindex,3,FALSE)/VLOOKUP(YEAR($F294),Preisindex,3,FALSE),2),IF(AND($E294&lt;&gt;0,$F294&gt;0,YEAR($F294)&gt;=Preisindex!$A$6,YEAR(FK$4)&gt;=YEAR($F294),$K294="g"),ROUND(VLOOKUP(FP$4,Preisindex,4,FALSE)/VLOOKUP(YEAR($F294),Preisindex,4,FALSE),2),IF(AND($E294&lt;&gt;0,$F294&gt;0,YEAR($F294)&gt;=Preisindex!$A$6,YEAR(FK$4)&gt;=YEAR($F294),$K294="k"),ROUND(VLOOKUP(FP$4,Preisindex,2,FALSE)/VLOOKUP(YEAR($F294),Preisindex,2,FALSE),2),0)))))</f>
        <v>0</v>
      </c>
      <c r="FQ294" s="56">
        <f>IF(AND($E294&lt;&gt;0,$F294&gt;0,YEAR($F294)&lt;Preisindex!$A$6,YEAR(FK$4)&gt;=YEAR($F294),AND($K294&lt;&gt;"a",$K294&lt;&gt;"b",$K294&lt;&gt;"g",$K294&lt;&gt;"k")),1,IF(AND($E294&lt;&gt;0,$F294&gt;0,YEAR($F294)&lt;Preisindex!$A$6,YEAR(FK$4)&gt;=YEAR($F294),$K294="a"),ROUND(VLOOKUP(FP$4,Preisindex,5,FALSE)/VLOOKUP(Preisindex!$A$6,Preisindex,5,FALSE),2),IF(AND($E294&lt;&gt;0,$F294&gt;0,YEAR($F294)&lt;Preisindex!$A$6,YEAR(FK$4)&gt;=YEAR($F294),$K294="b"),ROUND(VLOOKUP(FP$4,Preisindex,3,FALSE)/VLOOKUP(Preisindex!$A$6,Preisindex,3,FALSE),2),IF(AND($E294&lt;&gt;0,$F294&gt;0,YEAR($F294)&lt;Preisindex!$A$6,YEAR(FK$4)&gt;=YEAR($F294),$K294="g"),ROUND(VLOOKUP(FP$4,Preisindex,4,FALSE)/VLOOKUP(Preisindex!$A$6,Preisindex,4,FALSE),2),IF(AND($E294&lt;&gt;0,$F294&gt;0,YEAR($F294)&lt;Preisindex!$A$6,YEAR(FK$4)&gt;=YEAR($F294),$K294="k"),ROUND(VLOOKUP(FP$4,Preisindex,2,FALSE)/VLOOKUP(Preisindex!$A$6,Preisindex,2,FALSE),2),0)))))</f>
        <v>0</v>
      </c>
      <c r="FR294" s="51">
        <f>IF(AND($E294&lt;&gt;0,$F294&gt;0,YEAR($F294)&lt;=FP$4,YEAR($F294)&gt;=Preisindex!$A$6),ROUND($E294*FP294,2),IF(AND($E294&lt;&gt;0,$F294&gt;0,YEAR($F294)&lt;=FP$4,YEAR($F294)&lt;Preisindex!$A$6),ROUND($E294*FQ294,2),0))</f>
        <v>0</v>
      </c>
      <c r="FS294" s="53">
        <f t="shared" si="819"/>
        <v>0</v>
      </c>
    </row>
    <row r="295" spans="1:175" x14ac:dyDescent="0.3">
      <c r="A295" s="185"/>
      <c r="B295" s="186"/>
      <c r="C295" s="187"/>
      <c r="D295" s="188"/>
      <c r="E295" s="189"/>
      <c r="F295" s="190"/>
      <c r="G295" s="191"/>
      <c r="H295" s="192"/>
      <c r="I295" s="193"/>
      <c r="J295" s="194"/>
      <c r="K295" s="630"/>
      <c r="L295" s="49">
        <f t="shared" si="820"/>
        <v>0</v>
      </c>
      <c r="M295" s="50">
        <f t="shared" si="821"/>
        <v>0</v>
      </c>
      <c r="N295" s="51">
        <f t="shared" si="822"/>
        <v>0</v>
      </c>
      <c r="O295" s="51"/>
      <c r="P295" s="51">
        <f t="shared" si="823"/>
        <v>0</v>
      </c>
      <c r="Q295" s="52"/>
      <c r="R295" s="52"/>
      <c r="S295" s="52"/>
      <c r="T295" s="52"/>
      <c r="U295" s="52"/>
      <c r="V295" s="53">
        <f t="shared" si="824"/>
        <v>0</v>
      </c>
      <c r="W295" s="51">
        <f t="shared" si="825"/>
        <v>0</v>
      </c>
      <c r="X295" s="51">
        <f t="shared" si="826"/>
        <v>0</v>
      </c>
      <c r="Y295" s="51">
        <f t="shared" si="827"/>
        <v>0</v>
      </c>
      <c r="Z295" s="51">
        <f t="shared" si="828"/>
        <v>0</v>
      </c>
      <c r="AA295" s="51">
        <f t="shared" si="829"/>
        <v>0</v>
      </c>
      <c r="AB295" s="51">
        <f t="shared" si="830"/>
        <v>0</v>
      </c>
      <c r="AC295" s="51">
        <f t="shared" si="831"/>
        <v>0</v>
      </c>
      <c r="AD295" s="51">
        <f t="shared" si="832"/>
        <v>0</v>
      </c>
      <c r="AE295" s="51">
        <f t="shared" si="833"/>
        <v>0</v>
      </c>
      <c r="AF295" s="51">
        <f t="shared" si="834"/>
        <v>0</v>
      </c>
      <c r="AG295" s="51">
        <f t="shared" si="835"/>
        <v>0</v>
      </c>
      <c r="AH295" s="54">
        <f t="shared" si="836"/>
        <v>0</v>
      </c>
      <c r="AI295" s="55">
        <f t="shared" si="837"/>
        <v>0</v>
      </c>
      <c r="AJ295" s="56">
        <f>IF(AND($E295&lt;&gt;0,$F295&gt;0,YEAR($F295)&gt;=Preisindex!$A$6,YEAR(AE$4)&gt;=YEAR($F295),AND($K295&lt;&gt;"a",$K295&lt;&gt;"b",$K295&lt;&gt;"g",$K295&lt;&gt;"k")),1,IF(AND($E295&lt;&gt;0,$F295&gt;0,YEAR($F295)&gt;=Preisindex!$A$6,YEAR(AE$4)&gt;=YEAR($F295),$K295="a"),ROUND(VLOOKUP(AJ$4,Preisindex,5,FALSE)/VLOOKUP(YEAR($F295),Preisindex,5,FALSE),2),IF(AND($E295&lt;&gt;0,$F295&gt;0,YEAR($F295)&gt;=Preisindex!$A$6,YEAR(AE$4)&gt;=YEAR($F295),$K295="b"),ROUND(VLOOKUP(AJ$4,Preisindex,3,FALSE)/VLOOKUP(YEAR($F295),Preisindex,3,FALSE),2),IF(AND($E295&lt;&gt;0,$F295&gt;0,YEAR($F295)&gt;=Preisindex!$A$6,YEAR(AE$4)&gt;=YEAR($F295),$K295="g"),ROUND(VLOOKUP(AJ$4,Preisindex,4,FALSE)/VLOOKUP(YEAR($F295),Preisindex,4,FALSE),2),IF(AND($E295&lt;&gt;0,$F295&gt;0,YEAR($F295)&gt;=Preisindex!$A$6,YEAR(AE$4)&gt;=YEAR($F295),$K295="k"),ROUND(VLOOKUP(AJ$4,Preisindex,2,FALSE)/VLOOKUP(YEAR($F295),Preisindex,2,FALSE),2),0)))))</f>
        <v>0</v>
      </c>
      <c r="AK295" s="56">
        <f>IF(AND($E295&lt;&gt;0,$F295&gt;0,YEAR($F295)&lt;Preisindex!$A$6,YEAR(AE$4)&gt;=YEAR($F295),AND($K295&lt;&gt;"a",$K295&lt;&gt;"b",$K295&lt;&gt;"g",$K295&lt;&gt;"k")),1,IF(AND($E295&lt;&gt;0,$F295&gt;0,YEAR($F295)&lt;Preisindex!$A$6,YEAR(AE$4)&gt;=YEAR($F295),$K295="a"),ROUND(VLOOKUP(AJ$4,Preisindex,5,FALSE)/VLOOKUP(Preisindex!$A$6,Preisindex,5,FALSE),2),IF(AND($E295&lt;&gt;0,$F295&gt;0,YEAR($F295)&lt;Preisindex!$A$6,YEAR(AE$4)&gt;=YEAR($F295),$K295="b"),ROUND(VLOOKUP(AJ$4,Preisindex,3,FALSE)/VLOOKUP(Preisindex!$A$6,Preisindex,3,FALSE),2),IF(AND($E295&lt;&gt;0,$F295&gt;0,YEAR($F295)&lt;Preisindex!$A$6,YEAR(AE$4)&gt;=YEAR($F295),$K295="g"),ROUND(VLOOKUP(AJ$4,Preisindex,4,FALSE)/VLOOKUP(Preisindex!$A$6,Preisindex,4,FALSE),2),IF(AND($E295&lt;&gt;0,$F295&gt;0,YEAR($F295)&lt;Preisindex!$A$6,YEAR(AE$4)&gt;=YEAR($F295),$K295="k"),ROUND(VLOOKUP(AJ$4,Preisindex,2,FALSE)/VLOOKUP(Preisindex!$A$6,Preisindex,2,FALSE),2),0)))))</f>
        <v>0</v>
      </c>
      <c r="AL295" s="51">
        <f>IF(AND($E295&lt;&gt;0,$F295&gt;0,YEAR($F295)&lt;=AJ$4,YEAR($F295)&gt;=Preisindex!$A$6),ROUND($E295*AJ295,2),IF(AND($E295&lt;&gt;0,$F295&gt;0,YEAR($F295)&lt;=AJ$4,YEAR($F295)&lt;Preisindex!$A$6),ROUND($E295*AK295,2),0))</f>
        <v>0</v>
      </c>
      <c r="AM295" s="53">
        <f t="shared" si="838"/>
        <v>0</v>
      </c>
      <c r="AN295" s="51">
        <f t="shared" si="881"/>
        <v>0</v>
      </c>
      <c r="AO295" s="51">
        <f t="shared" si="841"/>
        <v>0</v>
      </c>
      <c r="AP295" s="51">
        <f t="shared" si="755"/>
        <v>0</v>
      </c>
      <c r="AQ295" s="51">
        <f t="shared" si="842"/>
        <v>0</v>
      </c>
      <c r="AR295" s="51">
        <f t="shared" si="756"/>
        <v>0</v>
      </c>
      <c r="AS295" s="51">
        <f t="shared" si="843"/>
        <v>0</v>
      </c>
      <c r="AT295" s="51">
        <f t="shared" si="757"/>
        <v>0</v>
      </c>
      <c r="AU295" s="51">
        <f t="shared" si="844"/>
        <v>0</v>
      </c>
      <c r="AV295" s="51">
        <f t="shared" si="758"/>
        <v>0</v>
      </c>
      <c r="AW295" s="51">
        <f t="shared" si="845"/>
        <v>0</v>
      </c>
      <c r="AX295" s="51">
        <f t="shared" si="759"/>
        <v>0</v>
      </c>
      <c r="AY295" s="54">
        <f t="shared" si="760"/>
        <v>0</v>
      </c>
      <c r="AZ295" s="55">
        <f t="shared" si="761"/>
        <v>0</v>
      </c>
      <c r="BA295" s="56">
        <f>IF(AND($E295&lt;&gt;0,$F295&gt;0,YEAR($F295)&gt;=Preisindex!$A$6,YEAR(AV$4)&gt;=YEAR($F295),AND($K295&lt;&gt;"a",$K295&lt;&gt;"b",$K295&lt;&gt;"g",$K295&lt;&gt;"k")),1,IF(AND($E295&lt;&gt;0,$F295&gt;0,YEAR($F295)&gt;=Preisindex!$A$6,YEAR(AV$4)&gt;=YEAR($F295),$K295="a"),ROUND(VLOOKUP(BA$4,Preisindex,5,FALSE)/VLOOKUP(YEAR($F295),Preisindex,5,FALSE),2),IF(AND($E295&lt;&gt;0,$F295&gt;0,YEAR($F295)&gt;=Preisindex!$A$6,YEAR(AV$4)&gt;=YEAR($F295),$K295="b"),ROUND(VLOOKUP(BA$4,Preisindex,3,FALSE)/VLOOKUP(YEAR($F295),Preisindex,3,FALSE),2),IF(AND($E295&lt;&gt;0,$F295&gt;0,YEAR($F295)&gt;=Preisindex!$A$6,YEAR(AV$4)&gt;=YEAR($F295),$K295="g"),ROUND(VLOOKUP(BA$4,Preisindex,4,FALSE)/VLOOKUP(YEAR($F295),Preisindex,4,FALSE),2),IF(AND($E295&lt;&gt;0,$F295&gt;0,YEAR($F295)&gt;=Preisindex!$A$6,YEAR(AV$4)&gt;=YEAR($F295),$K295="k"),ROUND(VLOOKUP(BA$4,Preisindex,2,FALSE)/VLOOKUP(YEAR($F295),Preisindex,2,FALSE),2),0)))))</f>
        <v>0</v>
      </c>
      <c r="BB295" s="56">
        <f>IF(AND($E295&lt;&gt;0,$F295&gt;0,YEAR($F295)&lt;Preisindex!$A$6,YEAR(AV$4)&gt;=YEAR($F295),AND($K295&lt;&gt;"a",$K295&lt;&gt;"b",$K295&lt;&gt;"g",$K295&lt;&gt;"k")),1,IF(AND($E295&lt;&gt;0,$F295&gt;0,YEAR($F295)&lt;Preisindex!$A$6,YEAR(AV$4)&gt;=YEAR($F295),$K295="a"),ROUND(VLOOKUP(BA$4,Preisindex,5,FALSE)/VLOOKUP(Preisindex!$A$6,Preisindex,5,FALSE),2),IF(AND($E295&lt;&gt;0,$F295&gt;0,YEAR($F295)&lt;Preisindex!$A$6,YEAR(AV$4)&gt;=YEAR($F295),$K295="b"),ROUND(VLOOKUP(BA$4,Preisindex,3,FALSE)/VLOOKUP(Preisindex!$A$6,Preisindex,3,FALSE),2),IF(AND($E295&lt;&gt;0,$F295&gt;0,YEAR($F295)&lt;Preisindex!$A$6,YEAR(AV$4)&gt;=YEAR($F295),$K295="g"),ROUND(VLOOKUP(BA$4,Preisindex,4,FALSE)/VLOOKUP(Preisindex!$A$6,Preisindex,4,FALSE),2),IF(AND($E295&lt;&gt;0,$F295&gt;0,YEAR($F295)&lt;Preisindex!$A$6,YEAR(AV$4)&gt;=YEAR($F295),$K295="k"),ROUND(VLOOKUP(BA$4,Preisindex,2,FALSE)/VLOOKUP(Preisindex!$A$6,Preisindex,2,FALSE),2),0)))))</f>
        <v>0</v>
      </c>
      <c r="BC295" s="51">
        <f>IF(AND($E295&lt;&gt;0,$F295&gt;0,YEAR($F295)&lt;=BA$4,YEAR($F295)&gt;=Preisindex!$A$6),ROUND($E295*BA295,2),IF(AND($E295&lt;&gt;0,$F295&gt;0,YEAR($F295)&lt;=BA$4,YEAR($F295)&lt;Preisindex!$A$6),ROUND($E295*BB295,2),0))</f>
        <v>0</v>
      </c>
      <c r="BD295" s="53">
        <f t="shared" si="762"/>
        <v>0</v>
      </c>
      <c r="BE295" s="51">
        <f t="shared" si="881"/>
        <v>0</v>
      </c>
      <c r="BF295" s="51">
        <f t="shared" si="846"/>
        <v>0</v>
      </c>
      <c r="BG295" s="51">
        <f t="shared" si="763"/>
        <v>0</v>
      </c>
      <c r="BH295" s="51">
        <f t="shared" si="847"/>
        <v>0</v>
      </c>
      <c r="BI295" s="51">
        <f t="shared" si="764"/>
        <v>0</v>
      </c>
      <c r="BJ295" s="51">
        <f t="shared" si="848"/>
        <v>0</v>
      </c>
      <c r="BK295" s="51">
        <f t="shared" si="765"/>
        <v>0</v>
      </c>
      <c r="BL295" s="51">
        <f t="shared" si="849"/>
        <v>0</v>
      </c>
      <c r="BM295" s="51">
        <f t="shared" si="766"/>
        <v>0</v>
      </c>
      <c r="BN295" s="51">
        <f t="shared" si="850"/>
        <v>0</v>
      </c>
      <c r="BO295" s="51">
        <f t="shared" si="767"/>
        <v>0</v>
      </c>
      <c r="BP295" s="54">
        <f t="shared" si="768"/>
        <v>0</v>
      </c>
      <c r="BQ295" s="55">
        <f t="shared" si="769"/>
        <v>0</v>
      </c>
      <c r="BR295" s="56">
        <f>IF(AND($E295&lt;&gt;0,$F295&gt;0,YEAR($F295)&gt;=Preisindex!$A$6,YEAR(BM$4)&gt;=YEAR($F295),AND($K295&lt;&gt;"a",$K295&lt;&gt;"b",$K295&lt;&gt;"g",$K295&lt;&gt;"k")),1,IF(AND($E295&lt;&gt;0,$F295&gt;0,YEAR($F295)&gt;=Preisindex!$A$6,YEAR(BM$4)&gt;=YEAR($F295),$K295="a"),ROUND(VLOOKUP(BR$4,Preisindex,5,FALSE)/VLOOKUP(YEAR($F295),Preisindex,5,FALSE),2),IF(AND($E295&lt;&gt;0,$F295&gt;0,YEAR($F295)&gt;=Preisindex!$A$6,YEAR(BM$4)&gt;=YEAR($F295),$K295="b"),ROUND(VLOOKUP(BR$4,Preisindex,3,FALSE)/VLOOKUP(YEAR($F295),Preisindex,3,FALSE),2),IF(AND($E295&lt;&gt;0,$F295&gt;0,YEAR($F295)&gt;=Preisindex!$A$6,YEAR(BM$4)&gt;=YEAR($F295),$K295="g"),ROUND(VLOOKUP(BR$4,Preisindex,4,FALSE)/VLOOKUP(YEAR($F295),Preisindex,4,FALSE),2),IF(AND($E295&lt;&gt;0,$F295&gt;0,YEAR($F295)&gt;=Preisindex!$A$6,YEAR(BM$4)&gt;=YEAR($F295),$K295="k"),ROUND(VLOOKUP(BR$4,Preisindex,2,FALSE)/VLOOKUP(YEAR($F295),Preisindex,2,FALSE),2),0)))))</f>
        <v>0</v>
      </c>
      <c r="BS295" s="56">
        <f>IF(AND($E295&lt;&gt;0,$F295&gt;0,YEAR($F295)&lt;Preisindex!$A$6,YEAR(BM$4)&gt;=YEAR($F295),AND($K295&lt;&gt;"a",$K295&lt;&gt;"b",$K295&lt;&gt;"g",$K295&lt;&gt;"k")),1,IF(AND($E295&lt;&gt;0,$F295&gt;0,YEAR($F295)&lt;Preisindex!$A$6,YEAR(BM$4)&gt;=YEAR($F295),$K295="a"),ROUND(VLOOKUP(BR$4,Preisindex,5,FALSE)/VLOOKUP(Preisindex!$A$6,Preisindex,5,FALSE),2),IF(AND($E295&lt;&gt;0,$F295&gt;0,YEAR($F295)&lt;Preisindex!$A$6,YEAR(BM$4)&gt;=YEAR($F295),$K295="b"),ROUND(VLOOKUP(BR$4,Preisindex,3,FALSE)/VLOOKUP(Preisindex!$A$6,Preisindex,3,FALSE),2),IF(AND($E295&lt;&gt;0,$F295&gt;0,YEAR($F295)&lt;Preisindex!$A$6,YEAR(BM$4)&gt;=YEAR($F295),$K295="g"),ROUND(VLOOKUP(BR$4,Preisindex,4,FALSE)/VLOOKUP(Preisindex!$A$6,Preisindex,4,FALSE),2),IF(AND($E295&lt;&gt;0,$F295&gt;0,YEAR($F295)&lt;Preisindex!$A$6,YEAR(BM$4)&gt;=YEAR($F295),$K295="k"),ROUND(VLOOKUP(BR$4,Preisindex,2,FALSE)/VLOOKUP(Preisindex!$A$6,Preisindex,2,FALSE),2),0)))))</f>
        <v>0</v>
      </c>
      <c r="BT295" s="51">
        <f>IF(AND($E295&lt;&gt;0,$F295&gt;0,YEAR($F295)&lt;=BR$4,YEAR($F295)&gt;=Preisindex!$A$6),ROUND($E295*BR295,2),IF(AND($E295&lt;&gt;0,$F295&gt;0,YEAR($F295)&lt;=BR$4,YEAR($F295)&lt;Preisindex!$A$6),ROUND($E295*BS295,2),0))</f>
        <v>0</v>
      </c>
      <c r="BU295" s="53">
        <f t="shared" si="770"/>
        <v>0</v>
      </c>
      <c r="BV295" s="51">
        <f t="shared" si="881"/>
        <v>0</v>
      </c>
      <c r="BW295" s="51">
        <f t="shared" si="851"/>
        <v>0</v>
      </c>
      <c r="BX295" s="51">
        <f t="shared" si="771"/>
        <v>0</v>
      </c>
      <c r="BY295" s="51">
        <f t="shared" si="852"/>
        <v>0</v>
      </c>
      <c r="BZ295" s="51">
        <f t="shared" si="772"/>
        <v>0</v>
      </c>
      <c r="CA295" s="51">
        <f t="shared" si="853"/>
        <v>0</v>
      </c>
      <c r="CB295" s="51">
        <f t="shared" si="773"/>
        <v>0</v>
      </c>
      <c r="CC295" s="51">
        <f t="shared" si="854"/>
        <v>0</v>
      </c>
      <c r="CD295" s="51">
        <f t="shared" si="774"/>
        <v>0</v>
      </c>
      <c r="CE295" s="51">
        <f t="shared" si="855"/>
        <v>0</v>
      </c>
      <c r="CF295" s="51">
        <f t="shared" si="775"/>
        <v>0</v>
      </c>
      <c r="CG295" s="54">
        <f t="shared" si="776"/>
        <v>0</v>
      </c>
      <c r="CH295" s="55">
        <f t="shared" si="777"/>
        <v>0</v>
      </c>
      <c r="CI295" s="56">
        <f>IF(AND($E295&lt;&gt;0,$F295&gt;0,YEAR($F295)&gt;=Preisindex!$A$6,YEAR(CD$4)&gt;=YEAR($F295),AND($K295&lt;&gt;"a",$K295&lt;&gt;"b",$K295&lt;&gt;"g",$K295&lt;&gt;"k")),1,IF(AND($E295&lt;&gt;0,$F295&gt;0,YEAR($F295)&gt;=Preisindex!$A$6,YEAR(CD$4)&gt;=YEAR($F295),$K295="a"),ROUND(VLOOKUP(CI$4,Preisindex,5,FALSE)/VLOOKUP(YEAR($F295),Preisindex,5,FALSE),2),IF(AND($E295&lt;&gt;0,$F295&gt;0,YEAR($F295)&gt;=Preisindex!$A$6,YEAR(CD$4)&gt;=YEAR($F295),$K295="b"),ROUND(VLOOKUP(CI$4,Preisindex,3,FALSE)/VLOOKUP(YEAR($F295),Preisindex,3,FALSE),2),IF(AND($E295&lt;&gt;0,$F295&gt;0,YEAR($F295)&gt;=Preisindex!$A$6,YEAR(CD$4)&gt;=YEAR($F295),$K295="g"),ROUND(VLOOKUP(CI$4,Preisindex,4,FALSE)/VLOOKUP(YEAR($F295),Preisindex,4,FALSE),2),IF(AND($E295&lt;&gt;0,$F295&gt;0,YEAR($F295)&gt;=Preisindex!$A$6,YEAR(CD$4)&gt;=YEAR($F295),$K295="k"),ROUND(VLOOKUP(CI$4,Preisindex,2,FALSE)/VLOOKUP(YEAR($F295),Preisindex,2,FALSE),2),0)))))</f>
        <v>0</v>
      </c>
      <c r="CJ295" s="56">
        <f>IF(AND($E295&lt;&gt;0,$F295&gt;0,YEAR($F295)&lt;Preisindex!$A$6,YEAR(CD$4)&gt;=YEAR($F295),AND($K295&lt;&gt;"a",$K295&lt;&gt;"b",$K295&lt;&gt;"g",$K295&lt;&gt;"k")),1,IF(AND($E295&lt;&gt;0,$F295&gt;0,YEAR($F295)&lt;Preisindex!$A$6,YEAR(CD$4)&gt;=YEAR($F295),$K295="a"),ROUND(VLOOKUP(CI$4,Preisindex,5,FALSE)/VLOOKUP(Preisindex!$A$6,Preisindex,5,FALSE),2),IF(AND($E295&lt;&gt;0,$F295&gt;0,YEAR($F295)&lt;Preisindex!$A$6,YEAR(CD$4)&gt;=YEAR($F295),$K295="b"),ROUND(VLOOKUP(CI$4,Preisindex,3,FALSE)/VLOOKUP(Preisindex!$A$6,Preisindex,3,FALSE),2),IF(AND($E295&lt;&gt;0,$F295&gt;0,YEAR($F295)&lt;Preisindex!$A$6,YEAR(CD$4)&gt;=YEAR($F295),$K295="g"),ROUND(VLOOKUP(CI$4,Preisindex,4,FALSE)/VLOOKUP(Preisindex!$A$6,Preisindex,4,FALSE),2),IF(AND($E295&lt;&gt;0,$F295&gt;0,YEAR($F295)&lt;Preisindex!$A$6,YEAR(CD$4)&gt;=YEAR($F295),$K295="k"),ROUND(VLOOKUP(CI$4,Preisindex,2,FALSE)/VLOOKUP(Preisindex!$A$6,Preisindex,2,FALSE),2),0)))))</f>
        <v>0</v>
      </c>
      <c r="CK295" s="51">
        <f>IF(AND($E295&lt;&gt;0,$F295&gt;0,YEAR($F295)&lt;=CI$4,YEAR($F295)&gt;=Preisindex!$A$6),ROUND($E295*CI295,2),IF(AND($E295&lt;&gt;0,$F295&gt;0,YEAR($F295)&lt;=CI$4,YEAR($F295)&lt;Preisindex!$A$6),ROUND($E295*CJ295,2),0))</f>
        <v>0</v>
      </c>
      <c r="CL295" s="53">
        <f t="shared" si="778"/>
        <v>0</v>
      </c>
      <c r="CM295" s="51">
        <f t="shared" si="881"/>
        <v>0</v>
      </c>
      <c r="CN295" s="51">
        <f t="shared" si="856"/>
        <v>0</v>
      </c>
      <c r="CO295" s="51">
        <f t="shared" si="779"/>
        <v>0</v>
      </c>
      <c r="CP295" s="51">
        <f t="shared" si="857"/>
        <v>0</v>
      </c>
      <c r="CQ295" s="51">
        <f t="shared" si="780"/>
        <v>0</v>
      </c>
      <c r="CR295" s="51">
        <f t="shared" si="858"/>
        <v>0</v>
      </c>
      <c r="CS295" s="51">
        <f t="shared" si="781"/>
        <v>0</v>
      </c>
      <c r="CT295" s="51">
        <f t="shared" si="859"/>
        <v>0</v>
      </c>
      <c r="CU295" s="51">
        <f t="shared" si="782"/>
        <v>0</v>
      </c>
      <c r="CV295" s="51">
        <f t="shared" si="860"/>
        <v>0</v>
      </c>
      <c r="CW295" s="51">
        <f t="shared" si="783"/>
        <v>0</v>
      </c>
      <c r="CX295" s="54">
        <f t="shared" si="784"/>
        <v>0</v>
      </c>
      <c r="CY295" s="55">
        <f t="shared" si="785"/>
        <v>0</v>
      </c>
      <c r="CZ295" s="56">
        <f>IF(AND($E295&lt;&gt;0,$F295&gt;0,YEAR($F295)&gt;=Preisindex!$A$6,YEAR(CU$4)&gt;=YEAR($F295),AND($K295&lt;&gt;"a",$K295&lt;&gt;"b",$K295&lt;&gt;"g",$K295&lt;&gt;"k")),1,IF(AND($E295&lt;&gt;0,$F295&gt;0,YEAR($F295)&gt;=Preisindex!$A$6,YEAR(CU$4)&gt;=YEAR($F295),$K295="a"),ROUND(VLOOKUP(CZ$4,Preisindex,5,FALSE)/VLOOKUP(YEAR($F295),Preisindex,5,FALSE),2),IF(AND($E295&lt;&gt;0,$F295&gt;0,YEAR($F295)&gt;=Preisindex!$A$6,YEAR(CU$4)&gt;=YEAR($F295),$K295="b"),ROUND(VLOOKUP(CZ$4,Preisindex,3,FALSE)/VLOOKUP(YEAR($F295),Preisindex,3,FALSE),2),IF(AND($E295&lt;&gt;0,$F295&gt;0,YEAR($F295)&gt;=Preisindex!$A$6,YEAR(CU$4)&gt;=YEAR($F295),$K295="g"),ROUND(VLOOKUP(CZ$4,Preisindex,4,FALSE)/VLOOKUP(YEAR($F295),Preisindex,4,FALSE),2),IF(AND($E295&lt;&gt;0,$F295&gt;0,YEAR($F295)&gt;=Preisindex!$A$6,YEAR(CU$4)&gt;=YEAR($F295),$K295="k"),ROUND(VLOOKUP(CZ$4,Preisindex,2,FALSE)/VLOOKUP(YEAR($F295),Preisindex,2,FALSE),2),0)))))</f>
        <v>0</v>
      </c>
      <c r="DA295" s="56">
        <f>IF(AND($E295&lt;&gt;0,$F295&gt;0,YEAR($F295)&lt;Preisindex!$A$6,YEAR(CU$4)&gt;=YEAR($F295),AND($K295&lt;&gt;"a",$K295&lt;&gt;"b",$K295&lt;&gt;"g",$K295&lt;&gt;"k")),1,IF(AND($E295&lt;&gt;0,$F295&gt;0,YEAR($F295)&lt;Preisindex!$A$6,YEAR(CU$4)&gt;=YEAR($F295),$K295="a"),ROUND(VLOOKUP(CZ$4,Preisindex,5,FALSE)/VLOOKUP(Preisindex!$A$6,Preisindex,5,FALSE),2),IF(AND($E295&lt;&gt;0,$F295&gt;0,YEAR($F295)&lt;Preisindex!$A$6,YEAR(CU$4)&gt;=YEAR($F295),$K295="b"),ROUND(VLOOKUP(CZ$4,Preisindex,3,FALSE)/VLOOKUP(Preisindex!$A$6,Preisindex,3,FALSE),2),IF(AND($E295&lt;&gt;0,$F295&gt;0,YEAR($F295)&lt;Preisindex!$A$6,YEAR(CU$4)&gt;=YEAR($F295),$K295="g"),ROUND(VLOOKUP(CZ$4,Preisindex,4,FALSE)/VLOOKUP(Preisindex!$A$6,Preisindex,4,FALSE),2),IF(AND($E295&lt;&gt;0,$F295&gt;0,YEAR($F295)&lt;Preisindex!$A$6,YEAR(CU$4)&gt;=YEAR($F295),$K295="k"),ROUND(VLOOKUP(CZ$4,Preisindex,2,FALSE)/VLOOKUP(Preisindex!$A$6,Preisindex,2,FALSE),2),0)))))</f>
        <v>0</v>
      </c>
      <c r="DB295" s="51">
        <f>IF(AND($E295&lt;&gt;0,$F295&gt;0,YEAR($F295)&lt;=CZ$4,YEAR($F295)&gt;=Preisindex!$A$6),ROUND($E295*CZ295,2),IF(AND($E295&lt;&gt;0,$F295&gt;0,YEAR($F295)&lt;=CZ$4,YEAR($F295)&lt;Preisindex!$A$6),ROUND($E295*DA295,2),0))</f>
        <v>0</v>
      </c>
      <c r="DC295" s="53">
        <f t="shared" si="786"/>
        <v>0</v>
      </c>
      <c r="DD295" s="51">
        <f t="shared" si="882"/>
        <v>0</v>
      </c>
      <c r="DE295" s="51">
        <f t="shared" si="861"/>
        <v>0</v>
      </c>
      <c r="DF295" s="51">
        <f t="shared" si="788"/>
        <v>0</v>
      </c>
      <c r="DG295" s="51">
        <f t="shared" si="862"/>
        <v>0</v>
      </c>
      <c r="DH295" s="51">
        <f t="shared" si="789"/>
        <v>0</v>
      </c>
      <c r="DI295" s="51">
        <f t="shared" si="863"/>
        <v>0</v>
      </c>
      <c r="DJ295" s="51">
        <f t="shared" si="790"/>
        <v>0</v>
      </c>
      <c r="DK295" s="51">
        <f t="shared" si="864"/>
        <v>0</v>
      </c>
      <c r="DL295" s="51">
        <f t="shared" si="791"/>
        <v>0</v>
      </c>
      <c r="DM295" s="51">
        <f t="shared" si="865"/>
        <v>0</v>
      </c>
      <c r="DN295" s="51">
        <f t="shared" si="792"/>
        <v>0</v>
      </c>
      <c r="DO295" s="54">
        <f t="shared" si="793"/>
        <v>0</v>
      </c>
      <c r="DP295" s="55">
        <f t="shared" si="794"/>
        <v>0</v>
      </c>
      <c r="DQ295" s="56">
        <f>IF(AND($E295&lt;&gt;0,$F295&gt;0,YEAR($F295)&gt;=Preisindex!$A$6,YEAR(DL$4)&gt;=YEAR($F295),AND($K295&lt;&gt;"a",$K295&lt;&gt;"b",$K295&lt;&gt;"g",$K295&lt;&gt;"k")),1,IF(AND($E295&lt;&gt;0,$F295&gt;0,YEAR($F295)&gt;=Preisindex!$A$6,YEAR(DL$4)&gt;=YEAR($F295),$K295="a"),ROUND(VLOOKUP(DQ$4,Preisindex,5,FALSE)/VLOOKUP(YEAR($F295),Preisindex,5,FALSE),2),IF(AND($E295&lt;&gt;0,$F295&gt;0,YEAR($F295)&gt;=Preisindex!$A$6,YEAR(DL$4)&gt;=YEAR($F295),$K295="b"),ROUND(VLOOKUP(DQ$4,Preisindex,3,FALSE)/VLOOKUP(YEAR($F295),Preisindex,3,FALSE),2),IF(AND($E295&lt;&gt;0,$F295&gt;0,YEAR($F295)&gt;=Preisindex!$A$6,YEAR(DL$4)&gt;=YEAR($F295),$K295="g"),ROUND(VLOOKUP(DQ$4,Preisindex,4,FALSE)/VLOOKUP(YEAR($F295),Preisindex,4,FALSE),2),IF(AND($E295&lt;&gt;0,$F295&gt;0,YEAR($F295)&gt;=Preisindex!$A$6,YEAR(DL$4)&gt;=YEAR($F295),$K295="k"),ROUND(VLOOKUP(DQ$4,Preisindex,2,FALSE)/VLOOKUP(YEAR($F295),Preisindex,2,FALSE),2),0)))))</f>
        <v>0</v>
      </c>
      <c r="DR295" s="56">
        <f>IF(AND($E295&lt;&gt;0,$F295&gt;0,YEAR($F295)&lt;Preisindex!$A$6,YEAR(DL$4)&gt;=YEAR($F295),AND($K295&lt;&gt;"a",$K295&lt;&gt;"b",$K295&lt;&gt;"g",$K295&lt;&gt;"k")),1,IF(AND($E295&lt;&gt;0,$F295&gt;0,YEAR($F295)&lt;Preisindex!$A$6,YEAR(DL$4)&gt;=YEAR($F295),$K295="a"),ROUND(VLOOKUP(DQ$4,Preisindex,5,FALSE)/VLOOKUP(Preisindex!$A$6,Preisindex,5,FALSE),2),IF(AND($E295&lt;&gt;0,$F295&gt;0,YEAR($F295)&lt;Preisindex!$A$6,YEAR(DL$4)&gt;=YEAR($F295),$K295="b"),ROUND(VLOOKUP(DQ$4,Preisindex,3,FALSE)/VLOOKUP(Preisindex!$A$6,Preisindex,3,FALSE),2),IF(AND($E295&lt;&gt;0,$F295&gt;0,YEAR($F295)&lt;Preisindex!$A$6,YEAR(DL$4)&gt;=YEAR($F295),$K295="g"),ROUND(VLOOKUP(DQ$4,Preisindex,4,FALSE)/VLOOKUP(Preisindex!$A$6,Preisindex,4,FALSE),2),IF(AND($E295&lt;&gt;0,$F295&gt;0,YEAR($F295)&lt;Preisindex!$A$6,YEAR(DL$4)&gt;=YEAR($F295),$K295="k"),ROUND(VLOOKUP(DQ$4,Preisindex,2,FALSE)/VLOOKUP(Preisindex!$A$6,Preisindex,2,FALSE),2),0)))))</f>
        <v>0</v>
      </c>
      <c r="DS295" s="51">
        <f>IF(AND($E295&lt;&gt;0,$F295&gt;0,YEAR($F295)&lt;=DQ$4,YEAR($F295)&gt;=Preisindex!$A$6),ROUND($E295*DQ295,2),IF(AND($E295&lt;&gt;0,$F295&gt;0,YEAR($F295)&lt;=DQ$4,YEAR($F295)&lt;Preisindex!$A$6),ROUND($E295*DR295,2),0))</f>
        <v>0</v>
      </c>
      <c r="DT295" s="53">
        <f t="shared" si="795"/>
        <v>0</v>
      </c>
      <c r="DU295" s="51">
        <f t="shared" si="882"/>
        <v>0</v>
      </c>
      <c r="DV295" s="51">
        <f t="shared" si="866"/>
        <v>0</v>
      </c>
      <c r="DW295" s="51">
        <f t="shared" si="796"/>
        <v>0</v>
      </c>
      <c r="DX295" s="51">
        <f t="shared" si="867"/>
        <v>0</v>
      </c>
      <c r="DY295" s="51">
        <f t="shared" si="797"/>
        <v>0</v>
      </c>
      <c r="DZ295" s="51">
        <f t="shared" si="868"/>
        <v>0</v>
      </c>
      <c r="EA295" s="51">
        <f t="shared" si="798"/>
        <v>0</v>
      </c>
      <c r="EB295" s="51">
        <f t="shared" si="869"/>
        <v>0</v>
      </c>
      <c r="EC295" s="51">
        <f t="shared" si="799"/>
        <v>0</v>
      </c>
      <c r="ED295" s="51">
        <f t="shared" si="870"/>
        <v>0</v>
      </c>
      <c r="EE295" s="51">
        <f t="shared" si="800"/>
        <v>0</v>
      </c>
      <c r="EF295" s="54">
        <f t="shared" si="801"/>
        <v>0</v>
      </c>
      <c r="EG295" s="55">
        <f t="shared" si="802"/>
        <v>0</v>
      </c>
      <c r="EH295" s="56">
        <f>IF(AND($E295&lt;&gt;0,$F295&gt;0,YEAR($F295)&gt;=Preisindex!$A$6,YEAR(EC$4)&gt;=YEAR($F295),AND($K295&lt;&gt;"a",$K295&lt;&gt;"b",$K295&lt;&gt;"g",$K295&lt;&gt;"k")),1,IF(AND($E295&lt;&gt;0,$F295&gt;0,YEAR($F295)&gt;=Preisindex!$A$6,YEAR(EC$4)&gt;=YEAR($F295),$K295="a"),ROUND(VLOOKUP(EH$4,Preisindex,5,FALSE)/VLOOKUP(YEAR($F295),Preisindex,5,FALSE),2),IF(AND($E295&lt;&gt;0,$F295&gt;0,YEAR($F295)&gt;=Preisindex!$A$6,YEAR(EC$4)&gt;=YEAR($F295),$K295="b"),ROUND(VLOOKUP(EH$4,Preisindex,3,FALSE)/VLOOKUP(YEAR($F295),Preisindex,3,FALSE),2),IF(AND($E295&lt;&gt;0,$F295&gt;0,YEAR($F295)&gt;=Preisindex!$A$6,YEAR(EC$4)&gt;=YEAR($F295),$K295="g"),ROUND(VLOOKUP(EH$4,Preisindex,4,FALSE)/VLOOKUP(YEAR($F295),Preisindex,4,FALSE),2),IF(AND($E295&lt;&gt;0,$F295&gt;0,YEAR($F295)&gt;=Preisindex!$A$6,YEAR(EC$4)&gt;=YEAR($F295),$K295="k"),ROUND(VLOOKUP(EH$4,Preisindex,2,FALSE)/VLOOKUP(YEAR($F295),Preisindex,2,FALSE),2),0)))))</f>
        <v>0</v>
      </c>
      <c r="EI295" s="56">
        <f>IF(AND($E295&lt;&gt;0,$F295&gt;0,YEAR($F295)&lt;Preisindex!$A$6,YEAR(EC$4)&gt;=YEAR($F295),AND($K295&lt;&gt;"a",$K295&lt;&gt;"b",$K295&lt;&gt;"g",$K295&lt;&gt;"k")),1,IF(AND($E295&lt;&gt;0,$F295&gt;0,YEAR($F295)&lt;Preisindex!$A$6,YEAR(EC$4)&gt;=YEAR($F295),$K295="a"),ROUND(VLOOKUP(EH$4,Preisindex,5,FALSE)/VLOOKUP(Preisindex!$A$6,Preisindex,5,FALSE),2),IF(AND($E295&lt;&gt;0,$F295&gt;0,YEAR($F295)&lt;Preisindex!$A$6,YEAR(EC$4)&gt;=YEAR($F295),$K295="b"),ROUND(VLOOKUP(EH$4,Preisindex,3,FALSE)/VLOOKUP(Preisindex!$A$6,Preisindex,3,FALSE),2),IF(AND($E295&lt;&gt;0,$F295&gt;0,YEAR($F295)&lt;Preisindex!$A$6,YEAR(EC$4)&gt;=YEAR($F295),$K295="g"),ROUND(VLOOKUP(EH$4,Preisindex,4,FALSE)/VLOOKUP(Preisindex!$A$6,Preisindex,4,FALSE),2),IF(AND($E295&lt;&gt;0,$F295&gt;0,YEAR($F295)&lt;Preisindex!$A$6,YEAR(EC$4)&gt;=YEAR($F295),$K295="k"),ROUND(VLOOKUP(EH$4,Preisindex,2,FALSE)/VLOOKUP(Preisindex!$A$6,Preisindex,2,FALSE),2),0)))))</f>
        <v>0</v>
      </c>
      <c r="EJ295" s="51">
        <f>IF(AND($E295&lt;&gt;0,$F295&gt;0,YEAR($F295)&lt;=EH$4,YEAR($F295)&gt;=Preisindex!$A$6),ROUND($E295*EH295,2),IF(AND($E295&lt;&gt;0,$F295&gt;0,YEAR($F295)&lt;=EH$4,YEAR($F295)&lt;Preisindex!$A$6),ROUND($E295*EI295,2),0))</f>
        <v>0</v>
      </c>
      <c r="EK295" s="53">
        <f t="shared" si="803"/>
        <v>0</v>
      </c>
      <c r="EL295" s="51">
        <f t="shared" si="882"/>
        <v>0</v>
      </c>
      <c r="EM295" s="51">
        <f t="shared" si="871"/>
        <v>0</v>
      </c>
      <c r="EN295" s="51">
        <f t="shared" si="804"/>
        <v>0</v>
      </c>
      <c r="EO295" s="51">
        <f t="shared" si="872"/>
        <v>0</v>
      </c>
      <c r="EP295" s="51">
        <f t="shared" si="805"/>
        <v>0</v>
      </c>
      <c r="EQ295" s="51">
        <f t="shared" si="873"/>
        <v>0</v>
      </c>
      <c r="ER295" s="51">
        <f t="shared" si="806"/>
        <v>0</v>
      </c>
      <c r="ES295" s="51">
        <f t="shared" si="874"/>
        <v>0</v>
      </c>
      <c r="ET295" s="51">
        <f t="shared" si="807"/>
        <v>0</v>
      </c>
      <c r="EU295" s="51">
        <f t="shared" si="875"/>
        <v>0</v>
      </c>
      <c r="EV295" s="51">
        <f t="shared" si="808"/>
        <v>0</v>
      </c>
      <c r="EW295" s="54">
        <f t="shared" si="809"/>
        <v>0</v>
      </c>
      <c r="EX295" s="55">
        <f t="shared" si="810"/>
        <v>0</v>
      </c>
      <c r="EY295" s="56">
        <f>IF(AND($E295&lt;&gt;0,$F295&gt;0,YEAR($F295)&gt;=Preisindex!$A$6,YEAR(ET$4)&gt;=YEAR($F295),AND($K295&lt;&gt;"a",$K295&lt;&gt;"b",$K295&lt;&gt;"g",$K295&lt;&gt;"k")),1,IF(AND($E295&lt;&gt;0,$F295&gt;0,YEAR($F295)&gt;=Preisindex!$A$6,YEAR(ET$4)&gt;=YEAR($F295),$K295="a"),ROUND(VLOOKUP(EY$4,Preisindex,5,FALSE)/VLOOKUP(YEAR($F295),Preisindex,5,FALSE),2),IF(AND($E295&lt;&gt;0,$F295&gt;0,YEAR($F295)&gt;=Preisindex!$A$6,YEAR(ET$4)&gt;=YEAR($F295),$K295="b"),ROUND(VLOOKUP(EY$4,Preisindex,3,FALSE)/VLOOKUP(YEAR($F295),Preisindex,3,FALSE),2),IF(AND($E295&lt;&gt;0,$F295&gt;0,YEAR($F295)&gt;=Preisindex!$A$6,YEAR(ET$4)&gt;=YEAR($F295),$K295="g"),ROUND(VLOOKUP(EY$4,Preisindex,4,FALSE)/VLOOKUP(YEAR($F295),Preisindex,4,FALSE),2),IF(AND($E295&lt;&gt;0,$F295&gt;0,YEAR($F295)&gt;=Preisindex!$A$6,YEAR(ET$4)&gt;=YEAR($F295),$K295="k"),ROUND(VLOOKUP(EY$4,Preisindex,2,FALSE)/VLOOKUP(YEAR($F295),Preisindex,2,FALSE),2),0)))))</f>
        <v>0</v>
      </c>
      <c r="EZ295" s="56">
        <f>IF(AND($E295&lt;&gt;0,$F295&gt;0,YEAR($F295)&lt;Preisindex!$A$6,YEAR(ET$4)&gt;=YEAR($F295),AND($K295&lt;&gt;"a",$K295&lt;&gt;"b",$K295&lt;&gt;"g",$K295&lt;&gt;"k")),1,IF(AND($E295&lt;&gt;0,$F295&gt;0,YEAR($F295)&lt;Preisindex!$A$6,YEAR(ET$4)&gt;=YEAR($F295),$K295="a"),ROUND(VLOOKUP(EY$4,Preisindex,5,FALSE)/VLOOKUP(Preisindex!$A$6,Preisindex,5,FALSE),2),IF(AND($E295&lt;&gt;0,$F295&gt;0,YEAR($F295)&lt;Preisindex!$A$6,YEAR(ET$4)&gt;=YEAR($F295),$K295="b"),ROUND(VLOOKUP(EY$4,Preisindex,3,FALSE)/VLOOKUP(Preisindex!$A$6,Preisindex,3,FALSE),2),IF(AND($E295&lt;&gt;0,$F295&gt;0,YEAR($F295)&lt;Preisindex!$A$6,YEAR(ET$4)&gt;=YEAR($F295),$K295="g"),ROUND(VLOOKUP(EY$4,Preisindex,4,FALSE)/VLOOKUP(Preisindex!$A$6,Preisindex,4,FALSE),2),IF(AND($E295&lt;&gt;0,$F295&gt;0,YEAR($F295)&lt;Preisindex!$A$6,YEAR(ET$4)&gt;=YEAR($F295),$K295="k"),ROUND(VLOOKUP(EY$4,Preisindex,2,FALSE)/VLOOKUP(Preisindex!$A$6,Preisindex,2,FALSE),2),0)))))</f>
        <v>0</v>
      </c>
      <c r="FA295" s="51">
        <f>IF(AND($E295&lt;&gt;0,$F295&gt;0,YEAR($F295)&lt;=EY$4,YEAR($F295)&gt;=Preisindex!$A$6),ROUND($E295*EY295,2),IF(AND($E295&lt;&gt;0,$F295&gt;0,YEAR($F295)&lt;=EY$4,YEAR($F295)&lt;Preisindex!$A$6),ROUND($E295*EZ295,2),0))</f>
        <v>0</v>
      </c>
      <c r="FB295" s="53">
        <f t="shared" si="811"/>
        <v>0</v>
      </c>
      <c r="FC295" s="51">
        <f t="shared" si="882"/>
        <v>0</v>
      </c>
      <c r="FD295" s="51">
        <f t="shared" si="876"/>
        <v>0</v>
      </c>
      <c r="FE295" s="51">
        <f t="shared" si="812"/>
        <v>0</v>
      </c>
      <c r="FF295" s="51">
        <f t="shared" si="877"/>
        <v>0</v>
      </c>
      <c r="FG295" s="51">
        <f t="shared" si="813"/>
        <v>0</v>
      </c>
      <c r="FH295" s="51">
        <f t="shared" si="878"/>
        <v>0</v>
      </c>
      <c r="FI295" s="51">
        <f t="shared" si="814"/>
        <v>0</v>
      </c>
      <c r="FJ295" s="51">
        <f t="shared" si="879"/>
        <v>0</v>
      </c>
      <c r="FK295" s="51">
        <f t="shared" si="815"/>
        <v>0</v>
      </c>
      <c r="FL295" s="51">
        <f t="shared" si="880"/>
        <v>0</v>
      </c>
      <c r="FM295" s="51">
        <f t="shared" si="816"/>
        <v>0</v>
      </c>
      <c r="FN295" s="54">
        <f t="shared" si="817"/>
        <v>0</v>
      </c>
      <c r="FO295" s="55">
        <f t="shared" si="818"/>
        <v>0</v>
      </c>
      <c r="FP295" s="56">
        <f>IF(AND($E295&lt;&gt;0,$F295&gt;0,YEAR($F295)&gt;=Preisindex!$A$6,YEAR(FK$4)&gt;=YEAR($F295),AND($K295&lt;&gt;"a",$K295&lt;&gt;"b",$K295&lt;&gt;"g",$K295&lt;&gt;"k")),1,IF(AND($E295&lt;&gt;0,$F295&gt;0,YEAR($F295)&gt;=Preisindex!$A$6,YEAR(FK$4)&gt;=YEAR($F295),$K295="a"),ROUND(VLOOKUP(FP$4,Preisindex,5,FALSE)/VLOOKUP(YEAR($F295),Preisindex,5,FALSE),2),IF(AND($E295&lt;&gt;0,$F295&gt;0,YEAR($F295)&gt;=Preisindex!$A$6,YEAR(FK$4)&gt;=YEAR($F295),$K295="b"),ROUND(VLOOKUP(FP$4,Preisindex,3,FALSE)/VLOOKUP(YEAR($F295),Preisindex,3,FALSE),2),IF(AND($E295&lt;&gt;0,$F295&gt;0,YEAR($F295)&gt;=Preisindex!$A$6,YEAR(FK$4)&gt;=YEAR($F295),$K295="g"),ROUND(VLOOKUP(FP$4,Preisindex,4,FALSE)/VLOOKUP(YEAR($F295),Preisindex,4,FALSE),2),IF(AND($E295&lt;&gt;0,$F295&gt;0,YEAR($F295)&gt;=Preisindex!$A$6,YEAR(FK$4)&gt;=YEAR($F295),$K295="k"),ROUND(VLOOKUP(FP$4,Preisindex,2,FALSE)/VLOOKUP(YEAR($F295),Preisindex,2,FALSE),2),0)))))</f>
        <v>0</v>
      </c>
      <c r="FQ295" s="56">
        <f>IF(AND($E295&lt;&gt;0,$F295&gt;0,YEAR($F295)&lt;Preisindex!$A$6,YEAR(FK$4)&gt;=YEAR($F295),AND($K295&lt;&gt;"a",$K295&lt;&gt;"b",$K295&lt;&gt;"g",$K295&lt;&gt;"k")),1,IF(AND($E295&lt;&gt;0,$F295&gt;0,YEAR($F295)&lt;Preisindex!$A$6,YEAR(FK$4)&gt;=YEAR($F295),$K295="a"),ROUND(VLOOKUP(FP$4,Preisindex,5,FALSE)/VLOOKUP(Preisindex!$A$6,Preisindex,5,FALSE),2),IF(AND($E295&lt;&gt;0,$F295&gt;0,YEAR($F295)&lt;Preisindex!$A$6,YEAR(FK$4)&gt;=YEAR($F295),$K295="b"),ROUND(VLOOKUP(FP$4,Preisindex,3,FALSE)/VLOOKUP(Preisindex!$A$6,Preisindex,3,FALSE),2),IF(AND($E295&lt;&gt;0,$F295&gt;0,YEAR($F295)&lt;Preisindex!$A$6,YEAR(FK$4)&gt;=YEAR($F295),$K295="g"),ROUND(VLOOKUP(FP$4,Preisindex,4,FALSE)/VLOOKUP(Preisindex!$A$6,Preisindex,4,FALSE),2),IF(AND($E295&lt;&gt;0,$F295&gt;0,YEAR($F295)&lt;Preisindex!$A$6,YEAR(FK$4)&gt;=YEAR($F295),$K295="k"),ROUND(VLOOKUP(FP$4,Preisindex,2,FALSE)/VLOOKUP(Preisindex!$A$6,Preisindex,2,FALSE),2),0)))))</f>
        <v>0</v>
      </c>
      <c r="FR295" s="51">
        <f>IF(AND($E295&lt;&gt;0,$F295&gt;0,YEAR($F295)&lt;=FP$4,YEAR($F295)&gt;=Preisindex!$A$6),ROUND($E295*FP295,2),IF(AND($E295&lt;&gt;0,$F295&gt;0,YEAR($F295)&lt;=FP$4,YEAR($F295)&lt;Preisindex!$A$6),ROUND($E295*FQ295,2),0))</f>
        <v>0</v>
      </c>
      <c r="FS295" s="53">
        <f t="shared" si="819"/>
        <v>0</v>
      </c>
    </row>
    <row r="296" spans="1:175" x14ac:dyDescent="0.3">
      <c r="A296" s="185"/>
      <c r="B296" s="186"/>
      <c r="C296" s="187"/>
      <c r="D296" s="188"/>
      <c r="E296" s="189"/>
      <c r="F296" s="190"/>
      <c r="G296" s="191"/>
      <c r="H296" s="192"/>
      <c r="I296" s="193"/>
      <c r="J296" s="194"/>
      <c r="K296" s="630"/>
      <c r="L296" s="49">
        <f t="shared" si="820"/>
        <v>0</v>
      </c>
      <c r="M296" s="50">
        <f t="shared" si="821"/>
        <v>0</v>
      </c>
      <c r="N296" s="51">
        <f t="shared" si="822"/>
        <v>0</v>
      </c>
      <c r="O296" s="51"/>
      <c r="P296" s="51">
        <f t="shared" si="823"/>
        <v>0</v>
      </c>
      <c r="Q296" s="52"/>
      <c r="R296" s="52"/>
      <c r="S296" s="52"/>
      <c r="T296" s="52"/>
      <c r="U296" s="52"/>
      <c r="V296" s="53">
        <f t="shared" si="824"/>
        <v>0</v>
      </c>
      <c r="W296" s="51">
        <f t="shared" si="825"/>
        <v>0</v>
      </c>
      <c r="X296" s="51">
        <f t="shared" si="826"/>
        <v>0</v>
      </c>
      <c r="Y296" s="51">
        <f t="shared" si="827"/>
        <v>0</v>
      </c>
      <c r="Z296" s="51">
        <f t="shared" si="828"/>
        <v>0</v>
      </c>
      <c r="AA296" s="51">
        <f t="shared" si="829"/>
        <v>0</v>
      </c>
      <c r="AB296" s="51">
        <f t="shared" si="830"/>
        <v>0</v>
      </c>
      <c r="AC296" s="51">
        <f t="shared" si="831"/>
        <v>0</v>
      </c>
      <c r="AD296" s="51">
        <f t="shared" si="832"/>
        <v>0</v>
      </c>
      <c r="AE296" s="51">
        <f t="shared" si="833"/>
        <v>0</v>
      </c>
      <c r="AF296" s="51">
        <f t="shared" si="834"/>
        <v>0</v>
      </c>
      <c r="AG296" s="51">
        <f t="shared" si="835"/>
        <v>0</v>
      </c>
      <c r="AH296" s="54">
        <f t="shared" si="836"/>
        <v>0</v>
      </c>
      <c r="AI296" s="55">
        <f t="shared" si="837"/>
        <v>0</v>
      </c>
      <c r="AJ296" s="56">
        <f>IF(AND($E296&lt;&gt;0,$F296&gt;0,YEAR($F296)&gt;=Preisindex!$A$6,YEAR(AE$4)&gt;=YEAR($F296),AND($K296&lt;&gt;"a",$K296&lt;&gt;"b",$K296&lt;&gt;"g",$K296&lt;&gt;"k")),1,IF(AND($E296&lt;&gt;0,$F296&gt;0,YEAR($F296)&gt;=Preisindex!$A$6,YEAR(AE$4)&gt;=YEAR($F296),$K296="a"),ROUND(VLOOKUP(AJ$4,Preisindex,5,FALSE)/VLOOKUP(YEAR($F296),Preisindex,5,FALSE),2),IF(AND($E296&lt;&gt;0,$F296&gt;0,YEAR($F296)&gt;=Preisindex!$A$6,YEAR(AE$4)&gt;=YEAR($F296),$K296="b"),ROUND(VLOOKUP(AJ$4,Preisindex,3,FALSE)/VLOOKUP(YEAR($F296),Preisindex,3,FALSE),2),IF(AND($E296&lt;&gt;0,$F296&gt;0,YEAR($F296)&gt;=Preisindex!$A$6,YEAR(AE$4)&gt;=YEAR($F296),$K296="g"),ROUND(VLOOKUP(AJ$4,Preisindex,4,FALSE)/VLOOKUP(YEAR($F296),Preisindex,4,FALSE),2),IF(AND($E296&lt;&gt;0,$F296&gt;0,YEAR($F296)&gt;=Preisindex!$A$6,YEAR(AE$4)&gt;=YEAR($F296),$K296="k"),ROUND(VLOOKUP(AJ$4,Preisindex,2,FALSE)/VLOOKUP(YEAR($F296),Preisindex,2,FALSE),2),0)))))</f>
        <v>0</v>
      </c>
      <c r="AK296" s="56">
        <f>IF(AND($E296&lt;&gt;0,$F296&gt;0,YEAR($F296)&lt;Preisindex!$A$6,YEAR(AE$4)&gt;=YEAR($F296),AND($K296&lt;&gt;"a",$K296&lt;&gt;"b",$K296&lt;&gt;"g",$K296&lt;&gt;"k")),1,IF(AND($E296&lt;&gt;0,$F296&gt;0,YEAR($F296)&lt;Preisindex!$A$6,YEAR(AE$4)&gt;=YEAR($F296),$K296="a"),ROUND(VLOOKUP(AJ$4,Preisindex,5,FALSE)/VLOOKUP(Preisindex!$A$6,Preisindex,5,FALSE),2),IF(AND($E296&lt;&gt;0,$F296&gt;0,YEAR($F296)&lt;Preisindex!$A$6,YEAR(AE$4)&gt;=YEAR($F296),$K296="b"),ROUND(VLOOKUP(AJ$4,Preisindex,3,FALSE)/VLOOKUP(Preisindex!$A$6,Preisindex,3,FALSE),2),IF(AND($E296&lt;&gt;0,$F296&gt;0,YEAR($F296)&lt;Preisindex!$A$6,YEAR(AE$4)&gt;=YEAR($F296),$K296="g"),ROUND(VLOOKUP(AJ$4,Preisindex,4,FALSE)/VLOOKUP(Preisindex!$A$6,Preisindex,4,FALSE),2),IF(AND($E296&lt;&gt;0,$F296&gt;0,YEAR($F296)&lt;Preisindex!$A$6,YEAR(AE$4)&gt;=YEAR($F296),$K296="k"),ROUND(VLOOKUP(AJ$4,Preisindex,2,FALSE)/VLOOKUP(Preisindex!$A$6,Preisindex,2,FALSE),2),0)))))</f>
        <v>0</v>
      </c>
      <c r="AL296" s="51">
        <f>IF(AND($E296&lt;&gt;0,$F296&gt;0,YEAR($F296)&lt;=AJ$4,YEAR($F296)&gt;=Preisindex!$A$6),ROUND($E296*AJ296,2),IF(AND($E296&lt;&gt;0,$F296&gt;0,YEAR($F296)&lt;=AJ$4,YEAR($F296)&lt;Preisindex!$A$6),ROUND($E296*AK296,2),0))</f>
        <v>0</v>
      </c>
      <c r="AM296" s="53">
        <f t="shared" si="838"/>
        <v>0</v>
      </c>
      <c r="AN296" s="51">
        <f t="shared" si="881"/>
        <v>0</v>
      </c>
      <c r="AO296" s="51">
        <f t="shared" si="841"/>
        <v>0</v>
      </c>
      <c r="AP296" s="51">
        <f t="shared" si="755"/>
        <v>0</v>
      </c>
      <c r="AQ296" s="51">
        <f t="shared" si="842"/>
        <v>0</v>
      </c>
      <c r="AR296" s="51">
        <f t="shared" si="756"/>
        <v>0</v>
      </c>
      <c r="AS296" s="51">
        <f t="shared" si="843"/>
        <v>0</v>
      </c>
      <c r="AT296" s="51">
        <f t="shared" si="757"/>
        <v>0</v>
      </c>
      <c r="AU296" s="51">
        <f t="shared" si="844"/>
        <v>0</v>
      </c>
      <c r="AV296" s="51">
        <f t="shared" si="758"/>
        <v>0</v>
      </c>
      <c r="AW296" s="51">
        <f t="shared" si="845"/>
        <v>0</v>
      </c>
      <c r="AX296" s="51">
        <f t="shared" si="759"/>
        <v>0</v>
      </c>
      <c r="AY296" s="54">
        <f t="shared" si="760"/>
        <v>0</v>
      </c>
      <c r="AZ296" s="55">
        <f t="shared" si="761"/>
        <v>0</v>
      </c>
      <c r="BA296" s="56">
        <f>IF(AND($E296&lt;&gt;0,$F296&gt;0,YEAR($F296)&gt;=Preisindex!$A$6,YEAR(AV$4)&gt;=YEAR($F296),AND($K296&lt;&gt;"a",$K296&lt;&gt;"b",$K296&lt;&gt;"g",$K296&lt;&gt;"k")),1,IF(AND($E296&lt;&gt;0,$F296&gt;0,YEAR($F296)&gt;=Preisindex!$A$6,YEAR(AV$4)&gt;=YEAR($F296),$K296="a"),ROUND(VLOOKUP(BA$4,Preisindex,5,FALSE)/VLOOKUP(YEAR($F296),Preisindex,5,FALSE),2),IF(AND($E296&lt;&gt;0,$F296&gt;0,YEAR($F296)&gt;=Preisindex!$A$6,YEAR(AV$4)&gt;=YEAR($F296),$K296="b"),ROUND(VLOOKUP(BA$4,Preisindex,3,FALSE)/VLOOKUP(YEAR($F296),Preisindex,3,FALSE),2),IF(AND($E296&lt;&gt;0,$F296&gt;0,YEAR($F296)&gt;=Preisindex!$A$6,YEAR(AV$4)&gt;=YEAR($F296),$K296="g"),ROUND(VLOOKUP(BA$4,Preisindex,4,FALSE)/VLOOKUP(YEAR($F296),Preisindex,4,FALSE),2),IF(AND($E296&lt;&gt;0,$F296&gt;0,YEAR($F296)&gt;=Preisindex!$A$6,YEAR(AV$4)&gt;=YEAR($F296),$K296="k"),ROUND(VLOOKUP(BA$4,Preisindex,2,FALSE)/VLOOKUP(YEAR($F296),Preisindex,2,FALSE),2),0)))))</f>
        <v>0</v>
      </c>
      <c r="BB296" s="56">
        <f>IF(AND($E296&lt;&gt;0,$F296&gt;0,YEAR($F296)&lt;Preisindex!$A$6,YEAR(AV$4)&gt;=YEAR($F296),AND($K296&lt;&gt;"a",$K296&lt;&gt;"b",$K296&lt;&gt;"g",$K296&lt;&gt;"k")),1,IF(AND($E296&lt;&gt;0,$F296&gt;0,YEAR($F296)&lt;Preisindex!$A$6,YEAR(AV$4)&gt;=YEAR($F296),$K296="a"),ROUND(VLOOKUP(BA$4,Preisindex,5,FALSE)/VLOOKUP(Preisindex!$A$6,Preisindex,5,FALSE),2),IF(AND($E296&lt;&gt;0,$F296&gt;0,YEAR($F296)&lt;Preisindex!$A$6,YEAR(AV$4)&gt;=YEAR($F296),$K296="b"),ROUND(VLOOKUP(BA$4,Preisindex,3,FALSE)/VLOOKUP(Preisindex!$A$6,Preisindex,3,FALSE),2),IF(AND($E296&lt;&gt;0,$F296&gt;0,YEAR($F296)&lt;Preisindex!$A$6,YEAR(AV$4)&gt;=YEAR($F296),$K296="g"),ROUND(VLOOKUP(BA$4,Preisindex,4,FALSE)/VLOOKUP(Preisindex!$A$6,Preisindex,4,FALSE),2),IF(AND($E296&lt;&gt;0,$F296&gt;0,YEAR($F296)&lt;Preisindex!$A$6,YEAR(AV$4)&gt;=YEAR($F296),$K296="k"),ROUND(VLOOKUP(BA$4,Preisindex,2,FALSE)/VLOOKUP(Preisindex!$A$6,Preisindex,2,FALSE),2),0)))))</f>
        <v>0</v>
      </c>
      <c r="BC296" s="51">
        <f>IF(AND($E296&lt;&gt;0,$F296&gt;0,YEAR($F296)&lt;=BA$4,YEAR($F296)&gt;=Preisindex!$A$6),ROUND($E296*BA296,2),IF(AND($E296&lt;&gt;0,$F296&gt;0,YEAR($F296)&lt;=BA$4,YEAR($F296)&lt;Preisindex!$A$6),ROUND($E296*BB296,2),0))</f>
        <v>0</v>
      </c>
      <c r="BD296" s="53">
        <f t="shared" si="762"/>
        <v>0</v>
      </c>
      <c r="BE296" s="51">
        <f t="shared" si="881"/>
        <v>0</v>
      </c>
      <c r="BF296" s="51">
        <f t="shared" si="846"/>
        <v>0</v>
      </c>
      <c r="BG296" s="51">
        <f t="shared" si="763"/>
        <v>0</v>
      </c>
      <c r="BH296" s="51">
        <f t="shared" si="847"/>
        <v>0</v>
      </c>
      <c r="BI296" s="51">
        <f t="shared" si="764"/>
        <v>0</v>
      </c>
      <c r="BJ296" s="51">
        <f t="shared" si="848"/>
        <v>0</v>
      </c>
      <c r="BK296" s="51">
        <f t="shared" si="765"/>
        <v>0</v>
      </c>
      <c r="BL296" s="51">
        <f t="shared" si="849"/>
        <v>0</v>
      </c>
      <c r="BM296" s="51">
        <f t="shared" si="766"/>
        <v>0</v>
      </c>
      <c r="BN296" s="51">
        <f t="shared" si="850"/>
        <v>0</v>
      </c>
      <c r="BO296" s="51">
        <f t="shared" si="767"/>
        <v>0</v>
      </c>
      <c r="BP296" s="54">
        <f t="shared" si="768"/>
        <v>0</v>
      </c>
      <c r="BQ296" s="55">
        <f t="shared" si="769"/>
        <v>0</v>
      </c>
      <c r="BR296" s="56">
        <f>IF(AND($E296&lt;&gt;0,$F296&gt;0,YEAR($F296)&gt;=Preisindex!$A$6,YEAR(BM$4)&gt;=YEAR($F296),AND($K296&lt;&gt;"a",$K296&lt;&gt;"b",$K296&lt;&gt;"g",$K296&lt;&gt;"k")),1,IF(AND($E296&lt;&gt;0,$F296&gt;0,YEAR($F296)&gt;=Preisindex!$A$6,YEAR(BM$4)&gt;=YEAR($F296),$K296="a"),ROUND(VLOOKUP(BR$4,Preisindex,5,FALSE)/VLOOKUP(YEAR($F296),Preisindex,5,FALSE),2),IF(AND($E296&lt;&gt;0,$F296&gt;0,YEAR($F296)&gt;=Preisindex!$A$6,YEAR(BM$4)&gt;=YEAR($F296),$K296="b"),ROUND(VLOOKUP(BR$4,Preisindex,3,FALSE)/VLOOKUP(YEAR($F296),Preisindex,3,FALSE),2),IF(AND($E296&lt;&gt;0,$F296&gt;0,YEAR($F296)&gt;=Preisindex!$A$6,YEAR(BM$4)&gt;=YEAR($F296),$K296="g"),ROUND(VLOOKUP(BR$4,Preisindex,4,FALSE)/VLOOKUP(YEAR($F296),Preisindex,4,FALSE),2),IF(AND($E296&lt;&gt;0,$F296&gt;0,YEAR($F296)&gt;=Preisindex!$A$6,YEAR(BM$4)&gt;=YEAR($F296),$K296="k"),ROUND(VLOOKUP(BR$4,Preisindex,2,FALSE)/VLOOKUP(YEAR($F296),Preisindex,2,FALSE),2),0)))))</f>
        <v>0</v>
      </c>
      <c r="BS296" s="56">
        <f>IF(AND($E296&lt;&gt;0,$F296&gt;0,YEAR($F296)&lt;Preisindex!$A$6,YEAR(BM$4)&gt;=YEAR($F296),AND($K296&lt;&gt;"a",$K296&lt;&gt;"b",$K296&lt;&gt;"g",$K296&lt;&gt;"k")),1,IF(AND($E296&lt;&gt;0,$F296&gt;0,YEAR($F296)&lt;Preisindex!$A$6,YEAR(BM$4)&gt;=YEAR($F296),$K296="a"),ROUND(VLOOKUP(BR$4,Preisindex,5,FALSE)/VLOOKUP(Preisindex!$A$6,Preisindex,5,FALSE),2),IF(AND($E296&lt;&gt;0,$F296&gt;0,YEAR($F296)&lt;Preisindex!$A$6,YEAR(BM$4)&gt;=YEAR($F296),$K296="b"),ROUND(VLOOKUP(BR$4,Preisindex,3,FALSE)/VLOOKUP(Preisindex!$A$6,Preisindex,3,FALSE),2),IF(AND($E296&lt;&gt;0,$F296&gt;0,YEAR($F296)&lt;Preisindex!$A$6,YEAR(BM$4)&gt;=YEAR($F296),$K296="g"),ROUND(VLOOKUP(BR$4,Preisindex,4,FALSE)/VLOOKUP(Preisindex!$A$6,Preisindex,4,FALSE),2),IF(AND($E296&lt;&gt;0,$F296&gt;0,YEAR($F296)&lt;Preisindex!$A$6,YEAR(BM$4)&gt;=YEAR($F296),$K296="k"),ROUND(VLOOKUP(BR$4,Preisindex,2,FALSE)/VLOOKUP(Preisindex!$A$6,Preisindex,2,FALSE),2),0)))))</f>
        <v>0</v>
      </c>
      <c r="BT296" s="51">
        <f>IF(AND($E296&lt;&gt;0,$F296&gt;0,YEAR($F296)&lt;=BR$4,YEAR($F296)&gt;=Preisindex!$A$6),ROUND($E296*BR296,2),IF(AND($E296&lt;&gt;0,$F296&gt;0,YEAR($F296)&lt;=BR$4,YEAR($F296)&lt;Preisindex!$A$6),ROUND($E296*BS296,2),0))</f>
        <v>0</v>
      </c>
      <c r="BU296" s="53">
        <f t="shared" si="770"/>
        <v>0</v>
      </c>
      <c r="BV296" s="51">
        <f t="shared" si="881"/>
        <v>0</v>
      </c>
      <c r="BW296" s="51">
        <f t="shared" si="851"/>
        <v>0</v>
      </c>
      <c r="BX296" s="51">
        <f t="shared" si="771"/>
        <v>0</v>
      </c>
      <c r="BY296" s="51">
        <f t="shared" si="852"/>
        <v>0</v>
      </c>
      <c r="BZ296" s="51">
        <f t="shared" si="772"/>
        <v>0</v>
      </c>
      <c r="CA296" s="51">
        <f t="shared" si="853"/>
        <v>0</v>
      </c>
      <c r="CB296" s="51">
        <f t="shared" si="773"/>
        <v>0</v>
      </c>
      <c r="CC296" s="51">
        <f t="shared" si="854"/>
        <v>0</v>
      </c>
      <c r="CD296" s="51">
        <f t="shared" si="774"/>
        <v>0</v>
      </c>
      <c r="CE296" s="51">
        <f t="shared" si="855"/>
        <v>0</v>
      </c>
      <c r="CF296" s="51">
        <f t="shared" si="775"/>
        <v>0</v>
      </c>
      <c r="CG296" s="54">
        <f t="shared" si="776"/>
        <v>0</v>
      </c>
      <c r="CH296" s="55">
        <f t="shared" si="777"/>
        <v>0</v>
      </c>
      <c r="CI296" s="56">
        <f>IF(AND($E296&lt;&gt;0,$F296&gt;0,YEAR($F296)&gt;=Preisindex!$A$6,YEAR(CD$4)&gt;=YEAR($F296),AND($K296&lt;&gt;"a",$K296&lt;&gt;"b",$K296&lt;&gt;"g",$K296&lt;&gt;"k")),1,IF(AND($E296&lt;&gt;0,$F296&gt;0,YEAR($F296)&gt;=Preisindex!$A$6,YEAR(CD$4)&gt;=YEAR($F296),$K296="a"),ROUND(VLOOKUP(CI$4,Preisindex,5,FALSE)/VLOOKUP(YEAR($F296),Preisindex,5,FALSE),2),IF(AND($E296&lt;&gt;0,$F296&gt;0,YEAR($F296)&gt;=Preisindex!$A$6,YEAR(CD$4)&gt;=YEAR($F296),$K296="b"),ROUND(VLOOKUP(CI$4,Preisindex,3,FALSE)/VLOOKUP(YEAR($F296),Preisindex,3,FALSE),2),IF(AND($E296&lt;&gt;0,$F296&gt;0,YEAR($F296)&gt;=Preisindex!$A$6,YEAR(CD$4)&gt;=YEAR($F296),$K296="g"),ROUND(VLOOKUP(CI$4,Preisindex,4,FALSE)/VLOOKUP(YEAR($F296),Preisindex,4,FALSE),2),IF(AND($E296&lt;&gt;0,$F296&gt;0,YEAR($F296)&gt;=Preisindex!$A$6,YEAR(CD$4)&gt;=YEAR($F296),$K296="k"),ROUND(VLOOKUP(CI$4,Preisindex,2,FALSE)/VLOOKUP(YEAR($F296),Preisindex,2,FALSE),2),0)))))</f>
        <v>0</v>
      </c>
      <c r="CJ296" s="56">
        <f>IF(AND($E296&lt;&gt;0,$F296&gt;0,YEAR($F296)&lt;Preisindex!$A$6,YEAR(CD$4)&gt;=YEAR($F296),AND($K296&lt;&gt;"a",$K296&lt;&gt;"b",$K296&lt;&gt;"g",$K296&lt;&gt;"k")),1,IF(AND($E296&lt;&gt;0,$F296&gt;0,YEAR($F296)&lt;Preisindex!$A$6,YEAR(CD$4)&gt;=YEAR($F296),$K296="a"),ROUND(VLOOKUP(CI$4,Preisindex,5,FALSE)/VLOOKUP(Preisindex!$A$6,Preisindex,5,FALSE),2),IF(AND($E296&lt;&gt;0,$F296&gt;0,YEAR($F296)&lt;Preisindex!$A$6,YEAR(CD$4)&gt;=YEAR($F296),$K296="b"),ROUND(VLOOKUP(CI$4,Preisindex,3,FALSE)/VLOOKUP(Preisindex!$A$6,Preisindex,3,FALSE),2),IF(AND($E296&lt;&gt;0,$F296&gt;0,YEAR($F296)&lt;Preisindex!$A$6,YEAR(CD$4)&gt;=YEAR($F296),$K296="g"),ROUND(VLOOKUP(CI$4,Preisindex,4,FALSE)/VLOOKUP(Preisindex!$A$6,Preisindex,4,FALSE),2),IF(AND($E296&lt;&gt;0,$F296&gt;0,YEAR($F296)&lt;Preisindex!$A$6,YEAR(CD$4)&gt;=YEAR($F296),$K296="k"),ROUND(VLOOKUP(CI$4,Preisindex,2,FALSE)/VLOOKUP(Preisindex!$A$6,Preisindex,2,FALSE),2),0)))))</f>
        <v>0</v>
      </c>
      <c r="CK296" s="51">
        <f>IF(AND($E296&lt;&gt;0,$F296&gt;0,YEAR($F296)&lt;=CI$4,YEAR($F296)&gt;=Preisindex!$A$6),ROUND($E296*CI296,2),IF(AND($E296&lt;&gt;0,$F296&gt;0,YEAR($F296)&lt;=CI$4,YEAR($F296)&lt;Preisindex!$A$6),ROUND($E296*CJ296,2),0))</f>
        <v>0</v>
      </c>
      <c r="CL296" s="53">
        <f t="shared" si="778"/>
        <v>0</v>
      </c>
      <c r="CM296" s="51">
        <f t="shared" si="881"/>
        <v>0</v>
      </c>
      <c r="CN296" s="51">
        <f t="shared" si="856"/>
        <v>0</v>
      </c>
      <c r="CO296" s="51">
        <f t="shared" si="779"/>
        <v>0</v>
      </c>
      <c r="CP296" s="51">
        <f t="shared" si="857"/>
        <v>0</v>
      </c>
      <c r="CQ296" s="51">
        <f t="shared" si="780"/>
        <v>0</v>
      </c>
      <c r="CR296" s="51">
        <f t="shared" si="858"/>
        <v>0</v>
      </c>
      <c r="CS296" s="51">
        <f t="shared" si="781"/>
        <v>0</v>
      </c>
      <c r="CT296" s="51">
        <f t="shared" si="859"/>
        <v>0</v>
      </c>
      <c r="CU296" s="51">
        <f t="shared" si="782"/>
        <v>0</v>
      </c>
      <c r="CV296" s="51">
        <f t="shared" si="860"/>
        <v>0</v>
      </c>
      <c r="CW296" s="51">
        <f t="shared" si="783"/>
        <v>0</v>
      </c>
      <c r="CX296" s="54">
        <f t="shared" si="784"/>
        <v>0</v>
      </c>
      <c r="CY296" s="55">
        <f t="shared" si="785"/>
        <v>0</v>
      </c>
      <c r="CZ296" s="56">
        <f>IF(AND($E296&lt;&gt;0,$F296&gt;0,YEAR($F296)&gt;=Preisindex!$A$6,YEAR(CU$4)&gt;=YEAR($F296),AND($K296&lt;&gt;"a",$K296&lt;&gt;"b",$K296&lt;&gt;"g",$K296&lt;&gt;"k")),1,IF(AND($E296&lt;&gt;0,$F296&gt;0,YEAR($F296)&gt;=Preisindex!$A$6,YEAR(CU$4)&gt;=YEAR($F296),$K296="a"),ROUND(VLOOKUP(CZ$4,Preisindex,5,FALSE)/VLOOKUP(YEAR($F296),Preisindex,5,FALSE),2),IF(AND($E296&lt;&gt;0,$F296&gt;0,YEAR($F296)&gt;=Preisindex!$A$6,YEAR(CU$4)&gt;=YEAR($F296),$K296="b"),ROUND(VLOOKUP(CZ$4,Preisindex,3,FALSE)/VLOOKUP(YEAR($F296),Preisindex,3,FALSE),2),IF(AND($E296&lt;&gt;0,$F296&gt;0,YEAR($F296)&gt;=Preisindex!$A$6,YEAR(CU$4)&gt;=YEAR($F296),$K296="g"),ROUND(VLOOKUP(CZ$4,Preisindex,4,FALSE)/VLOOKUP(YEAR($F296),Preisindex,4,FALSE),2),IF(AND($E296&lt;&gt;0,$F296&gt;0,YEAR($F296)&gt;=Preisindex!$A$6,YEAR(CU$4)&gt;=YEAR($F296),$K296="k"),ROUND(VLOOKUP(CZ$4,Preisindex,2,FALSE)/VLOOKUP(YEAR($F296),Preisindex,2,FALSE),2),0)))))</f>
        <v>0</v>
      </c>
      <c r="DA296" s="56">
        <f>IF(AND($E296&lt;&gt;0,$F296&gt;0,YEAR($F296)&lt;Preisindex!$A$6,YEAR(CU$4)&gt;=YEAR($F296),AND($K296&lt;&gt;"a",$K296&lt;&gt;"b",$K296&lt;&gt;"g",$K296&lt;&gt;"k")),1,IF(AND($E296&lt;&gt;0,$F296&gt;0,YEAR($F296)&lt;Preisindex!$A$6,YEAR(CU$4)&gt;=YEAR($F296),$K296="a"),ROUND(VLOOKUP(CZ$4,Preisindex,5,FALSE)/VLOOKUP(Preisindex!$A$6,Preisindex,5,FALSE),2),IF(AND($E296&lt;&gt;0,$F296&gt;0,YEAR($F296)&lt;Preisindex!$A$6,YEAR(CU$4)&gt;=YEAR($F296),$K296="b"),ROUND(VLOOKUP(CZ$4,Preisindex,3,FALSE)/VLOOKUP(Preisindex!$A$6,Preisindex,3,FALSE),2),IF(AND($E296&lt;&gt;0,$F296&gt;0,YEAR($F296)&lt;Preisindex!$A$6,YEAR(CU$4)&gt;=YEAR($F296),$K296="g"),ROUND(VLOOKUP(CZ$4,Preisindex,4,FALSE)/VLOOKUP(Preisindex!$A$6,Preisindex,4,FALSE),2),IF(AND($E296&lt;&gt;0,$F296&gt;0,YEAR($F296)&lt;Preisindex!$A$6,YEAR(CU$4)&gt;=YEAR($F296),$K296="k"),ROUND(VLOOKUP(CZ$4,Preisindex,2,FALSE)/VLOOKUP(Preisindex!$A$6,Preisindex,2,FALSE),2),0)))))</f>
        <v>0</v>
      </c>
      <c r="DB296" s="51">
        <f>IF(AND($E296&lt;&gt;0,$F296&gt;0,YEAR($F296)&lt;=CZ$4,YEAR($F296)&gt;=Preisindex!$A$6),ROUND($E296*CZ296,2),IF(AND($E296&lt;&gt;0,$F296&gt;0,YEAR($F296)&lt;=CZ$4,YEAR($F296)&lt;Preisindex!$A$6),ROUND($E296*DA296,2),0))</f>
        <v>0</v>
      </c>
      <c r="DC296" s="53">
        <f t="shared" si="786"/>
        <v>0</v>
      </c>
      <c r="DD296" s="51">
        <f t="shared" si="882"/>
        <v>0</v>
      </c>
      <c r="DE296" s="51">
        <f t="shared" si="861"/>
        <v>0</v>
      </c>
      <c r="DF296" s="51">
        <f t="shared" si="788"/>
        <v>0</v>
      </c>
      <c r="DG296" s="51">
        <f t="shared" si="862"/>
        <v>0</v>
      </c>
      <c r="DH296" s="51">
        <f t="shared" si="789"/>
        <v>0</v>
      </c>
      <c r="DI296" s="51">
        <f t="shared" si="863"/>
        <v>0</v>
      </c>
      <c r="DJ296" s="51">
        <f t="shared" si="790"/>
        <v>0</v>
      </c>
      <c r="DK296" s="51">
        <f t="shared" si="864"/>
        <v>0</v>
      </c>
      <c r="DL296" s="51">
        <f t="shared" si="791"/>
        <v>0</v>
      </c>
      <c r="DM296" s="51">
        <f t="shared" si="865"/>
        <v>0</v>
      </c>
      <c r="DN296" s="51">
        <f t="shared" si="792"/>
        <v>0</v>
      </c>
      <c r="DO296" s="54">
        <f t="shared" si="793"/>
        <v>0</v>
      </c>
      <c r="DP296" s="55">
        <f t="shared" si="794"/>
        <v>0</v>
      </c>
      <c r="DQ296" s="56">
        <f>IF(AND($E296&lt;&gt;0,$F296&gt;0,YEAR($F296)&gt;=Preisindex!$A$6,YEAR(DL$4)&gt;=YEAR($F296),AND($K296&lt;&gt;"a",$K296&lt;&gt;"b",$K296&lt;&gt;"g",$K296&lt;&gt;"k")),1,IF(AND($E296&lt;&gt;0,$F296&gt;0,YEAR($F296)&gt;=Preisindex!$A$6,YEAR(DL$4)&gt;=YEAR($F296),$K296="a"),ROUND(VLOOKUP(DQ$4,Preisindex,5,FALSE)/VLOOKUP(YEAR($F296),Preisindex,5,FALSE),2),IF(AND($E296&lt;&gt;0,$F296&gt;0,YEAR($F296)&gt;=Preisindex!$A$6,YEAR(DL$4)&gt;=YEAR($F296),$K296="b"),ROUND(VLOOKUP(DQ$4,Preisindex,3,FALSE)/VLOOKUP(YEAR($F296),Preisindex,3,FALSE),2),IF(AND($E296&lt;&gt;0,$F296&gt;0,YEAR($F296)&gt;=Preisindex!$A$6,YEAR(DL$4)&gt;=YEAR($F296),$K296="g"),ROUND(VLOOKUP(DQ$4,Preisindex,4,FALSE)/VLOOKUP(YEAR($F296),Preisindex,4,FALSE),2),IF(AND($E296&lt;&gt;0,$F296&gt;0,YEAR($F296)&gt;=Preisindex!$A$6,YEAR(DL$4)&gt;=YEAR($F296),$K296="k"),ROUND(VLOOKUP(DQ$4,Preisindex,2,FALSE)/VLOOKUP(YEAR($F296),Preisindex,2,FALSE),2),0)))))</f>
        <v>0</v>
      </c>
      <c r="DR296" s="56">
        <f>IF(AND($E296&lt;&gt;0,$F296&gt;0,YEAR($F296)&lt;Preisindex!$A$6,YEAR(DL$4)&gt;=YEAR($F296),AND($K296&lt;&gt;"a",$K296&lt;&gt;"b",$K296&lt;&gt;"g",$K296&lt;&gt;"k")),1,IF(AND($E296&lt;&gt;0,$F296&gt;0,YEAR($F296)&lt;Preisindex!$A$6,YEAR(DL$4)&gt;=YEAR($F296),$K296="a"),ROUND(VLOOKUP(DQ$4,Preisindex,5,FALSE)/VLOOKUP(Preisindex!$A$6,Preisindex,5,FALSE),2),IF(AND($E296&lt;&gt;0,$F296&gt;0,YEAR($F296)&lt;Preisindex!$A$6,YEAR(DL$4)&gt;=YEAR($F296),$K296="b"),ROUND(VLOOKUP(DQ$4,Preisindex,3,FALSE)/VLOOKUP(Preisindex!$A$6,Preisindex,3,FALSE),2),IF(AND($E296&lt;&gt;0,$F296&gt;0,YEAR($F296)&lt;Preisindex!$A$6,YEAR(DL$4)&gt;=YEAR($F296),$K296="g"),ROUND(VLOOKUP(DQ$4,Preisindex,4,FALSE)/VLOOKUP(Preisindex!$A$6,Preisindex,4,FALSE),2),IF(AND($E296&lt;&gt;0,$F296&gt;0,YEAR($F296)&lt;Preisindex!$A$6,YEAR(DL$4)&gt;=YEAR($F296),$K296="k"),ROUND(VLOOKUP(DQ$4,Preisindex,2,FALSE)/VLOOKUP(Preisindex!$A$6,Preisindex,2,FALSE),2),0)))))</f>
        <v>0</v>
      </c>
      <c r="DS296" s="51">
        <f>IF(AND($E296&lt;&gt;0,$F296&gt;0,YEAR($F296)&lt;=DQ$4,YEAR($F296)&gt;=Preisindex!$A$6),ROUND($E296*DQ296,2),IF(AND($E296&lt;&gt;0,$F296&gt;0,YEAR($F296)&lt;=DQ$4,YEAR($F296)&lt;Preisindex!$A$6),ROUND($E296*DR296,2),0))</f>
        <v>0</v>
      </c>
      <c r="DT296" s="53">
        <f t="shared" si="795"/>
        <v>0</v>
      </c>
      <c r="DU296" s="51">
        <f t="shared" si="882"/>
        <v>0</v>
      </c>
      <c r="DV296" s="51">
        <f t="shared" si="866"/>
        <v>0</v>
      </c>
      <c r="DW296" s="51">
        <f t="shared" si="796"/>
        <v>0</v>
      </c>
      <c r="DX296" s="51">
        <f t="shared" si="867"/>
        <v>0</v>
      </c>
      <c r="DY296" s="51">
        <f t="shared" si="797"/>
        <v>0</v>
      </c>
      <c r="DZ296" s="51">
        <f t="shared" si="868"/>
        <v>0</v>
      </c>
      <c r="EA296" s="51">
        <f t="shared" si="798"/>
        <v>0</v>
      </c>
      <c r="EB296" s="51">
        <f t="shared" si="869"/>
        <v>0</v>
      </c>
      <c r="EC296" s="51">
        <f t="shared" si="799"/>
        <v>0</v>
      </c>
      <c r="ED296" s="51">
        <f t="shared" si="870"/>
        <v>0</v>
      </c>
      <c r="EE296" s="51">
        <f t="shared" si="800"/>
        <v>0</v>
      </c>
      <c r="EF296" s="54">
        <f t="shared" si="801"/>
        <v>0</v>
      </c>
      <c r="EG296" s="55">
        <f t="shared" si="802"/>
        <v>0</v>
      </c>
      <c r="EH296" s="56">
        <f>IF(AND($E296&lt;&gt;0,$F296&gt;0,YEAR($F296)&gt;=Preisindex!$A$6,YEAR(EC$4)&gt;=YEAR($F296),AND($K296&lt;&gt;"a",$K296&lt;&gt;"b",$K296&lt;&gt;"g",$K296&lt;&gt;"k")),1,IF(AND($E296&lt;&gt;0,$F296&gt;0,YEAR($F296)&gt;=Preisindex!$A$6,YEAR(EC$4)&gt;=YEAR($F296),$K296="a"),ROUND(VLOOKUP(EH$4,Preisindex,5,FALSE)/VLOOKUP(YEAR($F296),Preisindex,5,FALSE),2),IF(AND($E296&lt;&gt;0,$F296&gt;0,YEAR($F296)&gt;=Preisindex!$A$6,YEAR(EC$4)&gt;=YEAR($F296),$K296="b"),ROUND(VLOOKUP(EH$4,Preisindex,3,FALSE)/VLOOKUP(YEAR($F296),Preisindex,3,FALSE),2),IF(AND($E296&lt;&gt;0,$F296&gt;0,YEAR($F296)&gt;=Preisindex!$A$6,YEAR(EC$4)&gt;=YEAR($F296),$K296="g"),ROUND(VLOOKUP(EH$4,Preisindex,4,FALSE)/VLOOKUP(YEAR($F296),Preisindex,4,FALSE),2),IF(AND($E296&lt;&gt;0,$F296&gt;0,YEAR($F296)&gt;=Preisindex!$A$6,YEAR(EC$4)&gt;=YEAR($F296),$K296="k"),ROUND(VLOOKUP(EH$4,Preisindex,2,FALSE)/VLOOKUP(YEAR($F296),Preisindex,2,FALSE),2),0)))))</f>
        <v>0</v>
      </c>
      <c r="EI296" s="56">
        <f>IF(AND($E296&lt;&gt;0,$F296&gt;0,YEAR($F296)&lt;Preisindex!$A$6,YEAR(EC$4)&gt;=YEAR($F296),AND($K296&lt;&gt;"a",$K296&lt;&gt;"b",$K296&lt;&gt;"g",$K296&lt;&gt;"k")),1,IF(AND($E296&lt;&gt;0,$F296&gt;0,YEAR($F296)&lt;Preisindex!$A$6,YEAR(EC$4)&gt;=YEAR($F296),$K296="a"),ROUND(VLOOKUP(EH$4,Preisindex,5,FALSE)/VLOOKUP(Preisindex!$A$6,Preisindex,5,FALSE),2),IF(AND($E296&lt;&gt;0,$F296&gt;0,YEAR($F296)&lt;Preisindex!$A$6,YEAR(EC$4)&gt;=YEAR($F296),$K296="b"),ROUND(VLOOKUP(EH$4,Preisindex,3,FALSE)/VLOOKUP(Preisindex!$A$6,Preisindex,3,FALSE),2),IF(AND($E296&lt;&gt;0,$F296&gt;0,YEAR($F296)&lt;Preisindex!$A$6,YEAR(EC$4)&gt;=YEAR($F296),$K296="g"),ROUND(VLOOKUP(EH$4,Preisindex,4,FALSE)/VLOOKUP(Preisindex!$A$6,Preisindex,4,FALSE),2),IF(AND($E296&lt;&gt;0,$F296&gt;0,YEAR($F296)&lt;Preisindex!$A$6,YEAR(EC$4)&gt;=YEAR($F296),$K296="k"),ROUND(VLOOKUP(EH$4,Preisindex,2,FALSE)/VLOOKUP(Preisindex!$A$6,Preisindex,2,FALSE),2),0)))))</f>
        <v>0</v>
      </c>
      <c r="EJ296" s="51">
        <f>IF(AND($E296&lt;&gt;0,$F296&gt;0,YEAR($F296)&lt;=EH$4,YEAR($F296)&gt;=Preisindex!$A$6),ROUND($E296*EH296,2),IF(AND($E296&lt;&gt;0,$F296&gt;0,YEAR($F296)&lt;=EH$4,YEAR($F296)&lt;Preisindex!$A$6),ROUND($E296*EI296,2),0))</f>
        <v>0</v>
      </c>
      <c r="EK296" s="53">
        <f t="shared" si="803"/>
        <v>0</v>
      </c>
      <c r="EL296" s="51">
        <f t="shared" si="882"/>
        <v>0</v>
      </c>
      <c r="EM296" s="51">
        <f t="shared" si="871"/>
        <v>0</v>
      </c>
      <c r="EN296" s="51">
        <f t="shared" si="804"/>
        <v>0</v>
      </c>
      <c r="EO296" s="51">
        <f t="shared" si="872"/>
        <v>0</v>
      </c>
      <c r="EP296" s="51">
        <f t="shared" si="805"/>
        <v>0</v>
      </c>
      <c r="EQ296" s="51">
        <f t="shared" si="873"/>
        <v>0</v>
      </c>
      <c r="ER296" s="51">
        <f t="shared" si="806"/>
        <v>0</v>
      </c>
      <c r="ES296" s="51">
        <f t="shared" si="874"/>
        <v>0</v>
      </c>
      <c r="ET296" s="51">
        <f t="shared" si="807"/>
        <v>0</v>
      </c>
      <c r="EU296" s="51">
        <f t="shared" si="875"/>
        <v>0</v>
      </c>
      <c r="EV296" s="51">
        <f t="shared" si="808"/>
        <v>0</v>
      </c>
      <c r="EW296" s="54">
        <f t="shared" si="809"/>
        <v>0</v>
      </c>
      <c r="EX296" s="55">
        <f t="shared" si="810"/>
        <v>0</v>
      </c>
      <c r="EY296" s="56">
        <f>IF(AND($E296&lt;&gt;0,$F296&gt;0,YEAR($F296)&gt;=Preisindex!$A$6,YEAR(ET$4)&gt;=YEAR($F296),AND($K296&lt;&gt;"a",$K296&lt;&gt;"b",$K296&lt;&gt;"g",$K296&lt;&gt;"k")),1,IF(AND($E296&lt;&gt;0,$F296&gt;0,YEAR($F296)&gt;=Preisindex!$A$6,YEAR(ET$4)&gt;=YEAR($F296),$K296="a"),ROUND(VLOOKUP(EY$4,Preisindex,5,FALSE)/VLOOKUP(YEAR($F296),Preisindex,5,FALSE),2),IF(AND($E296&lt;&gt;0,$F296&gt;0,YEAR($F296)&gt;=Preisindex!$A$6,YEAR(ET$4)&gt;=YEAR($F296),$K296="b"),ROUND(VLOOKUP(EY$4,Preisindex,3,FALSE)/VLOOKUP(YEAR($F296),Preisindex,3,FALSE),2),IF(AND($E296&lt;&gt;0,$F296&gt;0,YEAR($F296)&gt;=Preisindex!$A$6,YEAR(ET$4)&gt;=YEAR($F296),$K296="g"),ROUND(VLOOKUP(EY$4,Preisindex,4,FALSE)/VLOOKUP(YEAR($F296),Preisindex,4,FALSE),2),IF(AND($E296&lt;&gt;0,$F296&gt;0,YEAR($F296)&gt;=Preisindex!$A$6,YEAR(ET$4)&gt;=YEAR($F296),$K296="k"),ROUND(VLOOKUP(EY$4,Preisindex,2,FALSE)/VLOOKUP(YEAR($F296),Preisindex,2,FALSE),2),0)))))</f>
        <v>0</v>
      </c>
      <c r="EZ296" s="56">
        <f>IF(AND($E296&lt;&gt;0,$F296&gt;0,YEAR($F296)&lt;Preisindex!$A$6,YEAR(ET$4)&gt;=YEAR($F296),AND($K296&lt;&gt;"a",$K296&lt;&gt;"b",$K296&lt;&gt;"g",$K296&lt;&gt;"k")),1,IF(AND($E296&lt;&gt;0,$F296&gt;0,YEAR($F296)&lt;Preisindex!$A$6,YEAR(ET$4)&gt;=YEAR($F296),$K296="a"),ROUND(VLOOKUP(EY$4,Preisindex,5,FALSE)/VLOOKUP(Preisindex!$A$6,Preisindex,5,FALSE),2),IF(AND($E296&lt;&gt;0,$F296&gt;0,YEAR($F296)&lt;Preisindex!$A$6,YEAR(ET$4)&gt;=YEAR($F296),$K296="b"),ROUND(VLOOKUP(EY$4,Preisindex,3,FALSE)/VLOOKUP(Preisindex!$A$6,Preisindex,3,FALSE),2),IF(AND($E296&lt;&gt;0,$F296&gt;0,YEAR($F296)&lt;Preisindex!$A$6,YEAR(ET$4)&gt;=YEAR($F296),$K296="g"),ROUND(VLOOKUP(EY$4,Preisindex,4,FALSE)/VLOOKUP(Preisindex!$A$6,Preisindex,4,FALSE),2),IF(AND($E296&lt;&gt;0,$F296&gt;0,YEAR($F296)&lt;Preisindex!$A$6,YEAR(ET$4)&gt;=YEAR($F296),$K296="k"),ROUND(VLOOKUP(EY$4,Preisindex,2,FALSE)/VLOOKUP(Preisindex!$A$6,Preisindex,2,FALSE),2),0)))))</f>
        <v>0</v>
      </c>
      <c r="FA296" s="51">
        <f>IF(AND($E296&lt;&gt;0,$F296&gt;0,YEAR($F296)&lt;=EY$4,YEAR($F296)&gt;=Preisindex!$A$6),ROUND($E296*EY296,2),IF(AND($E296&lt;&gt;0,$F296&gt;0,YEAR($F296)&lt;=EY$4,YEAR($F296)&lt;Preisindex!$A$6),ROUND($E296*EZ296,2),0))</f>
        <v>0</v>
      </c>
      <c r="FB296" s="53">
        <f t="shared" si="811"/>
        <v>0</v>
      </c>
      <c r="FC296" s="51">
        <f t="shared" si="882"/>
        <v>0</v>
      </c>
      <c r="FD296" s="51">
        <f t="shared" si="876"/>
        <v>0</v>
      </c>
      <c r="FE296" s="51">
        <f t="shared" si="812"/>
        <v>0</v>
      </c>
      <c r="FF296" s="51">
        <f t="shared" si="877"/>
        <v>0</v>
      </c>
      <c r="FG296" s="51">
        <f t="shared" si="813"/>
        <v>0</v>
      </c>
      <c r="FH296" s="51">
        <f t="shared" si="878"/>
        <v>0</v>
      </c>
      <c r="FI296" s="51">
        <f t="shared" si="814"/>
        <v>0</v>
      </c>
      <c r="FJ296" s="51">
        <f t="shared" si="879"/>
        <v>0</v>
      </c>
      <c r="FK296" s="51">
        <f t="shared" si="815"/>
        <v>0</v>
      </c>
      <c r="FL296" s="51">
        <f t="shared" si="880"/>
        <v>0</v>
      </c>
      <c r="FM296" s="51">
        <f t="shared" si="816"/>
        <v>0</v>
      </c>
      <c r="FN296" s="54">
        <f t="shared" si="817"/>
        <v>0</v>
      </c>
      <c r="FO296" s="55">
        <f t="shared" si="818"/>
        <v>0</v>
      </c>
      <c r="FP296" s="56">
        <f>IF(AND($E296&lt;&gt;0,$F296&gt;0,YEAR($F296)&gt;=Preisindex!$A$6,YEAR(FK$4)&gt;=YEAR($F296),AND($K296&lt;&gt;"a",$K296&lt;&gt;"b",$K296&lt;&gt;"g",$K296&lt;&gt;"k")),1,IF(AND($E296&lt;&gt;0,$F296&gt;0,YEAR($F296)&gt;=Preisindex!$A$6,YEAR(FK$4)&gt;=YEAR($F296),$K296="a"),ROUND(VLOOKUP(FP$4,Preisindex,5,FALSE)/VLOOKUP(YEAR($F296),Preisindex,5,FALSE),2),IF(AND($E296&lt;&gt;0,$F296&gt;0,YEAR($F296)&gt;=Preisindex!$A$6,YEAR(FK$4)&gt;=YEAR($F296),$K296="b"),ROUND(VLOOKUP(FP$4,Preisindex,3,FALSE)/VLOOKUP(YEAR($F296),Preisindex,3,FALSE),2),IF(AND($E296&lt;&gt;0,$F296&gt;0,YEAR($F296)&gt;=Preisindex!$A$6,YEAR(FK$4)&gt;=YEAR($F296),$K296="g"),ROUND(VLOOKUP(FP$4,Preisindex,4,FALSE)/VLOOKUP(YEAR($F296),Preisindex,4,FALSE),2),IF(AND($E296&lt;&gt;0,$F296&gt;0,YEAR($F296)&gt;=Preisindex!$A$6,YEAR(FK$4)&gt;=YEAR($F296),$K296="k"),ROUND(VLOOKUP(FP$4,Preisindex,2,FALSE)/VLOOKUP(YEAR($F296),Preisindex,2,FALSE),2),0)))))</f>
        <v>0</v>
      </c>
      <c r="FQ296" s="56">
        <f>IF(AND($E296&lt;&gt;0,$F296&gt;0,YEAR($F296)&lt;Preisindex!$A$6,YEAR(FK$4)&gt;=YEAR($F296),AND($K296&lt;&gt;"a",$K296&lt;&gt;"b",$K296&lt;&gt;"g",$K296&lt;&gt;"k")),1,IF(AND($E296&lt;&gt;0,$F296&gt;0,YEAR($F296)&lt;Preisindex!$A$6,YEAR(FK$4)&gt;=YEAR($F296),$K296="a"),ROUND(VLOOKUP(FP$4,Preisindex,5,FALSE)/VLOOKUP(Preisindex!$A$6,Preisindex,5,FALSE),2),IF(AND($E296&lt;&gt;0,$F296&gt;0,YEAR($F296)&lt;Preisindex!$A$6,YEAR(FK$4)&gt;=YEAR($F296),$K296="b"),ROUND(VLOOKUP(FP$4,Preisindex,3,FALSE)/VLOOKUP(Preisindex!$A$6,Preisindex,3,FALSE),2),IF(AND($E296&lt;&gt;0,$F296&gt;0,YEAR($F296)&lt;Preisindex!$A$6,YEAR(FK$4)&gt;=YEAR($F296),$K296="g"),ROUND(VLOOKUP(FP$4,Preisindex,4,FALSE)/VLOOKUP(Preisindex!$A$6,Preisindex,4,FALSE),2),IF(AND($E296&lt;&gt;0,$F296&gt;0,YEAR($F296)&lt;Preisindex!$A$6,YEAR(FK$4)&gt;=YEAR($F296),$K296="k"),ROUND(VLOOKUP(FP$4,Preisindex,2,FALSE)/VLOOKUP(Preisindex!$A$6,Preisindex,2,FALSE),2),0)))))</f>
        <v>0</v>
      </c>
      <c r="FR296" s="51">
        <f>IF(AND($E296&lt;&gt;0,$F296&gt;0,YEAR($F296)&lt;=FP$4,YEAR($F296)&gt;=Preisindex!$A$6),ROUND($E296*FP296,2),IF(AND($E296&lt;&gt;0,$F296&gt;0,YEAR($F296)&lt;=FP$4,YEAR($F296)&lt;Preisindex!$A$6),ROUND($E296*FQ296,2),0))</f>
        <v>0</v>
      </c>
      <c r="FS296" s="53">
        <f t="shared" si="819"/>
        <v>0</v>
      </c>
    </row>
    <row r="297" spans="1:175" x14ac:dyDescent="0.3">
      <c r="A297" s="185"/>
      <c r="B297" s="186"/>
      <c r="C297" s="187"/>
      <c r="D297" s="188"/>
      <c r="E297" s="189"/>
      <c r="F297" s="190"/>
      <c r="G297" s="191"/>
      <c r="H297" s="192"/>
      <c r="I297" s="193"/>
      <c r="J297" s="194"/>
      <c r="K297" s="630"/>
      <c r="L297" s="49">
        <f t="shared" si="820"/>
        <v>0</v>
      </c>
      <c r="M297" s="50">
        <f t="shared" si="821"/>
        <v>0</v>
      </c>
      <c r="N297" s="51">
        <f t="shared" si="822"/>
        <v>0</v>
      </c>
      <c r="O297" s="51"/>
      <c r="P297" s="51">
        <f t="shared" si="823"/>
        <v>0</v>
      </c>
      <c r="Q297" s="52"/>
      <c r="R297" s="52"/>
      <c r="S297" s="52"/>
      <c r="T297" s="52"/>
      <c r="U297" s="52"/>
      <c r="V297" s="53">
        <f t="shared" si="824"/>
        <v>0</v>
      </c>
      <c r="W297" s="51">
        <f t="shared" si="825"/>
        <v>0</v>
      </c>
      <c r="X297" s="51">
        <f t="shared" si="826"/>
        <v>0</v>
      </c>
      <c r="Y297" s="51">
        <f t="shared" si="827"/>
        <v>0</v>
      </c>
      <c r="Z297" s="51">
        <f t="shared" si="828"/>
        <v>0</v>
      </c>
      <c r="AA297" s="51">
        <f t="shared" si="829"/>
        <v>0</v>
      </c>
      <c r="AB297" s="51">
        <f t="shared" si="830"/>
        <v>0</v>
      </c>
      <c r="AC297" s="51">
        <f t="shared" si="831"/>
        <v>0</v>
      </c>
      <c r="AD297" s="51">
        <f t="shared" si="832"/>
        <v>0</v>
      </c>
      <c r="AE297" s="51">
        <f t="shared" si="833"/>
        <v>0</v>
      </c>
      <c r="AF297" s="51">
        <f t="shared" si="834"/>
        <v>0</v>
      </c>
      <c r="AG297" s="51">
        <f t="shared" si="835"/>
        <v>0</v>
      </c>
      <c r="AH297" s="54">
        <f t="shared" si="836"/>
        <v>0</v>
      </c>
      <c r="AI297" s="55">
        <f t="shared" si="837"/>
        <v>0</v>
      </c>
      <c r="AJ297" s="56">
        <f>IF(AND($E297&lt;&gt;0,$F297&gt;0,YEAR($F297)&gt;=Preisindex!$A$6,YEAR(AE$4)&gt;=YEAR($F297),AND($K297&lt;&gt;"a",$K297&lt;&gt;"b",$K297&lt;&gt;"g",$K297&lt;&gt;"k")),1,IF(AND($E297&lt;&gt;0,$F297&gt;0,YEAR($F297)&gt;=Preisindex!$A$6,YEAR(AE$4)&gt;=YEAR($F297),$K297="a"),ROUND(VLOOKUP(AJ$4,Preisindex,5,FALSE)/VLOOKUP(YEAR($F297),Preisindex,5,FALSE),2),IF(AND($E297&lt;&gt;0,$F297&gt;0,YEAR($F297)&gt;=Preisindex!$A$6,YEAR(AE$4)&gt;=YEAR($F297),$K297="b"),ROUND(VLOOKUP(AJ$4,Preisindex,3,FALSE)/VLOOKUP(YEAR($F297),Preisindex,3,FALSE),2),IF(AND($E297&lt;&gt;0,$F297&gt;0,YEAR($F297)&gt;=Preisindex!$A$6,YEAR(AE$4)&gt;=YEAR($F297),$K297="g"),ROUND(VLOOKUP(AJ$4,Preisindex,4,FALSE)/VLOOKUP(YEAR($F297),Preisindex,4,FALSE),2),IF(AND($E297&lt;&gt;0,$F297&gt;0,YEAR($F297)&gt;=Preisindex!$A$6,YEAR(AE$4)&gt;=YEAR($F297),$K297="k"),ROUND(VLOOKUP(AJ$4,Preisindex,2,FALSE)/VLOOKUP(YEAR($F297),Preisindex,2,FALSE),2),0)))))</f>
        <v>0</v>
      </c>
      <c r="AK297" s="56">
        <f>IF(AND($E297&lt;&gt;0,$F297&gt;0,YEAR($F297)&lt;Preisindex!$A$6,YEAR(AE$4)&gt;=YEAR($F297),AND($K297&lt;&gt;"a",$K297&lt;&gt;"b",$K297&lt;&gt;"g",$K297&lt;&gt;"k")),1,IF(AND($E297&lt;&gt;0,$F297&gt;0,YEAR($F297)&lt;Preisindex!$A$6,YEAR(AE$4)&gt;=YEAR($F297),$K297="a"),ROUND(VLOOKUP(AJ$4,Preisindex,5,FALSE)/VLOOKUP(Preisindex!$A$6,Preisindex,5,FALSE),2),IF(AND($E297&lt;&gt;0,$F297&gt;0,YEAR($F297)&lt;Preisindex!$A$6,YEAR(AE$4)&gt;=YEAR($F297),$K297="b"),ROUND(VLOOKUP(AJ$4,Preisindex,3,FALSE)/VLOOKUP(Preisindex!$A$6,Preisindex,3,FALSE),2),IF(AND($E297&lt;&gt;0,$F297&gt;0,YEAR($F297)&lt;Preisindex!$A$6,YEAR(AE$4)&gt;=YEAR($F297),$K297="g"),ROUND(VLOOKUP(AJ$4,Preisindex,4,FALSE)/VLOOKUP(Preisindex!$A$6,Preisindex,4,FALSE),2),IF(AND($E297&lt;&gt;0,$F297&gt;0,YEAR($F297)&lt;Preisindex!$A$6,YEAR(AE$4)&gt;=YEAR($F297),$K297="k"),ROUND(VLOOKUP(AJ$4,Preisindex,2,FALSE)/VLOOKUP(Preisindex!$A$6,Preisindex,2,FALSE),2),0)))))</f>
        <v>0</v>
      </c>
      <c r="AL297" s="51">
        <f>IF(AND($E297&lt;&gt;0,$F297&gt;0,YEAR($F297)&lt;=AJ$4,YEAR($F297)&gt;=Preisindex!$A$6),ROUND($E297*AJ297,2),IF(AND($E297&lt;&gt;0,$F297&gt;0,YEAR($F297)&lt;=AJ$4,YEAR($F297)&lt;Preisindex!$A$6),ROUND($E297*AK297,2),0))</f>
        <v>0</v>
      </c>
      <c r="AM297" s="53">
        <f t="shared" si="838"/>
        <v>0</v>
      </c>
      <c r="AN297" s="51">
        <f t="shared" si="881"/>
        <v>0</v>
      </c>
      <c r="AO297" s="51">
        <f t="shared" si="841"/>
        <v>0</v>
      </c>
      <c r="AP297" s="51">
        <f t="shared" si="755"/>
        <v>0</v>
      </c>
      <c r="AQ297" s="51">
        <f t="shared" si="842"/>
        <v>0</v>
      </c>
      <c r="AR297" s="51">
        <f t="shared" si="756"/>
        <v>0</v>
      </c>
      <c r="AS297" s="51">
        <f t="shared" si="843"/>
        <v>0</v>
      </c>
      <c r="AT297" s="51">
        <f t="shared" si="757"/>
        <v>0</v>
      </c>
      <c r="AU297" s="51">
        <f t="shared" si="844"/>
        <v>0</v>
      </c>
      <c r="AV297" s="51">
        <f t="shared" si="758"/>
        <v>0</v>
      </c>
      <c r="AW297" s="51">
        <f t="shared" si="845"/>
        <v>0</v>
      </c>
      <c r="AX297" s="51">
        <f t="shared" si="759"/>
        <v>0</v>
      </c>
      <c r="AY297" s="54">
        <f t="shared" si="760"/>
        <v>0</v>
      </c>
      <c r="AZ297" s="55">
        <f t="shared" si="761"/>
        <v>0</v>
      </c>
      <c r="BA297" s="56">
        <f>IF(AND($E297&lt;&gt;0,$F297&gt;0,YEAR($F297)&gt;=Preisindex!$A$6,YEAR(AV$4)&gt;=YEAR($F297),AND($K297&lt;&gt;"a",$K297&lt;&gt;"b",$K297&lt;&gt;"g",$K297&lt;&gt;"k")),1,IF(AND($E297&lt;&gt;0,$F297&gt;0,YEAR($F297)&gt;=Preisindex!$A$6,YEAR(AV$4)&gt;=YEAR($F297),$K297="a"),ROUND(VLOOKUP(BA$4,Preisindex,5,FALSE)/VLOOKUP(YEAR($F297),Preisindex,5,FALSE),2),IF(AND($E297&lt;&gt;0,$F297&gt;0,YEAR($F297)&gt;=Preisindex!$A$6,YEAR(AV$4)&gt;=YEAR($F297),$K297="b"),ROUND(VLOOKUP(BA$4,Preisindex,3,FALSE)/VLOOKUP(YEAR($F297),Preisindex,3,FALSE),2),IF(AND($E297&lt;&gt;0,$F297&gt;0,YEAR($F297)&gt;=Preisindex!$A$6,YEAR(AV$4)&gt;=YEAR($F297),$K297="g"),ROUND(VLOOKUP(BA$4,Preisindex,4,FALSE)/VLOOKUP(YEAR($F297),Preisindex,4,FALSE),2),IF(AND($E297&lt;&gt;0,$F297&gt;0,YEAR($F297)&gt;=Preisindex!$A$6,YEAR(AV$4)&gt;=YEAR($F297),$K297="k"),ROUND(VLOOKUP(BA$4,Preisindex,2,FALSE)/VLOOKUP(YEAR($F297),Preisindex,2,FALSE),2),0)))))</f>
        <v>0</v>
      </c>
      <c r="BB297" s="56">
        <f>IF(AND($E297&lt;&gt;0,$F297&gt;0,YEAR($F297)&lt;Preisindex!$A$6,YEAR(AV$4)&gt;=YEAR($F297),AND($K297&lt;&gt;"a",$K297&lt;&gt;"b",$K297&lt;&gt;"g",$K297&lt;&gt;"k")),1,IF(AND($E297&lt;&gt;0,$F297&gt;0,YEAR($F297)&lt;Preisindex!$A$6,YEAR(AV$4)&gt;=YEAR($F297),$K297="a"),ROUND(VLOOKUP(BA$4,Preisindex,5,FALSE)/VLOOKUP(Preisindex!$A$6,Preisindex,5,FALSE),2),IF(AND($E297&lt;&gt;0,$F297&gt;0,YEAR($F297)&lt;Preisindex!$A$6,YEAR(AV$4)&gt;=YEAR($F297),$K297="b"),ROUND(VLOOKUP(BA$4,Preisindex,3,FALSE)/VLOOKUP(Preisindex!$A$6,Preisindex,3,FALSE),2),IF(AND($E297&lt;&gt;0,$F297&gt;0,YEAR($F297)&lt;Preisindex!$A$6,YEAR(AV$4)&gt;=YEAR($F297),$K297="g"),ROUND(VLOOKUP(BA$4,Preisindex,4,FALSE)/VLOOKUP(Preisindex!$A$6,Preisindex,4,FALSE),2),IF(AND($E297&lt;&gt;0,$F297&gt;0,YEAR($F297)&lt;Preisindex!$A$6,YEAR(AV$4)&gt;=YEAR($F297),$K297="k"),ROUND(VLOOKUP(BA$4,Preisindex,2,FALSE)/VLOOKUP(Preisindex!$A$6,Preisindex,2,FALSE),2),0)))))</f>
        <v>0</v>
      </c>
      <c r="BC297" s="51">
        <f>IF(AND($E297&lt;&gt;0,$F297&gt;0,YEAR($F297)&lt;=BA$4,YEAR($F297)&gt;=Preisindex!$A$6),ROUND($E297*BA297,2),IF(AND($E297&lt;&gt;0,$F297&gt;0,YEAR($F297)&lt;=BA$4,YEAR($F297)&lt;Preisindex!$A$6),ROUND($E297*BB297,2),0))</f>
        <v>0</v>
      </c>
      <c r="BD297" s="53">
        <f t="shared" si="762"/>
        <v>0</v>
      </c>
      <c r="BE297" s="51">
        <f t="shared" si="881"/>
        <v>0</v>
      </c>
      <c r="BF297" s="51">
        <f t="shared" si="846"/>
        <v>0</v>
      </c>
      <c r="BG297" s="51">
        <f t="shared" si="763"/>
        <v>0</v>
      </c>
      <c r="BH297" s="51">
        <f t="shared" si="847"/>
        <v>0</v>
      </c>
      <c r="BI297" s="51">
        <f t="shared" si="764"/>
        <v>0</v>
      </c>
      <c r="BJ297" s="51">
        <f t="shared" si="848"/>
        <v>0</v>
      </c>
      <c r="BK297" s="51">
        <f t="shared" si="765"/>
        <v>0</v>
      </c>
      <c r="BL297" s="51">
        <f t="shared" si="849"/>
        <v>0</v>
      </c>
      <c r="BM297" s="51">
        <f t="shared" si="766"/>
        <v>0</v>
      </c>
      <c r="BN297" s="51">
        <f t="shared" si="850"/>
        <v>0</v>
      </c>
      <c r="BO297" s="51">
        <f t="shared" si="767"/>
        <v>0</v>
      </c>
      <c r="BP297" s="54">
        <f t="shared" si="768"/>
        <v>0</v>
      </c>
      <c r="BQ297" s="55">
        <f t="shared" si="769"/>
        <v>0</v>
      </c>
      <c r="BR297" s="56">
        <f>IF(AND($E297&lt;&gt;0,$F297&gt;0,YEAR($F297)&gt;=Preisindex!$A$6,YEAR(BM$4)&gt;=YEAR($F297),AND($K297&lt;&gt;"a",$K297&lt;&gt;"b",$K297&lt;&gt;"g",$K297&lt;&gt;"k")),1,IF(AND($E297&lt;&gt;0,$F297&gt;0,YEAR($F297)&gt;=Preisindex!$A$6,YEAR(BM$4)&gt;=YEAR($F297),$K297="a"),ROUND(VLOOKUP(BR$4,Preisindex,5,FALSE)/VLOOKUP(YEAR($F297),Preisindex,5,FALSE),2),IF(AND($E297&lt;&gt;0,$F297&gt;0,YEAR($F297)&gt;=Preisindex!$A$6,YEAR(BM$4)&gt;=YEAR($F297),$K297="b"),ROUND(VLOOKUP(BR$4,Preisindex,3,FALSE)/VLOOKUP(YEAR($F297),Preisindex,3,FALSE),2),IF(AND($E297&lt;&gt;0,$F297&gt;0,YEAR($F297)&gt;=Preisindex!$A$6,YEAR(BM$4)&gt;=YEAR($F297),$K297="g"),ROUND(VLOOKUP(BR$4,Preisindex,4,FALSE)/VLOOKUP(YEAR($F297),Preisindex,4,FALSE),2),IF(AND($E297&lt;&gt;0,$F297&gt;0,YEAR($F297)&gt;=Preisindex!$A$6,YEAR(BM$4)&gt;=YEAR($F297),$K297="k"),ROUND(VLOOKUP(BR$4,Preisindex,2,FALSE)/VLOOKUP(YEAR($F297),Preisindex,2,FALSE),2),0)))))</f>
        <v>0</v>
      </c>
      <c r="BS297" s="56">
        <f>IF(AND($E297&lt;&gt;0,$F297&gt;0,YEAR($F297)&lt;Preisindex!$A$6,YEAR(BM$4)&gt;=YEAR($F297),AND($K297&lt;&gt;"a",$K297&lt;&gt;"b",$K297&lt;&gt;"g",$K297&lt;&gt;"k")),1,IF(AND($E297&lt;&gt;0,$F297&gt;0,YEAR($F297)&lt;Preisindex!$A$6,YEAR(BM$4)&gt;=YEAR($F297),$K297="a"),ROUND(VLOOKUP(BR$4,Preisindex,5,FALSE)/VLOOKUP(Preisindex!$A$6,Preisindex,5,FALSE),2),IF(AND($E297&lt;&gt;0,$F297&gt;0,YEAR($F297)&lt;Preisindex!$A$6,YEAR(BM$4)&gt;=YEAR($F297),$K297="b"),ROUND(VLOOKUP(BR$4,Preisindex,3,FALSE)/VLOOKUP(Preisindex!$A$6,Preisindex,3,FALSE),2),IF(AND($E297&lt;&gt;0,$F297&gt;0,YEAR($F297)&lt;Preisindex!$A$6,YEAR(BM$4)&gt;=YEAR($F297),$K297="g"),ROUND(VLOOKUP(BR$4,Preisindex,4,FALSE)/VLOOKUP(Preisindex!$A$6,Preisindex,4,FALSE),2),IF(AND($E297&lt;&gt;0,$F297&gt;0,YEAR($F297)&lt;Preisindex!$A$6,YEAR(BM$4)&gt;=YEAR($F297),$K297="k"),ROUND(VLOOKUP(BR$4,Preisindex,2,FALSE)/VLOOKUP(Preisindex!$A$6,Preisindex,2,FALSE),2),0)))))</f>
        <v>0</v>
      </c>
      <c r="BT297" s="51">
        <f>IF(AND($E297&lt;&gt;0,$F297&gt;0,YEAR($F297)&lt;=BR$4,YEAR($F297)&gt;=Preisindex!$A$6),ROUND($E297*BR297,2),IF(AND($E297&lt;&gt;0,$F297&gt;0,YEAR($F297)&lt;=BR$4,YEAR($F297)&lt;Preisindex!$A$6),ROUND($E297*BS297,2),0))</f>
        <v>0</v>
      </c>
      <c r="BU297" s="53">
        <f t="shared" si="770"/>
        <v>0</v>
      </c>
      <c r="BV297" s="51">
        <f t="shared" si="881"/>
        <v>0</v>
      </c>
      <c r="BW297" s="51">
        <f t="shared" si="851"/>
        <v>0</v>
      </c>
      <c r="BX297" s="51">
        <f t="shared" si="771"/>
        <v>0</v>
      </c>
      <c r="BY297" s="51">
        <f t="shared" si="852"/>
        <v>0</v>
      </c>
      <c r="BZ297" s="51">
        <f t="shared" si="772"/>
        <v>0</v>
      </c>
      <c r="CA297" s="51">
        <f t="shared" si="853"/>
        <v>0</v>
      </c>
      <c r="CB297" s="51">
        <f t="shared" si="773"/>
        <v>0</v>
      </c>
      <c r="CC297" s="51">
        <f t="shared" si="854"/>
        <v>0</v>
      </c>
      <c r="CD297" s="51">
        <f t="shared" si="774"/>
        <v>0</v>
      </c>
      <c r="CE297" s="51">
        <f t="shared" si="855"/>
        <v>0</v>
      </c>
      <c r="CF297" s="51">
        <f t="shared" si="775"/>
        <v>0</v>
      </c>
      <c r="CG297" s="54">
        <f t="shared" si="776"/>
        <v>0</v>
      </c>
      <c r="CH297" s="55">
        <f t="shared" si="777"/>
        <v>0</v>
      </c>
      <c r="CI297" s="56">
        <f>IF(AND($E297&lt;&gt;0,$F297&gt;0,YEAR($F297)&gt;=Preisindex!$A$6,YEAR(CD$4)&gt;=YEAR($F297),AND($K297&lt;&gt;"a",$K297&lt;&gt;"b",$K297&lt;&gt;"g",$K297&lt;&gt;"k")),1,IF(AND($E297&lt;&gt;0,$F297&gt;0,YEAR($F297)&gt;=Preisindex!$A$6,YEAR(CD$4)&gt;=YEAR($F297),$K297="a"),ROUND(VLOOKUP(CI$4,Preisindex,5,FALSE)/VLOOKUP(YEAR($F297),Preisindex,5,FALSE),2),IF(AND($E297&lt;&gt;0,$F297&gt;0,YEAR($F297)&gt;=Preisindex!$A$6,YEAR(CD$4)&gt;=YEAR($F297),$K297="b"),ROUND(VLOOKUP(CI$4,Preisindex,3,FALSE)/VLOOKUP(YEAR($F297),Preisindex,3,FALSE),2),IF(AND($E297&lt;&gt;0,$F297&gt;0,YEAR($F297)&gt;=Preisindex!$A$6,YEAR(CD$4)&gt;=YEAR($F297),$K297="g"),ROUND(VLOOKUP(CI$4,Preisindex,4,FALSE)/VLOOKUP(YEAR($F297),Preisindex,4,FALSE),2),IF(AND($E297&lt;&gt;0,$F297&gt;0,YEAR($F297)&gt;=Preisindex!$A$6,YEAR(CD$4)&gt;=YEAR($F297),$K297="k"),ROUND(VLOOKUP(CI$4,Preisindex,2,FALSE)/VLOOKUP(YEAR($F297),Preisindex,2,FALSE),2),0)))))</f>
        <v>0</v>
      </c>
      <c r="CJ297" s="56">
        <f>IF(AND($E297&lt;&gt;0,$F297&gt;0,YEAR($F297)&lt;Preisindex!$A$6,YEAR(CD$4)&gt;=YEAR($F297),AND($K297&lt;&gt;"a",$K297&lt;&gt;"b",$K297&lt;&gt;"g",$K297&lt;&gt;"k")),1,IF(AND($E297&lt;&gt;0,$F297&gt;0,YEAR($F297)&lt;Preisindex!$A$6,YEAR(CD$4)&gt;=YEAR($F297),$K297="a"),ROUND(VLOOKUP(CI$4,Preisindex,5,FALSE)/VLOOKUP(Preisindex!$A$6,Preisindex,5,FALSE),2),IF(AND($E297&lt;&gt;0,$F297&gt;0,YEAR($F297)&lt;Preisindex!$A$6,YEAR(CD$4)&gt;=YEAR($F297),$K297="b"),ROUND(VLOOKUP(CI$4,Preisindex,3,FALSE)/VLOOKUP(Preisindex!$A$6,Preisindex,3,FALSE),2),IF(AND($E297&lt;&gt;0,$F297&gt;0,YEAR($F297)&lt;Preisindex!$A$6,YEAR(CD$4)&gt;=YEAR($F297),$K297="g"),ROUND(VLOOKUP(CI$4,Preisindex,4,FALSE)/VLOOKUP(Preisindex!$A$6,Preisindex,4,FALSE),2),IF(AND($E297&lt;&gt;0,$F297&gt;0,YEAR($F297)&lt;Preisindex!$A$6,YEAR(CD$4)&gt;=YEAR($F297),$K297="k"),ROUND(VLOOKUP(CI$4,Preisindex,2,FALSE)/VLOOKUP(Preisindex!$A$6,Preisindex,2,FALSE),2),0)))))</f>
        <v>0</v>
      </c>
      <c r="CK297" s="51">
        <f>IF(AND($E297&lt;&gt;0,$F297&gt;0,YEAR($F297)&lt;=CI$4,YEAR($F297)&gt;=Preisindex!$A$6),ROUND($E297*CI297,2),IF(AND($E297&lt;&gt;0,$F297&gt;0,YEAR($F297)&lt;=CI$4,YEAR($F297)&lt;Preisindex!$A$6),ROUND($E297*CJ297,2),0))</f>
        <v>0</v>
      </c>
      <c r="CL297" s="53">
        <f t="shared" si="778"/>
        <v>0</v>
      </c>
      <c r="CM297" s="51">
        <f t="shared" si="881"/>
        <v>0</v>
      </c>
      <c r="CN297" s="51">
        <f t="shared" si="856"/>
        <v>0</v>
      </c>
      <c r="CO297" s="51">
        <f t="shared" si="779"/>
        <v>0</v>
      </c>
      <c r="CP297" s="51">
        <f t="shared" si="857"/>
        <v>0</v>
      </c>
      <c r="CQ297" s="51">
        <f t="shared" si="780"/>
        <v>0</v>
      </c>
      <c r="CR297" s="51">
        <f t="shared" si="858"/>
        <v>0</v>
      </c>
      <c r="CS297" s="51">
        <f t="shared" si="781"/>
        <v>0</v>
      </c>
      <c r="CT297" s="51">
        <f t="shared" si="859"/>
        <v>0</v>
      </c>
      <c r="CU297" s="51">
        <f t="shared" si="782"/>
        <v>0</v>
      </c>
      <c r="CV297" s="51">
        <f t="shared" si="860"/>
        <v>0</v>
      </c>
      <c r="CW297" s="51">
        <f t="shared" si="783"/>
        <v>0</v>
      </c>
      <c r="CX297" s="54">
        <f t="shared" si="784"/>
        <v>0</v>
      </c>
      <c r="CY297" s="55">
        <f t="shared" si="785"/>
        <v>0</v>
      </c>
      <c r="CZ297" s="56">
        <f>IF(AND($E297&lt;&gt;0,$F297&gt;0,YEAR($F297)&gt;=Preisindex!$A$6,YEAR(CU$4)&gt;=YEAR($F297),AND($K297&lt;&gt;"a",$K297&lt;&gt;"b",$K297&lt;&gt;"g",$K297&lt;&gt;"k")),1,IF(AND($E297&lt;&gt;0,$F297&gt;0,YEAR($F297)&gt;=Preisindex!$A$6,YEAR(CU$4)&gt;=YEAR($F297),$K297="a"),ROUND(VLOOKUP(CZ$4,Preisindex,5,FALSE)/VLOOKUP(YEAR($F297),Preisindex,5,FALSE),2),IF(AND($E297&lt;&gt;0,$F297&gt;0,YEAR($F297)&gt;=Preisindex!$A$6,YEAR(CU$4)&gt;=YEAR($F297),$K297="b"),ROUND(VLOOKUP(CZ$4,Preisindex,3,FALSE)/VLOOKUP(YEAR($F297),Preisindex,3,FALSE),2),IF(AND($E297&lt;&gt;0,$F297&gt;0,YEAR($F297)&gt;=Preisindex!$A$6,YEAR(CU$4)&gt;=YEAR($F297),$K297="g"),ROUND(VLOOKUP(CZ$4,Preisindex,4,FALSE)/VLOOKUP(YEAR($F297),Preisindex,4,FALSE),2),IF(AND($E297&lt;&gt;0,$F297&gt;0,YEAR($F297)&gt;=Preisindex!$A$6,YEAR(CU$4)&gt;=YEAR($F297),$K297="k"),ROUND(VLOOKUP(CZ$4,Preisindex,2,FALSE)/VLOOKUP(YEAR($F297),Preisindex,2,FALSE),2),0)))))</f>
        <v>0</v>
      </c>
      <c r="DA297" s="56">
        <f>IF(AND($E297&lt;&gt;0,$F297&gt;0,YEAR($F297)&lt;Preisindex!$A$6,YEAR(CU$4)&gt;=YEAR($F297),AND($K297&lt;&gt;"a",$K297&lt;&gt;"b",$K297&lt;&gt;"g",$K297&lt;&gt;"k")),1,IF(AND($E297&lt;&gt;0,$F297&gt;0,YEAR($F297)&lt;Preisindex!$A$6,YEAR(CU$4)&gt;=YEAR($F297),$K297="a"),ROUND(VLOOKUP(CZ$4,Preisindex,5,FALSE)/VLOOKUP(Preisindex!$A$6,Preisindex,5,FALSE),2),IF(AND($E297&lt;&gt;0,$F297&gt;0,YEAR($F297)&lt;Preisindex!$A$6,YEAR(CU$4)&gt;=YEAR($F297),$K297="b"),ROUND(VLOOKUP(CZ$4,Preisindex,3,FALSE)/VLOOKUP(Preisindex!$A$6,Preisindex,3,FALSE),2),IF(AND($E297&lt;&gt;0,$F297&gt;0,YEAR($F297)&lt;Preisindex!$A$6,YEAR(CU$4)&gt;=YEAR($F297),$K297="g"),ROUND(VLOOKUP(CZ$4,Preisindex,4,FALSE)/VLOOKUP(Preisindex!$A$6,Preisindex,4,FALSE),2),IF(AND($E297&lt;&gt;0,$F297&gt;0,YEAR($F297)&lt;Preisindex!$A$6,YEAR(CU$4)&gt;=YEAR($F297),$K297="k"),ROUND(VLOOKUP(CZ$4,Preisindex,2,FALSE)/VLOOKUP(Preisindex!$A$6,Preisindex,2,FALSE),2),0)))))</f>
        <v>0</v>
      </c>
      <c r="DB297" s="51">
        <f>IF(AND($E297&lt;&gt;0,$F297&gt;0,YEAR($F297)&lt;=CZ$4,YEAR($F297)&gt;=Preisindex!$A$6),ROUND($E297*CZ297,2),IF(AND($E297&lt;&gt;0,$F297&gt;0,YEAR($F297)&lt;=CZ$4,YEAR($F297)&lt;Preisindex!$A$6),ROUND($E297*DA297,2),0))</f>
        <v>0</v>
      </c>
      <c r="DC297" s="53">
        <f t="shared" si="786"/>
        <v>0</v>
      </c>
      <c r="DD297" s="51">
        <f t="shared" si="882"/>
        <v>0</v>
      </c>
      <c r="DE297" s="51">
        <f t="shared" si="861"/>
        <v>0</v>
      </c>
      <c r="DF297" s="51">
        <f t="shared" si="788"/>
        <v>0</v>
      </c>
      <c r="DG297" s="51">
        <f t="shared" si="862"/>
        <v>0</v>
      </c>
      <c r="DH297" s="51">
        <f t="shared" si="789"/>
        <v>0</v>
      </c>
      <c r="DI297" s="51">
        <f t="shared" si="863"/>
        <v>0</v>
      </c>
      <c r="DJ297" s="51">
        <f t="shared" si="790"/>
        <v>0</v>
      </c>
      <c r="DK297" s="51">
        <f t="shared" si="864"/>
        <v>0</v>
      </c>
      <c r="DL297" s="51">
        <f t="shared" si="791"/>
        <v>0</v>
      </c>
      <c r="DM297" s="51">
        <f t="shared" si="865"/>
        <v>0</v>
      </c>
      <c r="DN297" s="51">
        <f t="shared" si="792"/>
        <v>0</v>
      </c>
      <c r="DO297" s="54">
        <f t="shared" si="793"/>
        <v>0</v>
      </c>
      <c r="DP297" s="55">
        <f t="shared" si="794"/>
        <v>0</v>
      </c>
      <c r="DQ297" s="56">
        <f>IF(AND($E297&lt;&gt;0,$F297&gt;0,YEAR($F297)&gt;=Preisindex!$A$6,YEAR(DL$4)&gt;=YEAR($F297),AND($K297&lt;&gt;"a",$K297&lt;&gt;"b",$K297&lt;&gt;"g",$K297&lt;&gt;"k")),1,IF(AND($E297&lt;&gt;0,$F297&gt;0,YEAR($F297)&gt;=Preisindex!$A$6,YEAR(DL$4)&gt;=YEAR($F297),$K297="a"),ROUND(VLOOKUP(DQ$4,Preisindex,5,FALSE)/VLOOKUP(YEAR($F297),Preisindex,5,FALSE),2),IF(AND($E297&lt;&gt;0,$F297&gt;0,YEAR($F297)&gt;=Preisindex!$A$6,YEAR(DL$4)&gt;=YEAR($F297),$K297="b"),ROUND(VLOOKUP(DQ$4,Preisindex,3,FALSE)/VLOOKUP(YEAR($F297),Preisindex,3,FALSE),2),IF(AND($E297&lt;&gt;0,$F297&gt;0,YEAR($F297)&gt;=Preisindex!$A$6,YEAR(DL$4)&gt;=YEAR($F297),$K297="g"),ROUND(VLOOKUP(DQ$4,Preisindex,4,FALSE)/VLOOKUP(YEAR($F297),Preisindex,4,FALSE),2),IF(AND($E297&lt;&gt;0,$F297&gt;0,YEAR($F297)&gt;=Preisindex!$A$6,YEAR(DL$4)&gt;=YEAR($F297),$K297="k"),ROUND(VLOOKUP(DQ$4,Preisindex,2,FALSE)/VLOOKUP(YEAR($F297),Preisindex,2,FALSE),2),0)))))</f>
        <v>0</v>
      </c>
      <c r="DR297" s="56">
        <f>IF(AND($E297&lt;&gt;0,$F297&gt;0,YEAR($F297)&lt;Preisindex!$A$6,YEAR(DL$4)&gt;=YEAR($F297),AND($K297&lt;&gt;"a",$K297&lt;&gt;"b",$K297&lt;&gt;"g",$K297&lt;&gt;"k")),1,IF(AND($E297&lt;&gt;0,$F297&gt;0,YEAR($F297)&lt;Preisindex!$A$6,YEAR(DL$4)&gt;=YEAR($F297),$K297="a"),ROUND(VLOOKUP(DQ$4,Preisindex,5,FALSE)/VLOOKUP(Preisindex!$A$6,Preisindex,5,FALSE),2),IF(AND($E297&lt;&gt;0,$F297&gt;0,YEAR($F297)&lt;Preisindex!$A$6,YEAR(DL$4)&gt;=YEAR($F297),$K297="b"),ROUND(VLOOKUP(DQ$4,Preisindex,3,FALSE)/VLOOKUP(Preisindex!$A$6,Preisindex,3,FALSE),2),IF(AND($E297&lt;&gt;0,$F297&gt;0,YEAR($F297)&lt;Preisindex!$A$6,YEAR(DL$4)&gt;=YEAR($F297),$K297="g"),ROUND(VLOOKUP(DQ$4,Preisindex,4,FALSE)/VLOOKUP(Preisindex!$A$6,Preisindex,4,FALSE),2),IF(AND($E297&lt;&gt;0,$F297&gt;0,YEAR($F297)&lt;Preisindex!$A$6,YEAR(DL$4)&gt;=YEAR($F297),$K297="k"),ROUND(VLOOKUP(DQ$4,Preisindex,2,FALSE)/VLOOKUP(Preisindex!$A$6,Preisindex,2,FALSE),2),0)))))</f>
        <v>0</v>
      </c>
      <c r="DS297" s="51">
        <f>IF(AND($E297&lt;&gt;0,$F297&gt;0,YEAR($F297)&lt;=DQ$4,YEAR($F297)&gt;=Preisindex!$A$6),ROUND($E297*DQ297,2),IF(AND($E297&lt;&gt;0,$F297&gt;0,YEAR($F297)&lt;=DQ$4,YEAR($F297)&lt;Preisindex!$A$6),ROUND($E297*DR297,2),0))</f>
        <v>0</v>
      </c>
      <c r="DT297" s="53">
        <f t="shared" si="795"/>
        <v>0</v>
      </c>
      <c r="DU297" s="51">
        <f t="shared" si="882"/>
        <v>0</v>
      </c>
      <c r="DV297" s="51">
        <f t="shared" si="866"/>
        <v>0</v>
      </c>
      <c r="DW297" s="51">
        <f t="shared" si="796"/>
        <v>0</v>
      </c>
      <c r="DX297" s="51">
        <f t="shared" si="867"/>
        <v>0</v>
      </c>
      <c r="DY297" s="51">
        <f t="shared" si="797"/>
        <v>0</v>
      </c>
      <c r="DZ297" s="51">
        <f t="shared" si="868"/>
        <v>0</v>
      </c>
      <c r="EA297" s="51">
        <f t="shared" si="798"/>
        <v>0</v>
      </c>
      <c r="EB297" s="51">
        <f t="shared" si="869"/>
        <v>0</v>
      </c>
      <c r="EC297" s="51">
        <f t="shared" si="799"/>
        <v>0</v>
      </c>
      <c r="ED297" s="51">
        <f t="shared" si="870"/>
        <v>0</v>
      </c>
      <c r="EE297" s="51">
        <f t="shared" si="800"/>
        <v>0</v>
      </c>
      <c r="EF297" s="54">
        <f t="shared" si="801"/>
        <v>0</v>
      </c>
      <c r="EG297" s="55">
        <f t="shared" si="802"/>
        <v>0</v>
      </c>
      <c r="EH297" s="56">
        <f>IF(AND($E297&lt;&gt;0,$F297&gt;0,YEAR($F297)&gt;=Preisindex!$A$6,YEAR(EC$4)&gt;=YEAR($F297),AND($K297&lt;&gt;"a",$K297&lt;&gt;"b",$K297&lt;&gt;"g",$K297&lt;&gt;"k")),1,IF(AND($E297&lt;&gt;0,$F297&gt;0,YEAR($F297)&gt;=Preisindex!$A$6,YEAR(EC$4)&gt;=YEAR($F297),$K297="a"),ROUND(VLOOKUP(EH$4,Preisindex,5,FALSE)/VLOOKUP(YEAR($F297),Preisindex,5,FALSE),2),IF(AND($E297&lt;&gt;0,$F297&gt;0,YEAR($F297)&gt;=Preisindex!$A$6,YEAR(EC$4)&gt;=YEAR($F297),$K297="b"),ROUND(VLOOKUP(EH$4,Preisindex,3,FALSE)/VLOOKUP(YEAR($F297),Preisindex,3,FALSE),2),IF(AND($E297&lt;&gt;0,$F297&gt;0,YEAR($F297)&gt;=Preisindex!$A$6,YEAR(EC$4)&gt;=YEAR($F297),$K297="g"),ROUND(VLOOKUP(EH$4,Preisindex,4,FALSE)/VLOOKUP(YEAR($F297),Preisindex,4,FALSE),2),IF(AND($E297&lt;&gt;0,$F297&gt;0,YEAR($F297)&gt;=Preisindex!$A$6,YEAR(EC$4)&gt;=YEAR($F297),$K297="k"),ROUND(VLOOKUP(EH$4,Preisindex,2,FALSE)/VLOOKUP(YEAR($F297),Preisindex,2,FALSE),2),0)))))</f>
        <v>0</v>
      </c>
      <c r="EI297" s="56">
        <f>IF(AND($E297&lt;&gt;0,$F297&gt;0,YEAR($F297)&lt;Preisindex!$A$6,YEAR(EC$4)&gt;=YEAR($F297),AND($K297&lt;&gt;"a",$K297&lt;&gt;"b",$K297&lt;&gt;"g",$K297&lt;&gt;"k")),1,IF(AND($E297&lt;&gt;0,$F297&gt;0,YEAR($F297)&lt;Preisindex!$A$6,YEAR(EC$4)&gt;=YEAR($F297),$K297="a"),ROUND(VLOOKUP(EH$4,Preisindex,5,FALSE)/VLOOKUP(Preisindex!$A$6,Preisindex,5,FALSE),2),IF(AND($E297&lt;&gt;0,$F297&gt;0,YEAR($F297)&lt;Preisindex!$A$6,YEAR(EC$4)&gt;=YEAR($F297),$K297="b"),ROUND(VLOOKUP(EH$4,Preisindex,3,FALSE)/VLOOKUP(Preisindex!$A$6,Preisindex,3,FALSE),2),IF(AND($E297&lt;&gt;0,$F297&gt;0,YEAR($F297)&lt;Preisindex!$A$6,YEAR(EC$4)&gt;=YEAR($F297),$K297="g"),ROUND(VLOOKUP(EH$4,Preisindex,4,FALSE)/VLOOKUP(Preisindex!$A$6,Preisindex,4,FALSE),2),IF(AND($E297&lt;&gt;0,$F297&gt;0,YEAR($F297)&lt;Preisindex!$A$6,YEAR(EC$4)&gt;=YEAR($F297),$K297="k"),ROUND(VLOOKUP(EH$4,Preisindex,2,FALSE)/VLOOKUP(Preisindex!$A$6,Preisindex,2,FALSE),2),0)))))</f>
        <v>0</v>
      </c>
      <c r="EJ297" s="51">
        <f>IF(AND($E297&lt;&gt;0,$F297&gt;0,YEAR($F297)&lt;=EH$4,YEAR($F297)&gt;=Preisindex!$A$6),ROUND($E297*EH297,2),IF(AND($E297&lt;&gt;0,$F297&gt;0,YEAR($F297)&lt;=EH$4,YEAR($F297)&lt;Preisindex!$A$6),ROUND($E297*EI297,2),0))</f>
        <v>0</v>
      </c>
      <c r="EK297" s="53">
        <f t="shared" si="803"/>
        <v>0</v>
      </c>
      <c r="EL297" s="51">
        <f t="shared" si="882"/>
        <v>0</v>
      </c>
      <c r="EM297" s="51">
        <f t="shared" si="871"/>
        <v>0</v>
      </c>
      <c r="EN297" s="51">
        <f t="shared" si="804"/>
        <v>0</v>
      </c>
      <c r="EO297" s="51">
        <f t="shared" si="872"/>
        <v>0</v>
      </c>
      <c r="EP297" s="51">
        <f t="shared" si="805"/>
        <v>0</v>
      </c>
      <c r="EQ297" s="51">
        <f t="shared" si="873"/>
        <v>0</v>
      </c>
      <c r="ER297" s="51">
        <f t="shared" si="806"/>
        <v>0</v>
      </c>
      <c r="ES297" s="51">
        <f t="shared" si="874"/>
        <v>0</v>
      </c>
      <c r="ET297" s="51">
        <f t="shared" si="807"/>
        <v>0</v>
      </c>
      <c r="EU297" s="51">
        <f t="shared" si="875"/>
        <v>0</v>
      </c>
      <c r="EV297" s="51">
        <f t="shared" si="808"/>
        <v>0</v>
      </c>
      <c r="EW297" s="54">
        <f t="shared" si="809"/>
        <v>0</v>
      </c>
      <c r="EX297" s="55">
        <f t="shared" si="810"/>
        <v>0</v>
      </c>
      <c r="EY297" s="56">
        <f>IF(AND($E297&lt;&gt;0,$F297&gt;0,YEAR($F297)&gt;=Preisindex!$A$6,YEAR(ET$4)&gt;=YEAR($F297),AND($K297&lt;&gt;"a",$K297&lt;&gt;"b",$K297&lt;&gt;"g",$K297&lt;&gt;"k")),1,IF(AND($E297&lt;&gt;0,$F297&gt;0,YEAR($F297)&gt;=Preisindex!$A$6,YEAR(ET$4)&gt;=YEAR($F297),$K297="a"),ROUND(VLOOKUP(EY$4,Preisindex,5,FALSE)/VLOOKUP(YEAR($F297),Preisindex,5,FALSE),2),IF(AND($E297&lt;&gt;0,$F297&gt;0,YEAR($F297)&gt;=Preisindex!$A$6,YEAR(ET$4)&gt;=YEAR($F297),$K297="b"),ROUND(VLOOKUP(EY$4,Preisindex,3,FALSE)/VLOOKUP(YEAR($F297),Preisindex,3,FALSE),2),IF(AND($E297&lt;&gt;0,$F297&gt;0,YEAR($F297)&gt;=Preisindex!$A$6,YEAR(ET$4)&gt;=YEAR($F297),$K297="g"),ROUND(VLOOKUP(EY$4,Preisindex,4,FALSE)/VLOOKUP(YEAR($F297),Preisindex,4,FALSE),2),IF(AND($E297&lt;&gt;0,$F297&gt;0,YEAR($F297)&gt;=Preisindex!$A$6,YEAR(ET$4)&gt;=YEAR($F297),$K297="k"),ROUND(VLOOKUP(EY$4,Preisindex,2,FALSE)/VLOOKUP(YEAR($F297),Preisindex,2,FALSE),2),0)))))</f>
        <v>0</v>
      </c>
      <c r="EZ297" s="56">
        <f>IF(AND($E297&lt;&gt;0,$F297&gt;0,YEAR($F297)&lt;Preisindex!$A$6,YEAR(ET$4)&gt;=YEAR($F297),AND($K297&lt;&gt;"a",$K297&lt;&gt;"b",$K297&lt;&gt;"g",$K297&lt;&gt;"k")),1,IF(AND($E297&lt;&gt;0,$F297&gt;0,YEAR($F297)&lt;Preisindex!$A$6,YEAR(ET$4)&gt;=YEAR($F297),$K297="a"),ROUND(VLOOKUP(EY$4,Preisindex,5,FALSE)/VLOOKUP(Preisindex!$A$6,Preisindex,5,FALSE),2),IF(AND($E297&lt;&gt;0,$F297&gt;0,YEAR($F297)&lt;Preisindex!$A$6,YEAR(ET$4)&gt;=YEAR($F297),$K297="b"),ROUND(VLOOKUP(EY$4,Preisindex,3,FALSE)/VLOOKUP(Preisindex!$A$6,Preisindex,3,FALSE),2),IF(AND($E297&lt;&gt;0,$F297&gt;0,YEAR($F297)&lt;Preisindex!$A$6,YEAR(ET$4)&gt;=YEAR($F297),$K297="g"),ROUND(VLOOKUP(EY$4,Preisindex,4,FALSE)/VLOOKUP(Preisindex!$A$6,Preisindex,4,FALSE),2),IF(AND($E297&lt;&gt;0,$F297&gt;0,YEAR($F297)&lt;Preisindex!$A$6,YEAR(ET$4)&gt;=YEAR($F297),$K297="k"),ROUND(VLOOKUP(EY$4,Preisindex,2,FALSE)/VLOOKUP(Preisindex!$A$6,Preisindex,2,FALSE),2),0)))))</f>
        <v>0</v>
      </c>
      <c r="FA297" s="51">
        <f>IF(AND($E297&lt;&gt;0,$F297&gt;0,YEAR($F297)&lt;=EY$4,YEAR($F297)&gt;=Preisindex!$A$6),ROUND($E297*EY297,2),IF(AND($E297&lt;&gt;0,$F297&gt;0,YEAR($F297)&lt;=EY$4,YEAR($F297)&lt;Preisindex!$A$6),ROUND($E297*EZ297,2),0))</f>
        <v>0</v>
      </c>
      <c r="FB297" s="53">
        <f t="shared" si="811"/>
        <v>0</v>
      </c>
      <c r="FC297" s="51">
        <f t="shared" si="882"/>
        <v>0</v>
      </c>
      <c r="FD297" s="51">
        <f t="shared" si="876"/>
        <v>0</v>
      </c>
      <c r="FE297" s="51">
        <f t="shared" si="812"/>
        <v>0</v>
      </c>
      <c r="FF297" s="51">
        <f t="shared" si="877"/>
        <v>0</v>
      </c>
      <c r="FG297" s="51">
        <f t="shared" si="813"/>
        <v>0</v>
      </c>
      <c r="FH297" s="51">
        <f t="shared" si="878"/>
        <v>0</v>
      </c>
      <c r="FI297" s="51">
        <f t="shared" si="814"/>
        <v>0</v>
      </c>
      <c r="FJ297" s="51">
        <f t="shared" si="879"/>
        <v>0</v>
      </c>
      <c r="FK297" s="51">
        <f t="shared" si="815"/>
        <v>0</v>
      </c>
      <c r="FL297" s="51">
        <f t="shared" si="880"/>
        <v>0</v>
      </c>
      <c r="FM297" s="51">
        <f t="shared" si="816"/>
        <v>0</v>
      </c>
      <c r="FN297" s="54">
        <f t="shared" si="817"/>
        <v>0</v>
      </c>
      <c r="FO297" s="55">
        <f t="shared" si="818"/>
        <v>0</v>
      </c>
      <c r="FP297" s="56">
        <f>IF(AND($E297&lt;&gt;0,$F297&gt;0,YEAR($F297)&gt;=Preisindex!$A$6,YEAR(FK$4)&gt;=YEAR($F297),AND($K297&lt;&gt;"a",$K297&lt;&gt;"b",$K297&lt;&gt;"g",$K297&lt;&gt;"k")),1,IF(AND($E297&lt;&gt;0,$F297&gt;0,YEAR($F297)&gt;=Preisindex!$A$6,YEAR(FK$4)&gt;=YEAR($F297),$K297="a"),ROUND(VLOOKUP(FP$4,Preisindex,5,FALSE)/VLOOKUP(YEAR($F297),Preisindex,5,FALSE),2),IF(AND($E297&lt;&gt;0,$F297&gt;0,YEAR($F297)&gt;=Preisindex!$A$6,YEAR(FK$4)&gt;=YEAR($F297),$K297="b"),ROUND(VLOOKUP(FP$4,Preisindex,3,FALSE)/VLOOKUP(YEAR($F297),Preisindex,3,FALSE),2),IF(AND($E297&lt;&gt;0,$F297&gt;0,YEAR($F297)&gt;=Preisindex!$A$6,YEAR(FK$4)&gt;=YEAR($F297),$K297="g"),ROUND(VLOOKUP(FP$4,Preisindex,4,FALSE)/VLOOKUP(YEAR($F297),Preisindex,4,FALSE),2),IF(AND($E297&lt;&gt;0,$F297&gt;0,YEAR($F297)&gt;=Preisindex!$A$6,YEAR(FK$4)&gt;=YEAR($F297),$K297="k"),ROUND(VLOOKUP(FP$4,Preisindex,2,FALSE)/VLOOKUP(YEAR($F297),Preisindex,2,FALSE),2),0)))))</f>
        <v>0</v>
      </c>
      <c r="FQ297" s="56">
        <f>IF(AND($E297&lt;&gt;0,$F297&gt;0,YEAR($F297)&lt;Preisindex!$A$6,YEAR(FK$4)&gt;=YEAR($F297),AND($K297&lt;&gt;"a",$K297&lt;&gt;"b",$K297&lt;&gt;"g",$K297&lt;&gt;"k")),1,IF(AND($E297&lt;&gt;0,$F297&gt;0,YEAR($F297)&lt;Preisindex!$A$6,YEAR(FK$4)&gt;=YEAR($F297),$K297="a"),ROUND(VLOOKUP(FP$4,Preisindex,5,FALSE)/VLOOKUP(Preisindex!$A$6,Preisindex,5,FALSE),2),IF(AND($E297&lt;&gt;0,$F297&gt;0,YEAR($F297)&lt;Preisindex!$A$6,YEAR(FK$4)&gt;=YEAR($F297),$K297="b"),ROUND(VLOOKUP(FP$4,Preisindex,3,FALSE)/VLOOKUP(Preisindex!$A$6,Preisindex,3,FALSE),2),IF(AND($E297&lt;&gt;0,$F297&gt;0,YEAR($F297)&lt;Preisindex!$A$6,YEAR(FK$4)&gt;=YEAR($F297),$K297="g"),ROUND(VLOOKUP(FP$4,Preisindex,4,FALSE)/VLOOKUP(Preisindex!$A$6,Preisindex,4,FALSE),2),IF(AND($E297&lt;&gt;0,$F297&gt;0,YEAR($F297)&lt;Preisindex!$A$6,YEAR(FK$4)&gt;=YEAR($F297),$K297="k"),ROUND(VLOOKUP(FP$4,Preisindex,2,FALSE)/VLOOKUP(Preisindex!$A$6,Preisindex,2,FALSE),2),0)))))</f>
        <v>0</v>
      </c>
      <c r="FR297" s="51">
        <f>IF(AND($E297&lt;&gt;0,$F297&gt;0,YEAR($F297)&lt;=FP$4,YEAR($F297)&gt;=Preisindex!$A$6),ROUND($E297*FP297,2),IF(AND($E297&lt;&gt;0,$F297&gt;0,YEAR($F297)&lt;=FP$4,YEAR($F297)&lt;Preisindex!$A$6),ROUND($E297*FQ297,2),0))</f>
        <v>0</v>
      </c>
      <c r="FS297" s="53">
        <f t="shared" si="819"/>
        <v>0</v>
      </c>
    </row>
    <row r="298" spans="1:175" x14ac:dyDescent="0.3">
      <c r="A298" s="185"/>
      <c r="B298" s="186"/>
      <c r="C298" s="187"/>
      <c r="D298" s="188"/>
      <c r="E298" s="189"/>
      <c r="F298" s="190"/>
      <c r="G298" s="191"/>
      <c r="H298" s="192"/>
      <c r="I298" s="193"/>
      <c r="J298" s="194"/>
      <c r="K298" s="630"/>
      <c r="L298" s="49">
        <f t="shared" si="820"/>
        <v>0</v>
      </c>
      <c r="M298" s="50">
        <f t="shared" si="821"/>
        <v>0</v>
      </c>
      <c r="N298" s="51">
        <f t="shared" si="822"/>
        <v>0</v>
      </c>
      <c r="O298" s="51"/>
      <c r="P298" s="51">
        <f t="shared" si="823"/>
        <v>0</v>
      </c>
      <c r="Q298" s="52"/>
      <c r="R298" s="52"/>
      <c r="S298" s="52"/>
      <c r="T298" s="52"/>
      <c r="U298" s="52"/>
      <c r="V298" s="53">
        <f t="shared" si="824"/>
        <v>0</v>
      </c>
      <c r="W298" s="51">
        <f t="shared" si="825"/>
        <v>0</v>
      </c>
      <c r="X298" s="51">
        <f t="shared" si="826"/>
        <v>0</v>
      </c>
      <c r="Y298" s="51">
        <f t="shared" si="827"/>
        <v>0</v>
      </c>
      <c r="Z298" s="51">
        <f t="shared" si="828"/>
        <v>0</v>
      </c>
      <c r="AA298" s="51">
        <f t="shared" si="829"/>
        <v>0</v>
      </c>
      <c r="AB298" s="51">
        <f t="shared" si="830"/>
        <v>0</v>
      </c>
      <c r="AC298" s="51">
        <f t="shared" si="831"/>
        <v>0</v>
      </c>
      <c r="AD298" s="51">
        <f t="shared" si="832"/>
        <v>0</v>
      </c>
      <c r="AE298" s="51">
        <f t="shared" si="833"/>
        <v>0</v>
      </c>
      <c r="AF298" s="51">
        <f t="shared" si="834"/>
        <v>0</v>
      </c>
      <c r="AG298" s="51">
        <f t="shared" si="835"/>
        <v>0</v>
      </c>
      <c r="AH298" s="54">
        <f t="shared" si="836"/>
        <v>0</v>
      </c>
      <c r="AI298" s="55">
        <f t="shared" si="837"/>
        <v>0</v>
      </c>
      <c r="AJ298" s="56">
        <f>IF(AND($E298&lt;&gt;0,$F298&gt;0,YEAR($F298)&gt;=Preisindex!$A$6,YEAR(AE$4)&gt;=YEAR($F298),AND($K298&lt;&gt;"a",$K298&lt;&gt;"b",$K298&lt;&gt;"g",$K298&lt;&gt;"k")),1,IF(AND($E298&lt;&gt;0,$F298&gt;0,YEAR($F298)&gt;=Preisindex!$A$6,YEAR(AE$4)&gt;=YEAR($F298),$K298="a"),ROUND(VLOOKUP(AJ$4,Preisindex,5,FALSE)/VLOOKUP(YEAR($F298),Preisindex,5,FALSE),2),IF(AND($E298&lt;&gt;0,$F298&gt;0,YEAR($F298)&gt;=Preisindex!$A$6,YEAR(AE$4)&gt;=YEAR($F298),$K298="b"),ROUND(VLOOKUP(AJ$4,Preisindex,3,FALSE)/VLOOKUP(YEAR($F298),Preisindex,3,FALSE),2),IF(AND($E298&lt;&gt;0,$F298&gt;0,YEAR($F298)&gt;=Preisindex!$A$6,YEAR(AE$4)&gt;=YEAR($F298),$K298="g"),ROUND(VLOOKUP(AJ$4,Preisindex,4,FALSE)/VLOOKUP(YEAR($F298),Preisindex,4,FALSE),2),IF(AND($E298&lt;&gt;0,$F298&gt;0,YEAR($F298)&gt;=Preisindex!$A$6,YEAR(AE$4)&gt;=YEAR($F298),$K298="k"),ROUND(VLOOKUP(AJ$4,Preisindex,2,FALSE)/VLOOKUP(YEAR($F298),Preisindex,2,FALSE),2),0)))))</f>
        <v>0</v>
      </c>
      <c r="AK298" s="56">
        <f>IF(AND($E298&lt;&gt;0,$F298&gt;0,YEAR($F298)&lt;Preisindex!$A$6,YEAR(AE$4)&gt;=YEAR($F298),AND($K298&lt;&gt;"a",$K298&lt;&gt;"b",$K298&lt;&gt;"g",$K298&lt;&gt;"k")),1,IF(AND($E298&lt;&gt;0,$F298&gt;0,YEAR($F298)&lt;Preisindex!$A$6,YEAR(AE$4)&gt;=YEAR($F298),$K298="a"),ROUND(VLOOKUP(AJ$4,Preisindex,5,FALSE)/VLOOKUP(Preisindex!$A$6,Preisindex,5,FALSE),2),IF(AND($E298&lt;&gt;0,$F298&gt;0,YEAR($F298)&lt;Preisindex!$A$6,YEAR(AE$4)&gt;=YEAR($F298),$K298="b"),ROUND(VLOOKUP(AJ$4,Preisindex,3,FALSE)/VLOOKUP(Preisindex!$A$6,Preisindex,3,FALSE),2),IF(AND($E298&lt;&gt;0,$F298&gt;0,YEAR($F298)&lt;Preisindex!$A$6,YEAR(AE$4)&gt;=YEAR($F298),$K298="g"),ROUND(VLOOKUP(AJ$4,Preisindex,4,FALSE)/VLOOKUP(Preisindex!$A$6,Preisindex,4,FALSE),2),IF(AND($E298&lt;&gt;0,$F298&gt;0,YEAR($F298)&lt;Preisindex!$A$6,YEAR(AE$4)&gt;=YEAR($F298),$K298="k"),ROUND(VLOOKUP(AJ$4,Preisindex,2,FALSE)/VLOOKUP(Preisindex!$A$6,Preisindex,2,FALSE),2),0)))))</f>
        <v>0</v>
      </c>
      <c r="AL298" s="51">
        <f>IF(AND($E298&lt;&gt;0,$F298&gt;0,YEAR($F298)&lt;=AJ$4,YEAR($F298)&gt;=Preisindex!$A$6),ROUND($E298*AJ298,2),IF(AND($E298&lt;&gt;0,$F298&gt;0,YEAR($F298)&lt;=AJ$4,YEAR($F298)&lt;Preisindex!$A$6),ROUND($E298*AK298,2),0))</f>
        <v>0</v>
      </c>
      <c r="AM298" s="53">
        <f t="shared" si="838"/>
        <v>0</v>
      </c>
      <c r="AN298" s="51">
        <f t="shared" si="881"/>
        <v>0</v>
      </c>
      <c r="AO298" s="51">
        <f t="shared" si="841"/>
        <v>0</v>
      </c>
      <c r="AP298" s="51">
        <f t="shared" si="755"/>
        <v>0</v>
      </c>
      <c r="AQ298" s="51">
        <f t="shared" si="842"/>
        <v>0</v>
      </c>
      <c r="AR298" s="51">
        <f t="shared" si="756"/>
        <v>0</v>
      </c>
      <c r="AS298" s="51">
        <f t="shared" si="843"/>
        <v>0</v>
      </c>
      <c r="AT298" s="51">
        <f t="shared" si="757"/>
        <v>0</v>
      </c>
      <c r="AU298" s="51">
        <f t="shared" si="844"/>
        <v>0</v>
      </c>
      <c r="AV298" s="51">
        <f t="shared" si="758"/>
        <v>0</v>
      </c>
      <c r="AW298" s="51">
        <f t="shared" si="845"/>
        <v>0</v>
      </c>
      <c r="AX298" s="51">
        <f t="shared" si="759"/>
        <v>0</v>
      </c>
      <c r="AY298" s="54">
        <f t="shared" si="760"/>
        <v>0</v>
      </c>
      <c r="AZ298" s="55">
        <f t="shared" si="761"/>
        <v>0</v>
      </c>
      <c r="BA298" s="56">
        <f>IF(AND($E298&lt;&gt;0,$F298&gt;0,YEAR($F298)&gt;=Preisindex!$A$6,YEAR(AV$4)&gt;=YEAR($F298),AND($K298&lt;&gt;"a",$K298&lt;&gt;"b",$K298&lt;&gt;"g",$K298&lt;&gt;"k")),1,IF(AND($E298&lt;&gt;0,$F298&gt;0,YEAR($F298)&gt;=Preisindex!$A$6,YEAR(AV$4)&gt;=YEAR($F298),$K298="a"),ROUND(VLOOKUP(BA$4,Preisindex,5,FALSE)/VLOOKUP(YEAR($F298),Preisindex,5,FALSE),2),IF(AND($E298&lt;&gt;0,$F298&gt;0,YEAR($F298)&gt;=Preisindex!$A$6,YEAR(AV$4)&gt;=YEAR($F298),$K298="b"),ROUND(VLOOKUP(BA$4,Preisindex,3,FALSE)/VLOOKUP(YEAR($F298),Preisindex,3,FALSE),2),IF(AND($E298&lt;&gt;0,$F298&gt;0,YEAR($F298)&gt;=Preisindex!$A$6,YEAR(AV$4)&gt;=YEAR($F298),$K298="g"),ROUND(VLOOKUP(BA$4,Preisindex,4,FALSE)/VLOOKUP(YEAR($F298),Preisindex,4,FALSE),2),IF(AND($E298&lt;&gt;0,$F298&gt;0,YEAR($F298)&gt;=Preisindex!$A$6,YEAR(AV$4)&gt;=YEAR($F298),$K298="k"),ROUND(VLOOKUP(BA$4,Preisindex,2,FALSE)/VLOOKUP(YEAR($F298),Preisindex,2,FALSE),2),0)))))</f>
        <v>0</v>
      </c>
      <c r="BB298" s="56">
        <f>IF(AND($E298&lt;&gt;0,$F298&gt;0,YEAR($F298)&lt;Preisindex!$A$6,YEAR(AV$4)&gt;=YEAR($F298),AND($K298&lt;&gt;"a",$K298&lt;&gt;"b",$K298&lt;&gt;"g",$K298&lt;&gt;"k")),1,IF(AND($E298&lt;&gt;0,$F298&gt;0,YEAR($F298)&lt;Preisindex!$A$6,YEAR(AV$4)&gt;=YEAR($F298),$K298="a"),ROUND(VLOOKUP(BA$4,Preisindex,5,FALSE)/VLOOKUP(Preisindex!$A$6,Preisindex,5,FALSE),2),IF(AND($E298&lt;&gt;0,$F298&gt;0,YEAR($F298)&lt;Preisindex!$A$6,YEAR(AV$4)&gt;=YEAR($F298),$K298="b"),ROUND(VLOOKUP(BA$4,Preisindex,3,FALSE)/VLOOKUP(Preisindex!$A$6,Preisindex,3,FALSE),2),IF(AND($E298&lt;&gt;0,$F298&gt;0,YEAR($F298)&lt;Preisindex!$A$6,YEAR(AV$4)&gt;=YEAR($F298),$K298="g"),ROUND(VLOOKUP(BA$4,Preisindex,4,FALSE)/VLOOKUP(Preisindex!$A$6,Preisindex,4,FALSE),2),IF(AND($E298&lt;&gt;0,$F298&gt;0,YEAR($F298)&lt;Preisindex!$A$6,YEAR(AV$4)&gt;=YEAR($F298),$K298="k"),ROUND(VLOOKUP(BA$4,Preisindex,2,FALSE)/VLOOKUP(Preisindex!$A$6,Preisindex,2,FALSE),2),0)))))</f>
        <v>0</v>
      </c>
      <c r="BC298" s="51">
        <f>IF(AND($E298&lt;&gt;0,$F298&gt;0,YEAR($F298)&lt;=BA$4,YEAR($F298)&gt;=Preisindex!$A$6),ROUND($E298*BA298,2),IF(AND($E298&lt;&gt;0,$F298&gt;0,YEAR($F298)&lt;=BA$4,YEAR($F298)&lt;Preisindex!$A$6),ROUND($E298*BB298,2),0))</f>
        <v>0</v>
      </c>
      <c r="BD298" s="53">
        <f t="shared" si="762"/>
        <v>0</v>
      </c>
      <c r="BE298" s="51">
        <f t="shared" si="881"/>
        <v>0</v>
      </c>
      <c r="BF298" s="51">
        <f t="shared" si="846"/>
        <v>0</v>
      </c>
      <c r="BG298" s="51">
        <f t="shared" si="763"/>
        <v>0</v>
      </c>
      <c r="BH298" s="51">
        <f t="shared" si="847"/>
        <v>0</v>
      </c>
      <c r="BI298" s="51">
        <f t="shared" si="764"/>
        <v>0</v>
      </c>
      <c r="BJ298" s="51">
        <f t="shared" si="848"/>
        <v>0</v>
      </c>
      <c r="BK298" s="51">
        <f t="shared" si="765"/>
        <v>0</v>
      </c>
      <c r="BL298" s="51">
        <f t="shared" si="849"/>
        <v>0</v>
      </c>
      <c r="BM298" s="51">
        <f t="shared" si="766"/>
        <v>0</v>
      </c>
      <c r="BN298" s="51">
        <f t="shared" si="850"/>
        <v>0</v>
      </c>
      <c r="BO298" s="51">
        <f t="shared" si="767"/>
        <v>0</v>
      </c>
      <c r="BP298" s="54">
        <f t="shared" si="768"/>
        <v>0</v>
      </c>
      <c r="BQ298" s="55">
        <f t="shared" si="769"/>
        <v>0</v>
      </c>
      <c r="BR298" s="56">
        <f>IF(AND($E298&lt;&gt;0,$F298&gt;0,YEAR($F298)&gt;=Preisindex!$A$6,YEAR(BM$4)&gt;=YEAR($F298),AND($K298&lt;&gt;"a",$K298&lt;&gt;"b",$K298&lt;&gt;"g",$K298&lt;&gt;"k")),1,IF(AND($E298&lt;&gt;0,$F298&gt;0,YEAR($F298)&gt;=Preisindex!$A$6,YEAR(BM$4)&gt;=YEAR($F298),$K298="a"),ROUND(VLOOKUP(BR$4,Preisindex,5,FALSE)/VLOOKUP(YEAR($F298),Preisindex,5,FALSE),2),IF(AND($E298&lt;&gt;0,$F298&gt;0,YEAR($F298)&gt;=Preisindex!$A$6,YEAR(BM$4)&gt;=YEAR($F298),$K298="b"),ROUND(VLOOKUP(BR$4,Preisindex,3,FALSE)/VLOOKUP(YEAR($F298),Preisindex,3,FALSE),2),IF(AND($E298&lt;&gt;0,$F298&gt;0,YEAR($F298)&gt;=Preisindex!$A$6,YEAR(BM$4)&gt;=YEAR($F298),$K298="g"),ROUND(VLOOKUP(BR$4,Preisindex,4,FALSE)/VLOOKUP(YEAR($F298),Preisindex,4,FALSE),2),IF(AND($E298&lt;&gt;0,$F298&gt;0,YEAR($F298)&gt;=Preisindex!$A$6,YEAR(BM$4)&gt;=YEAR($F298),$K298="k"),ROUND(VLOOKUP(BR$4,Preisindex,2,FALSE)/VLOOKUP(YEAR($F298),Preisindex,2,FALSE),2),0)))))</f>
        <v>0</v>
      </c>
      <c r="BS298" s="56">
        <f>IF(AND($E298&lt;&gt;0,$F298&gt;0,YEAR($F298)&lt;Preisindex!$A$6,YEAR(BM$4)&gt;=YEAR($F298),AND($K298&lt;&gt;"a",$K298&lt;&gt;"b",$K298&lt;&gt;"g",$K298&lt;&gt;"k")),1,IF(AND($E298&lt;&gt;0,$F298&gt;0,YEAR($F298)&lt;Preisindex!$A$6,YEAR(BM$4)&gt;=YEAR($F298),$K298="a"),ROUND(VLOOKUP(BR$4,Preisindex,5,FALSE)/VLOOKUP(Preisindex!$A$6,Preisindex,5,FALSE),2),IF(AND($E298&lt;&gt;0,$F298&gt;0,YEAR($F298)&lt;Preisindex!$A$6,YEAR(BM$4)&gt;=YEAR($F298),$K298="b"),ROUND(VLOOKUP(BR$4,Preisindex,3,FALSE)/VLOOKUP(Preisindex!$A$6,Preisindex,3,FALSE),2),IF(AND($E298&lt;&gt;0,$F298&gt;0,YEAR($F298)&lt;Preisindex!$A$6,YEAR(BM$4)&gt;=YEAR($F298),$K298="g"),ROUND(VLOOKUP(BR$4,Preisindex,4,FALSE)/VLOOKUP(Preisindex!$A$6,Preisindex,4,FALSE),2),IF(AND($E298&lt;&gt;0,$F298&gt;0,YEAR($F298)&lt;Preisindex!$A$6,YEAR(BM$4)&gt;=YEAR($F298),$K298="k"),ROUND(VLOOKUP(BR$4,Preisindex,2,FALSE)/VLOOKUP(Preisindex!$A$6,Preisindex,2,FALSE),2),0)))))</f>
        <v>0</v>
      </c>
      <c r="BT298" s="51">
        <f>IF(AND($E298&lt;&gt;0,$F298&gt;0,YEAR($F298)&lt;=BR$4,YEAR($F298)&gt;=Preisindex!$A$6),ROUND($E298*BR298,2),IF(AND($E298&lt;&gt;0,$F298&gt;0,YEAR($F298)&lt;=BR$4,YEAR($F298)&lt;Preisindex!$A$6),ROUND($E298*BS298,2),0))</f>
        <v>0</v>
      </c>
      <c r="BU298" s="53">
        <f t="shared" si="770"/>
        <v>0</v>
      </c>
      <c r="BV298" s="51">
        <f t="shared" si="881"/>
        <v>0</v>
      </c>
      <c r="BW298" s="51">
        <f t="shared" si="851"/>
        <v>0</v>
      </c>
      <c r="BX298" s="51">
        <f t="shared" si="771"/>
        <v>0</v>
      </c>
      <c r="BY298" s="51">
        <f t="shared" si="852"/>
        <v>0</v>
      </c>
      <c r="BZ298" s="51">
        <f t="shared" si="772"/>
        <v>0</v>
      </c>
      <c r="CA298" s="51">
        <f t="shared" si="853"/>
        <v>0</v>
      </c>
      <c r="CB298" s="51">
        <f t="shared" si="773"/>
        <v>0</v>
      </c>
      <c r="CC298" s="51">
        <f t="shared" si="854"/>
        <v>0</v>
      </c>
      <c r="CD298" s="51">
        <f t="shared" si="774"/>
        <v>0</v>
      </c>
      <c r="CE298" s="51">
        <f t="shared" si="855"/>
        <v>0</v>
      </c>
      <c r="CF298" s="51">
        <f t="shared" si="775"/>
        <v>0</v>
      </c>
      <c r="CG298" s="54">
        <f t="shared" si="776"/>
        <v>0</v>
      </c>
      <c r="CH298" s="55">
        <f t="shared" si="777"/>
        <v>0</v>
      </c>
      <c r="CI298" s="56">
        <f>IF(AND($E298&lt;&gt;0,$F298&gt;0,YEAR($F298)&gt;=Preisindex!$A$6,YEAR(CD$4)&gt;=YEAR($F298),AND($K298&lt;&gt;"a",$K298&lt;&gt;"b",$K298&lt;&gt;"g",$K298&lt;&gt;"k")),1,IF(AND($E298&lt;&gt;0,$F298&gt;0,YEAR($F298)&gt;=Preisindex!$A$6,YEAR(CD$4)&gt;=YEAR($F298),$K298="a"),ROUND(VLOOKUP(CI$4,Preisindex,5,FALSE)/VLOOKUP(YEAR($F298),Preisindex,5,FALSE),2),IF(AND($E298&lt;&gt;0,$F298&gt;0,YEAR($F298)&gt;=Preisindex!$A$6,YEAR(CD$4)&gt;=YEAR($F298),$K298="b"),ROUND(VLOOKUP(CI$4,Preisindex,3,FALSE)/VLOOKUP(YEAR($F298),Preisindex,3,FALSE),2),IF(AND($E298&lt;&gt;0,$F298&gt;0,YEAR($F298)&gt;=Preisindex!$A$6,YEAR(CD$4)&gt;=YEAR($F298),$K298="g"),ROUND(VLOOKUP(CI$4,Preisindex,4,FALSE)/VLOOKUP(YEAR($F298),Preisindex,4,FALSE),2),IF(AND($E298&lt;&gt;0,$F298&gt;0,YEAR($F298)&gt;=Preisindex!$A$6,YEAR(CD$4)&gt;=YEAR($F298),$K298="k"),ROUND(VLOOKUP(CI$4,Preisindex,2,FALSE)/VLOOKUP(YEAR($F298),Preisindex,2,FALSE),2),0)))))</f>
        <v>0</v>
      </c>
      <c r="CJ298" s="56">
        <f>IF(AND($E298&lt;&gt;0,$F298&gt;0,YEAR($F298)&lt;Preisindex!$A$6,YEAR(CD$4)&gt;=YEAR($F298),AND($K298&lt;&gt;"a",$K298&lt;&gt;"b",$K298&lt;&gt;"g",$K298&lt;&gt;"k")),1,IF(AND($E298&lt;&gt;0,$F298&gt;0,YEAR($F298)&lt;Preisindex!$A$6,YEAR(CD$4)&gt;=YEAR($F298),$K298="a"),ROUND(VLOOKUP(CI$4,Preisindex,5,FALSE)/VLOOKUP(Preisindex!$A$6,Preisindex,5,FALSE),2),IF(AND($E298&lt;&gt;0,$F298&gt;0,YEAR($F298)&lt;Preisindex!$A$6,YEAR(CD$4)&gt;=YEAR($F298),$K298="b"),ROUND(VLOOKUP(CI$4,Preisindex,3,FALSE)/VLOOKUP(Preisindex!$A$6,Preisindex,3,FALSE),2),IF(AND($E298&lt;&gt;0,$F298&gt;0,YEAR($F298)&lt;Preisindex!$A$6,YEAR(CD$4)&gt;=YEAR($F298),$K298="g"),ROUND(VLOOKUP(CI$4,Preisindex,4,FALSE)/VLOOKUP(Preisindex!$A$6,Preisindex,4,FALSE),2),IF(AND($E298&lt;&gt;0,$F298&gt;0,YEAR($F298)&lt;Preisindex!$A$6,YEAR(CD$4)&gt;=YEAR($F298),$K298="k"),ROUND(VLOOKUP(CI$4,Preisindex,2,FALSE)/VLOOKUP(Preisindex!$A$6,Preisindex,2,FALSE),2),0)))))</f>
        <v>0</v>
      </c>
      <c r="CK298" s="51">
        <f>IF(AND($E298&lt;&gt;0,$F298&gt;0,YEAR($F298)&lt;=CI$4,YEAR($F298)&gt;=Preisindex!$A$6),ROUND($E298*CI298,2),IF(AND($E298&lt;&gt;0,$F298&gt;0,YEAR($F298)&lt;=CI$4,YEAR($F298)&lt;Preisindex!$A$6),ROUND($E298*CJ298,2),0))</f>
        <v>0</v>
      </c>
      <c r="CL298" s="53">
        <f t="shared" si="778"/>
        <v>0</v>
      </c>
      <c r="CM298" s="51">
        <f t="shared" si="881"/>
        <v>0</v>
      </c>
      <c r="CN298" s="51">
        <f t="shared" si="856"/>
        <v>0</v>
      </c>
      <c r="CO298" s="51">
        <f t="shared" si="779"/>
        <v>0</v>
      </c>
      <c r="CP298" s="51">
        <f t="shared" si="857"/>
        <v>0</v>
      </c>
      <c r="CQ298" s="51">
        <f t="shared" si="780"/>
        <v>0</v>
      </c>
      <c r="CR298" s="51">
        <f t="shared" si="858"/>
        <v>0</v>
      </c>
      <c r="CS298" s="51">
        <f t="shared" si="781"/>
        <v>0</v>
      </c>
      <c r="CT298" s="51">
        <f t="shared" si="859"/>
        <v>0</v>
      </c>
      <c r="CU298" s="51">
        <f t="shared" si="782"/>
        <v>0</v>
      </c>
      <c r="CV298" s="51">
        <f t="shared" si="860"/>
        <v>0</v>
      </c>
      <c r="CW298" s="51">
        <f t="shared" si="783"/>
        <v>0</v>
      </c>
      <c r="CX298" s="54">
        <f t="shared" si="784"/>
        <v>0</v>
      </c>
      <c r="CY298" s="55">
        <f t="shared" si="785"/>
        <v>0</v>
      </c>
      <c r="CZ298" s="56">
        <f>IF(AND($E298&lt;&gt;0,$F298&gt;0,YEAR($F298)&gt;=Preisindex!$A$6,YEAR(CU$4)&gt;=YEAR($F298),AND($K298&lt;&gt;"a",$K298&lt;&gt;"b",$K298&lt;&gt;"g",$K298&lt;&gt;"k")),1,IF(AND($E298&lt;&gt;0,$F298&gt;0,YEAR($F298)&gt;=Preisindex!$A$6,YEAR(CU$4)&gt;=YEAR($F298),$K298="a"),ROUND(VLOOKUP(CZ$4,Preisindex,5,FALSE)/VLOOKUP(YEAR($F298),Preisindex,5,FALSE),2),IF(AND($E298&lt;&gt;0,$F298&gt;0,YEAR($F298)&gt;=Preisindex!$A$6,YEAR(CU$4)&gt;=YEAR($F298),$K298="b"),ROUND(VLOOKUP(CZ$4,Preisindex,3,FALSE)/VLOOKUP(YEAR($F298),Preisindex,3,FALSE),2),IF(AND($E298&lt;&gt;0,$F298&gt;0,YEAR($F298)&gt;=Preisindex!$A$6,YEAR(CU$4)&gt;=YEAR($F298),$K298="g"),ROUND(VLOOKUP(CZ$4,Preisindex,4,FALSE)/VLOOKUP(YEAR($F298),Preisindex,4,FALSE),2),IF(AND($E298&lt;&gt;0,$F298&gt;0,YEAR($F298)&gt;=Preisindex!$A$6,YEAR(CU$4)&gt;=YEAR($F298),$K298="k"),ROUND(VLOOKUP(CZ$4,Preisindex,2,FALSE)/VLOOKUP(YEAR($F298),Preisindex,2,FALSE),2),0)))))</f>
        <v>0</v>
      </c>
      <c r="DA298" s="56">
        <f>IF(AND($E298&lt;&gt;0,$F298&gt;0,YEAR($F298)&lt;Preisindex!$A$6,YEAR(CU$4)&gt;=YEAR($F298),AND($K298&lt;&gt;"a",$K298&lt;&gt;"b",$K298&lt;&gt;"g",$K298&lt;&gt;"k")),1,IF(AND($E298&lt;&gt;0,$F298&gt;0,YEAR($F298)&lt;Preisindex!$A$6,YEAR(CU$4)&gt;=YEAR($F298),$K298="a"),ROUND(VLOOKUP(CZ$4,Preisindex,5,FALSE)/VLOOKUP(Preisindex!$A$6,Preisindex,5,FALSE),2),IF(AND($E298&lt;&gt;0,$F298&gt;0,YEAR($F298)&lt;Preisindex!$A$6,YEAR(CU$4)&gt;=YEAR($F298),$K298="b"),ROUND(VLOOKUP(CZ$4,Preisindex,3,FALSE)/VLOOKUP(Preisindex!$A$6,Preisindex,3,FALSE),2),IF(AND($E298&lt;&gt;0,$F298&gt;0,YEAR($F298)&lt;Preisindex!$A$6,YEAR(CU$4)&gt;=YEAR($F298),$K298="g"),ROUND(VLOOKUP(CZ$4,Preisindex,4,FALSE)/VLOOKUP(Preisindex!$A$6,Preisindex,4,FALSE),2),IF(AND($E298&lt;&gt;0,$F298&gt;0,YEAR($F298)&lt;Preisindex!$A$6,YEAR(CU$4)&gt;=YEAR($F298),$K298="k"),ROUND(VLOOKUP(CZ$4,Preisindex,2,FALSE)/VLOOKUP(Preisindex!$A$6,Preisindex,2,FALSE),2),0)))))</f>
        <v>0</v>
      </c>
      <c r="DB298" s="51">
        <f>IF(AND($E298&lt;&gt;0,$F298&gt;0,YEAR($F298)&lt;=CZ$4,YEAR($F298)&gt;=Preisindex!$A$6),ROUND($E298*CZ298,2),IF(AND($E298&lt;&gt;0,$F298&gt;0,YEAR($F298)&lt;=CZ$4,YEAR($F298)&lt;Preisindex!$A$6),ROUND($E298*DA298,2),0))</f>
        <v>0</v>
      </c>
      <c r="DC298" s="53">
        <f t="shared" si="786"/>
        <v>0</v>
      </c>
      <c r="DD298" s="51">
        <f t="shared" si="882"/>
        <v>0</v>
      </c>
      <c r="DE298" s="51">
        <f t="shared" si="861"/>
        <v>0</v>
      </c>
      <c r="DF298" s="51">
        <f t="shared" si="788"/>
        <v>0</v>
      </c>
      <c r="DG298" s="51">
        <f t="shared" si="862"/>
        <v>0</v>
      </c>
      <c r="DH298" s="51">
        <f t="shared" si="789"/>
        <v>0</v>
      </c>
      <c r="DI298" s="51">
        <f t="shared" si="863"/>
        <v>0</v>
      </c>
      <c r="DJ298" s="51">
        <f t="shared" si="790"/>
        <v>0</v>
      </c>
      <c r="DK298" s="51">
        <f t="shared" si="864"/>
        <v>0</v>
      </c>
      <c r="DL298" s="51">
        <f t="shared" si="791"/>
        <v>0</v>
      </c>
      <c r="DM298" s="51">
        <f t="shared" si="865"/>
        <v>0</v>
      </c>
      <c r="DN298" s="51">
        <f t="shared" si="792"/>
        <v>0</v>
      </c>
      <c r="DO298" s="54">
        <f t="shared" si="793"/>
        <v>0</v>
      </c>
      <c r="DP298" s="55">
        <f t="shared" si="794"/>
        <v>0</v>
      </c>
      <c r="DQ298" s="56">
        <f>IF(AND($E298&lt;&gt;0,$F298&gt;0,YEAR($F298)&gt;=Preisindex!$A$6,YEAR(DL$4)&gt;=YEAR($F298),AND($K298&lt;&gt;"a",$K298&lt;&gt;"b",$K298&lt;&gt;"g",$K298&lt;&gt;"k")),1,IF(AND($E298&lt;&gt;0,$F298&gt;0,YEAR($F298)&gt;=Preisindex!$A$6,YEAR(DL$4)&gt;=YEAR($F298),$K298="a"),ROUND(VLOOKUP(DQ$4,Preisindex,5,FALSE)/VLOOKUP(YEAR($F298),Preisindex,5,FALSE),2),IF(AND($E298&lt;&gt;0,$F298&gt;0,YEAR($F298)&gt;=Preisindex!$A$6,YEAR(DL$4)&gt;=YEAR($F298),$K298="b"),ROUND(VLOOKUP(DQ$4,Preisindex,3,FALSE)/VLOOKUP(YEAR($F298),Preisindex,3,FALSE),2),IF(AND($E298&lt;&gt;0,$F298&gt;0,YEAR($F298)&gt;=Preisindex!$A$6,YEAR(DL$4)&gt;=YEAR($F298),$K298="g"),ROUND(VLOOKUP(DQ$4,Preisindex,4,FALSE)/VLOOKUP(YEAR($F298),Preisindex,4,FALSE),2),IF(AND($E298&lt;&gt;0,$F298&gt;0,YEAR($F298)&gt;=Preisindex!$A$6,YEAR(DL$4)&gt;=YEAR($F298),$K298="k"),ROUND(VLOOKUP(DQ$4,Preisindex,2,FALSE)/VLOOKUP(YEAR($F298),Preisindex,2,FALSE),2),0)))))</f>
        <v>0</v>
      </c>
      <c r="DR298" s="56">
        <f>IF(AND($E298&lt;&gt;0,$F298&gt;0,YEAR($F298)&lt;Preisindex!$A$6,YEAR(DL$4)&gt;=YEAR($F298),AND($K298&lt;&gt;"a",$K298&lt;&gt;"b",$K298&lt;&gt;"g",$K298&lt;&gt;"k")),1,IF(AND($E298&lt;&gt;0,$F298&gt;0,YEAR($F298)&lt;Preisindex!$A$6,YEAR(DL$4)&gt;=YEAR($F298),$K298="a"),ROUND(VLOOKUP(DQ$4,Preisindex,5,FALSE)/VLOOKUP(Preisindex!$A$6,Preisindex,5,FALSE),2),IF(AND($E298&lt;&gt;0,$F298&gt;0,YEAR($F298)&lt;Preisindex!$A$6,YEAR(DL$4)&gt;=YEAR($F298),$K298="b"),ROUND(VLOOKUP(DQ$4,Preisindex,3,FALSE)/VLOOKUP(Preisindex!$A$6,Preisindex,3,FALSE),2),IF(AND($E298&lt;&gt;0,$F298&gt;0,YEAR($F298)&lt;Preisindex!$A$6,YEAR(DL$4)&gt;=YEAR($F298),$K298="g"),ROUND(VLOOKUP(DQ$4,Preisindex,4,FALSE)/VLOOKUP(Preisindex!$A$6,Preisindex,4,FALSE),2),IF(AND($E298&lt;&gt;0,$F298&gt;0,YEAR($F298)&lt;Preisindex!$A$6,YEAR(DL$4)&gt;=YEAR($F298),$K298="k"),ROUND(VLOOKUP(DQ$4,Preisindex,2,FALSE)/VLOOKUP(Preisindex!$A$6,Preisindex,2,FALSE),2),0)))))</f>
        <v>0</v>
      </c>
      <c r="DS298" s="51">
        <f>IF(AND($E298&lt;&gt;0,$F298&gt;0,YEAR($F298)&lt;=DQ$4,YEAR($F298)&gt;=Preisindex!$A$6),ROUND($E298*DQ298,2),IF(AND($E298&lt;&gt;0,$F298&gt;0,YEAR($F298)&lt;=DQ$4,YEAR($F298)&lt;Preisindex!$A$6),ROUND($E298*DR298,2),0))</f>
        <v>0</v>
      </c>
      <c r="DT298" s="53">
        <f t="shared" si="795"/>
        <v>0</v>
      </c>
      <c r="DU298" s="51">
        <f t="shared" si="882"/>
        <v>0</v>
      </c>
      <c r="DV298" s="51">
        <f t="shared" si="866"/>
        <v>0</v>
      </c>
      <c r="DW298" s="51">
        <f t="shared" si="796"/>
        <v>0</v>
      </c>
      <c r="DX298" s="51">
        <f t="shared" si="867"/>
        <v>0</v>
      </c>
      <c r="DY298" s="51">
        <f t="shared" si="797"/>
        <v>0</v>
      </c>
      <c r="DZ298" s="51">
        <f t="shared" si="868"/>
        <v>0</v>
      </c>
      <c r="EA298" s="51">
        <f t="shared" si="798"/>
        <v>0</v>
      </c>
      <c r="EB298" s="51">
        <f t="shared" si="869"/>
        <v>0</v>
      </c>
      <c r="EC298" s="51">
        <f t="shared" si="799"/>
        <v>0</v>
      </c>
      <c r="ED298" s="51">
        <f t="shared" si="870"/>
        <v>0</v>
      </c>
      <c r="EE298" s="51">
        <f t="shared" si="800"/>
        <v>0</v>
      </c>
      <c r="EF298" s="54">
        <f t="shared" si="801"/>
        <v>0</v>
      </c>
      <c r="EG298" s="55">
        <f t="shared" si="802"/>
        <v>0</v>
      </c>
      <c r="EH298" s="56">
        <f>IF(AND($E298&lt;&gt;0,$F298&gt;0,YEAR($F298)&gt;=Preisindex!$A$6,YEAR(EC$4)&gt;=YEAR($F298),AND($K298&lt;&gt;"a",$K298&lt;&gt;"b",$K298&lt;&gt;"g",$K298&lt;&gt;"k")),1,IF(AND($E298&lt;&gt;0,$F298&gt;0,YEAR($F298)&gt;=Preisindex!$A$6,YEAR(EC$4)&gt;=YEAR($F298),$K298="a"),ROUND(VLOOKUP(EH$4,Preisindex,5,FALSE)/VLOOKUP(YEAR($F298),Preisindex,5,FALSE),2),IF(AND($E298&lt;&gt;0,$F298&gt;0,YEAR($F298)&gt;=Preisindex!$A$6,YEAR(EC$4)&gt;=YEAR($F298),$K298="b"),ROUND(VLOOKUP(EH$4,Preisindex,3,FALSE)/VLOOKUP(YEAR($F298),Preisindex,3,FALSE),2),IF(AND($E298&lt;&gt;0,$F298&gt;0,YEAR($F298)&gt;=Preisindex!$A$6,YEAR(EC$4)&gt;=YEAR($F298),$K298="g"),ROUND(VLOOKUP(EH$4,Preisindex,4,FALSE)/VLOOKUP(YEAR($F298),Preisindex,4,FALSE),2),IF(AND($E298&lt;&gt;0,$F298&gt;0,YEAR($F298)&gt;=Preisindex!$A$6,YEAR(EC$4)&gt;=YEAR($F298),$K298="k"),ROUND(VLOOKUP(EH$4,Preisindex,2,FALSE)/VLOOKUP(YEAR($F298),Preisindex,2,FALSE),2),0)))))</f>
        <v>0</v>
      </c>
      <c r="EI298" s="56">
        <f>IF(AND($E298&lt;&gt;0,$F298&gt;0,YEAR($F298)&lt;Preisindex!$A$6,YEAR(EC$4)&gt;=YEAR($F298),AND($K298&lt;&gt;"a",$K298&lt;&gt;"b",$K298&lt;&gt;"g",$K298&lt;&gt;"k")),1,IF(AND($E298&lt;&gt;0,$F298&gt;0,YEAR($F298)&lt;Preisindex!$A$6,YEAR(EC$4)&gt;=YEAR($F298),$K298="a"),ROUND(VLOOKUP(EH$4,Preisindex,5,FALSE)/VLOOKUP(Preisindex!$A$6,Preisindex,5,FALSE),2),IF(AND($E298&lt;&gt;0,$F298&gt;0,YEAR($F298)&lt;Preisindex!$A$6,YEAR(EC$4)&gt;=YEAR($F298),$K298="b"),ROUND(VLOOKUP(EH$4,Preisindex,3,FALSE)/VLOOKUP(Preisindex!$A$6,Preisindex,3,FALSE),2),IF(AND($E298&lt;&gt;0,$F298&gt;0,YEAR($F298)&lt;Preisindex!$A$6,YEAR(EC$4)&gt;=YEAR($F298),$K298="g"),ROUND(VLOOKUP(EH$4,Preisindex,4,FALSE)/VLOOKUP(Preisindex!$A$6,Preisindex,4,FALSE),2),IF(AND($E298&lt;&gt;0,$F298&gt;0,YEAR($F298)&lt;Preisindex!$A$6,YEAR(EC$4)&gt;=YEAR($F298),$K298="k"),ROUND(VLOOKUP(EH$4,Preisindex,2,FALSE)/VLOOKUP(Preisindex!$A$6,Preisindex,2,FALSE),2),0)))))</f>
        <v>0</v>
      </c>
      <c r="EJ298" s="51">
        <f>IF(AND($E298&lt;&gt;0,$F298&gt;0,YEAR($F298)&lt;=EH$4,YEAR($F298)&gt;=Preisindex!$A$6),ROUND($E298*EH298,2),IF(AND($E298&lt;&gt;0,$F298&gt;0,YEAR($F298)&lt;=EH$4,YEAR($F298)&lt;Preisindex!$A$6),ROUND($E298*EI298,2),0))</f>
        <v>0</v>
      </c>
      <c r="EK298" s="53">
        <f t="shared" si="803"/>
        <v>0</v>
      </c>
      <c r="EL298" s="51">
        <f t="shared" si="882"/>
        <v>0</v>
      </c>
      <c r="EM298" s="51">
        <f t="shared" si="871"/>
        <v>0</v>
      </c>
      <c r="EN298" s="51">
        <f t="shared" si="804"/>
        <v>0</v>
      </c>
      <c r="EO298" s="51">
        <f t="shared" si="872"/>
        <v>0</v>
      </c>
      <c r="EP298" s="51">
        <f t="shared" si="805"/>
        <v>0</v>
      </c>
      <c r="EQ298" s="51">
        <f t="shared" si="873"/>
        <v>0</v>
      </c>
      <c r="ER298" s="51">
        <f t="shared" si="806"/>
        <v>0</v>
      </c>
      <c r="ES298" s="51">
        <f t="shared" si="874"/>
        <v>0</v>
      </c>
      <c r="ET298" s="51">
        <f t="shared" si="807"/>
        <v>0</v>
      </c>
      <c r="EU298" s="51">
        <f t="shared" si="875"/>
        <v>0</v>
      </c>
      <c r="EV298" s="51">
        <f t="shared" si="808"/>
        <v>0</v>
      </c>
      <c r="EW298" s="54">
        <f t="shared" si="809"/>
        <v>0</v>
      </c>
      <c r="EX298" s="55">
        <f t="shared" si="810"/>
        <v>0</v>
      </c>
      <c r="EY298" s="56">
        <f>IF(AND($E298&lt;&gt;0,$F298&gt;0,YEAR($F298)&gt;=Preisindex!$A$6,YEAR(ET$4)&gt;=YEAR($F298),AND($K298&lt;&gt;"a",$K298&lt;&gt;"b",$K298&lt;&gt;"g",$K298&lt;&gt;"k")),1,IF(AND($E298&lt;&gt;0,$F298&gt;0,YEAR($F298)&gt;=Preisindex!$A$6,YEAR(ET$4)&gt;=YEAR($F298),$K298="a"),ROUND(VLOOKUP(EY$4,Preisindex,5,FALSE)/VLOOKUP(YEAR($F298),Preisindex,5,FALSE),2),IF(AND($E298&lt;&gt;0,$F298&gt;0,YEAR($F298)&gt;=Preisindex!$A$6,YEAR(ET$4)&gt;=YEAR($F298),$K298="b"),ROUND(VLOOKUP(EY$4,Preisindex,3,FALSE)/VLOOKUP(YEAR($F298),Preisindex,3,FALSE),2),IF(AND($E298&lt;&gt;0,$F298&gt;0,YEAR($F298)&gt;=Preisindex!$A$6,YEAR(ET$4)&gt;=YEAR($F298),$K298="g"),ROUND(VLOOKUP(EY$4,Preisindex,4,FALSE)/VLOOKUP(YEAR($F298),Preisindex,4,FALSE),2),IF(AND($E298&lt;&gt;0,$F298&gt;0,YEAR($F298)&gt;=Preisindex!$A$6,YEAR(ET$4)&gt;=YEAR($F298),$K298="k"),ROUND(VLOOKUP(EY$4,Preisindex,2,FALSE)/VLOOKUP(YEAR($F298),Preisindex,2,FALSE),2),0)))))</f>
        <v>0</v>
      </c>
      <c r="EZ298" s="56">
        <f>IF(AND($E298&lt;&gt;0,$F298&gt;0,YEAR($F298)&lt;Preisindex!$A$6,YEAR(ET$4)&gt;=YEAR($F298),AND($K298&lt;&gt;"a",$K298&lt;&gt;"b",$K298&lt;&gt;"g",$K298&lt;&gt;"k")),1,IF(AND($E298&lt;&gt;0,$F298&gt;0,YEAR($F298)&lt;Preisindex!$A$6,YEAR(ET$4)&gt;=YEAR($F298),$K298="a"),ROUND(VLOOKUP(EY$4,Preisindex,5,FALSE)/VLOOKUP(Preisindex!$A$6,Preisindex,5,FALSE),2),IF(AND($E298&lt;&gt;0,$F298&gt;0,YEAR($F298)&lt;Preisindex!$A$6,YEAR(ET$4)&gt;=YEAR($F298),$K298="b"),ROUND(VLOOKUP(EY$4,Preisindex,3,FALSE)/VLOOKUP(Preisindex!$A$6,Preisindex,3,FALSE),2),IF(AND($E298&lt;&gt;0,$F298&gt;0,YEAR($F298)&lt;Preisindex!$A$6,YEAR(ET$4)&gt;=YEAR($F298),$K298="g"),ROUND(VLOOKUP(EY$4,Preisindex,4,FALSE)/VLOOKUP(Preisindex!$A$6,Preisindex,4,FALSE),2),IF(AND($E298&lt;&gt;0,$F298&gt;0,YEAR($F298)&lt;Preisindex!$A$6,YEAR(ET$4)&gt;=YEAR($F298),$K298="k"),ROUND(VLOOKUP(EY$4,Preisindex,2,FALSE)/VLOOKUP(Preisindex!$A$6,Preisindex,2,FALSE),2),0)))))</f>
        <v>0</v>
      </c>
      <c r="FA298" s="51">
        <f>IF(AND($E298&lt;&gt;0,$F298&gt;0,YEAR($F298)&lt;=EY$4,YEAR($F298)&gt;=Preisindex!$A$6),ROUND($E298*EY298,2),IF(AND($E298&lt;&gt;0,$F298&gt;0,YEAR($F298)&lt;=EY$4,YEAR($F298)&lt;Preisindex!$A$6),ROUND($E298*EZ298,2),0))</f>
        <v>0</v>
      </c>
      <c r="FB298" s="53">
        <f t="shared" si="811"/>
        <v>0</v>
      </c>
      <c r="FC298" s="51">
        <f t="shared" si="882"/>
        <v>0</v>
      </c>
      <c r="FD298" s="51">
        <f t="shared" si="876"/>
        <v>0</v>
      </c>
      <c r="FE298" s="51">
        <f t="shared" si="812"/>
        <v>0</v>
      </c>
      <c r="FF298" s="51">
        <f t="shared" si="877"/>
        <v>0</v>
      </c>
      <c r="FG298" s="51">
        <f t="shared" si="813"/>
        <v>0</v>
      </c>
      <c r="FH298" s="51">
        <f t="shared" si="878"/>
        <v>0</v>
      </c>
      <c r="FI298" s="51">
        <f t="shared" si="814"/>
        <v>0</v>
      </c>
      <c r="FJ298" s="51">
        <f t="shared" si="879"/>
        <v>0</v>
      </c>
      <c r="FK298" s="51">
        <f t="shared" si="815"/>
        <v>0</v>
      </c>
      <c r="FL298" s="51">
        <f t="shared" si="880"/>
        <v>0</v>
      </c>
      <c r="FM298" s="51">
        <f t="shared" si="816"/>
        <v>0</v>
      </c>
      <c r="FN298" s="54">
        <f t="shared" si="817"/>
        <v>0</v>
      </c>
      <c r="FO298" s="55">
        <f t="shared" si="818"/>
        <v>0</v>
      </c>
      <c r="FP298" s="56">
        <f>IF(AND($E298&lt;&gt;0,$F298&gt;0,YEAR($F298)&gt;=Preisindex!$A$6,YEAR(FK$4)&gt;=YEAR($F298),AND($K298&lt;&gt;"a",$K298&lt;&gt;"b",$K298&lt;&gt;"g",$K298&lt;&gt;"k")),1,IF(AND($E298&lt;&gt;0,$F298&gt;0,YEAR($F298)&gt;=Preisindex!$A$6,YEAR(FK$4)&gt;=YEAR($F298),$K298="a"),ROUND(VLOOKUP(FP$4,Preisindex,5,FALSE)/VLOOKUP(YEAR($F298),Preisindex,5,FALSE),2),IF(AND($E298&lt;&gt;0,$F298&gt;0,YEAR($F298)&gt;=Preisindex!$A$6,YEAR(FK$4)&gt;=YEAR($F298),$K298="b"),ROUND(VLOOKUP(FP$4,Preisindex,3,FALSE)/VLOOKUP(YEAR($F298),Preisindex,3,FALSE),2),IF(AND($E298&lt;&gt;0,$F298&gt;0,YEAR($F298)&gt;=Preisindex!$A$6,YEAR(FK$4)&gt;=YEAR($F298),$K298="g"),ROUND(VLOOKUP(FP$4,Preisindex,4,FALSE)/VLOOKUP(YEAR($F298),Preisindex,4,FALSE),2),IF(AND($E298&lt;&gt;0,$F298&gt;0,YEAR($F298)&gt;=Preisindex!$A$6,YEAR(FK$4)&gt;=YEAR($F298),$K298="k"),ROUND(VLOOKUP(FP$4,Preisindex,2,FALSE)/VLOOKUP(YEAR($F298),Preisindex,2,FALSE),2),0)))))</f>
        <v>0</v>
      </c>
      <c r="FQ298" s="56">
        <f>IF(AND($E298&lt;&gt;0,$F298&gt;0,YEAR($F298)&lt;Preisindex!$A$6,YEAR(FK$4)&gt;=YEAR($F298),AND($K298&lt;&gt;"a",$K298&lt;&gt;"b",$K298&lt;&gt;"g",$K298&lt;&gt;"k")),1,IF(AND($E298&lt;&gt;0,$F298&gt;0,YEAR($F298)&lt;Preisindex!$A$6,YEAR(FK$4)&gt;=YEAR($F298),$K298="a"),ROUND(VLOOKUP(FP$4,Preisindex,5,FALSE)/VLOOKUP(Preisindex!$A$6,Preisindex,5,FALSE),2),IF(AND($E298&lt;&gt;0,$F298&gt;0,YEAR($F298)&lt;Preisindex!$A$6,YEAR(FK$4)&gt;=YEAR($F298),$K298="b"),ROUND(VLOOKUP(FP$4,Preisindex,3,FALSE)/VLOOKUP(Preisindex!$A$6,Preisindex,3,FALSE),2),IF(AND($E298&lt;&gt;0,$F298&gt;0,YEAR($F298)&lt;Preisindex!$A$6,YEAR(FK$4)&gt;=YEAR($F298),$K298="g"),ROUND(VLOOKUP(FP$4,Preisindex,4,FALSE)/VLOOKUP(Preisindex!$A$6,Preisindex,4,FALSE),2),IF(AND($E298&lt;&gt;0,$F298&gt;0,YEAR($F298)&lt;Preisindex!$A$6,YEAR(FK$4)&gt;=YEAR($F298),$K298="k"),ROUND(VLOOKUP(FP$4,Preisindex,2,FALSE)/VLOOKUP(Preisindex!$A$6,Preisindex,2,FALSE),2),0)))))</f>
        <v>0</v>
      </c>
      <c r="FR298" s="51">
        <f>IF(AND($E298&lt;&gt;0,$F298&gt;0,YEAR($F298)&lt;=FP$4,YEAR($F298)&gt;=Preisindex!$A$6),ROUND($E298*FP298,2),IF(AND($E298&lt;&gt;0,$F298&gt;0,YEAR($F298)&lt;=FP$4,YEAR($F298)&lt;Preisindex!$A$6),ROUND($E298*FQ298,2),0))</f>
        <v>0</v>
      </c>
      <c r="FS298" s="53">
        <f t="shared" si="819"/>
        <v>0</v>
      </c>
    </row>
    <row r="299" spans="1:175" x14ac:dyDescent="0.3">
      <c r="A299" s="185"/>
      <c r="B299" s="186"/>
      <c r="C299" s="187"/>
      <c r="D299" s="188"/>
      <c r="E299" s="189"/>
      <c r="F299" s="190"/>
      <c r="G299" s="191"/>
      <c r="H299" s="192"/>
      <c r="I299" s="193"/>
      <c r="J299" s="194"/>
      <c r="K299" s="630"/>
      <c r="L299" s="49">
        <f t="shared" si="820"/>
        <v>0</v>
      </c>
      <c r="M299" s="50">
        <f t="shared" si="821"/>
        <v>0</v>
      </c>
      <c r="N299" s="51">
        <f t="shared" si="822"/>
        <v>0</v>
      </c>
      <c r="O299" s="51"/>
      <c r="P299" s="51">
        <f t="shared" si="823"/>
        <v>0</v>
      </c>
      <c r="Q299" s="52"/>
      <c r="R299" s="52"/>
      <c r="S299" s="52"/>
      <c r="T299" s="52"/>
      <c r="U299" s="52"/>
      <c r="V299" s="53">
        <f t="shared" si="824"/>
        <v>0</v>
      </c>
      <c r="W299" s="51">
        <f t="shared" si="825"/>
        <v>0</v>
      </c>
      <c r="X299" s="51">
        <f t="shared" si="826"/>
        <v>0</v>
      </c>
      <c r="Y299" s="51">
        <f t="shared" si="827"/>
        <v>0</v>
      </c>
      <c r="Z299" s="51">
        <f t="shared" si="828"/>
        <v>0</v>
      </c>
      <c r="AA299" s="51">
        <f t="shared" si="829"/>
        <v>0</v>
      </c>
      <c r="AB299" s="51">
        <f t="shared" si="830"/>
        <v>0</v>
      </c>
      <c r="AC299" s="51">
        <f t="shared" si="831"/>
        <v>0</v>
      </c>
      <c r="AD299" s="51">
        <f t="shared" si="832"/>
        <v>0</v>
      </c>
      <c r="AE299" s="51">
        <f t="shared" si="833"/>
        <v>0</v>
      </c>
      <c r="AF299" s="51">
        <f t="shared" si="834"/>
        <v>0</v>
      </c>
      <c r="AG299" s="51">
        <f t="shared" si="835"/>
        <v>0</v>
      </c>
      <c r="AH299" s="54">
        <f t="shared" si="836"/>
        <v>0</v>
      </c>
      <c r="AI299" s="55">
        <f t="shared" si="837"/>
        <v>0</v>
      </c>
      <c r="AJ299" s="56">
        <f>IF(AND($E299&lt;&gt;0,$F299&gt;0,YEAR($F299)&gt;=Preisindex!$A$6,YEAR(AE$4)&gt;=YEAR($F299),AND($K299&lt;&gt;"a",$K299&lt;&gt;"b",$K299&lt;&gt;"g",$K299&lt;&gt;"k")),1,IF(AND($E299&lt;&gt;0,$F299&gt;0,YEAR($F299)&gt;=Preisindex!$A$6,YEAR(AE$4)&gt;=YEAR($F299),$K299="a"),ROUND(VLOOKUP(AJ$4,Preisindex,5,FALSE)/VLOOKUP(YEAR($F299),Preisindex,5,FALSE),2),IF(AND($E299&lt;&gt;0,$F299&gt;0,YEAR($F299)&gt;=Preisindex!$A$6,YEAR(AE$4)&gt;=YEAR($F299),$K299="b"),ROUND(VLOOKUP(AJ$4,Preisindex,3,FALSE)/VLOOKUP(YEAR($F299),Preisindex,3,FALSE),2),IF(AND($E299&lt;&gt;0,$F299&gt;0,YEAR($F299)&gt;=Preisindex!$A$6,YEAR(AE$4)&gt;=YEAR($F299),$K299="g"),ROUND(VLOOKUP(AJ$4,Preisindex,4,FALSE)/VLOOKUP(YEAR($F299),Preisindex,4,FALSE),2),IF(AND($E299&lt;&gt;0,$F299&gt;0,YEAR($F299)&gt;=Preisindex!$A$6,YEAR(AE$4)&gt;=YEAR($F299),$K299="k"),ROUND(VLOOKUP(AJ$4,Preisindex,2,FALSE)/VLOOKUP(YEAR($F299),Preisindex,2,FALSE),2),0)))))</f>
        <v>0</v>
      </c>
      <c r="AK299" s="56">
        <f>IF(AND($E299&lt;&gt;0,$F299&gt;0,YEAR($F299)&lt;Preisindex!$A$6,YEAR(AE$4)&gt;=YEAR($F299),AND($K299&lt;&gt;"a",$K299&lt;&gt;"b",$K299&lt;&gt;"g",$K299&lt;&gt;"k")),1,IF(AND($E299&lt;&gt;0,$F299&gt;0,YEAR($F299)&lt;Preisindex!$A$6,YEAR(AE$4)&gt;=YEAR($F299),$K299="a"),ROUND(VLOOKUP(AJ$4,Preisindex,5,FALSE)/VLOOKUP(Preisindex!$A$6,Preisindex,5,FALSE),2),IF(AND($E299&lt;&gt;0,$F299&gt;0,YEAR($F299)&lt;Preisindex!$A$6,YEAR(AE$4)&gt;=YEAR($F299),$K299="b"),ROUND(VLOOKUP(AJ$4,Preisindex,3,FALSE)/VLOOKUP(Preisindex!$A$6,Preisindex,3,FALSE),2),IF(AND($E299&lt;&gt;0,$F299&gt;0,YEAR($F299)&lt;Preisindex!$A$6,YEAR(AE$4)&gt;=YEAR($F299),$K299="g"),ROUND(VLOOKUP(AJ$4,Preisindex,4,FALSE)/VLOOKUP(Preisindex!$A$6,Preisindex,4,FALSE),2),IF(AND($E299&lt;&gt;0,$F299&gt;0,YEAR($F299)&lt;Preisindex!$A$6,YEAR(AE$4)&gt;=YEAR($F299),$K299="k"),ROUND(VLOOKUP(AJ$4,Preisindex,2,FALSE)/VLOOKUP(Preisindex!$A$6,Preisindex,2,FALSE),2),0)))))</f>
        <v>0</v>
      </c>
      <c r="AL299" s="51">
        <f>IF(AND($E299&lt;&gt;0,$F299&gt;0,YEAR($F299)&lt;=AJ$4,YEAR($F299)&gt;=Preisindex!$A$6),ROUND($E299*AJ299,2),IF(AND($E299&lt;&gt;0,$F299&gt;0,YEAR($F299)&lt;=AJ$4,YEAR($F299)&lt;Preisindex!$A$6),ROUND($E299*AK299,2),0))</f>
        <v>0</v>
      </c>
      <c r="AM299" s="53">
        <f t="shared" si="838"/>
        <v>0</v>
      </c>
      <c r="AN299" s="51">
        <f t="shared" si="881"/>
        <v>0</v>
      </c>
      <c r="AO299" s="51">
        <f t="shared" si="841"/>
        <v>0</v>
      </c>
      <c r="AP299" s="51">
        <f t="shared" si="755"/>
        <v>0</v>
      </c>
      <c r="AQ299" s="51">
        <f t="shared" si="842"/>
        <v>0</v>
      </c>
      <c r="AR299" s="51">
        <f t="shared" si="756"/>
        <v>0</v>
      </c>
      <c r="AS299" s="51">
        <f t="shared" si="843"/>
        <v>0</v>
      </c>
      <c r="AT299" s="51">
        <f t="shared" si="757"/>
        <v>0</v>
      </c>
      <c r="AU299" s="51">
        <f t="shared" si="844"/>
        <v>0</v>
      </c>
      <c r="AV299" s="51">
        <f t="shared" si="758"/>
        <v>0</v>
      </c>
      <c r="AW299" s="51">
        <f t="shared" si="845"/>
        <v>0</v>
      </c>
      <c r="AX299" s="51">
        <f t="shared" si="759"/>
        <v>0</v>
      </c>
      <c r="AY299" s="54">
        <f t="shared" si="760"/>
        <v>0</v>
      </c>
      <c r="AZ299" s="55">
        <f t="shared" si="761"/>
        <v>0</v>
      </c>
      <c r="BA299" s="56">
        <f>IF(AND($E299&lt;&gt;0,$F299&gt;0,YEAR($F299)&gt;=Preisindex!$A$6,YEAR(AV$4)&gt;=YEAR($F299),AND($K299&lt;&gt;"a",$K299&lt;&gt;"b",$K299&lt;&gt;"g",$K299&lt;&gt;"k")),1,IF(AND($E299&lt;&gt;0,$F299&gt;0,YEAR($F299)&gt;=Preisindex!$A$6,YEAR(AV$4)&gt;=YEAR($F299),$K299="a"),ROUND(VLOOKUP(BA$4,Preisindex,5,FALSE)/VLOOKUP(YEAR($F299),Preisindex,5,FALSE),2),IF(AND($E299&lt;&gt;0,$F299&gt;0,YEAR($F299)&gt;=Preisindex!$A$6,YEAR(AV$4)&gt;=YEAR($F299),$K299="b"),ROUND(VLOOKUP(BA$4,Preisindex,3,FALSE)/VLOOKUP(YEAR($F299),Preisindex,3,FALSE),2),IF(AND($E299&lt;&gt;0,$F299&gt;0,YEAR($F299)&gt;=Preisindex!$A$6,YEAR(AV$4)&gt;=YEAR($F299),$K299="g"),ROUND(VLOOKUP(BA$4,Preisindex,4,FALSE)/VLOOKUP(YEAR($F299),Preisindex,4,FALSE),2),IF(AND($E299&lt;&gt;0,$F299&gt;0,YEAR($F299)&gt;=Preisindex!$A$6,YEAR(AV$4)&gt;=YEAR($F299),$K299="k"),ROUND(VLOOKUP(BA$4,Preisindex,2,FALSE)/VLOOKUP(YEAR($F299),Preisindex,2,FALSE),2),0)))))</f>
        <v>0</v>
      </c>
      <c r="BB299" s="56">
        <f>IF(AND($E299&lt;&gt;0,$F299&gt;0,YEAR($F299)&lt;Preisindex!$A$6,YEAR(AV$4)&gt;=YEAR($F299),AND($K299&lt;&gt;"a",$K299&lt;&gt;"b",$K299&lt;&gt;"g",$K299&lt;&gt;"k")),1,IF(AND($E299&lt;&gt;0,$F299&gt;0,YEAR($F299)&lt;Preisindex!$A$6,YEAR(AV$4)&gt;=YEAR($F299),$K299="a"),ROUND(VLOOKUP(BA$4,Preisindex,5,FALSE)/VLOOKUP(Preisindex!$A$6,Preisindex,5,FALSE),2),IF(AND($E299&lt;&gt;0,$F299&gt;0,YEAR($F299)&lt;Preisindex!$A$6,YEAR(AV$4)&gt;=YEAR($F299),$K299="b"),ROUND(VLOOKUP(BA$4,Preisindex,3,FALSE)/VLOOKUP(Preisindex!$A$6,Preisindex,3,FALSE),2),IF(AND($E299&lt;&gt;0,$F299&gt;0,YEAR($F299)&lt;Preisindex!$A$6,YEAR(AV$4)&gt;=YEAR($F299),$K299="g"),ROUND(VLOOKUP(BA$4,Preisindex,4,FALSE)/VLOOKUP(Preisindex!$A$6,Preisindex,4,FALSE),2),IF(AND($E299&lt;&gt;0,$F299&gt;0,YEAR($F299)&lt;Preisindex!$A$6,YEAR(AV$4)&gt;=YEAR($F299),$K299="k"),ROUND(VLOOKUP(BA$4,Preisindex,2,FALSE)/VLOOKUP(Preisindex!$A$6,Preisindex,2,FALSE),2),0)))))</f>
        <v>0</v>
      </c>
      <c r="BC299" s="51">
        <f>IF(AND($E299&lt;&gt;0,$F299&gt;0,YEAR($F299)&lt;=BA$4,YEAR($F299)&gt;=Preisindex!$A$6),ROUND($E299*BA299,2),IF(AND($E299&lt;&gt;0,$F299&gt;0,YEAR($F299)&lt;=BA$4,YEAR($F299)&lt;Preisindex!$A$6),ROUND($E299*BB299,2),0))</f>
        <v>0</v>
      </c>
      <c r="BD299" s="53">
        <f t="shared" si="762"/>
        <v>0</v>
      </c>
      <c r="BE299" s="51">
        <f t="shared" si="881"/>
        <v>0</v>
      </c>
      <c r="BF299" s="51">
        <f t="shared" si="846"/>
        <v>0</v>
      </c>
      <c r="BG299" s="51">
        <f t="shared" si="763"/>
        <v>0</v>
      </c>
      <c r="BH299" s="51">
        <f t="shared" si="847"/>
        <v>0</v>
      </c>
      <c r="BI299" s="51">
        <f t="shared" si="764"/>
        <v>0</v>
      </c>
      <c r="BJ299" s="51">
        <f t="shared" si="848"/>
        <v>0</v>
      </c>
      <c r="BK299" s="51">
        <f t="shared" si="765"/>
        <v>0</v>
      </c>
      <c r="BL299" s="51">
        <f t="shared" si="849"/>
        <v>0</v>
      </c>
      <c r="BM299" s="51">
        <f t="shared" si="766"/>
        <v>0</v>
      </c>
      <c r="BN299" s="51">
        <f t="shared" si="850"/>
        <v>0</v>
      </c>
      <c r="BO299" s="51">
        <f t="shared" si="767"/>
        <v>0</v>
      </c>
      <c r="BP299" s="54">
        <f t="shared" si="768"/>
        <v>0</v>
      </c>
      <c r="BQ299" s="55">
        <f t="shared" si="769"/>
        <v>0</v>
      </c>
      <c r="BR299" s="56">
        <f>IF(AND($E299&lt;&gt;0,$F299&gt;0,YEAR($F299)&gt;=Preisindex!$A$6,YEAR(BM$4)&gt;=YEAR($F299),AND($K299&lt;&gt;"a",$K299&lt;&gt;"b",$K299&lt;&gt;"g",$K299&lt;&gt;"k")),1,IF(AND($E299&lt;&gt;0,$F299&gt;0,YEAR($F299)&gt;=Preisindex!$A$6,YEAR(BM$4)&gt;=YEAR($F299),$K299="a"),ROUND(VLOOKUP(BR$4,Preisindex,5,FALSE)/VLOOKUP(YEAR($F299),Preisindex,5,FALSE),2),IF(AND($E299&lt;&gt;0,$F299&gt;0,YEAR($F299)&gt;=Preisindex!$A$6,YEAR(BM$4)&gt;=YEAR($F299),$K299="b"),ROUND(VLOOKUP(BR$4,Preisindex,3,FALSE)/VLOOKUP(YEAR($F299),Preisindex,3,FALSE),2),IF(AND($E299&lt;&gt;0,$F299&gt;0,YEAR($F299)&gt;=Preisindex!$A$6,YEAR(BM$4)&gt;=YEAR($F299),$K299="g"),ROUND(VLOOKUP(BR$4,Preisindex,4,FALSE)/VLOOKUP(YEAR($F299),Preisindex,4,FALSE),2),IF(AND($E299&lt;&gt;0,$F299&gt;0,YEAR($F299)&gt;=Preisindex!$A$6,YEAR(BM$4)&gt;=YEAR($F299),$K299="k"),ROUND(VLOOKUP(BR$4,Preisindex,2,FALSE)/VLOOKUP(YEAR($F299),Preisindex,2,FALSE),2),0)))))</f>
        <v>0</v>
      </c>
      <c r="BS299" s="56">
        <f>IF(AND($E299&lt;&gt;0,$F299&gt;0,YEAR($F299)&lt;Preisindex!$A$6,YEAR(BM$4)&gt;=YEAR($F299),AND($K299&lt;&gt;"a",$K299&lt;&gt;"b",$K299&lt;&gt;"g",$K299&lt;&gt;"k")),1,IF(AND($E299&lt;&gt;0,$F299&gt;0,YEAR($F299)&lt;Preisindex!$A$6,YEAR(BM$4)&gt;=YEAR($F299),$K299="a"),ROUND(VLOOKUP(BR$4,Preisindex,5,FALSE)/VLOOKUP(Preisindex!$A$6,Preisindex,5,FALSE),2),IF(AND($E299&lt;&gt;0,$F299&gt;0,YEAR($F299)&lt;Preisindex!$A$6,YEAR(BM$4)&gt;=YEAR($F299),$K299="b"),ROUND(VLOOKUP(BR$4,Preisindex,3,FALSE)/VLOOKUP(Preisindex!$A$6,Preisindex,3,FALSE),2),IF(AND($E299&lt;&gt;0,$F299&gt;0,YEAR($F299)&lt;Preisindex!$A$6,YEAR(BM$4)&gt;=YEAR($F299),$K299="g"),ROUND(VLOOKUP(BR$4,Preisindex,4,FALSE)/VLOOKUP(Preisindex!$A$6,Preisindex,4,FALSE),2),IF(AND($E299&lt;&gt;0,$F299&gt;0,YEAR($F299)&lt;Preisindex!$A$6,YEAR(BM$4)&gt;=YEAR($F299),$K299="k"),ROUND(VLOOKUP(BR$4,Preisindex,2,FALSE)/VLOOKUP(Preisindex!$A$6,Preisindex,2,FALSE),2),0)))))</f>
        <v>0</v>
      </c>
      <c r="BT299" s="51">
        <f>IF(AND($E299&lt;&gt;0,$F299&gt;0,YEAR($F299)&lt;=BR$4,YEAR($F299)&gt;=Preisindex!$A$6),ROUND($E299*BR299,2),IF(AND($E299&lt;&gt;0,$F299&gt;0,YEAR($F299)&lt;=BR$4,YEAR($F299)&lt;Preisindex!$A$6),ROUND($E299*BS299,2),0))</f>
        <v>0</v>
      </c>
      <c r="BU299" s="53">
        <f t="shared" si="770"/>
        <v>0</v>
      </c>
      <c r="BV299" s="51">
        <f t="shared" si="881"/>
        <v>0</v>
      </c>
      <c r="BW299" s="51">
        <f t="shared" si="851"/>
        <v>0</v>
      </c>
      <c r="BX299" s="51">
        <f t="shared" si="771"/>
        <v>0</v>
      </c>
      <c r="BY299" s="51">
        <f t="shared" si="852"/>
        <v>0</v>
      </c>
      <c r="BZ299" s="51">
        <f t="shared" si="772"/>
        <v>0</v>
      </c>
      <c r="CA299" s="51">
        <f t="shared" si="853"/>
        <v>0</v>
      </c>
      <c r="CB299" s="51">
        <f t="shared" si="773"/>
        <v>0</v>
      </c>
      <c r="CC299" s="51">
        <f t="shared" si="854"/>
        <v>0</v>
      </c>
      <c r="CD299" s="51">
        <f t="shared" si="774"/>
        <v>0</v>
      </c>
      <c r="CE299" s="51">
        <f t="shared" si="855"/>
        <v>0</v>
      </c>
      <c r="CF299" s="51">
        <f t="shared" si="775"/>
        <v>0</v>
      </c>
      <c r="CG299" s="54">
        <f t="shared" si="776"/>
        <v>0</v>
      </c>
      <c r="CH299" s="55">
        <f t="shared" si="777"/>
        <v>0</v>
      </c>
      <c r="CI299" s="56">
        <f>IF(AND($E299&lt;&gt;0,$F299&gt;0,YEAR($F299)&gt;=Preisindex!$A$6,YEAR(CD$4)&gt;=YEAR($F299),AND($K299&lt;&gt;"a",$K299&lt;&gt;"b",$K299&lt;&gt;"g",$K299&lt;&gt;"k")),1,IF(AND($E299&lt;&gt;0,$F299&gt;0,YEAR($F299)&gt;=Preisindex!$A$6,YEAR(CD$4)&gt;=YEAR($F299),$K299="a"),ROUND(VLOOKUP(CI$4,Preisindex,5,FALSE)/VLOOKUP(YEAR($F299),Preisindex,5,FALSE),2),IF(AND($E299&lt;&gt;0,$F299&gt;0,YEAR($F299)&gt;=Preisindex!$A$6,YEAR(CD$4)&gt;=YEAR($F299),$K299="b"),ROUND(VLOOKUP(CI$4,Preisindex,3,FALSE)/VLOOKUP(YEAR($F299),Preisindex,3,FALSE),2),IF(AND($E299&lt;&gt;0,$F299&gt;0,YEAR($F299)&gt;=Preisindex!$A$6,YEAR(CD$4)&gt;=YEAR($F299),$K299="g"),ROUND(VLOOKUP(CI$4,Preisindex,4,FALSE)/VLOOKUP(YEAR($F299),Preisindex,4,FALSE),2),IF(AND($E299&lt;&gt;0,$F299&gt;0,YEAR($F299)&gt;=Preisindex!$A$6,YEAR(CD$4)&gt;=YEAR($F299),$K299="k"),ROUND(VLOOKUP(CI$4,Preisindex,2,FALSE)/VLOOKUP(YEAR($F299),Preisindex,2,FALSE),2),0)))))</f>
        <v>0</v>
      </c>
      <c r="CJ299" s="56">
        <f>IF(AND($E299&lt;&gt;0,$F299&gt;0,YEAR($F299)&lt;Preisindex!$A$6,YEAR(CD$4)&gt;=YEAR($F299),AND($K299&lt;&gt;"a",$K299&lt;&gt;"b",$K299&lt;&gt;"g",$K299&lt;&gt;"k")),1,IF(AND($E299&lt;&gt;0,$F299&gt;0,YEAR($F299)&lt;Preisindex!$A$6,YEAR(CD$4)&gt;=YEAR($F299),$K299="a"),ROUND(VLOOKUP(CI$4,Preisindex,5,FALSE)/VLOOKUP(Preisindex!$A$6,Preisindex,5,FALSE),2),IF(AND($E299&lt;&gt;0,$F299&gt;0,YEAR($F299)&lt;Preisindex!$A$6,YEAR(CD$4)&gt;=YEAR($F299),$K299="b"),ROUND(VLOOKUP(CI$4,Preisindex,3,FALSE)/VLOOKUP(Preisindex!$A$6,Preisindex,3,FALSE),2),IF(AND($E299&lt;&gt;0,$F299&gt;0,YEAR($F299)&lt;Preisindex!$A$6,YEAR(CD$4)&gt;=YEAR($F299),$K299="g"),ROUND(VLOOKUP(CI$4,Preisindex,4,FALSE)/VLOOKUP(Preisindex!$A$6,Preisindex,4,FALSE),2),IF(AND($E299&lt;&gt;0,$F299&gt;0,YEAR($F299)&lt;Preisindex!$A$6,YEAR(CD$4)&gt;=YEAR($F299),$K299="k"),ROUND(VLOOKUP(CI$4,Preisindex,2,FALSE)/VLOOKUP(Preisindex!$A$6,Preisindex,2,FALSE),2),0)))))</f>
        <v>0</v>
      </c>
      <c r="CK299" s="51">
        <f>IF(AND($E299&lt;&gt;0,$F299&gt;0,YEAR($F299)&lt;=CI$4,YEAR($F299)&gt;=Preisindex!$A$6),ROUND($E299*CI299,2),IF(AND($E299&lt;&gt;0,$F299&gt;0,YEAR($F299)&lt;=CI$4,YEAR($F299)&lt;Preisindex!$A$6),ROUND($E299*CJ299,2),0))</f>
        <v>0</v>
      </c>
      <c r="CL299" s="53">
        <f t="shared" si="778"/>
        <v>0</v>
      </c>
      <c r="CM299" s="51">
        <f t="shared" si="881"/>
        <v>0</v>
      </c>
      <c r="CN299" s="51">
        <f t="shared" si="856"/>
        <v>0</v>
      </c>
      <c r="CO299" s="51">
        <f t="shared" si="779"/>
        <v>0</v>
      </c>
      <c r="CP299" s="51">
        <f t="shared" si="857"/>
        <v>0</v>
      </c>
      <c r="CQ299" s="51">
        <f t="shared" si="780"/>
        <v>0</v>
      </c>
      <c r="CR299" s="51">
        <f t="shared" si="858"/>
        <v>0</v>
      </c>
      <c r="CS299" s="51">
        <f t="shared" si="781"/>
        <v>0</v>
      </c>
      <c r="CT299" s="51">
        <f t="shared" si="859"/>
        <v>0</v>
      </c>
      <c r="CU299" s="51">
        <f t="shared" si="782"/>
        <v>0</v>
      </c>
      <c r="CV299" s="51">
        <f t="shared" si="860"/>
        <v>0</v>
      </c>
      <c r="CW299" s="51">
        <f t="shared" si="783"/>
        <v>0</v>
      </c>
      <c r="CX299" s="54">
        <f t="shared" si="784"/>
        <v>0</v>
      </c>
      <c r="CY299" s="55">
        <f t="shared" si="785"/>
        <v>0</v>
      </c>
      <c r="CZ299" s="56">
        <f>IF(AND($E299&lt;&gt;0,$F299&gt;0,YEAR($F299)&gt;=Preisindex!$A$6,YEAR(CU$4)&gt;=YEAR($F299),AND($K299&lt;&gt;"a",$K299&lt;&gt;"b",$K299&lt;&gt;"g",$K299&lt;&gt;"k")),1,IF(AND($E299&lt;&gt;0,$F299&gt;0,YEAR($F299)&gt;=Preisindex!$A$6,YEAR(CU$4)&gt;=YEAR($F299),$K299="a"),ROUND(VLOOKUP(CZ$4,Preisindex,5,FALSE)/VLOOKUP(YEAR($F299),Preisindex,5,FALSE),2),IF(AND($E299&lt;&gt;0,$F299&gt;0,YEAR($F299)&gt;=Preisindex!$A$6,YEAR(CU$4)&gt;=YEAR($F299),$K299="b"),ROUND(VLOOKUP(CZ$4,Preisindex,3,FALSE)/VLOOKUP(YEAR($F299),Preisindex,3,FALSE),2),IF(AND($E299&lt;&gt;0,$F299&gt;0,YEAR($F299)&gt;=Preisindex!$A$6,YEAR(CU$4)&gt;=YEAR($F299),$K299="g"),ROUND(VLOOKUP(CZ$4,Preisindex,4,FALSE)/VLOOKUP(YEAR($F299),Preisindex,4,FALSE),2),IF(AND($E299&lt;&gt;0,$F299&gt;0,YEAR($F299)&gt;=Preisindex!$A$6,YEAR(CU$4)&gt;=YEAR($F299),$K299="k"),ROUND(VLOOKUP(CZ$4,Preisindex,2,FALSE)/VLOOKUP(YEAR($F299),Preisindex,2,FALSE),2),0)))))</f>
        <v>0</v>
      </c>
      <c r="DA299" s="56">
        <f>IF(AND($E299&lt;&gt;0,$F299&gt;0,YEAR($F299)&lt;Preisindex!$A$6,YEAR(CU$4)&gt;=YEAR($F299),AND($K299&lt;&gt;"a",$K299&lt;&gt;"b",$K299&lt;&gt;"g",$K299&lt;&gt;"k")),1,IF(AND($E299&lt;&gt;0,$F299&gt;0,YEAR($F299)&lt;Preisindex!$A$6,YEAR(CU$4)&gt;=YEAR($F299),$K299="a"),ROUND(VLOOKUP(CZ$4,Preisindex,5,FALSE)/VLOOKUP(Preisindex!$A$6,Preisindex,5,FALSE),2),IF(AND($E299&lt;&gt;0,$F299&gt;0,YEAR($F299)&lt;Preisindex!$A$6,YEAR(CU$4)&gt;=YEAR($F299),$K299="b"),ROUND(VLOOKUP(CZ$4,Preisindex,3,FALSE)/VLOOKUP(Preisindex!$A$6,Preisindex,3,FALSE),2),IF(AND($E299&lt;&gt;0,$F299&gt;0,YEAR($F299)&lt;Preisindex!$A$6,YEAR(CU$4)&gt;=YEAR($F299),$K299="g"),ROUND(VLOOKUP(CZ$4,Preisindex,4,FALSE)/VLOOKUP(Preisindex!$A$6,Preisindex,4,FALSE),2),IF(AND($E299&lt;&gt;0,$F299&gt;0,YEAR($F299)&lt;Preisindex!$A$6,YEAR(CU$4)&gt;=YEAR($F299),$K299="k"),ROUND(VLOOKUP(CZ$4,Preisindex,2,FALSE)/VLOOKUP(Preisindex!$A$6,Preisindex,2,FALSE),2),0)))))</f>
        <v>0</v>
      </c>
      <c r="DB299" s="51">
        <f>IF(AND($E299&lt;&gt;0,$F299&gt;0,YEAR($F299)&lt;=CZ$4,YEAR($F299)&gt;=Preisindex!$A$6),ROUND($E299*CZ299,2),IF(AND($E299&lt;&gt;0,$F299&gt;0,YEAR($F299)&lt;=CZ$4,YEAR($F299)&lt;Preisindex!$A$6),ROUND($E299*DA299,2),0))</f>
        <v>0</v>
      </c>
      <c r="DC299" s="53">
        <f t="shared" si="786"/>
        <v>0</v>
      </c>
      <c r="DD299" s="51">
        <f t="shared" si="882"/>
        <v>0</v>
      </c>
      <c r="DE299" s="51">
        <f t="shared" si="861"/>
        <v>0</v>
      </c>
      <c r="DF299" s="51">
        <f t="shared" si="788"/>
        <v>0</v>
      </c>
      <c r="DG299" s="51">
        <f t="shared" si="862"/>
        <v>0</v>
      </c>
      <c r="DH299" s="51">
        <f t="shared" si="789"/>
        <v>0</v>
      </c>
      <c r="DI299" s="51">
        <f t="shared" si="863"/>
        <v>0</v>
      </c>
      <c r="DJ299" s="51">
        <f t="shared" si="790"/>
        <v>0</v>
      </c>
      <c r="DK299" s="51">
        <f t="shared" si="864"/>
        <v>0</v>
      </c>
      <c r="DL299" s="51">
        <f t="shared" si="791"/>
        <v>0</v>
      </c>
      <c r="DM299" s="51">
        <f t="shared" si="865"/>
        <v>0</v>
      </c>
      <c r="DN299" s="51">
        <f t="shared" si="792"/>
        <v>0</v>
      </c>
      <c r="DO299" s="54">
        <f t="shared" si="793"/>
        <v>0</v>
      </c>
      <c r="DP299" s="55">
        <f t="shared" si="794"/>
        <v>0</v>
      </c>
      <c r="DQ299" s="56">
        <f>IF(AND($E299&lt;&gt;0,$F299&gt;0,YEAR($F299)&gt;=Preisindex!$A$6,YEAR(DL$4)&gt;=YEAR($F299),AND($K299&lt;&gt;"a",$K299&lt;&gt;"b",$K299&lt;&gt;"g",$K299&lt;&gt;"k")),1,IF(AND($E299&lt;&gt;0,$F299&gt;0,YEAR($F299)&gt;=Preisindex!$A$6,YEAR(DL$4)&gt;=YEAR($F299),$K299="a"),ROUND(VLOOKUP(DQ$4,Preisindex,5,FALSE)/VLOOKUP(YEAR($F299),Preisindex,5,FALSE),2),IF(AND($E299&lt;&gt;0,$F299&gt;0,YEAR($F299)&gt;=Preisindex!$A$6,YEAR(DL$4)&gt;=YEAR($F299),$K299="b"),ROUND(VLOOKUP(DQ$4,Preisindex,3,FALSE)/VLOOKUP(YEAR($F299),Preisindex,3,FALSE),2),IF(AND($E299&lt;&gt;0,$F299&gt;0,YEAR($F299)&gt;=Preisindex!$A$6,YEAR(DL$4)&gt;=YEAR($F299),$K299="g"),ROUND(VLOOKUP(DQ$4,Preisindex,4,FALSE)/VLOOKUP(YEAR($F299),Preisindex,4,FALSE),2),IF(AND($E299&lt;&gt;0,$F299&gt;0,YEAR($F299)&gt;=Preisindex!$A$6,YEAR(DL$4)&gt;=YEAR($F299),$K299="k"),ROUND(VLOOKUP(DQ$4,Preisindex,2,FALSE)/VLOOKUP(YEAR($F299),Preisindex,2,FALSE),2),0)))))</f>
        <v>0</v>
      </c>
      <c r="DR299" s="56">
        <f>IF(AND($E299&lt;&gt;0,$F299&gt;0,YEAR($F299)&lt;Preisindex!$A$6,YEAR(DL$4)&gt;=YEAR($F299),AND($K299&lt;&gt;"a",$K299&lt;&gt;"b",$K299&lt;&gt;"g",$K299&lt;&gt;"k")),1,IF(AND($E299&lt;&gt;0,$F299&gt;0,YEAR($F299)&lt;Preisindex!$A$6,YEAR(DL$4)&gt;=YEAR($F299),$K299="a"),ROUND(VLOOKUP(DQ$4,Preisindex,5,FALSE)/VLOOKUP(Preisindex!$A$6,Preisindex,5,FALSE),2),IF(AND($E299&lt;&gt;0,$F299&gt;0,YEAR($F299)&lt;Preisindex!$A$6,YEAR(DL$4)&gt;=YEAR($F299),$K299="b"),ROUND(VLOOKUP(DQ$4,Preisindex,3,FALSE)/VLOOKUP(Preisindex!$A$6,Preisindex,3,FALSE),2),IF(AND($E299&lt;&gt;0,$F299&gt;0,YEAR($F299)&lt;Preisindex!$A$6,YEAR(DL$4)&gt;=YEAR($F299),$K299="g"),ROUND(VLOOKUP(DQ$4,Preisindex,4,FALSE)/VLOOKUP(Preisindex!$A$6,Preisindex,4,FALSE),2),IF(AND($E299&lt;&gt;0,$F299&gt;0,YEAR($F299)&lt;Preisindex!$A$6,YEAR(DL$4)&gt;=YEAR($F299),$K299="k"),ROUND(VLOOKUP(DQ$4,Preisindex,2,FALSE)/VLOOKUP(Preisindex!$A$6,Preisindex,2,FALSE),2),0)))))</f>
        <v>0</v>
      </c>
      <c r="DS299" s="51">
        <f>IF(AND($E299&lt;&gt;0,$F299&gt;0,YEAR($F299)&lt;=DQ$4,YEAR($F299)&gt;=Preisindex!$A$6),ROUND($E299*DQ299,2),IF(AND($E299&lt;&gt;0,$F299&gt;0,YEAR($F299)&lt;=DQ$4,YEAR($F299)&lt;Preisindex!$A$6),ROUND($E299*DR299,2),0))</f>
        <v>0</v>
      </c>
      <c r="DT299" s="53">
        <f t="shared" si="795"/>
        <v>0</v>
      </c>
      <c r="DU299" s="51">
        <f t="shared" si="882"/>
        <v>0</v>
      </c>
      <c r="DV299" s="51">
        <f t="shared" si="866"/>
        <v>0</v>
      </c>
      <c r="DW299" s="51">
        <f t="shared" si="796"/>
        <v>0</v>
      </c>
      <c r="DX299" s="51">
        <f t="shared" si="867"/>
        <v>0</v>
      </c>
      <c r="DY299" s="51">
        <f t="shared" si="797"/>
        <v>0</v>
      </c>
      <c r="DZ299" s="51">
        <f t="shared" si="868"/>
        <v>0</v>
      </c>
      <c r="EA299" s="51">
        <f t="shared" si="798"/>
        <v>0</v>
      </c>
      <c r="EB299" s="51">
        <f t="shared" si="869"/>
        <v>0</v>
      </c>
      <c r="EC299" s="51">
        <f t="shared" si="799"/>
        <v>0</v>
      </c>
      <c r="ED299" s="51">
        <f t="shared" si="870"/>
        <v>0</v>
      </c>
      <c r="EE299" s="51">
        <f t="shared" si="800"/>
        <v>0</v>
      </c>
      <c r="EF299" s="54">
        <f t="shared" si="801"/>
        <v>0</v>
      </c>
      <c r="EG299" s="55">
        <f t="shared" si="802"/>
        <v>0</v>
      </c>
      <c r="EH299" s="56">
        <f>IF(AND($E299&lt;&gt;0,$F299&gt;0,YEAR($F299)&gt;=Preisindex!$A$6,YEAR(EC$4)&gt;=YEAR($F299),AND($K299&lt;&gt;"a",$K299&lt;&gt;"b",$K299&lt;&gt;"g",$K299&lt;&gt;"k")),1,IF(AND($E299&lt;&gt;0,$F299&gt;0,YEAR($F299)&gt;=Preisindex!$A$6,YEAR(EC$4)&gt;=YEAR($F299),$K299="a"),ROUND(VLOOKUP(EH$4,Preisindex,5,FALSE)/VLOOKUP(YEAR($F299),Preisindex,5,FALSE),2),IF(AND($E299&lt;&gt;0,$F299&gt;0,YEAR($F299)&gt;=Preisindex!$A$6,YEAR(EC$4)&gt;=YEAR($F299),$K299="b"),ROUND(VLOOKUP(EH$4,Preisindex,3,FALSE)/VLOOKUP(YEAR($F299),Preisindex,3,FALSE),2),IF(AND($E299&lt;&gt;0,$F299&gt;0,YEAR($F299)&gt;=Preisindex!$A$6,YEAR(EC$4)&gt;=YEAR($F299),$K299="g"),ROUND(VLOOKUP(EH$4,Preisindex,4,FALSE)/VLOOKUP(YEAR($F299),Preisindex,4,FALSE),2),IF(AND($E299&lt;&gt;0,$F299&gt;0,YEAR($F299)&gt;=Preisindex!$A$6,YEAR(EC$4)&gt;=YEAR($F299),$K299="k"),ROUND(VLOOKUP(EH$4,Preisindex,2,FALSE)/VLOOKUP(YEAR($F299),Preisindex,2,FALSE),2),0)))))</f>
        <v>0</v>
      </c>
      <c r="EI299" s="56">
        <f>IF(AND($E299&lt;&gt;0,$F299&gt;0,YEAR($F299)&lt;Preisindex!$A$6,YEAR(EC$4)&gt;=YEAR($F299),AND($K299&lt;&gt;"a",$K299&lt;&gt;"b",$K299&lt;&gt;"g",$K299&lt;&gt;"k")),1,IF(AND($E299&lt;&gt;0,$F299&gt;0,YEAR($F299)&lt;Preisindex!$A$6,YEAR(EC$4)&gt;=YEAR($F299),$K299="a"),ROUND(VLOOKUP(EH$4,Preisindex,5,FALSE)/VLOOKUP(Preisindex!$A$6,Preisindex,5,FALSE),2),IF(AND($E299&lt;&gt;0,$F299&gt;0,YEAR($F299)&lt;Preisindex!$A$6,YEAR(EC$4)&gt;=YEAR($F299),$K299="b"),ROUND(VLOOKUP(EH$4,Preisindex,3,FALSE)/VLOOKUP(Preisindex!$A$6,Preisindex,3,FALSE),2),IF(AND($E299&lt;&gt;0,$F299&gt;0,YEAR($F299)&lt;Preisindex!$A$6,YEAR(EC$4)&gt;=YEAR($F299),$K299="g"),ROUND(VLOOKUP(EH$4,Preisindex,4,FALSE)/VLOOKUP(Preisindex!$A$6,Preisindex,4,FALSE),2),IF(AND($E299&lt;&gt;0,$F299&gt;0,YEAR($F299)&lt;Preisindex!$A$6,YEAR(EC$4)&gt;=YEAR($F299),$K299="k"),ROUND(VLOOKUP(EH$4,Preisindex,2,FALSE)/VLOOKUP(Preisindex!$A$6,Preisindex,2,FALSE),2),0)))))</f>
        <v>0</v>
      </c>
      <c r="EJ299" s="51">
        <f>IF(AND($E299&lt;&gt;0,$F299&gt;0,YEAR($F299)&lt;=EH$4,YEAR($F299)&gt;=Preisindex!$A$6),ROUND($E299*EH299,2),IF(AND($E299&lt;&gt;0,$F299&gt;0,YEAR($F299)&lt;=EH$4,YEAR($F299)&lt;Preisindex!$A$6),ROUND($E299*EI299,2),0))</f>
        <v>0</v>
      </c>
      <c r="EK299" s="53">
        <f t="shared" si="803"/>
        <v>0</v>
      </c>
      <c r="EL299" s="51">
        <f t="shared" si="882"/>
        <v>0</v>
      </c>
      <c r="EM299" s="51">
        <f t="shared" si="871"/>
        <v>0</v>
      </c>
      <c r="EN299" s="51">
        <f t="shared" si="804"/>
        <v>0</v>
      </c>
      <c r="EO299" s="51">
        <f t="shared" si="872"/>
        <v>0</v>
      </c>
      <c r="EP299" s="51">
        <f t="shared" si="805"/>
        <v>0</v>
      </c>
      <c r="EQ299" s="51">
        <f t="shared" si="873"/>
        <v>0</v>
      </c>
      <c r="ER299" s="51">
        <f t="shared" si="806"/>
        <v>0</v>
      </c>
      <c r="ES299" s="51">
        <f t="shared" si="874"/>
        <v>0</v>
      </c>
      <c r="ET299" s="51">
        <f t="shared" si="807"/>
        <v>0</v>
      </c>
      <c r="EU299" s="51">
        <f t="shared" si="875"/>
        <v>0</v>
      </c>
      <c r="EV299" s="51">
        <f t="shared" si="808"/>
        <v>0</v>
      </c>
      <c r="EW299" s="54">
        <f t="shared" si="809"/>
        <v>0</v>
      </c>
      <c r="EX299" s="55">
        <f t="shared" si="810"/>
        <v>0</v>
      </c>
      <c r="EY299" s="56">
        <f>IF(AND($E299&lt;&gt;0,$F299&gt;0,YEAR($F299)&gt;=Preisindex!$A$6,YEAR(ET$4)&gt;=YEAR($F299),AND($K299&lt;&gt;"a",$K299&lt;&gt;"b",$K299&lt;&gt;"g",$K299&lt;&gt;"k")),1,IF(AND($E299&lt;&gt;0,$F299&gt;0,YEAR($F299)&gt;=Preisindex!$A$6,YEAR(ET$4)&gt;=YEAR($F299),$K299="a"),ROUND(VLOOKUP(EY$4,Preisindex,5,FALSE)/VLOOKUP(YEAR($F299),Preisindex,5,FALSE),2),IF(AND($E299&lt;&gt;0,$F299&gt;0,YEAR($F299)&gt;=Preisindex!$A$6,YEAR(ET$4)&gt;=YEAR($F299),$K299="b"),ROUND(VLOOKUP(EY$4,Preisindex,3,FALSE)/VLOOKUP(YEAR($F299),Preisindex,3,FALSE),2),IF(AND($E299&lt;&gt;0,$F299&gt;0,YEAR($F299)&gt;=Preisindex!$A$6,YEAR(ET$4)&gt;=YEAR($F299),$K299="g"),ROUND(VLOOKUP(EY$4,Preisindex,4,FALSE)/VLOOKUP(YEAR($F299),Preisindex,4,FALSE),2),IF(AND($E299&lt;&gt;0,$F299&gt;0,YEAR($F299)&gt;=Preisindex!$A$6,YEAR(ET$4)&gt;=YEAR($F299),$K299="k"),ROUND(VLOOKUP(EY$4,Preisindex,2,FALSE)/VLOOKUP(YEAR($F299),Preisindex,2,FALSE),2),0)))))</f>
        <v>0</v>
      </c>
      <c r="EZ299" s="56">
        <f>IF(AND($E299&lt;&gt;0,$F299&gt;0,YEAR($F299)&lt;Preisindex!$A$6,YEAR(ET$4)&gt;=YEAR($F299),AND($K299&lt;&gt;"a",$K299&lt;&gt;"b",$K299&lt;&gt;"g",$K299&lt;&gt;"k")),1,IF(AND($E299&lt;&gt;0,$F299&gt;0,YEAR($F299)&lt;Preisindex!$A$6,YEAR(ET$4)&gt;=YEAR($F299),$K299="a"),ROUND(VLOOKUP(EY$4,Preisindex,5,FALSE)/VLOOKUP(Preisindex!$A$6,Preisindex,5,FALSE),2),IF(AND($E299&lt;&gt;0,$F299&gt;0,YEAR($F299)&lt;Preisindex!$A$6,YEAR(ET$4)&gt;=YEAR($F299),$K299="b"),ROUND(VLOOKUP(EY$4,Preisindex,3,FALSE)/VLOOKUP(Preisindex!$A$6,Preisindex,3,FALSE),2),IF(AND($E299&lt;&gt;0,$F299&gt;0,YEAR($F299)&lt;Preisindex!$A$6,YEAR(ET$4)&gt;=YEAR($F299),$K299="g"),ROUND(VLOOKUP(EY$4,Preisindex,4,FALSE)/VLOOKUP(Preisindex!$A$6,Preisindex,4,FALSE),2),IF(AND($E299&lt;&gt;0,$F299&gt;0,YEAR($F299)&lt;Preisindex!$A$6,YEAR(ET$4)&gt;=YEAR($F299),$K299="k"),ROUND(VLOOKUP(EY$4,Preisindex,2,FALSE)/VLOOKUP(Preisindex!$A$6,Preisindex,2,FALSE),2),0)))))</f>
        <v>0</v>
      </c>
      <c r="FA299" s="51">
        <f>IF(AND($E299&lt;&gt;0,$F299&gt;0,YEAR($F299)&lt;=EY$4,YEAR($F299)&gt;=Preisindex!$A$6),ROUND($E299*EY299,2),IF(AND($E299&lt;&gt;0,$F299&gt;0,YEAR($F299)&lt;=EY$4,YEAR($F299)&lt;Preisindex!$A$6),ROUND($E299*EZ299,2),0))</f>
        <v>0</v>
      </c>
      <c r="FB299" s="53">
        <f t="shared" si="811"/>
        <v>0</v>
      </c>
      <c r="FC299" s="51">
        <f t="shared" si="882"/>
        <v>0</v>
      </c>
      <c r="FD299" s="51">
        <f t="shared" si="876"/>
        <v>0</v>
      </c>
      <c r="FE299" s="51">
        <f t="shared" si="812"/>
        <v>0</v>
      </c>
      <c r="FF299" s="51">
        <f t="shared" si="877"/>
        <v>0</v>
      </c>
      <c r="FG299" s="51">
        <f t="shared" si="813"/>
        <v>0</v>
      </c>
      <c r="FH299" s="51">
        <f t="shared" si="878"/>
        <v>0</v>
      </c>
      <c r="FI299" s="51">
        <f t="shared" si="814"/>
        <v>0</v>
      </c>
      <c r="FJ299" s="51">
        <f t="shared" si="879"/>
        <v>0</v>
      </c>
      <c r="FK299" s="51">
        <f t="shared" si="815"/>
        <v>0</v>
      </c>
      <c r="FL299" s="51">
        <f t="shared" si="880"/>
        <v>0</v>
      </c>
      <c r="FM299" s="51">
        <f t="shared" si="816"/>
        <v>0</v>
      </c>
      <c r="FN299" s="54">
        <f t="shared" si="817"/>
        <v>0</v>
      </c>
      <c r="FO299" s="55">
        <f t="shared" si="818"/>
        <v>0</v>
      </c>
      <c r="FP299" s="56">
        <f>IF(AND($E299&lt;&gt;0,$F299&gt;0,YEAR($F299)&gt;=Preisindex!$A$6,YEAR(FK$4)&gt;=YEAR($F299),AND($K299&lt;&gt;"a",$K299&lt;&gt;"b",$K299&lt;&gt;"g",$K299&lt;&gt;"k")),1,IF(AND($E299&lt;&gt;0,$F299&gt;0,YEAR($F299)&gt;=Preisindex!$A$6,YEAR(FK$4)&gt;=YEAR($F299),$K299="a"),ROUND(VLOOKUP(FP$4,Preisindex,5,FALSE)/VLOOKUP(YEAR($F299),Preisindex,5,FALSE),2),IF(AND($E299&lt;&gt;0,$F299&gt;0,YEAR($F299)&gt;=Preisindex!$A$6,YEAR(FK$4)&gt;=YEAR($F299),$K299="b"),ROUND(VLOOKUP(FP$4,Preisindex,3,FALSE)/VLOOKUP(YEAR($F299),Preisindex,3,FALSE),2),IF(AND($E299&lt;&gt;0,$F299&gt;0,YEAR($F299)&gt;=Preisindex!$A$6,YEAR(FK$4)&gt;=YEAR($F299),$K299="g"),ROUND(VLOOKUP(FP$4,Preisindex,4,FALSE)/VLOOKUP(YEAR($F299),Preisindex,4,FALSE),2),IF(AND($E299&lt;&gt;0,$F299&gt;0,YEAR($F299)&gt;=Preisindex!$A$6,YEAR(FK$4)&gt;=YEAR($F299),$K299="k"),ROUND(VLOOKUP(FP$4,Preisindex,2,FALSE)/VLOOKUP(YEAR($F299),Preisindex,2,FALSE),2),0)))))</f>
        <v>0</v>
      </c>
      <c r="FQ299" s="56">
        <f>IF(AND($E299&lt;&gt;0,$F299&gt;0,YEAR($F299)&lt;Preisindex!$A$6,YEAR(FK$4)&gt;=YEAR($F299),AND($K299&lt;&gt;"a",$K299&lt;&gt;"b",$K299&lt;&gt;"g",$K299&lt;&gt;"k")),1,IF(AND($E299&lt;&gt;0,$F299&gt;0,YEAR($F299)&lt;Preisindex!$A$6,YEAR(FK$4)&gt;=YEAR($F299),$K299="a"),ROUND(VLOOKUP(FP$4,Preisindex,5,FALSE)/VLOOKUP(Preisindex!$A$6,Preisindex,5,FALSE),2),IF(AND($E299&lt;&gt;0,$F299&gt;0,YEAR($F299)&lt;Preisindex!$A$6,YEAR(FK$4)&gt;=YEAR($F299),$K299="b"),ROUND(VLOOKUP(FP$4,Preisindex,3,FALSE)/VLOOKUP(Preisindex!$A$6,Preisindex,3,FALSE),2),IF(AND($E299&lt;&gt;0,$F299&gt;0,YEAR($F299)&lt;Preisindex!$A$6,YEAR(FK$4)&gt;=YEAR($F299),$K299="g"),ROUND(VLOOKUP(FP$4,Preisindex,4,FALSE)/VLOOKUP(Preisindex!$A$6,Preisindex,4,FALSE),2),IF(AND($E299&lt;&gt;0,$F299&gt;0,YEAR($F299)&lt;Preisindex!$A$6,YEAR(FK$4)&gt;=YEAR($F299),$K299="k"),ROUND(VLOOKUP(FP$4,Preisindex,2,FALSE)/VLOOKUP(Preisindex!$A$6,Preisindex,2,FALSE),2),0)))))</f>
        <v>0</v>
      </c>
      <c r="FR299" s="51">
        <f>IF(AND($E299&lt;&gt;0,$F299&gt;0,YEAR($F299)&lt;=FP$4,YEAR($F299)&gt;=Preisindex!$A$6),ROUND($E299*FP299,2),IF(AND($E299&lt;&gt;0,$F299&gt;0,YEAR($F299)&lt;=FP$4,YEAR($F299)&lt;Preisindex!$A$6),ROUND($E299*FQ299,2),0))</f>
        <v>0</v>
      </c>
      <c r="FS299" s="53">
        <f t="shared" si="819"/>
        <v>0</v>
      </c>
    </row>
    <row r="300" spans="1:175" x14ac:dyDescent="0.3">
      <c r="A300" s="185"/>
      <c r="B300" s="186"/>
      <c r="C300" s="187"/>
      <c r="D300" s="188"/>
      <c r="E300" s="189"/>
      <c r="F300" s="190"/>
      <c r="G300" s="191"/>
      <c r="H300" s="192"/>
      <c r="I300" s="193"/>
      <c r="J300" s="194"/>
      <c r="K300" s="630"/>
      <c r="L300" s="49">
        <f t="shared" si="820"/>
        <v>0</v>
      </c>
      <c r="M300" s="50">
        <f t="shared" si="821"/>
        <v>0</v>
      </c>
      <c r="N300" s="51">
        <f t="shared" si="822"/>
        <v>0</v>
      </c>
      <c r="O300" s="51"/>
      <c r="P300" s="51">
        <f t="shared" si="823"/>
        <v>0</v>
      </c>
      <c r="Q300" s="52"/>
      <c r="R300" s="52"/>
      <c r="S300" s="52"/>
      <c r="T300" s="52"/>
      <c r="U300" s="52"/>
      <c r="V300" s="53">
        <f t="shared" si="824"/>
        <v>0</v>
      </c>
      <c r="W300" s="51">
        <f t="shared" si="825"/>
        <v>0</v>
      </c>
      <c r="X300" s="51">
        <f t="shared" si="826"/>
        <v>0</v>
      </c>
      <c r="Y300" s="51">
        <f t="shared" si="827"/>
        <v>0</v>
      </c>
      <c r="Z300" s="51">
        <f t="shared" si="828"/>
        <v>0</v>
      </c>
      <c r="AA300" s="51">
        <f t="shared" si="829"/>
        <v>0</v>
      </c>
      <c r="AB300" s="51">
        <f t="shared" si="830"/>
        <v>0</v>
      </c>
      <c r="AC300" s="51">
        <f t="shared" si="831"/>
        <v>0</v>
      </c>
      <c r="AD300" s="51">
        <f t="shared" si="832"/>
        <v>0</v>
      </c>
      <c r="AE300" s="51">
        <f t="shared" si="833"/>
        <v>0</v>
      </c>
      <c r="AF300" s="51">
        <f t="shared" si="834"/>
        <v>0</v>
      </c>
      <c r="AG300" s="51">
        <f t="shared" si="835"/>
        <v>0</v>
      </c>
      <c r="AH300" s="54">
        <f t="shared" si="836"/>
        <v>0</v>
      </c>
      <c r="AI300" s="55">
        <f t="shared" si="837"/>
        <v>0</v>
      </c>
      <c r="AJ300" s="56">
        <f>IF(AND($E300&lt;&gt;0,$F300&gt;0,YEAR($F300)&gt;=Preisindex!$A$6,YEAR(AE$4)&gt;=YEAR($F300),AND($K300&lt;&gt;"a",$K300&lt;&gt;"b",$K300&lt;&gt;"g",$K300&lt;&gt;"k")),1,IF(AND($E300&lt;&gt;0,$F300&gt;0,YEAR($F300)&gt;=Preisindex!$A$6,YEAR(AE$4)&gt;=YEAR($F300),$K300="a"),ROUND(VLOOKUP(AJ$4,Preisindex,5,FALSE)/VLOOKUP(YEAR($F300),Preisindex,5,FALSE),2),IF(AND($E300&lt;&gt;0,$F300&gt;0,YEAR($F300)&gt;=Preisindex!$A$6,YEAR(AE$4)&gt;=YEAR($F300),$K300="b"),ROUND(VLOOKUP(AJ$4,Preisindex,3,FALSE)/VLOOKUP(YEAR($F300),Preisindex,3,FALSE),2),IF(AND($E300&lt;&gt;0,$F300&gt;0,YEAR($F300)&gt;=Preisindex!$A$6,YEAR(AE$4)&gt;=YEAR($F300),$K300="g"),ROUND(VLOOKUP(AJ$4,Preisindex,4,FALSE)/VLOOKUP(YEAR($F300),Preisindex,4,FALSE),2),IF(AND($E300&lt;&gt;0,$F300&gt;0,YEAR($F300)&gt;=Preisindex!$A$6,YEAR(AE$4)&gt;=YEAR($F300),$K300="k"),ROUND(VLOOKUP(AJ$4,Preisindex,2,FALSE)/VLOOKUP(YEAR($F300),Preisindex,2,FALSE),2),0)))))</f>
        <v>0</v>
      </c>
      <c r="AK300" s="56">
        <f>IF(AND($E300&lt;&gt;0,$F300&gt;0,YEAR($F300)&lt;Preisindex!$A$6,YEAR(AE$4)&gt;=YEAR($F300),AND($K300&lt;&gt;"a",$K300&lt;&gt;"b",$K300&lt;&gt;"g",$K300&lt;&gt;"k")),1,IF(AND($E300&lt;&gt;0,$F300&gt;0,YEAR($F300)&lt;Preisindex!$A$6,YEAR(AE$4)&gt;=YEAR($F300),$K300="a"),ROUND(VLOOKUP(AJ$4,Preisindex,5,FALSE)/VLOOKUP(Preisindex!$A$6,Preisindex,5,FALSE),2),IF(AND($E300&lt;&gt;0,$F300&gt;0,YEAR($F300)&lt;Preisindex!$A$6,YEAR(AE$4)&gt;=YEAR($F300),$K300="b"),ROUND(VLOOKUP(AJ$4,Preisindex,3,FALSE)/VLOOKUP(Preisindex!$A$6,Preisindex,3,FALSE),2),IF(AND($E300&lt;&gt;0,$F300&gt;0,YEAR($F300)&lt;Preisindex!$A$6,YEAR(AE$4)&gt;=YEAR($F300),$K300="g"),ROUND(VLOOKUP(AJ$4,Preisindex,4,FALSE)/VLOOKUP(Preisindex!$A$6,Preisindex,4,FALSE),2),IF(AND($E300&lt;&gt;0,$F300&gt;0,YEAR($F300)&lt;Preisindex!$A$6,YEAR(AE$4)&gt;=YEAR($F300),$K300="k"),ROUND(VLOOKUP(AJ$4,Preisindex,2,FALSE)/VLOOKUP(Preisindex!$A$6,Preisindex,2,FALSE),2),0)))))</f>
        <v>0</v>
      </c>
      <c r="AL300" s="51">
        <f>IF(AND($E300&lt;&gt;0,$F300&gt;0,YEAR($F300)&lt;=AJ$4,YEAR($F300)&gt;=Preisindex!$A$6),ROUND($E300*AJ300,2),IF(AND($E300&lt;&gt;0,$F300&gt;0,YEAR($F300)&lt;=AJ$4,YEAR($F300)&lt;Preisindex!$A$6),ROUND($E300*AK300,2),0))</f>
        <v>0</v>
      </c>
      <c r="AM300" s="53">
        <f t="shared" si="838"/>
        <v>0</v>
      </c>
      <c r="AN300" s="51">
        <f t="shared" si="881"/>
        <v>0</v>
      </c>
      <c r="AO300" s="51">
        <f t="shared" si="841"/>
        <v>0</v>
      </c>
      <c r="AP300" s="51">
        <f t="shared" si="755"/>
        <v>0</v>
      </c>
      <c r="AQ300" s="51">
        <f t="shared" si="842"/>
        <v>0</v>
      </c>
      <c r="AR300" s="51">
        <f t="shared" si="756"/>
        <v>0</v>
      </c>
      <c r="AS300" s="51">
        <f t="shared" si="843"/>
        <v>0</v>
      </c>
      <c r="AT300" s="51">
        <f t="shared" si="757"/>
        <v>0</v>
      </c>
      <c r="AU300" s="51">
        <f t="shared" si="844"/>
        <v>0</v>
      </c>
      <c r="AV300" s="51">
        <f t="shared" si="758"/>
        <v>0</v>
      </c>
      <c r="AW300" s="51">
        <f t="shared" si="845"/>
        <v>0</v>
      </c>
      <c r="AX300" s="51">
        <f t="shared" si="759"/>
        <v>0</v>
      </c>
      <c r="AY300" s="54">
        <f t="shared" si="760"/>
        <v>0</v>
      </c>
      <c r="AZ300" s="55">
        <f t="shared" si="761"/>
        <v>0</v>
      </c>
      <c r="BA300" s="56">
        <f>IF(AND($E300&lt;&gt;0,$F300&gt;0,YEAR($F300)&gt;=Preisindex!$A$6,YEAR(AV$4)&gt;=YEAR($F300),AND($K300&lt;&gt;"a",$K300&lt;&gt;"b",$K300&lt;&gt;"g",$K300&lt;&gt;"k")),1,IF(AND($E300&lt;&gt;0,$F300&gt;0,YEAR($F300)&gt;=Preisindex!$A$6,YEAR(AV$4)&gt;=YEAR($F300),$K300="a"),ROUND(VLOOKUP(BA$4,Preisindex,5,FALSE)/VLOOKUP(YEAR($F300),Preisindex,5,FALSE),2),IF(AND($E300&lt;&gt;0,$F300&gt;0,YEAR($F300)&gt;=Preisindex!$A$6,YEAR(AV$4)&gt;=YEAR($F300),$K300="b"),ROUND(VLOOKUP(BA$4,Preisindex,3,FALSE)/VLOOKUP(YEAR($F300),Preisindex,3,FALSE),2),IF(AND($E300&lt;&gt;0,$F300&gt;0,YEAR($F300)&gt;=Preisindex!$A$6,YEAR(AV$4)&gt;=YEAR($F300),$K300="g"),ROUND(VLOOKUP(BA$4,Preisindex,4,FALSE)/VLOOKUP(YEAR($F300),Preisindex,4,FALSE),2),IF(AND($E300&lt;&gt;0,$F300&gt;0,YEAR($F300)&gt;=Preisindex!$A$6,YEAR(AV$4)&gt;=YEAR($F300),$K300="k"),ROUND(VLOOKUP(BA$4,Preisindex,2,FALSE)/VLOOKUP(YEAR($F300),Preisindex,2,FALSE),2),0)))))</f>
        <v>0</v>
      </c>
      <c r="BB300" s="56">
        <f>IF(AND($E300&lt;&gt;0,$F300&gt;0,YEAR($F300)&lt;Preisindex!$A$6,YEAR(AV$4)&gt;=YEAR($F300),AND($K300&lt;&gt;"a",$K300&lt;&gt;"b",$K300&lt;&gt;"g",$K300&lt;&gt;"k")),1,IF(AND($E300&lt;&gt;0,$F300&gt;0,YEAR($F300)&lt;Preisindex!$A$6,YEAR(AV$4)&gt;=YEAR($F300),$K300="a"),ROUND(VLOOKUP(BA$4,Preisindex,5,FALSE)/VLOOKUP(Preisindex!$A$6,Preisindex,5,FALSE),2),IF(AND($E300&lt;&gt;0,$F300&gt;0,YEAR($F300)&lt;Preisindex!$A$6,YEAR(AV$4)&gt;=YEAR($F300),$K300="b"),ROUND(VLOOKUP(BA$4,Preisindex,3,FALSE)/VLOOKUP(Preisindex!$A$6,Preisindex,3,FALSE),2),IF(AND($E300&lt;&gt;0,$F300&gt;0,YEAR($F300)&lt;Preisindex!$A$6,YEAR(AV$4)&gt;=YEAR($F300),$K300="g"),ROUND(VLOOKUP(BA$4,Preisindex,4,FALSE)/VLOOKUP(Preisindex!$A$6,Preisindex,4,FALSE),2),IF(AND($E300&lt;&gt;0,$F300&gt;0,YEAR($F300)&lt;Preisindex!$A$6,YEAR(AV$4)&gt;=YEAR($F300),$K300="k"),ROUND(VLOOKUP(BA$4,Preisindex,2,FALSE)/VLOOKUP(Preisindex!$A$6,Preisindex,2,FALSE),2),0)))))</f>
        <v>0</v>
      </c>
      <c r="BC300" s="51">
        <f>IF(AND($E300&lt;&gt;0,$F300&gt;0,YEAR($F300)&lt;=BA$4,YEAR($F300)&gt;=Preisindex!$A$6),ROUND($E300*BA300,2),IF(AND($E300&lt;&gt;0,$F300&gt;0,YEAR($F300)&lt;=BA$4,YEAR($F300)&lt;Preisindex!$A$6),ROUND($E300*BB300,2),0))</f>
        <v>0</v>
      </c>
      <c r="BD300" s="53">
        <f t="shared" si="762"/>
        <v>0</v>
      </c>
      <c r="BE300" s="51">
        <f t="shared" si="881"/>
        <v>0</v>
      </c>
      <c r="BF300" s="51">
        <f t="shared" si="846"/>
        <v>0</v>
      </c>
      <c r="BG300" s="51">
        <f t="shared" si="763"/>
        <v>0</v>
      </c>
      <c r="BH300" s="51">
        <f t="shared" si="847"/>
        <v>0</v>
      </c>
      <c r="BI300" s="51">
        <f t="shared" si="764"/>
        <v>0</v>
      </c>
      <c r="BJ300" s="51">
        <f t="shared" si="848"/>
        <v>0</v>
      </c>
      <c r="BK300" s="51">
        <f t="shared" si="765"/>
        <v>0</v>
      </c>
      <c r="BL300" s="51">
        <f t="shared" si="849"/>
        <v>0</v>
      </c>
      <c r="BM300" s="51">
        <f t="shared" si="766"/>
        <v>0</v>
      </c>
      <c r="BN300" s="51">
        <f t="shared" si="850"/>
        <v>0</v>
      </c>
      <c r="BO300" s="51">
        <f t="shared" si="767"/>
        <v>0</v>
      </c>
      <c r="BP300" s="54">
        <f t="shared" si="768"/>
        <v>0</v>
      </c>
      <c r="BQ300" s="55">
        <f t="shared" si="769"/>
        <v>0</v>
      </c>
      <c r="BR300" s="56">
        <f>IF(AND($E300&lt;&gt;0,$F300&gt;0,YEAR($F300)&gt;=Preisindex!$A$6,YEAR(BM$4)&gt;=YEAR($F300),AND($K300&lt;&gt;"a",$K300&lt;&gt;"b",$K300&lt;&gt;"g",$K300&lt;&gt;"k")),1,IF(AND($E300&lt;&gt;0,$F300&gt;0,YEAR($F300)&gt;=Preisindex!$A$6,YEAR(BM$4)&gt;=YEAR($F300),$K300="a"),ROUND(VLOOKUP(BR$4,Preisindex,5,FALSE)/VLOOKUP(YEAR($F300),Preisindex,5,FALSE),2),IF(AND($E300&lt;&gt;0,$F300&gt;0,YEAR($F300)&gt;=Preisindex!$A$6,YEAR(BM$4)&gt;=YEAR($F300),$K300="b"),ROUND(VLOOKUP(BR$4,Preisindex,3,FALSE)/VLOOKUP(YEAR($F300),Preisindex,3,FALSE),2),IF(AND($E300&lt;&gt;0,$F300&gt;0,YEAR($F300)&gt;=Preisindex!$A$6,YEAR(BM$4)&gt;=YEAR($F300),$K300="g"),ROUND(VLOOKUP(BR$4,Preisindex,4,FALSE)/VLOOKUP(YEAR($F300),Preisindex,4,FALSE),2),IF(AND($E300&lt;&gt;0,$F300&gt;0,YEAR($F300)&gt;=Preisindex!$A$6,YEAR(BM$4)&gt;=YEAR($F300),$K300="k"),ROUND(VLOOKUP(BR$4,Preisindex,2,FALSE)/VLOOKUP(YEAR($F300),Preisindex,2,FALSE),2),0)))))</f>
        <v>0</v>
      </c>
      <c r="BS300" s="56">
        <f>IF(AND($E300&lt;&gt;0,$F300&gt;0,YEAR($F300)&lt;Preisindex!$A$6,YEAR(BM$4)&gt;=YEAR($F300),AND($K300&lt;&gt;"a",$K300&lt;&gt;"b",$K300&lt;&gt;"g",$K300&lt;&gt;"k")),1,IF(AND($E300&lt;&gt;0,$F300&gt;0,YEAR($F300)&lt;Preisindex!$A$6,YEAR(BM$4)&gt;=YEAR($F300),$K300="a"),ROUND(VLOOKUP(BR$4,Preisindex,5,FALSE)/VLOOKUP(Preisindex!$A$6,Preisindex,5,FALSE),2),IF(AND($E300&lt;&gt;0,$F300&gt;0,YEAR($F300)&lt;Preisindex!$A$6,YEAR(BM$4)&gt;=YEAR($F300),$K300="b"),ROUND(VLOOKUP(BR$4,Preisindex,3,FALSE)/VLOOKUP(Preisindex!$A$6,Preisindex,3,FALSE),2),IF(AND($E300&lt;&gt;0,$F300&gt;0,YEAR($F300)&lt;Preisindex!$A$6,YEAR(BM$4)&gt;=YEAR($F300),$K300="g"),ROUND(VLOOKUP(BR$4,Preisindex,4,FALSE)/VLOOKUP(Preisindex!$A$6,Preisindex,4,FALSE),2),IF(AND($E300&lt;&gt;0,$F300&gt;0,YEAR($F300)&lt;Preisindex!$A$6,YEAR(BM$4)&gt;=YEAR($F300),$K300="k"),ROUND(VLOOKUP(BR$4,Preisindex,2,FALSE)/VLOOKUP(Preisindex!$A$6,Preisindex,2,FALSE),2),0)))))</f>
        <v>0</v>
      </c>
      <c r="BT300" s="51">
        <f>IF(AND($E300&lt;&gt;0,$F300&gt;0,YEAR($F300)&lt;=BR$4,YEAR($F300)&gt;=Preisindex!$A$6),ROUND($E300*BR300,2),IF(AND($E300&lt;&gt;0,$F300&gt;0,YEAR($F300)&lt;=BR$4,YEAR($F300)&lt;Preisindex!$A$6),ROUND($E300*BS300,2),0))</f>
        <v>0</v>
      </c>
      <c r="BU300" s="53">
        <f t="shared" si="770"/>
        <v>0</v>
      </c>
      <c r="BV300" s="51">
        <f t="shared" si="881"/>
        <v>0</v>
      </c>
      <c r="BW300" s="51">
        <f t="shared" si="851"/>
        <v>0</v>
      </c>
      <c r="BX300" s="51">
        <f t="shared" si="771"/>
        <v>0</v>
      </c>
      <c r="BY300" s="51">
        <f t="shared" si="852"/>
        <v>0</v>
      </c>
      <c r="BZ300" s="51">
        <f t="shared" si="772"/>
        <v>0</v>
      </c>
      <c r="CA300" s="51">
        <f t="shared" si="853"/>
        <v>0</v>
      </c>
      <c r="CB300" s="51">
        <f t="shared" si="773"/>
        <v>0</v>
      </c>
      <c r="CC300" s="51">
        <f t="shared" si="854"/>
        <v>0</v>
      </c>
      <c r="CD300" s="51">
        <f t="shared" si="774"/>
        <v>0</v>
      </c>
      <c r="CE300" s="51">
        <f t="shared" si="855"/>
        <v>0</v>
      </c>
      <c r="CF300" s="51">
        <f t="shared" si="775"/>
        <v>0</v>
      </c>
      <c r="CG300" s="54">
        <f t="shared" si="776"/>
        <v>0</v>
      </c>
      <c r="CH300" s="55">
        <f t="shared" si="777"/>
        <v>0</v>
      </c>
      <c r="CI300" s="56">
        <f>IF(AND($E300&lt;&gt;0,$F300&gt;0,YEAR($F300)&gt;=Preisindex!$A$6,YEAR(CD$4)&gt;=YEAR($F300),AND($K300&lt;&gt;"a",$K300&lt;&gt;"b",$K300&lt;&gt;"g",$K300&lt;&gt;"k")),1,IF(AND($E300&lt;&gt;0,$F300&gt;0,YEAR($F300)&gt;=Preisindex!$A$6,YEAR(CD$4)&gt;=YEAR($F300),$K300="a"),ROUND(VLOOKUP(CI$4,Preisindex,5,FALSE)/VLOOKUP(YEAR($F300),Preisindex,5,FALSE),2),IF(AND($E300&lt;&gt;0,$F300&gt;0,YEAR($F300)&gt;=Preisindex!$A$6,YEAR(CD$4)&gt;=YEAR($F300),$K300="b"),ROUND(VLOOKUP(CI$4,Preisindex,3,FALSE)/VLOOKUP(YEAR($F300),Preisindex,3,FALSE),2),IF(AND($E300&lt;&gt;0,$F300&gt;0,YEAR($F300)&gt;=Preisindex!$A$6,YEAR(CD$4)&gt;=YEAR($F300),$K300="g"),ROUND(VLOOKUP(CI$4,Preisindex,4,FALSE)/VLOOKUP(YEAR($F300),Preisindex,4,FALSE),2),IF(AND($E300&lt;&gt;0,$F300&gt;0,YEAR($F300)&gt;=Preisindex!$A$6,YEAR(CD$4)&gt;=YEAR($F300),$K300="k"),ROUND(VLOOKUP(CI$4,Preisindex,2,FALSE)/VLOOKUP(YEAR($F300),Preisindex,2,FALSE),2),0)))))</f>
        <v>0</v>
      </c>
      <c r="CJ300" s="56">
        <f>IF(AND($E300&lt;&gt;0,$F300&gt;0,YEAR($F300)&lt;Preisindex!$A$6,YEAR(CD$4)&gt;=YEAR($F300),AND($K300&lt;&gt;"a",$K300&lt;&gt;"b",$K300&lt;&gt;"g",$K300&lt;&gt;"k")),1,IF(AND($E300&lt;&gt;0,$F300&gt;0,YEAR($F300)&lt;Preisindex!$A$6,YEAR(CD$4)&gt;=YEAR($F300),$K300="a"),ROUND(VLOOKUP(CI$4,Preisindex,5,FALSE)/VLOOKUP(Preisindex!$A$6,Preisindex,5,FALSE),2),IF(AND($E300&lt;&gt;0,$F300&gt;0,YEAR($F300)&lt;Preisindex!$A$6,YEAR(CD$4)&gt;=YEAR($F300),$K300="b"),ROUND(VLOOKUP(CI$4,Preisindex,3,FALSE)/VLOOKUP(Preisindex!$A$6,Preisindex,3,FALSE),2),IF(AND($E300&lt;&gt;0,$F300&gt;0,YEAR($F300)&lt;Preisindex!$A$6,YEAR(CD$4)&gt;=YEAR($F300),$K300="g"),ROUND(VLOOKUP(CI$4,Preisindex,4,FALSE)/VLOOKUP(Preisindex!$A$6,Preisindex,4,FALSE),2),IF(AND($E300&lt;&gt;0,$F300&gt;0,YEAR($F300)&lt;Preisindex!$A$6,YEAR(CD$4)&gt;=YEAR($F300),$K300="k"),ROUND(VLOOKUP(CI$4,Preisindex,2,FALSE)/VLOOKUP(Preisindex!$A$6,Preisindex,2,FALSE),2),0)))))</f>
        <v>0</v>
      </c>
      <c r="CK300" s="51">
        <f>IF(AND($E300&lt;&gt;0,$F300&gt;0,YEAR($F300)&lt;=CI$4,YEAR($F300)&gt;=Preisindex!$A$6),ROUND($E300*CI300,2),IF(AND($E300&lt;&gt;0,$F300&gt;0,YEAR($F300)&lt;=CI$4,YEAR($F300)&lt;Preisindex!$A$6),ROUND($E300*CJ300,2),0))</f>
        <v>0</v>
      </c>
      <c r="CL300" s="53">
        <f t="shared" si="778"/>
        <v>0</v>
      </c>
      <c r="CM300" s="51">
        <f t="shared" si="881"/>
        <v>0</v>
      </c>
      <c r="CN300" s="51">
        <f t="shared" si="856"/>
        <v>0</v>
      </c>
      <c r="CO300" s="51">
        <f t="shared" si="779"/>
        <v>0</v>
      </c>
      <c r="CP300" s="51">
        <f t="shared" si="857"/>
        <v>0</v>
      </c>
      <c r="CQ300" s="51">
        <f t="shared" si="780"/>
        <v>0</v>
      </c>
      <c r="CR300" s="51">
        <f t="shared" si="858"/>
        <v>0</v>
      </c>
      <c r="CS300" s="51">
        <f t="shared" si="781"/>
        <v>0</v>
      </c>
      <c r="CT300" s="51">
        <f t="shared" si="859"/>
        <v>0</v>
      </c>
      <c r="CU300" s="51">
        <f t="shared" si="782"/>
        <v>0</v>
      </c>
      <c r="CV300" s="51">
        <f t="shared" si="860"/>
        <v>0</v>
      </c>
      <c r="CW300" s="51">
        <f t="shared" si="783"/>
        <v>0</v>
      </c>
      <c r="CX300" s="54">
        <f t="shared" si="784"/>
        <v>0</v>
      </c>
      <c r="CY300" s="55">
        <f t="shared" si="785"/>
        <v>0</v>
      </c>
      <c r="CZ300" s="56">
        <f>IF(AND($E300&lt;&gt;0,$F300&gt;0,YEAR($F300)&gt;=Preisindex!$A$6,YEAR(CU$4)&gt;=YEAR($F300),AND($K300&lt;&gt;"a",$K300&lt;&gt;"b",$K300&lt;&gt;"g",$K300&lt;&gt;"k")),1,IF(AND($E300&lt;&gt;0,$F300&gt;0,YEAR($F300)&gt;=Preisindex!$A$6,YEAR(CU$4)&gt;=YEAR($F300),$K300="a"),ROUND(VLOOKUP(CZ$4,Preisindex,5,FALSE)/VLOOKUP(YEAR($F300),Preisindex,5,FALSE),2),IF(AND($E300&lt;&gt;0,$F300&gt;0,YEAR($F300)&gt;=Preisindex!$A$6,YEAR(CU$4)&gt;=YEAR($F300),$K300="b"),ROUND(VLOOKUP(CZ$4,Preisindex,3,FALSE)/VLOOKUP(YEAR($F300),Preisindex,3,FALSE),2),IF(AND($E300&lt;&gt;0,$F300&gt;0,YEAR($F300)&gt;=Preisindex!$A$6,YEAR(CU$4)&gt;=YEAR($F300),$K300="g"),ROUND(VLOOKUP(CZ$4,Preisindex,4,FALSE)/VLOOKUP(YEAR($F300),Preisindex,4,FALSE),2),IF(AND($E300&lt;&gt;0,$F300&gt;0,YEAR($F300)&gt;=Preisindex!$A$6,YEAR(CU$4)&gt;=YEAR($F300),$K300="k"),ROUND(VLOOKUP(CZ$4,Preisindex,2,FALSE)/VLOOKUP(YEAR($F300),Preisindex,2,FALSE),2),0)))))</f>
        <v>0</v>
      </c>
      <c r="DA300" s="56">
        <f>IF(AND($E300&lt;&gt;0,$F300&gt;0,YEAR($F300)&lt;Preisindex!$A$6,YEAR(CU$4)&gt;=YEAR($F300),AND($K300&lt;&gt;"a",$K300&lt;&gt;"b",$K300&lt;&gt;"g",$K300&lt;&gt;"k")),1,IF(AND($E300&lt;&gt;0,$F300&gt;0,YEAR($F300)&lt;Preisindex!$A$6,YEAR(CU$4)&gt;=YEAR($F300),$K300="a"),ROUND(VLOOKUP(CZ$4,Preisindex,5,FALSE)/VLOOKUP(Preisindex!$A$6,Preisindex,5,FALSE),2),IF(AND($E300&lt;&gt;0,$F300&gt;0,YEAR($F300)&lt;Preisindex!$A$6,YEAR(CU$4)&gt;=YEAR($F300),$K300="b"),ROUND(VLOOKUP(CZ$4,Preisindex,3,FALSE)/VLOOKUP(Preisindex!$A$6,Preisindex,3,FALSE),2),IF(AND($E300&lt;&gt;0,$F300&gt;0,YEAR($F300)&lt;Preisindex!$A$6,YEAR(CU$4)&gt;=YEAR($F300),$K300="g"),ROUND(VLOOKUP(CZ$4,Preisindex,4,FALSE)/VLOOKUP(Preisindex!$A$6,Preisindex,4,FALSE),2),IF(AND($E300&lt;&gt;0,$F300&gt;0,YEAR($F300)&lt;Preisindex!$A$6,YEAR(CU$4)&gt;=YEAR($F300),$K300="k"),ROUND(VLOOKUP(CZ$4,Preisindex,2,FALSE)/VLOOKUP(Preisindex!$A$6,Preisindex,2,FALSE),2),0)))))</f>
        <v>0</v>
      </c>
      <c r="DB300" s="51">
        <f>IF(AND($E300&lt;&gt;0,$F300&gt;0,YEAR($F300)&lt;=CZ$4,YEAR($F300)&gt;=Preisindex!$A$6),ROUND($E300*CZ300,2),IF(AND($E300&lt;&gt;0,$F300&gt;0,YEAR($F300)&lt;=CZ$4,YEAR($F300)&lt;Preisindex!$A$6),ROUND($E300*DA300,2),0))</f>
        <v>0</v>
      </c>
      <c r="DC300" s="53">
        <f t="shared" si="786"/>
        <v>0</v>
      </c>
      <c r="DD300" s="51">
        <f t="shared" si="882"/>
        <v>0</v>
      </c>
      <c r="DE300" s="51">
        <f t="shared" si="861"/>
        <v>0</v>
      </c>
      <c r="DF300" s="51">
        <f t="shared" si="788"/>
        <v>0</v>
      </c>
      <c r="DG300" s="51">
        <f t="shared" si="862"/>
        <v>0</v>
      </c>
      <c r="DH300" s="51">
        <f t="shared" si="789"/>
        <v>0</v>
      </c>
      <c r="DI300" s="51">
        <f t="shared" si="863"/>
        <v>0</v>
      </c>
      <c r="DJ300" s="51">
        <f t="shared" si="790"/>
        <v>0</v>
      </c>
      <c r="DK300" s="51">
        <f t="shared" si="864"/>
        <v>0</v>
      </c>
      <c r="DL300" s="51">
        <f t="shared" si="791"/>
        <v>0</v>
      </c>
      <c r="DM300" s="51">
        <f t="shared" si="865"/>
        <v>0</v>
      </c>
      <c r="DN300" s="51">
        <f t="shared" si="792"/>
        <v>0</v>
      </c>
      <c r="DO300" s="54">
        <f t="shared" si="793"/>
        <v>0</v>
      </c>
      <c r="DP300" s="55">
        <f t="shared" si="794"/>
        <v>0</v>
      </c>
      <c r="DQ300" s="56">
        <f>IF(AND($E300&lt;&gt;0,$F300&gt;0,YEAR($F300)&gt;=Preisindex!$A$6,YEAR(DL$4)&gt;=YEAR($F300),AND($K300&lt;&gt;"a",$K300&lt;&gt;"b",$K300&lt;&gt;"g",$K300&lt;&gt;"k")),1,IF(AND($E300&lt;&gt;0,$F300&gt;0,YEAR($F300)&gt;=Preisindex!$A$6,YEAR(DL$4)&gt;=YEAR($F300),$K300="a"),ROUND(VLOOKUP(DQ$4,Preisindex,5,FALSE)/VLOOKUP(YEAR($F300),Preisindex,5,FALSE),2),IF(AND($E300&lt;&gt;0,$F300&gt;0,YEAR($F300)&gt;=Preisindex!$A$6,YEAR(DL$4)&gt;=YEAR($F300),$K300="b"),ROUND(VLOOKUP(DQ$4,Preisindex,3,FALSE)/VLOOKUP(YEAR($F300),Preisindex,3,FALSE),2),IF(AND($E300&lt;&gt;0,$F300&gt;0,YEAR($F300)&gt;=Preisindex!$A$6,YEAR(DL$4)&gt;=YEAR($F300),$K300="g"),ROUND(VLOOKUP(DQ$4,Preisindex,4,FALSE)/VLOOKUP(YEAR($F300),Preisindex,4,FALSE),2),IF(AND($E300&lt;&gt;0,$F300&gt;0,YEAR($F300)&gt;=Preisindex!$A$6,YEAR(DL$4)&gt;=YEAR($F300),$K300="k"),ROUND(VLOOKUP(DQ$4,Preisindex,2,FALSE)/VLOOKUP(YEAR($F300),Preisindex,2,FALSE),2),0)))))</f>
        <v>0</v>
      </c>
      <c r="DR300" s="56">
        <f>IF(AND($E300&lt;&gt;0,$F300&gt;0,YEAR($F300)&lt;Preisindex!$A$6,YEAR(DL$4)&gt;=YEAR($F300),AND($K300&lt;&gt;"a",$K300&lt;&gt;"b",$K300&lt;&gt;"g",$K300&lt;&gt;"k")),1,IF(AND($E300&lt;&gt;0,$F300&gt;0,YEAR($F300)&lt;Preisindex!$A$6,YEAR(DL$4)&gt;=YEAR($F300),$K300="a"),ROUND(VLOOKUP(DQ$4,Preisindex,5,FALSE)/VLOOKUP(Preisindex!$A$6,Preisindex,5,FALSE),2),IF(AND($E300&lt;&gt;0,$F300&gt;0,YEAR($F300)&lt;Preisindex!$A$6,YEAR(DL$4)&gt;=YEAR($F300),$K300="b"),ROUND(VLOOKUP(DQ$4,Preisindex,3,FALSE)/VLOOKUP(Preisindex!$A$6,Preisindex,3,FALSE),2),IF(AND($E300&lt;&gt;0,$F300&gt;0,YEAR($F300)&lt;Preisindex!$A$6,YEAR(DL$4)&gt;=YEAR($F300),$K300="g"),ROUND(VLOOKUP(DQ$4,Preisindex,4,FALSE)/VLOOKUP(Preisindex!$A$6,Preisindex,4,FALSE),2),IF(AND($E300&lt;&gt;0,$F300&gt;0,YEAR($F300)&lt;Preisindex!$A$6,YEAR(DL$4)&gt;=YEAR($F300),$K300="k"),ROUND(VLOOKUP(DQ$4,Preisindex,2,FALSE)/VLOOKUP(Preisindex!$A$6,Preisindex,2,FALSE),2),0)))))</f>
        <v>0</v>
      </c>
      <c r="DS300" s="51">
        <f>IF(AND($E300&lt;&gt;0,$F300&gt;0,YEAR($F300)&lt;=DQ$4,YEAR($F300)&gt;=Preisindex!$A$6),ROUND($E300*DQ300,2),IF(AND($E300&lt;&gt;0,$F300&gt;0,YEAR($F300)&lt;=DQ$4,YEAR($F300)&lt;Preisindex!$A$6),ROUND($E300*DR300,2),0))</f>
        <v>0</v>
      </c>
      <c r="DT300" s="53">
        <f t="shared" si="795"/>
        <v>0</v>
      </c>
      <c r="DU300" s="51">
        <f t="shared" si="882"/>
        <v>0</v>
      </c>
      <c r="DV300" s="51">
        <f t="shared" si="866"/>
        <v>0</v>
      </c>
      <c r="DW300" s="51">
        <f t="shared" si="796"/>
        <v>0</v>
      </c>
      <c r="DX300" s="51">
        <f t="shared" si="867"/>
        <v>0</v>
      </c>
      <c r="DY300" s="51">
        <f t="shared" si="797"/>
        <v>0</v>
      </c>
      <c r="DZ300" s="51">
        <f t="shared" si="868"/>
        <v>0</v>
      </c>
      <c r="EA300" s="51">
        <f t="shared" si="798"/>
        <v>0</v>
      </c>
      <c r="EB300" s="51">
        <f t="shared" si="869"/>
        <v>0</v>
      </c>
      <c r="EC300" s="51">
        <f t="shared" si="799"/>
        <v>0</v>
      </c>
      <c r="ED300" s="51">
        <f t="shared" si="870"/>
        <v>0</v>
      </c>
      <c r="EE300" s="51">
        <f t="shared" si="800"/>
        <v>0</v>
      </c>
      <c r="EF300" s="54">
        <f t="shared" si="801"/>
        <v>0</v>
      </c>
      <c r="EG300" s="55">
        <f t="shared" si="802"/>
        <v>0</v>
      </c>
      <c r="EH300" s="56">
        <f>IF(AND($E300&lt;&gt;0,$F300&gt;0,YEAR($F300)&gt;=Preisindex!$A$6,YEAR(EC$4)&gt;=YEAR($F300),AND($K300&lt;&gt;"a",$K300&lt;&gt;"b",$K300&lt;&gt;"g",$K300&lt;&gt;"k")),1,IF(AND($E300&lt;&gt;0,$F300&gt;0,YEAR($F300)&gt;=Preisindex!$A$6,YEAR(EC$4)&gt;=YEAR($F300),$K300="a"),ROUND(VLOOKUP(EH$4,Preisindex,5,FALSE)/VLOOKUP(YEAR($F300),Preisindex,5,FALSE),2),IF(AND($E300&lt;&gt;0,$F300&gt;0,YEAR($F300)&gt;=Preisindex!$A$6,YEAR(EC$4)&gt;=YEAR($F300),$K300="b"),ROUND(VLOOKUP(EH$4,Preisindex,3,FALSE)/VLOOKUP(YEAR($F300),Preisindex,3,FALSE),2),IF(AND($E300&lt;&gt;0,$F300&gt;0,YEAR($F300)&gt;=Preisindex!$A$6,YEAR(EC$4)&gt;=YEAR($F300),$K300="g"),ROUND(VLOOKUP(EH$4,Preisindex,4,FALSE)/VLOOKUP(YEAR($F300),Preisindex,4,FALSE),2),IF(AND($E300&lt;&gt;0,$F300&gt;0,YEAR($F300)&gt;=Preisindex!$A$6,YEAR(EC$4)&gt;=YEAR($F300),$K300="k"),ROUND(VLOOKUP(EH$4,Preisindex,2,FALSE)/VLOOKUP(YEAR($F300),Preisindex,2,FALSE),2),0)))))</f>
        <v>0</v>
      </c>
      <c r="EI300" s="56">
        <f>IF(AND($E300&lt;&gt;0,$F300&gt;0,YEAR($F300)&lt;Preisindex!$A$6,YEAR(EC$4)&gt;=YEAR($F300),AND($K300&lt;&gt;"a",$K300&lt;&gt;"b",$K300&lt;&gt;"g",$K300&lt;&gt;"k")),1,IF(AND($E300&lt;&gt;0,$F300&gt;0,YEAR($F300)&lt;Preisindex!$A$6,YEAR(EC$4)&gt;=YEAR($F300),$K300="a"),ROUND(VLOOKUP(EH$4,Preisindex,5,FALSE)/VLOOKUP(Preisindex!$A$6,Preisindex,5,FALSE),2),IF(AND($E300&lt;&gt;0,$F300&gt;0,YEAR($F300)&lt;Preisindex!$A$6,YEAR(EC$4)&gt;=YEAR($F300),$K300="b"),ROUND(VLOOKUP(EH$4,Preisindex,3,FALSE)/VLOOKUP(Preisindex!$A$6,Preisindex,3,FALSE),2),IF(AND($E300&lt;&gt;0,$F300&gt;0,YEAR($F300)&lt;Preisindex!$A$6,YEAR(EC$4)&gt;=YEAR($F300),$K300="g"),ROUND(VLOOKUP(EH$4,Preisindex,4,FALSE)/VLOOKUP(Preisindex!$A$6,Preisindex,4,FALSE),2),IF(AND($E300&lt;&gt;0,$F300&gt;0,YEAR($F300)&lt;Preisindex!$A$6,YEAR(EC$4)&gt;=YEAR($F300),$K300="k"),ROUND(VLOOKUP(EH$4,Preisindex,2,FALSE)/VLOOKUP(Preisindex!$A$6,Preisindex,2,FALSE),2),0)))))</f>
        <v>0</v>
      </c>
      <c r="EJ300" s="51">
        <f>IF(AND($E300&lt;&gt;0,$F300&gt;0,YEAR($F300)&lt;=EH$4,YEAR($F300)&gt;=Preisindex!$A$6),ROUND($E300*EH300,2),IF(AND($E300&lt;&gt;0,$F300&gt;0,YEAR($F300)&lt;=EH$4,YEAR($F300)&lt;Preisindex!$A$6),ROUND($E300*EI300,2),0))</f>
        <v>0</v>
      </c>
      <c r="EK300" s="53">
        <f t="shared" si="803"/>
        <v>0</v>
      </c>
      <c r="EL300" s="51">
        <f t="shared" si="882"/>
        <v>0</v>
      </c>
      <c r="EM300" s="51">
        <f t="shared" si="871"/>
        <v>0</v>
      </c>
      <c r="EN300" s="51">
        <f t="shared" si="804"/>
        <v>0</v>
      </c>
      <c r="EO300" s="51">
        <f t="shared" si="872"/>
        <v>0</v>
      </c>
      <c r="EP300" s="51">
        <f t="shared" si="805"/>
        <v>0</v>
      </c>
      <c r="EQ300" s="51">
        <f t="shared" si="873"/>
        <v>0</v>
      </c>
      <c r="ER300" s="51">
        <f t="shared" si="806"/>
        <v>0</v>
      </c>
      <c r="ES300" s="51">
        <f t="shared" si="874"/>
        <v>0</v>
      </c>
      <c r="ET300" s="51">
        <f t="shared" si="807"/>
        <v>0</v>
      </c>
      <c r="EU300" s="51">
        <f t="shared" si="875"/>
        <v>0</v>
      </c>
      <c r="EV300" s="51">
        <f t="shared" si="808"/>
        <v>0</v>
      </c>
      <c r="EW300" s="54">
        <f t="shared" si="809"/>
        <v>0</v>
      </c>
      <c r="EX300" s="55">
        <f t="shared" si="810"/>
        <v>0</v>
      </c>
      <c r="EY300" s="56">
        <f>IF(AND($E300&lt;&gt;0,$F300&gt;0,YEAR($F300)&gt;=Preisindex!$A$6,YEAR(ET$4)&gt;=YEAR($F300),AND($K300&lt;&gt;"a",$K300&lt;&gt;"b",$K300&lt;&gt;"g",$K300&lt;&gt;"k")),1,IF(AND($E300&lt;&gt;0,$F300&gt;0,YEAR($F300)&gt;=Preisindex!$A$6,YEAR(ET$4)&gt;=YEAR($F300),$K300="a"),ROUND(VLOOKUP(EY$4,Preisindex,5,FALSE)/VLOOKUP(YEAR($F300),Preisindex,5,FALSE),2),IF(AND($E300&lt;&gt;0,$F300&gt;0,YEAR($F300)&gt;=Preisindex!$A$6,YEAR(ET$4)&gt;=YEAR($F300),$K300="b"),ROUND(VLOOKUP(EY$4,Preisindex,3,FALSE)/VLOOKUP(YEAR($F300),Preisindex,3,FALSE),2),IF(AND($E300&lt;&gt;0,$F300&gt;0,YEAR($F300)&gt;=Preisindex!$A$6,YEAR(ET$4)&gt;=YEAR($F300),$K300="g"),ROUND(VLOOKUP(EY$4,Preisindex,4,FALSE)/VLOOKUP(YEAR($F300),Preisindex,4,FALSE),2),IF(AND($E300&lt;&gt;0,$F300&gt;0,YEAR($F300)&gt;=Preisindex!$A$6,YEAR(ET$4)&gt;=YEAR($F300),$K300="k"),ROUND(VLOOKUP(EY$4,Preisindex,2,FALSE)/VLOOKUP(YEAR($F300),Preisindex,2,FALSE),2),0)))))</f>
        <v>0</v>
      </c>
      <c r="EZ300" s="56">
        <f>IF(AND($E300&lt;&gt;0,$F300&gt;0,YEAR($F300)&lt;Preisindex!$A$6,YEAR(ET$4)&gt;=YEAR($F300),AND($K300&lt;&gt;"a",$K300&lt;&gt;"b",$K300&lt;&gt;"g",$K300&lt;&gt;"k")),1,IF(AND($E300&lt;&gt;0,$F300&gt;0,YEAR($F300)&lt;Preisindex!$A$6,YEAR(ET$4)&gt;=YEAR($F300),$K300="a"),ROUND(VLOOKUP(EY$4,Preisindex,5,FALSE)/VLOOKUP(Preisindex!$A$6,Preisindex,5,FALSE),2),IF(AND($E300&lt;&gt;0,$F300&gt;0,YEAR($F300)&lt;Preisindex!$A$6,YEAR(ET$4)&gt;=YEAR($F300),$K300="b"),ROUND(VLOOKUP(EY$4,Preisindex,3,FALSE)/VLOOKUP(Preisindex!$A$6,Preisindex,3,FALSE),2),IF(AND($E300&lt;&gt;0,$F300&gt;0,YEAR($F300)&lt;Preisindex!$A$6,YEAR(ET$4)&gt;=YEAR($F300),$K300="g"),ROUND(VLOOKUP(EY$4,Preisindex,4,FALSE)/VLOOKUP(Preisindex!$A$6,Preisindex,4,FALSE),2),IF(AND($E300&lt;&gt;0,$F300&gt;0,YEAR($F300)&lt;Preisindex!$A$6,YEAR(ET$4)&gt;=YEAR($F300),$K300="k"),ROUND(VLOOKUP(EY$4,Preisindex,2,FALSE)/VLOOKUP(Preisindex!$A$6,Preisindex,2,FALSE),2),0)))))</f>
        <v>0</v>
      </c>
      <c r="FA300" s="51">
        <f>IF(AND($E300&lt;&gt;0,$F300&gt;0,YEAR($F300)&lt;=EY$4,YEAR($F300)&gt;=Preisindex!$A$6),ROUND($E300*EY300,2),IF(AND($E300&lt;&gt;0,$F300&gt;0,YEAR($F300)&lt;=EY$4,YEAR($F300)&lt;Preisindex!$A$6),ROUND($E300*EZ300,2),0))</f>
        <v>0</v>
      </c>
      <c r="FB300" s="53">
        <f t="shared" si="811"/>
        <v>0</v>
      </c>
      <c r="FC300" s="51">
        <f t="shared" si="882"/>
        <v>0</v>
      </c>
      <c r="FD300" s="51">
        <f t="shared" si="876"/>
        <v>0</v>
      </c>
      <c r="FE300" s="51">
        <f t="shared" si="812"/>
        <v>0</v>
      </c>
      <c r="FF300" s="51">
        <f t="shared" si="877"/>
        <v>0</v>
      </c>
      <c r="FG300" s="51">
        <f t="shared" si="813"/>
        <v>0</v>
      </c>
      <c r="FH300" s="51">
        <f t="shared" si="878"/>
        <v>0</v>
      </c>
      <c r="FI300" s="51">
        <f t="shared" si="814"/>
        <v>0</v>
      </c>
      <c r="FJ300" s="51">
        <f t="shared" si="879"/>
        <v>0</v>
      </c>
      <c r="FK300" s="51">
        <f t="shared" si="815"/>
        <v>0</v>
      </c>
      <c r="FL300" s="51">
        <f t="shared" si="880"/>
        <v>0</v>
      </c>
      <c r="FM300" s="51">
        <f t="shared" si="816"/>
        <v>0</v>
      </c>
      <c r="FN300" s="54">
        <f t="shared" si="817"/>
        <v>0</v>
      </c>
      <c r="FO300" s="55">
        <f t="shared" si="818"/>
        <v>0</v>
      </c>
      <c r="FP300" s="56">
        <f>IF(AND($E300&lt;&gt;0,$F300&gt;0,YEAR($F300)&gt;=Preisindex!$A$6,YEAR(FK$4)&gt;=YEAR($F300),AND($K300&lt;&gt;"a",$K300&lt;&gt;"b",$K300&lt;&gt;"g",$K300&lt;&gt;"k")),1,IF(AND($E300&lt;&gt;0,$F300&gt;0,YEAR($F300)&gt;=Preisindex!$A$6,YEAR(FK$4)&gt;=YEAR($F300),$K300="a"),ROUND(VLOOKUP(FP$4,Preisindex,5,FALSE)/VLOOKUP(YEAR($F300),Preisindex,5,FALSE),2),IF(AND($E300&lt;&gt;0,$F300&gt;0,YEAR($F300)&gt;=Preisindex!$A$6,YEAR(FK$4)&gt;=YEAR($F300),$K300="b"),ROUND(VLOOKUP(FP$4,Preisindex,3,FALSE)/VLOOKUP(YEAR($F300),Preisindex,3,FALSE),2),IF(AND($E300&lt;&gt;0,$F300&gt;0,YEAR($F300)&gt;=Preisindex!$A$6,YEAR(FK$4)&gt;=YEAR($F300),$K300="g"),ROUND(VLOOKUP(FP$4,Preisindex,4,FALSE)/VLOOKUP(YEAR($F300),Preisindex,4,FALSE),2),IF(AND($E300&lt;&gt;0,$F300&gt;0,YEAR($F300)&gt;=Preisindex!$A$6,YEAR(FK$4)&gt;=YEAR($F300),$K300="k"),ROUND(VLOOKUP(FP$4,Preisindex,2,FALSE)/VLOOKUP(YEAR($F300),Preisindex,2,FALSE),2),0)))))</f>
        <v>0</v>
      </c>
      <c r="FQ300" s="56">
        <f>IF(AND($E300&lt;&gt;0,$F300&gt;0,YEAR($F300)&lt;Preisindex!$A$6,YEAR(FK$4)&gt;=YEAR($F300),AND($K300&lt;&gt;"a",$K300&lt;&gt;"b",$K300&lt;&gt;"g",$K300&lt;&gt;"k")),1,IF(AND($E300&lt;&gt;0,$F300&gt;0,YEAR($F300)&lt;Preisindex!$A$6,YEAR(FK$4)&gt;=YEAR($F300),$K300="a"),ROUND(VLOOKUP(FP$4,Preisindex,5,FALSE)/VLOOKUP(Preisindex!$A$6,Preisindex,5,FALSE),2),IF(AND($E300&lt;&gt;0,$F300&gt;0,YEAR($F300)&lt;Preisindex!$A$6,YEAR(FK$4)&gt;=YEAR($F300),$K300="b"),ROUND(VLOOKUP(FP$4,Preisindex,3,FALSE)/VLOOKUP(Preisindex!$A$6,Preisindex,3,FALSE),2),IF(AND($E300&lt;&gt;0,$F300&gt;0,YEAR($F300)&lt;Preisindex!$A$6,YEAR(FK$4)&gt;=YEAR($F300),$K300="g"),ROUND(VLOOKUP(FP$4,Preisindex,4,FALSE)/VLOOKUP(Preisindex!$A$6,Preisindex,4,FALSE),2),IF(AND($E300&lt;&gt;0,$F300&gt;0,YEAR($F300)&lt;Preisindex!$A$6,YEAR(FK$4)&gt;=YEAR($F300),$K300="k"),ROUND(VLOOKUP(FP$4,Preisindex,2,FALSE)/VLOOKUP(Preisindex!$A$6,Preisindex,2,FALSE),2),0)))))</f>
        <v>0</v>
      </c>
      <c r="FR300" s="51">
        <f>IF(AND($E300&lt;&gt;0,$F300&gt;0,YEAR($F300)&lt;=FP$4,YEAR($F300)&gt;=Preisindex!$A$6),ROUND($E300*FP300,2),IF(AND($E300&lt;&gt;0,$F300&gt;0,YEAR($F300)&lt;=FP$4,YEAR($F300)&lt;Preisindex!$A$6),ROUND($E300*FQ300,2),0))</f>
        <v>0</v>
      </c>
      <c r="FS300" s="53">
        <f t="shared" si="819"/>
        <v>0</v>
      </c>
    </row>
    <row r="301" spans="1:175" x14ac:dyDescent="0.3">
      <c r="A301" s="185"/>
      <c r="B301" s="186"/>
      <c r="C301" s="187"/>
      <c r="D301" s="95"/>
      <c r="E301" s="99"/>
      <c r="F301" s="97"/>
      <c r="G301" s="98"/>
      <c r="H301" s="192"/>
      <c r="I301" s="193"/>
      <c r="J301" s="194"/>
      <c r="K301" s="630"/>
      <c r="L301" s="49">
        <f t="shared" si="820"/>
        <v>0</v>
      </c>
      <c r="M301" s="50">
        <f t="shared" si="821"/>
        <v>0</v>
      </c>
      <c r="N301" s="51">
        <f t="shared" si="822"/>
        <v>0</v>
      </c>
      <c r="O301" s="51"/>
      <c r="P301" s="51">
        <f t="shared" si="823"/>
        <v>0</v>
      </c>
      <c r="Q301" s="52"/>
      <c r="R301" s="52"/>
      <c r="S301" s="52"/>
      <c r="T301" s="52"/>
      <c r="U301" s="52"/>
      <c r="V301" s="53">
        <f t="shared" si="824"/>
        <v>0</v>
      </c>
      <c r="W301" s="51">
        <f t="shared" si="825"/>
        <v>0</v>
      </c>
      <c r="X301" s="51">
        <f t="shared" si="826"/>
        <v>0</v>
      </c>
      <c r="Y301" s="51">
        <f t="shared" si="827"/>
        <v>0</v>
      </c>
      <c r="Z301" s="51">
        <f t="shared" si="828"/>
        <v>0</v>
      </c>
      <c r="AA301" s="51">
        <f t="shared" si="829"/>
        <v>0</v>
      </c>
      <c r="AB301" s="51">
        <f t="shared" si="830"/>
        <v>0</v>
      </c>
      <c r="AC301" s="51">
        <f t="shared" si="831"/>
        <v>0</v>
      </c>
      <c r="AD301" s="51">
        <f t="shared" si="832"/>
        <v>0</v>
      </c>
      <c r="AE301" s="51">
        <f t="shared" si="833"/>
        <v>0</v>
      </c>
      <c r="AF301" s="51">
        <f t="shared" si="834"/>
        <v>0</v>
      </c>
      <c r="AG301" s="51">
        <f t="shared" si="835"/>
        <v>0</v>
      </c>
      <c r="AH301" s="54">
        <f t="shared" si="836"/>
        <v>0</v>
      </c>
      <c r="AI301" s="55">
        <f t="shared" si="837"/>
        <v>0</v>
      </c>
      <c r="AJ301" s="56">
        <f>IF(AND($E301&lt;&gt;0,$F301&gt;0,YEAR($F301)&gt;=Preisindex!$A$6,YEAR(AE$4)&gt;=YEAR($F301),AND($K301&lt;&gt;"a",$K301&lt;&gt;"b",$K301&lt;&gt;"g",$K301&lt;&gt;"k")),1,IF(AND($E301&lt;&gt;0,$F301&gt;0,YEAR($F301)&gt;=Preisindex!$A$6,YEAR(AE$4)&gt;=YEAR($F301),$K301="a"),ROUND(VLOOKUP(AJ$4,Preisindex,5,FALSE)/VLOOKUP(YEAR($F301),Preisindex,5,FALSE),2),IF(AND($E301&lt;&gt;0,$F301&gt;0,YEAR($F301)&gt;=Preisindex!$A$6,YEAR(AE$4)&gt;=YEAR($F301),$K301="b"),ROUND(VLOOKUP(AJ$4,Preisindex,3,FALSE)/VLOOKUP(YEAR($F301),Preisindex,3,FALSE),2),IF(AND($E301&lt;&gt;0,$F301&gt;0,YEAR($F301)&gt;=Preisindex!$A$6,YEAR(AE$4)&gt;=YEAR($F301),$K301="g"),ROUND(VLOOKUP(AJ$4,Preisindex,4,FALSE)/VLOOKUP(YEAR($F301),Preisindex,4,FALSE),2),IF(AND($E301&lt;&gt;0,$F301&gt;0,YEAR($F301)&gt;=Preisindex!$A$6,YEAR(AE$4)&gt;=YEAR($F301),$K301="k"),ROUND(VLOOKUP(AJ$4,Preisindex,2,FALSE)/VLOOKUP(YEAR($F301),Preisindex,2,FALSE),2),0)))))</f>
        <v>0</v>
      </c>
      <c r="AK301" s="56">
        <f>IF(AND($E301&lt;&gt;0,$F301&gt;0,YEAR($F301)&lt;Preisindex!$A$6,YEAR(AE$4)&gt;=YEAR($F301),AND($K301&lt;&gt;"a",$K301&lt;&gt;"b",$K301&lt;&gt;"g",$K301&lt;&gt;"k")),1,IF(AND($E301&lt;&gt;0,$F301&gt;0,YEAR($F301)&lt;Preisindex!$A$6,YEAR(AE$4)&gt;=YEAR($F301),$K301="a"),ROUND(VLOOKUP(AJ$4,Preisindex,5,FALSE)/VLOOKUP(Preisindex!$A$6,Preisindex,5,FALSE),2),IF(AND($E301&lt;&gt;0,$F301&gt;0,YEAR($F301)&lt;Preisindex!$A$6,YEAR(AE$4)&gt;=YEAR($F301),$K301="b"),ROUND(VLOOKUP(AJ$4,Preisindex,3,FALSE)/VLOOKUP(Preisindex!$A$6,Preisindex,3,FALSE),2),IF(AND($E301&lt;&gt;0,$F301&gt;0,YEAR($F301)&lt;Preisindex!$A$6,YEAR(AE$4)&gt;=YEAR($F301),$K301="g"),ROUND(VLOOKUP(AJ$4,Preisindex,4,FALSE)/VLOOKUP(Preisindex!$A$6,Preisindex,4,FALSE),2),IF(AND($E301&lt;&gt;0,$F301&gt;0,YEAR($F301)&lt;Preisindex!$A$6,YEAR(AE$4)&gt;=YEAR($F301),$K301="k"),ROUND(VLOOKUP(AJ$4,Preisindex,2,FALSE)/VLOOKUP(Preisindex!$A$6,Preisindex,2,FALSE),2),0)))))</f>
        <v>0</v>
      </c>
      <c r="AL301" s="51">
        <f>IF(AND($E301&lt;&gt;0,$F301&gt;0,YEAR($F301)&lt;=AJ$4,YEAR($F301)&gt;=Preisindex!$A$6),ROUND($E301*AJ301,2),IF(AND($E301&lt;&gt;0,$F301&gt;0,YEAR($F301)&lt;=AJ$4,YEAR($F301)&lt;Preisindex!$A$6),ROUND($E301*AK301,2),0))</f>
        <v>0</v>
      </c>
      <c r="AM301" s="53">
        <f t="shared" si="838"/>
        <v>0</v>
      </c>
      <c r="AN301" s="51">
        <f t="shared" si="881"/>
        <v>0</v>
      </c>
      <c r="AO301" s="51">
        <f t="shared" si="841"/>
        <v>0</v>
      </c>
      <c r="AP301" s="51">
        <f t="shared" si="755"/>
        <v>0</v>
      </c>
      <c r="AQ301" s="51">
        <f t="shared" si="842"/>
        <v>0</v>
      </c>
      <c r="AR301" s="51">
        <f t="shared" si="756"/>
        <v>0</v>
      </c>
      <c r="AS301" s="51">
        <f t="shared" si="843"/>
        <v>0</v>
      </c>
      <c r="AT301" s="51">
        <f t="shared" si="757"/>
        <v>0</v>
      </c>
      <c r="AU301" s="51">
        <f t="shared" si="844"/>
        <v>0</v>
      </c>
      <c r="AV301" s="51">
        <f t="shared" si="758"/>
        <v>0</v>
      </c>
      <c r="AW301" s="51">
        <f t="shared" si="845"/>
        <v>0</v>
      </c>
      <c r="AX301" s="51">
        <f t="shared" si="759"/>
        <v>0</v>
      </c>
      <c r="AY301" s="54">
        <f t="shared" si="760"/>
        <v>0</v>
      </c>
      <c r="AZ301" s="55">
        <f t="shared" si="761"/>
        <v>0</v>
      </c>
      <c r="BA301" s="56">
        <f>IF(AND($E301&lt;&gt;0,$F301&gt;0,YEAR($F301)&gt;=Preisindex!$A$6,YEAR(AV$4)&gt;=YEAR($F301),AND($K301&lt;&gt;"a",$K301&lt;&gt;"b",$K301&lt;&gt;"g",$K301&lt;&gt;"k")),1,IF(AND($E301&lt;&gt;0,$F301&gt;0,YEAR($F301)&gt;=Preisindex!$A$6,YEAR(AV$4)&gt;=YEAR($F301),$K301="a"),ROUND(VLOOKUP(BA$4,Preisindex,5,FALSE)/VLOOKUP(YEAR($F301),Preisindex,5,FALSE),2),IF(AND($E301&lt;&gt;0,$F301&gt;0,YEAR($F301)&gt;=Preisindex!$A$6,YEAR(AV$4)&gt;=YEAR($F301),$K301="b"),ROUND(VLOOKUP(BA$4,Preisindex,3,FALSE)/VLOOKUP(YEAR($F301),Preisindex,3,FALSE),2),IF(AND($E301&lt;&gt;0,$F301&gt;0,YEAR($F301)&gt;=Preisindex!$A$6,YEAR(AV$4)&gt;=YEAR($F301),$K301="g"),ROUND(VLOOKUP(BA$4,Preisindex,4,FALSE)/VLOOKUP(YEAR($F301),Preisindex,4,FALSE),2),IF(AND($E301&lt;&gt;0,$F301&gt;0,YEAR($F301)&gt;=Preisindex!$A$6,YEAR(AV$4)&gt;=YEAR($F301),$K301="k"),ROUND(VLOOKUP(BA$4,Preisindex,2,FALSE)/VLOOKUP(YEAR($F301),Preisindex,2,FALSE),2),0)))))</f>
        <v>0</v>
      </c>
      <c r="BB301" s="56">
        <f>IF(AND($E301&lt;&gt;0,$F301&gt;0,YEAR($F301)&lt;Preisindex!$A$6,YEAR(AV$4)&gt;=YEAR($F301),AND($K301&lt;&gt;"a",$K301&lt;&gt;"b",$K301&lt;&gt;"g",$K301&lt;&gt;"k")),1,IF(AND($E301&lt;&gt;0,$F301&gt;0,YEAR($F301)&lt;Preisindex!$A$6,YEAR(AV$4)&gt;=YEAR($F301),$K301="a"),ROUND(VLOOKUP(BA$4,Preisindex,5,FALSE)/VLOOKUP(Preisindex!$A$6,Preisindex,5,FALSE),2),IF(AND($E301&lt;&gt;0,$F301&gt;0,YEAR($F301)&lt;Preisindex!$A$6,YEAR(AV$4)&gt;=YEAR($F301),$K301="b"),ROUND(VLOOKUP(BA$4,Preisindex,3,FALSE)/VLOOKUP(Preisindex!$A$6,Preisindex,3,FALSE),2),IF(AND($E301&lt;&gt;0,$F301&gt;0,YEAR($F301)&lt;Preisindex!$A$6,YEAR(AV$4)&gt;=YEAR($F301),$K301="g"),ROUND(VLOOKUP(BA$4,Preisindex,4,FALSE)/VLOOKUP(Preisindex!$A$6,Preisindex,4,FALSE),2),IF(AND($E301&lt;&gt;0,$F301&gt;0,YEAR($F301)&lt;Preisindex!$A$6,YEAR(AV$4)&gt;=YEAR($F301),$K301="k"),ROUND(VLOOKUP(BA$4,Preisindex,2,FALSE)/VLOOKUP(Preisindex!$A$6,Preisindex,2,FALSE),2),0)))))</f>
        <v>0</v>
      </c>
      <c r="BC301" s="51">
        <f>IF(AND($E301&lt;&gt;0,$F301&gt;0,YEAR($F301)&lt;=BA$4,YEAR($F301)&gt;=Preisindex!$A$6),ROUND($E301*BA301,2),IF(AND($E301&lt;&gt;0,$F301&gt;0,YEAR($F301)&lt;=BA$4,YEAR($F301)&lt;Preisindex!$A$6),ROUND($E301*BB301,2),0))</f>
        <v>0</v>
      </c>
      <c r="BD301" s="53">
        <f t="shared" si="762"/>
        <v>0</v>
      </c>
      <c r="BE301" s="51">
        <f t="shared" si="881"/>
        <v>0</v>
      </c>
      <c r="BF301" s="51">
        <f t="shared" si="846"/>
        <v>0</v>
      </c>
      <c r="BG301" s="51">
        <f t="shared" si="763"/>
        <v>0</v>
      </c>
      <c r="BH301" s="51">
        <f t="shared" si="847"/>
        <v>0</v>
      </c>
      <c r="BI301" s="51">
        <f t="shared" si="764"/>
        <v>0</v>
      </c>
      <c r="BJ301" s="51">
        <f t="shared" si="848"/>
        <v>0</v>
      </c>
      <c r="BK301" s="51">
        <f t="shared" si="765"/>
        <v>0</v>
      </c>
      <c r="BL301" s="51">
        <f t="shared" si="849"/>
        <v>0</v>
      </c>
      <c r="BM301" s="51">
        <f t="shared" si="766"/>
        <v>0</v>
      </c>
      <c r="BN301" s="51">
        <f t="shared" si="850"/>
        <v>0</v>
      </c>
      <c r="BO301" s="51">
        <f t="shared" si="767"/>
        <v>0</v>
      </c>
      <c r="BP301" s="54">
        <f t="shared" si="768"/>
        <v>0</v>
      </c>
      <c r="BQ301" s="55">
        <f t="shared" si="769"/>
        <v>0</v>
      </c>
      <c r="BR301" s="56">
        <f>IF(AND($E301&lt;&gt;0,$F301&gt;0,YEAR($F301)&gt;=Preisindex!$A$6,YEAR(BM$4)&gt;=YEAR($F301),AND($K301&lt;&gt;"a",$K301&lt;&gt;"b",$K301&lt;&gt;"g",$K301&lt;&gt;"k")),1,IF(AND($E301&lt;&gt;0,$F301&gt;0,YEAR($F301)&gt;=Preisindex!$A$6,YEAR(BM$4)&gt;=YEAR($F301),$K301="a"),ROUND(VLOOKUP(BR$4,Preisindex,5,FALSE)/VLOOKUP(YEAR($F301),Preisindex,5,FALSE),2),IF(AND($E301&lt;&gt;0,$F301&gt;0,YEAR($F301)&gt;=Preisindex!$A$6,YEAR(BM$4)&gt;=YEAR($F301),$K301="b"),ROUND(VLOOKUP(BR$4,Preisindex,3,FALSE)/VLOOKUP(YEAR($F301),Preisindex,3,FALSE),2),IF(AND($E301&lt;&gt;0,$F301&gt;0,YEAR($F301)&gt;=Preisindex!$A$6,YEAR(BM$4)&gt;=YEAR($F301),$K301="g"),ROUND(VLOOKUP(BR$4,Preisindex,4,FALSE)/VLOOKUP(YEAR($F301),Preisindex,4,FALSE),2),IF(AND($E301&lt;&gt;0,$F301&gt;0,YEAR($F301)&gt;=Preisindex!$A$6,YEAR(BM$4)&gt;=YEAR($F301),$K301="k"),ROUND(VLOOKUP(BR$4,Preisindex,2,FALSE)/VLOOKUP(YEAR($F301),Preisindex,2,FALSE),2),0)))))</f>
        <v>0</v>
      </c>
      <c r="BS301" s="56">
        <f>IF(AND($E301&lt;&gt;0,$F301&gt;0,YEAR($F301)&lt;Preisindex!$A$6,YEAR(BM$4)&gt;=YEAR($F301),AND($K301&lt;&gt;"a",$K301&lt;&gt;"b",$K301&lt;&gt;"g",$K301&lt;&gt;"k")),1,IF(AND($E301&lt;&gt;0,$F301&gt;0,YEAR($F301)&lt;Preisindex!$A$6,YEAR(BM$4)&gt;=YEAR($F301),$K301="a"),ROUND(VLOOKUP(BR$4,Preisindex,5,FALSE)/VLOOKUP(Preisindex!$A$6,Preisindex,5,FALSE),2),IF(AND($E301&lt;&gt;0,$F301&gt;0,YEAR($F301)&lt;Preisindex!$A$6,YEAR(BM$4)&gt;=YEAR($F301),$K301="b"),ROUND(VLOOKUP(BR$4,Preisindex,3,FALSE)/VLOOKUP(Preisindex!$A$6,Preisindex,3,FALSE),2),IF(AND($E301&lt;&gt;0,$F301&gt;0,YEAR($F301)&lt;Preisindex!$A$6,YEAR(BM$4)&gt;=YEAR($F301),$K301="g"),ROUND(VLOOKUP(BR$4,Preisindex,4,FALSE)/VLOOKUP(Preisindex!$A$6,Preisindex,4,FALSE),2),IF(AND($E301&lt;&gt;0,$F301&gt;0,YEAR($F301)&lt;Preisindex!$A$6,YEAR(BM$4)&gt;=YEAR($F301),$K301="k"),ROUND(VLOOKUP(BR$4,Preisindex,2,FALSE)/VLOOKUP(Preisindex!$A$6,Preisindex,2,FALSE),2),0)))))</f>
        <v>0</v>
      </c>
      <c r="BT301" s="51">
        <f>IF(AND($E301&lt;&gt;0,$F301&gt;0,YEAR($F301)&lt;=BR$4,YEAR($F301)&gt;=Preisindex!$A$6),ROUND($E301*BR301,2),IF(AND($E301&lt;&gt;0,$F301&gt;0,YEAR($F301)&lt;=BR$4,YEAR($F301)&lt;Preisindex!$A$6),ROUND($E301*BS301,2),0))</f>
        <v>0</v>
      </c>
      <c r="BU301" s="53">
        <f t="shared" si="770"/>
        <v>0</v>
      </c>
      <c r="BV301" s="51">
        <f t="shared" si="881"/>
        <v>0</v>
      </c>
      <c r="BW301" s="51">
        <f t="shared" si="851"/>
        <v>0</v>
      </c>
      <c r="BX301" s="51">
        <f t="shared" si="771"/>
        <v>0</v>
      </c>
      <c r="BY301" s="51">
        <f t="shared" si="852"/>
        <v>0</v>
      </c>
      <c r="BZ301" s="51">
        <f t="shared" si="772"/>
        <v>0</v>
      </c>
      <c r="CA301" s="51">
        <f t="shared" si="853"/>
        <v>0</v>
      </c>
      <c r="CB301" s="51">
        <f t="shared" si="773"/>
        <v>0</v>
      </c>
      <c r="CC301" s="51">
        <f t="shared" si="854"/>
        <v>0</v>
      </c>
      <c r="CD301" s="51">
        <f t="shared" si="774"/>
        <v>0</v>
      </c>
      <c r="CE301" s="51">
        <f t="shared" si="855"/>
        <v>0</v>
      </c>
      <c r="CF301" s="51">
        <f t="shared" si="775"/>
        <v>0</v>
      </c>
      <c r="CG301" s="54">
        <f t="shared" si="776"/>
        <v>0</v>
      </c>
      <c r="CH301" s="55">
        <f t="shared" si="777"/>
        <v>0</v>
      </c>
      <c r="CI301" s="56">
        <f>IF(AND($E301&lt;&gt;0,$F301&gt;0,YEAR($F301)&gt;=Preisindex!$A$6,YEAR(CD$4)&gt;=YEAR($F301),AND($K301&lt;&gt;"a",$K301&lt;&gt;"b",$K301&lt;&gt;"g",$K301&lt;&gt;"k")),1,IF(AND($E301&lt;&gt;0,$F301&gt;0,YEAR($F301)&gt;=Preisindex!$A$6,YEAR(CD$4)&gt;=YEAR($F301),$K301="a"),ROUND(VLOOKUP(CI$4,Preisindex,5,FALSE)/VLOOKUP(YEAR($F301),Preisindex,5,FALSE),2),IF(AND($E301&lt;&gt;0,$F301&gt;0,YEAR($F301)&gt;=Preisindex!$A$6,YEAR(CD$4)&gt;=YEAR($F301),$K301="b"),ROUND(VLOOKUP(CI$4,Preisindex,3,FALSE)/VLOOKUP(YEAR($F301),Preisindex,3,FALSE),2),IF(AND($E301&lt;&gt;0,$F301&gt;0,YEAR($F301)&gt;=Preisindex!$A$6,YEAR(CD$4)&gt;=YEAR($F301),$K301="g"),ROUND(VLOOKUP(CI$4,Preisindex,4,FALSE)/VLOOKUP(YEAR($F301),Preisindex,4,FALSE),2),IF(AND($E301&lt;&gt;0,$F301&gt;0,YEAR($F301)&gt;=Preisindex!$A$6,YEAR(CD$4)&gt;=YEAR($F301),$K301="k"),ROUND(VLOOKUP(CI$4,Preisindex,2,FALSE)/VLOOKUP(YEAR($F301),Preisindex,2,FALSE),2),0)))))</f>
        <v>0</v>
      </c>
      <c r="CJ301" s="56">
        <f>IF(AND($E301&lt;&gt;0,$F301&gt;0,YEAR($F301)&lt;Preisindex!$A$6,YEAR(CD$4)&gt;=YEAR($F301),AND($K301&lt;&gt;"a",$K301&lt;&gt;"b",$K301&lt;&gt;"g",$K301&lt;&gt;"k")),1,IF(AND($E301&lt;&gt;0,$F301&gt;0,YEAR($F301)&lt;Preisindex!$A$6,YEAR(CD$4)&gt;=YEAR($F301),$K301="a"),ROUND(VLOOKUP(CI$4,Preisindex,5,FALSE)/VLOOKUP(Preisindex!$A$6,Preisindex,5,FALSE),2),IF(AND($E301&lt;&gt;0,$F301&gt;0,YEAR($F301)&lt;Preisindex!$A$6,YEAR(CD$4)&gt;=YEAR($F301),$K301="b"),ROUND(VLOOKUP(CI$4,Preisindex,3,FALSE)/VLOOKUP(Preisindex!$A$6,Preisindex,3,FALSE),2),IF(AND($E301&lt;&gt;0,$F301&gt;0,YEAR($F301)&lt;Preisindex!$A$6,YEAR(CD$4)&gt;=YEAR($F301),$K301="g"),ROUND(VLOOKUP(CI$4,Preisindex,4,FALSE)/VLOOKUP(Preisindex!$A$6,Preisindex,4,FALSE),2),IF(AND($E301&lt;&gt;0,$F301&gt;0,YEAR($F301)&lt;Preisindex!$A$6,YEAR(CD$4)&gt;=YEAR($F301),$K301="k"),ROUND(VLOOKUP(CI$4,Preisindex,2,FALSE)/VLOOKUP(Preisindex!$A$6,Preisindex,2,FALSE),2),0)))))</f>
        <v>0</v>
      </c>
      <c r="CK301" s="51">
        <f>IF(AND($E301&lt;&gt;0,$F301&gt;0,YEAR($F301)&lt;=CI$4,YEAR($F301)&gt;=Preisindex!$A$6),ROUND($E301*CI301,2),IF(AND($E301&lt;&gt;0,$F301&gt;0,YEAR($F301)&lt;=CI$4,YEAR($F301)&lt;Preisindex!$A$6),ROUND($E301*CJ301,2),0))</f>
        <v>0</v>
      </c>
      <c r="CL301" s="53">
        <f t="shared" si="778"/>
        <v>0</v>
      </c>
      <c r="CM301" s="51">
        <f t="shared" si="881"/>
        <v>0</v>
      </c>
      <c r="CN301" s="51">
        <f t="shared" si="856"/>
        <v>0</v>
      </c>
      <c r="CO301" s="51">
        <f t="shared" si="779"/>
        <v>0</v>
      </c>
      <c r="CP301" s="51">
        <f t="shared" si="857"/>
        <v>0</v>
      </c>
      <c r="CQ301" s="51">
        <f t="shared" si="780"/>
        <v>0</v>
      </c>
      <c r="CR301" s="51">
        <f t="shared" si="858"/>
        <v>0</v>
      </c>
      <c r="CS301" s="51">
        <f t="shared" si="781"/>
        <v>0</v>
      </c>
      <c r="CT301" s="51">
        <f t="shared" si="859"/>
        <v>0</v>
      </c>
      <c r="CU301" s="51">
        <f t="shared" si="782"/>
        <v>0</v>
      </c>
      <c r="CV301" s="51">
        <f t="shared" si="860"/>
        <v>0</v>
      </c>
      <c r="CW301" s="51">
        <f t="shared" si="783"/>
        <v>0</v>
      </c>
      <c r="CX301" s="54">
        <f t="shared" si="784"/>
        <v>0</v>
      </c>
      <c r="CY301" s="55">
        <f t="shared" si="785"/>
        <v>0</v>
      </c>
      <c r="CZ301" s="56">
        <f>IF(AND($E301&lt;&gt;0,$F301&gt;0,YEAR($F301)&gt;=Preisindex!$A$6,YEAR(CU$4)&gt;=YEAR($F301),AND($K301&lt;&gt;"a",$K301&lt;&gt;"b",$K301&lt;&gt;"g",$K301&lt;&gt;"k")),1,IF(AND($E301&lt;&gt;0,$F301&gt;0,YEAR($F301)&gt;=Preisindex!$A$6,YEAR(CU$4)&gt;=YEAR($F301),$K301="a"),ROUND(VLOOKUP(CZ$4,Preisindex,5,FALSE)/VLOOKUP(YEAR($F301),Preisindex,5,FALSE),2),IF(AND($E301&lt;&gt;0,$F301&gt;0,YEAR($F301)&gt;=Preisindex!$A$6,YEAR(CU$4)&gt;=YEAR($F301),$K301="b"),ROUND(VLOOKUP(CZ$4,Preisindex,3,FALSE)/VLOOKUP(YEAR($F301),Preisindex,3,FALSE),2),IF(AND($E301&lt;&gt;0,$F301&gt;0,YEAR($F301)&gt;=Preisindex!$A$6,YEAR(CU$4)&gt;=YEAR($F301),$K301="g"),ROUND(VLOOKUP(CZ$4,Preisindex,4,FALSE)/VLOOKUP(YEAR($F301),Preisindex,4,FALSE),2),IF(AND($E301&lt;&gt;0,$F301&gt;0,YEAR($F301)&gt;=Preisindex!$A$6,YEAR(CU$4)&gt;=YEAR($F301),$K301="k"),ROUND(VLOOKUP(CZ$4,Preisindex,2,FALSE)/VLOOKUP(YEAR($F301),Preisindex,2,FALSE),2),0)))))</f>
        <v>0</v>
      </c>
      <c r="DA301" s="56">
        <f>IF(AND($E301&lt;&gt;0,$F301&gt;0,YEAR($F301)&lt;Preisindex!$A$6,YEAR(CU$4)&gt;=YEAR($F301),AND($K301&lt;&gt;"a",$K301&lt;&gt;"b",$K301&lt;&gt;"g",$K301&lt;&gt;"k")),1,IF(AND($E301&lt;&gt;0,$F301&gt;0,YEAR($F301)&lt;Preisindex!$A$6,YEAR(CU$4)&gt;=YEAR($F301),$K301="a"),ROUND(VLOOKUP(CZ$4,Preisindex,5,FALSE)/VLOOKUP(Preisindex!$A$6,Preisindex,5,FALSE),2),IF(AND($E301&lt;&gt;0,$F301&gt;0,YEAR($F301)&lt;Preisindex!$A$6,YEAR(CU$4)&gt;=YEAR($F301),$K301="b"),ROUND(VLOOKUP(CZ$4,Preisindex,3,FALSE)/VLOOKUP(Preisindex!$A$6,Preisindex,3,FALSE),2),IF(AND($E301&lt;&gt;0,$F301&gt;0,YEAR($F301)&lt;Preisindex!$A$6,YEAR(CU$4)&gt;=YEAR($F301),$K301="g"),ROUND(VLOOKUP(CZ$4,Preisindex,4,FALSE)/VLOOKUP(Preisindex!$A$6,Preisindex,4,FALSE),2),IF(AND($E301&lt;&gt;0,$F301&gt;0,YEAR($F301)&lt;Preisindex!$A$6,YEAR(CU$4)&gt;=YEAR($F301),$K301="k"),ROUND(VLOOKUP(CZ$4,Preisindex,2,FALSE)/VLOOKUP(Preisindex!$A$6,Preisindex,2,FALSE),2),0)))))</f>
        <v>0</v>
      </c>
      <c r="DB301" s="51">
        <f>IF(AND($E301&lt;&gt;0,$F301&gt;0,YEAR($F301)&lt;=CZ$4,YEAR($F301)&gt;=Preisindex!$A$6),ROUND($E301*CZ301,2),IF(AND($E301&lt;&gt;0,$F301&gt;0,YEAR($F301)&lt;=CZ$4,YEAR($F301)&lt;Preisindex!$A$6),ROUND($E301*DA301,2),0))</f>
        <v>0</v>
      </c>
      <c r="DC301" s="53">
        <f t="shared" si="786"/>
        <v>0</v>
      </c>
      <c r="DD301" s="51">
        <f t="shared" si="882"/>
        <v>0</v>
      </c>
      <c r="DE301" s="51">
        <f t="shared" si="861"/>
        <v>0</v>
      </c>
      <c r="DF301" s="51">
        <f t="shared" si="788"/>
        <v>0</v>
      </c>
      <c r="DG301" s="51">
        <f t="shared" si="862"/>
        <v>0</v>
      </c>
      <c r="DH301" s="51">
        <f t="shared" si="789"/>
        <v>0</v>
      </c>
      <c r="DI301" s="51">
        <f t="shared" si="863"/>
        <v>0</v>
      </c>
      <c r="DJ301" s="51">
        <f t="shared" si="790"/>
        <v>0</v>
      </c>
      <c r="DK301" s="51">
        <f t="shared" si="864"/>
        <v>0</v>
      </c>
      <c r="DL301" s="51">
        <f t="shared" si="791"/>
        <v>0</v>
      </c>
      <c r="DM301" s="51">
        <f t="shared" si="865"/>
        <v>0</v>
      </c>
      <c r="DN301" s="51">
        <f t="shared" si="792"/>
        <v>0</v>
      </c>
      <c r="DO301" s="54">
        <f t="shared" si="793"/>
        <v>0</v>
      </c>
      <c r="DP301" s="55">
        <f t="shared" si="794"/>
        <v>0</v>
      </c>
      <c r="DQ301" s="56">
        <f>IF(AND($E301&lt;&gt;0,$F301&gt;0,YEAR($F301)&gt;=Preisindex!$A$6,YEAR(DL$4)&gt;=YEAR($F301),AND($K301&lt;&gt;"a",$K301&lt;&gt;"b",$K301&lt;&gt;"g",$K301&lt;&gt;"k")),1,IF(AND($E301&lt;&gt;0,$F301&gt;0,YEAR($F301)&gt;=Preisindex!$A$6,YEAR(DL$4)&gt;=YEAR($F301),$K301="a"),ROUND(VLOOKUP(DQ$4,Preisindex,5,FALSE)/VLOOKUP(YEAR($F301),Preisindex,5,FALSE),2),IF(AND($E301&lt;&gt;0,$F301&gt;0,YEAR($F301)&gt;=Preisindex!$A$6,YEAR(DL$4)&gt;=YEAR($F301),$K301="b"),ROUND(VLOOKUP(DQ$4,Preisindex,3,FALSE)/VLOOKUP(YEAR($F301),Preisindex,3,FALSE),2),IF(AND($E301&lt;&gt;0,$F301&gt;0,YEAR($F301)&gt;=Preisindex!$A$6,YEAR(DL$4)&gt;=YEAR($F301),$K301="g"),ROUND(VLOOKUP(DQ$4,Preisindex,4,FALSE)/VLOOKUP(YEAR($F301),Preisindex,4,FALSE),2),IF(AND($E301&lt;&gt;0,$F301&gt;0,YEAR($F301)&gt;=Preisindex!$A$6,YEAR(DL$4)&gt;=YEAR($F301),$K301="k"),ROUND(VLOOKUP(DQ$4,Preisindex,2,FALSE)/VLOOKUP(YEAR($F301),Preisindex,2,FALSE),2),0)))))</f>
        <v>0</v>
      </c>
      <c r="DR301" s="56">
        <f>IF(AND($E301&lt;&gt;0,$F301&gt;0,YEAR($F301)&lt;Preisindex!$A$6,YEAR(DL$4)&gt;=YEAR($F301),AND($K301&lt;&gt;"a",$K301&lt;&gt;"b",$K301&lt;&gt;"g",$K301&lt;&gt;"k")),1,IF(AND($E301&lt;&gt;0,$F301&gt;0,YEAR($F301)&lt;Preisindex!$A$6,YEAR(DL$4)&gt;=YEAR($F301),$K301="a"),ROUND(VLOOKUP(DQ$4,Preisindex,5,FALSE)/VLOOKUP(Preisindex!$A$6,Preisindex,5,FALSE),2),IF(AND($E301&lt;&gt;0,$F301&gt;0,YEAR($F301)&lt;Preisindex!$A$6,YEAR(DL$4)&gt;=YEAR($F301),$K301="b"),ROUND(VLOOKUP(DQ$4,Preisindex,3,FALSE)/VLOOKUP(Preisindex!$A$6,Preisindex,3,FALSE),2),IF(AND($E301&lt;&gt;0,$F301&gt;0,YEAR($F301)&lt;Preisindex!$A$6,YEAR(DL$4)&gt;=YEAR($F301),$K301="g"),ROUND(VLOOKUP(DQ$4,Preisindex,4,FALSE)/VLOOKUP(Preisindex!$A$6,Preisindex,4,FALSE),2),IF(AND($E301&lt;&gt;0,$F301&gt;0,YEAR($F301)&lt;Preisindex!$A$6,YEAR(DL$4)&gt;=YEAR($F301),$K301="k"),ROUND(VLOOKUP(DQ$4,Preisindex,2,FALSE)/VLOOKUP(Preisindex!$A$6,Preisindex,2,FALSE),2),0)))))</f>
        <v>0</v>
      </c>
      <c r="DS301" s="51">
        <f>IF(AND($E301&lt;&gt;0,$F301&gt;0,YEAR($F301)&lt;=DQ$4,YEAR($F301)&gt;=Preisindex!$A$6),ROUND($E301*DQ301,2),IF(AND($E301&lt;&gt;0,$F301&gt;0,YEAR($F301)&lt;=DQ$4,YEAR($F301)&lt;Preisindex!$A$6),ROUND($E301*DR301,2),0))</f>
        <v>0</v>
      </c>
      <c r="DT301" s="53">
        <f t="shared" si="795"/>
        <v>0</v>
      </c>
      <c r="DU301" s="51">
        <f t="shared" si="882"/>
        <v>0</v>
      </c>
      <c r="DV301" s="51">
        <f t="shared" si="866"/>
        <v>0</v>
      </c>
      <c r="DW301" s="51">
        <f t="shared" si="796"/>
        <v>0</v>
      </c>
      <c r="DX301" s="51">
        <f t="shared" si="867"/>
        <v>0</v>
      </c>
      <c r="DY301" s="51">
        <f t="shared" si="797"/>
        <v>0</v>
      </c>
      <c r="DZ301" s="51">
        <f t="shared" si="868"/>
        <v>0</v>
      </c>
      <c r="EA301" s="51">
        <f t="shared" si="798"/>
        <v>0</v>
      </c>
      <c r="EB301" s="51">
        <f t="shared" si="869"/>
        <v>0</v>
      </c>
      <c r="EC301" s="51">
        <f t="shared" si="799"/>
        <v>0</v>
      </c>
      <c r="ED301" s="51">
        <f t="shared" si="870"/>
        <v>0</v>
      </c>
      <c r="EE301" s="51">
        <f t="shared" si="800"/>
        <v>0</v>
      </c>
      <c r="EF301" s="54">
        <f t="shared" si="801"/>
        <v>0</v>
      </c>
      <c r="EG301" s="55">
        <f t="shared" si="802"/>
        <v>0</v>
      </c>
      <c r="EH301" s="56">
        <f>IF(AND($E301&lt;&gt;0,$F301&gt;0,YEAR($F301)&gt;=Preisindex!$A$6,YEAR(EC$4)&gt;=YEAR($F301),AND($K301&lt;&gt;"a",$K301&lt;&gt;"b",$K301&lt;&gt;"g",$K301&lt;&gt;"k")),1,IF(AND($E301&lt;&gt;0,$F301&gt;0,YEAR($F301)&gt;=Preisindex!$A$6,YEAR(EC$4)&gt;=YEAR($F301),$K301="a"),ROUND(VLOOKUP(EH$4,Preisindex,5,FALSE)/VLOOKUP(YEAR($F301),Preisindex,5,FALSE),2),IF(AND($E301&lt;&gt;0,$F301&gt;0,YEAR($F301)&gt;=Preisindex!$A$6,YEAR(EC$4)&gt;=YEAR($F301),$K301="b"),ROUND(VLOOKUP(EH$4,Preisindex,3,FALSE)/VLOOKUP(YEAR($F301),Preisindex,3,FALSE),2),IF(AND($E301&lt;&gt;0,$F301&gt;0,YEAR($F301)&gt;=Preisindex!$A$6,YEAR(EC$4)&gt;=YEAR($F301),$K301="g"),ROUND(VLOOKUP(EH$4,Preisindex,4,FALSE)/VLOOKUP(YEAR($F301),Preisindex,4,FALSE),2),IF(AND($E301&lt;&gt;0,$F301&gt;0,YEAR($F301)&gt;=Preisindex!$A$6,YEAR(EC$4)&gt;=YEAR($F301),$K301="k"),ROUND(VLOOKUP(EH$4,Preisindex,2,FALSE)/VLOOKUP(YEAR($F301),Preisindex,2,FALSE),2),0)))))</f>
        <v>0</v>
      </c>
      <c r="EI301" s="56">
        <f>IF(AND($E301&lt;&gt;0,$F301&gt;0,YEAR($F301)&lt;Preisindex!$A$6,YEAR(EC$4)&gt;=YEAR($F301),AND($K301&lt;&gt;"a",$K301&lt;&gt;"b",$K301&lt;&gt;"g",$K301&lt;&gt;"k")),1,IF(AND($E301&lt;&gt;0,$F301&gt;0,YEAR($F301)&lt;Preisindex!$A$6,YEAR(EC$4)&gt;=YEAR($F301),$K301="a"),ROUND(VLOOKUP(EH$4,Preisindex,5,FALSE)/VLOOKUP(Preisindex!$A$6,Preisindex,5,FALSE),2),IF(AND($E301&lt;&gt;0,$F301&gt;0,YEAR($F301)&lt;Preisindex!$A$6,YEAR(EC$4)&gt;=YEAR($F301),$K301="b"),ROUND(VLOOKUP(EH$4,Preisindex,3,FALSE)/VLOOKUP(Preisindex!$A$6,Preisindex,3,FALSE),2),IF(AND($E301&lt;&gt;0,$F301&gt;0,YEAR($F301)&lt;Preisindex!$A$6,YEAR(EC$4)&gt;=YEAR($F301),$K301="g"),ROUND(VLOOKUP(EH$4,Preisindex,4,FALSE)/VLOOKUP(Preisindex!$A$6,Preisindex,4,FALSE),2),IF(AND($E301&lt;&gt;0,$F301&gt;0,YEAR($F301)&lt;Preisindex!$A$6,YEAR(EC$4)&gt;=YEAR($F301),$K301="k"),ROUND(VLOOKUP(EH$4,Preisindex,2,FALSE)/VLOOKUP(Preisindex!$A$6,Preisindex,2,FALSE),2),0)))))</f>
        <v>0</v>
      </c>
      <c r="EJ301" s="51">
        <f>IF(AND($E301&lt;&gt;0,$F301&gt;0,YEAR($F301)&lt;=EH$4,YEAR($F301)&gt;=Preisindex!$A$6),ROUND($E301*EH301,2),IF(AND($E301&lt;&gt;0,$F301&gt;0,YEAR($F301)&lt;=EH$4,YEAR($F301)&lt;Preisindex!$A$6),ROUND($E301*EI301,2),0))</f>
        <v>0</v>
      </c>
      <c r="EK301" s="53">
        <f t="shared" si="803"/>
        <v>0</v>
      </c>
      <c r="EL301" s="51">
        <f t="shared" si="882"/>
        <v>0</v>
      </c>
      <c r="EM301" s="51">
        <f t="shared" si="871"/>
        <v>0</v>
      </c>
      <c r="EN301" s="51">
        <f t="shared" si="804"/>
        <v>0</v>
      </c>
      <c r="EO301" s="51">
        <f t="shared" si="872"/>
        <v>0</v>
      </c>
      <c r="EP301" s="51">
        <f t="shared" si="805"/>
        <v>0</v>
      </c>
      <c r="EQ301" s="51">
        <f t="shared" si="873"/>
        <v>0</v>
      </c>
      <c r="ER301" s="51">
        <f t="shared" si="806"/>
        <v>0</v>
      </c>
      <c r="ES301" s="51">
        <f t="shared" si="874"/>
        <v>0</v>
      </c>
      <c r="ET301" s="51">
        <f t="shared" si="807"/>
        <v>0</v>
      </c>
      <c r="EU301" s="51">
        <f t="shared" si="875"/>
        <v>0</v>
      </c>
      <c r="EV301" s="51">
        <f t="shared" si="808"/>
        <v>0</v>
      </c>
      <c r="EW301" s="54">
        <f t="shared" si="809"/>
        <v>0</v>
      </c>
      <c r="EX301" s="55">
        <f t="shared" si="810"/>
        <v>0</v>
      </c>
      <c r="EY301" s="56">
        <f>IF(AND($E301&lt;&gt;0,$F301&gt;0,YEAR($F301)&gt;=Preisindex!$A$6,YEAR(ET$4)&gt;=YEAR($F301),AND($K301&lt;&gt;"a",$K301&lt;&gt;"b",$K301&lt;&gt;"g",$K301&lt;&gt;"k")),1,IF(AND($E301&lt;&gt;0,$F301&gt;0,YEAR($F301)&gt;=Preisindex!$A$6,YEAR(ET$4)&gt;=YEAR($F301),$K301="a"),ROUND(VLOOKUP(EY$4,Preisindex,5,FALSE)/VLOOKUP(YEAR($F301),Preisindex,5,FALSE),2),IF(AND($E301&lt;&gt;0,$F301&gt;0,YEAR($F301)&gt;=Preisindex!$A$6,YEAR(ET$4)&gt;=YEAR($F301),$K301="b"),ROUND(VLOOKUP(EY$4,Preisindex,3,FALSE)/VLOOKUP(YEAR($F301),Preisindex,3,FALSE),2),IF(AND($E301&lt;&gt;0,$F301&gt;0,YEAR($F301)&gt;=Preisindex!$A$6,YEAR(ET$4)&gt;=YEAR($F301),$K301="g"),ROUND(VLOOKUP(EY$4,Preisindex,4,FALSE)/VLOOKUP(YEAR($F301),Preisindex,4,FALSE),2),IF(AND($E301&lt;&gt;0,$F301&gt;0,YEAR($F301)&gt;=Preisindex!$A$6,YEAR(ET$4)&gt;=YEAR($F301),$K301="k"),ROUND(VLOOKUP(EY$4,Preisindex,2,FALSE)/VLOOKUP(YEAR($F301),Preisindex,2,FALSE),2),0)))))</f>
        <v>0</v>
      </c>
      <c r="EZ301" s="56">
        <f>IF(AND($E301&lt;&gt;0,$F301&gt;0,YEAR($F301)&lt;Preisindex!$A$6,YEAR(ET$4)&gt;=YEAR($F301),AND($K301&lt;&gt;"a",$K301&lt;&gt;"b",$K301&lt;&gt;"g",$K301&lt;&gt;"k")),1,IF(AND($E301&lt;&gt;0,$F301&gt;0,YEAR($F301)&lt;Preisindex!$A$6,YEAR(ET$4)&gt;=YEAR($F301),$K301="a"),ROUND(VLOOKUP(EY$4,Preisindex,5,FALSE)/VLOOKUP(Preisindex!$A$6,Preisindex,5,FALSE),2),IF(AND($E301&lt;&gt;0,$F301&gt;0,YEAR($F301)&lt;Preisindex!$A$6,YEAR(ET$4)&gt;=YEAR($F301),$K301="b"),ROUND(VLOOKUP(EY$4,Preisindex,3,FALSE)/VLOOKUP(Preisindex!$A$6,Preisindex,3,FALSE),2),IF(AND($E301&lt;&gt;0,$F301&gt;0,YEAR($F301)&lt;Preisindex!$A$6,YEAR(ET$4)&gt;=YEAR($F301),$K301="g"),ROUND(VLOOKUP(EY$4,Preisindex,4,FALSE)/VLOOKUP(Preisindex!$A$6,Preisindex,4,FALSE),2),IF(AND($E301&lt;&gt;0,$F301&gt;0,YEAR($F301)&lt;Preisindex!$A$6,YEAR(ET$4)&gt;=YEAR($F301),$K301="k"),ROUND(VLOOKUP(EY$4,Preisindex,2,FALSE)/VLOOKUP(Preisindex!$A$6,Preisindex,2,FALSE),2),0)))))</f>
        <v>0</v>
      </c>
      <c r="FA301" s="51">
        <f>IF(AND($E301&lt;&gt;0,$F301&gt;0,YEAR($F301)&lt;=EY$4,YEAR($F301)&gt;=Preisindex!$A$6),ROUND($E301*EY301,2),IF(AND($E301&lt;&gt;0,$F301&gt;0,YEAR($F301)&lt;=EY$4,YEAR($F301)&lt;Preisindex!$A$6),ROUND($E301*EZ301,2),0))</f>
        <v>0</v>
      </c>
      <c r="FB301" s="53">
        <f t="shared" si="811"/>
        <v>0</v>
      </c>
      <c r="FC301" s="51">
        <f t="shared" si="882"/>
        <v>0</v>
      </c>
      <c r="FD301" s="51">
        <f t="shared" si="876"/>
        <v>0</v>
      </c>
      <c r="FE301" s="51">
        <f t="shared" si="812"/>
        <v>0</v>
      </c>
      <c r="FF301" s="51">
        <f t="shared" si="877"/>
        <v>0</v>
      </c>
      <c r="FG301" s="51">
        <f t="shared" si="813"/>
        <v>0</v>
      </c>
      <c r="FH301" s="51">
        <f t="shared" si="878"/>
        <v>0</v>
      </c>
      <c r="FI301" s="51">
        <f t="shared" si="814"/>
        <v>0</v>
      </c>
      <c r="FJ301" s="51">
        <f t="shared" si="879"/>
        <v>0</v>
      </c>
      <c r="FK301" s="51">
        <f t="shared" si="815"/>
        <v>0</v>
      </c>
      <c r="FL301" s="51">
        <f t="shared" si="880"/>
        <v>0</v>
      </c>
      <c r="FM301" s="51">
        <f t="shared" si="816"/>
        <v>0</v>
      </c>
      <c r="FN301" s="54">
        <f t="shared" si="817"/>
        <v>0</v>
      </c>
      <c r="FO301" s="55">
        <f t="shared" si="818"/>
        <v>0</v>
      </c>
      <c r="FP301" s="56">
        <f>IF(AND($E301&lt;&gt;0,$F301&gt;0,YEAR($F301)&gt;=Preisindex!$A$6,YEAR(FK$4)&gt;=YEAR($F301),AND($K301&lt;&gt;"a",$K301&lt;&gt;"b",$K301&lt;&gt;"g",$K301&lt;&gt;"k")),1,IF(AND($E301&lt;&gt;0,$F301&gt;0,YEAR($F301)&gt;=Preisindex!$A$6,YEAR(FK$4)&gt;=YEAR($F301),$K301="a"),ROUND(VLOOKUP(FP$4,Preisindex,5,FALSE)/VLOOKUP(YEAR($F301),Preisindex,5,FALSE),2),IF(AND($E301&lt;&gt;0,$F301&gt;0,YEAR($F301)&gt;=Preisindex!$A$6,YEAR(FK$4)&gt;=YEAR($F301),$K301="b"),ROUND(VLOOKUP(FP$4,Preisindex,3,FALSE)/VLOOKUP(YEAR($F301),Preisindex,3,FALSE),2),IF(AND($E301&lt;&gt;0,$F301&gt;0,YEAR($F301)&gt;=Preisindex!$A$6,YEAR(FK$4)&gt;=YEAR($F301),$K301="g"),ROUND(VLOOKUP(FP$4,Preisindex,4,FALSE)/VLOOKUP(YEAR($F301),Preisindex,4,FALSE),2),IF(AND($E301&lt;&gt;0,$F301&gt;0,YEAR($F301)&gt;=Preisindex!$A$6,YEAR(FK$4)&gt;=YEAR($F301),$K301="k"),ROUND(VLOOKUP(FP$4,Preisindex,2,FALSE)/VLOOKUP(YEAR($F301),Preisindex,2,FALSE),2),0)))))</f>
        <v>0</v>
      </c>
      <c r="FQ301" s="56">
        <f>IF(AND($E301&lt;&gt;0,$F301&gt;0,YEAR($F301)&lt;Preisindex!$A$6,YEAR(FK$4)&gt;=YEAR($F301),AND($K301&lt;&gt;"a",$K301&lt;&gt;"b",$K301&lt;&gt;"g",$K301&lt;&gt;"k")),1,IF(AND($E301&lt;&gt;0,$F301&gt;0,YEAR($F301)&lt;Preisindex!$A$6,YEAR(FK$4)&gt;=YEAR($F301),$K301="a"),ROUND(VLOOKUP(FP$4,Preisindex,5,FALSE)/VLOOKUP(Preisindex!$A$6,Preisindex,5,FALSE),2),IF(AND($E301&lt;&gt;0,$F301&gt;0,YEAR($F301)&lt;Preisindex!$A$6,YEAR(FK$4)&gt;=YEAR($F301),$K301="b"),ROUND(VLOOKUP(FP$4,Preisindex,3,FALSE)/VLOOKUP(Preisindex!$A$6,Preisindex,3,FALSE),2),IF(AND($E301&lt;&gt;0,$F301&gt;0,YEAR($F301)&lt;Preisindex!$A$6,YEAR(FK$4)&gt;=YEAR($F301),$K301="g"),ROUND(VLOOKUP(FP$4,Preisindex,4,FALSE)/VLOOKUP(Preisindex!$A$6,Preisindex,4,FALSE),2),IF(AND($E301&lt;&gt;0,$F301&gt;0,YEAR($F301)&lt;Preisindex!$A$6,YEAR(FK$4)&gt;=YEAR($F301),$K301="k"),ROUND(VLOOKUP(FP$4,Preisindex,2,FALSE)/VLOOKUP(Preisindex!$A$6,Preisindex,2,FALSE),2),0)))))</f>
        <v>0</v>
      </c>
      <c r="FR301" s="51">
        <f>IF(AND($E301&lt;&gt;0,$F301&gt;0,YEAR($F301)&lt;=FP$4,YEAR($F301)&gt;=Preisindex!$A$6),ROUND($E301*FP301,2),IF(AND($E301&lt;&gt;0,$F301&gt;0,YEAR($F301)&lt;=FP$4,YEAR($F301)&lt;Preisindex!$A$6),ROUND($E301*FQ301,2),0))</f>
        <v>0</v>
      </c>
      <c r="FS301" s="53">
        <f t="shared" si="819"/>
        <v>0</v>
      </c>
    </row>
    <row r="302" spans="1:175" x14ac:dyDescent="0.3">
      <c r="A302" s="185"/>
      <c r="B302" s="186"/>
      <c r="C302" s="187"/>
      <c r="D302" s="95"/>
      <c r="E302" s="99"/>
      <c r="F302" s="97"/>
      <c r="G302" s="98"/>
      <c r="H302" s="192"/>
      <c r="I302" s="193"/>
      <c r="J302" s="194"/>
      <c r="K302" s="630"/>
      <c r="L302" s="49">
        <f t="shared" si="820"/>
        <v>0</v>
      </c>
      <c r="M302" s="50">
        <f t="shared" si="821"/>
        <v>0</v>
      </c>
      <c r="N302" s="51">
        <f t="shared" si="822"/>
        <v>0</v>
      </c>
      <c r="O302" s="51"/>
      <c r="P302" s="51">
        <f t="shared" si="823"/>
        <v>0</v>
      </c>
      <c r="Q302" s="52"/>
      <c r="R302" s="52"/>
      <c r="S302" s="52"/>
      <c r="T302" s="52"/>
      <c r="U302" s="52"/>
      <c r="V302" s="53">
        <f t="shared" si="824"/>
        <v>0</v>
      </c>
      <c r="W302" s="51">
        <f t="shared" si="825"/>
        <v>0</v>
      </c>
      <c r="X302" s="51">
        <f t="shared" si="826"/>
        <v>0</v>
      </c>
      <c r="Y302" s="51">
        <f t="shared" si="827"/>
        <v>0</v>
      </c>
      <c r="Z302" s="51">
        <f t="shared" si="828"/>
        <v>0</v>
      </c>
      <c r="AA302" s="51">
        <f t="shared" si="829"/>
        <v>0</v>
      </c>
      <c r="AB302" s="51">
        <f t="shared" si="830"/>
        <v>0</v>
      </c>
      <c r="AC302" s="51">
        <f t="shared" si="831"/>
        <v>0</v>
      </c>
      <c r="AD302" s="51">
        <f t="shared" si="832"/>
        <v>0</v>
      </c>
      <c r="AE302" s="51">
        <f t="shared" si="833"/>
        <v>0</v>
      </c>
      <c r="AF302" s="51">
        <f t="shared" si="834"/>
        <v>0</v>
      </c>
      <c r="AG302" s="51">
        <f t="shared" si="835"/>
        <v>0</v>
      </c>
      <c r="AH302" s="54">
        <f t="shared" si="836"/>
        <v>0</v>
      </c>
      <c r="AI302" s="55">
        <f t="shared" si="837"/>
        <v>0</v>
      </c>
      <c r="AJ302" s="56">
        <f>IF(AND($E302&lt;&gt;0,$F302&gt;0,YEAR($F302)&gt;=Preisindex!$A$6,YEAR(AE$4)&gt;=YEAR($F302),AND($K302&lt;&gt;"a",$K302&lt;&gt;"b",$K302&lt;&gt;"g",$K302&lt;&gt;"k")),1,IF(AND($E302&lt;&gt;0,$F302&gt;0,YEAR($F302)&gt;=Preisindex!$A$6,YEAR(AE$4)&gt;=YEAR($F302),$K302="a"),ROUND(VLOOKUP(AJ$4,Preisindex,5,FALSE)/VLOOKUP(YEAR($F302),Preisindex,5,FALSE),2),IF(AND($E302&lt;&gt;0,$F302&gt;0,YEAR($F302)&gt;=Preisindex!$A$6,YEAR(AE$4)&gt;=YEAR($F302),$K302="b"),ROUND(VLOOKUP(AJ$4,Preisindex,3,FALSE)/VLOOKUP(YEAR($F302),Preisindex,3,FALSE),2),IF(AND($E302&lt;&gt;0,$F302&gt;0,YEAR($F302)&gt;=Preisindex!$A$6,YEAR(AE$4)&gt;=YEAR($F302),$K302="g"),ROUND(VLOOKUP(AJ$4,Preisindex,4,FALSE)/VLOOKUP(YEAR($F302),Preisindex,4,FALSE),2),IF(AND($E302&lt;&gt;0,$F302&gt;0,YEAR($F302)&gt;=Preisindex!$A$6,YEAR(AE$4)&gt;=YEAR($F302),$K302="k"),ROUND(VLOOKUP(AJ$4,Preisindex,2,FALSE)/VLOOKUP(YEAR($F302),Preisindex,2,FALSE),2),0)))))</f>
        <v>0</v>
      </c>
      <c r="AK302" s="56">
        <f>IF(AND($E302&lt;&gt;0,$F302&gt;0,YEAR($F302)&lt;Preisindex!$A$6,YEAR(AE$4)&gt;=YEAR($F302),AND($K302&lt;&gt;"a",$K302&lt;&gt;"b",$K302&lt;&gt;"g",$K302&lt;&gt;"k")),1,IF(AND($E302&lt;&gt;0,$F302&gt;0,YEAR($F302)&lt;Preisindex!$A$6,YEAR(AE$4)&gt;=YEAR($F302),$K302="a"),ROUND(VLOOKUP(AJ$4,Preisindex,5,FALSE)/VLOOKUP(Preisindex!$A$6,Preisindex,5,FALSE),2),IF(AND($E302&lt;&gt;0,$F302&gt;0,YEAR($F302)&lt;Preisindex!$A$6,YEAR(AE$4)&gt;=YEAR($F302),$K302="b"),ROUND(VLOOKUP(AJ$4,Preisindex,3,FALSE)/VLOOKUP(Preisindex!$A$6,Preisindex,3,FALSE),2),IF(AND($E302&lt;&gt;0,$F302&gt;0,YEAR($F302)&lt;Preisindex!$A$6,YEAR(AE$4)&gt;=YEAR($F302),$K302="g"),ROUND(VLOOKUP(AJ$4,Preisindex,4,FALSE)/VLOOKUP(Preisindex!$A$6,Preisindex,4,FALSE),2),IF(AND($E302&lt;&gt;0,$F302&gt;0,YEAR($F302)&lt;Preisindex!$A$6,YEAR(AE$4)&gt;=YEAR($F302),$K302="k"),ROUND(VLOOKUP(AJ$4,Preisindex,2,FALSE)/VLOOKUP(Preisindex!$A$6,Preisindex,2,FALSE),2),0)))))</f>
        <v>0</v>
      </c>
      <c r="AL302" s="51">
        <f>IF(AND($E302&lt;&gt;0,$F302&gt;0,YEAR($F302)&lt;=AJ$4,YEAR($F302)&gt;=Preisindex!$A$6),ROUND($E302*AJ302,2),IF(AND($E302&lt;&gt;0,$F302&gt;0,YEAR($F302)&lt;=AJ$4,YEAR($F302)&lt;Preisindex!$A$6),ROUND($E302*AK302,2),0))</f>
        <v>0</v>
      </c>
      <c r="AM302" s="53">
        <f t="shared" si="838"/>
        <v>0</v>
      </c>
      <c r="AN302" s="51">
        <f t="shared" si="881"/>
        <v>0</v>
      </c>
      <c r="AO302" s="51">
        <f t="shared" si="841"/>
        <v>0</v>
      </c>
      <c r="AP302" s="51">
        <f t="shared" si="755"/>
        <v>0</v>
      </c>
      <c r="AQ302" s="51">
        <f t="shared" si="842"/>
        <v>0</v>
      </c>
      <c r="AR302" s="51">
        <f t="shared" si="756"/>
        <v>0</v>
      </c>
      <c r="AS302" s="51">
        <f t="shared" si="843"/>
        <v>0</v>
      </c>
      <c r="AT302" s="51">
        <f t="shared" si="757"/>
        <v>0</v>
      </c>
      <c r="AU302" s="51">
        <f t="shared" si="844"/>
        <v>0</v>
      </c>
      <c r="AV302" s="51">
        <f t="shared" si="758"/>
        <v>0</v>
      </c>
      <c r="AW302" s="51">
        <f t="shared" si="845"/>
        <v>0</v>
      </c>
      <c r="AX302" s="51">
        <f t="shared" si="759"/>
        <v>0</v>
      </c>
      <c r="AY302" s="54">
        <f t="shared" si="760"/>
        <v>0</v>
      </c>
      <c r="AZ302" s="55">
        <f t="shared" si="761"/>
        <v>0</v>
      </c>
      <c r="BA302" s="56">
        <f>IF(AND($E302&lt;&gt;0,$F302&gt;0,YEAR($F302)&gt;=Preisindex!$A$6,YEAR(AV$4)&gt;=YEAR($F302),AND($K302&lt;&gt;"a",$K302&lt;&gt;"b",$K302&lt;&gt;"g",$K302&lt;&gt;"k")),1,IF(AND($E302&lt;&gt;0,$F302&gt;0,YEAR($F302)&gt;=Preisindex!$A$6,YEAR(AV$4)&gt;=YEAR($F302),$K302="a"),ROUND(VLOOKUP(BA$4,Preisindex,5,FALSE)/VLOOKUP(YEAR($F302),Preisindex,5,FALSE),2),IF(AND($E302&lt;&gt;0,$F302&gt;0,YEAR($F302)&gt;=Preisindex!$A$6,YEAR(AV$4)&gt;=YEAR($F302),$K302="b"),ROUND(VLOOKUP(BA$4,Preisindex,3,FALSE)/VLOOKUP(YEAR($F302),Preisindex,3,FALSE),2),IF(AND($E302&lt;&gt;0,$F302&gt;0,YEAR($F302)&gt;=Preisindex!$A$6,YEAR(AV$4)&gt;=YEAR($F302),$K302="g"),ROUND(VLOOKUP(BA$4,Preisindex,4,FALSE)/VLOOKUP(YEAR($F302),Preisindex,4,FALSE),2),IF(AND($E302&lt;&gt;0,$F302&gt;0,YEAR($F302)&gt;=Preisindex!$A$6,YEAR(AV$4)&gt;=YEAR($F302),$K302="k"),ROUND(VLOOKUP(BA$4,Preisindex,2,FALSE)/VLOOKUP(YEAR($F302),Preisindex,2,FALSE),2),0)))))</f>
        <v>0</v>
      </c>
      <c r="BB302" s="56">
        <f>IF(AND($E302&lt;&gt;0,$F302&gt;0,YEAR($F302)&lt;Preisindex!$A$6,YEAR(AV$4)&gt;=YEAR($F302),AND($K302&lt;&gt;"a",$K302&lt;&gt;"b",$K302&lt;&gt;"g",$K302&lt;&gt;"k")),1,IF(AND($E302&lt;&gt;0,$F302&gt;0,YEAR($F302)&lt;Preisindex!$A$6,YEAR(AV$4)&gt;=YEAR($F302),$K302="a"),ROUND(VLOOKUP(BA$4,Preisindex,5,FALSE)/VLOOKUP(Preisindex!$A$6,Preisindex,5,FALSE),2),IF(AND($E302&lt;&gt;0,$F302&gt;0,YEAR($F302)&lt;Preisindex!$A$6,YEAR(AV$4)&gt;=YEAR($F302),$K302="b"),ROUND(VLOOKUP(BA$4,Preisindex,3,FALSE)/VLOOKUP(Preisindex!$A$6,Preisindex,3,FALSE),2),IF(AND($E302&lt;&gt;0,$F302&gt;0,YEAR($F302)&lt;Preisindex!$A$6,YEAR(AV$4)&gt;=YEAR($F302),$K302="g"),ROUND(VLOOKUP(BA$4,Preisindex,4,FALSE)/VLOOKUP(Preisindex!$A$6,Preisindex,4,FALSE),2),IF(AND($E302&lt;&gt;0,$F302&gt;0,YEAR($F302)&lt;Preisindex!$A$6,YEAR(AV$4)&gt;=YEAR($F302),$K302="k"),ROUND(VLOOKUP(BA$4,Preisindex,2,FALSE)/VLOOKUP(Preisindex!$A$6,Preisindex,2,FALSE),2),0)))))</f>
        <v>0</v>
      </c>
      <c r="BC302" s="51">
        <f>IF(AND($E302&lt;&gt;0,$F302&gt;0,YEAR($F302)&lt;=BA$4,YEAR($F302)&gt;=Preisindex!$A$6),ROUND($E302*BA302,2),IF(AND($E302&lt;&gt;0,$F302&gt;0,YEAR($F302)&lt;=BA$4,YEAR($F302)&lt;Preisindex!$A$6),ROUND($E302*BB302,2),0))</f>
        <v>0</v>
      </c>
      <c r="BD302" s="53">
        <f t="shared" si="762"/>
        <v>0</v>
      </c>
      <c r="BE302" s="51">
        <f t="shared" si="881"/>
        <v>0</v>
      </c>
      <c r="BF302" s="51">
        <f t="shared" si="846"/>
        <v>0</v>
      </c>
      <c r="BG302" s="51">
        <f t="shared" si="763"/>
        <v>0</v>
      </c>
      <c r="BH302" s="51">
        <f t="shared" si="847"/>
        <v>0</v>
      </c>
      <c r="BI302" s="51">
        <f t="shared" si="764"/>
        <v>0</v>
      </c>
      <c r="BJ302" s="51">
        <f t="shared" si="848"/>
        <v>0</v>
      </c>
      <c r="BK302" s="51">
        <f t="shared" si="765"/>
        <v>0</v>
      </c>
      <c r="BL302" s="51">
        <f t="shared" si="849"/>
        <v>0</v>
      </c>
      <c r="BM302" s="51">
        <f t="shared" si="766"/>
        <v>0</v>
      </c>
      <c r="BN302" s="51">
        <f t="shared" si="850"/>
        <v>0</v>
      </c>
      <c r="BO302" s="51">
        <f t="shared" si="767"/>
        <v>0</v>
      </c>
      <c r="BP302" s="54">
        <f t="shared" si="768"/>
        <v>0</v>
      </c>
      <c r="BQ302" s="55">
        <f t="shared" si="769"/>
        <v>0</v>
      </c>
      <c r="BR302" s="56">
        <f>IF(AND($E302&lt;&gt;0,$F302&gt;0,YEAR($F302)&gt;=Preisindex!$A$6,YEAR(BM$4)&gt;=YEAR($F302),AND($K302&lt;&gt;"a",$K302&lt;&gt;"b",$K302&lt;&gt;"g",$K302&lt;&gt;"k")),1,IF(AND($E302&lt;&gt;0,$F302&gt;0,YEAR($F302)&gt;=Preisindex!$A$6,YEAR(BM$4)&gt;=YEAR($F302),$K302="a"),ROUND(VLOOKUP(BR$4,Preisindex,5,FALSE)/VLOOKUP(YEAR($F302),Preisindex,5,FALSE),2),IF(AND($E302&lt;&gt;0,$F302&gt;0,YEAR($F302)&gt;=Preisindex!$A$6,YEAR(BM$4)&gt;=YEAR($F302),$K302="b"),ROUND(VLOOKUP(BR$4,Preisindex,3,FALSE)/VLOOKUP(YEAR($F302),Preisindex,3,FALSE),2),IF(AND($E302&lt;&gt;0,$F302&gt;0,YEAR($F302)&gt;=Preisindex!$A$6,YEAR(BM$4)&gt;=YEAR($F302),$K302="g"),ROUND(VLOOKUP(BR$4,Preisindex,4,FALSE)/VLOOKUP(YEAR($F302),Preisindex,4,FALSE),2),IF(AND($E302&lt;&gt;0,$F302&gt;0,YEAR($F302)&gt;=Preisindex!$A$6,YEAR(BM$4)&gt;=YEAR($F302),$K302="k"),ROUND(VLOOKUP(BR$4,Preisindex,2,FALSE)/VLOOKUP(YEAR($F302),Preisindex,2,FALSE),2),0)))))</f>
        <v>0</v>
      </c>
      <c r="BS302" s="56">
        <f>IF(AND($E302&lt;&gt;0,$F302&gt;0,YEAR($F302)&lt;Preisindex!$A$6,YEAR(BM$4)&gt;=YEAR($F302),AND($K302&lt;&gt;"a",$K302&lt;&gt;"b",$K302&lt;&gt;"g",$K302&lt;&gt;"k")),1,IF(AND($E302&lt;&gt;0,$F302&gt;0,YEAR($F302)&lt;Preisindex!$A$6,YEAR(BM$4)&gt;=YEAR($F302),$K302="a"),ROUND(VLOOKUP(BR$4,Preisindex,5,FALSE)/VLOOKUP(Preisindex!$A$6,Preisindex,5,FALSE),2),IF(AND($E302&lt;&gt;0,$F302&gt;0,YEAR($F302)&lt;Preisindex!$A$6,YEAR(BM$4)&gt;=YEAR($F302),$K302="b"),ROUND(VLOOKUP(BR$4,Preisindex,3,FALSE)/VLOOKUP(Preisindex!$A$6,Preisindex,3,FALSE),2),IF(AND($E302&lt;&gt;0,$F302&gt;0,YEAR($F302)&lt;Preisindex!$A$6,YEAR(BM$4)&gt;=YEAR($F302),$K302="g"),ROUND(VLOOKUP(BR$4,Preisindex,4,FALSE)/VLOOKUP(Preisindex!$A$6,Preisindex,4,FALSE),2),IF(AND($E302&lt;&gt;0,$F302&gt;0,YEAR($F302)&lt;Preisindex!$A$6,YEAR(BM$4)&gt;=YEAR($F302),$K302="k"),ROUND(VLOOKUP(BR$4,Preisindex,2,FALSE)/VLOOKUP(Preisindex!$A$6,Preisindex,2,FALSE),2),0)))))</f>
        <v>0</v>
      </c>
      <c r="BT302" s="51">
        <f>IF(AND($E302&lt;&gt;0,$F302&gt;0,YEAR($F302)&lt;=BR$4,YEAR($F302)&gt;=Preisindex!$A$6),ROUND($E302*BR302,2),IF(AND($E302&lt;&gt;0,$F302&gt;0,YEAR($F302)&lt;=BR$4,YEAR($F302)&lt;Preisindex!$A$6),ROUND($E302*BS302,2),0))</f>
        <v>0</v>
      </c>
      <c r="BU302" s="53">
        <f t="shared" si="770"/>
        <v>0</v>
      </c>
      <c r="BV302" s="51">
        <f t="shared" si="881"/>
        <v>0</v>
      </c>
      <c r="BW302" s="51">
        <f t="shared" si="851"/>
        <v>0</v>
      </c>
      <c r="BX302" s="51">
        <f t="shared" si="771"/>
        <v>0</v>
      </c>
      <c r="BY302" s="51">
        <f t="shared" si="852"/>
        <v>0</v>
      </c>
      <c r="BZ302" s="51">
        <f t="shared" si="772"/>
        <v>0</v>
      </c>
      <c r="CA302" s="51">
        <f t="shared" si="853"/>
        <v>0</v>
      </c>
      <c r="CB302" s="51">
        <f t="shared" si="773"/>
        <v>0</v>
      </c>
      <c r="CC302" s="51">
        <f t="shared" si="854"/>
        <v>0</v>
      </c>
      <c r="CD302" s="51">
        <f t="shared" si="774"/>
        <v>0</v>
      </c>
      <c r="CE302" s="51">
        <f t="shared" si="855"/>
        <v>0</v>
      </c>
      <c r="CF302" s="51">
        <f t="shared" si="775"/>
        <v>0</v>
      </c>
      <c r="CG302" s="54">
        <f t="shared" si="776"/>
        <v>0</v>
      </c>
      <c r="CH302" s="55">
        <f t="shared" si="777"/>
        <v>0</v>
      </c>
      <c r="CI302" s="56">
        <f>IF(AND($E302&lt;&gt;0,$F302&gt;0,YEAR($F302)&gt;=Preisindex!$A$6,YEAR(CD$4)&gt;=YEAR($F302),AND($K302&lt;&gt;"a",$K302&lt;&gt;"b",$K302&lt;&gt;"g",$K302&lt;&gt;"k")),1,IF(AND($E302&lt;&gt;0,$F302&gt;0,YEAR($F302)&gt;=Preisindex!$A$6,YEAR(CD$4)&gt;=YEAR($F302),$K302="a"),ROUND(VLOOKUP(CI$4,Preisindex,5,FALSE)/VLOOKUP(YEAR($F302),Preisindex,5,FALSE),2),IF(AND($E302&lt;&gt;0,$F302&gt;0,YEAR($F302)&gt;=Preisindex!$A$6,YEAR(CD$4)&gt;=YEAR($F302),$K302="b"),ROUND(VLOOKUP(CI$4,Preisindex,3,FALSE)/VLOOKUP(YEAR($F302),Preisindex,3,FALSE),2),IF(AND($E302&lt;&gt;0,$F302&gt;0,YEAR($F302)&gt;=Preisindex!$A$6,YEAR(CD$4)&gt;=YEAR($F302),$K302="g"),ROUND(VLOOKUP(CI$4,Preisindex,4,FALSE)/VLOOKUP(YEAR($F302),Preisindex,4,FALSE),2),IF(AND($E302&lt;&gt;0,$F302&gt;0,YEAR($F302)&gt;=Preisindex!$A$6,YEAR(CD$4)&gt;=YEAR($F302),$K302="k"),ROUND(VLOOKUP(CI$4,Preisindex,2,FALSE)/VLOOKUP(YEAR($F302),Preisindex,2,FALSE),2),0)))))</f>
        <v>0</v>
      </c>
      <c r="CJ302" s="56">
        <f>IF(AND($E302&lt;&gt;0,$F302&gt;0,YEAR($F302)&lt;Preisindex!$A$6,YEAR(CD$4)&gt;=YEAR($F302),AND($K302&lt;&gt;"a",$K302&lt;&gt;"b",$K302&lt;&gt;"g",$K302&lt;&gt;"k")),1,IF(AND($E302&lt;&gt;0,$F302&gt;0,YEAR($F302)&lt;Preisindex!$A$6,YEAR(CD$4)&gt;=YEAR($F302),$K302="a"),ROUND(VLOOKUP(CI$4,Preisindex,5,FALSE)/VLOOKUP(Preisindex!$A$6,Preisindex,5,FALSE),2),IF(AND($E302&lt;&gt;0,$F302&gt;0,YEAR($F302)&lt;Preisindex!$A$6,YEAR(CD$4)&gt;=YEAR($F302),$K302="b"),ROUND(VLOOKUP(CI$4,Preisindex,3,FALSE)/VLOOKUP(Preisindex!$A$6,Preisindex,3,FALSE),2),IF(AND($E302&lt;&gt;0,$F302&gt;0,YEAR($F302)&lt;Preisindex!$A$6,YEAR(CD$4)&gt;=YEAR($F302),$K302="g"),ROUND(VLOOKUP(CI$4,Preisindex,4,FALSE)/VLOOKUP(Preisindex!$A$6,Preisindex,4,FALSE),2),IF(AND($E302&lt;&gt;0,$F302&gt;0,YEAR($F302)&lt;Preisindex!$A$6,YEAR(CD$4)&gt;=YEAR($F302),$K302="k"),ROUND(VLOOKUP(CI$4,Preisindex,2,FALSE)/VLOOKUP(Preisindex!$A$6,Preisindex,2,FALSE),2),0)))))</f>
        <v>0</v>
      </c>
      <c r="CK302" s="51">
        <f>IF(AND($E302&lt;&gt;0,$F302&gt;0,YEAR($F302)&lt;=CI$4,YEAR($F302)&gt;=Preisindex!$A$6),ROUND($E302*CI302,2),IF(AND($E302&lt;&gt;0,$F302&gt;0,YEAR($F302)&lt;=CI$4,YEAR($F302)&lt;Preisindex!$A$6),ROUND($E302*CJ302,2),0))</f>
        <v>0</v>
      </c>
      <c r="CL302" s="53">
        <f t="shared" si="778"/>
        <v>0</v>
      </c>
      <c r="CM302" s="51">
        <f t="shared" si="881"/>
        <v>0</v>
      </c>
      <c r="CN302" s="51">
        <f t="shared" si="856"/>
        <v>0</v>
      </c>
      <c r="CO302" s="51">
        <f t="shared" si="779"/>
        <v>0</v>
      </c>
      <c r="CP302" s="51">
        <f t="shared" si="857"/>
        <v>0</v>
      </c>
      <c r="CQ302" s="51">
        <f t="shared" si="780"/>
        <v>0</v>
      </c>
      <c r="CR302" s="51">
        <f t="shared" si="858"/>
        <v>0</v>
      </c>
      <c r="CS302" s="51">
        <f t="shared" si="781"/>
        <v>0</v>
      </c>
      <c r="CT302" s="51">
        <f t="shared" si="859"/>
        <v>0</v>
      </c>
      <c r="CU302" s="51">
        <f t="shared" si="782"/>
        <v>0</v>
      </c>
      <c r="CV302" s="51">
        <f t="shared" si="860"/>
        <v>0</v>
      </c>
      <c r="CW302" s="51">
        <f t="shared" si="783"/>
        <v>0</v>
      </c>
      <c r="CX302" s="54">
        <f t="shared" si="784"/>
        <v>0</v>
      </c>
      <c r="CY302" s="55">
        <f t="shared" si="785"/>
        <v>0</v>
      </c>
      <c r="CZ302" s="56">
        <f>IF(AND($E302&lt;&gt;0,$F302&gt;0,YEAR($F302)&gt;=Preisindex!$A$6,YEAR(CU$4)&gt;=YEAR($F302),AND($K302&lt;&gt;"a",$K302&lt;&gt;"b",$K302&lt;&gt;"g",$K302&lt;&gt;"k")),1,IF(AND($E302&lt;&gt;0,$F302&gt;0,YEAR($F302)&gt;=Preisindex!$A$6,YEAR(CU$4)&gt;=YEAR($F302),$K302="a"),ROUND(VLOOKUP(CZ$4,Preisindex,5,FALSE)/VLOOKUP(YEAR($F302),Preisindex,5,FALSE),2),IF(AND($E302&lt;&gt;0,$F302&gt;0,YEAR($F302)&gt;=Preisindex!$A$6,YEAR(CU$4)&gt;=YEAR($F302),$K302="b"),ROUND(VLOOKUP(CZ$4,Preisindex,3,FALSE)/VLOOKUP(YEAR($F302),Preisindex,3,FALSE),2),IF(AND($E302&lt;&gt;0,$F302&gt;0,YEAR($F302)&gt;=Preisindex!$A$6,YEAR(CU$4)&gt;=YEAR($F302),$K302="g"),ROUND(VLOOKUP(CZ$4,Preisindex,4,FALSE)/VLOOKUP(YEAR($F302),Preisindex,4,FALSE),2),IF(AND($E302&lt;&gt;0,$F302&gt;0,YEAR($F302)&gt;=Preisindex!$A$6,YEAR(CU$4)&gt;=YEAR($F302),$K302="k"),ROUND(VLOOKUP(CZ$4,Preisindex,2,FALSE)/VLOOKUP(YEAR($F302),Preisindex,2,FALSE),2),0)))))</f>
        <v>0</v>
      </c>
      <c r="DA302" s="56">
        <f>IF(AND($E302&lt;&gt;0,$F302&gt;0,YEAR($F302)&lt;Preisindex!$A$6,YEAR(CU$4)&gt;=YEAR($F302),AND($K302&lt;&gt;"a",$K302&lt;&gt;"b",$K302&lt;&gt;"g",$K302&lt;&gt;"k")),1,IF(AND($E302&lt;&gt;0,$F302&gt;0,YEAR($F302)&lt;Preisindex!$A$6,YEAR(CU$4)&gt;=YEAR($F302),$K302="a"),ROUND(VLOOKUP(CZ$4,Preisindex,5,FALSE)/VLOOKUP(Preisindex!$A$6,Preisindex,5,FALSE),2),IF(AND($E302&lt;&gt;0,$F302&gt;0,YEAR($F302)&lt;Preisindex!$A$6,YEAR(CU$4)&gt;=YEAR($F302),$K302="b"),ROUND(VLOOKUP(CZ$4,Preisindex,3,FALSE)/VLOOKUP(Preisindex!$A$6,Preisindex,3,FALSE),2),IF(AND($E302&lt;&gt;0,$F302&gt;0,YEAR($F302)&lt;Preisindex!$A$6,YEAR(CU$4)&gt;=YEAR($F302),$K302="g"),ROUND(VLOOKUP(CZ$4,Preisindex,4,FALSE)/VLOOKUP(Preisindex!$A$6,Preisindex,4,FALSE),2),IF(AND($E302&lt;&gt;0,$F302&gt;0,YEAR($F302)&lt;Preisindex!$A$6,YEAR(CU$4)&gt;=YEAR($F302),$K302="k"),ROUND(VLOOKUP(CZ$4,Preisindex,2,FALSE)/VLOOKUP(Preisindex!$A$6,Preisindex,2,FALSE),2),0)))))</f>
        <v>0</v>
      </c>
      <c r="DB302" s="51">
        <f>IF(AND($E302&lt;&gt;0,$F302&gt;0,YEAR($F302)&lt;=CZ$4,YEAR($F302)&gt;=Preisindex!$A$6),ROUND($E302*CZ302,2),IF(AND($E302&lt;&gt;0,$F302&gt;0,YEAR($F302)&lt;=CZ$4,YEAR($F302)&lt;Preisindex!$A$6),ROUND($E302*DA302,2),0))</f>
        <v>0</v>
      </c>
      <c r="DC302" s="53">
        <f t="shared" si="786"/>
        <v>0</v>
      </c>
      <c r="DD302" s="51">
        <f t="shared" si="882"/>
        <v>0</v>
      </c>
      <c r="DE302" s="51">
        <f t="shared" si="861"/>
        <v>0</v>
      </c>
      <c r="DF302" s="51">
        <f t="shared" si="788"/>
        <v>0</v>
      </c>
      <c r="DG302" s="51">
        <f t="shared" si="862"/>
        <v>0</v>
      </c>
      <c r="DH302" s="51">
        <f t="shared" si="789"/>
        <v>0</v>
      </c>
      <c r="DI302" s="51">
        <f t="shared" si="863"/>
        <v>0</v>
      </c>
      <c r="DJ302" s="51">
        <f t="shared" si="790"/>
        <v>0</v>
      </c>
      <c r="DK302" s="51">
        <f t="shared" si="864"/>
        <v>0</v>
      </c>
      <c r="DL302" s="51">
        <f t="shared" si="791"/>
        <v>0</v>
      </c>
      <c r="DM302" s="51">
        <f t="shared" si="865"/>
        <v>0</v>
      </c>
      <c r="DN302" s="51">
        <f t="shared" si="792"/>
        <v>0</v>
      </c>
      <c r="DO302" s="54">
        <f t="shared" si="793"/>
        <v>0</v>
      </c>
      <c r="DP302" s="55">
        <f t="shared" si="794"/>
        <v>0</v>
      </c>
      <c r="DQ302" s="56">
        <f>IF(AND($E302&lt;&gt;0,$F302&gt;0,YEAR($F302)&gt;=Preisindex!$A$6,YEAR(DL$4)&gt;=YEAR($F302),AND($K302&lt;&gt;"a",$K302&lt;&gt;"b",$K302&lt;&gt;"g",$K302&lt;&gt;"k")),1,IF(AND($E302&lt;&gt;0,$F302&gt;0,YEAR($F302)&gt;=Preisindex!$A$6,YEAR(DL$4)&gt;=YEAR($F302),$K302="a"),ROUND(VLOOKUP(DQ$4,Preisindex,5,FALSE)/VLOOKUP(YEAR($F302),Preisindex,5,FALSE),2),IF(AND($E302&lt;&gt;0,$F302&gt;0,YEAR($F302)&gt;=Preisindex!$A$6,YEAR(DL$4)&gt;=YEAR($F302),$K302="b"),ROUND(VLOOKUP(DQ$4,Preisindex,3,FALSE)/VLOOKUP(YEAR($F302),Preisindex,3,FALSE),2),IF(AND($E302&lt;&gt;0,$F302&gt;0,YEAR($F302)&gt;=Preisindex!$A$6,YEAR(DL$4)&gt;=YEAR($F302),$K302="g"),ROUND(VLOOKUP(DQ$4,Preisindex,4,FALSE)/VLOOKUP(YEAR($F302),Preisindex,4,FALSE),2),IF(AND($E302&lt;&gt;0,$F302&gt;0,YEAR($F302)&gt;=Preisindex!$A$6,YEAR(DL$4)&gt;=YEAR($F302),$K302="k"),ROUND(VLOOKUP(DQ$4,Preisindex,2,FALSE)/VLOOKUP(YEAR($F302),Preisindex,2,FALSE),2),0)))))</f>
        <v>0</v>
      </c>
      <c r="DR302" s="56">
        <f>IF(AND($E302&lt;&gt;0,$F302&gt;0,YEAR($F302)&lt;Preisindex!$A$6,YEAR(DL$4)&gt;=YEAR($F302),AND($K302&lt;&gt;"a",$K302&lt;&gt;"b",$K302&lt;&gt;"g",$K302&lt;&gt;"k")),1,IF(AND($E302&lt;&gt;0,$F302&gt;0,YEAR($F302)&lt;Preisindex!$A$6,YEAR(DL$4)&gt;=YEAR($F302),$K302="a"),ROUND(VLOOKUP(DQ$4,Preisindex,5,FALSE)/VLOOKUP(Preisindex!$A$6,Preisindex,5,FALSE),2),IF(AND($E302&lt;&gt;0,$F302&gt;0,YEAR($F302)&lt;Preisindex!$A$6,YEAR(DL$4)&gt;=YEAR($F302),$K302="b"),ROUND(VLOOKUP(DQ$4,Preisindex,3,FALSE)/VLOOKUP(Preisindex!$A$6,Preisindex,3,FALSE),2),IF(AND($E302&lt;&gt;0,$F302&gt;0,YEAR($F302)&lt;Preisindex!$A$6,YEAR(DL$4)&gt;=YEAR($F302),$K302="g"),ROUND(VLOOKUP(DQ$4,Preisindex,4,FALSE)/VLOOKUP(Preisindex!$A$6,Preisindex,4,FALSE),2),IF(AND($E302&lt;&gt;0,$F302&gt;0,YEAR($F302)&lt;Preisindex!$A$6,YEAR(DL$4)&gt;=YEAR($F302),$K302="k"),ROUND(VLOOKUP(DQ$4,Preisindex,2,FALSE)/VLOOKUP(Preisindex!$A$6,Preisindex,2,FALSE),2),0)))))</f>
        <v>0</v>
      </c>
      <c r="DS302" s="51">
        <f>IF(AND($E302&lt;&gt;0,$F302&gt;0,YEAR($F302)&lt;=DQ$4,YEAR($F302)&gt;=Preisindex!$A$6),ROUND($E302*DQ302,2),IF(AND($E302&lt;&gt;0,$F302&gt;0,YEAR($F302)&lt;=DQ$4,YEAR($F302)&lt;Preisindex!$A$6),ROUND($E302*DR302,2),0))</f>
        <v>0</v>
      </c>
      <c r="DT302" s="53">
        <f t="shared" si="795"/>
        <v>0</v>
      </c>
      <c r="DU302" s="51">
        <f t="shared" si="882"/>
        <v>0</v>
      </c>
      <c r="DV302" s="51">
        <f t="shared" si="866"/>
        <v>0</v>
      </c>
      <c r="DW302" s="51">
        <f t="shared" si="796"/>
        <v>0</v>
      </c>
      <c r="DX302" s="51">
        <f t="shared" si="867"/>
        <v>0</v>
      </c>
      <c r="DY302" s="51">
        <f t="shared" si="797"/>
        <v>0</v>
      </c>
      <c r="DZ302" s="51">
        <f t="shared" si="868"/>
        <v>0</v>
      </c>
      <c r="EA302" s="51">
        <f t="shared" si="798"/>
        <v>0</v>
      </c>
      <c r="EB302" s="51">
        <f t="shared" si="869"/>
        <v>0</v>
      </c>
      <c r="EC302" s="51">
        <f t="shared" si="799"/>
        <v>0</v>
      </c>
      <c r="ED302" s="51">
        <f t="shared" si="870"/>
        <v>0</v>
      </c>
      <c r="EE302" s="51">
        <f t="shared" si="800"/>
        <v>0</v>
      </c>
      <c r="EF302" s="54">
        <f t="shared" si="801"/>
        <v>0</v>
      </c>
      <c r="EG302" s="55">
        <f t="shared" si="802"/>
        <v>0</v>
      </c>
      <c r="EH302" s="56">
        <f>IF(AND($E302&lt;&gt;0,$F302&gt;0,YEAR($F302)&gt;=Preisindex!$A$6,YEAR(EC$4)&gt;=YEAR($F302),AND($K302&lt;&gt;"a",$K302&lt;&gt;"b",$K302&lt;&gt;"g",$K302&lt;&gt;"k")),1,IF(AND($E302&lt;&gt;0,$F302&gt;0,YEAR($F302)&gt;=Preisindex!$A$6,YEAR(EC$4)&gt;=YEAR($F302),$K302="a"),ROUND(VLOOKUP(EH$4,Preisindex,5,FALSE)/VLOOKUP(YEAR($F302),Preisindex,5,FALSE),2),IF(AND($E302&lt;&gt;0,$F302&gt;0,YEAR($F302)&gt;=Preisindex!$A$6,YEAR(EC$4)&gt;=YEAR($F302),$K302="b"),ROUND(VLOOKUP(EH$4,Preisindex,3,FALSE)/VLOOKUP(YEAR($F302),Preisindex,3,FALSE),2),IF(AND($E302&lt;&gt;0,$F302&gt;0,YEAR($F302)&gt;=Preisindex!$A$6,YEAR(EC$4)&gt;=YEAR($F302),$K302="g"),ROUND(VLOOKUP(EH$4,Preisindex,4,FALSE)/VLOOKUP(YEAR($F302),Preisindex,4,FALSE),2),IF(AND($E302&lt;&gt;0,$F302&gt;0,YEAR($F302)&gt;=Preisindex!$A$6,YEAR(EC$4)&gt;=YEAR($F302),$K302="k"),ROUND(VLOOKUP(EH$4,Preisindex,2,FALSE)/VLOOKUP(YEAR($F302),Preisindex,2,FALSE),2),0)))))</f>
        <v>0</v>
      </c>
      <c r="EI302" s="56">
        <f>IF(AND($E302&lt;&gt;0,$F302&gt;0,YEAR($F302)&lt;Preisindex!$A$6,YEAR(EC$4)&gt;=YEAR($F302),AND($K302&lt;&gt;"a",$K302&lt;&gt;"b",$K302&lt;&gt;"g",$K302&lt;&gt;"k")),1,IF(AND($E302&lt;&gt;0,$F302&gt;0,YEAR($F302)&lt;Preisindex!$A$6,YEAR(EC$4)&gt;=YEAR($F302),$K302="a"),ROUND(VLOOKUP(EH$4,Preisindex,5,FALSE)/VLOOKUP(Preisindex!$A$6,Preisindex,5,FALSE),2),IF(AND($E302&lt;&gt;0,$F302&gt;0,YEAR($F302)&lt;Preisindex!$A$6,YEAR(EC$4)&gt;=YEAR($F302),$K302="b"),ROUND(VLOOKUP(EH$4,Preisindex,3,FALSE)/VLOOKUP(Preisindex!$A$6,Preisindex,3,FALSE),2),IF(AND($E302&lt;&gt;0,$F302&gt;0,YEAR($F302)&lt;Preisindex!$A$6,YEAR(EC$4)&gt;=YEAR($F302),$K302="g"),ROUND(VLOOKUP(EH$4,Preisindex,4,FALSE)/VLOOKUP(Preisindex!$A$6,Preisindex,4,FALSE),2),IF(AND($E302&lt;&gt;0,$F302&gt;0,YEAR($F302)&lt;Preisindex!$A$6,YEAR(EC$4)&gt;=YEAR($F302),$K302="k"),ROUND(VLOOKUP(EH$4,Preisindex,2,FALSE)/VLOOKUP(Preisindex!$A$6,Preisindex,2,FALSE),2),0)))))</f>
        <v>0</v>
      </c>
      <c r="EJ302" s="51">
        <f>IF(AND($E302&lt;&gt;0,$F302&gt;0,YEAR($F302)&lt;=EH$4,YEAR($F302)&gt;=Preisindex!$A$6),ROUND($E302*EH302,2),IF(AND($E302&lt;&gt;0,$F302&gt;0,YEAR($F302)&lt;=EH$4,YEAR($F302)&lt;Preisindex!$A$6),ROUND($E302*EI302,2),0))</f>
        <v>0</v>
      </c>
      <c r="EK302" s="53">
        <f t="shared" si="803"/>
        <v>0</v>
      </c>
      <c r="EL302" s="51">
        <f t="shared" si="882"/>
        <v>0</v>
      </c>
      <c r="EM302" s="51">
        <f t="shared" si="871"/>
        <v>0</v>
      </c>
      <c r="EN302" s="51">
        <f t="shared" si="804"/>
        <v>0</v>
      </c>
      <c r="EO302" s="51">
        <f t="shared" si="872"/>
        <v>0</v>
      </c>
      <c r="EP302" s="51">
        <f t="shared" si="805"/>
        <v>0</v>
      </c>
      <c r="EQ302" s="51">
        <f t="shared" si="873"/>
        <v>0</v>
      </c>
      <c r="ER302" s="51">
        <f t="shared" si="806"/>
        <v>0</v>
      </c>
      <c r="ES302" s="51">
        <f t="shared" si="874"/>
        <v>0</v>
      </c>
      <c r="ET302" s="51">
        <f t="shared" si="807"/>
        <v>0</v>
      </c>
      <c r="EU302" s="51">
        <f t="shared" si="875"/>
        <v>0</v>
      </c>
      <c r="EV302" s="51">
        <f t="shared" si="808"/>
        <v>0</v>
      </c>
      <c r="EW302" s="54">
        <f t="shared" si="809"/>
        <v>0</v>
      </c>
      <c r="EX302" s="55">
        <f t="shared" si="810"/>
        <v>0</v>
      </c>
      <c r="EY302" s="56">
        <f>IF(AND($E302&lt;&gt;0,$F302&gt;0,YEAR($F302)&gt;=Preisindex!$A$6,YEAR(ET$4)&gt;=YEAR($F302),AND($K302&lt;&gt;"a",$K302&lt;&gt;"b",$K302&lt;&gt;"g",$K302&lt;&gt;"k")),1,IF(AND($E302&lt;&gt;0,$F302&gt;0,YEAR($F302)&gt;=Preisindex!$A$6,YEAR(ET$4)&gt;=YEAR($F302),$K302="a"),ROUND(VLOOKUP(EY$4,Preisindex,5,FALSE)/VLOOKUP(YEAR($F302),Preisindex,5,FALSE),2),IF(AND($E302&lt;&gt;0,$F302&gt;0,YEAR($F302)&gt;=Preisindex!$A$6,YEAR(ET$4)&gt;=YEAR($F302),$K302="b"),ROUND(VLOOKUP(EY$4,Preisindex,3,FALSE)/VLOOKUP(YEAR($F302),Preisindex,3,FALSE),2),IF(AND($E302&lt;&gt;0,$F302&gt;0,YEAR($F302)&gt;=Preisindex!$A$6,YEAR(ET$4)&gt;=YEAR($F302),$K302="g"),ROUND(VLOOKUP(EY$4,Preisindex,4,FALSE)/VLOOKUP(YEAR($F302),Preisindex,4,FALSE),2),IF(AND($E302&lt;&gt;0,$F302&gt;0,YEAR($F302)&gt;=Preisindex!$A$6,YEAR(ET$4)&gt;=YEAR($F302),$K302="k"),ROUND(VLOOKUP(EY$4,Preisindex,2,FALSE)/VLOOKUP(YEAR($F302),Preisindex,2,FALSE),2),0)))))</f>
        <v>0</v>
      </c>
      <c r="EZ302" s="56">
        <f>IF(AND($E302&lt;&gt;0,$F302&gt;0,YEAR($F302)&lt;Preisindex!$A$6,YEAR(ET$4)&gt;=YEAR($F302),AND($K302&lt;&gt;"a",$K302&lt;&gt;"b",$K302&lt;&gt;"g",$K302&lt;&gt;"k")),1,IF(AND($E302&lt;&gt;0,$F302&gt;0,YEAR($F302)&lt;Preisindex!$A$6,YEAR(ET$4)&gt;=YEAR($F302),$K302="a"),ROUND(VLOOKUP(EY$4,Preisindex,5,FALSE)/VLOOKUP(Preisindex!$A$6,Preisindex,5,FALSE),2),IF(AND($E302&lt;&gt;0,$F302&gt;0,YEAR($F302)&lt;Preisindex!$A$6,YEAR(ET$4)&gt;=YEAR($F302),$K302="b"),ROUND(VLOOKUP(EY$4,Preisindex,3,FALSE)/VLOOKUP(Preisindex!$A$6,Preisindex,3,FALSE),2),IF(AND($E302&lt;&gt;0,$F302&gt;0,YEAR($F302)&lt;Preisindex!$A$6,YEAR(ET$4)&gt;=YEAR($F302),$K302="g"),ROUND(VLOOKUP(EY$4,Preisindex,4,FALSE)/VLOOKUP(Preisindex!$A$6,Preisindex,4,FALSE),2),IF(AND($E302&lt;&gt;0,$F302&gt;0,YEAR($F302)&lt;Preisindex!$A$6,YEAR(ET$4)&gt;=YEAR($F302),$K302="k"),ROUND(VLOOKUP(EY$4,Preisindex,2,FALSE)/VLOOKUP(Preisindex!$A$6,Preisindex,2,FALSE),2),0)))))</f>
        <v>0</v>
      </c>
      <c r="FA302" s="51">
        <f>IF(AND($E302&lt;&gt;0,$F302&gt;0,YEAR($F302)&lt;=EY$4,YEAR($F302)&gt;=Preisindex!$A$6),ROUND($E302*EY302,2),IF(AND($E302&lt;&gt;0,$F302&gt;0,YEAR($F302)&lt;=EY$4,YEAR($F302)&lt;Preisindex!$A$6),ROUND($E302*EZ302,2),0))</f>
        <v>0</v>
      </c>
      <c r="FB302" s="53">
        <f t="shared" si="811"/>
        <v>0</v>
      </c>
      <c r="FC302" s="51">
        <f t="shared" si="882"/>
        <v>0</v>
      </c>
      <c r="FD302" s="51">
        <f t="shared" si="876"/>
        <v>0</v>
      </c>
      <c r="FE302" s="51">
        <f t="shared" si="812"/>
        <v>0</v>
      </c>
      <c r="FF302" s="51">
        <f t="shared" si="877"/>
        <v>0</v>
      </c>
      <c r="FG302" s="51">
        <f t="shared" si="813"/>
        <v>0</v>
      </c>
      <c r="FH302" s="51">
        <f t="shared" si="878"/>
        <v>0</v>
      </c>
      <c r="FI302" s="51">
        <f t="shared" si="814"/>
        <v>0</v>
      </c>
      <c r="FJ302" s="51">
        <f t="shared" si="879"/>
        <v>0</v>
      </c>
      <c r="FK302" s="51">
        <f t="shared" si="815"/>
        <v>0</v>
      </c>
      <c r="FL302" s="51">
        <f t="shared" si="880"/>
        <v>0</v>
      </c>
      <c r="FM302" s="51">
        <f t="shared" si="816"/>
        <v>0</v>
      </c>
      <c r="FN302" s="54">
        <f t="shared" si="817"/>
        <v>0</v>
      </c>
      <c r="FO302" s="55">
        <f t="shared" si="818"/>
        <v>0</v>
      </c>
      <c r="FP302" s="56">
        <f>IF(AND($E302&lt;&gt;0,$F302&gt;0,YEAR($F302)&gt;=Preisindex!$A$6,YEAR(FK$4)&gt;=YEAR($F302),AND($K302&lt;&gt;"a",$K302&lt;&gt;"b",$K302&lt;&gt;"g",$K302&lt;&gt;"k")),1,IF(AND($E302&lt;&gt;0,$F302&gt;0,YEAR($F302)&gt;=Preisindex!$A$6,YEAR(FK$4)&gt;=YEAR($F302),$K302="a"),ROUND(VLOOKUP(FP$4,Preisindex,5,FALSE)/VLOOKUP(YEAR($F302),Preisindex,5,FALSE),2),IF(AND($E302&lt;&gt;0,$F302&gt;0,YEAR($F302)&gt;=Preisindex!$A$6,YEAR(FK$4)&gt;=YEAR($F302),$K302="b"),ROUND(VLOOKUP(FP$4,Preisindex,3,FALSE)/VLOOKUP(YEAR($F302),Preisindex,3,FALSE),2),IF(AND($E302&lt;&gt;0,$F302&gt;0,YEAR($F302)&gt;=Preisindex!$A$6,YEAR(FK$4)&gt;=YEAR($F302),$K302="g"),ROUND(VLOOKUP(FP$4,Preisindex,4,FALSE)/VLOOKUP(YEAR($F302),Preisindex,4,FALSE),2),IF(AND($E302&lt;&gt;0,$F302&gt;0,YEAR($F302)&gt;=Preisindex!$A$6,YEAR(FK$4)&gt;=YEAR($F302),$K302="k"),ROUND(VLOOKUP(FP$4,Preisindex,2,FALSE)/VLOOKUP(YEAR($F302),Preisindex,2,FALSE),2),0)))))</f>
        <v>0</v>
      </c>
      <c r="FQ302" s="56">
        <f>IF(AND($E302&lt;&gt;0,$F302&gt;0,YEAR($F302)&lt;Preisindex!$A$6,YEAR(FK$4)&gt;=YEAR($F302),AND($K302&lt;&gt;"a",$K302&lt;&gt;"b",$K302&lt;&gt;"g",$K302&lt;&gt;"k")),1,IF(AND($E302&lt;&gt;0,$F302&gt;0,YEAR($F302)&lt;Preisindex!$A$6,YEAR(FK$4)&gt;=YEAR($F302),$K302="a"),ROUND(VLOOKUP(FP$4,Preisindex,5,FALSE)/VLOOKUP(Preisindex!$A$6,Preisindex,5,FALSE),2),IF(AND($E302&lt;&gt;0,$F302&gt;0,YEAR($F302)&lt;Preisindex!$A$6,YEAR(FK$4)&gt;=YEAR($F302),$K302="b"),ROUND(VLOOKUP(FP$4,Preisindex,3,FALSE)/VLOOKUP(Preisindex!$A$6,Preisindex,3,FALSE),2),IF(AND($E302&lt;&gt;0,$F302&gt;0,YEAR($F302)&lt;Preisindex!$A$6,YEAR(FK$4)&gt;=YEAR($F302),$K302="g"),ROUND(VLOOKUP(FP$4,Preisindex,4,FALSE)/VLOOKUP(Preisindex!$A$6,Preisindex,4,FALSE),2),IF(AND($E302&lt;&gt;0,$F302&gt;0,YEAR($F302)&lt;Preisindex!$A$6,YEAR(FK$4)&gt;=YEAR($F302),$K302="k"),ROUND(VLOOKUP(FP$4,Preisindex,2,FALSE)/VLOOKUP(Preisindex!$A$6,Preisindex,2,FALSE),2),0)))))</f>
        <v>0</v>
      </c>
      <c r="FR302" s="51">
        <f>IF(AND($E302&lt;&gt;0,$F302&gt;0,YEAR($F302)&lt;=FP$4,YEAR($F302)&gt;=Preisindex!$A$6),ROUND($E302*FP302,2),IF(AND($E302&lt;&gt;0,$F302&gt;0,YEAR($F302)&lt;=FP$4,YEAR($F302)&lt;Preisindex!$A$6),ROUND($E302*FQ302,2),0))</f>
        <v>0</v>
      </c>
      <c r="FS302" s="53">
        <f t="shared" si="819"/>
        <v>0</v>
      </c>
    </row>
    <row r="303" spans="1:175" x14ac:dyDescent="0.3">
      <c r="A303" s="185"/>
      <c r="B303" s="186"/>
      <c r="C303" s="187"/>
      <c r="D303" s="95"/>
      <c r="E303" s="99"/>
      <c r="F303" s="97"/>
      <c r="G303" s="98"/>
      <c r="H303" s="192"/>
      <c r="I303" s="193"/>
      <c r="J303" s="194"/>
      <c r="K303" s="630"/>
      <c r="L303" s="49">
        <f t="shared" si="820"/>
        <v>0</v>
      </c>
      <c r="M303" s="50">
        <f t="shared" si="821"/>
        <v>0</v>
      </c>
      <c r="N303" s="51">
        <f t="shared" si="822"/>
        <v>0</v>
      </c>
      <c r="O303" s="51"/>
      <c r="P303" s="51">
        <f t="shared" si="823"/>
        <v>0</v>
      </c>
      <c r="Q303" s="52"/>
      <c r="R303" s="52"/>
      <c r="S303" s="52"/>
      <c r="T303" s="52"/>
      <c r="U303" s="52"/>
      <c r="V303" s="53">
        <f t="shared" si="824"/>
        <v>0</v>
      </c>
      <c r="W303" s="51">
        <f t="shared" si="825"/>
        <v>0</v>
      </c>
      <c r="X303" s="51">
        <f t="shared" si="826"/>
        <v>0</v>
      </c>
      <c r="Y303" s="51">
        <f t="shared" si="827"/>
        <v>0</v>
      </c>
      <c r="Z303" s="51">
        <f t="shared" si="828"/>
        <v>0</v>
      </c>
      <c r="AA303" s="51">
        <f t="shared" si="829"/>
        <v>0</v>
      </c>
      <c r="AB303" s="51">
        <f t="shared" si="830"/>
        <v>0</v>
      </c>
      <c r="AC303" s="51">
        <f t="shared" si="831"/>
        <v>0</v>
      </c>
      <c r="AD303" s="51">
        <f t="shared" si="832"/>
        <v>0</v>
      </c>
      <c r="AE303" s="51">
        <f t="shared" si="833"/>
        <v>0</v>
      </c>
      <c r="AF303" s="51">
        <f t="shared" si="834"/>
        <v>0</v>
      </c>
      <c r="AG303" s="51">
        <f t="shared" si="835"/>
        <v>0</v>
      </c>
      <c r="AH303" s="54">
        <f t="shared" si="836"/>
        <v>0</v>
      </c>
      <c r="AI303" s="55">
        <f t="shared" si="837"/>
        <v>0</v>
      </c>
      <c r="AJ303" s="56">
        <f>IF(AND($E303&lt;&gt;0,$F303&gt;0,YEAR($F303)&gt;=Preisindex!$A$6,YEAR(AE$4)&gt;=YEAR($F303),AND($K303&lt;&gt;"a",$K303&lt;&gt;"b",$K303&lt;&gt;"g",$K303&lt;&gt;"k")),1,IF(AND($E303&lt;&gt;0,$F303&gt;0,YEAR($F303)&gt;=Preisindex!$A$6,YEAR(AE$4)&gt;=YEAR($F303),$K303="a"),ROUND(VLOOKUP(AJ$4,Preisindex,5,FALSE)/VLOOKUP(YEAR($F303),Preisindex,5,FALSE),2),IF(AND($E303&lt;&gt;0,$F303&gt;0,YEAR($F303)&gt;=Preisindex!$A$6,YEAR(AE$4)&gt;=YEAR($F303),$K303="b"),ROUND(VLOOKUP(AJ$4,Preisindex,3,FALSE)/VLOOKUP(YEAR($F303),Preisindex,3,FALSE),2),IF(AND($E303&lt;&gt;0,$F303&gt;0,YEAR($F303)&gt;=Preisindex!$A$6,YEAR(AE$4)&gt;=YEAR($F303),$K303="g"),ROUND(VLOOKUP(AJ$4,Preisindex,4,FALSE)/VLOOKUP(YEAR($F303),Preisindex,4,FALSE),2),IF(AND($E303&lt;&gt;0,$F303&gt;0,YEAR($F303)&gt;=Preisindex!$A$6,YEAR(AE$4)&gt;=YEAR($F303),$K303="k"),ROUND(VLOOKUP(AJ$4,Preisindex,2,FALSE)/VLOOKUP(YEAR($F303),Preisindex,2,FALSE),2),0)))))</f>
        <v>0</v>
      </c>
      <c r="AK303" s="56">
        <f>IF(AND($E303&lt;&gt;0,$F303&gt;0,YEAR($F303)&lt;Preisindex!$A$6,YEAR(AE$4)&gt;=YEAR($F303),AND($K303&lt;&gt;"a",$K303&lt;&gt;"b",$K303&lt;&gt;"g",$K303&lt;&gt;"k")),1,IF(AND($E303&lt;&gt;0,$F303&gt;0,YEAR($F303)&lt;Preisindex!$A$6,YEAR(AE$4)&gt;=YEAR($F303),$K303="a"),ROUND(VLOOKUP(AJ$4,Preisindex,5,FALSE)/VLOOKUP(Preisindex!$A$6,Preisindex,5,FALSE),2),IF(AND($E303&lt;&gt;0,$F303&gt;0,YEAR($F303)&lt;Preisindex!$A$6,YEAR(AE$4)&gt;=YEAR($F303),$K303="b"),ROUND(VLOOKUP(AJ$4,Preisindex,3,FALSE)/VLOOKUP(Preisindex!$A$6,Preisindex,3,FALSE),2),IF(AND($E303&lt;&gt;0,$F303&gt;0,YEAR($F303)&lt;Preisindex!$A$6,YEAR(AE$4)&gt;=YEAR($F303),$K303="g"),ROUND(VLOOKUP(AJ$4,Preisindex,4,FALSE)/VLOOKUP(Preisindex!$A$6,Preisindex,4,FALSE),2),IF(AND($E303&lt;&gt;0,$F303&gt;0,YEAR($F303)&lt;Preisindex!$A$6,YEAR(AE$4)&gt;=YEAR($F303),$K303="k"),ROUND(VLOOKUP(AJ$4,Preisindex,2,FALSE)/VLOOKUP(Preisindex!$A$6,Preisindex,2,FALSE),2),0)))))</f>
        <v>0</v>
      </c>
      <c r="AL303" s="51">
        <f>IF(AND($E303&lt;&gt;0,$F303&gt;0,YEAR($F303)&lt;=AJ$4,YEAR($F303)&gt;=Preisindex!$A$6),ROUND($E303*AJ303,2),IF(AND($E303&lt;&gt;0,$F303&gt;0,YEAR($F303)&lt;=AJ$4,YEAR($F303)&lt;Preisindex!$A$6),ROUND($E303*AK303,2),0))</f>
        <v>0</v>
      </c>
      <c r="AM303" s="53">
        <f t="shared" si="838"/>
        <v>0</v>
      </c>
      <c r="AN303" s="51">
        <f t="shared" si="881"/>
        <v>0</v>
      </c>
      <c r="AO303" s="51">
        <f t="shared" si="841"/>
        <v>0</v>
      </c>
      <c r="AP303" s="51">
        <f t="shared" si="755"/>
        <v>0</v>
      </c>
      <c r="AQ303" s="51">
        <f t="shared" si="842"/>
        <v>0</v>
      </c>
      <c r="AR303" s="51">
        <f t="shared" si="756"/>
        <v>0</v>
      </c>
      <c r="AS303" s="51">
        <f t="shared" si="843"/>
        <v>0</v>
      </c>
      <c r="AT303" s="51">
        <f t="shared" si="757"/>
        <v>0</v>
      </c>
      <c r="AU303" s="51">
        <f t="shared" si="844"/>
        <v>0</v>
      </c>
      <c r="AV303" s="51">
        <f t="shared" si="758"/>
        <v>0</v>
      </c>
      <c r="AW303" s="51">
        <f t="shared" si="845"/>
        <v>0</v>
      </c>
      <c r="AX303" s="51">
        <f t="shared" si="759"/>
        <v>0</v>
      </c>
      <c r="AY303" s="54">
        <f t="shared" si="760"/>
        <v>0</v>
      </c>
      <c r="AZ303" s="55">
        <f t="shared" si="761"/>
        <v>0</v>
      </c>
      <c r="BA303" s="56">
        <f>IF(AND($E303&lt;&gt;0,$F303&gt;0,YEAR($F303)&gt;=Preisindex!$A$6,YEAR(AV$4)&gt;=YEAR($F303),AND($K303&lt;&gt;"a",$K303&lt;&gt;"b",$K303&lt;&gt;"g",$K303&lt;&gt;"k")),1,IF(AND($E303&lt;&gt;0,$F303&gt;0,YEAR($F303)&gt;=Preisindex!$A$6,YEAR(AV$4)&gt;=YEAR($F303),$K303="a"),ROUND(VLOOKUP(BA$4,Preisindex,5,FALSE)/VLOOKUP(YEAR($F303),Preisindex,5,FALSE),2),IF(AND($E303&lt;&gt;0,$F303&gt;0,YEAR($F303)&gt;=Preisindex!$A$6,YEAR(AV$4)&gt;=YEAR($F303),$K303="b"),ROUND(VLOOKUP(BA$4,Preisindex,3,FALSE)/VLOOKUP(YEAR($F303),Preisindex,3,FALSE),2),IF(AND($E303&lt;&gt;0,$F303&gt;0,YEAR($F303)&gt;=Preisindex!$A$6,YEAR(AV$4)&gt;=YEAR($F303),$K303="g"),ROUND(VLOOKUP(BA$4,Preisindex,4,FALSE)/VLOOKUP(YEAR($F303),Preisindex,4,FALSE),2),IF(AND($E303&lt;&gt;0,$F303&gt;0,YEAR($F303)&gt;=Preisindex!$A$6,YEAR(AV$4)&gt;=YEAR($F303),$K303="k"),ROUND(VLOOKUP(BA$4,Preisindex,2,FALSE)/VLOOKUP(YEAR($F303),Preisindex,2,FALSE),2),0)))))</f>
        <v>0</v>
      </c>
      <c r="BB303" s="56">
        <f>IF(AND($E303&lt;&gt;0,$F303&gt;0,YEAR($F303)&lt;Preisindex!$A$6,YEAR(AV$4)&gt;=YEAR($F303),AND($K303&lt;&gt;"a",$K303&lt;&gt;"b",$K303&lt;&gt;"g",$K303&lt;&gt;"k")),1,IF(AND($E303&lt;&gt;0,$F303&gt;0,YEAR($F303)&lt;Preisindex!$A$6,YEAR(AV$4)&gt;=YEAR($F303),$K303="a"),ROUND(VLOOKUP(BA$4,Preisindex,5,FALSE)/VLOOKUP(Preisindex!$A$6,Preisindex,5,FALSE),2),IF(AND($E303&lt;&gt;0,$F303&gt;0,YEAR($F303)&lt;Preisindex!$A$6,YEAR(AV$4)&gt;=YEAR($F303),$K303="b"),ROUND(VLOOKUP(BA$4,Preisindex,3,FALSE)/VLOOKUP(Preisindex!$A$6,Preisindex,3,FALSE),2),IF(AND($E303&lt;&gt;0,$F303&gt;0,YEAR($F303)&lt;Preisindex!$A$6,YEAR(AV$4)&gt;=YEAR($F303),$K303="g"),ROUND(VLOOKUP(BA$4,Preisindex,4,FALSE)/VLOOKUP(Preisindex!$A$6,Preisindex,4,FALSE),2),IF(AND($E303&lt;&gt;0,$F303&gt;0,YEAR($F303)&lt;Preisindex!$A$6,YEAR(AV$4)&gt;=YEAR($F303),$K303="k"),ROUND(VLOOKUP(BA$4,Preisindex,2,FALSE)/VLOOKUP(Preisindex!$A$6,Preisindex,2,FALSE),2),0)))))</f>
        <v>0</v>
      </c>
      <c r="BC303" s="51">
        <f>IF(AND($E303&lt;&gt;0,$F303&gt;0,YEAR($F303)&lt;=BA$4,YEAR($F303)&gt;=Preisindex!$A$6),ROUND($E303*BA303,2),IF(AND($E303&lt;&gt;0,$F303&gt;0,YEAR($F303)&lt;=BA$4,YEAR($F303)&lt;Preisindex!$A$6),ROUND($E303*BB303,2),0))</f>
        <v>0</v>
      </c>
      <c r="BD303" s="53">
        <f t="shared" si="762"/>
        <v>0</v>
      </c>
      <c r="BE303" s="51">
        <f t="shared" si="881"/>
        <v>0</v>
      </c>
      <c r="BF303" s="51">
        <f t="shared" si="846"/>
        <v>0</v>
      </c>
      <c r="BG303" s="51">
        <f t="shared" si="763"/>
        <v>0</v>
      </c>
      <c r="BH303" s="51">
        <f t="shared" si="847"/>
        <v>0</v>
      </c>
      <c r="BI303" s="51">
        <f t="shared" si="764"/>
        <v>0</v>
      </c>
      <c r="BJ303" s="51">
        <f t="shared" si="848"/>
        <v>0</v>
      </c>
      <c r="BK303" s="51">
        <f t="shared" si="765"/>
        <v>0</v>
      </c>
      <c r="BL303" s="51">
        <f t="shared" si="849"/>
        <v>0</v>
      </c>
      <c r="BM303" s="51">
        <f t="shared" si="766"/>
        <v>0</v>
      </c>
      <c r="BN303" s="51">
        <f t="shared" si="850"/>
        <v>0</v>
      </c>
      <c r="BO303" s="51">
        <f t="shared" si="767"/>
        <v>0</v>
      </c>
      <c r="BP303" s="54">
        <f t="shared" si="768"/>
        <v>0</v>
      </c>
      <c r="BQ303" s="55">
        <f t="shared" si="769"/>
        <v>0</v>
      </c>
      <c r="BR303" s="56">
        <f>IF(AND($E303&lt;&gt;0,$F303&gt;0,YEAR($F303)&gt;=Preisindex!$A$6,YEAR(BM$4)&gt;=YEAR($F303),AND($K303&lt;&gt;"a",$K303&lt;&gt;"b",$K303&lt;&gt;"g",$K303&lt;&gt;"k")),1,IF(AND($E303&lt;&gt;0,$F303&gt;0,YEAR($F303)&gt;=Preisindex!$A$6,YEAR(BM$4)&gt;=YEAR($F303),$K303="a"),ROUND(VLOOKUP(BR$4,Preisindex,5,FALSE)/VLOOKUP(YEAR($F303),Preisindex,5,FALSE),2),IF(AND($E303&lt;&gt;0,$F303&gt;0,YEAR($F303)&gt;=Preisindex!$A$6,YEAR(BM$4)&gt;=YEAR($F303),$K303="b"),ROUND(VLOOKUP(BR$4,Preisindex,3,FALSE)/VLOOKUP(YEAR($F303),Preisindex,3,FALSE),2),IF(AND($E303&lt;&gt;0,$F303&gt;0,YEAR($F303)&gt;=Preisindex!$A$6,YEAR(BM$4)&gt;=YEAR($F303),$K303="g"),ROUND(VLOOKUP(BR$4,Preisindex,4,FALSE)/VLOOKUP(YEAR($F303),Preisindex,4,FALSE),2),IF(AND($E303&lt;&gt;0,$F303&gt;0,YEAR($F303)&gt;=Preisindex!$A$6,YEAR(BM$4)&gt;=YEAR($F303),$K303="k"),ROUND(VLOOKUP(BR$4,Preisindex,2,FALSE)/VLOOKUP(YEAR($F303),Preisindex,2,FALSE),2),0)))))</f>
        <v>0</v>
      </c>
      <c r="BS303" s="56">
        <f>IF(AND($E303&lt;&gt;0,$F303&gt;0,YEAR($F303)&lt;Preisindex!$A$6,YEAR(BM$4)&gt;=YEAR($F303),AND($K303&lt;&gt;"a",$K303&lt;&gt;"b",$K303&lt;&gt;"g",$K303&lt;&gt;"k")),1,IF(AND($E303&lt;&gt;0,$F303&gt;0,YEAR($F303)&lt;Preisindex!$A$6,YEAR(BM$4)&gt;=YEAR($F303),$K303="a"),ROUND(VLOOKUP(BR$4,Preisindex,5,FALSE)/VLOOKUP(Preisindex!$A$6,Preisindex,5,FALSE),2),IF(AND($E303&lt;&gt;0,$F303&gt;0,YEAR($F303)&lt;Preisindex!$A$6,YEAR(BM$4)&gt;=YEAR($F303),$K303="b"),ROUND(VLOOKUP(BR$4,Preisindex,3,FALSE)/VLOOKUP(Preisindex!$A$6,Preisindex,3,FALSE),2),IF(AND($E303&lt;&gt;0,$F303&gt;0,YEAR($F303)&lt;Preisindex!$A$6,YEAR(BM$4)&gt;=YEAR($F303),$K303="g"),ROUND(VLOOKUP(BR$4,Preisindex,4,FALSE)/VLOOKUP(Preisindex!$A$6,Preisindex,4,FALSE),2),IF(AND($E303&lt;&gt;0,$F303&gt;0,YEAR($F303)&lt;Preisindex!$A$6,YEAR(BM$4)&gt;=YEAR($F303),$K303="k"),ROUND(VLOOKUP(BR$4,Preisindex,2,FALSE)/VLOOKUP(Preisindex!$A$6,Preisindex,2,FALSE),2),0)))))</f>
        <v>0</v>
      </c>
      <c r="BT303" s="51">
        <f>IF(AND($E303&lt;&gt;0,$F303&gt;0,YEAR($F303)&lt;=BR$4,YEAR($F303)&gt;=Preisindex!$A$6),ROUND($E303*BR303,2),IF(AND($E303&lt;&gt;0,$F303&gt;0,YEAR($F303)&lt;=BR$4,YEAR($F303)&lt;Preisindex!$A$6),ROUND($E303*BS303,2),0))</f>
        <v>0</v>
      </c>
      <c r="BU303" s="53">
        <f t="shared" si="770"/>
        <v>0</v>
      </c>
      <c r="BV303" s="51">
        <f t="shared" si="881"/>
        <v>0</v>
      </c>
      <c r="BW303" s="51">
        <f t="shared" si="851"/>
        <v>0</v>
      </c>
      <c r="BX303" s="51">
        <f t="shared" si="771"/>
        <v>0</v>
      </c>
      <c r="BY303" s="51">
        <f t="shared" si="852"/>
        <v>0</v>
      </c>
      <c r="BZ303" s="51">
        <f t="shared" si="772"/>
        <v>0</v>
      </c>
      <c r="CA303" s="51">
        <f t="shared" si="853"/>
        <v>0</v>
      </c>
      <c r="CB303" s="51">
        <f t="shared" si="773"/>
        <v>0</v>
      </c>
      <c r="CC303" s="51">
        <f t="shared" si="854"/>
        <v>0</v>
      </c>
      <c r="CD303" s="51">
        <f t="shared" si="774"/>
        <v>0</v>
      </c>
      <c r="CE303" s="51">
        <f t="shared" si="855"/>
        <v>0</v>
      </c>
      <c r="CF303" s="51">
        <f t="shared" si="775"/>
        <v>0</v>
      </c>
      <c r="CG303" s="54">
        <f t="shared" si="776"/>
        <v>0</v>
      </c>
      <c r="CH303" s="55">
        <f t="shared" si="777"/>
        <v>0</v>
      </c>
      <c r="CI303" s="56">
        <f>IF(AND($E303&lt;&gt;0,$F303&gt;0,YEAR($F303)&gt;=Preisindex!$A$6,YEAR(CD$4)&gt;=YEAR($F303),AND($K303&lt;&gt;"a",$K303&lt;&gt;"b",$K303&lt;&gt;"g",$K303&lt;&gt;"k")),1,IF(AND($E303&lt;&gt;0,$F303&gt;0,YEAR($F303)&gt;=Preisindex!$A$6,YEAR(CD$4)&gt;=YEAR($F303),$K303="a"),ROUND(VLOOKUP(CI$4,Preisindex,5,FALSE)/VLOOKUP(YEAR($F303),Preisindex,5,FALSE),2),IF(AND($E303&lt;&gt;0,$F303&gt;0,YEAR($F303)&gt;=Preisindex!$A$6,YEAR(CD$4)&gt;=YEAR($F303),$K303="b"),ROUND(VLOOKUP(CI$4,Preisindex,3,FALSE)/VLOOKUP(YEAR($F303),Preisindex,3,FALSE),2),IF(AND($E303&lt;&gt;0,$F303&gt;0,YEAR($F303)&gt;=Preisindex!$A$6,YEAR(CD$4)&gt;=YEAR($F303),$K303="g"),ROUND(VLOOKUP(CI$4,Preisindex,4,FALSE)/VLOOKUP(YEAR($F303),Preisindex,4,FALSE),2),IF(AND($E303&lt;&gt;0,$F303&gt;0,YEAR($F303)&gt;=Preisindex!$A$6,YEAR(CD$4)&gt;=YEAR($F303),$K303="k"),ROUND(VLOOKUP(CI$4,Preisindex,2,FALSE)/VLOOKUP(YEAR($F303),Preisindex,2,FALSE),2),0)))))</f>
        <v>0</v>
      </c>
      <c r="CJ303" s="56">
        <f>IF(AND($E303&lt;&gt;0,$F303&gt;0,YEAR($F303)&lt;Preisindex!$A$6,YEAR(CD$4)&gt;=YEAR($F303),AND($K303&lt;&gt;"a",$K303&lt;&gt;"b",$K303&lt;&gt;"g",$K303&lt;&gt;"k")),1,IF(AND($E303&lt;&gt;0,$F303&gt;0,YEAR($F303)&lt;Preisindex!$A$6,YEAR(CD$4)&gt;=YEAR($F303),$K303="a"),ROUND(VLOOKUP(CI$4,Preisindex,5,FALSE)/VLOOKUP(Preisindex!$A$6,Preisindex,5,FALSE),2),IF(AND($E303&lt;&gt;0,$F303&gt;0,YEAR($F303)&lt;Preisindex!$A$6,YEAR(CD$4)&gt;=YEAR($F303),$K303="b"),ROUND(VLOOKUP(CI$4,Preisindex,3,FALSE)/VLOOKUP(Preisindex!$A$6,Preisindex,3,FALSE),2),IF(AND($E303&lt;&gt;0,$F303&gt;0,YEAR($F303)&lt;Preisindex!$A$6,YEAR(CD$4)&gt;=YEAR($F303),$K303="g"),ROUND(VLOOKUP(CI$4,Preisindex,4,FALSE)/VLOOKUP(Preisindex!$A$6,Preisindex,4,FALSE),2),IF(AND($E303&lt;&gt;0,$F303&gt;0,YEAR($F303)&lt;Preisindex!$A$6,YEAR(CD$4)&gt;=YEAR($F303),$K303="k"),ROUND(VLOOKUP(CI$4,Preisindex,2,FALSE)/VLOOKUP(Preisindex!$A$6,Preisindex,2,FALSE),2),0)))))</f>
        <v>0</v>
      </c>
      <c r="CK303" s="51">
        <f>IF(AND($E303&lt;&gt;0,$F303&gt;0,YEAR($F303)&lt;=CI$4,YEAR($F303)&gt;=Preisindex!$A$6),ROUND($E303*CI303,2),IF(AND($E303&lt;&gt;0,$F303&gt;0,YEAR($F303)&lt;=CI$4,YEAR($F303)&lt;Preisindex!$A$6),ROUND($E303*CJ303,2),0))</f>
        <v>0</v>
      </c>
      <c r="CL303" s="53">
        <f t="shared" si="778"/>
        <v>0</v>
      </c>
      <c r="CM303" s="51">
        <f t="shared" si="881"/>
        <v>0</v>
      </c>
      <c r="CN303" s="51">
        <f t="shared" si="856"/>
        <v>0</v>
      </c>
      <c r="CO303" s="51">
        <f t="shared" si="779"/>
        <v>0</v>
      </c>
      <c r="CP303" s="51">
        <f t="shared" si="857"/>
        <v>0</v>
      </c>
      <c r="CQ303" s="51">
        <f t="shared" si="780"/>
        <v>0</v>
      </c>
      <c r="CR303" s="51">
        <f t="shared" si="858"/>
        <v>0</v>
      </c>
      <c r="CS303" s="51">
        <f t="shared" si="781"/>
        <v>0</v>
      </c>
      <c r="CT303" s="51">
        <f t="shared" si="859"/>
        <v>0</v>
      </c>
      <c r="CU303" s="51">
        <f t="shared" si="782"/>
        <v>0</v>
      </c>
      <c r="CV303" s="51">
        <f t="shared" si="860"/>
        <v>0</v>
      </c>
      <c r="CW303" s="51">
        <f t="shared" si="783"/>
        <v>0</v>
      </c>
      <c r="CX303" s="54">
        <f t="shared" si="784"/>
        <v>0</v>
      </c>
      <c r="CY303" s="55">
        <f t="shared" si="785"/>
        <v>0</v>
      </c>
      <c r="CZ303" s="56">
        <f>IF(AND($E303&lt;&gt;0,$F303&gt;0,YEAR($F303)&gt;=Preisindex!$A$6,YEAR(CU$4)&gt;=YEAR($F303),AND($K303&lt;&gt;"a",$K303&lt;&gt;"b",$K303&lt;&gt;"g",$K303&lt;&gt;"k")),1,IF(AND($E303&lt;&gt;0,$F303&gt;0,YEAR($F303)&gt;=Preisindex!$A$6,YEAR(CU$4)&gt;=YEAR($F303),$K303="a"),ROUND(VLOOKUP(CZ$4,Preisindex,5,FALSE)/VLOOKUP(YEAR($F303),Preisindex,5,FALSE),2),IF(AND($E303&lt;&gt;0,$F303&gt;0,YEAR($F303)&gt;=Preisindex!$A$6,YEAR(CU$4)&gt;=YEAR($F303),$K303="b"),ROUND(VLOOKUP(CZ$4,Preisindex,3,FALSE)/VLOOKUP(YEAR($F303),Preisindex,3,FALSE),2),IF(AND($E303&lt;&gt;0,$F303&gt;0,YEAR($F303)&gt;=Preisindex!$A$6,YEAR(CU$4)&gt;=YEAR($F303),$K303="g"),ROUND(VLOOKUP(CZ$4,Preisindex,4,FALSE)/VLOOKUP(YEAR($F303),Preisindex,4,FALSE),2),IF(AND($E303&lt;&gt;0,$F303&gt;0,YEAR($F303)&gt;=Preisindex!$A$6,YEAR(CU$4)&gt;=YEAR($F303),$K303="k"),ROUND(VLOOKUP(CZ$4,Preisindex,2,FALSE)/VLOOKUP(YEAR($F303),Preisindex,2,FALSE),2),0)))))</f>
        <v>0</v>
      </c>
      <c r="DA303" s="56">
        <f>IF(AND($E303&lt;&gt;0,$F303&gt;0,YEAR($F303)&lt;Preisindex!$A$6,YEAR(CU$4)&gt;=YEAR($F303),AND($K303&lt;&gt;"a",$K303&lt;&gt;"b",$K303&lt;&gt;"g",$K303&lt;&gt;"k")),1,IF(AND($E303&lt;&gt;0,$F303&gt;0,YEAR($F303)&lt;Preisindex!$A$6,YEAR(CU$4)&gt;=YEAR($F303),$K303="a"),ROUND(VLOOKUP(CZ$4,Preisindex,5,FALSE)/VLOOKUP(Preisindex!$A$6,Preisindex,5,FALSE),2),IF(AND($E303&lt;&gt;0,$F303&gt;0,YEAR($F303)&lt;Preisindex!$A$6,YEAR(CU$4)&gt;=YEAR($F303),$K303="b"),ROUND(VLOOKUP(CZ$4,Preisindex,3,FALSE)/VLOOKUP(Preisindex!$A$6,Preisindex,3,FALSE),2),IF(AND($E303&lt;&gt;0,$F303&gt;0,YEAR($F303)&lt;Preisindex!$A$6,YEAR(CU$4)&gt;=YEAR($F303),$K303="g"),ROUND(VLOOKUP(CZ$4,Preisindex,4,FALSE)/VLOOKUP(Preisindex!$A$6,Preisindex,4,FALSE),2),IF(AND($E303&lt;&gt;0,$F303&gt;0,YEAR($F303)&lt;Preisindex!$A$6,YEAR(CU$4)&gt;=YEAR($F303),$K303="k"),ROUND(VLOOKUP(CZ$4,Preisindex,2,FALSE)/VLOOKUP(Preisindex!$A$6,Preisindex,2,FALSE),2),0)))))</f>
        <v>0</v>
      </c>
      <c r="DB303" s="51">
        <f>IF(AND($E303&lt;&gt;0,$F303&gt;0,YEAR($F303)&lt;=CZ$4,YEAR($F303)&gt;=Preisindex!$A$6),ROUND($E303*CZ303,2),IF(AND($E303&lt;&gt;0,$F303&gt;0,YEAR($F303)&lt;=CZ$4,YEAR($F303)&lt;Preisindex!$A$6),ROUND($E303*DA303,2),0))</f>
        <v>0</v>
      </c>
      <c r="DC303" s="53">
        <f t="shared" si="786"/>
        <v>0</v>
      </c>
      <c r="DD303" s="51">
        <f t="shared" si="882"/>
        <v>0</v>
      </c>
      <c r="DE303" s="51">
        <f t="shared" si="861"/>
        <v>0</v>
      </c>
      <c r="DF303" s="51">
        <f t="shared" si="788"/>
        <v>0</v>
      </c>
      <c r="DG303" s="51">
        <f t="shared" si="862"/>
        <v>0</v>
      </c>
      <c r="DH303" s="51">
        <f t="shared" si="789"/>
        <v>0</v>
      </c>
      <c r="DI303" s="51">
        <f t="shared" si="863"/>
        <v>0</v>
      </c>
      <c r="DJ303" s="51">
        <f t="shared" si="790"/>
        <v>0</v>
      </c>
      <c r="DK303" s="51">
        <f t="shared" si="864"/>
        <v>0</v>
      </c>
      <c r="DL303" s="51">
        <f t="shared" si="791"/>
        <v>0</v>
      </c>
      <c r="DM303" s="51">
        <f t="shared" si="865"/>
        <v>0</v>
      </c>
      <c r="DN303" s="51">
        <f t="shared" si="792"/>
        <v>0</v>
      </c>
      <c r="DO303" s="54">
        <f t="shared" si="793"/>
        <v>0</v>
      </c>
      <c r="DP303" s="55">
        <f t="shared" si="794"/>
        <v>0</v>
      </c>
      <c r="DQ303" s="56">
        <f>IF(AND($E303&lt;&gt;0,$F303&gt;0,YEAR($F303)&gt;=Preisindex!$A$6,YEAR(DL$4)&gt;=YEAR($F303),AND($K303&lt;&gt;"a",$K303&lt;&gt;"b",$K303&lt;&gt;"g",$K303&lt;&gt;"k")),1,IF(AND($E303&lt;&gt;0,$F303&gt;0,YEAR($F303)&gt;=Preisindex!$A$6,YEAR(DL$4)&gt;=YEAR($F303),$K303="a"),ROUND(VLOOKUP(DQ$4,Preisindex,5,FALSE)/VLOOKUP(YEAR($F303),Preisindex,5,FALSE),2),IF(AND($E303&lt;&gt;0,$F303&gt;0,YEAR($F303)&gt;=Preisindex!$A$6,YEAR(DL$4)&gt;=YEAR($F303),$K303="b"),ROUND(VLOOKUP(DQ$4,Preisindex,3,FALSE)/VLOOKUP(YEAR($F303),Preisindex,3,FALSE),2),IF(AND($E303&lt;&gt;0,$F303&gt;0,YEAR($F303)&gt;=Preisindex!$A$6,YEAR(DL$4)&gt;=YEAR($F303),$K303="g"),ROUND(VLOOKUP(DQ$4,Preisindex,4,FALSE)/VLOOKUP(YEAR($F303),Preisindex,4,FALSE),2),IF(AND($E303&lt;&gt;0,$F303&gt;0,YEAR($F303)&gt;=Preisindex!$A$6,YEAR(DL$4)&gt;=YEAR($F303),$K303="k"),ROUND(VLOOKUP(DQ$4,Preisindex,2,FALSE)/VLOOKUP(YEAR($F303),Preisindex,2,FALSE),2),0)))))</f>
        <v>0</v>
      </c>
      <c r="DR303" s="56">
        <f>IF(AND($E303&lt;&gt;0,$F303&gt;0,YEAR($F303)&lt;Preisindex!$A$6,YEAR(DL$4)&gt;=YEAR($F303),AND($K303&lt;&gt;"a",$K303&lt;&gt;"b",$K303&lt;&gt;"g",$K303&lt;&gt;"k")),1,IF(AND($E303&lt;&gt;0,$F303&gt;0,YEAR($F303)&lt;Preisindex!$A$6,YEAR(DL$4)&gt;=YEAR($F303),$K303="a"),ROUND(VLOOKUP(DQ$4,Preisindex,5,FALSE)/VLOOKUP(Preisindex!$A$6,Preisindex,5,FALSE),2),IF(AND($E303&lt;&gt;0,$F303&gt;0,YEAR($F303)&lt;Preisindex!$A$6,YEAR(DL$4)&gt;=YEAR($F303),$K303="b"),ROUND(VLOOKUP(DQ$4,Preisindex,3,FALSE)/VLOOKUP(Preisindex!$A$6,Preisindex,3,FALSE),2),IF(AND($E303&lt;&gt;0,$F303&gt;0,YEAR($F303)&lt;Preisindex!$A$6,YEAR(DL$4)&gt;=YEAR($F303),$K303="g"),ROUND(VLOOKUP(DQ$4,Preisindex,4,FALSE)/VLOOKUP(Preisindex!$A$6,Preisindex,4,FALSE),2),IF(AND($E303&lt;&gt;0,$F303&gt;0,YEAR($F303)&lt;Preisindex!$A$6,YEAR(DL$4)&gt;=YEAR($F303),$K303="k"),ROUND(VLOOKUP(DQ$4,Preisindex,2,FALSE)/VLOOKUP(Preisindex!$A$6,Preisindex,2,FALSE),2),0)))))</f>
        <v>0</v>
      </c>
      <c r="DS303" s="51">
        <f>IF(AND($E303&lt;&gt;0,$F303&gt;0,YEAR($F303)&lt;=DQ$4,YEAR($F303)&gt;=Preisindex!$A$6),ROUND($E303*DQ303,2),IF(AND($E303&lt;&gt;0,$F303&gt;0,YEAR($F303)&lt;=DQ$4,YEAR($F303)&lt;Preisindex!$A$6),ROUND($E303*DR303,2),0))</f>
        <v>0</v>
      </c>
      <c r="DT303" s="53">
        <f t="shared" si="795"/>
        <v>0</v>
      </c>
      <c r="DU303" s="51">
        <f t="shared" si="882"/>
        <v>0</v>
      </c>
      <c r="DV303" s="51">
        <f t="shared" si="866"/>
        <v>0</v>
      </c>
      <c r="DW303" s="51">
        <f t="shared" si="796"/>
        <v>0</v>
      </c>
      <c r="DX303" s="51">
        <f t="shared" si="867"/>
        <v>0</v>
      </c>
      <c r="DY303" s="51">
        <f t="shared" si="797"/>
        <v>0</v>
      </c>
      <c r="DZ303" s="51">
        <f t="shared" si="868"/>
        <v>0</v>
      </c>
      <c r="EA303" s="51">
        <f t="shared" si="798"/>
        <v>0</v>
      </c>
      <c r="EB303" s="51">
        <f t="shared" si="869"/>
        <v>0</v>
      </c>
      <c r="EC303" s="51">
        <f t="shared" si="799"/>
        <v>0</v>
      </c>
      <c r="ED303" s="51">
        <f t="shared" si="870"/>
        <v>0</v>
      </c>
      <c r="EE303" s="51">
        <f t="shared" si="800"/>
        <v>0</v>
      </c>
      <c r="EF303" s="54">
        <f t="shared" si="801"/>
        <v>0</v>
      </c>
      <c r="EG303" s="55">
        <f t="shared" si="802"/>
        <v>0</v>
      </c>
      <c r="EH303" s="56">
        <f>IF(AND($E303&lt;&gt;0,$F303&gt;0,YEAR($F303)&gt;=Preisindex!$A$6,YEAR(EC$4)&gt;=YEAR($F303),AND($K303&lt;&gt;"a",$K303&lt;&gt;"b",$K303&lt;&gt;"g",$K303&lt;&gt;"k")),1,IF(AND($E303&lt;&gt;0,$F303&gt;0,YEAR($F303)&gt;=Preisindex!$A$6,YEAR(EC$4)&gt;=YEAR($F303),$K303="a"),ROUND(VLOOKUP(EH$4,Preisindex,5,FALSE)/VLOOKUP(YEAR($F303),Preisindex,5,FALSE),2),IF(AND($E303&lt;&gt;0,$F303&gt;0,YEAR($F303)&gt;=Preisindex!$A$6,YEAR(EC$4)&gt;=YEAR($F303),$K303="b"),ROUND(VLOOKUP(EH$4,Preisindex,3,FALSE)/VLOOKUP(YEAR($F303),Preisindex,3,FALSE),2),IF(AND($E303&lt;&gt;0,$F303&gt;0,YEAR($F303)&gt;=Preisindex!$A$6,YEAR(EC$4)&gt;=YEAR($F303),$K303="g"),ROUND(VLOOKUP(EH$4,Preisindex,4,FALSE)/VLOOKUP(YEAR($F303),Preisindex,4,FALSE),2),IF(AND($E303&lt;&gt;0,$F303&gt;0,YEAR($F303)&gt;=Preisindex!$A$6,YEAR(EC$4)&gt;=YEAR($F303),$K303="k"),ROUND(VLOOKUP(EH$4,Preisindex,2,FALSE)/VLOOKUP(YEAR($F303),Preisindex,2,FALSE),2),0)))))</f>
        <v>0</v>
      </c>
      <c r="EI303" s="56">
        <f>IF(AND($E303&lt;&gt;0,$F303&gt;0,YEAR($F303)&lt;Preisindex!$A$6,YEAR(EC$4)&gt;=YEAR($F303),AND($K303&lt;&gt;"a",$K303&lt;&gt;"b",$K303&lt;&gt;"g",$K303&lt;&gt;"k")),1,IF(AND($E303&lt;&gt;0,$F303&gt;0,YEAR($F303)&lt;Preisindex!$A$6,YEAR(EC$4)&gt;=YEAR($F303),$K303="a"),ROUND(VLOOKUP(EH$4,Preisindex,5,FALSE)/VLOOKUP(Preisindex!$A$6,Preisindex,5,FALSE),2),IF(AND($E303&lt;&gt;0,$F303&gt;0,YEAR($F303)&lt;Preisindex!$A$6,YEAR(EC$4)&gt;=YEAR($F303),$K303="b"),ROUND(VLOOKUP(EH$4,Preisindex,3,FALSE)/VLOOKUP(Preisindex!$A$6,Preisindex,3,FALSE),2),IF(AND($E303&lt;&gt;0,$F303&gt;0,YEAR($F303)&lt;Preisindex!$A$6,YEAR(EC$4)&gt;=YEAR($F303),$K303="g"),ROUND(VLOOKUP(EH$4,Preisindex,4,FALSE)/VLOOKUP(Preisindex!$A$6,Preisindex,4,FALSE),2),IF(AND($E303&lt;&gt;0,$F303&gt;0,YEAR($F303)&lt;Preisindex!$A$6,YEAR(EC$4)&gt;=YEAR($F303),$K303="k"),ROUND(VLOOKUP(EH$4,Preisindex,2,FALSE)/VLOOKUP(Preisindex!$A$6,Preisindex,2,FALSE),2),0)))))</f>
        <v>0</v>
      </c>
      <c r="EJ303" s="51">
        <f>IF(AND($E303&lt;&gt;0,$F303&gt;0,YEAR($F303)&lt;=EH$4,YEAR($F303)&gt;=Preisindex!$A$6),ROUND($E303*EH303,2),IF(AND($E303&lt;&gt;0,$F303&gt;0,YEAR($F303)&lt;=EH$4,YEAR($F303)&lt;Preisindex!$A$6),ROUND($E303*EI303,2),0))</f>
        <v>0</v>
      </c>
      <c r="EK303" s="53">
        <f t="shared" si="803"/>
        <v>0</v>
      </c>
      <c r="EL303" s="51">
        <f t="shared" si="882"/>
        <v>0</v>
      </c>
      <c r="EM303" s="51">
        <f t="shared" si="871"/>
        <v>0</v>
      </c>
      <c r="EN303" s="51">
        <f t="shared" si="804"/>
        <v>0</v>
      </c>
      <c r="EO303" s="51">
        <f t="shared" si="872"/>
        <v>0</v>
      </c>
      <c r="EP303" s="51">
        <f t="shared" si="805"/>
        <v>0</v>
      </c>
      <c r="EQ303" s="51">
        <f t="shared" si="873"/>
        <v>0</v>
      </c>
      <c r="ER303" s="51">
        <f t="shared" si="806"/>
        <v>0</v>
      </c>
      <c r="ES303" s="51">
        <f t="shared" si="874"/>
        <v>0</v>
      </c>
      <c r="ET303" s="51">
        <f t="shared" si="807"/>
        <v>0</v>
      </c>
      <c r="EU303" s="51">
        <f t="shared" si="875"/>
        <v>0</v>
      </c>
      <c r="EV303" s="51">
        <f t="shared" si="808"/>
        <v>0</v>
      </c>
      <c r="EW303" s="54">
        <f t="shared" si="809"/>
        <v>0</v>
      </c>
      <c r="EX303" s="55">
        <f t="shared" si="810"/>
        <v>0</v>
      </c>
      <c r="EY303" s="56">
        <f>IF(AND($E303&lt;&gt;0,$F303&gt;0,YEAR($F303)&gt;=Preisindex!$A$6,YEAR(ET$4)&gt;=YEAR($F303),AND($K303&lt;&gt;"a",$K303&lt;&gt;"b",$K303&lt;&gt;"g",$K303&lt;&gt;"k")),1,IF(AND($E303&lt;&gt;0,$F303&gt;0,YEAR($F303)&gt;=Preisindex!$A$6,YEAR(ET$4)&gt;=YEAR($F303),$K303="a"),ROUND(VLOOKUP(EY$4,Preisindex,5,FALSE)/VLOOKUP(YEAR($F303),Preisindex,5,FALSE),2),IF(AND($E303&lt;&gt;0,$F303&gt;0,YEAR($F303)&gt;=Preisindex!$A$6,YEAR(ET$4)&gt;=YEAR($F303),$K303="b"),ROUND(VLOOKUP(EY$4,Preisindex,3,FALSE)/VLOOKUP(YEAR($F303),Preisindex,3,FALSE),2),IF(AND($E303&lt;&gt;0,$F303&gt;0,YEAR($F303)&gt;=Preisindex!$A$6,YEAR(ET$4)&gt;=YEAR($F303),$K303="g"),ROUND(VLOOKUP(EY$4,Preisindex,4,FALSE)/VLOOKUP(YEAR($F303),Preisindex,4,FALSE),2),IF(AND($E303&lt;&gt;0,$F303&gt;0,YEAR($F303)&gt;=Preisindex!$A$6,YEAR(ET$4)&gt;=YEAR($F303),$K303="k"),ROUND(VLOOKUP(EY$4,Preisindex,2,FALSE)/VLOOKUP(YEAR($F303),Preisindex,2,FALSE),2),0)))))</f>
        <v>0</v>
      </c>
      <c r="EZ303" s="56">
        <f>IF(AND($E303&lt;&gt;0,$F303&gt;0,YEAR($F303)&lt;Preisindex!$A$6,YEAR(ET$4)&gt;=YEAR($F303),AND($K303&lt;&gt;"a",$K303&lt;&gt;"b",$K303&lt;&gt;"g",$K303&lt;&gt;"k")),1,IF(AND($E303&lt;&gt;0,$F303&gt;0,YEAR($F303)&lt;Preisindex!$A$6,YEAR(ET$4)&gt;=YEAR($F303),$K303="a"),ROUND(VLOOKUP(EY$4,Preisindex,5,FALSE)/VLOOKUP(Preisindex!$A$6,Preisindex,5,FALSE),2),IF(AND($E303&lt;&gt;0,$F303&gt;0,YEAR($F303)&lt;Preisindex!$A$6,YEAR(ET$4)&gt;=YEAR($F303),$K303="b"),ROUND(VLOOKUP(EY$4,Preisindex,3,FALSE)/VLOOKUP(Preisindex!$A$6,Preisindex,3,FALSE),2),IF(AND($E303&lt;&gt;0,$F303&gt;0,YEAR($F303)&lt;Preisindex!$A$6,YEAR(ET$4)&gt;=YEAR($F303),$K303="g"),ROUND(VLOOKUP(EY$4,Preisindex,4,FALSE)/VLOOKUP(Preisindex!$A$6,Preisindex,4,FALSE),2),IF(AND($E303&lt;&gt;0,$F303&gt;0,YEAR($F303)&lt;Preisindex!$A$6,YEAR(ET$4)&gt;=YEAR($F303),$K303="k"),ROUND(VLOOKUP(EY$4,Preisindex,2,FALSE)/VLOOKUP(Preisindex!$A$6,Preisindex,2,FALSE),2),0)))))</f>
        <v>0</v>
      </c>
      <c r="FA303" s="51">
        <f>IF(AND($E303&lt;&gt;0,$F303&gt;0,YEAR($F303)&lt;=EY$4,YEAR($F303)&gt;=Preisindex!$A$6),ROUND($E303*EY303,2),IF(AND($E303&lt;&gt;0,$F303&gt;0,YEAR($F303)&lt;=EY$4,YEAR($F303)&lt;Preisindex!$A$6),ROUND($E303*EZ303,2),0))</f>
        <v>0</v>
      </c>
      <c r="FB303" s="53">
        <f t="shared" si="811"/>
        <v>0</v>
      </c>
      <c r="FC303" s="51">
        <f t="shared" si="882"/>
        <v>0</v>
      </c>
      <c r="FD303" s="51">
        <f t="shared" si="876"/>
        <v>0</v>
      </c>
      <c r="FE303" s="51">
        <f t="shared" si="812"/>
        <v>0</v>
      </c>
      <c r="FF303" s="51">
        <f t="shared" si="877"/>
        <v>0</v>
      </c>
      <c r="FG303" s="51">
        <f t="shared" si="813"/>
        <v>0</v>
      </c>
      <c r="FH303" s="51">
        <f t="shared" si="878"/>
        <v>0</v>
      </c>
      <c r="FI303" s="51">
        <f t="shared" si="814"/>
        <v>0</v>
      </c>
      <c r="FJ303" s="51">
        <f t="shared" si="879"/>
        <v>0</v>
      </c>
      <c r="FK303" s="51">
        <f t="shared" si="815"/>
        <v>0</v>
      </c>
      <c r="FL303" s="51">
        <f t="shared" si="880"/>
        <v>0</v>
      </c>
      <c r="FM303" s="51">
        <f t="shared" si="816"/>
        <v>0</v>
      </c>
      <c r="FN303" s="54">
        <f t="shared" si="817"/>
        <v>0</v>
      </c>
      <c r="FO303" s="55">
        <f t="shared" si="818"/>
        <v>0</v>
      </c>
      <c r="FP303" s="56">
        <f>IF(AND($E303&lt;&gt;0,$F303&gt;0,YEAR($F303)&gt;=Preisindex!$A$6,YEAR(FK$4)&gt;=YEAR($F303),AND($K303&lt;&gt;"a",$K303&lt;&gt;"b",$K303&lt;&gt;"g",$K303&lt;&gt;"k")),1,IF(AND($E303&lt;&gt;0,$F303&gt;0,YEAR($F303)&gt;=Preisindex!$A$6,YEAR(FK$4)&gt;=YEAR($F303),$K303="a"),ROUND(VLOOKUP(FP$4,Preisindex,5,FALSE)/VLOOKUP(YEAR($F303),Preisindex,5,FALSE),2),IF(AND($E303&lt;&gt;0,$F303&gt;0,YEAR($F303)&gt;=Preisindex!$A$6,YEAR(FK$4)&gt;=YEAR($F303),$K303="b"),ROUND(VLOOKUP(FP$4,Preisindex,3,FALSE)/VLOOKUP(YEAR($F303),Preisindex,3,FALSE),2),IF(AND($E303&lt;&gt;0,$F303&gt;0,YEAR($F303)&gt;=Preisindex!$A$6,YEAR(FK$4)&gt;=YEAR($F303),$K303="g"),ROUND(VLOOKUP(FP$4,Preisindex,4,FALSE)/VLOOKUP(YEAR($F303),Preisindex,4,FALSE),2),IF(AND($E303&lt;&gt;0,$F303&gt;0,YEAR($F303)&gt;=Preisindex!$A$6,YEAR(FK$4)&gt;=YEAR($F303),$K303="k"),ROUND(VLOOKUP(FP$4,Preisindex,2,FALSE)/VLOOKUP(YEAR($F303),Preisindex,2,FALSE),2),0)))))</f>
        <v>0</v>
      </c>
      <c r="FQ303" s="56">
        <f>IF(AND($E303&lt;&gt;0,$F303&gt;0,YEAR($F303)&lt;Preisindex!$A$6,YEAR(FK$4)&gt;=YEAR($F303),AND($K303&lt;&gt;"a",$K303&lt;&gt;"b",$K303&lt;&gt;"g",$K303&lt;&gt;"k")),1,IF(AND($E303&lt;&gt;0,$F303&gt;0,YEAR($F303)&lt;Preisindex!$A$6,YEAR(FK$4)&gt;=YEAR($F303),$K303="a"),ROUND(VLOOKUP(FP$4,Preisindex,5,FALSE)/VLOOKUP(Preisindex!$A$6,Preisindex,5,FALSE),2),IF(AND($E303&lt;&gt;0,$F303&gt;0,YEAR($F303)&lt;Preisindex!$A$6,YEAR(FK$4)&gt;=YEAR($F303),$K303="b"),ROUND(VLOOKUP(FP$4,Preisindex,3,FALSE)/VLOOKUP(Preisindex!$A$6,Preisindex,3,FALSE),2),IF(AND($E303&lt;&gt;0,$F303&gt;0,YEAR($F303)&lt;Preisindex!$A$6,YEAR(FK$4)&gt;=YEAR($F303),$K303="g"),ROUND(VLOOKUP(FP$4,Preisindex,4,FALSE)/VLOOKUP(Preisindex!$A$6,Preisindex,4,FALSE),2),IF(AND($E303&lt;&gt;0,$F303&gt;0,YEAR($F303)&lt;Preisindex!$A$6,YEAR(FK$4)&gt;=YEAR($F303),$K303="k"),ROUND(VLOOKUP(FP$4,Preisindex,2,FALSE)/VLOOKUP(Preisindex!$A$6,Preisindex,2,FALSE),2),0)))))</f>
        <v>0</v>
      </c>
      <c r="FR303" s="51">
        <f>IF(AND($E303&lt;&gt;0,$F303&gt;0,YEAR($F303)&lt;=FP$4,YEAR($F303)&gt;=Preisindex!$A$6),ROUND($E303*FP303,2),IF(AND($E303&lt;&gt;0,$F303&gt;0,YEAR($F303)&lt;=FP$4,YEAR($F303)&lt;Preisindex!$A$6),ROUND($E303*FQ303,2),0))</f>
        <v>0</v>
      </c>
      <c r="FS303" s="53">
        <f t="shared" si="819"/>
        <v>0</v>
      </c>
    </row>
    <row r="304" spans="1:175" x14ac:dyDescent="0.3">
      <c r="A304" s="185"/>
      <c r="B304" s="186"/>
      <c r="C304" s="187"/>
      <c r="D304" s="95"/>
      <c r="E304" s="99"/>
      <c r="F304" s="97"/>
      <c r="G304" s="98"/>
      <c r="H304" s="192"/>
      <c r="I304" s="193"/>
      <c r="J304" s="194"/>
      <c r="K304" s="630"/>
      <c r="L304" s="49">
        <f t="shared" si="820"/>
        <v>0</v>
      </c>
      <c r="M304" s="50">
        <f t="shared" si="821"/>
        <v>0</v>
      </c>
      <c r="N304" s="51">
        <f t="shared" si="822"/>
        <v>0</v>
      </c>
      <c r="O304" s="51"/>
      <c r="P304" s="51">
        <f t="shared" si="823"/>
        <v>0</v>
      </c>
      <c r="Q304" s="52"/>
      <c r="R304" s="52"/>
      <c r="S304" s="52"/>
      <c r="T304" s="52"/>
      <c r="U304" s="52"/>
      <c r="V304" s="53">
        <f t="shared" si="824"/>
        <v>0</v>
      </c>
      <c r="W304" s="51">
        <f t="shared" si="825"/>
        <v>0</v>
      </c>
      <c r="X304" s="51">
        <f t="shared" si="826"/>
        <v>0</v>
      </c>
      <c r="Y304" s="51">
        <f t="shared" si="827"/>
        <v>0</v>
      </c>
      <c r="Z304" s="51">
        <f t="shared" si="828"/>
        <v>0</v>
      </c>
      <c r="AA304" s="51">
        <f t="shared" si="829"/>
        <v>0</v>
      </c>
      <c r="AB304" s="51">
        <f t="shared" si="830"/>
        <v>0</v>
      </c>
      <c r="AC304" s="51">
        <f t="shared" si="831"/>
        <v>0</v>
      </c>
      <c r="AD304" s="51">
        <f t="shared" si="832"/>
        <v>0</v>
      </c>
      <c r="AE304" s="51">
        <f t="shared" si="833"/>
        <v>0</v>
      </c>
      <c r="AF304" s="51">
        <f t="shared" si="834"/>
        <v>0</v>
      </c>
      <c r="AG304" s="51">
        <f t="shared" si="835"/>
        <v>0</v>
      </c>
      <c r="AH304" s="54">
        <f t="shared" si="836"/>
        <v>0</v>
      </c>
      <c r="AI304" s="55">
        <f t="shared" si="837"/>
        <v>0</v>
      </c>
      <c r="AJ304" s="56">
        <f>IF(AND($E304&lt;&gt;0,$F304&gt;0,YEAR($F304)&gt;=Preisindex!$A$6,YEAR(AE$4)&gt;=YEAR($F304),AND($K304&lt;&gt;"a",$K304&lt;&gt;"b",$K304&lt;&gt;"g",$K304&lt;&gt;"k")),1,IF(AND($E304&lt;&gt;0,$F304&gt;0,YEAR($F304)&gt;=Preisindex!$A$6,YEAR(AE$4)&gt;=YEAR($F304),$K304="a"),ROUND(VLOOKUP(AJ$4,Preisindex,5,FALSE)/VLOOKUP(YEAR($F304),Preisindex,5,FALSE),2),IF(AND($E304&lt;&gt;0,$F304&gt;0,YEAR($F304)&gt;=Preisindex!$A$6,YEAR(AE$4)&gt;=YEAR($F304),$K304="b"),ROUND(VLOOKUP(AJ$4,Preisindex,3,FALSE)/VLOOKUP(YEAR($F304),Preisindex,3,FALSE),2),IF(AND($E304&lt;&gt;0,$F304&gt;0,YEAR($F304)&gt;=Preisindex!$A$6,YEAR(AE$4)&gt;=YEAR($F304),$K304="g"),ROUND(VLOOKUP(AJ$4,Preisindex,4,FALSE)/VLOOKUP(YEAR($F304),Preisindex,4,FALSE),2),IF(AND($E304&lt;&gt;0,$F304&gt;0,YEAR($F304)&gt;=Preisindex!$A$6,YEAR(AE$4)&gt;=YEAR($F304),$K304="k"),ROUND(VLOOKUP(AJ$4,Preisindex,2,FALSE)/VLOOKUP(YEAR($F304),Preisindex,2,FALSE),2),0)))))</f>
        <v>0</v>
      </c>
      <c r="AK304" s="56">
        <f>IF(AND($E304&lt;&gt;0,$F304&gt;0,YEAR($F304)&lt;Preisindex!$A$6,YEAR(AE$4)&gt;=YEAR($F304),AND($K304&lt;&gt;"a",$K304&lt;&gt;"b",$K304&lt;&gt;"g",$K304&lt;&gt;"k")),1,IF(AND($E304&lt;&gt;0,$F304&gt;0,YEAR($F304)&lt;Preisindex!$A$6,YEAR(AE$4)&gt;=YEAR($F304),$K304="a"),ROUND(VLOOKUP(AJ$4,Preisindex,5,FALSE)/VLOOKUP(Preisindex!$A$6,Preisindex,5,FALSE),2),IF(AND($E304&lt;&gt;0,$F304&gt;0,YEAR($F304)&lt;Preisindex!$A$6,YEAR(AE$4)&gt;=YEAR($F304),$K304="b"),ROUND(VLOOKUP(AJ$4,Preisindex,3,FALSE)/VLOOKUP(Preisindex!$A$6,Preisindex,3,FALSE),2),IF(AND($E304&lt;&gt;0,$F304&gt;0,YEAR($F304)&lt;Preisindex!$A$6,YEAR(AE$4)&gt;=YEAR($F304),$K304="g"),ROUND(VLOOKUP(AJ$4,Preisindex,4,FALSE)/VLOOKUP(Preisindex!$A$6,Preisindex,4,FALSE),2),IF(AND($E304&lt;&gt;0,$F304&gt;0,YEAR($F304)&lt;Preisindex!$A$6,YEAR(AE$4)&gt;=YEAR($F304),$K304="k"),ROUND(VLOOKUP(AJ$4,Preisindex,2,FALSE)/VLOOKUP(Preisindex!$A$6,Preisindex,2,FALSE),2),0)))))</f>
        <v>0</v>
      </c>
      <c r="AL304" s="51">
        <f>IF(AND($E304&lt;&gt;0,$F304&gt;0,YEAR($F304)&lt;=AJ$4,YEAR($F304)&gt;=Preisindex!$A$6),ROUND($E304*AJ304,2),IF(AND($E304&lt;&gt;0,$F304&gt;0,YEAR($F304)&lt;=AJ$4,YEAR($F304)&lt;Preisindex!$A$6),ROUND($E304*AK304,2),0))</f>
        <v>0</v>
      </c>
      <c r="AM304" s="53">
        <f t="shared" si="838"/>
        <v>0</v>
      </c>
      <c r="AN304" s="51">
        <f t="shared" si="881"/>
        <v>0</v>
      </c>
      <c r="AO304" s="51">
        <f t="shared" si="841"/>
        <v>0</v>
      </c>
      <c r="AP304" s="51">
        <f t="shared" si="755"/>
        <v>0</v>
      </c>
      <c r="AQ304" s="51">
        <f t="shared" si="842"/>
        <v>0</v>
      </c>
      <c r="AR304" s="51">
        <f t="shared" si="756"/>
        <v>0</v>
      </c>
      <c r="AS304" s="51">
        <f t="shared" si="843"/>
        <v>0</v>
      </c>
      <c r="AT304" s="51">
        <f t="shared" si="757"/>
        <v>0</v>
      </c>
      <c r="AU304" s="51">
        <f t="shared" si="844"/>
        <v>0</v>
      </c>
      <c r="AV304" s="51">
        <f t="shared" si="758"/>
        <v>0</v>
      </c>
      <c r="AW304" s="51">
        <f t="shared" si="845"/>
        <v>0</v>
      </c>
      <c r="AX304" s="51">
        <f t="shared" si="759"/>
        <v>0</v>
      </c>
      <c r="AY304" s="54">
        <f t="shared" si="760"/>
        <v>0</v>
      </c>
      <c r="AZ304" s="55">
        <f t="shared" si="761"/>
        <v>0</v>
      </c>
      <c r="BA304" s="56">
        <f>IF(AND($E304&lt;&gt;0,$F304&gt;0,YEAR($F304)&gt;=Preisindex!$A$6,YEAR(AV$4)&gt;=YEAR($F304),AND($K304&lt;&gt;"a",$K304&lt;&gt;"b",$K304&lt;&gt;"g",$K304&lt;&gt;"k")),1,IF(AND($E304&lt;&gt;0,$F304&gt;0,YEAR($F304)&gt;=Preisindex!$A$6,YEAR(AV$4)&gt;=YEAR($F304),$K304="a"),ROUND(VLOOKUP(BA$4,Preisindex,5,FALSE)/VLOOKUP(YEAR($F304),Preisindex,5,FALSE),2),IF(AND($E304&lt;&gt;0,$F304&gt;0,YEAR($F304)&gt;=Preisindex!$A$6,YEAR(AV$4)&gt;=YEAR($F304),$K304="b"),ROUND(VLOOKUP(BA$4,Preisindex,3,FALSE)/VLOOKUP(YEAR($F304),Preisindex,3,FALSE),2),IF(AND($E304&lt;&gt;0,$F304&gt;0,YEAR($F304)&gt;=Preisindex!$A$6,YEAR(AV$4)&gt;=YEAR($F304),$K304="g"),ROUND(VLOOKUP(BA$4,Preisindex,4,FALSE)/VLOOKUP(YEAR($F304),Preisindex,4,FALSE),2),IF(AND($E304&lt;&gt;0,$F304&gt;0,YEAR($F304)&gt;=Preisindex!$A$6,YEAR(AV$4)&gt;=YEAR($F304),$K304="k"),ROUND(VLOOKUP(BA$4,Preisindex,2,FALSE)/VLOOKUP(YEAR($F304),Preisindex,2,FALSE),2),0)))))</f>
        <v>0</v>
      </c>
      <c r="BB304" s="56">
        <f>IF(AND($E304&lt;&gt;0,$F304&gt;0,YEAR($F304)&lt;Preisindex!$A$6,YEAR(AV$4)&gt;=YEAR($F304),AND($K304&lt;&gt;"a",$K304&lt;&gt;"b",$K304&lt;&gt;"g",$K304&lt;&gt;"k")),1,IF(AND($E304&lt;&gt;0,$F304&gt;0,YEAR($F304)&lt;Preisindex!$A$6,YEAR(AV$4)&gt;=YEAR($F304),$K304="a"),ROUND(VLOOKUP(BA$4,Preisindex,5,FALSE)/VLOOKUP(Preisindex!$A$6,Preisindex,5,FALSE),2),IF(AND($E304&lt;&gt;0,$F304&gt;0,YEAR($F304)&lt;Preisindex!$A$6,YEAR(AV$4)&gt;=YEAR($F304),$K304="b"),ROUND(VLOOKUP(BA$4,Preisindex,3,FALSE)/VLOOKUP(Preisindex!$A$6,Preisindex,3,FALSE),2),IF(AND($E304&lt;&gt;0,$F304&gt;0,YEAR($F304)&lt;Preisindex!$A$6,YEAR(AV$4)&gt;=YEAR($F304),$K304="g"),ROUND(VLOOKUP(BA$4,Preisindex,4,FALSE)/VLOOKUP(Preisindex!$A$6,Preisindex,4,FALSE),2),IF(AND($E304&lt;&gt;0,$F304&gt;0,YEAR($F304)&lt;Preisindex!$A$6,YEAR(AV$4)&gt;=YEAR($F304),$K304="k"),ROUND(VLOOKUP(BA$4,Preisindex,2,FALSE)/VLOOKUP(Preisindex!$A$6,Preisindex,2,FALSE),2),0)))))</f>
        <v>0</v>
      </c>
      <c r="BC304" s="51">
        <f>IF(AND($E304&lt;&gt;0,$F304&gt;0,YEAR($F304)&lt;=BA$4,YEAR($F304)&gt;=Preisindex!$A$6),ROUND($E304*BA304,2),IF(AND($E304&lt;&gt;0,$F304&gt;0,YEAR($F304)&lt;=BA$4,YEAR($F304)&lt;Preisindex!$A$6),ROUND($E304*BB304,2),0))</f>
        <v>0</v>
      </c>
      <c r="BD304" s="53">
        <f t="shared" si="762"/>
        <v>0</v>
      </c>
      <c r="BE304" s="51">
        <f t="shared" si="881"/>
        <v>0</v>
      </c>
      <c r="BF304" s="51">
        <f t="shared" si="846"/>
        <v>0</v>
      </c>
      <c r="BG304" s="51">
        <f t="shared" si="763"/>
        <v>0</v>
      </c>
      <c r="BH304" s="51">
        <f t="shared" si="847"/>
        <v>0</v>
      </c>
      <c r="BI304" s="51">
        <f t="shared" si="764"/>
        <v>0</v>
      </c>
      <c r="BJ304" s="51">
        <f t="shared" si="848"/>
        <v>0</v>
      </c>
      <c r="BK304" s="51">
        <f t="shared" si="765"/>
        <v>0</v>
      </c>
      <c r="BL304" s="51">
        <f t="shared" si="849"/>
        <v>0</v>
      </c>
      <c r="BM304" s="51">
        <f t="shared" si="766"/>
        <v>0</v>
      </c>
      <c r="BN304" s="51">
        <f t="shared" si="850"/>
        <v>0</v>
      </c>
      <c r="BO304" s="51">
        <f t="shared" si="767"/>
        <v>0</v>
      </c>
      <c r="BP304" s="54">
        <f t="shared" si="768"/>
        <v>0</v>
      </c>
      <c r="BQ304" s="55">
        <f t="shared" si="769"/>
        <v>0</v>
      </c>
      <c r="BR304" s="56">
        <f>IF(AND($E304&lt;&gt;0,$F304&gt;0,YEAR($F304)&gt;=Preisindex!$A$6,YEAR(BM$4)&gt;=YEAR($F304),AND($K304&lt;&gt;"a",$K304&lt;&gt;"b",$K304&lt;&gt;"g",$K304&lt;&gt;"k")),1,IF(AND($E304&lt;&gt;0,$F304&gt;0,YEAR($F304)&gt;=Preisindex!$A$6,YEAR(BM$4)&gt;=YEAR($F304),$K304="a"),ROUND(VLOOKUP(BR$4,Preisindex,5,FALSE)/VLOOKUP(YEAR($F304),Preisindex,5,FALSE),2),IF(AND($E304&lt;&gt;0,$F304&gt;0,YEAR($F304)&gt;=Preisindex!$A$6,YEAR(BM$4)&gt;=YEAR($F304),$K304="b"),ROUND(VLOOKUP(BR$4,Preisindex,3,FALSE)/VLOOKUP(YEAR($F304),Preisindex,3,FALSE),2),IF(AND($E304&lt;&gt;0,$F304&gt;0,YEAR($F304)&gt;=Preisindex!$A$6,YEAR(BM$4)&gt;=YEAR($F304),$K304="g"),ROUND(VLOOKUP(BR$4,Preisindex,4,FALSE)/VLOOKUP(YEAR($F304),Preisindex,4,FALSE),2),IF(AND($E304&lt;&gt;0,$F304&gt;0,YEAR($F304)&gt;=Preisindex!$A$6,YEAR(BM$4)&gt;=YEAR($F304),$K304="k"),ROUND(VLOOKUP(BR$4,Preisindex,2,FALSE)/VLOOKUP(YEAR($F304),Preisindex,2,FALSE),2),0)))))</f>
        <v>0</v>
      </c>
      <c r="BS304" s="56">
        <f>IF(AND($E304&lt;&gt;0,$F304&gt;0,YEAR($F304)&lt;Preisindex!$A$6,YEAR(BM$4)&gt;=YEAR($F304),AND($K304&lt;&gt;"a",$K304&lt;&gt;"b",$K304&lt;&gt;"g",$K304&lt;&gt;"k")),1,IF(AND($E304&lt;&gt;0,$F304&gt;0,YEAR($F304)&lt;Preisindex!$A$6,YEAR(BM$4)&gt;=YEAR($F304),$K304="a"),ROUND(VLOOKUP(BR$4,Preisindex,5,FALSE)/VLOOKUP(Preisindex!$A$6,Preisindex,5,FALSE),2),IF(AND($E304&lt;&gt;0,$F304&gt;0,YEAR($F304)&lt;Preisindex!$A$6,YEAR(BM$4)&gt;=YEAR($F304),$K304="b"),ROUND(VLOOKUP(BR$4,Preisindex,3,FALSE)/VLOOKUP(Preisindex!$A$6,Preisindex,3,FALSE),2),IF(AND($E304&lt;&gt;0,$F304&gt;0,YEAR($F304)&lt;Preisindex!$A$6,YEAR(BM$4)&gt;=YEAR($F304),$K304="g"),ROUND(VLOOKUP(BR$4,Preisindex,4,FALSE)/VLOOKUP(Preisindex!$A$6,Preisindex,4,FALSE),2),IF(AND($E304&lt;&gt;0,$F304&gt;0,YEAR($F304)&lt;Preisindex!$A$6,YEAR(BM$4)&gt;=YEAR($F304),$K304="k"),ROUND(VLOOKUP(BR$4,Preisindex,2,FALSE)/VLOOKUP(Preisindex!$A$6,Preisindex,2,FALSE),2),0)))))</f>
        <v>0</v>
      </c>
      <c r="BT304" s="51">
        <f>IF(AND($E304&lt;&gt;0,$F304&gt;0,YEAR($F304)&lt;=BR$4,YEAR($F304)&gt;=Preisindex!$A$6),ROUND($E304*BR304,2),IF(AND($E304&lt;&gt;0,$F304&gt;0,YEAR($F304)&lt;=BR$4,YEAR($F304)&lt;Preisindex!$A$6),ROUND($E304*BS304,2),0))</f>
        <v>0</v>
      </c>
      <c r="BU304" s="53">
        <f t="shared" si="770"/>
        <v>0</v>
      </c>
      <c r="BV304" s="51">
        <f t="shared" si="881"/>
        <v>0</v>
      </c>
      <c r="BW304" s="51">
        <f t="shared" si="851"/>
        <v>0</v>
      </c>
      <c r="BX304" s="51">
        <f t="shared" si="771"/>
        <v>0</v>
      </c>
      <c r="BY304" s="51">
        <f t="shared" si="852"/>
        <v>0</v>
      </c>
      <c r="BZ304" s="51">
        <f t="shared" si="772"/>
        <v>0</v>
      </c>
      <c r="CA304" s="51">
        <f t="shared" si="853"/>
        <v>0</v>
      </c>
      <c r="CB304" s="51">
        <f t="shared" si="773"/>
        <v>0</v>
      </c>
      <c r="CC304" s="51">
        <f t="shared" si="854"/>
        <v>0</v>
      </c>
      <c r="CD304" s="51">
        <f t="shared" si="774"/>
        <v>0</v>
      </c>
      <c r="CE304" s="51">
        <f t="shared" si="855"/>
        <v>0</v>
      </c>
      <c r="CF304" s="51">
        <f t="shared" si="775"/>
        <v>0</v>
      </c>
      <c r="CG304" s="54">
        <f t="shared" si="776"/>
        <v>0</v>
      </c>
      <c r="CH304" s="55">
        <f t="shared" si="777"/>
        <v>0</v>
      </c>
      <c r="CI304" s="56">
        <f>IF(AND($E304&lt;&gt;0,$F304&gt;0,YEAR($F304)&gt;=Preisindex!$A$6,YEAR(CD$4)&gt;=YEAR($F304),AND($K304&lt;&gt;"a",$K304&lt;&gt;"b",$K304&lt;&gt;"g",$K304&lt;&gt;"k")),1,IF(AND($E304&lt;&gt;0,$F304&gt;0,YEAR($F304)&gt;=Preisindex!$A$6,YEAR(CD$4)&gt;=YEAR($F304),$K304="a"),ROUND(VLOOKUP(CI$4,Preisindex,5,FALSE)/VLOOKUP(YEAR($F304),Preisindex,5,FALSE),2),IF(AND($E304&lt;&gt;0,$F304&gt;0,YEAR($F304)&gt;=Preisindex!$A$6,YEAR(CD$4)&gt;=YEAR($F304),$K304="b"),ROUND(VLOOKUP(CI$4,Preisindex,3,FALSE)/VLOOKUP(YEAR($F304),Preisindex,3,FALSE),2),IF(AND($E304&lt;&gt;0,$F304&gt;0,YEAR($F304)&gt;=Preisindex!$A$6,YEAR(CD$4)&gt;=YEAR($F304),$K304="g"),ROUND(VLOOKUP(CI$4,Preisindex,4,FALSE)/VLOOKUP(YEAR($F304),Preisindex,4,FALSE),2),IF(AND($E304&lt;&gt;0,$F304&gt;0,YEAR($F304)&gt;=Preisindex!$A$6,YEAR(CD$4)&gt;=YEAR($F304),$K304="k"),ROUND(VLOOKUP(CI$4,Preisindex,2,FALSE)/VLOOKUP(YEAR($F304),Preisindex,2,FALSE),2),0)))))</f>
        <v>0</v>
      </c>
      <c r="CJ304" s="56">
        <f>IF(AND($E304&lt;&gt;0,$F304&gt;0,YEAR($F304)&lt;Preisindex!$A$6,YEAR(CD$4)&gt;=YEAR($F304),AND($K304&lt;&gt;"a",$K304&lt;&gt;"b",$K304&lt;&gt;"g",$K304&lt;&gt;"k")),1,IF(AND($E304&lt;&gt;0,$F304&gt;0,YEAR($F304)&lt;Preisindex!$A$6,YEAR(CD$4)&gt;=YEAR($F304),$K304="a"),ROUND(VLOOKUP(CI$4,Preisindex,5,FALSE)/VLOOKUP(Preisindex!$A$6,Preisindex,5,FALSE),2),IF(AND($E304&lt;&gt;0,$F304&gt;0,YEAR($F304)&lt;Preisindex!$A$6,YEAR(CD$4)&gt;=YEAR($F304),$K304="b"),ROUND(VLOOKUP(CI$4,Preisindex,3,FALSE)/VLOOKUP(Preisindex!$A$6,Preisindex,3,FALSE),2),IF(AND($E304&lt;&gt;0,$F304&gt;0,YEAR($F304)&lt;Preisindex!$A$6,YEAR(CD$4)&gt;=YEAR($F304),$K304="g"),ROUND(VLOOKUP(CI$4,Preisindex,4,FALSE)/VLOOKUP(Preisindex!$A$6,Preisindex,4,FALSE),2),IF(AND($E304&lt;&gt;0,$F304&gt;0,YEAR($F304)&lt;Preisindex!$A$6,YEAR(CD$4)&gt;=YEAR($F304),$K304="k"),ROUND(VLOOKUP(CI$4,Preisindex,2,FALSE)/VLOOKUP(Preisindex!$A$6,Preisindex,2,FALSE),2),0)))))</f>
        <v>0</v>
      </c>
      <c r="CK304" s="51">
        <f>IF(AND($E304&lt;&gt;0,$F304&gt;0,YEAR($F304)&lt;=CI$4,YEAR($F304)&gt;=Preisindex!$A$6),ROUND($E304*CI304,2),IF(AND($E304&lt;&gt;0,$F304&gt;0,YEAR($F304)&lt;=CI$4,YEAR($F304)&lt;Preisindex!$A$6),ROUND($E304*CJ304,2),0))</f>
        <v>0</v>
      </c>
      <c r="CL304" s="53">
        <f t="shared" si="778"/>
        <v>0</v>
      </c>
      <c r="CM304" s="51">
        <f t="shared" si="881"/>
        <v>0</v>
      </c>
      <c r="CN304" s="51">
        <f t="shared" si="856"/>
        <v>0</v>
      </c>
      <c r="CO304" s="51">
        <f t="shared" si="779"/>
        <v>0</v>
      </c>
      <c r="CP304" s="51">
        <f t="shared" si="857"/>
        <v>0</v>
      </c>
      <c r="CQ304" s="51">
        <f t="shared" si="780"/>
        <v>0</v>
      </c>
      <c r="CR304" s="51">
        <f t="shared" si="858"/>
        <v>0</v>
      </c>
      <c r="CS304" s="51">
        <f t="shared" si="781"/>
        <v>0</v>
      </c>
      <c r="CT304" s="51">
        <f t="shared" si="859"/>
        <v>0</v>
      </c>
      <c r="CU304" s="51">
        <f t="shared" si="782"/>
        <v>0</v>
      </c>
      <c r="CV304" s="51">
        <f t="shared" si="860"/>
        <v>0</v>
      </c>
      <c r="CW304" s="51">
        <f t="shared" si="783"/>
        <v>0</v>
      </c>
      <c r="CX304" s="54">
        <f t="shared" si="784"/>
        <v>0</v>
      </c>
      <c r="CY304" s="55">
        <f t="shared" si="785"/>
        <v>0</v>
      </c>
      <c r="CZ304" s="56">
        <f>IF(AND($E304&lt;&gt;0,$F304&gt;0,YEAR($F304)&gt;=Preisindex!$A$6,YEAR(CU$4)&gt;=YEAR($F304),AND($K304&lt;&gt;"a",$K304&lt;&gt;"b",$K304&lt;&gt;"g",$K304&lt;&gt;"k")),1,IF(AND($E304&lt;&gt;0,$F304&gt;0,YEAR($F304)&gt;=Preisindex!$A$6,YEAR(CU$4)&gt;=YEAR($F304),$K304="a"),ROUND(VLOOKUP(CZ$4,Preisindex,5,FALSE)/VLOOKUP(YEAR($F304),Preisindex,5,FALSE),2),IF(AND($E304&lt;&gt;0,$F304&gt;0,YEAR($F304)&gt;=Preisindex!$A$6,YEAR(CU$4)&gt;=YEAR($F304),$K304="b"),ROUND(VLOOKUP(CZ$4,Preisindex,3,FALSE)/VLOOKUP(YEAR($F304),Preisindex,3,FALSE),2),IF(AND($E304&lt;&gt;0,$F304&gt;0,YEAR($F304)&gt;=Preisindex!$A$6,YEAR(CU$4)&gt;=YEAR($F304),$K304="g"),ROUND(VLOOKUP(CZ$4,Preisindex,4,FALSE)/VLOOKUP(YEAR($F304),Preisindex,4,FALSE),2),IF(AND($E304&lt;&gt;0,$F304&gt;0,YEAR($F304)&gt;=Preisindex!$A$6,YEAR(CU$4)&gt;=YEAR($F304),$K304="k"),ROUND(VLOOKUP(CZ$4,Preisindex,2,FALSE)/VLOOKUP(YEAR($F304),Preisindex,2,FALSE),2),0)))))</f>
        <v>0</v>
      </c>
      <c r="DA304" s="56">
        <f>IF(AND($E304&lt;&gt;0,$F304&gt;0,YEAR($F304)&lt;Preisindex!$A$6,YEAR(CU$4)&gt;=YEAR($F304),AND($K304&lt;&gt;"a",$K304&lt;&gt;"b",$K304&lt;&gt;"g",$K304&lt;&gt;"k")),1,IF(AND($E304&lt;&gt;0,$F304&gt;0,YEAR($F304)&lt;Preisindex!$A$6,YEAR(CU$4)&gt;=YEAR($F304),$K304="a"),ROUND(VLOOKUP(CZ$4,Preisindex,5,FALSE)/VLOOKUP(Preisindex!$A$6,Preisindex,5,FALSE),2),IF(AND($E304&lt;&gt;0,$F304&gt;0,YEAR($F304)&lt;Preisindex!$A$6,YEAR(CU$4)&gt;=YEAR($F304),$K304="b"),ROUND(VLOOKUP(CZ$4,Preisindex,3,FALSE)/VLOOKUP(Preisindex!$A$6,Preisindex,3,FALSE),2),IF(AND($E304&lt;&gt;0,$F304&gt;0,YEAR($F304)&lt;Preisindex!$A$6,YEAR(CU$4)&gt;=YEAR($F304),$K304="g"),ROUND(VLOOKUP(CZ$4,Preisindex,4,FALSE)/VLOOKUP(Preisindex!$A$6,Preisindex,4,FALSE),2),IF(AND($E304&lt;&gt;0,$F304&gt;0,YEAR($F304)&lt;Preisindex!$A$6,YEAR(CU$4)&gt;=YEAR($F304),$K304="k"),ROUND(VLOOKUP(CZ$4,Preisindex,2,FALSE)/VLOOKUP(Preisindex!$A$6,Preisindex,2,FALSE),2),0)))))</f>
        <v>0</v>
      </c>
      <c r="DB304" s="51">
        <f>IF(AND($E304&lt;&gt;0,$F304&gt;0,YEAR($F304)&lt;=CZ$4,YEAR($F304)&gt;=Preisindex!$A$6),ROUND($E304*CZ304,2),IF(AND($E304&lt;&gt;0,$F304&gt;0,YEAR($F304)&lt;=CZ$4,YEAR($F304)&lt;Preisindex!$A$6),ROUND($E304*DA304,2),0))</f>
        <v>0</v>
      </c>
      <c r="DC304" s="53">
        <f t="shared" si="786"/>
        <v>0</v>
      </c>
      <c r="DD304" s="51">
        <f t="shared" si="882"/>
        <v>0</v>
      </c>
      <c r="DE304" s="51">
        <f t="shared" si="861"/>
        <v>0</v>
      </c>
      <c r="DF304" s="51">
        <f t="shared" si="788"/>
        <v>0</v>
      </c>
      <c r="DG304" s="51">
        <f t="shared" si="862"/>
        <v>0</v>
      </c>
      <c r="DH304" s="51">
        <f t="shared" si="789"/>
        <v>0</v>
      </c>
      <c r="DI304" s="51">
        <f t="shared" si="863"/>
        <v>0</v>
      </c>
      <c r="DJ304" s="51">
        <f t="shared" si="790"/>
        <v>0</v>
      </c>
      <c r="DK304" s="51">
        <f t="shared" si="864"/>
        <v>0</v>
      </c>
      <c r="DL304" s="51">
        <f t="shared" si="791"/>
        <v>0</v>
      </c>
      <c r="DM304" s="51">
        <f t="shared" si="865"/>
        <v>0</v>
      </c>
      <c r="DN304" s="51">
        <f t="shared" si="792"/>
        <v>0</v>
      </c>
      <c r="DO304" s="54">
        <f t="shared" si="793"/>
        <v>0</v>
      </c>
      <c r="DP304" s="55">
        <f t="shared" si="794"/>
        <v>0</v>
      </c>
      <c r="DQ304" s="56">
        <f>IF(AND($E304&lt;&gt;0,$F304&gt;0,YEAR($F304)&gt;=Preisindex!$A$6,YEAR(DL$4)&gt;=YEAR($F304),AND($K304&lt;&gt;"a",$K304&lt;&gt;"b",$K304&lt;&gt;"g",$K304&lt;&gt;"k")),1,IF(AND($E304&lt;&gt;0,$F304&gt;0,YEAR($F304)&gt;=Preisindex!$A$6,YEAR(DL$4)&gt;=YEAR($F304),$K304="a"),ROUND(VLOOKUP(DQ$4,Preisindex,5,FALSE)/VLOOKUP(YEAR($F304),Preisindex,5,FALSE),2),IF(AND($E304&lt;&gt;0,$F304&gt;0,YEAR($F304)&gt;=Preisindex!$A$6,YEAR(DL$4)&gt;=YEAR($F304),$K304="b"),ROUND(VLOOKUP(DQ$4,Preisindex,3,FALSE)/VLOOKUP(YEAR($F304),Preisindex,3,FALSE),2),IF(AND($E304&lt;&gt;0,$F304&gt;0,YEAR($F304)&gt;=Preisindex!$A$6,YEAR(DL$4)&gt;=YEAR($F304),$K304="g"),ROUND(VLOOKUP(DQ$4,Preisindex,4,FALSE)/VLOOKUP(YEAR($F304),Preisindex,4,FALSE),2),IF(AND($E304&lt;&gt;0,$F304&gt;0,YEAR($F304)&gt;=Preisindex!$A$6,YEAR(DL$4)&gt;=YEAR($F304),$K304="k"),ROUND(VLOOKUP(DQ$4,Preisindex,2,FALSE)/VLOOKUP(YEAR($F304),Preisindex,2,FALSE),2),0)))))</f>
        <v>0</v>
      </c>
      <c r="DR304" s="56">
        <f>IF(AND($E304&lt;&gt;0,$F304&gt;0,YEAR($F304)&lt;Preisindex!$A$6,YEAR(DL$4)&gt;=YEAR($F304),AND($K304&lt;&gt;"a",$K304&lt;&gt;"b",$K304&lt;&gt;"g",$K304&lt;&gt;"k")),1,IF(AND($E304&lt;&gt;0,$F304&gt;0,YEAR($F304)&lt;Preisindex!$A$6,YEAR(DL$4)&gt;=YEAR($F304),$K304="a"),ROUND(VLOOKUP(DQ$4,Preisindex,5,FALSE)/VLOOKUP(Preisindex!$A$6,Preisindex,5,FALSE),2),IF(AND($E304&lt;&gt;0,$F304&gt;0,YEAR($F304)&lt;Preisindex!$A$6,YEAR(DL$4)&gt;=YEAR($F304),$K304="b"),ROUND(VLOOKUP(DQ$4,Preisindex,3,FALSE)/VLOOKUP(Preisindex!$A$6,Preisindex,3,FALSE),2),IF(AND($E304&lt;&gt;0,$F304&gt;0,YEAR($F304)&lt;Preisindex!$A$6,YEAR(DL$4)&gt;=YEAR($F304),$K304="g"),ROUND(VLOOKUP(DQ$4,Preisindex,4,FALSE)/VLOOKUP(Preisindex!$A$6,Preisindex,4,FALSE),2),IF(AND($E304&lt;&gt;0,$F304&gt;0,YEAR($F304)&lt;Preisindex!$A$6,YEAR(DL$4)&gt;=YEAR($F304),$K304="k"),ROUND(VLOOKUP(DQ$4,Preisindex,2,FALSE)/VLOOKUP(Preisindex!$A$6,Preisindex,2,FALSE),2),0)))))</f>
        <v>0</v>
      </c>
      <c r="DS304" s="51">
        <f>IF(AND($E304&lt;&gt;0,$F304&gt;0,YEAR($F304)&lt;=DQ$4,YEAR($F304)&gt;=Preisindex!$A$6),ROUND($E304*DQ304,2),IF(AND($E304&lt;&gt;0,$F304&gt;0,YEAR($F304)&lt;=DQ$4,YEAR($F304)&lt;Preisindex!$A$6),ROUND($E304*DR304,2),0))</f>
        <v>0</v>
      </c>
      <c r="DT304" s="53">
        <f t="shared" si="795"/>
        <v>0</v>
      </c>
      <c r="DU304" s="51">
        <f t="shared" si="882"/>
        <v>0</v>
      </c>
      <c r="DV304" s="51">
        <f t="shared" si="866"/>
        <v>0</v>
      </c>
      <c r="DW304" s="51">
        <f t="shared" si="796"/>
        <v>0</v>
      </c>
      <c r="DX304" s="51">
        <f t="shared" si="867"/>
        <v>0</v>
      </c>
      <c r="DY304" s="51">
        <f t="shared" si="797"/>
        <v>0</v>
      </c>
      <c r="DZ304" s="51">
        <f t="shared" si="868"/>
        <v>0</v>
      </c>
      <c r="EA304" s="51">
        <f t="shared" si="798"/>
        <v>0</v>
      </c>
      <c r="EB304" s="51">
        <f t="shared" si="869"/>
        <v>0</v>
      </c>
      <c r="EC304" s="51">
        <f t="shared" si="799"/>
        <v>0</v>
      </c>
      <c r="ED304" s="51">
        <f t="shared" si="870"/>
        <v>0</v>
      </c>
      <c r="EE304" s="51">
        <f t="shared" si="800"/>
        <v>0</v>
      </c>
      <c r="EF304" s="54">
        <f t="shared" si="801"/>
        <v>0</v>
      </c>
      <c r="EG304" s="55">
        <f t="shared" si="802"/>
        <v>0</v>
      </c>
      <c r="EH304" s="56">
        <f>IF(AND($E304&lt;&gt;0,$F304&gt;0,YEAR($F304)&gt;=Preisindex!$A$6,YEAR(EC$4)&gt;=YEAR($F304),AND($K304&lt;&gt;"a",$K304&lt;&gt;"b",$K304&lt;&gt;"g",$K304&lt;&gt;"k")),1,IF(AND($E304&lt;&gt;0,$F304&gt;0,YEAR($F304)&gt;=Preisindex!$A$6,YEAR(EC$4)&gt;=YEAR($F304),$K304="a"),ROUND(VLOOKUP(EH$4,Preisindex,5,FALSE)/VLOOKUP(YEAR($F304),Preisindex,5,FALSE),2),IF(AND($E304&lt;&gt;0,$F304&gt;0,YEAR($F304)&gt;=Preisindex!$A$6,YEAR(EC$4)&gt;=YEAR($F304),$K304="b"),ROUND(VLOOKUP(EH$4,Preisindex,3,FALSE)/VLOOKUP(YEAR($F304),Preisindex,3,FALSE),2),IF(AND($E304&lt;&gt;0,$F304&gt;0,YEAR($F304)&gt;=Preisindex!$A$6,YEAR(EC$4)&gt;=YEAR($F304),$K304="g"),ROUND(VLOOKUP(EH$4,Preisindex,4,FALSE)/VLOOKUP(YEAR($F304),Preisindex,4,FALSE),2),IF(AND($E304&lt;&gt;0,$F304&gt;0,YEAR($F304)&gt;=Preisindex!$A$6,YEAR(EC$4)&gt;=YEAR($F304),$K304="k"),ROUND(VLOOKUP(EH$4,Preisindex,2,FALSE)/VLOOKUP(YEAR($F304),Preisindex,2,FALSE),2),0)))))</f>
        <v>0</v>
      </c>
      <c r="EI304" s="56">
        <f>IF(AND($E304&lt;&gt;0,$F304&gt;0,YEAR($F304)&lt;Preisindex!$A$6,YEAR(EC$4)&gt;=YEAR($F304),AND($K304&lt;&gt;"a",$K304&lt;&gt;"b",$K304&lt;&gt;"g",$K304&lt;&gt;"k")),1,IF(AND($E304&lt;&gt;0,$F304&gt;0,YEAR($F304)&lt;Preisindex!$A$6,YEAR(EC$4)&gt;=YEAR($F304),$K304="a"),ROUND(VLOOKUP(EH$4,Preisindex,5,FALSE)/VLOOKUP(Preisindex!$A$6,Preisindex,5,FALSE),2),IF(AND($E304&lt;&gt;0,$F304&gt;0,YEAR($F304)&lt;Preisindex!$A$6,YEAR(EC$4)&gt;=YEAR($F304),$K304="b"),ROUND(VLOOKUP(EH$4,Preisindex,3,FALSE)/VLOOKUP(Preisindex!$A$6,Preisindex,3,FALSE),2),IF(AND($E304&lt;&gt;0,$F304&gt;0,YEAR($F304)&lt;Preisindex!$A$6,YEAR(EC$4)&gt;=YEAR($F304),$K304="g"),ROUND(VLOOKUP(EH$4,Preisindex,4,FALSE)/VLOOKUP(Preisindex!$A$6,Preisindex,4,FALSE),2),IF(AND($E304&lt;&gt;0,$F304&gt;0,YEAR($F304)&lt;Preisindex!$A$6,YEAR(EC$4)&gt;=YEAR($F304),$K304="k"),ROUND(VLOOKUP(EH$4,Preisindex,2,FALSE)/VLOOKUP(Preisindex!$A$6,Preisindex,2,FALSE),2),0)))))</f>
        <v>0</v>
      </c>
      <c r="EJ304" s="51">
        <f>IF(AND($E304&lt;&gt;0,$F304&gt;0,YEAR($F304)&lt;=EH$4,YEAR($F304)&gt;=Preisindex!$A$6),ROUND($E304*EH304,2),IF(AND($E304&lt;&gt;0,$F304&gt;0,YEAR($F304)&lt;=EH$4,YEAR($F304)&lt;Preisindex!$A$6),ROUND($E304*EI304,2),0))</f>
        <v>0</v>
      </c>
      <c r="EK304" s="53">
        <f t="shared" si="803"/>
        <v>0</v>
      </c>
      <c r="EL304" s="51">
        <f t="shared" si="882"/>
        <v>0</v>
      </c>
      <c r="EM304" s="51">
        <f t="shared" si="871"/>
        <v>0</v>
      </c>
      <c r="EN304" s="51">
        <f t="shared" si="804"/>
        <v>0</v>
      </c>
      <c r="EO304" s="51">
        <f t="shared" si="872"/>
        <v>0</v>
      </c>
      <c r="EP304" s="51">
        <f t="shared" si="805"/>
        <v>0</v>
      </c>
      <c r="EQ304" s="51">
        <f t="shared" si="873"/>
        <v>0</v>
      </c>
      <c r="ER304" s="51">
        <f t="shared" si="806"/>
        <v>0</v>
      </c>
      <c r="ES304" s="51">
        <f t="shared" si="874"/>
        <v>0</v>
      </c>
      <c r="ET304" s="51">
        <f t="shared" si="807"/>
        <v>0</v>
      </c>
      <c r="EU304" s="51">
        <f t="shared" si="875"/>
        <v>0</v>
      </c>
      <c r="EV304" s="51">
        <f t="shared" si="808"/>
        <v>0</v>
      </c>
      <c r="EW304" s="54">
        <f t="shared" si="809"/>
        <v>0</v>
      </c>
      <c r="EX304" s="55">
        <f t="shared" si="810"/>
        <v>0</v>
      </c>
      <c r="EY304" s="56">
        <f>IF(AND($E304&lt;&gt;0,$F304&gt;0,YEAR($F304)&gt;=Preisindex!$A$6,YEAR(ET$4)&gt;=YEAR($F304),AND($K304&lt;&gt;"a",$K304&lt;&gt;"b",$K304&lt;&gt;"g",$K304&lt;&gt;"k")),1,IF(AND($E304&lt;&gt;0,$F304&gt;0,YEAR($F304)&gt;=Preisindex!$A$6,YEAR(ET$4)&gt;=YEAR($F304),$K304="a"),ROUND(VLOOKUP(EY$4,Preisindex,5,FALSE)/VLOOKUP(YEAR($F304),Preisindex,5,FALSE),2),IF(AND($E304&lt;&gt;0,$F304&gt;0,YEAR($F304)&gt;=Preisindex!$A$6,YEAR(ET$4)&gt;=YEAR($F304),$K304="b"),ROUND(VLOOKUP(EY$4,Preisindex,3,FALSE)/VLOOKUP(YEAR($F304),Preisindex,3,FALSE),2),IF(AND($E304&lt;&gt;0,$F304&gt;0,YEAR($F304)&gt;=Preisindex!$A$6,YEAR(ET$4)&gt;=YEAR($F304),$K304="g"),ROUND(VLOOKUP(EY$4,Preisindex,4,FALSE)/VLOOKUP(YEAR($F304),Preisindex,4,FALSE),2),IF(AND($E304&lt;&gt;0,$F304&gt;0,YEAR($F304)&gt;=Preisindex!$A$6,YEAR(ET$4)&gt;=YEAR($F304),$K304="k"),ROUND(VLOOKUP(EY$4,Preisindex,2,FALSE)/VLOOKUP(YEAR($F304),Preisindex,2,FALSE),2),0)))))</f>
        <v>0</v>
      </c>
      <c r="EZ304" s="56">
        <f>IF(AND($E304&lt;&gt;0,$F304&gt;0,YEAR($F304)&lt;Preisindex!$A$6,YEAR(ET$4)&gt;=YEAR($F304),AND($K304&lt;&gt;"a",$K304&lt;&gt;"b",$K304&lt;&gt;"g",$K304&lt;&gt;"k")),1,IF(AND($E304&lt;&gt;0,$F304&gt;0,YEAR($F304)&lt;Preisindex!$A$6,YEAR(ET$4)&gt;=YEAR($F304),$K304="a"),ROUND(VLOOKUP(EY$4,Preisindex,5,FALSE)/VLOOKUP(Preisindex!$A$6,Preisindex,5,FALSE),2),IF(AND($E304&lt;&gt;0,$F304&gt;0,YEAR($F304)&lt;Preisindex!$A$6,YEAR(ET$4)&gt;=YEAR($F304),$K304="b"),ROUND(VLOOKUP(EY$4,Preisindex,3,FALSE)/VLOOKUP(Preisindex!$A$6,Preisindex,3,FALSE),2),IF(AND($E304&lt;&gt;0,$F304&gt;0,YEAR($F304)&lt;Preisindex!$A$6,YEAR(ET$4)&gt;=YEAR($F304),$K304="g"),ROUND(VLOOKUP(EY$4,Preisindex,4,FALSE)/VLOOKUP(Preisindex!$A$6,Preisindex,4,FALSE),2),IF(AND($E304&lt;&gt;0,$F304&gt;0,YEAR($F304)&lt;Preisindex!$A$6,YEAR(ET$4)&gt;=YEAR($F304),$K304="k"),ROUND(VLOOKUP(EY$4,Preisindex,2,FALSE)/VLOOKUP(Preisindex!$A$6,Preisindex,2,FALSE),2),0)))))</f>
        <v>0</v>
      </c>
      <c r="FA304" s="51">
        <f>IF(AND($E304&lt;&gt;0,$F304&gt;0,YEAR($F304)&lt;=EY$4,YEAR($F304)&gt;=Preisindex!$A$6),ROUND($E304*EY304,2),IF(AND($E304&lt;&gt;0,$F304&gt;0,YEAR($F304)&lt;=EY$4,YEAR($F304)&lt;Preisindex!$A$6),ROUND($E304*EZ304,2),0))</f>
        <v>0</v>
      </c>
      <c r="FB304" s="53">
        <f t="shared" si="811"/>
        <v>0</v>
      </c>
      <c r="FC304" s="51">
        <f t="shared" si="882"/>
        <v>0</v>
      </c>
      <c r="FD304" s="51">
        <f t="shared" si="876"/>
        <v>0</v>
      </c>
      <c r="FE304" s="51">
        <f t="shared" si="812"/>
        <v>0</v>
      </c>
      <c r="FF304" s="51">
        <f t="shared" si="877"/>
        <v>0</v>
      </c>
      <c r="FG304" s="51">
        <f t="shared" si="813"/>
        <v>0</v>
      </c>
      <c r="FH304" s="51">
        <f t="shared" si="878"/>
        <v>0</v>
      </c>
      <c r="FI304" s="51">
        <f t="shared" si="814"/>
        <v>0</v>
      </c>
      <c r="FJ304" s="51">
        <f t="shared" si="879"/>
        <v>0</v>
      </c>
      <c r="FK304" s="51">
        <f t="shared" si="815"/>
        <v>0</v>
      </c>
      <c r="FL304" s="51">
        <f t="shared" si="880"/>
        <v>0</v>
      </c>
      <c r="FM304" s="51">
        <f t="shared" si="816"/>
        <v>0</v>
      </c>
      <c r="FN304" s="54">
        <f t="shared" si="817"/>
        <v>0</v>
      </c>
      <c r="FO304" s="55">
        <f t="shared" si="818"/>
        <v>0</v>
      </c>
      <c r="FP304" s="56">
        <f>IF(AND($E304&lt;&gt;0,$F304&gt;0,YEAR($F304)&gt;=Preisindex!$A$6,YEAR(FK$4)&gt;=YEAR($F304),AND($K304&lt;&gt;"a",$K304&lt;&gt;"b",$K304&lt;&gt;"g",$K304&lt;&gt;"k")),1,IF(AND($E304&lt;&gt;0,$F304&gt;0,YEAR($F304)&gt;=Preisindex!$A$6,YEAR(FK$4)&gt;=YEAR($F304),$K304="a"),ROUND(VLOOKUP(FP$4,Preisindex,5,FALSE)/VLOOKUP(YEAR($F304),Preisindex,5,FALSE),2),IF(AND($E304&lt;&gt;0,$F304&gt;0,YEAR($F304)&gt;=Preisindex!$A$6,YEAR(FK$4)&gt;=YEAR($F304),$K304="b"),ROUND(VLOOKUP(FP$4,Preisindex,3,FALSE)/VLOOKUP(YEAR($F304),Preisindex,3,FALSE),2),IF(AND($E304&lt;&gt;0,$F304&gt;0,YEAR($F304)&gt;=Preisindex!$A$6,YEAR(FK$4)&gt;=YEAR($F304),$K304="g"),ROUND(VLOOKUP(FP$4,Preisindex,4,FALSE)/VLOOKUP(YEAR($F304),Preisindex,4,FALSE),2),IF(AND($E304&lt;&gt;0,$F304&gt;0,YEAR($F304)&gt;=Preisindex!$A$6,YEAR(FK$4)&gt;=YEAR($F304),$K304="k"),ROUND(VLOOKUP(FP$4,Preisindex,2,FALSE)/VLOOKUP(YEAR($F304),Preisindex,2,FALSE),2),0)))))</f>
        <v>0</v>
      </c>
      <c r="FQ304" s="56">
        <f>IF(AND($E304&lt;&gt;0,$F304&gt;0,YEAR($F304)&lt;Preisindex!$A$6,YEAR(FK$4)&gt;=YEAR($F304),AND($K304&lt;&gt;"a",$K304&lt;&gt;"b",$K304&lt;&gt;"g",$K304&lt;&gt;"k")),1,IF(AND($E304&lt;&gt;0,$F304&gt;0,YEAR($F304)&lt;Preisindex!$A$6,YEAR(FK$4)&gt;=YEAR($F304),$K304="a"),ROUND(VLOOKUP(FP$4,Preisindex,5,FALSE)/VLOOKUP(Preisindex!$A$6,Preisindex,5,FALSE),2),IF(AND($E304&lt;&gt;0,$F304&gt;0,YEAR($F304)&lt;Preisindex!$A$6,YEAR(FK$4)&gt;=YEAR($F304),$K304="b"),ROUND(VLOOKUP(FP$4,Preisindex,3,FALSE)/VLOOKUP(Preisindex!$A$6,Preisindex,3,FALSE),2),IF(AND($E304&lt;&gt;0,$F304&gt;0,YEAR($F304)&lt;Preisindex!$A$6,YEAR(FK$4)&gt;=YEAR($F304),$K304="g"),ROUND(VLOOKUP(FP$4,Preisindex,4,FALSE)/VLOOKUP(Preisindex!$A$6,Preisindex,4,FALSE),2),IF(AND($E304&lt;&gt;0,$F304&gt;0,YEAR($F304)&lt;Preisindex!$A$6,YEAR(FK$4)&gt;=YEAR($F304),$K304="k"),ROUND(VLOOKUP(FP$4,Preisindex,2,FALSE)/VLOOKUP(Preisindex!$A$6,Preisindex,2,FALSE),2),0)))))</f>
        <v>0</v>
      </c>
      <c r="FR304" s="51">
        <f>IF(AND($E304&lt;&gt;0,$F304&gt;0,YEAR($F304)&lt;=FP$4,YEAR($F304)&gt;=Preisindex!$A$6),ROUND($E304*FP304,2),IF(AND($E304&lt;&gt;0,$F304&gt;0,YEAR($F304)&lt;=FP$4,YEAR($F304)&lt;Preisindex!$A$6),ROUND($E304*FQ304,2),0))</f>
        <v>0</v>
      </c>
      <c r="FS304" s="53">
        <f t="shared" si="819"/>
        <v>0</v>
      </c>
    </row>
    <row r="305" spans="1:175" x14ac:dyDescent="0.3">
      <c r="A305" s="185"/>
      <c r="B305" s="186"/>
      <c r="C305" s="187"/>
      <c r="D305" s="95"/>
      <c r="E305" s="99"/>
      <c r="F305" s="97"/>
      <c r="G305" s="98"/>
      <c r="H305" s="192"/>
      <c r="I305" s="193"/>
      <c r="J305" s="194"/>
      <c r="K305" s="630"/>
      <c r="L305" s="49">
        <f t="shared" si="820"/>
        <v>0</v>
      </c>
      <c r="M305" s="50">
        <f t="shared" si="821"/>
        <v>0</v>
      </c>
      <c r="N305" s="51">
        <f t="shared" si="822"/>
        <v>0</v>
      </c>
      <c r="O305" s="51"/>
      <c r="P305" s="51">
        <f t="shared" si="823"/>
        <v>0</v>
      </c>
      <c r="Q305" s="52"/>
      <c r="R305" s="52"/>
      <c r="S305" s="52"/>
      <c r="T305" s="52"/>
      <c r="U305" s="52"/>
      <c r="V305" s="53">
        <f t="shared" si="824"/>
        <v>0</v>
      </c>
      <c r="W305" s="51">
        <f t="shared" si="825"/>
        <v>0</v>
      </c>
      <c r="X305" s="51">
        <f t="shared" si="826"/>
        <v>0</v>
      </c>
      <c r="Y305" s="51">
        <f t="shared" si="827"/>
        <v>0</v>
      </c>
      <c r="Z305" s="51">
        <f t="shared" si="828"/>
        <v>0</v>
      </c>
      <c r="AA305" s="51">
        <f t="shared" si="829"/>
        <v>0</v>
      </c>
      <c r="AB305" s="51">
        <f t="shared" si="830"/>
        <v>0</v>
      </c>
      <c r="AC305" s="51">
        <f t="shared" si="831"/>
        <v>0</v>
      </c>
      <c r="AD305" s="51">
        <f t="shared" si="832"/>
        <v>0</v>
      </c>
      <c r="AE305" s="51">
        <f t="shared" si="833"/>
        <v>0</v>
      </c>
      <c r="AF305" s="51">
        <f t="shared" si="834"/>
        <v>0</v>
      </c>
      <c r="AG305" s="51">
        <f t="shared" si="835"/>
        <v>0</v>
      </c>
      <c r="AH305" s="54">
        <f t="shared" si="836"/>
        <v>0</v>
      </c>
      <c r="AI305" s="55">
        <f t="shared" si="837"/>
        <v>0</v>
      </c>
      <c r="AJ305" s="56">
        <f>IF(AND($E305&lt;&gt;0,$F305&gt;0,YEAR($F305)&gt;=Preisindex!$A$6,YEAR(AE$4)&gt;=YEAR($F305),AND($K305&lt;&gt;"a",$K305&lt;&gt;"b",$K305&lt;&gt;"g",$K305&lt;&gt;"k")),1,IF(AND($E305&lt;&gt;0,$F305&gt;0,YEAR($F305)&gt;=Preisindex!$A$6,YEAR(AE$4)&gt;=YEAR($F305),$K305="a"),ROUND(VLOOKUP(AJ$4,Preisindex,5,FALSE)/VLOOKUP(YEAR($F305),Preisindex,5,FALSE),2),IF(AND($E305&lt;&gt;0,$F305&gt;0,YEAR($F305)&gt;=Preisindex!$A$6,YEAR(AE$4)&gt;=YEAR($F305),$K305="b"),ROUND(VLOOKUP(AJ$4,Preisindex,3,FALSE)/VLOOKUP(YEAR($F305),Preisindex,3,FALSE),2),IF(AND($E305&lt;&gt;0,$F305&gt;0,YEAR($F305)&gt;=Preisindex!$A$6,YEAR(AE$4)&gt;=YEAR($F305),$K305="g"),ROUND(VLOOKUP(AJ$4,Preisindex,4,FALSE)/VLOOKUP(YEAR($F305),Preisindex,4,FALSE),2),IF(AND($E305&lt;&gt;0,$F305&gt;0,YEAR($F305)&gt;=Preisindex!$A$6,YEAR(AE$4)&gt;=YEAR($F305),$K305="k"),ROUND(VLOOKUP(AJ$4,Preisindex,2,FALSE)/VLOOKUP(YEAR($F305),Preisindex,2,FALSE),2),0)))))</f>
        <v>0</v>
      </c>
      <c r="AK305" s="56">
        <f>IF(AND($E305&lt;&gt;0,$F305&gt;0,YEAR($F305)&lt;Preisindex!$A$6,YEAR(AE$4)&gt;=YEAR($F305),AND($K305&lt;&gt;"a",$K305&lt;&gt;"b",$K305&lt;&gt;"g",$K305&lt;&gt;"k")),1,IF(AND($E305&lt;&gt;0,$F305&gt;0,YEAR($F305)&lt;Preisindex!$A$6,YEAR(AE$4)&gt;=YEAR($F305),$K305="a"),ROUND(VLOOKUP(AJ$4,Preisindex,5,FALSE)/VLOOKUP(Preisindex!$A$6,Preisindex,5,FALSE),2),IF(AND($E305&lt;&gt;0,$F305&gt;0,YEAR($F305)&lt;Preisindex!$A$6,YEAR(AE$4)&gt;=YEAR($F305),$K305="b"),ROUND(VLOOKUP(AJ$4,Preisindex,3,FALSE)/VLOOKUP(Preisindex!$A$6,Preisindex,3,FALSE),2),IF(AND($E305&lt;&gt;0,$F305&gt;0,YEAR($F305)&lt;Preisindex!$A$6,YEAR(AE$4)&gt;=YEAR($F305),$K305="g"),ROUND(VLOOKUP(AJ$4,Preisindex,4,FALSE)/VLOOKUP(Preisindex!$A$6,Preisindex,4,FALSE),2),IF(AND($E305&lt;&gt;0,$F305&gt;0,YEAR($F305)&lt;Preisindex!$A$6,YEAR(AE$4)&gt;=YEAR($F305),$K305="k"),ROUND(VLOOKUP(AJ$4,Preisindex,2,FALSE)/VLOOKUP(Preisindex!$A$6,Preisindex,2,FALSE),2),0)))))</f>
        <v>0</v>
      </c>
      <c r="AL305" s="51">
        <f>IF(AND($E305&lt;&gt;0,$F305&gt;0,YEAR($F305)&lt;=AJ$4,YEAR($F305)&gt;=Preisindex!$A$6),ROUND($E305*AJ305,2),IF(AND($E305&lt;&gt;0,$F305&gt;0,YEAR($F305)&lt;=AJ$4,YEAR($F305)&lt;Preisindex!$A$6),ROUND($E305*AK305,2),0))</f>
        <v>0</v>
      </c>
      <c r="AM305" s="53">
        <f t="shared" si="838"/>
        <v>0</v>
      </c>
      <c r="AN305" s="51">
        <f t="shared" si="881"/>
        <v>0</v>
      </c>
      <c r="AO305" s="51">
        <f t="shared" si="841"/>
        <v>0</v>
      </c>
      <c r="AP305" s="51">
        <f t="shared" si="755"/>
        <v>0</v>
      </c>
      <c r="AQ305" s="51">
        <f t="shared" si="842"/>
        <v>0</v>
      </c>
      <c r="AR305" s="51">
        <f t="shared" si="756"/>
        <v>0</v>
      </c>
      <c r="AS305" s="51">
        <f t="shared" si="843"/>
        <v>0</v>
      </c>
      <c r="AT305" s="51">
        <f t="shared" si="757"/>
        <v>0</v>
      </c>
      <c r="AU305" s="51">
        <f t="shared" si="844"/>
        <v>0</v>
      </c>
      <c r="AV305" s="51">
        <f t="shared" si="758"/>
        <v>0</v>
      </c>
      <c r="AW305" s="51">
        <f t="shared" si="845"/>
        <v>0</v>
      </c>
      <c r="AX305" s="51">
        <f t="shared" si="759"/>
        <v>0</v>
      </c>
      <c r="AY305" s="54">
        <f t="shared" si="760"/>
        <v>0</v>
      </c>
      <c r="AZ305" s="55">
        <f t="shared" si="761"/>
        <v>0</v>
      </c>
      <c r="BA305" s="56">
        <f>IF(AND($E305&lt;&gt;0,$F305&gt;0,YEAR($F305)&gt;=Preisindex!$A$6,YEAR(AV$4)&gt;=YEAR($F305),AND($K305&lt;&gt;"a",$K305&lt;&gt;"b",$K305&lt;&gt;"g",$K305&lt;&gt;"k")),1,IF(AND($E305&lt;&gt;0,$F305&gt;0,YEAR($F305)&gt;=Preisindex!$A$6,YEAR(AV$4)&gt;=YEAR($F305),$K305="a"),ROUND(VLOOKUP(BA$4,Preisindex,5,FALSE)/VLOOKUP(YEAR($F305),Preisindex,5,FALSE),2),IF(AND($E305&lt;&gt;0,$F305&gt;0,YEAR($F305)&gt;=Preisindex!$A$6,YEAR(AV$4)&gt;=YEAR($F305),$K305="b"),ROUND(VLOOKUP(BA$4,Preisindex,3,FALSE)/VLOOKUP(YEAR($F305),Preisindex,3,FALSE),2),IF(AND($E305&lt;&gt;0,$F305&gt;0,YEAR($F305)&gt;=Preisindex!$A$6,YEAR(AV$4)&gt;=YEAR($F305),$K305="g"),ROUND(VLOOKUP(BA$4,Preisindex,4,FALSE)/VLOOKUP(YEAR($F305),Preisindex,4,FALSE),2),IF(AND($E305&lt;&gt;0,$F305&gt;0,YEAR($F305)&gt;=Preisindex!$A$6,YEAR(AV$4)&gt;=YEAR($F305),$K305="k"),ROUND(VLOOKUP(BA$4,Preisindex,2,FALSE)/VLOOKUP(YEAR($F305),Preisindex,2,FALSE),2),0)))))</f>
        <v>0</v>
      </c>
      <c r="BB305" s="56">
        <f>IF(AND($E305&lt;&gt;0,$F305&gt;0,YEAR($F305)&lt;Preisindex!$A$6,YEAR(AV$4)&gt;=YEAR($F305),AND($K305&lt;&gt;"a",$K305&lt;&gt;"b",$K305&lt;&gt;"g",$K305&lt;&gt;"k")),1,IF(AND($E305&lt;&gt;0,$F305&gt;0,YEAR($F305)&lt;Preisindex!$A$6,YEAR(AV$4)&gt;=YEAR($F305),$K305="a"),ROUND(VLOOKUP(BA$4,Preisindex,5,FALSE)/VLOOKUP(Preisindex!$A$6,Preisindex,5,FALSE),2),IF(AND($E305&lt;&gt;0,$F305&gt;0,YEAR($F305)&lt;Preisindex!$A$6,YEAR(AV$4)&gt;=YEAR($F305),$K305="b"),ROUND(VLOOKUP(BA$4,Preisindex,3,FALSE)/VLOOKUP(Preisindex!$A$6,Preisindex,3,FALSE),2),IF(AND($E305&lt;&gt;0,$F305&gt;0,YEAR($F305)&lt;Preisindex!$A$6,YEAR(AV$4)&gt;=YEAR($F305),$K305="g"),ROUND(VLOOKUP(BA$4,Preisindex,4,FALSE)/VLOOKUP(Preisindex!$A$6,Preisindex,4,FALSE),2),IF(AND($E305&lt;&gt;0,$F305&gt;0,YEAR($F305)&lt;Preisindex!$A$6,YEAR(AV$4)&gt;=YEAR($F305),$K305="k"),ROUND(VLOOKUP(BA$4,Preisindex,2,FALSE)/VLOOKUP(Preisindex!$A$6,Preisindex,2,FALSE),2),0)))))</f>
        <v>0</v>
      </c>
      <c r="BC305" s="51">
        <f>IF(AND($E305&lt;&gt;0,$F305&gt;0,YEAR($F305)&lt;=BA$4,YEAR($F305)&gt;=Preisindex!$A$6),ROUND($E305*BA305,2),IF(AND($E305&lt;&gt;0,$F305&gt;0,YEAR($F305)&lt;=BA$4,YEAR($F305)&lt;Preisindex!$A$6),ROUND($E305*BB305,2),0))</f>
        <v>0</v>
      </c>
      <c r="BD305" s="53">
        <f t="shared" si="762"/>
        <v>0</v>
      </c>
      <c r="BE305" s="51">
        <f t="shared" si="881"/>
        <v>0</v>
      </c>
      <c r="BF305" s="51">
        <f t="shared" si="846"/>
        <v>0</v>
      </c>
      <c r="BG305" s="51">
        <f t="shared" si="763"/>
        <v>0</v>
      </c>
      <c r="BH305" s="51">
        <f t="shared" si="847"/>
        <v>0</v>
      </c>
      <c r="BI305" s="51">
        <f t="shared" si="764"/>
        <v>0</v>
      </c>
      <c r="BJ305" s="51">
        <f t="shared" si="848"/>
        <v>0</v>
      </c>
      <c r="BK305" s="51">
        <f t="shared" si="765"/>
        <v>0</v>
      </c>
      <c r="BL305" s="51">
        <f t="shared" si="849"/>
        <v>0</v>
      </c>
      <c r="BM305" s="51">
        <f t="shared" si="766"/>
        <v>0</v>
      </c>
      <c r="BN305" s="51">
        <f t="shared" si="850"/>
        <v>0</v>
      </c>
      <c r="BO305" s="51">
        <f t="shared" si="767"/>
        <v>0</v>
      </c>
      <c r="BP305" s="54">
        <f t="shared" si="768"/>
        <v>0</v>
      </c>
      <c r="BQ305" s="55">
        <f t="shared" si="769"/>
        <v>0</v>
      </c>
      <c r="BR305" s="56">
        <f>IF(AND($E305&lt;&gt;0,$F305&gt;0,YEAR($F305)&gt;=Preisindex!$A$6,YEAR(BM$4)&gt;=YEAR($F305),AND($K305&lt;&gt;"a",$K305&lt;&gt;"b",$K305&lt;&gt;"g",$K305&lt;&gt;"k")),1,IF(AND($E305&lt;&gt;0,$F305&gt;0,YEAR($F305)&gt;=Preisindex!$A$6,YEAR(BM$4)&gt;=YEAR($F305),$K305="a"),ROUND(VLOOKUP(BR$4,Preisindex,5,FALSE)/VLOOKUP(YEAR($F305),Preisindex,5,FALSE),2),IF(AND($E305&lt;&gt;0,$F305&gt;0,YEAR($F305)&gt;=Preisindex!$A$6,YEAR(BM$4)&gt;=YEAR($F305),$K305="b"),ROUND(VLOOKUP(BR$4,Preisindex,3,FALSE)/VLOOKUP(YEAR($F305),Preisindex,3,FALSE),2),IF(AND($E305&lt;&gt;0,$F305&gt;0,YEAR($F305)&gt;=Preisindex!$A$6,YEAR(BM$4)&gt;=YEAR($F305),$K305="g"),ROUND(VLOOKUP(BR$4,Preisindex,4,FALSE)/VLOOKUP(YEAR($F305),Preisindex,4,FALSE),2),IF(AND($E305&lt;&gt;0,$F305&gt;0,YEAR($F305)&gt;=Preisindex!$A$6,YEAR(BM$4)&gt;=YEAR($F305),$K305="k"),ROUND(VLOOKUP(BR$4,Preisindex,2,FALSE)/VLOOKUP(YEAR($F305),Preisindex,2,FALSE),2),0)))))</f>
        <v>0</v>
      </c>
      <c r="BS305" s="56">
        <f>IF(AND($E305&lt;&gt;0,$F305&gt;0,YEAR($F305)&lt;Preisindex!$A$6,YEAR(BM$4)&gt;=YEAR($F305),AND($K305&lt;&gt;"a",$K305&lt;&gt;"b",$K305&lt;&gt;"g",$K305&lt;&gt;"k")),1,IF(AND($E305&lt;&gt;0,$F305&gt;0,YEAR($F305)&lt;Preisindex!$A$6,YEAR(BM$4)&gt;=YEAR($F305),$K305="a"),ROUND(VLOOKUP(BR$4,Preisindex,5,FALSE)/VLOOKUP(Preisindex!$A$6,Preisindex,5,FALSE),2),IF(AND($E305&lt;&gt;0,$F305&gt;0,YEAR($F305)&lt;Preisindex!$A$6,YEAR(BM$4)&gt;=YEAR($F305),$K305="b"),ROUND(VLOOKUP(BR$4,Preisindex,3,FALSE)/VLOOKUP(Preisindex!$A$6,Preisindex,3,FALSE),2),IF(AND($E305&lt;&gt;0,$F305&gt;0,YEAR($F305)&lt;Preisindex!$A$6,YEAR(BM$4)&gt;=YEAR($F305),$K305="g"),ROUND(VLOOKUP(BR$4,Preisindex,4,FALSE)/VLOOKUP(Preisindex!$A$6,Preisindex,4,FALSE),2),IF(AND($E305&lt;&gt;0,$F305&gt;0,YEAR($F305)&lt;Preisindex!$A$6,YEAR(BM$4)&gt;=YEAR($F305),$K305="k"),ROUND(VLOOKUP(BR$4,Preisindex,2,FALSE)/VLOOKUP(Preisindex!$A$6,Preisindex,2,FALSE),2),0)))))</f>
        <v>0</v>
      </c>
      <c r="BT305" s="51">
        <f>IF(AND($E305&lt;&gt;0,$F305&gt;0,YEAR($F305)&lt;=BR$4,YEAR($F305)&gt;=Preisindex!$A$6),ROUND($E305*BR305,2),IF(AND($E305&lt;&gt;0,$F305&gt;0,YEAR($F305)&lt;=BR$4,YEAR($F305)&lt;Preisindex!$A$6),ROUND($E305*BS305,2),0))</f>
        <v>0</v>
      </c>
      <c r="BU305" s="53">
        <f t="shared" si="770"/>
        <v>0</v>
      </c>
      <c r="BV305" s="51">
        <f t="shared" si="881"/>
        <v>0</v>
      </c>
      <c r="BW305" s="51">
        <f t="shared" si="851"/>
        <v>0</v>
      </c>
      <c r="BX305" s="51">
        <f t="shared" si="771"/>
        <v>0</v>
      </c>
      <c r="BY305" s="51">
        <f t="shared" si="852"/>
        <v>0</v>
      </c>
      <c r="BZ305" s="51">
        <f t="shared" si="772"/>
        <v>0</v>
      </c>
      <c r="CA305" s="51">
        <f t="shared" si="853"/>
        <v>0</v>
      </c>
      <c r="CB305" s="51">
        <f t="shared" si="773"/>
        <v>0</v>
      </c>
      <c r="CC305" s="51">
        <f t="shared" si="854"/>
        <v>0</v>
      </c>
      <c r="CD305" s="51">
        <f t="shared" si="774"/>
        <v>0</v>
      </c>
      <c r="CE305" s="51">
        <f t="shared" si="855"/>
        <v>0</v>
      </c>
      <c r="CF305" s="51">
        <f t="shared" si="775"/>
        <v>0</v>
      </c>
      <c r="CG305" s="54">
        <f t="shared" si="776"/>
        <v>0</v>
      </c>
      <c r="CH305" s="55">
        <f t="shared" si="777"/>
        <v>0</v>
      </c>
      <c r="CI305" s="56">
        <f>IF(AND($E305&lt;&gt;0,$F305&gt;0,YEAR($F305)&gt;=Preisindex!$A$6,YEAR(CD$4)&gt;=YEAR($F305),AND($K305&lt;&gt;"a",$K305&lt;&gt;"b",$K305&lt;&gt;"g",$K305&lt;&gt;"k")),1,IF(AND($E305&lt;&gt;0,$F305&gt;0,YEAR($F305)&gt;=Preisindex!$A$6,YEAR(CD$4)&gt;=YEAR($F305),$K305="a"),ROUND(VLOOKUP(CI$4,Preisindex,5,FALSE)/VLOOKUP(YEAR($F305),Preisindex,5,FALSE),2),IF(AND($E305&lt;&gt;0,$F305&gt;0,YEAR($F305)&gt;=Preisindex!$A$6,YEAR(CD$4)&gt;=YEAR($F305),$K305="b"),ROUND(VLOOKUP(CI$4,Preisindex,3,FALSE)/VLOOKUP(YEAR($F305),Preisindex,3,FALSE),2),IF(AND($E305&lt;&gt;0,$F305&gt;0,YEAR($F305)&gt;=Preisindex!$A$6,YEAR(CD$4)&gt;=YEAR($F305),$K305="g"),ROUND(VLOOKUP(CI$4,Preisindex,4,FALSE)/VLOOKUP(YEAR($F305),Preisindex,4,FALSE),2),IF(AND($E305&lt;&gt;0,$F305&gt;0,YEAR($F305)&gt;=Preisindex!$A$6,YEAR(CD$4)&gt;=YEAR($F305),$K305="k"),ROUND(VLOOKUP(CI$4,Preisindex,2,FALSE)/VLOOKUP(YEAR($F305),Preisindex,2,FALSE),2),0)))))</f>
        <v>0</v>
      </c>
      <c r="CJ305" s="56">
        <f>IF(AND($E305&lt;&gt;0,$F305&gt;0,YEAR($F305)&lt;Preisindex!$A$6,YEAR(CD$4)&gt;=YEAR($F305),AND($K305&lt;&gt;"a",$K305&lt;&gt;"b",$K305&lt;&gt;"g",$K305&lt;&gt;"k")),1,IF(AND($E305&lt;&gt;0,$F305&gt;0,YEAR($F305)&lt;Preisindex!$A$6,YEAR(CD$4)&gt;=YEAR($F305),$K305="a"),ROUND(VLOOKUP(CI$4,Preisindex,5,FALSE)/VLOOKUP(Preisindex!$A$6,Preisindex,5,FALSE),2),IF(AND($E305&lt;&gt;0,$F305&gt;0,YEAR($F305)&lt;Preisindex!$A$6,YEAR(CD$4)&gt;=YEAR($F305),$K305="b"),ROUND(VLOOKUP(CI$4,Preisindex,3,FALSE)/VLOOKUP(Preisindex!$A$6,Preisindex,3,FALSE),2),IF(AND($E305&lt;&gt;0,$F305&gt;0,YEAR($F305)&lt;Preisindex!$A$6,YEAR(CD$4)&gt;=YEAR($F305),$K305="g"),ROUND(VLOOKUP(CI$4,Preisindex,4,FALSE)/VLOOKUP(Preisindex!$A$6,Preisindex,4,FALSE),2),IF(AND($E305&lt;&gt;0,$F305&gt;0,YEAR($F305)&lt;Preisindex!$A$6,YEAR(CD$4)&gt;=YEAR($F305),$K305="k"),ROUND(VLOOKUP(CI$4,Preisindex,2,FALSE)/VLOOKUP(Preisindex!$A$6,Preisindex,2,FALSE),2),0)))))</f>
        <v>0</v>
      </c>
      <c r="CK305" s="51">
        <f>IF(AND($E305&lt;&gt;0,$F305&gt;0,YEAR($F305)&lt;=CI$4,YEAR($F305)&gt;=Preisindex!$A$6),ROUND($E305*CI305,2),IF(AND($E305&lt;&gt;0,$F305&gt;0,YEAR($F305)&lt;=CI$4,YEAR($F305)&lt;Preisindex!$A$6),ROUND($E305*CJ305,2),0))</f>
        <v>0</v>
      </c>
      <c r="CL305" s="53">
        <f t="shared" si="778"/>
        <v>0</v>
      </c>
      <c r="CM305" s="51">
        <f t="shared" si="881"/>
        <v>0</v>
      </c>
      <c r="CN305" s="51">
        <f t="shared" si="856"/>
        <v>0</v>
      </c>
      <c r="CO305" s="51">
        <f t="shared" si="779"/>
        <v>0</v>
      </c>
      <c r="CP305" s="51">
        <f t="shared" si="857"/>
        <v>0</v>
      </c>
      <c r="CQ305" s="51">
        <f t="shared" si="780"/>
        <v>0</v>
      </c>
      <c r="CR305" s="51">
        <f t="shared" si="858"/>
        <v>0</v>
      </c>
      <c r="CS305" s="51">
        <f t="shared" si="781"/>
        <v>0</v>
      </c>
      <c r="CT305" s="51">
        <f t="shared" si="859"/>
        <v>0</v>
      </c>
      <c r="CU305" s="51">
        <f t="shared" si="782"/>
        <v>0</v>
      </c>
      <c r="CV305" s="51">
        <f t="shared" si="860"/>
        <v>0</v>
      </c>
      <c r="CW305" s="51">
        <f t="shared" si="783"/>
        <v>0</v>
      </c>
      <c r="CX305" s="54">
        <f t="shared" si="784"/>
        <v>0</v>
      </c>
      <c r="CY305" s="55">
        <f t="shared" si="785"/>
        <v>0</v>
      </c>
      <c r="CZ305" s="56">
        <f>IF(AND($E305&lt;&gt;0,$F305&gt;0,YEAR($F305)&gt;=Preisindex!$A$6,YEAR(CU$4)&gt;=YEAR($F305),AND($K305&lt;&gt;"a",$K305&lt;&gt;"b",$K305&lt;&gt;"g",$K305&lt;&gt;"k")),1,IF(AND($E305&lt;&gt;0,$F305&gt;0,YEAR($F305)&gt;=Preisindex!$A$6,YEAR(CU$4)&gt;=YEAR($F305),$K305="a"),ROUND(VLOOKUP(CZ$4,Preisindex,5,FALSE)/VLOOKUP(YEAR($F305),Preisindex,5,FALSE),2),IF(AND($E305&lt;&gt;0,$F305&gt;0,YEAR($F305)&gt;=Preisindex!$A$6,YEAR(CU$4)&gt;=YEAR($F305),$K305="b"),ROUND(VLOOKUP(CZ$4,Preisindex,3,FALSE)/VLOOKUP(YEAR($F305),Preisindex,3,FALSE),2),IF(AND($E305&lt;&gt;0,$F305&gt;0,YEAR($F305)&gt;=Preisindex!$A$6,YEAR(CU$4)&gt;=YEAR($F305),$K305="g"),ROUND(VLOOKUP(CZ$4,Preisindex,4,FALSE)/VLOOKUP(YEAR($F305),Preisindex,4,FALSE),2),IF(AND($E305&lt;&gt;0,$F305&gt;0,YEAR($F305)&gt;=Preisindex!$A$6,YEAR(CU$4)&gt;=YEAR($F305),$K305="k"),ROUND(VLOOKUP(CZ$4,Preisindex,2,FALSE)/VLOOKUP(YEAR($F305),Preisindex,2,FALSE),2),0)))))</f>
        <v>0</v>
      </c>
      <c r="DA305" s="56">
        <f>IF(AND($E305&lt;&gt;0,$F305&gt;0,YEAR($F305)&lt;Preisindex!$A$6,YEAR(CU$4)&gt;=YEAR($F305),AND($K305&lt;&gt;"a",$K305&lt;&gt;"b",$K305&lt;&gt;"g",$K305&lt;&gt;"k")),1,IF(AND($E305&lt;&gt;0,$F305&gt;0,YEAR($F305)&lt;Preisindex!$A$6,YEAR(CU$4)&gt;=YEAR($F305),$K305="a"),ROUND(VLOOKUP(CZ$4,Preisindex,5,FALSE)/VLOOKUP(Preisindex!$A$6,Preisindex,5,FALSE),2),IF(AND($E305&lt;&gt;0,$F305&gt;0,YEAR($F305)&lt;Preisindex!$A$6,YEAR(CU$4)&gt;=YEAR($F305),$K305="b"),ROUND(VLOOKUP(CZ$4,Preisindex,3,FALSE)/VLOOKUP(Preisindex!$A$6,Preisindex,3,FALSE),2),IF(AND($E305&lt;&gt;0,$F305&gt;0,YEAR($F305)&lt;Preisindex!$A$6,YEAR(CU$4)&gt;=YEAR($F305),$K305="g"),ROUND(VLOOKUP(CZ$4,Preisindex,4,FALSE)/VLOOKUP(Preisindex!$A$6,Preisindex,4,FALSE),2),IF(AND($E305&lt;&gt;0,$F305&gt;0,YEAR($F305)&lt;Preisindex!$A$6,YEAR(CU$4)&gt;=YEAR($F305),$K305="k"),ROUND(VLOOKUP(CZ$4,Preisindex,2,FALSE)/VLOOKUP(Preisindex!$A$6,Preisindex,2,FALSE),2),0)))))</f>
        <v>0</v>
      </c>
      <c r="DB305" s="51">
        <f>IF(AND($E305&lt;&gt;0,$F305&gt;0,YEAR($F305)&lt;=CZ$4,YEAR($F305)&gt;=Preisindex!$A$6),ROUND($E305*CZ305,2),IF(AND($E305&lt;&gt;0,$F305&gt;0,YEAR($F305)&lt;=CZ$4,YEAR($F305)&lt;Preisindex!$A$6),ROUND($E305*DA305,2),0))</f>
        <v>0</v>
      </c>
      <c r="DC305" s="53">
        <f t="shared" si="786"/>
        <v>0</v>
      </c>
      <c r="DD305" s="51">
        <f t="shared" si="882"/>
        <v>0</v>
      </c>
      <c r="DE305" s="51">
        <f t="shared" si="861"/>
        <v>0</v>
      </c>
      <c r="DF305" s="51">
        <f t="shared" si="788"/>
        <v>0</v>
      </c>
      <c r="DG305" s="51">
        <f t="shared" si="862"/>
        <v>0</v>
      </c>
      <c r="DH305" s="51">
        <f t="shared" si="789"/>
        <v>0</v>
      </c>
      <c r="DI305" s="51">
        <f t="shared" si="863"/>
        <v>0</v>
      </c>
      <c r="DJ305" s="51">
        <f t="shared" si="790"/>
        <v>0</v>
      </c>
      <c r="DK305" s="51">
        <f t="shared" si="864"/>
        <v>0</v>
      </c>
      <c r="DL305" s="51">
        <f t="shared" si="791"/>
        <v>0</v>
      </c>
      <c r="DM305" s="51">
        <f t="shared" si="865"/>
        <v>0</v>
      </c>
      <c r="DN305" s="51">
        <f t="shared" si="792"/>
        <v>0</v>
      </c>
      <c r="DO305" s="54">
        <f t="shared" si="793"/>
        <v>0</v>
      </c>
      <c r="DP305" s="55">
        <f t="shared" si="794"/>
        <v>0</v>
      </c>
      <c r="DQ305" s="56">
        <f>IF(AND($E305&lt;&gt;0,$F305&gt;0,YEAR($F305)&gt;=Preisindex!$A$6,YEAR(DL$4)&gt;=YEAR($F305),AND($K305&lt;&gt;"a",$K305&lt;&gt;"b",$K305&lt;&gt;"g",$K305&lt;&gt;"k")),1,IF(AND($E305&lt;&gt;0,$F305&gt;0,YEAR($F305)&gt;=Preisindex!$A$6,YEAR(DL$4)&gt;=YEAR($F305),$K305="a"),ROUND(VLOOKUP(DQ$4,Preisindex,5,FALSE)/VLOOKUP(YEAR($F305),Preisindex,5,FALSE),2),IF(AND($E305&lt;&gt;0,$F305&gt;0,YEAR($F305)&gt;=Preisindex!$A$6,YEAR(DL$4)&gt;=YEAR($F305),$K305="b"),ROUND(VLOOKUP(DQ$4,Preisindex,3,FALSE)/VLOOKUP(YEAR($F305),Preisindex,3,FALSE),2),IF(AND($E305&lt;&gt;0,$F305&gt;0,YEAR($F305)&gt;=Preisindex!$A$6,YEAR(DL$4)&gt;=YEAR($F305),$K305="g"),ROUND(VLOOKUP(DQ$4,Preisindex,4,FALSE)/VLOOKUP(YEAR($F305),Preisindex,4,FALSE),2),IF(AND($E305&lt;&gt;0,$F305&gt;0,YEAR($F305)&gt;=Preisindex!$A$6,YEAR(DL$4)&gt;=YEAR($F305),$K305="k"),ROUND(VLOOKUP(DQ$4,Preisindex,2,FALSE)/VLOOKUP(YEAR($F305),Preisindex,2,FALSE),2),0)))))</f>
        <v>0</v>
      </c>
      <c r="DR305" s="56">
        <f>IF(AND($E305&lt;&gt;0,$F305&gt;0,YEAR($F305)&lt;Preisindex!$A$6,YEAR(DL$4)&gt;=YEAR($F305),AND($K305&lt;&gt;"a",$K305&lt;&gt;"b",$K305&lt;&gt;"g",$K305&lt;&gt;"k")),1,IF(AND($E305&lt;&gt;0,$F305&gt;0,YEAR($F305)&lt;Preisindex!$A$6,YEAR(DL$4)&gt;=YEAR($F305),$K305="a"),ROUND(VLOOKUP(DQ$4,Preisindex,5,FALSE)/VLOOKUP(Preisindex!$A$6,Preisindex,5,FALSE),2),IF(AND($E305&lt;&gt;0,$F305&gt;0,YEAR($F305)&lt;Preisindex!$A$6,YEAR(DL$4)&gt;=YEAR($F305),$K305="b"),ROUND(VLOOKUP(DQ$4,Preisindex,3,FALSE)/VLOOKUP(Preisindex!$A$6,Preisindex,3,FALSE),2),IF(AND($E305&lt;&gt;0,$F305&gt;0,YEAR($F305)&lt;Preisindex!$A$6,YEAR(DL$4)&gt;=YEAR($F305),$K305="g"),ROUND(VLOOKUP(DQ$4,Preisindex,4,FALSE)/VLOOKUP(Preisindex!$A$6,Preisindex,4,FALSE),2),IF(AND($E305&lt;&gt;0,$F305&gt;0,YEAR($F305)&lt;Preisindex!$A$6,YEAR(DL$4)&gt;=YEAR($F305),$K305="k"),ROUND(VLOOKUP(DQ$4,Preisindex,2,FALSE)/VLOOKUP(Preisindex!$A$6,Preisindex,2,FALSE),2),0)))))</f>
        <v>0</v>
      </c>
      <c r="DS305" s="51">
        <f>IF(AND($E305&lt;&gt;0,$F305&gt;0,YEAR($F305)&lt;=DQ$4,YEAR($F305)&gt;=Preisindex!$A$6),ROUND($E305*DQ305,2),IF(AND($E305&lt;&gt;0,$F305&gt;0,YEAR($F305)&lt;=DQ$4,YEAR($F305)&lt;Preisindex!$A$6),ROUND($E305*DR305,2),0))</f>
        <v>0</v>
      </c>
      <c r="DT305" s="53">
        <f t="shared" si="795"/>
        <v>0</v>
      </c>
      <c r="DU305" s="51">
        <f t="shared" si="882"/>
        <v>0</v>
      </c>
      <c r="DV305" s="51">
        <f t="shared" si="866"/>
        <v>0</v>
      </c>
      <c r="DW305" s="51">
        <f t="shared" si="796"/>
        <v>0</v>
      </c>
      <c r="DX305" s="51">
        <f t="shared" si="867"/>
        <v>0</v>
      </c>
      <c r="DY305" s="51">
        <f t="shared" si="797"/>
        <v>0</v>
      </c>
      <c r="DZ305" s="51">
        <f t="shared" si="868"/>
        <v>0</v>
      </c>
      <c r="EA305" s="51">
        <f t="shared" si="798"/>
        <v>0</v>
      </c>
      <c r="EB305" s="51">
        <f t="shared" si="869"/>
        <v>0</v>
      </c>
      <c r="EC305" s="51">
        <f t="shared" si="799"/>
        <v>0</v>
      </c>
      <c r="ED305" s="51">
        <f t="shared" si="870"/>
        <v>0</v>
      </c>
      <c r="EE305" s="51">
        <f t="shared" si="800"/>
        <v>0</v>
      </c>
      <c r="EF305" s="54">
        <f t="shared" si="801"/>
        <v>0</v>
      </c>
      <c r="EG305" s="55">
        <f t="shared" si="802"/>
        <v>0</v>
      </c>
      <c r="EH305" s="56">
        <f>IF(AND($E305&lt;&gt;0,$F305&gt;0,YEAR($F305)&gt;=Preisindex!$A$6,YEAR(EC$4)&gt;=YEAR($F305),AND($K305&lt;&gt;"a",$K305&lt;&gt;"b",$K305&lt;&gt;"g",$K305&lt;&gt;"k")),1,IF(AND($E305&lt;&gt;0,$F305&gt;0,YEAR($F305)&gt;=Preisindex!$A$6,YEAR(EC$4)&gt;=YEAR($F305),$K305="a"),ROUND(VLOOKUP(EH$4,Preisindex,5,FALSE)/VLOOKUP(YEAR($F305),Preisindex,5,FALSE),2),IF(AND($E305&lt;&gt;0,$F305&gt;0,YEAR($F305)&gt;=Preisindex!$A$6,YEAR(EC$4)&gt;=YEAR($F305),$K305="b"),ROUND(VLOOKUP(EH$4,Preisindex,3,FALSE)/VLOOKUP(YEAR($F305),Preisindex,3,FALSE),2),IF(AND($E305&lt;&gt;0,$F305&gt;0,YEAR($F305)&gt;=Preisindex!$A$6,YEAR(EC$4)&gt;=YEAR($F305),$K305="g"),ROUND(VLOOKUP(EH$4,Preisindex,4,FALSE)/VLOOKUP(YEAR($F305),Preisindex,4,FALSE),2),IF(AND($E305&lt;&gt;0,$F305&gt;0,YEAR($F305)&gt;=Preisindex!$A$6,YEAR(EC$4)&gt;=YEAR($F305),$K305="k"),ROUND(VLOOKUP(EH$4,Preisindex,2,FALSE)/VLOOKUP(YEAR($F305),Preisindex,2,FALSE),2),0)))))</f>
        <v>0</v>
      </c>
      <c r="EI305" s="56">
        <f>IF(AND($E305&lt;&gt;0,$F305&gt;0,YEAR($F305)&lt;Preisindex!$A$6,YEAR(EC$4)&gt;=YEAR($F305),AND($K305&lt;&gt;"a",$K305&lt;&gt;"b",$K305&lt;&gt;"g",$K305&lt;&gt;"k")),1,IF(AND($E305&lt;&gt;0,$F305&gt;0,YEAR($F305)&lt;Preisindex!$A$6,YEAR(EC$4)&gt;=YEAR($F305),$K305="a"),ROUND(VLOOKUP(EH$4,Preisindex,5,FALSE)/VLOOKUP(Preisindex!$A$6,Preisindex,5,FALSE),2),IF(AND($E305&lt;&gt;0,$F305&gt;0,YEAR($F305)&lt;Preisindex!$A$6,YEAR(EC$4)&gt;=YEAR($F305),$K305="b"),ROUND(VLOOKUP(EH$4,Preisindex,3,FALSE)/VLOOKUP(Preisindex!$A$6,Preisindex,3,FALSE),2),IF(AND($E305&lt;&gt;0,$F305&gt;0,YEAR($F305)&lt;Preisindex!$A$6,YEAR(EC$4)&gt;=YEAR($F305),$K305="g"),ROUND(VLOOKUP(EH$4,Preisindex,4,FALSE)/VLOOKUP(Preisindex!$A$6,Preisindex,4,FALSE),2),IF(AND($E305&lt;&gt;0,$F305&gt;0,YEAR($F305)&lt;Preisindex!$A$6,YEAR(EC$4)&gt;=YEAR($F305),$K305="k"),ROUND(VLOOKUP(EH$4,Preisindex,2,FALSE)/VLOOKUP(Preisindex!$A$6,Preisindex,2,FALSE),2),0)))))</f>
        <v>0</v>
      </c>
      <c r="EJ305" s="51">
        <f>IF(AND($E305&lt;&gt;0,$F305&gt;0,YEAR($F305)&lt;=EH$4,YEAR($F305)&gt;=Preisindex!$A$6),ROUND($E305*EH305,2),IF(AND($E305&lt;&gt;0,$F305&gt;0,YEAR($F305)&lt;=EH$4,YEAR($F305)&lt;Preisindex!$A$6),ROUND($E305*EI305,2),0))</f>
        <v>0</v>
      </c>
      <c r="EK305" s="53">
        <f t="shared" si="803"/>
        <v>0</v>
      </c>
      <c r="EL305" s="51">
        <f t="shared" si="882"/>
        <v>0</v>
      </c>
      <c r="EM305" s="51">
        <f t="shared" si="871"/>
        <v>0</v>
      </c>
      <c r="EN305" s="51">
        <f t="shared" si="804"/>
        <v>0</v>
      </c>
      <c r="EO305" s="51">
        <f t="shared" si="872"/>
        <v>0</v>
      </c>
      <c r="EP305" s="51">
        <f t="shared" si="805"/>
        <v>0</v>
      </c>
      <c r="EQ305" s="51">
        <f t="shared" si="873"/>
        <v>0</v>
      </c>
      <c r="ER305" s="51">
        <f t="shared" si="806"/>
        <v>0</v>
      </c>
      <c r="ES305" s="51">
        <f t="shared" si="874"/>
        <v>0</v>
      </c>
      <c r="ET305" s="51">
        <f t="shared" si="807"/>
        <v>0</v>
      </c>
      <c r="EU305" s="51">
        <f t="shared" si="875"/>
        <v>0</v>
      </c>
      <c r="EV305" s="51">
        <f t="shared" si="808"/>
        <v>0</v>
      </c>
      <c r="EW305" s="54">
        <f t="shared" si="809"/>
        <v>0</v>
      </c>
      <c r="EX305" s="55">
        <f t="shared" si="810"/>
        <v>0</v>
      </c>
      <c r="EY305" s="56">
        <f>IF(AND($E305&lt;&gt;0,$F305&gt;0,YEAR($F305)&gt;=Preisindex!$A$6,YEAR(ET$4)&gt;=YEAR($F305),AND($K305&lt;&gt;"a",$K305&lt;&gt;"b",$K305&lt;&gt;"g",$K305&lt;&gt;"k")),1,IF(AND($E305&lt;&gt;0,$F305&gt;0,YEAR($F305)&gt;=Preisindex!$A$6,YEAR(ET$4)&gt;=YEAR($F305),$K305="a"),ROUND(VLOOKUP(EY$4,Preisindex,5,FALSE)/VLOOKUP(YEAR($F305),Preisindex,5,FALSE),2),IF(AND($E305&lt;&gt;0,$F305&gt;0,YEAR($F305)&gt;=Preisindex!$A$6,YEAR(ET$4)&gt;=YEAR($F305),$K305="b"),ROUND(VLOOKUP(EY$4,Preisindex,3,FALSE)/VLOOKUP(YEAR($F305),Preisindex,3,FALSE),2),IF(AND($E305&lt;&gt;0,$F305&gt;0,YEAR($F305)&gt;=Preisindex!$A$6,YEAR(ET$4)&gt;=YEAR($F305),$K305="g"),ROUND(VLOOKUP(EY$4,Preisindex,4,FALSE)/VLOOKUP(YEAR($F305),Preisindex,4,FALSE),2),IF(AND($E305&lt;&gt;0,$F305&gt;0,YEAR($F305)&gt;=Preisindex!$A$6,YEAR(ET$4)&gt;=YEAR($F305),$K305="k"),ROUND(VLOOKUP(EY$4,Preisindex,2,FALSE)/VLOOKUP(YEAR($F305),Preisindex,2,FALSE),2),0)))))</f>
        <v>0</v>
      </c>
      <c r="EZ305" s="56">
        <f>IF(AND($E305&lt;&gt;0,$F305&gt;0,YEAR($F305)&lt;Preisindex!$A$6,YEAR(ET$4)&gt;=YEAR($F305),AND($K305&lt;&gt;"a",$K305&lt;&gt;"b",$K305&lt;&gt;"g",$K305&lt;&gt;"k")),1,IF(AND($E305&lt;&gt;0,$F305&gt;0,YEAR($F305)&lt;Preisindex!$A$6,YEAR(ET$4)&gt;=YEAR($F305),$K305="a"),ROUND(VLOOKUP(EY$4,Preisindex,5,FALSE)/VLOOKUP(Preisindex!$A$6,Preisindex,5,FALSE),2),IF(AND($E305&lt;&gt;0,$F305&gt;0,YEAR($F305)&lt;Preisindex!$A$6,YEAR(ET$4)&gt;=YEAR($F305),$K305="b"),ROUND(VLOOKUP(EY$4,Preisindex,3,FALSE)/VLOOKUP(Preisindex!$A$6,Preisindex,3,FALSE),2),IF(AND($E305&lt;&gt;0,$F305&gt;0,YEAR($F305)&lt;Preisindex!$A$6,YEAR(ET$4)&gt;=YEAR($F305),$K305="g"),ROUND(VLOOKUP(EY$4,Preisindex,4,FALSE)/VLOOKUP(Preisindex!$A$6,Preisindex,4,FALSE),2),IF(AND($E305&lt;&gt;0,$F305&gt;0,YEAR($F305)&lt;Preisindex!$A$6,YEAR(ET$4)&gt;=YEAR($F305),$K305="k"),ROUND(VLOOKUP(EY$4,Preisindex,2,FALSE)/VLOOKUP(Preisindex!$A$6,Preisindex,2,FALSE),2),0)))))</f>
        <v>0</v>
      </c>
      <c r="FA305" s="51">
        <f>IF(AND($E305&lt;&gt;0,$F305&gt;0,YEAR($F305)&lt;=EY$4,YEAR($F305)&gt;=Preisindex!$A$6),ROUND($E305*EY305,2),IF(AND($E305&lt;&gt;0,$F305&gt;0,YEAR($F305)&lt;=EY$4,YEAR($F305)&lt;Preisindex!$A$6),ROUND($E305*EZ305,2),0))</f>
        <v>0</v>
      </c>
      <c r="FB305" s="53">
        <f t="shared" si="811"/>
        <v>0</v>
      </c>
      <c r="FC305" s="51">
        <f t="shared" si="882"/>
        <v>0</v>
      </c>
      <c r="FD305" s="51">
        <f t="shared" si="876"/>
        <v>0</v>
      </c>
      <c r="FE305" s="51">
        <f t="shared" si="812"/>
        <v>0</v>
      </c>
      <c r="FF305" s="51">
        <f t="shared" si="877"/>
        <v>0</v>
      </c>
      <c r="FG305" s="51">
        <f t="shared" si="813"/>
        <v>0</v>
      </c>
      <c r="FH305" s="51">
        <f t="shared" si="878"/>
        <v>0</v>
      </c>
      <c r="FI305" s="51">
        <f t="shared" si="814"/>
        <v>0</v>
      </c>
      <c r="FJ305" s="51">
        <f t="shared" si="879"/>
        <v>0</v>
      </c>
      <c r="FK305" s="51">
        <f t="shared" si="815"/>
        <v>0</v>
      </c>
      <c r="FL305" s="51">
        <f t="shared" si="880"/>
        <v>0</v>
      </c>
      <c r="FM305" s="51">
        <f t="shared" si="816"/>
        <v>0</v>
      </c>
      <c r="FN305" s="54">
        <f t="shared" si="817"/>
        <v>0</v>
      </c>
      <c r="FO305" s="55">
        <f t="shared" si="818"/>
        <v>0</v>
      </c>
      <c r="FP305" s="56">
        <f>IF(AND($E305&lt;&gt;0,$F305&gt;0,YEAR($F305)&gt;=Preisindex!$A$6,YEAR(FK$4)&gt;=YEAR($F305),AND($K305&lt;&gt;"a",$K305&lt;&gt;"b",$K305&lt;&gt;"g",$K305&lt;&gt;"k")),1,IF(AND($E305&lt;&gt;0,$F305&gt;0,YEAR($F305)&gt;=Preisindex!$A$6,YEAR(FK$4)&gt;=YEAR($F305),$K305="a"),ROUND(VLOOKUP(FP$4,Preisindex,5,FALSE)/VLOOKUP(YEAR($F305),Preisindex,5,FALSE),2),IF(AND($E305&lt;&gt;0,$F305&gt;0,YEAR($F305)&gt;=Preisindex!$A$6,YEAR(FK$4)&gt;=YEAR($F305),$K305="b"),ROUND(VLOOKUP(FP$4,Preisindex,3,FALSE)/VLOOKUP(YEAR($F305),Preisindex,3,FALSE),2),IF(AND($E305&lt;&gt;0,$F305&gt;0,YEAR($F305)&gt;=Preisindex!$A$6,YEAR(FK$4)&gt;=YEAR($F305),$K305="g"),ROUND(VLOOKUP(FP$4,Preisindex,4,FALSE)/VLOOKUP(YEAR($F305),Preisindex,4,FALSE),2),IF(AND($E305&lt;&gt;0,$F305&gt;0,YEAR($F305)&gt;=Preisindex!$A$6,YEAR(FK$4)&gt;=YEAR($F305),$K305="k"),ROUND(VLOOKUP(FP$4,Preisindex,2,FALSE)/VLOOKUP(YEAR($F305),Preisindex,2,FALSE),2),0)))))</f>
        <v>0</v>
      </c>
      <c r="FQ305" s="56">
        <f>IF(AND($E305&lt;&gt;0,$F305&gt;0,YEAR($F305)&lt;Preisindex!$A$6,YEAR(FK$4)&gt;=YEAR($F305),AND($K305&lt;&gt;"a",$K305&lt;&gt;"b",$K305&lt;&gt;"g",$K305&lt;&gt;"k")),1,IF(AND($E305&lt;&gt;0,$F305&gt;0,YEAR($F305)&lt;Preisindex!$A$6,YEAR(FK$4)&gt;=YEAR($F305),$K305="a"),ROUND(VLOOKUP(FP$4,Preisindex,5,FALSE)/VLOOKUP(Preisindex!$A$6,Preisindex,5,FALSE),2),IF(AND($E305&lt;&gt;0,$F305&gt;0,YEAR($F305)&lt;Preisindex!$A$6,YEAR(FK$4)&gt;=YEAR($F305),$K305="b"),ROUND(VLOOKUP(FP$4,Preisindex,3,FALSE)/VLOOKUP(Preisindex!$A$6,Preisindex,3,FALSE),2),IF(AND($E305&lt;&gt;0,$F305&gt;0,YEAR($F305)&lt;Preisindex!$A$6,YEAR(FK$4)&gt;=YEAR($F305),$K305="g"),ROUND(VLOOKUP(FP$4,Preisindex,4,FALSE)/VLOOKUP(Preisindex!$A$6,Preisindex,4,FALSE),2),IF(AND($E305&lt;&gt;0,$F305&gt;0,YEAR($F305)&lt;Preisindex!$A$6,YEAR(FK$4)&gt;=YEAR($F305),$K305="k"),ROUND(VLOOKUP(FP$4,Preisindex,2,FALSE)/VLOOKUP(Preisindex!$A$6,Preisindex,2,FALSE),2),0)))))</f>
        <v>0</v>
      </c>
      <c r="FR305" s="51">
        <f>IF(AND($E305&lt;&gt;0,$F305&gt;0,YEAR($F305)&lt;=FP$4,YEAR($F305)&gt;=Preisindex!$A$6),ROUND($E305*FP305,2),IF(AND($E305&lt;&gt;0,$F305&gt;0,YEAR($F305)&lt;=FP$4,YEAR($F305)&lt;Preisindex!$A$6),ROUND($E305*FQ305,2),0))</f>
        <v>0</v>
      </c>
      <c r="FS305" s="53">
        <f t="shared" si="819"/>
        <v>0</v>
      </c>
    </row>
    <row r="306" spans="1:175" x14ac:dyDescent="0.3">
      <c r="A306" s="185"/>
      <c r="B306" s="186"/>
      <c r="C306" s="187"/>
      <c r="D306" s="95"/>
      <c r="E306" s="99"/>
      <c r="F306" s="97"/>
      <c r="G306" s="98"/>
      <c r="H306" s="192"/>
      <c r="I306" s="193"/>
      <c r="J306" s="194"/>
      <c r="K306" s="630"/>
      <c r="L306" s="49">
        <f t="shared" si="820"/>
        <v>0</v>
      </c>
      <c r="M306" s="50">
        <f t="shared" si="821"/>
        <v>0</v>
      </c>
      <c r="N306" s="51">
        <f t="shared" si="822"/>
        <v>0</v>
      </c>
      <c r="O306" s="51"/>
      <c r="P306" s="51">
        <f t="shared" si="823"/>
        <v>0</v>
      </c>
      <c r="Q306" s="52"/>
      <c r="R306" s="52"/>
      <c r="S306" s="52"/>
      <c r="T306" s="52"/>
      <c r="U306" s="52"/>
      <c r="V306" s="53">
        <f t="shared" si="824"/>
        <v>0</v>
      </c>
      <c r="W306" s="51">
        <f t="shared" si="825"/>
        <v>0</v>
      </c>
      <c r="X306" s="51">
        <f t="shared" si="826"/>
        <v>0</v>
      </c>
      <c r="Y306" s="51">
        <f t="shared" si="827"/>
        <v>0</v>
      </c>
      <c r="Z306" s="51">
        <f t="shared" si="828"/>
        <v>0</v>
      </c>
      <c r="AA306" s="51">
        <f t="shared" si="829"/>
        <v>0</v>
      </c>
      <c r="AB306" s="51">
        <f t="shared" si="830"/>
        <v>0</v>
      </c>
      <c r="AC306" s="51">
        <f t="shared" si="831"/>
        <v>0</v>
      </c>
      <c r="AD306" s="51">
        <f t="shared" si="832"/>
        <v>0</v>
      </c>
      <c r="AE306" s="51">
        <f t="shared" si="833"/>
        <v>0</v>
      </c>
      <c r="AF306" s="51">
        <f t="shared" si="834"/>
        <v>0</v>
      </c>
      <c r="AG306" s="51">
        <f t="shared" si="835"/>
        <v>0</v>
      </c>
      <c r="AH306" s="54">
        <f t="shared" si="836"/>
        <v>0</v>
      </c>
      <c r="AI306" s="55">
        <f t="shared" si="837"/>
        <v>0</v>
      </c>
      <c r="AJ306" s="56">
        <f>IF(AND($E306&lt;&gt;0,$F306&gt;0,YEAR($F306)&gt;=Preisindex!$A$6,YEAR(AE$4)&gt;=YEAR($F306),AND($K306&lt;&gt;"a",$K306&lt;&gt;"b",$K306&lt;&gt;"g",$K306&lt;&gt;"k")),1,IF(AND($E306&lt;&gt;0,$F306&gt;0,YEAR($F306)&gt;=Preisindex!$A$6,YEAR(AE$4)&gt;=YEAR($F306),$K306="a"),ROUND(VLOOKUP(AJ$4,Preisindex,5,FALSE)/VLOOKUP(YEAR($F306),Preisindex,5,FALSE),2),IF(AND($E306&lt;&gt;0,$F306&gt;0,YEAR($F306)&gt;=Preisindex!$A$6,YEAR(AE$4)&gt;=YEAR($F306),$K306="b"),ROUND(VLOOKUP(AJ$4,Preisindex,3,FALSE)/VLOOKUP(YEAR($F306),Preisindex,3,FALSE),2),IF(AND($E306&lt;&gt;0,$F306&gt;0,YEAR($F306)&gt;=Preisindex!$A$6,YEAR(AE$4)&gt;=YEAR($F306),$K306="g"),ROUND(VLOOKUP(AJ$4,Preisindex,4,FALSE)/VLOOKUP(YEAR($F306),Preisindex,4,FALSE),2),IF(AND($E306&lt;&gt;0,$F306&gt;0,YEAR($F306)&gt;=Preisindex!$A$6,YEAR(AE$4)&gt;=YEAR($F306),$K306="k"),ROUND(VLOOKUP(AJ$4,Preisindex,2,FALSE)/VLOOKUP(YEAR($F306),Preisindex,2,FALSE),2),0)))))</f>
        <v>0</v>
      </c>
      <c r="AK306" s="56">
        <f>IF(AND($E306&lt;&gt;0,$F306&gt;0,YEAR($F306)&lt;Preisindex!$A$6,YEAR(AE$4)&gt;=YEAR($F306),AND($K306&lt;&gt;"a",$K306&lt;&gt;"b",$K306&lt;&gt;"g",$K306&lt;&gt;"k")),1,IF(AND($E306&lt;&gt;0,$F306&gt;0,YEAR($F306)&lt;Preisindex!$A$6,YEAR(AE$4)&gt;=YEAR($F306),$K306="a"),ROUND(VLOOKUP(AJ$4,Preisindex,5,FALSE)/VLOOKUP(Preisindex!$A$6,Preisindex,5,FALSE),2),IF(AND($E306&lt;&gt;0,$F306&gt;0,YEAR($F306)&lt;Preisindex!$A$6,YEAR(AE$4)&gt;=YEAR($F306),$K306="b"),ROUND(VLOOKUP(AJ$4,Preisindex,3,FALSE)/VLOOKUP(Preisindex!$A$6,Preisindex,3,FALSE),2),IF(AND($E306&lt;&gt;0,$F306&gt;0,YEAR($F306)&lt;Preisindex!$A$6,YEAR(AE$4)&gt;=YEAR($F306),$K306="g"),ROUND(VLOOKUP(AJ$4,Preisindex,4,FALSE)/VLOOKUP(Preisindex!$A$6,Preisindex,4,FALSE),2),IF(AND($E306&lt;&gt;0,$F306&gt;0,YEAR($F306)&lt;Preisindex!$A$6,YEAR(AE$4)&gt;=YEAR($F306),$K306="k"),ROUND(VLOOKUP(AJ$4,Preisindex,2,FALSE)/VLOOKUP(Preisindex!$A$6,Preisindex,2,FALSE),2),0)))))</f>
        <v>0</v>
      </c>
      <c r="AL306" s="51">
        <f>IF(AND($E306&lt;&gt;0,$F306&gt;0,YEAR($F306)&lt;=AJ$4,YEAR($F306)&gt;=Preisindex!$A$6),ROUND($E306*AJ306,2),IF(AND($E306&lt;&gt;0,$F306&gt;0,YEAR($F306)&lt;=AJ$4,YEAR($F306)&lt;Preisindex!$A$6),ROUND($E306*AK306,2),0))</f>
        <v>0</v>
      </c>
      <c r="AM306" s="53">
        <f t="shared" si="838"/>
        <v>0</v>
      </c>
      <c r="AN306" s="51">
        <f t="shared" si="881"/>
        <v>0</v>
      </c>
      <c r="AO306" s="51">
        <f t="shared" si="841"/>
        <v>0</v>
      </c>
      <c r="AP306" s="51">
        <f t="shared" si="755"/>
        <v>0</v>
      </c>
      <c r="AQ306" s="51">
        <f t="shared" si="842"/>
        <v>0</v>
      </c>
      <c r="AR306" s="51">
        <f t="shared" si="756"/>
        <v>0</v>
      </c>
      <c r="AS306" s="51">
        <f t="shared" si="843"/>
        <v>0</v>
      </c>
      <c r="AT306" s="51">
        <f t="shared" si="757"/>
        <v>0</v>
      </c>
      <c r="AU306" s="51">
        <f t="shared" si="844"/>
        <v>0</v>
      </c>
      <c r="AV306" s="51">
        <f t="shared" si="758"/>
        <v>0</v>
      </c>
      <c r="AW306" s="51">
        <f t="shared" si="845"/>
        <v>0</v>
      </c>
      <c r="AX306" s="51">
        <f t="shared" si="759"/>
        <v>0</v>
      </c>
      <c r="AY306" s="54">
        <f t="shared" si="760"/>
        <v>0</v>
      </c>
      <c r="AZ306" s="55">
        <f t="shared" si="761"/>
        <v>0</v>
      </c>
      <c r="BA306" s="56">
        <f>IF(AND($E306&lt;&gt;0,$F306&gt;0,YEAR($F306)&gt;=Preisindex!$A$6,YEAR(AV$4)&gt;=YEAR($F306),AND($K306&lt;&gt;"a",$K306&lt;&gt;"b",$K306&lt;&gt;"g",$K306&lt;&gt;"k")),1,IF(AND($E306&lt;&gt;0,$F306&gt;0,YEAR($F306)&gt;=Preisindex!$A$6,YEAR(AV$4)&gt;=YEAR($F306),$K306="a"),ROUND(VLOOKUP(BA$4,Preisindex,5,FALSE)/VLOOKUP(YEAR($F306),Preisindex,5,FALSE),2),IF(AND($E306&lt;&gt;0,$F306&gt;0,YEAR($F306)&gt;=Preisindex!$A$6,YEAR(AV$4)&gt;=YEAR($F306),$K306="b"),ROUND(VLOOKUP(BA$4,Preisindex,3,FALSE)/VLOOKUP(YEAR($F306),Preisindex,3,FALSE),2),IF(AND($E306&lt;&gt;0,$F306&gt;0,YEAR($F306)&gt;=Preisindex!$A$6,YEAR(AV$4)&gt;=YEAR($F306),$K306="g"),ROUND(VLOOKUP(BA$4,Preisindex,4,FALSE)/VLOOKUP(YEAR($F306),Preisindex,4,FALSE),2),IF(AND($E306&lt;&gt;0,$F306&gt;0,YEAR($F306)&gt;=Preisindex!$A$6,YEAR(AV$4)&gt;=YEAR($F306),$K306="k"),ROUND(VLOOKUP(BA$4,Preisindex,2,FALSE)/VLOOKUP(YEAR($F306),Preisindex,2,FALSE),2),0)))))</f>
        <v>0</v>
      </c>
      <c r="BB306" s="56">
        <f>IF(AND($E306&lt;&gt;0,$F306&gt;0,YEAR($F306)&lt;Preisindex!$A$6,YEAR(AV$4)&gt;=YEAR($F306),AND($K306&lt;&gt;"a",$K306&lt;&gt;"b",$K306&lt;&gt;"g",$K306&lt;&gt;"k")),1,IF(AND($E306&lt;&gt;0,$F306&gt;0,YEAR($F306)&lt;Preisindex!$A$6,YEAR(AV$4)&gt;=YEAR($F306),$K306="a"),ROUND(VLOOKUP(BA$4,Preisindex,5,FALSE)/VLOOKUP(Preisindex!$A$6,Preisindex,5,FALSE),2),IF(AND($E306&lt;&gt;0,$F306&gt;0,YEAR($F306)&lt;Preisindex!$A$6,YEAR(AV$4)&gt;=YEAR($F306),$K306="b"),ROUND(VLOOKUP(BA$4,Preisindex,3,FALSE)/VLOOKUP(Preisindex!$A$6,Preisindex,3,FALSE),2),IF(AND($E306&lt;&gt;0,$F306&gt;0,YEAR($F306)&lt;Preisindex!$A$6,YEAR(AV$4)&gt;=YEAR($F306),$K306="g"),ROUND(VLOOKUP(BA$4,Preisindex,4,FALSE)/VLOOKUP(Preisindex!$A$6,Preisindex,4,FALSE),2),IF(AND($E306&lt;&gt;0,$F306&gt;0,YEAR($F306)&lt;Preisindex!$A$6,YEAR(AV$4)&gt;=YEAR($F306),$K306="k"),ROUND(VLOOKUP(BA$4,Preisindex,2,FALSE)/VLOOKUP(Preisindex!$A$6,Preisindex,2,FALSE),2),0)))))</f>
        <v>0</v>
      </c>
      <c r="BC306" s="51">
        <f>IF(AND($E306&lt;&gt;0,$F306&gt;0,YEAR($F306)&lt;=BA$4,YEAR($F306)&gt;=Preisindex!$A$6),ROUND($E306*BA306,2),IF(AND($E306&lt;&gt;0,$F306&gt;0,YEAR($F306)&lt;=BA$4,YEAR($F306)&lt;Preisindex!$A$6),ROUND($E306*BB306,2),0))</f>
        <v>0</v>
      </c>
      <c r="BD306" s="53">
        <f t="shared" si="762"/>
        <v>0</v>
      </c>
      <c r="BE306" s="51">
        <f t="shared" si="881"/>
        <v>0</v>
      </c>
      <c r="BF306" s="51">
        <f t="shared" si="846"/>
        <v>0</v>
      </c>
      <c r="BG306" s="51">
        <f t="shared" si="763"/>
        <v>0</v>
      </c>
      <c r="BH306" s="51">
        <f t="shared" si="847"/>
        <v>0</v>
      </c>
      <c r="BI306" s="51">
        <f t="shared" si="764"/>
        <v>0</v>
      </c>
      <c r="BJ306" s="51">
        <f t="shared" si="848"/>
        <v>0</v>
      </c>
      <c r="BK306" s="51">
        <f t="shared" si="765"/>
        <v>0</v>
      </c>
      <c r="BL306" s="51">
        <f t="shared" si="849"/>
        <v>0</v>
      </c>
      <c r="BM306" s="51">
        <f t="shared" si="766"/>
        <v>0</v>
      </c>
      <c r="BN306" s="51">
        <f t="shared" si="850"/>
        <v>0</v>
      </c>
      <c r="BO306" s="51">
        <f t="shared" si="767"/>
        <v>0</v>
      </c>
      <c r="BP306" s="54">
        <f t="shared" si="768"/>
        <v>0</v>
      </c>
      <c r="BQ306" s="55">
        <f t="shared" si="769"/>
        <v>0</v>
      </c>
      <c r="BR306" s="56">
        <f>IF(AND($E306&lt;&gt;0,$F306&gt;0,YEAR($F306)&gt;=Preisindex!$A$6,YEAR(BM$4)&gt;=YEAR($F306),AND($K306&lt;&gt;"a",$K306&lt;&gt;"b",$K306&lt;&gt;"g",$K306&lt;&gt;"k")),1,IF(AND($E306&lt;&gt;0,$F306&gt;0,YEAR($F306)&gt;=Preisindex!$A$6,YEAR(BM$4)&gt;=YEAR($F306),$K306="a"),ROUND(VLOOKUP(BR$4,Preisindex,5,FALSE)/VLOOKUP(YEAR($F306),Preisindex,5,FALSE),2),IF(AND($E306&lt;&gt;0,$F306&gt;0,YEAR($F306)&gt;=Preisindex!$A$6,YEAR(BM$4)&gt;=YEAR($F306),$K306="b"),ROUND(VLOOKUP(BR$4,Preisindex,3,FALSE)/VLOOKUP(YEAR($F306),Preisindex,3,FALSE),2),IF(AND($E306&lt;&gt;0,$F306&gt;0,YEAR($F306)&gt;=Preisindex!$A$6,YEAR(BM$4)&gt;=YEAR($F306),$K306="g"),ROUND(VLOOKUP(BR$4,Preisindex,4,FALSE)/VLOOKUP(YEAR($F306),Preisindex,4,FALSE),2),IF(AND($E306&lt;&gt;0,$F306&gt;0,YEAR($F306)&gt;=Preisindex!$A$6,YEAR(BM$4)&gt;=YEAR($F306),$K306="k"),ROUND(VLOOKUP(BR$4,Preisindex,2,FALSE)/VLOOKUP(YEAR($F306),Preisindex,2,FALSE),2),0)))))</f>
        <v>0</v>
      </c>
      <c r="BS306" s="56">
        <f>IF(AND($E306&lt;&gt;0,$F306&gt;0,YEAR($F306)&lt;Preisindex!$A$6,YEAR(BM$4)&gt;=YEAR($F306),AND($K306&lt;&gt;"a",$K306&lt;&gt;"b",$K306&lt;&gt;"g",$K306&lt;&gt;"k")),1,IF(AND($E306&lt;&gt;0,$F306&gt;0,YEAR($F306)&lt;Preisindex!$A$6,YEAR(BM$4)&gt;=YEAR($F306),$K306="a"),ROUND(VLOOKUP(BR$4,Preisindex,5,FALSE)/VLOOKUP(Preisindex!$A$6,Preisindex,5,FALSE),2),IF(AND($E306&lt;&gt;0,$F306&gt;0,YEAR($F306)&lt;Preisindex!$A$6,YEAR(BM$4)&gt;=YEAR($F306),$K306="b"),ROUND(VLOOKUP(BR$4,Preisindex,3,FALSE)/VLOOKUP(Preisindex!$A$6,Preisindex,3,FALSE),2),IF(AND($E306&lt;&gt;0,$F306&gt;0,YEAR($F306)&lt;Preisindex!$A$6,YEAR(BM$4)&gt;=YEAR($F306),$K306="g"),ROUND(VLOOKUP(BR$4,Preisindex,4,FALSE)/VLOOKUP(Preisindex!$A$6,Preisindex,4,FALSE),2),IF(AND($E306&lt;&gt;0,$F306&gt;0,YEAR($F306)&lt;Preisindex!$A$6,YEAR(BM$4)&gt;=YEAR($F306),$K306="k"),ROUND(VLOOKUP(BR$4,Preisindex,2,FALSE)/VLOOKUP(Preisindex!$A$6,Preisindex,2,FALSE),2),0)))))</f>
        <v>0</v>
      </c>
      <c r="BT306" s="51">
        <f>IF(AND($E306&lt;&gt;0,$F306&gt;0,YEAR($F306)&lt;=BR$4,YEAR($F306)&gt;=Preisindex!$A$6),ROUND($E306*BR306,2),IF(AND($E306&lt;&gt;0,$F306&gt;0,YEAR($F306)&lt;=BR$4,YEAR($F306)&lt;Preisindex!$A$6),ROUND($E306*BS306,2),0))</f>
        <v>0</v>
      </c>
      <c r="BU306" s="53">
        <f t="shared" si="770"/>
        <v>0</v>
      </c>
      <c r="BV306" s="51">
        <f t="shared" si="881"/>
        <v>0</v>
      </c>
      <c r="BW306" s="51">
        <f t="shared" si="851"/>
        <v>0</v>
      </c>
      <c r="BX306" s="51">
        <f t="shared" si="771"/>
        <v>0</v>
      </c>
      <c r="BY306" s="51">
        <f t="shared" si="852"/>
        <v>0</v>
      </c>
      <c r="BZ306" s="51">
        <f t="shared" si="772"/>
        <v>0</v>
      </c>
      <c r="CA306" s="51">
        <f t="shared" si="853"/>
        <v>0</v>
      </c>
      <c r="CB306" s="51">
        <f t="shared" si="773"/>
        <v>0</v>
      </c>
      <c r="CC306" s="51">
        <f t="shared" si="854"/>
        <v>0</v>
      </c>
      <c r="CD306" s="51">
        <f t="shared" si="774"/>
        <v>0</v>
      </c>
      <c r="CE306" s="51">
        <f t="shared" si="855"/>
        <v>0</v>
      </c>
      <c r="CF306" s="51">
        <f t="shared" si="775"/>
        <v>0</v>
      </c>
      <c r="CG306" s="54">
        <f t="shared" si="776"/>
        <v>0</v>
      </c>
      <c r="CH306" s="55">
        <f t="shared" si="777"/>
        <v>0</v>
      </c>
      <c r="CI306" s="56">
        <f>IF(AND($E306&lt;&gt;0,$F306&gt;0,YEAR($F306)&gt;=Preisindex!$A$6,YEAR(CD$4)&gt;=YEAR($F306),AND($K306&lt;&gt;"a",$K306&lt;&gt;"b",$K306&lt;&gt;"g",$K306&lt;&gt;"k")),1,IF(AND($E306&lt;&gt;0,$F306&gt;0,YEAR($F306)&gt;=Preisindex!$A$6,YEAR(CD$4)&gt;=YEAR($F306),$K306="a"),ROUND(VLOOKUP(CI$4,Preisindex,5,FALSE)/VLOOKUP(YEAR($F306),Preisindex,5,FALSE),2),IF(AND($E306&lt;&gt;0,$F306&gt;0,YEAR($F306)&gt;=Preisindex!$A$6,YEAR(CD$4)&gt;=YEAR($F306),$K306="b"),ROUND(VLOOKUP(CI$4,Preisindex,3,FALSE)/VLOOKUP(YEAR($F306),Preisindex,3,FALSE),2),IF(AND($E306&lt;&gt;0,$F306&gt;0,YEAR($F306)&gt;=Preisindex!$A$6,YEAR(CD$4)&gt;=YEAR($F306),$K306="g"),ROUND(VLOOKUP(CI$4,Preisindex,4,FALSE)/VLOOKUP(YEAR($F306),Preisindex,4,FALSE),2),IF(AND($E306&lt;&gt;0,$F306&gt;0,YEAR($F306)&gt;=Preisindex!$A$6,YEAR(CD$4)&gt;=YEAR($F306),$K306="k"),ROUND(VLOOKUP(CI$4,Preisindex,2,FALSE)/VLOOKUP(YEAR($F306),Preisindex,2,FALSE),2),0)))))</f>
        <v>0</v>
      </c>
      <c r="CJ306" s="56">
        <f>IF(AND($E306&lt;&gt;0,$F306&gt;0,YEAR($F306)&lt;Preisindex!$A$6,YEAR(CD$4)&gt;=YEAR($F306),AND($K306&lt;&gt;"a",$K306&lt;&gt;"b",$K306&lt;&gt;"g",$K306&lt;&gt;"k")),1,IF(AND($E306&lt;&gt;0,$F306&gt;0,YEAR($F306)&lt;Preisindex!$A$6,YEAR(CD$4)&gt;=YEAR($F306),$K306="a"),ROUND(VLOOKUP(CI$4,Preisindex,5,FALSE)/VLOOKUP(Preisindex!$A$6,Preisindex,5,FALSE),2),IF(AND($E306&lt;&gt;0,$F306&gt;0,YEAR($F306)&lt;Preisindex!$A$6,YEAR(CD$4)&gt;=YEAR($F306),$K306="b"),ROUND(VLOOKUP(CI$4,Preisindex,3,FALSE)/VLOOKUP(Preisindex!$A$6,Preisindex,3,FALSE),2),IF(AND($E306&lt;&gt;0,$F306&gt;0,YEAR($F306)&lt;Preisindex!$A$6,YEAR(CD$4)&gt;=YEAR($F306),$K306="g"),ROUND(VLOOKUP(CI$4,Preisindex,4,FALSE)/VLOOKUP(Preisindex!$A$6,Preisindex,4,FALSE),2),IF(AND($E306&lt;&gt;0,$F306&gt;0,YEAR($F306)&lt;Preisindex!$A$6,YEAR(CD$4)&gt;=YEAR($F306),$K306="k"),ROUND(VLOOKUP(CI$4,Preisindex,2,FALSE)/VLOOKUP(Preisindex!$A$6,Preisindex,2,FALSE),2),0)))))</f>
        <v>0</v>
      </c>
      <c r="CK306" s="51">
        <f>IF(AND($E306&lt;&gt;0,$F306&gt;0,YEAR($F306)&lt;=CI$4,YEAR($F306)&gt;=Preisindex!$A$6),ROUND($E306*CI306,2),IF(AND($E306&lt;&gt;0,$F306&gt;0,YEAR($F306)&lt;=CI$4,YEAR($F306)&lt;Preisindex!$A$6),ROUND($E306*CJ306,2),0))</f>
        <v>0</v>
      </c>
      <c r="CL306" s="53">
        <f t="shared" si="778"/>
        <v>0</v>
      </c>
      <c r="CM306" s="51">
        <f t="shared" si="881"/>
        <v>0</v>
      </c>
      <c r="CN306" s="51">
        <f t="shared" si="856"/>
        <v>0</v>
      </c>
      <c r="CO306" s="51">
        <f t="shared" si="779"/>
        <v>0</v>
      </c>
      <c r="CP306" s="51">
        <f t="shared" si="857"/>
        <v>0</v>
      </c>
      <c r="CQ306" s="51">
        <f t="shared" si="780"/>
        <v>0</v>
      </c>
      <c r="CR306" s="51">
        <f t="shared" si="858"/>
        <v>0</v>
      </c>
      <c r="CS306" s="51">
        <f t="shared" si="781"/>
        <v>0</v>
      </c>
      <c r="CT306" s="51">
        <f t="shared" si="859"/>
        <v>0</v>
      </c>
      <c r="CU306" s="51">
        <f t="shared" si="782"/>
        <v>0</v>
      </c>
      <c r="CV306" s="51">
        <f t="shared" si="860"/>
        <v>0</v>
      </c>
      <c r="CW306" s="51">
        <f t="shared" si="783"/>
        <v>0</v>
      </c>
      <c r="CX306" s="54">
        <f t="shared" si="784"/>
        <v>0</v>
      </c>
      <c r="CY306" s="55">
        <f t="shared" si="785"/>
        <v>0</v>
      </c>
      <c r="CZ306" s="56">
        <f>IF(AND($E306&lt;&gt;0,$F306&gt;0,YEAR($F306)&gt;=Preisindex!$A$6,YEAR(CU$4)&gt;=YEAR($F306),AND($K306&lt;&gt;"a",$K306&lt;&gt;"b",$K306&lt;&gt;"g",$K306&lt;&gt;"k")),1,IF(AND($E306&lt;&gt;0,$F306&gt;0,YEAR($F306)&gt;=Preisindex!$A$6,YEAR(CU$4)&gt;=YEAR($F306),$K306="a"),ROUND(VLOOKUP(CZ$4,Preisindex,5,FALSE)/VLOOKUP(YEAR($F306),Preisindex,5,FALSE),2),IF(AND($E306&lt;&gt;0,$F306&gt;0,YEAR($F306)&gt;=Preisindex!$A$6,YEAR(CU$4)&gt;=YEAR($F306),$K306="b"),ROUND(VLOOKUP(CZ$4,Preisindex,3,FALSE)/VLOOKUP(YEAR($F306),Preisindex,3,FALSE),2),IF(AND($E306&lt;&gt;0,$F306&gt;0,YEAR($F306)&gt;=Preisindex!$A$6,YEAR(CU$4)&gt;=YEAR($F306),$K306="g"),ROUND(VLOOKUP(CZ$4,Preisindex,4,FALSE)/VLOOKUP(YEAR($F306),Preisindex,4,FALSE),2),IF(AND($E306&lt;&gt;0,$F306&gt;0,YEAR($F306)&gt;=Preisindex!$A$6,YEAR(CU$4)&gt;=YEAR($F306),$K306="k"),ROUND(VLOOKUP(CZ$4,Preisindex,2,FALSE)/VLOOKUP(YEAR($F306),Preisindex,2,FALSE),2),0)))))</f>
        <v>0</v>
      </c>
      <c r="DA306" s="56">
        <f>IF(AND($E306&lt;&gt;0,$F306&gt;0,YEAR($F306)&lt;Preisindex!$A$6,YEAR(CU$4)&gt;=YEAR($F306),AND($K306&lt;&gt;"a",$K306&lt;&gt;"b",$K306&lt;&gt;"g",$K306&lt;&gt;"k")),1,IF(AND($E306&lt;&gt;0,$F306&gt;0,YEAR($F306)&lt;Preisindex!$A$6,YEAR(CU$4)&gt;=YEAR($F306),$K306="a"),ROUND(VLOOKUP(CZ$4,Preisindex,5,FALSE)/VLOOKUP(Preisindex!$A$6,Preisindex,5,FALSE),2),IF(AND($E306&lt;&gt;0,$F306&gt;0,YEAR($F306)&lt;Preisindex!$A$6,YEAR(CU$4)&gt;=YEAR($F306),$K306="b"),ROUND(VLOOKUP(CZ$4,Preisindex,3,FALSE)/VLOOKUP(Preisindex!$A$6,Preisindex,3,FALSE),2),IF(AND($E306&lt;&gt;0,$F306&gt;0,YEAR($F306)&lt;Preisindex!$A$6,YEAR(CU$4)&gt;=YEAR($F306),$K306="g"),ROUND(VLOOKUP(CZ$4,Preisindex,4,FALSE)/VLOOKUP(Preisindex!$A$6,Preisindex,4,FALSE),2),IF(AND($E306&lt;&gt;0,$F306&gt;0,YEAR($F306)&lt;Preisindex!$A$6,YEAR(CU$4)&gt;=YEAR($F306),$K306="k"),ROUND(VLOOKUP(CZ$4,Preisindex,2,FALSE)/VLOOKUP(Preisindex!$A$6,Preisindex,2,FALSE),2),0)))))</f>
        <v>0</v>
      </c>
      <c r="DB306" s="51">
        <f>IF(AND($E306&lt;&gt;0,$F306&gt;0,YEAR($F306)&lt;=CZ$4,YEAR($F306)&gt;=Preisindex!$A$6),ROUND($E306*CZ306,2),IF(AND($E306&lt;&gt;0,$F306&gt;0,YEAR($F306)&lt;=CZ$4,YEAR($F306)&lt;Preisindex!$A$6),ROUND($E306*DA306,2),0))</f>
        <v>0</v>
      </c>
      <c r="DC306" s="53">
        <f t="shared" si="786"/>
        <v>0</v>
      </c>
      <c r="DD306" s="51">
        <f t="shared" si="882"/>
        <v>0</v>
      </c>
      <c r="DE306" s="51">
        <f t="shared" si="861"/>
        <v>0</v>
      </c>
      <c r="DF306" s="51">
        <f t="shared" si="788"/>
        <v>0</v>
      </c>
      <c r="DG306" s="51">
        <f t="shared" si="862"/>
        <v>0</v>
      </c>
      <c r="DH306" s="51">
        <f t="shared" si="789"/>
        <v>0</v>
      </c>
      <c r="DI306" s="51">
        <f t="shared" si="863"/>
        <v>0</v>
      </c>
      <c r="DJ306" s="51">
        <f t="shared" si="790"/>
        <v>0</v>
      </c>
      <c r="DK306" s="51">
        <f t="shared" si="864"/>
        <v>0</v>
      </c>
      <c r="DL306" s="51">
        <f t="shared" si="791"/>
        <v>0</v>
      </c>
      <c r="DM306" s="51">
        <f t="shared" si="865"/>
        <v>0</v>
      </c>
      <c r="DN306" s="51">
        <f t="shared" si="792"/>
        <v>0</v>
      </c>
      <c r="DO306" s="54">
        <f t="shared" si="793"/>
        <v>0</v>
      </c>
      <c r="DP306" s="55">
        <f t="shared" si="794"/>
        <v>0</v>
      </c>
      <c r="DQ306" s="56">
        <f>IF(AND($E306&lt;&gt;0,$F306&gt;0,YEAR($F306)&gt;=Preisindex!$A$6,YEAR(DL$4)&gt;=YEAR($F306),AND($K306&lt;&gt;"a",$K306&lt;&gt;"b",$K306&lt;&gt;"g",$K306&lt;&gt;"k")),1,IF(AND($E306&lt;&gt;0,$F306&gt;0,YEAR($F306)&gt;=Preisindex!$A$6,YEAR(DL$4)&gt;=YEAR($F306),$K306="a"),ROUND(VLOOKUP(DQ$4,Preisindex,5,FALSE)/VLOOKUP(YEAR($F306),Preisindex,5,FALSE),2),IF(AND($E306&lt;&gt;0,$F306&gt;0,YEAR($F306)&gt;=Preisindex!$A$6,YEAR(DL$4)&gt;=YEAR($F306),$K306="b"),ROUND(VLOOKUP(DQ$4,Preisindex,3,FALSE)/VLOOKUP(YEAR($F306),Preisindex,3,FALSE),2),IF(AND($E306&lt;&gt;0,$F306&gt;0,YEAR($F306)&gt;=Preisindex!$A$6,YEAR(DL$4)&gt;=YEAR($F306),$K306="g"),ROUND(VLOOKUP(DQ$4,Preisindex,4,FALSE)/VLOOKUP(YEAR($F306),Preisindex,4,FALSE),2),IF(AND($E306&lt;&gt;0,$F306&gt;0,YEAR($F306)&gt;=Preisindex!$A$6,YEAR(DL$4)&gt;=YEAR($F306),$K306="k"),ROUND(VLOOKUP(DQ$4,Preisindex,2,FALSE)/VLOOKUP(YEAR($F306),Preisindex,2,FALSE),2),0)))))</f>
        <v>0</v>
      </c>
      <c r="DR306" s="56">
        <f>IF(AND($E306&lt;&gt;0,$F306&gt;0,YEAR($F306)&lt;Preisindex!$A$6,YEAR(DL$4)&gt;=YEAR($F306),AND($K306&lt;&gt;"a",$K306&lt;&gt;"b",$K306&lt;&gt;"g",$K306&lt;&gt;"k")),1,IF(AND($E306&lt;&gt;0,$F306&gt;0,YEAR($F306)&lt;Preisindex!$A$6,YEAR(DL$4)&gt;=YEAR($F306),$K306="a"),ROUND(VLOOKUP(DQ$4,Preisindex,5,FALSE)/VLOOKUP(Preisindex!$A$6,Preisindex,5,FALSE),2),IF(AND($E306&lt;&gt;0,$F306&gt;0,YEAR($F306)&lt;Preisindex!$A$6,YEAR(DL$4)&gt;=YEAR($F306),$K306="b"),ROUND(VLOOKUP(DQ$4,Preisindex,3,FALSE)/VLOOKUP(Preisindex!$A$6,Preisindex,3,FALSE),2),IF(AND($E306&lt;&gt;0,$F306&gt;0,YEAR($F306)&lt;Preisindex!$A$6,YEAR(DL$4)&gt;=YEAR($F306),$K306="g"),ROUND(VLOOKUP(DQ$4,Preisindex,4,FALSE)/VLOOKUP(Preisindex!$A$6,Preisindex,4,FALSE),2),IF(AND($E306&lt;&gt;0,$F306&gt;0,YEAR($F306)&lt;Preisindex!$A$6,YEAR(DL$4)&gt;=YEAR($F306),$K306="k"),ROUND(VLOOKUP(DQ$4,Preisindex,2,FALSE)/VLOOKUP(Preisindex!$A$6,Preisindex,2,FALSE),2),0)))))</f>
        <v>0</v>
      </c>
      <c r="DS306" s="51">
        <f>IF(AND($E306&lt;&gt;0,$F306&gt;0,YEAR($F306)&lt;=DQ$4,YEAR($F306)&gt;=Preisindex!$A$6),ROUND($E306*DQ306,2),IF(AND($E306&lt;&gt;0,$F306&gt;0,YEAR($F306)&lt;=DQ$4,YEAR($F306)&lt;Preisindex!$A$6),ROUND($E306*DR306,2),0))</f>
        <v>0</v>
      </c>
      <c r="DT306" s="53">
        <f t="shared" si="795"/>
        <v>0</v>
      </c>
      <c r="DU306" s="51">
        <f t="shared" si="882"/>
        <v>0</v>
      </c>
      <c r="DV306" s="51">
        <f t="shared" si="866"/>
        <v>0</v>
      </c>
      <c r="DW306" s="51">
        <f t="shared" si="796"/>
        <v>0</v>
      </c>
      <c r="DX306" s="51">
        <f t="shared" si="867"/>
        <v>0</v>
      </c>
      <c r="DY306" s="51">
        <f t="shared" si="797"/>
        <v>0</v>
      </c>
      <c r="DZ306" s="51">
        <f t="shared" si="868"/>
        <v>0</v>
      </c>
      <c r="EA306" s="51">
        <f t="shared" si="798"/>
        <v>0</v>
      </c>
      <c r="EB306" s="51">
        <f t="shared" si="869"/>
        <v>0</v>
      </c>
      <c r="EC306" s="51">
        <f t="shared" si="799"/>
        <v>0</v>
      </c>
      <c r="ED306" s="51">
        <f t="shared" si="870"/>
        <v>0</v>
      </c>
      <c r="EE306" s="51">
        <f t="shared" si="800"/>
        <v>0</v>
      </c>
      <c r="EF306" s="54">
        <f t="shared" si="801"/>
        <v>0</v>
      </c>
      <c r="EG306" s="55">
        <f t="shared" si="802"/>
        <v>0</v>
      </c>
      <c r="EH306" s="56">
        <f>IF(AND($E306&lt;&gt;0,$F306&gt;0,YEAR($F306)&gt;=Preisindex!$A$6,YEAR(EC$4)&gt;=YEAR($F306),AND($K306&lt;&gt;"a",$K306&lt;&gt;"b",$K306&lt;&gt;"g",$K306&lt;&gt;"k")),1,IF(AND($E306&lt;&gt;0,$F306&gt;0,YEAR($F306)&gt;=Preisindex!$A$6,YEAR(EC$4)&gt;=YEAR($F306),$K306="a"),ROUND(VLOOKUP(EH$4,Preisindex,5,FALSE)/VLOOKUP(YEAR($F306),Preisindex,5,FALSE),2),IF(AND($E306&lt;&gt;0,$F306&gt;0,YEAR($F306)&gt;=Preisindex!$A$6,YEAR(EC$4)&gt;=YEAR($F306),$K306="b"),ROUND(VLOOKUP(EH$4,Preisindex,3,FALSE)/VLOOKUP(YEAR($F306),Preisindex,3,FALSE),2),IF(AND($E306&lt;&gt;0,$F306&gt;0,YEAR($F306)&gt;=Preisindex!$A$6,YEAR(EC$4)&gt;=YEAR($F306),$K306="g"),ROUND(VLOOKUP(EH$4,Preisindex,4,FALSE)/VLOOKUP(YEAR($F306),Preisindex,4,FALSE),2),IF(AND($E306&lt;&gt;0,$F306&gt;0,YEAR($F306)&gt;=Preisindex!$A$6,YEAR(EC$4)&gt;=YEAR($F306),$K306="k"),ROUND(VLOOKUP(EH$4,Preisindex,2,FALSE)/VLOOKUP(YEAR($F306),Preisindex,2,FALSE),2),0)))))</f>
        <v>0</v>
      </c>
      <c r="EI306" s="56">
        <f>IF(AND($E306&lt;&gt;0,$F306&gt;0,YEAR($F306)&lt;Preisindex!$A$6,YEAR(EC$4)&gt;=YEAR($F306),AND($K306&lt;&gt;"a",$K306&lt;&gt;"b",$K306&lt;&gt;"g",$K306&lt;&gt;"k")),1,IF(AND($E306&lt;&gt;0,$F306&gt;0,YEAR($F306)&lt;Preisindex!$A$6,YEAR(EC$4)&gt;=YEAR($F306),$K306="a"),ROUND(VLOOKUP(EH$4,Preisindex,5,FALSE)/VLOOKUP(Preisindex!$A$6,Preisindex,5,FALSE),2),IF(AND($E306&lt;&gt;0,$F306&gt;0,YEAR($F306)&lt;Preisindex!$A$6,YEAR(EC$4)&gt;=YEAR($F306),$K306="b"),ROUND(VLOOKUP(EH$4,Preisindex,3,FALSE)/VLOOKUP(Preisindex!$A$6,Preisindex,3,FALSE),2),IF(AND($E306&lt;&gt;0,$F306&gt;0,YEAR($F306)&lt;Preisindex!$A$6,YEAR(EC$4)&gt;=YEAR($F306),$K306="g"),ROUND(VLOOKUP(EH$4,Preisindex,4,FALSE)/VLOOKUP(Preisindex!$A$6,Preisindex,4,FALSE),2),IF(AND($E306&lt;&gt;0,$F306&gt;0,YEAR($F306)&lt;Preisindex!$A$6,YEAR(EC$4)&gt;=YEAR($F306),$K306="k"),ROUND(VLOOKUP(EH$4,Preisindex,2,FALSE)/VLOOKUP(Preisindex!$A$6,Preisindex,2,FALSE),2),0)))))</f>
        <v>0</v>
      </c>
      <c r="EJ306" s="51">
        <f>IF(AND($E306&lt;&gt;0,$F306&gt;0,YEAR($F306)&lt;=EH$4,YEAR($F306)&gt;=Preisindex!$A$6),ROUND($E306*EH306,2),IF(AND($E306&lt;&gt;0,$F306&gt;0,YEAR($F306)&lt;=EH$4,YEAR($F306)&lt;Preisindex!$A$6),ROUND($E306*EI306,2),0))</f>
        <v>0</v>
      </c>
      <c r="EK306" s="53">
        <f t="shared" si="803"/>
        <v>0</v>
      </c>
      <c r="EL306" s="51">
        <f t="shared" si="882"/>
        <v>0</v>
      </c>
      <c r="EM306" s="51">
        <f t="shared" si="871"/>
        <v>0</v>
      </c>
      <c r="EN306" s="51">
        <f t="shared" si="804"/>
        <v>0</v>
      </c>
      <c r="EO306" s="51">
        <f t="shared" si="872"/>
        <v>0</v>
      </c>
      <c r="EP306" s="51">
        <f t="shared" si="805"/>
        <v>0</v>
      </c>
      <c r="EQ306" s="51">
        <f t="shared" si="873"/>
        <v>0</v>
      </c>
      <c r="ER306" s="51">
        <f t="shared" si="806"/>
        <v>0</v>
      </c>
      <c r="ES306" s="51">
        <f t="shared" si="874"/>
        <v>0</v>
      </c>
      <c r="ET306" s="51">
        <f t="shared" si="807"/>
        <v>0</v>
      </c>
      <c r="EU306" s="51">
        <f t="shared" si="875"/>
        <v>0</v>
      </c>
      <c r="EV306" s="51">
        <f t="shared" si="808"/>
        <v>0</v>
      </c>
      <c r="EW306" s="54">
        <f t="shared" si="809"/>
        <v>0</v>
      </c>
      <c r="EX306" s="55">
        <f t="shared" si="810"/>
        <v>0</v>
      </c>
      <c r="EY306" s="56">
        <f>IF(AND($E306&lt;&gt;0,$F306&gt;0,YEAR($F306)&gt;=Preisindex!$A$6,YEAR(ET$4)&gt;=YEAR($F306),AND($K306&lt;&gt;"a",$K306&lt;&gt;"b",$K306&lt;&gt;"g",$K306&lt;&gt;"k")),1,IF(AND($E306&lt;&gt;0,$F306&gt;0,YEAR($F306)&gt;=Preisindex!$A$6,YEAR(ET$4)&gt;=YEAR($F306),$K306="a"),ROUND(VLOOKUP(EY$4,Preisindex,5,FALSE)/VLOOKUP(YEAR($F306),Preisindex,5,FALSE),2),IF(AND($E306&lt;&gt;0,$F306&gt;0,YEAR($F306)&gt;=Preisindex!$A$6,YEAR(ET$4)&gt;=YEAR($F306),$K306="b"),ROUND(VLOOKUP(EY$4,Preisindex,3,FALSE)/VLOOKUP(YEAR($F306),Preisindex,3,FALSE),2),IF(AND($E306&lt;&gt;0,$F306&gt;0,YEAR($F306)&gt;=Preisindex!$A$6,YEAR(ET$4)&gt;=YEAR($F306),$K306="g"),ROUND(VLOOKUP(EY$4,Preisindex,4,FALSE)/VLOOKUP(YEAR($F306),Preisindex,4,FALSE),2),IF(AND($E306&lt;&gt;0,$F306&gt;0,YEAR($F306)&gt;=Preisindex!$A$6,YEAR(ET$4)&gt;=YEAR($F306),$K306="k"),ROUND(VLOOKUP(EY$4,Preisindex,2,FALSE)/VLOOKUP(YEAR($F306),Preisindex,2,FALSE),2),0)))))</f>
        <v>0</v>
      </c>
      <c r="EZ306" s="56">
        <f>IF(AND($E306&lt;&gt;0,$F306&gt;0,YEAR($F306)&lt;Preisindex!$A$6,YEAR(ET$4)&gt;=YEAR($F306),AND($K306&lt;&gt;"a",$K306&lt;&gt;"b",$K306&lt;&gt;"g",$K306&lt;&gt;"k")),1,IF(AND($E306&lt;&gt;0,$F306&gt;0,YEAR($F306)&lt;Preisindex!$A$6,YEAR(ET$4)&gt;=YEAR($F306),$K306="a"),ROUND(VLOOKUP(EY$4,Preisindex,5,FALSE)/VLOOKUP(Preisindex!$A$6,Preisindex,5,FALSE),2),IF(AND($E306&lt;&gt;0,$F306&gt;0,YEAR($F306)&lt;Preisindex!$A$6,YEAR(ET$4)&gt;=YEAR($F306),$K306="b"),ROUND(VLOOKUP(EY$4,Preisindex,3,FALSE)/VLOOKUP(Preisindex!$A$6,Preisindex,3,FALSE),2),IF(AND($E306&lt;&gt;0,$F306&gt;0,YEAR($F306)&lt;Preisindex!$A$6,YEAR(ET$4)&gt;=YEAR($F306),$K306="g"),ROUND(VLOOKUP(EY$4,Preisindex,4,FALSE)/VLOOKUP(Preisindex!$A$6,Preisindex,4,FALSE),2),IF(AND($E306&lt;&gt;0,$F306&gt;0,YEAR($F306)&lt;Preisindex!$A$6,YEAR(ET$4)&gt;=YEAR($F306),$K306="k"),ROUND(VLOOKUP(EY$4,Preisindex,2,FALSE)/VLOOKUP(Preisindex!$A$6,Preisindex,2,FALSE),2),0)))))</f>
        <v>0</v>
      </c>
      <c r="FA306" s="51">
        <f>IF(AND($E306&lt;&gt;0,$F306&gt;0,YEAR($F306)&lt;=EY$4,YEAR($F306)&gt;=Preisindex!$A$6),ROUND($E306*EY306,2),IF(AND($E306&lt;&gt;0,$F306&gt;0,YEAR($F306)&lt;=EY$4,YEAR($F306)&lt;Preisindex!$A$6),ROUND($E306*EZ306,2),0))</f>
        <v>0</v>
      </c>
      <c r="FB306" s="53">
        <f t="shared" si="811"/>
        <v>0</v>
      </c>
      <c r="FC306" s="51">
        <f t="shared" si="882"/>
        <v>0</v>
      </c>
      <c r="FD306" s="51">
        <f t="shared" si="876"/>
        <v>0</v>
      </c>
      <c r="FE306" s="51">
        <f t="shared" si="812"/>
        <v>0</v>
      </c>
      <c r="FF306" s="51">
        <f t="shared" si="877"/>
        <v>0</v>
      </c>
      <c r="FG306" s="51">
        <f t="shared" si="813"/>
        <v>0</v>
      </c>
      <c r="FH306" s="51">
        <f t="shared" si="878"/>
        <v>0</v>
      </c>
      <c r="FI306" s="51">
        <f t="shared" si="814"/>
        <v>0</v>
      </c>
      <c r="FJ306" s="51">
        <f t="shared" si="879"/>
        <v>0</v>
      </c>
      <c r="FK306" s="51">
        <f t="shared" si="815"/>
        <v>0</v>
      </c>
      <c r="FL306" s="51">
        <f t="shared" si="880"/>
        <v>0</v>
      </c>
      <c r="FM306" s="51">
        <f t="shared" si="816"/>
        <v>0</v>
      </c>
      <c r="FN306" s="54">
        <f t="shared" si="817"/>
        <v>0</v>
      </c>
      <c r="FO306" s="55">
        <f t="shared" si="818"/>
        <v>0</v>
      </c>
      <c r="FP306" s="56">
        <f>IF(AND($E306&lt;&gt;0,$F306&gt;0,YEAR($F306)&gt;=Preisindex!$A$6,YEAR(FK$4)&gt;=YEAR($F306),AND($K306&lt;&gt;"a",$K306&lt;&gt;"b",$K306&lt;&gt;"g",$K306&lt;&gt;"k")),1,IF(AND($E306&lt;&gt;0,$F306&gt;0,YEAR($F306)&gt;=Preisindex!$A$6,YEAR(FK$4)&gt;=YEAR($F306),$K306="a"),ROUND(VLOOKUP(FP$4,Preisindex,5,FALSE)/VLOOKUP(YEAR($F306),Preisindex,5,FALSE),2),IF(AND($E306&lt;&gt;0,$F306&gt;0,YEAR($F306)&gt;=Preisindex!$A$6,YEAR(FK$4)&gt;=YEAR($F306),$K306="b"),ROUND(VLOOKUP(FP$4,Preisindex,3,FALSE)/VLOOKUP(YEAR($F306),Preisindex,3,FALSE),2),IF(AND($E306&lt;&gt;0,$F306&gt;0,YEAR($F306)&gt;=Preisindex!$A$6,YEAR(FK$4)&gt;=YEAR($F306),$K306="g"),ROUND(VLOOKUP(FP$4,Preisindex,4,FALSE)/VLOOKUP(YEAR($F306),Preisindex,4,FALSE),2),IF(AND($E306&lt;&gt;0,$F306&gt;0,YEAR($F306)&gt;=Preisindex!$A$6,YEAR(FK$4)&gt;=YEAR($F306),$K306="k"),ROUND(VLOOKUP(FP$4,Preisindex,2,FALSE)/VLOOKUP(YEAR($F306),Preisindex,2,FALSE),2),0)))))</f>
        <v>0</v>
      </c>
      <c r="FQ306" s="56">
        <f>IF(AND($E306&lt;&gt;0,$F306&gt;0,YEAR($F306)&lt;Preisindex!$A$6,YEAR(FK$4)&gt;=YEAR($F306),AND($K306&lt;&gt;"a",$K306&lt;&gt;"b",$K306&lt;&gt;"g",$K306&lt;&gt;"k")),1,IF(AND($E306&lt;&gt;0,$F306&gt;0,YEAR($F306)&lt;Preisindex!$A$6,YEAR(FK$4)&gt;=YEAR($F306),$K306="a"),ROUND(VLOOKUP(FP$4,Preisindex,5,FALSE)/VLOOKUP(Preisindex!$A$6,Preisindex,5,FALSE),2),IF(AND($E306&lt;&gt;0,$F306&gt;0,YEAR($F306)&lt;Preisindex!$A$6,YEAR(FK$4)&gt;=YEAR($F306),$K306="b"),ROUND(VLOOKUP(FP$4,Preisindex,3,FALSE)/VLOOKUP(Preisindex!$A$6,Preisindex,3,FALSE),2),IF(AND($E306&lt;&gt;0,$F306&gt;0,YEAR($F306)&lt;Preisindex!$A$6,YEAR(FK$4)&gt;=YEAR($F306),$K306="g"),ROUND(VLOOKUP(FP$4,Preisindex,4,FALSE)/VLOOKUP(Preisindex!$A$6,Preisindex,4,FALSE),2),IF(AND($E306&lt;&gt;0,$F306&gt;0,YEAR($F306)&lt;Preisindex!$A$6,YEAR(FK$4)&gt;=YEAR($F306),$K306="k"),ROUND(VLOOKUP(FP$4,Preisindex,2,FALSE)/VLOOKUP(Preisindex!$A$6,Preisindex,2,FALSE),2),0)))))</f>
        <v>0</v>
      </c>
      <c r="FR306" s="51">
        <f>IF(AND($E306&lt;&gt;0,$F306&gt;0,YEAR($F306)&lt;=FP$4,YEAR($F306)&gt;=Preisindex!$A$6),ROUND($E306*FP306,2),IF(AND($E306&lt;&gt;0,$F306&gt;0,YEAR($F306)&lt;=FP$4,YEAR($F306)&lt;Preisindex!$A$6),ROUND($E306*FQ306,2),0))</f>
        <v>0</v>
      </c>
      <c r="FS306" s="53">
        <f t="shared" si="819"/>
        <v>0</v>
      </c>
    </row>
    <row r="307" spans="1:175" x14ac:dyDescent="0.3">
      <c r="A307" s="185"/>
      <c r="B307" s="186"/>
      <c r="C307" s="187"/>
      <c r="D307" s="95"/>
      <c r="E307" s="99"/>
      <c r="F307" s="97"/>
      <c r="G307" s="98"/>
      <c r="H307" s="192"/>
      <c r="I307" s="193"/>
      <c r="J307" s="194"/>
      <c r="K307" s="630"/>
      <c r="L307" s="49">
        <f t="shared" si="820"/>
        <v>0</v>
      </c>
      <c r="M307" s="50">
        <f t="shared" si="821"/>
        <v>0</v>
      </c>
      <c r="N307" s="51">
        <f t="shared" si="822"/>
        <v>0</v>
      </c>
      <c r="O307" s="51"/>
      <c r="P307" s="51">
        <f t="shared" si="823"/>
        <v>0</v>
      </c>
      <c r="Q307" s="52"/>
      <c r="R307" s="52"/>
      <c r="S307" s="52"/>
      <c r="T307" s="52"/>
      <c r="U307" s="52"/>
      <c r="V307" s="53">
        <f t="shared" si="824"/>
        <v>0</v>
      </c>
      <c r="W307" s="51">
        <f t="shared" si="825"/>
        <v>0</v>
      </c>
      <c r="X307" s="51">
        <f t="shared" si="826"/>
        <v>0</v>
      </c>
      <c r="Y307" s="51">
        <f t="shared" si="827"/>
        <v>0</v>
      </c>
      <c r="Z307" s="51">
        <f t="shared" si="828"/>
        <v>0</v>
      </c>
      <c r="AA307" s="51">
        <f t="shared" si="829"/>
        <v>0</v>
      </c>
      <c r="AB307" s="51">
        <f t="shared" si="830"/>
        <v>0</v>
      </c>
      <c r="AC307" s="51">
        <f t="shared" si="831"/>
        <v>0</v>
      </c>
      <c r="AD307" s="51">
        <f t="shared" si="832"/>
        <v>0</v>
      </c>
      <c r="AE307" s="51">
        <f t="shared" si="833"/>
        <v>0</v>
      </c>
      <c r="AF307" s="51">
        <f t="shared" si="834"/>
        <v>0</v>
      </c>
      <c r="AG307" s="51">
        <f t="shared" si="835"/>
        <v>0</v>
      </c>
      <c r="AH307" s="54">
        <f t="shared" si="836"/>
        <v>0</v>
      </c>
      <c r="AI307" s="55">
        <f t="shared" si="837"/>
        <v>0</v>
      </c>
      <c r="AJ307" s="56">
        <f>IF(AND($E307&lt;&gt;0,$F307&gt;0,YEAR($F307)&gt;=Preisindex!$A$6,YEAR(AE$4)&gt;=YEAR($F307),AND($K307&lt;&gt;"a",$K307&lt;&gt;"b",$K307&lt;&gt;"g",$K307&lt;&gt;"k")),1,IF(AND($E307&lt;&gt;0,$F307&gt;0,YEAR($F307)&gt;=Preisindex!$A$6,YEAR(AE$4)&gt;=YEAR($F307),$K307="a"),ROUND(VLOOKUP(AJ$4,Preisindex,5,FALSE)/VLOOKUP(YEAR($F307),Preisindex,5,FALSE),2),IF(AND($E307&lt;&gt;0,$F307&gt;0,YEAR($F307)&gt;=Preisindex!$A$6,YEAR(AE$4)&gt;=YEAR($F307),$K307="b"),ROUND(VLOOKUP(AJ$4,Preisindex,3,FALSE)/VLOOKUP(YEAR($F307),Preisindex,3,FALSE),2),IF(AND($E307&lt;&gt;0,$F307&gt;0,YEAR($F307)&gt;=Preisindex!$A$6,YEAR(AE$4)&gt;=YEAR($F307),$K307="g"),ROUND(VLOOKUP(AJ$4,Preisindex,4,FALSE)/VLOOKUP(YEAR($F307),Preisindex,4,FALSE),2),IF(AND($E307&lt;&gt;0,$F307&gt;0,YEAR($F307)&gt;=Preisindex!$A$6,YEAR(AE$4)&gt;=YEAR($F307),$K307="k"),ROUND(VLOOKUP(AJ$4,Preisindex,2,FALSE)/VLOOKUP(YEAR($F307),Preisindex,2,FALSE),2),0)))))</f>
        <v>0</v>
      </c>
      <c r="AK307" s="56">
        <f>IF(AND($E307&lt;&gt;0,$F307&gt;0,YEAR($F307)&lt;Preisindex!$A$6,YEAR(AE$4)&gt;=YEAR($F307),AND($K307&lt;&gt;"a",$K307&lt;&gt;"b",$K307&lt;&gt;"g",$K307&lt;&gt;"k")),1,IF(AND($E307&lt;&gt;0,$F307&gt;0,YEAR($F307)&lt;Preisindex!$A$6,YEAR(AE$4)&gt;=YEAR($F307),$K307="a"),ROUND(VLOOKUP(AJ$4,Preisindex,5,FALSE)/VLOOKUP(Preisindex!$A$6,Preisindex,5,FALSE),2),IF(AND($E307&lt;&gt;0,$F307&gt;0,YEAR($F307)&lt;Preisindex!$A$6,YEAR(AE$4)&gt;=YEAR($F307),$K307="b"),ROUND(VLOOKUP(AJ$4,Preisindex,3,FALSE)/VLOOKUP(Preisindex!$A$6,Preisindex,3,FALSE),2),IF(AND($E307&lt;&gt;0,$F307&gt;0,YEAR($F307)&lt;Preisindex!$A$6,YEAR(AE$4)&gt;=YEAR($F307),$K307="g"),ROUND(VLOOKUP(AJ$4,Preisindex,4,FALSE)/VLOOKUP(Preisindex!$A$6,Preisindex,4,FALSE),2),IF(AND($E307&lt;&gt;0,$F307&gt;0,YEAR($F307)&lt;Preisindex!$A$6,YEAR(AE$4)&gt;=YEAR($F307),$K307="k"),ROUND(VLOOKUP(AJ$4,Preisindex,2,FALSE)/VLOOKUP(Preisindex!$A$6,Preisindex,2,FALSE),2),0)))))</f>
        <v>0</v>
      </c>
      <c r="AL307" s="51">
        <f>IF(AND($E307&lt;&gt;0,$F307&gt;0,YEAR($F307)&lt;=AJ$4,YEAR($F307)&gt;=Preisindex!$A$6),ROUND($E307*AJ307,2),IF(AND($E307&lt;&gt;0,$F307&gt;0,YEAR($F307)&lt;=AJ$4,YEAR($F307)&lt;Preisindex!$A$6),ROUND($E307*AK307,2),0))</f>
        <v>0</v>
      </c>
      <c r="AM307" s="53">
        <f t="shared" si="838"/>
        <v>0</v>
      </c>
      <c r="AN307" s="51">
        <f t="shared" si="881"/>
        <v>0</v>
      </c>
      <c r="AO307" s="51">
        <f t="shared" si="841"/>
        <v>0</v>
      </c>
      <c r="AP307" s="51">
        <f t="shared" si="755"/>
        <v>0</v>
      </c>
      <c r="AQ307" s="51">
        <f t="shared" si="842"/>
        <v>0</v>
      </c>
      <c r="AR307" s="51">
        <f t="shared" si="756"/>
        <v>0</v>
      </c>
      <c r="AS307" s="51">
        <f t="shared" si="843"/>
        <v>0</v>
      </c>
      <c r="AT307" s="51">
        <f t="shared" si="757"/>
        <v>0</v>
      </c>
      <c r="AU307" s="51">
        <f t="shared" si="844"/>
        <v>0</v>
      </c>
      <c r="AV307" s="51">
        <f t="shared" si="758"/>
        <v>0</v>
      </c>
      <c r="AW307" s="51">
        <f t="shared" si="845"/>
        <v>0</v>
      </c>
      <c r="AX307" s="51">
        <f t="shared" si="759"/>
        <v>0</v>
      </c>
      <c r="AY307" s="54">
        <f t="shared" si="760"/>
        <v>0</v>
      </c>
      <c r="AZ307" s="55">
        <f t="shared" si="761"/>
        <v>0</v>
      </c>
      <c r="BA307" s="56">
        <f>IF(AND($E307&lt;&gt;0,$F307&gt;0,YEAR($F307)&gt;=Preisindex!$A$6,YEAR(AV$4)&gt;=YEAR($F307),AND($K307&lt;&gt;"a",$K307&lt;&gt;"b",$K307&lt;&gt;"g",$K307&lt;&gt;"k")),1,IF(AND($E307&lt;&gt;0,$F307&gt;0,YEAR($F307)&gt;=Preisindex!$A$6,YEAR(AV$4)&gt;=YEAR($F307),$K307="a"),ROUND(VLOOKUP(BA$4,Preisindex,5,FALSE)/VLOOKUP(YEAR($F307),Preisindex,5,FALSE),2),IF(AND($E307&lt;&gt;0,$F307&gt;0,YEAR($F307)&gt;=Preisindex!$A$6,YEAR(AV$4)&gt;=YEAR($F307),$K307="b"),ROUND(VLOOKUP(BA$4,Preisindex,3,FALSE)/VLOOKUP(YEAR($F307),Preisindex,3,FALSE),2),IF(AND($E307&lt;&gt;0,$F307&gt;0,YEAR($F307)&gt;=Preisindex!$A$6,YEAR(AV$4)&gt;=YEAR($F307),$K307="g"),ROUND(VLOOKUP(BA$4,Preisindex,4,FALSE)/VLOOKUP(YEAR($F307),Preisindex,4,FALSE),2),IF(AND($E307&lt;&gt;0,$F307&gt;0,YEAR($F307)&gt;=Preisindex!$A$6,YEAR(AV$4)&gt;=YEAR($F307),$K307="k"),ROUND(VLOOKUP(BA$4,Preisindex,2,FALSE)/VLOOKUP(YEAR($F307),Preisindex,2,FALSE),2),0)))))</f>
        <v>0</v>
      </c>
      <c r="BB307" s="56">
        <f>IF(AND($E307&lt;&gt;0,$F307&gt;0,YEAR($F307)&lt;Preisindex!$A$6,YEAR(AV$4)&gt;=YEAR($F307),AND($K307&lt;&gt;"a",$K307&lt;&gt;"b",$K307&lt;&gt;"g",$K307&lt;&gt;"k")),1,IF(AND($E307&lt;&gt;0,$F307&gt;0,YEAR($F307)&lt;Preisindex!$A$6,YEAR(AV$4)&gt;=YEAR($F307),$K307="a"),ROUND(VLOOKUP(BA$4,Preisindex,5,FALSE)/VLOOKUP(Preisindex!$A$6,Preisindex,5,FALSE),2),IF(AND($E307&lt;&gt;0,$F307&gt;0,YEAR($F307)&lt;Preisindex!$A$6,YEAR(AV$4)&gt;=YEAR($F307),$K307="b"),ROUND(VLOOKUP(BA$4,Preisindex,3,FALSE)/VLOOKUP(Preisindex!$A$6,Preisindex,3,FALSE),2),IF(AND($E307&lt;&gt;0,$F307&gt;0,YEAR($F307)&lt;Preisindex!$A$6,YEAR(AV$4)&gt;=YEAR($F307),$K307="g"),ROUND(VLOOKUP(BA$4,Preisindex,4,FALSE)/VLOOKUP(Preisindex!$A$6,Preisindex,4,FALSE),2),IF(AND($E307&lt;&gt;0,$F307&gt;0,YEAR($F307)&lt;Preisindex!$A$6,YEAR(AV$4)&gt;=YEAR($F307),$K307="k"),ROUND(VLOOKUP(BA$4,Preisindex,2,FALSE)/VLOOKUP(Preisindex!$A$6,Preisindex,2,FALSE),2),0)))))</f>
        <v>0</v>
      </c>
      <c r="BC307" s="51">
        <f>IF(AND($E307&lt;&gt;0,$F307&gt;0,YEAR($F307)&lt;=BA$4,YEAR($F307)&gt;=Preisindex!$A$6),ROUND($E307*BA307,2),IF(AND($E307&lt;&gt;0,$F307&gt;0,YEAR($F307)&lt;=BA$4,YEAR($F307)&lt;Preisindex!$A$6),ROUND($E307*BB307,2),0))</f>
        <v>0</v>
      </c>
      <c r="BD307" s="53">
        <f t="shared" si="762"/>
        <v>0</v>
      </c>
      <c r="BE307" s="51">
        <f t="shared" si="881"/>
        <v>0</v>
      </c>
      <c r="BF307" s="51">
        <f t="shared" si="846"/>
        <v>0</v>
      </c>
      <c r="BG307" s="51">
        <f t="shared" si="763"/>
        <v>0</v>
      </c>
      <c r="BH307" s="51">
        <f t="shared" si="847"/>
        <v>0</v>
      </c>
      <c r="BI307" s="51">
        <f t="shared" si="764"/>
        <v>0</v>
      </c>
      <c r="BJ307" s="51">
        <f t="shared" si="848"/>
        <v>0</v>
      </c>
      <c r="BK307" s="51">
        <f t="shared" si="765"/>
        <v>0</v>
      </c>
      <c r="BL307" s="51">
        <f t="shared" si="849"/>
        <v>0</v>
      </c>
      <c r="BM307" s="51">
        <f t="shared" si="766"/>
        <v>0</v>
      </c>
      <c r="BN307" s="51">
        <f t="shared" si="850"/>
        <v>0</v>
      </c>
      <c r="BO307" s="51">
        <f t="shared" si="767"/>
        <v>0</v>
      </c>
      <c r="BP307" s="54">
        <f t="shared" si="768"/>
        <v>0</v>
      </c>
      <c r="BQ307" s="55">
        <f t="shared" si="769"/>
        <v>0</v>
      </c>
      <c r="BR307" s="56">
        <f>IF(AND($E307&lt;&gt;0,$F307&gt;0,YEAR($F307)&gt;=Preisindex!$A$6,YEAR(BM$4)&gt;=YEAR($F307),AND($K307&lt;&gt;"a",$K307&lt;&gt;"b",$K307&lt;&gt;"g",$K307&lt;&gt;"k")),1,IF(AND($E307&lt;&gt;0,$F307&gt;0,YEAR($F307)&gt;=Preisindex!$A$6,YEAR(BM$4)&gt;=YEAR($F307),$K307="a"),ROUND(VLOOKUP(BR$4,Preisindex,5,FALSE)/VLOOKUP(YEAR($F307),Preisindex,5,FALSE),2),IF(AND($E307&lt;&gt;0,$F307&gt;0,YEAR($F307)&gt;=Preisindex!$A$6,YEAR(BM$4)&gt;=YEAR($F307),$K307="b"),ROUND(VLOOKUP(BR$4,Preisindex,3,FALSE)/VLOOKUP(YEAR($F307),Preisindex,3,FALSE),2),IF(AND($E307&lt;&gt;0,$F307&gt;0,YEAR($F307)&gt;=Preisindex!$A$6,YEAR(BM$4)&gt;=YEAR($F307),$K307="g"),ROUND(VLOOKUP(BR$4,Preisindex,4,FALSE)/VLOOKUP(YEAR($F307),Preisindex,4,FALSE),2),IF(AND($E307&lt;&gt;0,$F307&gt;0,YEAR($F307)&gt;=Preisindex!$A$6,YEAR(BM$4)&gt;=YEAR($F307),$K307="k"),ROUND(VLOOKUP(BR$4,Preisindex,2,FALSE)/VLOOKUP(YEAR($F307),Preisindex,2,FALSE),2),0)))))</f>
        <v>0</v>
      </c>
      <c r="BS307" s="56">
        <f>IF(AND($E307&lt;&gt;0,$F307&gt;0,YEAR($F307)&lt;Preisindex!$A$6,YEAR(BM$4)&gt;=YEAR($F307),AND($K307&lt;&gt;"a",$K307&lt;&gt;"b",$K307&lt;&gt;"g",$K307&lt;&gt;"k")),1,IF(AND($E307&lt;&gt;0,$F307&gt;0,YEAR($F307)&lt;Preisindex!$A$6,YEAR(BM$4)&gt;=YEAR($F307),$K307="a"),ROUND(VLOOKUP(BR$4,Preisindex,5,FALSE)/VLOOKUP(Preisindex!$A$6,Preisindex,5,FALSE),2),IF(AND($E307&lt;&gt;0,$F307&gt;0,YEAR($F307)&lt;Preisindex!$A$6,YEAR(BM$4)&gt;=YEAR($F307),$K307="b"),ROUND(VLOOKUP(BR$4,Preisindex,3,FALSE)/VLOOKUP(Preisindex!$A$6,Preisindex,3,FALSE),2),IF(AND($E307&lt;&gt;0,$F307&gt;0,YEAR($F307)&lt;Preisindex!$A$6,YEAR(BM$4)&gt;=YEAR($F307),$K307="g"),ROUND(VLOOKUP(BR$4,Preisindex,4,FALSE)/VLOOKUP(Preisindex!$A$6,Preisindex,4,FALSE),2),IF(AND($E307&lt;&gt;0,$F307&gt;0,YEAR($F307)&lt;Preisindex!$A$6,YEAR(BM$4)&gt;=YEAR($F307),$K307="k"),ROUND(VLOOKUP(BR$4,Preisindex,2,FALSE)/VLOOKUP(Preisindex!$A$6,Preisindex,2,FALSE),2),0)))))</f>
        <v>0</v>
      </c>
      <c r="BT307" s="51">
        <f>IF(AND($E307&lt;&gt;0,$F307&gt;0,YEAR($F307)&lt;=BR$4,YEAR($F307)&gt;=Preisindex!$A$6),ROUND($E307*BR307,2),IF(AND($E307&lt;&gt;0,$F307&gt;0,YEAR($F307)&lt;=BR$4,YEAR($F307)&lt;Preisindex!$A$6),ROUND($E307*BS307,2),0))</f>
        <v>0</v>
      </c>
      <c r="BU307" s="53">
        <f t="shared" si="770"/>
        <v>0</v>
      </c>
      <c r="BV307" s="51">
        <f t="shared" si="881"/>
        <v>0</v>
      </c>
      <c r="BW307" s="51">
        <f t="shared" si="851"/>
        <v>0</v>
      </c>
      <c r="BX307" s="51">
        <f t="shared" si="771"/>
        <v>0</v>
      </c>
      <c r="BY307" s="51">
        <f t="shared" si="852"/>
        <v>0</v>
      </c>
      <c r="BZ307" s="51">
        <f t="shared" si="772"/>
        <v>0</v>
      </c>
      <c r="CA307" s="51">
        <f t="shared" si="853"/>
        <v>0</v>
      </c>
      <c r="CB307" s="51">
        <f t="shared" si="773"/>
        <v>0</v>
      </c>
      <c r="CC307" s="51">
        <f t="shared" si="854"/>
        <v>0</v>
      </c>
      <c r="CD307" s="51">
        <f t="shared" si="774"/>
        <v>0</v>
      </c>
      <c r="CE307" s="51">
        <f t="shared" si="855"/>
        <v>0</v>
      </c>
      <c r="CF307" s="51">
        <f t="shared" si="775"/>
        <v>0</v>
      </c>
      <c r="CG307" s="54">
        <f t="shared" si="776"/>
        <v>0</v>
      </c>
      <c r="CH307" s="55">
        <f t="shared" si="777"/>
        <v>0</v>
      </c>
      <c r="CI307" s="56">
        <f>IF(AND($E307&lt;&gt;0,$F307&gt;0,YEAR($F307)&gt;=Preisindex!$A$6,YEAR(CD$4)&gt;=YEAR($F307),AND($K307&lt;&gt;"a",$K307&lt;&gt;"b",$K307&lt;&gt;"g",$K307&lt;&gt;"k")),1,IF(AND($E307&lt;&gt;0,$F307&gt;0,YEAR($F307)&gt;=Preisindex!$A$6,YEAR(CD$4)&gt;=YEAR($F307),$K307="a"),ROUND(VLOOKUP(CI$4,Preisindex,5,FALSE)/VLOOKUP(YEAR($F307),Preisindex,5,FALSE),2),IF(AND($E307&lt;&gt;0,$F307&gt;0,YEAR($F307)&gt;=Preisindex!$A$6,YEAR(CD$4)&gt;=YEAR($F307),$K307="b"),ROUND(VLOOKUP(CI$4,Preisindex,3,FALSE)/VLOOKUP(YEAR($F307),Preisindex,3,FALSE),2),IF(AND($E307&lt;&gt;0,$F307&gt;0,YEAR($F307)&gt;=Preisindex!$A$6,YEAR(CD$4)&gt;=YEAR($F307),$K307="g"),ROUND(VLOOKUP(CI$4,Preisindex,4,FALSE)/VLOOKUP(YEAR($F307),Preisindex,4,FALSE),2),IF(AND($E307&lt;&gt;0,$F307&gt;0,YEAR($F307)&gt;=Preisindex!$A$6,YEAR(CD$4)&gt;=YEAR($F307),$K307="k"),ROUND(VLOOKUP(CI$4,Preisindex,2,FALSE)/VLOOKUP(YEAR($F307),Preisindex,2,FALSE),2),0)))))</f>
        <v>0</v>
      </c>
      <c r="CJ307" s="56">
        <f>IF(AND($E307&lt;&gt;0,$F307&gt;0,YEAR($F307)&lt;Preisindex!$A$6,YEAR(CD$4)&gt;=YEAR($F307),AND($K307&lt;&gt;"a",$K307&lt;&gt;"b",$K307&lt;&gt;"g",$K307&lt;&gt;"k")),1,IF(AND($E307&lt;&gt;0,$F307&gt;0,YEAR($F307)&lt;Preisindex!$A$6,YEAR(CD$4)&gt;=YEAR($F307),$K307="a"),ROUND(VLOOKUP(CI$4,Preisindex,5,FALSE)/VLOOKUP(Preisindex!$A$6,Preisindex,5,FALSE),2),IF(AND($E307&lt;&gt;0,$F307&gt;0,YEAR($F307)&lt;Preisindex!$A$6,YEAR(CD$4)&gt;=YEAR($F307),$K307="b"),ROUND(VLOOKUP(CI$4,Preisindex,3,FALSE)/VLOOKUP(Preisindex!$A$6,Preisindex,3,FALSE),2),IF(AND($E307&lt;&gt;0,$F307&gt;0,YEAR($F307)&lt;Preisindex!$A$6,YEAR(CD$4)&gt;=YEAR($F307),$K307="g"),ROUND(VLOOKUP(CI$4,Preisindex,4,FALSE)/VLOOKUP(Preisindex!$A$6,Preisindex,4,FALSE),2),IF(AND($E307&lt;&gt;0,$F307&gt;0,YEAR($F307)&lt;Preisindex!$A$6,YEAR(CD$4)&gt;=YEAR($F307),$K307="k"),ROUND(VLOOKUP(CI$4,Preisindex,2,FALSE)/VLOOKUP(Preisindex!$A$6,Preisindex,2,FALSE),2),0)))))</f>
        <v>0</v>
      </c>
      <c r="CK307" s="51">
        <f>IF(AND($E307&lt;&gt;0,$F307&gt;0,YEAR($F307)&lt;=CI$4,YEAR($F307)&gt;=Preisindex!$A$6),ROUND($E307*CI307,2),IF(AND($E307&lt;&gt;0,$F307&gt;0,YEAR($F307)&lt;=CI$4,YEAR($F307)&lt;Preisindex!$A$6),ROUND($E307*CJ307,2),0))</f>
        <v>0</v>
      </c>
      <c r="CL307" s="53">
        <f t="shared" si="778"/>
        <v>0</v>
      </c>
      <c r="CM307" s="51">
        <f t="shared" si="881"/>
        <v>0</v>
      </c>
      <c r="CN307" s="51">
        <f t="shared" si="856"/>
        <v>0</v>
      </c>
      <c r="CO307" s="51">
        <f t="shared" si="779"/>
        <v>0</v>
      </c>
      <c r="CP307" s="51">
        <f t="shared" si="857"/>
        <v>0</v>
      </c>
      <c r="CQ307" s="51">
        <f t="shared" si="780"/>
        <v>0</v>
      </c>
      <c r="CR307" s="51">
        <f t="shared" si="858"/>
        <v>0</v>
      </c>
      <c r="CS307" s="51">
        <f t="shared" si="781"/>
        <v>0</v>
      </c>
      <c r="CT307" s="51">
        <f t="shared" si="859"/>
        <v>0</v>
      </c>
      <c r="CU307" s="51">
        <f t="shared" si="782"/>
        <v>0</v>
      </c>
      <c r="CV307" s="51">
        <f t="shared" si="860"/>
        <v>0</v>
      </c>
      <c r="CW307" s="51">
        <f t="shared" si="783"/>
        <v>0</v>
      </c>
      <c r="CX307" s="54">
        <f t="shared" si="784"/>
        <v>0</v>
      </c>
      <c r="CY307" s="55">
        <f t="shared" si="785"/>
        <v>0</v>
      </c>
      <c r="CZ307" s="56">
        <f>IF(AND($E307&lt;&gt;0,$F307&gt;0,YEAR($F307)&gt;=Preisindex!$A$6,YEAR(CU$4)&gt;=YEAR($F307),AND($K307&lt;&gt;"a",$K307&lt;&gt;"b",$K307&lt;&gt;"g",$K307&lt;&gt;"k")),1,IF(AND($E307&lt;&gt;0,$F307&gt;0,YEAR($F307)&gt;=Preisindex!$A$6,YEAR(CU$4)&gt;=YEAR($F307),$K307="a"),ROUND(VLOOKUP(CZ$4,Preisindex,5,FALSE)/VLOOKUP(YEAR($F307),Preisindex,5,FALSE),2),IF(AND($E307&lt;&gt;0,$F307&gt;0,YEAR($F307)&gt;=Preisindex!$A$6,YEAR(CU$4)&gt;=YEAR($F307),$K307="b"),ROUND(VLOOKUP(CZ$4,Preisindex,3,FALSE)/VLOOKUP(YEAR($F307),Preisindex,3,FALSE),2),IF(AND($E307&lt;&gt;0,$F307&gt;0,YEAR($F307)&gt;=Preisindex!$A$6,YEAR(CU$4)&gt;=YEAR($F307),$K307="g"),ROUND(VLOOKUP(CZ$4,Preisindex,4,FALSE)/VLOOKUP(YEAR($F307),Preisindex,4,FALSE),2),IF(AND($E307&lt;&gt;0,$F307&gt;0,YEAR($F307)&gt;=Preisindex!$A$6,YEAR(CU$4)&gt;=YEAR($F307),$K307="k"),ROUND(VLOOKUP(CZ$4,Preisindex,2,FALSE)/VLOOKUP(YEAR($F307),Preisindex,2,FALSE),2),0)))))</f>
        <v>0</v>
      </c>
      <c r="DA307" s="56">
        <f>IF(AND($E307&lt;&gt;0,$F307&gt;0,YEAR($F307)&lt;Preisindex!$A$6,YEAR(CU$4)&gt;=YEAR($F307),AND($K307&lt;&gt;"a",$K307&lt;&gt;"b",$K307&lt;&gt;"g",$K307&lt;&gt;"k")),1,IF(AND($E307&lt;&gt;0,$F307&gt;0,YEAR($F307)&lt;Preisindex!$A$6,YEAR(CU$4)&gt;=YEAR($F307),$K307="a"),ROUND(VLOOKUP(CZ$4,Preisindex,5,FALSE)/VLOOKUP(Preisindex!$A$6,Preisindex,5,FALSE),2),IF(AND($E307&lt;&gt;0,$F307&gt;0,YEAR($F307)&lt;Preisindex!$A$6,YEAR(CU$4)&gt;=YEAR($F307),$K307="b"),ROUND(VLOOKUP(CZ$4,Preisindex,3,FALSE)/VLOOKUP(Preisindex!$A$6,Preisindex,3,FALSE),2),IF(AND($E307&lt;&gt;0,$F307&gt;0,YEAR($F307)&lt;Preisindex!$A$6,YEAR(CU$4)&gt;=YEAR($F307),$K307="g"),ROUND(VLOOKUP(CZ$4,Preisindex,4,FALSE)/VLOOKUP(Preisindex!$A$6,Preisindex,4,FALSE),2),IF(AND($E307&lt;&gt;0,$F307&gt;0,YEAR($F307)&lt;Preisindex!$A$6,YEAR(CU$4)&gt;=YEAR($F307),$K307="k"),ROUND(VLOOKUP(CZ$4,Preisindex,2,FALSE)/VLOOKUP(Preisindex!$A$6,Preisindex,2,FALSE),2),0)))))</f>
        <v>0</v>
      </c>
      <c r="DB307" s="51">
        <f>IF(AND($E307&lt;&gt;0,$F307&gt;0,YEAR($F307)&lt;=CZ$4,YEAR($F307)&gt;=Preisindex!$A$6),ROUND($E307*CZ307,2),IF(AND($E307&lt;&gt;0,$F307&gt;0,YEAR($F307)&lt;=CZ$4,YEAR($F307)&lt;Preisindex!$A$6),ROUND($E307*DA307,2),0))</f>
        <v>0</v>
      </c>
      <c r="DC307" s="53">
        <f t="shared" si="786"/>
        <v>0</v>
      </c>
      <c r="DD307" s="51">
        <f t="shared" si="882"/>
        <v>0</v>
      </c>
      <c r="DE307" s="51">
        <f t="shared" si="861"/>
        <v>0</v>
      </c>
      <c r="DF307" s="51">
        <f t="shared" si="788"/>
        <v>0</v>
      </c>
      <c r="DG307" s="51">
        <f t="shared" si="862"/>
        <v>0</v>
      </c>
      <c r="DH307" s="51">
        <f t="shared" si="789"/>
        <v>0</v>
      </c>
      <c r="DI307" s="51">
        <f t="shared" si="863"/>
        <v>0</v>
      </c>
      <c r="DJ307" s="51">
        <f t="shared" si="790"/>
        <v>0</v>
      </c>
      <c r="DK307" s="51">
        <f t="shared" si="864"/>
        <v>0</v>
      </c>
      <c r="DL307" s="51">
        <f t="shared" si="791"/>
        <v>0</v>
      </c>
      <c r="DM307" s="51">
        <f t="shared" si="865"/>
        <v>0</v>
      </c>
      <c r="DN307" s="51">
        <f t="shared" si="792"/>
        <v>0</v>
      </c>
      <c r="DO307" s="54">
        <f t="shared" si="793"/>
        <v>0</v>
      </c>
      <c r="DP307" s="55">
        <f t="shared" si="794"/>
        <v>0</v>
      </c>
      <c r="DQ307" s="56">
        <f>IF(AND($E307&lt;&gt;0,$F307&gt;0,YEAR($F307)&gt;=Preisindex!$A$6,YEAR(DL$4)&gt;=YEAR($F307),AND($K307&lt;&gt;"a",$K307&lt;&gt;"b",$K307&lt;&gt;"g",$K307&lt;&gt;"k")),1,IF(AND($E307&lt;&gt;0,$F307&gt;0,YEAR($F307)&gt;=Preisindex!$A$6,YEAR(DL$4)&gt;=YEAR($F307),$K307="a"),ROUND(VLOOKUP(DQ$4,Preisindex,5,FALSE)/VLOOKUP(YEAR($F307),Preisindex,5,FALSE),2),IF(AND($E307&lt;&gt;0,$F307&gt;0,YEAR($F307)&gt;=Preisindex!$A$6,YEAR(DL$4)&gt;=YEAR($F307),$K307="b"),ROUND(VLOOKUP(DQ$4,Preisindex,3,FALSE)/VLOOKUP(YEAR($F307),Preisindex,3,FALSE),2),IF(AND($E307&lt;&gt;0,$F307&gt;0,YEAR($F307)&gt;=Preisindex!$A$6,YEAR(DL$4)&gt;=YEAR($F307),$K307="g"),ROUND(VLOOKUP(DQ$4,Preisindex,4,FALSE)/VLOOKUP(YEAR($F307),Preisindex,4,FALSE),2),IF(AND($E307&lt;&gt;0,$F307&gt;0,YEAR($F307)&gt;=Preisindex!$A$6,YEAR(DL$4)&gt;=YEAR($F307),$K307="k"),ROUND(VLOOKUP(DQ$4,Preisindex,2,FALSE)/VLOOKUP(YEAR($F307),Preisindex,2,FALSE),2),0)))))</f>
        <v>0</v>
      </c>
      <c r="DR307" s="56">
        <f>IF(AND($E307&lt;&gt;0,$F307&gt;0,YEAR($F307)&lt;Preisindex!$A$6,YEAR(DL$4)&gt;=YEAR($F307),AND($K307&lt;&gt;"a",$K307&lt;&gt;"b",$K307&lt;&gt;"g",$K307&lt;&gt;"k")),1,IF(AND($E307&lt;&gt;0,$F307&gt;0,YEAR($F307)&lt;Preisindex!$A$6,YEAR(DL$4)&gt;=YEAR($F307),$K307="a"),ROUND(VLOOKUP(DQ$4,Preisindex,5,FALSE)/VLOOKUP(Preisindex!$A$6,Preisindex,5,FALSE),2),IF(AND($E307&lt;&gt;0,$F307&gt;0,YEAR($F307)&lt;Preisindex!$A$6,YEAR(DL$4)&gt;=YEAR($F307),$K307="b"),ROUND(VLOOKUP(DQ$4,Preisindex,3,FALSE)/VLOOKUP(Preisindex!$A$6,Preisindex,3,FALSE),2),IF(AND($E307&lt;&gt;0,$F307&gt;0,YEAR($F307)&lt;Preisindex!$A$6,YEAR(DL$4)&gt;=YEAR($F307),$K307="g"),ROUND(VLOOKUP(DQ$4,Preisindex,4,FALSE)/VLOOKUP(Preisindex!$A$6,Preisindex,4,FALSE),2),IF(AND($E307&lt;&gt;0,$F307&gt;0,YEAR($F307)&lt;Preisindex!$A$6,YEAR(DL$4)&gt;=YEAR($F307),$K307="k"),ROUND(VLOOKUP(DQ$4,Preisindex,2,FALSE)/VLOOKUP(Preisindex!$A$6,Preisindex,2,FALSE),2),0)))))</f>
        <v>0</v>
      </c>
      <c r="DS307" s="51">
        <f>IF(AND($E307&lt;&gt;0,$F307&gt;0,YEAR($F307)&lt;=DQ$4,YEAR($F307)&gt;=Preisindex!$A$6),ROUND($E307*DQ307,2),IF(AND($E307&lt;&gt;0,$F307&gt;0,YEAR($F307)&lt;=DQ$4,YEAR($F307)&lt;Preisindex!$A$6),ROUND($E307*DR307,2),0))</f>
        <v>0</v>
      </c>
      <c r="DT307" s="53">
        <f t="shared" si="795"/>
        <v>0</v>
      </c>
      <c r="DU307" s="51">
        <f t="shared" si="882"/>
        <v>0</v>
      </c>
      <c r="DV307" s="51">
        <f t="shared" si="866"/>
        <v>0</v>
      </c>
      <c r="DW307" s="51">
        <f t="shared" si="796"/>
        <v>0</v>
      </c>
      <c r="DX307" s="51">
        <f t="shared" si="867"/>
        <v>0</v>
      </c>
      <c r="DY307" s="51">
        <f t="shared" si="797"/>
        <v>0</v>
      </c>
      <c r="DZ307" s="51">
        <f t="shared" si="868"/>
        <v>0</v>
      </c>
      <c r="EA307" s="51">
        <f t="shared" si="798"/>
        <v>0</v>
      </c>
      <c r="EB307" s="51">
        <f t="shared" si="869"/>
        <v>0</v>
      </c>
      <c r="EC307" s="51">
        <f t="shared" si="799"/>
        <v>0</v>
      </c>
      <c r="ED307" s="51">
        <f t="shared" si="870"/>
        <v>0</v>
      </c>
      <c r="EE307" s="51">
        <f t="shared" si="800"/>
        <v>0</v>
      </c>
      <c r="EF307" s="54">
        <f t="shared" si="801"/>
        <v>0</v>
      </c>
      <c r="EG307" s="55">
        <f t="shared" si="802"/>
        <v>0</v>
      </c>
      <c r="EH307" s="56">
        <f>IF(AND($E307&lt;&gt;0,$F307&gt;0,YEAR($F307)&gt;=Preisindex!$A$6,YEAR(EC$4)&gt;=YEAR($F307),AND($K307&lt;&gt;"a",$K307&lt;&gt;"b",$K307&lt;&gt;"g",$K307&lt;&gt;"k")),1,IF(AND($E307&lt;&gt;0,$F307&gt;0,YEAR($F307)&gt;=Preisindex!$A$6,YEAR(EC$4)&gt;=YEAR($F307),$K307="a"),ROUND(VLOOKUP(EH$4,Preisindex,5,FALSE)/VLOOKUP(YEAR($F307),Preisindex,5,FALSE),2),IF(AND($E307&lt;&gt;0,$F307&gt;0,YEAR($F307)&gt;=Preisindex!$A$6,YEAR(EC$4)&gt;=YEAR($F307),$K307="b"),ROUND(VLOOKUP(EH$4,Preisindex,3,FALSE)/VLOOKUP(YEAR($F307),Preisindex,3,FALSE),2),IF(AND($E307&lt;&gt;0,$F307&gt;0,YEAR($F307)&gt;=Preisindex!$A$6,YEAR(EC$4)&gt;=YEAR($F307),$K307="g"),ROUND(VLOOKUP(EH$4,Preisindex,4,FALSE)/VLOOKUP(YEAR($F307),Preisindex,4,FALSE),2),IF(AND($E307&lt;&gt;0,$F307&gt;0,YEAR($F307)&gt;=Preisindex!$A$6,YEAR(EC$4)&gt;=YEAR($F307),$K307="k"),ROUND(VLOOKUP(EH$4,Preisindex,2,FALSE)/VLOOKUP(YEAR($F307),Preisindex,2,FALSE),2),0)))))</f>
        <v>0</v>
      </c>
      <c r="EI307" s="56">
        <f>IF(AND($E307&lt;&gt;0,$F307&gt;0,YEAR($F307)&lt;Preisindex!$A$6,YEAR(EC$4)&gt;=YEAR($F307),AND($K307&lt;&gt;"a",$K307&lt;&gt;"b",$K307&lt;&gt;"g",$K307&lt;&gt;"k")),1,IF(AND($E307&lt;&gt;0,$F307&gt;0,YEAR($F307)&lt;Preisindex!$A$6,YEAR(EC$4)&gt;=YEAR($F307),$K307="a"),ROUND(VLOOKUP(EH$4,Preisindex,5,FALSE)/VLOOKUP(Preisindex!$A$6,Preisindex,5,FALSE),2),IF(AND($E307&lt;&gt;0,$F307&gt;0,YEAR($F307)&lt;Preisindex!$A$6,YEAR(EC$4)&gt;=YEAR($F307),$K307="b"),ROUND(VLOOKUP(EH$4,Preisindex,3,FALSE)/VLOOKUP(Preisindex!$A$6,Preisindex,3,FALSE),2),IF(AND($E307&lt;&gt;0,$F307&gt;0,YEAR($F307)&lt;Preisindex!$A$6,YEAR(EC$4)&gt;=YEAR($F307),$K307="g"),ROUND(VLOOKUP(EH$4,Preisindex,4,FALSE)/VLOOKUP(Preisindex!$A$6,Preisindex,4,FALSE),2),IF(AND($E307&lt;&gt;0,$F307&gt;0,YEAR($F307)&lt;Preisindex!$A$6,YEAR(EC$4)&gt;=YEAR($F307),$K307="k"),ROUND(VLOOKUP(EH$4,Preisindex,2,FALSE)/VLOOKUP(Preisindex!$A$6,Preisindex,2,FALSE),2),0)))))</f>
        <v>0</v>
      </c>
      <c r="EJ307" s="51">
        <f>IF(AND($E307&lt;&gt;0,$F307&gt;0,YEAR($F307)&lt;=EH$4,YEAR($F307)&gt;=Preisindex!$A$6),ROUND($E307*EH307,2),IF(AND($E307&lt;&gt;0,$F307&gt;0,YEAR($F307)&lt;=EH$4,YEAR($F307)&lt;Preisindex!$A$6),ROUND($E307*EI307,2),0))</f>
        <v>0</v>
      </c>
      <c r="EK307" s="53">
        <f t="shared" si="803"/>
        <v>0</v>
      </c>
      <c r="EL307" s="51">
        <f t="shared" si="882"/>
        <v>0</v>
      </c>
      <c r="EM307" s="51">
        <f t="shared" si="871"/>
        <v>0</v>
      </c>
      <c r="EN307" s="51">
        <f t="shared" si="804"/>
        <v>0</v>
      </c>
      <c r="EO307" s="51">
        <f t="shared" si="872"/>
        <v>0</v>
      </c>
      <c r="EP307" s="51">
        <f t="shared" si="805"/>
        <v>0</v>
      </c>
      <c r="EQ307" s="51">
        <f t="shared" si="873"/>
        <v>0</v>
      </c>
      <c r="ER307" s="51">
        <f t="shared" si="806"/>
        <v>0</v>
      </c>
      <c r="ES307" s="51">
        <f t="shared" si="874"/>
        <v>0</v>
      </c>
      <c r="ET307" s="51">
        <f t="shared" si="807"/>
        <v>0</v>
      </c>
      <c r="EU307" s="51">
        <f t="shared" si="875"/>
        <v>0</v>
      </c>
      <c r="EV307" s="51">
        <f t="shared" si="808"/>
        <v>0</v>
      </c>
      <c r="EW307" s="54">
        <f t="shared" si="809"/>
        <v>0</v>
      </c>
      <c r="EX307" s="55">
        <f t="shared" si="810"/>
        <v>0</v>
      </c>
      <c r="EY307" s="56">
        <f>IF(AND($E307&lt;&gt;0,$F307&gt;0,YEAR($F307)&gt;=Preisindex!$A$6,YEAR(ET$4)&gt;=YEAR($F307),AND($K307&lt;&gt;"a",$K307&lt;&gt;"b",$K307&lt;&gt;"g",$K307&lt;&gt;"k")),1,IF(AND($E307&lt;&gt;0,$F307&gt;0,YEAR($F307)&gt;=Preisindex!$A$6,YEAR(ET$4)&gt;=YEAR($F307),$K307="a"),ROUND(VLOOKUP(EY$4,Preisindex,5,FALSE)/VLOOKUP(YEAR($F307),Preisindex,5,FALSE),2),IF(AND($E307&lt;&gt;0,$F307&gt;0,YEAR($F307)&gt;=Preisindex!$A$6,YEAR(ET$4)&gt;=YEAR($F307),$K307="b"),ROUND(VLOOKUP(EY$4,Preisindex,3,FALSE)/VLOOKUP(YEAR($F307),Preisindex,3,FALSE),2),IF(AND($E307&lt;&gt;0,$F307&gt;0,YEAR($F307)&gt;=Preisindex!$A$6,YEAR(ET$4)&gt;=YEAR($F307),$K307="g"),ROUND(VLOOKUP(EY$4,Preisindex,4,FALSE)/VLOOKUP(YEAR($F307),Preisindex,4,FALSE),2),IF(AND($E307&lt;&gt;0,$F307&gt;0,YEAR($F307)&gt;=Preisindex!$A$6,YEAR(ET$4)&gt;=YEAR($F307),$K307="k"),ROUND(VLOOKUP(EY$4,Preisindex,2,FALSE)/VLOOKUP(YEAR($F307),Preisindex,2,FALSE),2),0)))))</f>
        <v>0</v>
      </c>
      <c r="EZ307" s="56">
        <f>IF(AND($E307&lt;&gt;0,$F307&gt;0,YEAR($F307)&lt;Preisindex!$A$6,YEAR(ET$4)&gt;=YEAR($F307),AND($K307&lt;&gt;"a",$K307&lt;&gt;"b",$K307&lt;&gt;"g",$K307&lt;&gt;"k")),1,IF(AND($E307&lt;&gt;0,$F307&gt;0,YEAR($F307)&lt;Preisindex!$A$6,YEAR(ET$4)&gt;=YEAR($F307),$K307="a"),ROUND(VLOOKUP(EY$4,Preisindex,5,FALSE)/VLOOKUP(Preisindex!$A$6,Preisindex,5,FALSE),2),IF(AND($E307&lt;&gt;0,$F307&gt;0,YEAR($F307)&lt;Preisindex!$A$6,YEAR(ET$4)&gt;=YEAR($F307),$K307="b"),ROUND(VLOOKUP(EY$4,Preisindex,3,FALSE)/VLOOKUP(Preisindex!$A$6,Preisindex,3,FALSE),2),IF(AND($E307&lt;&gt;0,$F307&gt;0,YEAR($F307)&lt;Preisindex!$A$6,YEAR(ET$4)&gt;=YEAR($F307),$K307="g"),ROUND(VLOOKUP(EY$4,Preisindex,4,FALSE)/VLOOKUP(Preisindex!$A$6,Preisindex,4,FALSE),2),IF(AND($E307&lt;&gt;0,$F307&gt;0,YEAR($F307)&lt;Preisindex!$A$6,YEAR(ET$4)&gt;=YEAR($F307),$K307="k"),ROUND(VLOOKUP(EY$4,Preisindex,2,FALSE)/VLOOKUP(Preisindex!$A$6,Preisindex,2,FALSE),2),0)))))</f>
        <v>0</v>
      </c>
      <c r="FA307" s="51">
        <f>IF(AND($E307&lt;&gt;0,$F307&gt;0,YEAR($F307)&lt;=EY$4,YEAR($F307)&gt;=Preisindex!$A$6),ROUND($E307*EY307,2),IF(AND($E307&lt;&gt;0,$F307&gt;0,YEAR($F307)&lt;=EY$4,YEAR($F307)&lt;Preisindex!$A$6),ROUND($E307*EZ307,2),0))</f>
        <v>0</v>
      </c>
      <c r="FB307" s="53">
        <f t="shared" si="811"/>
        <v>0</v>
      </c>
      <c r="FC307" s="51">
        <f t="shared" si="882"/>
        <v>0</v>
      </c>
      <c r="FD307" s="51">
        <f t="shared" si="876"/>
        <v>0</v>
      </c>
      <c r="FE307" s="51">
        <f t="shared" si="812"/>
        <v>0</v>
      </c>
      <c r="FF307" s="51">
        <f t="shared" si="877"/>
        <v>0</v>
      </c>
      <c r="FG307" s="51">
        <f t="shared" si="813"/>
        <v>0</v>
      </c>
      <c r="FH307" s="51">
        <f t="shared" si="878"/>
        <v>0</v>
      </c>
      <c r="FI307" s="51">
        <f t="shared" si="814"/>
        <v>0</v>
      </c>
      <c r="FJ307" s="51">
        <f t="shared" si="879"/>
        <v>0</v>
      </c>
      <c r="FK307" s="51">
        <f t="shared" si="815"/>
        <v>0</v>
      </c>
      <c r="FL307" s="51">
        <f t="shared" si="880"/>
        <v>0</v>
      </c>
      <c r="FM307" s="51">
        <f t="shared" si="816"/>
        <v>0</v>
      </c>
      <c r="FN307" s="54">
        <f t="shared" si="817"/>
        <v>0</v>
      </c>
      <c r="FO307" s="55">
        <f t="shared" si="818"/>
        <v>0</v>
      </c>
      <c r="FP307" s="56">
        <f>IF(AND($E307&lt;&gt;0,$F307&gt;0,YEAR($F307)&gt;=Preisindex!$A$6,YEAR(FK$4)&gt;=YEAR($F307),AND($K307&lt;&gt;"a",$K307&lt;&gt;"b",$K307&lt;&gt;"g",$K307&lt;&gt;"k")),1,IF(AND($E307&lt;&gt;0,$F307&gt;0,YEAR($F307)&gt;=Preisindex!$A$6,YEAR(FK$4)&gt;=YEAR($F307),$K307="a"),ROUND(VLOOKUP(FP$4,Preisindex,5,FALSE)/VLOOKUP(YEAR($F307),Preisindex,5,FALSE),2),IF(AND($E307&lt;&gt;0,$F307&gt;0,YEAR($F307)&gt;=Preisindex!$A$6,YEAR(FK$4)&gt;=YEAR($F307),$K307="b"),ROUND(VLOOKUP(FP$4,Preisindex,3,FALSE)/VLOOKUP(YEAR($F307),Preisindex,3,FALSE),2),IF(AND($E307&lt;&gt;0,$F307&gt;0,YEAR($F307)&gt;=Preisindex!$A$6,YEAR(FK$4)&gt;=YEAR($F307),$K307="g"),ROUND(VLOOKUP(FP$4,Preisindex,4,FALSE)/VLOOKUP(YEAR($F307),Preisindex,4,FALSE),2),IF(AND($E307&lt;&gt;0,$F307&gt;0,YEAR($F307)&gt;=Preisindex!$A$6,YEAR(FK$4)&gt;=YEAR($F307),$K307="k"),ROUND(VLOOKUP(FP$4,Preisindex,2,FALSE)/VLOOKUP(YEAR($F307),Preisindex,2,FALSE),2),0)))))</f>
        <v>0</v>
      </c>
      <c r="FQ307" s="56">
        <f>IF(AND($E307&lt;&gt;0,$F307&gt;0,YEAR($F307)&lt;Preisindex!$A$6,YEAR(FK$4)&gt;=YEAR($F307),AND($K307&lt;&gt;"a",$K307&lt;&gt;"b",$K307&lt;&gt;"g",$K307&lt;&gt;"k")),1,IF(AND($E307&lt;&gt;0,$F307&gt;0,YEAR($F307)&lt;Preisindex!$A$6,YEAR(FK$4)&gt;=YEAR($F307),$K307="a"),ROUND(VLOOKUP(FP$4,Preisindex,5,FALSE)/VLOOKUP(Preisindex!$A$6,Preisindex,5,FALSE),2),IF(AND($E307&lt;&gt;0,$F307&gt;0,YEAR($F307)&lt;Preisindex!$A$6,YEAR(FK$4)&gt;=YEAR($F307),$K307="b"),ROUND(VLOOKUP(FP$4,Preisindex,3,FALSE)/VLOOKUP(Preisindex!$A$6,Preisindex,3,FALSE),2),IF(AND($E307&lt;&gt;0,$F307&gt;0,YEAR($F307)&lt;Preisindex!$A$6,YEAR(FK$4)&gt;=YEAR($F307),$K307="g"),ROUND(VLOOKUP(FP$4,Preisindex,4,FALSE)/VLOOKUP(Preisindex!$A$6,Preisindex,4,FALSE),2),IF(AND($E307&lt;&gt;0,$F307&gt;0,YEAR($F307)&lt;Preisindex!$A$6,YEAR(FK$4)&gt;=YEAR($F307),$K307="k"),ROUND(VLOOKUP(FP$4,Preisindex,2,FALSE)/VLOOKUP(Preisindex!$A$6,Preisindex,2,FALSE),2),0)))))</f>
        <v>0</v>
      </c>
      <c r="FR307" s="51">
        <f>IF(AND($E307&lt;&gt;0,$F307&gt;0,YEAR($F307)&lt;=FP$4,YEAR($F307)&gt;=Preisindex!$A$6),ROUND($E307*FP307,2),IF(AND($E307&lt;&gt;0,$F307&gt;0,YEAR($F307)&lt;=FP$4,YEAR($F307)&lt;Preisindex!$A$6),ROUND($E307*FQ307,2),0))</f>
        <v>0</v>
      </c>
      <c r="FS307" s="53">
        <f t="shared" si="819"/>
        <v>0</v>
      </c>
    </row>
    <row r="308" spans="1:175" x14ac:dyDescent="0.3">
      <c r="A308" s="185"/>
      <c r="B308" s="186"/>
      <c r="C308" s="187"/>
      <c r="D308" s="188"/>
      <c r="E308" s="189"/>
      <c r="F308" s="97"/>
      <c r="G308" s="191"/>
      <c r="H308" s="192"/>
      <c r="I308" s="193"/>
      <c r="J308" s="194"/>
      <c r="K308" s="630"/>
      <c r="L308" s="49">
        <f t="shared" si="820"/>
        <v>0</v>
      </c>
      <c r="M308" s="50">
        <f t="shared" si="821"/>
        <v>0</v>
      </c>
      <c r="N308" s="51">
        <f t="shared" si="822"/>
        <v>0</v>
      </c>
      <c r="O308" s="51"/>
      <c r="P308" s="51">
        <f t="shared" si="823"/>
        <v>0</v>
      </c>
      <c r="Q308" s="52"/>
      <c r="R308" s="52"/>
      <c r="S308" s="52"/>
      <c r="T308" s="52"/>
      <c r="U308" s="52"/>
      <c r="V308" s="53">
        <f t="shared" si="824"/>
        <v>0</v>
      </c>
      <c r="W308" s="51">
        <f t="shared" si="825"/>
        <v>0</v>
      </c>
      <c r="X308" s="51">
        <f t="shared" si="826"/>
        <v>0</v>
      </c>
      <c r="Y308" s="51">
        <f t="shared" si="827"/>
        <v>0</v>
      </c>
      <c r="Z308" s="51">
        <f t="shared" si="828"/>
        <v>0</v>
      </c>
      <c r="AA308" s="51">
        <f t="shared" si="829"/>
        <v>0</v>
      </c>
      <c r="AB308" s="51">
        <f t="shared" si="830"/>
        <v>0</v>
      </c>
      <c r="AC308" s="51">
        <f t="shared" si="831"/>
        <v>0</v>
      </c>
      <c r="AD308" s="51">
        <f t="shared" si="832"/>
        <v>0</v>
      </c>
      <c r="AE308" s="51">
        <f t="shared" si="833"/>
        <v>0</v>
      </c>
      <c r="AF308" s="51">
        <f t="shared" si="834"/>
        <v>0</v>
      </c>
      <c r="AG308" s="51">
        <f t="shared" si="835"/>
        <v>0</v>
      </c>
      <c r="AH308" s="54">
        <f t="shared" si="836"/>
        <v>0</v>
      </c>
      <c r="AI308" s="55">
        <f t="shared" si="837"/>
        <v>0</v>
      </c>
      <c r="AJ308" s="56">
        <f>IF(AND($E308&lt;&gt;0,$F308&gt;0,YEAR($F308)&gt;=Preisindex!$A$6,YEAR(AE$4)&gt;=YEAR($F308),AND($K308&lt;&gt;"a",$K308&lt;&gt;"b",$K308&lt;&gt;"g",$K308&lt;&gt;"k")),1,IF(AND($E308&lt;&gt;0,$F308&gt;0,YEAR($F308)&gt;=Preisindex!$A$6,YEAR(AE$4)&gt;=YEAR($F308),$K308="a"),ROUND(VLOOKUP(AJ$4,Preisindex,5,FALSE)/VLOOKUP(YEAR($F308),Preisindex,5,FALSE),2),IF(AND($E308&lt;&gt;0,$F308&gt;0,YEAR($F308)&gt;=Preisindex!$A$6,YEAR(AE$4)&gt;=YEAR($F308),$K308="b"),ROUND(VLOOKUP(AJ$4,Preisindex,3,FALSE)/VLOOKUP(YEAR($F308),Preisindex,3,FALSE),2),IF(AND($E308&lt;&gt;0,$F308&gt;0,YEAR($F308)&gt;=Preisindex!$A$6,YEAR(AE$4)&gt;=YEAR($F308),$K308="g"),ROUND(VLOOKUP(AJ$4,Preisindex,4,FALSE)/VLOOKUP(YEAR($F308),Preisindex,4,FALSE),2),IF(AND($E308&lt;&gt;0,$F308&gt;0,YEAR($F308)&gt;=Preisindex!$A$6,YEAR(AE$4)&gt;=YEAR($F308),$K308="k"),ROUND(VLOOKUP(AJ$4,Preisindex,2,FALSE)/VLOOKUP(YEAR($F308),Preisindex,2,FALSE),2),0)))))</f>
        <v>0</v>
      </c>
      <c r="AK308" s="56">
        <f>IF(AND($E308&lt;&gt;0,$F308&gt;0,YEAR($F308)&lt;Preisindex!$A$6,YEAR(AE$4)&gt;=YEAR($F308),AND($K308&lt;&gt;"a",$K308&lt;&gt;"b",$K308&lt;&gt;"g",$K308&lt;&gt;"k")),1,IF(AND($E308&lt;&gt;0,$F308&gt;0,YEAR($F308)&lt;Preisindex!$A$6,YEAR(AE$4)&gt;=YEAR($F308),$K308="a"),ROUND(VLOOKUP(AJ$4,Preisindex,5,FALSE)/VLOOKUP(Preisindex!$A$6,Preisindex,5,FALSE),2),IF(AND($E308&lt;&gt;0,$F308&gt;0,YEAR($F308)&lt;Preisindex!$A$6,YEAR(AE$4)&gt;=YEAR($F308),$K308="b"),ROUND(VLOOKUP(AJ$4,Preisindex,3,FALSE)/VLOOKUP(Preisindex!$A$6,Preisindex,3,FALSE),2),IF(AND($E308&lt;&gt;0,$F308&gt;0,YEAR($F308)&lt;Preisindex!$A$6,YEAR(AE$4)&gt;=YEAR($F308),$K308="g"),ROUND(VLOOKUP(AJ$4,Preisindex,4,FALSE)/VLOOKUP(Preisindex!$A$6,Preisindex,4,FALSE),2),IF(AND($E308&lt;&gt;0,$F308&gt;0,YEAR($F308)&lt;Preisindex!$A$6,YEAR(AE$4)&gt;=YEAR($F308),$K308="k"),ROUND(VLOOKUP(AJ$4,Preisindex,2,FALSE)/VLOOKUP(Preisindex!$A$6,Preisindex,2,FALSE),2),0)))))</f>
        <v>0</v>
      </c>
      <c r="AL308" s="51">
        <f>IF(AND($E308&lt;&gt;0,$F308&gt;0,YEAR($F308)&lt;=AJ$4,YEAR($F308)&gt;=Preisindex!$A$6),ROUND($E308*AJ308,2),IF(AND($E308&lt;&gt;0,$F308&gt;0,YEAR($F308)&lt;=AJ$4,YEAR($F308)&lt;Preisindex!$A$6),ROUND($E308*AK308,2),0))</f>
        <v>0</v>
      </c>
      <c r="AM308" s="53">
        <f t="shared" si="838"/>
        <v>0</v>
      </c>
      <c r="AN308" s="51">
        <f t="shared" si="881"/>
        <v>0</v>
      </c>
      <c r="AO308" s="51">
        <f t="shared" si="841"/>
        <v>0</v>
      </c>
      <c r="AP308" s="51">
        <f t="shared" si="755"/>
        <v>0</v>
      </c>
      <c r="AQ308" s="51">
        <f t="shared" si="842"/>
        <v>0</v>
      </c>
      <c r="AR308" s="51">
        <f t="shared" si="756"/>
        <v>0</v>
      </c>
      <c r="AS308" s="51">
        <f t="shared" si="843"/>
        <v>0</v>
      </c>
      <c r="AT308" s="51">
        <f t="shared" si="757"/>
        <v>0</v>
      </c>
      <c r="AU308" s="51">
        <f t="shared" si="844"/>
        <v>0</v>
      </c>
      <c r="AV308" s="51">
        <f t="shared" si="758"/>
        <v>0</v>
      </c>
      <c r="AW308" s="51">
        <f t="shared" si="845"/>
        <v>0</v>
      </c>
      <c r="AX308" s="51">
        <f t="shared" si="759"/>
        <v>0</v>
      </c>
      <c r="AY308" s="54">
        <f t="shared" si="760"/>
        <v>0</v>
      </c>
      <c r="AZ308" s="55">
        <f t="shared" si="761"/>
        <v>0</v>
      </c>
      <c r="BA308" s="56">
        <f>IF(AND($E308&lt;&gt;0,$F308&gt;0,YEAR($F308)&gt;=Preisindex!$A$6,YEAR(AV$4)&gt;=YEAR($F308),AND($K308&lt;&gt;"a",$K308&lt;&gt;"b",$K308&lt;&gt;"g",$K308&lt;&gt;"k")),1,IF(AND($E308&lt;&gt;0,$F308&gt;0,YEAR($F308)&gt;=Preisindex!$A$6,YEAR(AV$4)&gt;=YEAR($F308),$K308="a"),ROUND(VLOOKUP(BA$4,Preisindex,5,FALSE)/VLOOKUP(YEAR($F308),Preisindex,5,FALSE),2),IF(AND($E308&lt;&gt;0,$F308&gt;0,YEAR($F308)&gt;=Preisindex!$A$6,YEAR(AV$4)&gt;=YEAR($F308),$K308="b"),ROUND(VLOOKUP(BA$4,Preisindex,3,FALSE)/VLOOKUP(YEAR($F308),Preisindex,3,FALSE),2),IF(AND($E308&lt;&gt;0,$F308&gt;0,YEAR($F308)&gt;=Preisindex!$A$6,YEAR(AV$4)&gt;=YEAR($F308),$K308="g"),ROUND(VLOOKUP(BA$4,Preisindex,4,FALSE)/VLOOKUP(YEAR($F308),Preisindex,4,FALSE),2),IF(AND($E308&lt;&gt;0,$F308&gt;0,YEAR($F308)&gt;=Preisindex!$A$6,YEAR(AV$4)&gt;=YEAR($F308),$K308="k"),ROUND(VLOOKUP(BA$4,Preisindex,2,FALSE)/VLOOKUP(YEAR($F308),Preisindex,2,FALSE),2),0)))))</f>
        <v>0</v>
      </c>
      <c r="BB308" s="56">
        <f>IF(AND($E308&lt;&gt;0,$F308&gt;0,YEAR($F308)&lt;Preisindex!$A$6,YEAR(AV$4)&gt;=YEAR($F308),AND($K308&lt;&gt;"a",$K308&lt;&gt;"b",$K308&lt;&gt;"g",$K308&lt;&gt;"k")),1,IF(AND($E308&lt;&gt;0,$F308&gt;0,YEAR($F308)&lt;Preisindex!$A$6,YEAR(AV$4)&gt;=YEAR($F308),$K308="a"),ROUND(VLOOKUP(BA$4,Preisindex,5,FALSE)/VLOOKUP(Preisindex!$A$6,Preisindex,5,FALSE),2),IF(AND($E308&lt;&gt;0,$F308&gt;0,YEAR($F308)&lt;Preisindex!$A$6,YEAR(AV$4)&gt;=YEAR($F308),$K308="b"),ROUND(VLOOKUP(BA$4,Preisindex,3,FALSE)/VLOOKUP(Preisindex!$A$6,Preisindex,3,FALSE),2),IF(AND($E308&lt;&gt;0,$F308&gt;0,YEAR($F308)&lt;Preisindex!$A$6,YEAR(AV$4)&gt;=YEAR($F308),$K308="g"),ROUND(VLOOKUP(BA$4,Preisindex,4,FALSE)/VLOOKUP(Preisindex!$A$6,Preisindex,4,FALSE),2),IF(AND($E308&lt;&gt;0,$F308&gt;0,YEAR($F308)&lt;Preisindex!$A$6,YEAR(AV$4)&gt;=YEAR($F308),$K308="k"),ROUND(VLOOKUP(BA$4,Preisindex,2,FALSE)/VLOOKUP(Preisindex!$A$6,Preisindex,2,FALSE),2),0)))))</f>
        <v>0</v>
      </c>
      <c r="BC308" s="51">
        <f>IF(AND($E308&lt;&gt;0,$F308&gt;0,YEAR($F308)&lt;=BA$4,YEAR($F308)&gt;=Preisindex!$A$6),ROUND($E308*BA308,2),IF(AND($E308&lt;&gt;0,$F308&gt;0,YEAR($F308)&lt;=BA$4,YEAR($F308)&lt;Preisindex!$A$6),ROUND($E308*BB308,2),0))</f>
        <v>0</v>
      </c>
      <c r="BD308" s="53">
        <f t="shared" si="762"/>
        <v>0</v>
      </c>
      <c r="BE308" s="51">
        <f t="shared" si="881"/>
        <v>0</v>
      </c>
      <c r="BF308" s="51">
        <f t="shared" si="846"/>
        <v>0</v>
      </c>
      <c r="BG308" s="51">
        <f t="shared" si="763"/>
        <v>0</v>
      </c>
      <c r="BH308" s="51">
        <f t="shared" si="847"/>
        <v>0</v>
      </c>
      <c r="BI308" s="51">
        <f t="shared" si="764"/>
        <v>0</v>
      </c>
      <c r="BJ308" s="51">
        <f t="shared" si="848"/>
        <v>0</v>
      </c>
      <c r="BK308" s="51">
        <f t="shared" si="765"/>
        <v>0</v>
      </c>
      <c r="BL308" s="51">
        <f t="shared" si="849"/>
        <v>0</v>
      </c>
      <c r="BM308" s="51">
        <f t="shared" si="766"/>
        <v>0</v>
      </c>
      <c r="BN308" s="51">
        <f t="shared" si="850"/>
        <v>0</v>
      </c>
      <c r="BO308" s="51">
        <f t="shared" si="767"/>
        <v>0</v>
      </c>
      <c r="BP308" s="54">
        <f t="shared" si="768"/>
        <v>0</v>
      </c>
      <c r="BQ308" s="55">
        <f t="shared" si="769"/>
        <v>0</v>
      </c>
      <c r="BR308" s="56">
        <f>IF(AND($E308&lt;&gt;0,$F308&gt;0,YEAR($F308)&gt;=Preisindex!$A$6,YEAR(BM$4)&gt;=YEAR($F308),AND($K308&lt;&gt;"a",$K308&lt;&gt;"b",$K308&lt;&gt;"g",$K308&lt;&gt;"k")),1,IF(AND($E308&lt;&gt;0,$F308&gt;0,YEAR($F308)&gt;=Preisindex!$A$6,YEAR(BM$4)&gt;=YEAR($F308),$K308="a"),ROUND(VLOOKUP(BR$4,Preisindex,5,FALSE)/VLOOKUP(YEAR($F308),Preisindex,5,FALSE),2),IF(AND($E308&lt;&gt;0,$F308&gt;0,YEAR($F308)&gt;=Preisindex!$A$6,YEAR(BM$4)&gt;=YEAR($F308),$K308="b"),ROUND(VLOOKUP(BR$4,Preisindex,3,FALSE)/VLOOKUP(YEAR($F308),Preisindex,3,FALSE),2),IF(AND($E308&lt;&gt;0,$F308&gt;0,YEAR($F308)&gt;=Preisindex!$A$6,YEAR(BM$4)&gt;=YEAR($F308),$K308="g"),ROUND(VLOOKUP(BR$4,Preisindex,4,FALSE)/VLOOKUP(YEAR($F308),Preisindex,4,FALSE),2),IF(AND($E308&lt;&gt;0,$F308&gt;0,YEAR($F308)&gt;=Preisindex!$A$6,YEAR(BM$4)&gt;=YEAR($F308),$K308="k"),ROUND(VLOOKUP(BR$4,Preisindex,2,FALSE)/VLOOKUP(YEAR($F308),Preisindex,2,FALSE),2),0)))))</f>
        <v>0</v>
      </c>
      <c r="BS308" s="56">
        <f>IF(AND($E308&lt;&gt;0,$F308&gt;0,YEAR($F308)&lt;Preisindex!$A$6,YEAR(BM$4)&gt;=YEAR($F308),AND($K308&lt;&gt;"a",$K308&lt;&gt;"b",$K308&lt;&gt;"g",$K308&lt;&gt;"k")),1,IF(AND($E308&lt;&gt;0,$F308&gt;0,YEAR($F308)&lt;Preisindex!$A$6,YEAR(BM$4)&gt;=YEAR($F308),$K308="a"),ROUND(VLOOKUP(BR$4,Preisindex,5,FALSE)/VLOOKUP(Preisindex!$A$6,Preisindex,5,FALSE),2),IF(AND($E308&lt;&gt;0,$F308&gt;0,YEAR($F308)&lt;Preisindex!$A$6,YEAR(BM$4)&gt;=YEAR($F308),$K308="b"),ROUND(VLOOKUP(BR$4,Preisindex,3,FALSE)/VLOOKUP(Preisindex!$A$6,Preisindex,3,FALSE),2),IF(AND($E308&lt;&gt;0,$F308&gt;0,YEAR($F308)&lt;Preisindex!$A$6,YEAR(BM$4)&gt;=YEAR($F308),$K308="g"),ROUND(VLOOKUP(BR$4,Preisindex,4,FALSE)/VLOOKUP(Preisindex!$A$6,Preisindex,4,FALSE),2),IF(AND($E308&lt;&gt;0,$F308&gt;0,YEAR($F308)&lt;Preisindex!$A$6,YEAR(BM$4)&gt;=YEAR($F308),$K308="k"),ROUND(VLOOKUP(BR$4,Preisindex,2,FALSE)/VLOOKUP(Preisindex!$A$6,Preisindex,2,FALSE),2),0)))))</f>
        <v>0</v>
      </c>
      <c r="BT308" s="51">
        <f>IF(AND($E308&lt;&gt;0,$F308&gt;0,YEAR($F308)&lt;=BR$4,YEAR($F308)&gt;=Preisindex!$A$6),ROUND($E308*BR308,2),IF(AND($E308&lt;&gt;0,$F308&gt;0,YEAR($F308)&lt;=BR$4,YEAR($F308)&lt;Preisindex!$A$6),ROUND($E308*BS308,2),0))</f>
        <v>0</v>
      </c>
      <c r="BU308" s="53">
        <f t="shared" si="770"/>
        <v>0</v>
      </c>
      <c r="BV308" s="51">
        <f t="shared" si="881"/>
        <v>0</v>
      </c>
      <c r="BW308" s="51">
        <f t="shared" si="851"/>
        <v>0</v>
      </c>
      <c r="BX308" s="51">
        <f t="shared" si="771"/>
        <v>0</v>
      </c>
      <c r="BY308" s="51">
        <f t="shared" si="852"/>
        <v>0</v>
      </c>
      <c r="BZ308" s="51">
        <f t="shared" si="772"/>
        <v>0</v>
      </c>
      <c r="CA308" s="51">
        <f t="shared" si="853"/>
        <v>0</v>
      </c>
      <c r="CB308" s="51">
        <f t="shared" si="773"/>
        <v>0</v>
      </c>
      <c r="CC308" s="51">
        <f t="shared" si="854"/>
        <v>0</v>
      </c>
      <c r="CD308" s="51">
        <f t="shared" si="774"/>
        <v>0</v>
      </c>
      <c r="CE308" s="51">
        <f t="shared" si="855"/>
        <v>0</v>
      </c>
      <c r="CF308" s="51">
        <f t="shared" si="775"/>
        <v>0</v>
      </c>
      <c r="CG308" s="54">
        <f t="shared" si="776"/>
        <v>0</v>
      </c>
      <c r="CH308" s="55">
        <f t="shared" si="777"/>
        <v>0</v>
      </c>
      <c r="CI308" s="56">
        <f>IF(AND($E308&lt;&gt;0,$F308&gt;0,YEAR($F308)&gt;=Preisindex!$A$6,YEAR(CD$4)&gt;=YEAR($F308),AND($K308&lt;&gt;"a",$K308&lt;&gt;"b",$K308&lt;&gt;"g",$K308&lt;&gt;"k")),1,IF(AND($E308&lt;&gt;0,$F308&gt;0,YEAR($F308)&gt;=Preisindex!$A$6,YEAR(CD$4)&gt;=YEAR($F308),$K308="a"),ROUND(VLOOKUP(CI$4,Preisindex,5,FALSE)/VLOOKUP(YEAR($F308),Preisindex,5,FALSE),2),IF(AND($E308&lt;&gt;0,$F308&gt;0,YEAR($F308)&gt;=Preisindex!$A$6,YEAR(CD$4)&gt;=YEAR($F308),$K308="b"),ROUND(VLOOKUP(CI$4,Preisindex,3,FALSE)/VLOOKUP(YEAR($F308),Preisindex,3,FALSE),2),IF(AND($E308&lt;&gt;0,$F308&gt;0,YEAR($F308)&gt;=Preisindex!$A$6,YEAR(CD$4)&gt;=YEAR($F308),$K308="g"),ROUND(VLOOKUP(CI$4,Preisindex,4,FALSE)/VLOOKUP(YEAR($F308),Preisindex,4,FALSE),2),IF(AND($E308&lt;&gt;0,$F308&gt;0,YEAR($F308)&gt;=Preisindex!$A$6,YEAR(CD$4)&gt;=YEAR($F308),$K308="k"),ROUND(VLOOKUP(CI$4,Preisindex,2,FALSE)/VLOOKUP(YEAR($F308),Preisindex,2,FALSE),2),0)))))</f>
        <v>0</v>
      </c>
      <c r="CJ308" s="56">
        <f>IF(AND($E308&lt;&gt;0,$F308&gt;0,YEAR($F308)&lt;Preisindex!$A$6,YEAR(CD$4)&gt;=YEAR($F308),AND($K308&lt;&gt;"a",$K308&lt;&gt;"b",$K308&lt;&gt;"g",$K308&lt;&gt;"k")),1,IF(AND($E308&lt;&gt;0,$F308&gt;0,YEAR($F308)&lt;Preisindex!$A$6,YEAR(CD$4)&gt;=YEAR($F308),$K308="a"),ROUND(VLOOKUP(CI$4,Preisindex,5,FALSE)/VLOOKUP(Preisindex!$A$6,Preisindex,5,FALSE),2),IF(AND($E308&lt;&gt;0,$F308&gt;0,YEAR($F308)&lt;Preisindex!$A$6,YEAR(CD$4)&gt;=YEAR($F308),$K308="b"),ROUND(VLOOKUP(CI$4,Preisindex,3,FALSE)/VLOOKUP(Preisindex!$A$6,Preisindex,3,FALSE),2),IF(AND($E308&lt;&gt;0,$F308&gt;0,YEAR($F308)&lt;Preisindex!$A$6,YEAR(CD$4)&gt;=YEAR($F308),$K308="g"),ROUND(VLOOKUP(CI$4,Preisindex,4,FALSE)/VLOOKUP(Preisindex!$A$6,Preisindex,4,FALSE),2),IF(AND($E308&lt;&gt;0,$F308&gt;0,YEAR($F308)&lt;Preisindex!$A$6,YEAR(CD$4)&gt;=YEAR($F308),$K308="k"),ROUND(VLOOKUP(CI$4,Preisindex,2,FALSE)/VLOOKUP(Preisindex!$A$6,Preisindex,2,FALSE),2),0)))))</f>
        <v>0</v>
      </c>
      <c r="CK308" s="51">
        <f>IF(AND($E308&lt;&gt;0,$F308&gt;0,YEAR($F308)&lt;=CI$4,YEAR($F308)&gt;=Preisindex!$A$6),ROUND($E308*CI308,2),IF(AND($E308&lt;&gt;0,$F308&gt;0,YEAR($F308)&lt;=CI$4,YEAR($F308)&lt;Preisindex!$A$6),ROUND($E308*CJ308,2),0))</f>
        <v>0</v>
      </c>
      <c r="CL308" s="53">
        <f t="shared" si="778"/>
        <v>0</v>
      </c>
      <c r="CM308" s="51">
        <f t="shared" si="881"/>
        <v>0</v>
      </c>
      <c r="CN308" s="51">
        <f t="shared" si="856"/>
        <v>0</v>
      </c>
      <c r="CO308" s="51">
        <f t="shared" si="779"/>
        <v>0</v>
      </c>
      <c r="CP308" s="51">
        <f t="shared" si="857"/>
        <v>0</v>
      </c>
      <c r="CQ308" s="51">
        <f t="shared" si="780"/>
        <v>0</v>
      </c>
      <c r="CR308" s="51">
        <f t="shared" si="858"/>
        <v>0</v>
      </c>
      <c r="CS308" s="51">
        <f t="shared" si="781"/>
        <v>0</v>
      </c>
      <c r="CT308" s="51">
        <f t="shared" si="859"/>
        <v>0</v>
      </c>
      <c r="CU308" s="51">
        <f t="shared" si="782"/>
        <v>0</v>
      </c>
      <c r="CV308" s="51">
        <f t="shared" si="860"/>
        <v>0</v>
      </c>
      <c r="CW308" s="51">
        <f t="shared" si="783"/>
        <v>0</v>
      </c>
      <c r="CX308" s="54">
        <f t="shared" si="784"/>
        <v>0</v>
      </c>
      <c r="CY308" s="55">
        <f t="shared" si="785"/>
        <v>0</v>
      </c>
      <c r="CZ308" s="56">
        <f>IF(AND($E308&lt;&gt;0,$F308&gt;0,YEAR($F308)&gt;=Preisindex!$A$6,YEAR(CU$4)&gt;=YEAR($F308),AND($K308&lt;&gt;"a",$K308&lt;&gt;"b",$K308&lt;&gt;"g",$K308&lt;&gt;"k")),1,IF(AND($E308&lt;&gt;0,$F308&gt;0,YEAR($F308)&gt;=Preisindex!$A$6,YEAR(CU$4)&gt;=YEAR($F308),$K308="a"),ROUND(VLOOKUP(CZ$4,Preisindex,5,FALSE)/VLOOKUP(YEAR($F308),Preisindex,5,FALSE),2),IF(AND($E308&lt;&gt;0,$F308&gt;0,YEAR($F308)&gt;=Preisindex!$A$6,YEAR(CU$4)&gt;=YEAR($F308),$K308="b"),ROUND(VLOOKUP(CZ$4,Preisindex,3,FALSE)/VLOOKUP(YEAR($F308),Preisindex,3,FALSE),2),IF(AND($E308&lt;&gt;0,$F308&gt;0,YEAR($F308)&gt;=Preisindex!$A$6,YEAR(CU$4)&gt;=YEAR($F308),$K308="g"),ROUND(VLOOKUP(CZ$4,Preisindex,4,FALSE)/VLOOKUP(YEAR($F308),Preisindex,4,FALSE),2),IF(AND($E308&lt;&gt;0,$F308&gt;0,YEAR($F308)&gt;=Preisindex!$A$6,YEAR(CU$4)&gt;=YEAR($F308),$K308="k"),ROUND(VLOOKUP(CZ$4,Preisindex,2,FALSE)/VLOOKUP(YEAR($F308),Preisindex,2,FALSE),2),0)))))</f>
        <v>0</v>
      </c>
      <c r="DA308" s="56">
        <f>IF(AND($E308&lt;&gt;0,$F308&gt;0,YEAR($F308)&lt;Preisindex!$A$6,YEAR(CU$4)&gt;=YEAR($F308),AND($K308&lt;&gt;"a",$K308&lt;&gt;"b",$K308&lt;&gt;"g",$K308&lt;&gt;"k")),1,IF(AND($E308&lt;&gt;0,$F308&gt;0,YEAR($F308)&lt;Preisindex!$A$6,YEAR(CU$4)&gt;=YEAR($F308),$K308="a"),ROUND(VLOOKUP(CZ$4,Preisindex,5,FALSE)/VLOOKUP(Preisindex!$A$6,Preisindex,5,FALSE),2),IF(AND($E308&lt;&gt;0,$F308&gt;0,YEAR($F308)&lt;Preisindex!$A$6,YEAR(CU$4)&gt;=YEAR($F308),$K308="b"),ROUND(VLOOKUP(CZ$4,Preisindex,3,FALSE)/VLOOKUP(Preisindex!$A$6,Preisindex,3,FALSE),2),IF(AND($E308&lt;&gt;0,$F308&gt;0,YEAR($F308)&lt;Preisindex!$A$6,YEAR(CU$4)&gt;=YEAR($F308),$K308="g"),ROUND(VLOOKUP(CZ$4,Preisindex,4,FALSE)/VLOOKUP(Preisindex!$A$6,Preisindex,4,FALSE),2),IF(AND($E308&lt;&gt;0,$F308&gt;0,YEAR($F308)&lt;Preisindex!$A$6,YEAR(CU$4)&gt;=YEAR($F308),$K308="k"),ROUND(VLOOKUP(CZ$4,Preisindex,2,FALSE)/VLOOKUP(Preisindex!$A$6,Preisindex,2,FALSE),2),0)))))</f>
        <v>0</v>
      </c>
      <c r="DB308" s="51">
        <f>IF(AND($E308&lt;&gt;0,$F308&gt;0,YEAR($F308)&lt;=CZ$4,YEAR($F308)&gt;=Preisindex!$A$6),ROUND($E308*CZ308,2),IF(AND($E308&lt;&gt;0,$F308&gt;0,YEAR($F308)&lt;=CZ$4,YEAR($F308)&lt;Preisindex!$A$6),ROUND($E308*DA308,2),0))</f>
        <v>0</v>
      </c>
      <c r="DC308" s="53">
        <f t="shared" si="786"/>
        <v>0</v>
      </c>
      <c r="DD308" s="51">
        <f t="shared" si="882"/>
        <v>0</v>
      </c>
      <c r="DE308" s="51">
        <f t="shared" si="861"/>
        <v>0</v>
      </c>
      <c r="DF308" s="51">
        <f t="shared" si="788"/>
        <v>0</v>
      </c>
      <c r="DG308" s="51">
        <f t="shared" si="862"/>
        <v>0</v>
      </c>
      <c r="DH308" s="51">
        <f t="shared" si="789"/>
        <v>0</v>
      </c>
      <c r="DI308" s="51">
        <f t="shared" si="863"/>
        <v>0</v>
      </c>
      <c r="DJ308" s="51">
        <f t="shared" si="790"/>
        <v>0</v>
      </c>
      <c r="DK308" s="51">
        <f t="shared" si="864"/>
        <v>0</v>
      </c>
      <c r="DL308" s="51">
        <f t="shared" si="791"/>
        <v>0</v>
      </c>
      <c r="DM308" s="51">
        <f t="shared" si="865"/>
        <v>0</v>
      </c>
      <c r="DN308" s="51">
        <f t="shared" si="792"/>
        <v>0</v>
      </c>
      <c r="DO308" s="54">
        <f t="shared" si="793"/>
        <v>0</v>
      </c>
      <c r="DP308" s="55">
        <f t="shared" si="794"/>
        <v>0</v>
      </c>
      <c r="DQ308" s="56">
        <f>IF(AND($E308&lt;&gt;0,$F308&gt;0,YEAR($F308)&gt;=Preisindex!$A$6,YEAR(DL$4)&gt;=YEAR($F308),AND($K308&lt;&gt;"a",$K308&lt;&gt;"b",$K308&lt;&gt;"g",$K308&lt;&gt;"k")),1,IF(AND($E308&lt;&gt;0,$F308&gt;0,YEAR($F308)&gt;=Preisindex!$A$6,YEAR(DL$4)&gt;=YEAR($F308),$K308="a"),ROUND(VLOOKUP(DQ$4,Preisindex,5,FALSE)/VLOOKUP(YEAR($F308),Preisindex,5,FALSE),2),IF(AND($E308&lt;&gt;0,$F308&gt;0,YEAR($F308)&gt;=Preisindex!$A$6,YEAR(DL$4)&gt;=YEAR($F308),$K308="b"),ROUND(VLOOKUP(DQ$4,Preisindex,3,FALSE)/VLOOKUP(YEAR($F308),Preisindex,3,FALSE),2),IF(AND($E308&lt;&gt;0,$F308&gt;0,YEAR($F308)&gt;=Preisindex!$A$6,YEAR(DL$4)&gt;=YEAR($F308),$K308="g"),ROUND(VLOOKUP(DQ$4,Preisindex,4,FALSE)/VLOOKUP(YEAR($F308),Preisindex,4,FALSE),2),IF(AND($E308&lt;&gt;0,$F308&gt;0,YEAR($F308)&gt;=Preisindex!$A$6,YEAR(DL$4)&gt;=YEAR($F308),$K308="k"),ROUND(VLOOKUP(DQ$4,Preisindex,2,FALSE)/VLOOKUP(YEAR($F308),Preisindex,2,FALSE),2),0)))))</f>
        <v>0</v>
      </c>
      <c r="DR308" s="56">
        <f>IF(AND($E308&lt;&gt;0,$F308&gt;0,YEAR($F308)&lt;Preisindex!$A$6,YEAR(DL$4)&gt;=YEAR($F308),AND($K308&lt;&gt;"a",$K308&lt;&gt;"b",$K308&lt;&gt;"g",$K308&lt;&gt;"k")),1,IF(AND($E308&lt;&gt;0,$F308&gt;0,YEAR($F308)&lt;Preisindex!$A$6,YEAR(DL$4)&gt;=YEAR($F308),$K308="a"),ROUND(VLOOKUP(DQ$4,Preisindex,5,FALSE)/VLOOKUP(Preisindex!$A$6,Preisindex,5,FALSE),2),IF(AND($E308&lt;&gt;0,$F308&gt;0,YEAR($F308)&lt;Preisindex!$A$6,YEAR(DL$4)&gt;=YEAR($F308),$K308="b"),ROUND(VLOOKUP(DQ$4,Preisindex,3,FALSE)/VLOOKUP(Preisindex!$A$6,Preisindex,3,FALSE),2),IF(AND($E308&lt;&gt;0,$F308&gt;0,YEAR($F308)&lt;Preisindex!$A$6,YEAR(DL$4)&gt;=YEAR($F308),$K308="g"),ROUND(VLOOKUP(DQ$4,Preisindex,4,FALSE)/VLOOKUP(Preisindex!$A$6,Preisindex,4,FALSE),2),IF(AND($E308&lt;&gt;0,$F308&gt;0,YEAR($F308)&lt;Preisindex!$A$6,YEAR(DL$4)&gt;=YEAR($F308),$K308="k"),ROUND(VLOOKUP(DQ$4,Preisindex,2,FALSE)/VLOOKUP(Preisindex!$A$6,Preisindex,2,FALSE),2),0)))))</f>
        <v>0</v>
      </c>
      <c r="DS308" s="51">
        <f>IF(AND($E308&lt;&gt;0,$F308&gt;0,YEAR($F308)&lt;=DQ$4,YEAR($F308)&gt;=Preisindex!$A$6),ROUND($E308*DQ308,2),IF(AND($E308&lt;&gt;0,$F308&gt;0,YEAR($F308)&lt;=DQ$4,YEAR($F308)&lt;Preisindex!$A$6),ROUND($E308*DR308,2),0))</f>
        <v>0</v>
      </c>
      <c r="DT308" s="53">
        <f t="shared" si="795"/>
        <v>0</v>
      </c>
      <c r="DU308" s="51">
        <f t="shared" si="882"/>
        <v>0</v>
      </c>
      <c r="DV308" s="51">
        <f t="shared" si="866"/>
        <v>0</v>
      </c>
      <c r="DW308" s="51">
        <f t="shared" si="796"/>
        <v>0</v>
      </c>
      <c r="DX308" s="51">
        <f t="shared" si="867"/>
        <v>0</v>
      </c>
      <c r="DY308" s="51">
        <f t="shared" si="797"/>
        <v>0</v>
      </c>
      <c r="DZ308" s="51">
        <f t="shared" si="868"/>
        <v>0</v>
      </c>
      <c r="EA308" s="51">
        <f t="shared" si="798"/>
        <v>0</v>
      </c>
      <c r="EB308" s="51">
        <f t="shared" si="869"/>
        <v>0</v>
      </c>
      <c r="EC308" s="51">
        <f t="shared" si="799"/>
        <v>0</v>
      </c>
      <c r="ED308" s="51">
        <f t="shared" si="870"/>
        <v>0</v>
      </c>
      <c r="EE308" s="51">
        <f t="shared" si="800"/>
        <v>0</v>
      </c>
      <c r="EF308" s="54">
        <f t="shared" si="801"/>
        <v>0</v>
      </c>
      <c r="EG308" s="55">
        <f t="shared" si="802"/>
        <v>0</v>
      </c>
      <c r="EH308" s="56">
        <f>IF(AND($E308&lt;&gt;0,$F308&gt;0,YEAR($F308)&gt;=Preisindex!$A$6,YEAR(EC$4)&gt;=YEAR($F308),AND($K308&lt;&gt;"a",$K308&lt;&gt;"b",$K308&lt;&gt;"g",$K308&lt;&gt;"k")),1,IF(AND($E308&lt;&gt;0,$F308&gt;0,YEAR($F308)&gt;=Preisindex!$A$6,YEAR(EC$4)&gt;=YEAR($F308),$K308="a"),ROUND(VLOOKUP(EH$4,Preisindex,5,FALSE)/VLOOKUP(YEAR($F308),Preisindex,5,FALSE),2),IF(AND($E308&lt;&gt;0,$F308&gt;0,YEAR($F308)&gt;=Preisindex!$A$6,YEAR(EC$4)&gt;=YEAR($F308),$K308="b"),ROUND(VLOOKUP(EH$4,Preisindex,3,FALSE)/VLOOKUP(YEAR($F308),Preisindex,3,FALSE),2),IF(AND($E308&lt;&gt;0,$F308&gt;0,YEAR($F308)&gt;=Preisindex!$A$6,YEAR(EC$4)&gt;=YEAR($F308),$K308="g"),ROUND(VLOOKUP(EH$4,Preisindex,4,FALSE)/VLOOKUP(YEAR($F308),Preisindex,4,FALSE),2),IF(AND($E308&lt;&gt;0,$F308&gt;0,YEAR($F308)&gt;=Preisindex!$A$6,YEAR(EC$4)&gt;=YEAR($F308),$K308="k"),ROUND(VLOOKUP(EH$4,Preisindex,2,FALSE)/VLOOKUP(YEAR($F308),Preisindex,2,FALSE),2),0)))))</f>
        <v>0</v>
      </c>
      <c r="EI308" s="56">
        <f>IF(AND($E308&lt;&gt;0,$F308&gt;0,YEAR($F308)&lt;Preisindex!$A$6,YEAR(EC$4)&gt;=YEAR($F308),AND($K308&lt;&gt;"a",$K308&lt;&gt;"b",$K308&lt;&gt;"g",$K308&lt;&gt;"k")),1,IF(AND($E308&lt;&gt;0,$F308&gt;0,YEAR($F308)&lt;Preisindex!$A$6,YEAR(EC$4)&gt;=YEAR($F308),$K308="a"),ROUND(VLOOKUP(EH$4,Preisindex,5,FALSE)/VLOOKUP(Preisindex!$A$6,Preisindex,5,FALSE),2),IF(AND($E308&lt;&gt;0,$F308&gt;0,YEAR($F308)&lt;Preisindex!$A$6,YEAR(EC$4)&gt;=YEAR($F308),$K308="b"),ROUND(VLOOKUP(EH$4,Preisindex,3,FALSE)/VLOOKUP(Preisindex!$A$6,Preisindex,3,FALSE),2),IF(AND($E308&lt;&gt;0,$F308&gt;0,YEAR($F308)&lt;Preisindex!$A$6,YEAR(EC$4)&gt;=YEAR($F308),$K308="g"),ROUND(VLOOKUP(EH$4,Preisindex,4,FALSE)/VLOOKUP(Preisindex!$A$6,Preisindex,4,FALSE),2),IF(AND($E308&lt;&gt;0,$F308&gt;0,YEAR($F308)&lt;Preisindex!$A$6,YEAR(EC$4)&gt;=YEAR($F308),$K308="k"),ROUND(VLOOKUP(EH$4,Preisindex,2,FALSE)/VLOOKUP(Preisindex!$A$6,Preisindex,2,FALSE),2),0)))))</f>
        <v>0</v>
      </c>
      <c r="EJ308" s="51">
        <f>IF(AND($E308&lt;&gt;0,$F308&gt;0,YEAR($F308)&lt;=EH$4,YEAR($F308)&gt;=Preisindex!$A$6),ROUND($E308*EH308,2),IF(AND($E308&lt;&gt;0,$F308&gt;0,YEAR($F308)&lt;=EH$4,YEAR($F308)&lt;Preisindex!$A$6),ROUND($E308*EI308,2),0))</f>
        <v>0</v>
      </c>
      <c r="EK308" s="53">
        <f t="shared" si="803"/>
        <v>0</v>
      </c>
      <c r="EL308" s="51">
        <f t="shared" si="882"/>
        <v>0</v>
      </c>
      <c r="EM308" s="51">
        <f t="shared" si="871"/>
        <v>0</v>
      </c>
      <c r="EN308" s="51">
        <f t="shared" si="804"/>
        <v>0</v>
      </c>
      <c r="EO308" s="51">
        <f t="shared" si="872"/>
        <v>0</v>
      </c>
      <c r="EP308" s="51">
        <f t="shared" si="805"/>
        <v>0</v>
      </c>
      <c r="EQ308" s="51">
        <f t="shared" si="873"/>
        <v>0</v>
      </c>
      <c r="ER308" s="51">
        <f t="shared" si="806"/>
        <v>0</v>
      </c>
      <c r="ES308" s="51">
        <f t="shared" si="874"/>
        <v>0</v>
      </c>
      <c r="ET308" s="51">
        <f t="shared" si="807"/>
        <v>0</v>
      </c>
      <c r="EU308" s="51">
        <f t="shared" si="875"/>
        <v>0</v>
      </c>
      <c r="EV308" s="51">
        <f t="shared" si="808"/>
        <v>0</v>
      </c>
      <c r="EW308" s="54">
        <f t="shared" si="809"/>
        <v>0</v>
      </c>
      <c r="EX308" s="55">
        <f t="shared" si="810"/>
        <v>0</v>
      </c>
      <c r="EY308" s="56">
        <f>IF(AND($E308&lt;&gt;0,$F308&gt;0,YEAR($F308)&gt;=Preisindex!$A$6,YEAR(ET$4)&gt;=YEAR($F308),AND($K308&lt;&gt;"a",$K308&lt;&gt;"b",$K308&lt;&gt;"g",$K308&lt;&gt;"k")),1,IF(AND($E308&lt;&gt;0,$F308&gt;0,YEAR($F308)&gt;=Preisindex!$A$6,YEAR(ET$4)&gt;=YEAR($F308),$K308="a"),ROUND(VLOOKUP(EY$4,Preisindex,5,FALSE)/VLOOKUP(YEAR($F308),Preisindex,5,FALSE),2),IF(AND($E308&lt;&gt;0,$F308&gt;0,YEAR($F308)&gt;=Preisindex!$A$6,YEAR(ET$4)&gt;=YEAR($F308),$K308="b"),ROUND(VLOOKUP(EY$4,Preisindex,3,FALSE)/VLOOKUP(YEAR($F308),Preisindex,3,FALSE),2),IF(AND($E308&lt;&gt;0,$F308&gt;0,YEAR($F308)&gt;=Preisindex!$A$6,YEAR(ET$4)&gt;=YEAR($F308),$K308="g"),ROUND(VLOOKUP(EY$4,Preisindex,4,FALSE)/VLOOKUP(YEAR($F308),Preisindex,4,FALSE),2),IF(AND($E308&lt;&gt;0,$F308&gt;0,YEAR($F308)&gt;=Preisindex!$A$6,YEAR(ET$4)&gt;=YEAR($F308),$K308="k"),ROUND(VLOOKUP(EY$4,Preisindex,2,FALSE)/VLOOKUP(YEAR($F308),Preisindex,2,FALSE),2),0)))))</f>
        <v>0</v>
      </c>
      <c r="EZ308" s="56">
        <f>IF(AND($E308&lt;&gt;0,$F308&gt;0,YEAR($F308)&lt;Preisindex!$A$6,YEAR(ET$4)&gt;=YEAR($F308),AND($K308&lt;&gt;"a",$K308&lt;&gt;"b",$K308&lt;&gt;"g",$K308&lt;&gt;"k")),1,IF(AND($E308&lt;&gt;0,$F308&gt;0,YEAR($F308)&lt;Preisindex!$A$6,YEAR(ET$4)&gt;=YEAR($F308),$K308="a"),ROUND(VLOOKUP(EY$4,Preisindex,5,FALSE)/VLOOKUP(Preisindex!$A$6,Preisindex,5,FALSE),2),IF(AND($E308&lt;&gt;0,$F308&gt;0,YEAR($F308)&lt;Preisindex!$A$6,YEAR(ET$4)&gt;=YEAR($F308),$K308="b"),ROUND(VLOOKUP(EY$4,Preisindex,3,FALSE)/VLOOKUP(Preisindex!$A$6,Preisindex,3,FALSE),2),IF(AND($E308&lt;&gt;0,$F308&gt;0,YEAR($F308)&lt;Preisindex!$A$6,YEAR(ET$4)&gt;=YEAR($F308),$K308="g"),ROUND(VLOOKUP(EY$4,Preisindex,4,FALSE)/VLOOKUP(Preisindex!$A$6,Preisindex,4,FALSE),2),IF(AND($E308&lt;&gt;0,$F308&gt;0,YEAR($F308)&lt;Preisindex!$A$6,YEAR(ET$4)&gt;=YEAR($F308),$K308="k"),ROUND(VLOOKUP(EY$4,Preisindex,2,FALSE)/VLOOKUP(Preisindex!$A$6,Preisindex,2,FALSE),2),0)))))</f>
        <v>0</v>
      </c>
      <c r="FA308" s="51">
        <f>IF(AND($E308&lt;&gt;0,$F308&gt;0,YEAR($F308)&lt;=EY$4,YEAR($F308)&gt;=Preisindex!$A$6),ROUND($E308*EY308,2),IF(AND($E308&lt;&gt;0,$F308&gt;0,YEAR($F308)&lt;=EY$4,YEAR($F308)&lt;Preisindex!$A$6),ROUND($E308*EZ308,2),0))</f>
        <v>0</v>
      </c>
      <c r="FB308" s="53">
        <f t="shared" si="811"/>
        <v>0</v>
      </c>
      <c r="FC308" s="51">
        <f t="shared" si="882"/>
        <v>0</v>
      </c>
      <c r="FD308" s="51">
        <f t="shared" si="876"/>
        <v>0</v>
      </c>
      <c r="FE308" s="51">
        <f t="shared" si="812"/>
        <v>0</v>
      </c>
      <c r="FF308" s="51">
        <f t="shared" si="877"/>
        <v>0</v>
      </c>
      <c r="FG308" s="51">
        <f t="shared" si="813"/>
        <v>0</v>
      </c>
      <c r="FH308" s="51">
        <f t="shared" si="878"/>
        <v>0</v>
      </c>
      <c r="FI308" s="51">
        <f t="shared" si="814"/>
        <v>0</v>
      </c>
      <c r="FJ308" s="51">
        <f t="shared" si="879"/>
        <v>0</v>
      </c>
      <c r="FK308" s="51">
        <f t="shared" si="815"/>
        <v>0</v>
      </c>
      <c r="FL308" s="51">
        <f t="shared" si="880"/>
        <v>0</v>
      </c>
      <c r="FM308" s="51">
        <f t="shared" si="816"/>
        <v>0</v>
      </c>
      <c r="FN308" s="54">
        <f t="shared" si="817"/>
        <v>0</v>
      </c>
      <c r="FO308" s="55">
        <f t="shared" si="818"/>
        <v>0</v>
      </c>
      <c r="FP308" s="56">
        <f>IF(AND($E308&lt;&gt;0,$F308&gt;0,YEAR($F308)&gt;=Preisindex!$A$6,YEAR(FK$4)&gt;=YEAR($F308),AND($K308&lt;&gt;"a",$K308&lt;&gt;"b",$K308&lt;&gt;"g",$K308&lt;&gt;"k")),1,IF(AND($E308&lt;&gt;0,$F308&gt;0,YEAR($F308)&gt;=Preisindex!$A$6,YEAR(FK$4)&gt;=YEAR($F308),$K308="a"),ROUND(VLOOKUP(FP$4,Preisindex,5,FALSE)/VLOOKUP(YEAR($F308),Preisindex,5,FALSE),2),IF(AND($E308&lt;&gt;0,$F308&gt;0,YEAR($F308)&gt;=Preisindex!$A$6,YEAR(FK$4)&gt;=YEAR($F308),$K308="b"),ROUND(VLOOKUP(FP$4,Preisindex,3,FALSE)/VLOOKUP(YEAR($F308),Preisindex,3,FALSE),2),IF(AND($E308&lt;&gt;0,$F308&gt;0,YEAR($F308)&gt;=Preisindex!$A$6,YEAR(FK$4)&gt;=YEAR($F308),$K308="g"),ROUND(VLOOKUP(FP$4,Preisindex,4,FALSE)/VLOOKUP(YEAR($F308),Preisindex,4,FALSE),2),IF(AND($E308&lt;&gt;0,$F308&gt;0,YEAR($F308)&gt;=Preisindex!$A$6,YEAR(FK$4)&gt;=YEAR($F308),$K308="k"),ROUND(VLOOKUP(FP$4,Preisindex,2,FALSE)/VLOOKUP(YEAR($F308),Preisindex,2,FALSE),2),0)))))</f>
        <v>0</v>
      </c>
      <c r="FQ308" s="56">
        <f>IF(AND($E308&lt;&gt;0,$F308&gt;0,YEAR($F308)&lt;Preisindex!$A$6,YEAR(FK$4)&gt;=YEAR($F308),AND($K308&lt;&gt;"a",$K308&lt;&gt;"b",$K308&lt;&gt;"g",$K308&lt;&gt;"k")),1,IF(AND($E308&lt;&gt;0,$F308&gt;0,YEAR($F308)&lt;Preisindex!$A$6,YEAR(FK$4)&gt;=YEAR($F308),$K308="a"),ROUND(VLOOKUP(FP$4,Preisindex,5,FALSE)/VLOOKUP(Preisindex!$A$6,Preisindex,5,FALSE),2),IF(AND($E308&lt;&gt;0,$F308&gt;0,YEAR($F308)&lt;Preisindex!$A$6,YEAR(FK$4)&gt;=YEAR($F308),$K308="b"),ROUND(VLOOKUP(FP$4,Preisindex,3,FALSE)/VLOOKUP(Preisindex!$A$6,Preisindex,3,FALSE),2),IF(AND($E308&lt;&gt;0,$F308&gt;0,YEAR($F308)&lt;Preisindex!$A$6,YEAR(FK$4)&gt;=YEAR($F308),$K308="g"),ROUND(VLOOKUP(FP$4,Preisindex,4,FALSE)/VLOOKUP(Preisindex!$A$6,Preisindex,4,FALSE),2),IF(AND($E308&lt;&gt;0,$F308&gt;0,YEAR($F308)&lt;Preisindex!$A$6,YEAR(FK$4)&gt;=YEAR($F308),$K308="k"),ROUND(VLOOKUP(FP$4,Preisindex,2,FALSE)/VLOOKUP(Preisindex!$A$6,Preisindex,2,FALSE),2),0)))))</f>
        <v>0</v>
      </c>
      <c r="FR308" s="51">
        <f>IF(AND($E308&lt;&gt;0,$F308&gt;0,YEAR($F308)&lt;=FP$4,YEAR($F308)&gt;=Preisindex!$A$6),ROUND($E308*FP308,2),IF(AND($E308&lt;&gt;0,$F308&gt;0,YEAR($F308)&lt;=FP$4,YEAR($F308)&lt;Preisindex!$A$6),ROUND($E308*FQ308,2),0))</f>
        <v>0</v>
      </c>
      <c r="FS308" s="53">
        <f t="shared" si="819"/>
        <v>0</v>
      </c>
    </row>
    <row r="309" spans="1:175" x14ac:dyDescent="0.3">
      <c r="A309" s="185"/>
      <c r="B309" s="186"/>
      <c r="C309" s="187"/>
      <c r="D309" s="95"/>
      <c r="E309" s="99"/>
      <c r="F309" s="97"/>
      <c r="G309" s="98"/>
      <c r="H309" s="192"/>
      <c r="I309" s="193"/>
      <c r="J309" s="194"/>
      <c r="K309" s="630"/>
      <c r="L309" s="49">
        <f t="shared" si="820"/>
        <v>0</v>
      </c>
      <c r="M309" s="50">
        <f t="shared" si="821"/>
        <v>0</v>
      </c>
      <c r="N309" s="51">
        <f t="shared" si="822"/>
        <v>0</v>
      </c>
      <c r="O309" s="51"/>
      <c r="P309" s="51">
        <f t="shared" si="823"/>
        <v>0</v>
      </c>
      <c r="Q309" s="52"/>
      <c r="R309" s="52"/>
      <c r="S309" s="52"/>
      <c r="T309" s="52"/>
      <c r="U309" s="52"/>
      <c r="V309" s="53">
        <f t="shared" si="824"/>
        <v>0</v>
      </c>
      <c r="W309" s="51">
        <f t="shared" si="825"/>
        <v>0</v>
      </c>
      <c r="X309" s="51">
        <f t="shared" si="826"/>
        <v>0</v>
      </c>
      <c r="Y309" s="51">
        <f t="shared" si="827"/>
        <v>0</v>
      </c>
      <c r="Z309" s="51">
        <f t="shared" si="828"/>
        <v>0</v>
      </c>
      <c r="AA309" s="51">
        <f t="shared" si="829"/>
        <v>0</v>
      </c>
      <c r="AB309" s="51">
        <f t="shared" si="830"/>
        <v>0</v>
      </c>
      <c r="AC309" s="51">
        <f t="shared" si="831"/>
        <v>0</v>
      </c>
      <c r="AD309" s="51">
        <f t="shared" si="832"/>
        <v>0</v>
      </c>
      <c r="AE309" s="51">
        <f t="shared" si="833"/>
        <v>0</v>
      </c>
      <c r="AF309" s="51">
        <f t="shared" si="834"/>
        <v>0</v>
      </c>
      <c r="AG309" s="51">
        <f t="shared" si="835"/>
        <v>0</v>
      </c>
      <c r="AH309" s="54">
        <f t="shared" si="836"/>
        <v>0</v>
      </c>
      <c r="AI309" s="55">
        <f t="shared" si="837"/>
        <v>0</v>
      </c>
      <c r="AJ309" s="56">
        <f>IF(AND($E309&lt;&gt;0,$F309&gt;0,YEAR($F309)&gt;=Preisindex!$A$6,YEAR(AE$4)&gt;=YEAR($F309),AND($K309&lt;&gt;"a",$K309&lt;&gt;"b",$K309&lt;&gt;"g",$K309&lt;&gt;"k")),1,IF(AND($E309&lt;&gt;0,$F309&gt;0,YEAR($F309)&gt;=Preisindex!$A$6,YEAR(AE$4)&gt;=YEAR($F309),$K309="a"),ROUND(VLOOKUP(AJ$4,Preisindex,5,FALSE)/VLOOKUP(YEAR($F309),Preisindex,5,FALSE),2),IF(AND($E309&lt;&gt;0,$F309&gt;0,YEAR($F309)&gt;=Preisindex!$A$6,YEAR(AE$4)&gt;=YEAR($F309),$K309="b"),ROUND(VLOOKUP(AJ$4,Preisindex,3,FALSE)/VLOOKUP(YEAR($F309),Preisindex,3,FALSE),2),IF(AND($E309&lt;&gt;0,$F309&gt;0,YEAR($F309)&gt;=Preisindex!$A$6,YEAR(AE$4)&gt;=YEAR($F309),$K309="g"),ROUND(VLOOKUP(AJ$4,Preisindex,4,FALSE)/VLOOKUP(YEAR($F309),Preisindex,4,FALSE),2),IF(AND($E309&lt;&gt;0,$F309&gt;0,YEAR($F309)&gt;=Preisindex!$A$6,YEAR(AE$4)&gt;=YEAR($F309),$K309="k"),ROUND(VLOOKUP(AJ$4,Preisindex,2,FALSE)/VLOOKUP(YEAR($F309),Preisindex,2,FALSE),2),0)))))</f>
        <v>0</v>
      </c>
      <c r="AK309" s="56">
        <f>IF(AND($E309&lt;&gt;0,$F309&gt;0,YEAR($F309)&lt;Preisindex!$A$6,YEAR(AE$4)&gt;=YEAR($F309),AND($K309&lt;&gt;"a",$K309&lt;&gt;"b",$K309&lt;&gt;"g",$K309&lt;&gt;"k")),1,IF(AND($E309&lt;&gt;0,$F309&gt;0,YEAR($F309)&lt;Preisindex!$A$6,YEAR(AE$4)&gt;=YEAR($F309),$K309="a"),ROUND(VLOOKUP(AJ$4,Preisindex,5,FALSE)/VLOOKUP(Preisindex!$A$6,Preisindex,5,FALSE),2),IF(AND($E309&lt;&gt;0,$F309&gt;0,YEAR($F309)&lt;Preisindex!$A$6,YEAR(AE$4)&gt;=YEAR($F309),$K309="b"),ROUND(VLOOKUP(AJ$4,Preisindex,3,FALSE)/VLOOKUP(Preisindex!$A$6,Preisindex,3,FALSE),2),IF(AND($E309&lt;&gt;0,$F309&gt;0,YEAR($F309)&lt;Preisindex!$A$6,YEAR(AE$4)&gt;=YEAR($F309),$K309="g"),ROUND(VLOOKUP(AJ$4,Preisindex,4,FALSE)/VLOOKUP(Preisindex!$A$6,Preisindex,4,FALSE),2),IF(AND($E309&lt;&gt;0,$F309&gt;0,YEAR($F309)&lt;Preisindex!$A$6,YEAR(AE$4)&gt;=YEAR($F309),$K309="k"),ROUND(VLOOKUP(AJ$4,Preisindex,2,FALSE)/VLOOKUP(Preisindex!$A$6,Preisindex,2,FALSE),2),0)))))</f>
        <v>0</v>
      </c>
      <c r="AL309" s="51">
        <f>IF(AND($E309&lt;&gt;0,$F309&gt;0,YEAR($F309)&lt;=AJ$4,YEAR($F309)&gt;=Preisindex!$A$6),ROUND($E309*AJ309,2),IF(AND($E309&lt;&gt;0,$F309&gt;0,YEAR($F309)&lt;=AJ$4,YEAR($F309)&lt;Preisindex!$A$6),ROUND($E309*AK309,2),0))</f>
        <v>0</v>
      </c>
      <c r="AM309" s="53">
        <f t="shared" si="838"/>
        <v>0</v>
      </c>
      <c r="AN309" s="51">
        <f t="shared" ref="AN309:CM319" si="883">IF(YEAR($F309)=AN$4,$E309,0)</f>
        <v>0</v>
      </c>
      <c r="AO309" s="51">
        <f t="shared" si="841"/>
        <v>0</v>
      </c>
      <c r="AP309" s="51">
        <f t="shared" si="755"/>
        <v>0</v>
      </c>
      <c r="AQ309" s="51">
        <f t="shared" si="842"/>
        <v>0</v>
      </c>
      <c r="AR309" s="51">
        <f t="shared" si="756"/>
        <v>0</v>
      </c>
      <c r="AS309" s="51">
        <f t="shared" si="843"/>
        <v>0</v>
      </c>
      <c r="AT309" s="51">
        <f t="shared" si="757"/>
        <v>0</v>
      </c>
      <c r="AU309" s="51">
        <f t="shared" si="844"/>
        <v>0</v>
      </c>
      <c r="AV309" s="51">
        <f t="shared" si="758"/>
        <v>0</v>
      </c>
      <c r="AW309" s="51">
        <f t="shared" si="845"/>
        <v>0</v>
      </c>
      <c r="AX309" s="51">
        <f t="shared" si="759"/>
        <v>0</v>
      </c>
      <c r="AY309" s="54">
        <f t="shared" si="760"/>
        <v>0</v>
      </c>
      <c r="AZ309" s="55">
        <f t="shared" si="761"/>
        <v>0</v>
      </c>
      <c r="BA309" s="56">
        <f>IF(AND($E309&lt;&gt;0,$F309&gt;0,YEAR($F309)&gt;=Preisindex!$A$6,YEAR(AV$4)&gt;=YEAR($F309),AND($K309&lt;&gt;"a",$K309&lt;&gt;"b",$K309&lt;&gt;"g",$K309&lt;&gt;"k")),1,IF(AND($E309&lt;&gt;0,$F309&gt;0,YEAR($F309)&gt;=Preisindex!$A$6,YEAR(AV$4)&gt;=YEAR($F309),$K309="a"),ROUND(VLOOKUP(BA$4,Preisindex,5,FALSE)/VLOOKUP(YEAR($F309),Preisindex,5,FALSE),2),IF(AND($E309&lt;&gt;0,$F309&gt;0,YEAR($F309)&gt;=Preisindex!$A$6,YEAR(AV$4)&gt;=YEAR($F309),$K309="b"),ROUND(VLOOKUP(BA$4,Preisindex,3,FALSE)/VLOOKUP(YEAR($F309),Preisindex,3,FALSE),2),IF(AND($E309&lt;&gt;0,$F309&gt;0,YEAR($F309)&gt;=Preisindex!$A$6,YEAR(AV$4)&gt;=YEAR($F309),$K309="g"),ROUND(VLOOKUP(BA$4,Preisindex,4,FALSE)/VLOOKUP(YEAR($F309),Preisindex,4,FALSE),2),IF(AND($E309&lt;&gt;0,$F309&gt;0,YEAR($F309)&gt;=Preisindex!$A$6,YEAR(AV$4)&gt;=YEAR($F309),$K309="k"),ROUND(VLOOKUP(BA$4,Preisindex,2,FALSE)/VLOOKUP(YEAR($F309),Preisindex,2,FALSE),2),0)))))</f>
        <v>0</v>
      </c>
      <c r="BB309" s="56">
        <f>IF(AND($E309&lt;&gt;0,$F309&gt;0,YEAR($F309)&lt;Preisindex!$A$6,YEAR(AV$4)&gt;=YEAR($F309),AND($K309&lt;&gt;"a",$K309&lt;&gt;"b",$K309&lt;&gt;"g",$K309&lt;&gt;"k")),1,IF(AND($E309&lt;&gt;0,$F309&gt;0,YEAR($F309)&lt;Preisindex!$A$6,YEAR(AV$4)&gt;=YEAR($F309),$K309="a"),ROUND(VLOOKUP(BA$4,Preisindex,5,FALSE)/VLOOKUP(Preisindex!$A$6,Preisindex,5,FALSE),2),IF(AND($E309&lt;&gt;0,$F309&gt;0,YEAR($F309)&lt;Preisindex!$A$6,YEAR(AV$4)&gt;=YEAR($F309),$K309="b"),ROUND(VLOOKUP(BA$4,Preisindex,3,FALSE)/VLOOKUP(Preisindex!$A$6,Preisindex,3,FALSE),2),IF(AND($E309&lt;&gt;0,$F309&gt;0,YEAR($F309)&lt;Preisindex!$A$6,YEAR(AV$4)&gt;=YEAR($F309),$K309="g"),ROUND(VLOOKUP(BA$4,Preisindex,4,FALSE)/VLOOKUP(Preisindex!$A$6,Preisindex,4,FALSE),2),IF(AND($E309&lt;&gt;0,$F309&gt;0,YEAR($F309)&lt;Preisindex!$A$6,YEAR(AV$4)&gt;=YEAR($F309),$K309="k"),ROUND(VLOOKUP(BA$4,Preisindex,2,FALSE)/VLOOKUP(Preisindex!$A$6,Preisindex,2,FALSE),2),0)))))</f>
        <v>0</v>
      </c>
      <c r="BC309" s="51">
        <f>IF(AND($E309&lt;&gt;0,$F309&gt;0,YEAR($F309)&lt;=BA$4,YEAR($F309)&gt;=Preisindex!$A$6),ROUND($E309*BA309,2),IF(AND($E309&lt;&gt;0,$F309&gt;0,YEAR($F309)&lt;=BA$4,YEAR($F309)&lt;Preisindex!$A$6),ROUND($E309*BB309,2),0))</f>
        <v>0</v>
      </c>
      <c r="BD309" s="53">
        <f t="shared" si="762"/>
        <v>0</v>
      </c>
      <c r="BE309" s="51">
        <f t="shared" si="883"/>
        <v>0</v>
      </c>
      <c r="BF309" s="51">
        <f t="shared" si="846"/>
        <v>0</v>
      </c>
      <c r="BG309" s="51">
        <f t="shared" si="763"/>
        <v>0</v>
      </c>
      <c r="BH309" s="51">
        <f t="shared" si="847"/>
        <v>0</v>
      </c>
      <c r="BI309" s="51">
        <f t="shared" si="764"/>
        <v>0</v>
      </c>
      <c r="BJ309" s="51">
        <f t="shared" si="848"/>
        <v>0</v>
      </c>
      <c r="BK309" s="51">
        <f t="shared" si="765"/>
        <v>0</v>
      </c>
      <c r="BL309" s="51">
        <f t="shared" si="849"/>
        <v>0</v>
      </c>
      <c r="BM309" s="51">
        <f t="shared" si="766"/>
        <v>0</v>
      </c>
      <c r="BN309" s="51">
        <f t="shared" si="850"/>
        <v>0</v>
      </c>
      <c r="BO309" s="51">
        <f t="shared" si="767"/>
        <v>0</v>
      </c>
      <c r="BP309" s="54">
        <f t="shared" si="768"/>
        <v>0</v>
      </c>
      <c r="BQ309" s="55">
        <f t="shared" si="769"/>
        <v>0</v>
      </c>
      <c r="BR309" s="56">
        <f>IF(AND($E309&lt;&gt;0,$F309&gt;0,YEAR($F309)&gt;=Preisindex!$A$6,YEAR(BM$4)&gt;=YEAR($F309),AND($K309&lt;&gt;"a",$K309&lt;&gt;"b",$K309&lt;&gt;"g",$K309&lt;&gt;"k")),1,IF(AND($E309&lt;&gt;0,$F309&gt;0,YEAR($F309)&gt;=Preisindex!$A$6,YEAR(BM$4)&gt;=YEAR($F309),$K309="a"),ROUND(VLOOKUP(BR$4,Preisindex,5,FALSE)/VLOOKUP(YEAR($F309),Preisindex,5,FALSE),2),IF(AND($E309&lt;&gt;0,$F309&gt;0,YEAR($F309)&gt;=Preisindex!$A$6,YEAR(BM$4)&gt;=YEAR($F309),$K309="b"),ROUND(VLOOKUP(BR$4,Preisindex,3,FALSE)/VLOOKUP(YEAR($F309),Preisindex,3,FALSE),2),IF(AND($E309&lt;&gt;0,$F309&gt;0,YEAR($F309)&gt;=Preisindex!$A$6,YEAR(BM$4)&gt;=YEAR($F309),$K309="g"),ROUND(VLOOKUP(BR$4,Preisindex,4,FALSE)/VLOOKUP(YEAR($F309),Preisindex,4,FALSE),2),IF(AND($E309&lt;&gt;0,$F309&gt;0,YEAR($F309)&gt;=Preisindex!$A$6,YEAR(BM$4)&gt;=YEAR($F309),$K309="k"),ROUND(VLOOKUP(BR$4,Preisindex,2,FALSE)/VLOOKUP(YEAR($F309),Preisindex,2,FALSE),2),0)))))</f>
        <v>0</v>
      </c>
      <c r="BS309" s="56">
        <f>IF(AND($E309&lt;&gt;0,$F309&gt;0,YEAR($F309)&lt;Preisindex!$A$6,YEAR(BM$4)&gt;=YEAR($F309),AND($K309&lt;&gt;"a",$K309&lt;&gt;"b",$K309&lt;&gt;"g",$K309&lt;&gt;"k")),1,IF(AND($E309&lt;&gt;0,$F309&gt;0,YEAR($F309)&lt;Preisindex!$A$6,YEAR(BM$4)&gt;=YEAR($F309),$K309="a"),ROUND(VLOOKUP(BR$4,Preisindex,5,FALSE)/VLOOKUP(Preisindex!$A$6,Preisindex,5,FALSE),2),IF(AND($E309&lt;&gt;0,$F309&gt;0,YEAR($F309)&lt;Preisindex!$A$6,YEAR(BM$4)&gt;=YEAR($F309),$K309="b"),ROUND(VLOOKUP(BR$4,Preisindex,3,FALSE)/VLOOKUP(Preisindex!$A$6,Preisindex,3,FALSE),2),IF(AND($E309&lt;&gt;0,$F309&gt;0,YEAR($F309)&lt;Preisindex!$A$6,YEAR(BM$4)&gt;=YEAR($F309),$K309="g"),ROUND(VLOOKUP(BR$4,Preisindex,4,FALSE)/VLOOKUP(Preisindex!$A$6,Preisindex,4,FALSE),2),IF(AND($E309&lt;&gt;0,$F309&gt;0,YEAR($F309)&lt;Preisindex!$A$6,YEAR(BM$4)&gt;=YEAR($F309),$K309="k"),ROUND(VLOOKUP(BR$4,Preisindex,2,FALSE)/VLOOKUP(Preisindex!$A$6,Preisindex,2,FALSE),2),0)))))</f>
        <v>0</v>
      </c>
      <c r="BT309" s="51">
        <f>IF(AND($E309&lt;&gt;0,$F309&gt;0,YEAR($F309)&lt;=BR$4,YEAR($F309)&gt;=Preisindex!$A$6),ROUND($E309*BR309,2),IF(AND($E309&lt;&gt;0,$F309&gt;0,YEAR($F309)&lt;=BR$4,YEAR($F309)&lt;Preisindex!$A$6),ROUND($E309*BS309,2),0))</f>
        <v>0</v>
      </c>
      <c r="BU309" s="53">
        <f t="shared" si="770"/>
        <v>0</v>
      </c>
      <c r="BV309" s="51">
        <f t="shared" si="883"/>
        <v>0</v>
      </c>
      <c r="BW309" s="51">
        <f t="shared" si="851"/>
        <v>0</v>
      </c>
      <c r="BX309" s="51">
        <f t="shared" si="771"/>
        <v>0</v>
      </c>
      <c r="BY309" s="51">
        <f t="shared" si="852"/>
        <v>0</v>
      </c>
      <c r="BZ309" s="51">
        <f t="shared" si="772"/>
        <v>0</v>
      </c>
      <c r="CA309" s="51">
        <f t="shared" si="853"/>
        <v>0</v>
      </c>
      <c r="CB309" s="51">
        <f t="shared" si="773"/>
        <v>0</v>
      </c>
      <c r="CC309" s="51">
        <f t="shared" si="854"/>
        <v>0</v>
      </c>
      <c r="CD309" s="51">
        <f t="shared" si="774"/>
        <v>0</v>
      </c>
      <c r="CE309" s="51">
        <f t="shared" si="855"/>
        <v>0</v>
      </c>
      <c r="CF309" s="51">
        <f t="shared" si="775"/>
        <v>0</v>
      </c>
      <c r="CG309" s="54">
        <f t="shared" si="776"/>
        <v>0</v>
      </c>
      <c r="CH309" s="55">
        <f t="shared" si="777"/>
        <v>0</v>
      </c>
      <c r="CI309" s="56">
        <f>IF(AND($E309&lt;&gt;0,$F309&gt;0,YEAR($F309)&gt;=Preisindex!$A$6,YEAR(CD$4)&gt;=YEAR($F309),AND($K309&lt;&gt;"a",$K309&lt;&gt;"b",$K309&lt;&gt;"g",$K309&lt;&gt;"k")),1,IF(AND($E309&lt;&gt;0,$F309&gt;0,YEAR($F309)&gt;=Preisindex!$A$6,YEAR(CD$4)&gt;=YEAR($F309),$K309="a"),ROUND(VLOOKUP(CI$4,Preisindex,5,FALSE)/VLOOKUP(YEAR($F309),Preisindex,5,FALSE),2),IF(AND($E309&lt;&gt;0,$F309&gt;0,YEAR($F309)&gt;=Preisindex!$A$6,YEAR(CD$4)&gt;=YEAR($F309),$K309="b"),ROUND(VLOOKUP(CI$4,Preisindex,3,FALSE)/VLOOKUP(YEAR($F309),Preisindex,3,FALSE),2),IF(AND($E309&lt;&gt;0,$F309&gt;0,YEAR($F309)&gt;=Preisindex!$A$6,YEAR(CD$4)&gt;=YEAR($F309),$K309="g"),ROUND(VLOOKUP(CI$4,Preisindex,4,FALSE)/VLOOKUP(YEAR($F309),Preisindex,4,FALSE),2),IF(AND($E309&lt;&gt;0,$F309&gt;0,YEAR($F309)&gt;=Preisindex!$A$6,YEAR(CD$4)&gt;=YEAR($F309),$K309="k"),ROUND(VLOOKUP(CI$4,Preisindex,2,FALSE)/VLOOKUP(YEAR($F309),Preisindex,2,FALSE),2),0)))))</f>
        <v>0</v>
      </c>
      <c r="CJ309" s="56">
        <f>IF(AND($E309&lt;&gt;0,$F309&gt;0,YEAR($F309)&lt;Preisindex!$A$6,YEAR(CD$4)&gt;=YEAR($F309),AND($K309&lt;&gt;"a",$K309&lt;&gt;"b",$K309&lt;&gt;"g",$K309&lt;&gt;"k")),1,IF(AND($E309&lt;&gt;0,$F309&gt;0,YEAR($F309)&lt;Preisindex!$A$6,YEAR(CD$4)&gt;=YEAR($F309),$K309="a"),ROUND(VLOOKUP(CI$4,Preisindex,5,FALSE)/VLOOKUP(Preisindex!$A$6,Preisindex,5,FALSE),2),IF(AND($E309&lt;&gt;0,$F309&gt;0,YEAR($F309)&lt;Preisindex!$A$6,YEAR(CD$4)&gt;=YEAR($F309),$K309="b"),ROUND(VLOOKUP(CI$4,Preisindex,3,FALSE)/VLOOKUP(Preisindex!$A$6,Preisindex,3,FALSE),2),IF(AND($E309&lt;&gt;0,$F309&gt;0,YEAR($F309)&lt;Preisindex!$A$6,YEAR(CD$4)&gt;=YEAR($F309),$K309="g"),ROUND(VLOOKUP(CI$4,Preisindex,4,FALSE)/VLOOKUP(Preisindex!$A$6,Preisindex,4,FALSE),2),IF(AND($E309&lt;&gt;0,$F309&gt;0,YEAR($F309)&lt;Preisindex!$A$6,YEAR(CD$4)&gt;=YEAR($F309),$K309="k"),ROUND(VLOOKUP(CI$4,Preisindex,2,FALSE)/VLOOKUP(Preisindex!$A$6,Preisindex,2,FALSE),2),0)))))</f>
        <v>0</v>
      </c>
      <c r="CK309" s="51">
        <f>IF(AND($E309&lt;&gt;0,$F309&gt;0,YEAR($F309)&lt;=CI$4,YEAR($F309)&gt;=Preisindex!$A$6),ROUND($E309*CI309,2),IF(AND($E309&lt;&gt;0,$F309&gt;0,YEAR($F309)&lt;=CI$4,YEAR($F309)&lt;Preisindex!$A$6),ROUND($E309*CJ309,2),0))</f>
        <v>0</v>
      </c>
      <c r="CL309" s="53">
        <f t="shared" si="778"/>
        <v>0</v>
      </c>
      <c r="CM309" s="51">
        <f t="shared" si="883"/>
        <v>0</v>
      </c>
      <c r="CN309" s="51">
        <f t="shared" si="856"/>
        <v>0</v>
      </c>
      <c r="CO309" s="51">
        <f t="shared" si="779"/>
        <v>0</v>
      </c>
      <c r="CP309" s="51">
        <f t="shared" si="857"/>
        <v>0</v>
      </c>
      <c r="CQ309" s="51">
        <f t="shared" si="780"/>
        <v>0</v>
      </c>
      <c r="CR309" s="51">
        <f t="shared" si="858"/>
        <v>0</v>
      </c>
      <c r="CS309" s="51">
        <f t="shared" si="781"/>
        <v>0</v>
      </c>
      <c r="CT309" s="51">
        <f t="shared" si="859"/>
        <v>0</v>
      </c>
      <c r="CU309" s="51">
        <f t="shared" si="782"/>
        <v>0</v>
      </c>
      <c r="CV309" s="51">
        <f t="shared" si="860"/>
        <v>0</v>
      </c>
      <c r="CW309" s="51">
        <f t="shared" si="783"/>
        <v>0</v>
      </c>
      <c r="CX309" s="54">
        <f t="shared" si="784"/>
        <v>0</v>
      </c>
      <c r="CY309" s="55">
        <f t="shared" si="785"/>
        <v>0</v>
      </c>
      <c r="CZ309" s="56">
        <f>IF(AND($E309&lt;&gt;0,$F309&gt;0,YEAR($F309)&gt;=Preisindex!$A$6,YEAR(CU$4)&gt;=YEAR($F309),AND($K309&lt;&gt;"a",$K309&lt;&gt;"b",$K309&lt;&gt;"g",$K309&lt;&gt;"k")),1,IF(AND($E309&lt;&gt;0,$F309&gt;0,YEAR($F309)&gt;=Preisindex!$A$6,YEAR(CU$4)&gt;=YEAR($F309),$K309="a"),ROUND(VLOOKUP(CZ$4,Preisindex,5,FALSE)/VLOOKUP(YEAR($F309),Preisindex,5,FALSE),2),IF(AND($E309&lt;&gt;0,$F309&gt;0,YEAR($F309)&gt;=Preisindex!$A$6,YEAR(CU$4)&gt;=YEAR($F309),$K309="b"),ROUND(VLOOKUP(CZ$4,Preisindex,3,FALSE)/VLOOKUP(YEAR($F309),Preisindex,3,FALSE),2),IF(AND($E309&lt;&gt;0,$F309&gt;0,YEAR($F309)&gt;=Preisindex!$A$6,YEAR(CU$4)&gt;=YEAR($F309),$K309="g"),ROUND(VLOOKUP(CZ$4,Preisindex,4,FALSE)/VLOOKUP(YEAR($F309),Preisindex,4,FALSE),2),IF(AND($E309&lt;&gt;0,$F309&gt;0,YEAR($F309)&gt;=Preisindex!$A$6,YEAR(CU$4)&gt;=YEAR($F309),$K309="k"),ROUND(VLOOKUP(CZ$4,Preisindex,2,FALSE)/VLOOKUP(YEAR($F309),Preisindex,2,FALSE),2),0)))))</f>
        <v>0</v>
      </c>
      <c r="DA309" s="56">
        <f>IF(AND($E309&lt;&gt;0,$F309&gt;0,YEAR($F309)&lt;Preisindex!$A$6,YEAR(CU$4)&gt;=YEAR($F309),AND($K309&lt;&gt;"a",$K309&lt;&gt;"b",$K309&lt;&gt;"g",$K309&lt;&gt;"k")),1,IF(AND($E309&lt;&gt;0,$F309&gt;0,YEAR($F309)&lt;Preisindex!$A$6,YEAR(CU$4)&gt;=YEAR($F309),$K309="a"),ROUND(VLOOKUP(CZ$4,Preisindex,5,FALSE)/VLOOKUP(Preisindex!$A$6,Preisindex,5,FALSE),2),IF(AND($E309&lt;&gt;0,$F309&gt;0,YEAR($F309)&lt;Preisindex!$A$6,YEAR(CU$4)&gt;=YEAR($F309),$K309="b"),ROUND(VLOOKUP(CZ$4,Preisindex,3,FALSE)/VLOOKUP(Preisindex!$A$6,Preisindex,3,FALSE),2),IF(AND($E309&lt;&gt;0,$F309&gt;0,YEAR($F309)&lt;Preisindex!$A$6,YEAR(CU$4)&gt;=YEAR($F309),$K309="g"),ROUND(VLOOKUP(CZ$4,Preisindex,4,FALSE)/VLOOKUP(Preisindex!$A$6,Preisindex,4,FALSE),2),IF(AND($E309&lt;&gt;0,$F309&gt;0,YEAR($F309)&lt;Preisindex!$A$6,YEAR(CU$4)&gt;=YEAR($F309),$K309="k"),ROUND(VLOOKUP(CZ$4,Preisindex,2,FALSE)/VLOOKUP(Preisindex!$A$6,Preisindex,2,FALSE),2),0)))))</f>
        <v>0</v>
      </c>
      <c r="DB309" s="51">
        <f>IF(AND($E309&lt;&gt;0,$F309&gt;0,YEAR($F309)&lt;=CZ$4,YEAR($F309)&gt;=Preisindex!$A$6),ROUND($E309*CZ309,2),IF(AND($E309&lt;&gt;0,$F309&gt;0,YEAR($F309)&lt;=CZ$4,YEAR($F309)&lt;Preisindex!$A$6),ROUND($E309*DA309,2),0))</f>
        <v>0</v>
      </c>
      <c r="DC309" s="53">
        <f t="shared" si="786"/>
        <v>0</v>
      </c>
      <c r="DD309" s="51">
        <f t="shared" ref="DD309:FC319" si="884">IF(YEAR($F309)=DD$4,$E309,0)</f>
        <v>0</v>
      </c>
      <c r="DE309" s="51">
        <f t="shared" si="861"/>
        <v>0</v>
      </c>
      <c r="DF309" s="51">
        <f t="shared" si="788"/>
        <v>0</v>
      </c>
      <c r="DG309" s="51">
        <f t="shared" si="862"/>
        <v>0</v>
      </c>
      <c r="DH309" s="51">
        <f t="shared" si="789"/>
        <v>0</v>
      </c>
      <c r="DI309" s="51">
        <f t="shared" si="863"/>
        <v>0</v>
      </c>
      <c r="DJ309" s="51">
        <f t="shared" si="790"/>
        <v>0</v>
      </c>
      <c r="DK309" s="51">
        <f t="shared" si="864"/>
        <v>0</v>
      </c>
      <c r="DL309" s="51">
        <f t="shared" si="791"/>
        <v>0</v>
      </c>
      <c r="DM309" s="51">
        <f t="shared" si="865"/>
        <v>0</v>
      </c>
      <c r="DN309" s="51">
        <f t="shared" si="792"/>
        <v>0</v>
      </c>
      <c r="DO309" s="54">
        <f t="shared" si="793"/>
        <v>0</v>
      </c>
      <c r="DP309" s="55">
        <f t="shared" si="794"/>
        <v>0</v>
      </c>
      <c r="DQ309" s="56">
        <f>IF(AND($E309&lt;&gt;0,$F309&gt;0,YEAR($F309)&gt;=Preisindex!$A$6,YEAR(DL$4)&gt;=YEAR($F309),AND($K309&lt;&gt;"a",$K309&lt;&gt;"b",$K309&lt;&gt;"g",$K309&lt;&gt;"k")),1,IF(AND($E309&lt;&gt;0,$F309&gt;0,YEAR($F309)&gt;=Preisindex!$A$6,YEAR(DL$4)&gt;=YEAR($F309),$K309="a"),ROUND(VLOOKUP(DQ$4,Preisindex,5,FALSE)/VLOOKUP(YEAR($F309),Preisindex,5,FALSE),2),IF(AND($E309&lt;&gt;0,$F309&gt;0,YEAR($F309)&gt;=Preisindex!$A$6,YEAR(DL$4)&gt;=YEAR($F309),$K309="b"),ROUND(VLOOKUP(DQ$4,Preisindex,3,FALSE)/VLOOKUP(YEAR($F309),Preisindex,3,FALSE),2),IF(AND($E309&lt;&gt;0,$F309&gt;0,YEAR($F309)&gt;=Preisindex!$A$6,YEAR(DL$4)&gt;=YEAR($F309),$K309="g"),ROUND(VLOOKUP(DQ$4,Preisindex,4,FALSE)/VLOOKUP(YEAR($F309),Preisindex,4,FALSE),2),IF(AND($E309&lt;&gt;0,$F309&gt;0,YEAR($F309)&gt;=Preisindex!$A$6,YEAR(DL$4)&gt;=YEAR($F309),$K309="k"),ROUND(VLOOKUP(DQ$4,Preisindex,2,FALSE)/VLOOKUP(YEAR($F309),Preisindex,2,FALSE),2),0)))))</f>
        <v>0</v>
      </c>
      <c r="DR309" s="56">
        <f>IF(AND($E309&lt;&gt;0,$F309&gt;0,YEAR($F309)&lt;Preisindex!$A$6,YEAR(DL$4)&gt;=YEAR($F309),AND($K309&lt;&gt;"a",$K309&lt;&gt;"b",$K309&lt;&gt;"g",$K309&lt;&gt;"k")),1,IF(AND($E309&lt;&gt;0,$F309&gt;0,YEAR($F309)&lt;Preisindex!$A$6,YEAR(DL$4)&gt;=YEAR($F309),$K309="a"),ROUND(VLOOKUP(DQ$4,Preisindex,5,FALSE)/VLOOKUP(Preisindex!$A$6,Preisindex,5,FALSE),2),IF(AND($E309&lt;&gt;0,$F309&gt;0,YEAR($F309)&lt;Preisindex!$A$6,YEAR(DL$4)&gt;=YEAR($F309),$K309="b"),ROUND(VLOOKUP(DQ$4,Preisindex,3,FALSE)/VLOOKUP(Preisindex!$A$6,Preisindex,3,FALSE),2),IF(AND($E309&lt;&gt;0,$F309&gt;0,YEAR($F309)&lt;Preisindex!$A$6,YEAR(DL$4)&gt;=YEAR($F309),$K309="g"),ROUND(VLOOKUP(DQ$4,Preisindex,4,FALSE)/VLOOKUP(Preisindex!$A$6,Preisindex,4,FALSE),2),IF(AND($E309&lt;&gt;0,$F309&gt;0,YEAR($F309)&lt;Preisindex!$A$6,YEAR(DL$4)&gt;=YEAR($F309),$K309="k"),ROUND(VLOOKUP(DQ$4,Preisindex,2,FALSE)/VLOOKUP(Preisindex!$A$6,Preisindex,2,FALSE),2),0)))))</f>
        <v>0</v>
      </c>
      <c r="DS309" s="51">
        <f>IF(AND($E309&lt;&gt;0,$F309&gt;0,YEAR($F309)&lt;=DQ$4,YEAR($F309)&gt;=Preisindex!$A$6),ROUND($E309*DQ309,2),IF(AND($E309&lt;&gt;0,$F309&gt;0,YEAR($F309)&lt;=DQ$4,YEAR($F309)&lt;Preisindex!$A$6),ROUND($E309*DR309,2),0))</f>
        <v>0</v>
      </c>
      <c r="DT309" s="53">
        <f t="shared" si="795"/>
        <v>0</v>
      </c>
      <c r="DU309" s="51">
        <f t="shared" si="884"/>
        <v>0</v>
      </c>
      <c r="DV309" s="51">
        <f t="shared" si="866"/>
        <v>0</v>
      </c>
      <c r="DW309" s="51">
        <f t="shared" si="796"/>
        <v>0</v>
      </c>
      <c r="DX309" s="51">
        <f t="shared" si="867"/>
        <v>0</v>
      </c>
      <c r="DY309" s="51">
        <f t="shared" si="797"/>
        <v>0</v>
      </c>
      <c r="DZ309" s="51">
        <f t="shared" si="868"/>
        <v>0</v>
      </c>
      <c r="EA309" s="51">
        <f t="shared" si="798"/>
        <v>0</v>
      </c>
      <c r="EB309" s="51">
        <f t="shared" si="869"/>
        <v>0</v>
      </c>
      <c r="EC309" s="51">
        <f t="shared" si="799"/>
        <v>0</v>
      </c>
      <c r="ED309" s="51">
        <f t="shared" si="870"/>
        <v>0</v>
      </c>
      <c r="EE309" s="51">
        <f t="shared" si="800"/>
        <v>0</v>
      </c>
      <c r="EF309" s="54">
        <f t="shared" si="801"/>
        <v>0</v>
      </c>
      <c r="EG309" s="55">
        <f t="shared" si="802"/>
        <v>0</v>
      </c>
      <c r="EH309" s="56">
        <f>IF(AND($E309&lt;&gt;0,$F309&gt;0,YEAR($F309)&gt;=Preisindex!$A$6,YEAR(EC$4)&gt;=YEAR($F309),AND($K309&lt;&gt;"a",$K309&lt;&gt;"b",$K309&lt;&gt;"g",$K309&lt;&gt;"k")),1,IF(AND($E309&lt;&gt;0,$F309&gt;0,YEAR($F309)&gt;=Preisindex!$A$6,YEAR(EC$4)&gt;=YEAR($F309),$K309="a"),ROUND(VLOOKUP(EH$4,Preisindex,5,FALSE)/VLOOKUP(YEAR($F309),Preisindex,5,FALSE),2),IF(AND($E309&lt;&gt;0,$F309&gt;0,YEAR($F309)&gt;=Preisindex!$A$6,YEAR(EC$4)&gt;=YEAR($F309),$K309="b"),ROUND(VLOOKUP(EH$4,Preisindex,3,FALSE)/VLOOKUP(YEAR($F309),Preisindex,3,FALSE),2),IF(AND($E309&lt;&gt;0,$F309&gt;0,YEAR($F309)&gt;=Preisindex!$A$6,YEAR(EC$4)&gt;=YEAR($F309),$K309="g"),ROUND(VLOOKUP(EH$4,Preisindex,4,FALSE)/VLOOKUP(YEAR($F309),Preisindex,4,FALSE),2),IF(AND($E309&lt;&gt;0,$F309&gt;0,YEAR($F309)&gt;=Preisindex!$A$6,YEAR(EC$4)&gt;=YEAR($F309),$K309="k"),ROUND(VLOOKUP(EH$4,Preisindex,2,FALSE)/VLOOKUP(YEAR($F309),Preisindex,2,FALSE),2),0)))))</f>
        <v>0</v>
      </c>
      <c r="EI309" s="56">
        <f>IF(AND($E309&lt;&gt;0,$F309&gt;0,YEAR($F309)&lt;Preisindex!$A$6,YEAR(EC$4)&gt;=YEAR($F309),AND($K309&lt;&gt;"a",$K309&lt;&gt;"b",$K309&lt;&gt;"g",$K309&lt;&gt;"k")),1,IF(AND($E309&lt;&gt;0,$F309&gt;0,YEAR($F309)&lt;Preisindex!$A$6,YEAR(EC$4)&gt;=YEAR($F309),$K309="a"),ROUND(VLOOKUP(EH$4,Preisindex,5,FALSE)/VLOOKUP(Preisindex!$A$6,Preisindex,5,FALSE),2),IF(AND($E309&lt;&gt;0,$F309&gt;0,YEAR($F309)&lt;Preisindex!$A$6,YEAR(EC$4)&gt;=YEAR($F309),$K309="b"),ROUND(VLOOKUP(EH$4,Preisindex,3,FALSE)/VLOOKUP(Preisindex!$A$6,Preisindex,3,FALSE),2),IF(AND($E309&lt;&gt;0,$F309&gt;0,YEAR($F309)&lt;Preisindex!$A$6,YEAR(EC$4)&gt;=YEAR($F309),$K309="g"),ROUND(VLOOKUP(EH$4,Preisindex,4,FALSE)/VLOOKUP(Preisindex!$A$6,Preisindex,4,FALSE),2),IF(AND($E309&lt;&gt;0,$F309&gt;0,YEAR($F309)&lt;Preisindex!$A$6,YEAR(EC$4)&gt;=YEAR($F309),$K309="k"),ROUND(VLOOKUP(EH$4,Preisindex,2,FALSE)/VLOOKUP(Preisindex!$A$6,Preisindex,2,FALSE),2),0)))))</f>
        <v>0</v>
      </c>
      <c r="EJ309" s="51">
        <f>IF(AND($E309&lt;&gt;0,$F309&gt;0,YEAR($F309)&lt;=EH$4,YEAR($F309)&gt;=Preisindex!$A$6),ROUND($E309*EH309,2),IF(AND($E309&lt;&gt;0,$F309&gt;0,YEAR($F309)&lt;=EH$4,YEAR($F309)&lt;Preisindex!$A$6),ROUND($E309*EI309,2),0))</f>
        <v>0</v>
      </c>
      <c r="EK309" s="53">
        <f t="shared" si="803"/>
        <v>0</v>
      </c>
      <c r="EL309" s="51">
        <f t="shared" si="884"/>
        <v>0</v>
      </c>
      <c r="EM309" s="51">
        <f t="shared" si="871"/>
        <v>0</v>
      </c>
      <c r="EN309" s="51">
        <f t="shared" si="804"/>
        <v>0</v>
      </c>
      <c r="EO309" s="51">
        <f t="shared" si="872"/>
        <v>0</v>
      </c>
      <c r="EP309" s="51">
        <f t="shared" si="805"/>
        <v>0</v>
      </c>
      <c r="EQ309" s="51">
        <f t="shared" si="873"/>
        <v>0</v>
      </c>
      <c r="ER309" s="51">
        <f t="shared" si="806"/>
        <v>0</v>
      </c>
      <c r="ES309" s="51">
        <f t="shared" si="874"/>
        <v>0</v>
      </c>
      <c r="ET309" s="51">
        <f t="shared" si="807"/>
        <v>0</v>
      </c>
      <c r="EU309" s="51">
        <f t="shared" si="875"/>
        <v>0</v>
      </c>
      <c r="EV309" s="51">
        <f t="shared" si="808"/>
        <v>0</v>
      </c>
      <c r="EW309" s="54">
        <f t="shared" si="809"/>
        <v>0</v>
      </c>
      <c r="EX309" s="55">
        <f t="shared" si="810"/>
        <v>0</v>
      </c>
      <c r="EY309" s="56">
        <f>IF(AND($E309&lt;&gt;0,$F309&gt;0,YEAR($F309)&gt;=Preisindex!$A$6,YEAR(ET$4)&gt;=YEAR($F309),AND($K309&lt;&gt;"a",$K309&lt;&gt;"b",$K309&lt;&gt;"g",$K309&lt;&gt;"k")),1,IF(AND($E309&lt;&gt;0,$F309&gt;0,YEAR($F309)&gt;=Preisindex!$A$6,YEAR(ET$4)&gt;=YEAR($F309),$K309="a"),ROUND(VLOOKUP(EY$4,Preisindex,5,FALSE)/VLOOKUP(YEAR($F309),Preisindex,5,FALSE),2),IF(AND($E309&lt;&gt;0,$F309&gt;0,YEAR($F309)&gt;=Preisindex!$A$6,YEAR(ET$4)&gt;=YEAR($F309),$K309="b"),ROUND(VLOOKUP(EY$4,Preisindex,3,FALSE)/VLOOKUP(YEAR($F309),Preisindex,3,FALSE),2),IF(AND($E309&lt;&gt;0,$F309&gt;0,YEAR($F309)&gt;=Preisindex!$A$6,YEAR(ET$4)&gt;=YEAR($F309),$K309="g"),ROUND(VLOOKUP(EY$4,Preisindex,4,FALSE)/VLOOKUP(YEAR($F309),Preisindex,4,FALSE),2),IF(AND($E309&lt;&gt;0,$F309&gt;0,YEAR($F309)&gt;=Preisindex!$A$6,YEAR(ET$4)&gt;=YEAR($F309),$K309="k"),ROUND(VLOOKUP(EY$4,Preisindex,2,FALSE)/VLOOKUP(YEAR($F309),Preisindex,2,FALSE),2),0)))))</f>
        <v>0</v>
      </c>
      <c r="EZ309" s="56">
        <f>IF(AND($E309&lt;&gt;0,$F309&gt;0,YEAR($F309)&lt;Preisindex!$A$6,YEAR(ET$4)&gt;=YEAR($F309),AND($K309&lt;&gt;"a",$K309&lt;&gt;"b",$K309&lt;&gt;"g",$K309&lt;&gt;"k")),1,IF(AND($E309&lt;&gt;0,$F309&gt;0,YEAR($F309)&lt;Preisindex!$A$6,YEAR(ET$4)&gt;=YEAR($F309),$K309="a"),ROUND(VLOOKUP(EY$4,Preisindex,5,FALSE)/VLOOKUP(Preisindex!$A$6,Preisindex,5,FALSE),2),IF(AND($E309&lt;&gt;0,$F309&gt;0,YEAR($F309)&lt;Preisindex!$A$6,YEAR(ET$4)&gt;=YEAR($F309),$K309="b"),ROUND(VLOOKUP(EY$4,Preisindex,3,FALSE)/VLOOKUP(Preisindex!$A$6,Preisindex,3,FALSE),2),IF(AND($E309&lt;&gt;0,$F309&gt;0,YEAR($F309)&lt;Preisindex!$A$6,YEAR(ET$4)&gt;=YEAR($F309),$K309="g"),ROUND(VLOOKUP(EY$4,Preisindex,4,FALSE)/VLOOKUP(Preisindex!$A$6,Preisindex,4,FALSE),2),IF(AND($E309&lt;&gt;0,$F309&gt;0,YEAR($F309)&lt;Preisindex!$A$6,YEAR(ET$4)&gt;=YEAR($F309),$K309="k"),ROUND(VLOOKUP(EY$4,Preisindex,2,FALSE)/VLOOKUP(Preisindex!$A$6,Preisindex,2,FALSE),2),0)))))</f>
        <v>0</v>
      </c>
      <c r="FA309" s="51">
        <f>IF(AND($E309&lt;&gt;0,$F309&gt;0,YEAR($F309)&lt;=EY$4,YEAR($F309)&gt;=Preisindex!$A$6),ROUND($E309*EY309,2),IF(AND($E309&lt;&gt;0,$F309&gt;0,YEAR($F309)&lt;=EY$4,YEAR($F309)&lt;Preisindex!$A$6),ROUND($E309*EZ309,2),0))</f>
        <v>0</v>
      </c>
      <c r="FB309" s="53">
        <f t="shared" si="811"/>
        <v>0</v>
      </c>
      <c r="FC309" s="51">
        <f t="shared" si="884"/>
        <v>0</v>
      </c>
      <c r="FD309" s="51">
        <f t="shared" si="876"/>
        <v>0</v>
      </c>
      <c r="FE309" s="51">
        <f t="shared" si="812"/>
        <v>0</v>
      </c>
      <c r="FF309" s="51">
        <f t="shared" si="877"/>
        <v>0</v>
      </c>
      <c r="FG309" s="51">
        <f t="shared" si="813"/>
        <v>0</v>
      </c>
      <c r="FH309" s="51">
        <f t="shared" si="878"/>
        <v>0</v>
      </c>
      <c r="FI309" s="51">
        <f t="shared" si="814"/>
        <v>0</v>
      </c>
      <c r="FJ309" s="51">
        <f t="shared" si="879"/>
        <v>0</v>
      </c>
      <c r="FK309" s="51">
        <f t="shared" si="815"/>
        <v>0</v>
      </c>
      <c r="FL309" s="51">
        <f t="shared" si="880"/>
        <v>0</v>
      </c>
      <c r="FM309" s="51">
        <f t="shared" si="816"/>
        <v>0</v>
      </c>
      <c r="FN309" s="54">
        <f t="shared" si="817"/>
        <v>0</v>
      </c>
      <c r="FO309" s="55">
        <f t="shared" si="818"/>
        <v>0</v>
      </c>
      <c r="FP309" s="56">
        <f>IF(AND($E309&lt;&gt;0,$F309&gt;0,YEAR($F309)&gt;=Preisindex!$A$6,YEAR(FK$4)&gt;=YEAR($F309),AND($K309&lt;&gt;"a",$K309&lt;&gt;"b",$K309&lt;&gt;"g",$K309&lt;&gt;"k")),1,IF(AND($E309&lt;&gt;0,$F309&gt;0,YEAR($F309)&gt;=Preisindex!$A$6,YEAR(FK$4)&gt;=YEAR($F309),$K309="a"),ROUND(VLOOKUP(FP$4,Preisindex,5,FALSE)/VLOOKUP(YEAR($F309),Preisindex,5,FALSE),2),IF(AND($E309&lt;&gt;0,$F309&gt;0,YEAR($F309)&gt;=Preisindex!$A$6,YEAR(FK$4)&gt;=YEAR($F309),$K309="b"),ROUND(VLOOKUP(FP$4,Preisindex,3,FALSE)/VLOOKUP(YEAR($F309),Preisindex,3,FALSE),2),IF(AND($E309&lt;&gt;0,$F309&gt;0,YEAR($F309)&gt;=Preisindex!$A$6,YEAR(FK$4)&gt;=YEAR($F309),$K309="g"),ROUND(VLOOKUP(FP$4,Preisindex,4,FALSE)/VLOOKUP(YEAR($F309),Preisindex,4,FALSE),2),IF(AND($E309&lt;&gt;0,$F309&gt;0,YEAR($F309)&gt;=Preisindex!$A$6,YEAR(FK$4)&gt;=YEAR($F309),$K309="k"),ROUND(VLOOKUP(FP$4,Preisindex,2,FALSE)/VLOOKUP(YEAR($F309),Preisindex,2,FALSE),2),0)))))</f>
        <v>0</v>
      </c>
      <c r="FQ309" s="56">
        <f>IF(AND($E309&lt;&gt;0,$F309&gt;0,YEAR($F309)&lt;Preisindex!$A$6,YEAR(FK$4)&gt;=YEAR($F309),AND($K309&lt;&gt;"a",$K309&lt;&gt;"b",$K309&lt;&gt;"g",$K309&lt;&gt;"k")),1,IF(AND($E309&lt;&gt;0,$F309&gt;0,YEAR($F309)&lt;Preisindex!$A$6,YEAR(FK$4)&gt;=YEAR($F309),$K309="a"),ROUND(VLOOKUP(FP$4,Preisindex,5,FALSE)/VLOOKUP(Preisindex!$A$6,Preisindex,5,FALSE),2),IF(AND($E309&lt;&gt;0,$F309&gt;0,YEAR($F309)&lt;Preisindex!$A$6,YEAR(FK$4)&gt;=YEAR($F309),$K309="b"),ROUND(VLOOKUP(FP$4,Preisindex,3,FALSE)/VLOOKUP(Preisindex!$A$6,Preisindex,3,FALSE),2),IF(AND($E309&lt;&gt;0,$F309&gt;0,YEAR($F309)&lt;Preisindex!$A$6,YEAR(FK$4)&gt;=YEAR($F309),$K309="g"),ROUND(VLOOKUP(FP$4,Preisindex,4,FALSE)/VLOOKUP(Preisindex!$A$6,Preisindex,4,FALSE),2),IF(AND($E309&lt;&gt;0,$F309&gt;0,YEAR($F309)&lt;Preisindex!$A$6,YEAR(FK$4)&gt;=YEAR($F309),$K309="k"),ROUND(VLOOKUP(FP$4,Preisindex,2,FALSE)/VLOOKUP(Preisindex!$A$6,Preisindex,2,FALSE),2),0)))))</f>
        <v>0</v>
      </c>
      <c r="FR309" s="51">
        <f>IF(AND($E309&lt;&gt;0,$F309&gt;0,YEAR($F309)&lt;=FP$4,YEAR($F309)&gt;=Preisindex!$A$6),ROUND($E309*FP309,2),IF(AND($E309&lt;&gt;0,$F309&gt;0,YEAR($F309)&lt;=FP$4,YEAR($F309)&lt;Preisindex!$A$6),ROUND($E309*FQ309,2),0))</f>
        <v>0</v>
      </c>
      <c r="FS309" s="53">
        <f t="shared" si="819"/>
        <v>0</v>
      </c>
    </row>
    <row r="310" spans="1:175" x14ac:dyDescent="0.3">
      <c r="A310" s="185"/>
      <c r="B310" s="186"/>
      <c r="C310" s="187"/>
      <c r="D310" s="95"/>
      <c r="E310" s="99"/>
      <c r="F310" s="97"/>
      <c r="G310" s="98"/>
      <c r="H310" s="192"/>
      <c r="I310" s="193"/>
      <c r="J310" s="194"/>
      <c r="K310" s="630"/>
      <c r="L310" s="49">
        <f t="shared" si="820"/>
        <v>0</v>
      </c>
      <c r="M310" s="50">
        <f t="shared" si="821"/>
        <v>0</v>
      </c>
      <c r="N310" s="51">
        <f t="shared" si="822"/>
        <v>0</v>
      </c>
      <c r="O310" s="51"/>
      <c r="P310" s="51">
        <f t="shared" si="823"/>
        <v>0</v>
      </c>
      <c r="Q310" s="52"/>
      <c r="R310" s="52"/>
      <c r="S310" s="52"/>
      <c r="T310" s="52"/>
      <c r="U310" s="52"/>
      <c r="V310" s="53">
        <f t="shared" si="824"/>
        <v>0</v>
      </c>
      <c r="W310" s="51">
        <f t="shared" si="825"/>
        <v>0</v>
      </c>
      <c r="X310" s="51">
        <f t="shared" si="826"/>
        <v>0</v>
      </c>
      <c r="Y310" s="51">
        <f t="shared" si="827"/>
        <v>0</v>
      </c>
      <c r="Z310" s="51">
        <f t="shared" si="828"/>
        <v>0</v>
      </c>
      <c r="AA310" s="51">
        <f t="shared" si="829"/>
        <v>0</v>
      </c>
      <c r="AB310" s="51">
        <f t="shared" si="830"/>
        <v>0</v>
      </c>
      <c r="AC310" s="51">
        <f t="shared" si="831"/>
        <v>0</v>
      </c>
      <c r="AD310" s="51">
        <f t="shared" si="832"/>
        <v>0</v>
      </c>
      <c r="AE310" s="51">
        <f t="shared" si="833"/>
        <v>0</v>
      </c>
      <c r="AF310" s="51">
        <f t="shared" si="834"/>
        <v>0</v>
      </c>
      <c r="AG310" s="51">
        <f t="shared" si="835"/>
        <v>0</v>
      </c>
      <c r="AH310" s="54">
        <f t="shared" si="836"/>
        <v>0</v>
      </c>
      <c r="AI310" s="55">
        <f t="shared" si="837"/>
        <v>0</v>
      </c>
      <c r="AJ310" s="56">
        <f>IF(AND($E310&lt;&gt;0,$F310&gt;0,YEAR($F310)&gt;=Preisindex!$A$6,YEAR(AE$4)&gt;=YEAR($F310),AND($K310&lt;&gt;"a",$K310&lt;&gt;"b",$K310&lt;&gt;"g",$K310&lt;&gt;"k")),1,IF(AND($E310&lt;&gt;0,$F310&gt;0,YEAR($F310)&gt;=Preisindex!$A$6,YEAR(AE$4)&gt;=YEAR($F310),$K310="a"),ROUND(VLOOKUP(AJ$4,Preisindex,5,FALSE)/VLOOKUP(YEAR($F310),Preisindex,5,FALSE),2),IF(AND($E310&lt;&gt;0,$F310&gt;0,YEAR($F310)&gt;=Preisindex!$A$6,YEAR(AE$4)&gt;=YEAR($F310),$K310="b"),ROUND(VLOOKUP(AJ$4,Preisindex,3,FALSE)/VLOOKUP(YEAR($F310),Preisindex,3,FALSE),2),IF(AND($E310&lt;&gt;0,$F310&gt;0,YEAR($F310)&gt;=Preisindex!$A$6,YEAR(AE$4)&gt;=YEAR($F310),$K310="g"),ROUND(VLOOKUP(AJ$4,Preisindex,4,FALSE)/VLOOKUP(YEAR($F310),Preisindex,4,FALSE),2),IF(AND($E310&lt;&gt;0,$F310&gt;0,YEAR($F310)&gt;=Preisindex!$A$6,YEAR(AE$4)&gt;=YEAR($F310),$K310="k"),ROUND(VLOOKUP(AJ$4,Preisindex,2,FALSE)/VLOOKUP(YEAR($F310),Preisindex,2,FALSE),2),0)))))</f>
        <v>0</v>
      </c>
      <c r="AK310" s="56">
        <f>IF(AND($E310&lt;&gt;0,$F310&gt;0,YEAR($F310)&lt;Preisindex!$A$6,YEAR(AE$4)&gt;=YEAR($F310),AND($K310&lt;&gt;"a",$K310&lt;&gt;"b",$K310&lt;&gt;"g",$K310&lt;&gt;"k")),1,IF(AND($E310&lt;&gt;0,$F310&gt;0,YEAR($F310)&lt;Preisindex!$A$6,YEAR(AE$4)&gt;=YEAR($F310),$K310="a"),ROUND(VLOOKUP(AJ$4,Preisindex,5,FALSE)/VLOOKUP(Preisindex!$A$6,Preisindex,5,FALSE),2),IF(AND($E310&lt;&gt;0,$F310&gt;0,YEAR($F310)&lt;Preisindex!$A$6,YEAR(AE$4)&gt;=YEAR($F310),$K310="b"),ROUND(VLOOKUP(AJ$4,Preisindex,3,FALSE)/VLOOKUP(Preisindex!$A$6,Preisindex,3,FALSE),2),IF(AND($E310&lt;&gt;0,$F310&gt;0,YEAR($F310)&lt;Preisindex!$A$6,YEAR(AE$4)&gt;=YEAR($F310),$K310="g"),ROUND(VLOOKUP(AJ$4,Preisindex,4,FALSE)/VLOOKUP(Preisindex!$A$6,Preisindex,4,FALSE),2),IF(AND($E310&lt;&gt;0,$F310&gt;0,YEAR($F310)&lt;Preisindex!$A$6,YEAR(AE$4)&gt;=YEAR($F310),$K310="k"),ROUND(VLOOKUP(AJ$4,Preisindex,2,FALSE)/VLOOKUP(Preisindex!$A$6,Preisindex,2,FALSE),2),0)))))</f>
        <v>0</v>
      </c>
      <c r="AL310" s="51">
        <f>IF(AND($E310&lt;&gt;0,$F310&gt;0,YEAR($F310)&lt;=AJ$4,YEAR($F310)&gt;=Preisindex!$A$6),ROUND($E310*AJ310,2),IF(AND($E310&lt;&gt;0,$F310&gt;0,YEAR($F310)&lt;=AJ$4,YEAR($F310)&lt;Preisindex!$A$6),ROUND($E310*AK310,2),0))</f>
        <v>0</v>
      </c>
      <c r="AM310" s="53">
        <f t="shared" si="838"/>
        <v>0</v>
      </c>
      <c r="AN310" s="51">
        <f t="shared" si="883"/>
        <v>0</v>
      </c>
      <c r="AO310" s="51">
        <f t="shared" si="841"/>
        <v>0</v>
      </c>
      <c r="AP310" s="51">
        <f t="shared" si="755"/>
        <v>0</v>
      </c>
      <c r="AQ310" s="51">
        <f t="shared" si="842"/>
        <v>0</v>
      </c>
      <c r="AR310" s="51">
        <f t="shared" si="756"/>
        <v>0</v>
      </c>
      <c r="AS310" s="51">
        <f t="shared" si="843"/>
        <v>0</v>
      </c>
      <c r="AT310" s="51">
        <f t="shared" si="757"/>
        <v>0</v>
      </c>
      <c r="AU310" s="51">
        <f t="shared" si="844"/>
        <v>0</v>
      </c>
      <c r="AV310" s="51">
        <f t="shared" si="758"/>
        <v>0</v>
      </c>
      <c r="AW310" s="51">
        <f t="shared" si="845"/>
        <v>0</v>
      </c>
      <c r="AX310" s="51">
        <f t="shared" si="759"/>
        <v>0</v>
      </c>
      <c r="AY310" s="54">
        <f t="shared" si="760"/>
        <v>0</v>
      </c>
      <c r="AZ310" s="55">
        <f t="shared" si="761"/>
        <v>0</v>
      </c>
      <c r="BA310" s="56">
        <f>IF(AND($E310&lt;&gt;0,$F310&gt;0,YEAR($F310)&gt;=Preisindex!$A$6,YEAR(AV$4)&gt;=YEAR($F310),AND($K310&lt;&gt;"a",$K310&lt;&gt;"b",$K310&lt;&gt;"g",$K310&lt;&gt;"k")),1,IF(AND($E310&lt;&gt;0,$F310&gt;0,YEAR($F310)&gt;=Preisindex!$A$6,YEAR(AV$4)&gt;=YEAR($F310),$K310="a"),ROUND(VLOOKUP(BA$4,Preisindex,5,FALSE)/VLOOKUP(YEAR($F310),Preisindex,5,FALSE),2),IF(AND($E310&lt;&gt;0,$F310&gt;0,YEAR($F310)&gt;=Preisindex!$A$6,YEAR(AV$4)&gt;=YEAR($F310),$K310="b"),ROUND(VLOOKUP(BA$4,Preisindex,3,FALSE)/VLOOKUP(YEAR($F310),Preisindex,3,FALSE),2),IF(AND($E310&lt;&gt;0,$F310&gt;0,YEAR($F310)&gt;=Preisindex!$A$6,YEAR(AV$4)&gt;=YEAR($F310),$K310="g"),ROUND(VLOOKUP(BA$4,Preisindex,4,FALSE)/VLOOKUP(YEAR($F310),Preisindex,4,FALSE),2),IF(AND($E310&lt;&gt;0,$F310&gt;0,YEAR($F310)&gt;=Preisindex!$A$6,YEAR(AV$4)&gt;=YEAR($F310),$K310="k"),ROUND(VLOOKUP(BA$4,Preisindex,2,FALSE)/VLOOKUP(YEAR($F310),Preisindex,2,FALSE),2),0)))))</f>
        <v>0</v>
      </c>
      <c r="BB310" s="56">
        <f>IF(AND($E310&lt;&gt;0,$F310&gt;0,YEAR($F310)&lt;Preisindex!$A$6,YEAR(AV$4)&gt;=YEAR($F310),AND($K310&lt;&gt;"a",$K310&lt;&gt;"b",$K310&lt;&gt;"g",$K310&lt;&gt;"k")),1,IF(AND($E310&lt;&gt;0,$F310&gt;0,YEAR($F310)&lt;Preisindex!$A$6,YEAR(AV$4)&gt;=YEAR($F310),$K310="a"),ROUND(VLOOKUP(BA$4,Preisindex,5,FALSE)/VLOOKUP(Preisindex!$A$6,Preisindex,5,FALSE),2),IF(AND($E310&lt;&gt;0,$F310&gt;0,YEAR($F310)&lt;Preisindex!$A$6,YEAR(AV$4)&gt;=YEAR($F310),$K310="b"),ROUND(VLOOKUP(BA$4,Preisindex,3,FALSE)/VLOOKUP(Preisindex!$A$6,Preisindex,3,FALSE),2),IF(AND($E310&lt;&gt;0,$F310&gt;0,YEAR($F310)&lt;Preisindex!$A$6,YEAR(AV$4)&gt;=YEAR($F310),$K310="g"),ROUND(VLOOKUP(BA$4,Preisindex,4,FALSE)/VLOOKUP(Preisindex!$A$6,Preisindex,4,FALSE),2),IF(AND($E310&lt;&gt;0,$F310&gt;0,YEAR($F310)&lt;Preisindex!$A$6,YEAR(AV$4)&gt;=YEAR($F310),$K310="k"),ROUND(VLOOKUP(BA$4,Preisindex,2,FALSE)/VLOOKUP(Preisindex!$A$6,Preisindex,2,FALSE),2),0)))))</f>
        <v>0</v>
      </c>
      <c r="BC310" s="51">
        <f>IF(AND($E310&lt;&gt;0,$F310&gt;0,YEAR($F310)&lt;=BA$4,YEAR($F310)&gt;=Preisindex!$A$6),ROUND($E310*BA310,2),IF(AND($E310&lt;&gt;0,$F310&gt;0,YEAR($F310)&lt;=BA$4,YEAR($F310)&lt;Preisindex!$A$6),ROUND($E310*BB310,2),0))</f>
        <v>0</v>
      </c>
      <c r="BD310" s="53">
        <f t="shared" si="762"/>
        <v>0</v>
      </c>
      <c r="BE310" s="51">
        <f t="shared" si="883"/>
        <v>0</v>
      </c>
      <c r="BF310" s="51">
        <f t="shared" si="846"/>
        <v>0</v>
      </c>
      <c r="BG310" s="51">
        <f t="shared" si="763"/>
        <v>0</v>
      </c>
      <c r="BH310" s="51">
        <f t="shared" si="847"/>
        <v>0</v>
      </c>
      <c r="BI310" s="51">
        <f t="shared" si="764"/>
        <v>0</v>
      </c>
      <c r="BJ310" s="51">
        <f t="shared" si="848"/>
        <v>0</v>
      </c>
      <c r="BK310" s="51">
        <f t="shared" si="765"/>
        <v>0</v>
      </c>
      <c r="BL310" s="51">
        <f t="shared" si="849"/>
        <v>0</v>
      </c>
      <c r="BM310" s="51">
        <f t="shared" si="766"/>
        <v>0</v>
      </c>
      <c r="BN310" s="51">
        <f t="shared" si="850"/>
        <v>0</v>
      </c>
      <c r="BO310" s="51">
        <f t="shared" si="767"/>
        <v>0</v>
      </c>
      <c r="BP310" s="54">
        <f t="shared" si="768"/>
        <v>0</v>
      </c>
      <c r="BQ310" s="55">
        <f t="shared" si="769"/>
        <v>0</v>
      </c>
      <c r="BR310" s="56">
        <f>IF(AND($E310&lt;&gt;0,$F310&gt;0,YEAR($F310)&gt;=Preisindex!$A$6,YEAR(BM$4)&gt;=YEAR($F310),AND($K310&lt;&gt;"a",$K310&lt;&gt;"b",$K310&lt;&gt;"g",$K310&lt;&gt;"k")),1,IF(AND($E310&lt;&gt;0,$F310&gt;0,YEAR($F310)&gt;=Preisindex!$A$6,YEAR(BM$4)&gt;=YEAR($F310),$K310="a"),ROUND(VLOOKUP(BR$4,Preisindex,5,FALSE)/VLOOKUP(YEAR($F310),Preisindex,5,FALSE),2),IF(AND($E310&lt;&gt;0,$F310&gt;0,YEAR($F310)&gt;=Preisindex!$A$6,YEAR(BM$4)&gt;=YEAR($F310),$K310="b"),ROUND(VLOOKUP(BR$4,Preisindex,3,FALSE)/VLOOKUP(YEAR($F310),Preisindex,3,FALSE),2),IF(AND($E310&lt;&gt;0,$F310&gt;0,YEAR($F310)&gt;=Preisindex!$A$6,YEAR(BM$4)&gt;=YEAR($F310),$K310="g"),ROUND(VLOOKUP(BR$4,Preisindex,4,FALSE)/VLOOKUP(YEAR($F310),Preisindex,4,FALSE),2),IF(AND($E310&lt;&gt;0,$F310&gt;0,YEAR($F310)&gt;=Preisindex!$A$6,YEAR(BM$4)&gt;=YEAR($F310),$K310="k"),ROUND(VLOOKUP(BR$4,Preisindex,2,FALSE)/VLOOKUP(YEAR($F310),Preisindex,2,FALSE),2),0)))))</f>
        <v>0</v>
      </c>
      <c r="BS310" s="56">
        <f>IF(AND($E310&lt;&gt;0,$F310&gt;0,YEAR($F310)&lt;Preisindex!$A$6,YEAR(BM$4)&gt;=YEAR($F310),AND($K310&lt;&gt;"a",$K310&lt;&gt;"b",$K310&lt;&gt;"g",$K310&lt;&gt;"k")),1,IF(AND($E310&lt;&gt;0,$F310&gt;0,YEAR($F310)&lt;Preisindex!$A$6,YEAR(BM$4)&gt;=YEAR($F310),$K310="a"),ROUND(VLOOKUP(BR$4,Preisindex,5,FALSE)/VLOOKUP(Preisindex!$A$6,Preisindex,5,FALSE),2),IF(AND($E310&lt;&gt;0,$F310&gt;0,YEAR($F310)&lt;Preisindex!$A$6,YEAR(BM$4)&gt;=YEAR($F310),$K310="b"),ROUND(VLOOKUP(BR$4,Preisindex,3,FALSE)/VLOOKUP(Preisindex!$A$6,Preisindex,3,FALSE),2),IF(AND($E310&lt;&gt;0,$F310&gt;0,YEAR($F310)&lt;Preisindex!$A$6,YEAR(BM$4)&gt;=YEAR($F310),$K310="g"),ROUND(VLOOKUP(BR$4,Preisindex,4,FALSE)/VLOOKUP(Preisindex!$A$6,Preisindex,4,FALSE),2),IF(AND($E310&lt;&gt;0,$F310&gt;0,YEAR($F310)&lt;Preisindex!$A$6,YEAR(BM$4)&gt;=YEAR($F310),$K310="k"),ROUND(VLOOKUP(BR$4,Preisindex,2,FALSE)/VLOOKUP(Preisindex!$A$6,Preisindex,2,FALSE),2),0)))))</f>
        <v>0</v>
      </c>
      <c r="BT310" s="51">
        <f>IF(AND($E310&lt;&gt;0,$F310&gt;0,YEAR($F310)&lt;=BR$4,YEAR($F310)&gt;=Preisindex!$A$6),ROUND($E310*BR310,2),IF(AND($E310&lt;&gt;0,$F310&gt;0,YEAR($F310)&lt;=BR$4,YEAR($F310)&lt;Preisindex!$A$6),ROUND($E310*BS310,2),0))</f>
        <v>0</v>
      </c>
      <c r="BU310" s="53">
        <f t="shared" si="770"/>
        <v>0</v>
      </c>
      <c r="BV310" s="51">
        <f t="shared" si="883"/>
        <v>0</v>
      </c>
      <c r="BW310" s="51">
        <f t="shared" si="851"/>
        <v>0</v>
      </c>
      <c r="BX310" s="51">
        <f t="shared" si="771"/>
        <v>0</v>
      </c>
      <c r="BY310" s="51">
        <f t="shared" si="852"/>
        <v>0</v>
      </c>
      <c r="BZ310" s="51">
        <f t="shared" si="772"/>
        <v>0</v>
      </c>
      <c r="CA310" s="51">
        <f t="shared" si="853"/>
        <v>0</v>
      </c>
      <c r="CB310" s="51">
        <f t="shared" si="773"/>
        <v>0</v>
      </c>
      <c r="CC310" s="51">
        <f t="shared" si="854"/>
        <v>0</v>
      </c>
      <c r="CD310" s="51">
        <f t="shared" si="774"/>
        <v>0</v>
      </c>
      <c r="CE310" s="51">
        <f t="shared" si="855"/>
        <v>0</v>
      </c>
      <c r="CF310" s="51">
        <f t="shared" si="775"/>
        <v>0</v>
      </c>
      <c r="CG310" s="54">
        <f t="shared" si="776"/>
        <v>0</v>
      </c>
      <c r="CH310" s="55">
        <f t="shared" si="777"/>
        <v>0</v>
      </c>
      <c r="CI310" s="56">
        <f>IF(AND($E310&lt;&gt;0,$F310&gt;0,YEAR($F310)&gt;=Preisindex!$A$6,YEAR(CD$4)&gt;=YEAR($F310),AND($K310&lt;&gt;"a",$K310&lt;&gt;"b",$K310&lt;&gt;"g",$K310&lt;&gt;"k")),1,IF(AND($E310&lt;&gt;0,$F310&gt;0,YEAR($F310)&gt;=Preisindex!$A$6,YEAR(CD$4)&gt;=YEAR($F310),$K310="a"),ROUND(VLOOKUP(CI$4,Preisindex,5,FALSE)/VLOOKUP(YEAR($F310),Preisindex,5,FALSE),2),IF(AND($E310&lt;&gt;0,$F310&gt;0,YEAR($F310)&gt;=Preisindex!$A$6,YEAR(CD$4)&gt;=YEAR($F310),$K310="b"),ROUND(VLOOKUP(CI$4,Preisindex,3,FALSE)/VLOOKUP(YEAR($F310),Preisindex,3,FALSE),2),IF(AND($E310&lt;&gt;0,$F310&gt;0,YEAR($F310)&gt;=Preisindex!$A$6,YEAR(CD$4)&gt;=YEAR($F310),$K310="g"),ROUND(VLOOKUP(CI$4,Preisindex,4,FALSE)/VLOOKUP(YEAR($F310),Preisindex,4,FALSE),2),IF(AND($E310&lt;&gt;0,$F310&gt;0,YEAR($F310)&gt;=Preisindex!$A$6,YEAR(CD$4)&gt;=YEAR($F310),$K310="k"),ROUND(VLOOKUP(CI$4,Preisindex,2,FALSE)/VLOOKUP(YEAR($F310),Preisindex,2,FALSE),2),0)))))</f>
        <v>0</v>
      </c>
      <c r="CJ310" s="56">
        <f>IF(AND($E310&lt;&gt;0,$F310&gt;0,YEAR($F310)&lt;Preisindex!$A$6,YEAR(CD$4)&gt;=YEAR($F310),AND($K310&lt;&gt;"a",$K310&lt;&gt;"b",$K310&lt;&gt;"g",$K310&lt;&gt;"k")),1,IF(AND($E310&lt;&gt;0,$F310&gt;0,YEAR($F310)&lt;Preisindex!$A$6,YEAR(CD$4)&gt;=YEAR($F310),$K310="a"),ROUND(VLOOKUP(CI$4,Preisindex,5,FALSE)/VLOOKUP(Preisindex!$A$6,Preisindex,5,FALSE),2),IF(AND($E310&lt;&gt;0,$F310&gt;0,YEAR($F310)&lt;Preisindex!$A$6,YEAR(CD$4)&gt;=YEAR($F310),$K310="b"),ROUND(VLOOKUP(CI$4,Preisindex,3,FALSE)/VLOOKUP(Preisindex!$A$6,Preisindex,3,FALSE),2),IF(AND($E310&lt;&gt;0,$F310&gt;0,YEAR($F310)&lt;Preisindex!$A$6,YEAR(CD$4)&gt;=YEAR($F310),$K310="g"),ROUND(VLOOKUP(CI$4,Preisindex,4,FALSE)/VLOOKUP(Preisindex!$A$6,Preisindex,4,FALSE),2),IF(AND($E310&lt;&gt;0,$F310&gt;0,YEAR($F310)&lt;Preisindex!$A$6,YEAR(CD$4)&gt;=YEAR($F310),$K310="k"),ROUND(VLOOKUP(CI$4,Preisindex,2,FALSE)/VLOOKUP(Preisindex!$A$6,Preisindex,2,FALSE),2),0)))))</f>
        <v>0</v>
      </c>
      <c r="CK310" s="51">
        <f>IF(AND($E310&lt;&gt;0,$F310&gt;0,YEAR($F310)&lt;=CI$4,YEAR($F310)&gt;=Preisindex!$A$6),ROUND($E310*CI310,2),IF(AND($E310&lt;&gt;0,$F310&gt;0,YEAR($F310)&lt;=CI$4,YEAR($F310)&lt;Preisindex!$A$6),ROUND($E310*CJ310,2),0))</f>
        <v>0</v>
      </c>
      <c r="CL310" s="53">
        <f t="shared" si="778"/>
        <v>0</v>
      </c>
      <c r="CM310" s="51">
        <f t="shared" si="883"/>
        <v>0</v>
      </c>
      <c r="CN310" s="51">
        <f t="shared" si="856"/>
        <v>0</v>
      </c>
      <c r="CO310" s="51">
        <f t="shared" si="779"/>
        <v>0</v>
      </c>
      <c r="CP310" s="51">
        <f t="shared" si="857"/>
        <v>0</v>
      </c>
      <c r="CQ310" s="51">
        <f t="shared" si="780"/>
        <v>0</v>
      </c>
      <c r="CR310" s="51">
        <f t="shared" si="858"/>
        <v>0</v>
      </c>
      <c r="CS310" s="51">
        <f t="shared" si="781"/>
        <v>0</v>
      </c>
      <c r="CT310" s="51">
        <f t="shared" si="859"/>
        <v>0</v>
      </c>
      <c r="CU310" s="51">
        <f t="shared" si="782"/>
        <v>0</v>
      </c>
      <c r="CV310" s="51">
        <f t="shared" si="860"/>
        <v>0</v>
      </c>
      <c r="CW310" s="51">
        <f t="shared" si="783"/>
        <v>0</v>
      </c>
      <c r="CX310" s="54">
        <f t="shared" si="784"/>
        <v>0</v>
      </c>
      <c r="CY310" s="55">
        <f t="shared" si="785"/>
        <v>0</v>
      </c>
      <c r="CZ310" s="56">
        <f>IF(AND($E310&lt;&gt;0,$F310&gt;0,YEAR($F310)&gt;=Preisindex!$A$6,YEAR(CU$4)&gt;=YEAR($F310),AND($K310&lt;&gt;"a",$K310&lt;&gt;"b",$K310&lt;&gt;"g",$K310&lt;&gt;"k")),1,IF(AND($E310&lt;&gt;0,$F310&gt;0,YEAR($F310)&gt;=Preisindex!$A$6,YEAR(CU$4)&gt;=YEAR($F310),$K310="a"),ROUND(VLOOKUP(CZ$4,Preisindex,5,FALSE)/VLOOKUP(YEAR($F310),Preisindex,5,FALSE),2),IF(AND($E310&lt;&gt;0,$F310&gt;0,YEAR($F310)&gt;=Preisindex!$A$6,YEAR(CU$4)&gt;=YEAR($F310),$K310="b"),ROUND(VLOOKUP(CZ$4,Preisindex,3,FALSE)/VLOOKUP(YEAR($F310),Preisindex,3,FALSE),2),IF(AND($E310&lt;&gt;0,$F310&gt;0,YEAR($F310)&gt;=Preisindex!$A$6,YEAR(CU$4)&gt;=YEAR($F310),$K310="g"),ROUND(VLOOKUP(CZ$4,Preisindex,4,FALSE)/VLOOKUP(YEAR($F310),Preisindex,4,FALSE),2),IF(AND($E310&lt;&gt;0,$F310&gt;0,YEAR($F310)&gt;=Preisindex!$A$6,YEAR(CU$4)&gt;=YEAR($F310),$K310="k"),ROUND(VLOOKUP(CZ$4,Preisindex,2,FALSE)/VLOOKUP(YEAR($F310),Preisindex,2,FALSE),2),0)))))</f>
        <v>0</v>
      </c>
      <c r="DA310" s="56">
        <f>IF(AND($E310&lt;&gt;0,$F310&gt;0,YEAR($F310)&lt;Preisindex!$A$6,YEAR(CU$4)&gt;=YEAR($F310),AND($K310&lt;&gt;"a",$K310&lt;&gt;"b",$K310&lt;&gt;"g",$K310&lt;&gt;"k")),1,IF(AND($E310&lt;&gt;0,$F310&gt;0,YEAR($F310)&lt;Preisindex!$A$6,YEAR(CU$4)&gt;=YEAR($F310),$K310="a"),ROUND(VLOOKUP(CZ$4,Preisindex,5,FALSE)/VLOOKUP(Preisindex!$A$6,Preisindex,5,FALSE),2),IF(AND($E310&lt;&gt;0,$F310&gt;0,YEAR($F310)&lt;Preisindex!$A$6,YEAR(CU$4)&gt;=YEAR($F310),$K310="b"),ROUND(VLOOKUP(CZ$4,Preisindex,3,FALSE)/VLOOKUP(Preisindex!$A$6,Preisindex,3,FALSE),2),IF(AND($E310&lt;&gt;0,$F310&gt;0,YEAR($F310)&lt;Preisindex!$A$6,YEAR(CU$4)&gt;=YEAR($F310),$K310="g"),ROUND(VLOOKUP(CZ$4,Preisindex,4,FALSE)/VLOOKUP(Preisindex!$A$6,Preisindex,4,FALSE),2),IF(AND($E310&lt;&gt;0,$F310&gt;0,YEAR($F310)&lt;Preisindex!$A$6,YEAR(CU$4)&gt;=YEAR($F310),$K310="k"),ROUND(VLOOKUP(CZ$4,Preisindex,2,FALSE)/VLOOKUP(Preisindex!$A$6,Preisindex,2,FALSE),2),0)))))</f>
        <v>0</v>
      </c>
      <c r="DB310" s="51">
        <f>IF(AND($E310&lt;&gt;0,$F310&gt;0,YEAR($F310)&lt;=CZ$4,YEAR($F310)&gt;=Preisindex!$A$6),ROUND($E310*CZ310,2),IF(AND($E310&lt;&gt;0,$F310&gt;0,YEAR($F310)&lt;=CZ$4,YEAR($F310)&lt;Preisindex!$A$6),ROUND($E310*DA310,2),0))</f>
        <v>0</v>
      </c>
      <c r="DC310" s="53">
        <f t="shared" si="786"/>
        <v>0</v>
      </c>
      <c r="DD310" s="51">
        <f t="shared" si="884"/>
        <v>0</v>
      </c>
      <c r="DE310" s="51">
        <f t="shared" si="861"/>
        <v>0</v>
      </c>
      <c r="DF310" s="51">
        <f t="shared" si="788"/>
        <v>0</v>
      </c>
      <c r="DG310" s="51">
        <f t="shared" si="862"/>
        <v>0</v>
      </c>
      <c r="DH310" s="51">
        <f t="shared" si="789"/>
        <v>0</v>
      </c>
      <c r="DI310" s="51">
        <f t="shared" si="863"/>
        <v>0</v>
      </c>
      <c r="DJ310" s="51">
        <f t="shared" si="790"/>
        <v>0</v>
      </c>
      <c r="DK310" s="51">
        <f t="shared" si="864"/>
        <v>0</v>
      </c>
      <c r="DL310" s="51">
        <f t="shared" si="791"/>
        <v>0</v>
      </c>
      <c r="DM310" s="51">
        <f t="shared" si="865"/>
        <v>0</v>
      </c>
      <c r="DN310" s="51">
        <f t="shared" si="792"/>
        <v>0</v>
      </c>
      <c r="DO310" s="54">
        <f t="shared" si="793"/>
        <v>0</v>
      </c>
      <c r="DP310" s="55">
        <f t="shared" si="794"/>
        <v>0</v>
      </c>
      <c r="DQ310" s="56">
        <f>IF(AND($E310&lt;&gt;0,$F310&gt;0,YEAR($F310)&gt;=Preisindex!$A$6,YEAR(DL$4)&gt;=YEAR($F310),AND($K310&lt;&gt;"a",$K310&lt;&gt;"b",$K310&lt;&gt;"g",$K310&lt;&gt;"k")),1,IF(AND($E310&lt;&gt;0,$F310&gt;0,YEAR($F310)&gt;=Preisindex!$A$6,YEAR(DL$4)&gt;=YEAR($F310),$K310="a"),ROUND(VLOOKUP(DQ$4,Preisindex,5,FALSE)/VLOOKUP(YEAR($F310),Preisindex,5,FALSE),2),IF(AND($E310&lt;&gt;0,$F310&gt;0,YEAR($F310)&gt;=Preisindex!$A$6,YEAR(DL$4)&gt;=YEAR($F310),$K310="b"),ROUND(VLOOKUP(DQ$4,Preisindex,3,FALSE)/VLOOKUP(YEAR($F310),Preisindex,3,FALSE),2),IF(AND($E310&lt;&gt;0,$F310&gt;0,YEAR($F310)&gt;=Preisindex!$A$6,YEAR(DL$4)&gt;=YEAR($F310),$K310="g"),ROUND(VLOOKUP(DQ$4,Preisindex,4,FALSE)/VLOOKUP(YEAR($F310),Preisindex,4,FALSE),2),IF(AND($E310&lt;&gt;0,$F310&gt;0,YEAR($F310)&gt;=Preisindex!$A$6,YEAR(DL$4)&gt;=YEAR($F310),$K310="k"),ROUND(VLOOKUP(DQ$4,Preisindex,2,FALSE)/VLOOKUP(YEAR($F310),Preisindex,2,FALSE),2),0)))))</f>
        <v>0</v>
      </c>
      <c r="DR310" s="56">
        <f>IF(AND($E310&lt;&gt;0,$F310&gt;0,YEAR($F310)&lt;Preisindex!$A$6,YEAR(DL$4)&gt;=YEAR($F310),AND($K310&lt;&gt;"a",$K310&lt;&gt;"b",$K310&lt;&gt;"g",$K310&lt;&gt;"k")),1,IF(AND($E310&lt;&gt;0,$F310&gt;0,YEAR($F310)&lt;Preisindex!$A$6,YEAR(DL$4)&gt;=YEAR($F310),$K310="a"),ROUND(VLOOKUP(DQ$4,Preisindex,5,FALSE)/VLOOKUP(Preisindex!$A$6,Preisindex,5,FALSE),2),IF(AND($E310&lt;&gt;0,$F310&gt;0,YEAR($F310)&lt;Preisindex!$A$6,YEAR(DL$4)&gt;=YEAR($F310),$K310="b"),ROUND(VLOOKUP(DQ$4,Preisindex,3,FALSE)/VLOOKUP(Preisindex!$A$6,Preisindex,3,FALSE),2),IF(AND($E310&lt;&gt;0,$F310&gt;0,YEAR($F310)&lt;Preisindex!$A$6,YEAR(DL$4)&gt;=YEAR($F310),$K310="g"),ROUND(VLOOKUP(DQ$4,Preisindex,4,FALSE)/VLOOKUP(Preisindex!$A$6,Preisindex,4,FALSE),2),IF(AND($E310&lt;&gt;0,$F310&gt;0,YEAR($F310)&lt;Preisindex!$A$6,YEAR(DL$4)&gt;=YEAR($F310),$K310="k"),ROUND(VLOOKUP(DQ$4,Preisindex,2,FALSE)/VLOOKUP(Preisindex!$A$6,Preisindex,2,FALSE),2),0)))))</f>
        <v>0</v>
      </c>
      <c r="DS310" s="51">
        <f>IF(AND($E310&lt;&gt;0,$F310&gt;0,YEAR($F310)&lt;=DQ$4,YEAR($F310)&gt;=Preisindex!$A$6),ROUND($E310*DQ310,2),IF(AND($E310&lt;&gt;0,$F310&gt;0,YEAR($F310)&lt;=DQ$4,YEAR($F310)&lt;Preisindex!$A$6),ROUND($E310*DR310,2),0))</f>
        <v>0</v>
      </c>
      <c r="DT310" s="53">
        <f t="shared" si="795"/>
        <v>0</v>
      </c>
      <c r="DU310" s="51">
        <f t="shared" si="884"/>
        <v>0</v>
      </c>
      <c r="DV310" s="51">
        <f t="shared" si="866"/>
        <v>0</v>
      </c>
      <c r="DW310" s="51">
        <f t="shared" si="796"/>
        <v>0</v>
      </c>
      <c r="DX310" s="51">
        <f t="shared" si="867"/>
        <v>0</v>
      </c>
      <c r="DY310" s="51">
        <f t="shared" si="797"/>
        <v>0</v>
      </c>
      <c r="DZ310" s="51">
        <f t="shared" si="868"/>
        <v>0</v>
      </c>
      <c r="EA310" s="51">
        <f t="shared" si="798"/>
        <v>0</v>
      </c>
      <c r="EB310" s="51">
        <f t="shared" si="869"/>
        <v>0</v>
      </c>
      <c r="EC310" s="51">
        <f t="shared" si="799"/>
        <v>0</v>
      </c>
      <c r="ED310" s="51">
        <f t="shared" si="870"/>
        <v>0</v>
      </c>
      <c r="EE310" s="51">
        <f t="shared" si="800"/>
        <v>0</v>
      </c>
      <c r="EF310" s="54">
        <f t="shared" si="801"/>
        <v>0</v>
      </c>
      <c r="EG310" s="55">
        <f t="shared" si="802"/>
        <v>0</v>
      </c>
      <c r="EH310" s="56">
        <f>IF(AND($E310&lt;&gt;0,$F310&gt;0,YEAR($F310)&gt;=Preisindex!$A$6,YEAR(EC$4)&gt;=YEAR($F310),AND($K310&lt;&gt;"a",$K310&lt;&gt;"b",$K310&lt;&gt;"g",$K310&lt;&gt;"k")),1,IF(AND($E310&lt;&gt;0,$F310&gt;0,YEAR($F310)&gt;=Preisindex!$A$6,YEAR(EC$4)&gt;=YEAR($F310),$K310="a"),ROUND(VLOOKUP(EH$4,Preisindex,5,FALSE)/VLOOKUP(YEAR($F310),Preisindex,5,FALSE),2),IF(AND($E310&lt;&gt;0,$F310&gt;0,YEAR($F310)&gt;=Preisindex!$A$6,YEAR(EC$4)&gt;=YEAR($F310),$K310="b"),ROUND(VLOOKUP(EH$4,Preisindex,3,FALSE)/VLOOKUP(YEAR($F310),Preisindex,3,FALSE),2),IF(AND($E310&lt;&gt;0,$F310&gt;0,YEAR($F310)&gt;=Preisindex!$A$6,YEAR(EC$4)&gt;=YEAR($F310),$K310="g"),ROUND(VLOOKUP(EH$4,Preisindex,4,FALSE)/VLOOKUP(YEAR($F310),Preisindex,4,FALSE),2),IF(AND($E310&lt;&gt;0,$F310&gt;0,YEAR($F310)&gt;=Preisindex!$A$6,YEAR(EC$4)&gt;=YEAR($F310),$K310="k"),ROUND(VLOOKUP(EH$4,Preisindex,2,FALSE)/VLOOKUP(YEAR($F310),Preisindex,2,FALSE),2),0)))))</f>
        <v>0</v>
      </c>
      <c r="EI310" s="56">
        <f>IF(AND($E310&lt;&gt;0,$F310&gt;0,YEAR($F310)&lt;Preisindex!$A$6,YEAR(EC$4)&gt;=YEAR($F310),AND($K310&lt;&gt;"a",$K310&lt;&gt;"b",$K310&lt;&gt;"g",$K310&lt;&gt;"k")),1,IF(AND($E310&lt;&gt;0,$F310&gt;0,YEAR($F310)&lt;Preisindex!$A$6,YEAR(EC$4)&gt;=YEAR($F310),$K310="a"),ROUND(VLOOKUP(EH$4,Preisindex,5,FALSE)/VLOOKUP(Preisindex!$A$6,Preisindex,5,FALSE),2),IF(AND($E310&lt;&gt;0,$F310&gt;0,YEAR($F310)&lt;Preisindex!$A$6,YEAR(EC$4)&gt;=YEAR($F310),$K310="b"),ROUND(VLOOKUP(EH$4,Preisindex,3,FALSE)/VLOOKUP(Preisindex!$A$6,Preisindex,3,FALSE),2),IF(AND($E310&lt;&gt;0,$F310&gt;0,YEAR($F310)&lt;Preisindex!$A$6,YEAR(EC$4)&gt;=YEAR($F310),$K310="g"),ROUND(VLOOKUP(EH$4,Preisindex,4,FALSE)/VLOOKUP(Preisindex!$A$6,Preisindex,4,FALSE),2),IF(AND($E310&lt;&gt;0,$F310&gt;0,YEAR($F310)&lt;Preisindex!$A$6,YEAR(EC$4)&gt;=YEAR($F310),$K310="k"),ROUND(VLOOKUP(EH$4,Preisindex,2,FALSE)/VLOOKUP(Preisindex!$A$6,Preisindex,2,FALSE),2),0)))))</f>
        <v>0</v>
      </c>
      <c r="EJ310" s="51">
        <f>IF(AND($E310&lt;&gt;0,$F310&gt;0,YEAR($F310)&lt;=EH$4,YEAR($F310)&gt;=Preisindex!$A$6),ROUND($E310*EH310,2),IF(AND($E310&lt;&gt;0,$F310&gt;0,YEAR($F310)&lt;=EH$4,YEAR($F310)&lt;Preisindex!$A$6),ROUND($E310*EI310,2),0))</f>
        <v>0</v>
      </c>
      <c r="EK310" s="53">
        <f t="shared" si="803"/>
        <v>0</v>
      </c>
      <c r="EL310" s="51">
        <f t="shared" si="884"/>
        <v>0</v>
      </c>
      <c r="EM310" s="51">
        <f t="shared" si="871"/>
        <v>0</v>
      </c>
      <c r="EN310" s="51">
        <f t="shared" si="804"/>
        <v>0</v>
      </c>
      <c r="EO310" s="51">
        <f t="shared" si="872"/>
        <v>0</v>
      </c>
      <c r="EP310" s="51">
        <f t="shared" si="805"/>
        <v>0</v>
      </c>
      <c r="EQ310" s="51">
        <f t="shared" si="873"/>
        <v>0</v>
      </c>
      <c r="ER310" s="51">
        <f t="shared" si="806"/>
        <v>0</v>
      </c>
      <c r="ES310" s="51">
        <f t="shared" si="874"/>
        <v>0</v>
      </c>
      <c r="ET310" s="51">
        <f t="shared" si="807"/>
        <v>0</v>
      </c>
      <c r="EU310" s="51">
        <f t="shared" si="875"/>
        <v>0</v>
      </c>
      <c r="EV310" s="51">
        <f t="shared" si="808"/>
        <v>0</v>
      </c>
      <c r="EW310" s="54">
        <f t="shared" si="809"/>
        <v>0</v>
      </c>
      <c r="EX310" s="55">
        <f t="shared" si="810"/>
        <v>0</v>
      </c>
      <c r="EY310" s="56">
        <f>IF(AND($E310&lt;&gt;0,$F310&gt;0,YEAR($F310)&gt;=Preisindex!$A$6,YEAR(ET$4)&gt;=YEAR($F310),AND($K310&lt;&gt;"a",$K310&lt;&gt;"b",$K310&lt;&gt;"g",$K310&lt;&gt;"k")),1,IF(AND($E310&lt;&gt;0,$F310&gt;0,YEAR($F310)&gt;=Preisindex!$A$6,YEAR(ET$4)&gt;=YEAR($F310),$K310="a"),ROUND(VLOOKUP(EY$4,Preisindex,5,FALSE)/VLOOKUP(YEAR($F310),Preisindex,5,FALSE),2),IF(AND($E310&lt;&gt;0,$F310&gt;0,YEAR($F310)&gt;=Preisindex!$A$6,YEAR(ET$4)&gt;=YEAR($F310),$K310="b"),ROUND(VLOOKUP(EY$4,Preisindex,3,FALSE)/VLOOKUP(YEAR($F310),Preisindex,3,FALSE),2),IF(AND($E310&lt;&gt;0,$F310&gt;0,YEAR($F310)&gt;=Preisindex!$A$6,YEAR(ET$4)&gt;=YEAR($F310),$K310="g"),ROUND(VLOOKUP(EY$4,Preisindex,4,FALSE)/VLOOKUP(YEAR($F310),Preisindex,4,FALSE),2),IF(AND($E310&lt;&gt;0,$F310&gt;0,YEAR($F310)&gt;=Preisindex!$A$6,YEAR(ET$4)&gt;=YEAR($F310),$K310="k"),ROUND(VLOOKUP(EY$4,Preisindex,2,FALSE)/VLOOKUP(YEAR($F310),Preisindex,2,FALSE),2),0)))))</f>
        <v>0</v>
      </c>
      <c r="EZ310" s="56">
        <f>IF(AND($E310&lt;&gt;0,$F310&gt;0,YEAR($F310)&lt;Preisindex!$A$6,YEAR(ET$4)&gt;=YEAR($F310),AND($K310&lt;&gt;"a",$K310&lt;&gt;"b",$K310&lt;&gt;"g",$K310&lt;&gt;"k")),1,IF(AND($E310&lt;&gt;0,$F310&gt;0,YEAR($F310)&lt;Preisindex!$A$6,YEAR(ET$4)&gt;=YEAR($F310),$K310="a"),ROUND(VLOOKUP(EY$4,Preisindex,5,FALSE)/VLOOKUP(Preisindex!$A$6,Preisindex,5,FALSE),2),IF(AND($E310&lt;&gt;0,$F310&gt;0,YEAR($F310)&lt;Preisindex!$A$6,YEAR(ET$4)&gt;=YEAR($F310),$K310="b"),ROUND(VLOOKUP(EY$4,Preisindex,3,FALSE)/VLOOKUP(Preisindex!$A$6,Preisindex,3,FALSE),2),IF(AND($E310&lt;&gt;0,$F310&gt;0,YEAR($F310)&lt;Preisindex!$A$6,YEAR(ET$4)&gt;=YEAR($F310),$K310="g"),ROUND(VLOOKUP(EY$4,Preisindex,4,FALSE)/VLOOKUP(Preisindex!$A$6,Preisindex,4,FALSE),2),IF(AND($E310&lt;&gt;0,$F310&gt;0,YEAR($F310)&lt;Preisindex!$A$6,YEAR(ET$4)&gt;=YEAR($F310),$K310="k"),ROUND(VLOOKUP(EY$4,Preisindex,2,FALSE)/VLOOKUP(Preisindex!$A$6,Preisindex,2,FALSE),2),0)))))</f>
        <v>0</v>
      </c>
      <c r="FA310" s="51">
        <f>IF(AND($E310&lt;&gt;0,$F310&gt;0,YEAR($F310)&lt;=EY$4,YEAR($F310)&gt;=Preisindex!$A$6),ROUND($E310*EY310,2),IF(AND($E310&lt;&gt;0,$F310&gt;0,YEAR($F310)&lt;=EY$4,YEAR($F310)&lt;Preisindex!$A$6),ROUND($E310*EZ310,2),0))</f>
        <v>0</v>
      </c>
      <c r="FB310" s="53">
        <f t="shared" si="811"/>
        <v>0</v>
      </c>
      <c r="FC310" s="51">
        <f t="shared" si="884"/>
        <v>0</v>
      </c>
      <c r="FD310" s="51">
        <f t="shared" si="876"/>
        <v>0</v>
      </c>
      <c r="FE310" s="51">
        <f t="shared" si="812"/>
        <v>0</v>
      </c>
      <c r="FF310" s="51">
        <f t="shared" si="877"/>
        <v>0</v>
      </c>
      <c r="FG310" s="51">
        <f t="shared" si="813"/>
        <v>0</v>
      </c>
      <c r="FH310" s="51">
        <f t="shared" si="878"/>
        <v>0</v>
      </c>
      <c r="FI310" s="51">
        <f t="shared" si="814"/>
        <v>0</v>
      </c>
      <c r="FJ310" s="51">
        <f t="shared" si="879"/>
        <v>0</v>
      </c>
      <c r="FK310" s="51">
        <f t="shared" si="815"/>
        <v>0</v>
      </c>
      <c r="FL310" s="51">
        <f t="shared" si="880"/>
        <v>0</v>
      </c>
      <c r="FM310" s="51">
        <f t="shared" si="816"/>
        <v>0</v>
      </c>
      <c r="FN310" s="54">
        <f t="shared" si="817"/>
        <v>0</v>
      </c>
      <c r="FO310" s="55">
        <f t="shared" si="818"/>
        <v>0</v>
      </c>
      <c r="FP310" s="56">
        <f>IF(AND($E310&lt;&gt;0,$F310&gt;0,YEAR($F310)&gt;=Preisindex!$A$6,YEAR(FK$4)&gt;=YEAR($F310),AND($K310&lt;&gt;"a",$K310&lt;&gt;"b",$K310&lt;&gt;"g",$K310&lt;&gt;"k")),1,IF(AND($E310&lt;&gt;0,$F310&gt;0,YEAR($F310)&gt;=Preisindex!$A$6,YEAR(FK$4)&gt;=YEAR($F310),$K310="a"),ROUND(VLOOKUP(FP$4,Preisindex,5,FALSE)/VLOOKUP(YEAR($F310),Preisindex,5,FALSE),2),IF(AND($E310&lt;&gt;0,$F310&gt;0,YEAR($F310)&gt;=Preisindex!$A$6,YEAR(FK$4)&gt;=YEAR($F310),$K310="b"),ROUND(VLOOKUP(FP$4,Preisindex,3,FALSE)/VLOOKUP(YEAR($F310),Preisindex,3,FALSE),2),IF(AND($E310&lt;&gt;0,$F310&gt;0,YEAR($F310)&gt;=Preisindex!$A$6,YEAR(FK$4)&gt;=YEAR($F310),$K310="g"),ROUND(VLOOKUP(FP$4,Preisindex,4,FALSE)/VLOOKUP(YEAR($F310),Preisindex,4,FALSE),2),IF(AND($E310&lt;&gt;0,$F310&gt;0,YEAR($F310)&gt;=Preisindex!$A$6,YEAR(FK$4)&gt;=YEAR($F310),$K310="k"),ROUND(VLOOKUP(FP$4,Preisindex,2,FALSE)/VLOOKUP(YEAR($F310),Preisindex,2,FALSE),2),0)))))</f>
        <v>0</v>
      </c>
      <c r="FQ310" s="56">
        <f>IF(AND($E310&lt;&gt;0,$F310&gt;0,YEAR($F310)&lt;Preisindex!$A$6,YEAR(FK$4)&gt;=YEAR($F310),AND($K310&lt;&gt;"a",$K310&lt;&gt;"b",$K310&lt;&gt;"g",$K310&lt;&gt;"k")),1,IF(AND($E310&lt;&gt;0,$F310&gt;0,YEAR($F310)&lt;Preisindex!$A$6,YEAR(FK$4)&gt;=YEAR($F310),$K310="a"),ROUND(VLOOKUP(FP$4,Preisindex,5,FALSE)/VLOOKUP(Preisindex!$A$6,Preisindex,5,FALSE),2),IF(AND($E310&lt;&gt;0,$F310&gt;0,YEAR($F310)&lt;Preisindex!$A$6,YEAR(FK$4)&gt;=YEAR($F310),$K310="b"),ROUND(VLOOKUP(FP$4,Preisindex,3,FALSE)/VLOOKUP(Preisindex!$A$6,Preisindex,3,FALSE),2),IF(AND($E310&lt;&gt;0,$F310&gt;0,YEAR($F310)&lt;Preisindex!$A$6,YEAR(FK$4)&gt;=YEAR($F310),$K310="g"),ROUND(VLOOKUP(FP$4,Preisindex,4,FALSE)/VLOOKUP(Preisindex!$A$6,Preisindex,4,FALSE),2),IF(AND($E310&lt;&gt;0,$F310&gt;0,YEAR($F310)&lt;Preisindex!$A$6,YEAR(FK$4)&gt;=YEAR($F310),$K310="k"),ROUND(VLOOKUP(FP$4,Preisindex,2,FALSE)/VLOOKUP(Preisindex!$A$6,Preisindex,2,FALSE),2),0)))))</f>
        <v>0</v>
      </c>
      <c r="FR310" s="51">
        <f>IF(AND($E310&lt;&gt;0,$F310&gt;0,YEAR($F310)&lt;=FP$4,YEAR($F310)&gt;=Preisindex!$A$6),ROUND($E310*FP310,2),IF(AND($E310&lt;&gt;0,$F310&gt;0,YEAR($F310)&lt;=FP$4,YEAR($F310)&lt;Preisindex!$A$6),ROUND($E310*FQ310,2),0))</f>
        <v>0</v>
      </c>
      <c r="FS310" s="53">
        <f t="shared" si="819"/>
        <v>0</v>
      </c>
    </row>
    <row r="311" spans="1:175" x14ac:dyDescent="0.3">
      <c r="A311" s="185"/>
      <c r="B311" s="186"/>
      <c r="C311" s="187"/>
      <c r="D311" s="95"/>
      <c r="E311" s="99"/>
      <c r="F311" s="97"/>
      <c r="G311" s="98"/>
      <c r="H311" s="192"/>
      <c r="I311" s="193"/>
      <c r="J311" s="194"/>
      <c r="K311" s="630"/>
      <c r="L311" s="49">
        <f t="shared" si="820"/>
        <v>0</v>
      </c>
      <c r="M311" s="50">
        <f t="shared" si="821"/>
        <v>0</v>
      </c>
      <c r="N311" s="51">
        <f t="shared" si="822"/>
        <v>0</v>
      </c>
      <c r="O311" s="51"/>
      <c r="P311" s="51">
        <f t="shared" si="823"/>
        <v>0</v>
      </c>
      <c r="Q311" s="52"/>
      <c r="R311" s="52"/>
      <c r="S311" s="52"/>
      <c r="T311" s="52"/>
      <c r="U311" s="52"/>
      <c r="V311" s="53">
        <f t="shared" si="824"/>
        <v>0</v>
      </c>
      <c r="W311" s="51">
        <f t="shared" si="825"/>
        <v>0</v>
      </c>
      <c r="X311" s="51">
        <f t="shared" si="826"/>
        <v>0</v>
      </c>
      <c r="Y311" s="51">
        <f t="shared" si="827"/>
        <v>0</v>
      </c>
      <c r="Z311" s="51">
        <f t="shared" si="828"/>
        <v>0</v>
      </c>
      <c r="AA311" s="51">
        <f t="shared" si="829"/>
        <v>0</v>
      </c>
      <c r="AB311" s="51">
        <f t="shared" si="830"/>
        <v>0</v>
      </c>
      <c r="AC311" s="51">
        <f t="shared" si="831"/>
        <v>0</v>
      </c>
      <c r="AD311" s="51">
        <f t="shared" si="832"/>
        <v>0</v>
      </c>
      <c r="AE311" s="51">
        <f t="shared" si="833"/>
        <v>0</v>
      </c>
      <c r="AF311" s="51">
        <f t="shared" si="834"/>
        <v>0</v>
      </c>
      <c r="AG311" s="51">
        <f t="shared" si="835"/>
        <v>0</v>
      </c>
      <c r="AH311" s="54">
        <f t="shared" si="836"/>
        <v>0</v>
      </c>
      <c r="AI311" s="55">
        <f t="shared" si="837"/>
        <v>0</v>
      </c>
      <c r="AJ311" s="56">
        <f>IF(AND($E311&lt;&gt;0,$F311&gt;0,YEAR($F311)&gt;=Preisindex!$A$6,YEAR(AE$4)&gt;=YEAR($F311),AND($K311&lt;&gt;"a",$K311&lt;&gt;"b",$K311&lt;&gt;"g",$K311&lt;&gt;"k")),1,IF(AND($E311&lt;&gt;0,$F311&gt;0,YEAR($F311)&gt;=Preisindex!$A$6,YEAR(AE$4)&gt;=YEAR($F311),$K311="a"),ROUND(VLOOKUP(AJ$4,Preisindex,5,FALSE)/VLOOKUP(YEAR($F311),Preisindex,5,FALSE),2),IF(AND($E311&lt;&gt;0,$F311&gt;0,YEAR($F311)&gt;=Preisindex!$A$6,YEAR(AE$4)&gt;=YEAR($F311),$K311="b"),ROUND(VLOOKUP(AJ$4,Preisindex,3,FALSE)/VLOOKUP(YEAR($F311),Preisindex,3,FALSE),2),IF(AND($E311&lt;&gt;0,$F311&gt;0,YEAR($F311)&gt;=Preisindex!$A$6,YEAR(AE$4)&gt;=YEAR($F311),$K311="g"),ROUND(VLOOKUP(AJ$4,Preisindex,4,FALSE)/VLOOKUP(YEAR($F311),Preisindex,4,FALSE),2),IF(AND($E311&lt;&gt;0,$F311&gt;0,YEAR($F311)&gt;=Preisindex!$A$6,YEAR(AE$4)&gt;=YEAR($F311),$K311="k"),ROUND(VLOOKUP(AJ$4,Preisindex,2,FALSE)/VLOOKUP(YEAR($F311),Preisindex,2,FALSE),2),0)))))</f>
        <v>0</v>
      </c>
      <c r="AK311" s="56">
        <f>IF(AND($E311&lt;&gt;0,$F311&gt;0,YEAR($F311)&lt;Preisindex!$A$6,YEAR(AE$4)&gt;=YEAR($F311),AND($K311&lt;&gt;"a",$K311&lt;&gt;"b",$K311&lt;&gt;"g",$K311&lt;&gt;"k")),1,IF(AND($E311&lt;&gt;0,$F311&gt;0,YEAR($F311)&lt;Preisindex!$A$6,YEAR(AE$4)&gt;=YEAR($F311),$K311="a"),ROUND(VLOOKUP(AJ$4,Preisindex,5,FALSE)/VLOOKUP(Preisindex!$A$6,Preisindex,5,FALSE),2),IF(AND($E311&lt;&gt;0,$F311&gt;0,YEAR($F311)&lt;Preisindex!$A$6,YEAR(AE$4)&gt;=YEAR($F311),$K311="b"),ROUND(VLOOKUP(AJ$4,Preisindex,3,FALSE)/VLOOKUP(Preisindex!$A$6,Preisindex,3,FALSE),2),IF(AND($E311&lt;&gt;0,$F311&gt;0,YEAR($F311)&lt;Preisindex!$A$6,YEAR(AE$4)&gt;=YEAR($F311),$K311="g"),ROUND(VLOOKUP(AJ$4,Preisindex,4,FALSE)/VLOOKUP(Preisindex!$A$6,Preisindex,4,FALSE),2),IF(AND($E311&lt;&gt;0,$F311&gt;0,YEAR($F311)&lt;Preisindex!$A$6,YEAR(AE$4)&gt;=YEAR($F311),$K311="k"),ROUND(VLOOKUP(AJ$4,Preisindex,2,FALSE)/VLOOKUP(Preisindex!$A$6,Preisindex,2,FALSE),2),0)))))</f>
        <v>0</v>
      </c>
      <c r="AL311" s="51">
        <f>IF(AND($E311&lt;&gt;0,$F311&gt;0,YEAR($F311)&lt;=AJ$4,YEAR($F311)&gt;=Preisindex!$A$6),ROUND($E311*AJ311,2),IF(AND($E311&lt;&gt;0,$F311&gt;0,YEAR($F311)&lt;=AJ$4,YEAR($F311)&lt;Preisindex!$A$6),ROUND($E311*AK311,2),0))</f>
        <v>0</v>
      </c>
      <c r="AM311" s="53">
        <f t="shared" si="838"/>
        <v>0</v>
      </c>
      <c r="AN311" s="51">
        <f t="shared" si="883"/>
        <v>0</v>
      </c>
      <c r="AO311" s="51">
        <f t="shared" si="841"/>
        <v>0</v>
      </c>
      <c r="AP311" s="51">
        <f t="shared" si="755"/>
        <v>0</v>
      </c>
      <c r="AQ311" s="51">
        <f t="shared" si="842"/>
        <v>0</v>
      </c>
      <c r="AR311" s="51">
        <f t="shared" si="756"/>
        <v>0</v>
      </c>
      <c r="AS311" s="51">
        <f t="shared" si="843"/>
        <v>0</v>
      </c>
      <c r="AT311" s="51">
        <f t="shared" si="757"/>
        <v>0</v>
      </c>
      <c r="AU311" s="51">
        <f t="shared" si="844"/>
        <v>0</v>
      </c>
      <c r="AV311" s="51">
        <f t="shared" si="758"/>
        <v>0</v>
      </c>
      <c r="AW311" s="51">
        <f t="shared" si="845"/>
        <v>0</v>
      </c>
      <c r="AX311" s="51">
        <f t="shared" si="759"/>
        <v>0</v>
      </c>
      <c r="AY311" s="54">
        <f t="shared" si="760"/>
        <v>0</v>
      </c>
      <c r="AZ311" s="55">
        <f t="shared" si="761"/>
        <v>0</v>
      </c>
      <c r="BA311" s="56">
        <f>IF(AND($E311&lt;&gt;0,$F311&gt;0,YEAR($F311)&gt;=Preisindex!$A$6,YEAR(AV$4)&gt;=YEAR($F311),AND($K311&lt;&gt;"a",$K311&lt;&gt;"b",$K311&lt;&gt;"g",$K311&lt;&gt;"k")),1,IF(AND($E311&lt;&gt;0,$F311&gt;0,YEAR($F311)&gt;=Preisindex!$A$6,YEAR(AV$4)&gt;=YEAR($F311),$K311="a"),ROUND(VLOOKUP(BA$4,Preisindex,5,FALSE)/VLOOKUP(YEAR($F311),Preisindex,5,FALSE),2),IF(AND($E311&lt;&gt;0,$F311&gt;0,YEAR($F311)&gt;=Preisindex!$A$6,YEAR(AV$4)&gt;=YEAR($F311),$K311="b"),ROUND(VLOOKUP(BA$4,Preisindex,3,FALSE)/VLOOKUP(YEAR($F311),Preisindex,3,FALSE),2),IF(AND($E311&lt;&gt;0,$F311&gt;0,YEAR($F311)&gt;=Preisindex!$A$6,YEAR(AV$4)&gt;=YEAR($F311),$K311="g"),ROUND(VLOOKUP(BA$4,Preisindex,4,FALSE)/VLOOKUP(YEAR($F311),Preisindex,4,FALSE),2),IF(AND($E311&lt;&gt;0,$F311&gt;0,YEAR($F311)&gt;=Preisindex!$A$6,YEAR(AV$4)&gt;=YEAR($F311),$K311="k"),ROUND(VLOOKUP(BA$4,Preisindex,2,FALSE)/VLOOKUP(YEAR($F311),Preisindex,2,FALSE),2),0)))))</f>
        <v>0</v>
      </c>
      <c r="BB311" s="56">
        <f>IF(AND($E311&lt;&gt;0,$F311&gt;0,YEAR($F311)&lt;Preisindex!$A$6,YEAR(AV$4)&gt;=YEAR($F311),AND($K311&lt;&gt;"a",$K311&lt;&gt;"b",$K311&lt;&gt;"g",$K311&lt;&gt;"k")),1,IF(AND($E311&lt;&gt;0,$F311&gt;0,YEAR($F311)&lt;Preisindex!$A$6,YEAR(AV$4)&gt;=YEAR($F311),$K311="a"),ROUND(VLOOKUP(BA$4,Preisindex,5,FALSE)/VLOOKUP(Preisindex!$A$6,Preisindex,5,FALSE),2),IF(AND($E311&lt;&gt;0,$F311&gt;0,YEAR($F311)&lt;Preisindex!$A$6,YEAR(AV$4)&gt;=YEAR($F311),$K311="b"),ROUND(VLOOKUP(BA$4,Preisindex,3,FALSE)/VLOOKUP(Preisindex!$A$6,Preisindex,3,FALSE),2),IF(AND($E311&lt;&gt;0,$F311&gt;0,YEAR($F311)&lt;Preisindex!$A$6,YEAR(AV$4)&gt;=YEAR($F311),$K311="g"),ROUND(VLOOKUP(BA$4,Preisindex,4,FALSE)/VLOOKUP(Preisindex!$A$6,Preisindex,4,FALSE),2),IF(AND($E311&lt;&gt;0,$F311&gt;0,YEAR($F311)&lt;Preisindex!$A$6,YEAR(AV$4)&gt;=YEAR($F311),$K311="k"),ROUND(VLOOKUP(BA$4,Preisindex,2,FALSE)/VLOOKUP(Preisindex!$A$6,Preisindex,2,FALSE),2),0)))))</f>
        <v>0</v>
      </c>
      <c r="BC311" s="51">
        <f>IF(AND($E311&lt;&gt;0,$F311&gt;0,YEAR($F311)&lt;=BA$4,YEAR($F311)&gt;=Preisindex!$A$6),ROUND($E311*BA311,2),IF(AND($E311&lt;&gt;0,$F311&gt;0,YEAR($F311)&lt;=BA$4,YEAR($F311)&lt;Preisindex!$A$6),ROUND($E311*BB311,2),0))</f>
        <v>0</v>
      </c>
      <c r="BD311" s="53">
        <f t="shared" si="762"/>
        <v>0</v>
      </c>
      <c r="BE311" s="51">
        <f t="shared" si="883"/>
        <v>0</v>
      </c>
      <c r="BF311" s="51">
        <f t="shared" si="846"/>
        <v>0</v>
      </c>
      <c r="BG311" s="51">
        <f t="shared" si="763"/>
        <v>0</v>
      </c>
      <c r="BH311" s="51">
        <f t="shared" si="847"/>
        <v>0</v>
      </c>
      <c r="BI311" s="51">
        <f t="shared" si="764"/>
        <v>0</v>
      </c>
      <c r="BJ311" s="51">
        <f t="shared" si="848"/>
        <v>0</v>
      </c>
      <c r="BK311" s="51">
        <f t="shared" si="765"/>
        <v>0</v>
      </c>
      <c r="BL311" s="51">
        <f t="shared" si="849"/>
        <v>0</v>
      </c>
      <c r="BM311" s="51">
        <f t="shared" si="766"/>
        <v>0</v>
      </c>
      <c r="BN311" s="51">
        <f t="shared" si="850"/>
        <v>0</v>
      </c>
      <c r="BO311" s="51">
        <f t="shared" si="767"/>
        <v>0</v>
      </c>
      <c r="BP311" s="54">
        <f t="shared" si="768"/>
        <v>0</v>
      </c>
      <c r="BQ311" s="55">
        <f t="shared" si="769"/>
        <v>0</v>
      </c>
      <c r="BR311" s="56">
        <f>IF(AND($E311&lt;&gt;0,$F311&gt;0,YEAR($F311)&gt;=Preisindex!$A$6,YEAR(BM$4)&gt;=YEAR($F311),AND($K311&lt;&gt;"a",$K311&lt;&gt;"b",$K311&lt;&gt;"g",$K311&lt;&gt;"k")),1,IF(AND($E311&lt;&gt;0,$F311&gt;0,YEAR($F311)&gt;=Preisindex!$A$6,YEAR(BM$4)&gt;=YEAR($F311),$K311="a"),ROUND(VLOOKUP(BR$4,Preisindex,5,FALSE)/VLOOKUP(YEAR($F311),Preisindex,5,FALSE),2),IF(AND($E311&lt;&gt;0,$F311&gt;0,YEAR($F311)&gt;=Preisindex!$A$6,YEAR(BM$4)&gt;=YEAR($F311),$K311="b"),ROUND(VLOOKUP(BR$4,Preisindex,3,FALSE)/VLOOKUP(YEAR($F311),Preisindex,3,FALSE),2),IF(AND($E311&lt;&gt;0,$F311&gt;0,YEAR($F311)&gt;=Preisindex!$A$6,YEAR(BM$4)&gt;=YEAR($F311),$K311="g"),ROUND(VLOOKUP(BR$4,Preisindex,4,FALSE)/VLOOKUP(YEAR($F311),Preisindex,4,FALSE),2),IF(AND($E311&lt;&gt;0,$F311&gt;0,YEAR($F311)&gt;=Preisindex!$A$6,YEAR(BM$4)&gt;=YEAR($F311),$K311="k"),ROUND(VLOOKUP(BR$4,Preisindex,2,FALSE)/VLOOKUP(YEAR($F311),Preisindex,2,FALSE),2),0)))))</f>
        <v>0</v>
      </c>
      <c r="BS311" s="56">
        <f>IF(AND($E311&lt;&gt;0,$F311&gt;0,YEAR($F311)&lt;Preisindex!$A$6,YEAR(BM$4)&gt;=YEAR($F311),AND($K311&lt;&gt;"a",$K311&lt;&gt;"b",$K311&lt;&gt;"g",$K311&lt;&gt;"k")),1,IF(AND($E311&lt;&gt;0,$F311&gt;0,YEAR($F311)&lt;Preisindex!$A$6,YEAR(BM$4)&gt;=YEAR($F311),$K311="a"),ROUND(VLOOKUP(BR$4,Preisindex,5,FALSE)/VLOOKUP(Preisindex!$A$6,Preisindex,5,FALSE),2),IF(AND($E311&lt;&gt;0,$F311&gt;0,YEAR($F311)&lt;Preisindex!$A$6,YEAR(BM$4)&gt;=YEAR($F311),$K311="b"),ROUND(VLOOKUP(BR$4,Preisindex,3,FALSE)/VLOOKUP(Preisindex!$A$6,Preisindex,3,FALSE),2),IF(AND($E311&lt;&gt;0,$F311&gt;0,YEAR($F311)&lt;Preisindex!$A$6,YEAR(BM$4)&gt;=YEAR($F311),$K311="g"),ROUND(VLOOKUP(BR$4,Preisindex,4,FALSE)/VLOOKUP(Preisindex!$A$6,Preisindex,4,FALSE),2),IF(AND($E311&lt;&gt;0,$F311&gt;0,YEAR($F311)&lt;Preisindex!$A$6,YEAR(BM$4)&gt;=YEAR($F311),$K311="k"),ROUND(VLOOKUP(BR$4,Preisindex,2,FALSE)/VLOOKUP(Preisindex!$A$6,Preisindex,2,FALSE),2),0)))))</f>
        <v>0</v>
      </c>
      <c r="BT311" s="51">
        <f>IF(AND($E311&lt;&gt;0,$F311&gt;0,YEAR($F311)&lt;=BR$4,YEAR($F311)&gt;=Preisindex!$A$6),ROUND($E311*BR311,2),IF(AND($E311&lt;&gt;0,$F311&gt;0,YEAR($F311)&lt;=BR$4,YEAR($F311)&lt;Preisindex!$A$6),ROUND($E311*BS311,2),0))</f>
        <v>0</v>
      </c>
      <c r="BU311" s="53">
        <f t="shared" si="770"/>
        <v>0</v>
      </c>
      <c r="BV311" s="51">
        <f t="shared" si="883"/>
        <v>0</v>
      </c>
      <c r="BW311" s="51">
        <f t="shared" si="851"/>
        <v>0</v>
      </c>
      <c r="BX311" s="51">
        <f t="shared" si="771"/>
        <v>0</v>
      </c>
      <c r="BY311" s="51">
        <f t="shared" si="852"/>
        <v>0</v>
      </c>
      <c r="BZ311" s="51">
        <f t="shared" si="772"/>
        <v>0</v>
      </c>
      <c r="CA311" s="51">
        <f t="shared" si="853"/>
        <v>0</v>
      </c>
      <c r="CB311" s="51">
        <f t="shared" si="773"/>
        <v>0</v>
      </c>
      <c r="CC311" s="51">
        <f t="shared" si="854"/>
        <v>0</v>
      </c>
      <c r="CD311" s="51">
        <f t="shared" si="774"/>
        <v>0</v>
      </c>
      <c r="CE311" s="51">
        <f t="shared" si="855"/>
        <v>0</v>
      </c>
      <c r="CF311" s="51">
        <f t="shared" si="775"/>
        <v>0</v>
      </c>
      <c r="CG311" s="54">
        <f t="shared" si="776"/>
        <v>0</v>
      </c>
      <c r="CH311" s="55">
        <f t="shared" si="777"/>
        <v>0</v>
      </c>
      <c r="CI311" s="56">
        <f>IF(AND($E311&lt;&gt;0,$F311&gt;0,YEAR($F311)&gt;=Preisindex!$A$6,YEAR(CD$4)&gt;=YEAR($F311),AND($K311&lt;&gt;"a",$K311&lt;&gt;"b",$K311&lt;&gt;"g",$K311&lt;&gt;"k")),1,IF(AND($E311&lt;&gt;0,$F311&gt;0,YEAR($F311)&gt;=Preisindex!$A$6,YEAR(CD$4)&gt;=YEAR($F311),$K311="a"),ROUND(VLOOKUP(CI$4,Preisindex,5,FALSE)/VLOOKUP(YEAR($F311),Preisindex,5,FALSE),2),IF(AND($E311&lt;&gt;0,$F311&gt;0,YEAR($F311)&gt;=Preisindex!$A$6,YEAR(CD$4)&gt;=YEAR($F311),$K311="b"),ROUND(VLOOKUP(CI$4,Preisindex,3,FALSE)/VLOOKUP(YEAR($F311),Preisindex,3,FALSE),2),IF(AND($E311&lt;&gt;0,$F311&gt;0,YEAR($F311)&gt;=Preisindex!$A$6,YEAR(CD$4)&gt;=YEAR($F311),$K311="g"),ROUND(VLOOKUP(CI$4,Preisindex,4,FALSE)/VLOOKUP(YEAR($F311),Preisindex,4,FALSE),2),IF(AND($E311&lt;&gt;0,$F311&gt;0,YEAR($F311)&gt;=Preisindex!$A$6,YEAR(CD$4)&gt;=YEAR($F311),$K311="k"),ROUND(VLOOKUP(CI$4,Preisindex,2,FALSE)/VLOOKUP(YEAR($F311),Preisindex,2,FALSE),2),0)))))</f>
        <v>0</v>
      </c>
      <c r="CJ311" s="56">
        <f>IF(AND($E311&lt;&gt;0,$F311&gt;0,YEAR($F311)&lt;Preisindex!$A$6,YEAR(CD$4)&gt;=YEAR($F311),AND($K311&lt;&gt;"a",$K311&lt;&gt;"b",$K311&lt;&gt;"g",$K311&lt;&gt;"k")),1,IF(AND($E311&lt;&gt;0,$F311&gt;0,YEAR($F311)&lt;Preisindex!$A$6,YEAR(CD$4)&gt;=YEAR($F311),$K311="a"),ROUND(VLOOKUP(CI$4,Preisindex,5,FALSE)/VLOOKUP(Preisindex!$A$6,Preisindex,5,FALSE),2),IF(AND($E311&lt;&gt;0,$F311&gt;0,YEAR($F311)&lt;Preisindex!$A$6,YEAR(CD$4)&gt;=YEAR($F311),$K311="b"),ROUND(VLOOKUP(CI$4,Preisindex,3,FALSE)/VLOOKUP(Preisindex!$A$6,Preisindex,3,FALSE),2),IF(AND($E311&lt;&gt;0,$F311&gt;0,YEAR($F311)&lt;Preisindex!$A$6,YEAR(CD$4)&gt;=YEAR($F311),$K311="g"),ROUND(VLOOKUP(CI$4,Preisindex,4,FALSE)/VLOOKUP(Preisindex!$A$6,Preisindex,4,FALSE),2),IF(AND($E311&lt;&gt;0,$F311&gt;0,YEAR($F311)&lt;Preisindex!$A$6,YEAR(CD$4)&gt;=YEAR($F311),$K311="k"),ROUND(VLOOKUP(CI$4,Preisindex,2,FALSE)/VLOOKUP(Preisindex!$A$6,Preisindex,2,FALSE),2),0)))))</f>
        <v>0</v>
      </c>
      <c r="CK311" s="51">
        <f>IF(AND($E311&lt;&gt;0,$F311&gt;0,YEAR($F311)&lt;=CI$4,YEAR($F311)&gt;=Preisindex!$A$6),ROUND($E311*CI311,2),IF(AND($E311&lt;&gt;0,$F311&gt;0,YEAR($F311)&lt;=CI$4,YEAR($F311)&lt;Preisindex!$A$6),ROUND($E311*CJ311,2),0))</f>
        <v>0</v>
      </c>
      <c r="CL311" s="53">
        <f t="shared" si="778"/>
        <v>0</v>
      </c>
      <c r="CM311" s="51">
        <f t="shared" si="883"/>
        <v>0</v>
      </c>
      <c r="CN311" s="51">
        <f t="shared" si="856"/>
        <v>0</v>
      </c>
      <c r="CO311" s="51">
        <f t="shared" si="779"/>
        <v>0</v>
      </c>
      <c r="CP311" s="51">
        <f t="shared" si="857"/>
        <v>0</v>
      </c>
      <c r="CQ311" s="51">
        <f t="shared" si="780"/>
        <v>0</v>
      </c>
      <c r="CR311" s="51">
        <f t="shared" si="858"/>
        <v>0</v>
      </c>
      <c r="CS311" s="51">
        <f t="shared" si="781"/>
        <v>0</v>
      </c>
      <c r="CT311" s="51">
        <f t="shared" si="859"/>
        <v>0</v>
      </c>
      <c r="CU311" s="51">
        <f t="shared" si="782"/>
        <v>0</v>
      </c>
      <c r="CV311" s="51">
        <f t="shared" si="860"/>
        <v>0</v>
      </c>
      <c r="CW311" s="51">
        <f t="shared" si="783"/>
        <v>0</v>
      </c>
      <c r="CX311" s="54">
        <f t="shared" si="784"/>
        <v>0</v>
      </c>
      <c r="CY311" s="55">
        <f t="shared" si="785"/>
        <v>0</v>
      </c>
      <c r="CZ311" s="56">
        <f>IF(AND($E311&lt;&gt;0,$F311&gt;0,YEAR($F311)&gt;=Preisindex!$A$6,YEAR(CU$4)&gt;=YEAR($F311),AND($K311&lt;&gt;"a",$K311&lt;&gt;"b",$K311&lt;&gt;"g",$K311&lt;&gt;"k")),1,IF(AND($E311&lt;&gt;0,$F311&gt;0,YEAR($F311)&gt;=Preisindex!$A$6,YEAR(CU$4)&gt;=YEAR($F311),$K311="a"),ROUND(VLOOKUP(CZ$4,Preisindex,5,FALSE)/VLOOKUP(YEAR($F311),Preisindex,5,FALSE),2),IF(AND($E311&lt;&gt;0,$F311&gt;0,YEAR($F311)&gt;=Preisindex!$A$6,YEAR(CU$4)&gt;=YEAR($F311),$K311="b"),ROUND(VLOOKUP(CZ$4,Preisindex,3,FALSE)/VLOOKUP(YEAR($F311),Preisindex,3,FALSE),2),IF(AND($E311&lt;&gt;0,$F311&gt;0,YEAR($F311)&gt;=Preisindex!$A$6,YEAR(CU$4)&gt;=YEAR($F311),$K311="g"),ROUND(VLOOKUP(CZ$4,Preisindex,4,FALSE)/VLOOKUP(YEAR($F311),Preisindex,4,FALSE),2),IF(AND($E311&lt;&gt;0,$F311&gt;0,YEAR($F311)&gt;=Preisindex!$A$6,YEAR(CU$4)&gt;=YEAR($F311),$K311="k"),ROUND(VLOOKUP(CZ$4,Preisindex,2,FALSE)/VLOOKUP(YEAR($F311),Preisindex,2,FALSE),2),0)))))</f>
        <v>0</v>
      </c>
      <c r="DA311" s="56">
        <f>IF(AND($E311&lt;&gt;0,$F311&gt;0,YEAR($F311)&lt;Preisindex!$A$6,YEAR(CU$4)&gt;=YEAR($F311),AND($K311&lt;&gt;"a",$K311&lt;&gt;"b",$K311&lt;&gt;"g",$K311&lt;&gt;"k")),1,IF(AND($E311&lt;&gt;0,$F311&gt;0,YEAR($F311)&lt;Preisindex!$A$6,YEAR(CU$4)&gt;=YEAR($F311),$K311="a"),ROUND(VLOOKUP(CZ$4,Preisindex,5,FALSE)/VLOOKUP(Preisindex!$A$6,Preisindex,5,FALSE),2),IF(AND($E311&lt;&gt;0,$F311&gt;0,YEAR($F311)&lt;Preisindex!$A$6,YEAR(CU$4)&gt;=YEAR($F311),$K311="b"),ROUND(VLOOKUP(CZ$4,Preisindex,3,FALSE)/VLOOKUP(Preisindex!$A$6,Preisindex,3,FALSE),2),IF(AND($E311&lt;&gt;0,$F311&gt;0,YEAR($F311)&lt;Preisindex!$A$6,YEAR(CU$4)&gt;=YEAR($F311),$K311="g"),ROUND(VLOOKUP(CZ$4,Preisindex,4,FALSE)/VLOOKUP(Preisindex!$A$6,Preisindex,4,FALSE),2),IF(AND($E311&lt;&gt;0,$F311&gt;0,YEAR($F311)&lt;Preisindex!$A$6,YEAR(CU$4)&gt;=YEAR($F311),$K311="k"),ROUND(VLOOKUP(CZ$4,Preisindex,2,FALSE)/VLOOKUP(Preisindex!$A$6,Preisindex,2,FALSE),2),0)))))</f>
        <v>0</v>
      </c>
      <c r="DB311" s="51">
        <f>IF(AND($E311&lt;&gt;0,$F311&gt;0,YEAR($F311)&lt;=CZ$4,YEAR($F311)&gt;=Preisindex!$A$6),ROUND($E311*CZ311,2),IF(AND($E311&lt;&gt;0,$F311&gt;0,YEAR($F311)&lt;=CZ$4,YEAR($F311)&lt;Preisindex!$A$6),ROUND($E311*DA311,2),0))</f>
        <v>0</v>
      </c>
      <c r="DC311" s="53">
        <f t="shared" si="786"/>
        <v>0</v>
      </c>
      <c r="DD311" s="51">
        <f t="shared" si="884"/>
        <v>0</v>
      </c>
      <c r="DE311" s="51">
        <f t="shared" si="861"/>
        <v>0</v>
      </c>
      <c r="DF311" s="51">
        <f t="shared" si="788"/>
        <v>0</v>
      </c>
      <c r="DG311" s="51">
        <f t="shared" si="862"/>
        <v>0</v>
      </c>
      <c r="DH311" s="51">
        <f t="shared" si="789"/>
        <v>0</v>
      </c>
      <c r="DI311" s="51">
        <f t="shared" si="863"/>
        <v>0</v>
      </c>
      <c r="DJ311" s="51">
        <f t="shared" si="790"/>
        <v>0</v>
      </c>
      <c r="DK311" s="51">
        <f t="shared" si="864"/>
        <v>0</v>
      </c>
      <c r="DL311" s="51">
        <f t="shared" si="791"/>
        <v>0</v>
      </c>
      <c r="DM311" s="51">
        <f t="shared" si="865"/>
        <v>0</v>
      </c>
      <c r="DN311" s="51">
        <f t="shared" si="792"/>
        <v>0</v>
      </c>
      <c r="DO311" s="54">
        <f t="shared" si="793"/>
        <v>0</v>
      </c>
      <c r="DP311" s="55">
        <f t="shared" si="794"/>
        <v>0</v>
      </c>
      <c r="DQ311" s="56">
        <f>IF(AND($E311&lt;&gt;0,$F311&gt;0,YEAR($F311)&gt;=Preisindex!$A$6,YEAR(DL$4)&gt;=YEAR($F311),AND($K311&lt;&gt;"a",$K311&lt;&gt;"b",$K311&lt;&gt;"g",$K311&lt;&gt;"k")),1,IF(AND($E311&lt;&gt;0,$F311&gt;0,YEAR($F311)&gt;=Preisindex!$A$6,YEAR(DL$4)&gt;=YEAR($F311),$K311="a"),ROUND(VLOOKUP(DQ$4,Preisindex,5,FALSE)/VLOOKUP(YEAR($F311),Preisindex,5,FALSE),2),IF(AND($E311&lt;&gt;0,$F311&gt;0,YEAR($F311)&gt;=Preisindex!$A$6,YEAR(DL$4)&gt;=YEAR($F311),$K311="b"),ROUND(VLOOKUP(DQ$4,Preisindex,3,FALSE)/VLOOKUP(YEAR($F311),Preisindex,3,FALSE),2),IF(AND($E311&lt;&gt;0,$F311&gt;0,YEAR($F311)&gt;=Preisindex!$A$6,YEAR(DL$4)&gt;=YEAR($F311),$K311="g"),ROUND(VLOOKUP(DQ$4,Preisindex,4,FALSE)/VLOOKUP(YEAR($F311),Preisindex,4,FALSE),2),IF(AND($E311&lt;&gt;0,$F311&gt;0,YEAR($F311)&gt;=Preisindex!$A$6,YEAR(DL$4)&gt;=YEAR($F311),$K311="k"),ROUND(VLOOKUP(DQ$4,Preisindex,2,FALSE)/VLOOKUP(YEAR($F311),Preisindex,2,FALSE),2),0)))))</f>
        <v>0</v>
      </c>
      <c r="DR311" s="56">
        <f>IF(AND($E311&lt;&gt;0,$F311&gt;0,YEAR($F311)&lt;Preisindex!$A$6,YEAR(DL$4)&gt;=YEAR($F311),AND($K311&lt;&gt;"a",$K311&lt;&gt;"b",$K311&lt;&gt;"g",$K311&lt;&gt;"k")),1,IF(AND($E311&lt;&gt;0,$F311&gt;0,YEAR($F311)&lt;Preisindex!$A$6,YEAR(DL$4)&gt;=YEAR($F311),$K311="a"),ROUND(VLOOKUP(DQ$4,Preisindex,5,FALSE)/VLOOKUP(Preisindex!$A$6,Preisindex,5,FALSE),2),IF(AND($E311&lt;&gt;0,$F311&gt;0,YEAR($F311)&lt;Preisindex!$A$6,YEAR(DL$4)&gt;=YEAR($F311),$K311="b"),ROUND(VLOOKUP(DQ$4,Preisindex,3,FALSE)/VLOOKUP(Preisindex!$A$6,Preisindex,3,FALSE),2),IF(AND($E311&lt;&gt;0,$F311&gt;0,YEAR($F311)&lt;Preisindex!$A$6,YEAR(DL$4)&gt;=YEAR($F311),$K311="g"),ROUND(VLOOKUP(DQ$4,Preisindex,4,FALSE)/VLOOKUP(Preisindex!$A$6,Preisindex,4,FALSE),2),IF(AND($E311&lt;&gt;0,$F311&gt;0,YEAR($F311)&lt;Preisindex!$A$6,YEAR(DL$4)&gt;=YEAR($F311),$K311="k"),ROUND(VLOOKUP(DQ$4,Preisindex,2,FALSE)/VLOOKUP(Preisindex!$A$6,Preisindex,2,FALSE),2),0)))))</f>
        <v>0</v>
      </c>
      <c r="DS311" s="51">
        <f>IF(AND($E311&lt;&gt;0,$F311&gt;0,YEAR($F311)&lt;=DQ$4,YEAR($F311)&gt;=Preisindex!$A$6),ROUND($E311*DQ311,2),IF(AND($E311&lt;&gt;0,$F311&gt;0,YEAR($F311)&lt;=DQ$4,YEAR($F311)&lt;Preisindex!$A$6),ROUND($E311*DR311,2),0))</f>
        <v>0</v>
      </c>
      <c r="DT311" s="53">
        <f t="shared" si="795"/>
        <v>0</v>
      </c>
      <c r="DU311" s="51">
        <f t="shared" si="884"/>
        <v>0</v>
      </c>
      <c r="DV311" s="51">
        <f t="shared" si="866"/>
        <v>0</v>
      </c>
      <c r="DW311" s="51">
        <f t="shared" si="796"/>
        <v>0</v>
      </c>
      <c r="DX311" s="51">
        <f t="shared" si="867"/>
        <v>0</v>
      </c>
      <c r="DY311" s="51">
        <f t="shared" si="797"/>
        <v>0</v>
      </c>
      <c r="DZ311" s="51">
        <f t="shared" si="868"/>
        <v>0</v>
      </c>
      <c r="EA311" s="51">
        <f t="shared" si="798"/>
        <v>0</v>
      </c>
      <c r="EB311" s="51">
        <f t="shared" si="869"/>
        <v>0</v>
      </c>
      <c r="EC311" s="51">
        <f t="shared" si="799"/>
        <v>0</v>
      </c>
      <c r="ED311" s="51">
        <f t="shared" si="870"/>
        <v>0</v>
      </c>
      <c r="EE311" s="51">
        <f t="shared" si="800"/>
        <v>0</v>
      </c>
      <c r="EF311" s="54">
        <f t="shared" si="801"/>
        <v>0</v>
      </c>
      <c r="EG311" s="55">
        <f t="shared" si="802"/>
        <v>0</v>
      </c>
      <c r="EH311" s="56">
        <f>IF(AND($E311&lt;&gt;0,$F311&gt;0,YEAR($F311)&gt;=Preisindex!$A$6,YEAR(EC$4)&gt;=YEAR($F311),AND($K311&lt;&gt;"a",$K311&lt;&gt;"b",$K311&lt;&gt;"g",$K311&lt;&gt;"k")),1,IF(AND($E311&lt;&gt;0,$F311&gt;0,YEAR($F311)&gt;=Preisindex!$A$6,YEAR(EC$4)&gt;=YEAR($F311),$K311="a"),ROUND(VLOOKUP(EH$4,Preisindex,5,FALSE)/VLOOKUP(YEAR($F311),Preisindex,5,FALSE),2),IF(AND($E311&lt;&gt;0,$F311&gt;0,YEAR($F311)&gt;=Preisindex!$A$6,YEAR(EC$4)&gt;=YEAR($F311),$K311="b"),ROUND(VLOOKUP(EH$4,Preisindex,3,FALSE)/VLOOKUP(YEAR($F311),Preisindex,3,FALSE),2),IF(AND($E311&lt;&gt;0,$F311&gt;0,YEAR($F311)&gt;=Preisindex!$A$6,YEAR(EC$4)&gt;=YEAR($F311),$K311="g"),ROUND(VLOOKUP(EH$4,Preisindex,4,FALSE)/VLOOKUP(YEAR($F311),Preisindex,4,FALSE),2),IF(AND($E311&lt;&gt;0,$F311&gt;0,YEAR($F311)&gt;=Preisindex!$A$6,YEAR(EC$4)&gt;=YEAR($F311),$K311="k"),ROUND(VLOOKUP(EH$4,Preisindex,2,FALSE)/VLOOKUP(YEAR($F311),Preisindex,2,FALSE),2),0)))))</f>
        <v>0</v>
      </c>
      <c r="EI311" s="56">
        <f>IF(AND($E311&lt;&gt;0,$F311&gt;0,YEAR($F311)&lt;Preisindex!$A$6,YEAR(EC$4)&gt;=YEAR($F311),AND($K311&lt;&gt;"a",$K311&lt;&gt;"b",$K311&lt;&gt;"g",$K311&lt;&gt;"k")),1,IF(AND($E311&lt;&gt;0,$F311&gt;0,YEAR($F311)&lt;Preisindex!$A$6,YEAR(EC$4)&gt;=YEAR($F311),$K311="a"),ROUND(VLOOKUP(EH$4,Preisindex,5,FALSE)/VLOOKUP(Preisindex!$A$6,Preisindex,5,FALSE),2),IF(AND($E311&lt;&gt;0,$F311&gt;0,YEAR($F311)&lt;Preisindex!$A$6,YEAR(EC$4)&gt;=YEAR($F311),$K311="b"),ROUND(VLOOKUP(EH$4,Preisindex,3,FALSE)/VLOOKUP(Preisindex!$A$6,Preisindex,3,FALSE),2),IF(AND($E311&lt;&gt;0,$F311&gt;0,YEAR($F311)&lt;Preisindex!$A$6,YEAR(EC$4)&gt;=YEAR($F311),$K311="g"),ROUND(VLOOKUP(EH$4,Preisindex,4,FALSE)/VLOOKUP(Preisindex!$A$6,Preisindex,4,FALSE),2),IF(AND($E311&lt;&gt;0,$F311&gt;0,YEAR($F311)&lt;Preisindex!$A$6,YEAR(EC$4)&gt;=YEAR($F311),$K311="k"),ROUND(VLOOKUP(EH$4,Preisindex,2,FALSE)/VLOOKUP(Preisindex!$A$6,Preisindex,2,FALSE),2),0)))))</f>
        <v>0</v>
      </c>
      <c r="EJ311" s="51">
        <f>IF(AND($E311&lt;&gt;0,$F311&gt;0,YEAR($F311)&lt;=EH$4,YEAR($F311)&gt;=Preisindex!$A$6),ROUND($E311*EH311,2),IF(AND($E311&lt;&gt;0,$F311&gt;0,YEAR($F311)&lt;=EH$4,YEAR($F311)&lt;Preisindex!$A$6),ROUND($E311*EI311,2),0))</f>
        <v>0</v>
      </c>
      <c r="EK311" s="53">
        <f t="shared" si="803"/>
        <v>0</v>
      </c>
      <c r="EL311" s="51">
        <f t="shared" si="884"/>
        <v>0</v>
      </c>
      <c r="EM311" s="51">
        <f t="shared" si="871"/>
        <v>0</v>
      </c>
      <c r="EN311" s="51">
        <f t="shared" si="804"/>
        <v>0</v>
      </c>
      <c r="EO311" s="51">
        <f t="shared" si="872"/>
        <v>0</v>
      </c>
      <c r="EP311" s="51">
        <f t="shared" si="805"/>
        <v>0</v>
      </c>
      <c r="EQ311" s="51">
        <f t="shared" si="873"/>
        <v>0</v>
      </c>
      <c r="ER311" s="51">
        <f t="shared" si="806"/>
        <v>0</v>
      </c>
      <c r="ES311" s="51">
        <f t="shared" si="874"/>
        <v>0</v>
      </c>
      <c r="ET311" s="51">
        <f t="shared" si="807"/>
        <v>0</v>
      </c>
      <c r="EU311" s="51">
        <f t="shared" si="875"/>
        <v>0</v>
      </c>
      <c r="EV311" s="51">
        <f t="shared" si="808"/>
        <v>0</v>
      </c>
      <c r="EW311" s="54">
        <f t="shared" si="809"/>
        <v>0</v>
      </c>
      <c r="EX311" s="55">
        <f t="shared" si="810"/>
        <v>0</v>
      </c>
      <c r="EY311" s="56">
        <f>IF(AND($E311&lt;&gt;0,$F311&gt;0,YEAR($F311)&gt;=Preisindex!$A$6,YEAR(ET$4)&gt;=YEAR($F311),AND($K311&lt;&gt;"a",$K311&lt;&gt;"b",$K311&lt;&gt;"g",$K311&lt;&gt;"k")),1,IF(AND($E311&lt;&gt;0,$F311&gt;0,YEAR($F311)&gt;=Preisindex!$A$6,YEAR(ET$4)&gt;=YEAR($F311),$K311="a"),ROUND(VLOOKUP(EY$4,Preisindex,5,FALSE)/VLOOKUP(YEAR($F311),Preisindex,5,FALSE),2),IF(AND($E311&lt;&gt;0,$F311&gt;0,YEAR($F311)&gt;=Preisindex!$A$6,YEAR(ET$4)&gt;=YEAR($F311),$K311="b"),ROUND(VLOOKUP(EY$4,Preisindex,3,FALSE)/VLOOKUP(YEAR($F311),Preisindex,3,FALSE),2),IF(AND($E311&lt;&gt;0,$F311&gt;0,YEAR($F311)&gt;=Preisindex!$A$6,YEAR(ET$4)&gt;=YEAR($F311),$K311="g"),ROUND(VLOOKUP(EY$4,Preisindex,4,FALSE)/VLOOKUP(YEAR($F311),Preisindex,4,FALSE),2),IF(AND($E311&lt;&gt;0,$F311&gt;0,YEAR($F311)&gt;=Preisindex!$A$6,YEAR(ET$4)&gt;=YEAR($F311),$K311="k"),ROUND(VLOOKUP(EY$4,Preisindex,2,FALSE)/VLOOKUP(YEAR($F311),Preisindex,2,FALSE),2),0)))))</f>
        <v>0</v>
      </c>
      <c r="EZ311" s="56">
        <f>IF(AND($E311&lt;&gt;0,$F311&gt;0,YEAR($F311)&lt;Preisindex!$A$6,YEAR(ET$4)&gt;=YEAR($F311),AND($K311&lt;&gt;"a",$K311&lt;&gt;"b",$K311&lt;&gt;"g",$K311&lt;&gt;"k")),1,IF(AND($E311&lt;&gt;0,$F311&gt;0,YEAR($F311)&lt;Preisindex!$A$6,YEAR(ET$4)&gt;=YEAR($F311),$K311="a"),ROUND(VLOOKUP(EY$4,Preisindex,5,FALSE)/VLOOKUP(Preisindex!$A$6,Preisindex,5,FALSE),2),IF(AND($E311&lt;&gt;0,$F311&gt;0,YEAR($F311)&lt;Preisindex!$A$6,YEAR(ET$4)&gt;=YEAR($F311),$K311="b"),ROUND(VLOOKUP(EY$4,Preisindex,3,FALSE)/VLOOKUP(Preisindex!$A$6,Preisindex,3,FALSE),2),IF(AND($E311&lt;&gt;0,$F311&gt;0,YEAR($F311)&lt;Preisindex!$A$6,YEAR(ET$4)&gt;=YEAR($F311),$K311="g"),ROUND(VLOOKUP(EY$4,Preisindex,4,FALSE)/VLOOKUP(Preisindex!$A$6,Preisindex,4,FALSE),2),IF(AND($E311&lt;&gt;0,$F311&gt;0,YEAR($F311)&lt;Preisindex!$A$6,YEAR(ET$4)&gt;=YEAR($F311),$K311="k"),ROUND(VLOOKUP(EY$4,Preisindex,2,FALSE)/VLOOKUP(Preisindex!$A$6,Preisindex,2,FALSE),2),0)))))</f>
        <v>0</v>
      </c>
      <c r="FA311" s="51">
        <f>IF(AND($E311&lt;&gt;0,$F311&gt;0,YEAR($F311)&lt;=EY$4,YEAR($F311)&gt;=Preisindex!$A$6),ROUND($E311*EY311,2),IF(AND($E311&lt;&gt;0,$F311&gt;0,YEAR($F311)&lt;=EY$4,YEAR($F311)&lt;Preisindex!$A$6),ROUND($E311*EZ311,2),0))</f>
        <v>0</v>
      </c>
      <c r="FB311" s="53">
        <f t="shared" si="811"/>
        <v>0</v>
      </c>
      <c r="FC311" s="51">
        <f t="shared" si="884"/>
        <v>0</v>
      </c>
      <c r="FD311" s="51">
        <f t="shared" si="876"/>
        <v>0</v>
      </c>
      <c r="FE311" s="51">
        <f t="shared" si="812"/>
        <v>0</v>
      </c>
      <c r="FF311" s="51">
        <f t="shared" si="877"/>
        <v>0</v>
      </c>
      <c r="FG311" s="51">
        <f t="shared" si="813"/>
        <v>0</v>
      </c>
      <c r="FH311" s="51">
        <f t="shared" si="878"/>
        <v>0</v>
      </c>
      <c r="FI311" s="51">
        <f t="shared" si="814"/>
        <v>0</v>
      </c>
      <c r="FJ311" s="51">
        <f t="shared" si="879"/>
        <v>0</v>
      </c>
      <c r="FK311" s="51">
        <f t="shared" si="815"/>
        <v>0</v>
      </c>
      <c r="FL311" s="51">
        <f t="shared" si="880"/>
        <v>0</v>
      </c>
      <c r="FM311" s="51">
        <f t="shared" si="816"/>
        <v>0</v>
      </c>
      <c r="FN311" s="54">
        <f t="shared" si="817"/>
        <v>0</v>
      </c>
      <c r="FO311" s="55">
        <f t="shared" si="818"/>
        <v>0</v>
      </c>
      <c r="FP311" s="56">
        <f>IF(AND($E311&lt;&gt;0,$F311&gt;0,YEAR($F311)&gt;=Preisindex!$A$6,YEAR(FK$4)&gt;=YEAR($F311),AND($K311&lt;&gt;"a",$K311&lt;&gt;"b",$K311&lt;&gt;"g",$K311&lt;&gt;"k")),1,IF(AND($E311&lt;&gt;0,$F311&gt;0,YEAR($F311)&gt;=Preisindex!$A$6,YEAR(FK$4)&gt;=YEAR($F311),$K311="a"),ROUND(VLOOKUP(FP$4,Preisindex,5,FALSE)/VLOOKUP(YEAR($F311),Preisindex,5,FALSE),2),IF(AND($E311&lt;&gt;0,$F311&gt;0,YEAR($F311)&gt;=Preisindex!$A$6,YEAR(FK$4)&gt;=YEAR($F311),$K311="b"),ROUND(VLOOKUP(FP$4,Preisindex,3,FALSE)/VLOOKUP(YEAR($F311),Preisindex,3,FALSE),2),IF(AND($E311&lt;&gt;0,$F311&gt;0,YEAR($F311)&gt;=Preisindex!$A$6,YEAR(FK$4)&gt;=YEAR($F311),$K311="g"),ROUND(VLOOKUP(FP$4,Preisindex,4,FALSE)/VLOOKUP(YEAR($F311),Preisindex,4,FALSE),2),IF(AND($E311&lt;&gt;0,$F311&gt;0,YEAR($F311)&gt;=Preisindex!$A$6,YEAR(FK$4)&gt;=YEAR($F311),$K311="k"),ROUND(VLOOKUP(FP$4,Preisindex,2,FALSE)/VLOOKUP(YEAR($F311),Preisindex,2,FALSE),2),0)))))</f>
        <v>0</v>
      </c>
      <c r="FQ311" s="56">
        <f>IF(AND($E311&lt;&gt;0,$F311&gt;0,YEAR($F311)&lt;Preisindex!$A$6,YEAR(FK$4)&gt;=YEAR($F311),AND($K311&lt;&gt;"a",$K311&lt;&gt;"b",$K311&lt;&gt;"g",$K311&lt;&gt;"k")),1,IF(AND($E311&lt;&gt;0,$F311&gt;0,YEAR($F311)&lt;Preisindex!$A$6,YEAR(FK$4)&gt;=YEAR($F311),$K311="a"),ROUND(VLOOKUP(FP$4,Preisindex,5,FALSE)/VLOOKUP(Preisindex!$A$6,Preisindex,5,FALSE),2),IF(AND($E311&lt;&gt;0,$F311&gt;0,YEAR($F311)&lt;Preisindex!$A$6,YEAR(FK$4)&gt;=YEAR($F311),$K311="b"),ROUND(VLOOKUP(FP$4,Preisindex,3,FALSE)/VLOOKUP(Preisindex!$A$6,Preisindex,3,FALSE),2),IF(AND($E311&lt;&gt;0,$F311&gt;0,YEAR($F311)&lt;Preisindex!$A$6,YEAR(FK$4)&gt;=YEAR($F311),$K311="g"),ROUND(VLOOKUP(FP$4,Preisindex,4,FALSE)/VLOOKUP(Preisindex!$A$6,Preisindex,4,FALSE),2),IF(AND($E311&lt;&gt;0,$F311&gt;0,YEAR($F311)&lt;Preisindex!$A$6,YEAR(FK$4)&gt;=YEAR($F311),$K311="k"),ROUND(VLOOKUP(FP$4,Preisindex,2,FALSE)/VLOOKUP(Preisindex!$A$6,Preisindex,2,FALSE),2),0)))))</f>
        <v>0</v>
      </c>
      <c r="FR311" s="51">
        <f>IF(AND($E311&lt;&gt;0,$F311&gt;0,YEAR($F311)&lt;=FP$4,YEAR($F311)&gt;=Preisindex!$A$6),ROUND($E311*FP311,2),IF(AND($E311&lt;&gt;0,$F311&gt;0,YEAR($F311)&lt;=FP$4,YEAR($F311)&lt;Preisindex!$A$6),ROUND($E311*FQ311,2),0))</f>
        <v>0</v>
      </c>
      <c r="FS311" s="53">
        <f t="shared" si="819"/>
        <v>0</v>
      </c>
    </row>
    <row r="312" spans="1:175" x14ac:dyDescent="0.3">
      <c r="A312" s="185"/>
      <c r="B312" s="186"/>
      <c r="C312" s="187"/>
      <c r="D312" s="95"/>
      <c r="E312" s="99"/>
      <c r="F312" s="97"/>
      <c r="G312" s="98"/>
      <c r="H312" s="192"/>
      <c r="I312" s="193"/>
      <c r="J312" s="194"/>
      <c r="K312" s="630"/>
      <c r="L312" s="49">
        <f t="shared" si="820"/>
        <v>0</v>
      </c>
      <c r="M312" s="50">
        <f t="shared" si="821"/>
        <v>0</v>
      </c>
      <c r="N312" s="51">
        <f t="shared" si="822"/>
        <v>0</v>
      </c>
      <c r="O312" s="51"/>
      <c r="P312" s="51">
        <f t="shared" si="823"/>
        <v>0</v>
      </c>
      <c r="Q312" s="52"/>
      <c r="R312" s="52"/>
      <c r="S312" s="52"/>
      <c r="T312" s="52"/>
      <c r="U312" s="52"/>
      <c r="V312" s="53">
        <f t="shared" si="824"/>
        <v>0</v>
      </c>
      <c r="W312" s="51">
        <f t="shared" si="825"/>
        <v>0</v>
      </c>
      <c r="X312" s="51">
        <f t="shared" si="826"/>
        <v>0</v>
      </c>
      <c r="Y312" s="51">
        <f t="shared" si="827"/>
        <v>0</v>
      </c>
      <c r="Z312" s="51">
        <f t="shared" si="828"/>
        <v>0</v>
      </c>
      <c r="AA312" s="51">
        <f t="shared" si="829"/>
        <v>0</v>
      </c>
      <c r="AB312" s="51">
        <f t="shared" si="830"/>
        <v>0</v>
      </c>
      <c r="AC312" s="51">
        <f t="shared" si="831"/>
        <v>0</v>
      </c>
      <c r="AD312" s="51">
        <f t="shared" si="832"/>
        <v>0</v>
      </c>
      <c r="AE312" s="51">
        <f t="shared" si="833"/>
        <v>0</v>
      </c>
      <c r="AF312" s="51">
        <f t="shared" si="834"/>
        <v>0</v>
      </c>
      <c r="AG312" s="51">
        <f t="shared" si="835"/>
        <v>0</v>
      </c>
      <c r="AH312" s="54">
        <f t="shared" si="836"/>
        <v>0</v>
      </c>
      <c r="AI312" s="55">
        <f t="shared" si="837"/>
        <v>0</v>
      </c>
      <c r="AJ312" s="56">
        <f>IF(AND($E312&lt;&gt;0,$F312&gt;0,YEAR($F312)&gt;=Preisindex!$A$6,YEAR(AE$4)&gt;=YEAR($F312),AND($K312&lt;&gt;"a",$K312&lt;&gt;"b",$K312&lt;&gt;"g",$K312&lt;&gt;"k")),1,IF(AND($E312&lt;&gt;0,$F312&gt;0,YEAR($F312)&gt;=Preisindex!$A$6,YEAR(AE$4)&gt;=YEAR($F312),$K312="a"),ROUND(VLOOKUP(AJ$4,Preisindex,5,FALSE)/VLOOKUP(YEAR($F312),Preisindex,5,FALSE),2),IF(AND($E312&lt;&gt;0,$F312&gt;0,YEAR($F312)&gt;=Preisindex!$A$6,YEAR(AE$4)&gt;=YEAR($F312),$K312="b"),ROUND(VLOOKUP(AJ$4,Preisindex,3,FALSE)/VLOOKUP(YEAR($F312),Preisindex,3,FALSE),2),IF(AND($E312&lt;&gt;0,$F312&gt;0,YEAR($F312)&gt;=Preisindex!$A$6,YEAR(AE$4)&gt;=YEAR($F312),$K312="g"),ROUND(VLOOKUP(AJ$4,Preisindex,4,FALSE)/VLOOKUP(YEAR($F312),Preisindex,4,FALSE),2),IF(AND($E312&lt;&gt;0,$F312&gt;0,YEAR($F312)&gt;=Preisindex!$A$6,YEAR(AE$4)&gt;=YEAR($F312),$K312="k"),ROUND(VLOOKUP(AJ$4,Preisindex,2,FALSE)/VLOOKUP(YEAR($F312),Preisindex,2,FALSE),2),0)))))</f>
        <v>0</v>
      </c>
      <c r="AK312" s="56">
        <f>IF(AND($E312&lt;&gt;0,$F312&gt;0,YEAR($F312)&lt;Preisindex!$A$6,YEAR(AE$4)&gt;=YEAR($F312),AND($K312&lt;&gt;"a",$K312&lt;&gt;"b",$K312&lt;&gt;"g",$K312&lt;&gt;"k")),1,IF(AND($E312&lt;&gt;0,$F312&gt;0,YEAR($F312)&lt;Preisindex!$A$6,YEAR(AE$4)&gt;=YEAR($F312),$K312="a"),ROUND(VLOOKUP(AJ$4,Preisindex,5,FALSE)/VLOOKUP(Preisindex!$A$6,Preisindex,5,FALSE),2),IF(AND($E312&lt;&gt;0,$F312&gt;0,YEAR($F312)&lt;Preisindex!$A$6,YEAR(AE$4)&gt;=YEAR($F312),$K312="b"),ROUND(VLOOKUP(AJ$4,Preisindex,3,FALSE)/VLOOKUP(Preisindex!$A$6,Preisindex,3,FALSE),2),IF(AND($E312&lt;&gt;0,$F312&gt;0,YEAR($F312)&lt;Preisindex!$A$6,YEAR(AE$4)&gt;=YEAR($F312),$K312="g"),ROUND(VLOOKUP(AJ$4,Preisindex,4,FALSE)/VLOOKUP(Preisindex!$A$6,Preisindex,4,FALSE),2),IF(AND($E312&lt;&gt;0,$F312&gt;0,YEAR($F312)&lt;Preisindex!$A$6,YEAR(AE$4)&gt;=YEAR($F312),$K312="k"),ROUND(VLOOKUP(AJ$4,Preisindex,2,FALSE)/VLOOKUP(Preisindex!$A$6,Preisindex,2,FALSE),2),0)))))</f>
        <v>0</v>
      </c>
      <c r="AL312" s="51">
        <f>IF(AND($E312&lt;&gt;0,$F312&gt;0,YEAR($F312)&lt;=AJ$4,YEAR($F312)&gt;=Preisindex!$A$6),ROUND($E312*AJ312,2),IF(AND($E312&lt;&gt;0,$F312&gt;0,YEAR($F312)&lt;=AJ$4,YEAR($F312)&lt;Preisindex!$A$6),ROUND($E312*AK312,2),0))</f>
        <v>0</v>
      </c>
      <c r="AM312" s="53">
        <f t="shared" si="838"/>
        <v>0</v>
      </c>
      <c r="AN312" s="51">
        <f t="shared" si="883"/>
        <v>0</v>
      </c>
      <c r="AO312" s="51">
        <f t="shared" si="841"/>
        <v>0</v>
      </c>
      <c r="AP312" s="51">
        <f t="shared" si="755"/>
        <v>0</v>
      </c>
      <c r="AQ312" s="51">
        <f t="shared" si="842"/>
        <v>0</v>
      </c>
      <c r="AR312" s="51">
        <f t="shared" si="756"/>
        <v>0</v>
      </c>
      <c r="AS312" s="51">
        <f t="shared" si="843"/>
        <v>0</v>
      </c>
      <c r="AT312" s="51">
        <f t="shared" si="757"/>
        <v>0</v>
      </c>
      <c r="AU312" s="51">
        <f t="shared" si="844"/>
        <v>0</v>
      </c>
      <c r="AV312" s="51">
        <f t="shared" si="758"/>
        <v>0</v>
      </c>
      <c r="AW312" s="51">
        <f t="shared" si="845"/>
        <v>0</v>
      </c>
      <c r="AX312" s="51">
        <f t="shared" si="759"/>
        <v>0</v>
      </c>
      <c r="AY312" s="54">
        <f t="shared" si="760"/>
        <v>0</v>
      </c>
      <c r="AZ312" s="55">
        <f t="shared" si="761"/>
        <v>0</v>
      </c>
      <c r="BA312" s="56">
        <f>IF(AND($E312&lt;&gt;0,$F312&gt;0,YEAR($F312)&gt;=Preisindex!$A$6,YEAR(AV$4)&gt;=YEAR($F312),AND($K312&lt;&gt;"a",$K312&lt;&gt;"b",$K312&lt;&gt;"g",$K312&lt;&gt;"k")),1,IF(AND($E312&lt;&gt;0,$F312&gt;0,YEAR($F312)&gt;=Preisindex!$A$6,YEAR(AV$4)&gt;=YEAR($F312),$K312="a"),ROUND(VLOOKUP(BA$4,Preisindex,5,FALSE)/VLOOKUP(YEAR($F312),Preisindex,5,FALSE),2),IF(AND($E312&lt;&gt;0,$F312&gt;0,YEAR($F312)&gt;=Preisindex!$A$6,YEAR(AV$4)&gt;=YEAR($F312),$K312="b"),ROUND(VLOOKUP(BA$4,Preisindex,3,FALSE)/VLOOKUP(YEAR($F312),Preisindex,3,FALSE),2),IF(AND($E312&lt;&gt;0,$F312&gt;0,YEAR($F312)&gt;=Preisindex!$A$6,YEAR(AV$4)&gt;=YEAR($F312),$K312="g"),ROUND(VLOOKUP(BA$4,Preisindex,4,FALSE)/VLOOKUP(YEAR($F312),Preisindex,4,FALSE),2),IF(AND($E312&lt;&gt;0,$F312&gt;0,YEAR($F312)&gt;=Preisindex!$A$6,YEAR(AV$4)&gt;=YEAR($F312),$K312="k"),ROUND(VLOOKUP(BA$4,Preisindex,2,FALSE)/VLOOKUP(YEAR($F312),Preisindex,2,FALSE),2),0)))))</f>
        <v>0</v>
      </c>
      <c r="BB312" s="56">
        <f>IF(AND($E312&lt;&gt;0,$F312&gt;0,YEAR($F312)&lt;Preisindex!$A$6,YEAR(AV$4)&gt;=YEAR($F312),AND($K312&lt;&gt;"a",$K312&lt;&gt;"b",$K312&lt;&gt;"g",$K312&lt;&gt;"k")),1,IF(AND($E312&lt;&gt;0,$F312&gt;0,YEAR($F312)&lt;Preisindex!$A$6,YEAR(AV$4)&gt;=YEAR($F312),$K312="a"),ROUND(VLOOKUP(BA$4,Preisindex,5,FALSE)/VLOOKUP(Preisindex!$A$6,Preisindex,5,FALSE),2),IF(AND($E312&lt;&gt;0,$F312&gt;0,YEAR($F312)&lt;Preisindex!$A$6,YEAR(AV$4)&gt;=YEAR($F312),$K312="b"),ROUND(VLOOKUP(BA$4,Preisindex,3,FALSE)/VLOOKUP(Preisindex!$A$6,Preisindex,3,FALSE),2),IF(AND($E312&lt;&gt;0,$F312&gt;0,YEAR($F312)&lt;Preisindex!$A$6,YEAR(AV$4)&gt;=YEAR($F312),$K312="g"),ROUND(VLOOKUP(BA$4,Preisindex,4,FALSE)/VLOOKUP(Preisindex!$A$6,Preisindex,4,FALSE),2),IF(AND($E312&lt;&gt;0,$F312&gt;0,YEAR($F312)&lt;Preisindex!$A$6,YEAR(AV$4)&gt;=YEAR($F312),$K312="k"),ROUND(VLOOKUP(BA$4,Preisindex,2,FALSE)/VLOOKUP(Preisindex!$A$6,Preisindex,2,FALSE),2),0)))))</f>
        <v>0</v>
      </c>
      <c r="BC312" s="51">
        <f>IF(AND($E312&lt;&gt;0,$F312&gt;0,YEAR($F312)&lt;=BA$4,YEAR($F312)&gt;=Preisindex!$A$6),ROUND($E312*BA312,2),IF(AND($E312&lt;&gt;0,$F312&gt;0,YEAR($F312)&lt;=BA$4,YEAR($F312)&lt;Preisindex!$A$6),ROUND($E312*BB312,2),0))</f>
        <v>0</v>
      </c>
      <c r="BD312" s="53">
        <f t="shared" si="762"/>
        <v>0</v>
      </c>
      <c r="BE312" s="51">
        <f t="shared" si="883"/>
        <v>0</v>
      </c>
      <c r="BF312" s="51">
        <f t="shared" si="846"/>
        <v>0</v>
      </c>
      <c r="BG312" s="51">
        <f t="shared" si="763"/>
        <v>0</v>
      </c>
      <c r="BH312" s="51">
        <f t="shared" si="847"/>
        <v>0</v>
      </c>
      <c r="BI312" s="51">
        <f t="shared" si="764"/>
        <v>0</v>
      </c>
      <c r="BJ312" s="51">
        <f t="shared" si="848"/>
        <v>0</v>
      </c>
      <c r="BK312" s="51">
        <f t="shared" si="765"/>
        <v>0</v>
      </c>
      <c r="BL312" s="51">
        <f t="shared" si="849"/>
        <v>0</v>
      </c>
      <c r="BM312" s="51">
        <f t="shared" si="766"/>
        <v>0</v>
      </c>
      <c r="BN312" s="51">
        <f t="shared" si="850"/>
        <v>0</v>
      </c>
      <c r="BO312" s="51">
        <f t="shared" si="767"/>
        <v>0</v>
      </c>
      <c r="BP312" s="54">
        <f t="shared" si="768"/>
        <v>0</v>
      </c>
      <c r="BQ312" s="55">
        <f t="shared" si="769"/>
        <v>0</v>
      </c>
      <c r="BR312" s="56">
        <f>IF(AND($E312&lt;&gt;0,$F312&gt;0,YEAR($F312)&gt;=Preisindex!$A$6,YEAR(BM$4)&gt;=YEAR($F312),AND($K312&lt;&gt;"a",$K312&lt;&gt;"b",$K312&lt;&gt;"g",$K312&lt;&gt;"k")),1,IF(AND($E312&lt;&gt;0,$F312&gt;0,YEAR($F312)&gt;=Preisindex!$A$6,YEAR(BM$4)&gt;=YEAR($F312),$K312="a"),ROUND(VLOOKUP(BR$4,Preisindex,5,FALSE)/VLOOKUP(YEAR($F312),Preisindex,5,FALSE),2),IF(AND($E312&lt;&gt;0,$F312&gt;0,YEAR($F312)&gt;=Preisindex!$A$6,YEAR(BM$4)&gt;=YEAR($F312),$K312="b"),ROUND(VLOOKUP(BR$4,Preisindex,3,FALSE)/VLOOKUP(YEAR($F312),Preisindex,3,FALSE),2),IF(AND($E312&lt;&gt;0,$F312&gt;0,YEAR($F312)&gt;=Preisindex!$A$6,YEAR(BM$4)&gt;=YEAR($F312),$K312="g"),ROUND(VLOOKUP(BR$4,Preisindex,4,FALSE)/VLOOKUP(YEAR($F312),Preisindex,4,FALSE),2),IF(AND($E312&lt;&gt;0,$F312&gt;0,YEAR($F312)&gt;=Preisindex!$A$6,YEAR(BM$4)&gt;=YEAR($F312),$K312="k"),ROUND(VLOOKUP(BR$4,Preisindex,2,FALSE)/VLOOKUP(YEAR($F312),Preisindex,2,FALSE),2),0)))))</f>
        <v>0</v>
      </c>
      <c r="BS312" s="56">
        <f>IF(AND($E312&lt;&gt;0,$F312&gt;0,YEAR($F312)&lt;Preisindex!$A$6,YEAR(BM$4)&gt;=YEAR($F312),AND($K312&lt;&gt;"a",$K312&lt;&gt;"b",$K312&lt;&gt;"g",$K312&lt;&gt;"k")),1,IF(AND($E312&lt;&gt;0,$F312&gt;0,YEAR($F312)&lt;Preisindex!$A$6,YEAR(BM$4)&gt;=YEAR($F312),$K312="a"),ROUND(VLOOKUP(BR$4,Preisindex,5,FALSE)/VLOOKUP(Preisindex!$A$6,Preisindex,5,FALSE),2),IF(AND($E312&lt;&gt;0,$F312&gt;0,YEAR($F312)&lt;Preisindex!$A$6,YEAR(BM$4)&gt;=YEAR($F312),$K312="b"),ROUND(VLOOKUP(BR$4,Preisindex,3,FALSE)/VLOOKUP(Preisindex!$A$6,Preisindex,3,FALSE),2),IF(AND($E312&lt;&gt;0,$F312&gt;0,YEAR($F312)&lt;Preisindex!$A$6,YEAR(BM$4)&gt;=YEAR($F312),$K312="g"),ROUND(VLOOKUP(BR$4,Preisindex,4,FALSE)/VLOOKUP(Preisindex!$A$6,Preisindex,4,FALSE),2),IF(AND($E312&lt;&gt;0,$F312&gt;0,YEAR($F312)&lt;Preisindex!$A$6,YEAR(BM$4)&gt;=YEAR($F312),$K312="k"),ROUND(VLOOKUP(BR$4,Preisindex,2,FALSE)/VLOOKUP(Preisindex!$A$6,Preisindex,2,FALSE),2),0)))))</f>
        <v>0</v>
      </c>
      <c r="BT312" s="51">
        <f>IF(AND($E312&lt;&gt;0,$F312&gt;0,YEAR($F312)&lt;=BR$4,YEAR($F312)&gt;=Preisindex!$A$6),ROUND($E312*BR312,2),IF(AND($E312&lt;&gt;0,$F312&gt;0,YEAR($F312)&lt;=BR$4,YEAR($F312)&lt;Preisindex!$A$6),ROUND($E312*BS312,2),0))</f>
        <v>0</v>
      </c>
      <c r="BU312" s="53">
        <f t="shared" si="770"/>
        <v>0</v>
      </c>
      <c r="BV312" s="51">
        <f t="shared" si="883"/>
        <v>0</v>
      </c>
      <c r="BW312" s="51">
        <f t="shared" si="851"/>
        <v>0</v>
      </c>
      <c r="BX312" s="51">
        <f t="shared" si="771"/>
        <v>0</v>
      </c>
      <c r="BY312" s="51">
        <f t="shared" si="852"/>
        <v>0</v>
      </c>
      <c r="BZ312" s="51">
        <f t="shared" si="772"/>
        <v>0</v>
      </c>
      <c r="CA312" s="51">
        <f t="shared" si="853"/>
        <v>0</v>
      </c>
      <c r="CB312" s="51">
        <f t="shared" si="773"/>
        <v>0</v>
      </c>
      <c r="CC312" s="51">
        <f t="shared" si="854"/>
        <v>0</v>
      </c>
      <c r="CD312" s="51">
        <f t="shared" si="774"/>
        <v>0</v>
      </c>
      <c r="CE312" s="51">
        <f t="shared" si="855"/>
        <v>0</v>
      </c>
      <c r="CF312" s="51">
        <f t="shared" si="775"/>
        <v>0</v>
      </c>
      <c r="CG312" s="54">
        <f t="shared" si="776"/>
        <v>0</v>
      </c>
      <c r="CH312" s="55">
        <f t="shared" si="777"/>
        <v>0</v>
      </c>
      <c r="CI312" s="56">
        <f>IF(AND($E312&lt;&gt;0,$F312&gt;0,YEAR($F312)&gt;=Preisindex!$A$6,YEAR(CD$4)&gt;=YEAR($F312),AND($K312&lt;&gt;"a",$K312&lt;&gt;"b",$K312&lt;&gt;"g",$K312&lt;&gt;"k")),1,IF(AND($E312&lt;&gt;0,$F312&gt;0,YEAR($F312)&gt;=Preisindex!$A$6,YEAR(CD$4)&gt;=YEAR($F312),$K312="a"),ROUND(VLOOKUP(CI$4,Preisindex,5,FALSE)/VLOOKUP(YEAR($F312),Preisindex,5,FALSE),2),IF(AND($E312&lt;&gt;0,$F312&gt;0,YEAR($F312)&gt;=Preisindex!$A$6,YEAR(CD$4)&gt;=YEAR($F312),$K312="b"),ROUND(VLOOKUP(CI$4,Preisindex,3,FALSE)/VLOOKUP(YEAR($F312),Preisindex,3,FALSE),2),IF(AND($E312&lt;&gt;0,$F312&gt;0,YEAR($F312)&gt;=Preisindex!$A$6,YEAR(CD$4)&gt;=YEAR($F312),$K312="g"),ROUND(VLOOKUP(CI$4,Preisindex,4,FALSE)/VLOOKUP(YEAR($F312),Preisindex,4,FALSE),2),IF(AND($E312&lt;&gt;0,$F312&gt;0,YEAR($F312)&gt;=Preisindex!$A$6,YEAR(CD$4)&gt;=YEAR($F312),$K312="k"),ROUND(VLOOKUP(CI$4,Preisindex,2,FALSE)/VLOOKUP(YEAR($F312),Preisindex,2,FALSE),2),0)))))</f>
        <v>0</v>
      </c>
      <c r="CJ312" s="56">
        <f>IF(AND($E312&lt;&gt;0,$F312&gt;0,YEAR($F312)&lt;Preisindex!$A$6,YEAR(CD$4)&gt;=YEAR($F312),AND($K312&lt;&gt;"a",$K312&lt;&gt;"b",$K312&lt;&gt;"g",$K312&lt;&gt;"k")),1,IF(AND($E312&lt;&gt;0,$F312&gt;0,YEAR($F312)&lt;Preisindex!$A$6,YEAR(CD$4)&gt;=YEAR($F312),$K312="a"),ROUND(VLOOKUP(CI$4,Preisindex,5,FALSE)/VLOOKUP(Preisindex!$A$6,Preisindex,5,FALSE),2),IF(AND($E312&lt;&gt;0,$F312&gt;0,YEAR($F312)&lt;Preisindex!$A$6,YEAR(CD$4)&gt;=YEAR($F312),$K312="b"),ROUND(VLOOKUP(CI$4,Preisindex,3,FALSE)/VLOOKUP(Preisindex!$A$6,Preisindex,3,FALSE),2),IF(AND($E312&lt;&gt;0,$F312&gt;0,YEAR($F312)&lt;Preisindex!$A$6,YEAR(CD$4)&gt;=YEAR($F312),$K312="g"),ROUND(VLOOKUP(CI$4,Preisindex,4,FALSE)/VLOOKUP(Preisindex!$A$6,Preisindex,4,FALSE),2),IF(AND($E312&lt;&gt;0,$F312&gt;0,YEAR($F312)&lt;Preisindex!$A$6,YEAR(CD$4)&gt;=YEAR($F312),$K312="k"),ROUND(VLOOKUP(CI$4,Preisindex,2,FALSE)/VLOOKUP(Preisindex!$A$6,Preisindex,2,FALSE),2),0)))))</f>
        <v>0</v>
      </c>
      <c r="CK312" s="51">
        <f>IF(AND($E312&lt;&gt;0,$F312&gt;0,YEAR($F312)&lt;=CI$4,YEAR($F312)&gt;=Preisindex!$A$6),ROUND($E312*CI312,2),IF(AND($E312&lt;&gt;0,$F312&gt;0,YEAR($F312)&lt;=CI$4,YEAR($F312)&lt;Preisindex!$A$6),ROUND($E312*CJ312,2),0))</f>
        <v>0</v>
      </c>
      <c r="CL312" s="53">
        <f t="shared" si="778"/>
        <v>0</v>
      </c>
      <c r="CM312" s="51">
        <f t="shared" si="883"/>
        <v>0</v>
      </c>
      <c r="CN312" s="51">
        <f t="shared" si="856"/>
        <v>0</v>
      </c>
      <c r="CO312" s="51">
        <f t="shared" si="779"/>
        <v>0</v>
      </c>
      <c r="CP312" s="51">
        <f t="shared" si="857"/>
        <v>0</v>
      </c>
      <c r="CQ312" s="51">
        <f t="shared" si="780"/>
        <v>0</v>
      </c>
      <c r="CR312" s="51">
        <f t="shared" si="858"/>
        <v>0</v>
      </c>
      <c r="CS312" s="51">
        <f t="shared" si="781"/>
        <v>0</v>
      </c>
      <c r="CT312" s="51">
        <f t="shared" si="859"/>
        <v>0</v>
      </c>
      <c r="CU312" s="51">
        <f t="shared" si="782"/>
        <v>0</v>
      </c>
      <c r="CV312" s="51">
        <f t="shared" si="860"/>
        <v>0</v>
      </c>
      <c r="CW312" s="51">
        <f t="shared" si="783"/>
        <v>0</v>
      </c>
      <c r="CX312" s="54">
        <f t="shared" si="784"/>
        <v>0</v>
      </c>
      <c r="CY312" s="55">
        <f t="shared" si="785"/>
        <v>0</v>
      </c>
      <c r="CZ312" s="56">
        <f>IF(AND($E312&lt;&gt;0,$F312&gt;0,YEAR($F312)&gt;=Preisindex!$A$6,YEAR(CU$4)&gt;=YEAR($F312),AND($K312&lt;&gt;"a",$K312&lt;&gt;"b",$K312&lt;&gt;"g",$K312&lt;&gt;"k")),1,IF(AND($E312&lt;&gt;0,$F312&gt;0,YEAR($F312)&gt;=Preisindex!$A$6,YEAR(CU$4)&gt;=YEAR($F312),$K312="a"),ROUND(VLOOKUP(CZ$4,Preisindex,5,FALSE)/VLOOKUP(YEAR($F312),Preisindex,5,FALSE),2),IF(AND($E312&lt;&gt;0,$F312&gt;0,YEAR($F312)&gt;=Preisindex!$A$6,YEAR(CU$4)&gt;=YEAR($F312),$K312="b"),ROUND(VLOOKUP(CZ$4,Preisindex,3,FALSE)/VLOOKUP(YEAR($F312),Preisindex,3,FALSE),2),IF(AND($E312&lt;&gt;0,$F312&gt;0,YEAR($F312)&gt;=Preisindex!$A$6,YEAR(CU$4)&gt;=YEAR($F312),$K312="g"),ROUND(VLOOKUP(CZ$4,Preisindex,4,FALSE)/VLOOKUP(YEAR($F312),Preisindex,4,FALSE),2),IF(AND($E312&lt;&gt;0,$F312&gt;0,YEAR($F312)&gt;=Preisindex!$A$6,YEAR(CU$4)&gt;=YEAR($F312),$K312="k"),ROUND(VLOOKUP(CZ$4,Preisindex,2,FALSE)/VLOOKUP(YEAR($F312),Preisindex,2,FALSE),2),0)))))</f>
        <v>0</v>
      </c>
      <c r="DA312" s="56">
        <f>IF(AND($E312&lt;&gt;0,$F312&gt;0,YEAR($F312)&lt;Preisindex!$A$6,YEAR(CU$4)&gt;=YEAR($F312),AND($K312&lt;&gt;"a",$K312&lt;&gt;"b",$K312&lt;&gt;"g",$K312&lt;&gt;"k")),1,IF(AND($E312&lt;&gt;0,$F312&gt;0,YEAR($F312)&lt;Preisindex!$A$6,YEAR(CU$4)&gt;=YEAR($F312),$K312="a"),ROUND(VLOOKUP(CZ$4,Preisindex,5,FALSE)/VLOOKUP(Preisindex!$A$6,Preisindex,5,FALSE),2),IF(AND($E312&lt;&gt;0,$F312&gt;0,YEAR($F312)&lt;Preisindex!$A$6,YEAR(CU$4)&gt;=YEAR($F312),$K312="b"),ROUND(VLOOKUP(CZ$4,Preisindex,3,FALSE)/VLOOKUP(Preisindex!$A$6,Preisindex,3,FALSE),2),IF(AND($E312&lt;&gt;0,$F312&gt;0,YEAR($F312)&lt;Preisindex!$A$6,YEAR(CU$4)&gt;=YEAR($F312),$K312="g"),ROUND(VLOOKUP(CZ$4,Preisindex,4,FALSE)/VLOOKUP(Preisindex!$A$6,Preisindex,4,FALSE),2),IF(AND($E312&lt;&gt;0,$F312&gt;0,YEAR($F312)&lt;Preisindex!$A$6,YEAR(CU$4)&gt;=YEAR($F312),$K312="k"),ROUND(VLOOKUP(CZ$4,Preisindex,2,FALSE)/VLOOKUP(Preisindex!$A$6,Preisindex,2,FALSE),2),0)))))</f>
        <v>0</v>
      </c>
      <c r="DB312" s="51">
        <f>IF(AND($E312&lt;&gt;0,$F312&gt;0,YEAR($F312)&lt;=CZ$4,YEAR($F312)&gt;=Preisindex!$A$6),ROUND($E312*CZ312,2),IF(AND($E312&lt;&gt;0,$F312&gt;0,YEAR($F312)&lt;=CZ$4,YEAR($F312)&lt;Preisindex!$A$6),ROUND($E312*DA312,2),0))</f>
        <v>0</v>
      </c>
      <c r="DC312" s="53">
        <f t="shared" si="786"/>
        <v>0</v>
      </c>
      <c r="DD312" s="51">
        <f t="shared" si="884"/>
        <v>0</v>
      </c>
      <c r="DE312" s="51">
        <f t="shared" si="861"/>
        <v>0</v>
      </c>
      <c r="DF312" s="51">
        <f t="shared" si="788"/>
        <v>0</v>
      </c>
      <c r="DG312" s="51">
        <f t="shared" si="862"/>
        <v>0</v>
      </c>
      <c r="DH312" s="51">
        <f t="shared" si="789"/>
        <v>0</v>
      </c>
      <c r="DI312" s="51">
        <f t="shared" si="863"/>
        <v>0</v>
      </c>
      <c r="DJ312" s="51">
        <f t="shared" si="790"/>
        <v>0</v>
      </c>
      <c r="DK312" s="51">
        <f t="shared" si="864"/>
        <v>0</v>
      </c>
      <c r="DL312" s="51">
        <f t="shared" si="791"/>
        <v>0</v>
      </c>
      <c r="DM312" s="51">
        <f t="shared" si="865"/>
        <v>0</v>
      </c>
      <c r="DN312" s="51">
        <f t="shared" si="792"/>
        <v>0</v>
      </c>
      <c r="DO312" s="54">
        <f t="shared" si="793"/>
        <v>0</v>
      </c>
      <c r="DP312" s="55">
        <f t="shared" si="794"/>
        <v>0</v>
      </c>
      <c r="DQ312" s="56">
        <f>IF(AND($E312&lt;&gt;0,$F312&gt;0,YEAR($F312)&gt;=Preisindex!$A$6,YEAR(DL$4)&gt;=YEAR($F312),AND($K312&lt;&gt;"a",$K312&lt;&gt;"b",$K312&lt;&gt;"g",$K312&lt;&gt;"k")),1,IF(AND($E312&lt;&gt;0,$F312&gt;0,YEAR($F312)&gt;=Preisindex!$A$6,YEAR(DL$4)&gt;=YEAR($F312),$K312="a"),ROUND(VLOOKUP(DQ$4,Preisindex,5,FALSE)/VLOOKUP(YEAR($F312),Preisindex,5,FALSE),2),IF(AND($E312&lt;&gt;0,$F312&gt;0,YEAR($F312)&gt;=Preisindex!$A$6,YEAR(DL$4)&gt;=YEAR($F312),$K312="b"),ROUND(VLOOKUP(DQ$4,Preisindex,3,FALSE)/VLOOKUP(YEAR($F312),Preisindex,3,FALSE),2),IF(AND($E312&lt;&gt;0,$F312&gt;0,YEAR($F312)&gt;=Preisindex!$A$6,YEAR(DL$4)&gt;=YEAR($F312),$K312="g"),ROUND(VLOOKUP(DQ$4,Preisindex,4,FALSE)/VLOOKUP(YEAR($F312),Preisindex,4,FALSE),2),IF(AND($E312&lt;&gt;0,$F312&gt;0,YEAR($F312)&gt;=Preisindex!$A$6,YEAR(DL$4)&gt;=YEAR($F312),$K312="k"),ROUND(VLOOKUP(DQ$4,Preisindex,2,FALSE)/VLOOKUP(YEAR($F312),Preisindex,2,FALSE),2),0)))))</f>
        <v>0</v>
      </c>
      <c r="DR312" s="56">
        <f>IF(AND($E312&lt;&gt;0,$F312&gt;0,YEAR($F312)&lt;Preisindex!$A$6,YEAR(DL$4)&gt;=YEAR($F312),AND($K312&lt;&gt;"a",$K312&lt;&gt;"b",$K312&lt;&gt;"g",$K312&lt;&gt;"k")),1,IF(AND($E312&lt;&gt;0,$F312&gt;0,YEAR($F312)&lt;Preisindex!$A$6,YEAR(DL$4)&gt;=YEAR($F312),$K312="a"),ROUND(VLOOKUP(DQ$4,Preisindex,5,FALSE)/VLOOKUP(Preisindex!$A$6,Preisindex,5,FALSE),2),IF(AND($E312&lt;&gt;0,$F312&gt;0,YEAR($F312)&lt;Preisindex!$A$6,YEAR(DL$4)&gt;=YEAR($F312),$K312="b"),ROUND(VLOOKUP(DQ$4,Preisindex,3,FALSE)/VLOOKUP(Preisindex!$A$6,Preisindex,3,FALSE),2),IF(AND($E312&lt;&gt;0,$F312&gt;0,YEAR($F312)&lt;Preisindex!$A$6,YEAR(DL$4)&gt;=YEAR($F312),$K312="g"),ROUND(VLOOKUP(DQ$4,Preisindex,4,FALSE)/VLOOKUP(Preisindex!$A$6,Preisindex,4,FALSE),2),IF(AND($E312&lt;&gt;0,$F312&gt;0,YEAR($F312)&lt;Preisindex!$A$6,YEAR(DL$4)&gt;=YEAR($F312),$K312="k"),ROUND(VLOOKUP(DQ$4,Preisindex,2,FALSE)/VLOOKUP(Preisindex!$A$6,Preisindex,2,FALSE),2),0)))))</f>
        <v>0</v>
      </c>
      <c r="DS312" s="51">
        <f>IF(AND($E312&lt;&gt;0,$F312&gt;0,YEAR($F312)&lt;=DQ$4,YEAR($F312)&gt;=Preisindex!$A$6),ROUND($E312*DQ312,2),IF(AND($E312&lt;&gt;0,$F312&gt;0,YEAR($F312)&lt;=DQ$4,YEAR($F312)&lt;Preisindex!$A$6),ROUND($E312*DR312,2),0))</f>
        <v>0</v>
      </c>
      <c r="DT312" s="53">
        <f t="shared" si="795"/>
        <v>0</v>
      </c>
      <c r="DU312" s="51">
        <f t="shared" si="884"/>
        <v>0</v>
      </c>
      <c r="DV312" s="51">
        <f t="shared" si="866"/>
        <v>0</v>
      </c>
      <c r="DW312" s="51">
        <f t="shared" si="796"/>
        <v>0</v>
      </c>
      <c r="DX312" s="51">
        <f t="shared" si="867"/>
        <v>0</v>
      </c>
      <c r="DY312" s="51">
        <f t="shared" si="797"/>
        <v>0</v>
      </c>
      <c r="DZ312" s="51">
        <f t="shared" si="868"/>
        <v>0</v>
      </c>
      <c r="EA312" s="51">
        <f t="shared" si="798"/>
        <v>0</v>
      </c>
      <c r="EB312" s="51">
        <f t="shared" si="869"/>
        <v>0</v>
      </c>
      <c r="EC312" s="51">
        <f t="shared" si="799"/>
        <v>0</v>
      </c>
      <c r="ED312" s="51">
        <f t="shared" si="870"/>
        <v>0</v>
      </c>
      <c r="EE312" s="51">
        <f t="shared" si="800"/>
        <v>0</v>
      </c>
      <c r="EF312" s="54">
        <f t="shared" si="801"/>
        <v>0</v>
      </c>
      <c r="EG312" s="55">
        <f t="shared" si="802"/>
        <v>0</v>
      </c>
      <c r="EH312" s="56">
        <f>IF(AND($E312&lt;&gt;0,$F312&gt;0,YEAR($F312)&gt;=Preisindex!$A$6,YEAR(EC$4)&gt;=YEAR($F312),AND($K312&lt;&gt;"a",$K312&lt;&gt;"b",$K312&lt;&gt;"g",$K312&lt;&gt;"k")),1,IF(AND($E312&lt;&gt;0,$F312&gt;0,YEAR($F312)&gt;=Preisindex!$A$6,YEAR(EC$4)&gt;=YEAR($F312),$K312="a"),ROUND(VLOOKUP(EH$4,Preisindex,5,FALSE)/VLOOKUP(YEAR($F312),Preisindex,5,FALSE),2),IF(AND($E312&lt;&gt;0,$F312&gt;0,YEAR($F312)&gt;=Preisindex!$A$6,YEAR(EC$4)&gt;=YEAR($F312),$K312="b"),ROUND(VLOOKUP(EH$4,Preisindex,3,FALSE)/VLOOKUP(YEAR($F312),Preisindex,3,FALSE),2),IF(AND($E312&lt;&gt;0,$F312&gt;0,YEAR($F312)&gt;=Preisindex!$A$6,YEAR(EC$4)&gt;=YEAR($F312),$K312="g"),ROUND(VLOOKUP(EH$4,Preisindex,4,FALSE)/VLOOKUP(YEAR($F312),Preisindex,4,FALSE),2),IF(AND($E312&lt;&gt;0,$F312&gt;0,YEAR($F312)&gt;=Preisindex!$A$6,YEAR(EC$4)&gt;=YEAR($F312),$K312="k"),ROUND(VLOOKUP(EH$4,Preisindex,2,FALSE)/VLOOKUP(YEAR($F312),Preisindex,2,FALSE),2),0)))))</f>
        <v>0</v>
      </c>
      <c r="EI312" s="56">
        <f>IF(AND($E312&lt;&gt;0,$F312&gt;0,YEAR($F312)&lt;Preisindex!$A$6,YEAR(EC$4)&gt;=YEAR($F312),AND($K312&lt;&gt;"a",$K312&lt;&gt;"b",$K312&lt;&gt;"g",$K312&lt;&gt;"k")),1,IF(AND($E312&lt;&gt;0,$F312&gt;0,YEAR($F312)&lt;Preisindex!$A$6,YEAR(EC$4)&gt;=YEAR($F312),$K312="a"),ROUND(VLOOKUP(EH$4,Preisindex,5,FALSE)/VLOOKUP(Preisindex!$A$6,Preisindex,5,FALSE),2),IF(AND($E312&lt;&gt;0,$F312&gt;0,YEAR($F312)&lt;Preisindex!$A$6,YEAR(EC$4)&gt;=YEAR($F312),$K312="b"),ROUND(VLOOKUP(EH$4,Preisindex,3,FALSE)/VLOOKUP(Preisindex!$A$6,Preisindex,3,FALSE),2),IF(AND($E312&lt;&gt;0,$F312&gt;0,YEAR($F312)&lt;Preisindex!$A$6,YEAR(EC$4)&gt;=YEAR($F312),$K312="g"),ROUND(VLOOKUP(EH$4,Preisindex,4,FALSE)/VLOOKUP(Preisindex!$A$6,Preisindex,4,FALSE),2),IF(AND($E312&lt;&gt;0,$F312&gt;0,YEAR($F312)&lt;Preisindex!$A$6,YEAR(EC$4)&gt;=YEAR($F312),$K312="k"),ROUND(VLOOKUP(EH$4,Preisindex,2,FALSE)/VLOOKUP(Preisindex!$A$6,Preisindex,2,FALSE),2),0)))))</f>
        <v>0</v>
      </c>
      <c r="EJ312" s="51">
        <f>IF(AND($E312&lt;&gt;0,$F312&gt;0,YEAR($F312)&lt;=EH$4,YEAR($F312)&gt;=Preisindex!$A$6),ROUND($E312*EH312,2),IF(AND($E312&lt;&gt;0,$F312&gt;0,YEAR($F312)&lt;=EH$4,YEAR($F312)&lt;Preisindex!$A$6),ROUND($E312*EI312,2),0))</f>
        <v>0</v>
      </c>
      <c r="EK312" s="53">
        <f t="shared" si="803"/>
        <v>0</v>
      </c>
      <c r="EL312" s="51">
        <f t="shared" si="884"/>
        <v>0</v>
      </c>
      <c r="EM312" s="51">
        <f t="shared" si="871"/>
        <v>0</v>
      </c>
      <c r="EN312" s="51">
        <f t="shared" si="804"/>
        <v>0</v>
      </c>
      <c r="EO312" s="51">
        <f t="shared" si="872"/>
        <v>0</v>
      </c>
      <c r="EP312" s="51">
        <f t="shared" si="805"/>
        <v>0</v>
      </c>
      <c r="EQ312" s="51">
        <f t="shared" si="873"/>
        <v>0</v>
      </c>
      <c r="ER312" s="51">
        <f t="shared" si="806"/>
        <v>0</v>
      </c>
      <c r="ES312" s="51">
        <f t="shared" si="874"/>
        <v>0</v>
      </c>
      <c r="ET312" s="51">
        <f t="shared" si="807"/>
        <v>0</v>
      </c>
      <c r="EU312" s="51">
        <f t="shared" si="875"/>
        <v>0</v>
      </c>
      <c r="EV312" s="51">
        <f t="shared" si="808"/>
        <v>0</v>
      </c>
      <c r="EW312" s="54">
        <f t="shared" si="809"/>
        <v>0</v>
      </c>
      <c r="EX312" s="55">
        <f t="shared" si="810"/>
        <v>0</v>
      </c>
      <c r="EY312" s="56">
        <f>IF(AND($E312&lt;&gt;0,$F312&gt;0,YEAR($F312)&gt;=Preisindex!$A$6,YEAR(ET$4)&gt;=YEAR($F312),AND($K312&lt;&gt;"a",$K312&lt;&gt;"b",$K312&lt;&gt;"g",$K312&lt;&gt;"k")),1,IF(AND($E312&lt;&gt;0,$F312&gt;0,YEAR($F312)&gt;=Preisindex!$A$6,YEAR(ET$4)&gt;=YEAR($F312),$K312="a"),ROUND(VLOOKUP(EY$4,Preisindex,5,FALSE)/VLOOKUP(YEAR($F312),Preisindex,5,FALSE),2),IF(AND($E312&lt;&gt;0,$F312&gt;0,YEAR($F312)&gt;=Preisindex!$A$6,YEAR(ET$4)&gt;=YEAR($F312),$K312="b"),ROUND(VLOOKUP(EY$4,Preisindex,3,FALSE)/VLOOKUP(YEAR($F312),Preisindex,3,FALSE),2),IF(AND($E312&lt;&gt;0,$F312&gt;0,YEAR($F312)&gt;=Preisindex!$A$6,YEAR(ET$4)&gt;=YEAR($F312),$K312="g"),ROUND(VLOOKUP(EY$4,Preisindex,4,FALSE)/VLOOKUP(YEAR($F312),Preisindex,4,FALSE),2),IF(AND($E312&lt;&gt;0,$F312&gt;0,YEAR($F312)&gt;=Preisindex!$A$6,YEAR(ET$4)&gt;=YEAR($F312),$K312="k"),ROUND(VLOOKUP(EY$4,Preisindex,2,FALSE)/VLOOKUP(YEAR($F312),Preisindex,2,FALSE),2),0)))))</f>
        <v>0</v>
      </c>
      <c r="EZ312" s="56">
        <f>IF(AND($E312&lt;&gt;0,$F312&gt;0,YEAR($F312)&lt;Preisindex!$A$6,YEAR(ET$4)&gt;=YEAR($F312),AND($K312&lt;&gt;"a",$K312&lt;&gt;"b",$K312&lt;&gt;"g",$K312&lt;&gt;"k")),1,IF(AND($E312&lt;&gt;0,$F312&gt;0,YEAR($F312)&lt;Preisindex!$A$6,YEAR(ET$4)&gt;=YEAR($F312),$K312="a"),ROUND(VLOOKUP(EY$4,Preisindex,5,FALSE)/VLOOKUP(Preisindex!$A$6,Preisindex,5,FALSE),2),IF(AND($E312&lt;&gt;0,$F312&gt;0,YEAR($F312)&lt;Preisindex!$A$6,YEAR(ET$4)&gt;=YEAR($F312),$K312="b"),ROUND(VLOOKUP(EY$4,Preisindex,3,FALSE)/VLOOKUP(Preisindex!$A$6,Preisindex,3,FALSE),2),IF(AND($E312&lt;&gt;0,$F312&gt;0,YEAR($F312)&lt;Preisindex!$A$6,YEAR(ET$4)&gt;=YEAR($F312),$K312="g"),ROUND(VLOOKUP(EY$4,Preisindex,4,FALSE)/VLOOKUP(Preisindex!$A$6,Preisindex,4,FALSE),2),IF(AND($E312&lt;&gt;0,$F312&gt;0,YEAR($F312)&lt;Preisindex!$A$6,YEAR(ET$4)&gt;=YEAR($F312),$K312="k"),ROUND(VLOOKUP(EY$4,Preisindex,2,FALSE)/VLOOKUP(Preisindex!$A$6,Preisindex,2,FALSE),2),0)))))</f>
        <v>0</v>
      </c>
      <c r="FA312" s="51">
        <f>IF(AND($E312&lt;&gt;0,$F312&gt;0,YEAR($F312)&lt;=EY$4,YEAR($F312)&gt;=Preisindex!$A$6),ROUND($E312*EY312,2),IF(AND($E312&lt;&gt;0,$F312&gt;0,YEAR($F312)&lt;=EY$4,YEAR($F312)&lt;Preisindex!$A$6),ROUND($E312*EZ312,2),0))</f>
        <v>0</v>
      </c>
      <c r="FB312" s="53">
        <f t="shared" si="811"/>
        <v>0</v>
      </c>
      <c r="FC312" s="51">
        <f t="shared" si="884"/>
        <v>0</v>
      </c>
      <c r="FD312" s="51">
        <f t="shared" si="876"/>
        <v>0</v>
      </c>
      <c r="FE312" s="51">
        <f t="shared" si="812"/>
        <v>0</v>
      </c>
      <c r="FF312" s="51">
        <f t="shared" si="877"/>
        <v>0</v>
      </c>
      <c r="FG312" s="51">
        <f t="shared" si="813"/>
        <v>0</v>
      </c>
      <c r="FH312" s="51">
        <f t="shared" si="878"/>
        <v>0</v>
      </c>
      <c r="FI312" s="51">
        <f t="shared" si="814"/>
        <v>0</v>
      </c>
      <c r="FJ312" s="51">
        <f t="shared" si="879"/>
        <v>0</v>
      </c>
      <c r="FK312" s="51">
        <f t="shared" si="815"/>
        <v>0</v>
      </c>
      <c r="FL312" s="51">
        <f t="shared" si="880"/>
        <v>0</v>
      </c>
      <c r="FM312" s="51">
        <f t="shared" si="816"/>
        <v>0</v>
      </c>
      <c r="FN312" s="54">
        <f t="shared" si="817"/>
        <v>0</v>
      </c>
      <c r="FO312" s="55">
        <f t="shared" si="818"/>
        <v>0</v>
      </c>
      <c r="FP312" s="56">
        <f>IF(AND($E312&lt;&gt;0,$F312&gt;0,YEAR($F312)&gt;=Preisindex!$A$6,YEAR(FK$4)&gt;=YEAR($F312),AND($K312&lt;&gt;"a",$K312&lt;&gt;"b",$K312&lt;&gt;"g",$K312&lt;&gt;"k")),1,IF(AND($E312&lt;&gt;0,$F312&gt;0,YEAR($F312)&gt;=Preisindex!$A$6,YEAR(FK$4)&gt;=YEAR($F312),$K312="a"),ROUND(VLOOKUP(FP$4,Preisindex,5,FALSE)/VLOOKUP(YEAR($F312),Preisindex,5,FALSE),2),IF(AND($E312&lt;&gt;0,$F312&gt;0,YEAR($F312)&gt;=Preisindex!$A$6,YEAR(FK$4)&gt;=YEAR($F312),$K312="b"),ROUND(VLOOKUP(FP$4,Preisindex,3,FALSE)/VLOOKUP(YEAR($F312),Preisindex,3,FALSE),2),IF(AND($E312&lt;&gt;0,$F312&gt;0,YEAR($F312)&gt;=Preisindex!$A$6,YEAR(FK$4)&gt;=YEAR($F312),$K312="g"),ROUND(VLOOKUP(FP$4,Preisindex,4,FALSE)/VLOOKUP(YEAR($F312),Preisindex,4,FALSE),2),IF(AND($E312&lt;&gt;0,$F312&gt;0,YEAR($F312)&gt;=Preisindex!$A$6,YEAR(FK$4)&gt;=YEAR($F312),$K312="k"),ROUND(VLOOKUP(FP$4,Preisindex,2,FALSE)/VLOOKUP(YEAR($F312),Preisindex,2,FALSE),2),0)))))</f>
        <v>0</v>
      </c>
      <c r="FQ312" s="56">
        <f>IF(AND($E312&lt;&gt;0,$F312&gt;0,YEAR($F312)&lt;Preisindex!$A$6,YEAR(FK$4)&gt;=YEAR($F312),AND($K312&lt;&gt;"a",$K312&lt;&gt;"b",$K312&lt;&gt;"g",$K312&lt;&gt;"k")),1,IF(AND($E312&lt;&gt;0,$F312&gt;0,YEAR($F312)&lt;Preisindex!$A$6,YEAR(FK$4)&gt;=YEAR($F312),$K312="a"),ROUND(VLOOKUP(FP$4,Preisindex,5,FALSE)/VLOOKUP(Preisindex!$A$6,Preisindex,5,FALSE),2),IF(AND($E312&lt;&gt;0,$F312&gt;0,YEAR($F312)&lt;Preisindex!$A$6,YEAR(FK$4)&gt;=YEAR($F312),$K312="b"),ROUND(VLOOKUP(FP$4,Preisindex,3,FALSE)/VLOOKUP(Preisindex!$A$6,Preisindex,3,FALSE),2),IF(AND($E312&lt;&gt;0,$F312&gt;0,YEAR($F312)&lt;Preisindex!$A$6,YEAR(FK$4)&gt;=YEAR($F312),$K312="g"),ROUND(VLOOKUP(FP$4,Preisindex,4,FALSE)/VLOOKUP(Preisindex!$A$6,Preisindex,4,FALSE),2),IF(AND($E312&lt;&gt;0,$F312&gt;0,YEAR($F312)&lt;Preisindex!$A$6,YEAR(FK$4)&gt;=YEAR($F312),$K312="k"),ROUND(VLOOKUP(FP$4,Preisindex,2,FALSE)/VLOOKUP(Preisindex!$A$6,Preisindex,2,FALSE),2),0)))))</f>
        <v>0</v>
      </c>
      <c r="FR312" s="51">
        <f>IF(AND($E312&lt;&gt;0,$F312&gt;0,YEAR($F312)&lt;=FP$4,YEAR($F312)&gt;=Preisindex!$A$6),ROUND($E312*FP312,2),IF(AND($E312&lt;&gt;0,$F312&gt;0,YEAR($F312)&lt;=FP$4,YEAR($F312)&lt;Preisindex!$A$6),ROUND($E312*FQ312,2),0))</f>
        <v>0</v>
      </c>
      <c r="FS312" s="53">
        <f t="shared" si="819"/>
        <v>0</v>
      </c>
    </row>
    <row r="313" spans="1:175" x14ac:dyDescent="0.3">
      <c r="A313" s="185"/>
      <c r="B313" s="186"/>
      <c r="C313" s="187"/>
      <c r="D313" s="95"/>
      <c r="E313" s="99"/>
      <c r="F313" s="97"/>
      <c r="G313" s="98"/>
      <c r="H313" s="192"/>
      <c r="I313" s="193"/>
      <c r="J313" s="194"/>
      <c r="K313" s="630"/>
      <c r="L313" s="49">
        <f t="shared" si="820"/>
        <v>0</v>
      </c>
      <c r="M313" s="50">
        <f t="shared" si="821"/>
        <v>0</v>
      </c>
      <c r="N313" s="51">
        <f t="shared" si="822"/>
        <v>0</v>
      </c>
      <c r="O313" s="51"/>
      <c r="P313" s="51">
        <f t="shared" si="823"/>
        <v>0</v>
      </c>
      <c r="Q313" s="52"/>
      <c r="R313" s="52"/>
      <c r="S313" s="52"/>
      <c r="T313" s="52"/>
      <c r="U313" s="52"/>
      <c r="V313" s="53">
        <f t="shared" si="824"/>
        <v>0</v>
      </c>
      <c r="W313" s="51">
        <f t="shared" si="825"/>
        <v>0</v>
      </c>
      <c r="X313" s="51">
        <f t="shared" si="826"/>
        <v>0</v>
      </c>
      <c r="Y313" s="51">
        <f t="shared" si="827"/>
        <v>0</v>
      </c>
      <c r="Z313" s="51">
        <f t="shared" si="828"/>
        <v>0</v>
      </c>
      <c r="AA313" s="51">
        <f t="shared" si="829"/>
        <v>0</v>
      </c>
      <c r="AB313" s="51">
        <f t="shared" si="830"/>
        <v>0</v>
      </c>
      <c r="AC313" s="51">
        <f t="shared" si="831"/>
        <v>0</v>
      </c>
      <c r="AD313" s="51">
        <f t="shared" si="832"/>
        <v>0</v>
      </c>
      <c r="AE313" s="51">
        <f t="shared" si="833"/>
        <v>0</v>
      </c>
      <c r="AF313" s="51">
        <f t="shared" si="834"/>
        <v>0</v>
      </c>
      <c r="AG313" s="51">
        <f t="shared" si="835"/>
        <v>0</v>
      </c>
      <c r="AH313" s="54">
        <f t="shared" si="836"/>
        <v>0</v>
      </c>
      <c r="AI313" s="55">
        <f t="shared" si="837"/>
        <v>0</v>
      </c>
      <c r="AJ313" s="56">
        <f>IF(AND($E313&lt;&gt;0,$F313&gt;0,YEAR($F313)&gt;=Preisindex!$A$6,YEAR(AE$4)&gt;=YEAR($F313),AND($K313&lt;&gt;"a",$K313&lt;&gt;"b",$K313&lt;&gt;"g",$K313&lt;&gt;"k")),1,IF(AND($E313&lt;&gt;0,$F313&gt;0,YEAR($F313)&gt;=Preisindex!$A$6,YEAR(AE$4)&gt;=YEAR($F313),$K313="a"),ROUND(VLOOKUP(AJ$4,Preisindex,5,FALSE)/VLOOKUP(YEAR($F313),Preisindex,5,FALSE),2),IF(AND($E313&lt;&gt;0,$F313&gt;0,YEAR($F313)&gt;=Preisindex!$A$6,YEAR(AE$4)&gt;=YEAR($F313),$K313="b"),ROUND(VLOOKUP(AJ$4,Preisindex,3,FALSE)/VLOOKUP(YEAR($F313),Preisindex,3,FALSE),2),IF(AND($E313&lt;&gt;0,$F313&gt;0,YEAR($F313)&gt;=Preisindex!$A$6,YEAR(AE$4)&gt;=YEAR($F313),$K313="g"),ROUND(VLOOKUP(AJ$4,Preisindex,4,FALSE)/VLOOKUP(YEAR($F313),Preisindex,4,FALSE),2),IF(AND($E313&lt;&gt;0,$F313&gt;0,YEAR($F313)&gt;=Preisindex!$A$6,YEAR(AE$4)&gt;=YEAR($F313),$K313="k"),ROUND(VLOOKUP(AJ$4,Preisindex,2,FALSE)/VLOOKUP(YEAR($F313),Preisindex,2,FALSE),2),0)))))</f>
        <v>0</v>
      </c>
      <c r="AK313" s="56">
        <f>IF(AND($E313&lt;&gt;0,$F313&gt;0,YEAR($F313)&lt;Preisindex!$A$6,YEAR(AE$4)&gt;=YEAR($F313),AND($K313&lt;&gt;"a",$K313&lt;&gt;"b",$K313&lt;&gt;"g",$K313&lt;&gt;"k")),1,IF(AND($E313&lt;&gt;0,$F313&gt;0,YEAR($F313)&lt;Preisindex!$A$6,YEAR(AE$4)&gt;=YEAR($F313),$K313="a"),ROUND(VLOOKUP(AJ$4,Preisindex,5,FALSE)/VLOOKUP(Preisindex!$A$6,Preisindex,5,FALSE),2),IF(AND($E313&lt;&gt;0,$F313&gt;0,YEAR($F313)&lt;Preisindex!$A$6,YEAR(AE$4)&gt;=YEAR($F313),$K313="b"),ROUND(VLOOKUP(AJ$4,Preisindex,3,FALSE)/VLOOKUP(Preisindex!$A$6,Preisindex,3,FALSE),2),IF(AND($E313&lt;&gt;0,$F313&gt;0,YEAR($F313)&lt;Preisindex!$A$6,YEAR(AE$4)&gt;=YEAR($F313),$K313="g"),ROUND(VLOOKUP(AJ$4,Preisindex,4,FALSE)/VLOOKUP(Preisindex!$A$6,Preisindex,4,FALSE),2),IF(AND($E313&lt;&gt;0,$F313&gt;0,YEAR($F313)&lt;Preisindex!$A$6,YEAR(AE$4)&gt;=YEAR($F313),$K313="k"),ROUND(VLOOKUP(AJ$4,Preisindex,2,FALSE)/VLOOKUP(Preisindex!$A$6,Preisindex,2,FALSE),2),0)))))</f>
        <v>0</v>
      </c>
      <c r="AL313" s="51">
        <f>IF(AND($E313&lt;&gt;0,$F313&gt;0,YEAR($F313)&lt;=AJ$4,YEAR($F313)&gt;=Preisindex!$A$6),ROUND($E313*AJ313,2),IF(AND($E313&lt;&gt;0,$F313&gt;0,YEAR($F313)&lt;=AJ$4,YEAR($F313)&lt;Preisindex!$A$6),ROUND($E313*AK313,2),0))</f>
        <v>0</v>
      </c>
      <c r="AM313" s="53">
        <f t="shared" si="838"/>
        <v>0</v>
      </c>
      <c r="AN313" s="51">
        <f t="shared" si="883"/>
        <v>0</v>
      </c>
      <c r="AO313" s="51">
        <f t="shared" si="841"/>
        <v>0</v>
      </c>
      <c r="AP313" s="51">
        <f t="shared" si="755"/>
        <v>0</v>
      </c>
      <c r="AQ313" s="51">
        <f t="shared" si="842"/>
        <v>0</v>
      </c>
      <c r="AR313" s="51">
        <f t="shared" si="756"/>
        <v>0</v>
      </c>
      <c r="AS313" s="51">
        <f t="shared" si="843"/>
        <v>0</v>
      </c>
      <c r="AT313" s="51">
        <f t="shared" si="757"/>
        <v>0</v>
      </c>
      <c r="AU313" s="51">
        <f t="shared" si="844"/>
        <v>0</v>
      </c>
      <c r="AV313" s="51">
        <f t="shared" si="758"/>
        <v>0</v>
      </c>
      <c r="AW313" s="51">
        <f t="shared" si="845"/>
        <v>0</v>
      </c>
      <c r="AX313" s="51">
        <f t="shared" si="759"/>
        <v>0</v>
      </c>
      <c r="AY313" s="54">
        <f t="shared" si="760"/>
        <v>0</v>
      </c>
      <c r="AZ313" s="55">
        <f t="shared" si="761"/>
        <v>0</v>
      </c>
      <c r="BA313" s="56">
        <f>IF(AND($E313&lt;&gt;0,$F313&gt;0,YEAR($F313)&gt;=Preisindex!$A$6,YEAR(AV$4)&gt;=YEAR($F313),AND($K313&lt;&gt;"a",$K313&lt;&gt;"b",$K313&lt;&gt;"g",$K313&lt;&gt;"k")),1,IF(AND($E313&lt;&gt;0,$F313&gt;0,YEAR($F313)&gt;=Preisindex!$A$6,YEAR(AV$4)&gt;=YEAR($F313),$K313="a"),ROUND(VLOOKUP(BA$4,Preisindex,5,FALSE)/VLOOKUP(YEAR($F313),Preisindex,5,FALSE),2),IF(AND($E313&lt;&gt;0,$F313&gt;0,YEAR($F313)&gt;=Preisindex!$A$6,YEAR(AV$4)&gt;=YEAR($F313),$K313="b"),ROUND(VLOOKUP(BA$4,Preisindex,3,FALSE)/VLOOKUP(YEAR($F313),Preisindex,3,FALSE),2),IF(AND($E313&lt;&gt;0,$F313&gt;0,YEAR($F313)&gt;=Preisindex!$A$6,YEAR(AV$4)&gt;=YEAR($F313),$K313="g"),ROUND(VLOOKUP(BA$4,Preisindex,4,FALSE)/VLOOKUP(YEAR($F313),Preisindex,4,FALSE),2),IF(AND($E313&lt;&gt;0,$F313&gt;0,YEAR($F313)&gt;=Preisindex!$A$6,YEAR(AV$4)&gt;=YEAR($F313),$K313="k"),ROUND(VLOOKUP(BA$4,Preisindex,2,FALSE)/VLOOKUP(YEAR($F313),Preisindex,2,FALSE),2),0)))))</f>
        <v>0</v>
      </c>
      <c r="BB313" s="56">
        <f>IF(AND($E313&lt;&gt;0,$F313&gt;0,YEAR($F313)&lt;Preisindex!$A$6,YEAR(AV$4)&gt;=YEAR($F313),AND($K313&lt;&gt;"a",$K313&lt;&gt;"b",$K313&lt;&gt;"g",$K313&lt;&gt;"k")),1,IF(AND($E313&lt;&gt;0,$F313&gt;0,YEAR($F313)&lt;Preisindex!$A$6,YEAR(AV$4)&gt;=YEAR($F313),$K313="a"),ROUND(VLOOKUP(BA$4,Preisindex,5,FALSE)/VLOOKUP(Preisindex!$A$6,Preisindex,5,FALSE),2),IF(AND($E313&lt;&gt;0,$F313&gt;0,YEAR($F313)&lt;Preisindex!$A$6,YEAR(AV$4)&gt;=YEAR($F313),$K313="b"),ROUND(VLOOKUP(BA$4,Preisindex,3,FALSE)/VLOOKUP(Preisindex!$A$6,Preisindex,3,FALSE),2),IF(AND($E313&lt;&gt;0,$F313&gt;0,YEAR($F313)&lt;Preisindex!$A$6,YEAR(AV$4)&gt;=YEAR($F313),$K313="g"),ROUND(VLOOKUP(BA$4,Preisindex,4,FALSE)/VLOOKUP(Preisindex!$A$6,Preisindex,4,FALSE),2),IF(AND($E313&lt;&gt;0,$F313&gt;0,YEAR($F313)&lt;Preisindex!$A$6,YEAR(AV$4)&gt;=YEAR($F313),$K313="k"),ROUND(VLOOKUP(BA$4,Preisindex,2,FALSE)/VLOOKUP(Preisindex!$A$6,Preisindex,2,FALSE),2),0)))))</f>
        <v>0</v>
      </c>
      <c r="BC313" s="51">
        <f>IF(AND($E313&lt;&gt;0,$F313&gt;0,YEAR($F313)&lt;=BA$4,YEAR($F313)&gt;=Preisindex!$A$6),ROUND($E313*BA313,2),IF(AND($E313&lt;&gt;0,$F313&gt;0,YEAR($F313)&lt;=BA$4,YEAR($F313)&lt;Preisindex!$A$6),ROUND($E313*BB313,2),0))</f>
        <v>0</v>
      </c>
      <c r="BD313" s="53">
        <f t="shared" si="762"/>
        <v>0</v>
      </c>
      <c r="BE313" s="51">
        <f t="shared" si="883"/>
        <v>0</v>
      </c>
      <c r="BF313" s="51">
        <f t="shared" si="846"/>
        <v>0</v>
      </c>
      <c r="BG313" s="51">
        <f t="shared" si="763"/>
        <v>0</v>
      </c>
      <c r="BH313" s="51">
        <f t="shared" si="847"/>
        <v>0</v>
      </c>
      <c r="BI313" s="51">
        <f t="shared" si="764"/>
        <v>0</v>
      </c>
      <c r="BJ313" s="51">
        <f t="shared" si="848"/>
        <v>0</v>
      </c>
      <c r="BK313" s="51">
        <f t="shared" si="765"/>
        <v>0</v>
      </c>
      <c r="BL313" s="51">
        <f t="shared" si="849"/>
        <v>0</v>
      </c>
      <c r="BM313" s="51">
        <f t="shared" si="766"/>
        <v>0</v>
      </c>
      <c r="BN313" s="51">
        <f t="shared" si="850"/>
        <v>0</v>
      </c>
      <c r="BO313" s="51">
        <f t="shared" si="767"/>
        <v>0</v>
      </c>
      <c r="BP313" s="54">
        <f t="shared" si="768"/>
        <v>0</v>
      </c>
      <c r="BQ313" s="55">
        <f t="shared" si="769"/>
        <v>0</v>
      </c>
      <c r="BR313" s="56">
        <f>IF(AND($E313&lt;&gt;0,$F313&gt;0,YEAR($F313)&gt;=Preisindex!$A$6,YEAR(BM$4)&gt;=YEAR($F313),AND($K313&lt;&gt;"a",$K313&lt;&gt;"b",$K313&lt;&gt;"g",$K313&lt;&gt;"k")),1,IF(AND($E313&lt;&gt;0,$F313&gt;0,YEAR($F313)&gt;=Preisindex!$A$6,YEAR(BM$4)&gt;=YEAR($F313),$K313="a"),ROUND(VLOOKUP(BR$4,Preisindex,5,FALSE)/VLOOKUP(YEAR($F313),Preisindex,5,FALSE),2),IF(AND($E313&lt;&gt;0,$F313&gt;0,YEAR($F313)&gt;=Preisindex!$A$6,YEAR(BM$4)&gt;=YEAR($F313),$K313="b"),ROUND(VLOOKUP(BR$4,Preisindex,3,FALSE)/VLOOKUP(YEAR($F313),Preisindex,3,FALSE),2),IF(AND($E313&lt;&gt;0,$F313&gt;0,YEAR($F313)&gt;=Preisindex!$A$6,YEAR(BM$4)&gt;=YEAR($F313),$K313="g"),ROUND(VLOOKUP(BR$4,Preisindex,4,FALSE)/VLOOKUP(YEAR($F313),Preisindex,4,FALSE),2),IF(AND($E313&lt;&gt;0,$F313&gt;0,YEAR($F313)&gt;=Preisindex!$A$6,YEAR(BM$4)&gt;=YEAR($F313),$K313="k"),ROUND(VLOOKUP(BR$4,Preisindex,2,FALSE)/VLOOKUP(YEAR($F313),Preisindex,2,FALSE),2),0)))))</f>
        <v>0</v>
      </c>
      <c r="BS313" s="56">
        <f>IF(AND($E313&lt;&gt;0,$F313&gt;0,YEAR($F313)&lt;Preisindex!$A$6,YEAR(BM$4)&gt;=YEAR($F313),AND($K313&lt;&gt;"a",$K313&lt;&gt;"b",$K313&lt;&gt;"g",$K313&lt;&gt;"k")),1,IF(AND($E313&lt;&gt;0,$F313&gt;0,YEAR($F313)&lt;Preisindex!$A$6,YEAR(BM$4)&gt;=YEAR($F313),$K313="a"),ROUND(VLOOKUP(BR$4,Preisindex,5,FALSE)/VLOOKUP(Preisindex!$A$6,Preisindex,5,FALSE),2),IF(AND($E313&lt;&gt;0,$F313&gt;0,YEAR($F313)&lt;Preisindex!$A$6,YEAR(BM$4)&gt;=YEAR($F313),$K313="b"),ROUND(VLOOKUP(BR$4,Preisindex,3,FALSE)/VLOOKUP(Preisindex!$A$6,Preisindex,3,FALSE),2),IF(AND($E313&lt;&gt;0,$F313&gt;0,YEAR($F313)&lt;Preisindex!$A$6,YEAR(BM$4)&gt;=YEAR($F313),$K313="g"),ROUND(VLOOKUP(BR$4,Preisindex,4,FALSE)/VLOOKUP(Preisindex!$A$6,Preisindex,4,FALSE),2),IF(AND($E313&lt;&gt;0,$F313&gt;0,YEAR($F313)&lt;Preisindex!$A$6,YEAR(BM$4)&gt;=YEAR($F313),$K313="k"),ROUND(VLOOKUP(BR$4,Preisindex,2,FALSE)/VLOOKUP(Preisindex!$A$6,Preisindex,2,FALSE),2),0)))))</f>
        <v>0</v>
      </c>
      <c r="BT313" s="51">
        <f>IF(AND($E313&lt;&gt;0,$F313&gt;0,YEAR($F313)&lt;=BR$4,YEAR($F313)&gt;=Preisindex!$A$6),ROUND($E313*BR313,2),IF(AND($E313&lt;&gt;0,$F313&gt;0,YEAR($F313)&lt;=BR$4,YEAR($F313)&lt;Preisindex!$A$6),ROUND($E313*BS313,2),0))</f>
        <v>0</v>
      </c>
      <c r="BU313" s="53">
        <f t="shared" si="770"/>
        <v>0</v>
      </c>
      <c r="BV313" s="51">
        <f t="shared" si="883"/>
        <v>0</v>
      </c>
      <c r="BW313" s="51">
        <f t="shared" si="851"/>
        <v>0</v>
      </c>
      <c r="BX313" s="51">
        <f t="shared" si="771"/>
        <v>0</v>
      </c>
      <c r="BY313" s="51">
        <f t="shared" si="852"/>
        <v>0</v>
      </c>
      <c r="BZ313" s="51">
        <f t="shared" si="772"/>
        <v>0</v>
      </c>
      <c r="CA313" s="51">
        <f t="shared" si="853"/>
        <v>0</v>
      </c>
      <c r="CB313" s="51">
        <f t="shared" si="773"/>
        <v>0</v>
      </c>
      <c r="CC313" s="51">
        <f t="shared" si="854"/>
        <v>0</v>
      </c>
      <c r="CD313" s="51">
        <f t="shared" si="774"/>
        <v>0</v>
      </c>
      <c r="CE313" s="51">
        <f t="shared" si="855"/>
        <v>0</v>
      </c>
      <c r="CF313" s="51">
        <f t="shared" si="775"/>
        <v>0</v>
      </c>
      <c r="CG313" s="54">
        <f t="shared" si="776"/>
        <v>0</v>
      </c>
      <c r="CH313" s="55">
        <f t="shared" si="777"/>
        <v>0</v>
      </c>
      <c r="CI313" s="56">
        <f>IF(AND($E313&lt;&gt;0,$F313&gt;0,YEAR($F313)&gt;=Preisindex!$A$6,YEAR(CD$4)&gt;=YEAR($F313),AND($K313&lt;&gt;"a",$K313&lt;&gt;"b",$K313&lt;&gt;"g",$K313&lt;&gt;"k")),1,IF(AND($E313&lt;&gt;0,$F313&gt;0,YEAR($F313)&gt;=Preisindex!$A$6,YEAR(CD$4)&gt;=YEAR($F313),$K313="a"),ROUND(VLOOKUP(CI$4,Preisindex,5,FALSE)/VLOOKUP(YEAR($F313),Preisindex,5,FALSE),2),IF(AND($E313&lt;&gt;0,$F313&gt;0,YEAR($F313)&gt;=Preisindex!$A$6,YEAR(CD$4)&gt;=YEAR($F313),$K313="b"),ROUND(VLOOKUP(CI$4,Preisindex,3,FALSE)/VLOOKUP(YEAR($F313),Preisindex,3,FALSE),2),IF(AND($E313&lt;&gt;0,$F313&gt;0,YEAR($F313)&gt;=Preisindex!$A$6,YEAR(CD$4)&gt;=YEAR($F313),$K313="g"),ROUND(VLOOKUP(CI$4,Preisindex,4,FALSE)/VLOOKUP(YEAR($F313),Preisindex,4,FALSE),2),IF(AND($E313&lt;&gt;0,$F313&gt;0,YEAR($F313)&gt;=Preisindex!$A$6,YEAR(CD$4)&gt;=YEAR($F313),$K313="k"),ROUND(VLOOKUP(CI$4,Preisindex,2,FALSE)/VLOOKUP(YEAR($F313),Preisindex,2,FALSE),2),0)))))</f>
        <v>0</v>
      </c>
      <c r="CJ313" s="56">
        <f>IF(AND($E313&lt;&gt;0,$F313&gt;0,YEAR($F313)&lt;Preisindex!$A$6,YEAR(CD$4)&gt;=YEAR($F313),AND($K313&lt;&gt;"a",$K313&lt;&gt;"b",$K313&lt;&gt;"g",$K313&lt;&gt;"k")),1,IF(AND($E313&lt;&gt;0,$F313&gt;0,YEAR($F313)&lt;Preisindex!$A$6,YEAR(CD$4)&gt;=YEAR($F313),$K313="a"),ROUND(VLOOKUP(CI$4,Preisindex,5,FALSE)/VLOOKUP(Preisindex!$A$6,Preisindex,5,FALSE),2),IF(AND($E313&lt;&gt;0,$F313&gt;0,YEAR($F313)&lt;Preisindex!$A$6,YEAR(CD$4)&gt;=YEAR($F313),$K313="b"),ROUND(VLOOKUP(CI$4,Preisindex,3,FALSE)/VLOOKUP(Preisindex!$A$6,Preisindex,3,FALSE),2),IF(AND($E313&lt;&gt;0,$F313&gt;0,YEAR($F313)&lt;Preisindex!$A$6,YEAR(CD$4)&gt;=YEAR($F313),$K313="g"),ROUND(VLOOKUP(CI$4,Preisindex,4,FALSE)/VLOOKUP(Preisindex!$A$6,Preisindex,4,FALSE),2),IF(AND($E313&lt;&gt;0,$F313&gt;0,YEAR($F313)&lt;Preisindex!$A$6,YEAR(CD$4)&gt;=YEAR($F313),$K313="k"),ROUND(VLOOKUP(CI$4,Preisindex,2,FALSE)/VLOOKUP(Preisindex!$A$6,Preisindex,2,FALSE),2),0)))))</f>
        <v>0</v>
      </c>
      <c r="CK313" s="51">
        <f>IF(AND($E313&lt;&gt;0,$F313&gt;0,YEAR($F313)&lt;=CI$4,YEAR($F313)&gt;=Preisindex!$A$6),ROUND($E313*CI313,2),IF(AND($E313&lt;&gt;0,$F313&gt;0,YEAR($F313)&lt;=CI$4,YEAR($F313)&lt;Preisindex!$A$6),ROUND($E313*CJ313,2),0))</f>
        <v>0</v>
      </c>
      <c r="CL313" s="53">
        <f t="shared" si="778"/>
        <v>0</v>
      </c>
      <c r="CM313" s="51">
        <f t="shared" si="883"/>
        <v>0</v>
      </c>
      <c r="CN313" s="51">
        <f t="shared" si="856"/>
        <v>0</v>
      </c>
      <c r="CO313" s="51">
        <f t="shared" si="779"/>
        <v>0</v>
      </c>
      <c r="CP313" s="51">
        <f t="shared" si="857"/>
        <v>0</v>
      </c>
      <c r="CQ313" s="51">
        <f t="shared" si="780"/>
        <v>0</v>
      </c>
      <c r="CR313" s="51">
        <f t="shared" si="858"/>
        <v>0</v>
      </c>
      <c r="CS313" s="51">
        <f t="shared" si="781"/>
        <v>0</v>
      </c>
      <c r="CT313" s="51">
        <f t="shared" si="859"/>
        <v>0</v>
      </c>
      <c r="CU313" s="51">
        <f t="shared" si="782"/>
        <v>0</v>
      </c>
      <c r="CV313" s="51">
        <f t="shared" si="860"/>
        <v>0</v>
      </c>
      <c r="CW313" s="51">
        <f t="shared" si="783"/>
        <v>0</v>
      </c>
      <c r="CX313" s="54">
        <f t="shared" si="784"/>
        <v>0</v>
      </c>
      <c r="CY313" s="55">
        <f t="shared" si="785"/>
        <v>0</v>
      </c>
      <c r="CZ313" s="56">
        <f>IF(AND($E313&lt;&gt;0,$F313&gt;0,YEAR($F313)&gt;=Preisindex!$A$6,YEAR(CU$4)&gt;=YEAR($F313),AND($K313&lt;&gt;"a",$K313&lt;&gt;"b",$K313&lt;&gt;"g",$K313&lt;&gt;"k")),1,IF(AND($E313&lt;&gt;0,$F313&gt;0,YEAR($F313)&gt;=Preisindex!$A$6,YEAR(CU$4)&gt;=YEAR($F313),$K313="a"),ROUND(VLOOKUP(CZ$4,Preisindex,5,FALSE)/VLOOKUP(YEAR($F313),Preisindex,5,FALSE),2),IF(AND($E313&lt;&gt;0,$F313&gt;0,YEAR($F313)&gt;=Preisindex!$A$6,YEAR(CU$4)&gt;=YEAR($F313),$K313="b"),ROUND(VLOOKUP(CZ$4,Preisindex,3,FALSE)/VLOOKUP(YEAR($F313),Preisindex,3,FALSE),2),IF(AND($E313&lt;&gt;0,$F313&gt;0,YEAR($F313)&gt;=Preisindex!$A$6,YEAR(CU$4)&gt;=YEAR($F313),$K313="g"),ROUND(VLOOKUP(CZ$4,Preisindex,4,FALSE)/VLOOKUP(YEAR($F313),Preisindex,4,FALSE),2),IF(AND($E313&lt;&gt;0,$F313&gt;0,YEAR($F313)&gt;=Preisindex!$A$6,YEAR(CU$4)&gt;=YEAR($F313),$K313="k"),ROUND(VLOOKUP(CZ$4,Preisindex,2,FALSE)/VLOOKUP(YEAR($F313),Preisindex,2,FALSE),2),0)))))</f>
        <v>0</v>
      </c>
      <c r="DA313" s="56">
        <f>IF(AND($E313&lt;&gt;0,$F313&gt;0,YEAR($F313)&lt;Preisindex!$A$6,YEAR(CU$4)&gt;=YEAR($F313),AND($K313&lt;&gt;"a",$K313&lt;&gt;"b",$K313&lt;&gt;"g",$K313&lt;&gt;"k")),1,IF(AND($E313&lt;&gt;0,$F313&gt;0,YEAR($F313)&lt;Preisindex!$A$6,YEAR(CU$4)&gt;=YEAR($F313),$K313="a"),ROUND(VLOOKUP(CZ$4,Preisindex,5,FALSE)/VLOOKUP(Preisindex!$A$6,Preisindex,5,FALSE),2),IF(AND($E313&lt;&gt;0,$F313&gt;0,YEAR($F313)&lt;Preisindex!$A$6,YEAR(CU$4)&gt;=YEAR($F313),$K313="b"),ROUND(VLOOKUP(CZ$4,Preisindex,3,FALSE)/VLOOKUP(Preisindex!$A$6,Preisindex,3,FALSE),2),IF(AND($E313&lt;&gt;0,$F313&gt;0,YEAR($F313)&lt;Preisindex!$A$6,YEAR(CU$4)&gt;=YEAR($F313),$K313="g"),ROUND(VLOOKUP(CZ$4,Preisindex,4,FALSE)/VLOOKUP(Preisindex!$A$6,Preisindex,4,FALSE),2),IF(AND($E313&lt;&gt;0,$F313&gt;0,YEAR($F313)&lt;Preisindex!$A$6,YEAR(CU$4)&gt;=YEAR($F313),$K313="k"),ROUND(VLOOKUP(CZ$4,Preisindex,2,FALSE)/VLOOKUP(Preisindex!$A$6,Preisindex,2,FALSE),2),0)))))</f>
        <v>0</v>
      </c>
      <c r="DB313" s="51">
        <f>IF(AND($E313&lt;&gt;0,$F313&gt;0,YEAR($F313)&lt;=CZ$4,YEAR($F313)&gt;=Preisindex!$A$6),ROUND($E313*CZ313,2),IF(AND($E313&lt;&gt;0,$F313&gt;0,YEAR($F313)&lt;=CZ$4,YEAR($F313)&lt;Preisindex!$A$6),ROUND($E313*DA313,2),0))</f>
        <v>0</v>
      </c>
      <c r="DC313" s="53">
        <f t="shared" si="786"/>
        <v>0</v>
      </c>
      <c r="DD313" s="51">
        <f t="shared" si="884"/>
        <v>0</v>
      </c>
      <c r="DE313" s="51">
        <f t="shared" si="861"/>
        <v>0</v>
      </c>
      <c r="DF313" s="51">
        <f t="shared" si="788"/>
        <v>0</v>
      </c>
      <c r="DG313" s="51">
        <f t="shared" si="862"/>
        <v>0</v>
      </c>
      <c r="DH313" s="51">
        <f t="shared" si="789"/>
        <v>0</v>
      </c>
      <c r="DI313" s="51">
        <f t="shared" si="863"/>
        <v>0</v>
      </c>
      <c r="DJ313" s="51">
        <f t="shared" si="790"/>
        <v>0</v>
      </c>
      <c r="DK313" s="51">
        <f t="shared" si="864"/>
        <v>0</v>
      </c>
      <c r="DL313" s="51">
        <f t="shared" si="791"/>
        <v>0</v>
      </c>
      <c r="DM313" s="51">
        <f t="shared" si="865"/>
        <v>0</v>
      </c>
      <c r="DN313" s="51">
        <f t="shared" si="792"/>
        <v>0</v>
      </c>
      <c r="DO313" s="54">
        <f t="shared" si="793"/>
        <v>0</v>
      </c>
      <c r="DP313" s="55">
        <f t="shared" si="794"/>
        <v>0</v>
      </c>
      <c r="DQ313" s="56">
        <f>IF(AND($E313&lt;&gt;0,$F313&gt;0,YEAR($F313)&gt;=Preisindex!$A$6,YEAR(DL$4)&gt;=YEAR($F313),AND($K313&lt;&gt;"a",$K313&lt;&gt;"b",$K313&lt;&gt;"g",$K313&lt;&gt;"k")),1,IF(AND($E313&lt;&gt;0,$F313&gt;0,YEAR($F313)&gt;=Preisindex!$A$6,YEAR(DL$4)&gt;=YEAR($F313),$K313="a"),ROUND(VLOOKUP(DQ$4,Preisindex,5,FALSE)/VLOOKUP(YEAR($F313),Preisindex,5,FALSE),2),IF(AND($E313&lt;&gt;0,$F313&gt;0,YEAR($F313)&gt;=Preisindex!$A$6,YEAR(DL$4)&gt;=YEAR($F313),$K313="b"),ROUND(VLOOKUP(DQ$4,Preisindex,3,FALSE)/VLOOKUP(YEAR($F313),Preisindex,3,FALSE),2),IF(AND($E313&lt;&gt;0,$F313&gt;0,YEAR($F313)&gt;=Preisindex!$A$6,YEAR(DL$4)&gt;=YEAR($F313),$K313="g"),ROUND(VLOOKUP(DQ$4,Preisindex,4,FALSE)/VLOOKUP(YEAR($F313),Preisindex,4,FALSE),2),IF(AND($E313&lt;&gt;0,$F313&gt;0,YEAR($F313)&gt;=Preisindex!$A$6,YEAR(DL$4)&gt;=YEAR($F313),$K313="k"),ROUND(VLOOKUP(DQ$4,Preisindex,2,FALSE)/VLOOKUP(YEAR($F313),Preisindex,2,FALSE),2),0)))))</f>
        <v>0</v>
      </c>
      <c r="DR313" s="56">
        <f>IF(AND($E313&lt;&gt;0,$F313&gt;0,YEAR($F313)&lt;Preisindex!$A$6,YEAR(DL$4)&gt;=YEAR($F313),AND($K313&lt;&gt;"a",$K313&lt;&gt;"b",$K313&lt;&gt;"g",$K313&lt;&gt;"k")),1,IF(AND($E313&lt;&gt;0,$F313&gt;0,YEAR($F313)&lt;Preisindex!$A$6,YEAR(DL$4)&gt;=YEAR($F313),$K313="a"),ROUND(VLOOKUP(DQ$4,Preisindex,5,FALSE)/VLOOKUP(Preisindex!$A$6,Preisindex,5,FALSE),2),IF(AND($E313&lt;&gt;0,$F313&gt;0,YEAR($F313)&lt;Preisindex!$A$6,YEAR(DL$4)&gt;=YEAR($F313),$K313="b"),ROUND(VLOOKUP(DQ$4,Preisindex,3,FALSE)/VLOOKUP(Preisindex!$A$6,Preisindex,3,FALSE),2),IF(AND($E313&lt;&gt;0,$F313&gt;0,YEAR($F313)&lt;Preisindex!$A$6,YEAR(DL$4)&gt;=YEAR($F313),$K313="g"),ROUND(VLOOKUP(DQ$4,Preisindex,4,FALSE)/VLOOKUP(Preisindex!$A$6,Preisindex,4,FALSE),2),IF(AND($E313&lt;&gt;0,$F313&gt;0,YEAR($F313)&lt;Preisindex!$A$6,YEAR(DL$4)&gt;=YEAR($F313),$K313="k"),ROUND(VLOOKUP(DQ$4,Preisindex,2,FALSE)/VLOOKUP(Preisindex!$A$6,Preisindex,2,FALSE),2),0)))))</f>
        <v>0</v>
      </c>
      <c r="DS313" s="51">
        <f>IF(AND($E313&lt;&gt;0,$F313&gt;0,YEAR($F313)&lt;=DQ$4,YEAR($F313)&gt;=Preisindex!$A$6),ROUND($E313*DQ313,2),IF(AND($E313&lt;&gt;0,$F313&gt;0,YEAR($F313)&lt;=DQ$4,YEAR($F313)&lt;Preisindex!$A$6),ROUND($E313*DR313,2),0))</f>
        <v>0</v>
      </c>
      <c r="DT313" s="53">
        <f t="shared" si="795"/>
        <v>0</v>
      </c>
      <c r="DU313" s="51">
        <f t="shared" si="884"/>
        <v>0</v>
      </c>
      <c r="DV313" s="51">
        <f t="shared" si="866"/>
        <v>0</v>
      </c>
      <c r="DW313" s="51">
        <f t="shared" si="796"/>
        <v>0</v>
      </c>
      <c r="DX313" s="51">
        <f t="shared" si="867"/>
        <v>0</v>
      </c>
      <c r="DY313" s="51">
        <f t="shared" si="797"/>
        <v>0</v>
      </c>
      <c r="DZ313" s="51">
        <f t="shared" si="868"/>
        <v>0</v>
      </c>
      <c r="EA313" s="51">
        <f t="shared" si="798"/>
        <v>0</v>
      </c>
      <c r="EB313" s="51">
        <f t="shared" si="869"/>
        <v>0</v>
      </c>
      <c r="EC313" s="51">
        <f t="shared" si="799"/>
        <v>0</v>
      </c>
      <c r="ED313" s="51">
        <f t="shared" si="870"/>
        <v>0</v>
      </c>
      <c r="EE313" s="51">
        <f t="shared" si="800"/>
        <v>0</v>
      </c>
      <c r="EF313" s="54">
        <f t="shared" si="801"/>
        <v>0</v>
      </c>
      <c r="EG313" s="55">
        <f t="shared" si="802"/>
        <v>0</v>
      </c>
      <c r="EH313" s="56">
        <f>IF(AND($E313&lt;&gt;0,$F313&gt;0,YEAR($F313)&gt;=Preisindex!$A$6,YEAR(EC$4)&gt;=YEAR($F313),AND($K313&lt;&gt;"a",$K313&lt;&gt;"b",$K313&lt;&gt;"g",$K313&lt;&gt;"k")),1,IF(AND($E313&lt;&gt;0,$F313&gt;0,YEAR($F313)&gt;=Preisindex!$A$6,YEAR(EC$4)&gt;=YEAR($F313),$K313="a"),ROUND(VLOOKUP(EH$4,Preisindex,5,FALSE)/VLOOKUP(YEAR($F313),Preisindex,5,FALSE),2),IF(AND($E313&lt;&gt;0,$F313&gt;0,YEAR($F313)&gt;=Preisindex!$A$6,YEAR(EC$4)&gt;=YEAR($F313),$K313="b"),ROUND(VLOOKUP(EH$4,Preisindex,3,FALSE)/VLOOKUP(YEAR($F313),Preisindex,3,FALSE),2),IF(AND($E313&lt;&gt;0,$F313&gt;0,YEAR($F313)&gt;=Preisindex!$A$6,YEAR(EC$4)&gt;=YEAR($F313),$K313="g"),ROUND(VLOOKUP(EH$4,Preisindex,4,FALSE)/VLOOKUP(YEAR($F313),Preisindex,4,FALSE),2),IF(AND($E313&lt;&gt;0,$F313&gt;0,YEAR($F313)&gt;=Preisindex!$A$6,YEAR(EC$4)&gt;=YEAR($F313),$K313="k"),ROUND(VLOOKUP(EH$4,Preisindex,2,FALSE)/VLOOKUP(YEAR($F313),Preisindex,2,FALSE),2),0)))))</f>
        <v>0</v>
      </c>
      <c r="EI313" s="56">
        <f>IF(AND($E313&lt;&gt;0,$F313&gt;0,YEAR($F313)&lt;Preisindex!$A$6,YEAR(EC$4)&gt;=YEAR($F313),AND($K313&lt;&gt;"a",$K313&lt;&gt;"b",$K313&lt;&gt;"g",$K313&lt;&gt;"k")),1,IF(AND($E313&lt;&gt;0,$F313&gt;0,YEAR($F313)&lt;Preisindex!$A$6,YEAR(EC$4)&gt;=YEAR($F313),$K313="a"),ROUND(VLOOKUP(EH$4,Preisindex,5,FALSE)/VLOOKUP(Preisindex!$A$6,Preisindex,5,FALSE),2),IF(AND($E313&lt;&gt;0,$F313&gt;0,YEAR($F313)&lt;Preisindex!$A$6,YEAR(EC$4)&gt;=YEAR($F313),$K313="b"),ROUND(VLOOKUP(EH$4,Preisindex,3,FALSE)/VLOOKUP(Preisindex!$A$6,Preisindex,3,FALSE),2),IF(AND($E313&lt;&gt;0,$F313&gt;0,YEAR($F313)&lt;Preisindex!$A$6,YEAR(EC$4)&gt;=YEAR($F313),$K313="g"),ROUND(VLOOKUP(EH$4,Preisindex,4,FALSE)/VLOOKUP(Preisindex!$A$6,Preisindex,4,FALSE),2),IF(AND($E313&lt;&gt;0,$F313&gt;0,YEAR($F313)&lt;Preisindex!$A$6,YEAR(EC$4)&gt;=YEAR($F313),$K313="k"),ROUND(VLOOKUP(EH$4,Preisindex,2,FALSE)/VLOOKUP(Preisindex!$A$6,Preisindex,2,FALSE),2),0)))))</f>
        <v>0</v>
      </c>
      <c r="EJ313" s="51">
        <f>IF(AND($E313&lt;&gt;0,$F313&gt;0,YEAR($F313)&lt;=EH$4,YEAR($F313)&gt;=Preisindex!$A$6),ROUND($E313*EH313,2),IF(AND($E313&lt;&gt;0,$F313&gt;0,YEAR($F313)&lt;=EH$4,YEAR($F313)&lt;Preisindex!$A$6),ROUND($E313*EI313,2),0))</f>
        <v>0</v>
      </c>
      <c r="EK313" s="53">
        <f t="shared" si="803"/>
        <v>0</v>
      </c>
      <c r="EL313" s="51">
        <f t="shared" si="884"/>
        <v>0</v>
      </c>
      <c r="EM313" s="51">
        <f t="shared" si="871"/>
        <v>0</v>
      </c>
      <c r="EN313" s="51">
        <f t="shared" si="804"/>
        <v>0</v>
      </c>
      <c r="EO313" s="51">
        <f t="shared" si="872"/>
        <v>0</v>
      </c>
      <c r="EP313" s="51">
        <f t="shared" si="805"/>
        <v>0</v>
      </c>
      <c r="EQ313" s="51">
        <f t="shared" si="873"/>
        <v>0</v>
      </c>
      <c r="ER313" s="51">
        <f t="shared" si="806"/>
        <v>0</v>
      </c>
      <c r="ES313" s="51">
        <f t="shared" si="874"/>
        <v>0</v>
      </c>
      <c r="ET313" s="51">
        <f t="shared" si="807"/>
        <v>0</v>
      </c>
      <c r="EU313" s="51">
        <f t="shared" si="875"/>
        <v>0</v>
      </c>
      <c r="EV313" s="51">
        <f t="shared" si="808"/>
        <v>0</v>
      </c>
      <c r="EW313" s="54">
        <f t="shared" si="809"/>
        <v>0</v>
      </c>
      <c r="EX313" s="55">
        <f t="shared" si="810"/>
        <v>0</v>
      </c>
      <c r="EY313" s="56">
        <f>IF(AND($E313&lt;&gt;0,$F313&gt;0,YEAR($F313)&gt;=Preisindex!$A$6,YEAR(ET$4)&gt;=YEAR($F313),AND($K313&lt;&gt;"a",$K313&lt;&gt;"b",$K313&lt;&gt;"g",$K313&lt;&gt;"k")),1,IF(AND($E313&lt;&gt;0,$F313&gt;0,YEAR($F313)&gt;=Preisindex!$A$6,YEAR(ET$4)&gt;=YEAR($F313),$K313="a"),ROUND(VLOOKUP(EY$4,Preisindex,5,FALSE)/VLOOKUP(YEAR($F313),Preisindex,5,FALSE),2),IF(AND($E313&lt;&gt;0,$F313&gt;0,YEAR($F313)&gt;=Preisindex!$A$6,YEAR(ET$4)&gt;=YEAR($F313),$K313="b"),ROUND(VLOOKUP(EY$4,Preisindex,3,FALSE)/VLOOKUP(YEAR($F313),Preisindex,3,FALSE),2),IF(AND($E313&lt;&gt;0,$F313&gt;0,YEAR($F313)&gt;=Preisindex!$A$6,YEAR(ET$4)&gt;=YEAR($F313),$K313="g"),ROUND(VLOOKUP(EY$4,Preisindex,4,FALSE)/VLOOKUP(YEAR($F313),Preisindex,4,FALSE),2),IF(AND($E313&lt;&gt;0,$F313&gt;0,YEAR($F313)&gt;=Preisindex!$A$6,YEAR(ET$4)&gt;=YEAR($F313),$K313="k"),ROUND(VLOOKUP(EY$4,Preisindex,2,FALSE)/VLOOKUP(YEAR($F313),Preisindex,2,FALSE),2),0)))))</f>
        <v>0</v>
      </c>
      <c r="EZ313" s="56">
        <f>IF(AND($E313&lt;&gt;0,$F313&gt;0,YEAR($F313)&lt;Preisindex!$A$6,YEAR(ET$4)&gt;=YEAR($F313),AND($K313&lt;&gt;"a",$K313&lt;&gt;"b",$K313&lt;&gt;"g",$K313&lt;&gt;"k")),1,IF(AND($E313&lt;&gt;0,$F313&gt;0,YEAR($F313)&lt;Preisindex!$A$6,YEAR(ET$4)&gt;=YEAR($F313),$K313="a"),ROUND(VLOOKUP(EY$4,Preisindex,5,FALSE)/VLOOKUP(Preisindex!$A$6,Preisindex,5,FALSE),2),IF(AND($E313&lt;&gt;0,$F313&gt;0,YEAR($F313)&lt;Preisindex!$A$6,YEAR(ET$4)&gt;=YEAR($F313),$K313="b"),ROUND(VLOOKUP(EY$4,Preisindex,3,FALSE)/VLOOKUP(Preisindex!$A$6,Preisindex,3,FALSE),2),IF(AND($E313&lt;&gt;0,$F313&gt;0,YEAR($F313)&lt;Preisindex!$A$6,YEAR(ET$4)&gt;=YEAR($F313),$K313="g"),ROUND(VLOOKUP(EY$4,Preisindex,4,FALSE)/VLOOKUP(Preisindex!$A$6,Preisindex,4,FALSE),2),IF(AND($E313&lt;&gt;0,$F313&gt;0,YEAR($F313)&lt;Preisindex!$A$6,YEAR(ET$4)&gt;=YEAR($F313),$K313="k"),ROUND(VLOOKUP(EY$4,Preisindex,2,FALSE)/VLOOKUP(Preisindex!$A$6,Preisindex,2,FALSE),2),0)))))</f>
        <v>0</v>
      </c>
      <c r="FA313" s="51">
        <f>IF(AND($E313&lt;&gt;0,$F313&gt;0,YEAR($F313)&lt;=EY$4,YEAR($F313)&gt;=Preisindex!$A$6),ROUND($E313*EY313,2),IF(AND($E313&lt;&gt;0,$F313&gt;0,YEAR($F313)&lt;=EY$4,YEAR($F313)&lt;Preisindex!$A$6),ROUND($E313*EZ313,2),0))</f>
        <v>0</v>
      </c>
      <c r="FB313" s="53">
        <f t="shared" si="811"/>
        <v>0</v>
      </c>
      <c r="FC313" s="51">
        <f t="shared" si="884"/>
        <v>0</v>
      </c>
      <c r="FD313" s="51">
        <f t="shared" si="876"/>
        <v>0</v>
      </c>
      <c r="FE313" s="51">
        <f t="shared" si="812"/>
        <v>0</v>
      </c>
      <c r="FF313" s="51">
        <f t="shared" si="877"/>
        <v>0</v>
      </c>
      <c r="FG313" s="51">
        <f t="shared" si="813"/>
        <v>0</v>
      </c>
      <c r="FH313" s="51">
        <f t="shared" si="878"/>
        <v>0</v>
      </c>
      <c r="FI313" s="51">
        <f t="shared" si="814"/>
        <v>0</v>
      </c>
      <c r="FJ313" s="51">
        <f t="shared" si="879"/>
        <v>0</v>
      </c>
      <c r="FK313" s="51">
        <f t="shared" si="815"/>
        <v>0</v>
      </c>
      <c r="FL313" s="51">
        <f t="shared" si="880"/>
        <v>0</v>
      </c>
      <c r="FM313" s="51">
        <f t="shared" si="816"/>
        <v>0</v>
      </c>
      <c r="FN313" s="54">
        <f t="shared" si="817"/>
        <v>0</v>
      </c>
      <c r="FO313" s="55">
        <f t="shared" si="818"/>
        <v>0</v>
      </c>
      <c r="FP313" s="56">
        <f>IF(AND($E313&lt;&gt;0,$F313&gt;0,YEAR($F313)&gt;=Preisindex!$A$6,YEAR(FK$4)&gt;=YEAR($F313),AND($K313&lt;&gt;"a",$K313&lt;&gt;"b",$K313&lt;&gt;"g",$K313&lt;&gt;"k")),1,IF(AND($E313&lt;&gt;0,$F313&gt;0,YEAR($F313)&gt;=Preisindex!$A$6,YEAR(FK$4)&gt;=YEAR($F313),$K313="a"),ROUND(VLOOKUP(FP$4,Preisindex,5,FALSE)/VLOOKUP(YEAR($F313),Preisindex,5,FALSE),2),IF(AND($E313&lt;&gt;0,$F313&gt;0,YEAR($F313)&gt;=Preisindex!$A$6,YEAR(FK$4)&gt;=YEAR($F313),$K313="b"),ROUND(VLOOKUP(FP$4,Preisindex,3,FALSE)/VLOOKUP(YEAR($F313),Preisindex,3,FALSE),2),IF(AND($E313&lt;&gt;0,$F313&gt;0,YEAR($F313)&gt;=Preisindex!$A$6,YEAR(FK$4)&gt;=YEAR($F313),$K313="g"),ROUND(VLOOKUP(FP$4,Preisindex,4,FALSE)/VLOOKUP(YEAR($F313),Preisindex,4,FALSE),2),IF(AND($E313&lt;&gt;0,$F313&gt;0,YEAR($F313)&gt;=Preisindex!$A$6,YEAR(FK$4)&gt;=YEAR($F313),$K313="k"),ROUND(VLOOKUP(FP$4,Preisindex,2,FALSE)/VLOOKUP(YEAR($F313),Preisindex,2,FALSE),2),0)))))</f>
        <v>0</v>
      </c>
      <c r="FQ313" s="56">
        <f>IF(AND($E313&lt;&gt;0,$F313&gt;0,YEAR($F313)&lt;Preisindex!$A$6,YEAR(FK$4)&gt;=YEAR($F313),AND($K313&lt;&gt;"a",$K313&lt;&gt;"b",$K313&lt;&gt;"g",$K313&lt;&gt;"k")),1,IF(AND($E313&lt;&gt;0,$F313&gt;0,YEAR($F313)&lt;Preisindex!$A$6,YEAR(FK$4)&gt;=YEAR($F313),$K313="a"),ROUND(VLOOKUP(FP$4,Preisindex,5,FALSE)/VLOOKUP(Preisindex!$A$6,Preisindex,5,FALSE),2),IF(AND($E313&lt;&gt;0,$F313&gt;0,YEAR($F313)&lt;Preisindex!$A$6,YEAR(FK$4)&gt;=YEAR($F313),$K313="b"),ROUND(VLOOKUP(FP$4,Preisindex,3,FALSE)/VLOOKUP(Preisindex!$A$6,Preisindex,3,FALSE),2),IF(AND($E313&lt;&gt;0,$F313&gt;0,YEAR($F313)&lt;Preisindex!$A$6,YEAR(FK$4)&gt;=YEAR($F313),$K313="g"),ROUND(VLOOKUP(FP$4,Preisindex,4,FALSE)/VLOOKUP(Preisindex!$A$6,Preisindex,4,FALSE),2),IF(AND($E313&lt;&gt;0,$F313&gt;0,YEAR($F313)&lt;Preisindex!$A$6,YEAR(FK$4)&gt;=YEAR($F313),$K313="k"),ROUND(VLOOKUP(FP$4,Preisindex,2,FALSE)/VLOOKUP(Preisindex!$A$6,Preisindex,2,FALSE),2),0)))))</f>
        <v>0</v>
      </c>
      <c r="FR313" s="51">
        <f>IF(AND($E313&lt;&gt;0,$F313&gt;0,YEAR($F313)&lt;=FP$4,YEAR($F313)&gt;=Preisindex!$A$6),ROUND($E313*FP313,2),IF(AND($E313&lt;&gt;0,$F313&gt;0,YEAR($F313)&lt;=FP$4,YEAR($F313)&lt;Preisindex!$A$6),ROUND($E313*FQ313,2),0))</f>
        <v>0</v>
      </c>
      <c r="FS313" s="53">
        <f t="shared" si="819"/>
        <v>0</v>
      </c>
    </row>
    <row r="314" spans="1:175" x14ac:dyDescent="0.3">
      <c r="A314" s="185"/>
      <c r="B314" s="186"/>
      <c r="C314" s="187"/>
      <c r="D314" s="95"/>
      <c r="E314" s="99"/>
      <c r="F314" s="97"/>
      <c r="G314" s="98"/>
      <c r="H314" s="192"/>
      <c r="I314" s="193"/>
      <c r="J314" s="194"/>
      <c r="K314" s="630"/>
      <c r="L314" s="49">
        <f t="shared" si="820"/>
        <v>0</v>
      </c>
      <c r="M314" s="50">
        <f t="shared" si="821"/>
        <v>0</v>
      </c>
      <c r="N314" s="51">
        <f t="shared" si="822"/>
        <v>0</v>
      </c>
      <c r="O314" s="51"/>
      <c r="P314" s="51">
        <f t="shared" si="823"/>
        <v>0</v>
      </c>
      <c r="Q314" s="52"/>
      <c r="R314" s="52"/>
      <c r="S314" s="52"/>
      <c r="T314" s="52"/>
      <c r="U314" s="52"/>
      <c r="V314" s="53">
        <f t="shared" si="824"/>
        <v>0</v>
      </c>
      <c r="W314" s="51">
        <f t="shared" si="825"/>
        <v>0</v>
      </c>
      <c r="X314" s="51">
        <f t="shared" si="826"/>
        <v>0</v>
      </c>
      <c r="Y314" s="51">
        <f t="shared" si="827"/>
        <v>0</v>
      </c>
      <c r="Z314" s="51">
        <f t="shared" si="828"/>
        <v>0</v>
      </c>
      <c r="AA314" s="51">
        <f t="shared" si="829"/>
        <v>0</v>
      </c>
      <c r="AB314" s="51">
        <f t="shared" si="830"/>
        <v>0</v>
      </c>
      <c r="AC314" s="51">
        <f t="shared" si="831"/>
        <v>0</v>
      </c>
      <c r="AD314" s="51">
        <f t="shared" si="832"/>
        <v>0</v>
      </c>
      <c r="AE314" s="51">
        <f t="shared" si="833"/>
        <v>0</v>
      </c>
      <c r="AF314" s="51">
        <f t="shared" si="834"/>
        <v>0</v>
      </c>
      <c r="AG314" s="51">
        <f t="shared" si="835"/>
        <v>0</v>
      </c>
      <c r="AH314" s="54">
        <f t="shared" si="836"/>
        <v>0</v>
      </c>
      <c r="AI314" s="55">
        <f t="shared" si="837"/>
        <v>0</v>
      </c>
      <c r="AJ314" s="56">
        <f>IF(AND($E314&lt;&gt;0,$F314&gt;0,YEAR($F314)&gt;=Preisindex!$A$6,YEAR(AE$4)&gt;=YEAR($F314),AND($K314&lt;&gt;"a",$K314&lt;&gt;"b",$K314&lt;&gt;"g",$K314&lt;&gt;"k")),1,IF(AND($E314&lt;&gt;0,$F314&gt;0,YEAR($F314)&gt;=Preisindex!$A$6,YEAR(AE$4)&gt;=YEAR($F314),$K314="a"),ROUND(VLOOKUP(AJ$4,Preisindex,5,FALSE)/VLOOKUP(YEAR($F314),Preisindex,5,FALSE),2),IF(AND($E314&lt;&gt;0,$F314&gt;0,YEAR($F314)&gt;=Preisindex!$A$6,YEAR(AE$4)&gt;=YEAR($F314),$K314="b"),ROUND(VLOOKUP(AJ$4,Preisindex,3,FALSE)/VLOOKUP(YEAR($F314),Preisindex,3,FALSE),2),IF(AND($E314&lt;&gt;0,$F314&gt;0,YEAR($F314)&gt;=Preisindex!$A$6,YEAR(AE$4)&gt;=YEAR($F314),$K314="g"),ROUND(VLOOKUP(AJ$4,Preisindex,4,FALSE)/VLOOKUP(YEAR($F314),Preisindex,4,FALSE),2),IF(AND($E314&lt;&gt;0,$F314&gt;0,YEAR($F314)&gt;=Preisindex!$A$6,YEAR(AE$4)&gt;=YEAR($F314),$K314="k"),ROUND(VLOOKUP(AJ$4,Preisindex,2,FALSE)/VLOOKUP(YEAR($F314),Preisindex,2,FALSE),2),0)))))</f>
        <v>0</v>
      </c>
      <c r="AK314" s="56">
        <f>IF(AND($E314&lt;&gt;0,$F314&gt;0,YEAR($F314)&lt;Preisindex!$A$6,YEAR(AE$4)&gt;=YEAR($F314),AND($K314&lt;&gt;"a",$K314&lt;&gt;"b",$K314&lt;&gt;"g",$K314&lt;&gt;"k")),1,IF(AND($E314&lt;&gt;0,$F314&gt;0,YEAR($F314)&lt;Preisindex!$A$6,YEAR(AE$4)&gt;=YEAR($F314),$K314="a"),ROUND(VLOOKUP(AJ$4,Preisindex,5,FALSE)/VLOOKUP(Preisindex!$A$6,Preisindex,5,FALSE),2),IF(AND($E314&lt;&gt;0,$F314&gt;0,YEAR($F314)&lt;Preisindex!$A$6,YEAR(AE$4)&gt;=YEAR($F314),$K314="b"),ROUND(VLOOKUP(AJ$4,Preisindex,3,FALSE)/VLOOKUP(Preisindex!$A$6,Preisindex,3,FALSE),2),IF(AND($E314&lt;&gt;0,$F314&gt;0,YEAR($F314)&lt;Preisindex!$A$6,YEAR(AE$4)&gt;=YEAR($F314),$K314="g"),ROUND(VLOOKUP(AJ$4,Preisindex,4,FALSE)/VLOOKUP(Preisindex!$A$6,Preisindex,4,FALSE),2),IF(AND($E314&lt;&gt;0,$F314&gt;0,YEAR($F314)&lt;Preisindex!$A$6,YEAR(AE$4)&gt;=YEAR($F314),$K314="k"),ROUND(VLOOKUP(AJ$4,Preisindex,2,FALSE)/VLOOKUP(Preisindex!$A$6,Preisindex,2,FALSE),2),0)))))</f>
        <v>0</v>
      </c>
      <c r="AL314" s="51">
        <f>IF(AND($E314&lt;&gt;0,$F314&gt;0,YEAR($F314)&lt;=AJ$4,YEAR($F314)&gt;=Preisindex!$A$6),ROUND($E314*AJ314,2),IF(AND($E314&lt;&gt;0,$F314&gt;0,YEAR($F314)&lt;=AJ$4,YEAR($F314)&lt;Preisindex!$A$6),ROUND($E314*AK314,2),0))</f>
        <v>0</v>
      </c>
      <c r="AM314" s="53">
        <f t="shared" si="838"/>
        <v>0</v>
      </c>
      <c r="AN314" s="51">
        <f t="shared" si="883"/>
        <v>0</v>
      </c>
      <c r="AO314" s="51">
        <f t="shared" si="841"/>
        <v>0</v>
      </c>
      <c r="AP314" s="51">
        <f t="shared" si="755"/>
        <v>0</v>
      </c>
      <c r="AQ314" s="51">
        <f t="shared" si="842"/>
        <v>0</v>
      </c>
      <c r="AR314" s="51">
        <f t="shared" si="756"/>
        <v>0</v>
      </c>
      <c r="AS314" s="51">
        <f t="shared" si="843"/>
        <v>0</v>
      </c>
      <c r="AT314" s="51">
        <f t="shared" si="757"/>
        <v>0</v>
      </c>
      <c r="AU314" s="51">
        <f t="shared" si="844"/>
        <v>0</v>
      </c>
      <c r="AV314" s="51">
        <f t="shared" si="758"/>
        <v>0</v>
      </c>
      <c r="AW314" s="51">
        <f t="shared" si="845"/>
        <v>0</v>
      </c>
      <c r="AX314" s="51">
        <f t="shared" si="759"/>
        <v>0</v>
      </c>
      <c r="AY314" s="54">
        <f t="shared" si="760"/>
        <v>0</v>
      </c>
      <c r="AZ314" s="55">
        <f t="shared" si="761"/>
        <v>0</v>
      </c>
      <c r="BA314" s="56">
        <f>IF(AND($E314&lt;&gt;0,$F314&gt;0,YEAR($F314)&gt;=Preisindex!$A$6,YEAR(AV$4)&gt;=YEAR($F314),AND($K314&lt;&gt;"a",$K314&lt;&gt;"b",$K314&lt;&gt;"g",$K314&lt;&gt;"k")),1,IF(AND($E314&lt;&gt;0,$F314&gt;0,YEAR($F314)&gt;=Preisindex!$A$6,YEAR(AV$4)&gt;=YEAR($F314),$K314="a"),ROUND(VLOOKUP(BA$4,Preisindex,5,FALSE)/VLOOKUP(YEAR($F314),Preisindex,5,FALSE),2),IF(AND($E314&lt;&gt;0,$F314&gt;0,YEAR($F314)&gt;=Preisindex!$A$6,YEAR(AV$4)&gt;=YEAR($F314),$K314="b"),ROUND(VLOOKUP(BA$4,Preisindex,3,FALSE)/VLOOKUP(YEAR($F314),Preisindex,3,FALSE),2),IF(AND($E314&lt;&gt;0,$F314&gt;0,YEAR($F314)&gt;=Preisindex!$A$6,YEAR(AV$4)&gt;=YEAR($F314),$K314="g"),ROUND(VLOOKUP(BA$4,Preisindex,4,FALSE)/VLOOKUP(YEAR($F314),Preisindex,4,FALSE),2),IF(AND($E314&lt;&gt;0,$F314&gt;0,YEAR($F314)&gt;=Preisindex!$A$6,YEAR(AV$4)&gt;=YEAR($F314),$K314="k"),ROUND(VLOOKUP(BA$4,Preisindex,2,FALSE)/VLOOKUP(YEAR($F314),Preisindex,2,FALSE),2),0)))))</f>
        <v>0</v>
      </c>
      <c r="BB314" s="56">
        <f>IF(AND($E314&lt;&gt;0,$F314&gt;0,YEAR($F314)&lt;Preisindex!$A$6,YEAR(AV$4)&gt;=YEAR($F314),AND($K314&lt;&gt;"a",$K314&lt;&gt;"b",$K314&lt;&gt;"g",$K314&lt;&gt;"k")),1,IF(AND($E314&lt;&gt;0,$F314&gt;0,YEAR($F314)&lt;Preisindex!$A$6,YEAR(AV$4)&gt;=YEAR($F314),$K314="a"),ROUND(VLOOKUP(BA$4,Preisindex,5,FALSE)/VLOOKUP(Preisindex!$A$6,Preisindex,5,FALSE),2),IF(AND($E314&lt;&gt;0,$F314&gt;0,YEAR($F314)&lt;Preisindex!$A$6,YEAR(AV$4)&gt;=YEAR($F314),$K314="b"),ROUND(VLOOKUP(BA$4,Preisindex,3,FALSE)/VLOOKUP(Preisindex!$A$6,Preisindex,3,FALSE),2),IF(AND($E314&lt;&gt;0,$F314&gt;0,YEAR($F314)&lt;Preisindex!$A$6,YEAR(AV$4)&gt;=YEAR($F314),$K314="g"),ROUND(VLOOKUP(BA$4,Preisindex,4,FALSE)/VLOOKUP(Preisindex!$A$6,Preisindex,4,FALSE),2),IF(AND($E314&lt;&gt;0,$F314&gt;0,YEAR($F314)&lt;Preisindex!$A$6,YEAR(AV$4)&gt;=YEAR($F314),$K314="k"),ROUND(VLOOKUP(BA$4,Preisindex,2,FALSE)/VLOOKUP(Preisindex!$A$6,Preisindex,2,FALSE),2),0)))))</f>
        <v>0</v>
      </c>
      <c r="BC314" s="51">
        <f>IF(AND($E314&lt;&gt;0,$F314&gt;0,YEAR($F314)&lt;=BA$4,YEAR($F314)&gt;=Preisindex!$A$6),ROUND($E314*BA314,2),IF(AND($E314&lt;&gt;0,$F314&gt;0,YEAR($F314)&lt;=BA$4,YEAR($F314)&lt;Preisindex!$A$6),ROUND($E314*BB314,2),0))</f>
        <v>0</v>
      </c>
      <c r="BD314" s="53">
        <f t="shared" si="762"/>
        <v>0</v>
      </c>
      <c r="BE314" s="51">
        <f t="shared" si="883"/>
        <v>0</v>
      </c>
      <c r="BF314" s="51">
        <f t="shared" si="846"/>
        <v>0</v>
      </c>
      <c r="BG314" s="51">
        <f t="shared" si="763"/>
        <v>0</v>
      </c>
      <c r="BH314" s="51">
        <f t="shared" si="847"/>
        <v>0</v>
      </c>
      <c r="BI314" s="51">
        <f t="shared" si="764"/>
        <v>0</v>
      </c>
      <c r="BJ314" s="51">
        <f t="shared" si="848"/>
        <v>0</v>
      </c>
      <c r="BK314" s="51">
        <f t="shared" si="765"/>
        <v>0</v>
      </c>
      <c r="BL314" s="51">
        <f t="shared" si="849"/>
        <v>0</v>
      </c>
      <c r="BM314" s="51">
        <f t="shared" si="766"/>
        <v>0</v>
      </c>
      <c r="BN314" s="51">
        <f t="shared" si="850"/>
        <v>0</v>
      </c>
      <c r="BO314" s="51">
        <f t="shared" si="767"/>
        <v>0</v>
      </c>
      <c r="BP314" s="54">
        <f t="shared" si="768"/>
        <v>0</v>
      </c>
      <c r="BQ314" s="55">
        <f t="shared" si="769"/>
        <v>0</v>
      </c>
      <c r="BR314" s="56">
        <f>IF(AND($E314&lt;&gt;0,$F314&gt;0,YEAR($F314)&gt;=Preisindex!$A$6,YEAR(BM$4)&gt;=YEAR($F314),AND($K314&lt;&gt;"a",$K314&lt;&gt;"b",$K314&lt;&gt;"g",$K314&lt;&gt;"k")),1,IF(AND($E314&lt;&gt;0,$F314&gt;0,YEAR($F314)&gt;=Preisindex!$A$6,YEAR(BM$4)&gt;=YEAR($F314),$K314="a"),ROUND(VLOOKUP(BR$4,Preisindex,5,FALSE)/VLOOKUP(YEAR($F314),Preisindex,5,FALSE),2),IF(AND($E314&lt;&gt;0,$F314&gt;0,YEAR($F314)&gt;=Preisindex!$A$6,YEAR(BM$4)&gt;=YEAR($F314),$K314="b"),ROUND(VLOOKUP(BR$4,Preisindex,3,FALSE)/VLOOKUP(YEAR($F314),Preisindex,3,FALSE),2),IF(AND($E314&lt;&gt;0,$F314&gt;0,YEAR($F314)&gt;=Preisindex!$A$6,YEAR(BM$4)&gt;=YEAR($F314),$K314="g"),ROUND(VLOOKUP(BR$4,Preisindex,4,FALSE)/VLOOKUP(YEAR($F314),Preisindex,4,FALSE),2),IF(AND($E314&lt;&gt;0,$F314&gt;0,YEAR($F314)&gt;=Preisindex!$A$6,YEAR(BM$4)&gt;=YEAR($F314),$K314="k"),ROUND(VLOOKUP(BR$4,Preisindex,2,FALSE)/VLOOKUP(YEAR($F314),Preisindex,2,FALSE),2),0)))))</f>
        <v>0</v>
      </c>
      <c r="BS314" s="56">
        <f>IF(AND($E314&lt;&gt;0,$F314&gt;0,YEAR($F314)&lt;Preisindex!$A$6,YEAR(BM$4)&gt;=YEAR($F314),AND($K314&lt;&gt;"a",$K314&lt;&gt;"b",$K314&lt;&gt;"g",$K314&lt;&gt;"k")),1,IF(AND($E314&lt;&gt;0,$F314&gt;0,YEAR($F314)&lt;Preisindex!$A$6,YEAR(BM$4)&gt;=YEAR($F314),$K314="a"),ROUND(VLOOKUP(BR$4,Preisindex,5,FALSE)/VLOOKUP(Preisindex!$A$6,Preisindex,5,FALSE),2),IF(AND($E314&lt;&gt;0,$F314&gt;0,YEAR($F314)&lt;Preisindex!$A$6,YEAR(BM$4)&gt;=YEAR($F314),$K314="b"),ROUND(VLOOKUP(BR$4,Preisindex,3,FALSE)/VLOOKUP(Preisindex!$A$6,Preisindex,3,FALSE),2),IF(AND($E314&lt;&gt;0,$F314&gt;0,YEAR($F314)&lt;Preisindex!$A$6,YEAR(BM$4)&gt;=YEAR($F314),$K314="g"),ROUND(VLOOKUP(BR$4,Preisindex,4,FALSE)/VLOOKUP(Preisindex!$A$6,Preisindex,4,FALSE),2),IF(AND($E314&lt;&gt;0,$F314&gt;0,YEAR($F314)&lt;Preisindex!$A$6,YEAR(BM$4)&gt;=YEAR($F314),$K314="k"),ROUND(VLOOKUP(BR$4,Preisindex,2,FALSE)/VLOOKUP(Preisindex!$A$6,Preisindex,2,FALSE),2),0)))))</f>
        <v>0</v>
      </c>
      <c r="BT314" s="51">
        <f>IF(AND($E314&lt;&gt;0,$F314&gt;0,YEAR($F314)&lt;=BR$4,YEAR($F314)&gt;=Preisindex!$A$6),ROUND($E314*BR314,2),IF(AND($E314&lt;&gt;0,$F314&gt;0,YEAR($F314)&lt;=BR$4,YEAR($F314)&lt;Preisindex!$A$6),ROUND($E314*BS314,2),0))</f>
        <v>0</v>
      </c>
      <c r="BU314" s="53">
        <f t="shared" si="770"/>
        <v>0</v>
      </c>
      <c r="BV314" s="51">
        <f t="shared" si="883"/>
        <v>0</v>
      </c>
      <c r="BW314" s="51">
        <f t="shared" si="851"/>
        <v>0</v>
      </c>
      <c r="BX314" s="51">
        <f t="shared" si="771"/>
        <v>0</v>
      </c>
      <c r="BY314" s="51">
        <f t="shared" si="852"/>
        <v>0</v>
      </c>
      <c r="BZ314" s="51">
        <f t="shared" si="772"/>
        <v>0</v>
      </c>
      <c r="CA314" s="51">
        <f t="shared" si="853"/>
        <v>0</v>
      </c>
      <c r="CB314" s="51">
        <f t="shared" si="773"/>
        <v>0</v>
      </c>
      <c r="CC314" s="51">
        <f t="shared" si="854"/>
        <v>0</v>
      </c>
      <c r="CD314" s="51">
        <f t="shared" si="774"/>
        <v>0</v>
      </c>
      <c r="CE314" s="51">
        <f t="shared" si="855"/>
        <v>0</v>
      </c>
      <c r="CF314" s="51">
        <f t="shared" si="775"/>
        <v>0</v>
      </c>
      <c r="CG314" s="54">
        <f t="shared" si="776"/>
        <v>0</v>
      </c>
      <c r="CH314" s="55">
        <f t="shared" si="777"/>
        <v>0</v>
      </c>
      <c r="CI314" s="56">
        <f>IF(AND($E314&lt;&gt;0,$F314&gt;0,YEAR($F314)&gt;=Preisindex!$A$6,YEAR(CD$4)&gt;=YEAR($F314),AND($K314&lt;&gt;"a",$K314&lt;&gt;"b",$K314&lt;&gt;"g",$K314&lt;&gt;"k")),1,IF(AND($E314&lt;&gt;0,$F314&gt;0,YEAR($F314)&gt;=Preisindex!$A$6,YEAR(CD$4)&gt;=YEAR($F314),$K314="a"),ROUND(VLOOKUP(CI$4,Preisindex,5,FALSE)/VLOOKUP(YEAR($F314),Preisindex,5,FALSE),2),IF(AND($E314&lt;&gt;0,$F314&gt;0,YEAR($F314)&gt;=Preisindex!$A$6,YEAR(CD$4)&gt;=YEAR($F314),$K314="b"),ROUND(VLOOKUP(CI$4,Preisindex,3,FALSE)/VLOOKUP(YEAR($F314),Preisindex,3,FALSE),2),IF(AND($E314&lt;&gt;0,$F314&gt;0,YEAR($F314)&gt;=Preisindex!$A$6,YEAR(CD$4)&gt;=YEAR($F314),$K314="g"),ROUND(VLOOKUP(CI$4,Preisindex,4,FALSE)/VLOOKUP(YEAR($F314),Preisindex,4,FALSE),2),IF(AND($E314&lt;&gt;0,$F314&gt;0,YEAR($F314)&gt;=Preisindex!$A$6,YEAR(CD$4)&gt;=YEAR($F314),$K314="k"),ROUND(VLOOKUP(CI$4,Preisindex,2,FALSE)/VLOOKUP(YEAR($F314),Preisindex,2,FALSE),2),0)))))</f>
        <v>0</v>
      </c>
      <c r="CJ314" s="56">
        <f>IF(AND($E314&lt;&gt;0,$F314&gt;0,YEAR($F314)&lt;Preisindex!$A$6,YEAR(CD$4)&gt;=YEAR($F314),AND($K314&lt;&gt;"a",$K314&lt;&gt;"b",$K314&lt;&gt;"g",$K314&lt;&gt;"k")),1,IF(AND($E314&lt;&gt;0,$F314&gt;0,YEAR($F314)&lt;Preisindex!$A$6,YEAR(CD$4)&gt;=YEAR($F314),$K314="a"),ROUND(VLOOKUP(CI$4,Preisindex,5,FALSE)/VLOOKUP(Preisindex!$A$6,Preisindex,5,FALSE),2),IF(AND($E314&lt;&gt;0,$F314&gt;0,YEAR($F314)&lt;Preisindex!$A$6,YEAR(CD$4)&gt;=YEAR($F314),$K314="b"),ROUND(VLOOKUP(CI$4,Preisindex,3,FALSE)/VLOOKUP(Preisindex!$A$6,Preisindex,3,FALSE),2),IF(AND($E314&lt;&gt;0,$F314&gt;0,YEAR($F314)&lt;Preisindex!$A$6,YEAR(CD$4)&gt;=YEAR($F314),$K314="g"),ROUND(VLOOKUP(CI$4,Preisindex,4,FALSE)/VLOOKUP(Preisindex!$A$6,Preisindex,4,FALSE),2),IF(AND($E314&lt;&gt;0,$F314&gt;0,YEAR($F314)&lt;Preisindex!$A$6,YEAR(CD$4)&gt;=YEAR($F314),$K314="k"),ROUND(VLOOKUP(CI$4,Preisindex,2,FALSE)/VLOOKUP(Preisindex!$A$6,Preisindex,2,FALSE),2),0)))))</f>
        <v>0</v>
      </c>
      <c r="CK314" s="51">
        <f>IF(AND($E314&lt;&gt;0,$F314&gt;0,YEAR($F314)&lt;=CI$4,YEAR($F314)&gt;=Preisindex!$A$6),ROUND($E314*CI314,2),IF(AND($E314&lt;&gt;0,$F314&gt;0,YEAR($F314)&lt;=CI$4,YEAR($F314)&lt;Preisindex!$A$6),ROUND($E314*CJ314,2),0))</f>
        <v>0</v>
      </c>
      <c r="CL314" s="53">
        <f t="shared" si="778"/>
        <v>0</v>
      </c>
      <c r="CM314" s="51">
        <f t="shared" si="883"/>
        <v>0</v>
      </c>
      <c r="CN314" s="51">
        <f t="shared" si="856"/>
        <v>0</v>
      </c>
      <c r="CO314" s="51">
        <f t="shared" si="779"/>
        <v>0</v>
      </c>
      <c r="CP314" s="51">
        <f t="shared" si="857"/>
        <v>0</v>
      </c>
      <c r="CQ314" s="51">
        <f t="shared" si="780"/>
        <v>0</v>
      </c>
      <c r="CR314" s="51">
        <f t="shared" si="858"/>
        <v>0</v>
      </c>
      <c r="CS314" s="51">
        <f t="shared" si="781"/>
        <v>0</v>
      </c>
      <c r="CT314" s="51">
        <f t="shared" si="859"/>
        <v>0</v>
      </c>
      <c r="CU314" s="51">
        <f t="shared" si="782"/>
        <v>0</v>
      </c>
      <c r="CV314" s="51">
        <f t="shared" si="860"/>
        <v>0</v>
      </c>
      <c r="CW314" s="51">
        <f t="shared" si="783"/>
        <v>0</v>
      </c>
      <c r="CX314" s="54">
        <f t="shared" si="784"/>
        <v>0</v>
      </c>
      <c r="CY314" s="55">
        <f t="shared" si="785"/>
        <v>0</v>
      </c>
      <c r="CZ314" s="56">
        <f>IF(AND($E314&lt;&gt;0,$F314&gt;0,YEAR($F314)&gt;=Preisindex!$A$6,YEAR(CU$4)&gt;=YEAR($F314),AND($K314&lt;&gt;"a",$K314&lt;&gt;"b",$K314&lt;&gt;"g",$K314&lt;&gt;"k")),1,IF(AND($E314&lt;&gt;0,$F314&gt;0,YEAR($F314)&gt;=Preisindex!$A$6,YEAR(CU$4)&gt;=YEAR($F314),$K314="a"),ROUND(VLOOKUP(CZ$4,Preisindex,5,FALSE)/VLOOKUP(YEAR($F314),Preisindex,5,FALSE),2),IF(AND($E314&lt;&gt;0,$F314&gt;0,YEAR($F314)&gt;=Preisindex!$A$6,YEAR(CU$4)&gt;=YEAR($F314),$K314="b"),ROUND(VLOOKUP(CZ$4,Preisindex,3,FALSE)/VLOOKUP(YEAR($F314),Preisindex,3,FALSE),2),IF(AND($E314&lt;&gt;0,$F314&gt;0,YEAR($F314)&gt;=Preisindex!$A$6,YEAR(CU$4)&gt;=YEAR($F314),$K314="g"),ROUND(VLOOKUP(CZ$4,Preisindex,4,FALSE)/VLOOKUP(YEAR($F314),Preisindex,4,FALSE),2),IF(AND($E314&lt;&gt;0,$F314&gt;0,YEAR($F314)&gt;=Preisindex!$A$6,YEAR(CU$4)&gt;=YEAR($F314),$K314="k"),ROUND(VLOOKUP(CZ$4,Preisindex,2,FALSE)/VLOOKUP(YEAR($F314),Preisindex,2,FALSE),2),0)))))</f>
        <v>0</v>
      </c>
      <c r="DA314" s="56">
        <f>IF(AND($E314&lt;&gt;0,$F314&gt;0,YEAR($F314)&lt;Preisindex!$A$6,YEAR(CU$4)&gt;=YEAR($F314),AND($K314&lt;&gt;"a",$K314&lt;&gt;"b",$K314&lt;&gt;"g",$K314&lt;&gt;"k")),1,IF(AND($E314&lt;&gt;0,$F314&gt;0,YEAR($F314)&lt;Preisindex!$A$6,YEAR(CU$4)&gt;=YEAR($F314),$K314="a"),ROUND(VLOOKUP(CZ$4,Preisindex,5,FALSE)/VLOOKUP(Preisindex!$A$6,Preisindex,5,FALSE),2),IF(AND($E314&lt;&gt;0,$F314&gt;0,YEAR($F314)&lt;Preisindex!$A$6,YEAR(CU$4)&gt;=YEAR($F314),$K314="b"),ROUND(VLOOKUP(CZ$4,Preisindex,3,FALSE)/VLOOKUP(Preisindex!$A$6,Preisindex,3,FALSE),2),IF(AND($E314&lt;&gt;0,$F314&gt;0,YEAR($F314)&lt;Preisindex!$A$6,YEAR(CU$4)&gt;=YEAR($F314),$K314="g"),ROUND(VLOOKUP(CZ$4,Preisindex,4,FALSE)/VLOOKUP(Preisindex!$A$6,Preisindex,4,FALSE),2),IF(AND($E314&lt;&gt;0,$F314&gt;0,YEAR($F314)&lt;Preisindex!$A$6,YEAR(CU$4)&gt;=YEAR($F314),$K314="k"),ROUND(VLOOKUP(CZ$4,Preisindex,2,FALSE)/VLOOKUP(Preisindex!$A$6,Preisindex,2,FALSE),2),0)))))</f>
        <v>0</v>
      </c>
      <c r="DB314" s="51">
        <f>IF(AND($E314&lt;&gt;0,$F314&gt;0,YEAR($F314)&lt;=CZ$4,YEAR($F314)&gt;=Preisindex!$A$6),ROUND($E314*CZ314,2),IF(AND($E314&lt;&gt;0,$F314&gt;0,YEAR($F314)&lt;=CZ$4,YEAR($F314)&lt;Preisindex!$A$6),ROUND($E314*DA314,2),0))</f>
        <v>0</v>
      </c>
      <c r="DC314" s="53">
        <f t="shared" si="786"/>
        <v>0</v>
      </c>
      <c r="DD314" s="51">
        <f t="shared" si="884"/>
        <v>0</v>
      </c>
      <c r="DE314" s="51">
        <f t="shared" si="861"/>
        <v>0</v>
      </c>
      <c r="DF314" s="51">
        <f t="shared" si="788"/>
        <v>0</v>
      </c>
      <c r="DG314" s="51">
        <f t="shared" si="862"/>
        <v>0</v>
      </c>
      <c r="DH314" s="51">
        <f t="shared" si="789"/>
        <v>0</v>
      </c>
      <c r="DI314" s="51">
        <f t="shared" si="863"/>
        <v>0</v>
      </c>
      <c r="DJ314" s="51">
        <f t="shared" si="790"/>
        <v>0</v>
      </c>
      <c r="DK314" s="51">
        <f t="shared" si="864"/>
        <v>0</v>
      </c>
      <c r="DL314" s="51">
        <f t="shared" si="791"/>
        <v>0</v>
      </c>
      <c r="DM314" s="51">
        <f t="shared" si="865"/>
        <v>0</v>
      </c>
      <c r="DN314" s="51">
        <f t="shared" si="792"/>
        <v>0</v>
      </c>
      <c r="DO314" s="54">
        <f t="shared" si="793"/>
        <v>0</v>
      </c>
      <c r="DP314" s="55">
        <f t="shared" si="794"/>
        <v>0</v>
      </c>
      <c r="DQ314" s="56">
        <f>IF(AND($E314&lt;&gt;0,$F314&gt;0,YEAR($F314)&gt;=Preisindex!$A$6,YEAR(DL$4)&gt;=YEAR($F314),AND($K314&lt;&gt;"a",$K314&lt;&gt;"b",$K314&lt;&gt;"g",$K314&lt;&gt;"k")),1,IF(AND($E314&lt;&gt;0,$F314&gt;0,YEAR($F314)&gt;=Preisindex!$A$6,YEAR(DL$4)&gt;=YEAR($F314),$K314="a"),ROUND(VLOOKUP(DQ$4,Preisindex,5,FALSE)/VLOOKUP(YEAR($F314),Preisindex,5,FALSE),2),IF(AND($E314&lt;&gt;0,$F314&gt;0,YEAR($F314)&gt;=Preisindex!$A$6,YEAR(DL$4)&gt;=YEAR($F314),$K314="b"),ROUND(VLOOKUP(DQ$4,Preisindex,3,FALSE)/VLOOKUP(YEAR($F314),Preisindex,3,FALSE),2),IF(AND($E314&lt;&gt;0,$F314&gt;0,YEAR($F314)&gt;=Preisindex!$A$6,YEAR(DL$4)&gt;=YEAR($F314),$K314="g"),ROUND(VLOOKUP(DQ$4,Preisindex,4,FALSE)/VLOOKUP(YEAR($F314),Preisindex,4,FALSE),2),IF(AND($E314&lt;&gt;0,$F314&gt;0,YEAR($F314)&gt;=Preisindex!$A$6,YEAR(DL$4)&gt;=YEAR($F314),$K314="k"),ROUND(VLOOKUP(DQ$4,Preisindex,2,FALSE)/VLOOKUP(YEAR($F314),Preisindex,2,FALSE),2),0)))))</f>
        <v>0</v>
      </c>
      <c r="DR314" s="56">
        <f>IF(AND($E314&lt;&gt;0,$F314&gt;0,YEAR($F314)&lt;Preisindex!$A$6,YEAR(DL$4)&gt;=YEAR($F314),AND($K314&lt;&gt;"a",$K314&lt;&gt;"b",$K314&lt;&gt;"g",$K314&lt;&gt;"k")),1,IF(AND($E314&lt;&gt;0,$F314&gt;0,YEAR($F314)&lt;Preisindex!$A$6,YEAR(DL$4)&gt;=YEAR($F314),$K314="a"),ROUND(VLOOKUP(DQ$4,Preisindex,5,FALSE)/VLOOKUP(Preisindex!$A$6,Preisindex,5,FALSE),2),IF(AND($E314&lt;&gt;0,$F314&gt;0,YEAR($F314)&lt;Preisindex!$A$6,YEAR(DL$4)&gt;=YEAR($F314),$K314="b"),ROUND(VLOOKUP(DQ$4,Preisindex,3,FALSE)/VLOOKUP(Preisindex!$A$6,Preisindex,3,FALSE),2),IF(AND($E314&lt;&gt;0,$F314&gt;0,YEAR($F314)&lt;Preisindex!$A$6,YEAR(DL$4)&gt;=YEAR($F314),$K314="g"),ROUND(VLOOKUP(DQ$4,Preisindex,4,FALSE)/VLOOKUP(Preisindex!$A$6,Preisindex,4,FALSE),2),IF(AND($E314&lt;&gt;0,$F314&gt;0,YEAR($F314)&lt;Preisindex!$A$6,YEAR(DL$4)&gt;=YEAR($F314),$K314="k"),ROUND(VLOOKUP(DQ$4,Preisindex,2,FALSE)/VLOOKUP(Preisindex!$A$6,Preisindex,2,FALSE),2),0)))))</f>
        <v>0</v>
      </c>
      <c r="DS314" s="51">
        <f>IF(AND($E314&lt;&gt;0,$F314&gt;0,YEAR($F314)&lt;=DQ$4,YEAR($F314)&gt;=Preisindex!$A$6),ROUND($E314*DQ314,2),IF(AND($E314&lt;&gt;0,$F314&gt;0,YEAR($F314)&lt;=DQ$4,YEAR($F314)&lt;Preisindex!$A$6),ROUND($E314*DR314,2),0))</f>
        <v>0</v>
      </c>
      <c r="DT314" s="53">
        <f t="shared" si="795"/>
        <v>0</v>
      </c>
      <c r="DU314" s="51">
        <f t="shared" si="884"/>
        <v>0</v>
      </c>
      <c r="DV314" s="51">
        <f t="shared" si="866"/>
        <v>0</v>
      </c>
      <c r="DW314" s="51">
        <f t="shared" si="796"/>
        <v>0</v>
      </c>
      <c r="DX314" s="51">
        <f t="shared" si="867"/>
        <v>0</v>
      </c>
      <c r="DY314" s="51">
        <f t="shared" si="797"/>
        <v>0</v>
      </c>
      <c r="DZ314" s="51">
        <f t="shared" si="868"/>
        <v>0</v>
      </c>
      <c r="EA314" s="51">
        <f t="shared" si="798"/>
        <v>0</v>
      </c>
      <c r="EB314" s="51">
        <f t="shared" si="869"/>
        <v>0</v>
      </c>
      <c r="EC314" s="51">
        <f t="shared" si="799"/>
        <v>0</v>
      </c>
      <c r="ED314" s="51">
        <f t="shared" si="870"/>
        <v>0</v>
      </c>
      <c r="EE314" s="51">
        <f t="shared" si="800"/>
        <v>0</v>
      </c>
      <c r="EF314" s="54">
        <f t="shared" si="801"/>
        <v>0</v>
      </c>
      <c r="EG314" s="55">
        <f t="shared" si="802"/>
        <v>0</v>
      </c>
      <c r="EH314" s="56">
        <f>IF(AND($E314&lt;&gt;0,$F314&gt;0,YEAR($F314)&gt;=Preisindex!$A$6,YEAR(EC$4)&gt;=YEAR($F314),AND($K314&lt;&gt;"a",$K314&lt;&gt;"b",$K314&lt;&gt;"g",$K314&lt;&gt;"k")),1,IF(AND($E314&lt;&gt;0,$F314&gt;0,YEAR($F314)&gt;=Preisindex!$A$6,YEAR(EC$4)&gt;=YEAR($F314),$K314="a"),ROUND(VLOOKUP(EH$4,Preisindex,5,FALSE)/VLOOKUP(YEAR($F314),Preisindex,5,FALSE),2),IF(AND($E314&lt;&gt;0,$F314&gt;0,YEAR($F314)&gt;=Preisindex!$A$6,YEAR(EC$4)&gt;=YEAR($F314),$K314="b"),ROUND(VLOOKUP(EH$4,Preisindex,3,FALSE)/VLOOKUP(YEAR($F314),Preisindex,3,FALSE),2),IF(AND($E314&lt;&gt;0,$F314&gt;0,YEAR($F314)&gt;=Preisindex!$A$6,YEAR(EC$4)&gt;=YEAR($F314),$K314="g"),ROUND(VLOOKUP(EH$4,Preisindex,4,FALSE)/VLOOKUP(YEAR($F314),Preisindex,4,FALSE),2),IF(AND($E314&lt;&gt;0,$F314&gt;0,YEAR($F314)&gt;=Preisindex!$A$6,YEAR(EC$4)&gt;=YEAR($F314),$K314="k"),ROUND(VLOOKUP(EH$4,Preisindex,2,FALSE)/VLOOKUP(YEAR($F314),Preisindex,2,FALSE),2),0)))))</f>
        <v>0</v>
      </c>
      <c r="EI314" s="56">
        <f>IF(AND($E314&lt;&gt;0,$F314&gt;0,YEAR($F314)&lt;Preisindex!$A$6,YEAR(EC$4)&gt;=YEAR($F314),AND($K314&lt;&gt;"a",$K314&lt;&gt;"b",$K314&lt;&gt;"g",$K314&lt;&gt;"k")),1,IF(AND($E314&lt;&gt;0,$F314&gt;0,YEAR($F314)&lt;Preisindex!$A$6,YEAR(EC$4)&gt;=YEAR($F314),$K314="a"),ROUND(VLOOKUP(EH$4,Preisindex,5,FALSE)/VLOOKUP(Preisindex!$A$6,Preisindex,5,FALSE),2),IF(AND($E314&lt;&gt;0,$F314&gt;0,YEAR($F314)&lt;Preisindex!$A$6,YEAR(EC$4)&gt;=YEAR($F314),$K314="b"),ROUND(VLOOKUP(EH$4,Preisindex,3,FALSE)/VLOOKUP(Preisindex!$A$6,Preisindex,3,FALSE),2),IF(AND($E314&lt;&gt;0,$F314&gt;0,YEAR($F314)&lt;Preisindex!$A$6,YEAR(EC$4)&gt;=YEAR($F314),$K314="g"),ROUND(VLOOKUP(EH$4,Preisindex,4,FALSE)/VLOOKUP(Preisindex!$A$6,Preisindex,4,FALSE),2),IF(AND($E314&lt;&gt;0,$F314&gt;0,YEAR($F314)&lt;Preisindex!$A$6,YEAR(EC$4)&gt;=YEAR($F314),$K314="k"),ROUND(VLOOKUP(EH$4,Preisindex,2,FALSE)/VLOOKUP(Preisindex!$A$6,Preisindex,2,FALSE),2),0)))))</f>
        <v>0</v>
      </c>
      <c r="EJ314" s="51">
        <f>IF(AND($E314&lt;&gt;0,$F314&gt;0,YEAR($F314)&lt;=EH$4,YEAR($F314)&gt;=Preisindex!$A$6),ROUND($E314*EH314,2),IF(AND($E314&lt;&gt;0,$F314&gt;0,YEAR($F314)&lt;=EH$4,YEAR($F314)&lt;Preisindex!$A$6),ROUND($E314*EI314,2),0))</f>
        <v>0</v>
      </c>
      <c r="EK314" s="53">
        <f t="shared" si="803"/>
        <v>0</v>
      </c>
      <c r="EL314" s="51">
        <f t="shared" si="884"/>
        <v>0</v>
      </c>
      <c r="EM314" s="51">
        <f t="shared" si="871"/>
        <v>0</v>
      </c>
      <c r="EN314" s="51">
        <f t="shared" si="804"/>
        <v>0</v>
      </c>
      <c r="EO314" s="51">
        <f t="shared" si="872"/>
        <v>0</v>
      </c>
      <c r="EP314" s="51">
        <f t="shared" si="805"/>
        <v>0</v>
      </c>
      <c r="EQ314" s="51">
        <f t="shared" si="873"/>
        <v>0</v>
      </c>
      <c r="ER314" s="51">
        <f t="shared" si="806"/>
        <v>0</v>
      </c>
      <c r="ES314" s="51">
        <f t="shared" si="874"/>
        <v>0</v>
      </c>
      <c r="ET314" s="51">
        <f t="shared" si="807"/>
        <v>0</v>
      </c>
      <c r="EU314" s="51">
        <f t="shared" si="875"/>
        <v>0</v>
      </c>
      <c r="EV314" s="51">
        <f t="shared" si="808"/>
        <v>0</v>
      </c>
      <c r="EW314" s="54">
        <f t="shared" si="809"/>
        <v>0</v>
      </c>
      <c r="EX314" s="55">
        <f t="shared" si="810"/>
        <v>0</v>
      </c>
      <c r="EY314" s="56">
        <f>IF(AND($E314&lt;&gt;0,$F314&gt;0,YEAR($F314)&gt;=Preisindex!$A$6,YEAR(ET$4)&gt;=YEAR($F314),AND($K314&lt;&gt;"a",$K314&lt;&gt;"b",$K314&lt;&gt;"g",$K314&lt;&gt;"k")),1,IF(AND($E314&lt;&gt;0,$F314&gt;0,YEAR($F314)&gt;=Preisindex!$A$6,YEAR(ET$4)&gt;=YEAR($F314),$K314="a"),ROUND(VLOOKUP(EY$4,Preisindex,5,FALSE)/VLOOKUP(YEAR($F314),Preisindex,5,FALSE),2),IF(AND($E314&lt;&gt;0,$F314&gt;0,YEAR($F314)&gt;=Preisindex!$A$6,YEAR(ET$4)&gt;=YEAR($F314),$K314="b"),ROUND(VLOOKUP(EY$4,Preisindex,3,FALSE)/VLOOKUP(YEAR($F314),Preisindex,3,FALSE),2),IF(AND($E314&lt;&gt;0,$F314&gt;0,YEAR($F314)&gt;=Preisindex!$A$6,YEAR(ET$4)&gt;=YEAR($F314),$K314="g"),ROUND(VLOOKUP(EY$4,Preisindex,4,FALSE)/VLOOKUP(YEAR($F314),Preisindex,4,FALSE),2),IF(AND($E314&lt;&gt;0,$F314&gt;0,YEAR($F314)&gt;=Preisindex!$A$6,YEAR(ET$4)&gt;=YEAR($F314),$K314="k"),ROUND(VLOOKUP(EY$4,Preisindex,2,FALSE)/VLOOKUP(YEAR($F314),Preisindex,2,FALSE),2),0)))))</f>
        <v>0</v>
      </c>
      <c r="EZ314" s="56">
        <f>IF(AND($E314&lt;&gt;0,$F314&gt;0,YEAR($F314)&lt;Preisindex!$A$6,YEAR(ET$4)&gt;=YEAR($F314),AND($K314&lt;&gt;"a",$K314&lt;&gt;"b",$K314&lt;&gt;"g",$K314&lt;&gt;"k")),1,IF(AND($E314&lt;&gt;0,$F314&gt;0,YEAR($F314)&lt;Preisindex!$A$6,YEAR(ET$4)&gt;=YEAR($F314),$K314="a"),ROUND(VLOOKUP(EY$4,Preisindex,5,FALSE)/VLOOKUP(Preisindex!$A$6,Preisindex,5,FALSE),2),IF(AND($E314&lt;&gt;0,$F314&gt;0,YEAR($F314)&lt;Preisindex!$A$6,YEAR(ET$4)&gt;=YEAR($F314),$K314="b"),ROUND(VLOOKUP(EY$4,Preisindex,3,FALSE)/VLOOKUP(Preisindex!$A$6,Preisindex,3,FALSE),2),IF(AND($E314&lt;&gt;0,$F314&gt;0,YEAR($F314)&lt;Preisindex!$A$6,YEAR(ET$4)&gt;=YEAR($F314),$K314="g"),ROUND(VLOOKUP(EY$4,Preisindex,4,FALSE)/VLOOKUP(Preisindex!$A$6,Preisindex,4,FALSE),2),IF(AND($E314&lt;&gt;0,$F314&gt;0,YEAR($F314)&lt;Preisindex!$A$6,YEAR(ET$4)&gt;=YEAR($F314),$K314="k"),ROUND(VLOOKUP(EY$4,Preisindex,2,FALSE)/VLOOKUP(Preisindex!$A$6,Preisindex,2,FALSE),2),0)))))</f>
        <v>0</v>
      </c>
      <c r="FA314" s="51">
        <f>IF(AND($E314&lt;&gt;0,$F314&gt;0,YEAR($F314)&lt;=EY$4,YEAR($F314)&gt;=Preisindex!$A$6),ROUND($E314*EY314,2),IF(AND($E314&lt;&gt;0,$F314&gt;0,YEAR($F314)&lt;=EY$4,YEAR($F314)&lt;Preisindex!$A$6),ROUND($E314*EZ314,2),0))</f>
        <v>0</v>
      </c>
      <c r="FB314" s="53">
        <f t="shared" si="811"/>
        <v>0</v>
      </c>
      <c r="FC314" s="51">
        <f t="shared" si="884"/>
        <v>0</v>
      </c>
      <c r="FD314" s="51">
        <f t="shared" si="876"/>
        <v>0</v>
      </c>
      <c r="FE314" s="51">
        <f t="shared" si="812"/>
        <v>0</v>
      </c>
      <c r="FF314" s="51">
        <f t="shared" si="877"/>
        <v>0</v>
      </c>
      <c r="FG314" s="51">
        <f t="shared" si="813"/>
        <v>0</v>
      </c>
      <c r="FH314" s="51">
        <f t="shared" si="878"/>
        <v>0</v>
      </c>
      <c r="FI314" s="51">
        <f t="shared" si="814"/>
        <v>0</v>
      </c>
      <c r="FJ314" s="51">
        <f t="shared" si="879"/>
        <v>0</v>
      </c>
      <c r="FK314" s="51">
        <f t="shared" si="815"/>
        <v>0</v>
      </c>
      <c r="FL314" s="51">
        <f t="shared" si="880"/>
        <v>0</v>
      </c>
      <c r="FM314" s="51">
        <f t="shared" si="816"/>
        <v>0</v>
      </c>
      <c r="FN314" s="54">
        <f t="shared" si="817"/>
        <v>0</v>
      </c>
      <c r="FO314" s="55">
        <f t="shared" si="818"/>
        <v>0</v>
      </c>
      <c r="FP314" s="56">
        <f>IF(AND($E314&lt;&gt;0,$F314&gt;0,YEAR($F314)&gt;=Preisindex!$A$6,YEAR(FK$4)&gt;=YEAR($F314),AND($K314&lt;&gt;"a",$K314&lt;&gt;"b",$K314&lt;&gt;"g",$K314&lt;&gt;"k")),1,IF(AND($E314&lt;&gt;0,$F314&gt;0,YEAR($F314)&gt;=Preisindex!$A$6,YEAR(FK$4)&gt;=YEAR($F314),$K314="a"),ROUND(VLOOKUP(FP$4,Preisindex,5,FALSE)/VLOOKUP(YEAR($F314),Preisindex,5,FALSE),2),IF(AND($E314&lt;&gt;0,$F314&gt;0,YEAR($F314)&gt;=Preisindex!$A$6,YEAR(FK$4)&gt;=YEAR($F314),$K314="b"),ROUND(VLOOKUP(FP$4,Preisindex,3,FALSE)/VLOOKUP(YEAR($F314),Preisindex,3,FALSE),2),IF(AND($E314&lt;&gt;0,$F314&gt;0,YEAR($F314)&gt;=Preisindex!$A$6,YEAR(FK$4)&gt;=YEAR($F314),$K314="g"),ROUND(VLOOKUP(FP$4,Preisindex,4,FALSE)/VLOOKUP(YEAR($F314),Preisindex,4,FALSE),2),IF(AND($E314&lt;&gt;0,$F314&gt;0,YEAR($F314)&gt;=Preisindex!$A$6,YEAR(FK$4)&gt;=YEAR($F314),$K314="k"),ROUND(VLOOKUP(FP$4,Preisindex,2,FALSE)/VLOOKUP(YEAR($F314),Preisindex,2,FALSE),2),0)))))</f>
        <v>0</v>
      </c>
      <c r="FQ314" s="56">
        <f>IF(AND($E314&lt;&gt;0,$F314&gt;0,YEAR($F314)&lt;Preisindex!$A$6,YEAR(FK$4)&gt;=YEAR($F314),AND($K314&lt;&gt;"a",$K314&lt;&gt;"b",$K314&lt;&gt;"g",$K314&lt;&gt;"k")),1,IF(AND($E314&lt;&gt;0,$F314&gt;0,YEAR($F314)&lt;Preisindex!$A$6,YEAR(FK$4)&gt;=YEAR($F314),$K314="a"),ROUND(VLOOKUP(FP$4,Preisindex,5,FALSE)/VLOOKUP(Preisindex!$A$6,Preisindex,5,FALSE),2),IF(AND($E314&lt;&gt;0,$F314&gt;0,YEAR($F314)&lt;Preisindex!$A$6,YEAR(FK$4)&gt;=YEAR($F314),$K314="b"),ROUND(VLOOKUP(FP$4,Preisindex,3,FALSE)/VLOOKUP(Preisindex!$A$6,Preisindex,3,FALSE),2),IF(AND($E314&lt;&gt;0,$F314&gt;0,YEAR($F314)&lt;Preisindex!$A$6,YEAR(FK$4)&gt;=YEAR($F314),$K314="g"),ROUND(VLOOKUP(FP$4,Preisindex,4,FALSE)/VLOOKUP(Preisindex!$A$6,Preisindex,4,FALSE),2),IF(AND($E314&lt;&gt;0,$F314&gt;0,YEAR($F314)&lt;Preisindex!$A$6,YEAR(FK$4)&gt;=YEAR($F314),$K314="k"),ROUND(VLOOKUP(FP$4,Preisindex,2,FALSE)/VLOOKUP(Preisindex!$A$6,Preisindex,2,FALSE),2),0)))))</f>
        <v>0</v>
      </c>
      <c r="FR314" s="51">
        <f>IF(AND($E314&lt;&gt;0,$F314&gt;0,YEAR($F314)&lt;=FP$4,YEAR($F314)&gt;=Preisindex!$A$6),ROUND($E314*FP314,2),IF(AND($E314&lt;&gt;0,$F314&gt;0,YEAR($F314)&lt;=FP$4,YEAR($F314)&lt;Preisindex!$A$6),ROUND($E314*FQ314,2),0))</f>
        <v>0</v>
      </c>
      <c r="FS314" s="53">
        <f t="shared" si="819"/>
        <v>0</v>
      </c>
    </row>
    <row r="315" spans="1:175" x14ac:dyDescent="0.3">
      <c r="A315" s="185"/>
      <c r="B315" s="186"/>
      <c r="C315" s="187"/>
      <c r="D315" s="95"/>
      <c r="E315" s="99"/>
      <c r="F315" s="97"/>
      <c r="G315" s="98"/>
      <c r="H315" s="192"/>
      <c r="I315" s="193"/>
      <c r="J315" s="194"/>
      <c r="K315" s="630"/>
      <c r="L315" s="49">
        <f t="shared" si="820"/>
        <v>0</v>
      </c>
      <c r="M315" s="50">
        <f t="shared" si="821"/>
        <v>0</v>
      </c>
      <c r="N315" s="51">
        <f t="shared" si="822"/>
        <v>0</v>
      </c>
      <c r="O315" s="51"/>
      <c r="P315" s="51">
        <f t="shared" si="823"/>
        <v>0</v>
      </c>
      <c r="Q315" s="52"/>
      <c r="R315" s="52"/>
      <c r="S315" s="52"/>
      <c r="T315" s="52"/>
      <c r="U315" s="52"/>
      <c r="V315" s="53">
        <f t="shared" si="824"/>
        <v>0</v>
      </c>
      <c r="W315" s="51">
        <f t="shared" si="825"/>
        <v>0</v>
      </c>
      <c r="X315" s="51">
        <f t="shared" si="826"/>
        <v>0</v>
      </c>
      <c r="Y315" s="51">
        <f t="shared" si="827"/>
        <v>0</v>
      </c>
      <c r="Z315" s="51">
        <f t="shared" si="828"/>
        <v>0</v>
      </c>
      <c r="AA315" s="51">
        <f t="shared" si="829"/>
        <v>0</v>
      </c>
      <c r="AB315" s="51">
        <f t="shared" si="830"/>
        <v>0</v>
      </c>
      <c r="AC315" s="51">
        <f t="shared" si="831"/>
        <v>0</v>
      </c>
      <c r="AD315" s="51">
        <f t="shared" si="832"/>
        <v>0</v>
      </c>
      <c r="AE315" s="51">
        <f t="shared" si="833"/>
        <v>0</v>
      </c>
      <c r="AF315" s="51">
        <f t="shared" si="834"/>
        <v>0</v>
      </c>
      <c r="AG315" s="51">
        <f t="shared" si="835"/>
        <v>0</v>
      </c>
      <c r="AH315" s="54">
        <f t="shared" si="836"/>
        <v>0</v>
      </c>
      <c r="AI315" s="55">
        <f t="shared" si="837"/>
        <v>0</v>
      </c>
      <c r="AJ315" s="56">
        <f>IF(AND($E315&lt;&gt;0,$F315&gt;0,YEAR($F315)&gt;=Preisindex!$A$6,YEAR(AE$4)&gt;=YEAR($F315),AND($K315&lt;&gt;"a",$K315&lt;&gt;"b",$K315&lt;&gt;"g",$K315&lt;&gt;"k")),1,IF(AND($E315&lt;&gt;0,$F315&gt;0,YEAR($F315)&gt;=Preisindex!$A$6,YEAR(AE$4)&gt;=YEAR($F315),$K315="a"),ROUND(VLOOKUP(AJ$4,Preisindex,5,FALSE)/VLOOKUP(YEAR($F315),Preisindex,5,FALSE),2),IF(AND($E315&lt;&gt;0,$F315&gt;0,YEAR($F315)&gt;=Preisindex!$A$6,YEAR(AE$4)&gt;=YEAR($F315),$K315="b"),ROUND(VLOOKUP(AJ$4,Preisindex,3,FALSE)/VLOOKUP(YEAR($F315),Preisindex,3,FALSE),2),IF(AND($E315&lt;&gt;0,$F315&gt;0,YEAR($F315)&gt;=Preisindex!$A$6,YEAR(AE$4)&gt;=YEAR($F315),$K315="g"),ROUND(VLOOKUP(AJ$4,Preisindex,4,FALSE)/VLOOKUP(YEAR($F315),Preisindex,4,FALSE),2),IF(AND($E315&lt;&gt;0,$F315&gt;0,YEAR($F315)&gt;=Preisindex!$A$6,YEAR(AE$4)&gt;=YEAR($F315),$K315="k"),ROUND(VLOOKUP(AJ$4,Preisindex,2,FALSE)/VLOOKUP(YEAR($F315),Preisindex,2,FALSE),2),0)))))</f>
        <v>0</v>
      </c>
      <c r="AK315" s="56">
        <f>IF(AND($E315&lt;&gt;0,$F315&gt;0,YEAR($F315)&lt;Preisindex!$A$6,YEAR(AE$4)&gt;=YEAR($F315),AND($K315&lt;&gt;"a",$K315&lt;&gt;"b",$K315&lt;&gt;"g",$K315&lt;&gt;"k")),1,IF(AND($E315&lt;&gt;0,$F315&gt;0,YEAR($F315)&lt;Preisindex!$A$6,YEAR(AE$4)&gt;=YEAR($F315),$K315="a"),ROUND(VLOOKUP(AJ$4,Preisindex,5,FALSE)/VLOOKUP(Preisindex!$A$6,Preisindex,5,FALSE),2),IF(AND($E315&lt;&gt;0,$F315&gt;0,YEAR($F315)&lt;Preisindex!$A$6,YEAR(AE$4)&gt;=YEAR($F315),$K315="b"),ROUND(VLOOKUP(AJ$4,Preisindex,3,FALSE)/VLOOKUP(Preisindex!$A$6,Preisindex,3,FALSE),2),IF(AND($E315&lt;&gt;0,$F315&gt;0,YEAR($F315)&lt;Preisindex!$A$6,YEAR(AE$4)&gt;=YEAR($F315),$K315="g"),ROUND(VLOOKUP(AJ$4,Preisindex,4,FALSE)/VLOOKUP(Preisindex!$A$6,Preisindex,4,FALSE),2),IF(AND($E315&lt;&gt;0,$F315&gt;0,YEAR($F315)&lt;Preisindex!$A$6,YEAR(AE$4)&gt;=YEAR($F315),$K315="k"),ROUND(VLOOKUP(AJ$4,Preisindex,2,FALSE)/VLOOKUP(Preisindex!$A$6,Preisindex,2,FALSE),2),0)))))</f>
        <v>0</v>
      </c>
      <c r="AL315" s="51">
        <f>IF(AND($E315&lt;&gt;0,$F315&gt;0,YEAR($F315)&lt;=AJ$4,YEAR($F315)&gt;=Preisindex!$A$6),ROUND($E315*AJ315,2),IF(AND($E315&lt;&gt;0,$F315&gt;0,YEAR($F315)&lt;=AJ$4,YEAR($F315)&lt;Preisindex!$A$6),ROUND($E315*AK315,2),0))</f>
        <v>0</v>
      </c>
      <c r="AM315" s="53">
        <f t="shared" si="838"/>
        <v>0</v>
      </c>
      <c r="AN315" s="51">
        <f t="shared" si="883"/>
        <v>0</v>
      </c>
      <c r="AO315" s="51">
        <f t="shared" si="841"/>
        <v>0</v>
      </c>
      <c r="AP315" s="51">
        <f t="shared" si="755"/>
        <v>0</v>
      </c>
      <c r="AQ315" s="51">
        <f t="shared" si="842"/>
        <v>0</v>
      </c>
      <c r="AR315" s="51">
        <f t="shared" si="756"/>
        <v>0</v>
      </c>
      <c r="AS315" s="51">
        <f t="shared" si="843"/>
        <v>0</v>
      </c>
      <c r="AT315" s="51">
        <f t="shared" si="757"/>
        <v>0</v>
      </c>
      <c r="AU315" s="51">
        <f t="shared" si="844"/>
        <v>0</v>
      </c>
      <c r="AV315" s="51">
        <f t="shared" si="758"/>
        <v>0</v>
      </c>
      <c r="AW315" s="51">
        <f t="shared" si="845"/>
        <v>0</v>
      </c>
      <c r="AX315" s="51">
        <f t="shared" si="759"/>
        <v>0</v>
      </c>
      <c r="AY315" s="54">
        <f t="shared" si="760"/>
        <v>0</v>
      </c>
      <c r="AZ315" s="55">
        <f t="shared" si="761"/>
        <v>0</v>
      </c>
      <c r="BA315" s="56">
        <f>IF(AND($E315&lt;&gt;0,$F315&gt;0,YEAR($F315)&gt;=Preisindex!$A$6,YEAR(AV$4)&gt;=YEAR($F315),AND($K315&lt;&gt;"a",$K315&lt;&gt;"b",$K315&lt;&gt;"g",$K315&lt;&gt;"k")),1,IF(AND($E315&lt;&gt;0,$F315&gt;0,YEAR($F315)&gt;=Preisindex!$A$6,YEAR(AV$4)&gt;=YEAR($F315),$K315="a"),ROUND(VLOOKUP(BA$4,Preisindex,5,FALSE)/VLOOKUP(YEAR($F315),Preisindex,5,FALSE),2),IF(AND($E315&lt;&gt;0,$F315&gt;0,YEAR($F315)&gt;=Preisindex!$A$6,YEAR(AV$4)&gt;=YEAR($F315),$K315="b"),ROUND(VLOOKUP(BA$4,Preisindex,3,FALSE)/VLOOKUP(YEAR($F315),Preisindex,3,FALSE),2),IF(AND($E315&lt;&gt;0,$F315&gt;0,YEAR($F315)&gt;=Preisindex!$A$6,YEAR(AV$4)&gt;=YEAR($F315),$K315="g"),ROUND(VLOOKUP(BA$4,Preisindex,4,FALSE)/VLOOKUP(YEAR($F315),Preisindex,4,FALSE),2),IF(AND($E315&lt;&gt;0,$F315&gt;0,YEAR($F315)&gt;=Preisindex!$A$6,YEAR(AV$4)&gt;=YEAR($F315),$K315="k"),ROUND(VLOOKUP(BA$4,Preisindex,2,FALSE)/VLOOKUP(YEAR($F315),Preisindex,2,FALSE),2),0)))))</f>
        <v>0</v>
      </c>
      <c r="BB315" s="56">
        <f>IF(AND($E315&lt;&gt;0,$F315&gt;0,YEAR($F315)&lt;Preisindex!$A$6,YEAR(AV$4)&gt;=YEAR($F315),AND($K315&lt;&gt;"a",$K315&lt;&gt;"b",$K315&lt;&gt;"g",$K315&lt;&gt;"k")),1,IF(AND($E315&lt;&gt;0,$F315&gt;0,YEAR($F315)&lt;Preisindex!$A$6,YEAR(AV$4)&gt;=YEAR($F315),$K315="a"),ROUND(VLOOKUP(BA$4,Preisindex,5,FALSE)/VLOOKUP(Preisindex!$A$6,Preisindex,5,FALSE),2),IF(AND($E315&lt;&gt;0,$F315&gt;0,YEAR($F315)&lt;Preisindex!$A$6,YEAR(AV$4)&gt;=YEAR($F315),$K315="b"),ROUND(VLOOKUP(BA$4,Preisindex,3,FALSE)/VLOOKUP(Preisindex!$A$6,Preisindex,3,FALSE),2),IF(AND($E315&lt;&gt;0,$F315&gt;0,YEAR($F315)&lt;Preisindex!$A$6,YEAR(AV$4)&gt;=YEAR($F315),$K315="g"),ROUND(VLOOKUP(BA$4,Preisindex,4,FALSE)/VLOOKUP(Preisindex!$A$6,Preisindex,4,FALSE),2),IF(AND($E315&lt;&gt;0,$F315&gt;0,YEAR($F315)&lt;Preisindex!$A$6,YEAR(AV$4)&gt;=YEAR($F315),$K315="k"),ROUND(VLOOKUP(BA$4,Preisindex,2,FALSE)/VLOOKUP(Preisindex!$A$6,Preisindex,2,FALSE),2),0)))))</f>
        <v>0</v>
      </c>
      <c r="BC315" s="51">
        <f>IF(AND($E315&lt;&gt;0,$F315&gt;0,YEAR($F315)&lt;=BA$4,YEAR($F315)&gt;=Preisindex!$A$6),ROUND($E315*BA315,2),IF(AND($E315&lt;&gt;0,$F315&gt;0,YEAR($F315)&lt;=BA$4,YEAR($F315)&lt;Preisindex!$A$6),ROUND($E315*BB315,2),0))</f>
        <v>0</v>
      </c>
      <c r="BD315" s="53">
        <f t="shared" si="762"/>
        <v>0</v>
      </c>
      <c r="BE315" s="51">
        <f t="shared" si="883"/>
        <v>0</v>
      </c>
      <c r="BF315" s="51">
        <f t="shared" si="846"/>
        <v>0</v>
      </c>
      <c r="BG315" s="51">
        <f t="shared" si="763"/>
        <v>0</v>
      </c>
      <c r="BH315" s="51">
        <f t="shared" si="847"/>
        <v>0</v>
      </c>
      <c r="BI315" s="51">
        <f t="shared" si="764"/>
        <v>0</v>
      </c>
      <c r="BJ315" s="51">
        <f t="shared" si="848"/>
        <v>0</v>
      </c>
      <c r="BK315" s="51">
        <f t="shared" si="765"/>
        <v>0</v>
      </c>
      <c r="BL315" s="51">
        <f t="shared" si="849"/>
        <v>0</v>
      </c>
      <c r="BM315" s="51">
        <f t="shared" si="766"/>
        <v>0</v>
      </c>
      <c r="BN315" s="51">
        <f t="shared" si="850"/>
        <v>0</v>
      </c>
      <c r="BO315" s="51">
        <f t="shared" si="767"/>
        <v>0</v>
      </c>
      <c r="BP315" s="54">
        <f t="shared" si="768"/>
        <v>0</v>
      </c>
      <c r="BQ315" s="55">
        <f t="shared" si="769"/>
        <v>0</v>
      </c>
      <c r="BR315" s="56">
        <f>IF(AND($E315&lt;&gt;0,$F315&gt;0,YEAR($F315)&gt;=Preisindex!$A$6,YEAR(BM$4)&gt;=YEAR($F315),AND($K315&lt;&gt;"a",$K315&lt;&gt;"b",$K315&lt;&gt;"g",$K315&lt;&gt;"k")),1,IF(AND($E315&lt;&gt;0,$F315&gt;0,YEAR($F315)&gt;=Preisindex!$A$6,YEAR(BM$4)&gt;=YEAR($F315),$K315="a"),ROUND(VLOOKUP(BR$4,Preisindex,5,FALSE)/VLOOKUP(YEAR($F315),Preisindex,5,FALSE),2),IF(AND($E315&lt;&gt;0,$F315&gt;0,YEAR($F315)&gt;=Preisindex!$A$6,YEAR(BM$4)&gt;=YEAR($F315),$K315="b"),ROUND(VLOOKUP(BR$4,Preisindex,3,FALSE)/VLOOKUP(YEAR($F315),Preisindex,3,FALSE),2),IF(AND($E315&lt;&gt;0,$F315&gt;0,YEAR($F315)&gt;=Preisindex!$A$6,YEAR(BM$4)&gt;=YEAR($F315),$K315="g"),ROUND(VLOOKUP(BR$4,Preisindex,4,FALSE)/VLOOKUP(YEAR($F315),Preisindex,4,FALSE),2),IF(AND($E315&lt;&gt;0,$F315&gt;0,YEAR($F315)&gt;=Preisindex!$A$6,YEAR(BM$4)&gt;=YEAR($F315),$K315="k"),ROUND(VLOOKUP(BR$4,Preisindex,2,FALSE)/VLOOKUP(YEAR($F315),Preisindex,2,FALSE),2),0)))))</f>
        <v>0</v>
      </c>
      <c r="BS315" s="56">
        <f>IF(AND($E315&lt;&gt;0,$F315&gt;0,YEAR($F315)&lt;Preisindex!$A$6,YEAR(BM$4)&gt;=YEAR($F315),AND($K315&lt;&gt;"a",$K315&lt;&gt;"b",$K315&lt;&gt;"g",$K315&lt;&gt;"k")),1,IF(AND($E315&lt;&gt;0,$F315&gt;0,YEAR($F315)&lt;Preisindex!$A$6,YEAR(BM$4)&gt;=YEAR($F315),$K315="a"),ROUND(VLOOKUP(BR$4,Preisindex,5,FALSE)/VLOOKUP(Preisindex!$A$6,Preisindex,5,FALSE),2),IF(AND($E315&lt;&gt;0,$F315&gt;0,YEAR($F315)&lt;Preisindex!$A$6,YEAR(BM$4)&gt;=YEAR($F315),$K315="b"),ROUND(VLOOKUP(BR$4,Preisindex,3,FALSE)/VLOOKUP(Preisindex!$A$6,Preisindex,3,FALSE),2),IF(AND($E315&lt;&gt;0,$F315&gt;0,YEAR($F315)&lt;Preisindex!$A$6,YEAR(BM$4)&gt;=YEAR($F315),$K315="g"),ROUND(VLOOKUP(BR$4,Preisindex,4,FALSE)/VLOOKUP(Preisindex!$A$6,Preisindex,4,FALSE),2),IF(AND($E315&lt;&gt;0,$F315&gt;0,YEAR($F315)&lt;Preisindex!$A$6,YEAR(BM$4)&gt;=YEAR($F315),$K315="k"),ROUND(VLOOKUP(BR$4,Preisindex,2,FALSE)/VLOOKUP(Preisindex!$A$6,Preisindex,2,FALSE),2),0)))))</f>
        <v>0</v>
      </c>
      <c r="BT315" s="51">
        <f>IF(AND($E315&lt;&gt;0,$F315&gt;0,YEAR($F315)&lt;=BR$4,YEAR($F315)&gt;=Preisindex!$A$6),ROUND($E315*BR315,2),IF(AND($E315&lt;&gt;0,$F315&gt;0,YEAR($F315)&lt;=BR$4,YEAR($F315)&lt;Preisindex!$A$6),ROUND($E315*BS315,2),0))</f>
        <v>0</v>
      </c>
      <c r="BU315" s="53">
        <f t="shared" si="770"/>
        <v>0</v>
      </c>
      <c r="BV315" s="51">
        <f t="shared" si="883"/>
        <v>0</v>
      </c>
      <c r="BW315" s="51">
        <f t="shared" si="851"/>
        <v>0</v>
      </c>
      <c r="BX315" s="51">
        <f t="shared" si="771"/>
        <v>0</v>
      </c>
      <c r="BY315" s="51">
        <f t="shared" si="852"/>
        <v>0</v>
      </c>
      <c r="BZ315" s="51">
        <f t="shared" si="772"/>
        <v>0</v>
      </c>
      <c r="CA315" s="51">
        <f t="shared" si="853"/>
        <v>0</v>
      </c>
      <c r="CB315" s="51">
        <f t="shared" si="773"/>
        <v>0</v>
      </c>
      <c r="CC315" s="51">
        <f t="shared" si="854"/>
        <v>0</v>
      </c>
      <c r="CD315" s="51">
        <f t="shared" si="774"/>
        <v>0</v>
      </c>
      <c r="CE315" s="51">
        <f t="shared" si="855"/>
        <v>0</v>
      </c>
      <c r="CF315" s="51">
        <f t="shared" si="775"/>
        <v>0</v>
      </c>
      <c r="CG315" s="54">
        <f t="shared" si="776"/>
        <v>0</v>
      </c>
      <c r="CH315" s="55">
        <f t="shared" si="777"/>
        <v>0</v>
      </c>
      <c r="CI315" s="56">
        <f>IF(AND($E315&lt;&gt;0,$F315&gt;0,YEAR($F315)&gt;=Preisindex!$A$6,YEAR(CD$4)&gt;=YEAR($F315),AND($K315&lt;&gt;"a",$K315&lt;&gt;"b",$K315&lt;&gt;"g",$K315&lt;&gt;"k")),1,IF(AND($E315&lt;&gt;0,$F315&gt;0,YEAR($F315)&gt;=Preisindex!$A$6,YEAR(CD$4)&gt;=YEAR($F315),$K315="a"),ROUND(VLOOKUP(CI$4,Preisindex,5,FALSE)/VLOOKUP(YEAR($F315),Preisindex,5,FALSE),2),IF(AND($E315&lt;&gt;0,$F315&gt;0,YEAR($F315)&gt;=Preisindex!$A$6,YEAR(CD$4)&gt;=YEAR($F315),$K315="b"),ROUND(VLOOKUP(CI$4,Preisindex,3,FALSE)/VLOOKUP(YEAR($F315),Preisindex,3,FALSE),2),IF(AND($E315&lt;&gt;0,$F315&gt;0,YEAR($F315)&gt;=Preisindex!$A$6,YEAR(CD$4)&gt;=YEAR($F315),$K315="g"),ROUND(VLOOKUP(CI$4,Preisindex,4,FALSE)/VLOOKUP(YEAR($F315),Preisindex,4,FALSE),2),IF(AND($E315&lt;&gt;0,$F315&gt;0,YEAR($F315)&gt;=Preisindex!$A$6,YEAR(CD$4)&gt;=YEAR($F315),$K315="k"),ROUND(VLOOKUP(CI$4,Preisindex,2,FALSE)/VLOOKUP(YEAR($F315),Preisindex,2,FALSE),2),0)))))</f>
        <v>0</v>
      </c>
      <c r="CJ315" s="56">
        <f>IF(AND($E315&lt;&gt;0,$F315&gt;0,YEAR($F315)&lt;Preisindex!$A$6,YEAR(CD$4)&gt;=YEAR($F315),AND($K315&lt;&gt;"a",$K315&lt;&gt;"b",$K315&lt;&gt;"g",$K315&lt;&gt;"k")),1,IF(AND($E315&lt;&gt;0,$F315&gt;0,YEAR($F315)&lt;Preisindex!$A$6,YEAR(CD$4)&gt;=YEAR($F315),$K315="a"),ROUND(VLOOKUP(CI$4,Preisindex,5,FALSE)/VLOOKUP(Preisindex!$A$6,Preisindex,5,FALSE),2),IF(AND($E315&lt;&gt;0,$F315&gt;0,YEAR($F315)&lt;Preisindex!$A$6,YEAR(CD$4)&gt;=YEAR($F315),$K315="b"),ROUND(VLOOKUP(CI$4,Preisindex,3,FALSE)/VLOOKUP(Preisindex!$A$6,Preisindex,3,FALSE),2),IF(AND($E315&lt;&gt;0,$F315&gt;0,YEAR($F315)&lt;Preisindex!$A$6,YEAR(CD$4)&gt;=YEAR($F315),$K315="g"),ROUND(VLOOKUP(CI$4,Preisindex,4,FALSE)/VLOOKUP(Preisindex!$A$6,Preisindex,4,FALSE),2),IF(AND($E315&lt;&gt;0,$F315&gt;0,YEAR($F315)&lt;Preisindex!$A$6,YEAR(CD$4)&gt;=YEAR($F315),$K315="k"),ROUND(VLOOKUP(CI$4,Preisindex,2,FALSE)/VLOOKUP(Preisindex!$A$6,Preisindex,2,FALSE),2),0)))))</f>
        <v>0</v>
      </c>
      <c r="CK315" s="51">
        <f>IF(AND($E315&lt;&gt;0,$F315&gt;0,YEAR($F315)&lt;=CI$4,YEAR($F315)&gt;=Preisindex!$A$6),ROUND($E315*CI315,2),IF(AND($E315&lt;&gt;0,$F315&gt;0,YEAR($F315)&lt;=CI$4,YEAR($F315)&lt;Preisindex!$A$6),ROUND($E315*CJ315,2),0))</f>
        <v>0</v>
      </c>
      <c r="CL315" s="53">
        <f t="shared" si="778"/>
        <v>0</v>
      </c>
      <c r="CM315" s="51">
        <f t="shared" si="883"/>
        <v>0</v>
      </c>
      <c r="CN315" s="51">
        <f t="shared" si="856"/>
        <v>0</v>
      </c>
      <c r="CO315" s="51">
        <f t="shared" si="779"/>
        <v>0</v>
      </c>
      <c r="CP315" s="51">
        <f t="shared" si="857"/>
        <v>0</v>
      </c>
      <c r="CQ315" s="51">
        <f t="shared" si="780"/>
        <v>0</v>
      </c>
      <c r="CR315" s="51">
        <f t="shared" si="858"/>
        <v>0</v>
      </c>
      <c r="CS315" s="51">
        <f t="shared" si="781"/>
        <v>0</v>
      </c>
      <c r="CT315" s="51">
        <f t="shared" si="859"/>
        <v>0</v>
      </c>
      <c r="CU315" s="51">
        <f t="shared" si="782"/>
        <v>0</v>
      </c>
      <c r="CV315" s="51">
        <f t="shared" si="860"/>
        <v>0</v>
      </c>
      <c r="CW315" s="51">
        <f t="shared" si="783"/>
        <v>0</v>
      </c>
      <c r="CX315" s="54">
        <f t="shared" si="784"/>
        <v>0</v>
      </c>
      <c r="CY315" s="55">
        <f t="shared" si="785"/>
        <v>0</v>
      </c>
      <c r="CZ315" s="56">
        <f>IF(AND($E315&lt;&gt;0,$F315&gt;0,YEAR($F315)&gt;=Preisindex!$A$6,YEAR(CU$4)&gt;=YEAR($F315),AND($K315&lt;&gt;"a",$K315&lt;&gt;"b",$K315&lt;&gt;"g",$K315&lt;&gt;"k")),1,IF(AND($E315&lt;&gt;0,$F315&gt;0,YEAR($F315)&gt;=Preisindex!$A$6,YEAR(CU$4)&gt;=YEAR($F315),$K315="a"),ROUND(VLOOKUP(CZ$4,Preisindex,5,FALSE)/VLOOKUP(YEAR($F315),Preisindex,5,FALSE),2),IF(AND($E315&lt;&gt;0,$F315&gt;0,YEAR($F315)&gt;=Preisindex!$A$6,YEAR(CU$4)&gt;=YEAR($F315),$K315="b"),ROUND(VLOOKUP(CZ$4,Preisindex,3,FALSE)/VLOOKUP(YEAR($F315),Preisindex,3,FALSE),2),IF(AND($E315&lt;&gt;0,$F315&gt;0,YEAR($F315)&gt;=Preisindex!$A$6,YEAR(CU$4)&gt;=YEAR($F315),$K315="g"),ROUND(VLOOKUP(CZ$4,Preisindex,4,FALSE)/VLOOKUP(YEAR($F315),Preisindex,4,FALSE),2),IF(AND($E315&lt;&gt;0,$F315&gt;0,YEAR($F315)&gt;=Preisindex!$A$6,YEAR(CU$4)&gt;=YEAR($F315),$K315="k"),ROUND(VLOOKUP(CZ$4,Preisindex,2,FALSE)/VLOOKUP(YEAR($F315),Preisindex,2,FALSE),2),0)))))</f>
        <v>0</v>
      </c>
      <c r="DA315" s="56">
        <f>IF(AND($E315&lt;&gt;0,$F315&gt;0,YEAR($F315)&lt;Preisindex!$A$6,YEAR(CU$4)&gt;=YEAR($F315),AND($K315&lt;&gt;"a",$K315&lt;&gt;"b",$K315&lt;&gt;"g",$K315&lt;&gt;"k")),1,IF(AND($E315&lt;&gt;0,$F315&gt;0,YEAR($F315)&lt;Preisindex!$A$6,YEAR(CU$4)&gt;=YEAR($F315),$K315="a"),ROUND(VLOOKUP(CZ$4,Preisindex,5,FALSE)/VLOOKUP(Preisindex!$A$6,Preisindex,5,FALSE),2),IF(AND($E315&lt;&gt;0,$F315&gt;0,YEAR($F315)&lt;Preisindex!$A$6,YEAR(CU$4)&gt;=YEAR($F315),$K315="b"),ROUND(VLOOKUP(CZ$4,Preisindex,3,FALSE)/VLOOKUP(Preisindex!$A$6,Preisindex,3,FALSE),2),IF(AND($E315&lt;&gt;0,$F315&gt;0,YEAR($F315)&lt;Preisindex!$A$6,YEAR(CU$4)&gt;=YEAR($F315),$K315="g"),ROUND(VLOOKUP(CZ$4,Preisindex,4,FALSE)/VLOOKUP(Preisindex!$A$6,Preisindex,4,FALSE),2),IF(AND($E315&lt;&gt;0,$F315&gt;0,YEAR($F315)&lt;Preisindex!$A$6,YEAR(CU$4)&gt;=YEAR($F315),$K315="k"),ROUND(VLOOKUP(CZ$4,Preisindex,2,FALSE)/VLOOKUP(Preisindex!$A$6,Preisindex,2,FALSE),2),0)))))</f>
        <v>0</v>
      </c>
      <c r="DB315" s="51">
        <f>IF(AND($E315&lt;&gt;0,$F315&gt;0,YEAR($F315)&lt;=CZ$4,YEAR($F315)&gt;=Preisindex!$A$6),ROUND($E315*CZ315,2),IF(AND($E315&lt;&gt;0,$F315&gt;0,YEAR($F315)&lt;=CZ$4,YEAR($F315)&lt;Preisindex!$A$6),ROUND($E315*DA315,2),0))</f>
        <v>0</v>
      </c>
      <c r="DC315" s="53">
        <f t="shared" si="786"/>
        <v>0</v>
      </c>
      <c r="DD315" s="51">
        <f t="shared" si="884"/>
        <v>0</v>
      </c>
      <c r="DE315" s="51">
        <f t="shared" si="861"/>
        <v>0</v>
      </c>
      <c r="DF315" s="51">
        <f t="shared" si="788"/>
        <v>0</v>
      </c>
      <c r="DG315" s="51">
        <f t="shared" si="862"/>
        <v>0</v>
      </c>
      <c r="DH315" s="51">
        <f t="shared" si="789"/>
        <v>0</v>
      </c>
      <c r="DI315" s="51">
        <f t="shared" si="863"/>
        <v>0</v>
      </c>
      <c r="DJ315" s="51">
        <f t="shared" si="790"/>
        <v>0</v>
      </c>
      <c r="DK315" s="51">
        <f t="shared" si="864"/>
        <v>0</v>
      </c>
      <c r="DL315" s="51">
        <f t="shared" si="791"/>
        <v>0</v>
      </c>
      <c r="DM315" s="51">
        <f t="shared" si="865"/>
        <v>0</v>
      </c>
      <c r="DN315" s="51">
        <f t="shared" si="792"/>
        <v>0</v>
      </c>
      <c r="DO315" s="54">
        <f t="shared" si="793"/>
        <v>0</v>
      </c>
      <c r="DP315" s="55">
        <f t="shared" si="794"/>
        <v>0</v>
      </c>
      <c r="DQ315" s="56">
        <f>IF(AND($E315&lt;&gt;0,$F315&gt;0,YEAR($F315)&gt;=Preisindex!$A$6,YEAR(DL$4)&gt;=YEAR($F315),AND($K315&lt;&gt;"a",$K315&lt;&gt;"b",$K315&lt;&gt;"g",$K315&lt;&gt;"k")),1,IF(AND($E315&lt;&gt;0,$F315&gt;0,YEAR($F315)&gt;=Preisindex!$A$6,YEAR(DL$4)&gt;=YEAR($F315),$K315="a"),ROUND(VLOOKUP(DQ$4,Preisindex,5,FALSE)/VLOOKUP(YEAR($F315),Preisindex,5,FALSE),2),IF(AND($E315&lt;&gt;0,$F315&gt;0,YEAR($F315)&gt;=Preisindex!$A$6,YEAR(DL$4)&gt;=YEAR($F315),$K315="b"),ROUND(VLOOKUP(DQ$4,Preisindex,3,FALSE)/VLOOKUP(YEAR($F315),Preisindex,3,FALSE),2),IF(AND($E315&lt;&gt;0,$F315&gt;0,YEAR($F315)&gt;=Preisindex!$A$6,YEAR(DL$4)&gt;=YEAR($F315),$K315="g"),ROUND(VLOOKUP(DQ$4,Preisindex,4,FALSE)/VLOOKUP(YEAR($F315),Preisindex,4,FALSE),2),IF(AND($E315&lt;&gt;0,$F315&gt;0,YEAR($F315)&gt;=Preisindex!$A$6,YEAR(DL$4)&gt;=YEAR($F315),$K315="k"),ROUND(VLOOKUP(DQ$4,Preisindex,2,FALSE)/VLOOKUP(YEAR($F315),Preisindex,2,FALSE),2),0)))))</f>
        <v>0</v>
      </c>
      <c r="DR315" s="56">
        <f>IF(AND($E315&lt;&gt;0,$F315&gt;0,YEAR($F315)&lt;Preisindex!$A$6,YEAR(DL$4)&gt;=YEAR($F315),AND($K315&lt;&gt;"a",$K315&lt;&gt;"b",$K315&lt;&gt;"g",$K315&lt;&gt;"k")),1,IF(AND($E315&lt;&gt;0,$F315&gt;0,YEAR($F315)&lt;Preisindex!$A$6,YEAR(DL$4)&gt;=YEAR($F315),$K315="a"),ROUND(VLOOKUP(DQ$4,Preisindex,5,FALSE)/VLOOKUP(Preisindex!$A$6,Preisindex,5,FALSE),2),IF(AND($E315&lt;&gt;0,$F315&gt;0,YEAR($F315)&lt;Preisindex!$A$6,YEAR(DL$4)&gt;=YEAR($F315),$K315="b"),ROUND(VLOOKUP(DQ$4,Preisindex,3,FALSE)/VLOOKUP(Preisindex!$A$6,Preisindex,3,FALSE),2),IF(AND($E315&lt;&gt;0,$F315&gt;0,YEAR($F315)&lt;Preisindex!$A$6,YEAR(DL$4)&gt;=YEAR($F315),$K315="g"),ROUND(VLOOKUP(DQ$4,Preisindex,4,FALSE)/VLOOKUP(Preisindex!$A$6,Preisindex,4,FALSE),2),IF(AND($E315&lt;&gt;0,$F315&gt;0,YEAR($F315)&lt;Preisindex!$A$6,YEAR(DL$4)&gt;=YEAR($F315),$K315="k"),ROUND(VLOOKUP(DQ$4,Preisindex,2,FALSE)/VLOOKUP(Preisindex!$A$6,Preisindex,2,FALSE),2),0)))))</f>
        <v>0</v>
      </c>
      <c r="DS315" s="51">
        <f>IF(AND($E315&lt;&gt;0,$F315&gt;0,YEAR($F315)&lt;=DQ$4,YEAR($F315)&gt;=Preisindex!$A$6),ROUND($E315*DQ315,2),IF(AND($E315&lt;&gt;0,$F315&gt;0,YEAR($F315)&lt;=DQ$4,YEAR($F315)&lt;Preisindex!$A$6),ROUND($E315*DR315,2),0))</f>
        <v>0</v>
      </c>
      <c r="DT315" s="53">
        <f t="shared" si="795"/>
        <v>0</v>
      </c>
      <c r="DU315" s="51">
        <f t="shared" si="884"/>
        <v>0</v>
      </c>
      <c r="DV315" s="51">
        <f t="shared" si="866"/>
        <v>0</v>
      </c>
      <c r="DW315" s="51">
        <f t="shared" si="796"/>
        <v>0</v>
      </c>
      <c r="DX315" s="51">
        <f t="shared" si="867"/>
        <v>0</v>
      </c>
      <c r="DY315" s="51">
        <f t="shared" si="797"/>
        <v>0</v>
      </c>
      <c r="DZ315" s="51">
        <f t="shared" si="868"/>
        <v>0</v>
      </c>
      <c r="EA315" s="51">
        <f t="shared" si="798"/>
        <v>0</v>
      </c>
      <c r="EB315" s="51">
        <f t="shared" si="869"/>
        <v>0</v>
      </c>
      <c r="EC315" s="51">
        <f t="shared" si="799"/>
        <v>0</v>
      </c>
      <c r="ED315" s="51">
        <f t="shared" si="870"/>
        <v>0</v>
      </c>
      <c r="EE315" s="51">
        <f t="shared" si="800"/>
        <v>0</v>
      </c>
      <c r="EF315" s="54">
        <f t="shared" si="801"/>
        <v>0</v>
      </c>
      <c r="EG315" s="55">
        <f t="shared" si="802"/>
        <v>0</v>
      </c>
      <c r="EH315" s="56">
        <f>IF(AND($E315&lt;&gt;0,$F315&gt;0,YEAR($F315)&gt;=Preisindex!$A$6,YEAR(EC$4)&gt;=YEAR($F315),AND($K315&lt;&gt;"a",$K315&lt;&gt;"b",$K315&lt;&gt;"g",$K315&lt;&gt;"k")),1,IF(AND($E315&lt;&gt;0,$F315&gt;0,YEAR($F315)&gt;=Preisindex!$A$6,YEAR(EC$4)&gt;=YEAR($F315),$K315="a"),ROUND(VLOOKUP(EH$4,Preisindex,5,FALSE)/VLOOKUP(YEAR($F315),Preisindex,5,FALSE),2),IF(AND($E315&lt;&gt;0,$F315&gt;0,YEAR($F315)&gt;=Preisindex!$A$6,YEAR(EC$4)&gt;=YEAR($F315),$K315="b"),ROUND(VLOOKUP(EH$4,Preisindex,3,FALSE)/VLOOKUP(YEAR($F315),Preisindex,3,FALSE),2),IF(AND($E315&lt;&gt;0,$F315&gt;0,YEAR($F315)&gt;=Preisindex!$A$6,YEAR(EC$4)&gt;=YEAR($F315),$K315="g"),ROUND(VLOOKUP(EH$4,Preisindex,4,FALSE)/VLOOKUP(YEAR($F315),Preisindex,4,FALSE),2),IF(AND($E315&lt;&gt;0,$F315&gt;0,YEAR($F315)&gt;=Preisindex!$A$6,YEAR(EC$4)&gt;=YEAR($F315),$K315="k"),ROUND(VLOOKUP(EH$4,Preisindex,2,FALSE)/VLOOKUP(YEAR($F315),Preisindex,2,FALSE),2),0)))))</f>
        <v>0</v>
      </c>
      <c r="EI315" s="56">
        <f>IF(AND($E315&lt;&gt;0,$F315&gt;0,YEAR($F315)&lt;Preisindex!$A$6,YEAR(EC$4)&gt;=YEAR($F315),AND($K315&lt;&gt;"a",$K315&lt;&gt;"b",$K315&lt;&gt;"g",$K315&lt;&gt;"k")),1,IF(AND($E315&lt;&gt;0,$F315&gt;0,YEAR($F315)&lt;Preisindex!$A$6,YEAR(EC$4)&gt;=YEAR($F315),$K315="a"),ROUND(VLOOKUP(EH$4,Preisindex,5,FALSE)/VLOOKUP(Preisindex!$A$6,Preisindex,5,FALSE),2),IF(AND($E315&lt;&gt;0,$F315&gt;0,YEAR($F315)&lt;Preisindex!$A$6,YEAR(EC$4)&gt;=YEAR($F315),$K315="b"),ROUND(VLOOKUP(EH$4,Preisindex,3,FALSE)/VLOOKUP(Preisindex!$A$6,Preisindex,3,FALSE),2),IF(AND($E315&lt;&gt;0,$F315&gt;0,YEAR($F315)&lt;Preisindex!$A$6,YEAR(EC$4)&gt;=YEAR($F315),$K315="g"),ROUND(VLOOKUP(EH$4,Preisindex,4,FALSE)/VLOOKUP(Preisindex!$A$6,Preisindex,4,FALSE),2),IF(AND($E315&lt;&gt;0,$F315&gt;0,YEAR($F315)&lt;Preisindex!$A$6,YEAR(EC$4)&gt;=YEAR($F315),$K315="k"),ROUND(VLOOKUP(EH$4,Preisindex,2,FALSE)/VLOOKUP(Preisindex!$A$6,Preisindex,2,FALSE),2),0)))))</f>
        <v>0</v>
      </c>
      <c r="EJ315" s="51">
        <f>IF(AND($E315&lt;&gt;0,$F315&gt;0,YEAR($F315)&lt;=EH$4,YEAR($F315)&gt;=Preisindex!$A$6),ROUND($E315*EH315,2),IF(AND($E315&lt;&gt;0,$F315&gt;0,YEAR($F315)&lt;=EH$4,YEAR($F315)&lt;Preisindex!$A$6),ROUND($E315*EI315,2),0))</f>
        <v>0</v>
      </c>
      <c r="EK315" s="53">
        <f t="shared" si="803"/>
        <v>0</v>
      </c>
      <c r="EL315" s="51">
        <f t="shared" si="884"/>
        <v>0</v>
      </c>
      <c r="EM315" s="51">
        <f t="shared" si="871"/>
        <v>0</v>
      </c>
      <c r="EN315" s="51">
        <f t="shared" si="804"/>
        <v>0</v>
      </c>
      <c r="EO315" s="51">
        <f t="shared" si="872"/>
        <v>0</v>
      </c>
      <c r="EP315" s="51">
        <f t="shared" si="805"/>
        <v>0</v>
      </c>
      <c r="EQ315" s="51">
        <f t="shared" si="873"/>
        <v>0</v>
      </c>
      <c r="ER315" s="51">
        <f t="shared" si="806"/>
        <v>0</v>
      </c>
      <c r="ES315" s="51">
        <f t="shared" si="874"/>
        <v>0</v>
      </c>
      <c r="ET315" s="51">
        <f t="shared" si="807"/>
        <v>0</v>
      </c>
      <c r="EU315" s="51">
        <f t="shared" si="875"/>
        <v>0</v>
      </c>
      <c r="EV315" s="51">
        <f t="shared" si="808"/>
        <v>0</v>
      </c>
      <c r="EW315" s="54">
        <f t="shared" si="809"/>
        <v>0</v>
      </c>
      <c r="EX315" s="55">
        <f t="shared" si="810"/>
        <v>0</v>
      </c>
      <c r="EY315" s="56">
        <f>IF(AND($E315&lt;&gt;0,$F315&gt;0,YEAR($F315)&gt;=Preisindex!$A$6,YEAR(ET$4)&gt;=YEAR($F315),AND($K315&lt;&gt;"a",$K315&lt;&gt;"b",$K315&lt;&gt;"g",$K315&lt;&gt;"k")),1,IF(AND($E315&lt;&gt;0,$F315&gt;0,YEAR($F315)&gt;=Preisindex!$A$6,YEAR(ET$4)&gt;=YEAR($F315),$K315="a"),ROUND(VLOOKUP(EY$4,Preisindex,5,FALSE)/VLOOKUP(YEAR($F315),Preisindex,5,FALSE),2),IF(AND($E315&lt;&gt;0,$F315&gt;0,YEAR($F315)&gt;=Preisindex!$A$6,YEAR(ET$4)&gt;=YEAR($F315),$K315="b"),ROUND(VLOOKUP(EY$4,Preisindex,3,FALSE)/VLOOKUP(YEAR($F315),Preisindex,3,FALSE),2),IF(AND($E315&lt;&gt;0,$F315&gt;0,YEAR($F315)&gt;=Preisindex!$A$6,YEAR(ET$4)&gt;=YEAR($F315),$K315="g"),ROUND(VLOOKUP(EY$4,Preisindex,4,FALSE)/VLOOKUP(YEAR($F315),Preisindex,4,FALSE),2),IF(AND($E315&lt;&gt;0,$F315&gt;0,YEAR($F315)&gt;=Preisindex!$A$6,YEAR(ET$4)&gt;=YEAR($F315),$K315="k"),ROUND(VLOOKUP(EY$4,Preisindex,2,FALSE)/VLOOKUP(YEAR($F315),Preisindex,2,FALSE),2),0)))))</f>
        <v>0</v>
      </c>
      <c r="EZ315" s="56">
        <f>IF(AND($E315&lt;&gt;0,$F315&gt;0,YEAR($F315)&lt;Preisindex!$A$6,YEAR(ET$4)&gt;=YEAR($F315),AND($K315&lt;&gt;"a",$K315&lt;&gt;"b",$K315&lt;&gt;"g",$K315&lt;&gt;"k")),1,IF(AND($E315&lt;&gt;0,$F315&gt;0,YEAR($F315)&lt;Preisindex!$A$6,YEAR(ET$4)&gt;=YEAR($F315),$K315="a"),ROUND(VLOOKUP(EY$4,Preisindex,5,FALSE)/VLOOKUP(Preisindex!$A$6,Preisindex,5,FALSE),2),IF(AND($E315&lt;&gt;0,$F315&gt;0,YEAR($F315)&lt;Preisindex!$A$6,YEAR(ET$4)&gt;=YEAR($F315),$K315="b"),ROUND(VLOOKUP(EY$4,Preisindex,3,FALSE)/VLOOKUP(Preisindex!$A$6,Preisindex,3,FALSE),2),IF(AND($E315&lt;&gt;0,$F315&gt;0,YEAR($F315)&lt;Preisindex!$A$6,YEAR(ET$4)&gt;=YEAR($F315),$K315="g"),ROUND(VLOOKUP(EY$4,Preisindex,4,FALSE)/VLOOKUP(Preisindex!$A$6,Preisindex,4,FALSE),2),IF(AND($E315&lt;&gt;0,$F315&gt;0,YEAR($F315)&lt;Preisindex!$A$6,YEAR(ET$4)&gt;=YEAR($F315),$K315="k"),ROUND(VLOOKUP(EY$4,Preisindex,2,FALSE)/VLOOKUP(Preisindex!$A$6,Preisindex,2,FALSE),2),0)))))</f>
        <v>0</v>
      </c>
      <c r="FA315" s="51">
        <f>IF(AND($E315&lt;&gt;0,$F315&gt;0,YEAR($F315)&lt;=EY$4,YEAR($F315)&gt;=Preisindex!$A$6),ROUND($E315*EY315,2),IF(AND($E315&lt;&gt;0,$F315&gt;0,YEAR($F315)&lt;=EY$4,YEAR($F315)&lt;Preisindex!$A$6),ROUND($E315*EZ315,2),0))</f>
        <v>0</v>
      </c>
      <c r="FB315" s="53">
        <f t="shared" si="811"/>
        <v>0</v>
      </c>
      <c r="FC315" s="51">
        <f t="shared" si="884"/>
        <v>0</v>
      </c>
      <c r="FD315" s="51">
        <f t="shared" si="876"/>
        <v>0</v>
      </c>
      <c r="FE315" s="51">
        <f t="shared" si="812"/>
        <v>0</v>
      </c>
      <c r="FF315" s="51">
        <f t="shared" si="877"/>
        <v>0</v>
      </c>
      <c r="FG315" s="51">
        <f t="shared" si="813"/>
        <v>0</v>
      </c>
      <c r="FH315" s="51">
        <f t="shared" si="878"/>
        <v>0</v>
      </c>
      <c r="FI315" s="51">
        <f t="shared" si="814"/>
        <v>0</v>
      </c>
      <c r="FJ315" s="51">
        <f t="shared" si="879"/>
        <v>0</v>
      </c>
      <c r="FK315" s="51">
        <f t="shared" si="815"/>
        <v>0</v>
      </c>
      <c r="FL315" s="51">
        <f t="shared" si="880"/>
        <v>0</v>
      </c>
      <c r="FM315" s="51">
        <f t="shared" si="816"/>
        <v>0</v>
      </c>
      <c r="FN315" s="54">
        <f t="shared" si="817"/>
        <v>0</v>
      </c>
      <c r="FO315" s="55">
        <f t="shared" si="818"/>
        <v>0</v>
      </c>
      <c r="FP315" s="56">
        <f>IF(AND($E315&lt;&gt;0,$F315&gt;0,YEAR($F315)&gt;=Preisindex!$A$6,YEAR(FK$4)&gt;=YEAR($F315),AND($K315&lt;&gt;"a",$K315&lt;&gt;"b",$K315&lt;&gt;"g",$K315&lt;&gt;"k")),1,IF(AND($E315&lt;&gt;0,$F315&gt;0,YEAR($F315)&gt;=Preisindex!$A$6,YEAR(FK$4)&gt;=YEAR($F315),$K315="a"),ROUND(VLOOKUP(FP$4,Preisindex,5,FALSE)/VLOOKUP(YEAR($F315),Preisindex,5,FALSE),2),IF(AND($E315&lt;&gt;0,$F315&gt;0,YEAR($F315)&gt;=Preisindex!$A$6,YEAR(FK$4)&gt;=YEAR($F315),$K315="b"),ROUND(VLOOKUP(FP$4,Preisindex,3,FALSE)/VLOOKUP(YEAR($F315),Preisindex,3,FALSE),2),IF(AND($E315&lt;&gt;0,$F315&gt;0,YEAR($F315)&gt;=Preisindex!$A$6,YEAR(FK$4)&gt;=YEAR($F315),$K315="g"),ROUND(VLOOKUP(FP$4,Preisindex,4,FALSE)/VLOOKUP(YEAR($F315),Preisindex,4,FALSE),2),IF(AND($E315&lt;&gt;0,$F315&gt;0,YEAR($F315)&gt;=Preisindex!$A$6,YEAR(FK$4)&gt;=YEAR($F315),$K315="k"),ROUND(VLOOKUP(FP$4,Preisindex,2,FALSE)/VLOOKUP(YEAR($F315),Preisindex,2,FALSE),2),0)))))</f>
        <v>0</v>
      </c>
      <c r="FQ315" s="56">
        <f>IF(AND($E315&lt;&gt;0,$F315&gt;0,YEAR($F315)&lt;Preisindex!$A$6,YEAR(FK$4)&gt;=YEAR($F315),AND($K315&lt;&gt;"a",$K315&lt;&gt;"b",$K315&lt;&gt;"g",$K315&lt;&gt;"k")),1,IF(AND($E315&lt;&gt;0,$F315&gt;0,YEAR($F315)&lt;Preisindex!$A$6,YEAR(FK$4)&gt;=YEAR($F315),$K315="a"),ROUND(VLOOKUP(FP$4,Preisindex,5,FALSE)/VLOOKUP(Preisindex!$A$6,Preisindex,5,FALSE),2),IF(AND($E315&lt;&gt;0,$F315&gt;0,YEAR($F315)&lt;Preisindex!$A$6,YEAR(FK$4)&gt;=YEAR($F315),$K315="b"),ROUND(VLOOKUP(FP$4,Preisindex,3,FALSE)/VLOOKUP(Preisindex!$A$6,Preisindex,3,FALSE),2),IF(AND($E315&lt;&gt;0,$F315&gt;0,YEAR($F315)&lt;Preisindex!$A$6,YEAR(FK$4)&gt;=YEAR($F315),$K315="g"),ROUND(VLOOKUP(FP$4,Preisindex,4,FALSE)/VLOOKUP(Preisindex!$A$6,Preisindex,4,FALSE),2),IF(AND($E315&lt;&gt;0,$F315&gt;0,YEAR($F315)&lt;Preisindex!$A$6,YEAR(FK$4)&gt;=YEAR($F315),$K315="k"),ROUND(VLOOKUP(FP$4,Preisindex,2,FALSE)/VLOOKUP(Preisindex!$A$6,Preisindex,2,FALSE),2),0)))))</f>
        <v>0</v>
      </c>
      <c r="FR315" s="51">
        <f>IF(AND($E315&lt;&gt;0,$F315&gt;0,YEAR($F315)&lt;=FP$4,YEAR($F315)&gt;=Preisindex!$A$6),ROUND($E315*FP315,2),IF(AND($E315&lt;&gt;0,$F315&gt;0,YEAR($F315)&lt;=FP$4,YEAR($F315)&lt;Preisindex!$A$6),ROUND($E315*FQ315,2),0))</f>
        <v>0</v>
      </c>
      <c r="FS315" s="53">
        <f t="shared" si="819"/>
        <v>0</v>
      </c>
    </row>
    <row r="316" spans="1:175" x14ac:dyDescent="0.3">
      <c r="A316" s="185"/>
      <c r="B316" s="186"/>
      <c r="C316" s="187"/>
      <c r="D316" s="188"/>
      <c r="E316" s="189"/>
      <c r="F316" s="190"/>
      <c r="G316" s="191"/>
      <c r="H316" s="192"/>
      <c r="I316" s="193"/>
      <c r="J316" s="194"/>
      <c r="K316" s="630"/>
      <c r="L316" s="49">
        <f t="shared" si="820"/>
        <v>0</v>
      </c>
      <c r="M316" s="50">
        <f t="shared" si="821"/>
        <v>0</v>
      </c>
      <c r="N316" s="51">
        <f t="shared" si="822"/>
        <v>0</v>
      </c>
      <c r="O316" s="51"/>
      <c r="P316" s="51">
        <f t="shared" si="823"/>
        <v>0</v>
      </c>
      <c r="Q316" s="52"/>
      <c r="R316" s="52"/>
      <c r="S316" s="52"/>
      <c r="T316" s="52"/>
      <c r="U316" s="52"/>
      <c r="V316" s="53">
        <f t="shared" si="824"/>
        <v>0</v>
      </c>
      <c r="W316" s="51">
        <f t="shared" si="825"/>
        <v>0</v>
      </c>
      <c r="X316" s="51">
        <f t="shared" si="826"/>
        <v>0</v>
      </c>
      <c r="Y316" s="51">
        <f t="shared" si="827"/>
        <v>0</v>
      </c>
      <c r="Z316" s="51">
        <f t="shared" si="828"/>
        <v>0</v>
      </c>
      <c r="AA316" s="51">
        <f t="shared" si="829"/>
        <v>0</v>
      </c>
      <c r="AB316" s="51">
        <f t="shared" si="830"/>
        <v>0</v>
      </c>
      <c r="AC316" s="51">
        <f t="shared" si="831"/>
        <v>0</v>
      </c>
      <c r="AD316" s="51">
        <f t="shared" si="832"/>
        <v>0</v>
      </c>
      <c r="AE316" s="51">
        <f t="shared" si="833"/>
        <v>0</v>
      </c>
      <c r="AF316" s="51">
        <f t="shared" si="834"/>
        <v>0</v>
      </c>
      <c r="AG316" s="51">
        <f t="shared" si="835"/>
        <v>0</v>
      </c>
      <c r="AH316" s="54">
        <f t="shared" si="836"/>
        <v>0</v>
      </c>
      <c r="AI316" s="55">
        <f t="shared" si="837"/>
        <v>0</v>
      </c>
      <c r="AJ316" s="56">
        <f>IF(AND($E316&lt;&gt;0,$F316&gt;0,YEAR($F316)&gt;=Preisindex!$A$6,YEAR(AE$4)&gt;=YEAR($F316),AND($K316&lt;&gt;"a",$K316&lt;&gt;"b",$K316&lt;&gt;"g",$K316&lt;&gt;"k")),1,IF(AND($E316&lt;&gt;0,$F316&gt;0,YEAR($F316)&gt;=Preisindex!$A$6,YEAR(AE$4)&gt;=YEAR($F316),$K316="a"),ROUND(VLOOKUP(AJ$4,Preisindex,5,FALSE)/VLOOKUP(YEAR($F316),Preisindex,5,FALSE),2),IF(AND($E316&lt;&gt;0,$F316&gt;0,YEAR($F316)&gt;=Preisindex!$A$6,YEAR(AE$4)&gt;=YEAR($F316),$K316="b"),ROUND(VLOOKUP(AJ$4,Preisindex,3,FALSE)/VLOOKUP(YEAR($F316),Preisindex,3,FALSE),2),IF(AND($E316&lt;&gt;0,$F316&gt;0,YEAR($F316)&gt;=Preisindex!$A$6,YEAR(AE$4)&gt;=YEAR($F316),$K316="g"),ROUND(VLOOKUP(AJ$4,Preisindex,4,FALSE)/VLOOKUP(YEAR($F316),Preisindex,4,FALSE),2),IF(AND($E316&lt;&gt;0,$F316&gt;0,YEAR($F316)&gt;=Preisindex!$A$6,YEAR(AE$4)&gt;=YEAR($F316),$K316="k"),ROUND(VLOOKUP(AJ$4,Preisindex,2,FALSE)/VLOOKUP(YEAR($F316),Preisindex,2,FALSE),2),0)))))</f>
        <v>0</v>
      </c>
      <c r="AK316" s="56">
        <f>IF(AND($E316&lt;&gt;0,$F316&gt;0,YEAR($F316)&lt;Preisindex!$A$6,YEAR(AE$4)&gt;=YEAR($F316),AND($K316&lt;&gt;"a",$K316&lt;&gt;"b",$K316&lt;&gt;"g",$K316&lt;&gt;"k")),1,IF(AND($E316&lt;&gt;0,$F316&gt;0,YEAR($F316)&lt;Preisindex!$A$6,YEAR(AE$4)&gt;=YEAR($F316),$K316="a"),ROUND(VLOOKUP(AJ$4,Preisindex,5,FALSE)/VLOOKUP(Preisindex!$A$6,Preisindex,5,FALSE),2),IF(AND($E316&lt;&gt;0,$F316&gt;0,YEAR($F316)&lt;Preisindex!$A$6,YEAR(AE$4)&gt;=YEAR($F316),$K316="b"),ROUND(VLOOKUP(AJ$4,Preisindex,3,FALSE)/VLOOKUP(Preisindex!$A$6,Preisindex,3,FALSE),2),IF(AND($E316&lt;&gt;0,$F316&gt;0,YEAR($F316)&lt;Preisindex!$A$6,YEAR(AE$4)&gt;=YEAR($F316),$K316="g"),ROUND(VLOOKUP(AJ$4,Preisindex,4,FALSE)/VLOOKUP(Preisindex!$A$6,Preisindex,4,FALSE),2),IF(AND($E316&lt;&gt;0,$F316&gt;0,YEAR($F316)&lt;Preisindex!$A$6,YEAR(AE$4)&gt;=YEAR($F316),$K316="k"),ROUND(VLOOKUP(AJ$4,Preisindex,2,FALSE)/VLOOKUP(Preisindex!$A$6,Preisindex,2,FALSE),2),0)))))</f>
        <v>0</v>
      </c>
      <c r="AL316" s="51">
        <f>IF(AND($E316&lt;&gt;0,$F316&gt;0,YEAR($F316)&lt;=AJ$4,YEAR($F316)&gt;=Preisindex!$A$6),ROUND($E316*AJ316,2),IF(AND($E316&lt;&gt;0,$F316&gt;0,YEAR($F316)&lt;=AJ$4,YEAR($F316)&lt;Preisindex!$A$6),ROUND($E316*AK316,2),0))</f>
        <v>0</v>
      </c>
      <c r="AM316" s="53">
        <f t="shared" si="838"/>
        <v>0</v>
      </c>
      <c r="AN316" s="51">
        <f t="shared" si="883"/>
        <v>0</v>
      </c>
      <c r="AO316" s="51">
        <f t="shared" si="841"/>
        <v>0</v>
      </c>
      <c r="AP316" s="51">
        <f t="shared" si="755"/>
        <v>0</v>
      </c>
      <c r="AQ316" s="51">
        <f t="shared" si="842"/>
        <v>0</v>
      </c>
      <c r="AR316" s="51">
        <f t="shared" si="756"/>
        <v>0</v>
      </c>
      <c r="AS316" s="51">
        <f t="shared" si="843"/>
        <v>0</v>
      </c>
      <c r="AT316" s="51">
        <f t="shared" si="757"/>
        <v>0</v>
      </c>
      <c r="AU316" s="51">
        <f t="shared" si="844"/>
        <v>0</v>
      </c>
      <c r="AV316" s="51">
        <f t="shared" si="758"/>
        <v>0</v>
      </c>
      <c r="AW316" s="51">
        <f t="shared" si="845"/>
        <v>0</v>
      </c>
      <c r="AX316" s="51">
        <f t="shared" si="759"/>
        <v>0</v>
      </c>
      <c r="AY316" s="54">
        <f t="shared" si="760"/>
        <v>0</v>
      </c>
      <c r="AZ316" s="55">
        <f t="shared" si="761"/>
        <v>0</v>
      </c>
      <c r="BA316" s="56">
        <f>IF(AND($E316&lt;&gt;0,$F316&gt;0,YEAR($F316)&gt;=Preisindex!$A$6,YEAR(AV$4)&gt;=YEAR($F316),AND($K316&lt;&gt;"a",$K316&lt;&gt;"b",$K316&lt;&gt;"g",$K316&lt;&gt;"k")),1,IF(AND($E316&lt;&gt;0,$F316&gt;0,YEAR($F316)&gt;=Preisindex!$A$6,YEAR(AV$4)&gt;=YEAR($F316),$K316="a"),ROUND(VLOOKUP(BA$4,Preisindex,5,FALSE)/VLOOKUP(YEAR($F316),Preisindex,5,FALSE),2),IF(AND($E316&lt;&gt;0,$F316&gt;0,YEAR($F316)&gt;=Preisindex!$A$6,YEAR(AV$4)&gt;=YEAR($F316),$K316="b"),ROUND(VLOOKUP(BA$4,Preisindex,3,FALSE)/VLOOKUP(YEAR($F316),Preisindex,3,FALSE),2),IF(AND($E316&lt;&gt;0,$F316&gt;0,YEAR($F316)&gt;=Preisindex!$A$6,YEAR(AV$4)&gt;=YEAR($F316),$K316="g"),ROUND(VLOOKUP(BA$4,Preisindex,4,FALSE)/VLOOKUP(YEAR($F316),Preisindex,4,FALSE),2),IF(AND($E316&lt;&gt;0,$F316&gt;0,YEAR($F316)&gt;=Preisindex!$A$6,YEAR(AV$4)&gt;=YEAR($F316),$K316="k"),ROUND(VLOOKUP(BA$4,Preisindex,2,FALSE)/VLOOKUP(YEAR($F316),Preisindex,2,FALSE),2),0)))))</f>
        <v>0</v>
      </c>
      <c r="BB316" s="56">
        <f>IF(AND($E316&lt;&gt;0,$F316&gt;0,YEAR($F316)&lt;Preisindex!$A$6,YEAR(AV$4)&gt;=YEAR($F316),AND($K316&lt;&gt;"a",$K316&lt;&gt;"b",$K316&lt;&gt;"g",$K316&lt;&gt;"k")),1,IF(AND($E316&lt;&gt;0,$F316&gt;0,YEAR($F316)&lt;Preisindex!$A$6,YEAR(AV$4)&gt;=YEAR($F316),$K316="a"),ROUND(VLOOKUP(BA$4,Preisindex,5,FALSE)/VLOOKUP(Preisindex!$A$6,Preisindex,5,FALSE),2),IF(AND($E316&lt;&gt;0,$F316&gt;0,YEAR($F316)&lt;Preisindex!$A$6,YEAR(AV$4)&gt;=YEAR($F316),$K316="b"),ROUND(VLOOKUP(BA$4,Preisindex,3,FALSE)/VLOOKUP(Preisindex!$A$6,Preisindex,3,FALSE),2),IF(AND($E316&lt;&gt;0,$F316&gt;0,YEAR($F316)&lt;Preisindex!$A$6,YEAR(AV$4)&gt;=YEAR($F316),$K316="g"),ROUND(VLOOKUP(BA$4,Preisindex,4,FALSE)/VLOOKUP(Preisindex!$A$6,Preisindex,4,FALSE),2),IF(AND($E316&lt;&gt;0,$F316&gt;0,YEAR($F316)&lt;Preisindex!$A$6,YEAR(AV$4)&gt;=YEAR($F316),$K316="k"),ROUND(VLOOKUP(BA$4,Preisindex,2,FALSE)/VLOOKUP(Preisindex!$A$6,Preisindex,2,FALSE),2),0)))))</f>
        <v>0</v>
      </c>
      <c r="BC316" s="51">
        <f>IF(AND($E316&lt;&gt;0,$F316&gt;0,YEAR($F316)&lt;=BA$4,YEAR($F316)&gt;=Preisindex!$A$6),ROUND($E316*BA316,2),IF(AND($E316&lt;&gt;0,$F316&gt;0,YEAR($F316)&lt;=BA$4,YEAR($F316)&lt;Preisindex!$A$6),ROUND($E316*BB316,2),0))</f>
        <v>0</v>
      </c>
      <c r="BD316" s="53">
        <f t="shared" si="762"/>
        <v>0</v>
      </c>
      <c r="BE316" s="51">
        <f t="shared" si="883"/>
        <v>0</v>
      </c>
      <c r="BF316" s="51">
        <f t="shared" si="846"/>
        <v>0</v>
      </c>
      <c r="BG316" s="51">
        <f t="shared" si="763"/>
        <v>0</v>
      </c>
      <c r="BH316" s="51">
        <f t="shared" si="847"/>
        <v>0</v>
      </c>
      <c r="BI316" s="51">
        <f t="shared" si="764"/>
        <v>0</v>
      </c>
      <c r="BJ316" s="51">
        <f t="shared" si="848"/>
        <v>0</v>
      </c>
      <c r="BK316" s="51">
        <f t="shared" si="765"/>
        <v>0</v>
      </c>
      <c r="BL316" s="51">
        <f t="shared" si="849"/>
        <v>0</v>
      </c>
      <c r="BM316" s="51">
        <f t="shared" si="766"/>
        <v>0</v>
      </c>
      <c r="BN316" s="51">
        <f t="shared" si="850"/>
        <v>0</v>
      </c>
      <c r="BO316" s="51">
        <f t="shared" si="767"/>
        <v>0</v>
      </c>
      <c r="BP316" s="54">
        <f t="shared" si="768"/>
        <v>0</v>
      </c>
      <c r="BQ316" s="55">
        <f t="shared" si="769"/>
        <v>0</v>
      </c>
      <c r="BR316" s="56">
        <f>IF(AND($E316&lt;&gt;0,$F316&gt;0,YEAR($F316)&gt;=Preisindex!$A$6,YEAR(BM$4)&gt;=YEAR($F316),AND($K316&lt;&gt;"a",$K316&lt;&gt;"b",$K316&lt;&gt;"g",$K316&lt;&gt;"k")),1,IF(AND($E316&lt;&gt;0,$F316&gt;0,YEAR($F316)&gt;=Preisindex!$A$6,YEAR(BM$4)&gt;=YEAR($F316),$K316="a"),ROUND(VLOOKUP(BR$4,Preisindex,5,FALSE)/VLOOKUP(YEAR($F316),Preisindex,5,FALSE),2),IF(AND($E316&lt;&gt;0,$F316&gt;0,YEAR($F316)&gt;=Preisindex!$A$6,YEAR(BM$4)&gt;=YEAR($F316),$K316="b"),ROUND(VLOOKUP(BR$4,Preisindex,3,FALSE)/VLOOKUP(YEAR($F316),Preisindex,3,FALSE),2),IF(AND($E316&lt;&gt;0,$F316&gt;0,YEAR($F316)&gt;=Preisindex!$A$6,YEAR(BM$4)&gt;=YEAR($F316),$K316="g"),ROUND(VLOOKUP(BR$4,Preisindex,4,FALSE)/VLOOKUP(YEAR($F316),Preisindex,4,FALSE),2),IF(AND($E316&lt;&gt;0,$F316&gt;0,YEAR($F316)&gt;=Preisindex!$A$6,YEAR(BM$4)&gt;=YEAR($F316),$K316="k"),ROUND(VLOOKUP(BR$4,Preisindex,2,FALSE)/VLOOKUP(YEAR($F316),Preisindex,2,FALSE),2),0)))))</f>
        <v>0</v>
      </c>
      <c r="BS316" s="56">
        <f>IF(AND($E316&lt;&gt;0,$F316&gt;0,YEAR($F316)&lt;Preisindex!$A$6,YEAR(BM$4)&gt;=YEAR($F316),AND($K316&lt;&gt;"a",$K316&lt;&gt;"b",$K316&lt;&gt;"g",$K316&lt;&gt;"k")),1,IF(AND($E316&lt;&gt;0,$F316&gt;0,YEAR($F316)&lt;Preisindex!$A$6,YEAR(BM$4)&gt;=YEAR($F316),$K316="a"),ROUND(VLOOKUP(BR$4,Preisindex,5,FALSE)/VLOOKUP(Preisindex!$A$6,Preisindex,5,FALSE),2),IF(AND($E316&lt;&gt;0,$F316&gt;0,YEAR($F316)&lt;Preisindex!$A$6,YEAR(BM$4)&gt;=YEAR($F316),$K316="b"),ROUND(VLOOKUP(BR$4,Preisindex,3,FALSE)/VLOOKUP(Preisindex!$A$6,Preisindex,3,FALSE),2),IF(AND($E316&lt;&gt;0,$F316&gt;0,YEAR($F316)&lt;Preisindex!$A$6,YEAR(BM$4)&gt;=YEAR($F316),$K316="g"),ROUND(VLOOKUP(BR$4,Preisindex,4,FALSE)/VLOOKUP(Preisindex!$A$6,Preisindex,4,FALSE),2),IF(AND($E316&lt;&gt;0,$F316&gt;0,YEAR($F316)&lt;Preisindex!$A$6,YEAR(BM$4)&gt;=YEAR($F316),$K316="k"),ROUND(VLOOKUP(BR$4,Preisindex,2,FALSE)/VLOOKUP(Preisindex!$A$6,Preisindex,2,FALSE),2),0)))))</f>
        <v>0</v>
      </c>
      <c r="BT316" s="51">
        <f>IF(AND($E316&lt;&gt;0,$F316&gt;0,YEAR($F316)&lt;=BR$4,YEAR($F316)&gt;=Preisindex!$A$6),ROUND($E316*BR316,2),IF(AND($E316&lt;&gt;0,$F316&gt;0,YEAR($F316)&lt;=BR$4,YEAR($F316)&lt;Preisindex!$A$6),ROUND($E316*BS316,2),0))</f>
        <v>0</v>
      </c>
      <c r="BU316" s="53">
        <f t="shared" si="770"/>
        <v>0</v>
      </c>
      <c r="BV316" s="51">
        <f t="shared" si="883"/>
        <v>0</v>
      </c>
      <c r="BW316" s="51">
        <f t="shared" si="851"/>
        <v>0</v>
      </c>
      <c r="BX316" s="51">
        <f t="shared" si="771"/>
        <v>0</v>
      </c>
      <c r="BY316" s="51">
        <f t="shared" si="852"/>
        <v>0</v>
      </c>
      <c r="BZ316" s="51">
        <f t="shared" si="772"/>
        <v>0</v>
      </c>
      <c r="CA316" s="51">
        <f t="shared" si="853"/>
        <v>0</v>
      </c>
      <c r="CB316" s="51">
        <f t="shared" si="773"/>
        <v>0</v>
      </c>
      <c r="CC316" s="51">
        <f t="shared" si="854"/>
        <v>0</v>
      </c>
      <c r="CD316" s="51">
        <f t="shared" si="774"/>
        <v>0</v>
      </c>
      <c r="CE316" s="51">
        <f t="shared" si="855"/>
        <v>0</v>
      </c>
      <c r="CF316" s="51">
        <f t="shared" si="775"/>
        <v>0</v>
      </c>
      <c r="CG316" s="54">
        <f t="shared" si="776"/>
        <v>0</v>
      </c>
      <c r="CH316" s="55">
        <f t="shared" si="777"/>
        <v>0</v>
      </c>
      <c r="CI316" s="56">
        <f>IF(AND($E316&lt;&gt;0,$F316&gt;0,YEAR($F316)&gt;=Preisindex!$A$6,YEAR(CD$4)&gt;=YEAR($F316),AND($K316&lt;&gt;"a",$K316&lt;&gt;"b",$K316&lt;&gt;"g",$K316&lt;&gt;"k")),1,IF(AND($E316&lt;&gt;0,$F316&gt;0,YEAR($F316)&gt;=Preisindex!$A$6,YEAR(CD$4)&gt;=YEAR($F316),$K316="a"),ROUND(VLOOKUP(CI$4,Preisindex,5,FALSE)/VLOOKUP(YEAR($F316),Preisindex,5,FALSE),2),IF(AND($E316&lt;&gt;0,$F316&gt;0,YEAR($F316)&gt;=Preisindex!$A$6,YEAR(CD$4)&gt;=YEAR($F316),$K316="b"),ROUND(VLOOKUP(CI$4,Preisindex,3,FALSE)/VLOOKUP(YEAR($F316),Preisindex,3,FALSE),2),IF(AND($E316&lt;&gt;0,$F316&gt;0,YEAR($F316)&gt;=Preisindex!$A$6,YEAR(CD$4)&gt;=YEAR($F316),$K316="g"),ROUND(VLOOKUP(CI$4,Preisindex,4,FALSE)/VLOOKUP(YEAR($F316),Preisindex,4,FALSE),2),IF(AND($E316&lt;&gt;0,$F316&gt;0,YEAR($F316)&gt;=Preisindex!$A$6,YEAR(CD$4)&gt;=YEAR($F316),$K316="k"),ROUND(VLOOKUP(CI$4,Preisindex,2,FALSE)/VLOOKUP(YEAR($F316),Preisindex,2,FALSE),2),0)))))</f>
        <v>0</v>
      </c>
      <c r="CJ316" s="56">
        <f>IF(AND($E316&lt;&gt;0,$F316&gt;0,YEAR($F316)&lt;Preisindex!$A$6,YEAR(CD$4)&gt;=YEAR($F316),AND($K316&lt;&gt;"a",$K316&lt;&gt;"b",$K316&lt;&gt;"g",$K316&lt;&gt;"k")),1,IF(AND($E316&lt;&gt;0,$F316&gt;0,YEAR($F316)&lt;Preisindex!$A$6,YEAR(CD$4)&gt;=YEAR($F316),$K316="a"),ROUND(VLOOKUP(CI$4,Preisindex,5,FALSE)/VLOOKUP(Preisindex!$A$6,Preisindex,5,FALSE),2),IF(AND($E316&lt;&gt;0,$F316&gt;0,YEAR($F316)&lt;Preisindex!$A$6,YEAR(CD$4)&gt;=YEAR($F316),$K316="b"),ROUND(VLOOKUP(CI$4,Preisindex,3,FALSE)/VLOOKUP(Preisindex!$A$6,Preisindex,3,FALSE),2),IF(AND($E316&lt;&gt;0,$F316&gt;0,YEAR($F316)&lt;Preisindex!$A$6,YEAR(CD$4)&gt;=YEAR($F316),$K316="g"),ROUND(VLOOKUP(CI$4,Preisindex,4,FALSE)/VLOOKUP(Preisindex!$A$6,Preisindex,4,FALSE),2),IF(AND($E316&lt;&gt;0,$F316&gt;0,YEAR($F316)&lt;Preisindex!$A$6,YEAR(CD$4)&gt;=YEAR($F316),$K316="k"),ROUND(VLOOKUP(CI$4,Preisindex,2,FALSE)/VLOOKUP(Preisindex!$A$6,Preisindex,2,FALSE),2),0)))))</f>
        <v>0</v>
      </c>
      <c r="CK316" s="51">
        <f>IF(AND($E316&lt;&gt;0,$F316&gt;0,YEAR($F316)&lt;=CI$4,YEAR($F316)&gt;=Preisindex!$A$6),ROUND($E316*CI316,2),IF(AND($E316&lt;&gt;0,$F316&gt;0,YEAR($F316)&lt;=CI$4,YEAR($F316)&lt;Preisindex!$A$6),ROUND($E316*CJ316,2),0))</f>
        <v>0</v>
      </c>
      <c r="CL316" s="53">
        <f t="shared" si="778"/>
        <v>0</v>
      </c>
      <c r="CM316" s="51">
        <f t="shared" si="883"/>
        <v>0</v>
      </c>
      <c r="CN316" s="51">
        <f t="shared" si="856"/>
        <v>0</v>
      </c>
      <c r="CO316" s="51">
        <f t="shared" si="779"/>
        <v>0</v>
      </c>
      <c r="CP316" s="51">
        <f t="shared" si="857"/>
        <v>0</v>
      </c>
      <c r="CQ316" s="51">
        <f t="shared" si="780"/>
        <v>0</v>
      </c>
      <c r="CR316" s="51">
        <f t="shared" si="858"/>
        <v>0</v>
      </c>
      <c r="CS316" s="51">
        <f t="shared" si="781"/>
        <v>0</v>
      </c>
      <c r="CT316" s="51">
        <f t="shared" si="859"/>
        <v>0</v>
      </c>
      <c r="CU316" s="51">
        <f t="shared" si="782"/>
        <v>0</v>
      </c>
      <c r="CV316" s="51">
        <f t="shared" si="860"/>
        <v>0</v>
      </c>
      <c r="CW316" s="51">
        <f t="shared" si="783"/>
        <v>0</v>
      </c>
      <c r="CX316" s="54">
        <f t="shared" si="784"/>
        <v>0</v>
      </c>
      <c r="CY316" s="55">
        <f t="shared" si="785"/>
        <v>0</v>
      </c>
      <c r="CZ316" s="56">
        <f>IF(AND($E316&lt;&gt;0,$F316&gt;0,YEAR($F316)&gt;=Preisindex!$A$6,YEAR(CU$4)&gt;=YEAR($F316),AND($K316&lt;&gt;"a",$K316&lt;&gt;"b",$K316&lt;&gt;"g",$K316&lt;&gt;"k")),1,IF(AND($E316&lt;&gt;0,$F316&gt;0,YEAR($F316)&gt;=Preisindex!$A$6,YEAR(CU$4)&gt;=YEAR($F316),$K316="a"),ROUND(VLOOKUP(CZ$4,Preisindex,5,FALSE)/VLOOKUP(YEAR($F316),Preisindex,5,FALSE),2),IF(AND($E316&lt;&gt;0,$F316&gt;0,YEAR($F316)&gt;=Preisindex!$A$6,YEAR(CU$4)&gt;=YEAR($F316),$K316="b"),ROUND(VLOOKUP(CZ$4,Preisindex,3,FALSE)/VLOOKUP(YEAR($F316),Preisindex,3,FALSE),2),IF(AND($E316&lt;&gt;0,$F316&gt;0,YEAR($F316)&gt;=Preisindex!$A$6,YEAR(CU$4)&gt;=YEAR($F316),$K316="g"),ROUND(VLOOKUP(CZ$4,Preisindex,4,FALSE)/VLOOKUP(YEAR($F316),Preisindex,4,FALSE),2),IF(AND($E316&lt;&gt;0,$F316&gt;0,YEAR($F316)&gt;=Preisindex!$A$6,YEAR(CU$4)&gt;=YEAR($F316),$K316="k"),ROUND(VLOOKUP(CZ$4,Preisindex,2,FALSE)/VLOOKUP(YEAR($F316),Preisindex,2,FALSE),2),0)))))</f>
        <v>0</v>
      </c>
      <c r="DA316" s="56">
        <f>IF(AND($E316&lt;&gt;0,$F316&gt;0,YEAR($F316)&lt;Preisindex!$A$6,YEAR(CU$4)&gt;=YEAR($F316),AND($K316&lt;&gt;"a",$K316&lt;&gt;"b",$K316&lt;&gt;"g",$K316&lt;&gt;"k")),1,IF(AND($E316&lt;&gt;0,$F316&gt;0,YEAR($F316)&lt;Preisindex!$A$6,YEAR(CU$4)&gt;=YEAR($F316),$K316="a"),ROUND(VLOOKUP(CZ$4,Preisindex,5,FALSE)/VLOOKUP(Preisindex!$A$6,Preisindex,5,FALSE),2),IF(AND($E316&lt;&gt;0,$F316&gt;0,YEAR($F316)&lt;Preisindex!$A$6,YEAR(CU$4)&gt;=YEAR($F316),$K316="b"),ROUND(VLOOKUP(CZ$4,Preisindex,3,FALSE)/VLOOKUP(Preisindex!$A$6,Preisindex,3,FALSE),2),IF(AND($E316&lt;&gt;0,$F316&gt;0,YEAR($F316)&lt;Preisindex!$A$6,YEAR(CU$4)&gt;=YEAR($F316),$K316="g"),ROUND(VLOOKUP(CZ$4,Preisindex,4,FALSE)/VLOOKUP(Preisindex!$A$6,Preisindex,4,FALSE),2),IF(AND($E316&lt;&gt;0,$F316&gt;0,YEAR($F316)&lt;Preisindex!$A$6,YEAR(CU$4)&gt;=YEAR($F316),$K316="k"),ROUND(VLOOKUP(CZ$4,Preisindex,2,FALSE)/VLOOKUP(Preisindex!$A$6,Preisindex,2,FALSE),2),0)))))</f>
        <v>0</v>
      </c>
      <c r="DB316" s="51">
        <f>IF(AND($E316&lt;&gt;0,$F316&gt;0,YEAR($F316)&lt;=CZ$4,YEAR($F316)&gt;=Preisindex!$A$6),ROUND($E316*CZ316,2),IF(AND($E316&lt;&gt;0,$F316&gt;0,YEAR($F316)&lt;=CZ$4,YEAR($F316)&lt;Preisindex!$A$6),ROUND($E316*DA316,2),0))</f>
        <v>0</v>
      </c>
      <c r="DC316" s="53">
        <f t="shared" si="786"/>
        <v>0</v>
      </c>
      <c r="DD316" s="51">
        <f t="shared" si="884"/>
        <v>0</v>
      </c>
      <c r="DE316" s="51">
        <f t="shared" si="861"/>
        <v>0</v>
      </c>
      <c r="DF316" s="51">
        <f t="shared" si="788"/>
        <v>0</v>
      </c>
      <c r="DG316" s="51">
        <f t="shared" si="862"/>
        <v>0</v>
      </c>
      <c r="DH316" s="51">
        <f t="shared" si="789"/>
        <v>0</v>
      </c>
      <c r="DI316" s="51">
        <f t="shared" si="863"/>
        <v>0</v>
      </c>
      <c r="DJ316" s="51">
        <f t="shared" si="790"/>
        <v>0</v>
      </c>
      <c r="DK316" s="51">
        <f t="shared" si="864"/>
        <v>0</v>
      </c>
      <c r="DL316" s="51">
        <f t="shared" si="791"/>
        <v>0</v>
      </c>
      <c r="DM316" s="51">
        <f t="shared" si="865"/>
        <v>0</v>
      </c>
      <c r="DN316" s="51">
        <f t="shared" si="792"/>
        <v>0</v>
      </c>
      <c r="DO316" s="54">
        <f t="shared" si="793"/>
        <v>0</v>
      </c>
      <c r="DP316" s="55">
        <f t="shared" si="794"/>
        <v>0</v>
      </c>
      <c r="DQ316" s="56">
        <f>IF(AND($E316&lt;&gt;0,$F316&gt;0,YEAR($F316)&gt;=Preisindex!$A$6,YEAR(DL$4)&gt;=YEAR($F316),AND($K316&lt;&gt;"a",$K316&lt;&gt;"b",$K316&lt;&gt;"g",$K316&lt;&gt;"k")),1,IF(AND($E316&lt;&gt;0,$F316&gt;0,YEAR($F316)&gt;=Preisindex!$A$6,YEAR(DL$4)&gt;=YEAR($F316),$K316="a"),ROUND(VLOOKUP(DQ$4,Preisindex,5,FALSE)/VLOOKUP(YEAR($F316),Preisindex,5,FALSE),2),IF(AND($E316&lt;&gt;0,$F316&gt;0,YEAR($F316)&gt;=Preisindex!$A$6,YEAR(DL$4)&gt;=YEAR($F316),$K316="b"),ROUND(VLOOKUP(DQ$4,Preisindex,3,FALSE)/VLOOKUP(YEAR($F316),Preisindex,3,FALSE),2),IF(AND($E316&lt;&gt;0,$F316&gt;0,YEAR($F316)&gt;=Preisindex!$A$6,YEAR(DL$4)&gt;=YEAR($F316),$K316="g"),ROUND(VLOOKUP(DQ$4,Preisindex,4,FALSE)/VLOOKUP(YEAR($F316),Preisindex,4,FALSE),2),IF(AND($E316&lt;&gt;0,$F316&gt;0,YEAR($F316)&gt;=Preisindex!$A$6,YEAR(DL$4)&gt;=YEAR($F316),$K316="k"),ROUND(VLOOKUP(DQ$4,Preisindex,2,FALSE)/VLOOKUP(YEAR($F316),Preisindex,2,FALSE),2),0)))))</f>
        <v>0</v>
      </c>
      <c r="DR316" s="56">
        <f>IF(AND($E316&lt;&gt;0,$F316&gt;0,YEAR($F316)&lt;Preisindex!$A$6,YEAR(DL$4)&gt;=YEAR($F316),AND($K316&lt;&gt;"a",$K316&lt;&gt;"b",$K316&lt;&gt;"g",$K316&lt;&gt;"k")),1,IF(AND($E316&lt;&gt;0,$F316&gt;0,YEAR($F316)&lt;Preisindex!$A$6,YEAR(DL$4)&gt;=YEAR($F316),$K316="a"),ROUND(VLOOKUP(DQ$4,Preisindex,5,FALSE)/VLOOKUP(Preisindex!$A$6,Preisindex,5,FALSE),2),IF(AND($E316&lt;&gt;0,$F316&gt;0,YEAR($F316)&lt;Preisindex!$A$6,YEAR(DL$4)&gt;=YEAR($F316),$K316="b"),ROUND(VLOOKUP(DQ$4,Preisindex,3,FALSE)/VLOOKUP(Preisindex!$A$6,Preisindex,3,FALSE),2),IF(AND($E316&lt;&gt;0,$F316&gt;0,YEAR($F316)&lt;Preisindex!$A$6,YEAR(DL$4)&gt;=YEAR($F316),$K316="g"),ROUND(VLOOKUP(DQ$4,Preisindex,4,FALSE)/VLOOKUP(Preisindex!$A$6,Preisindex,4,FALSE),2),IF(AND($E316&lt;&gt;0,$F316&gt;0,YEAR($F316)&lt;Preisindex!$A$6,YEAR(DL$4)&gt;=YEAR($F316),$K316="k"),ROUND(VLOOKUP(DQ$4,Preisindex,2,FALSE)/VLOOKUP(Preisindex!$A$6,Preisindex,2,FALSE),2),0)))))</f>
        <v>0</v>
      </c>
      <c r="DS316" s="51">
        <f>IF(AND($E316&lt;&gt;0,$F316&gt;0,YEAR($F316)&lt;=DQ$4,YEAR($F316)&gt;=Preisindex!$A$6),ROUND($E316*DQ316,2),IF(AND($E316&lt;&gt;0,$F316&gt;0,YEAR($F316)&lt;=DQ$4,YEAR($F316)&lt;Preisindex!$A$6),ROUND($E316*DR316,2),0))</f>
        <v>0</v>
      </c>
      <c r="DT316" s="53">
        <f t="shared" si="795"/>
        <v>0</v>
      </c>
      <c r="DU316" s="51">
        <f t="shared" si="884"/>
        <v>0</v>
      </c>
      <c r="DV316" s="51">
        <f t="shared" si="866"/>
        <v>0</v>
      </c>
      <c r="DW316" s="51">
        <f t="shared" si="796"/>
        <v>0</v>
      </c>
      <c r="DX316" s="51">
        <f t="shared" si="867"/>
        <v>0</v>
      </c>
      <c r="DY316" s="51">
        <f t="shared" si="797"/>
        <v>0</v>
      </c>
      <c r="DZ316" s="51">
        <f t="shared" si="868"/>
        <v>0</v>
      </c>
      <c r="EA316" s="51">
        <f t="shared" si="798"/>
        <v>0</v>
      </c>
      <c r="EB316" s="51">
        <f t="shared" si="869"/>
        <v>0</v>
      </c>
      <c r="EC316" s="51">
        <f t="shared" si="799"/>
        <v>0</v>
      </c>
      <c r="ED316" s="51">
        <f t="shared" si="870"/>
        <v>0</v>
      </c>
      <c r="EE316" s="51">
        <f t="shared" si="800"/>
        <v>0</v>
      </c>
      <c r="EF316" s="54">
        <f t="shared" si="801"/>
        <v>0</v>
      </c>
      <c r="EG316" s="55">
        <f t="shared" si="802"/>
        <v>0</v>
      </c>
      <c r="EH316" s="56">
        <f>IF(AND($E316&lt;&gt;0,$F316&gt;0,YEAR($F316)&gt;=Preisindex!$A$6,YEAR(EC$4)&gt;=YEAR($F316),AND($K316&lt;&gt;"a",$K316&lt;&gt;"b",$K316&lt;&gt;"g",$K316&lt;&gt;"k")),1,IF(AND($E316&lt;&gt;0,$F316&gt;0,YEAR($F316)&gt;=Preisindex!$A$6,YEAR(EC$4)&gt;=YEAR($F316),$K316="a"),ROUND(VLOOKUP(EH$4,Preisindex,5,FALSE)/VLOOKUP(YEAR($F316),Preisindex,5,FALSE),2),IF(AND($E316&lt;&gt;0,$F316&gt;0,YEAR($F316)&gt;=Preisindex!$A$6,YEAR(EC$4)&gt;=YEAR($F316),$K316="b"),ROUND(VLOOKUP(EH$4,Preisindex,3,FALSE)/VLOOKUP(YEAR($F316),Preisindex,3,FALSE),2),IF(AND($E316&lt;&gt;0,$F316&gt;0,YEAR($F316)&gt;=Preisindex!$A$6,YEAR(EC$4)&gt;=YEAR($F316),$K316="g"),ROUND(VLOOKUP(EH$4,Preisindex,4,FALSE)/VLOOKUP(YEAR($F316),Preisindex,4,FALSE),2),IF(AND($E316&lt;&gt;0,$F316&gt;0,YEAR($F316)&gt;=Preisindex!$A$6,YEAR(EC$4)&gt;=YEAR($F316),$K316="k"),ROUND(VLOOKUP(EH$4,Preisindex,2,FALSE)/VLOOKUP(YEAR($F316),Preisindex,2,FALSE),2),0)))))</f>
        <v>0</v>
      </c>
      <c r="EI316" s="56">
        <f>IF(AND($E316&lt;&gt;0,$F316&gt;0,YEAR($F316)&lt;Preisindex!$A$6,YEAR(EC$4)&gt;=YEAR($F316),AND($K316&lt;&gt;"a",$K316&lt;&gt;"b",$K316&lt;&gt;"g",$K316&lt;&gt;"k")),1,IF(AND($E316&lt;&gt;0,$F316&gt;0,YEAR($F316)&lt;Preisindex!$A$6,YEAR(EC$4)&gt;=YEAR($F316),$K316="a"),ROUND(VLOOKUP(EH$4,Preisindex,5,FALSE)/VLOOKUP(Preisindex!$A$6,Preisindex,5,FALSE),2),IF(AND($E316&lt;&gt;0,$F316&gt;0,YEAR($F316)&lt;Preisindex!$A$6,YEAR(EC$4)&gt;=YEAR($F316),$K316="b"),ROUND(VLOOKUP(EH$4,Preisindex,3,FALSE)/VLOOKUP(Preisindex!$A$6,Preisindex,3,FALSE),2),IF(AND($E316&lt;&gt;0,$F316&gt;0,YEAR($F316)&lt;Preisindex!$A$6,YEAR(EC$4)&gt;=YEAR($F316),$K316="g"),ROUND(VLOOKUP(EH$4,Preisindex,4,FALSE)/VLOOKUP(Preisindex!$A$6,Preisindex,4,FALSE),2),IF(AND($E316&lt;&gt;0,$F316&gt;0,YEAR($F316)&lt;Preisindex!$A$6,YEAR(EC$4)&gt;=YEAR($F316),$K316="k"),ROUND(VLOOKUP(EH$4,Preisindex,2,FALSE)/VLOOKUP(Preisindex!$A$6,Preisindex,2,FALSE),2),0)))))</f>
        <v>0</v>
      </c>
      <c r="EJ316" s="51">
        <f>IF(AND($E316&lt;&gt;0,$F316&gt;0,YEAR($F316)&lt;=EH$4,YEAR($F316)&gt;=Preisindex!$A$6),ROUND($E316*EH316,2),IF(AND($E316&lt;&gt;0,$F316&gt;0,YEAR($F316)&lt;=EH$4,YEAR($F316)&lt;Preisindex!$A$6),ROUND($E316*EI316,2),0))</f>
        <v>0</v>
      </c>
      <c r="EK316" s="53">
        <f t="shared" si="803"/>
        <v>0</v>
      </c>
      <c r="EL316" s="51">
        <f t="shared" si="884"/>
        <v>0</v>
      </c>
      <c r="EM316" s="51">
        <f t="shared" si="871"/>
        <v>0</v>
      </c>
      <c r="EN316" s="51">
        <f t="shared" si="804"/>
        <v>0</v>
      </c>
      <c r="EO316" s="51">
        <f t="shared" si="872"/>
        <v>0</v>
      </c>
      <c r="EP316" s="51">
        <f t="shared" si="805"/>
        <v>0</v>
      </c>
      <c r="EQ316" s="51">
        <f t="shared" si="873"/>
        <v>0</v>
      </c>
      <c r="ER316" s="51">
        <f t="shared" si="806"/>
        <v>0</v>
      </c>
      <c r="ES316" s="51">
        <f t="shared" si="874"/>
        <v>0</v>
      </c>
      <c r="ET316" s="51">
        <f t="shared" si="807"/>
        <v>0</v>
      </c>
      <c r="EU316" s="51">
        <f t="shared" si="875"/>
        <v>0</v>
      </c>
      <c r="EV316" s="51">
        <f t="shared" si="808"/>
        <v>0</v>
      </c>
      <c r="EW316" s="54">
        <f t="shared" si="809"/>
        <v>0</v>
      </c>
      <c r="EX316" s="55">
        <f t="shared" si="810"/>
        <v>0</v>
      </c>
      <c r="EY316" s="56">
        <f>IF(AND($E316&lt;&gt;0,$F316&gt;0,YEAR($F316)&gt;=Preisindex!$A$6,YEAR(ET$4)&gt;=YEAR($F316),AND($K316&lt;&gt;"a",$K316&lt;&gt;"b",$K316&lt;&gt;"g",$K316&lt;&gt;"k")),1,IF(AND($E316&lt;&gt;0,$F316&gt;0,YEAR($F316)&gt;=Preisindex!$A$6,YEAR(ET$4)&gt;=YEAR($F316),$K316="a"),ROUND(VLOOKUP(EY$4,Preisindex,5,FALSE)/VLOOKUP(YEAR($F316),Preisindex,5,FALSE),2),IF(AND($E316&lt;&gt;0,$F316&gt;0,YEAR($F316)&gt;=Preisindex!$A$6,YEAR(ET$4)&gt;=YEAR($F316),$K316="b"),ROUND(VLOOKUP(EY$4,Preisindex,3,FALSE)/VLOOKUP(YEAR($F316),Preisindex,3,FALSE),2),IF(AND($E316&lt;&gt;0,$F316&gt;0,YEAR($F316)&gt;=Preisindex!$A$6,YEAR(ET$4)&gt;=YEAR($F316),$K316="g"),ROUND(VLOOKUP(EY$4,Preisindex,4,FALSE)/VLOOKUP(YEAR($F316),Preisindex,4,FALSE),2),IF(AND($E316&lt;&gt;0,$F316&gt;0,YEAR($F316)&gt;=Preisindex!$A$6,YEAR(ET$4)&gt;=YEAR($F316),$K316="k"),ROUND(VLOOKUP(EY$4,Preisindex,2,FALSE)/VLOOKUP(YEAR($F316),Preisindex,2,FALSE),2),0)))))</f>
        <v>0</v>
      </c>
      <c r="EZ316" s="56">
        <f>IF(AND($E316&lt;&gt;0,$F316&gt;0,YEAR($F316)&lt;Preisindex!$A$6,YEAR(ET$4)&gt;=YEAR($F316),AND($K316&lt;&gt;"a",$K316&lt;&gt;"b",$K316&lt;&gt;"g",$K316&lt;&gt;"k")),1,IF(AND($E316&lt;&gt;0,$F316&gt;0,YEAR($F316)&lt;Preisindex!$A$6,YEAR(ET$4)&gt;=YEAR($F316),$K316="a"),ROUND(VLOOKUP(EY$4,Preisindex,5,FALSE)/VLOOKUP(Preisindex!$A$6,Preisindex,5,FALSE),2),IF(AND($E316&lt;&gt;0,$F316&gt;0,YEAR($F316)&lt;Preisindex!$A$6,YEAR(ET$4)&gt;=YEAR($F316),$K316="b"),ROUND(VLOOKUP(EY$4,Preisindex,3,FALSE)/VLOOKUP(Preisindex!$A$6,Preisindex,3,FALSE),2),IF(AND($E316&lt;&gt;0,$F316&gt;0,YEAR($F316)&lt;Preisindex!$A$6,YEAR(ET$4)&gt;=YEAR($F316),$K316="g"),ROUND(VLOOKUP(EY$4,Preisindex,4,FALSE)/VLOOKUP(Preisindex!$A$6,Preisindex,4,FALSE),2),IF(AND($E316&lt;&gt;0,$F316&gt;0,YEAR($F316)&lt;Preisindex!$A$6,YEAR(ET$4)&gt;=YEAR($F316),$K316="k"),ROUND(VLOOKUP(EY$4,Preisindex,2,FALSE)/VLOOKUP(Preisindex!$A$6,Preisindex,2,FALSE),2),0)))))</f>
        <v>0</v>
      </c>
      <c r="FA316" s="51">
        <f>IF(AND($E316&lt;&gt;0,$F316&gt;0,YEAR($F316)&lt;=EY$4,YEAR($F316)&gt;=Preisindex!$A$6),ROUND($E316*EY316,2),IF(AND($E316&lt;&gt;0,$F316&gt;0,YEAR($F316)&lt;=EY$4,YEAR($F316)&lt;Preisindex!$A$6),ROUND($E316*EZ316,2),0))</f>
        <v>0</v>
      </c>
      <c r="FB316" s="53">
        <f t="shared" si="811"/>
        <v>0</v>
      </c>
      <c r="FC316" s="51">
        <f t="shared" si="884"/>
        <v>0</v>
      </c>
      <c r="FD316" s="51">
        <f t="shared" si="876"/>
        <v>0</v>
      </c>
      <c r="FE316" s="51">
        <f t="shared" si="812"/>
        <v>0</v>
      </c>
      <c r="FF316" s="51">
        <f t="shared" si="877"/>
        <v>0</v>
      </c>
      <c r="FG316" s="51">
        <f t="shared" si="813"/>
        <v>0</v>
      </c>
      <c r="FH316" s="51">
        <f t="shared" si="878"/>
        <v>0</v>
      </c>
      <c r="FI316" s="51">
        <f t="shared" si="814"/>
        <v>0</v>
      </c>
      <c r="FJ316" s="51">
        <f t="shared" si="879"/>
        <v>0</v>
      </c>
      <c r="FK316" s="51">
        <f t="shared" si="815"/>
        <v>0</v>
      </c>
      <c r="FL316" s="51">
        <f t="shared" si="880"/>
        <v>0</v>
      </c>
      <c r="FM316" s="51">
        <f t="shared" si="816"/>
        <v>0</v>
      </c>
      <c r="FN316" s="54">
        <f t="shared" si="817"/>
        <v>0</v>
      </c>
      <c r="FO316" s="55">
        <f t="shared" si="818"/>
        <v>0</v>
      </c>
      <c r="FP316" s="56">
        <f>IF(AND($E316&lt;&gt;0,$F316&gt;0,YEAR($F316)&gt;=Preisindex!$A$6,YEAR(FK$4)&gt;=YEAR($F316),AND($K316&lt;&gt;"a",$K316&lt;&gt;"b",$K316&lt;&gt;"g",$K316&lt;&gt;"k")),1,IF(AND($E316&lt;&gt;0,$F316&gt;0,YEAR($F316)&gt;=Preisindex!$A$6,YEAR(FK$4)&gt;=YEAR($F316),$K316="a"),ROUND(VLOOKUP(FP$4,Preisindex,5,FALSE)/VLOOKUP(YEAR($F316),Preisindex,5,FALSE),2),IF(AND($E316&lt;&gt;0,$F316&gt;0,YEAR($F316)&gt;=Preisindex!$A$6,YEAR(FK$4)&gt;=YEAR($F316),$K316="b"),ROUND(VLOOKUP(FP$4,Preisindex,3,FALSE)/VLOOKUP(YEAR($F316),Preisindex,3,FALSE),2),IF(AND($E316&lt;&gt;0,$F316&gt;0,YEAR($F316)&gt;=Preisindex!$A$6,YEAR(FK$4)&gt;=YEAR($F316),$K316="g"),ROUND(VLOOKUP(FP$4,Preisindex,4,FALSE)/VLOOKUP(YEAR($F316),Preisindex,4,FALSE),2),IF(AND($E316&lt;&gt;0,$F316&gt;0,YEAR($F316)&gt;=Preisindex!$A$6,YEAR(FK$4)&gt;=YEAR($F316),$K316="k"),ROUND(VLOOKUP(FP$4,Preisindex,2,FALSE)/VLOOKUP(YEAR($F316),Preisindex,2,FALSE),2),0)))))</f>
        <v>0</v>
      </c>
      <c r="FQ316" s="56">
        <f>IF(AND($E316&lt;&gt;0,$F316&gt;0,YEAR($F316)&lt;Preisindex!$A$6,YEAR(FK$4)&gt;=YEAR($F316),AND($K316&lt;&gt;"a",$K316&lt;&gt;"b",$K316&lt;&gt;"g",$K316&lt;&gt;"k")),1,IF(AND($E316&lt;&gt;0,$F316&gt;0,YEAR($F316)&lt;Preisindex!$A$6,YEAR(FK$4)&gt;=YEAR($F316),$K316="a"),ROUND(VLOOKUP(FP$4,Preisindex,5,FALSE)/VLOOKUP(Preisindex!$A$6,Preisindex,5,FALSE),2),IF(AND($E316&lt;&gt;0,$F316&gt;0,YEAR($F316)&lt;Preisindex!$A$6,YEAR(FK$4)&gt;=YEAR($F316),$K316="b"),ROUND(VLOOKUP(FP$4,Preisindex,3,FALSE)/VLOOKUP(Preisindex!$A$6,Preisindex,3,FALSE),2),IF(AND($E316&lt;&gt;0,$F316&gt;0,YEAR($F316)&lt;Preisindex!$A$6,YEAR(FK$4)&gt;=YEAR($F316),$K316="g"),ROUND(VLOOKUP(FP$4,Preisindex,4,FALSE)/VLOOKUP(Preisindex!$A$6,Preisindex,4,FALSE),2),IF(AND($E316&lt;&gt;0,$F316&gt;0,YEAR($F316)&lt;Preisindex!$A$6,YEAR(FK$4)&gt;=YEAR($F316),$K316="k"),ROUND(VLOOKUP(FP$4,Preisindex,2,FALSE)/VLOOKUP(Preisindex!$A$6,Preisindex,2,FALSE),2),0)))))</f>
        <v>0</v>
      </c>
      <c r="FR316" s="51">
        <f>IF(AND($E316&lt;&gt;0,$F316&gt;0,YEAR($F316)&lt;=FP$4,YEAR($F316)&gt;=Preisindex!$A$6),ROUND($E316*FP316,2),IF(AND($E316&lt;&gt;0,$F316&gt;0,YEAR($F316)&lt;=FP$4,YEAR($F316)&lt;Preisindex!$A$6),ROUND($E316*FQ316,2),0))</f>
        <v>0</v>
      </c>
      <c r="FS316" s="53">
        <f t="shared" si="819"/>
        <v>0</v>
      </c>
    </row>
    <row r="317" spans="1:175" x14ac:dyDescent="0.3">
      <c r="A317" s="185"/>
      <c r="B317" s="186"/>
      <c r="C317" s="187"/>
      <c r="D317" s="188"/>
      <c r="E317" s="189"/>
      <c r="F317" s="190"/>
      <c r="G317" s="191"/>
      <c r="H317" s="192"/>
      <c r="I317" s="193"/>
      <c r="J317" s="194"/>
      <c r="K317" s="630"/>
      <c r="L317" s="49">
        <f t="shared" si="820"/>
        <v>0</v>
      </c>
      <c r="M317" s="50">
        <f t="shared" si="821"/>
        <v>0</v>
      </c>
      <c r="N317" s="51">
        <f t="shared" si="822"/>
        <v>0</v>
      </c>
      <c r="O317" s="51"/>
      <c r="P317" s="51">
        <f t="shared" si="823"/>
        <v>0</v>
      </c>
      <c r="Q317" s="52"/>
      <c r="R317" s="52"/>
      <c r="S317" s="52"/>
      <c r="T317" s="52"/>
      <c r="U317" s="52"/>
      <c r="V317" s="53">
        <f t="shared" si="824"/>
        <v>0</v>
      </c>
      <c r="W317" s="51">
        <f t="shared" si="825"/>
        <v>0</v>
      </c>
      <c r="X317" s="51">
        <f t="shared" si="826"/>
        <v>0</v>
      </c>
      <c r="Y317" s="51">
        <f t="shared" si="827"/>
        <v>0</v>
      </c>
      <c r="Z317" s="51">
        <f t="shared" si="828"/>
        <v>0</v>
      </c>
      <c r="AA317" s="51">
        <f t="shared" si="829"/>
        <v>0</v>
      </c>
      <c r="AB317" s="51">
        <f t="shared" si="830"/>
        <v>0</v>
      </c>
      <c r="AC317" s="51">
        <f t="shared" si="831"/>
        <v>0</v>
      </c>
      <c r="AD317" s="51">
        <f t="shared" si="832"/>
        <v>0</v>
      </c>
      <c r="AE317" s="51">
        <f t="shared" si="833"/>
        <v>0</v>
      </c>
      <c r="AF317" s="51">
        <f t="shared" si="834"/>
        <v>0</v>
      </c>
      <c r="AG317" s="51">
        <f t="shared" si="835"/>
        <v>0</v>
      </c>
      <c r="AH317" s="54">
        <f t="shared" si="836"/>
        <v>0</v>
      </c>
      <c r="AI317" s="55">
        <f t="shared" si="837"/>
        <v>0</v>
      </c>
      <c r="AJ317" s="56">
        <f>IF(AND($E317&lt;&gt;0,$F317&gt;0,YEAR($F317)&gt;=Preisindex!$A$6,YEAR(AE$4)&gt;=YEAR($F317),AND($K317&lt;&gt;"a",$K317&lt;&gt;"b",$K317&lt;&gt;"g",$K317&lt;&gt;"k")),1,IF(AND($E317&lt;&gt;0,$F317&gt;0,YEAR($F317)&gt;=Preisindex!$A$6,YEAR(AE$4)&gt;=YEAR($F317),$K317="a"),ROUND(VLOOKUP(AJ$4,Preisindex,5,FALSE)/VLOOKUP(YEAR($F317),Preisindex,5,FALSE),2),IF(AND($E317&lt;&gt;0,$F317&gt;0,YEAR($F317)&gt;=Preisindex!$A$6,YEAR(AE$4)&gt;=YEAR($F317),$K317="b"),ROUND(VLOOKUP(AJ$4,Preisindex,3,FALSE)/VLOOKUP(YEAR($F317),Preisindex,3,FALSE),2),IF(AND($E317&lt;&gt;0,$F317&gt;0,YEAR($F317)&gt;=Preisindex!$A$6,YEAR(AE$4)&gt;=YEAR($F317),$K317="g"),ROUND(VLOOKUP(AJ$4,Preisindex,4,FALSE)/VLOOKUP(YEAR($F317),Preisindex,4,FALSE),2),IF(AND($E317&lt;&gt;0,$F317&gt;0,YEAR($F317)&gt;=Preisindex!$A$6,YEAR(AE$4)&gt;=YEAR($F317),$K317="k"),ROUND(VLOOKUP(AJ$4,Preisindex,2,FALSE)/VLOOKUP(YEAR($F317),Preisindex,2,FALSE),2),0)))))</f>
        <v>0</v>
      </c>
      <c r="AK317" s="56">
        <f>IF(AND($E317&lt;&gt;0,$F317&gt;0,YEAR($F317)&lt;Preisindex!$A$6,YEAR(AE$4)&gt;=YEAR($F317),AND($K317&lt;&gt;"a",$K317&lt;&gt;"b",$K317&lt;&gt;"g",$K317&lt;&gt;"k")),1,IF(AND($E317&lt;&gt;0,$F317&gt;0,YEAR($F317)&lt;Preisindex!$A$6,YEAR(AE$4)&gt;=YEAR($F317),$K317="a"),ROUND(VLOOKUP(AJ$4,Preisindex,5,FALSE)/VLOOKUP(Preisindex!$A$6,Preisindex,5,FALSE),2),IF(AND($E317&lt;&gt;0,$F317&gt;0,YEAR($F317)&lt;Preisindex!$A$6,YEAR(AE$4)&gt;=YEAR($F317),$K317="b"),ROUND(VLOOKUP(AJ$4,Preisindex,3,FALSE)/VLOOKUP(Preisindex!$A$6,Preisindex,3,FALSE),2),IF(AND($E317&lt;&gt;0,$F317&gt;0,YEAR($F317)&lt;Preisindex!$A$6,YEAR(AE$4)&gt;=YEAR($F317),$K317="g"),ROUND(VLOOKUP(AJ$4,Preisindex,4,FALSE)/VLOOKUP(Preisindex!$A$6,Preisindex,4,FALSE),2),IF(AND($E317&lt;&gt;0,$F317&gt;0,YEAR($F317)&lt;Preisindex!$A$6,YEAR(AE$4)&gt;=YEAR($F317),$K317="k"),ROUND(VLOOKUP(AJ$4,Preisindex,2,FALSE)/VLOOKUP(Preisindex!$A$6,Preisindex,2,FALSE),2),0)))))</f>
        <v>0</v>
      </c>
      <c r="AL317" s="51">
        <f>IF(AND($E317&lt;&gt;0,$F317&gt;0,YEAR($F317)&lt;=AJ$4,YEAR($F317)&gt;=Preisindex!$A$6),ROUND($E317*AJ317,2),IF(AND($E317&lt;&gt;0,$F317&gt;0,YEAR($F317)&lt;=AJ$4,YEAR($F317)&lt;Preisindex!$A$6),ROUND($E317*AK317,2),0))</f>
        <v>0</v>
      </c>
      <c r="AM317" s="53">
        <f t="shared" si="838"/>
        <v>0</v>
      </c>
      <c r="AN317" s="51">
        <f t="shared" si="883"/>
        <v>0</v>
      </c>
      <c r="AO317" s="51">
        <f t="shared" si="841"/>
        <v>0</v>
      </c>
      <c r="AP317" s="51">
        <f t="shared" si="755"/>
        <v>0</v>
      </c>
      <c r="AQ317" s="51">
        <f t="shared" si="842"/>
        <v>0</v>
      </c>
      <c r="AR317" s="51">
        <f t="shared" si="756"/>
        <v>0</v>
      </c>
      <c r="AS317" s="51">
        <f t="shared" si="843"/>
        <v>0</v>
      </c>
      <c r="AT317" s="51">
        <f t="shared" si="757"/>
        <v>0</v>
      </c>
      <c r="AU317" s="51">
        <f t="shared" si="844"/>
        <v>0</v>
      </c>
      <c r="AV317" s="51">
        <f t="shared" si="758"/>
        <v>0</v>
      </c>
      <c r="AW317" s="51">
        <f t="shared" si="845"/>
        <v>0</v>
      </c>
      <c r="AX317" s="51">
        <f t="shared" si="759"/>
        <v>0</v>
      </c>
      <c r="AY317" s="54">
        <f t="shared" si="760"/>
        <v>0</v>
      </c>
      <c r="AZ317" s="55">
        <f t="shared" si="761"/>
        <v>0</v>
      </c>
      <c r="BA317" s="56">
        <f>IF(AND($E317&lt;&gt;0,$F317&gt;0,YEAR($F317)&gt;=Preisindex!$A$6,YEAR(AV$4)&gt;=YEAR($F317),AND($K317&lt;&gt;"a",$K317&lt;&gt;"b",$K317&lt;&gt;"g",$K317&lt;&gt;"k")),1,IF(AND($E317&lt;&gt;0,$F317&gt;0,YEAR($F317)&gt;=Preisindex!$A$6,YEAR(AV$4)&gt;=YEAR($F317),$K317="a"),ROUND(VLOOKUP(BA$4,Preisindex,5,FALSE)/VLOOKUP(YEAR($F317),Preisindex,5,FALSE),2),IF(AND($E317&lt;&gt;0,$F317&gt;0,YEAR($F317)&gt;=Preisindex!$A$6,YEAR(AV$4)&gt;=YEAR($F317),$K317="b"),ROUND(VLOOKUP(BA$4,Preisindex,3,FALSE)/VLOOKUP(YEAR($F317),Preisindex,3,FALSE),2),IF(AND($E317&lt;&gt;0,$F317&gt;0,YEAR($F317)&gt;=Preisindex!$A$6,YEAR(AV$4)&gt;=YEAR($F317),$K317="g"),ROUND(VLOOKUP(BA$4,Preisindex,4,FALSE)/VLOOKUP(YEAR($F317),Preisindex,4,FALSE),2),IF(AND($E317&lt;&gt;0,$F317&gt;0,YEAR($F317)&gt;=Preisindex!$A$6,YEAR(AV$4)&gt;=YEAR($F317),$K317="k"),ROUND(VLOOKUP(BA$4,Preisindex,2,FALSE)/VLOOKUP(YEAR($F317),Preisindex,2,FALSE),2),0)))))</f>
        <v>0</v>
      </c>
      <c r="BB317" s="56">
        <f>IF(AND($E317&lt;&gt;0,$F317&gt;0,YEAR($F317)&lt;Preisindex!$A$6,YEAR(AV$4)&gt;=YEAR($F317),AND($K317&lt;&gt;"a",$K317&lt;&gt;"b",$K317&lt;&gt;"g",$K317&lt;&gt;"k")),1,IF(AND($E317&lt;&gt;0,$F317&gt;0,YEAR($F317)&lt;Preisindex!$A$6,YEAR(AV$4)&gt;=YEAR($F317),$K317="a"),ROUND(VLOOKUP(BA$4,Preisindex,5,FALSE)/VLOOKUP(Preisindex!$A$6,Preisindex,5,FALSE),2),IF(AND($E317&lt;&gt;0,$F317&gt;0,YEAR($F317)&lt;Preisindex!$A$6,YEAR(AV$4)&gt;=YEAR($F317),$K317="b"),ROUND(VLOOKUP(BA$4,Preisindex,3,FALSE)/VLOOKUP(Preisindex!$A$6,Preisindex,3,FALSE),2),IF(AND($E317&lt;&gt;0,$F317&gt;0,YEAR($F317)&lt;Preisindex!$A$6,YEAR(AV$4)&gt;=YEAR($F317),$K317="g"),ROUND(VLOOKUP(BA$4,Preisindex,4,FALSE)/VLOOKUP(Preisindex!$A$6,Preisindex,4,FALSE),2),IF(AND($E317&lt;&gt;0,$F317&gt;0,YEAR($F317)&lt;Preisindex!$A$6,YEAR(AV$4)&gt;=YEAR($F317),$K317="k"),ROUND(VLOOKUP(BA$4,Preisindex,2,FALSE)/VLOOKUP(Preisindex!$A$6,Preisindex,2,FALSE),2),0)))))</f>
        <v>0</v>
      </c>
      <c r="BC317" s="51">
        <f>IF(AND($E317&lt;&gt;0,$F317&gt;0,YEAR($F317)&lt;=BA$4,YEAR($F317)&gt;=Preisindex!$A$6),ROUND($E317*BA317,2),IF(AND($E317&lt;&gt;0,$F317&gt;0,YEAR($F317)&lt;=BA$4,YEAR($F317)&lt;Preisindex!$A$6),ROUND($E317*BB317,2),0))</f>
        <v>0</v>
      </c>
      <c r="BD317" s="53">
        <f t="shared" si="762"/>
        <v>0</v>
      </c>
      <c r="BE317" s="51">
        <f t="shared" si="883"/>
        <v>0</v>
      </c>
      <c r="BF317" s="51">
        <f t="shared" si="846"/>
        <v>0</v>
      </c>
      <c r="BG317" s="51">
        <f t="shared" si="763"/>
        <v>0</v>
      </c>
      <c r="BH317" s="51">
        <f t="shared" si="847"/>
        <v>0</v>
      </c>
      <c r="BI317" s="51">
        <f t="shared" si="764"/>
        <v>0</v>
      </c>
      <c r="BJ317" s="51">
        <f t="shared" si="848"/>
        <v>0</v>
      </c>
      <c r="BK317" s="51">
        <f t="shared" si="765"/>
        <v>0</v>
      </c>
      <c r="BL317" s="51">
        <f t="shared" si="849"/>
        <v>0</v>
      </c>
      <c r="BM317" s="51">
        <f t="shared" si="766"/>
        <v>0</v>
      </c>
      <c r="BN317" s="51">
        <f t="shared" si="850"/>
        <v>0</v>
      </c>
      <c r="BO317" s="51">
        <f t="shared" si="767"/>
        <v>0</v>
      </c>
      <c r="BP317" s="54">
        <f t="shared" si="768"/>
        <v>0</v>
      </c>
      <c r="BQ317" s="55">
        <f t="shared" si="769"/>
        <v>0</v>
      </c>
      <c r="BR317" s="56">
        <f>IF(AND($E317&lt;&gt;0,$F317&gt;0,YEAR($F317)&gt;=Preisindex!$A$6,YEAR(BM$4)&gt;=YEAR($F317),AND($K317&lt;&gt;"a",$K317&lt;&gt;"b",$K317&lt;&gt;"g",$K317&lt;&gt;"k")),1,IF(AND($E317&lt;&gt;0,$F317&gt;0,YEAR($F317)&gt;=Preisindex!$A$6,YEAR(BM$4)&gt;=YEAR($F317),$K317="a"),ROUND(VLOOKUP(BR$4,Preisindex,5,FALSE)/VLOOKUP(YEAR($F317),Preisindex,5,FALSE),2),IF(AND($E317&lt;&gt;0,$F317&gt;0,YEAR($F317)&gt;=Preisindex!$A$6,YEAR(BM$4)&gt;=YEAR($F317),$K317="b"),ROUND(VLOOKUP(BR$4,Preisindex,3,FALSE)/VLOOKUP(YEAR($F317),Preisindex,3,FALSE),2),IF(AND($E317&lt;&gt;0,$F317&gt;0,YEAR($F317)&gt;=Preisindex!$A$6,YEAR(BM$4)&gt;=YEAR($F317),$K317="g"),ROUND(VLOOKUP(BR$4,Preisindex,4,FALSE)/VLOOKUP(YEAR($F317),Preisindex,4,FALSE),2),IF(AND($E317&lt;&gt;0,$F317&gt;0,YEAR($F317)&gt;=Preisindex!$A$6,YEAR(BM$4)&gt;=YEAR($F317),$K317="k"),ROUND(VLOOKUP(BR$4,Preisindex,2,FALSE)/VLOOKUP(YEAR($F317),Preisindex,2,FALSE),2),0)))))</f>
        <v>0</v>
      </c>
      <c r="BS317" s="56">
        <f>IF(AND($E317&lt;&gt;0,$F317&gt;0,YEAR($F317)&lt;Preisindex!$A$6,YEAR(BM$4)&gt;=YEAR($F317),AND($K317&lt;&gt;"a",$K317&lt;&gt;"b",$K317&lt;&gt;"g",$K317&lt;&gt;"k")),1,IF(AND($E317&lt;&gt;0,$F317&gt;0,YEAR($F317)&lt;Preisindex!$A$6,YEAR(BM$4)&gt;=YEAR($F317),$K317="a"),ROUND(VLOOKUP(BR$4,Preisindex,5,FALSE)/VLOOKUP(Preisindex!$A$6,Preisindex,5,FALSE),2),IF(AND($E317&lt;&gt;0,$F317&gt;0,YEAR($F317)&lt;Preisindex!$A$6,YEAR(BM$4)&gt;=YEAR($F317),$K317="b"),ROUND(VLOOKUP(BR$4,Preisindex,3,FALSE)/VLOOKUP(Preisindex!$A$6,Preisindex,3,FALSE),2),IF(AND($E317&lt;&gt;0,$F317&gt;0,YEAR($F317)&lt;Preisindex!$A$6,YEAR(BM$4)&gt;=YEAR($F317),$K317="g"),ROUND(VLOOKUP(BR$4,Preisindex,4,FALSE)/VLOOKUP(Preisindex!$A$6,Preisindex,4,FALSE),2),IF(AND($E317&lt;&gt;0,$F317&gt;0,YEAR($F317)&lt;Preisindex!$A$6,YEAR(BM$4)&gt;=YEAR($F317),$K317="k"),ROUND(VLOOKUP(BR$4,Preisindex,2,FALSE)/VLOOKUP(Preisindex!$A$6,Preisindex,2,FALSE),2),0)))))</f>
        <v>0</v>
      </c>
      <c r="BT317" s="51">
        <f>IF(AND($E317&lt;&gt;0,$F317&gt;0,YEAR($F317)&lt;=BR$4,YEAR($F317)&gt;=Preisindex!$A$6),ROUND($E317*BR317,2),IF(AND($E317&lt;&gt;0,$F317&gt;0,YEAR($F317)&lt;=BR$4,YEAR($F317)&lt;Preisindex!$A$6),ROUND($E317*BS317,2),0))</f>
        <v>0</v>
      </c>
      <c r="BU317" s="53">
        <f t="shared" si="770"/>
        <v>0</v>
      </c>
      <c r="BV317" s="51">
        <f t="shared" si="883"/>
        <v>0</v>
      </c>
      <c r="BW317" s="51">
        <f t="shared" si="851"/>
        <v>0</v>
      </c>
      <c r="BX317" s="51">
        <f t="shared" si="771"/>
        <v>0</v>
      </c>
      <c r="BY317" s="51">
        <f t="shared" si="852"/>
        <v>0</v>
      </c>
      <c r="BZ317" s="51">
        <f t="shared" si="772"/>
        <v>0</v>
      </c>
      <c r="CA317" s="51">
        <f t="shared" si="853"/>
        <v>0</v>
      </c>
      <c r="CB317" s="51">
        <f t="shared" si="773"/>
        <v>0</v>
      </c>
      <c r="CC317" s="51">
        <f t="shared" si="854"/>
        <v>0</v>
      </c>
      <c r="CD317" s="51">
        <f t="shared" si="774"/>
        <v>0</v>
      </c>
      <c r="CE317" s="51">
        <f t="shared" si="855"/>
        <v>0</v>
      </c>
      <c r="CF317" s="51">
        <f t="shared" si="775"/>
        <v>0</v>
      </c>
      <c r="CG317" s="54">
        <f t="shared" si="776"/>
        <v>0</v>
      </c>
      <c r="CH317" s="55">
        <f t="shared" si="777"/>
        <v>0</v>
      </c>
      <c r="CI317" s="56">
        <f>IF(AND($E317&lt;&gt;0,$F317&gt;0,YEAR($F317)&gt;=Preisindex!$A$6,YEAR(CD$4)&gt;=YEAR($F317),AND($K317&lt;&gt;"a",$K317&lt;&gt;"b",$K317&lt;&gt;"g",$K317&lt;&gt;"k")),1,IF(AND($E317&lt;&gt;0,$F317&gt;0,YEAR($F317)&gt;=Preisindex!$A$6,YEAR(CD$4)&gt;=YEAR($F317),$K317="a"),ROUND(VLOOKUP(CI$4,Preisindex,5,FALSE)/VLOOKUP(YEAR($F317),Preisindex,5,FALSE),2),IF(AND($E317&lt;&gt;0,$F317&gt;0,YEAR($F317)&gt;=Preisindex!$A$6,YEAR(CD$4)&gt;=YEAR($F317),$K317="b"),ROUND(VLOOKUP(CI$4,Preisindex,3,FALSE)/VLOOKUP(YEAR($F317),Preisindex,3,FALSE),2),IF(AND($E317&lt;&gt;0,$F317&gt;0,YEAR($F317)&gt;=Preisindex!$A$6,YEAR(CD$4)&gt;=YEAR($F317),$K317="g"),ROUND(VLOOKUP(CI$4,Preisindex,4,FALSE)/VLOOKUP(YEAR($F317),Preisindex,4,FALSE),2),IF(AND($E317&lt;&gt;0,$F317&gt;0,YEAR($F317)&gt;=Preisindex!$A$6,YEAR(CD$4)&gt;=YEAR($F317),$K317="k"),ROUND(VLOOKUP(CI$4,Preisindex,2,FALSE)/VLOOKUP(YEAR($F317),Preisindex,2,FALSE),2),0)))))</f>
        <v>0</v>
      </c>
      <c r="CJ317" s="56">
        <f>IF(AND($E317&lt;&gt;0,$F317&gt;0,YEAR($F317)&lt;Preisindex!$A$6,YEAR(CD$4)&gt;=YEAR($F317),AND($K317&lt;&gt;"a",$K317&lt;&gt;"b",$K317&lt;&gt;"g",$K317&lt;&gt;"k")),1,IF(AND($E317&lt;&gt;0,$F317&gt;0,YEAR($F317)&lt;Preisindex!$A$6,YEAR(CD$4)&gt;=YEAR($F317),$K317="a"),ROUND(VLOOKUP(CI$4,Preisindex,5,FALSE)/VLOOKUP(Preisindex!$A$6,Preisindex,5,FALSE),2),IF(AND($E317&lt;&gt;0,$F317&gt;0,YEAR($F317)&lt;Preisindex!$A$6,YEAR(CD$4)&gt;=YEAR($F317),$K317="b"),ROUND(VLOOKUP(CI$4,Preisindex,3,FALSE)/VLOOKUP(Preisindex!$A$6,Preisindex,3,FALSE),2),IF(AND($E317&lt;&gt;0,$F317&gt;0,YEAR($F317)&lt;Preisindex!$A$6,YEAR(CD$4)&gt;=YEAR($F317),$K317="g"),ROUND(VLOOKUP(CI$4,Preisindex,4,FALSE)/VLOOKUP(Preisindex!$A$6,Preisindex,4,FALSE),2),IF(AND($E317&lt;&gt;0,$F317&gt;0,YEAR($F317)&lt;Preisindex!$A$6,YEAR(CD$4)&gt;=YEAR($F317),$K317="k"),ROUND(VLOOKUP(CI$4,Preisindex,2,FALSE)/VLOOKUP(Preisindex!$A$6,Preisindex,2,FALSE),2),0)))))</f>
        <v>0</v>
      </c>
      <c r="CK317" s="51">
        <f>IF(AND($E317&lt;&gt;0,$F317&gt;0,YEAR($F317)&lt;=CI$4,YEAR($F317)&gt;=Preisindex!$A$6),ROUND($E317*CI317,2),IF(AND($E317&lt;&gt;0,$F317&gt;0,YEAR($F317)&lt;=CI$4,YEAR($F317)&lt;Preisindex!$A$6),ROUND($E317*CJ317,2),0))</f>
        <v>0</v>
      </c>
      <c r="CL317" s="53">
        <f t="shared" si="778"/>
        <v>0</v>
      </c>
      <c r="CM317" s="51">
        <f t="shared" si="883"/>
        <v>0</v>
      </c>
      <c r="CN317" s="51">
        <f t="shared" si="856"/>
        <v>0</v>
      </c>
      <c r="CO317" s="51">
        <f t="shared" si="779"/>
        <v>0</v>
      </c>
      <c r="CP317" s="51">
        <f t="shared" si="857"/>
        <v>0</v>
      </c>
      <c r="CQ317" s="51">
        <f t="shared" si="780"/>
        <v>0</v>
      </c>
      <c r="CR317" s="51">
        <f t="shared" si="858"/>
        <v>0</v>
      </c>
      <c r="CS317" s="51">
        <f t="shared" si="781"/>
        <v>0</v>
      </c>
      <c r="CT317" s="51">
        <f t="shared" si="859"/>
        <v>0</v>
      </c>
      <c r="CU317" s="51">
        <f t="shared" si="782"/>
        <v>0</v>
      </c>
      <c r="CV317" s="51">
        <f t="shared" si="860"/>
        <v>0</v>
      </c>
      <c r="CW317" s="51">
        <f t="shared" si="783"/>
        <v>0</v>
      </c>
      <c r="CX317" s="54">
        <f t="shared" si="784"/>
        <v>0</v>
      </c>
      <c r="CY317" s="55">
        <f t="shared" si="785"/>
        <v>0</v>
      </c>
      <c r="CZ317" s="56">
        <f>IF(AND($E317&lt;&gt;0,$F317&gt;0,YEAR($F317)&gt;=Preisindex!$A$6,YEAR(CU$4)&gt;=YEAR($F317),AND($K317&lt;&gt;"a",$K317&lt;&gt;"b",$K317&lt;&gt;"g",$K317&lt;&gt;"k")),1,IF(AND($E317&lt;&gt;0,$F317&gt;0,YEAR($F317)&gt;=Preisindex!$A$6,YEAR(CU$4)&gt;=YEAR($F317),$K317="a"),ROUND(VLOOKUP(CZ$4,Preisindex,5,FALSE)/VLOOKUP(YEAR($F317),Preisindex,5,FALSE),2),IF(AND($E317&lt;&gt;0,$F317&gt;0,YEAR($F317)&gt;=Preisindex!$A$6,YEAR(CU$4)&gt;=YEAR($F317),$K317="b"),ROUND(VLOOKUP(CZ$4,Preisindex,3,FALSE)/VLOOKUP(YEAR($F317),Preisindex,3,FALSE),2),IF(AND($E317&lt;&gt;0,$F317&gt;0,YEAR($F317)&gt;=Preisindex!$A$6,YEAR(CU$4)&gt;=YEAR($F317),$K317="g"),ROUND(VLOOKUP(CZ$4,Preisindex,4,FALSE)/VLOOKUP(YEAR($F317),Preisindex,4,FALSE),2),IF(AND($E317&lt;&gt;0,$F317&gt;0,YEAR($F317)&gt;=Preisindex!$A$6,YEAR(CU$4)&gt;=YEAR($F317),$K317="k"),ROUND(VLOOKUP(CZ$4,Preisindex,2,FALSE)/VLOOKUP(YEAR($F317),Preisindex,2,FALSE),2),0)))))</f>
        <v>0</v>
      </c>
      <c r="DA317" s="56">
        <f>IF(AND($E317&lt;&gt;0,$F317&gt;0,YEAR($F317)&lt;Preisindex!$A$6,YEAR(CU$4)&gt;=YEAR($F317),AND($K317&lt;&gt;"a",$K317&lt;&gt;"b",$K317&lt;&gt;"g",$K317&lt;&gt;"k")),1,IF(AND($E317&lt;&gt;0,$F317&gt;0,YEAR($F317)&lt;Preisindex!$A$6,YEAR(CU$4)&gt;=YEAR($F317),$K317="a"),ROUND(VLOOKUP(CZ$4,Preisindex,5,FALSE)/VLOOKUP(Preisindex!$A$6,Preisindex,5,FALSE),2),IF(AND($E317&lt;&gt;0,$F317&gt;0,YEAR($F317)&lt;Preisindex!$A$6,YEAR(CU$4)&gt;=YEAR($F317),$K317="b"),ROUND(VLOOKUP(CZ$4,Preisindex,3,FALSE)/VLOOKUP(Preisindex!$A$6,Preisindex,3,FALSE),2),IF(AND($E317&lt;&gt;0,$F317&gt;0,YEAR($F317)&lt;Preisindex!$A$6,YEAR(CU$4)&gt;=YEAR($F317),$K317="g"),ROUND(VLOOKUP(CZ$4,Preisindex,4,FALSE)/VLOOKUP(Preisindex!$A$6,Preisindex,4,FALSE),2),IF(AND($E317&lt;&gt;0,$F317&gt;0,YEAR($F317)&lt;Preisindex!$A$6,YEAR(CU$4)&gt;=YEAR($F317),$K317="k"),ROUND(VLOOKUP(CZ$4,Preisindex,2,FALSE)/VLOOKUP(Preisindex!$A$6,Preisindex,2,FALSE),2),0)))))</f>
        <v>0</v>
      </c>
      <c r="DB317" s="51">
        <f>IF(AND($E317&lt;&gt;0,$F317&gt;0,YEAR($F317)&lt;=CZ$4,YEAR($F317)&gt;=Preisindex!$A$6),ROUND($E317*CZ317,2),IF(AND($E317&lt;&gt;0,$F317&gt;0,YEAR($F317)&lt;=CZ$4,YEAR($F317)&lt;Preisindex!$A$6),ROUND($E317*DA317,2),0))</f>
        <v>0</v>
      </c>
      <c r="DC317" s="53">
        <f t="shared" si="786"/>
        <v>0</v>
      </c>
      <c r="DD317" s="51">
        <f t="shared" si="884"/>
        <v>0</v>
      </c>
      <c r="DE317" s="51">
        <f t="shared" si="861"/>
        <v>0</v>
      </c>
      <c r="DF317" s="51">
        <f t="shared" si="788"/>
        <v>0</v>
      </c>
      <c r="DG317" s="51">
        <f t="shared" si="862"/>
        <v>0</v>
      </c>
      <c r="DH317" s="51">
        <f t="shared" si="789"/>
        <v>0</v>
      </c>
      <c r="DI317" s="51">
        <f t="shared" si="863"/>
        <v>0</v>
      </c>
      <c r="DJ317" s="51">
        <f t="shared" si="790"/>
        <v>0</v>
      </c>
      <c r="DK317" s="51">
        <f t="shared" si="864"/>
        <v>0</v>
      </c>
      <c r="DL317" s="51">
        <f t="shared" si="791"/>
        <v>0</v>
      </c>
      <c r="DM317" s="51">
        <f t="shared" si="865"/>
        <v>0</v>
      </c>
      <c r="DN317" s="51">
        <f t="shared" si="792"/>
        <v>0</v>
      </c>
      <c r="DO317" s="54">
        <f t="shared" si="793"/>
        <v>0</v>
      </c>
      <c r="DP317" s="55">
        <f t="shared" si="794"/>
        <v>0</v>
      </c>
      <c r="DQ317" s="56">
        <f>IF(AND($E317&lt;&gt;0,$F317&gt;0,YEAR($F317)&gt;=Preisindex!$A$6,YEAR(DL$4)&gt;=YEAR($F317),AND($K317&lt;&gt;"a",$K317&lt;&gt;"b",$K317&lt;&gt;"g",$K317&lt;&gt;"k")),1,IF(AND($E317&lt;&gt;0,$F317&gt;0,YEAR($F317)&gt;=Preisindex!$A$6,YEAR(DL$4)&gt;=YEAR($F317),$K317="a"),ROUND(VLOOKUP(DQ$4,Preisindex,5,FALSE)/VLOOKUP(YEAR($F317),Preisindex,5,FALSE),2),IF(AND($E317&lt;&gt;0,$F317&gt;0,YEAR($F317)&gt;=Preisindex!$A$6,YEAR(DL$4)&gt;=YEAR($F317),$K317="b"),ROUND(VLOOKUP(DQ$4,Preisindex,3,FALSE)/VLOOKUP(YEAR($F317),Preisindex,3,FALSE),2),IF(AND($E317&lt;&gt;0,$F317&gt;0,YEAR($F317)&gt;=Preisindex!$A$6,YEAR(DL$4)&gt;=YEAR($F317),$K317="g"),ROUND(VLOOKUP(DQ$4,Preisindex,4,FALSE)/VLOOKUP(YEAR($F317),Preisindex,4,FALSE),2),IF(AND($E317&lt;&gt;0,$F317&gt;0,YEAR($F317)&gt;=Preisindex!$A$6,YEAR(DL$4)&gt;=YEAR($F317),$K317="k"),ROUND(VLOOKUP(DQ$4,Preisindex,2,FALSE)/VLOOKUP(YEAR($F317),Preisindex,2,FALSE),2),0)))))</f>
        <v>0</v>
      </c>
      <c r="DR317" s="56">
        <f>IF(AND($E317&lt;&gt;0,$F317&gt;0,YEAR($F317)&lt;Preisindex!$A$6,YEAR(DL$4)&gt;=YEAR($F317),AND($K317&lt;&gt;"a",$K317&lt;&gt;"b",$K317&lt;&gt;"g",$K317&lt;&gt;"k")),1,IF(AND($E317&lt;&gt;0,$F317&gt;0,YEAR($F317)&lt;Preisindex!$A$6,YEAR(DL$4)&gt;=YEAR($F317),$K317="a"),ROUND(VLOOKUP(DQ$4,Preisindex,5,FALSE)/VLOOKUP(Preisindex!$A$6,Preisindex,5,FALSE),2),IF(AND($E317&lt;&gt;0,$F317&gt;0,YEAR($F317)&lt;Preisindex!$A$6,YEAR(DL$4)&gt;=YEAR($F317),$K317="b"),ROUND(VLOOKUP(DQ$4,Preisindex,3,FALSE)/VLOOKUP(Preisindex!$A$6,Preisindex,3,FALSE),2),IF(AND($E317&lt;&gt;0,$F317&gt;0,YEAR($F317)&lt;Preisindex!$A$6,YEAR(DL$4)&gt;=YEAR($F317),$K317="g"),ROUND(VLOOKUP(DQ$4,Preisindex,4,FALSE)/VLOOKUP(Preisindex!$A$6,Preisindex,4,FALSE),2),IF(AND($E317&lt;&gt;0,$F317&gt;0,YEAR($F317)&lt;Preisindex!$A$6,YEAR(DL$4)&gt;=YEAR($F317),$K317="k"),ROUND(VLOOKUP(DQ$4,Preisindex,2,FALSE)/VLOOKUP(Preisindex!$A$6,Preisindex,2,FALSE),2),0)))))</f>
        <v>0</v>
      </c>
      <c r="DS317" s="51">
        <f>IF(AND($E317&lt;&gt;0,$F317&gt;0,YEAR($F317)&lt;=DQ$4,YEAR($F317)&gt;=Preisindex!$A$6),ROUND($E317*DQ317,2),IF(AND($E317&lt;&gt;0,$F317&gt;0,YEAR($F317)&lt;=DQ$4,YEAR($F317)&lt;Preisindex!$A$6),ROUND($E317*DR317,2),0))</f>
        <v>0</v>
      </c>
      <c r="DT317" s="53">
        <f t="shared" si="795"/>
        <v>0</v>
      </c>
      <c r="DU317" s="51">
        <f t="shared" si="884"/>
        <v>0</v>
      </c>
      <c r="DV317" s="51">
        <f t="shared" si="866"/>
        <v>0</v>
      </c>
      <c r="DW317" s="51">
        <f t="shared" si="796"/>
        <v>0</v>
      </c>
      <c r="DX317" s="51">
        <f t="shared" si="867"/>
        <v>0</v>
      </c>
      <c r="DY317" s="51">
        <f t="shared" si="797"/>
        <v>0</v>
      </c>
      <c r="DZ317" s="51">
        <f t="shared" si="868"/>
        <v>0</v>
      </c>
      <c r="EA317" s="51">
        <f t="shared" si="798"/>
        <v>0</v>
      </c>
      <c r="EB317" s="51">
        <f t="shared" si="869"/>
        <v>0</v>
      </c>
      <c r="EC317" s="51">
        <f t="shared" si="799"/>
        <v>0</v>
      </c>
      <c r="ED317" s="51">
        <f t="shared" si="870"/>
        <v>0</v>
      </c>
      <c r="EE317" s="51">
        <f t="shared" si="800"/>
        <v>0</v>
      </c>
      <c r="EF317" s="54">
        <f t="shared" si="801"/>
        <v>0</v>
      </c>
      <c r="EG317" s="55">
        <f t="shared" si="802"/>
        <v>0</v>
      </c>
      <c r="EH317" s="56">
        <f>IF(AND($E317&lt;&gt;0,$F317&gt;0,YEAR($F317)&gt;=Preisindex!$A$6,YEAR(EC$4)&gt;=YEAR($F317),AND($K317&lt;&gt;"a",$K317&lt;&gt;"b",$K317&lt;&gt;"g",$K317&lt;&gt;"k")),1,IF(AND($E317&lt;&gt;0,$F317&gt;0,YEAR($F317)&gt;=Preisindex!$A$6,YEAR(EC$4)&gt;=YEAR($F317),$K317="a"),ROUND(VLOOKUP(EH$4,Preisindex,5,FALSE)/VLOOKUP(YEAR($F317),Preisindex,5,FALSE),2),IF(AND($E317&lt;&gt;0,$F317&gt;0,YEAR($F317)&gt;=Preisindex!$A$6,YEAR(EC$4)&gt;=YEAR($F317),$K317="b"),ROUND(VLOOKUP(EH$4,Preisindex,3,FALSE)/VLOOKUP(YEAR($F317),Preisindex,3,FALSE),2),IF(AND($E317&lt;&gt;0,$F317&gt;0,YEAR($F317)&gt;=Preisindex!$A$6,YEAR(EC$4)&gt;=YEAR($F317),$K317="g"),ROUND(VLOOKUP(EH$4,Preisindex,4,FALSE)/VLOOKUP(YEAR($F317),Preisindex,4,FALSE),2),IF(AND($E317&lt;&gt;0,$F317&gt;0,YEAR($F317)&gt;=Preisindex!$A$6,YEAR(EC$4)&gt;=YEAR($F317),$K317="k"),ROUND(VLOOKUP(EH$4,Preisindex,2,FALSE)/VLOOKUP(YEAR($F317),Preisindex,2,FALSE),2),0)))))</f>
        <v>0</v>
      </c>
      <c r="EI317" s="56">
        <f>IF(AND($E317&lt;&gt;0,$F317&gt;0,YEAR($F317)&lt;Preisindex!$A$6,YEAR(EC$4)&gt;=YEAR($F317),AND($K317&lt;&gt;"a",$K317&lt;&gt;"b",$K317&lt;&gt;"g",$K317&lt;&gt;"k")),1,IF(AND($E317&lt;&gt;0,$F317&gt;0,YEAR($F317)&lt;Preisindex!$A$6,YEAR(EC$4)&gt;=YEAR($F317),$K317="a"),ROUND(VLOOKUP(EH$4,Preisindex,5,FALSE)/VLOOKUP(Preisindex!$A$6,Preisindex,5,FALSE),2),IF(AND($E317&lt;&gt;0,$F317&gt;0,YEAR($F317)&lt;Preisindex!$A$6,YEAR(EC$4)&gt;=YEAR($F317),$K317="b"),ROUND(VLOOKUP(EH$4,Preisindex,3,FALSE)/VLOOKUP(Preisindex!$A$6,Preisindex,3,FALSE),2),IF(AND($E317&lt;&gt;0,$F317&gt;0,YEAR($F317)&lt;Preisindex!$A$6,YEAR(EC$4)&gt;=YEAR($F317),$K317="g"),ROUND(VLOOKUP(EH$4,Preisindex,4,FALSE)/VLOOKUP(Preisindex!$A$6,Preisindex,4,FALSE),2),IF(AND($E317&lt;&gt;0,$F317&gt;0,YEAR($F317)&lt;Preisindex!$A$6,YEAR(EC$4)&gt;=YEAR($F317),$K317="k"),ROUND(VLOOKUP(EH$4,Preisindex,2,FALSE)/VLOOKUP(Preisindex!$A$6,Preisindex,2,FALSE),2),0)))))</f>
        <v>0</v>
      </c>
      <c r="EJ317" s="51">
        <f>IF(AND($E317&lt;&gt;0,$F317&gt;0,YEAR($F317)&lt;=EH$4,YEAR($F317)&gt;=Preisindex!$A$6),ROUND($E317*EH317,2),IF(AND($E317&lt;&gt;0,$F317&gt;0,YEAR($F317)&lt;=EH$4,YEAR($F317)&lt;Preisindex!$A$6),ROUND($E317*EI317,2),0))</f>
        <v>0</v>
      </c>
      <c r="EK317" s="53">
        <f t="shared" si="803"/>
        <v>0</v>
      </c>
      <c r="EL317" s="51">
        <f t="shared" si="884"/>
        <v>0</v>
      </c>
      <c r="EM317" s="51">
        <f t="shared" si="871"/>
        <v>0</v>
      </c>
      <c r="EN317" s="51">
        <f t="shared" si="804"/>
        <v>0</v>
      </c>
      <c r="EO317" s="51">
        <f t="shared" si="872"/>
        <v>0</v>
      </c>
      <c r="EP317" s="51">
        <f t="shared" si="805"/>
        <v>0</v>
      </c>
      <c r="EQ317" s="51">
        <f t="shared" si="873"/>
        <v>0</v>
      </c>
      <c r="ER317" s="51">
        <f t="shared" si="806"/>
        <v>0</v>
      </c>
      <c r="ES317" s="51">
        <f t="shared" si="874"/>
        <v>0</v>
      </c>
      <c r="ET317" s="51">
        <f t="shared" si="807"/>
        <v>0</v>
      </c>
      <c r="EU317" s="51">
        <f t="shared" si="875"/>
        <v>0</v>
      </c>
      <c r="EV317" s="51">
        <f t="shared" si="808"/>
        <v>0</v>
      </c>
      <c r="EW317" s="54">
        <f t="shared" si="809"/>
        <v>0</v>
      </c>
      <c r="EX317" s="55">
        <f t="shared" si="810"/>
        <v>0</v>
      </c>
      <c r="EY317" s="56">
        <f>IF(AND($E317&lt;&gt;0,$F317&gt;0,YEAR($F317)&gt;=Preisindex!$A$6,YEAR(ET$4)&gt;=YEAR($F317),AND($K317&lt;&gt;"a",$K317&lt;&gt;"b",$K317&lt;&gt;"g",$K317&lt;&gt;"k")),1,IF(AND($E317&lt;&gt;0,$F317&gt;0,YEAR($F317)&gt;=Preisindex!$A$6,YEAR(ET$4)&gt;=YEAR($F317),$K317="a"),ROUND(VLOOKUP(EY$4,Preisindex,5,FALSE)/VLOOKUP(YEAR($F317),Preisindex,5,FALSE),2),IF(AND($E317&lt;&gt;0,$F317&gt;0,YEAR($F317)&gt;=Preisindex!$A$6,YEAR(ET$4)&gt;=YEAR($F317),$K317="b"),ROUND(VLOOKUP(EY$4,Preisindex,3,FALSE)/VLOOKUP(YEAR($F317),Preisindex,3,FALSE),2),IF(AND($E317&lt;&gt;0,$F317&gt;0,YEAR($F317)&gt;=Preisindex!$A$6,YEAR(ET$4)&gt;=YEAR($F317),$K317="g"),ROUND(VLOOKUP(EY$4,Preisindex,4,FALSE)/VLOOKUP(YEAR($F317),Preisindex,4,FALSE),2),IF(AND($E317&lt;&gt;0,$F317&gt;0,YEAR($F317)&gt;=Preisindex!$A$6,YEAR(ET$4)&gt;=YEAR($F317),$K317="k"),ROUND(VLOOKUP(EY$4,Preisindex,2,FALSE)/VLOOKUP(YEAR($F317),Preisindex,2,FALSE),2),0)))))</f>
        <v>0</v>
      </c>
      <c r="EZ317" s="56">
        <f>IF(AND($E317&lt;&gt;0,$F317&gt;0,YEAR($F317)&lt;Preisindex!$A$6,YEAR(ET$4)&gt;=YEAR($F317),AND($K317&lt;&gt;"a",$K317&lt;&gt;"b",$K317&lt;&gt;"g",$K317&lt;&gt;"k")),1,IF(AND($E317&lt;&gt;0,$F317&gt;0,YEAR($F317)&lt;Preisindex!$A$6,YEAR(ET$4)&gt;=YEAR($F317),$K317="a"),ROUND(VLOOKUP(EY$4,Preisindex,5,FALSE)/VLOOKUP(Preisindex!$A$6,Preisindex,5,FALSE),2),IF(AND($E317&lt;&gt;0,$F317&gt;0,YEAR($F317)&lt;Preisindex!$A$6,YEAR(ET$4)&gt;=YEAR($F317),$K317="b"),ROUND(VLOOKUP(EY$4,Preisindex,3,FALSE)/VLOOKUP(Preisindex!$A$6,Preisindex,3,FALSE),2),IF(AND($E317&lt;&gt;0,$F317&gt;0,YEAR($F317)&lt;Preisindex!$A$6,YEAR(ET$4)&gt;=YEAR($F317),$K317="g"),ROUND(VLOOKUP(EY$4,Preisindex,4,FALSE)/VLOOKUP(Preisindex!$A$6,Preisindex,4,FALSE),2),IF(AND($E317&lt;&gt;0,$F317&gt;0,YEAR($F317)&lt;Preisindex!$A$6,YEAR(ET$4)&gt;=YEAR($F317),$K317="k"),ROUND(VLOOKUP(EY$4,Preisindex,2,FALSE)/VLOOKUP(Preisindex!$A$6,Preisindex,2,FALSE),2),0)))))</f>
        <v>0</v>
      </c>
      <c r="FA317" s="51">
        <f>IF(AND($E317&lt;&gt;0,$F317&gt;0,YEAR($F317)&lt;=EY$4,YEAR($F317)&gt;=Preisindex!$A$6),ROUND($E317*EY317,2),IF(AND($E317&lt;&gt;0,$F317&gt;0,YEAR($F317)&lt;=EY$4,YEAR($F317)&lt;Preisindex!$A$6),ROUND($E317*EZ317,2),0))</f>
        <v>0</v>
      </c>
      <c r="FB317" s="53">
        <f t="shared" si="811"/>
        <v>0</v>
      </c>
      <c r="FC317" s="51">
        <f t="shared" si="884"/>
        <v>0</v>
      </c>
      <c r="FD317" s="51">
        <f t="shared" si="876"/>
        <v>0</v>
      </c>
      <c r="FE317" s="51">
        <f t="shared" si="812"/>
        <v>0</v>
      </c>
      <c r="FF317" s="51">
        <f t="shared" si="877"/>
        <v>0</v>
      </c>
      <c r="FG317" s="51">
        <f t="shared" si="813"/>
        <v>0</v>
      </c>
      <c r="FH317" s="51">
        <f t="shared" si="878"/>
        <v>0</v>
      </c>
      <c r="FI317" s="51">
        <f t="shared" si="814"/>
        <v>0</v>
      </c>
      <c r="FJ317" s="51">
        <f t="shared" si="879"/>
        <v>0</v>
      </c>
      <c r="FK317" s="51">
        <f t="shared" si="815"/>
        <v>0</v>
      </c>
      <c r="FL317" s="51">
        <f t="shared" si="880"/>
        <v>0</v>
      </c>
      <c r="FM317" s="51">
        <f t="shared" si="816"/>
        <v>0</v>
      </c>
      <c r="FN317" s="54">
        <f t="shared" si="817"/>
        <v>0</v>
      </c>
      <c r="FO317" s="55">
        <f t="shared" si="818"/>
        <v>0</v>
      </c>
      <c r="FP317" s="56">
        <f>IF(AND($E317&lt;&gt;0,$F317&gt;0,YEAR($F317)&gt;=Preisindex!$A$6,YEAR(FK$4)&gt;=YEAR($F317),AND($K317&lt;&gt;"a",$K317&lt;&gt;"b",$K317&lt;&gt;"g",$K317&lt;&gt;"k")),1,IF(AND($E317&lt;&gt;0,$F317&gt;0,YEAR($F317)&gt;=Preisindex!$A$6,YEAR(FK$4)&gt;=YEAR($F317),$K317="a"),ROUND(VLOOKUP(FP$4,Preisindex,5,FALSE)/VLOOKUP(YEAR($F317),Preisindex,5,FALSE),2),IF(AND($E317&lt;&gt;0,$F317&gt;0,YEAR($F317)&gt;=Preisindex!$A$6,YEAR(FK$4)&gt;=YEAR($F317),$K317="b"),ROUND(VLOOKUP(FP$4,Preisindex,3,FALSE)/VLOOKUP(YEAR($F317),Preisindex,3,FALSE),2),IF(AND($E317&lt;&gt;0,$F317&gt;0,YEAR($F317)&gt;=Preisindex!$A$6,YEAR(FK$4)&gt;=YEAR($F317),$K317="g"),ROUND(VLOOKUP(FP$4,Preisindex,4,FALSE)/VLOOKUP(YEAR($F317),Preisindex,4,FALSE),2),IF(AND($E317&lt;&gt;0,$F317&gt;0,YEAR($F317)&gt;=Preisindex!$A$6,YEAR(FK$4)&gt;=YEAR($F317),$K317="k"),ROUND(VLOOKUP(FP$4,Preisindex,2,FALSE)/VLOOKUP(YEAR($F317),Preisindex,2,FALSE),2),0)))))</f>
        <v>0</v>
      </c>
      <c r="FQ317" s="56">
        <f>IF(AND($E317&lt;&gt;0,$F317&gt;0,YEAR($F317)&lt;Preisindex!$A$6,YEAR(FK$4)&gt;=YEAR($F317),AND($K317&lt;&gt;"a",$K317&lt;&gt;"b",$K317&lt;&gt;"g",$K317&lt;&gt;"k")),1,IF(AND($E317&lt;&gt;0,$F317&gt;0,YEAR($F317)&lt;Preisindex!$A$6,YEAR(FK$4)&gt;=YEAR($F317),$K317="a"),ROUND(VLOOKUP(FP$4,Preisindex,5,FALSE)/VLOOKUP(Preisindex!$A$6,Preisindex,5,FALSE),2),IF(AND($E317&lt;&gt;0,$F317&gt;0,YEAR($F317)&lt;Preisindex!$A$6,YEAR(FK$4)&gt;=YEAR($F317),$K317="b"),ROUND(VLOOKUP(FP$4,Preisindex,3,FALSE)/VLOOKUP(Preisindex!$A$6,Preisindex,3,FALSE),2),IF(AND($E317&lt;&gt;0,$F317&gt;0,YEAR($F317)&lt;Preisindex!$A$6,YEAR(FK$4)&gt;=YEAR($F317),$K317="g"),ROUND(VLOOKUP(FP$4,Preisindex,4,FALSE)/VLOOKUP(Preisindex!$A$6,Preisindex,4,FALSE),2),IF(AND($E317&lt;&gt;0,$F317&gt;0,YEAR($F317)&lt;Preisindex!$A$6,YEAR(FK$4)&gt;=YEAR($F317),$K317="k"),ROUND(VLOOKUP(FP$4,Preisindex,2,FALSE)/VLOOKUP(Preisindex!$A$6,Preisindex,2,FALSE),2),0)))))</f>
        <v>0</v>
      </c>
      <c r="FR317" s="51">
        <f>IF(AND($E317&lt;&gt;0,$F317&gt;0,YEAR($F317)&lt;=FP$4,YEAR($F317)&gt;=Preisindex!$A$6),ROUND($E317*FP317,2),IF(AND($E317&lt;&gt;0,$F317&gt;0,YEAR($F317)&lt;=FP$4,YEAR($F317)&lt;Preisindex!$A$6),ROUND($E317*FQ317,2),0))</f>
        <v>0</v>
      </c>
      <c r="FS317" s="53">
        <f t="shared" si="819"/>
        <v>0</v>
      </c>
    </row>
    <row r="318" spans="1:175" x14ac:dyDescent="0.3">
      <c r="A318" s="185"/>
      <c r="B318" s="186"/>
      <c r="C318" s="187"/>
      <c r="D318" s="188"/>
      <c r="E318" s="189"/>
      <c r="F318" s="190"/>
      <c r="G318" s="191"/>
      <c r="H318" s="192"/>
      <c r="I318" s="193"/>
      <c r="J318" s="194"/>
      <c r="K318" s="630"/>
      <c r="L318" s="49">
        <f t="shared" si="820"/>
        <v>0</v>
      </c>
      <c r="M318" s="50">
        <f t="shared" si="821"/>
        <v>0</v>
      </c>
      <c r="N318" s="51">
        <f t="shared" si="822"/>
        <v>0</v>
      </c>
      <c r="O318" s="51"/>
      <c r="P318" s="51">
        <f t="shared" si="823"/>
        <v>0</v>
      </c>
      <c r="Q318" s="52"/>
      <c r="R318" s="52"/>
      <c r="S318" s="52"/>
      <c r="T318" s="52"/>
      <c r="U318" s="52"/>
      <c r="V318" s="53">
        <f t="shared" si="824"/>
        <v>0</v>
      </c>
      <c r="W318" s="51">
        <f t="shared" si="825"/>
        <v>0</v>
      </c>
      <c r="X318" s="51">
        <f t="shared" si="826"/>
        <v>0</v>
      </c>
      <c r="Y318" s="51">
        <f t="shared" si="827"/>
        <v>0</v>
      </c>
      <c r="Z318" s="51">
        <f t="shared" si="828"/>
        <v>0</v>
      </c>
      <c r="AA318" s="51">
        <f t="shared" si="829"/>
        <v>0</v>
      </c>
      <c r="AB318" s="51">
        <f t="shared" si="830"/>
        <v>0</v>
      </c>
      <c r="AC318" s="51">
        <f t="shared" si="831"/>
        <v>0</v>
      </c>
      <c r="AD318" s="51">
        <f t="shared" si="832"/>
        <v>0</v>
      </c>
      <c r="AE318" s="51">
        <f t="shared" si="833"/>
        <v>0</v>
      </c>
      <c r="AF318" s="51">
        <f t="shared" si="834"/>
        <v>0</v>
      </c>
      <c r="AG318" s="51">
        <f t="shared" si="835"/>
        <v>0</v>
      </c>
      <c r="AH318" s="54">
        <f t="shared" si="836"/>
        <v>0</v>
      </c>
      <c r="AI318" s="55">
        <f t="shared" si="837"/>
        <v>0</v>
      </c>
      <c r="AJ318" s="56">
        <f>IF(AND($E318&lt;&gt;0,$F318&gt;0,YEAR($F318)&gt;=Preisindex!$A$6,YEAR(AE$4)&gt;=YEAR($F318),AND($K318&lt;&gt;"a",$K318&lt;&gt;"b",$K318&lt;&gt;"g",$K318&lt;&gt;"k")),1,IF(AND($E318&lt;&gt;0,$F318&gt;0,YEAR($F318)&gt;=Preisindex!$A$6,YEAR(AE$4)&gt;=YEAR($F318),$K318="a"),ROUND(VLOOKUP(AJ$4,Preisindex,5,FALSE)/VLOOKUP(YEAR($F318),Preisindex,5,FALSE),2),IF(AND($E318&lt;&gt;0,$F318&gt;0,YEAR($F318)&gt;=Preisindex!$A$6,YEAR(AE$4)&gt;=YEAR($F318),$K318="b"),ROUND(VLOOKUP(AJ$4,Preisindex,3,FALSE)/VLOOKUP(YEAR($F318),Preisindex,3,FALSE),2),IF(AND($E318&lt;&gt;0,$F318&gt;0,YEAR($F318)&gt;=Preisindex!$A$6,YEAR(AE$4)&gt;=YEAR($F318),$K318="g"),ROUND(VLOOKUP(AJ$4,Preisindex,4,FALSE)/VLOOKUP(YEAR($F318),Preisindex,4,FALSE),2),IF(AND($E318&lt;&gt;0,$F318&gt;0,YEAR($F318)&gt;=Preisindex!$A$6,YEAR(AE$4)&gt;=YEAR($F318),$K318="k"),ROUND(VLOOKUP(AJ$4,Preisindex,2,FALSE)/VLOOKUP(YEAR($F318),Preisindex,2,FALSE),2),0)))))</f>
        <v>0</v>
      </c>
      <c r="AK318" s="56">
        <f>IF(AND($E318&lt;&gt;0,$F318&gt;0,YEAR($F318)&lt;Preisindex!$A$6,YEAR(AE$4)&gt;=YEAR($F318),AND($K318&lt;&gt;"a",$K318&lt;&gt;"b",$K318&lt;&gt;"g",$K318&lt;&gt;"k")),1,IF(AND($E318&lt;&gt;0,$F318&gt;0,YEAR($F318)&lt;Preisindex!$A$6,YEAR(AE$4)&gt;=YEAR($F318),$K318="a"),ROUND(VLOOKUP(AJ$4,Preisindex,5,FALSE)/VLOOKUP(Preisindex!$A$6,Preisindex,5,FALSE),2),IF(AND($E318&lt;&gt;0,$F318&gt;0,YEAR($F318)&lt;Preisindex!$A$6,YEAR(AE$4)&gt;=YEAR($F318),$K318="b"),ROUND(VLOOKUP(AJ$4,Preisindex,3,FALSE)/VLOOKUP(Preisindex!$A$6,Preisindex,3,FALSE),2),IF(AND($E318&lt;&gt;0,$F318&gt;0,YEAR($F318)&lt;Preisindex!$A$6,YEAR(AE$4)&gt;=YEAR($F318),$K318="g"),ROUND(VLOOKUP(AJ$4,Preisindex,4,FALSE)/VLOOKUP(Preisindex!$A$6,Preisindex,4,FALSE),2),IF(AND($E318&lt;&gt;0,$F318&gt;0,YEAR($F318)&lt;Preisindex!$A$6,YEAR(AE$4)&gt;=YEAR($F318),$K318="k"),ROUND(VLOOKUP(AJ$4,Preisindex,2,FALSE)/VLOOKUP(Preisindex!$A$6,Preisindex,2,FALSE),2),0)))))</f>
        <v>0</v>
      </c>
      <c r="AL318" s="51">
        <f>IF(AND($E318&lt;&gt;0,$F318&gt;0,YEAR($F318)&lt;=AJ$4,YEAR($F318)&gt;=Preisindex!$A$6),ROUND($E318*AJ318,2),IF(AND($E318&lt;&gt;0,$F318&gt;0,YEAR($F318)&lt;=AJ$4,YEAR($F318)&lt;Preisindex!$A$6),ROUND($E318*AK318,2),0))</f>
        <v>0</v>
      </c>
      <c r="AM318" s="53">
        <f t="shared" si="838"/>
        <v>0</v>
      </c>
      <c r="AN318" s="51">
        <f t="shared" si="883"/>
        <v>0</v>
      </c>
      <c r="AO318" s="51">
        <f t="shared" si="841"/>
        <v>0</v>
      </c>
      <c r="AP318" s="51">
        <f t="shared" si="755"/>
        <v>0</v>
      </c>
      <c r="AQ318" s="51">
        <f t="shared" si="842"/>
        <v>0</v>
      </c>
      <c r="AR318" s="51">
        <f t="shared" si="756"/>
        <v>0</v>
      </c>
      <c r="AS318" s="51">
        <f t="shared" si="843"/>
        <v>0</v>
      </c>
      <c r="AT318" s="51">
        <f t="shared" si="757"/>
        <v>0</v>
      </c>
      <c r="AU318" s="51">
        <f t="shared" si="844"/>
        <v>0</v>
      </c>
      <c r="AV318" s="51">
        <f t="shared" si="758"/>
        <v>0</v>
      </c>
      <c r="AW318" s="51">
        <f t="shared" si="845"/>
        <v>0</v>
      </c>
      <c r="AX318" s="51">
        <f t="shared" si="759"/>
        <v>0</v>
      </c>
      <c r="AY318" s="54">
        <f t="shared" si="760"/>
        <v>0</v>
      </c>
      <c r="AZ318" s="55">
        <f t="shared" si="761"/>
        <v>0</v>
      </c>
      <c r="BA318" s="56">
        <f>IF(AND($E318&lt;&gt;0,$F318&gt;0,YEAR($F318)&gt;=Preisindex!$A$6,YEAR(AV$4)&gt;=YEAR($F318),AND($K318&lt;&gt;"a",$K318&lt;&gt;"b",$K318&lt;&gt;"g",$K318&lt;&gt;"k")),1,IF(AND($E318&lt;&gt;0,$F318&gt;0,YEAR($F318)&gt;=Preisindex!$A$6,YEAR(AV$4)&gt;=YEAR($F318),$K318="a"),ROUND(VLOOKUP(BA$4,Preisindex,5,FALSE)/VLOOKUP(YEAR($F318),Preisindex,5,FALSE),2),IF(AND($E318&lt;&gt;0,$F318&gt;0,YEAR($F318)&gt;=Preisindex!$A$6,YEAR(AV$4)&gt;=YEAR($F318),$K318="b"),ROUND(VLOOKUP(BA$4,Preisindex,3,FALSE)/VLOOKUP(YEAR($F318),Preisindex,3,FALSE),2),IF(AND($E318&lt;&gt;0,$F318&gt;0,YEAR($F318)&gt;=Preisindex!$A$6,YEAR(AV$4)&gt;=YEAR($F318),$K318="g"),ROUND(VLOOKUP(BA$4,Preisindex,4,FALSE)/VLOOKUP(YEAR($F318),Preisindex,4,FALSE),2),IF(AND($E318&lt;&gt;0,$F318&gt;0,YEAR($F318)&gt;=Preisindex!$A$6,YEAR(AV$4)&gt;=YEAR($F318),$K318="k"),ROUND(VLOOKUP(BA$4,Preisindex,2,FALSE)/VLOOKUP(YEAR($F318),Preisindex,2,FALSE),2),0)))))</f>
        <v>0</v>
      </c>
      <c r="BB318" s="56">
        <f>IF(AND($E318&lt;&gt;0,$F318&gt;0,YEAR($F318)&lt;Preisindex!$A$6,YEAR(AV$4)&gt;=YEAR($F318),AND($K318&lt;&gt;"a",$K318&lt;&gt;"b",$K318&lt;&gt;"g",$K318&lt;&gt;"k")),1,IF(AND($E318&lt;&gt;0,$F318&gt;0,YEAR($F318)&lt;Preisindex!$A$6,YEAR(AV$4)&gt;=YEAR($F318),$K318="a"),ROUND(VLOOKUP(BA$4,Preisindex,5,FALSE)/VLOOKUP(Preisindex!$A$6,Preisindex,5,FALSE),2),IF(AND($E318&lt;&gt;0,$F318&gt;0,YEAR($F318)&lt;Preisindex!$A$6,YEAR(AV$4)&gt;=YEAR($F318),$K318="b"),ROUND(VLOOKUP(BA$4,Preisindex,3,FALSE)/VLOOKUP(Preisindex!$A$6,Preisindex,3,FALSE),2),IF(AND($E318&lt;&gt;0,$F318&gt;0,YEAR($F318)&lt;Preisindex!$A$6,YEAR(AV$4)&gt;=YEAR($F318),$K318="g"),ROUND(VLOOKUP(BA$4,Preisindex,4,FALSE)/VLOOKUP(Preisindex!$A$6,Preisindex,4,FALSE),2),IF(AND($E318&lt;&gt;0,$F318&gt;0,YEAR($F318)&lt;Preisindex!$A$6,YEAR(AV$4)&gt;=YEAR($F318),$K318="k"),ROUND(VLOOKUP(BA$4,Preisindex,2,FALSE)/VLOOKUP(Preisindex!$A$6,Preisindex,2,FALSE),2),0)))))</f>
        <v>0</v>
      </c>
      <c r="BC318" s="51">
        <f>IF(AND($E318&lt;&gt;0,$F318&gt;0,YEAR($F318)&lt;=BA$4,YEAR($F318)&gt;=Preisindex!$A$6),ROUND($E318*BA318,2),IF(AND($E318&lt;&gt;0,$F318&gt;0,YEAR($F318)&lt;=BA$4,YEAR($F318)&lt;Preisindex!$A$6),ROUND($E318*BB318,2),0))</f>
        <v>0</v>
      </c>
      <c r="BD318" s="53">
        <f t="shared" si="762"/>
        <v>0</v>
      </c>
      <c r="BE318" s="51">
        <f t="shared" si="883"/>
        <v>0</v>
      </c>
      <c r="BF318" s="51">
        <f t="shared" si="846"/>
        <v>0</v>
      </c>
      <c r="BG318" s="51">
        <f t="shared" si="763"/>
        <v>0</v>
      </c>
      <c r="BH318" s="51">
        <f t="shared" si="847"/>
        <v>0</v>
      </c>
      <c r="BI318" s="51">
        <f t="shared" si="764"/>
        <v>0</v>
      </c>
      <c r="BJ318" s="51">
        <f t="shared" si="848"/>
        <v>0</v>
      </c>
      <c r="BK318" s="51">
        <f t="shared" si="765"/>
        <v>0</v>
      </c>
      <c r="BL318" s="51">
        <f t="shared" si="849"/>
        <v>0</v>
      </c>
      <c r="BM318" s="51">
        <f t="shared" si="766"/>
        <v>0</v>
      </c>
      <c r="BN318" s="51">
        <f t="shared" si="850"/>
        <v>0</v>
      </c>
      <c r="BO318" s="51">
        <f t="shared" si="767"/>
        <v>0</v>
      </c>
      <c r="BP318" s="54">
        <f t="shared" si="768"/>
        <v>0</v>
      </c>
      <c r="BQ318" s="55">
        <f t="shared" si="769"/>
        <v>0</v>
      </c>
      <c r="BR318" s="56">
        <f>IF(AND($E318&lt;&gt;0,$F318&gt;0,YEAR($F318)&gt;=Preisindex!$A$6,YEAR(BM$4)&gt;=YEAR($F318),AND($K318&lt;&gt;"a",$K318&lt;&gt;"b",$K318&lt;&gt;"g",$K318&lt;&gt;"k")),1,IF(AND($E318&lt;&gt;0,$F318&gt;0,YEAR($F318)&gt;=Preisindex!$A$6,YEAR(BM$4)&gt;=YEAR($F318),$K318="a"),ROUND(VLOOKUP(BR$4,Preisindex,5,FALSE)/VLOOKUP(YEAR($F318),Preisindex,5,FALSE),2),IF(AND($E318&lt;&gt;0,$F318&gt;0,YEAR($F318)&gt;=Preisindex!$A$6,YEAR(BM$4)&gt;=YEAR($F318),$K318="b"),ROUND(VLOOKUP(BR$4,Preisindex,3,FALSE)/VLOOKUP(YEAR($F318),Preisindex,3,FALSE),2),IF(AND($E318&lt;&gt;0,$F318&gt;0,YEAR($F318)&gt;=Preisindex!$A$6,YEAR(BM$4)&gt;=YEAR($F318),$K318="g"),ROUND(VLOOKUP(BR$4,Preisindex,4,FALSE)/VLOOKUP(YEAR($F318),Preisindex,4,FALSE),2),IF(AND($E318&lt;&gt;0,$F318&gt;0,YEAR($F318)&gt;=Preisindex!$A$6,YEAR(BM$4)&gt;=YEAR($F318),$K318="k"),ROUND(VLOOKUP(BR$4,Preisindex,2,FALSE)/VLOOKUP(YEAR($F318),Preisindex,2,FALSE),2),0)))))</f>
        <v>0</v>
      </c>
      <c r="BS318" s="56">
        <f>IF(AND($E318&lt;&gt;0,$F318&gt;0,YEAR($F318)&lt;Preisindex!$A$6,YEAR(BM$4)&gt;=YEAR($F318),AND($K318&lt;&gt;"a",$K318&lt;&gt;"b",$K318&lt;&gt;"g",$K318&lt;&gt;"k")),1,IF(AND($E318&lt;&gt;0,$F318&gt;0,YEAR($F318)&lt;Preisindex!$A$6,YEAR(BM$4)&gt;=YEAR($F318),$K318="a"),ROUND(VLOOKUP(BR$4,Preisindex,5,FALSE)/VLOOKUP(Preisindex!$A$6,Preisindex,5,FALSE),2),IF(AND($E318&lt;&gt;0,$F318&gt;0,YEAR($F318)&lt;Preisindex!$A$6,YEAR(BM$4)&gt;=YEAR($F318),$K318="b"),ROUND(VLOOKUP(BR$4,Preisindex,3,FALSE)/VLOOKUP(Preisindex!$A$6,Preisindex,3,FALSE),2),IF(AND($E318&lt;&gt;0,$F318&gt;0,YEAR($F318)&lt;Preisindex!$A$6,YEAR(BM$4)&gt;=YEAR($F318),$K318="g"),ROUND(VLOOKUP(BR$4,Preisindex,4,FALSE)/VLOOKUP(Preisindex!$A$6,Preisindex,4,FALSE),2),IF(AND($E318&lt;&gt;0,$F318&gt;0,YEAR($F318)&lt;Preisindex!$A$6,YEAR(BM$4)&gt;=YEAR($F318),$K318="k"),ROUND(VLOOKUP(BR$4,Preisindex,2,FALSE)/VLOOKUP(Preisindex!$A$6,Preisindex,2,FALSE),2),0)))))</f>
        <v>0</v>
      </c>
      <c r="BT318" s="51">
        <f>IF(AND($E318&lt;&gt;0,$F318&gt;0,YEAR($F318)&lt;=BR$4,YEAR($F318)&gt;=Preisindex!$A$6),ROUND($E318*BR318,2),IF(AND($E318&lt;&gt;0,$F318&gt;0,YEAR($F318)&lt;=BR$4,YEAR($F318)&lt;Preisindex!$A$6),ROUND($E318*BS318,2),0))</f>
        <v>0</v>
      </c>
      <c r="BU318" s="53">
        <f t="shared" si="770"/>
        <v>0</v>
      </c>
      <c r="BV318" s="51">
        <f t="shared" si="883"/>
        <v>0</v>
      </c>
      <c r="BW318" s="51">
        <f t="shared" si="851"/>
        <v>0</v>
      </c>
      <c r="BX318" s="51">
        <f t="shared" si="771"/>
        <v>0</v>
      </c>
      <c r="BY318" s="51">
        <f t="shared" si="852"/>
        <v>0</v>
      </c>
      <c r="BZ318" s="51">
        <f t="shared" si="772"/>
        <v>0</v>
      </c>
      <c r="CA318" s="51">
        <f t="shared" si="853"/>
        <v>0</v>
      </c>
      <c r="CB318" s="51">
        <f t="shared" si="773"/>
        <v>0</v>
      </c>
      <c r="CC318" s="51">
        <f t="shared" si="854"/>
        <v>0</v>
      </c>
      <c r="CD318" s="51">
        <f t="shared" si="774"/>
        <v>0</v>
      </c>
      <c r="CE318" s="51">
        <f t="shared" si="855"/>
        <v>0</v>
      </c>
      <c r="CF318" s="51">
        <f t="shared" si="775"/>
        <v>0</v>
      </c>
      <c r="CG318" s="54">
        <f t="shared" si="776"/>
        <v>0</v>
      </c>
      <c r="CH318" s="55">
        <f t="shared" si="777"/>
        <v>0</v>
      </c>
      <c r="CI318" s="56">
        <f>IF(AND($E318&lt;&gt;0,$F318&gt;0,YEAR($F318)&gt;=Preisindex!$A$6,YEAR(CD$4)&gt;=YEAR($F318),AND($K318&lt;&gt;"a",$K318&lt;&gt;"b",$K318&lt;&gt;"g",$K318&lt;&gt;"k")),1,IF(AND($E318&lt;&gt;0,$F318&gt;0,YEAR($F318)&gt;=Preisindex!$A$6,YEAR(CD$4)&gt;=YEAR($F318),$K318="a"),ROUND(VLOOKUP(CI$4,Preisindex,5,FALSE)/VLOOKUP(YEAR($F318),Preisindex,5,FALSE),2),IF(AND($E318&lt;&gt;0,$F318&gt;0,YEAR($F318)&gt;=Preisindex!$A$6,YEAR(CD$4)&gt;=YEAR($F318),$K318="b"),ROUND(VLOOKUP(CI$4,Preisindex,3,FALSE)/VLOOKUP(YEAR($F318),Preisindex,3,FALSE),2),IF(AND($E318&lt;&gt;0,$F318&gt;0,YEAR($F318)&gt;=Preisindex!$A$6,YEAR(CD$4)&gt;=YEAR($F318),$K318="g"),ROUND(VLOOKUP(CI$4,Preisindex,4,FALSE)/VLOOKUP(YEAR($F318),Preisindex,4,FALSE),2),IF(AND($E318&lt;&gt;0,$F318&gt;0,YEAR($F318)&gt;=Preisindex!$A$6,YEAR(CD$4)&gt;=YEAR($F318),$K318="k"),ROUND(VLOOKUP(CI$4,Preisindex,2,FALSE)/VLOOKUP(YEAR($F318),Preisindex,2,FALSE),2),0)))))</f>
        <v>0</v>
      </c>
      <c r="CJ318" s="56">
        <f>IF(AND($E318&lt;&gt;0,$F318&gt;0,YEAR($F318)&lt;Preisindex!$A$6,YEAR(CD$4)&gt;=YEAR($F318),AND($K318&lt;&gt;"a",$K318&lt;&gt;"b",$K318&lt;&gt;"g",$K318&lt;&gt;"k")),1,IF(AND($E318&lt;&gt;0,$F318&gt;0,YEAR($F318)&lt;Preisindex!$A$6,YEAR(CD$4)&gt;=YEAR($F318),$K318="a"),ROUND(VLOOKUP(CI$4,Preisindex,5,FALSE)/VLOOKUP(Preisindex!$A$6,Preisindex,5,FALSE),2),IF(AND($E318&lt;&gt;0,$F318&gt;0,YEAR($F318)&lt;Preisindex!$A$6,YEAR(CD$4)&gt;=YEAR($F318),$K318="b"),ROUND(VLOOKUP(CI$4,Preisindex,3,FALSE)/VLOOKUP(Preisindex!$A$6,Preisindex,3,FALSE),2),IF(AND($E318&lt;&gt;0,$F318&gt;0,YEAR($F318)&lt;Preisindex!$A$6,YEAR(CD$4)&gt;=YEAR($F318),$K318="g"),ROUND(VLOOKUP(CI$4,Preisindex,4,FALSE)/VLOOKUP(Preisindex!$A$6,Preisindex,4,FALSE),2),IF(AND($E318&lt;&gt;0,$F318&gt;0,YEAR($F318)&lt;Preisindex!$A$6,YEAR(CD$4)&gt;=YEAR($F318),$K318="k"),ROUND(VLOOKUP(CI$4,Preisindex,2,FALSE)/VLOOKUP(Preisindex!$A$6,Preisindex,2,FALSE),2),0)))))</f>
        <v>0</v>
      </c>
      <c r="CK318" s="51">
        <f>IF(AND($E318&lt;&gt;0,$F318&gt;0,YEAR($F318)&lt;=CI$4,YEAR($F318)&gt;=Preisindex!$A$6),ROUND($E318*CI318,2),IF(AND($E318&lt;&gt;0,$F318&gt;0,YEAR($F318)&lt;=CI$4,YEAR($F318)&lt;Preisindex!$A$6),ROUND($E318*CJ318,2),0))</f>
        <v>0</v>
      </c>
      <c r="CL318" s="53">
        <f t="shared" si="778"/>
        <v>0</v>
      </c>
      <c r="CM318" s="51">
        <f t="shared" si="883"/>
        <v>0</v>
      </c>
      <c r="CN318" s="51">
        <f t="shared" si="856"/>
        <v>0</v>
      </c>
      <c r="CO318" s="51">
        <f t="shared" si="779"/>
        <v>0</v>
      </c>
      <c r="CP318" s="51">
        <f t="shared" si="857"/>
        <v>0</v>
      </c>
      <c r="CQ318" s="51">
        <f t="shared" si="780"/>
        <v>0</v>
      </c>
      <c r="CR318" s="51">
        <f t="shared" si="858"/>
        <v>0</v>
      </c>
      <c r="CS318" s="51">
        <f t="shared" si="781"/>
        <v>0</v>
      </c>
      <c r="CT318" s="51">
        <f t="shared" si="859"/>
        <v>0</v>
      </c>
      <c r="CU318" s="51">
        <f t="shared" si="782"/>
        <v>0</v>
      </c>
      <c r="CV318" s="51">
        <f t="shared" si="860"/>
        <v>0</v>
      </c>
      <c r="CW318" s="51">
        <f t="shared" si="783"/>
        <v>0</v>
      </c>
      <c r="CX318" s="54">
        <f t="shared" si="784"/>
        <v>0</v>
      </c>
      <c r="CY318" s="55">
        <f t="shared" si="785"/>
        <v>0</v>
      </c>
      <c r="CZ318" s="56">
        <f>IF(AND($E318&lt;&gt;0,$F318&gt;0,YEAR($F318)&gt;=Preisindex!$A$6,YEAR(CU$4)&gt;=YEAR($F318),AND($K318&lt;&gt;"a",$K318&lt;&gt;"b",$K318&lt;&gt;"g",$K318&lt;&gt;"k")),1,IF(AND($E318&lt;&gt;0,$F318&gt;0,YEAR($F318)&gt;=Preisindex!$A$6,YEAR(CU$4)&gt;=YEAR($F318),$K318="a"),ROUND(VLOOKUP(CZ$4,Preisindex,5,FALSE)/VLOOKUP(YEAR($F318),Preisindex,5,FALSE),2),IF(AND($E318&lt;&gt;0,$F318&gt;0,YEAR($F318)&gt;=Preisindex!$A$6,YEAR(CU$4)&gt;=YEAR($F318),$K318="b"),ROUND(VLOOKUP(CZ$4,Preisindex,3,FALSE)/VLOOKUP(YEAR($F318),Preisindex,3,FALSE),2),IF(AND($E318&lt;&gt;0,$F318&gt;0,YEAR($F318)&gt;=Preisindex!$A$6,YEAR(CU$4)&gt;=YEAR($F318),$K318="g"),ROUND(VLOOKUP(CZ$4,Preisindex,4,FALSE)/VLOOKUP(YEAR($F318),Preisindex,4,FALSE),2),IF(AND($E318&lt;&gt;0,$F318&gt;0,YEAR($F318)&gt;=Preisindex!$A$6,YEAR(CU$4)&gt;=YEAR($F318),$K318="k"),ROUND(VLOOKUP(CZ$4,Preisindex,2,FALSE)/VLOOKUP(YEAR($F318),Preisindex,2,FALSE),2),0)))))</f>
        <v>0</v>
      </c>
      <c r="DA318" s="56">
        <f>IF(AND($E318&lt;&gt;0,$F318&gt;0,YEAR($F318)&lt;Preisindex!$A$6,YEAR(CU$4)&gt;=YEAR($F318),AND($K318&lt;&gt;"a",$K318&lt;&gt;"b",$K318&lt;&gt;"g",$K318&lt;&gt;"k")),1,IF(AND($E318&lt;&gt;0,$F318&gt;0,YEAR($F318)&lt;Preisindex!$A$6,YEAR(CU$4)&gt;=YEAR($F318),$K318="a"),ROUND(VLOOKUP(CZ$4,Preisindex,5,FALSE)/VLOOKUP(Preisindex!$A$6,Preisindex,5,FALSE),2),IF(AND($E318&lt;&gt;0,$F318&gt;0,YEAR($F318)&lt;Preisindex!$A$6,YEAR(CU$4)&gt;=YEAR($F318),$K318="b"),ROUND(VLOOKUP(CZ$4,Preisindex,3,FALSE)/VLOOKUP(Preisindex!$A$6,Preisindex,3,FALSE),2),IF(AND($E318&lt;&gt;0,$F318&gt;0,YEAR($F318)&lt;Preisindex!$A$6,YEAR(CU$4)&gt;=YEAR($F318),$K318="g"),ROUND(VLOOKUP(CZ$4,Preisindex,4,FALSE)/VLOOKUP(Preisindex!$A$6,Preisindex,4,FALSE),2),IF(AND($E318&lt;&gt;0,$F318&gt;0,YEAR($F318)&lt;Preisindex!$A$6,YEAR(CU$4)&gt;=YEAR($F318),$K318="k"),ROUND(VLOOKUP(CZ$4,Preisindex,2,FALSE)/VLOOKUP(Preisindex!$A$6,Preisindex,2,FALSE),2),0)))))</f>
        <v>0</v>
      </c>
      <c r="DB318" s="51">
        <f>IF(AND($E318&lt;&gt;0,$F318&gt;0,YEAR($F318)&lt;=CZ$4,YEAR($F318)&gt;=Preisindex!$A$6),ROUND($E318*CZ318,2),IF(AND($E318&lt;&gt;0,$F318&gt;0,YEAR($F318)&lt;=CZ$4,YEAR($F318)&lt;Preisindex!$A$6),ROUND($E318*DA318,2),0))</f>
        <v>0</v>
      </c>
      <c r="DC318" s="53">
        <f t="shared" si="786"/>
        <v>0</v>
      </c>
      <c r="DD318" s="51">
        <f t="shared" si="884"/>
        <v>0</v>
      </c>
      <c r="DE318" s="51">
        <f t="shared" si="861"/>
        <v>0</v>
      </c>
      <c r="DF318" s="51">
        <f t="shared" si="788"/>
        <v>0</v>
      </c>
      <c r="DG318" s="51">
        <f t="shared" si="862"/>
        <v>0</v>
      </c>
      <c r="DH318" s="51">
        <f t="shared" si="789"/>
        <v>0</v>
      </c>
      <c r="DI318" s="51">
        <f t="shared" si="863"/>
        <v>0</v>
      </c>
      <c r="DJ318" s="51">
        <f t="shared" si="790"/>
        <v>0</v>
      </c>
      <c r="DK318" s="51">
        <f t="shared" si="864"/>
        <v>0</v>
      </c>
      <c r="DL318" s="51">
        <f t="shared" si="791"/>
        <v>0</v>
      </c>
      <c r="DM318" s="51">
        <f t="shared" si="865"/>
        <v>0</v>
      </c>
      <c r="DN318" s="51">
        <f t="shared" si="792"/>
        <v>0</v>
      </c>
      <c r="DO318" s="54">
        <f t="shared" si="793"/>
        <v>0</v>
      </c>
      <c r="DP318" s="55">
        <f t="shared" si="794"/>
        <v>0</v>
      </c>
      <c r="DQ318" s="56">
        <f>IF(AND($E318&lt;&gt;0,$F318&gt;0,YEAR($F318)&gt;=Preisindex!$A$6,YEAR(DL$4)&gt;=YEAR($F318),AND($K318&lt;&gt;"a",$K318&lt;&gt;"b",$K318&lt;&gt;"g",$K318&lt;&gt;"k")),1,IF(AND($E318&lt;&gt;0,$F318&gt;0,YEAR($F318)&gt;=Preisindex!$A$6,YEAR(DL$4)&gt;=YEAR($F318),$K318="a"),ROUND(VLOOKUP(DQ$4,Preisindex,5,FALSE)/VLOOKUP(YEAR($F318),Preisindex,5,FALSE),2),IF(AND($E318&lt;&gt;0,$F318&gt;0,YEAR($F318)&gt;=Preisindex!$A$6,YEAR(DL$4)&gt;=YEAR($F318),$K318="b"),ROUND(VLOOKUP(DQ$4,Preisindex,3,FALSE)/VLOOKUP(YEAR($F318),Preisindex,3,FALSE),2),IF(AND($E318&lt;&gt;0,$F318&gt;0,YEAR($F318)&gt;=Preisindex!$A$6,YEAR(DL$4)&gt;=YEAR($F318),$K318="g"),ROUND(VLOOKUP(DQ$4,Preisindex,4,FALSE)/VLOOKUP(YEAR($F318),Preisindex,4,FALSE),2),IF(AND($E318&lt;&gt;0,$F318&gt;0,YEAR($F318)&gt;=Preisindex!$A$6,YEAR(DL$4)&gt;=YEAR($F318),$K318="k"),ROUND(VLOOKUP(DQ$4,Preisindex,2,FALSE)/VLOOKUP(YEAR($F318),Preisindex,2,FALSE),2),0)))))</f>
        <v>0</v>
      </c>
      <c r="DR318" s="56">
        <f>IF(AND($E318&lt;&gt;0,$F318&gt;0,YEAR($F318)&lt;Preisindex!$A$6,YEAR(DL$4)&gt;=YEAR($F318),AND($K318&lt;&gt;"a",$K318&lt;&gt;"b",$K318&lt;&gt;"g",$K318&lt;&gt;"k")),1,IF(AND($E318&lt;&gt;0,$F318&gt;0,YEAR($F318)&lt;Preisindex!$A$6,YEAR(DL$4)&gt;=YEAR($F318),$K318="a"),ROUND(VLOOKUP(DQ$4,Preisindex,5,FALSE)/VLOOKUP(Preisindex!$A$6,Preisindex,5,FALSE),2),IF(AND($E318&lt;&gt;0,$F318&gt;0,YEAR($F318)&lt;Preisindex!$A$6,YEAR(DL$4)&gt;=YEAR($F318),$K318="b"),ROUND(VLOOKUP(DQ$4,Preisindex,3,FALSE)/VLOOKUP(Preisindex!$A$6,Preisindex,3,FALSE),2),IF(AND($E318&lt;&gt;0,$F318&gt;0,YEAR($F318)&lt;Preisindex!$A$6,YEAR(DL$4)&gt;=YEAR($F318),$K318="g"),ROUND(VLOOKUP(DQ$4,Preisindex,4,FALSE)/VLOOKUP(Preisindex!$A$6,Preisindex,4,FALSE),2),IF(AND($E318&lt;&gt;0,$F318&gt;0,YEAR($F318)&lt;Preisindex!$A$6,YEAR(DL$4)&gt;=YEAR($F318),$K318="k"),ROUND(VLOOKUP(DQ$4,Preisindex,2,FALSE)/VLOOKUP(Preisindex!$A$6,Preisindex,2,FALSE),2),0)))))</f>
        <v>0</v>
      </c>
      <c r="DS318" s="51">
        <f>IF(AND($E318&lt;&gt;0,$F318&gt;0,YEAR($F318)&lt;=DQ$4,YEAR($F318)&gt;=Preisindex!$A$6),ROUND($E318*DQ318,2),IF(AND($E318&lt;&gt;0,$F318&gt;0,YEAR($F318)&lt;=DQ$4,YEAR($F318)&lt;Preisindex!$A$6),ROUND($E318*DR318,2),0))</f>
        <v>0</v>
      </c>
      <c r="DT318" s="53">
        <f t="shared" si="795"/>
        <v>0</v>
      </c>
      <c r="DU318" s="51">
        <f t="shared" si="884"/>
        <v>0</v>
      </c>
      <c r="DV318" s="51">
        <f t="shared" si="866"/>
        <v>0</v>
      </c>
      <c r="DW318" s="51">
        <f t="shared" si="796"/>
        <v>0</v>
      </c>
      <c r="DX318" s="51">
        <f t="shared" si="867"/>
        <v>0</v>
      </c>
      <c r="DY318" s="51">
        <f t="shared" si="797"/>
        <v>0</v>
      </c>
      <c r="DZ318" s="51">
        <f t="shared" si="868"/>
        <v>0</v>
      </c>
      <c r="EA318" s="51">
        <f t="shared" si="798"/>
        <v>0</v>
      </c>
      <c r="EB318" s="51">
        <f t="shared" si="869"/>
        <v>0</v>
      </c>
      <c r="EC318" s="51">
        <f t="shared" si="799"/>
        <v>0</v>
      </c>
      <c r="ED318" s="51">
        <f t="shared" si="870"/>
        <v>0</v>
      </c>
      <c r="EE318" s="51">
        <f t="shared" si="800"/>
        <v>0</v>
      </c>
      <c r="EF318" s="54">
        <f t="shared" si="801"/>
        <v>0</v>
      </c>
      <c r="EG318" s="55">
        <f t="shared" si="802"/>
        <v>0</v>
      </c>
      <c r="EH318" s="56">
        <f>IF(AND($E318&lt;&gt;0,$F318&gt;0,YEAR($F318)&gt;=Preisindex!$A$6,YEAR(EC$4)&gt;=YEAR($F318),AND($K318&lt;&gt;"a",$K318&lt;&gt;"b",$K318&lt;&gt;"g",$K318&lt;&gt;"k")),1,IF(AND($E318&lt;&gt;0,$F318&gt;0,YEAR($F318)&gt;=Preisindex!$A$6,YEAR(EC$4)&gt;=YEAR($F318),$K318="a"),ROUND(VLOOKUP(EH$4,Preisindex,5,FALSE)/VLOOKUP(YEAR($F318),Preisindex,5,FALSE),2),IF(AND($E318&lt;&gt;0,$F318&gt;0,YEAR($F318)&gt;=Preisindex!$A$6,YEAR(EC$4)&gt;=YEAR($F318),$K318="b"),ROUND(VLOOKUP(EH$4,Preisindex,3,FALSE)/VLOOKUP(YEAR($F318),Preisindex,3,FALSE),2),IF(AND($E318&lt;&gt;0,$F318&gt;0,YEAR($F318)&gt;=Preisindex!$A$6,YEAR(EC$4)&gt;=YEAR($F318),$K318="g"),ROUND(VLOOKUP(EH$4,Preisindex,4,FALSE)/VLOOKUP(YEAR($F318),Preisindex,4,FALSE),2),IF(AND($E318&lt;&gt;0,$F318&gt;0,YEAR($F318)&gt;=Preisindex!$A$6,YEAR(EC$4)&gt;=YEAR($F318),$K318="k"),ROUND(VLOOKUP(EH$4,Preisindex,2,FALSE)/VLOOKUP(YEAR($F318),Preisindex,2,FALSE),2),0)))))</f>
        <v>0</v>
      </c>
      <c r="EI318" s="56">
        <f>IF(AND($E318&lt;&gt;0,$F318&gt;0,YEAR($F318)&lt;Preisindex!$A$6,YEAR(EC$4)&gt;=YEAR($F318),AND($K318&lt;&gt;"a",$K318&lt;&gt;"b",$K318&lt;&gt;"g",$K318&lt;&gt;"k")),1,IF(AND($E318&lt;&gt;0,$F318&gt;0,YEAR($F318)&lt;Preisindex!$A$6,YEAR(EC$4)&gt;=YEAR($F318),$K318="a"),ROUND(VLOOKUP(EH$4,Preisindex,5,FALSE)/VLOOKUP(Preisindex!$A$6,Preisindex,5,FALSE),2),IF(AND($E318&lt;&gt;0,$F318&gt;0,YEAR($F318)&lt;Preisindex!$A$6,YEAR(EC$4)&gt;=YEAR($F318),$K318="b"),ROUND(VLOOKUP(EH$4,Preisindex,3,FALSE)/VLOOKUP(Preisindex!$A$6,Preisindex,3,FALSE),2),IF(AND($E318&lt;&gt;0,$F318&gt;0,YEAR($F318)&lt;Preisindex!$A$6,YEAR(EC$4)&gt;=YEAR($F318),$K318="g"),ROUND(VLOOKUP(EH$4,Preisindex,4,FALSE)/VLOOKUP(Preisindex!$A$6,Preisindex,4,FALSE),2),IF(AND($E318&lt;&gt;0,$F318&gt;0,YEAR($F318)&lt;Preisindex!$A$6,YEAR(EC$4)&gt;=YEAR($F318),$K318="k"),ROUND(VLOOKUP(EH$4,Preisindex,2,FALSE)/VLOOKUP(Preisindex!$A$6,Preisindex,2,FALSE),2),0)))))</f>
        <v>0</v>
      </c>
      <c r="EJ318" s="51">
        <f>IF(AND($E318&lt;&gt;0,$F318&gt;0,YEAR($F318)&lt;=EH$4,YEAR($F318)&gt;=Preisindex!$A$6),ROUND($E318*EH318,2),IF(AND($E318&lt;&gt;0,$F318&gt;0,YEAR($F318)&lt;=EH$4,YEAR($F318)&lt;Preisindex!$A$6),ROUND($E318*EI318,2),0))</f>
        <v>0</v>
      </c>
      <c r="EK318" s="53">
        <f t="shared" si="803"/>
        <v>0</v>
      </c>
      <c r="EL318" s="51">
        <f t="shared" si="884"/>
        <v>0</v>
      </c>
      <c r="EM318" s="51">
        <f t="shared" si="871"/>
        <v>0</v>
      </c>
      <c r="EN318" s="51">
        <f t="shared" si="804"/>
        <v>0</v>
      </c>
      <c r="EO318" s="51">
        <f t="shared" si="872"/>
        <v>0</v>
      </c>
      <c r="EP318" s="51">
        <f t="shared" si="805"/>
        <v>0</v>
      </c>
      <c r="EQ318" s="51">
        <f t="shared" si="873"/>
        <v>0</v>
      </c>
      <c r="ER318" s="51">
        <f t="shared" si="806"/>
        <v>0</v>
      </c>
      <c r="ES318" s="51">
        <f t="shared" si="874"/>
        <v>0</v>
      </c>
      <c r="ET318" s="51">
        <f t="shared" si="807"/>
        <v>0</v>
      </c>
      <c r="EU318" s="51">
        <f t="shared" si="875"/>
        <v>0</v>
      </c>
      <c r="EV318" s="51">
        <f t="shared" si="808"/>
        <v>0</v>
      </c>
      <c r="EW318" s="54">
        <f t="shared" si="809"/>
        <v>0</v>
      </c>
      <c r="EX318" s="55">
        <f t="shared" si="810"/>
        <v>0</v>
      </c>
      <c r="EY318" s="56">
        <f>IF(AND($E318&lt;&gt;0,$F318&gt;0,YEAR($F318)&gt;=Preisindex!$A$6,YEAR(ET$4)&gt;=YEAR($F318),AND($K318&lt;&gt;"a",$K318&lt;&gt;"b",$K318&lt;&gt;"g",$K318&lt;&gt;"k")),1,IF(AND($E318&lt;&gt;0,$F318&gt;0,YEAR($F318)&gt;=Preisindex!$A$6,YEAR(ET$4)&gt;=YEAR($F318),$K318="a"),ROUND(VLOOKUP(EY$4,Preisindex,5,FALSE)/VLOOKUP(YEAR($F318),Preisindex,5,FALSE),2),IF(AND($E318&lt;&gt;0,$F318&gt;0,YEAR($F318)&gt;=Preisindex!$A$6,YEAR(ET$4)&gt;=YEAR($F318),$K318="b"),ROUND(VLOOKUP(EY$4,Preisindex,3,FALSE)/VLOOKUP(YEAR($F318),Preisindex,3,FALSE),2),IF(AND($E318&lt;&gt;0,$F318&gt;0,YEAR($F318)&gt;=Preisindex!$A$6,YEAR(ET$4)&gt;=YEAR($F318),$K318="g"),ROUND(VLOOKUP(EY$4,Preisindex,4,FALSE)/VLOOKUP(YEAR($F318),Preisindex,4,FALSE),2),IF(AND($E318&lt;&gt;0,$F318&gt;0,YEAR($F318)&gt;=Preisindex!$A$6,YEAR(ET$4)&gt;=YEAR($F318),$K318="k"),ROUND(VLOOKUP(EY$4,Preisindex,2,FALSE)/VLOOKUP(YEAR($F318),Preisindex,2,FALSE),2),0)))))</f>
        <v>0</v>
      </c>
      <c r="EZ318" s="56">
        <f>IF(AND($E318&lt;&gt;0,$F318&gt;0,YEAR($F318)&lt;Preisindex!$A$6,YEAR(ET$4)&gt;=YEAR($F318),AND($K318&lt;&gt;"a",$K318&lt;&gt;"b",$K318&lt;&gt;"g",$K318&lt;&gt;"k")),1,IF(AND($E318&lt;&gt;0,$F318&gt;0,YEAR($F318)&lt;Preisindex!$A$6,YEAR(ET$4)&gt;=YEAR($F318),$K318="a"),ROUND(VLOOKUP(EY$4,Preisindex,5,FALSE)/VLOOKUP(Preisindex!$A$6,Preisindex,5,FALSE),2),IF(AND($E318&lt;&gt;0,$F318&gt;0,YEAR($F318)&lt;Preisindex!$A$6,YEAR(ET$4)&gt;=YEAR($F318),$K318="b"),ROUND(VLOOKUP(EY$4,Preisindex,3,FALSE)/VLOOKUP(Preisindex!$A$6,Preisindex,3,FALSE),2),IF(AND($E318&lt;&gt;0,$F318&gt;0,YEAR($F318)&lt;Preisindex!$A$6,YEAR(ET$4)&gt;=YEAR($F318),$K318="g"),ROUND(VLOOKUP(EY$4,Preisindex,4,FALSE)/VLOOKUP(Preisindex!$A$6,Preisindex,4,FALSE),2),IF(AND($E318&lt;&gt;0,$F318&gt;0,YEAR($F318)&lt;Preisindex!$A$6,YEAR(ET$4)&gt;=YEAR($F318),$K318="k"),ROUND(VLOOKUP(EY$4,Preisindex,2,FALSE)/VLOOKUP(Preisindex!$A$6,Preisindex,2,FALSE),2),0)))))</f>
        <v>0</v>
      </c>
      <c r="FA318" s="51">
        <f>IF(AND($E318&lt;&gt;0,$F318&gt;0,YEAR($F318)&lt;=EY$4,YEAR($F318)&gt;=Preisindex!$A$6),ROUND($E318*EY318,2),IF(AND($E318&lt;&gt;0,$F318&gt;0,YEAR($F318)&lt;=EY$4,YEAR($F318)&lt;Preisindex!$A$6),ROUND($E318*EZ318,2),0))</f>
        <v>0</v>
      </c>
      <c r="FB318" s="53">
        <f t="shared" si="811"/>
        <v>0</v>
      </c>
      <c r="FC318" s="51">
        <f t="shared" si="884"/>
        <v>0</v>
      </c>
      <c r="FD318" s="51">
        <f t="shared" si="876"/>
        <v>0</v>
      </c>
      <c r="FE318" s="51">
        <f t="shared" si="812"/>
        <v>0</v>
      </c>
      <c r="FF318" s="51">
        <f t="shared" si="877"/>
        <v>0</v>
      </c>
      <c r="FG318" s="51">
        <f t="shared" si="813"/>
        <v>0</v>
      </c>
      <c r="FH318" s="51">
        <f t="shared" si="878"/>
        <v>0</v>
      </c>
      <c r="FI318" s="51">
        <f t="shared" si="814"/>
        <v>0</v>
      </c>
      <c r="FJ318" s="51">
        <f t="shared" si="879"/>
        <v>0</v>
      </c>
      <c r="FK318" s="51">
        <f t="shared" si="815"/>
        <v>0</v>
      </c>
      <c r="FL318" s="51">
        <f t="shared" si="880"/>
        <v>0</v>
      </c>
      <c r="FM318" s="51">
        <f t="shared" si="816"/>
        <v>0</v>
      </c>
      <c r="FN318" s="54">
        <f t="shared" si="817"/>
        <v>0</v>
      </c>
      <c r="FO318" s="55">
        <f t="shared" si="818"/>
        <v>0</v>
      </c>
      <c r="FP318" s="56">
        <f>IF(AND($E318&lt;&gt;0,$F318&gt;0,YEAR($F318)&gt;=Preisindex!$A$6,YEAR(FK$4)&gt;=YEAR($F318),AND($K318&lt;&gt;"a",$K318&lt;&gt;"b",$K318&lt;&gt;"g",$K318&lt;&gt;"k")),1,IF(AND($E318&lt;&gt;0,$F318&gt;0,YEAR($F318)&gt;=Preisindex!$A$6,YEAR(FK$4)&gt;=YEAR($F318),$K318="a"),ROUND(VLOOKUP(FP$4,Preisindex,5,FALSE)/VLOOKUP(YEAR($F318),Preisindex,5,FALSE),2),IF(AND($E318&lt;&gt;0,$F318&gt;0,YEAR($F318)&gt;=Preisindex!$A$6,YEAR(FK$4)&gt;=YEAR($F318),$K318="b"),ROUND(VLOOKUP(FP$4,Preisindex,3,FALSE)/VLOOKUP(YEAR($F318),Preisindex,3,FALSE),2),IF(AND($E318&lt;&gt;0,$F318&gt;0,YEAR($F318)&gt;=Preisindex!$A$6,YEAR(FK$4)&gt;=YEAR($F318),$K318="g"),ROUND(VLOOKUP(FP$4,Preisindex,4,FALSE)/VLOOKUP(YEAR($F318),Preisindex,4,FALSE),2),IF(AND($E318&lt;&gt;0,$F318&gt;0,YEAR($F318)&gt;=Preisindex!$A$6,YEAR(FK$4)&gt;=YEAR($F318),$K318="k"),ROUND(VLOOKUP(FP$4,Preisindex,2,FALSE)/VLOOKUP(YEAR($F318),Preisindex,2,FALSE),2),0)))))</f>
        <v>0</v>
      </c>
      <c r="FQ318" s="56">
        <f>IF(AND($E318&lt;&gt;0,$F318&gt;0,YEAR($F318)&lt;Preisindex!$A$6,YEAR(FK$4)&gt;=YEAR($F318),AND($K318&lt;&gt;"a",$K318&lt;&gt;"b",$K318&lt;&gt;"g",$K318&lt;&gt;"k")),1,IF(AND($E318&lt;&gt;0,$F318&gt;0,YEAR($F318)&lt;Preisindex!$A$6,YEAR(FK$4)&gt;=YEAR($F318),$K318="a"),ROUND(VLOOKUP(FP$4,Preisindex,5,FALSE)/VLOOKUP(Preisindex!$A$6,Preisindex,5,FALSE),2),IF(AND($E318&lt;&gt;0,$F318&gt;0,YEAR($F318)&lt;Preisindex!$A$6,YEAR(FK$4)&gt;=YEAR($F318),$K318="b"),ROUND(VLOOKUP(FP$4,Preisindex,3,FALSE)/VLOOKUP(Preisindex!$A$6,Preisindex,3,FALSE),2),IF(AND($E318&lt;&gt;0,$F318&gt;0,YEAR($F318)&lt;Preisindex!$A$6,YEAR(FK$4)&gt;=YEAR($F318),$K318="g"),ROUND(VLOOKUP(FP$4,Preisindex,4,FALSE)/VLOOKUP(Preisindex!$A$6,Preisindex,4,FALSE),2),IF(AND($E318&lt;&gt;0,$F318&gt;0,YEAR($F318)&lt;Preisindex!$A$6,YEAR(FK$4)&gt;=YEAR($F318),$K318="k"),ROUND(VLOOKUP(FP$4,Preisindex,2,FALSE)/VLOOKUP(Preisindex!$A$6,Preisindex,2,FALSE),2),0)))))</f>
        <v>0</v>
      </c>
      <c r="FR318" s="51">
        <f>IF(AND($E318&lt;&gt;0,$F318&gt;0,YEAR($F318)&lt;=FP$4,YEAR($F318)&gt;=Preisindex!$A$6),ROUND($E318*FP318,2),IF(AND($E318&lt;&gt;0,$F318&gt;0,YEAR($F318)&lt;=FP$4,YEAR($F318)&lt;Preisindex!$A$6),ROUND($E318*FQ318,2),0))</f>
        <v>0</v>
      </c>
      <c r="FS318" s="53">
        <f t="shared" si="819"/>
        <v>0</v>
      </c>
    </row>
    <row r="319" spans="1:175" ht="15" thickBot="1" x14ac:dyDescent="0.35">
      <c r="A319" s="198"/>
      <c r="B319" s="199"/>
      <c r="C319" s="200"/>
      <c r="D319" s="201"/>
      <c r="E319" s="202"/>
      <c r="F319" s="203"/>
      <c r="G319" s="204"/>
      <c r="H319" s="205"/>
      <c r="I319" s="206"/>
      <c r="J319" s="207"/>
      <c r="K319" s="631"/>
      <c r="L319" s="57">
        <f t="shared" si="820"/>
        <v>0</v>
      </c>
      <c r="M319" s="58">
        <f t="shared" si="821"/>
        <v>0</v>
      </c>
      <c r="N319" s="59">
        <f t="shared" si="822"/>
        <v>0</v>
      </c>
      <c r="O319" s="59"/>
      <c r="P319" s="59">
        <f t="shared" si="823"/>
        <v>0</v>
      </c>
      <c r="Q319" s="60"/>
      <c r="R319" s="60"/>
      <c r="S319" s="60"/>
      <c r="T319" s="60"/>
      <c r="U319" s="60"/>
      <c r="V319" s="61">
        <f t="shared" si="824"/>
        <v>0</v>
      </c>
      <c r="W319" s="59">
        <f t="shared" si="825"/>
        <v>0</v>
      </c>
      <c r="X319" s="59">
        <f t="shared" si="826"/>
        <v>0</v>
      </c>
      <c r="Y319" s="59">
        <f t="shared" si="827"/>
        <v>0</v>
      </c>
      <c r="Z319" s="59">
        <f t="shared" si="828"/>
        <v>0</v>
      </c>
      <c r="AA319" s="59">
        <f t="shared" si="829"/>
        <v>0</v>
      </c>
      <c r="AB319" s="59">
        <f t="shared" si="830"/>
        <v>0</v>
      </c>
      <c r="AC319" s="59">
        <f t="shared" si="831"/>
        <v>0</v>
      </c>
      <c r="AD319" s="59">
        <f t="shared" si="832"/>
        <v>0</v>
      </c>
      <c r="AE319" s="59">
        <f t="shared" si="833"/>
        <v>0</v>
      </c>
      <c r="AF319" s="59">
        <f t="shared" si="834"/>
        <v>0</v>
      </c>
      <c r="AG319" s="59">
        <f t="shared" si="835"/>
        <v>0</v>
      </c>
      <c r="AH319" s="62">
        <f t="shared" si="836"/>
        <v>0</v>
      </c>
      <c r="AI319" s="63">
        <f t="shared" si="837"/>
        <v>0</v>
      </c>
      <c r="AJ319" s="64">
        <f>IF(AND($E319&lt;&gt;0,$F319&gt;0,YEAR($F319)&gt;=Preisindex!$A$6,YEAR(AE$4)&gt;=YEAR($F319),AND($K319&lt;&gt;"a",$K319&lt;&gt;"b",$K319&lt;&gt;"g",$K319&lt;&gt;"k")),1,IF(AND($E319&lt;&gt;0,$F319&gt;0,YEAR($F319)&gt;=Preisindex!$A$6,YEAR(AE$4)&gt;=YEAR($F319),$K319="a"),ROUND(VLOOKUP(AJ$4,Preisindex,5,FALSE)/VLOOKUP(YEAR($F319),Preisindex,5,FALSE),2),IF(AND($E319&lt;&gt;0,$F319&gt;0,YEAR($F319)&gt;=Preisindex!$A$6,YEAR(AE$4)&gt;=YEAR($F319),$K319="b"),ROUND(VLOOKUP(AJ$4,Preisindex,3,FALSE)/VLOOKUP(YEAR($F319),Preisindex,3,FALSE),2),IF(AND($E319&lt;&gt;0,$F319&gt;0,YEAR($F319)&gt;=Preisindex!$A$6,YEAR(AE$4)&gt;=YEAR($F319),$K319="g"),ROUND(VLOOKUP(AJ$4,Preisindex,4,FALSE)/VLOOKUP(YEAR($F319),Preisindex,4,FALSE),2),IF(AND($E319&lt;&gt;0,$F319&gt;0,YEAR($F319)&gt;=Preisindex!$A$6,YEAR(AE$4)&gt;=YEAR($F319),$K319="k"),ROUND(VLOOKUP(AJ$4,Preisindex,2,FALSE)/VLOOKUP(YEAR($F319),Preisindex,2,FALSE),2),0)))))</f>
        <v>0</v>
      </c>
      <c r="AK319" s="64">
        <f>IF(AND($E319&lt;&gt;0,$F319&gt;0,YEAR($F319)&lt;Preisindex!$A$6,YEAR(AE$4)&gt;=YEAR($F319),AND($K319&lt;&gt;"a",$K319&lt;&gt;"b",$K319&lt;&gt;"g",$K319&lt;&gt;"k")),1,IF(AND($E319&lt;&gt;0,$F319&gt;0,YEAR($F319)&lt;Preisindex!$A$6,YEAR(AE$4)&gt;=YEAR($F319),$K319="a"),ROUND(VLOOKUP(AJ$4,Preisindex,5,FALSE)/VLOOKUP(Preisindex!$A$6,Preisindex,5,FALSE),2),IF(AND($E319&lt;&gt;0,$F319&gt;0,YEAR($F319)&lt;Preisindex!$A$6,YEAR(AE$4)&gt;=YEAR($F319),$K319="b"),ROUND(VLOOKUP(AJ$4,Preisindex,3,FALSE)/VLOOKUP(Preisindex!$A$6,Preisindex,3,FALSE),2),IF(AND($E319&lt;&gt;0,$F319&gt;0,YEAR($F319)&lt;Preisindex!$A$6,YEAR(AE$4)&gt;=YEAR($F319),$K319="g"),ROUND(VLOOKUP(AJ$4,Preisindex,4,FALSE)/VLOOKUP(Preisindex!$A$6,Preisindex,4,FALSE),2),IF(AND($E319&lt;&gt;0,$F319&gt;0,YEAR($F319)&lt;Preisindex!$A$6,YEAR(AE$4)&gt;=YEAR($F319),$K319="k"),ROUND(VLOOKUP(AJ$4,Preisindex,2,FALSE)/VLOOKUP(Preisindex!$A$6,Preisindex,2,FALSE),2),0)))))</f>
        <v>0</v>
      </c>
      <c r="AL319" s="59">
        <f>IF(AND($E319&lt;&gt;0,$F319&gt;0,YEAR($F319)&lt;=AJ$4,YEAR($F319)&gt;=Preisindex!$A$6),ROUND($E319*AJ319,2),IF(AND($E319&lt;&gt;0,$F319&gt;0,YEAR($F319)&lt;=AJ$4,YEAR($F319)&lt;Preisindex!$A$6),ROUND($E319*AK319,2),0))</f>
        <v>0</v>
      </c>
      <c r="AM319" s="61">
        <f t="shared" si="838"/>
        <v>0</v>
      </c>
      <c r="AN319" s="59">
        <f t="shared" si="883"/>
        <v>0</v>
      </c>
      <c r="AO319" s="59">
        <f t="shared" si="841"/>
        <v>0</v>
      </c>
      <c r="AP319" s="59">
        <f t="shared" si="755"/>
        <v>0</v>
      </c>
      <c r="AQ319" s="59">
        <f t="shared" si="842"/>
        <v>0</v>
      </c>
      <c r="AR319" s="59">
        <f t="shared" si="756"/>
        <v>0</v>
      </c>
      <c r="AS319" s="59">
        <f t="shared" si="843"/>
        <v>0</v>
      </c>
      <c r="AT319" s="59">
        <f t="shared" si="757"/>
        <v>0</v>
      </c>
      <c r="AU319" s="59">
        <f t="shared" si="844"/>
        <v>0</v>
      </c>
      <c r="AV319" s="59">
        <f t="shared" si="758"/>
        <v>0</v>
      </c>
      <c r="AW319" s="59">
        <f t="shared" si="845"/>
        <v>0</v>
      </c>
      <c r="AX319" s="59">
        <f t="shared" si="759"/>
        <v>0</v>
      </c>
      <c r="AY319" s="62">
        <f t="shared" si="760"/>
        <v>0</v>
      </c>
      <c r="AZ319" s="63">
        <f t="shared" si="761"/>
        <v>0</v>
      </c>
      <c r="BA319" s="64">
        <f>IF(AND($E319&lt;&gt;0,$F319&gt;0,YEAR($F319)&gt;=Preisindex!$A$6,YEAR(AV$4)&gt;=YEAR($F319),AND($K319&lt;&gt;"a",$K319&lt;&gt;"b",$K319&lt;&gt;"g",$K319&lt;&gt;"k")),1,IF(AND($E319&lt;&gt;0,$F319&gt;0,YEAR($F319)&gt;=Preisindex!$A$6,YEAR(AV$4)&gt;=YEAR($F319),$K319="a"),ROUND(VLOOKUP(BA$4,Preisindex,5,FALSE)/VLOOKUP(YEAR($F319),Preisindex,5,FALSE),2),IF(AND($E319&lt;&gt;0,$F319&gt;0,YEAR($F319)&gt;=Preisindex!$A$6,YEAR(AV$4)&gt;=YEAR($F319),$K319="b"),ROUND(VLOOKUP(BA$4,Preisindex,3,FALSE)/VLOOKUP(YEAR($F319),Preisindex,3,FALSE),2),IF(AND($E319&lt;&gt;0,$F319&gt;0,YEAR($F319)&gt;=Preisindex!$A$6,YEAR(AV$4)&gt;=YEAR($F319),$K319="g"),ROUND(VLOOKUP(BA$4,Preisindex,4,FALSE)/VLOOKUP(YEAR($F319),Preisindex,4,FALSE),2),IF(AND($E319&lt;&gt;0,$F319&gt;0,YEAR($F319)&gt;=Preisindex!$A$6,YEAR(AV$4)&gt;=YEAR($F319),$K319="k"),ROUND(VLOOKUP(BA$4,Preisindex,2,FALSE)/VLOOKUP(YEAR($F319),Preisindex,2,FALSE),2),0)))))</f>
        <v>0</v>
      </c>
      <c r="BB319" s="64">
        <f>IF(AND($E319&lt;&gt;0,$F319&gt;0,YEAR($F319)&lt;Preisindex!$A$6,YEAR(AV$4)&gt;=YEAR($F319),AND($K319&lt;&gt;"a",$K319&lt;&gt;"b",$K319&lt;&gt;"g",$K319&lt;&gt;"k")),1,IF(AND($E319&lt;&gt;0,$F319&gt;0,YEAR($F319)&lt;Preisindex!$A$6,YEAR(AV$4)&gt;=YEAR($F319),$K319="a"),ROUND(VLOOKUP(BA$4,Preisindex,5,FALSE)/VLOOKUP(Preisindex!$A$6,Preisindex,5,FALSE),2),IF(AND($E319&lt;&gt;0,$F319&gt;0,YEAR($F319)&lt;Preisindex!$A$6,YEAR(AV$4)&gt;=YEAR($F319),$K319="b"),ROUND(VLOOKUP(BA$4,Preisindex,3,FALSE)/VLOOKUP(Preisindex!$A$6,Preisindex,3,FALSE),2),IF(AND($E319&lt;&gt;0,$F319&gt;0,YEAR($F319)&lt;Preisindex!$A$6,YEAR(AV$4)&gt;=YEAR($F319),$K319="g"),ROUND(VLOOKUP(BA$4,Preisindex,4,FALSE)/VLOOKUP(Preisindex!$A$6,Preisindex,4,FALSE),2),IF(AND($E319&lt;&gt;0,$F319&gt;0,YEAR($F319)&lt;Preisindex!$A$6,YEAR(AV$4)&gt;=YEAR($F319),$K319="k"),ROUND(VLOOKUP(BA$4,Preisindex,2,FALSE)/VLOOKUP(Preisindex!$A$6,Preisindex,2,FALSE),2),0)))))</f>
        <v>0</v>
      </c>
      <c r="BC319" s="59">
        <f>IF(AND($E319&lt;&gt;0,$F319&gt;0,YEAR($F319)&lt;=BA$4,YEAR($F319)&gt;=Preisindex!$A$6),ROUND($E319*BA319,2),IF(AND($E319&lt;&gt;0,$F319&gt;0,YEAR($F319)&lt;=BA$4,YEAR($F319)&lt;Preisindex!$A$6),ROUND($E319*BB319,2),0))</f>
        <v>0</v>
      </c>
      <c r="BD319" s="61">
        <f t="shared" si="762"/>
        <v>0</v>
      </c>
      <c r="BE319" s="59">
        <f t="shared" si="883"/>
        <v>0</v>
      </c>
      <c r="BF319" s="59">
        <f t="shared" si="846"/>
        <v>0</v>
      </c>
      <c r="BG319" s="59">
        <f t="shared" si="763"/>
        <v>0</v>
      </c>
      <c r="BH319" s="59">
        <f t="shared" si="847"/>
        <v>0</v>
      </c>
      <c r="BI319" s="59">
        <f t="shared" si="764"/>
        <v>0</v>
      </c>
      <c r="BJ319" s="59">
        <f t="shared" si="848"/>
        <v>0</v>
      </c>
      <c r="BK319" s="59">
        <f t="shared" si="765"/>
        <v>0</v>
      </c>
      <c r="BL319" s="59">
        <f t="shared" si="849"/>
        <v>0</v>
      </c>
      <c r="BM319" s="59">
        <f t="shared" si="766"/>
        <v>0</v>
      </c>
      <c r="BN319" s="59">
        <f t="shared" si="850"/>
        <v>0</v>
      </c>
      <c r="BO319" s="59">
        <f t="shared" si="767"/>
        <v>0</v>
      </c>
      <c r="BP319" s="62">
        <f t="shared" si="768"/>
        <v>0</v>
      </c>
      <c r="BQ319" s="63">
        <f t="shared" si="769"/>
        <v>0</v>
      </c>
      <c r="BR319" s="64">
        <f>IF(AND($E319&lt;&gt;0,$F319&gt;0,YEAR($F319)&gt;=Preisindex!$A$6,YEAR(BM$4)&gt;=YEAR($F319),AND($K319&lt;&gt;"a",$K319&lt;&gt;"b",$K319&lt;&gt;"g",$K319&lt;&gt;"k")),1,IF(AND($E319&lt;&gt;0,$F319&gt;0,YEAR($F319)&gt;=Preisindex!$A$6,YEAR(BM$4)&gt;=YEAR($F319),$K319="a"),ROUND(VLOOKUP(BR$4,Preisindex,5,FALSE)/VLOOKUP(YEAR($F319),Preisindex,5,FALSE),2),IF(AND($E319&lt;&gt;0,$F319&gt;0,YEAR($F319)&gt;=Preisindex!$A$6,YEAR(BM$4)&gt;=YEAR($F319),$K319="b"),ROUND(VLOOKUP(BR$4,Preisindex,3,FALSE)/VLOOKUP(YEAR($F319),Preisindex,3,FALSE),2),IF(AND($E319&lt;&gt;0,$F319&gt;0,YEAR($F319)&gt;=Preisindex!$A$6,YEAR(BM$4)&gt;=YEAR($F319),$K319="g"),ROUND(VLOOKUP(BR$4,Preisindex,4,FALSE)/VLOOKUP(YEAR($F319),Preisindex,4,FALSE),2),IF(AND($E319&lt;&gt;0,$F319&gt;0,YEAR($F319)&gt;=Preisindex!$A$6,YEAR(BM$4)&gt;=YEAR($F319),$K319="k"),ROUND(VLOOKUP(BR$4,Preisindex,2,FALSE)/VLOOKUP(YEAR($F319),Preisindex,2,FALSE),2),0)))))</f>
        <v>0</v>
      </c>
      <c r="BS319" s="64">
        <f>IF(AND($E319&lt;&gt;0,$F319&gt;0,YEAR($F319)&lt;Preisindex!$A$6,YEAR(BM$4)&gt;=YEAR($F319),AND($K319&lt;&gt;"a",$K319&lt;&gt;"b",$K319&lt;&gt;"g",$K319&lt;&gt;"k")),1,IF(AND($E319&lt;&gt;0,$F319&gt;0,YEAR($F319)&lt;Preisindex!$A$6,YEAR(BM$4)&gt;=YEAR($F319),$K319="a"),ROUND(VLOOKUP(BR$4,Preisindex,5,FALSE)/VLOOKUP(Preisindex!$A$6,Preisindex,5,FALSE),2),IF(AND($E319&lt;&gt;0,$F319&gt;0,YEAR($F319)&lt;Preisindex!$A$6,YEAR(BM$4)&gt;=YEAR($F319),$K319="b"),ROUND(VLOOKUP(BR$4,Preisindex,3,FALSE)/VLOOKUP(Preisindex!$A$6,Preisindex,3,FALSE),2),IF(AND($E319&lt;&gt;0,$F319&gt;0,YEAR($F319)&lt;Preisindex!$A$6,YEAR(BM$4)&gt;=YEAR($F319),$K319="g"),ROUND(VLOOKUP(BR$4,Preisindex,4,FALSE)/VLOOKUP(Preisindex!$A$6,Preisindex,4,FALSE),2),IF(AND($E319&lt;&gt;0,$F319&gt;0,YEAR($F319)&lt;Preisindex!$A$6,YEAR(BM$4)&gt;=YEAR($F319),$K319="k"),ROUND(VLOOKUP(BR$4,Preisindex,2,FALSE)/VLOOKUP(Preisindex!$A$6,Preisindex,2,FALSE),2),0)))))</f>
        <v>0</v>
      </c>
      <c r="BT319" s="59">
        <f>IF(AND($E319&lt;&gt;0,$F319&gt;0,YEAR($F319)&lt;=BR$4,YEAR($F319)&gt;=Preisindex!$A$6),ROUND($E319*BR319,2),IF(AND($E319&lt;&gt;0,$F319&gt;0,YEAR($F319)&lt;=BR$4,YEAR($F319)&lt;Preisindex!$A$6),ROUND($E319*BS319,2),0))</f>
        <v>0</v>
      </c>
      <c r="BU319" s="61">
        <f t="shared" si="770"/>
        <v>0</v>
      </c>
      <c r="BV319" s="59">
        <f t="shared" si="883"/>
        <v>0</v>
      </c>
      <c r="BW319" s="59">
        <f t="shared" si="851"/>
        <v>0</v>
      </c>
      <c r="BX319" s="59">
        <f t="shared" si="771"/>
        <v>0</v>
      </c>
      <c r="BY319" s="59">
        <f t="shared" si="852"/>
        <v>0</v>
      </c>
      <c r="BZ319" s="59">
        <f t="shared" si="772"/>
        <v>0</v>
      </c>
      <c r="CA319" s="59">
        <f t="shared" si="853"/>
        <v>0</v>
      </c>
      <c r="CB319" s="59">
        <f t="shared" si="773"/>
        <v>0</v>
      </c>
      <c r="CC319" s="59">
        <f t="shared" si="854"/>
        <v>0</v>
      </c>
      <c r="CD319" s="59">
        <f t="shared" si="774"/>
        <v>0</v>
      </c>
      <c r="CE319" s="59">
        <f t="shared" si="855"/>
        <v>0</v>
      </c>
      <c r="CF319" s="59">
        <f t="shared" si="775"/>
        <v>0</v>
      </c>
      <c r="CG319" s="62">
        <f t="shared" si="776"/>
        <v>0</v>
      </c>
      <c r="CH319" s="63">
        <f t="shared" si="777"/>
        <v>0</v>
      </c>
      <c r="CI319" s="64">
        <f>IF(AND($E319&lt;&gt;0,$F319&gt;0,YEAR($F319)&gt;=Preisindex!$A$6,YEAR(CD$4)&gt;=YEAR($F319),AND($K319&lt;&gt;"a",$K319&lt;&gt;"b",$K319&lt;&gt;"g",$K319&lt;&gt;"k")),1,IF(AND($E319&lt;&gt;0,$F319&gt;0,YEAR($F319)&gt;=Preisindex!$A$6,YEAR(CD$4)&gt;=YEAR($F319),$K319="a"),ROUND(VLOOKUP(CI$4,Preisindex,5,FALSE)/VLOOKUP(YEAR($F319),Preisindex,5,FALSE),2),IF(AND($E319&lt;&gt;0,$F319&gt;0,YEAR($F319)&gt;=Preisindex!$A$6,YEAR(CD$4)&gt;=YEAR($F319),$K319="b"),ROUND(VLOOKUP(CI$4,Preisindex,3,FALSE)/VLOOKUP(YEAR($F319),Preisindex,3,FALSE),2),IF(AND($E319&lt;&gt;0,$F319&gt;0,YEAR($F319)&gt;=Preisindex!$A$6,YEAR(CD$4)&gt;=YEAR($F319),$K319="g"),ROUND(VLOOKUP(CI$4,Preisindex,4,FALSE)/VLOOKUP(YEAR($F319),Preisindex,4,FALSE),2),IF(AND($E319&lt;&gt;0,$F319&gt;0,YEAR($F319)&gt;=Preisindex!$A$6,YEAR(CD$4)&gt;=YEAR($F319),$K319="k"),ROUND(VLOOKUP(CI$4,Preisindex,2,FALSE)/VLOOKUP(YEAR($F319),Preisindex,2,FALSE),2),0)))))</f>
        <v>0</v>
      </c>
      <c r="CJ319" s="64">
        <f>IF(AND($E319&lt;&gt;0,$F319&gt;0,YEAR($F319)&lt;Preisindex!$A$6,YEAR(CD$4)&gt;=YEAR($F319),AND($K319&lt;&gt;"a",$K319&lt;&gt;"b",$K319&lt;&gt;"g",$K319&lt;&gt;"k")),1,IF(AND($E319&lt;&gt;0,$F319&gt;0,YEAR($F319)&lt;Preisindex!$A$6,YEAR(CD$4)&gt;=YEAR($F319),$K319="a"),ROUND(VLOOKUP(CI$4,Preisindex,5,FALSE)/VLOOKUP(Preisindex!$A$6,Preisindex,5,FALSE),2),IF(AND($E319&lt;&gt;0,$F319&gt;0,YEAR($F319)&lt;Preisindex!$A$6,YEAR(CD$4)&gt;=YEAR($F319),$K319="b"),ROUND(VLOOKUP(CI$4,Preisindex,3,FALSE)/VLOOKUP(Preisindex!$A$6,Preisindex,3,FALSE),2),IF(AND($E319&lt;&gt;0,$F319&gt;0,YEAR($F319)&lt;Preisindex!$A$6,YEAR(CD$4)&gt;=YEAR($F319),$K319="g"),ROUND(VLOOKUP(CI$4,Preisindex,4,FALSE)/VLOOKUP(Preisindex!$A$6,Preisindex,4,FALSE),2),IF(AND($E319&lt;&gt;0,$F319&gt;0,YEAR($F319)&lt;Preisindex!$A$6,YEAR(CD$4)&gt;=YEAR($F319),$K319="k"),ROUND(VLOOKUP(CI$4,Preisindex,2,FALSE)/VLOOKUP(Preisindex!$A$6,Preisindex,2,FALSE),2),0)))))</f>
        <v>0</v>
      </c>
      <c r="CK319" s="59">
        <f>IF(AND($E319&lt;&gt;0,$F319&gt;0,YEAR($F319)&lt;=CI$4,YEAR($F319)&gt;=Preisindex!$A$6),ROUND($E319*CI319,2),IF(AND($E319&lt;&gt;0,$F319&gt;0,YEAR($F319)&lt;=CI$4,YEAR($F319)&lt;Preisindex!$A$6),ROUND($E319*CJ319,2),0))</f>
        <v>0</v>
      </c>
      <c r="CL319" s="61">
        <f t="shared" si="778"/>
        <v>0</v>
      </c>
      <c r="CM319" s="59">
        <f t="shared" si="883"/>
        <v>0</v>
      </c>
      <c r="CN319" s="59">
        <f t="shared" si="856"/>
        <v>0</v>
      </c>
      <c r="CO319" s="59">
        <f t="shared" si="779"/>
        <v>0</v>
      </c>
      <c r="CP319" s="59">
        <f t="shared" si="857"/>
        <v>0</v>
      </c>
      <c r="CQ319" s="59">
        <f t="shared" si="780"/>
        <v>0</v>
      </c>
      <c r="CR319" s="59">
        <f t="shared" si="858"/>
        <v>0</v>
      </c>
      <c r="CS319" s="59">
        <f t="shared" si="781"/>
        <v>0</v>
      </c>
      <c r="CT319" s="59">
        <f t="shared" si="859"/>
        <v>0</v>
      </c>
      <c r="CU319" s="59">
        <f t="shared" si="782"/>
        <v>0</v>
      </c>
      <c r="CV319" s="59">
        <f t="shared" si="860"/>
        <v>0</v>
      </c>
      <c r="CW319" s="59">
        <f t="shared" si="783"/>
        <v>0</v>
      </c>
      <c r="CX319" s="62">
        <f t="shared" si="784"/>
        <v>0</v>
      </c>
      <c r="CY319" s="63">
        <f t="shared" si="785"/>
        <v>0</v>
      </c>
      <c r="CZ319" s="64">
        <f>IF(AND($E319&lt;&gt;0,$F319&gt;0,YEAR($F319)&gt;=Preisindex!$A$6,YEAR(CU$4)&gt;=YEAR($F319),AND($K319&lt;&gt;"a",$K319&lt;&gt;"b",$K319&lt;&gt;"g",$K319&lt;&gt;"k")),1,IF(AND($E319&lt;&gt;0,$F319&gt;0,YEAR($F319)&gt;=Preisindex!$A$6,YEAR(CU$4)&gt;=YEAR($F319),$K319="a"),ROUND(VLOOKUP(CZ$4,Preisindex,5,FALSE)/VLOOKUP(YEAR($F319),Preisindex,5,FALSE),2),IF(AND($E319&lt;&gt;0,$F319&gt;0,YEAR($F319)&gt;=Preisindex!$A$6,YEAR(CU$4)&gt;=YEAR($F319),$K319="b"),ROUND(VLOOKUP(CZ$4,Preisindex,3,FALSE)/VLOOKUP(YEAR($F319),Preisindex,3,FALSE),2),IF(AND($E319&lt;&gt;0,$F319&gt;0,YEAR($F319)&gt;=Preisindex!$A$6,YEAR(CU$4)&gt;=YEAR($F319),$K319="g"),ROUND(VLOOKUP(CZ$4,Preisindex,4,FALSE)/VLOOKUP(YEAR($F319),Preisindex,4,FALSE),2),IF(AND($E319&lt;&gt;0,$F319&gt;0,YEAR($F319)&gt;=Preisindex!$A$6,YEAR(CU$4)&gt;=YEAR($F319),$K319="k"),ROUND(VLOOKUP(CZ$4,Preisindex,2,FALSE)/VLOOKUP(YEAR($F319),Preisindex,2,FALSE),2),0)))))</f>
        <v>0</v>
      </c>
      <c r="DA319" s="64">
        <f>IF(AND($E319&lt;&gt;0,$F319&gt;0,YEAR($F319)&lt;Preisindex!$A$6,YEAR(CU$4)&gt;=YEAR($F319),AND($K319&lt;&gt;"a",$K319&lt;&gt;"b",$K319&lt;&gt;"g",$K319&lt;&gt;"k")),1,IF(AND($E319&lt;&gt;0,$F319&gt;0,YEAR($F319)&lt;Preisindex!$A$6,YEAR(CU$4)&gt;=YEAR($F319),$K319="a"),ROUND(VLOOKUP(CZ$4,Preisindex,5,FALSE)/VLOOKUP(Preisindex!$A$6,Preisindex,5,FALSE),2),IF(AND($E319&lt;&gt;0,$F319&gt;0,YEAR($F319)&lt;Preisindex!$A$6,YEAR(CU$4)&gt;=YEAR($F319),$K319="b"),ROUND(VLOOKUP(CZ$4,Preisindex,3,FALSE)/VLOOKUP(Preisindex!$A$6,Preisindex,3,FALSE),2),IF(AND($E319&lt;&gt;0,$F319&gt;0,YEAR($F319)&lt;Preisindex!$A$6,YEAR(CU$4)&gt;=YEAR($F319),$K319="g"),ROUND(VLOOKUP(CZ$4,Preisindex,4,FALSE)/VLOOKUP(Preisindex!$A$6,Preisindex,4,FALSE),2),IF(AND($E319&lt;&gt;0,$F319&gt;0,YEAR($F319)&lt;Preisindex!$A$6,YEAR(CU$4)&gt;=YEAR($F319),$K319="k"),ROUND(VLOOKUP(CZ$4,Preisindex,2,FALSE)/VLOOKUP(Preisindex!$A$6,Preisindex,2,FALSE),2),0)))))</f>
        <v>0</v>
      </c>
      <c r="DB319" s="59">
        <f>IF(AND($E319&lt;&gt;0,$F319&gt;0,YEAR($F319)&lt;=CZ$4,YEAR($F319)&gt;=Preisindex!$A$6),ROUND($E319*CZ319,2),IF(AND($E319&lt;&gt;0,$F319&gt;0,YEAR($F319)&lt;=CZ$4,YEAR($F319)&lt;Preisindex!$A$6),ROUND($E319*DA319,2),0))</f>
        <v>0</v>
      </c>
      <c r="DC319" s="61">
        <f t="shared" si="786"/>
        <v>0</v>
      </c>
      <c r="DD319" s="59">
        <f t="shared" si="884"/>
        <v>0</v>
      </c>
      <c r="DE319" s="59">
        <f t="shared" si="861"/>
        <v>0</v>
      </c>
      <c r="DF319" s="59">
        <f t="shared" si="788"/>
        <v>0</v>
      </c>
      <c r="DG319" s="59">
        <f t="shared" si="862"/>
        <v>0</v>
      </c>
      <c r="DH319" s="59">
        <f t="shared" si="789"/>
        <v>0</v>
      </c>
      <c r="DI319" s="59">
        <f t="shared" si="863"/>
        <v>0</v>
      </c>
      <c r="DJ319" s="59">
        <f t="shared" si="790"/>
        <v>0</v>
      </c>
      <c r="DK319" s="59">
        <f t="shared" si="864"/>
        <v>0</v>
      </c>
      <c r="DL319" s="59">
        <f t="shared" si="791"/>
        <v>0</v>
      </c>
      <c r="DM319" s="59">
        <f t="shared" si="865"/>
        <v>0</v>
      </c>
      <c r="DN319" s="59">
        <f t="shared" si="792"/>
        <v>0</v>
      </c>
      <c r="DO319" s="62">
        <f t="shared" si="793"/>
        <v>0</v>
      </c>
      <c r="DP319" s="63">
        <f t="shared" si="794"/>
        <v>0</v>
      </c>
      <c r="DQ319" s="64">
        <f>IF(AND($E319&lt;&gt;0,$F319&gt;0,YEAR($F319)&gt;=Preisindex!$A$6,YEAR(DL$4)&gt;=YEAR($F319),AND($K319&lt;&gt;"a",$K319&lt;&gt;"b",$K319&lt;&gt;"g",$K319&lt;&gt;"k")),1,IF(AND($E319&lt;&gt;0,$F319&gt;0,YEAR($F319)&gt;=Preisindex!$A$6,YEAR(DL$4)&gt;=YEAR($F319),$K319="a"),ROUND(VLOOKUP(DQ$4,Preisindex,5,FALSE)/VLOOKUP(YEAR($F319),Preisindex,5,FALSE),2),IF(AND($E319&lt;&gt;0,$F319&gt;0,YEAR($F319)&gt;=Preisindex!$A$6,YEAR(DL$4)&gt;=YEAR($F319),$K319="b"),ROUND(VLOOKUP(DQ$4,Preisindex,3,FALSE)/VLOOKUP(YEAR($F319),Preisindex,3,FALSE),2),IF(AND($E319&lt;&gt;0,$F319&gt;0,YEAR($F319)&gt;=Preisindex!$A$6,YEAR(DL$4)&gt;=YEAR($F319),$K319="g"),ROUND(VLOOKUP(DQ$4,Preisindex,4,FALSE)/VLOOKUP(YEAR($F319),Preisindex,4,FALSE),2),IF(AND($E319&lt;&gt;0,$F319&gt;0,YEAR($F319)&gt;=Preisindex!$A$6,YEAR(DL$4)&gt;=YEAR($F319),$K319="k"),ROUND(VLOOKUP(DQ$4,Preisindex,2,FALSE)/VLOOKUP(YEAR($F319),Preisindex,2,FALSE),2),0)))))</f>
        <v>0</v>
      </c>
      <c r="DR319" s="64">
        <f>IF(AND($E319&lt;&gt;0,$F319&gt;0,YEAR($F319)&lt;Preisindex!$A$6,YEAR(DL$4)&gt;=YEAR($F319),AND($K319&lt;&gt;"a",$K319&lt;&gt;"b",$K319&lt;&gt;"g",$K319&lt;&gt;"k")),1,IF(AND($E319&lt;&gt;0,$F319&gt;0,YEAR($F319)&lt;Preisindex!$A$6,YEAR(DL$4)&gt;=YEAR($F319),$K319="a"),ROUND(VLOOKUP(DQ$4,Preisindex,5,FALSE)/VLOOKUP(Preisindex!$A$6,Preisindex,5,FALSE),2),IF(AND($E319&lt;&gt;0,$F319&gt;0,YEAR($F319)&lt;Preisindex!$A$6,YEAR(DL$4)&gt;=YEAR($F319),$K319="b"),ROUND(VLOOKUP(DQ$4,Preisindex,3,FALSE)/VLOOKUP(Preisindex!$A$6,Preisindex,3,FALSE),2),IF(AND($E319&lt;&gt;0,$F319&gt;0,YEAR($F319)&lt;Preisindex!$A$6,YEAR(DL$4)&gt;=YEAR($F319),$K319="g"),ROUND(VLOOKUP(DQ$4,Preisindex,4,FALSE)/VLOOKUP(Preisindex!$A$6,Preisindex,4,FALSE),2),IF(AND($E319&lt;&gt;0,$F319&gt;0,YEAR($F319)&lt;Preisindex!$A$6,YEAR(DL$4)&gt;=YEAR($F319),$K319="k"),ROUND(VLOOKUP(DQ$4,Preisindex,2,FALSE)/VLOOKUP(Preisindex!$A$6,Preisindex,2,FALSE),2),0)))))</f>
        <v>0</v>
      </c>
      <c r="DS319" s="59">
        <f>IF(AND($E319&lt;&gt;0,$F319&gt;0,YEAR($F319)&lt;=DQ$4,YEAR($F319)&gt;=Preisindex!$A$6),ROUND($E319*DQ319,2),IF(AND($E319&lt;&gt;0,$F319&gt;0,YEAR($F319)&lt;=DQ$4,YEAR($F319)&lt;Preisindex!$A$6),ROUND($E319*DR319,2),0))</f>
        <v>0</v>
      </c>
      <c r="DT319" s="61">
        <f t="shared" si="795"/>
        <v>0</v>
      </c>
      <c r="DU319" s="59">
        <f t="shared" si="884"/>
        <v>0</v>
      </c>
      <c r="DV319" s="59">
        <f t="shared" si="866"/>
        <v>0</v>
      </c>
      <c r="DW319" s="59">
        <f t="shared" si="796"/>
        <v>0</v>
      </c>
      <c r="DX319" s="59">
        <f t="shared" si="867"/>
        <v>0</v>
      </c>
      <c r="DY319" s="59">
        <f t="shared" si="797"/>
        <v>0</v>
      </c>
      <c r="DZ319" s="59">
        <f t="shared" si="868"/>
        <v>0</v>
      </c>
      <c r="EA319" s="59">
        <f t="shared" si="798"/>
        <v>0</v>
      </c>
      <c r="EB319" s="59">
        <f t="shared" si="869"/>
        <v>0</v>
      </c>
      <c r="EC319" s="59">
        <f t="shared" si="799"/>
        <v>0</v>
      </c>
      <c r="ED319" s="59">
        <f t="shared" si="870"/>
        <v>0</v>
      </c>
      <c r="EE319" s="59">
        <f t="shared" si="800"/>
        <v>0</v>
      </c>
      <c r="EF319" s="62">
        <f t="shared" si="801"/>
        <v>0</v>
      </c>
      <c r="EG319" s="63">
        <f t="shared" si="802"/>
        <v>0</v>
      </c>
      <c r="EH319" s="64">
        <f>IF(AND($E319&lt;&gt;0,$F319&gt;0,YEAR($F319)&gt;=Preisindex!$A$6,YEAR(EC$4)&gt;=YEAR($F319),AND($K319&lt;&gt;"a",$K319&lt;&gt;"b",$K319&lt;&gt;"g",$K319&lt;&gt;"k")),1,IF(AND($E319&lt;&gt;0,$F319&gt;0,YEAR($F319)&gt;=Preisindex!$A$6,YEAR(EC$4)&gt;=YEAR($F319),$K319="a"),ROUND(VLOOKUP(EH$4,Preisindex,5,FALSE)/VLOOKUP(YEAR($F319),Preisindex,5,FALSE),2),IF(AND($E319&lt;&gt;0,$F319&gt;0,YEAR($F319)&gt;=Preisindex!$A$6,YEAR(EC$4)&gt;=YEAR($F319),$K319="b"),ROUND(VLOOKUP(EH$4,Preisindex,3,FALSE)/VLOOKUP(YEAR($F319),Preisindex,3,FALSE),2),IF(AND($E319&lt;&gt;0,$F319&gt;0,YEAR($F319)&gt;=Preisindex!$A$6,YEAR(EC$4)&gt;=YEAR($F319),$K319="g"),ROUND(VLOOKUP(EH$4,Preisindex,4,FALSE)/VLOOKUP(YEAR($F319),Preisindex,4,FALSE),2),IF(AND($E319&lt;&gt;0,$F319&gt;0,YEAR($F319)&gt;=Preisindex!$A$6,YEAR(EC$4)&gt;=YEAR($F319),$K319="k"),ROUND(VLOOKUP(EH$4,Preisindex,2,FALSE)/VLOOKUP(YEAR($F319),Preisindex,2,FALSE),2),0)))))</f>
        <v>0</v>
      </c>
      <c r="EI319" s="64">
        <f>IF(AND($E319&lt;&gt;0,$F319&gt;0,YEAR($F319)&lt;Preisindex!$A$6,YEAR(EC$4)&gt;=YEAR($F319),AND($K319&lt;&gt;"a",$K319&lt;&gt;"b",$K319&lt;&gt;"g",$K319&lt;&gt;"k")),1,IF(AND($E319&lt;&gt;0,$F319&gt;0,YEAR($F319)&lt;Preisindex!$A$6,YEAR(EC$4)&gt;=YEAR($F319),$K319="a"),ROUND(VLOOKUP(EH$4,Preisindex,5,FALSE)/VLOOKUP(Preisindex!$A$6,Preisindex,5,FALSE),2),IF(AND($E319&lt;&gt;0,$F319&gt;0,YEAR($F319)&lt;Preisindex!$A$6,YEAR(EC$4)&gt;=YEAR($F319),$K319="b"),ROUND(VLOOKUP(EH$4,Preisindex,3,FALSE)/VLOOKUP(Preisindex!$A$6,Preisindex,3,FALSE),2),IF(AND($E319&lt;&gt;0,$F319&gt;0,YEAR($F319)&lt;Preisindex!$A$6,YEAR(EC$4)&gt;=YEAR($F319),$K319="g"),ROUND(VLOOKUP(EH$4,Preisindex,4,FALSE)/VLOOKUP(Preisindex!$A$6,Preisindex,4,FALSE),2),IF(AND($E319&lt;&gt;0,$F319&gt;0,YEAR($F319)&lt;Preisindex!$A$6,YEAR(EC$4)&gt;=YEAR($F319),$K319="k"),ROUND(VLOOKUP(EH$4,Preisindex,2,FALSE)/VLOOKUP(Preisindex!$A$6,Preisindex,2,FALSE),2),0)))))</f>
        <v>0</v>
      </c>
      <c r="EJ319" s="59">
        <f>IF(AND($E319&lt;&gt;0,$F319&gt;0,YEAR($F319)&lt;=EH$4,YEAR($F319)&gt;=Preisindex!$A$6),ROUND($E319*EH319,2),IF(AND($E319&lt;&gt;0,$F319&gt;0,YEAR($F319)&lt;=EH$4,YEAR($F319)&lt;Preisindex!$A$6),ROUND($E319*EI319,2),0))</f>
        <v>0</v>
      </c>
      <c r="EK319" s="61">
        <f t="shared" si="803"/>
        <v>0</v>
      </c>
      <c r="EL319" s="59">
        <f t="shared" si="884"/>
        <v>0</v>
      </c>
      <c r="EM319" s="59">
        <f t="shared" si="871"/>
        <v>0</v>
      </c>
      <c r="EN319" s="59">
        <f t="shared" si="804"/>
        <v>0</v>
      </c>
      <c r="EO319" s="59">
        <f t="shared" si="872"/>
        <v>0</v>
      </c>
      <c r="EP319" s="59">
        <f t="shared" si="805"/>
        <v>0</v>
      </c>
      <c r="EQ319" s="59">
        <f t="shared" si="873"/>
        <v>0</v>
      </c>
      <c r="ER319" s="59">
        <f t="shared" si="806"/>
        <v>0</v>
      </c>
      <c r="ES319" s="59">
        <f t="shared" si="874"/>
        <v>0</v>
      </c>
      <c r="ET319" s="59">
        <f t="shared" si="807"/>
        <v>0</v>
      </c>
      <c r="EU319" s="59">
        <f t="shared" si="875"/>
        <v>0</v>
      </c>
      <c r="EV319" s="59">
        <f t="shared" si="808"/>
        <v>0</v>
      </c>
      <c r="EW319" s="62">
        <f t="shared" si="809"/>
        <v>0</v>
      </c>
      <c r="EX319" s="63">
        <f t="shared" si="810"/>
        <v>0</v>
      </c>
      <c r="EY319" s="64">
        <f>IF(AND($E319&lt;&gt;0,$F319&gt;0,YEAR($F319)&gt;=Preisindex!$A$6,YEAR(ET$4)&gt;=YEAR($F319),AND($K319&lt;&gt;"a",$K319&lt;&gt;"b",$K319&lt;&gt;"g",$K319&lt;&gt;"k")),1,IF(AND($E319&lt;&gt;0,$F319&gt;0,YEAR($F319)&gt;=Preisindex!$A$6,YEAR(ET$4)&gt;=YEAR($F319),$K319="a"),ROUND(VLOOKUP(EY$4,Preisindex,5,FALSE)/VLOOKUP(YEAR($F319),Preisindex,5,FALSE),2),IF(AND($E319&lt;&gt;0,$F319&gt;0,YEAR($F319)&gt;=Preisindex!$A$6,YEAR(ET$4)&gt;=YEAR($F319),$K319="b"),ROUND(VLOOKUP(EY$4,Preisindex,3,FALSE)/VLOOKUP(YEAR($F319),Preisindex,3,FALSE),2),IF(AND($E319&lt;&gt;0,$F319&gt;0,YEAR($F319)&gt;=Preisindex!$A$6,YEAR(ET$4)&gt;=YEAR($F319),$K319="g"),ROUND(VLOOKUP(EY$4,Preisindex,4,FALSE)/VLOOKUP(YEAR($F319),Preisindex,4,FALSE),2),IF(AND($E319&lt;&gt;0,$F319&gt;0,YEAR($F319)&gt;=Preisindex!$A$6,YEAR(ET$4)&gt;=YEAR($F319),$K319="k"),ROUND(VLOOKUP(EY$4,Preisindex,2,FALSE)/VLOOKUP(YEAR($F319),Preisindex,2,FALSE),2),0)))))</f>
        <v>0</v>
      </c>
      <c r="EZ319" s="64">
        <f>IF(AND($E319&lt;&gt;0,$F319&gt;0,YEAR($F319)&lt;Preisindex!$A$6,YEAR(ET$4)&gt;=YEAR($F319),AND($K319&lt;&gt;"a",$K319&lt;&gt;"b",$K319&lt;&gt;"g",$K319&lt;&gt;"k")),1,IF(AND($E319&lt;&gt;0,$F319&gt;0,YEAR($F319)&lt;Preisindex!$A$6,YEAR(ET$4)&gt;=YEAR($F319),$K319="a"),ROUND(VLOOKUP(EY$4,Preisindex,5,FALSE)/VLOOKUP(Preisindex!$A$6,Preisindex,5,FALSE),2),IF(AND($E319&lt;&gt;0,$F319&gt;0,YEAR($F319)&lt;Preisindex!$A$6,YEAR(ET$4)&gt;=YEAR($F319),$K319="b"),ROUND(VLOOKUP(EY$4,Preisindex,3,FALSE)/VLOOKUP(Preisindex!$A$6,Preisindex,3,FALSE),2),IF(AND($E319&lt;&gt;0,$F319&gt;0,YEAR($F319)&lt;Preisindex!$A$6,YEAR(ET$4)&gt;=YEAR($F319),$K319="g"),ROUND(VLOOKUP(EY$4,Preisindex,4,FALSE)/VLOOKUP(Preisindex!$A$6,Preisindex,4,FALSE),2),IF(AND($E319&lt;&gt;0,$F319&gt;0,YEAR($F319)&lt;Preisindex!$A$6,YEAR(ET$4)&gt;=YEAR($F319),$K319="k"),ROUND(VLOOKUP(EY$4,Preisindex,2,FALSE)/VLOOKUP(Preisindex!$A$6,Preisindex,2,FALSE),2),0)))))</f>
        <v>0</v>
      </c>
      <c r="FA319" s="59">
        <f>IF(AND($E319&lt;&gt;0,$F319&gt;0,YEAR($F319)&lt;=EY$4,YEAR($F319)&gt;=Preisindex!$A$6),ROUND($E319*EY319,2),IF(AND($E319&lt;&gt;0,$F319&gt;0,YEAR($F319)&lt;=EY$4,YEAR($F319)&lt;Preisindex!$A$6),ROUND($E319*EZ319,2),0))</f>
        <v>0</v>
      </c>
      <c r="FB319" s="61">
        <f t="shared" si="811"/>
        <v>0</v>
      </c>
      <c r="FC319" s="59">
        <f t="shared" si="884"/>
        <v>0</v>
      </c>
      <c r="FD319" s="59">
        <f t="shared" si="876"/>
        <v>0</v>
      </c>
      <c r="FE319" s="59">
        <f t="shared" si="812"/>
        <v>0</v>
      </c>
      <c r="FF319" s="59">
        <f t="shared" si="877"/>
        <v>0</v>
      </c>
      <c r="FG319" s="59">
        <f t="shared" si="813"/>
        <v>0</v>
      </c>
      <c r="FH319" s="59">
        <f t="shared" si="878"/>
        <v>0</v>
      </c>
      <c r="FI319" s="59">
        <f t="shared" si="814"/>
        <v>0</v>
      </c>
      <c r="FJ319" s="59">
        <f t="shared" si="879"/>
        <v>0</v>
      </c>
      <c r="FK319" s="59">
        <f t="shared" si="815"/>
        <v>0</v>
      </c>
      <c r="FL319" s="59">
        <f t="shared" si="880"/>
        <v>0</v>
      </c>
      <c r="FM319" s="59">
        <f t="shared" si="816"/>
        <v>0</v>
      </c>
      <c r="FN319" s="62">
        <f t="shared" si="817"/>
        <v>0</v>
      </c>
      <c r="FO319" s="63">
        <f t="shared" si="818"/>
        <v>0</v>
      </c>
      <c r="FP319" s="64">
        <f>IF(AND($E319&lt;&gt;0,$F319&gt;0,YEAR($F319)&gt;=Preisindex!$A$6,YEAR(FK$4)&gt;=YEAR($F319),AND($K319&lt;&gt;"a",$K319&lt;&gt;"b",$K319&lt;&gt;"g",$K319&lt;&gt;"k")),1,IF(AND($E319&lt;&gt;0,$F319&gt;0,YEAR($F319)&gt;=Preisindex!$A$6,YEAR(FK$4)&gt;=YEAR($F319),$K319="a"),ROUND(VLOOKUP(FP$4,Preisindex,5,FALSE)/VLOOKUP(YEAR($F319),Preisindex,5,FALSE),2),IF(AND($E319&lt;&gt;0,$F319&gt;0,YEAR($F319)&gt;=Preisindex!$A$6,YEAR(FK$4)&gt;=YEAR($F319),$K319="b"),ROUND(VLOOKUP(FP$4,Preisindex,3,FALSE)/VLOOKUP(YEAR($F319),Preisindex,3,FALSE),2),IF(AND($E319&lt;&gt;0,$F319&gt;0,YEAR($F319)&gt;=Preisindex!$A$6,YEAR(FK$4)&gt;=YEAR($F319),$K319="g"),ROUND(VLOOKUP(FP$4,Preisindex,4,FALSE)/VLOOKUP(YEAR($F319),Preisindex,4,FALSE),2),IF(AND($E319&lt;&gt;0,$F319&gt;0,YEAR($F319)&gt;=Preisindex!$A$6,YEAR(FK$4)&gt;=YEAR($F319),$K319="k"),ROUND(VLOOKUP(FP$4,Preisindex,2,FALSE)/VLOOKUP(YEAR($F319),Preisindex,2,FALSE),2),0)))))</f>
        <v>0</v>
      </c>
      <c r="FQ319" s="64">
        <f>IF(AND($E319&lt;&gt;0,$F319&gt;0,YEAR($F319)&lt;Preisindex!$A$6,YEAR(FK$4)&gt;=YEAR($F319),AND($K319&lt;&gt;"a",$K319&lt;&gt;"b",$K319&lt;&gt;"g",$K319&lt;&gt;"k")),1,IF(AND($E319&lt;&gt;0,$F319&gt;0,YEAR($F319)&lt;Preisindex!$A$6,YEAR(FK$4)&gt;=YEAR($F319),$K319="a"),ROUND(VLOOKUP(FP$4,Preisindex,5,FALSE)/VLOOKUP(Preisindex!$A$6,Preisindex,5,FALSE),2),IF(AND($E319&lt;&gt;0,$F319&gt;0,YEAR($F319)&lt;Preisindex!$A$6,YEAR(FK$4)&gt;=YEAR($F319),$K319="b"),ROUND(VLOOKUP(FP$4,Preisindex,3,FALSE)/VLOOKUP(Preisindex!$A$6,Preisindex,3,FALSE),2),IF(AND($E319&lt;&gt;0,$F319&gt;0,YEAR($F319)&lt;Preisindex!$A$6,YEAR(FK$4)&gt;=YEAR($F319),$K319="g"),ROUND(VLOOKUP(FP$4,Preisindex,4,FALSE)/VLOOKUP(Preisindex!$A$6,Preisindex,4,FALSE),2),IF(AND($E319&lt;&gt;0,$F319&gt;0,YEAR($F319)&lt;Preisindex!$A$6,YEAR(FK$4)&gt;=YEAR($F319),$K319="k"),ROUND(VLOOKUP(FP$4,Preisindex,2,FALSE)/VLOOKUP(Preisindex!$A$6,Preisindex,2,FALSE),2),0)))))</f>
        <v>0</v>
      </c>
      <c r="FR319" s="59">
        <f>IF(AND($E319&lt;&gt;0,$F319&gt;0,YEAR($F319)&lt;=FP$4,YEAR($F319)&gt;=Preisindex!$A$6),ROUND($E319*FP319,2),IF(AND($E319&lt;&gt;0,$F319&gt;0,YEAR($F319)&lt;=FP$4,YEAR($F319)&lt;Preisindex!$A$6),ROUND($E319*FQ319,2),0))</f>
        <v>0</v>
      </c>
      <c r="FS319" s="61">
        <f t="shared" si="819"/>
        <v>0</v>
      </c>
    </row>
    <row r="320" spans="1:175" ht="24" customHeight="1" x14ac:dyDescent="0.3">
      <c r="K320" t="s">
        <v>177</v>
      </c>
      <c r="N320" s="393">
        <f>SUM(N5:N319)</f>
        <v>9877440</v>
      </c>
      <c r="O320" s="393">
        <f t="shared" ref="O320:AM320" si="885">SUM(O5:O319)</f>
        <v>0</v>
      </c>
      <c r="P320" s="393">
        <f t="shared" si="885"/>
        <v>8905560</v>
      </c>
      <c r="Q320" s="393">
        <f t="shared" si="885"/>
        <v>0</v>
      </c>
      <c r="R320" s="393">
        <f t="shared" si="885"/>
        <v>0</v>
      </c>
      <c r="S320" s="393">
        <f t="shared" si="885"/>
        <v>0</v>
      </c>
      <c r="T320" s="393">
        <f t="shared" si="885"/>
        <v>0</v>
      </c>
      <c r="U320" s="393">
        <f t="shared" si="885"/>
        <v>0</v>
      </c>
      <c r="V320" s="394">
        <f t="shared" si="885"/>
        <v>18783000</v>
      </c>
      <c r="W320" s="393">
        <f t="shared" si="885"/>
        <v>0</v>
      </c>
      <c r="X320" s="393">
        <f t="shared" si="885"/>
        <v>0</v>
      </c>
      <c r="Y320" s="393">
        <f t="shared" si="885"/>
        <v>0</v>
      </c>
      <c r="Z320" s="393">
        <f t="shared" si="885"/>
        <v>0</v>
      </c>
      <c r="AA320" s="393">
        <f t="shared" si="885"/>
        <v>18783000</v>
      </c>
      <c r="AB320" s="393">
        <f t="shared" si="885"/>
        <v>17707000</v>
      </c>
      <c r="AC320" s="393">
        <f t="shared" si="885"/>
        <v>354140</v>
      </c>
      <c r="AD320" s="393">
        <f t="shared" si="885"/>
        <v>354140</v>
      </c>
      <c r="AE320" s="393">
        <f t="shared" si="885"/>
        <v>9523300</v>
      </c>
      <c r="AF320" s="393">
        <f t="shared" si="885"/>
        <v>9523300</v>
      </c>
      <c r="AG320" s="393">
        <f t="shared" si="885"/>
        <v>9259700</v>
      </c>
      <c r="AH320" s="393">
        <f t="shared" si="885"/>
        <v>0</v>
      </c>
      <c r="AI320" s="393">
        <f t="shared" si="885"/>
        <v>0</v>
      </c>
      <c r="AJ320" s="393"/>
      <c r="AK320" s="393"/>
      <c r="AL320" s="393">
        <f t="shared" si="885"/>
        <v>37934365</v>
      </c>
      <c r="AM320" s="394">
        <f t="shared" si="885"/>
        <v>674041.29999999993</v>
      </c>
      <c r="AN320" s="393">
        <f t="shared" ref="AN320:AZ320" si="886">SUM(AN5:AN319)</f>
        <v>0</v>
      </c>
      <c r="AO320" s="393">
        <f t="shared" si="886"/>
        <v>0</v>
      </c>
      <c r="AP320" s="393">
        <f t="shared" si="886"/>
        <v>0</v>
      </c>
      <c r="AQ320" s="393">
        <f t="shared" si="886"/>
        <v>0</v>
      </c>
      <c r="AR320" s="393">
        <f t="shared" si="886"/>
        <v>18783000</v>
      </c>
      <c r="AS320" s="393">
        <f t="shared" si="886"/>
        <v>17707000</v>
      </c>
      <c r="AT320" s="393">
        <f t="shared" si="886"/>
        <v>354140</v>
      </c>
      <c r="AU320" s="393">
        <f t="shared" si="886"/>
        <v>354140</v>
      </c>
      <c r="AV320" s="393">
        <f t="shared" si="886"/>
        <v>9169160</v>
      </c>
      <c r="AW320" s="393">
        <f t="shared" si="886"/>
        <v>9169160</v>
      </c>
      <c r="AX320" s="393">
        <f t="shared" si="886"/>
        <v>9613840</v>
      </c>
      <c r="AY320" s="393">
        <f t="shared" si="886"/>
        <v>0</v>
      </c>
      <c r="AZ320" s="393">
        <f t="shared" si="886"/>
        <v>0</v>
      </c>
      <c r="BA320" s="393"/>
      <c r="BB320" s="393"/>
      <c r="BC320" s="393">
        <f t="shared" ref="BC320:BQ320" si="887">SUM(BC5:BC319)</f>
        <v>38667385</v>
      </c>
      <c r="BD320" s="394">
        <f t="shared" si="887"/>
        <v>687189.70000000007</v>
      </c>
      <c r="BE320" s="393">
        <f t="shared" si="887"/>
        <v>0</v>
      </c>
      <c r="BF320" s="393">
        <f t="shared" si="887"/>
        <v>0</v>
      </c>
      <c r="BG320" s="393">
        <f t="shared" si="887"/>
        <v>0</v>
      </c>
      <c r="BH320" s="393">
        <f t="shared" si="887"/>
        <v>0</v>
      </c>
      <c r="BI320" s="393">
        <f t="shared" si="887"/>
        <v>18783000</v>
      </c>
      <c r="BJ320" s="393">
        <f t="shared" si="887"/>
        <v>17707000</v>
      </c>
      <c r="BK320" s="393">
        <f t="shared" si="887"/>
        <v>354140</v>
      </c>
      <c r="BL320" s="393">
        <f t="shared" si="887"/>
        <v>354140</v>
      </c>
      <c r="BM320" s="393">
        <f t="shared" si="887"/>
        <v>8815020</v>
      </c>
      <c r="BN320" s="393">
        <f t="shared" si="887"/>
        <v>8815020</v>
      </c>
      <c r="BO320" s="393">
        <f t="shared" si="887"/>
        <v>9967980</v>
      </c>
      <c r="BP320" s="393">
        <f t="shared" si="887"/>
        <v>0</v>
      </c>
      <c r="BQ320" s="393">
        <f t="shared" si="887"/>
        <v>0</v>
      </c>
      <c r="BR320" s="393"/>
      <c r="BS320" s="393"/>
      <c r="BT320" s="393">
        <f t="shared" ref="BT320:CH320" si="888">SUM(BT5:BT319)</f>
        <v>39303375</v>
      </c>
      <c r="BU320" s="394">
        <f t="shared" si="888"/>
        <v>698397.50000000012</v>
      </c>
      <c r="BV320" s="393">
        <f t="shared" si="888"/>
        <v>0</v>
      </c>
      <c r="BW320" s="393">
        <f t="shared" si="888"/>
        <v>0</v>
      </c>
      <c r="BX320" s="393">
        <f t="shared" si="888"/>
        <v>0</v>
      </c>
      <c r="BY320" s="393">
        <f t="shared" si="888"/>
        <v>0</v>
      </c>
      <c r="BZ320" s="393">
        <f t="shared" si="888"/>
        <v>18783000</v>
      </c>
      <c r="CA320" s="393">
        <f t="shared" si="888"/>
        <v>17707000</v>
      </c>
      <c r="CB320" s="393">
        <f t="shared" si="888"/>
        <v>354140</v>
      </c>
      <c r="CC320" s="393">
        <f t="shared" si="888"/>
        <v>354140</v>
      </c>
      <c r="CD320" s="393">
        <f t="shared" si="888"/>
        <v>8460880</v>
      </c>
      <c r="CE320" s="393">
        <f t="shared" si="888"/>
        <v>8460880</v>
      </c>
      <c r="CF320" s="393">
        <f t="shared" si="888"/>
        <v>10322120</v>
      </c>
      <c r="CG320" s="393">
        <f t="shared" si="888"/>
        <v>0</v>
      </c>
      <c r="CH320" s="393">
        <f t="shared" si="888"/>
        <v>0</v>
      </c>
      <c r="CI320" s="393"/>
      <c r="CJ320" s="393"/>
      <c r="CK320" s="393">
        <f t="shared" ref="CK320:CY320" si="889">SUM(CK5:CK319)</f>
        <v>39702915</v>
      </c>
      <c r="CL320" s="394">
        <f t="shared" si="889"/>
        <v>705443.2999999997</v>
      </c>
      <c r="CM320" s="393">
        <f t="shared" si="889"/>
        <v>0</v>
      </c>
      <c r="CN320" s="393">
        <f t="shared" si="889"/>
        <v>0</v>
      </c>
      <c r="CO320" s="393">
        <f t="shared" si="889"/>
        <v>0</v>
      </c>
      <c r="CP320" s="393">
        <f t="shared" si="889"/>
        <v>0</v>
      </c>
      <c r="CQ320" s="393">
        <f t="shared" si="889"/>
        <v>18783000</v>
      </c>
      <c r="CR320" s="393">
        <f t="shared" si="889"/>
        <v>17707000</v>
      </c>
      <c r="CS320" s="393">
        <f t="shared" si="889"/>
        <v>354140</v>
      </c>
      <c r="CT320" s="393">
        <f t="shared" si="889"/>
        <v>354140</v>
      </c>
      <c r="CU320" s="393">
        <f t="shared" si="889"/>
        <v>8106740</v>
      </c>
      <c r="CV320" s="393">
        <f t="shared" si="889"/>
        <v>8106740</v>
      </c>
      <c r="CW320" s="393">
        <f t="shared" si="889"/>
        <v>10676260</v>
      </c>
      <c r="CX320" s="393">
        <f t="shared" si="889"/>
        <v>0</v>
      </c>
      <c r="CY320" s="393">
        <f t="shared" si="889"/>
        <v>0</v>
      </c>
      <c r="CZ320" s="393"/>
      <c r="DA320" s="393"/>
      <c r="DB320" s="393">
        <f t="shared" ref="DB320:DP320" si="890">SUM(DB5:DB319)</f>
        <v>40441320</v>
      </c>
      <c r="DC320" s="394">
        <f t="shared" si="890"/>
        <v>718888.4</v>
      </c>
      <c r="DD320" s="393">
        <f t="shared" si="890"/>
        <v>0</v>
      </c>
      <c r="DE320" s="393">
        <f t="shared" si="890"/>
        <v>0</v>
      </c>
      <c r="DF320" s="393">
        <f t="shared" si="890"/>
        <v>0</v>
      </c>
      <c r="DG320" s="393">
        <f t="shared" si="890"/>
        <v>0</v>
      </c>
      <c r="DH320" s="393">
        <f t="shared" si="890"/>
        <v>18783000</v>
      </c>
      <c r="DI320" s="393">
        <f t="shared" si="890"/>
        <v>17707000</v>
      </c>
      <c r="DJ320" s="393">
        <f t="shared" si="890"/>
        <v>354140</v>
      </c>
      <c r="DK320" s="393">
        <f t="shared" si="890"/>
        <v>354140</v>
      </c>
      <c r="DL320" s="393">
        <f t="shared" si="890"/>
        <v>7752600</v>
      </c>
      <c r="DM320" s="393">
        <f t="shared" si="890"/>
        <v>7752600</v>
      </c>
      <c r="DN320" s="393">
        <f t="shared" si="890"/>
        <v>11030400</v>
      </c>
      <c r="DO320" s="393">
        <f t="shared" si="890"/>
        <v>0</v>
      </c>
      <c r="DP320" s="393">
        <f t="shared" si="890"/>
        <v>0</v>
      </c>
      <c r="DQ320" s="393"/>
      <c r="DR320" s="393"/>
      <c r="DS320" s="393">
        <f t="shared" ref="DS320:EG320" si="891">SUM(DS5:DS319)</f>
        <v>41698100</v>
      </c>
      <c r="DT320" s="394">
        <f t="shared" si="891"/>
        <v>741189</v>
      </c>
      <c r="DU320" s="393">
        <f t="shared" si="891"/>
        <v>0</v>
      </c>
      <c r="DV320" s="393">
        <f t="shared" si="891"/>
        <v>0</v>
      </c>
      <c r="DW320" s="393">
        <f t="shared" si="891"/>
        <v>0</v>
      </c>
      <c r="DX320" s="393">
        <f t="shared" si="891"/>
        <v>0</v>
      </c>
      <c r="DY320" s="393">
        <f t="shared" si="891"/>
        <v>18783000</v>
      </c>
      <c r="DZ320" s="393">
        <f t="shared" si="891"/>
        <v>17707000</v>
      </c>
      <c r="EA320" s="393">
        <f t="shared" si="891"/>
        <v>354140</v>
      </c>
      <c r="EB320" s="393">
        <f t="shared" si="891"/>
        <v>354140</v>
      </c>
      <c r="EC320" s="393">
        <f t="shared" si="891"/>
        <v>7398460</v>
      </c>
      <c r="ED320" s="393">
        <f t="shared" si="891"/>
        <v>7398460</v>
      </c>
      <c r="EE320" s="393">
        <f t="shared" si="891"/>
        <v>11384540</v>
      </c>
      <c r="EF320" s="393">
        <f t="shared" si="891"/>
        <v>0</v>
      </c>
      <c r="EG320" s="393">
        <f t="shared" si="891"/>
        <v>0</v>
      </c>
      <c r="EH320" s="393"/>
      <c r="EI320" s="393"/>
      <c r="EJ320" s="393">
        <f t="shared" ref="EJ320:EX320" si="892">SUM(EJ5:EJ319)</f>
        <v>43820150</v>
      </c>
      <c r="EK320" s="394">
        <f t="shared" si="892"/>
        <v>779094.00000000012</v>
      </c>
      <c r="EL320" s="393">
        <f t="shared" si="892"/>
        <v>0</v>
      </c>
      <c r="EM320" s="393">
        <f t="shared" si="892"/>
        <v>0</v>
      </c>
      <c r="EN320" s="393">
        <f t="shared" si="892"/>
        <v>0</v>
      </c>
      <c r="EO320" s="393">
        <f t="shared" si="892"/>
        <v>0</v>
      </c>
      <c r="EP320" s="393">
        <f t="shared" si="892"/>
        <v>18783000</v>
      </c>
      <c r="EQ320" s="393">
        <f t="shared" si="892"/>
        <v>17707000</v>
      </c>
      <c r="ER320" s="393">
        <f t="shared" si="892"/>
        <v>354140</v>
      </c>
      <c r="ES320" s="393">
        <f t="shared" si="892"/>
        <v>354140</v>
      </c>
      <c r="ET320" s="393">
        <f t="shared" si="892"/>
        <v>7044320</v>
      </c>
      <c r="EU320" s="393">
        <f t="shared" si="892"/>
        <v>7044320</v>
      </c>
      <c r="EV320" s="393">
        <f t="shared" si="892"/>
        <v>11738680</v>
      </c>
      <c r="EW320" s="393">
        <f t="shared" si="892"/>
        <v>0</v>
      </c>
      <c r="EX320" s="393">
        <f t="shared" si="892"/>
        <v>0</v>
      </c>
      <c r="EY320" s="393"/>
      <c r="EZ320" s="393"/>
      <c r="FA320" s="393">
        <f t="shared" ref="FA320:FO320" si="893">SUM(FA5:FA319)</f>
        <v>43820150</v>
      </c>
      <c r="FB320" s="394">
        <f t="shared" si="893"/>
        <v>779094.00000000012</v>
      </c>
      <c r="FC320" s="393">
        <f t="shared" si="893"/>
        <v>0</v>
      </c>
      <c r="FD320" s="393">
        <f t="shared" si="893"/>
        <v>0</v>
      </c>
      <c r="FE320" s="393">
        <f t="shared" si="893"/>
        <v>0</v>
      </c>
      <c r="FF320" s="393">
        <f t="shared" si="893"/>
        <v>0</v>
      </c>
      <c r="FG320" s="393">
        <f t="shared" si="893"/>
        <v>18783000</v>
      </c>
      <c r="FH320" s="393">
        <f t="shared" si="893"/>
        <v>15344500</v>
      </c>
      <c r="FI320" s="393">
        <f t="shared" si="893"/>
        <v>306890</v>
      </c>
      <c r="FJ320" s="393">
        <f t="shared" si="893"/>
        <v>306890</v>
      </c>
      <c r="FK320" s="393">
        <f t="shared" si="893"/>
        <v>6737430</v>
      </c>
      <c r="FL320" s="393">
        <f t="shared" si="893"/>
        <v>6737430</v>
      </c>
      <c r="FM320" s="393">
        <f t="shared" si="893"/>
        <v>12045570</v>
      </c>
      <c r="FN320" s="393">
        <f t="shared" si="893"/>
        <v>0</v>
      </c>
      <c r="FO320" s="393">
        <f t="shared" si="893"/>
        <v>0</v>
      </c>
      <c r="FP320" s="393"/>
      <c r="FQ320" s="393"/>
      <c r="FR320" s="393">
        <f t="shared" ref="FR320:FS320" si="894">SUM(FR5:FR319)</f>
        <v>43820150</v>
      </c>
      <c r="FS320" s="394">
        <f t="shared" si="894"/>
        <v>613719.00000000012</v>
      </c>
    </row>
    <row r="321" spans="1:175" ht="11.25" customHeight="1" x14ac:dyDescent="0.3">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c r="AF321" s="89"/>
      <c r="AG321" s="89"/>
      <c r="AH321" s="89"/>
      <c r="AI321" s="89"/>
      <c r="AJ321" s="89"/>
      <c r="AK321" s="89"/>
      <c r="AL321" s="89"/>
      <c r="AM321" s="90"/>
      <c r="AN321" s="89"/>
      <c r="AO321" s="89"/>
      <c r="AP321" s="89"/>
      <c r="AQ321" s="89"/>
      <c r="AR321" s="89"/>
      <c r="AS321" s="89"/>
      <c r="AT321" s="89"/>
      <c r="AU321" s="89"/>
      <c r="AV321" s="89"/>
      <c r="AW321" s="89"/>
      <c r="AX321" s="89"/>
      <c r="AY321" s="89"/>
      <c r="AZ321" s="89"/>
      <c r="BA321" s="89"/>
      <c r="BB321" s="89"/>
      <c r="BC321" s="89"/>
      <c r="BD321" s="90"/>
      <c r="BE321" s="89"/>
      <c r="BF321" s="89"/>
      <c r="BG321" s="89"/>
      <c r="BH321" s="89"/>
      <c r="BI321" s="89"/>
      <c r="BJ321" s="89"/>
      <c r="BK321" s="89"/>
      <c r="BL321" s="89"/>
      <c r="BM321" s="89"/>
      <c r="BN321" s="89"/>
      <c r="BO321" s="89"/>
      <c r="BP321" s="89"/>
      <c r="BQ321" s="89"/>
      <c r="BR321" s="89"/>
      <c r="BS321" s="89"/>
      <c r="BT321" s="89"/>
      <c r="BU321" s="90"/>
      <c r="BV321" s="89"/>
      <c r="BW321" s="89"/>
      <c r="BX321" s="89"/>
      <c r="BY321" s="89"/>
      <c r="BZ321" s="89"/>
      <c r="CA321" s="89"/>
      <c r="CB321" s="89"/>
      <c r="CC321" s="89"/>
      <c r="CD321" s="89"/>
      <c r="CE321" s="89"/>
      <c r="CF321" s="89"/>
      <c r="CG321" s="89"/>
      <c r="CH321" s="89"/>
      <c r="CI321" s="89"/>
      <c r="CJ321" s="89"/>
      <c r="CK321" s="89"/>
      <c r="CL321" s="90"/>
      <c r="CM321" s="89"/>
      <c r="CN321" s="89"/>
      <c r="CO321" s="89"/>
      <c r="CP321" s="89"/>
      <c r="CQ321" s="89"/>
      <c r="CR321" s="89"/>
      <c r="CS321" s="89"/>
      <c r="CT321" s="89"/>
      <c r="CU321" s="89"/>
      <c r="CV321" s="89"/>
      <c r="CW321" s="89"/>
      <c r="CX321" s="89"/>
      <c r="CY321" s="89"/>
      <c r="CZ321" s="89"/>
      <c r="DA321" s="89"/>
      <c r="DB321" s="89"/>
      <c r="DC321" s="90"/>
      <c r="DD321" s="89"/>
      <c r="DE321" s="89"/>
      <c r="DF321" s="89"/>
      <c r="DG321" s="89"/>
      <c r="DH321" s="89"/>
      <c r="DI321" s="89"/>
      <c r="DJ321" s="89"/>
      <c r="DK321" s="89"/>
      <c r="DL321" s="89"/>
      <c r="DM321" s="89"/>
      <c r="DN321" s="89"/>
      <c r="DO321" s="89"/>
      <c r="DP321" s="89"/>
      <c r="DQ321" s="89"/>
      <c r="DR321" s="89"/>
      <c r="DS321" s="89"/>
      <c r="DT321" s="90"/>
      <c r="DU321" s="89"/>
      <c r="DV321" s="89"/>
      <c r="DW321" s="89"/>
      <c r="DX321" s="89"/>
      <c r="DY321" s="89"/>
      <c r="DZ321" s="89"/>
      <c r="EA321" s="89"/>
      <c r="EB321" s="89"/>
      <c r="EC321" s="89"/>
      <c r="ED321" s="89"/>
      <c r="EE321" s="89"/>
      <c r="EF321" s="89"/>
      <c r="EG321" s="89"/>
      <c r="EH321" s="89"/>
      <c r="EI321" s="89"/>
      <c r="EJ321" s="89"/>
      <c r="EK321" s="90"/>
      <c r="EL321" s="89"/>
      <c r="EM321" s="89"/>
      <c r="EN321" s="89"/>
      <c r="EO321" s="89"/>
      <c r="EP321" s="89"/>
      <c r="EQ321" s="89"/>
      <c r="ER321" s="89"/>
      <c r="ES321" s="89"/>
      <c r="ET321" s="89"/>
      <c r="EU321" s="89"/>
      <c r="EV321" s="89"/>
      <c r="EW321" s="89"/>
      <c r="EX321" s="89"/>
      <c r="EY321" s="89"/>
      <c r="EZ321" s="89"/>
      <c r="FA321" s="89"/>
      <c r="FB321" s="90"/>
      <c r="FC321" s="89"/>
      <c r="FD321" s="89"/>
      <c r="FE321" s="89"/>
      <c r="FF321" s="89"/>
      <c r="FG321" s="89"/>
      <c r="FH321" s="89"/>
      <c r="FI321" s="89"/>
      <c r="FJ321" s="89"/>
      <c r="FK321" s="89"/>
      <c r="FL321" s="89"/>
      <c r="FM321" s="89"/>
      <c r="FN321" s="89"/>
      <c r="FO321" s="89"/>
      <c r="FP321" s="89"/>
      <c r="FQ321" s="89"/>
      <c r="FR321" s="89"/>
      <c r="FS321" s="90"/>
    </row>
    <row r="322" spans="1:175" s="10" customFormat="1" ht="18" hidden="1" x14ac:dyDescent="0.35">
      <c r="V322" s="217"/>
      <c r="AC322" s="397">
        <f>AC4</f>
        <v>2012</v>
      </c>
      <c r="AM322" s="217"/>
      <c r="AT322" s="397">
        <f t="shared" ref="AT322" si="895">AT4</f>
        <v>2013</v>
      </c>
      <c r="BD322" s="217"/>
      <c r="BK322" s="397">
        <f t="shared" ref="BK322" si="896">BK4</f>
        <v>2014</v>
      </c>
      <c r="BU322" s="217"/>
      <c r="CB322" s="397">
        <f t="shared" ref="CB322" si="897">CB4</f>
        <v>2015</v>
      </c>
      <c r="CL322" s="217"/>
      <c r="CS322" s="397">
        <f t="shared" ref="CS322" si="898">CS4</f>
        <v>2016</v>
      </c>
      <c r="DC322" s="217"/>
      <c r="DJ322" s="397">
        <f t="shared" ref="DJ322" si="899">DJ4</f>
        <v>2017</v>
      </c>
      <c r="DT322" s="217"/>
      <c r="EA322" s="397">
        <f t="shared" ref="EA322" si="900">EA4</f>
        <v>2018</v>
      </c>
      <c r="EK322" s="217"/>
      <c r="ER322" s="397">
        <f t="shared" ref="ER322" si="901">ER4</f>
        <v>2019</v>
      </c>
      <c r="FB322" s="217"/>
      <c r="FI322" s="397">
        <f t="shared" ref="FI322" si="902">FI4</f>
        <v>2020</v>
      </c>
      <c r="FS322" s="217"/>
    </row>
    <row r="323" spans="1:175" s="10" customFormat="1" ht="21" hidden="1" x14ac:dyDescent="0.4">
      <c r="A323" s="108" t="s">
        <v>979</v>
      </c>
      <c r="F323" s="301" t="str">
        <f>"Zwischen Zeile "&amp;ROW(322:322)&amp;" und Zeile "&amp;ROW(501:501)&amp;" weder eine Zeile einfügen noch löschen!!!"</f>
        <v>Zwischen Zeile 322 und Zeile 501 weder eine Zeile einfügen noch löschen!!!</v>
      </c>
      <c r="V323" s="217">
        <v>2</v>
      </c>
      <c r="W323" s="108" t="s">
        <v>445</v>
      </c>
      <c r="AA323" s="92" t="s">
        <v>267</v>
      </c>
      <c r="AB323" s="92" t="s">
        <v>268</v>
      </c>
      <c r="AC323" s="92" t="s">
        <v>196</v>
      </c>
      <c r="AD323" s="92" t="s">
        <v>269</v>
      </c>
      <c r="AE323" s="91" t="s">
        <v>980</v>
      </c>
      <c r="AK323" s="92" t="s">
        <v>271</v>
      </c>
      <c r="AL323" s="92" t="s">
        <v>270</v>
      </c>
      <c r="AM323" s="662" t="s">
        <v>196</v>
      </c>
      <c r="AN323" s="108" t="s">
        <v>445</v>
      </c>
      <c r="AR323" s="92" t="s">
        <v>267</v>
      </c>
      <c r="AS323" s="92" t="s">
        <v>268</v>
      </c>
      <c r="AT323" s="92" t="s">
        <v>196</v>
      </c>
      <c r="AU323" s="92" t="s">
        <v>269</v>
      </c>
      <c r="AV323" s="91" t="s">
        <v>980</v>
      </c>
      <c r="BB323" s="92" t="s">
        <v>271</v>
      </c>
      <c r="BC323" s="92" t="s">
        <v>270</v>
      </c>
      <c r="BD323" s="662" t="s">
        <v>196</v>
      </c>
      <c r="BE323" s="108" t="s">
        <v>445</v>
      </c>
      <c r="BI323" s="92" t="s">
        <v>267</v>
      </c>
      <c r="BJ323" s="92" t="s">
        <v>268</v>
      </c>
      <c r="BK323" s="92" t="s">
        <v>196</v>
      </c>
      <c r="BL323" s="92" t="s">
        <v>269</v>
      </c>
      <c r="BM323" s="91" t="s">
        <v>980</v>
      </c>
      <c r="BS323" s="92" t="s">
        <v>271</v>
      </c>
      <c r="BT323" s="92" t="s">
        <v>270</v>
      </c>
      <c r="BU323" s="662" t="s">
        <v>196</v>
      </c>
      <c r="BV323" s="108" t="s">
        <v>445</v>
      </c>
      <c r="BZ323" s="92" t="s">
        <v>267</v>
      </c>
      <c r="CA323" s="92" t="s">
        <v>268</v>
      </c>
      <c r="CB323" s="92" t="s">
        <v>196</v>
      </c>
      <c r="CC323" s="92" t="s">
        <v>269</v>
      </c>
      <c r="CD323" s="91" t="s">
        <v>980</v>
      </c>
      <c r="CJ323" s="92" t="s">
        <v>271</v>
      </c>
      <c r="CK323" s="92" t="s">
        <v>270</v>
      </c>
      <c r="CL323" s="662" t="s">
        <v>196</v>
      </c>
      <c r="CM323" s="108" t="s">
        <v>445</v>
      </c>
      <c r="CQ323" s="92" t="s">
        <v>267</v>
      </c>
      <c r="CR323" s="92" t="s">
        <v>268</v>
      </c>
      <c r="CS323" s="92" t="s">
        <v>196</v>
      </c>
      <c r="CT323" s="92" t="s">
        <v>269</v>
      </c>
      <c r="CU323" s="91" t="s">
        <v>980</v>
      </c>
      <c r="DA323" s="92" t="s">
        <v>271</v>
      </c>
      <c r="DB323" s="92" t="s">
        <v>270</v>
      </c>
      <c r="DC323" s="662" t="s">
        <v>196</v>
      </c>
      <c r="DD323" s="108" t="s">
        <v>445</v>
      </c>
      <c r="DH323" s="92" t="s">
        <v>267</v>
      </c>
      <c r="DI323" s="92" t="s">
        <v>268</v>
      </c>
      <c r="DJ323" s="92" t="s">
        <v>196</v>
      </c>
      <c r="DK323" s="92" t="s">
        <v>269</v>
      </c>
      <c r="DL323" s="91" t="s">
        <v>980</v>
      </c>
      <c r="DR323" s="92" t="s">
        <v>271</v>
      </c>
      <c r="DS323" s="92" t="s">
        <v>270</v>
      </c>
      <c r="DT323" s="662" t="s">
        <v>196</v>
      </c>
      <c r="DU323" s="108" t="s">
        <v>445</v>
      </c>
      <c r="DY323" s="92" t="s">
        <v>267</v>
      </c>
      <c r="DZ323" s="92" t="s">
        <v>268</v>
      </c>
      <c r="EA323" s="92" t="s">
        <v>196</v>
      </c>
      <c r="EB323" s="92" t="s">
        <v>269</v>
      </c>
      <c r="EC323" s="91" t="s">
        <v>980</v>
      </c>
      <c r="EI323" s="92" t="s">
        <v>271</v>
      </c>
      <c r="EJ323" s="92" t="s">
        <v>270</v>
      </c>
      <c r="EK323" s="662" t="s">
        <v>196</v>
      </c>
      <c r="EL323" s="108" t="s">
        <v>445</v>
      </c>
      <c r="EP323" s="92" t="s">
        <v>267</v>
      </c>
      <c r="EQ323" s="92" t="s">
        <v>268</v>
      </c>
      <c r="ER323" s="92" t="s">
        <v>196</v>
      </c>
      <c r="ES323" s="92" t="s">
        <v>269</v>
      </c>
      <c r="ET323" s="91" t="s">
        <v>980</v>
      </c>
      <c r="EZ323" s="92" t="s">
        <v>271</v>
      </c>
      <c r="FA323" s="92" t="s">
        <v>270</v>
      </c>
      <c r="FB323" s="662" t="s">
        <v>196</v>
      </c>
      <c r="FC323" s="108" t="s">
        <v>445</v>
      </c>
      <c r="FG323" s="92" t="s">
        <v>267</v>
      </c>
      <c r="FH323" s="92" t="s">
        <v>268</v>
      </c>
      <c r="FI323" s="92" t="s">
        <v>196</v>
      </c>
      <c r="FJ323" s="92" t="s">
        <v>269</v>
      </c>
      <c r="FK323" s="91" t="s">
        <v>980</v>
      </c>
      <c r="FQ323" s="92" t="s">
        <v>271</v>
      </c>
      <c r="FR323" s="92" t="s">
        <v>270</v>
      </c>
      <c r="FS323" s="662" t="s">
        <v>196</v>
      </c>
    </row>
    <row r="324" spans="1:175" s="10" customFormat="1" hidden="1" x14ac:dyDescent="0.3">
      <c r="A324" s="657" t="s">
        <v>179</v>
      </c>
      <c r="V324" s="217">
        <v>3</v>
      </c>
      <c r="AA324" s="179">
        <f>SUMIF($D$5:$D$319,"=kas",AA5:AA319)+SUMIF($D$5:$D$319,"=kam",AA5:AA319)+SUMIF($D$5:$D$319,"=kar",AA5:AA319)+SUMIF($D$5:$D$319,"=kaz",AA5:AA319)</f>
        <v>16501000</v>
      </c>
      <c r="AB324" s="102">
        <f>SUM(AB325:AB327)</f>
        <v>1</v>
      </c>
      <c r="AC324" s="179">
        <f>SUMIF($D$5:$D$319,"=kas",AC5:AC319)+SUMIF($D$5:$D$319,"=kam",AC5:AC319)+SUMIF($D$5:$D$319,"=kar",AC5:AC319)+SUMIF($D$5:$D$319,"=kaz",AC5:AC319)</f>
        <v>329600</v>
      </c>
      <c r="AD324" s="102">
        <f>SUM(AD325:AD327)</f>
        <v>1</v>
      </c>
      <c r="AE324" s="657" t="s">
        <v>179</v>
      </c>
      <c r="AK324" s="102">
        <f>SUM(AK325:AK327)</f>
        <v>1</v>
      </c>
      <c r="AL324" s="179">
        <f>SUMIF($D$5:$D$319,"=kas",AL5:AL319)+SUMIF($D$5:$D$319,"=kam",AL5:AL319)+SUMIF($D$5:$D$319,"=kar",AL5:AL319)+SUMIF($D$5:$D$319,"=kaz",AL5:AL319)</f>
        <v>32143100</v>
      </c>
      <c r="AM324" s="237">
        <f>SUMIF($D$5:$D$319,"=kas",AM5:AM319)+SUMIF($D$5:$D$319,"=kam",AM5:AM319)+SUMIF($D$5:$D$319,"=kar",AM5:AM319)+SUMIF($D$5:$D$319,"=kaz",AM5:AM319)</f>
        <v>642442</v>
      </c>
      <c r="AR324" s="179">
        <f t="shared" ref="AR324" si="903">SUMIF($D$5:$D$319,"=kas",AR5:AR319)+SUMIF($D$5:$D$319,"=kam",AR5:AR319)+SUMIF($D$5:$D$319,"=kar",AR5:AR319)+SUMIF($D$5:$D$319,"=kaz",AR5:AR319)</f>
        <v>16501000</v>
      </c>
      <c r="AS324" s="102">
        <f t="shared" ref="AS324" si="904">SUM(AS325:AS327)</f>
        <v>1</v>
      </c>
      <c r="AT324" s="179">
        <f t="shared" ref="AT324" si="905">SUMIF($D$5:$D$319,"=kas",AT5:AT319)+SUMIF($D$5:$D$319,"=kam",AT5:AT319)+SUMIF($D$5:$D$319,"=kar",AT5:AT319)+SUMIF($D$5:$D$319,"=kaz",AT5:AT319)</f>
        <v>329600</v>
      </c>
      <c r="AU324" s="102">
        <f t="shared" ref="AU324" si="906">SUM(AU325:AU327)</f>
        <v>1</v>
      </c>
      <c r="AV324" s="658" t="s">
        <v>179</v>
      </c>
      <c r="BB324" s="102">
        <f t="shared" ref="BB324" si="907">SUM(BB325:BB327)</f>
        <v>1</v>
      </c>
      <c r="BC324" s="179">
        <f t="shared" ref="BC324:BD324" si="908">SUMIF($D$5:$D$319,"=kas",BC5:BC319)+SUMIF($D$5:$D$319,"=kam",BC5:BC319)+SUMIF($D$5:$D$319,"=kar",BC5:BC319)+SUMIF($D$5:$D$319,"=kaz",BC5:BC319)</f>
        <v>32771900</v>
      </c>
      <c r="BD324" s="237">
        <f t="shared" si="908"/>
        <v>655018</v>
      </c>
      <c r="BI324" s="179">
        <f t="shared" ref="BI324" si="909">SUMIF($D$5:$D$319,"=kas",BI5:BI319)+SUMIF($D$5:$D$319,"=kam",BI5:BI319)+SUMIF($D$5:$D$319,"=kar",BI5:BI319)+SUMIF($D$5:$D$319,"=kaz",BI5:BI319)</f>
        <v>16501000</v>
      </c>
      <c r="BJ324" s="102">
        <f t="shared" ref="BJ324" si="910">SUM(BJ325:BJ327)</f>
        <v>1</v>
      </c>
      <c r="BK324" s="179">
        <f t="shared" ref="BK324" si="911">SUMIF($D$5:$D$319,"=kas",BK5:BK319)+SUMIF($D$5:$D$319,"=kam",BK5:BK319)+SUMIF($D$5:$D$319,"=kar",BK5:BK319)+SUMIF($D$5:$D$319,"=kaz",BK5:BK319)</f>
        <v>329600</v>
      </c>
      <c r="BL324" s="102">
        <f t="shared" ref="BL324" si="912">SUM(BL325:BL327)</f>
        <v>1</v>
      </c>
      <c r="BM324" s="658" t="s">
        <v>179</v>
      </c>
      <c r="BS324" s="102">
        <f t="shared" ref="BS324" si="913">SUM(BS325:BS327)</f>
        <v>1</v>
      </c>
      <c r="BT324" s="179">
        <f t="shared" ref="BT324:BU324" si="914">SUMIF($D$5:$D$319,"=kas",BT5:BT319)+SUMIF($D$5:$D$319,"=kam",BT5:BT319)+SUMIF($D$5:$D$319,"=kar",BT5:BT319)+SUMIF($D$5:$D$319,"=kaz",BT5:BT319)</f>
        <v>33305500</v>
      </c>
      <c r="BU324" s="237">
        <f t="shared" si="914"/>
        <v>665690</v>
      </c>
      <c r="BZ324" s="179">
        <f t="shared" ref="BZ324" si="915">SUMIF($D$5:$D$319,"=kas",BZ5:BZ319)+SUMIF($D$5:$D$319,"=kam",BZ5:BZ319)+SUMIF($D$5:$D$319,"=kar",BZ5:BZ319)+SUMIF($D$5:$D$319,"=kaz",BZ5:BZ319)</f>
        <v>16501000</v>
      </c>
      <c r="CA324" s="102">
        <f t="shared" ref="CA324" si="916">SUM(CA325:CA327)</f>
        <v>1</v>
      </c>
      <c r="CB324" s="179">
        <f t="shared" ref="CB324" si="917">SUMIF($D$5:$D$319,"=kas",CB5:CB319)+SUMIF($D$5:$D$319,"=kam",CB5:CB319)+SUMIF($D$5:$D$319,"=kar",CB5:CB319)+SUMIF($D$5:$D$319,"=kaz",CB5:CB319)</f>
        <v>329600</v>
      </c>
      <c r="CC324" s="102">
        <f t="shared" ref="CC324" si="918">SUM(CC325:CC327)</f>
        <v>1</v>
      </c>
      <c r="CD324" s="658" t="s">
        <v>179</v>
      </c>
      <c r="CJ324" s="102">
        <f t="shared" ref="CJ324" si="919">SUM(CJ325:CJ327)</f>
        <v>0.99999999999999989</v>
      </c>
      <c r="CK324" s="179">
        <f t="shared" ref="CK324:CL324" si="920">SUMIF($D$5:$D$319,"=kas",CK5:CK319)+SUMIF($D$5:$D$319,"=kam",CK5:CK319)+SUMIF($D$5:$D$319,"=kar",CK5:CK319)+SUMIF($D$5:$D$319,"=kaz",CK5:CK319)</f>
        <v>33639100</v>
      </c>
      <c r="CL324" s="237">
        <f t="shared" si="920"/>
        <v>672362</v>
      </c>
      <c r="CQ324" s="179">
        <f t="shared" ref="CQ324" si="921">SUMIF($D$5:$D$319,"=kas",CQ5:CQ319)+SUMIF($D$5:$D$319,"=kam",CQ5:CQ319)+SUMIF($D$5:$D$319,"=kar",CQ5:CQ319)+SUMIF($D$5:$D$319,"=kaz",CQ5:CQ319)</f>
        <v>16501000</v>
      </c>
      <c r="CR324" s="102">
        <f t="shared" ref="CR324" si="922">SUM(CR325:CR327)</f>
        <v>1</v>
      </c>
      <c r="CS324" s="179">
        <f t="shared" ref="CS324" si="923">SUMIF($D$5:$D$319,"=kas",CS5:CS319)+SUMIF($D$5:$D$319,"=kam",CS5:CS319)+SUMIF($D$5:$D$319,"=kar",CS5:CS319)+SUMIF($D$5:$D$319,"=kaz",CS5:CS319)</f>
        <v>329600</v>
      </c>
      <c r="CT324" s="102">
        <f t="shared" ref="CT324" si="924">SUM(CT325:CT327)</f>
        <v>1</v>
      </c>
      <c r="CU324" s="658" t="s">
        <v>179</v>
      </c>
      <c r="DA324" s="102">
        <f t="shared" ref="DA324" si="925">SUM(DA325:DA327)</f>
        <v>1</v>
      </c>
      <c r="DB324" s="179">
        <f t="shared" ref="DB324:DC324" si="926">SUMIF($D$5:$D$319,"=kas",DB5:DB319)+SUMIF($D$5:$D$319,"=kam",DB5:DB319)+SUMIF($D$5:$D$319,"=kar",DB5:DB319)+SUMIF($D$5:$D$319,"=kaz",DB5:DB319)</f>
        <v>34280800</v>
      </c>
      <c r="DC324" s="237">
        <f t="shared" si="926"/>
        <v>685196</v>
      </c>
      <c r="DH324" s="179">
        <f t="shared" ref="DH324" si="927">SUMIF($D$5:$D$319,"=kas",DH5:DH319)+SUMIF($D$5:$D$319,"=kam",DH5:DH319)+SUMIF($D$5:$D$319,"=kar",DH5:DH319)+SUMIF($D$5:$D$319,"=kaz",DH5:DH319)</f>
        <v>16501000</v>
      </c>
      <c r="DI324" s="102">
        <f t="shared" ref="DI324" si="928">SUM(DI325:DI327)</f>
        <v>1</v>
      </c>
      <c r="DJ324" s="179">
        <f t="shared" ref="DJ324" si="929">SUMIF($D$5:$D$319,"=kas",DJ5:DJ319)+SUMIF($D$5:$D$319,"=kam",DJ5:DJ319)+SUMIF($D$5:$D$319,"=kar",DJ5:DJ319)+SUMIF($D$5:$D$319,"=kaz",DJ5:DJ319)</f>
        <v>329600</v>
      </c>
      <c r="DK324" s="102">
        <f t="shared" ref="DK324" si="930">SUM(DK325:DK327)</f>
        <v>1</v>
      </c>
      <c r="DL324" s="658" t="s">
        <v>179</v>
      </c>
      <c r="DR324" s="102">
        <f t="shared" ref="DR324" si="931">SUM(DR325:DR327)</f>
        <v>1</v>
      </c>
      <c r="DS324" s="179">
        <f t="shared" ref="DS324:DT324" si="932">SUMIF($D$5:$D$319,"=kas",DS5:DS319)+SUMIF($D$5:$D$319,"=kam",DS5:DS319)+SUMIF($D$5:$D$319,"=kar",DS5:DS319)+SUMIF($D$5:$D$319,"=kaz",DS5:DS319)</f>
        <v>35343000</v>
      </c>
      <c r="DT324" s="237">
        <f t="shared" si="932"/>
        <v>706440</v>
      </c>
      <c r="DY324" s="179">
        <f t="shared" ref="DY324" si="933">SUMIF($D$5:$D$319,"=kas",DY5:DY319)+SUMIF($D$5:$D$319,"=kam",DY5:DY319)+SUMIF($D$5:$D$319,"=kar",DY5:DY319)+SUMIF($D$5:$D$319,"=kaz",DY5:DY319)</f>
        <v>16501000</v>
      </c>
      <c r="DZ324" s="102">
        <f t="shared" ref="DZ324" si="934">SUM(DZ325:DZ327)</f>
        <v>1</v>
      </c>
      <c r="EA324" s="179">
        <f t="shared" ref="EA324" si="935">SUMIF($D$5:$D$319,"=kas",EA5:EA319)+SUMIF($D$5:$D$319,"=kam",EA5:EA319)+SUMIF($D$5:$D$319,"=kar",EA5:EA319)+SUMIF($D$5:$D$319,"=kaz",EA5:EA319)</f>
        <v>329600</v>
      </c>
      <c r="EB324" s="102">
        <f t="shared" ref="EB324" si="936">SUM(EB325:EB327)</f>
        <v>1</v>
      </c>
      <c r="EC324" s="658" t="s">
        <v>179</v>
      </c>
      <c r="EI324" s="102">
        <f t="shared" ref="EI324" si="937">SUM(EI325:EI327)</f>
        <v>1</v>
      </c>
      <c r="EJ324" s="179">
        <f t="shared" ref="EJ324:EK324" si="938">SUMIF($D$5:$D$319,"=kas",EJ5:EJ319)+SUMIF($D$5:$D$319,"=kam",EJ5:EJ319)+SUMIF($D$5:$D$319,"=kar",EJ5:EJ319)+SUMIF($D$5:$D$319,"=kaz",EJ5:EJ319)</f>
        <v>37149000</v>
      </c>
      <c r="EK324" s="237">
        <f t="shared" si="938"/>
        <v>742560</v>
      </c>
      <c r="EP324" s="179">
        <f t="shared" ref="EP324" si="939">SUMIF($D$5:$D$319,"=kas",EP5:EP319)+SUMIF($D$5:$D$319,"=kam",EP5:EP319)+SUMIF($D$5:$D$319,"=kar",EP5:EP319)+SUMIF($D$5:$D$319,"=kaz",EP5:EP319)</f>
        <v>16501000</v>
      </c>
      <c r="EQ324" s="102">
        <f t="shared" ref="EQ324" si="940">SUM(EQ325:EQ327)</f>
        <v>1</v>
      </c>
      <c r="ER324" s="179">
        <f t="shared" ref="ER324" si="941">SUMIF($D$5:$D$319,"=kas",ER5:ER319)+SUMIF($D$5:$D$319,"=kam",ER5:ER319)+SUMIF($D$5:$D$319,"=kar",ER5:ER319)+SUMIF($D$5:$D$319,"=kaz",ER5:ER319)</f>
        <v>329600</v>
      </c>
      <c r="ES324" s="102">
        <f t="shared" ref="ES324" si="942">SUM(ES325:ES327)</f>
        <v>1</v>
      </c>
      <c r="ET324" s="658" t="s">
        <v>179</v>
      </c>
      <c r="EZ324" s="102">
        <f t="shared" ref="EZ324" si="943">SUM(EZ325:EZ327)</f>
        <v>1</v>
      </c>
      <c r="FA324" s="179">
        <f t="shared" ref="FA324:FB324" si="944">SUMIF($D$5:$D$319,"=kas",FA5:FA319)+SUMIF($D$5:$D$319,"=kam",FA5:FA319)+SUMIF($D$5:$D$319,"=kar",FA5:FA319)+SUMIF($D$5:$D$319,"=kaz",FA5:FA319)</f>
        <v>37149000</v>
      </c>
      <c r="FB324" s="237">
        <f t="shared" si="944"/>
        <v>742560</v>
      </c>
      <c r="FG324" s="179">
        <f t="shared" ref="FG324" si="945">SUMIF($D$5:$D$319,"=kas",FG5:FG319)+SUMIF($D$5:$D$319,"=kam",FG5:FG319)+SUMIF($D$5:$D$319,"=kar",FG5:FG319)+SUMIF($D$5:$D$319,"=kaz",FG5:FG319)</f>
        <v>16501000</v>
      </c>
      <c r="FH324" s="102">
        <f t="shared" ref="FH324" si="946">SUM(FH325:FH327)</f>
        <v>1</v>
      </c>
      <c r="FI324" s="179">
        <f t="shared" ref="FI324" si="947">SUMIF($D$5:$D$319,"=kas",FI5:FI319)+SUMIF($D$5:$D$319,"=kam",FI5:FI319)+SUMIF($D$5:$D$319,"=kar",FI5:FI319)+SUMIF($D$5:$D$319,"=kaz",FI5:FI319)</f>
        <v>282350</v>
      </c>
      <c r="FJ324" s="102">
        <f t="shared" ref="FJ324" si="948">SUM(FJ325:FJ327)</f>
        <v>0.99999999999999989</v>
      </c>
      <c r="FK324" s="658" t="s">
        <v>179</v>
      </c>
      <c r="FQ324" s="102">
        <f t="shared" ref="FQ324" si="949">SUM(FQ325:FQ327)</f>
        <v>1</v>
      </c>
      <c r="FR324" s="179">
        <f t="shared" ref="FR324:FS324" si="950">SUMIF($D$5:$D$319,"=kas",FR5:FR319)+SUMIF($D$5:$D$319,"=kam",FR5:FR319)+SUMIF($D$5:$D$319,"=kar",FR5:FR319)+SUMIF($D$5:$D$319,"=kaz",FR5:FR319)</f>
        <v>37149000</v>
      </c>
      <c r="FS324" s="237">
        <f t="shared" si="950"/>
        <v>577185</v>
      </c>
    </row>
    <row r="325" spans="1:175" s="10" customFormat="1" hidden="1" x14ac:dyDescent="0.3">
      <c r="A325" s="656" t="s">
        <v>180</v>
      </c>
      <c r="V325" s="217">
        <v>4</v>
      </c>
      <c r="AA325" s="179">
        <f>SUMIF($D$5:$D$319,"=kas",AA5:AA319)*HLOOKUP(AC322,Verteil_sw,6,FALSE)+SUMIF($D$5:$D$319,"=kam",AA5:AA319)*HLOOKUP(AC322,Verteil_sw,7,FALSE)+SUMIF($D$5:$D$319,"=kar",AA5:AA319)*HLOOKUP(AC322,Verteil_sw,8,FALSE)+SUMIF($D$5:$D$319,"=kaz",AA5:AA319)*HLOOKUP(AC322,Verteil_sw,9,FALSE)</f>
        <v>9871000</v>
      </c>
      <c r="AB325" s="102">
        <f>IF(AA324&lt;&gt;0,AA325/AA324,0)</f>
        <v>0.59820616932307136</v>
      </c>
      <c r="AC325" s="179">
        <f>SUMIF($D$5:$D$319,"=kas",AC5:AC319)*HLOOKUP(AC322,Verteil_sw,6,FALSE)+SUMIF($D$5:$D$319,"=kam",AC5:AC319)*HLOOKUP(AC322,Verteil_sw,7,FALSE)+SUMIF($D$5:$D$319,"=kar",AC5:AC319)*HLOOKUP(AC322,Verteil_sw,8,FALSE)+SUMIF($D$5:$D$319,"=kaz",AC5:AC319)*HLOOKUP(AC322,Verteil_sw,9,FALSE)</f>
        <v>197000</v>
      </c>
      <c r="AD325" s="102">
        <f>IF(AC324&lt;&gt;0,AC325/AC324,0)</f>
        <v>0.59769417475728159</v>
      </c>
      <c r="AE325" s="656" t="s">
        <v>180</v>
      </c>
      <c r="AK325" s="102">
        <f>IF(AM324&lt;&gt;0,AM325/AM324,0)</f>
        <v>0.56135184187833298</v>
      </c>
      <c r="AL325" s="179">
        <f>SUMIF($D$5:$D$319,"=kas",AL5:AL319)*HLOOKUP(AC322,Verteil_sw,6,FALSE)+SUMIF($D$5:$D$319,"=kam",AL5:AL319)*HLOOKUP(AC322,Verteil_sw,7,FALSE)+SUMIF($D$5:$D$319,"=kar",AL5:AL319)*HLOOKUP(AC322,Verteil_sw,8,FALSE)+SUMIF($D$5:$D$319,"=kaz",AL5:AL319)*HLOOKUP(AC322,Verteil_sw,9,FALSE)</f>
        <v>18052800</v>
      </c>
      <c r="AM325" s="237">
        <f>SUMIF($D$5:$D$319,"=kas",AM5:AM319)*HLOOKUP(AC322,Verteil_sw,6,FALSE)+SUMIF($D$5:$D$319,"=kam",AM5:AM319)*HLOOKUP(AC322,Verteil_sw,7,FALSE)+SUMIF($D$5:$D$319,"=kar",AM5:AM319)*HLOOKUP(AC322,Verteil_sw,8,FALSE)+SUMIF($D$5:$D$319,"=kaz",AM5:AM319)*HLOOKUP(AC322,Verteil_sw,9,FALSE)</f>
        <v>360636</v>
      </c>
      <c r="AR325" s="179">
        <f>SUMIF($D$5:$D$319,"=kas",AR5:AR319)*HLOOKUP(AT322,Verteil_sw,6,FALSE)+SUMIF($D$5:$D$319,"=kam",AR5:AR319)*HLOOKUP(AT322,Verteil_sw,7,FALSE)+SUMIF($D$5:$D$319,"=kar",AR5:AR319)*HLOOKUP(AT322,Verteil_sw,8,FALSE)+SUMIF($D$5:$D$319,"=kaz",AR5:AR319)*HLOOKUP(AT322,Verteil_sw,9,FALSE)</f>
        <v>9871000</v>
      </c>
      <c r="AS325" s="102">
        <f t="shared" ref="AS325" si="951">IF(AR324&lt;&gt;0,AR325/AR324,0)</f>
        <v>0.59820616932307136</v>
      </c>
      <c r="AT325" s="179">
        <f>SUMIF($D$5:$D$319,"=kas",AT5:AT319)*HLOOKUP(AT322,Verteil_sw,6,FALSE)+SUMIF($D$5:$D$319,"=kam",AT5:AT319)*HLOOKUP(AT322,Verteil_sw,7,FALSE)+SUMIF($D$5:$D$319,"=kar",AT5:AT319)*HLOOKUP(AT322,Verteil_sw,8,FALSE)+SUMIF($D$5:$D$319,"=kaz",AT5:AT319)*HLOOKUP(AT322,Verteil_sw,9,FALSE)</f>
        <v>197000</v>
      </c>
      <c r="AU325" s="102">
        <f t="shared" ref="AU325" si="952">IF(AT324&lt;&gt;0,AT325/AT324,0)</f>
        <v>0.59769417475728159</v>
      </c>
      <c r="AV325" s="659" t="s">
        <v>180</v>
      </c>
      <c r="BB325" s="102">
        <f t="shared" ref="BB325" si="953">IF(BD324&lt;&gt;0,BD325/BD324,0)</f>
        <v>0.56149907330790905</v>
      </c>
      <c r="BC325" s="179">
        <f>SUMIF($D$5:$D$319,"=kas",BC5:BC319)*HLOOKUP(AT322,Verteil_sw,6,FALSE)+SUMIF($D$5:$D$319,"=kam",BC5:BC319)*HLOOKUP(AT322,Verteil_sw,7,FALSE)+SUMIF($D$5:$D$319,"=kar",BC5:BC319)*HLOOKUP(AT322,Verteil_sw,8,FALSE)+SUMIF($D$5:$D$319,"=kaz",BC5:BC319)*HLOOKUP(AT322,Verteil_sw,9,FALSE)</f>
        <v>18410600</v>
      </c>
      <c r="BD325" s="237">
        <f>SUMIF($D$5:$D$319,"=kas",BD5:BD319)*HLOOKUP(AT322,Verteil_sw,6,FALSE)+SUMIF($D$5:$D$319,"=kam",BD5:BD319)*HLOOKUP(AT322,Verteil_sw,7,FALSE)+SUMIF($D$5:$D$319,"=kar",BD5:BD319)*HLOOKUP(AT322,Verteil_sw,8,FALSE)+SUMIF($D$5:$D$319,"=kaz",BD5:BD319)*HLOOKUP(AT322,Verteil_sw,9,FALSE)</f>
        <v>367792</v>
      </c>
      <c r="BI325" s="179">
        <f>SUMIF($D$5:$D$319,"=kas",BI5:BI319)*HLOOKUP(BK322,Verteil_sw,6,FALSE)+SUMIF($D$5:$D$319,"=kam",BI5:BI319)*HLOOKUP(BK322,Verteil_sw,7,FALSE)+SUMIF($D$5:$D$319,"=kar",BI5:BI319)*HLOOKUP(BK322,Verteil_sw,8,FALSE)+SUMIF($D$5:$D$319,"=kaz",BI5:BI319)*HLOOKUP(BK322,Verteil_sw,9,FALSE)</f>
        <v>9871000</v>
      </c>
      <c r="BJ325" s="102">
        <f t="shared" ref="BJ325" si="954">IF(BI324&lt;&gt;0,BI325/BI324,0)</f>
        <v>0.59820616932307136</v>
      </c>
      <c r="BK325" s="179">
        <f>SUMIF($D$5:$D$319,"=kas",BK5:BK319)*HLOOKUP(BK322,Verteil_sw,6,FALSE)+SUMIF($D$5:$D$319,"=kam",BK5:BK319)*HLOOKUP(BK322,Verteil_sw,7,FALSE)+SUMIF($D$5:$D$319,"=kar",BK5:BK319)*HLOOKUP(BK322,Verteil_sw,8,FALSE)+SUMIF($D$5:$D$319,"=kaz",BK5:BK319)*HLOOKUP(BK322,Verteil_sw,9,FALSE)</f>
        <v>197000</v>
      </c>
      <c r="BL325" s="102">
        <f t="shared" ref="BL325" si="955">IF(BK324&lt;&gt;0,BK325/BK324,0)</f>
        <v>0.59769417475728159</v>
      </c>
      <c r="BM325" s="659" t="s">
        <v>180</v>
      </c>
      <c r="BS325" s="102">
        <f t="shared" ref="BS325" si="956">IF(BU324&lt;&gt;0,BU325/BU324,0)</f>
        <v>0.5614805690336343</v>
      </c>
      <c r="BT325" s="179">
        <f>SUMIF($D$5:$D$319,"=kas",BT5:BT319)*HLOOKUP(BK322,Verteil_sw,6,FALSE)+SUMIF($D$5:$D$319,"=kam",BT5:BT319)*HLOOKUP(BK322,Verteil_sw,7,FALSE)+SUMIF($D$5:$D$319,"=kar",BT5:BT319)*HLOOKUP(BK322,Verteil_sw,8,FALSE)+SUMIF($D$5:$D$319,"=kaz",BT5:BT319)*HLOOKUP(BK322,Verteil_sw,9,FALSE)</f>
        <v>18709600</v>
      </c>
      <c r="BU325" s="237">
        <f>SUMIF($D$5:$D$319,"=kas",BU5:BU319)*HLOOKUP(BK322,Verteil_sw,6,FALSE)+SUMIF($D$5:$D$319,"=kam",BU5:BU319)*HLOOKUP(BK322,Verteil_sw,7,FALSE)+SUMIF($D$5:$D$319,"=kar",BU5:BU319)*HLOOKUP(BK322,Verteil_sw,8,FALSE)+SUMIF($D$5:$D$319,"=kaz",BU5:BU319)*HLOOKUP(BK322,Verteil_sw,9,FALSE)</f>
        <v>373772</v>
      </c>
      <c r="BZ325" s="179">
        <f>SUMIF($D$5:$D$319,"=kas",BZ5:BZ319)*HLOOKUP(CB322,Verteil_sw,6,FALSE)+SUMIF($D$5:$D$319,"=kam",BZ5:BZ319)*HLOOKUP(CB322,Verteil_sw,7,FALSE)+SUMIF($D$5:$D$319,"=kar",BZ5:BZ319)*HLOOKUP(CB322,Verteil_sw,8,FALSE)+SUMIF($D$5:$D$319,"=kaz",BZ5:BZ319)*HLOOKUP(CB322,Verteil_sw,9,FALSE)</f>
        <v>9871000</v>
      </c>
      <c r="CA325" s="102">
        <f t="shared" ref="CA325" si="957">IF(BZ324&lt;&gt;0,BZ325/BZ324,0)</f>
        <v>0.59820616932307136</v>
      </c>
      <c r="CB325" s="179">
        <f>SUMIF($D$5:$D$319,"=kas",CB5:CB319)*HLOOKUP(CB322,Verteil_sw,6,FALSE)+SUMIF($D$5:$D$319,"=kam",CB5:CB319)*HLOOKUP(CB322,Verteil_sw,7,FALSE)+SUMIF($D$5:$D$319,"=kar",CB5:CB319)*HLOOKUP(CB322,Verteil_sw,8,FALSE)+SUMIF($D$5:$D$319,"=kaz",CB5:CB319)*HLOOKUP(CB322,Verteil_sw,9,FALSE)</f>
        <v>197000</v>
      </c>
      <c r="CC325" s="102">
        <f t="shared" ref="CC325" si="958">IF(CB324&lt;&gt;0,CB325/CB324,0)</f>
        <v>0.59769417475728159</v>
      </c>
      <c r="CD325" s="659" t="s">
        <v>180</v>
      </c>
      <c r="CJ325" s="102">
        <f t="shared" ref="CJ325" si="959">IF(CL324&lt;&gt;0,CL325/CL324,0)</f>
        <v>0.56143714249169341</v>
      </c>
      <c r="CK325" s="179">
        <f>SUMIF($D$5:$D$319,"=kas",CK5:CK319)*HLOOKUP(CB322,Verteil_sw,6,FALSE)+SUMIF($D$5:$D$319,"=kam",CK5:CK319)*HLOOKUP(CB322,Verteil_sw,7,FALSE)+SUMIF($D$5:$D$319,"=kar",CK5:CK319)*HLOOKUP(CB322,Verteil_sw,8,FALSE)+SUMIF($D$5:$D$319,"=kaz",CK5:CK319)*HLOOKUP(CB322,Verteil_sw,9,FALSE)</f>
        <v>18895450</v>
      </c>
      <c r="CL325" s="237">
        <f>SUMIF($D$5:$D$319,"=kas",CL5:CL319)*HLOOKUP(CB322,Verteil_sw,6,FALSE)+SUMIF($D$5:$D$319,"=kam",CL5:CL319)*HLOOKUP(CB322,Verteil_sw,7,FALSE)+SUMIF($D$5:$D$319,"=kar",CL5:CL319)*HLOOKUP(CB322,Verteil_sw,8,FALSE)+SUMIF($D$5:$D$319,"=kaz",CL5:CL319)*HLOOKUP(CB322,Verteil_sw,9,FALSE)</f>
        <v>377489</v>
      </c>
      <c r="CQ325" s="179">
        <f>SUMIF($D$5:$D$319,"=kas",CQ5:CQ319)*HLOOKUP(CS322,Verteil_sw,6,FALSE)+SUMIF($D$5:$D$319,"=kam",CQ5:CQ319)*HLOOKUP(CS322,Verteil_sw,7,FALSE)+SUMIF($D$5:$D$319,"=kar",CQ5:CQ319)*HLOOKUP(CS322,Verteil_sw,8,FALSE)+SUMIF($D$5:$D$319,"=kaz",CQ5:CQ319)*HLOOKUP(CS322,Verteil_sw,9,FALSE)</f>
        <v>9871000</v>
      </c>
      <c r="CR325" s="102">
        <f t="shared" ref="CR325" si="960">IF(CQ324&lt;&gt;0,CQ325/CQ324,0)</f>
        <v>0.59820616932307136</v>
      </c>
      <c r="CS325" s="179">
        <f>SUMIF($D$5:$D$319,"=kas",CS5:CS319)*HLOOKUP(CS322,Verteil_sw,6,FALSE)+SUMIF($D$5:$D$319,"=kam",CS5:CS319)*HLOOKUP(CS322,Verteil_sw,7,FALSE)+SUMIF($D$5:$D$319,"=kar",CS5:CS319)*HLOOKUP(CS322,Verteil_sw,8,FALSE)+SUMIF($D$5:$D$319,"=kaz",CS5:CS319)*HLOOKUP(CS322,Verteil_sw,9,FALSE)</f>
        <v>197000</v>
      </c>
      <c r="CT325" s="102">
        <f t="shared" ref="CT325" si="961">IF(CS324&lt;&gt;0,CS325/CS324,0)</f>
        <v>0.59769417475728159</v>
      </c>
      <c r="CU325" s="659" t="s">
        <v>180</v>
      </c>
      <c r="DA325" s="102">
        <f t="shared" ref="DA325" si="962">IF(DC324&lt;&gt;0,DC325/DC324,0)</f>
        <v>0.56156924442057454</v>
      </c>
      <c r="DB325" s="179">
        <f>SUMIF($D$5:$D$319,"=kas",DB5:DB319)*HLOOKUP(CS322,Verteil_sw,6,FALSE)+SUMIF($D$5:$D$319,"=kam",DB5:DB319)*HLOOKUP(CS322,Verteil_sw,7,FALSE)+SUMIF($D$5:$D$319,"=kar",DB5:DB319)*HLOOKUP(CS322,Verteil_sw,8,FALSE)+SUMIF($D$5:$D$319,"=kaz",DB5:DB319)*HLOOKUP(CS322,Verteil_sw,9,FALSE)</f>
        <v>19260250</v>
      </c>
      <c r="DC325" s="237">
        <f>SUMIF($D$5:$D$319,"=kas",DC5:DC319)*HLOOKUP(CS322,Verteil_sw,6,FALSE)+SUMIF($D$5:$D$319,"=kam",DC5:DC319)*HLOOKUP(CS322,Verteil_sw,7,FALSE)+SUMIF($D$5:$D$319,"=kar",DC5:DC319)*HLOOKUP(CS322,Verteil_sw,8,FALSE)+SUMIF($D$5:$D$319,"=kaz",DC5:DC319)*HLOOKUP(CS322,Verteil_sw,9,FALSE)</f>
        <v>384785</v>
      </c>
      <c r="DH325" s="179">
        <f>SUMIF($D$5:$D$319,"=kas",DH5:DH319)*HLOOKUP(DJ322,Verteil_sw,6,FALSE)+SUMIF($D$5:$D$319,"=kam",DH5:DH319)*HLOOKUP(DJ322,Verteil_sw,7,FALSE)+SUMIF($D$5:$D$319,"=kar",DH5:DH319)*HLOOKUP(DJ322,Verteil_sw,8,FALSE)+SUMIF($D$5:$D$319,"=kaz",DH5:DH319)*HLOOKUP(DJ322,Verteil_sw,9,FALSE)</f>
        <v>9871000</v>
      </c>
      <c r="DI325" s="102">
        <f t="shared" ref="DI325" si="963">IF(DH324&lt;&gt;0,DH325/DH324,0)</f>
        <v>0.59820616932307136</v>
      </c>
      <c r="DJ325" s="179">
        <f>SUMIF($D$5:$D$319,"=kas",DJ5:DJ319)*HLOOKUP(DJ322,Verteil_sw,6,FALSE)+SUMIF($D$5:$D$319,"=kam",DJ5:DJ319)*HLOOKUP(DJ322,Verteil_sw,7,FALSE)+SUMIF($D$5:$D$319,"=kar",DJ5:DJ319)*HLOOKUP(DJ322,Verteil_sw,8,FALSE)+SUMIF($D$5:$D$319,"=kaz",DJ5:DJ319)*HLOOKUP(DJ322,Verteil_sw,9,FALSE)</f>
        <v>197000</v>
      </c>
      <c r="DK325" s="102">
        <f t="shared" ref="DK325" si="964">IF(DJ324&lt;&gt;0,DJ325/DJ324,0)</f>
        <v>0.59769417475728159</v>
      </c>
      <c r="DL325" s="659" t="s">
        <v>180</v>
      </c>
      <c r="DR325" s="102">
        <f t="shared" ref="DR325" si="965">IF(DT324&lt;&gt;0,DT325/DT324,0)</f>
        <v>0.56152397938961551</v>
      </c>
      <c r="DS325" s="179">
        <f>SUMIF($D$5:$D$319,"=kas",DS5:DS319)*HLOOKUP(DJ322,Verteil_sw,6,FALSE)+SUMIF($D$5:$D$319,"=kam",DS5:DS319)*HLOOKUP(DJ322,Verteil_sw,7,FALSE)+SUMIF($D$5:$D$319,"=kar",DS5:DS319)*HLOOKUP(DJ322,Verteil_sw,8,FALSE)+SUMIF($D$5:$D$319,"=kaz",DS5:DS319)*HLOOKUP(DJ322,Verteil_sw,9,FALSE)</f>
        <v>19855150</v>
      </c>
      <c r="DT325" s="237">
        <f>SUMIF($D$5:$D$319,"=kas",DT5:DT319)*HLOOKUP(DJ322,Verteil_sw,6,FALSE)+SUMIF($D$5:$D$319,"=kam",DT5:DT319)*HLOOKUP(DJ322,Verteil_sw,7,FALSE)+SUMIF($D$5:$D$319,"=kar",DT5:DT319)*HLOOKUP(DJ322,Verteil_sw,8,FALSE)+SUMIF($D$5:$D$319,"=kaz",DT5:DT319)*HLOOKUP(DJ322,Verteil_sw,9,FALSE)</f>
        <v>396683</v>
      </c>
      <c r="DY325" s="179">
        <f>SUMIF($D$5:$D$319,"=kas",DY5:DY319)*HLOOKUP(EA322,Verteil_sw,6,FALSE)+SUMIF($D$5:$D$319,"=kam",DY5:DY319)*HLOOKUP(EA322,Verteil_sw,7,FALSE)+SUMIF($D$5:$D$319,"=kar",DY5:DY319)*HLOOKUP(EA322,Verteil_sw,8,FALSE)+SUMIF($D$5:$D$319,"=kaz",DY5:DY319)*HLOOKUP(EA322,Verteil_sw,9,FALSE)</f>
        <v>9871000</v>
      </c>
      <c r="DZ325" s="102">
        <f t="shared" ref="DZ325" si="966">IF(DY324&lt;&gt;0,DY325/DY324,0)</f>
        <v>0.59820616932307136</v>
      </c>
      <c r="EA325" s="179">
        <f>SUMIF($D$5:$D$319,"=kas",EA5:EA319)*HLOOKUP(EA322,Verteil_sw,6,FALSE)+SUMIF($D$5:$D$319,"=kam",EA5:EA319)*HLOOKUP(EA322,Verteil_sw,7,FALSE)+SUMIF($D$5:$D$319,"=kar",EA5:EA319)*HLOOKUP(EA322,Verteil_sw,8,FALSE)+SUMIF($D$5:$D$319,"=kaz",EA5:EA319)*HLOOKUP(EA322,Verteil_sw,9,FALSE)</f>
        <v>197000</v>
      </c>
      <c r="EB325" s="102">
        <f t="shared" ref="EB325" si="967">IF(EA324&lt;&gt;0,EA325/EA324,0)</f>
        <v>0.59769417475728159</v>
      </c>
      <c r="EC325" s="659" t="s">
        <v>180</v>
      </c>
      <c r="EI325" s="102">
        <f t="shared" ref="EI325" si="968">IF(EK324&lt;&gt;0,EK325/EK324,0)</f>
        <v>0.5615290346907994</v>
      </c>
      <c r="EJ325" s="179">
        <f>SUMIF($D$5:$D$319,"=kas",EJ5:EJ319)*HLOOKUP(EA322,Verteil_sw,6,FALSE)+SUMIF($D$5:$D$319,"=kam",EJ5:EJ319)*HLOOKUP(EA322,Verteil_sw,7,FALSE)+SUMIF($D$5:$D$319,"=kar",EJ5:EJ319)*HLOOKUP(EA322,Verteil_sw,8,FALSE)+SUMIF($D$5:$D$319,"=kaz",EJ5:EJ319)*HLOOKUP(EA322,Verteil_sw,9,FALSE)</f>
        <v>20869450</v>
      </c>
      <c r="EK325" s="237">
        <f>SUMIF($D$5:$D$319,"=kas",EK5:EK319)*HLOOKUP(EA322,Verteil_sw,6,FALSE)+SUMIF($D$5:$D$319,"=kam",EK5:EK319)*HLOOKUP(EA322,Verteil_sw,7,FALSE)+SUMIF($D$5:$D$319,"=kar",EK5:EK319)*HLOOKUP(EA322,Verteil_sw,8,FALSE)+SUMIF($D$5:$D$319,"=kaz",EK5:EK319)*HLOOKUP(EA322,Verteil_sw,9,FALSE)</f>
        <v>416969</v>
      </c>
      <c r="EP325" s="179">
        <f>SUMIF($D$5:$D$319,"=kas",EP5:EP319)*HLOOKUP(ER322,Verteil_sw,6,FALSE)+SUMIF($D$5:$D$319,"=kam",EP5:EP319)*HLOOKUP(ER322,Verteil_sw,7,FALSE)+SUMIF($D$5:$D$319,"=kar",EP5:EP319)*HLOOKUP(ER322,Verteil_sw,8,FALSE)+SUMIF($D$5:$D$319,"=kaz",EP5:EP319)*HLOOKUP(ER322,Verteil_sw,9,FALSE)</f>
        <v>9871000</v>
      </c>
      <c r="EQ325" s="102">
        <f t="shared" ref="EQ325" si="969">IF(EP324&lt;&gt;0,EP325/EP324,0)</f>
        <v>0.59820616932307136</v>
      </c>
      <c r="ER325" s="179">
        <f>SUMIF($D$5:$D$319,"=kas",ER5:ER319)*HLOOKUP(ER322,Verteil_sw,6,FALSE)+SUMIF($D$5:$D$319,"=kam",ER5:ER319)*HLOOKUP(ER322,Verteil_sw,7,FALSE)+SUMIF($D$5:$D$319,"=kar",ER5:ER319)*HLOOKUP(ER322,Verteil_sw,8,FALSE)+SUMIF($D$5:$D$319,"=kaz",ER5:ER319)*HLOOKUP(ER322,Verteil_sw,9,FALSE)</f>
        <v>197000</v>
      </c>
      <c r="ES325" s="102">
        <f t="shared" ref="ES325" si="970">IF(ER324&lt;&gt;0,ER325/ER324,0)</f>
        <v>0.59769417475728159</v>
      </c>
      <c r="ET325" s="659" t="s">
        <v>180</v>
      </c>
      <c r="EZ325" s="102">
        <f t="shared" ref="EZ325" si="971">IF(FB324&lt;&gt;0,FB325/FB324,0)</f>
        <v>0.5615290346907994</v>
      </c>
      <c r="FA325" s="179">
        <f>SUMIF($D$5:$D$319,"=kas",FA5:FA319)*HLOOKUP(ER322,Verteil_sw,6,FALSE)+SUMIF($D$5:$D$319,"=kam",FA5:FA319)*HLOOKUP(ER322,Verteil_sw,7,FALSE)+SUMIF($D$5:$D$319,"=kar",FA5:FA319)*HLOOKUP(ER322,Verteil_sw,8,FALSE)+SUMIF($D$5:$D$319,"=kaz",FA5:FA319)*HLOOKUP(ER322,Verteil_sw,9,FALSE)</f>
        <v>20869450</v>
      </c>
      <c r="FB325" s="237">
        <f>SUMIF($D$5:$D$319,"=kas",FB5:FB319)*HLOOKUP(ER322,Verteil_sw,6,FALSE)+SUMIF($D$5:$D$319,"=kam",FB5:FB319)*HLOOKUP(ER322,Verteil_sw,7,FALSE)+SUMIF($D$5:$D$319,"=kar",FB5:FB319)*HLOOKUP(ER322,Verteil_sw,8,FALSE)+SUMIF($D$5:$D$319,"=kaz",FB5:FB319)*HLOOKUP(ER322,Verteil_sw,9,FALSE)</f>
        <v>416969</v>
      </c>
      <c r="FG325" s="179">
        <f>SUMIF($D$5:$D$319,"=kas",FG5:FG319)*HLOOKUP(FI322,Verteil_sw,6,FALSE)+SUMIF($D$5:$D$319,"=kam",FG5:FG319)*HLOOKUP(FI322,Verteil_sw,7,FALSE)+SUMIF($D$5:$D$319,"=kar",FG5:FG319)*HLOOKUP(FI322,Verteil_sw,8,FALSE)+SUMIF($D$5:$D$319,"=kaz",FG5:FG319)*HLOOKUP(FI322,Verteil_sw,9,FALSE)</f>
        <v>9871000</v>
      </c>
      <c r="FH325" s="102">
        <f t="shared" ref="FH325" si="972">IF(FG324&lt;&gt;0,FG325/FG324,0)</f>
        <v>0.59820616932307136</v>
      </c>
      <c r="FI325" s="179">
        <f>SUMIF($D$5:$D$319,"=kas",FI5:FI319)*HLOOKUP(FI322,Verteil_sw,6,FALSE)+SUMIF($D$5:$D$319,"=kam",FI5:FI319)*HLOOKUP(FI322,Verteil_sw,7,FALSE)+SUMIF($D$5:$D$319,"=kar",FI5:FI319)*HLOOKUP(FI322,Verteil_sw,8,FALSE)+SUMIF($D$5:$D$319,"=kaz",FI5:FI319)*HLOOKUP(FI322,Verteil_sw,9,FALSE)</f>
        <v>173375</v>
      </c>
      <c r="FJ325" s="102">
        <f t="shared" ref="FJ325" si="973">IF(FI324&lt;&gt;0,FI325/FI324,0)</f>
        <v>0.61404285461306884</v>
      </c>
      <c r="FK325" s="659" t="s">
        <v>180</v>
      </c>
      <c r="FQ325" s="102">
        <f t="shared" ref="FQ325" si="974">IF(FS324&lt;&gt;0,FS325/FS324,0)</f>
        <v>0.57915832878539808</v>
      </c>
      <c r="FR325" s="179">
        <f>SUMIF($D$5:$D$319,"=kas",FR5:FR319)*HLOOKUP(FI322,Verteil_sw,6,FALSE)+SUMIF($D$5:$D$319,"=kam",FR5:FR319)*HLOOKUP(FI322,Verteil_sw,7,FALSE)+SUMIF($D$5:$D$319,"=kar",FR5:FR319)*HLOOKUP(FI322,Verteil_sw,8,FALSE)+SUMIF($D$5:$D$319,"=kaz",FR5:FR319)*HLOOKUP(FI322,Verteil_sw,9,FALSE)</f>
        <v>20869450</v>
      </c>
      <c r="FS325" s="237">
        <f>SUMIF($D$5:$D$319,"=kas",FS5:FS319)*HLOOKUP(FI322,Verteil_sw,6,FALSE)+SUMIF($D$5:$D$319,"=kam",FS5:FS319)*HLOOKUP(FI322,Verteil_sw,7,FALSE)+SUMIF($D$5:$D$319,"=kar",FS5:FS319)*HLOOKUP(FI322,Verteil_sw,8,FALSE)+SUMIF($D$5:$D$319,"=kaz",FS5:FS319)*HLOOKUP(FI322,Verteil_sw,9,FALSE)</f>
        <v>334281.5</v>
      </c>
    </row>
    <row r="326" spans="1:175" s="10" customFormat="1" hidden="1" x14ac:dyDescent="0.3">
      <c r="A326" s="656" t="s">
        <v>181</v>
      </c>
      <c r="V326" s="217">
        <v>5</v>
      </c>
      <c r="AA326" s="179">
        <f>SUMIF($D$5:$D$319,"=kas",AA5:AA319)*HLOOKUP(AC322,Verteil_rwgr,5,FALSE)+SUMIF($D$5:$D$319,"=kam",AA5:AA319)*HLOOKUP(AC322,Verteil_rwgr,6,FALSE)+SUMIF($D$5:$D$319,"=kar",AA5:AA319)*HLOOKUP(AC322,Verteil_rwgr,7,FALSE)+SUMIF($D$5:$D$319,"=kaz",AA5:AA319)*HLOOKUP(AC322,Verteil_rwgr,8,FALSE)</f>
        <v>3315000</v>
      </c>
      <c r="AB326" s="102">
        <f>IF(AA324&lt;&gt;0,AA326/AA324,0)</f>
        <v>0.20089691533846435</v>
      </c>
      <c r="AC326" s="179">
        <f>SUMIF($D$5:$D$319,"=kas",AC5:AC319)*HLOOKUP(AC322,Verteil_rwgr,5,FALSE)+SUMIF($D$5:$D$319,"=kam",AC5:AC319)*HLOOKUP(AC322,Verteil_rwgr,6,FALSE)+SUMIF($D$5:$D$319,"=kar",AC5:AC319)*HLOOKUP(AC322,Verteil_rwgr,7,FALSE)+SUMIF($D$5:$D$319,"=kaz",AC5:AC319)*HLOOKUP(AC322,Verteil_rwgr,8,FALSE)</f>
        <v>66300</v>
      </c>
      <c r="AD326" s="102">
        <f>IF(AC324&lt;&gt;0,AC326/AC324,0)</f>
        <v>0.20115291262135923</v>
      </c>
      <c r="AE326" s="656" t="s">
        <v>181</v>
      </c>
      <c r="AK326" s="102">
        <f>IF(AM324&lt;&gt;0,AM326/AM324,0)</f>
        <v>0.21932407906083351</v>
      </c>
      <c r="AL326" s="179">
        <f>SUMIF($D$5:$D$319,"=kas",AL5:AL319)*HLOOKUP(AC322,Verteil_rwgr,5,FALSE)+SUMIF($D$5:$D$319,"=kam",AL5:AL319)*HLOOKUP(AC322,Verteil_rwgr,6,FALSE)+SUMIF($D$5:$D$319,"=kar",AL5:AL319)*HLOOKUP(AC322,Verteil_rwgr,7,FALSE)+SUMIF($D$5:$D$319,"=kaz",AL5:AL319)*HLOOKUP(AC322,Verteil_rwgr,8,FALSE)</f>
        <v>7045150</v>
      </c>
      <c r="AM326" s="237">
        <f>SUMIF($D$5:$D$319,"=kas",AM5:AM319)*HLOOKUP(AC322,Verteil_rwgr,5,FALSE)+SUMIF($D$5:$D$319,"=kam",AM5:AM319)*HLOOKUP(AC322,Verteil_rwgr,6,FALSE)+SUMIF($D$5:$D$319,"=kar",AM5:AM319)*HLOOKUP(AC322,Verteil_rwgr,7,FALSE)+SUMIF($D$5:$D$319,"=kaz",AM5:AM319)*HLOOKUP(AC322,Verteil_rwgr,8,FALSE)</f>
        <v>140903</v>
      </c>
      <c r="AR326" s="179">
        <f>SUMIF($D$5:$D$319,"=kas",AR5:AR319)*HLOOKUP(AT322,Verteil_rwgr,5,FALSE)+SUMIF($D$5:$D$319,"=kam",AR5:AR319)*HLOOKUP(AT322,Verteil_rwgr,6,FALSE)+SUMIF($D$5:$D$319,"=kar",AR5:AR319)*HLOOKUP(AT322,Verteil_rwgr,7,FALSE)+SUMIF($D$5:$D$319,"=kaz",AR5:AR319)*HLOOKUP(AT322,Verteil_rwgr,8,FALSE)</f>
        <v>3315000</v>
      </c>
      <c r="AS326" s="102">
        <f t="shared" ref="AS326" si="975">IF(AR324&lt;&gt;0,AR326/AR324,0)</f>
        <v>0.20089691533846435</v>
      </c>
      <c r="AT326" s="179">
        <f>SUMIF($D$5:$D$319,"=kas",AT5:AT319)*HLOOKUP(AT322,Verteil_rwgr,5,FALSE)+SUMIF($D$5:$D$319,"=kam",AT5:AT319)*HLOOKUP(AT322,Verteil_rwgr,6,FALSE)+SUMIF($D$5:$D$319,"=kar",AT5:AT319)*HLOOKUP(AT322,Verteil_rwgr,7,FALSE)+SUMIF($D$5:$D$319,"=kaz",AT5:AT319)*HLOOKUP(AT322,Verteil_rwgr,8,FALSE)</f>
        <v>66300</v>
      </c>
      <c r="AU326" s="102">
        <f t="shared" ref="AU326" si="976">IF(AT324&lt;&gt;0,AT326/AT324,0)</f>
        <v>0.20115291262135923</v>
      </c>
      <c r="AV326" s="659" t="s">
        <v>181</v>
      </c>
      <c r="BB326" s="102">
        <f t="shared" ref="BB326" si="977">IF(BD324&lt;&gt;0,BD326/BD324,0)</f>
        <v>0.21925046334604545</v>
      </c>
      <c r="BC326" s="179">
        <f>SUMIF($D$5:$D$319,"=kas",BC5:BC319)*HLOOKUP(AT322,Verteil_rwgr,5,FALSE)+SUMIF($D$5:$D$319,"=kam",BC5:BC319)*HLOOKUP(AT322,Verteil_rwgr,6,FALSE)+SUMIF($D$5:$D$319,"=kar",BC5:BC319)*HLOOKUP(AT322,Verteil_rwgr,7,FALSE)+SUMIF($D$5:$D$319,"=kaz",BC5:BC319)*HLOOKUP(AT322,Verteil_rwgr,8,FALSE)</f>
        <v>7180650</v>
      </c>
      <c r="BD326" s="237">
        <f>SUMIF($D$5:$D$319,"=kas",BD5:BD319)*HLOOKUP(AT322,Verteil_rwgr,5,FALSE)+SUMIF($D$5:$D$319,"=kam",BD5:BD319)*HLOOKUP(AT322,Verteil_rwgr,6,FALSE)+SUMIF($D$5:$D$319,"=kar",BD5:BD319)*HLOOKUP(AT322,Verteil_rwgr,7,FALSE)+SUMIF($D$5:$D$319,"=kaz",BD5:BD319)*HLOOKUP(AT322,Verteil_rwgr,8,FALSE)</f>
        <v>143613</v>
      </c>
      <c r="BI326" s="179">
        <f>SUMIF($D$5:$D$319,"=kas",BI5:BI319)*HLOOKUP(BK322,Verteil_rwgr,5,FALSE)+SUMIF($D$5:$D$319,"=kam",BI5:BI319)*HLOOKUP(BK322,Verteil_rwgr,6,FALSE)+SUMIF($D$5:$D$319,"=kar",BI5:BI319)*HLOOKUP(BK322,Verteil_rwgr,7,FALSE)+SUMIF($D$5:$D$319,"=kaz",BI5:BI319)*HLOOKUP(BK322,Verteil_rwgr,8,FALSE)</f>
        <v>3315000</v>
      </c>
      <c r="BJ326" s="102">
        <f t="shared" ref="BJ326" si="978">IF(BI324&lt;&gt;0,BI326/BI324,0)</f>
        <v>0.20089691533846435</v>
      </c>
      <c r="BK326" s="179">
        <f>SUMIF($D$5:$D$319,"=kas",BK5:BK319)*HLOOKUP(BK322,Verteil_rwgr,5,FALSE)+SUMIF($D$5:$D$319,"=kam",BK5:BK319)*HLOOKUP(BK322,Verteil_rwgr,6,FALSE)+SUMIF($D$5:$D$319,"=kar",BK5:BK319)*HLOOKUP(BK322,Verteil_rwgr,7,FALSE)+SUMIF($D$5:$D$319,"=kaz",BK5:BK319)*HLOOKUP(BK322,Verteil_rwgr,8,FALSE)</f>
        <v>66300</v>
      </c>
      <c r="BL326" s="102">
        <f t="shared" ref="BL326" si="979">IF(BK324&lt;&gt;0,BK326/BK324,0)</f>
        <v>0.20115291262135923</v>
      </c>
      <c r="BM326" s="659" t="s">
        <v>181</v>
      </c>
      <c r="BS326" s="102">
        <f t="shared" ref="BS326" si="980">IF(BU324&lt;&gt;0,BU326/BU324,0)</f>
        <v>0.21925971548318288</v>
      </c>
      <c r="BT326" s="179">
        <f>SUMIF($D$5:$D$319,"=kas",BT5:BT319)*HLOOKUP(BK322,Verteil_rwgr,5,FALSE)+SUMIF($D$5:$D$319,"=kam",BT5:BT319)*HLOOKUP(BK322,Verteil_rwgr,6,FALSE)+SUMIF($D$5:$D$319,"=kar",BT5:BT319)*HLOOKUP(BK322,Verteil_rwgr,7,FALSE)+SUMIF($D$5:$D$319,"=kaz",BT5:BT319)*HLOOKUP(BK322,Verteil_rwgr,8,FALSE)</f>
        <v>7297950</v>
      </c>
      <c r="BU326" s="237">
        <f>SUMIF($D$5:$D$319,"=kas",BU5:BU319)*HLOOKUP(BK322,Verteil_rwgr,5,FALSE)+SUMIF($D$5:$D$319,"=kam",BU5:BU319)*HLOOKUP(BK322,Verteil_rwgr,6,FALSE)+SUMIF($D$5:$D$319,"=kar",BU5:BU319)*HLOOKUP(BK322,Verteil_rwgr,7,FALSE)+SUMIF($D$5:$D$319,"=kaz",BU5:BU319)*HLOOKUP(BK322,Verteil_rwgr,8,FALSE)</f>
        <v>145959</v>
      </c>
      <c r="BZ326" s="179">
        <f>SUMIF($D$5:$D$319,"=kas",BZ5:BZ319)*HLOOKUP(CB322,Verteil_rwgr,5,FALSE)+SUMIF($D$5:$D$319,"=kam",BZ5:BZ319)*HLOOKUP(CB322,Verteil_rwgr,6,FALSE)+SUMIF($D$5:$D$319,"=kar",BZ5:BZ319)*HLOOKUP(CB322,Verteil_rwgr,7,FALSE)+SUMIF($D$5:$D$319,"=kaz",BZ5:BZ319)*HLOOKUP(CB322,Verteil_rwgr,8,FALSE)</f>
        <v>3315000</v>
      </c>
      <c r="CA326" s="102">
        <f t="shared" ref="CA326" si="981">IF(BZ324&lt;&gt;0,BZ326/BZ324,0)</f>
        <v>0.20089691533846435</v>
      </c>
      <c r="CB326" s="179">
        <f>SUMIF($D$5:$D$319,"=kas",CB5:CB319)*HLOOKUP(CB322,Verteil_rwgr,5,FALSE)+SUMIF($D$5:$D$319,"=kam",CB5:CB319)*HLOOKUP(CB322,Verteil_rwgr,6,FALSE)+SUMIF($D$5:$D$319,"=kar",CB5:CB319)*HLOOKUP(CB322,Verteil_rwgr,7,FALSE)+SUMIF($D$5:$D$319,"=kaz",CB5:CB319)*HLOOKUP(CB322,Verteil_rwgr,8,FALSE)</f>
        <v>66300</v>
      </c>
      <c r="CC326" s="102">
        <f t="shared" ref="CC326" si="982">IF(CB324&lt;&gt;0,CB326/CB324,0)</f>
        <v>0.20115291262135923</v>
      </c>
      <c r="CD326" s="659" t="s">
        <v>181</v>
      </c>
      <c r="CJ326" s="102">
        <f t="shared" ref="CJ326" si="983">IF(CL324&lt;&gt;0,CL326/CL324,0)</f>
        <v>0.21928142875415327</v>
      </c>
      <c r="CK326" s="179">
        <f>SUMIF($D$5:$D$319,"=kas",CK5:CK319)*HLOOKUP(CB322,Verteil_rwgr,5,FALSE)+SUMIF($D$5:$D$319,"=kam",CK5:CK319)*HLOOKUP(CB322,Verteil_rwgr,6,FALSE)+SUMIF($D$5:$D$319,"=kar",CK5:CK319)*HLOOKUP(CB322,Verteil_rwgr,7,FALSE)+SUMIF($D$5:$D$319,"=kaz",CK5:CK319)*HLOOKUP(CB322,Verteil_rwgr,8,FALSE)</f>
        <v>7371825</v>
      </c>
      <c r="CL326" s="237">
        <f>SUMIF($D$5:$D$319,"=kas",CL5:CL319)*HLOOKUP(CB322,Verteil_rwgr,5,FALSE)+SUMIF($D$5:$D$319,"=kam",CL5:CL319)*HLOOKUP(CB322,Verteil_rwgr,6,FALSE)+SUMIF($D$5:$D$319,"=kar",CL5:CL319)*HLOOKUP(CB322,Verteil_rwgr,7,FALSE)+SUMIF($D$5:$D$319,"=kaz",CL5:CL319)*HLOOKUP(CB322,Verteil_rwgr,8,FALSE)</f>
        <v>147436.5</v>
      </c>
      <c r="CQ326" s="179">
        <f>SUMIF($D$5:$D$319,"=kas",CQ5:CQ319)*HLOOKUP(CS322,Verteil_rwgr,5,FALSE)+SUMIF($D$5:$D$319,"=kam",CQ5:CQ319)*HLOOKUP(CS322,Verteil_rwgr,6,FALSE)+SUMIF($D$5:$D$319,"=kar",CQ5:CQ319)*HLOOKUP(CS322,Verteil_rwgr,7,FALSE)+SUMIF($D$5:$D$319,"=kaz",CQ5:CQ319)*HLOOKUP(CS322,Verteil_rwgr,8,FALSE)</f>
        <v>3315000</v>
      </c>
      <c r="CR326" s="102">
        <f t="shared" ref="CR326" si="984">IF(CQ324&lt;&gt;0,CQ326/CQ324,0)</f>
        <v>0.20089691533846435</v>
      </c>
      <c r="CS326" s="179">
        <f>SUMIF($D$5:$D$319,"=kas",CS5:CS319)*HLOOKUP(CS322,Verteil_rwgr,5,FALSE)+SUMIF($D$5:$D$319,"=kam",CS5:CS319)*HLOOKUP(CS322,Verteil_rwgr,6,FALSE)+SUMIF($D$5:$D$319,"=kar",CS5:CS319)*HLOOKUP(CS322,Verteil_rwgr,7,FALSE)+SUMIF($D$5:$D$319,"=kaz",CS5:CS319)*HLOOKUP(CS322,Verteil_rwgr,8,FALSE)</f>
        <v>66300</v>
      </c>
      <c r="CT326" s="102">
        <f t="shared" ref="CT326" si="985">IF(CS324&lt;&gt;0,CS326/CS324,0)</f>
        <v>0.20115291262135923</v>
      </c>
      <c r="CU326" s="659" t="s">
        <v>181</v>
      </c>
      <c r="DA326" s="102">
        <f t="shared" ref="DA326" si="986">IF(DC324&lt;&gt;0,DC326/DC324,0)</f>
        <v>0.21921537778971273</v>
      </c>
      <c r="DB326" s="179">
        <f>SUMIF($D$5:$D$319,"=kas",DB5:DB319)*HLOOKUP(CS322,Verteil_rwgr,5,FALSE)+SUMIF($D$5:$D$319,"=kam",DB5:DB319)*HLOOKUP(CS322,Verteil_rwgr,6,FALSE)+SUMIF($D$5:$D$319,"=kar",DB5:DB319)*HLOOKUP(CS322,Verteil_rwgr,7,FALSE)+SUMIF($D$5:$D$319,"=kaz",DB5:DB319)*HLOOKUP(CS322,Verteil_rwgr,8,FALSE)</f>
        <v>7510275</v>
      </c>
      <c r="DC326" s="237">
        <f>SUMIF($D$5:$D$319,"=kas",DC5:DC319)*HLOOKUP(CS322,Verteil_rwgr,5,FALSE)+SUMIF($D$5:$D$319,"=kam",DC5:DC319)*HLOOKUP(CS322,Verteil_rwgr,6,FALSE)+SUMIF($D$5:$D$319,"=kar",DC5:DC319)*HLOOKUP(CS322,Verteil_rwgr,7,FALSE)+SUMIF($D$5:$D$319,"=kaz",DC5:DC319)*HLOOKUP(CS322,Verteil_rwgr,8,FALSE)</f>
        <v>150205.5</v>
      </c>
      <c r="DH326" s="179">
        <f>SUMIF($D$5:$D$319,"=kas",DH5:DH319)*HLOOKUP(DJ322,Verteil_rwgr,5,FALSE)+SUMIF($D$5:$D$319,"=kam",DH5:DH319)*HLOOKUP(DJ322,Verteil_rwgr,6,FALSE)+SUMIF($D$5:$D$319,"=kar",DH5:DH319)*HLOOKUP(DJ322,Verteil_rwgr,7,FALSE)+SUMIF($D$5:$D$319,"=kaz",DH5:DH319)*HLOOKUP(DJ322,Verteil_rwgr,8,FALSE)</f>
        <v>3315000</v>
      </c>
      <c r="DI326" s="102">
        <f t="shared" ref="DI326" si="987">IF(DH324&lt;&gt;0,DH326/DH324,0)</f>
        <v>0.20089691533846435</v>
      </c>
      <c r="DJ326" s="179">
        <f>SUMIF($D$5:$D$319,"=kas",DJ5:DJ319)*HLOOKUP(DJ322,Verteil_rwgr,5,FALSE)+SUMIF($D$5:$D$319,"=kam",DJ5:DJ319)*HLOOKUP(DJ322,Verteil_rwgr,6,FALSE)+SUMIF($D$5:$D$319,"=kar",DJ5:DJ319)*HLOOKUP(DJ322,Verteil_rwgr,7,FALSE)+SUMIF($D$5:$D$319,"=kaz",DJ5:DJ319)*HLOOKUP(DJ322,Verteil_rwgr,8,FALSE)</f>
        <v>66300</v>
      </c>
      <c r="DK326" s="102">
        <f t="shared" ref="DK326" si="988">IF(DJ324&lt;&gt;0,DJ326/DJ324,0)</f>
        <v>0.20115291262135923</v>
      </c>
      <c r="DL326" s="659" t="s">
        <v>181</v>
      </c>
      <c r="DR326" s="102">
        <f t="shared" ref="DR326" si="989">IF(DT324&lt;&gt;0,DT326/DT324,0)</f>
        <v>0.21923801030519224</v>
      </c>
      <c r="DS326" s="179">
        <f>SUMIF($D$5:$D$319,"=kas",DS5:DS319)*HLOOKUP(DJ322,Verteil_rwgr,5,FALSE)+SUMIF($D$5:$D$319,"=kam",DS5:DS319)*HLOOKUP(DJ322,Verteil_rwgr,6,FALSE)+SUMIF($D$5:$D$319,"=kar",DS5:DS319)*HLOOKUP(DJ322,Verteil_rwgr,7,FALSE)+SUMIF($D$5:$D$319,"=kaz",DS5:DS319)*HLOOKUP(DJ322,Verteil_rwgr,8,FALSE)</f>
        <v>7743925</v>
      </c>
      <c r="DT326" s="237">
        <f>SUMIF($D$5:$D$319,"=kas",DT5:DT319)*HLOOKUP(DJ322,Verteil_rwgr,5,FALSE)+SUMIF($D$5:$D$319,"=kam",DT5:DT319)*HLOOKUP(DJ322,Verteil_rwgr,6,FALSE)+SUMIF($D$5:$D$319,"=kar",DT5:DT319)*HLOOKUP(DJ322,Verteil_rwgr,7,FALSE)+SUMIF($D$5:$D$319,"=kaz",DT5:DT319)*HLOOKUP(DJ322,Verteil_rwgr,8,FALSE)</f>
        <v>154878.5</v>
      </c>
      <c r="DY326" s="179">
        <f>SUMIF($D$5:$D$319,"=kas",DY5:DY319)*HLOOKUP(EA322,Verteil_rwgr,5,FALSE)+SUMIF($D$5:$D$319,"=kam",DY5:DY319)*HLOOKUP(EA322,Verteil_rwgr,6,FALSE)+SUMIF($D$5:$D$319,"=kar",DY5:DY319)*HLOOKUP(EA322,Verteil_rwgr,7,FALSE)+SUMIF($D$5:$D$319,"=kaz",DY5:DY319)*HLOOKUP(EA322,Verteil_rwgr,8,FALSE)</f>
        <v>3315000</v>
      </c>
      <c r="DZ326" s="102">
        <f t="shared" ref="DZ326" si="990">IF(DY324&lt;&gt;0,DY326/DY324,0)</f>
        <v>0.20089691533846435</v>
      </c>
      <c r="EA326" s="179">
        <f>SUMIF($D$5:$D$319,"=kas",EA5:EA319)*HLOOKUP(EA322,Verteil_rwgr,5,FALSE)+SUMIF($D$5:$D$319,"=kam",EA5:EA319)*HLOOKUP(EA322,Verteil_rwgr,6,FALSE)+SUMIF($D$5:$D$319,"=kar",EA5:EA319)*HLOOKUP(EA322,Verteil_rwgr,7,FALSE)+SUMIF($D$5:$D$319,"=kaz",EA5:EA319)*HLOOKUP(EA322,Verteil_rwgr,8,FALSE)</f>
        <v>66300</v>
      </c>
      <c r="EB326" s="102">
        <f t="shared" ref="EB326" si="991">IF(EA324&lt;&gt;0,EA326/EA324,0)</f>
        <v>0.20115291262135923</v>
      </c>
      <c r="EC326" s="659" t="s">
        <v>181</v>
      </c>
      <c r="EI326" s="102">
        <f t="shared" ref="EI326" si="992">IF(EK324&lt;&gt;0,EK326/EK324,0)</f>
        <v>0.2192354826546003</v>
      </c>
      <c r="EJ326" s="179">
        <f>SUMIF($D$5:$D$319,"=kas",EJ5:EJ319)*HLOOKUP(EA322,Verteil_rwgr,5,FALSE)+SUMIF($D$5:$D$319,"=kam",EJ5:EJ319)*HLOOKUP(EA322,Verteil_rwgr,6,FALSE)+SUMIF($D$5:$D$319,"=kar",EJ5:EJ319)*HLOOKUP(EA322,Verteil_rwgr,7,FALSE)+SUMIF($D$5:$D$319,"=kaz",EJ5:EJ319)*HLOOKUP(EA322,Verteil_rwgr,8,FALSE)</f>
        <v>8139775</v>
      </c>
      <c r="EK326" s="237">
        <f>SUMIF($D$5:$D$319,"=kas",EK5:EK319)*HLOOKUP(EA322,Verteil_rwgr,5,FALSE)+SUMIF($D$5:$D$319,"=kam",EK5:EK319)*HLOOKUP(EA322,Verteil_rwgr,6,FALSE)+SUMIF($D$5:$D$319,"=kar",EK5:EK319)*HLOOKUP(EA322,Verteil_rwgr,7,FALSE)+SUMIF($D$5:$D$319,"=kaz",EK5:EK319)*HLOOKUP(EA322,Verteil_rwgr,8,FALSE)</f>
        <v>162795.5</v>
      </c>
      <c r="EP326" s="179">
        <f>SUMIF($D$5:$D$319,"=kas",EP5:EP319)*HLOOKUP(ER322,Verteil_rwgr,5,FALSE)+SUMIF($D$5:$D$319,"=kam",EP5:EP319)*HLOOKUP(ER322,Verteil_rwgr,6,FALSE)+SUMIF($D$5:$D$319,"=kar",EP5:EP319)*HLOOKUP(ER322,Verteil_rwgr,7,FALSE)+SUMIF($D$5:$D$319,"=kaz",EP5:EP319)*HLOOKUP(ER322,Verteil_rwgr,8,FALSE)</f>
        <v>3315000</v>
      </c>
      <c r="EQ326" s="102">
        <f t="shared" ref="EQ326" si="993">IF(EP324&lt;&gt;0,EP326/EP324,0)</f>
        <v>0.20089691533846435</v>
      </c>
      <c r="ER326" s="179">
        <f>SUMIF($D$5:$D$319,"=kas",ER5:ER319)*HLOOKUP(ER322,Verteil_rwgr,5,FALSE)+SUMIF($D$5:$D$319,"=kam",ER5:ER319)*HLOOKUP(ER322,Verteil_rwgr,6,FALSE)+SUMIF($D$5:$D$319,"=kar",ER5:ER319)*HLOOKUP(ER322,Verteil_rwgr,7,FALSE)+SUMIF($D$5:$D$319,"=kaz",ER5:ER319)*HLOOKUP(ER322,Verteil_rwgr,8,FALSE)</f>
        <v>66300</v>
      </c>
      <c r="ES326" s="102">
        <f t="shared" ref="ES326" si="994">IF(ER324&lt;&gt;0,ER326/ER324,0)</f>
        <v>0.20115291262135923</v>
      </c>
      <c r="ET326" s="659" t="s">
        <v>181</v>
      </c>
      <c r="EZ326" s="102">
        <f t="shared" ref="EZ326" si="995">IF(FB324&lt;&gt;0,FB326/FB324,0)</f>
        <v>0.2192354826546003</v>
      </c>
      <c r="FA326" s="179">
        <f>SUMIF($D$5:$D$319,"=kas",FA5:FA319)*HLOOKUP(ER322,Verteil_rwgr,5,FALSE)+SUMIF($D$5:$D$319,"=kam",FA5:FA319)*HLOOKUP(ER322,Verteil_rwgr,6,FALSE)+SUMIF($D$5:$D$319,"=kar",FA5:FA319)*HLOOKUP(ER322,Verteil_rwgr,7,FALSE)+SUMIF($D$5:$D$319,"=kaz",FA5:FA319)*HLOOKUP(ER322,Verteil_rwgr,8,FALSE)</f>
        <v>8139775</v>
      </c>
      <c r="FB326" s="237">
        <f>SUMIF($D$5:$D$319,"=kas",FB5:FB319)*HLOOKUP(ER322,Verteil_rwgr,5,FALSE)+SUMIF($D$5:$D$319,"=kam",FB5:FB319)*HLOOKUP(ER322,Verteil_rwgr,6,FALSE)+SUMIF($D$5:$D$319,"=kar",FB5:FB319)*HLOOKUP(ER322,Verteil_rwgr,7,FALSE)+SUMIF($D$5:$D$319,"=kaz",FB5:FB319)*HLOOKUP(ER322,Verteil_rwgr,8,FALSE)</f>
        <v>162795.5</v>
      </c>
      <c r="FG326" s="179">
        <f>SUMIF($D$5:$D$319,"=kas",FG5:FG319)*HLOOKUP(FI322,Verteil_rwgr,5,FALSE)+SUMIF($D$5:$D$319,"=kam",FG5:FG319)*HLOOKUP(FI322,Verteil_rwgr,6,FALSE)+SUMIF($D$5:$D$319,"=kar",FG5:FG319)*HLOOKUP(FI322,Verteil_rwgr,7,FALSE)+SUMIF($D$5:$D$319,"=kaz",FG5:FG319)*HLOOKUP(FI322,Verteil_rwgr,8,FALSE)</f>
        <v>3315000</v>
      </c>
      <c r="FH326" s="102">
        <f t="shared" ref="FH326" si="996">IF(FG324&lt;&gt;0,FG326/FG324,0)</f>
        <v>0.20089691533846435</v>
      </c>
      <c r="FI326" s="179">
        <f>SUMIF($D$5:$D$319,"=kas",FI5:FI319)*HLOOKUP(FI322,Verteil_rwgr,5,FALSE)+SUMIF($D$5:$D$319,"=kam",FI5:FI319)*HLOOKUP(FI322,Verteil_rwgr,6,FALSE)+SUMIF($D$5:$D$319,"=kar",FI5:FI319)*HLOOKUP(FI322,Verteil_rwgr,7,FALSE)+SUMIF($D$5:$D$319,"=kaz",FI5:FI319)*HLOOKUP(FI322,Verteil_rwgr,8,FALSE)</f>
        <v>54487.5</v>
      </c>
      <c r="FJ326" s="102">
        <f t="shared" ref="FJ326" si="997">IF(FI324&lt;&gt;0,FI326/FI324,0)</f>
        <v>0.19297857269346555</v>
      </c>
      <c r="FK326" s="659" t="s">
        <v>181</v>
      </c>
      <c r="FQ326" s="102">
        <f t="shared" ref="FQ326" si="998">IF(FS324&lt;&gt;0,FS326/FS324,0)</f>
        <v>0.21042083560730096</v>
      </c>
      <c r="FR326" s="179">
        <f>SUMIF($D$5:$D$319,"=kas",FR5:FR319)*HLOOKUP(FI322,Verteil_rwgr,5,FALSE)+SUMIF($D$5:$D$319,"=kam",FR5:FR319)*HLOOKUP(FI322,Verteil_rwgr,6,FALSE)+SUMIF($D$5:$D$319,"=kar",FR5:FR319)*HLOOKUP(FI322,Verteil_rwgr,7,FALSE)+SUMIF($D$5:$D$319,"=kaz",FR5:FR319)*HLOOKUP(FI322,Verteil_rwgr,8,FALSE)</f>
        <v>8139775</v>
      </c>
      <c r="FS326" s="237">
        <f>SUMIF($D$5:$D$319,"=kas",FS5:FS319)*HLOOKUP(FI322,Verteil_rwgr,5,FALSE)+SUMIF($D$5:$D$319,"=kam",FS5:FS319)*HLOOKUP(FI322,Verteil_rwgr,6,FALSE)+SUMIF($D$5:$D$319,"=kar",FS5:FS319)*HLOOKUP(FI322,Verteil_rwgr,7,FALSE)+SUMIF($D$5:$D$319,"=kaz",FS5:FS319)*HLOOKUP(FI322,Verteil_rwgr,8,FALSE)</f>
        <v>121451.75</v>
      </c>
    </row>
    <row r="327" spans="1:175" s="10" customFormat="1" hidden="1" x14ac:dyDescent="0.3">
      <c r="A327" s="656" t="s">
        <v>182</v>
      </c>
      <c r="V327" s="217">
        <v>6</v>
      </c>
      <c r="AA327" s="179">
        <f>SUMIF($D$5:$D$319,"=kas",AA5:AA319)*HLOOKUP(AC322,Verteil_rwst,4,FALSE)+SUMIF($D$5:$D$319,"=kam",AA5:AA319)*HLOOKUP(AC322,Verteil_rwst,5,FALSE)+SUMIF($D$5:$D$319,"=kar",AA5:AA319)*HLOOKUP(AC322,Verteil_rwst,6,FALSE)+SUMIF($D$5:$D$319,"=kaz",AA5:AA319)*HLOOKUP(AC322,Verteil_rwst,7,FALSE)</f>
        <v>3315000</v>
      </c>
      <c r="AB327" s="102">
        <f>IF(AA324&lt;&gt;0,AA327/AA324,0)</f>
        <v>0.20089691533846435</v>
      </c>
      <c r="AC327" s="179">
        <f>SUMIF($D$5:$D$319,"=kas",AC5:AC319)*HLOOKUP(AC322,Verteil_rwst,4,FALSE)+SUMIF($D$5:$D$319,"=kam",AC5:AC319)*HLOOKUP(AC322,Verteil_rwst,5,FALSE)+SUMIF($D$5:$D$319,"=kar",AC5:AC319)*HLOOKUP(AC322,Verteil_rwst,6,FALSE)+SUMIF($D$5:$D$319,"=kaz",AC5:AC319)*HLOOKUP(AC322,Verteil_rwst,7,FALSE)</f>
        <v>66300</v>
      </c>
      <c r="AD327" s="102">
        <f>IF(AC324&lt;&gt;0,AC327/AC324,0)</f>
        <v>0.20115291262135923</v>
      </c>
      <c r="AE327" s="656" t="s">
        <v>182</v>
      </c>
      <c r="AK327" s="102">
        <f>IF(AM324&lt;&gt;0,AM327/AM324,0)</f>
        <v>0.21932407906083351</v>
      </c>
      <c r="AL327" s="179">
        <f>SUMIF($D$5:$D$319,"=kas",AL5:AL319)*HLOOKUP(AC322,Verteil_rwst,4,FALSE)+SUMIF($D$5:$D$319,"=kam",AL5:AL319)*HLOOKUP(AC322,Verteil_rwst,5,FALSE)+SUMIF($D$5:$D$319,"=kar",AL5:AL319)*HLOOKUP(AC322,Verteil_rwst,6,FALSE)+SUMIF($D$5:$D$319,"=kaz",AL5:AL319)*HLOOKUP(AC322,Verteil_rwst,7,FALSE)</f>
        <v>7045150</v>
      </c>
      <c r="AM327" s="237">
        <f>SUMIF($D$5:$D$319,"=kas",AM5:AM319)*HLOOKUP(AC322,Verteil_rwst,4,FALSE)+SUMIF($D$5:$D$319,"=kam",AM5:AM319)*HLOOKUP(AC322,Verteil_rwst,5,FALSE)+SUMIF($D$5:$D$319,"=kar",AM5:AM319)*HLOOKUP(AC322,Verteil_rwst,6,FALSE)+SUMIF($D$5:$D$319,"=kaz",AM5:AM319)*HLOOKUP(AC322,Verteil_rwst,7,FALSE)</f>
        <v>140903</v>
      </c>
      <c r="AR327" s="179">
        <f>SUMIF($D$5:$D$319,"=kas",AR5:AR319)*HLOOKUP(AT322,Verteil_rwst,4,FALSE)+SUMIF($D$5:$D$319,"=kam",AR5:AR319)*HLOOKUP(AT322,Verteil_rwst,5,FALSE)+SUMIF($D$5:$D$319,"=kar",AR5:AR319)*HLOOKUP(AT322,Verteil_rwst,6,FALSE)+SUMIF($D$5:$D$319,"=kaz",AR5:AR319)*HLOOKUP(AT322,Verteil_rwst,7,FALSE)</f>
        <v>3315000</v>
      </c>
      <c r="AS327" s="102">
        <f t="shared" ref="AS327" si="999">IF(AR324&lt;&gt;0,AR327/AR324,0)</f>
        <v>0.20089691533846435</v>
      </c>
      <c r="AT327" s="179">
        <f>SUMIF($D$5:$D$319,"=kas",AT5:AT319)*HLOOKUP(AT322,Verteil_rwst,4,FALSE)+SUMIF($D$5:$D$319,"=kam",AT5:AT319)*HLOOKUP(AT322,Verteil_rwst,5,FALSE)+SUMIF($D$5:$D$319,"=kar",AT5:AT319)*HLOOKUP(AT322,Verteil_rwst,6,FALSE)+SUMIF($D$5:$D$319,"=kaz",AT5:AT319)*HLOOKUP(AT322,Verteil_rwst,7,FALSE)</f>
        <v>66300</v>
      </c>
      <c r="AU327" s="102">
        <f t="shared" ref="AU327" si="1000">IF(AT324&lt;&gt;0,AT327/AT324,0)</f>
        <v>0.20115291262135923</v>
      </c>
      <c r="AV327" s="659" t="s">
        <v>182</v>
      </c>
      <c r="BB327" s="102">
        <f t="shared" ref="BB327" si="1001">IF(BD324&lt;&gt;0,BD327/BD324,0)</f>
        <v>0.21925046334604545</v>
      </c>
      <c r="BC327" s="179">
        <f>SUMIF($D$5:$D$319,"=kas",BC5:BC319)*HLOOKUP(AT322,Verteil_rwst,4,FALSE)+SUMIF($D$5:$D$319,"=kam",BC5:BC319)*HLOOKUP(AT322,Verteil_rwst,5,FALSE)+SUMIF($D$5:$D$319,"=kar",BC5:BC319)*HLOOKUP(AT322,Verteil_rwst,6,FALSE)+SUMIF($D$5:$D$319,"=kaz",BC5:BC319)*HLOOKUP(AT322,Verteil_rwst,7,FALSE)</f>
        <v>7180650</v>
      </c>
      <c r="BD327" s="237">
        <f>SUMIF($D$5:$D$319,"=kas",BD5:BD319)*HLOOKUP(AT322,Verteil_rwst,4,FALSE)+SUMIF($D$5:$D$319,"=kam",BD5:BD319)*HLOOKUP(AT322,Verteil_rwst,5,FALSE)+SUMIF($D$5:$D$319,"=kar",BD5:BD319)*HLOOKUP(AT322,Verteil_rwst,6,FALSE)+SUMIF($D$5:$D$319,"=kaz",BD5:BD319)*HLOOKUP(AT322,Verteil_rwst,7,FALSE)</f>
        <v>143613</v>
      </c>
      <c r="BI327" s="179">
        <f>SUMIF($D$5:$D$319,"=kas",BI5:BI319)*HLOOKUP(BK322,Verteil_rwst,4,FALSE)+SUMIF($D$5:$D$319,"=kam",BI5:BI319)*HLOOKUP(BK322,Verteil_rwst,5,FALSE)+SUMIF($D$5:$D$319,"=kar",BI5:BI319)*HLOOKUP(BK322,Verteil_rwst,6,FALSE)+SUMIF($D$5:$D$319,"=kaz",BI5:BI319)*HLOOKUP(BK322,Verteil_rwst,7,FALSE)</f>
        <v>3315000</v>
      </c>
      <c r="BJ327" s="102">
        <f t="shared" ref="BJ327" si="1002">IF(BI324&lt;&gt;0,BI327/BI324,0)</f>
        <v>0.20089691533846435</v>
      </c>
      <c r="BK327" s="179">
        <f>SUMIF($D$5:$D$319,"=kas",BK5:BK319)*HLOOKUP(BK322,Verteil_rwst,4,FALSE)+SUMIF($D$5:$D$319,"=kam",BK5:BK319)*HLOOKUP(BK322,Verteil_rwst,5,FALSE)+SUMIF($D$5:$D$319,"=kar",BK5:BK319)*HLOOKUP(BK322,Verteil_rwst,6,FALSE)+SUMIF($D$5:$D$319,"=kaz",BK5:BK319)*HLOOKUP(BK322,Verteil_rwst,7,FALSE)</f>
        <v>66300</v>
      </c>
      <c r="BL327" s="102">
        <f t="shared" ref="BL327" si="1003">IF(BK324&lt;&gt;0,BK327/BK324,0)</f>
        <v>0.20115291262135923</v>
      </c>
      <c r="BM327" s="659" t="s">
        <v>182</v>
      </c>
      <c r="BS327" s="102">
        <f t="shared" ref="BS327" si="1004">IF(BU324&lt;&gt;0,BU327/BU324,0)</f>
        <v>0.21925971548318288</v>
      </c>
      <c r="BT327" s="179">
        <f>SUMIF($D$5:$D$319,"=kas",BT5:BT319)*HLOOKUP(BK322,Verteil_rwst,4,FALSE)+SUMIF($D$5:$D$319,"=kam",BT5:BT319)*HLOOKUP(BK322,Verteil_rwst,5,FALSE)+SUMIF($D$5:$D$319,"=kar",BT5:BT319)*HLOOKUP(BK322,Verteil_rwst,6,FALSE)+SUMIF($D$5:$D$319,"=kaz",BT5:BT319)*HLOOKUP(BK322,Verteil_rwst,7,FALSE)</f>
        <v>7297950</v>
      </c>
      <c r="BU327" s="237">
        <f>SUMIF($D$5:$D$319,"=kas",BU5:BU319)*HLOOKUP(BK322,Verteil_rwst,4,FALSE)+SUMIF($D$5:$D$319,"=kam",BU5:BU319)*HLOOKUP(BK322,Verteil_rwst,5,FALSE)+SUMIF($D$5:$D$319,"=kar",BU5:BU319)*HLOOKUP(BK322,Verteil_rwst,6,FALSE)+SUMIF($D$5:$D$319,"=kaz",BU5:BU319)*HLOOKUP(BK322,Verteil_rwst,7,FALSE)</f>
        <v>145959</v>
      </c>
      <c r="BZ327" s="179">
        <f>SUMIF($D$5:$D$319,"=kas",BZ5:BZ319)*HLOOKUP(CB322,Verteil_rwst,4,FALSE)+SUMIF($D$5:$D$319,"=kam",BZ5:BZ319)*HLOOKUP(CB322,Verteil_rwst,5,FALSE)+SUMIF($D$5:$D$319,"=kar",BZ5:BZ319)*HLOOKUP(CB322,Verteil_rwst,6,FALSE)+SUMIF($D$5:$D$319,"=kaz",BZ5:BZ319)*HLOOKUP(CB322,Verteil_rwst,7,FALSE)</f>
        <v>3315000</v>
      </c>
      <c r="CA327" s="102">
        <f t="shared" ref="CA327" si="1005">IF(BZ324&lt;&gt;0,BZ327/BZ324,0)</f>
        <v>0.20089691533846435</v>
      </c>
      <c r="CB327" s="179">
        <f>SUMIF($D$5:$D$319,"=kas",CB5:CB319)*HLOOKUP(CB322,Verteil_rwst,4,FALSE)+SUMIF($D$5:$D$319,"=kam",CB5:CB319)*HLOOKUP(CB322,Verteil_rwst,5,FALSE)+SUMIF($D$5:$D$319,"=kar",CB5:CB319)*HLOOKUP(CB322,Verteil_rwst,6,FALSE)+SUMIF($D$5:$D$319,"=kaz",CB5:CB319)*HLOOKUP(CB322,Verteil_rwst,7,FALSE)</f>
        <v>66300</v>
      </c>
      <c r="CC327" s="102">
        <f t="shared" ref="CC327" si="1006">IF(CB324&lt;&gt;0,CB327/CB324,0)</f>
        <v>0.20115291262135923</v>
      </c>
      <c r="CD327" s="659" t="s">
        <v>182</v>
      </c>
      <c r="CJ327" s="102">
        <f t="shared" ref="CJ327" si="1007">IF(CL324&lt;&gt;0,CL327/CL324,0)</f>
        <v>0.21928142875415327</v>
      </c>
      <c r="CK327" s="179">
        <f>SUMIF($D$5:$D$319,"=kas",CK5:CK319)*HLOOKUP(CB322,Verteil_rwst,4,FALSE)+SUMIF($D$5:$D$319,"=kam",CK5:CK319)*HLOOKUP(CB322,Verteil_rwst,5,FALSE)+SUMIF($D$5:$D$319,"=kar",CK5:CK319)*HLOOKUP(CB322,Verteil_rwst,6,FALSE)+SUMIF($D$5:$D$319,"=kaz",CK5:CK319)*HLOOKUP(CB322,Verteil_rwst,7,FALSE)</f>
        <v>7371825</v>
      </c>
      <c r="CL327" s="237">
        <f>SUMIF($D$5:$D$319,"=kas",CL5:CL319)*HLOOKUP(CB322,Verteil_rwst,4,FALSE)+SUMIF($D$5:$D$319,"=kam",CL5:CL319)*HLOOKUP(CB322,Verteil_rwst,5,FALSE)+SUMIF($D$5:$D$319,"=kar",CL5:CL319)*HLOOKUP(CB322,Verteil_rwst,6,FALSE)+SUMIF($D$5:$D$319,"=kaz",CL5:CL319)*HLOOKUP(CB322,Verteil_rwst,7,FALSE)</f>
        <v>147436.5</v>
      </c>
      <c r="CQ327" s="179">
        <f>SUMIF($D$5:$D$319,"=kas",CQ5:CQ319)*HLOOKUP(CS322,Verteil_rwst,4,FALSE)+SUMIF($D$5:$D$319,"=kam",CQ5:CQ319)*HLOOKUP(CS322,Verteil_rwst,5,FALSE)+SUMIF($D$5:$D$319,"=kar",CQ5:CQ319)*HLOOKUP(CS322,Verteil_rwst,6,FALSE)+SUMIF($D$5:$D$319,"=kaz",CQ5:CQ319)*HLOOKUP(CS322,Verteil_rwst,7,FALSE)</f>
        <v>3315000</v>
      </c>
      <c r="CR327" s="102">
        <f t="shared" ref="CR327" si="1008">IF(CQ324&lt;&gt;0,CQ327/CQ324,0)</f>
        <v>0.20089691533846435</v>
      </c>
      <c r="CS327" s="179">
        <f>SUMIF($D$5:$D$319,"=kas",CS5:CS319)*HLOOKUP(CS322,Verteil_rwst,4,FALSE)+SUMIF($D$5:$D$319,"=kam",CS5:CS319)*HLOOKUP(CS322,Verteil_rwst,5,FALSE)+SUMIF($D$5:$D$319,"=kar",CS5:CS319)*HLOOKUP(CS322,Verteil_rwst,6,FALSE)+SUMIF($D$5:$D$319,"=kaz",CS5:CS319)*HLOOKUP(CS322,Verteil_rwst,7,FALSE)</f>
        <v>66300</v>
      </c>
      <c r="CT327" s="102">
        <f t="shared" ref="CT327" si="1009">IF(CS324&lt;&gt;0,CS327/CS324,0)</f>
        <v>0.20115291262135923</v>
      </c>
      <c r="CU327" s="659" t="s">
        <v>182</v>
      </c>
      <c r="DA327" s="102">
        <f t="shared" ref="DA327" si="1010">IF(DC324&lt;&gt;0,DC327/DC324,0)</f>
        <v>0.21921537778971273</v>
      </c>
      <c r="DB327" s="179">
        <f>SUMIF($D$5:$D$319,"=kas",DB5:DB319)*HLOOKUP(CS322,Verteil_rwst,4,FALSE)+SUMIF($D$5:$D$319,"=kam",DB5:DB319)*HLOOKUP(CS322,Verteil_rwst,5,FALSE)+SUMIF($D$5:$D$319,"=kar",DB5:DB319)*HLOOKUP(CS322,Verteil_rwst,6,FALSE)+SUMIF($D$5:$D$319,"=kaz",DB5:DB319)*HLOOKUP(CS322,Verteil_rwst,7,FALSE)</f>
        <v>7510275</v>
      </c>
      <c r="DC327" s="237">
        <f>SUMIF($D$5:$D$319,"=kas",DC5:DC319)*HLOOKUP(CS322,Verteil_rwst,4,FALSE)+SUMIF($D$5:$D$319,"=kam",DC5:DC319)*HLOOKUP(CS322,Verteil_rwst,5,FALSE)+SUMIF($D$5:$D$319,"=kar",DC5:DC319)*HLOOKUP(CS322,Verteil_rwst,6,FALSE)+SUMIF($D$5:$D$319,"=kaz",DC5:DC319)*HLOOKUP(CS322,Verteil_rwst,7,FALSE)</f>
        <v>150205.5</v>
      </c>
      <c r="DH327" s="179">
        <f>SUMIF($D$5:$D$319,"=kas",DH5:DH319)*HLOOKUP(DJ322,Verteil_rwst,4,FALSE)+SUMIF($D$5:$D$319,"=kam",DH5:DH319)*HLOOKUP(DJ322,Verteil_rwst,5,FALSE)+SUMIF($D$5:$D$319,"=kar",DH5:DH319)*HLOOKUP(DJ322,Verteil_rwst,6,FALSE)+SUMIF($D$5:$D$319,"=kaz",DH5:DH319)*HLOOKUP(DJ322,Verteil_rwst,7,FALSE)</f>
        <v>3315000</v>
      </c>
      <c r="DI327" s="102">
        <f t="shared" ref="DI327" si="1011">IF(DH324&lt;&gt;0,DH327/DH324,0)</f>
        <v>0.20089691533846435</v>
      </c>
      <c r="DJ327" s="179">
        <f>SUMIF($D$5:$D$319,"=kas",DJ5:DJ319)*HLOOKUP(DJ322,Verteil_rwst,4,FALSE)+SUMIF($D$5:$D$319,"=kam",DJ5:DJ319)*HLOOKUP(DJ322,Verteil_rwst,5,FALSE)+SUMIF($D$5:$D$319,"=kar",DJ5:DJ319)*HLOOKUP(DJ322,Verteil_rwst,6,FALSE)+SUMIF($D$5:$D$319,"=kaz",DJ5:DJ319)*HLOOKUP(DJ322,Verteil_rwst,7,FALSE)</f>
        <v>66300</v>
      </c>
      <c r="DK327" s="102">
        <f t="shared" ref="DK327" si="1012">IF(DJ324&lt;&gt;0,DJ327/DJ324,0)</f>
        <v>0.20115291262135923</v>
      </c>
      <c r="DL327" s="659" t="s">
        <v>182</v>
      </c>
      <c r="DR327" s="102">
        <f t="shared" ref="DR327" si="1013">IF(DT324&lt;&gt;0,DT327/DT324,0)</f>
        <v>0.21923801030519224</v>
      </c>
      <c r="DS327" s="179">
        <f>SUMIF($D$5:$D$319,"=kas",DS5:DS319)*HLOOKUP(DJ322,Verteil_rwst,4,FALSE)+SUMIF($D$5:$D$319,"=kam",DS5:DS319)*HLOOKUP(DJ322,Verteil_rwst,5,FALSE)+SUMIF($D$5:$D$319,"=kar",DS5:DS319)*HLOOKUP(DJ322,Verteil_rwst,6,FALSE)+SUMIF($D$5:$D$319,"=kaz",DS5:DS319)*HLOOKUP(DJ322,Verteil_rwst,7,FALSE)</f>
        <v>7743925</v>
      </c>
      <c r="DT327" s="237">
        <f>SUMIF($D$5:$D$319,"=kas",DT5:DT319)*HLOOKUP(DJ322,Verteil_rwst,4,FALSE)+SUMIF($D$5:$D$319,"=kam",DT5:DT319)*HLOOKUP(DJ322,Verteil_rwst,5,FALSE)+SUMIF($D$5:$D$319,"=kar",DT5:DT319)*HLOOKUP(DJ322,Verteil_rwst,6,FALSE)+SUMIF($D$5:$D$319,"=kaz",DT5:DT319)*HLOOKUP(DJ322,Verteil_rwst,7,FALSE)</f>
        <v>154878.5</v>
      </c>
      <c r="DY327" s="179">
        <f>SUMIF($D$5:$D$319,"=kas",DY5:DY319)*HLOOKUP(EA322,Verteil_rwst,4,FALSE)+SUMIF($D$5:$D$319,"=kam",DY5:DY319)*HLOOKUP(EA322,Verteil_rwst,5,FALSE)+SUMIF($D$5:$D$319,"=kar",DY5:DY319)*HLOOKUP(EA322,Verteil_rwst,6,FALSE)+SUMIF($D$5:$D$319,"=kaz",DY5:DY319)*HLOOKUP(EA322,Verteil_rwst,7,FALSE)</f>
        <v>3315000</v>
      </c>
      <c r="DZ327" s="102">
        <f t="shared" ref="DZ327" si="1014">IF(DY324&lt;&gt;0,DY327/DY324,0)</f>
        <v>0.20089691533846435</v>
      </c>
      <c r="EA327" s="179">
        <f>SUMIF($D$5:$D$319,"=kas",EA5:EA319)*HLOOKUP(EA322,Verteil_rwst,4,FALSE)+SUMIF($D$5:$D$319,"=kam",EA5:EA319)*HLOOKUP(EA322,Verteil_rwst,5,FALSE)+SUMIF($D$5:$D$319,"=kar",EA5:EA319)*HLOOKUP(EA322,Verteil_rwst,6,FALSE)+SUMIF($D$5:$D$319,"=kaz",EA5:EA319)*HLOOKUP(EA322,Verteil_rwst,7,FALSE)</f>
        <v>66300</v>
      </c>
      <c r="EB327" s="102">
        <f t="shared" ref="EB327" si="1015">IF(EA324&lt;&gt;0,EA327/EA324,0)</f>
        <v>0.20115291262135923</v>
      </c>
      <c r="EC327" s="659" t="s">
        <v>182</v>
      </c>
      <c r="EI327" s="102">
        <f t="shared" ref="EI327" si="1016">IF(EK324&lt;&gt;0,EK327/EK324,0)</f>
        <v>0.2192354826546003</v>
      </c>
      <c r="EJ327" s="179">
        <f>SUMIF($D$5:$D$319,"=kas",EJ5:EJ319)*HLOOKUP(EA322,Verteil_rwst,4,FALSE)+SUMIF($D$5:$D$319,"=kam",EJ5:EJ319)*HLOOKUP(EA322,Verteil_rwst,5,FALSE)+SUMIF($D$5:$D$319,"=kar",EJ5:EJ319)*HLOOKUP(EA322,Verteil_rwst,6,FALSE)+SUMIF($D$5:$D$319,"=kaz",EJ5:EJ319)*HLOOKUP(EA322,Verteil_rwst,7,FALSE)</f>
        <v>8139775</v>
      </c>
      <c r="EK327" s="237">
        <f>SUMIF($D$5:$D$319,"=kas",EK5:EK319)*HLOOKUP(EA322,Verteil_rwst,4,FALSE)+SUMIF($D$5:$D$319,"=kam",EK5:EK319)*HLOOKUP(EA322,Verteil_rwst,5,FALSE)+SUMIF($D$5:$D$319,"=kar",EK5:EK319)*HLOOKUP(EA322,Verteil_rwst,6,FALSE)+SUMIF($D$5:$D$319,"=kaz",EK5:EK319)*HLOOKUP(EA322,Verteil_rwst,7,FALSE)</f>
        <v>162795.5</v>
      </c>
      <c r="EP327" s="179">
        <f>SUMIF($D$5:$D$319,"=kas",EP5:EP319)*HLOOKUP(ER322,Verteil_rwst,4,FALSE)+SUMIF($D$5:$D$319,"=kam",EP5:EP319)*HLOOKUP(ER322,Verteil_rwst,5,FALSE)+SUMIF($D$5:$D$319,"=kar",EP5:EP319)*HLOOKUP(ER322,Verteil_rwst,6,FALSE)+SUMIF($D$5:$D$319,"=kaz",EP5:EP319)*HLOOKUP(ER322,Verteil_rwst,7,FALSE)</f>
        <v>3315000</v>
      </c>
      <c r="EQ327" s="102">
        <f t="shared" ref="EQ327" si="1017">IF(EP324&lt;&gt;0,EP327/EP324,0)</f>
        <v>0.20089691533846435</v>
      </c>
      <c r="ER327" s="179">
        <f>SUMIF($D$5:$D$319,"=kas",ER5:ER319)*HLOOKUP(ER322,Verteil_rwst,4,FALSE)+SUMIF($D$5:$D$319,"=kam",ER5:ER319)*HLOOKUP(ER322,Verteil_rwst,5,FALSE)+SUMIF($D$5:$D$319,"=kar",ER5:ER319)*HLOOKUP(ER322,Verteil_rwst,6,FALSE)+SUMIF($D$5:$D$319,"=kaz",ER5:ER319)*HLOOKUP(ER322,Verteil_rwst,7,FALSE)</f>
        <v>66300</v>
      </c>
      <c r="ES327" s="102">
        <f t="shared" ref="ES327" si="1018">IF(ER324&lt;&gt;0,ER327/ER324,0)</f>
        <v>0.20115291262135923</v>
      </c>
      <c r="ET327" s="659" t="s">
        <v>182</v>
      </c>
      <c r="EZ327" s="102">
        <f t="shared" ref="EZ327" si="1019">IF(FB324&lt;&gt;0,FB327/FB324,0)</f>
        <v>0.2192354826546003</v>
      </c>
      <c r="FA327" s="179">
        <f>SUMIF($D$5:$D$319,"=kas",FA5:FA319)*HLOOKUP(ER322,Verteil_rwst,4,FALSE)+SUMIF($D$5:$D$319,"=kam",FA5:FA319)*HLOOKUP(ER322,Verteil_rwst,5,FALSE)+SUMIF($D$5:$D$319,"=kar",FA5:FA319)*HLOOKUP(ER322,Verteil_rwst,6,FALSE)+SUMIF($D$5:$D$319,"=kaz",FA5:FA319)*HLOOKUP(ER322,Verteil_rwst,7,FALSE)</f>
        <v>8139775</v>
      </c>
      <c r="FB327" s="237">
        <f>SUMIF($D$5:$D$319,"=kas",FB5:FB319)*HLOOKUP(ER322,Verteil_rwst,4,FALSE)+SUMIF($D$5:$D$319,"=kam",FB5:FB319)*HLOOKUP(ER322,Verteil_rwst,5,FALSE)+SUMIF($D$5:$D$319,"=kar",FB5:FB319)*HLOOKUP(ER322,Verteil_rwst,6,FALSE)+SUMIF($D$5:$D$319,"=kaz",FB5:FB319)*HLOOKUP(ER322,Verteil_rwst,7,FALSE)</f>
        <v>162795.5</v>
      </c>
      <c r="FG327" s="179">
        <f>SUMIF($D$5:$D$319,"=kas",FG5:FG319)*HLOOKUP(FI322,Verteil_rwst,4,FALSE)+SUMIF($D$5:$D$319,"=kam",FG5:FG319)*HLOOKUP(FI322,Verteil_rwst,5,FALSE)+SUMIF($D$5:$D$319,"=kar",FG5:FG319)*HLOOKUP(FI322,Verteil_rwst,6,FALSE)+SUMIF($D$5:$D$319,"=kaz",FG5:FG319)*HLOOKUP(FI322,Verteil_rwst,7,FALSE)</f>
        <v>3315000</v>
      </c>
      <c r="FH327" s="102">
        <f t="shared" ref="FH327" si="1020">IF(FG324&lt;&gt;0,FG327/FG324,0)</f>
        <v>0.20089691533846435</v>
      </c>
      <c r="FI327" s="179">
        <f>SUMIF($D$5:$D$319,"=kas",FI5:FI319)*HLOOKUP(FI322,Verteil_rwst,4,FALSE)+SUMIF($D$5:$D$319,"=kam",FI5:FI319)*HLOOKUP(FI322,Verteil_rwst,5,FALSE)+SUMIF($D$5:$D$319,"=kar",FI5:FI319)*HLOOKUP(FI322,Verteil_rwst,6,FALSE)+SUMIF($D$5:$D$319,"=kaz",FI5:FI319)*HLOOKUP(FI322,Verteil_rwst,7,FALSE)</f>
        <v>54487.5</v>
      </c>
      <c r="FJ327" s="102">
        <f t="shared" ref="FJ327" si="1021">IF(FI324&lt;&gt;0,FI327/FI324,0)</f>
        <v>0.19297857269346555</v>
      </c>
      <c r="FK327" s="659" t="s">
        <v>182</v>
      </c>
      <c r="FQ327" s="102">
        <f t="shared" ref="FQ327" si="1022">IF(FS324&lt;&gt;0,FS327/FS324,0)</f>
        <v>0.21042083560730096</v>
      </c>
      <c r="FR327" s="179">
        <f>SUMIF($D$5:$D$319,"=kas",FR5:FR319)*HLOOKUP(FI322,Verteil_rwst,4,FALSE)+SUMIF($D$5:$D$319,"=kam",FR5:FR319)*HLOOKUP(FI322,Verteil_rwst,5,FALSE)+SUMIF($D$5:$D$319,"=kar",FR5:FR319)*HLOOKUP(FI322,Verteil_rwst,6,FALSE)+SUMIF($D$5:$D$319,"=kaz",FR5:FR319)*HLOOKUP(FI322,Verteil_rwst,7,FALSE)</f>
        <v>8139775</v>
      </c>
      <c r="FS327" s="237">
        <f>SUMIF($D$5:$D$319,"=kas",FS5:FS319)*HLOOKUP(FI322,Verteil_rwst,4,FALSE)+SUMIF($D$5:$D$319,"=kam",FS5:FS319)*HLOOKUP(FI322,Verteil_rwst,5,FALSE)+SUMIF($D$5:$D$319,"=kar",FS5:FS319)*HLOOKUP(FI322,Verteil_rwst,6,FALSE)+SUMIF($D$5:$D$319,"=kaz",FS5:FS319)*HLOOKUP(FI322,Verteil_rwst,7,FALSE)</f>
        <v>121451.75</v>
      </c>
    </row>
    <row r="328" spans="1:175" s="10" customFormat="1" hidden="1" x14ac:dyDescent="0.3">
      <c r="A328" s="657" t="s">
        <v>183</v>
      </c>
      <c r="V328" s="217">
        <v>7</v>
      </c>
      <c r="AA328" s="179">
        <f>SUMIF($D$5:$D$319,"=klm",AA5:AA319)+SUMIF($D$5:$D$319,"=kls",AA5:AA319)+SUMIF($D$5:$D$319,"=klr",AA5:AA319)+SUMIF($D$5:$D$319,"=klk",AA5:AA319)+SUMIF($D$5:$D$319,"=klz",AA5:AA319)</f>
        <v>0</v>
      </c>
      <c r="AB328" s="102">
        <f t="shared" ref="AB328:AD328" si="1023">SUM(AB329:AB331)</f>
        <v>0</v>
      </c>
      <c r="AC328" s="179">
        <f>SUMIF($D$5:$D$319,"=klm",AC5:AC319)+SUMIF($D$5:$D$319,"=kls",AC5:AC319)+SUMIF($D$5:$D$319,"=klr",AC5:AC319)+SUMIF($D$5:$D$319,"=klk",AC5:AC319)+SUMIF($D$5:$D$319,"=klz",AC5:AC319)</f>
        <v>0</v>
      </c>
      <c r="AD328" s="102">
        <f t="shared" si="1023"/>
        <v>0</v>
      </c>
      <c r="AE328" s="657" t="s">
        <v>183</v>
      </c>
      <c r="AK328" s="102">
        <f t="shared" ref="AK328" si="1024">SUM(AK329:AK331)</f>
        <v>0</v>
      </c>
      <c r="AL328" s="179">
        <f>SUMIF($D$5:$D$319,"=klm",AL5:AL319)+SUMIF($D$5:$D$319,"=kls",AL5:AL319)+SUMIF($D$5:$D$319,"=klr",AL5:AL319)+SUMIF($D$5:$D$319,"=klk",AL5:AL319)+SUMIF($D$5:$D$319,"=klz",AL5:AL319)</f>
        <v>0</v>
      </c>
      <c r="AM328" s="237">
        <f>SUMIF($D$5:$D$319,"=klm",AM5:AM319)+SUMIF($D$5:$D$319,"=kls",AM5:AM319)+SUMIF($D$5:$D$319,"=klr",AM5:AM319)+SUMIF($D$5:$D$319,"=klk",AM5:AM319)+SUMIF($D$5:$D$319,"=klz",AM5:AM319)</f>
        <v>0</v>
      </c>
      <c r="AR328" s="179">
        <f t="shared" ref="AR328" si="1025">SUMIF($D$5:$D$319,"=klm",AR5:AR319)+SUMIF($D$5:$D$319,"=kls",AR5:AR319)+SUMIF($D$5:$D$319,"=klr",AR5:AR319)+SUMIF($D$5:$D$319,"=klk",AR5:AR319)+SUMIF($D$5:$D$319,"=klz",AR5:AR319)</f>
        <v>0</v>
      </c>
      <c r="AS328" s="102">
        <f t="shared" ref="AS328" si="1026">SUM(AS329:AS331)</f>
        <v>0</v>
      </c>
      <c r="AT328" s="179">
        <f t="shared" ref="AT328" si="1027">SUMIF($D$5:$D$319,"=klm",AT5:AT319)+SUMIF($D$5:$D$319,"=kls",AT5:AT319)+SUMIF($D$5:$D$319,"=klr",AT5:AT319)+SUMIF($D$5:$D$319,"=klk",AT5:AT319)+SUMIF($D$5:$D$319,"=klz",AT5:AT319)</f>
        <v>0</v>
      </c>
      <c r="AU328" s="102">
        <f t="shared" ref="AU328" si="1028">SUM(AU329:AU331)</f>
        <v>0</v>
      </c>
      <c r="AV328" s="658" t="s">
        <v>183</v>
      </c>
      <c r="BB328" s="102">
        <f t="shared" ref="BB328:DA328" si="1029">SUM(BB329:BB331)</f>
        <v>0</v>
      </c>
      <c r="BC328" s="179">
        <f t="shared" ref="BC328:BD328" si="1030">SUMIF($D$5:$D$319,"=klm",BC5:BC319)+SUMIF($D$5:$D$319,"=kls",BC5:BC319)+SUMIF($D$5:$D$319,"=klr",BC5:BC319)+SUMIF($D$5:$D$319,"=klk",BC5:BC319)+SUMIF($D$5:$D$319,"=klz",BC5:BC319)</f>
        <v>0</v>
      </c>
      <c r="BD328" s="237">
        <f t="shared" si="1030"/>
        <v>0</v>
      </c>
      <c r="BI328" s="179">
        <f t="shared" ref="BI328" si="1031">SUMIF($D$5:$D$319,"=klm",BI5:BI319)+SUMIF($D$5:$D$319,"=kls",BI5:BI319)+SUMIF($D$5:$D$319,"=klr",BI5:BI319)+SUMIF($D$5:$D$319,"=klk",BI5:BI319)+SUMIF($D$5:$D$319,"=klz",BI5:BI319)</f>
        <v>0</v>
      </c>
      <c r="BJ328" s="102">
        <f t="shared" ref="BJ328" si="1032">SUM(BJ329:BJ331)</f>
        <v>0</v>
      </c>
      <c r="BK328" s="179">
        <f t="shared" ref="BK328" si="1033">SUMIF($D$5:$D$319,"=klm",BK5:BK319)+SUMIF($D$5:$D$319,"=kls",BK5:BK319)+SUMIF($D$5:$D$319,"=klr",BK5:BK319)+SUMIF($D$5:$D$319,"=klk",BK5:BK319)+SUMIF($D$5:$D$319,"=klz",BK5:BK319)</f>
        <v>0</v>
      </c>
      <c r="BL328" s="102">
        <f t="shared" ref="BL328" si="1034">SUM(BL329:BL331)</f>
        <v>0</v>
      </c>
      <c r="BM328" s="658" t="s">
        <v>183</v>
      </c>
      <c r="BS328" s="102">
        <f t="shared" si="1029"/>
        <v>0</v>
      </c>
      <c r="BT328" s="179">
        <f t="shared" ref="BT328:BU328" si="1035">SUMIF($D$5:$D$319,"=klm",BT5:BT319)+SUMIF($D$5:$D$319,"=kls",BT5:BT319)+SUMIF($D$5:$D$319,"=klr",BT5:BT319)+SUMIF($D$5:$D$319,"=klk",BT5:BT319)+SUMIF($D$5:$D$319,"=klz",BT5:BT319)</f>
        <v>0</v>
      </c>
      <c r="BU328" s="237">
        <f t="shared" si="1035"/>
        <v>0</v>
      </c>
      <c r="BZ328" s="179">
        <f t="shared" ref="BZ328" si="1036">SUMIF($D$5:$D$319,"=klm",BZ5:BZ319)+SUMIF($D$5:$D$319,"=kls",BZ5:BZ319)+SUMIF($D$5:$D$319,"=klr",BZ5:BZ319)+SUMIF($D$5:$D$319,"=klk",BZ5:BZ319)+SUMIF($D$5:$D$319,"=klz",BZ5:BZ319)</f>
        <v>0</v>
      </c>
      <c r="CA328" s="102">
        <f t="shared" ref="CA328" si="1037">SUM(CA329:CA331)</f>
        <v>0</v>
      </c>
      <c r="CB328" s="179">
        <f t="shared" ref="CB328" si="1038">SUMIF($D$5:$D$319,"=klm",CB5:CB319)+SUMIF($D$5:$D$319,"=kls",CB5:CB319)+SUMIF($D$5:$D$319,"=klr",CB5:CB319)+SUMIF($D$5:$D$319,"=klk",CB5:CB319)+SUMIF($D$5:$D$319,"=klz",CB5:CB319)</f>
        <v>0</v>
      </c>
      <c r="CC328" s="102">
        <f t="shared" ref="CC328" si="1039">SUM(CC329:CC331)</f>
        <v>0</v>
      </c>
      <c r="CD328" s="658" t="s">
        <v>183</v>
      </c>
      <c r="CJ328" s="102">
        <f t="shared" si="1029"/>
        <v>0</v>
      </c>
      <c r="CK328" s="179">
        <f t="shared" ref="CK328:CL328" si="1040">SUMIF($D$5:$D$319,"=klm",CK5:CK319)+SUMIF($D$5:$D$319,"=kls",CK5:CK319)+SUMIF($D$5:$D$319,"=klr",CK5:CK319)+SUMIF($D$5:$D$319,"=klk",CK5:CK319)+SUMIF($D$5:$D$319,"=klz",CK5:CK319)</f>
        <v>0</v>
      </c>
      <c r="CL328" s="237">
        <f t="shared" si="1040"/>
        <v>0</v>
      </c>
      <c r="CQ328" s="179">
        <f t="shared" ref="CQ328" si="1041">SUMIF($D$5:$D$319,"=klm",CQ5:CQ319)+SUMIF($D$5:$D$319,"=kls",CQ5:CQ319)+SUMIF($D$5:$D$319,"=klr",CQ5:CQ319)+SUMIF($D$5:$D$319,"=klk",CQ5:CQ319)+SUMIF($D$5:$D$319,"=klz",CQ5:CQ319)</f>
        <v>0</v>
      </c>
      <c r="CR328" s="102">
        <f t="shared" ref="CR328" si="1042">SUM(CR329:CR331)</f>
        <v>0</v>
      </c>
      <c r="CS328" s="179">
        <f t="shared" ref="CS328" si="1043">SUMIF($D$5:$D$319,"=klm",CS5:CS319)+SUMIF($D$5:$D$319,"=kls",CS5:CS319)+SUMIF($D$5:$D$319,"=klr",CS5:CS319)+SUMIF($D$5:$D$319,"=klk",CS5:CS319)+SUMIF($D$5:$D$319,"=klz",CS5:CS319)</f>
        <v>0</v>
      </c>
      <c r="CT328" s="102">
        <f t="shared" ref="CT328" si="1044">SUM(CT329:CT331)</f>
        <v>0</v>
      </c>
      <c r="CU328" s="658" t="s">
        <v>183</v>
      </c>
      <c r="DA328" s="102">
        <f t="shared" si="1029"/>
        <v>0</v>
      </c>
      <c r="DB328" s="179">
        <f t="shared" ref="DB328:DC328" si="1045">SUMIF($D$5:$D$319,"=klm",DB5:DB319)+SUMIF($D$5:$D$319,"=kls",DB5:DB319)+SUMIF($D$5:$D$319,"=klr",DB5:DB319)+SUMIF($D$5:$D$319,"=klk",DB5:DB319)+SUMIF($D$5:$D$319,"=klz",DB5:DB319)</f>
        <v>0</v>
      </c>
      <c r="DC328" s="237">
        <f t="shared" si="1045"/>
        <v>0</v>
      </c>
      <c r="DH328" s="179">
        <f t="shared" ref="DH328" si="1046">SUMIF($D$5:$D$319,"=klm",DH5:DH319)+SUMIF($D$5:$D$319,"=kls",DH5:DH319)+SUMIF($D$5:$D$319,"=klr",DH5:DH319)+SUMIF($D$5:$D$319,"=klk",DH5:DH319)+SUMIF($D$5:$D$319,"=klz",DH5:DH319)</f>
        <v>0</v>
      </c>
      <c r="DI328" s="102">
        <f t="shared" ref="DI328" si="1047">SUM(DI329:DI331)</f>
        <v>0</v>
      </c>
      <c r="DJ328" s="179">
        <f t="shared" ref="DJ328" si="1048">SUMIF($D$5:$D$319,"=klm",DJ5:DJ319)+SUMIF($D$5:$D$319,"=kls",DJ5:DJ319)+SUMIF($D$5:$D$319,"=klr",DJ5:DJ319)+SUMIF($D$5:$D$319,"=klk",DJ5:DJ319)+SUMIF($D$5:$D$319,"=klz",DJ5:DJ319)</f>
        <v>0</v>
      </c>
      <c r="DK328" s="102">
        <f t="shared" ref="DK328" si="1049">SUM(DK329:DK331)</f>
        <v>0</v>
      </c>
      <c r="DL328" s="658" t="s">
        <v>183</v>
      </c>
      <c r="DR328" s="102">
        <f t="shared" ref="DR328:FQ328" si="1050">SUM(DR329:DR331)</f>
        <v>0</v>
      </c>
      <c r="DS328" s="179">
        <f t="shared" ref="DS328:DT328" si="1051">SUMIF($D$5:$D$319,"=klm",DS5:DS319)+SUMIF($D$5:$D$319,"=kls",DS5:DS319)+SUMIF($D$5:$D$319,"=klr",DS5:DS319)+SUMIF($D$5:$D$319,"=klk",DS5:DS319)+SUMIF($D$5:$D$319,"=klz",DS5:DS319)</f>
        <v>0</v>
      </c>
      <c r="DT328" s="237">
        <f t="shared" si="1051"/>
        <v>0</v>
      </c>
      <c r="DY328" s="179">
        <f t="shared" ref="DY328" si="1052">SUMIF($D$5:$D$319,"=klm",DY5:DY319)+SUMIF($D$5:$D$319,"=kls",DY5:DY319)+SUMIF($D$5:$D$319,"=klr",DY5:DY319)+SUMIF($D$5:$D$319,"=klk",DY5:DY319)+SUMIF($D$5:$D$319,"=klz",DY5:DY319)</f>
        <v>0</v>
      </c>
      <c r="DZ328" s="102">
        <f t="shared" ref="DZ328" si="1053">SUM(DZ329:DZ331)</f>
        <v>0</v>
      </c>
      <c r="EA328" s="179">
        <f t="shared" ref="EA328" si="1054">SUMIF($D$5:$D$319,"=klm",EA5:EA319)+SUMIF($D$5:$D$319,"=kls",EA5:EA319)+SUMIF($D$5:$D$319,"=klr",EA5:EA319)+SUMIF($D$5:$D$319,"=klk",EA5:EA319)+SUMIF($D$5:$D$319,"=klz",EA5:EA319)</f>
        <v>0</v>
      </c>
      <c r="EB328" s="102">
        <f t="shared" ref="EB328" si="1055">SUM(EB329:EB331)</f>
        <v>0</v>
      </c>
      <c r="EC328" s="658" t="s">
        <v>183</v>
      </c>
      <c r="EI328" s="102">
        <f t="shared" si="1050"/>
        <v>0</v>
      </c>
      <c r="EJ328" s="179">
        <f t="shared" ref="EJ328:EK328" si="1056">SUMIF($D$5:$D$319,"=klm",EJ5:EJ319)+SUMIF($D$5:$D$319,"=kls",EJ5:EJ319)+SUMIF($D$5:$D$319,"=klr",EJ5:EJ319)+SUMIF($D$5:$D$319,"=klk",EJ5:EJ319)+SUMIF($D$5:$D$319,"=klz",EJ5:EJ319)</f>
        <v>0</v>
      </c>
      <c r="EK328" s="237">
        <f t="shared" si="1056"/>
        <v>0</v>
      </c>
      <c r="EP328" s="179">
        <f t="shared" ref="EP328" si="1057">SUMIF($D$5:$D$319,"=klm",EP5:EP319)+SUMIF($D$5:$D$319,"=kls",EP5:EP319)+SUMIF($D$5:$D$319,"=klr",EP5:EP319)+SUMIF($D$5:$D$319,"=klk",EP5:EP319)+SUMIF($D$5:$D$319,"=klz",EP5:EP319)</f>
        <v>0</v>
      </c>
      <c r="EQ328" s="102">
        <f t="shared" ref="EQ328" si="1058">SUM(EQ329:EQ331)</f>
        <v>0</v>
      </c>
      <c r="ER328" s="179">
        <f t="shared" ref="ER328" si="1059">SUMIF($D$5:$D$319,"=klm",ER5:ER319)+SUMIF($D$5:$D$319,"=kls",ER5:ER319)+SUMIF($D$5:$D$319,"=klr",ER5:ER319)+SUMIF($D$5:$D$319,"=klk",ER5:ER319)+SUMIF($D$5:$D$319,"=klz",ER5:ER319)</f>
        <v>0</v>
      </c>
      <c r="ES328" s="102">
        <f t="shared" ref="ES328" si="1060">SUM(ES329:ES331)</f>
        <v>0</v>
      </c>
      <c r="ET328" s="658" t="s">
        <v>183</v>
      </c>
      <c r="EZ328" s="102">
        <f t="shared" si="1050"/>
        <v>0</v>
      </c>
      <c r="FA328" s="179">
        <f t="shared" ref="FA328:FB328" si="1061">SUMIF($D$5:$D$319,"=klm",FA5:FA319)+SUMIF($D$5:$D$319,"=kls",FA5:FA319)+SUMIF($D$5:$D$319,"=klr",FA5:FA319)+SUMIF($D$5:$D$319,"=klk",FA5:FA319)+SUMIF($D$5:$D$319,"=klz",FA5:FA319)</f>
        <v>0</v>
      </c>
      <c r="FB328" s="237">
        <f t="shared" si="1061"/>
        <v>0</v>
      </c>
      <c r="FG328" s="179">
        <f t="shared" ref="FG328" si="1062">SUMIF($D$5:$D$319,"=klm",FG5:FG319)+SUMIF($D$5:$D$319,"=kls",FG5:FG319)+SUMIF($D$5:$D$319,"=klr",FG5:FG319)+SUMIF($D$5:$D$319,"=klk",FG5:FG319)+SUMIF($D$5:$D$319,"=klz",FG5:FG319)</f>
        <v>0</v>
      </c>
      <c r="FH328" s="102">
        <f t="shared" ref="FH328" si="1063">SUM(FH329:FH331)</f>
        <v>0</v>
      </c>
      <c r="FI328" s="179">
        <f t="shared" ref="FI328" si="1064">SUMIF($D$5:$D$319,"=klm",FI5:FI319)+SUMIF($D$5:$D$319,"=kls",FI5:FI319)+SUMIF($D$5:$D$319,"=klr",FI5:FI319)+SUMIF($D$5:$D$319,"=klk",FI5:FI319)+SUMIF($D$5:$D$319,"=klz",FI5:FI319)</f>
        <v>0</v>
      </c>
      <c r="FJ328" s="102">
        <f t="shared" ref="FJ328" si="1065">SUM(FJ329:FJ331)</f>
        <v>0</v>
      </c>
      <c r="FK328" s="658" t="s">
        <v>183</v>
      </c>
      <c r="FQ328" s="102">
        <f t="shared" si="1050"/>
        <v>0</v>
      </c>
      <c r="FR328" s="179">
        <f t="shared" ref="FR328:FS328" si="1066">SUMIF($D$5:$D$319,"=klm",FR5:FR319)+SUMIF($D$5:$D$319,"=kls",FR5:FR319)+SUMIF($D$5:$D$319,"=klr",FR5:FR319)+SUMIF($D$5:$D$319,"=klk",FR5:FR319)+SUMIF($D$5:$D$319,"=klz",FR5:FR319)</f>
        <v>0</v>
      </c>
      <c r="FS328" s="237">
        <f t="shared" si="1066"/>
        <v>0</v>
      </c>
    </row>
    <row r="329" spans="1:175" s="10" customFormat="1" hidden="1" x14ac:dyDescent="0.3">
      <c r="A329" s="656" t="s">
        <v>180</v>
      </c>
      <c r="V329" s="217">
        <v>8</v>
      </c>
      <c r="AA329" s="179">
        <f>SUMIF($D$5:$D$319,"=kls",AA5:AA319)*HLOOKUP(AC322,Verteil_sw,11,FALSE)+SUMIF($D$5:$D$319,"=klm",AA5:AA319)*HLOOKUP(AC322,Verteil_sw,12,FALSE)+SUMIF($D$5:$D$319,"=klr",AA5:AA319)*HLOOKUP(AC322,Verteil_sw,13,FALSE)+SUMIF($D$5:$D$319,"=klk",AA5:AA319)*HLOOKUP(AC322,Verteil_sw,14,FALSE)+SUMIF($D$5:$D$319,"=klz",AA5:AA319)*HLOOKUP(AC322,Verteil_sw,15,FALSE)</f>
        <v>0</v>
      </c>
      <c r="AB329" s="102">
        <f t="shared" ref="AB329:AD329" si="1067">IF(AA328&lt;&gt;0,AA329/AA328,0)</f>
        <v>0</v>
      </c>
      <c r="AC329" s="179">
        <f>SUMIF($D$5:$D$319,"=kls",AC5:AC319)*HLOOKUP(AC322,Verteil_sw,11,FALSE)+SUMIF($D$5:$D$319,"=klm",AC5:AC319)*HLOOKUP(AC322,Verteil_sw,12,FALSE)+SUMIF($D$5:$D$319,"=klr",AC5:AC319)*HLOOKUP(AC322,Verteil_sw,13,FALSE)+SUMIF($D$5:$D$319,"=klk",AC5:AC319)*HLOOKUP(AC322,Verteil_sw,14,FALSE)+SUMIF($D$5:$D$319,"=klz",AC5:AC319)*HLOOKUP(AC322,Verteil_sw,15,FALSE)</f>
        <v>0</v>
      </c>
      <c r="AD329" s="102">
        <f t="shared" si="1067"/>
        <v>0</v>
      </c>
      <c r="AE329" s="656" t="s">
        <v>180</v>
      </c>
      <c r="AK329" s="102">
        <f t="shared" ref="AK329" si="1068">IF(AM328&lt;&gt;0,AM329/AM328,0)</f>
        <v>0</v>
      </c>
      <c r="AL329" s="179">
        <f>SUMIF($D$5:$D$319,"=kls",AL5:AL319)*HLOOKUP(AC322,Verteil_sw,11,FALSE)+SUMIF($D$5:$D$319,"=klm",AL5:AL319)*HLOOKUP(AC322,Verteil_sw,12,FALSE)+SUMIF($D$5:$D$319,"=klr",AL5:AL319)*HLOOKUP(AC322,Verteil_sw,13,FALSE)+SUMIF($D$5:$D$319,"=klk",AL5:AL319)*HLOOKUP(AC322,Verteil_sw,14,FALSE)+SUMIF($D$5:$D$319,"=klz",AL5:AL319)*HLOOKUP(AC322,Verteil_sw,15,FALSE)</f>
        <v>0</v>
      </c>
      <c r="AM329" s="237">
        <f>SUMIF($D$5:$D$319,"=kls",AM5:AM319)*HLOOKUP(AC322,Verteil_sw,11,FALSE)+SUMIF($D$5:$D$319,"=klm",AM5:AM319)*HLOOKUP(AC322,Verteil_sw,12,FALSE)+SUMIF($D$5:$D$319,"=klr",AM5:AM319)*HLOOKUP(AC322,Verteil_sw,13,FALSE)+SUMIF($D$5:$D$319,"=klk",AM5:AM319)*HLOOKUP(AC322,Verteil_sw,14,FALSE)+SUMIF($D$5:$D$319,"=klz",AM5:AM319)*HLOOKUP(AC322,Verteil_sw,15,FALSE)</f>
        <v>0</v>
      </c>
      <c r="AR329" s="179">
        <f>SUMIF($D$5:$D$319,"=kls",AR5:AR319)*HLOOKUP(AT322,Verteil_sw,11,FALSE)+SUMIF($D$5:$D$319,"=klm",AR5:AR319)*HLOOKUP(AT322,Verteil_sw,12,FALSE)+SUMIF($D$5:$D$319,"=klr",AR5:AR319)*HLOOKUP(AT322,Verteil_sw,13,FALSE)+SUMIF($D$5:$D$319,"=klk",AR5:AR319)*HLOOKUP(AT322,Verteil_sw,14,FALSE)+SUMIF($D$5:$D$319,"=klz",AR5:AR319)*HLOOKUP(AT322,Verteil_sw,15,FALSE)</f>
        <v>0</v>
      </c>
      <c r="AS329" s="102">
        <f t="shared" ref="AS329" si="1069">IF(AR328&lt;&gt;0,AR329/AR328,0)</f>
        <v>0</v>
      </c>
      <c r="AT329" s="179">
        <f>SUMIF($D$5:$D$319,"=kls",AT5:AT319)*HLOOKUP(AT322,Verteil_sw,11,FALSE)+SUMIF($D$5:$D$319,"=klm",AT5:AT319)*HLOOKUP(AT322,Verteil_sw,12,FALSE)+SUMIF($D$5:$D$319,"=klr",AT5:AT319)*HLOOKUP(AT322,Verteil_sw,13,FALSE)+SUMIF($D$5:$D$319,"=klk",AT5:AT319)*HLOOKUP(AT322,Verteil_sw,14,FALSE)+SUMIF($D$5:$D$319,"=klz",AT5:AT319)*HLOOKUP(AT322,Verteil_sw,15,FALSE)</f>
        <v>0</v>
      </c>
      <c r="AU329" s="102">
        <f t="shared" ref="AU329" si="1070">IF(AT328&lt;&gt;0,AT329/AT328,0)</f>
        <v>0</v>
      </c>
      <c r="AV329" s="659" t="s">
        <v>180</v>
      </c>
      <c r="BB329" s="102">
        <f t="shared" ref="BB329" si="1071">IF(BD328&lt;&gt;0,BD329/BD328,0)</f>
        <v>0</v>
      </c>
      <c r="BC329" s="179">
        <f>SUMIF($D$5:$D$319,"=kls",BC5:BC319)*HLOOKUP(AT322,Verteil_sw,11,FALSE)+SUMIF($D$5:$D$319,"=klm",BC5:BC319)*HLOOKUP(AT322,Verteil_sw,12,FALSE)+SUMIF($D$5:$D$319,"=klr",BC5:BC319)*HLOOKUP(AT322,Verteil_sw,13,FALSE)+SUMIF($D$5:$D$319,"=klk",BC5:BC319)*HLOOKUP(AT322,Verteil_sw,14,FALSE)+SUMIF($D$5:$D$319,"=klz",BC5:BC319)*HLOOKUP(AT322,Verteil_sw,15,FALSE)</f>
        <v>0</v>
      </c>
      <c r="BD329" s="237">
        <f>SUMIF($D$5:$D$319,"=kls",BD5:BD319)*HLOOKUP(AT322,Verteil_sw,11,FALSE)+SUMIF($D$5:$D$319,"=klm",BD5:BD319)*HLOOKUP(AT322,Verteil_sw,12,FALSE)+SUMIF($D$5:$D$319,"=klr",BD5:BD319)*HLOOKUP(AT322,Verteil_sw,13,FALSE)+SUMIF($D$5:$D$319,"=klk",BD5:BD319)*HLOOKUP(AT322,Verteil_sw,14,FALSE)+SUMIF($D$5:$D$319,"=klz",BD5:BD319)*HLOOKUP(AT322,Verteil_sw,15,FALSE)</f>
        <v>0</v>
      </c>
      <c r="BI329" s="179">
        <f>SUMIF($D$5:$D$319,"=kls",BI5:BI319)*HLOOKUP(BK322,Verteil_sw,11,FALSE)+SUMIF($D$5:$D$319,"=klm",BI5:BI319)*HLOOKUP(BK322,Verteil_sw,12,FALSE)+SUMIF($D$5:$D$319,"=klr",BI5:BI319)*HLOOKUP(BK322,Verteil_sw,13,FALSE)+SUMIF($D$5:$D$319,"=klk",BI5:BI319)*HLOOKUP(BK322,Verteil_sw,14,FALSE)+SUMIF($D$5:$D$319,"=klz",BI5:BI319)*HLOOKUP(BK322,Verteil_sw,15,FALSE)</f>
        <v>0</v>
      </c>
      <c r="BJ329" s="102">
        <f t="shared" ref="BJ329" si="1072">IF(BI328&lt;&gt;0,BI329/BI328,0)</f>
        <v>0</v>
      </c>
      <c r="BK329" s="179">
        <f>SUMIF($D$5:$D$319,"=kls",BK5:BK319)*HLOOKUP(BK322,Verteil_sw,11,FALSE)+SUMIF($D$5:$D$319,"=klm",BK5:BK319)*HLOOKUP(BK322,Verteil_sw,12,FALSE)+SUMIF($D$5:$D$319,"=klr",BK5:BK319)*HLOOKUP(BK322,Verteil_sw,13,FALSE)+SUMIF($D$5:$D$319,"=klk",BK5:BK319)*HLOOKUP(BK322,Verteil_sw,14,FALSE)+SUMIF($D$5:$D$319,"=klz",BK5:BK319)*HLOOKUP(BK322,Verteil_sw,15,FALSE)</f>
        <v>0</v>
      </c>
      <c r="BL329" s="102">
        <f t="shared" ref="BL329" si="1073">IF(BK328&lt;&gt;0,BK329/BK328,0)</f>
        <v>0</v>
      </c>
      <c r="BM329" s="659" t="s">
        <v>180</v>
      </c>
      <c r="BS329" s="102">
        <f t="shared" ref="BS329" si="1074">IF(BU328&lt;&gt;0,BU329/BU328,0)</f>
        <v>0</v>
      </c>
      <c r="BT329" s="179">
        <f>SUMIF($D$5:$D$319,"=kls",BT5:BT319)*HLOOKUP(BK322,Verteil_sw,11,FALSE)+SUMIF($D$5:$D$319,"=klm",BT5:BT319)*HLOOKUP(BK322,Verteil_sw,12,FALSE)+SUMIF($D$5:$D$319,"=klr",BT5:BT319)*HLOOKUP(BK322,Verteil_sw,13,FALSE)+SUMIF($D$5:$D$319,"=klk",BT5:BT319)*HLOOKUP(BK322,Verteil_sw,14,FALSE)+SUMIF($D$5:$D$319,"=klz",BT5:BT319)*HLOOKUP(BK322,Verteil_sw,15,FALSE)</f>
        <v>0</v>
      </c>
      <c r="BU329" s="237">
        <f>SUMIF($D$5:$D$319,"=kls",BU5:BU319)*HLOOKUP(BK322,Verteil_sw,11,FALSE)+SUMIF($D$5:$D$319,"=klm",BU5:BU319)*HLOOKUP(BK322,Verteil_sw,12,FALSE)+SUMIF($D$5:$D$319,"=klr",BU5:BU319)*HLOOKUP(BK322,Verteil_sw,13,FALSE)+SUMIF($D$5:$D$319,"=klk",BU5:BU319)*HLOOKUP(BK322,Verteil_sw,14,FALSE)+SUMIF($D$5:$D$319,"=klz",BU5:BU319)*HLOOKUP(BK322,Verteil_sw,15,FALSE)</f>
        <v>0</v>
      </c>
      <c r="BZ329" s="179">
        <f>SUMIF($D$5:$D$319,"=kls",BZ5:BZ319)*HLOOKUP(CB322,Verteil_sw,11,FALSE)+SUMIF($D$5:$D$319,"=klm",BZ5:BZ319)*HLOOKUP(CB322,Verteil_sw,12,FALSE)+SUMIF($D$5:$D$319,"=klr",BZ5:BZ319)*HLOOKUP(CB322,Verteil_sw,13,FALSE)+SUMIF($D$5:$D$319,"=klk",BZ5:BZ319)*HLOOKUP(CB322,Verteil_sw,14,FALSE)+SUMIF($D$5:$D$319,"=klz",BZ5:BZ319)*HLOOKUP(CB322,Verteil_sw,15,FALSE)</f>
        <v>0</v>
      </c>
      <c r="CA329" s="102">
        <f t="shared" ref="CA329" si="1075">IF(BZ328&lt;&gt;0,BZ329/BZ328,0)</f>
        <v>0</v>
      </c>
      <c r="CB329" s="179">
        <f>SUMIF($D$5:$D$319,"=kls",CB5:CB319)*HLOOKUP(CB322,Verteil_sw,11,FALSE)+SUMIF($D$5:$D$319,"=klm",CB5:CB319)*HLOOKUP(CB322,Verteil_sw,12,FALSE)+SUMIF($D$5:$D$319,"=klr",CB5:CB319)*HLOOKUP(CB322,Verteil_sw,13,FALSE)+SUMIF($D$5:$D$319,"=klk",CB5:CB319)*HLOOKUP(CB322,Verteil_sw,14,FALSE)+SUMIF($D$5:$D$319,"=klz",CB5:CB319)*HLOOKUP(CB322,Verteil_sw,15,FALSE)</f>
        <v>0</v>
      </c>
      <c r="CC329" s="102">
        <f t="shared" ref="CC329" si="1076">IF(CB328&lt;&gt;0,CB329/CB328,0)</f>
        <v>0</v>
      </c>
      <c r="CD329" s="659" t="s">
        <v>180</v>
      </c>
      <c r="CJ329" s="102">
        <f t="shared" ref="CJ329" si="1077">IF(CL328&lt;&gt;0,CL329/CL328,0)</f>
        <v>0</v>
      </c>
      <c r="CK329" s="179">
        <f>SUMIF($D$5:$D$319,"=kls",CK5:CK319)*HLOOKUP(CB322,Verteil_sw,11,FALSE)+SUMIF($D$5:$D$319,"=klm",CK5:CK319)*HLOOKUP(CB322,Verteil_sw,12,FALSE)+SUMIF($D$5:$D$319,"=klr",CK5:CK319)*HLOOKUP(CB322,Verteil_sw,13,FALSE)+SUMIF($D$5:$D$319,"=klk",CK5:CK319)*HLOOKUP(CB322,Verteil_sw,14,FALSE)+SUMIF($D$5:$D$319,"=klz",CK5:CK319)*HLOOKUP(CB322,Verteil_sw,15,FALSE)</f>
        <v>0</v>
      </c>
      <c r="CL329" s="237">
        <f>SUMIF($D$5:$D$319,"=kls",CL5:CL319)*HLOOKUP(CB322,Verteil_sw,11,FALSE)+SUMIF($D$5:$D$319,"=klm",CL5:CL319)*HLOOKUP(CB322,Verteil_sw,12,FALSE)+SUMIF($D$5:$D$319,"=klr",CL5:CL319)*HLOOKUP(CB322,Verteil_sw,13,FALSE)+SUMIF($D$5:$D$319,"=klk",CL5:CL319)*HLOOKUP(CB322,Verteil_sw,14,FALSE)+SUMIF($D$5:$D$319,"=klz",CL5:CL319)*HLOOKUP(CB322,Verteil_sw,15,FALSE)</f>
        <v>0</v>
      </c>
      <c r="CQ329" s="179">
        <f>SUMIF($D$5:$D$319,"=kls",CQ5:CQ319)*HLOOKUP(CS322,Verteil_sw,11,FALSE)+SUMIF($D$5:$D$319,"=klm",CQ5:CQ319)*HLOOKUP(CS322,Verteil_sw,12,FALSE)+SUMIF($D$5:$D$319,"=klr",CQ5:CQ319)*HLOOKUP(CS322,Verteil_sw,13,FALSE)+SUMIF($D$5:$D$319,"=klk",CQ5:CQ319)*HLOOKUP(CS322,Verteil_sw,14,FALSE)+SUMIF($D$5:$D$319,"=klz",CQ5:CQ319)*HLOOKUP(CS322,Verteil_sw,15,FALSE)</f>
        <v>0</v>
      </c>
      <c r="CR329" s="102">
        <f t="shared" ref="CR329" si="1078">IF(CQ328&lt;&gt;0,CQ329/CQ328,0)</f>
        <v>0</v>
      </c>
      <c r="CS329" s="179">
        <f>SUMIF($D$5:$D$319,"=kls",CS5:CS319)*HLOOKUP(CS322,Verteil_sw,11,FALSE)+SUMIF($D$5:$D$319,"=klm",CS5:CS319)*HLOOKUP(CS322,Verteil_sw,12,FALSE)+SUMIF($D$5:$D$319,"=klr",CS5:CS319)*HLOOKUP(CS322,Verteil_sw,13,FALSE)+SUMIF($D$5:$D$319,"=klk",CS5:CS319)*HLOOKUP(CS322,Verteil_sw,14,FALSE)+SUMIF($D$5:$D$319,"=klz",CS5:CS319)*HLOOKUP(CS322,Verteil_sw,15,FALSE)</f>
        <v>0</v>
      </c>
      <c r="CT329" s="102">
        <f t="shared" ref="CT329" si="1079">IF(CS328&lt;&gt;0,CS329/CS328,0)</f>
        <v>0</v>
      </c>
      <c r="CU329" s="659" t="s">
        <v>180</v>
      </c>
      <c r="DA329" s="102">
        <f t="shared" ref="DA329" si="1080">IF(DC328&lt;&gt;0,DC329/DC328,0)</f>
        <v>0</v>
      </c>
      <c r="DB329" s="179">
        <f>SUMIF($D$5:$D$319,"=kls",DB5:DB319)*HLOOKUP(CS322,Verteil_sw,11,FALSE)+SUMIF($D$5:$D$319,"=klm",DB5:DB319)*HLOOKUP(CS322,Verteil_sw,12,FALSE)+SUMIF($D$5:$D$319,"=klr",DB5:DB319)*HLOOKUP(CS322,Verteil_sw,13,FALSE)+SUMIF($D$5:$D$319,"=klk",DB5:DB319)*HLOOKUP(CS322,Verteil_sw,14,FALSE)+SUMIF($D$5:$D$319,"=klz",DB5:DB319)*HLOOKUP(CS322,Verteil_sw,15,FALSE)</f>
        <v>0</v>
      </c>
      <c r="DC329" s="237">
        <f>SUMIF($D$5:$D$319,"=kls",DC5:DC319)*HLOOKUP(CS322,Verteil_sw,11,FALSE)+SUMIF($D$5:$D$319,"=klm",DC5:DC319)*HLOOKUP(CS322,Verteil_sw,12,FALSE)+SUMIF($D$5:$D$319,"=klr",DC5:DC319)*HLOOKUP(CS322,Verteil_sw,13,FALSE)+SUMIF($D$5:$D$319,"=klk",DC5:DC319)*HLOOKUP(CS322,Verteil_sw,14,FALSE)+SUMIF($D$5:$D$319,"=klz",DC5:DC319)*HLOOKUP(CS322,Verteil_sw,15,FALSE)</f>
        <v>0</v>
      </c>
      <c r="DH329" s="179">
        <f>SUMIF($D$5:$D$319,"=kls",DH5:DH319)*HLOOKUP(DJ322,Verteil_sw,11,FALSE)+SUMIF($D$5:$D$319,"=klm",DH5:DH319)*HLOOKUP(DJ322,Verteil_sw,12,FALSE)+SUMIF($D$5:$D$319,"=klr",DH5:DH319)*HLOOKUP(DJ322,Verteil_sw,13,FALSE)+SUMIF($D$5:$D$319,"=klk",DH5:DH319)*HLOOKUP(DJ322,Verteil_sw,14,FALSE)+SUMIF($D$5:$D$319,"=klz",DH5:DH319)*HLOOKUP(DJ322,Verteil_sw,15,FALSE)</f>
        <v>0</v>
      </c>
      <c r="DI329" s="102">
        <f t="shared" ref="DI329" si="1081">IF(DH328&lt;&gt;0,DH329/DH328,0)</f>
        <v>0</v>
      </c>
      <c r="DJ329" s="179">
        <f>SUMIF($D$5:$D$319,"=kls",DJ5:DJ319)*HLOOKUP(DJ322,Verteil_sw,11,FALSE)+SUMIF($D$5:$D$319,"=klm",DJ5:DJ319)*HLOOKUP(DJ322,Verteil_sw,12,FALSE)+SUMIF($D$5:$D$319,"=klr",DJ5:DJ319)*HLOOKUP(DJ322,Verteil_sw,13,FALSE)+SUMIF($D$5:$D$319,"=klk",DJ5:DJ319)*HLOOKUP(DJ322,Verteil_sw,14,FALSE)+SUMIF($D$5:$D$319,"=klz",DJ5:DJ319)*HLOOKUP(DJ322,Verteil_sw,15,FALSE)</f>
        <v>0</v>
      </c>
      <c r="DK329" s="102">
        <f t="shared" ref="DK329" si="1082">IF(DJ328&lt;&gt;0,DJ329/DJ328,0)</f>
        <v>0</v>
      </c>
      <c r="DL329" s="659" t="s">
        <v>180</v>
      </c>
      <c r="DR329" s="102">
        <f t="shared" ref="DR329" si="1083">IF(DT328&lt;&gt;0,DT329/DT328,0)</f>
        <v>0</v>
      </c>
      <c r="DS329" s="179">
        <f>SUMIF($D$5:$D$319,"=kls",DS5:DS319)*HLOOKUP(DJ322,Verteil_sw,11,FALSE)+SUMIF($D$5:$D$319,"=klm",DS5:DS319)*HLOOKUP(DJ322,Verteil_sw,12,FALSE)+SUMIF($D$5:$D$319,"=klr",DS5:DS319)*HLOOKUP(DJ322,Verteil_sw,13,FALSE)+SUMIF($D$5:$D$319,"=klk",DS5:DS319)*HLOOKUP(DJ322,Verteil_sw,14,FALSE)+SUMIF($D$5:$D$319,"=klz",DS5:DS319)*HLOOKUP(DJ322,Verteil_sw,15,FALSE)</f>
        <v>0</v>
      </c>
      <c r="DT329" s="237">
        <f>SUMIF($D$5:$D$319,"=kls",DT5:DT319)*HLOOKUP(DJ322,Verteil_sw,11,FALSE)+SUMIF($D$5:$D$319,"=klm",DT5:DT319)*HLOOKUP(DJ322,Verteil_sw,12,FALSE)+SUMIF($D$5:$D$319,"=klr",DT5:DT319)*HLOOKUP(DJ322,Verteil_sw,13,FALSE)+SUMIF($D$5:$D$319,"=klk",DT5:DT319)*HLOOKUP(DJ322,Verteil_sw,14,FALSE)+SUMIF($D$5:$D$319,"=klz",DT5:DT319)*HLOOKUP(DJ322,Verteil_sw,15,FALSE)</f>
        <v>0</v>
      </c>
      <c r="DY329" s="179">
        <f>SUMIF($D$5:$D$319,"=kls",DY5:DY319)*HLOOKUP(EA322,Verteil_sw,11,FALSE)+SUMIF($D$5:$D$319,"=klm",DY5:DY319)*HLOOKUP(EA322,Verteil_sw,12,FALSE)+SUMIF($D$5:$D$319,"=klr",DY5:DY319)*HLOOKUP(EA322,Verteil_sw,13,FALSE)+SUMIF($D$5:$D$319,"=klk",DY5:DY319)*HLOOKUP(EA322,Verteil_sw,14,FALSE)+SUMIF($D$5:$D$319,"=klz",DY5:DY319)*HLOOKUP(EA322,Verteil_sw,15,FALSE)</f>
        <v>0</v>
      </c>
      <c r="DZ329" s="102">
        <f t="shared" ref="DZ329" si="1084">IF(DY328&lt;&gt;0,DY329/DY328,0)</f>
        <v>0</v>
      </c>
      <c r="EA329" s="179">
        <f>SUMIF($D$5:$D$319,"=kls",EA5:EA319)*HLOOKUP(EA322,Verteil_sw,11,FALSE)+SUMIF($D$5:$D$319,"=klm",EA5:EA319)*HLOOKUP(EA322,Verteil_sw,12,FALSE)+SUMIF($D$5:$D$319,"=klr",EA5:EA319)*HLOOKUP(EA322,Verteil_sw,13,FALSE)+SUMIF($D$5:$D$319,"=klk",EA5:EA319)*HLOOKUP(EA322,Verteil_sw,14,FALSE)+SUMIF($D$5:$D$319,"=klz",EA5:EA319)*HLOOKUP(EA322,Verteil_sw,15,FALSE)</f>
        <v>0</v>
      </c>
      <c r="EB329" s="102">
        <f t="shared" ref="EB329" si="1085">IF(EA328&lt;&gt;0,EA329/EA328,0)</f>
        <v>0</v>
      </c>
      <c r="EC329" s="659" t="s">
        <v>180</v>
      </c>
      <c r="EI329" s="102">
        <f t="shared" ref="EI329" si="1086">IF(EK328&lt;&gt;0,EK329/EK328,0)</f>
        <v>0</v>
      </c>
      <c r="EJ329" s="179">
        <f>SUMIF($D$5:$D$319,"=kls",EJ5:EJ319)*HLOOKUP(EA322,Verteil_sw,11,FALSE)+SUMIF($D$5:$D$319,"=klm",EJ5:EJ319)*HLOOKUP(EA322,Verteil_sw,12,FALSE)+SUMIF($D$5:$D$319,"=klr",EJ5:EJ319)*HLOOKUP(EA322,Verteil_sw,13,FALSE)+SUMIF($D$5:$D$319,"=klk",EJ5:EJ319)*HLOOKUP(EA322,Verteil_sw,14,FALSE)+SUMIF($D$5:$D$319,"=klz",EJ5:EJ319)*HLOOKUP(EA322,Verteil_sw,15,FALSE)</f>
        <v>0</v>
      </c>
      <c r="EK329" s="237">
        <f>SUMIF($D$5:$D$319,"=kls",EK5:EK319)*HLOOKUP(EA322,Verteil_sw,11,FALSE)+SUMIF($D$5:$D$319,"=klm",EK5:EK319)*HLOOKUP(EA322,Verteil_sw,12,FALSE)+SUMIF($D$5:$D$319,"=klr",EK5:EK319)*HLOOKUP(EA322,Verteil_sw,13,FALSE)+SUMIF($D$5:$D$319,"=klk",EK5:EK319)*HLOOKUP(EA322,Verteil_sw,14,FALSE)+SUMIF($D$5:$D$319,"=klz",EK5:EK319)*HLOOKUP(EA322,Verteil_sw,15,FALSE)</f>
        <v>0</v>
      </c>
      <c r="EP329" s="179">
        <f>SUMIF($D$5:$D$319,"=kls",EP5:EP319)*HLOOKUP(ER322,Verteil_sw,11,FALSE)+SUMIF($D$5:$D$319,"=klm",EP5:EP319)*HLOOKUP(ER322,Verteil_sw,12,FALSE)+SUMIF($D$5:$D$319,"=klr",EP5:EP319)*HLOOKUP(ER322,Verteil_sw,13,FALSE)+SUMIF($D$5:$D$319,"=klk",EP5:EP319)*HLOOKUP(ER322,Verteil_sw,14,FALSE)+SUMIF($D$5:$D$319,"=klz",EP5:EP319)*HLOOKUP(ER322,Verteil_sw,15,FALSE)</f>
        <v>0</v>
      </c>
      <c r="EQ329" s="102">
        <f t="shared" ref="EQ329" si="1087">IF(EP328&lt;&gt;0,EP329/EP328,0)</f>
        <v>0</v>
      </c>
      <c r="ER329" s="179">
        <f>SUMIF($D$5:$D$319,"=kls",ER5:ER319)*HLOOKUP(ER322,Verteil_sw,11,FALSE)+SUMIF($D$5:$D$319,"=klm",ER5:ER319)*HLOOKUP(ER322,Verteil_sw,12,FALSE)+SUMIF($D$5:$D$319,"=klr",ER5:ER319)*HLOOKUP(ER322,Verteil_sw,13,FALSE)+SUMIF($D$5:$D$319,"=klk",ER5:ER319)*HLOOKUP(ER322,Verteil_sw,14,FALSE)+SUMIF($D$5:$D$319,"=klz",ER5:ER319)*HLOOKUP(ER322,Verteil_sw,15,FALSE)</f>
        <v>0</v>
      </c>
      <c r="ES329" s="102">
        <f t="shared" ref="ES329" si="1088">IF(ER328&lt;&gt;0,ER329/ER328,0)</f>
        <v>0</v>
      </c>
      <c r="ET329" s="659" t="s">
        <v>180</v>
      </c>
      <c r="EZ329" s="102">
        <f t="shared" ref="EZ329" si="1089">IF(FB328&lt;&gt;0,FB329/FB328,0)</f>
        <v>0</v>
      </c>
      <c r="FA329" s="179">
        <f>SUMIF($D$5:$D$319,"=kls",FA5:FA319)*HLOOKUP(ER322,Verteil_sw,11,FALSE)+SUMIF($D$5:$D$319,"=klm",FA5:FA319)*HLOOKUP(ER322,Verteil_sw,12,FALSE)+SUMIF($D$5:$D$319,"=klr",FA5:FA319)*HLOOKUP(ER322,Verteil_sw,13,FALSE)+SUMIF($D$5:$D$319,"=klk",FA5:FA319)*HLOOKUP(ER322,Verteil_sw,14,FALSE)+SUMIF($D$5:$D$319,"=klz",FA5:FA319)*HLOOKUP(ER322,Verteil_sw,15,FALSE)</f>
        <v>0</v>
      </c>
      <c r="FB329" s="237">
        <f>SUMIF($D$5:$D$319,"=kls",FB5:FB319)*HLOOKUP(ER322,Verteil_sw,11,FALSE)+SUMIF($D$5:$D$319,"=klm",FB5:FB319)*HLOOKUP(ER322,Verteil_sw,12,FALSE)+SUMIF($D$5:$D$319,"=klr",FB5:FB319)*HLOOKUP(ER322,Verteil_sw,13,FALSE)+SUMIF($D$5:$D$319,"=klk",FB5:FB319)*HLOOKUP(ER322,Verteil_sw,14,FALSE)+SUMIF($D$5:$D$319,"=klz",FB5:FB319)*HLOOKUP(ER322,Verteil_sw,15,FALSE)</f>
        <v>0</v>
      </c>
      <c r="FG329" s="179">
        <f>SUMIF($D$5:$D$319,"=kls",FG5:FG319)*HLOOKUP(FI322,Verteil_sw,11,FALSE)+SUMIF($D$5:$D$319,"=klm",FG5:FG319)*HLOOKUP(FI322,Verteil_sw,12,FALSE)+SUMIF($D$5:$D$319,"=klr",FG5:FG319)*HLOOKUP(FI322,Verteil_sw,13,FALSE)+SUMIF($D$5:$D$319,"=klk",FG5:FG319)*HLOOKUP(FI322,Verteil_sw,14,FALSE)+SUMIF($D$5:$D$319,"=klz",FG5:FG319)*HLOOKUP(FI322,Verteil_sw,15,FALSE)</f>
        <v>0</v>
      </c>
      <c r="FH329" s="102">
        <f t="shared" ref="FH329" si="1090">IF(FG328&lt;&gt;0,FG329/FG328,0)</f>
        <v>0</v>
      </c>
      <c r="FI329" s="179">
        <f>SUMIF($D$5:$D$319,"=kls",FI5:FI319)*HLOOKUP(FI322,Verteil_sw,11,FALSE)+SUMIF($D$5:$D$319,"=klm",FI5:FI319)*HLOOKUP(FI322,Verteil_sw,12,FALSE)+SUMIF($D$5:$D$319,"=klr",FI5:FI319)*HLOOKUP(FI322,Verteil_sw,13,FALSE)+SUMIF($D$5:$D$319,"=klk",FI5:FI319)*HLOOKUP(FI322,Verteil_sw,14,FALSE)+SUMIF($D$5:$D$319,"=klz",FI5:FI319)*HLOOKUP(FI322,Verteil_sw,15,FALSE)</f>
        <v>0</v>
      </c>
      <c r="FJ329" s="102">
        <f t="shared" ref="FJ329" si="1091">IF(FI328&lt;&gt;0,FI329/FI328,0)</f>
        <v>0</v>
      </c>
      <c r="FK329" s="659" t="s">
        <v>180</v>
      </c>
      <c r="FQ329" s="102">
        <f t="shared" ref="FQ329" si="1092">IF(FS328&lt;&gt;0,FS329/FS328,0)</f>
        <v>0</v>
      </c>
      <c r="FR329" s="179">
        <f>SUMIF($D$5:$D$319,"=kls",FR5:FR319)*HLOOKUP(FI322,Verteil_sw,11,FALSE)+SUMIF($D$5:$D$319,"=klm",FR5:FR319)*HLOOKUP(FI322,Verteil_sw,12,FALSE)+SUMIF($D$5:$D$319,"=klr",FR5:FR319)*HLOOKUP(FI322,Verteil_sw,13,FALSE)+SUMIF($D$5:$D$319,"=klk",FR5:FR319)*HLOOKUP(FI322,Verteil_sw,14,FALSE)+SUMIF($D$5:$D$319,"=klz",FR5:FR319)*HLOOKUP(FI322,Verteil_sw,15,FALSE)</f>
        <v>0</v>
      </c>
      <c r="FS329" s="237">
        <f>SUMIF($D$5:$D$319,"=kls",FS5:FS319)*HLOOKUP(FI322,Verteil_sw,11,FALSE)+SUMIF($D$5:$D$319,"=klm",FS5:FS319)*HLOOKUP(FI322,Verteil_sw,12,FALSE)+SUMIF($D$5:$D$319,"=klr",FS5:FS319)*HLOOKUP(FI322,Verteil_sw,13,FALSE)+SUMIF($D$5:$D$319,"=klk",FS5:FS319)*HLOOKUP(FI322,Verteil_sw,14,FALSE)+SUMIF($D$5:$D$319,"=klz",FS5:FS319)*HLOOKUP(FI322,Verteil_sw,15,FALSE)</f>
        <v>0</v>
      </c>
    </row>
    <row r="330" spans="1:175" s="10" customFormat="1" hidden="1" x14ac:dyDescent="0.3">
      <c r="A330" s="656" t="s">
        <v>181</v>
      </c>
      <c r="V330" s="217">
        <v>9</v>
      </c>
      <c r="AA330" s="179">
        <f>SUMIF($D$5:$D$319,"=kls",AA5:AA319)*HLOOKUP(AC322,Verteil_rwgr,10,FALSE)+SUMIF($D$5:$D$319,"=klm",AA5:AA319)*HLOOKUP(AC322,Verteil_rwgr,11,FALSE)+SUMIF($D$5:$D$319,"=klr",AA5:AA319)*HLOOKUP(AC322,Verteil_rwgr,12,FALSE)+SUMIF($D$5:$D$319,"=klk",AA5:AA319)*HLOOKUP(AC322,Verteil_rwgr,13,FALSE)+SUMIF($D$5:$D$319,"=klz",AA5:AA319)*HLOOKUP(AC322,Verteil_rwgr,14,FALSE)</f>
        <v>0</v>
      </c>
      <c r="AB330" s="102">
        <f t="shared" ref="AB330:AD330" si="1093">IF(AA328&lt;&gt;0,AA330/AA328,0)</f>
        <v>0</v>
      </c>
      <c r="AC330" s="179">
        <f>SUMIF($D$5:$D$319,"=kls",AC5:AC319)*HLOOKUP(AC322,Verteil_rwgr,10,FALSE)+SUMIF($D$5:$D$319,"=klm",AC5:AC319)*HLOOKUP(AC322,Verteil_rwgr,11,FALSE)+SUMIF($D$5:$D$319,"=klr",AC5:AC319)*HLOOKUP(AC322,Verteil_rwgr,12,FALSE)+SUMIF($D$5:$D$319,"=klk",AC5:AC319)*HLOOKUP(AC322,Verteil_rwgr,13,FALSE)+SUMIF($D$5:$D$319,"=klz",AC5:AC319)*HLOOKUP(AC322,Verteil_rwgr,14,FALSE)</f>
        <v>0</v>
      </c>
      <c r="AD330" s="102">
        <f t="shared" si="1093"/>
        <v>0</v>
      </c>
      <c r="AE330" s="656" t="s">
        <v>181</v>
      </c>
      <c r="AK330" s="102">
        <f t="shared" ref="AK330" si="1094">IF(AM328&lt;&gt;0,AM330/AM328,0)</f>
        <v>0</v>
      </c>
      <c r="AL330" s="179">
        <f>SUMIF($D$5:$D$319,"=kls",AL5:AL319)*HLOOKUP(AC322,Verteil_rwgr,10,FALSE)+SUMIF($D$5:$D$319,"=klm",AL5:AL319)*HLOOKUP(AC322,Verteil_rwgr,11,FALSE)+SUMIF($D$5:$D$319,"=klr",AL5:AL319)*HLOOKUP(AC322,Verteil_rwgr,12,FALSE)+SUMIF($D$5:$D$319,"=klk",AL5:AL319)*HLOOKUP(AC322,Verteil_rwgr,13,FALSE)+SUMIF($D$5:$D$319,"=klz",AL5:AL319)*HLOOKUP(AC322,Verteil_rwgr,14,FALSE)</f>
        <v>0</v>
      </c>
      <c r="AM330" s="237">
        <f>SUMIF($D$5:$D$319,"=kls",AM5:AM319)*HLOOKUP(AC322,Verteil_rwgr,10,FALSE)+SUMIF($D$5:$D$319,"=klm",AM5:AM319)*HLOOKUP(AC322,Verteil_rwgr,11,FALSE)+SUMIF($D$5:$D$319,"=klr",AM5:AM319)*HLOOKUP(AC322,Verteil_rwgr,12,FALSE)+SUMIF($D$5:$D$319,"=klk",AM5:AM319)*HLOOKUP(AC322,Verteil_rwgr,13,FALSE)+SUMIF($D$5:$D$319,"=klz",AM5:AM319)*HLOOKUP(AC322,Verteil_rwgr,14,FALSE)</f>
        <v>0</v>
      </c>
      <c r="AR330" s="179">
        <f>SUMIF($D$5:$D$319,"=kls",AR5:AR319)*HLOOKUP(AT322,Verteil_rwgr,10,FALSE)+SUMIF($D$5:$D$319,"=klm",AR5:AR319)*HLOOKUP(AT322,Verteil_rwgr,11,FALSE)+SUMIF($D$5:$D$319,"=klr",AR5:AR319)*HLOOKUP(AT322,Verteil_rwgr,12,FALSE)+SUMIF($D$5:$D$319,"=klk",AR5:AR319)*HLOOKUP(AT322,Verteil_rwgr,13,FALSE)+SUMIF($D$5:$D$319,"=klz",AR5:AR319)*HLOOKUP(AT322,Verteil_rwgr,14,FALSE)</f>
        <v>0</v>
      </c>
      <c r="AS330" s="102">
        <f t="shared" ref="AS330" si="1095">IF(AR328&lt;&gt;0,AR330/AR328,0)</f>
        <v>0</v>
      </c>
      <c r="AT330" s="179">
        <f>SUMIF($D$5:$D$319,"=kls",AT5:AT319)*HLOOKUP(AT322,Verteil_rwgr,10,FALSE)+SUMIF($D$5:$D$319,"=klm",AT5:AT319)*HLOOKUP(AT322,Verteil_rwgr,11,FALSE)+SUMIF($D$5:$D$319,"=klr",AT5:AT319)*HLOOKUP(AT322,Verteil_rwgr,12,FALSE)+SUMIF($D$5:$D$319,"=klk",AT5:AT319)*HLOOKUP(AT322,Verteil_rwgr,13,FALSE)+SUMIF($D$5:$D$319,"=klz",AT5:AT319)*HLOOKUP(AT322,Verteil_rwgr,14,FALSE)</f>
        <v>0</v>
      </c>
      <c r="AU330" s="102">
        <f t="shared" ref="AU330" si="1096">IF(AT328&lt;&gt;0,AT330/AT328,0)</f>
        <v>0</v>
      </c>
      <c r="AV330" s="659" t="s">
        <v>181</v>
      </c>
      <c r="BB330" s="102">
        <f t="shared" ref="BB330" si="1097">IF(BD328&lt;&gt;0,BD330/BD328,0)</f>
        <v>0</v>
      </c>
      <c r="BC330" s="179">
        <f>SUMIF($D$5:$D$319,"=kls",BC5:BC319)*HLOOKUP(AT322,Verteil_rwgr,10,FALSE)+SUMIF($D$5:$D$319,"=klm",BC5:BC319)*HLOOKUP(AT322,Verteil_rwgr,11,FALSE)+SUMIF($D$5:$D$319,"=klr",BC5:BC319)*HLOOKUP(AT322,Verteil_rwgr,12,FALSE)+SUMIF($D$5:$D$319,"=klk",BC5:BC319)*HLOOKUP(AT322,Verteil_rwgr,13,FALSE)+SUMIF($D$5:$D$319,"=klz",BC5:BC319)*HLOOKUP(AT322,Verteil_rwgr,14,FALSE)</f>
        <v>0</v>
      </c>
      <c r="BD330" s="237">
        <f>SUMIF($D$5:$D$319,"=kls",BD5:BD319)*HLOOKUP(AT322,Verteil_rwgr,10,FALSE)+SUMIF($D$5:$D$319,"=klm",BD5:BD319)*HLOOKUP(AT322,Verteil_rwgr,11,FALSE)+SUMIF($D$5:$D$319,"=klr",BD5:BD319)*HLOOKUP(AT322,Verteil_rwgr,12,FALSE)+SUMIF($D$5:$D$319,"=klk",BD5:BD319)*HLOOKUP(AT322,Verteil_rwgr,13,FALSE)+SUMIF($D$5:$D$319,"=klz",BD5:BD319)*HLOOKUP(AT322,Verteil_rwgr,14,FALSE)</f>
        <v>0</v>
      </c>
      <c r="BI330" s="179">
        <f>SUMIF($D$5:$D$319,"=kls",BI5:BI319)*HLOOKUP(BK322,Verteil_rwgr,10,FALSE)+SUMIF($D$5:$D$319,"=klm",BI5:BI319)*HLOOKUP(BK322,Verteil_rwgr,11,FALSE)+SUMIF($D$5:$D$319,"=klr",BI5:BI319)*HLOOKUP(BK322,Verteil_rwgr,12,FALSE)+SUMIF($D$5:$D$319,"=klk",BI5:BI319)*HLOOKUP(BK322,Verteil_rwgr,13,FALSE)+SUMIF($D$5:$D$319,"=klz",BI5:BI319)*HLOOKUP(BK322,Verteil_rwgr,14,FALSE)</f>
        <v>0</v>
      </c>
      <c r="BJ330" s="102">
        <f t="shared" ref="BJ330" si="1098">IF(BI328&lt;&gt;0,BI330/BI328,0)</f>
        <v>0</v>
      </c>
      <c r="BK330" s="179">
        <f>SUMIF($D$5:$D$319,"=kls",BK5:BK319)*HLOOKUP(BK322,Verteil_rwgr,10,FALSE)+SUMIF($D$5:$D$319,"=klm",BK5:BK319)*HLOOKUP(BK322,Verteil_rwgr,11,FALSE)+SUMIF($D$5:$D$319,"=klr",BK5:BK319)*HLOOKUP(BK322,Verteil_rwgr,12,FALSE)+SUMIF($D$5:$D$319,"=klk",BK5:BK319)*HLOOKUP(BK322,Verteil_rwgr,13,FALSE)+SUMIF($D$5:$D$319,"=klz",BK5:BK319)*HLOOKUP(BK322,Verteil_rwgr,14,FALSE)</f>
        <v>0</v>
      </c>
      <c r="BL330" s="102">
        <f t="shared" ref="BL330" si="1099">IF(BK328&lt;&gt;0,BK330/BK328,0)</f>
        <v>0</v>
      </c>
      <c r="BM330" s="659" t="s">
        <v>181</v>
      </c>
      <c r="BS330" s="102">
        <f t="shared" ref="BS330" si="1100">IF(BU328&lt;&gt;0,BU330/BU328,0)</f>
        <v>0</v>
      </c>
      <c r="BT330" s="179">
        <f>SUMIF($D$5:$D$319,"=kls",BT5:BT319)*HLOOKUP(BK322,Verteil_rwgr,10,FALSE)+SUMIF($D$5:$D$319,"=klm",BT5:BT319)*HLOOKUP(BK322,Verteil_rwgr,11,FALSE)+SUMIF($D$5:$D$319,"=klr",BT5:BT319)*HLOOKUP(BK322,Verteil_rwgr,12,FALSE)+SUMIF($D$5:$D$319,"=klk",BT5:BT319)*HLOOKUP(BK322,Verteil_rwgr,13,FALSE)+SUMIF($D$5:$D$319,"=klz",BT5:BT319)*HLOOKUP(BK322,Verteil_rwgr,14,FALSE)</f>
        <v>0</v>
      </c>
      <c r="BU330" s="237">
        <f>SUMIF($D$5:$D$319,"=kls",BU5:BU319)*HLOOKUP(BK322,Verteil_rwgr,10,FALSE)+SUMIF($D$5:$D$319,"=klm",BU5:BU319)*HLOOKUP(BK322,Verteil_rwgr,11,FALSE)+SUMIF($D$5:$D$319,"=klr",BU5:BU319)*HLOOKUP(BK322,Verteil_rwgr,12,FALSE)+SUMIF($D$5:$D$319,"=klk",BU5:BU319)*HLOOKUP(BK322,Verteil_rwgr,13,FALSE)+SUMIF($D$5:$D$319,"=klz",BU5:BU319)*HLOOKUP(BK322,Verteil_rwgr,14,FALSE)</f>
        <v>0</v>
      </c>
      <c r="BZ330" s="179">
        <f>SUMIF($D$5:$D$319,"=kls",BZ5:BZ319)*HLOOKUP(CB322,Verteil_rwgr,10,FALSE)+SUMIF($D$5:$D$319,"=klm",BZ5:BZ319)*HLOOKUP(CB322,Verteil_rwgr,11,FALSE)+SUMIF($D$5:$D$319,"=klr",BZ5:BZ319)*HLOOKUP(CB322,Verteil_rwgr,12,FALSE)+SUMIF($D$5:$D$319,"=klk",BZ5:BZ319)*HLOOKUP(CB322,Verteil_rwgr,13,FALSE)+SUMIF($D$5:$D$319,"=klz",BZ5:BZ319)*HLOOKUP(CB322,Verteil_rwgr,14,FALSE)</f>
        <v>0</v>
      </c>
      <c r="CA330" s="102">
        <f t="shared" ref="CA330" si="1101">IF(BZ328&lt;&gt;0,BZ330/BZ328,0)</f>
        <v>0</v>
      </c>
      <c r="CB330" s="179">
        <f>SUMIF($D$5:$D$319,"=kls",CB5:CB319)*HLOOKUP(CB322,Verteil_rwgr,10,FALSE)+SUMIF($D$5:$D$319,"=klm",CB5:CB319)*HLOOKUP(CB322,Verteil_rwgr,11,FALSE)+SUMIF($D$5:$D$319,"=klr",CB5:CB319)*HLOOKUP(CB322,Verteil_rwgr,12,FALSE)+SUMIF($D$5:$D$319,"=klk",CB5:CB319)*HLOOKUP(CB322,Verteil_rwgr,13,FALSE)+SUMIF($D$5:$D$319,"=klz",CB5:CB319)*HLOOKUP(CB322,Verteil_rwgr,14,FALSE)</f>
        <v>0</v>
      </c>
      <c r="CC330" s="102">
        <f t="shared" ref="CC330" si="1102">IF(CB328&lt;&gt;0,CB330/CB328,0)</f>
        <v>0</v>
      </c>
      <c r="CD330" s="659" t="s">
        <v>181</v>
      </c>
      <c r="CJ330" s="102">
        <f t="shared" ref="CJ330" si="1103">IF(CL328&lt;&gt;0,CL330/CL328,0)</f>
        <v>0</v>
      </c>
      <c r="CK330" s="179">
        <f>SUMIF($D$5:$D$319,"=kls",CK5:CK319)*HLOOKUP(CB322,Verteil_rwgr,10,FALSE)+SUMIF($D$5:$D$319,"=klm",CK5:CK319)*HLOOKUP(CB322,Verteil_rwgr,11,FALSE)+SUMIF($D$5:$D$319,"=klr",CK5:CK319)*HLOOKUP(CB322,Verteil_rwgr,12,FALSE)+SUMIF($D$5:$D$319,"=klk",CK5:CK319)*HLOOKUP(CB322,Verteil_rwgr,13,FALSE)+SUMIF($D$5:$D$319,"=klz",CK5:CK319)*HLOOKUP(CB322,Verteil_rwgr,14,FALSE)</f>
        <v>0</v>
      </c>
      <c r="CL330" s="237">
        <f>SUMIF($D$5:$D$319,"=kls",CL5:CL319)*HLOOKUP(CB322,Verteil_rwgr,10,FALSE)+SUMIF($D$5:$D$319,"=klm",CL5:CL319)*HLOOKUP(CB322,Verteil_rwgr,11,FALSE)+SUMIF($D$5:$D$319,"=klr",CL5:CL319)*HLOOKUP(CB322,Verteil_rwgr,12,FALSE)+SUMIF($D$5:$D$319,"=klk",CL5:CL319)*HLOOKUP(CB322,Verteil_rwgr,13,FALSE)+SUMIF($D$5:$D$319,"=klz",CL5:CL319)*HLOOKUP(CB322,Verteil_rwgr,14,FALSE)</f>
        <v>0</v>
      </c>
      <c r="CQ330" s="179">
        <f>SUMIF($D$5:$D$319,"=kls",CQ5:CQ319)*HLOOKUP(CS322,Verteil_rwgr,10,FALSE)+SUMIF($D$5:$D$319,"=klm",CQ5:CQ319)*HLOOKUP(CS322,Verteil_rwgr,11,FALSE)+SUMIF($D$5:$D$319,"=klr",CQ5:CQ319)*HLOOKUP(CS322,Verteil_rwgr,12,FALSE)+SUMIF($D$5:$D$319,"=klk",CQ5:CQ319)*HLOOKUP(CS322,Verteil_rwgr,13,FALSE)+SUMIF($D$5:$D$319,"=klz",CQ5:CQ319)*HLOOKUP(CS322,Verteil_rwgr,14,FALSE)</f>
        <v>0</v>
      </c>
      <c r="CR330" s="102">
        <f t="shared" ref="CR330" si="1104">IF(CQ328&lt;&gt;0,CQ330/CQ328,0)</f>
        <v>0</v>
      </c>
      <c r="CS330" s="179">
        <f>SUMIF($D$5:$D$319,"=kls",CS5:CS319)*HLOOKUP(CS322,Verteil_rwgr,10,FALSE)+SUMIF($D$5:$D$319,"=klm",CS5:CS319)*HLOOKUP(CS322,Verteil_rwgr,11,FALSE)+SUMIF($D$5:$D$319,"=klr",CS5:CS319)*HLOOKUP(CS322,Verteil_rwgr,12,FALSE)+SUMIF($D$5:$D$319,"=klk",CS5:CS319)*HLOOKUP(CS322,Verteil_rwgr,13,FALSE)+SUMIF($D$5:$D$319,"=klz",CS5:CS319)*HLOOKUP(CS322,Verteil_rwgr,14,FALSE)</f>
        <v>0</v>
      </c>
      <c r="CT330" s="102">
        <f t="shared" ref="CT330" si="1105">IF(CS328&lt;&gt;0,CS330/CS328,0)</f>
        <v>0</v>
      </c>
      <c r="CU330" s="659" t="s">
        <v>181</v>
      </c>
      <c r="DA330" s="102">
        <f t="shared" ref="DA330" si="1106">IF(DC328&lt;&gt;0,DC330/DC328,0)</f>
        <v>0</v>
      </c>
      <c r="DB330" s="179">
        <f>SUMIF($D$5:$D$319,"=kls",DB5:DB319)*HLOOKUP(CS322,Verteil_rwgr,10,FALSE)+SUMIF($D$5:$D$319,"=klm",DB5:DB319)*HLOOKUP(CS322,Verteil_rwgr,11,FALSE)+SUMIF($D$5:$D$319,"=klr",DB5:DB319)*HLOOKUP(CS322,Verteil_rwgr,12,FALSE)+SUMIF($D$5:$D$319,"=klk",DB5:DB319)*HLOOKUP(CS322,Verteil_rwgr,13,FALSE)+SUMIF($D$5:$D$319,"=klz",DB5:DB319)*HLOOKUP(CS322,Verteil_rwgr,14,FALSE)</f>
        <v>0</v>
      </c>
      <c r="DC330" s="237">
        <f>SUMIF($D$5:$D$319,"=kls",DC5:DC319)*HLOOKUP(CS322,Verteil_rwgr,10,FALSE)+SUMIF($D$5:$D$319,"=klm",DC5:DC319)*HLOOKUP(CS322,Verteil_rwgr,11,FALSE)+SUMIF($D$5:$D$319,"=klr",DC5:DC319)*HLOOKUP(CS322,Verteil_rwgr,12,FALSE)+SUMIF($D$5:$D$319,"=klk",DC5:DC319)*HLOOKUP(CS322,Verteil_rwgr,13,FALSE)+SUMIF($D$5:$D$319,"=klz",DC5:DC319)*HLOOKUP(CS322,Verteil_rwgr,14,FALSE)</f>
        <v>0</v>
      </c>
      <c r="DH330" s="179">
        <f>SUMIF($D$5:$D$319,"=kls",DH5:DH319)*HLOOKUP(DJ322,Verteil_rwgr,10,FALSE)+SUMIF($D$5:$D$319,"=klm",DH5:DH319)*HLOOKUP(DJ322,Verteil_rwgr,11,FALSE)+SUMIF($D$5:$D$319,"=klr",DH5:DH319)*HLOOKUP(DJ322,Verteil_rwgr,12,FALSE)+SUMIF($D$5:$D$319,"=klk",DH5:DH319)*HLOOKUP(DJ322,Verteil_rwgr,13,FALSE)+SUMIF($D$5:$D$319,"=klz",DH5:DH319)*HLOOKUP(DJ322,Verteil_rwgr,14,FALSE)</f>
        <v>0</v>
      </c>
      <c r="DI330" s="102">
        <f t="shared" ref="DI330" si="1107">IF(DH328&lt;&gt;0,DH330/DH328,0)</f>
        <v>0</v>
      </c>
      <c r="DJ330" s="179">
        <f>SUMIF($D$5:$D$319,"=kls",DJ5:DJ319)*HLOOKUP(DJ322,Verteil_rwgr,10,FALSE)+SUMIF($D$5:$D$319,"=klm",DJ5:DJ319)*HLOOKUP(DJ322,Verteil_rwgr,11,FALSE)+SUMIF($D$5:$D$319,"=klr",DJ5:DJ319)*HLOOKUP(DJ322,Verteil_rwgr,12,FALSE)+SUMIF($D$5:$D$319,"=klk",DJ5:DJ319)*HLOOKUP(DJ322,Verteil_rwgr,13,FALSE)+SUMIF($D$5:$D$319,"=klz",DJ5:DJ319)*HLOOKUP(DJ322,Verteil_rwgr,14,FALSE)</f>
        <v>0</v>
      </c>
      <c r="DK330" s="102">
        <f t="shared" ref="DK330" si="1108">IF(DJ328&lt;&gt;0,DJ330/DJ328,0)</f>
        <v>0</v>
      </c>
      <c r="DL330" s="659" t="s">
        <v>181</v>
      </c>
      <c r="DR330" s="102">
        <f t="shared" ref="DR330" si="1109">IF(DT328&lt;&gt;0,DT330/DT328,0)</f>
        <v>0</v>
      </c>
      <c r="DS330" s="179">
        <f>SUMIF($D$5:$D$319,"=kls",DS5:DS319)*HLOOKUP(DJ322,Verteil_rwgr,10,FALSE)+SUMIF($D$5:$D$319,"=klm",DS5:DS319)*HLOOKUP(DJ322,Verteil_rwgr,11,FALSE)+SUMIF($D$5:$D$319,"=klr",DS5:DS319)*HLOOKUP(DJ322,Verteil_rwgr,12,FALSE)+SUMIF($D$5:$D$319,"=klk",DS5:DS319)*HLOOKUP(DJ322,Verteil_rwgr,13,FALSE)+SUMIF($D$5:$D$319,"=klz",DS5:DS319)*HLOOKUP(DJ322,Verteil_rwgr,14,FALSE)</f>
        <v>0</v>
      </c>
      <c r="DT330" s="237">
        <f>SUMIF($D$5:$D$319,"=kls",DT5:DT319)*HLOOKUP(DJ322,Verteil_rwgr,10,FALSE)+SUMIF($D$5:$D$319,"=klm",DT5:DT319)*HLOOKUP(DJ322,Verteil_rwgr,11,FALSE)+SUMIF($D$5:$D$319,"=klr",DT5:DT319)*HLOOKUP(DJ322,Verteil_rwgr,12,FALSE)+SUMIF($D$5:$D$319,"=klk",DT5:DT319)*HLOOKUP(DJ322,Verteil_rwgr,13,FALSE)+SUMIF($D$5:$D$319,"=klz",DT5:DT319)*HLOOKUP(DJ322,Verteil_rwgr,14,FALSE)</f>
        <v>0</v>
      </c>
      <c r="DY330" s="179">
        <f>SUMIF($D$5:$D$319,"=kls",DY5:DY319)*HLOOKUP(EA322,Verteil_rwgr,10,FALSE)+SUMIF($D$5:$D$319,"=klm",DY5:DY319)*HLOOKUP(EA322,Verteil_rwgr,11,FALSE)+SUMIF($D$5:$D$319,"=klr",DY5:DY319)*HLOOKUP(EA322,Verteil_rwgr,12,FALSE)+SUMIF($D$5:$D$319,"=klk",DY5:DY319)*HLOOKUP(EA322,Verteil_rwgr,13,FALSE)+SUMIF($D$5:$D$319,"=klz",DY5:DY319)*HLOOKUP(EA322,Verteil_rwgr,14,FALSE)</f>
        <v>0</v>
      </c>
      <c r="DZ330" s="102">
        <f t="shared" ref="DZ330" si="1110">IF(DY328&lt;&gt;0,DY330/DY328,0)</f>
        <v>0</v>
      </c>
      <c r="EA330" s="179">
        <f>SUMIF($D$5:$D$319,"=kls",EA5:EA319)*HLOOKUP(EA322,Verteil_rwgr,10,FALSE)+SUMIF($D$5:$D$319,"=klm",EA5:EA319)*HLOOKUP(EA322,Verteil_rwgr,11,FALSE)+SUMIF($D$5:$D$319,"=klr",EA5:EA319)*HLOOKUP(EA322,Verteil_rwgr,12,FALSE)+SUMIF($D$5:$D$319,"=klk",EA5:EA319)*HLOOKUP(EA322,Verteil_rwgr,13,FALSE)+SUMIF($D$5:$D$319,"=klz",EA5:EA319)*HLOOKUP(EA322,Verteil_rwgr,14,FALSE)</f>
        <v>0</v>
      </c>
      <c r="EB330" s="102">
        <f t="shared" ref="EB330" si="1111">IF(EA328&lt;&gt;0,EA330/EA328,0)</f>
        <v>0</v>
      </c>
      <c r="EC330" s="659" t="s">
        <v>181</v>
      </c>
      <c r="EI330" s="102">
        <f t="shared" ref="EI330" si="1112">IF(EK328&lt;&gt;0,EK330/EK328,0)</f>
        <v>0</v>
      </c>
      <c r="EJ330" s="179">
        <f>SUMIF($D$5:$D$319,"=kls",EJ5:EJ319)*HLOOKUP(EA322,Verteil_rwgr,10,FALSE)+SUMIF($D$5:$D$319,"=klm",EJ5:EJ319)*HLOOKUP(EA322,Verteil_rwgr,11,FALSE)+SUMIF($D$5:$D$319,"=klr",EJ5:EJ319)*HLOOKUP(EA322,Verteil_rwgr,12,FALSE)+SUMIF($D$5:$D$319,"=klk",EJ5:EJ319)*HLOOKUP(EA322,Verteil_rwgr,13,FALSE)+SUMIF($D$5:$D$319,"=klz",EJ5:EJ319)*HLOOKUP(EA322,Verteil_rwgr,14,FALSE)</f>
        <v>0</v>
      </c>
      <c r="EK330" s="237">
        <f>SUMIF($D$5:$D$319,"=kls",EK5:EK319)*HLOOKUP(EA322,Verteil_rwgr,10,FALSE)+SUMIF($D$5:$D$319,"=klm",EK5:EK319)*HLOOKUP(EA322,Verteil_rwgr,11,FALSE)+SUMIF($D$5:$D$319,"=klr",EK5:EK319)*HLOOKUP(EA322,Verteil_rwgr,12,FALSE)+SUMIF($D$5:$D$319,"=klk",EK5:EK319)*HLOOKUP(EA322,Verteil_rwgr,13,FALSE)+SUMIF($D$5:$D$319,"=klz",EK5:EK319)*HLOOKUP(EA322,Verteil_rwgr,14,FALSE)</f>
        <v>0</v>
      </c>
      <c r="EP330" s="179">
        <f>SUMIF($D$5:$D$319,"=kls",EP5:EP319)*HLOOKUP(ER322,Verteil_rwgr,10,FALSE)+SUMIF($D$5:$D$319,"=klm",EP5:EP319)*HLOOKUP(ER322,Verteil_rwgr,11,FALSE)+SUMIF($D$5:$D$319,"=klr",EP5:EP319)*HLOOKUP(ER322,Verteil_rwgr,12,FALSE)+SUMIF($D$5:$D$319,"=klk",EP5:EP319)*HLOOKUP(ER322,Verteil_rwgr,13,FALSE)+SUMIF($D$5:$D$319,"=klz",EP5:EP319)*HLOOKUP(ER322,Verteil_rwgr,14,FALSE)</f>
        <v>0</v>
      </c>
      <c r="EQ330" s="102">
        <f t="shared" ref="EQ330" si="1113">IF(EP328&lt;&gt;0,EP330/EP328,0)</f>
        <v>0</v>
      </c>
      <c r="ER330" s="179">
        <f>SUMIF($D$5:$D$319,"=kls",ER5:ER319)*HLOOKUP(ER322,Verteil_rwgr,10,FALSE)+SUMIF($D$5:$D$319,"=klm",ER5:ER319)*HLOOKUP(ER322,Verteil_rwgr,11,FALSE)+SUMIF($D$5:$D$319,"=klr",ER5:ER319)*HLOOKUP(ER322,Verteil_rwgr,12,FALSE)+SUMIF($D$5:$D$319,"=klk",ER5:ER319)*HLOOKUP(ER322,Verteil_rwgr,13,FALSE)+SUMIF($D$5:$D$319,"=klz",ER5:ER319)*HLOOKUP(ER322,Verteil_rwgr,14,FALSE)</f>
        <v>0</v>
      </c>
      <c r="ES330" s="102">
        <f t="shared" ref="ES330" si="1114">IF(ER328&lt;&gt;0,ER330/ER328,0)</f>
        <v>0</v>
      </c>
      <c r="ET330" s="659" t="s">
        <v>181</v>
      </c>
      <c r="EZ330" s="102">
        <f t="shared" ref="EZ330" si="1115">IF(FB328&lt;&gt;0,FB330/FB328,0)</f>
        <v>0</v>
      </c>
      <c r="FA330" s="179">
        <f>SUMIF($D$5:$D$319,"=kls",FA5:FA319)*HLOOKUP(ER322,Verteil_rwgr,10,FALSE)+SUMIF($D$5:$D$319,"=klm",FA5:FA319)*HLOOKUP(ER322,Verteil_rwgr,11,FALSE)+SUMIF($D$5:$D$319,"=klr",FA5:FA319)*HLOOKUP(ER322,Verteil_rwgr,12,FALSE)+SUMIF($D$5:$D$319,"=klk",FA5:FA319)*HLOOKUP(ER322,Verteil_rwgr,13,FALSE)+SUMIF($D$5:$D$319,"=klz",FA5:FA319)*HLOOKUP(ER322,Verteil_rwgr,14,FALSE)</f>
        <v>0</v>
      </c>
      <c r="FB330" s="237">
        <f>SUMIF($D$5:$D$319,"=kls",FB5:FB319)*HLOOKUP(ER322,Verteil_rwgr,10,FALSE)+SUMIF($D$5:$D$319,"=klm",FB5:FB319)*HLOOKUP(ER322,Verteil_rwgr,11,FALSE)+SUMIF($D$5:$D$319,"=klr",FB5:FB319)*HLOOKUP(ER322,Verteil_rwgr,12,FALSE)+SUMIF($D$5:$D$319,"=klk",FB5:FB319)*HLOOKUP(ER322,Verteil_rwgr,13,FALSE)+SUMIF($D$5:$D$319,"=klz",FB5:FB319)*HLOOKUP(ER322,Verteil_rwgr,14,FALSE)</f>
        <v>0</v>
      </c>
      <c r="FG330" s="179">
        <f>SUMIF($D$5:$D$319,"=kls",FG5:FG319)*HLOOKUP(FI322,Verteil_rwgr,10,FALSE)+SUMIF($D$5:$D$319,"=klm",FG5:FG319)*HLOOKUP(FI322,Verteil_rwgr,11,FALSE)+SUMIF($D$5:$D$319,"=klr",FG5:FG319)*HLOOKUP(FI322,Verteil_rwgr,12,FALSE)+SUMIF($D$5:$D$319,"=klk",FG5:FG319)*HLOOKUP(FI322,Verteil_rwgr,13,FALSE)+SUMIF($D$5:$D$319,"=klz",FG5:FG319)*HLOOKUP(FI322,Verteil_rwgr,14,FALSE)</f>
        <v>0</v>
      </c>
      <c r="FH330" s="102">
        <f t="shared" ref="FH330" si="1116">IF(FG328&lt;&gt;0,FG330/FG328,0)</f>
        <v>0</v>
      </c>
      <c r="FI330" s="179">
        <f>SUMIF($D$5:$D$319,"=kls",FI5:FI319)*HLOOKUP(FI322,Verteil_rwgr,10,FALSE)+SUMIF($D$5:$D$319,"=klm",FI5:FI319)*HLOOKUP(FI322,Verteil_rwgr,11,FALSE)+SUMIF($D$5:$D$319,"=klr",FI5:FI319)*HLOOKUP(FI322,Verteil_rwgr,12,FALSE)+SUMIF($D$5:$D$319,"=klk",FI5:FI319)*HLOOKUP(FI322,Verteil_rwgr,13,FALSE)+SUMIF($D$5:$D$319,"=klz",FI5:FI319)*HLOOKUP(FI322,Verteil_rwgr,14,FALSE)</f>
        <v>0</v>
      </c>
      <c r="FJ330" s="102">
        <f t="shared" ref="FJ330" si="1117">IF(FI328&lt;&gt;0,FI330/FI328,0)</f>
        <v>0</v>
      </c>
      <c r="FK330" s="659" t="s">
        <v>181</v>
      </c>
      <c r="FQ330" s="102">
        <f t="shared" ref="FQ330" si="1118">IF(FS328&lt;&gt;0,FS330/FS328,0)</f>
        <v>0</v>
      </c>
      <c r="FR330" s="179">
        <f>SUMIF($D$5:$D$319,"=kls",FR5:FR319)*HLOOKUP(FI322,Verteil_rwgr,10,FALSE)+SUMIF($D$5:$D$319,"=klm",FR5:FR319)*HLOOKUP(FI322,Verteil_rwgr,11,FALSE)+SUMIF($D$5:$D$319,"=klr",FR5:FR319)*HLOOKUP(FI322,Verteil_rwgr,12,FALSE)+SUMIF($D$5:$D$319,"=klk",FR5:FR319)*HLOOKUP(FI322,Verteil_rwgr,13,FALSE)+SUMIF($D$5:$D$319,"=klz",FR5:FR319)*HLOOKUP(FI322,Verteil_rwgr,14,FALSE)</f>
        <v>0</v>
      </c>
      <c r="FS330" s="237">
        <f>SUMIF($D$5:$D$319,"=kls",FS5:FS319)*HLOOKUP(FI322,Verteil_rwgr,10,FALSE)+SUMIF($D$5:$D$319,"=klm",FS5:FS319)*HLOOKUP(FI322,Verteil_rwgr,11,FALSE)+SUMIF($D$5:$D$319,"=klr",FS5:FS319)*HLOOKUP(FI322,Verteil_rwgr,12,FALSE)+SUMIF($D$5:$D$319,"=klk",FS5:FS319)*HLOOKUP(FI322,Verteil_rwgr,13,FALSE)+SUMIF($D$5:$D$319,"=klz",FS5:FS319)*HLOOKUP(FI322,Verteil_rwgr,14,FALSE)</f>
        <v>0</v>
      </c>
    </row>
    <row r="331" spans="1:175" s="10" customFormat="1" hidden="1" x14ac:dyDescent="0.3">
      <c r="A331" s="656" t="s">
        <v>182</v>
      </c>
      <c r="V331" s="217">
        <v>10</v>
      </c>
      <c r="AA331" s="179">
        <f>SUMIF($D$5:$D$319,"=kls",AA5:AA319)*HLOOKUP(AC322,Verteil_rwst,9,FALSE)+SUMIF($D$5:$D$319,"=klm",AA5:AA319)*HLOOKUP(AC322,Verteil_rwst,10,FALSE)+SUMIF($D$5:$D$319,"=klr",AA5:AA319)*HLOOKUP(AC322,Verteil_rwst,11,FALSE)+SUMIF($D$5:$D$319,"=klk",AA5:AA319)*HLOOKUP(AC322,Verteil_rwst,12,FALSE)+SUMIF($D$5:$D$319,"=klz",AA5:AA319)*HLOOKUP(AC322,Verteil_rwst,13,FALSE)</f>
        <v>0</v>
      </c>
      <c r="AB331" s="102">
        <f t="shared" ref="AB331:AD331" si="1119">IF(AA328&lt;&gt;0,AA331/AA328,0)</f>
        <v>0</v>
      </c>
      <c r="AC331" s="179">
        <f>SUMIF($D$5:$D$319,"=kls",AC5:AC319)*HLOOKUP(AC322,Verteil_rwst,9,FALSE)+SUMIF($D$5:$D$319,"=klm",AC5:AC319)*HLOOKUP(AC322,Verteil_rwst,10,FALSE)+SUMIF($D$5:$D$319,"=klr",AC5:AC319)*HLOOKUP(AC322,Verteil_rwst,11,FALSE)+SUMIF($D$5:$D$319,"=klk",AC5:AC319)*HLOOKUP(AC322,Verteil_rwst,12,FALSE)+SUMIF($D$5:$D$319,"=klz",AC5:AC319)*HLOOKUP(AC322,Verteil_rwst,13,FALSE)</f>
        <v>0</v>
      </c>
      <c r="AD331" s="102">
        <f t="shared" si="1119"/>
        <v>0</v>
      </c>
      <c r="AE331" s="656" t="s">
        <v>182</v>
      </c>
      <c r="AK331" s="102">
        <f t="shared" ref="AK331" si="1120">IF(AM328&lt;&gt;0,AM331/AM328,0)</f>
        <v>0</v>
      </c>
      <c r="AL331" s="179">
        <f>SUMIF($D$5:$D$319,"=kls",AL5:AL319)*HLOOKUP(AC322,Verteil_rwst,9,FALSE)+SUMIF($D$5:$D$319,"=klm",AL5:AL319)*HLOOKUP(AC322,Verteil_rwst,10,FALSE)+SUMIF($D$5:$D$319,"=klr",AL5:AL319)*HLOOKUP(AC322,Verteil_rwst,11,FALSE)+SUMIF($D$5:$D$319,"=klk",AL5:AL319)*HLOOKUP(AC322,Verteil_rwst,12,FALSE)+SUMIF($D$5:$D$319,"=klz",AL5:AL319)*HLOOKUP(AC322,Verteil_rwst,13,FALSE)</f>
        <v>0</v>
      </c>
      <c r="AM331" s="237">
        <f>SUMIF($D$5:$D$319,"=kls",AM5:AM319)*HLOOKUP(AC322,Verteil_rwst,9,FALSE)+SUMIF($D$5:$D$319,"=klm",AM5:AM319)*HLOOKUP(AC322,Verteil_rwst,10,FALSE)+SUMIF($D$5:$D$319,"=klr",AM5:AM319)*HLOOKUP(AC322,Verteil_rwst,11,FALSE)+SUMIF($D$5:$D$319,"=klk",AM5:AM319)*HLOOKUP(AC322,Verteil_rwst,12,FALSE)+SUMIF($D$5:$D$319,"=klz",AM5:AM319)*HLOOKUP(AC322,Verteil_rwst,13,FALSE)</f>
        <v>0</v>
      </c>
      <c r="AR331" s="179">
        <f>SUMIF($D$5:$D$319,"=kls",AR5:AR319)*HLOOKUP(AT322,Verteil_rwst,9,FALSE)+SUMIF($D$5:$D$319,"=klm",AR5:AR319)*HLOOKUP(AT322,Verteil_rwst,10,FALSE)+SUMIF($D$5:$D$319,"=klr",AR5:AR319)*HLOOKUP(AT322,Verteil_rwst,11,FALSE)+SUMIF($D$5:$D$319,"=klk",AR5:AR319)*HLOOKUP(AT322,Verteil_rwst,12,FALSE)+SUMIF($D$5:$D$319,"=klz",AR5:AR319)*HLOOKUP(AT322,Verteil_rwst,13,FALSE)</f>
        <v>0</v>
      </c>
      <c r="AS331" s="102">
        <f t="shared" ref="AS331" si="1121">IF(AR328&lt;&gt;0,AR331/AR328,0)</f>
        <v>0</v>
      </c>
      <c r="AT331" s="179">
        <f>SUMIF($D$5:$D$319,"=kls",AT5:AT319)*HLOOKUP(AT322,Verteil_rwst,9,FALSE)+SUMIF($D$5:$D$319,"=klm",AT5:AT319)*HLOOKUP(AT322,Verteil_rwst,10,FALSE)+SUMIF($D$5:$D$319,"=klr",AT5:AT319)*HLOOKUP(AT322,Verteil_rwst,11,FALSE)+SUMIF($D$5:$D$319,"=klk",AT5:AT319)*HLOOKUP(AT322,Verteil_rwst,12,FALSE)+SUMIF($D$5:$D$319,"=klz",AT5:AT319)*HLOOKUP(AT322,Verteil_rwst,13,FALSE)</f>
        <v>0</v>
      </c>
      <c r="AU331" s="102">
        <f t="shared" ref="AU331" si="1122">IF(AT328&lt;&gt;0,AT331/AT328,0)</f>
        <v>0</v>
      </c>
      <c r="AV331" s="659" t="s">
        <v>182</v>
      </c>
      <c r="BB331" s="102">
        <f t="shared" ref="BB331" si="1123">IF(BD328&lt;&gt;0,BD331/BD328,0)</f>
        <v>0</v>
      </c>
      <c r="BC331" s="179">
        <f>SUMIF($D$5:$D$319,"=kls",BC5:BC319)*HLOOKUP(AT322,Verteil_rwst,9,FALSE)+SUMIF($D$5:$D$319,"=klm",BC5:BC319)*HLOOKUP(AT322,Verteil_rwst,10,FALSE)+SUMIF($D$5:$D$319,"=klr",BC5:BC319)*HLOOKUP(AT322,Verteil_rwst,11,FALSE)+SUMIF($D$5:$D$319,"=klk",BC5:BC319)*HLOOKUP(AT322,Verteil_rwst,12,FALSE)+SUMIF($D$5:$D$319,"=klz",BC5:BC319)*HLOOKUP(AT322,Verteil_rwst,13,FALSE)</f>
        <v>0</v>
      </c>
      <c r="BD331" s="237">
        <f>SUMIF($D$5:$D$319,"=kls",BD5:BD319)*HLOOKUP(AT322,Verteil_rwst,9,FALSE)+SUMIF($D$5:$D$319,"=klm",BD5:BD319)*HLOOKUP(AT322,Verteil_rwst,10,FALSE)+SUMIF($D$5:$D$319,"=klr",BD5:BD319)*HLOOKUP(AT322,Verteil_rwst,11,FALSE)+SUMIF($D$5:$D$319,"=klk",BD5:BD319)*HLOOKUP(AT322,Verteil_rwst,12,FALSE)+SUMIF($D$5:$D$319,"=klz",BD5:BD319)*HLOOKUP(AT322,Verteil_rwst,13,FALSE)</f>
        <v>0</v>
      </c>
      <c r="BI331" s="179">
        <f>SUMIF($D$5:$D$319,"=kls",BI5:BI319)*HLOOKUP(BK322,Verteil_rwst,9,FALSE)+SUMIF($D$5:$D$319,"=klm",BI5:BI319)*HLOOKUP(BK322,Verteil_rwst,10,FALSE)+SUMIF($D$5:$D$319,"=klr",BI5:BI319)*HLOOKUP(BK322,Verteil_rwst,11,FALSE)+SUMIF($D$5:$D$319,"=klk",BI5:BI319)*HLOOKUP(BK322,Verteil_rwst,12,FALSE)+SUMIF($D$5:$D$319,"=klz",BI5:BI319)*HLOOKUP(BK322,Verteil_rwst,13,FALSE)</f>
        <v>0</v>
      </c>
      <c r="BJ331" s="102">
        <f t="shared" ref="BJ331" si="1124">IF(BI328&lt;&gt;0,BI331/BI328,0)</f>
        <v>0</v>
      </c>
      <c r="BK331" s="179">
        <f>SUMIF($D$5:$D$319,"=kls",BK5:BK319)*HLOOKUP(BK322,Verteil_rwst,9,FALSE)+SUMIF($D$5:$D$319,"=klm",BK5:BK319)*HLOOKUP(BK322,Verteil_rwst,10,FALSE)+SUMIF($D$5:$D$319,"=klr",BK5:BK319)*HLOOKUP(BK322,Verteil_rwst,11,FALSE)+SUMIF($D$5:$D$319,"=klk",BK5:BK319)*HLOOKUP(BK322,Verteil_rwst,12,FALSE)+SUMIF($D$5:$D$319,"=klz",BK5:BK319)*HLOOKUP(BK322,Verteil_rwst,13,FALSE)</f>
        <v>0</v>
      </c>
      <c r="BL331" s="102">
        <f t="shared" ref="BL331" si="1125">IF(BK328&lt;&gt;0,BK331/BK328,0)</f>
        <v>0</v>
      </c>
      <c r="BM331" s="659" t="s">
        <v>182</v>
      </c>
      <c r="BS331" s="102">
        <f t="shared" ref="BS331" si="1126">IF(BU328&lt;&gt;0,BU331/BU328,0)</f>
        <v>0</v>
      </c>
      <c r="BT331" s="179">
        <f>SUMIF($D$5:$D$319,"=kls",BT5:BT319)*HLOOKUP(BK322,Verteil_rwst,9,FALSE)+SUMIF($D$5:$D$319,"=klm",BT5:BT319)*HLOOKUP(BK322,Verteil_rwst,10,FALSE)+SUMIF($D$5:$D$319,"=klr",BT5:BT319)*HLOOKUP(BK322,Verteil_rwst,11,FALSE)+SUMIF($D$5:$D$319,"=klk",BT5:BT319)*HLOOKUP(BK322,Verteil_rwst,12,FALSE)+SUMIF($D$5:$D$319,"=klz",BT5:BT319)*HLOOKUP(BK322,Verteil_rwst,13,FALSE)</f>
        <v>0</v>
      </c>
      <c r="BU331" s="237">
        <f>SUMIF($D$5:$D$319,"=kls",BU5:BU319)*HLOOKUP(BK322,Verteil_rwst,9,FALSE)+SUMIF($D$5:$D$319,"=klm",BU5:BU319)*HLOOKUP(BK322,Verteil_rwst,10,FALSE)+SUMIF($D$5:$D$319,"=klr",BU5:BU319)*HLOOKUP(BK322,Verteil_rwst,11,FALSE)+SUMIF($D$5:$D$319,"=klk",BU5:BU319)*HLOOKUP(BK322,Verteil_rwst,12,FALSE)+SUMIF($D$5:$D$319,"=klz",BU5:BU319)*HLOOKUP(BK322,Verteil_rwst,13,FALSE)</f>
        <v>0</v>
      </c>
      <c r="BZ331" s="179">
        <f>SUMIF($D$5:$D$319,"=kls",BZ5:BZ319)*HLOOKUP(CB322,Verteil_rwst,9,FALSE)+SUMIF($D$5:$D$319,"=klm",BZ5:BZ319)*HLOOKUP(CB322,Verteil_rwst,10,FALSE)+SUMIF($D$5:$D$319,"=klr",BZ5:BZ319)*HLOOKUP(CB322,Verteil_rwst,11,FALSE)+SUMIF($D$5:$D$319,"=klk",BZ5:BZ319)*HLOOKUP(CB322,Verteil_rwst,12,FALSE)+SUMIF($D$5:$D$319,"=klz",BZ5:BZ319)*HLOOKUP(CB322,Verteil_rwst,13,FALSE)</f>
        <v>0</v>
      </c>
      <c r="CA331" s="102">
        <f t="shared" ref="CA331" si="1127">IF(BZ328&lt;&gt;0,BZ331/BZ328,0)</f>
        <v>0</v>
      </c>
      <c r="CB331" s="179">
        <f>SUMIF($D$5:$D$319,"=kls",CB5:CB319)*HLOOKUP(CB322,Verteil_rwst,9,FALSE)+SUMIF($D$5:$D$319,"=klm",CB5:CB319)*HLOOKUP(CB322,Verteil_rwst,10,FALSE)+SUMIF($D$5:$D$319,"=klr",CB5:CB319)*HLOOKUP(CB322,Verteil_rwst,11,FALSE)+SUMIF($D$5:$D$319,"=klk",CB5:CB319)*HLOOKUP(CB322,Verteil_rwst,12,FALSE)+SUMIF($D$5:$D$319,"=klz",CB5:CB319)*HLOOKUP(CB322,Verteil_rwst,13,FALSE)</f>
        <v>0</v>
      </c>
      <c r="CC331" s="102">
        <f t="shared" ref="CC331" si="1128">IF(CB328&lt;&gt;0,CB331/CB328,0)</f>
        <v>0</v>
      </c>
      <c r="CD331" s="659" t="s">
        <v>182</v>
      </c>
      <c r="CJ331" s="102">
        <f t="shared" ref="CJ331" si="1129">IF(CL328&lt;&gt;0,CL331/CL328,0)</f>
        <v>0</v>
      </c>
      <c r="CK331" s="179">
        <f>SUMIF($D$5:$D$319,"=kls",CK5:CK319)*HLOOKUP(CB322,Verteil_rwst,9,FALSE)+SUMIF($D$5:$D$319,"=klm",CK5:CK319)*HLOOKUP(CB322,Verteil_rwst,10,FALSE)+SUMIF($D$5:$D$319,"=klr",CK5:CK319)*HLOOKUP(CB322,Verteil_rwst,11,FALSE)+SUMIF($D$5:$D$319,"=klk",CK5:CK319)*HLOOKUP(CB322,Verteil_rwst,12,FALSE)+SUMIF($D$5:$D$319,"=klz",CK5:CK319)*HLOOKUP(CB322,Verteil_rwst,13,FALSE)</f>
        <v>0</v>
      </c>
      <c r="CL331" s="237">
        <f>SUMIF($D$5:$D$319,"=kls",CL5:CL319)*HLOOKUP(CB322,Verteil_rwst,9,FALSE)+SUMIF($D$5:$D$319,"=klm",CL5:CL319)*HLOOKUP(CB322,Verteil_rwst,10,FALSE)+SUMIF($D$5:$D$319,"=klr",CL5:CL319)*HLOOKUP(CB322,Verteil_rwst,11,FALSE)+SUMIF($D$5:$D$319,"=klk",CL5:CL319)*HLOOKUP(CB322,Verteil_rwst,12,FALSE)+SUMIF($D$5:$D$319,"=klz",CL5:CL319)*HLOOKUP(CB322,Verteil_rwst,13,FALSE)</f>
        <v>0</v>
      </c>
      <c r="CQ331" s="179">
        <f>SUMIF($D$5:$D$319,"=kls",CQ5:CQ319)*HLOOKUP(CS322,Verteil_rwst,9,FALSE)+SUMIF($D$5:$D$319,"=klm",CQ5:CQ319)*HLOOKUP(CS322,Verteil_rwst,10,FALSE)+SUMIF($D$5:$D$319,"=klr",CQ5:CQ319)*HLOOKUP(CS322,Verteil_rwst,11,FALSE)+SUMIF($D$5:$D$319,"=klk",CQ5:CQ319)*HLOOKUP(CS322,Verteil_rwst,12,FALSE)+SUMIF($D$5:$D$319,"=klz",CQ5:CQ319)*HLOOKUP(CS322,Verteil_rwst,13,FALSE)</f>
        <v>0</v>
      </c>
      <c r="CR331" s="102">
        <f t="shared" ref="CR331" si="1130">IF(CQ328&lt;&gt;0,CQ331/CQ328,0)</f>
        <v>0</v>
      </c>
      <c r="CS331" s="179">
        <f>SUMIF($D$5:$D$319,"=kls",CS5:CS319)*HLOOKUP(CS322,Verteil_rwst,9,FALSE)+SUMIF($D$5:$D$319,"=klm",CS5:CS319)*HLOOKUP(CS322,Verteil_rwst,10,FALSE)+SUMIF($D$5:$D$319,"=klr",CS5:CS319)*HLOOKUP(CS322,Verteil_rwst,11,FALSE)+SUMIF($D$5:$D$319,"=klk",CS5:CS319)*HLOOKUP(CS322,Verteil_rwst,12,FALSE)+SUMIF($D$5:$D$319,"=klz",CS5:CS319)*HLOOKUP(CS322,Verteil_rwst,13,FALSE)</f>
        <v>0</v>
      </c>
      <c r="CT331" s="102">
        <f t="shared" ref="CT331" si="1131">IF(CS328&lt;&gt;0,CS331/CS328,0)</f>
        <v>0</v>
      </c>
      <c r="CU331" s="659" t="s">
        <v>182</v>
      </c>
      <c r="DA331" s="102">
        <f t="shared" ref="DA331" si="1132">IF(DC328&lt;&gt;0,DC331/DC328,0)</f>
        <v>0</v>
      </c>
      <c r="DB331" s="179">
        <f>SUMIF($D$5:$D$319,"=kls",DB5:DB319)*HLOOKUP(CS322,Verteil_rwst,9,FALSE)+SUMIF($D$5:$D$319,"=klm",DB5:DB319)*HLOOKUP(CS322,Verteil_rwst,10,FALSE)+SUMIF($D$5:$D$319,"=klr",DB5:DB319)*HLOOKUP(CS322,Verteil_rwst,11,FALSE)+SUMIF($D$5:$D$319,"=klk",DB5:DB319)*HLOOKUP(CS322,Verteil_rwst,12,FALSE)+SUMIF($D$5:$D$319,"=klz",DB5:DB319)*HLOOKUP(CS322,Verteil_rwst,13,FALSE)</f>
        <v>0</v>
      </c>
      <c r="DC331" s="237">
        <f>SUMIF($D$5:$D$319,"=kls",DC5:DC319)*HLOOKUP(CS322,Verteil_rwst,9,FALSE)+SUMIF($D$5:$D$319,"=klm",DC5:DC319)*HLOOKUP(CS322,Verteil_rwst,10,FALSE)+SUMIF($D$5:$D$319,"=klr",DC5:DC319)*HLOOKUP(CS322,Verteil_rwst,11,FALSE)+SUMIF($D$5:$D$319,"=klk",DC5:DC319)*HLOOKUP(CS322,Verteil_rwst,12,FALSE)+SUMIF($D$5:$D$319,"=klz",DC5:DC319)*HLOOKUP(CS322,Verteil_rwst,13,FALSE)</f>
        <v>0</v>
      </c>
      <c r="DH331" s="179">
        <f>SUMIF($D$5:$D$319,"=kls",DH5:DH319)*HLOOKUP(DJ322,Verteil_rwst,9,FALSE)+SUMIF($D$5:$D$319,"=klm",DH5:DH319)*HLOOKUP(DJ322,Verteil_rwst,10,FALSE)+SUMIF($D$5:$D$319,"=klr",DH5:DH319)*HLOOKUP(DJ322,Verteil_rwst,11,FALSE)+SUMIF($D$5:$D$319,"=klk",DH5:DH319)*HLOOKUP(DJ322,Verteil_rwst,12,FALSE)+SUMIF($D$5:$D$319,"=klz",DH5:DH319)*HLOOKUP(DJ322,Verteil_rwst,13,FALSE)</f>
        <v>0</v>
      </c>
      <c r="DI331" s="102">
        <f t="shared" ref="DI331" si="1133">IF(DH328&lt;&gt;0,DH331/DH328,0)</f>
        <v>0</v>
      </c>
      <c r="DJ331" s="179">
        <f>SUMIF($D$5:$D$319,"=kls",DJ5:DJ319)*HLOOKUP(DJ322,Verteil_rwst,9,FALSE)+SUMIF($D$5:$D$319,"=klm",DJ5:DJ319)*HLOOKUP(DJ322,Verteil_rwst,10,FALSE)+SUMIF($D$5:$D$319,"=klr",DJ5:DJ319)*HLOOKUP(DJ322,Verteil_rwst,11,FALSE)+SUMIF($D$5:$D$319,"=klk",DJ5:DJ319)*HLOOKUP(DJ322,Verteil_rwst,12,FALSE)+SUMIF($D$5:$D$319,"=klz",DJ5:DJ319)*HLOOKUP(DJ322,Verteil_rwst,13,FALSE)</f>
        <v>0</v>
      </c>
      <c r="DK331" s="102">
        <f t="shared" ref="DK331" si="1134">IF(DJ328&lt;&gt;0,DJ331/DJ328,0)</f>
        <v>0</v>
      </c>
      <c r="DL331" s="659" t="s">
        <v>182</v>
      </c>
      <c r="DR331" s="102">
        <f t="shared" ref="DR331" si="1135">IF(DT328&lt;&gt;0,DT331/DT328,0)</f>
        <v>0</v>
      </c>
      <c r="DS331" s="179">
        <f>SUMIF($D$5:$D$319,"=kls",DS5:DS319)*HLOOKUP(DJ322,Verteil_rwst,9,FALSE)+SUMIF($D$5:$D$319,"=klm",DS5:DS319)*HLOOKUP(DJ322,Verteil_rwst,10,FALSE)+SUMIF($D$5:$D$319,"=klr",DS5:DS319)*HLOOKUP(DJ322,Verteil_rwst,11,FALSE)+SUMIF($D$5:$D$319,"=klk",DS5:DS319)*HLOOKUP(DJ322,Verteil_rwst,12,FALSE)+SUMIF($D$5:$D$319,"=klz",DS5:DS319)*HLOOKUP(DJ322,Verteil_rwst,13,FALSE)</f>
        <v>0</v>
      </c>
      <c r="DT331" s="237">
        <f>SUMIF($D$5:$D$319,"=kls",DT5:DT319)*HLOOKUP(DJ322,Verteil_rwst,9,FALSE)+SUMIF($D$5:$D$319,"=klm",DT5:DT319)*HLOOKUP(DJ322,Verteil_rwst,10,FALSE)+SUMIF($D$5:$D$319,"=klr",DT5:DT319)*HLOOKUP(DJ322,Verteil_rwst,11,FALSE)+SUMIF($D$5:$D$319,"=klk",DT5:DT319)*HLOOKUP(DJ322,Verteil_rwst,12,FALSE)+SUMIF($D$5:$D$319,"=klz",DT5:DT319)*HLOOKUP(DJ322,Verteil_rwst,13,FALSE)</f>
        <v>0</v>
      </c>
      <c r="DY331" s="179">
        <f>SUMIF($D$5:$D$319,"=kls",DY5:DY319)*HLOOKUP(EA322,Verteil_rwst,9,FALSE)+SUMIF($D$5:$D$319,"=klm",DY5:DY319)*HLOOKUP(EA322,Verteil_rwst,10,FALSE)+SUMIF($D$5:$D$319,"=klr",DY5:DY319)*HLOOKUP(EA322,Verteil_rwst,11,FALSE)+SUMIF($D$5:$D$319,"=klk",DY5:DY319)*HLOOKUP(EA322,Verteil_rwst,12,FALSE)+SUMIF($D$5:$D$319,"=klz",DY5:DY319)*HLOOKUP(EA322,Verteil_rwst,13,FALSE)</f>
        <v>0</v>
      </c>
      <c r="DZ331" s="102">
        <f t="shared" ref="DZ331" si="1136">IF(DY328&lt;&gt;0,DY331/DY328,0)</f>
        <v>0</v>
      </c>
      <c r="EA331" s="179">
        <f>SUMIF($D$5:$D$319,"=kls",EA5:EA319)*HLOOKUP(EA322,Verteil_rwst,9,FALSE)+SUMIF($D$5:$D$319,"=klm",EA5:EA319)*HLOOKUP(EA322,Verteil_rwst,10,FALSE)+SUMIF($D$5:$D$319,"=klr",EA5:EA319)*HLOOKUP(EA322,Verteil_rwst,11,FALSE)+SUMIF($D$5:$D$319,"=klk",EA5:EA319)*HLOOKUP(EA322,Verteil_rwst,12,FALSE)+SUMIF($D$5:$D$319,"=klz",EA5:EA319)*HLOOKUP(EA322,Verteil_rwst,13,FALSE)</f>
        <v>0</v>
      </c>
      <c r="EB331" s="102">
        <f t="shared" ref="EB331" si="1137">IF(EA328&lt;&gt;0,EA331/EA328,0)</f>
        <v>0</v>
      </c>
      <c r="EC331" s="659" t="s">
        <v>182</v>
      </c>
      <c r="EI331" s="102">
        <f t="shared" ref="EI331" si="1138">IF(EK328&lt;&gt;0,EK331/EK328,0)</f>
        <v>0</v>
      </c>
      <c r="EJ331" s="179">
        <f>SUMIF($D$5:$D$319,"=kls",EJ5:EJ319)*HLOOKUP(EA322,Verteil_rwst,9,FALSE)+SUMIF($D$5:$D$319,"=klm",EJ5:EJ319)*HLOOKUP(EA322,Verteil_rwst,10,FALSE)+SUMIF($D$5:$D$319,"=klr",EJ5:EJ319)*HLOOKUP(EA322,Verteil_rwst,11,FALSE)+SUMIF($D$5:$D$319,"=klk",EJ5:EJ319)*HLOOKUP(EA322,Verteil_rwst,12,FALSE)+SUMIF($D$5:$D$319,"=klz",EJ5:EJ319)*HLOOKUP(EA322,Verteil_rwst,13,FALSE)</f>
        <v>0</v>
      </c>
      <c r="EK331" s="237">
        <f>SUMIF($D$5:$D$319,"=kls",EK5:EK319)*HLOOKUP(EA322,Verteil_rwst,9,FALSE)+SUMIF($D$5:$D$319,"=klm",EK5:EK319)*HLOOKUP(EA322,Verteil_rwst,10,FALSE)+SUMIF($D$5:$D$319,"=klr",EK5:EK319)*HLOOKUP(EA322,Verteil_rwst,11,FALSE)+SUMIF($D$5:$D$319,"=klk",EK5:EK319)*HLOOKUP(EA322,Verteil_rwst,12,FALSE)+SUMIF($D$5:$D$319,"=klz",EK5:EK319)*HLOOKUP(EA322,Verteil_rwst,13,FALSE)</f>
        <v>0</v>
      </c>
      <c r="EP331" s="179">
        <f>SUMIF($D$5:$D$319,"=kls",EP5:EP319)*HLOOKUP(ER322,Verteil_rwst,9,FALSE)+SUMIF($D$5:$D$319,"=klm",EP5:EP319)*HLOOKUP(ER322,Verteil_rwst,10,FALSE)+SUMIF($D$5:$D$319,"=klr",EP5:EP319)*HLOOKUP(ER322,Verteil_rwst,11,FALSE)+SUMIF($D$5:$D$319,"=klk",EP5:EP319)*HLOOKUP(ER322,Verteil_rwst,12,FALSE)+SUMIF($D$5:$D$319,"=klz",EP5:EP319)*HLOOKUP(ER322,Verteil_rwst,13,FALSE)</f>
        <v>0</v>
      </c>
      <c r="EQ331" s="102">
        <f t="shared" ref="EQ331" si="1139">IF(EP328&lt;&gt;0,EP331/EP328,0)</f>
        <v>0</v>
      </c>
      <c r="ER331" s="179">
        <f>SUMIF($D$5:$D$319,"=kls",ER5:ER319)*HLOOKUP(ER322,Verteil_rwst,9,FALSE)+SUMIF($D$5:$D$319,"=klm",ER5:ER319)*HLOOKUP(ER322,Verteil_rwst,10,FALSE)+SUMIF($D$5:$D$319,"=klr",ER5:ER319)*HLOOKUP(ER322,Verteil_rwst,11,FALSE)+SUMIF($D$5:$D$319,"=klk",ER5:ER319)*HLOOKUP(ER322,Verteil_rwst,12,FALSE)+SUMIF($D$5:$D$319,"=klz",ER5:ER319)*HLOOKUP(ER322,Verteil_rwst,13,FALSE)</f>
        <v>0</v>
      </c>
      <c r="ES331" s="102">
        <f t="shared" ref="ES331" si="1140">IF(ER328&lt;&gt;0,ER331/ER328,0)</f>
        <v>0</v>
      </c>
      <c r="ET331" s="659" t="s">
        <v>182</v>
      </c>
      <c r="EZ331" s="102">
        <f t="shared" ref="EZ331" si="1141">IF(FB328&lt;&gt;0,FB331/FB328,0)</f>
        <v>0</v>
      </c>
      <c r="FA331" s="179">
        <f>SUMIF($D$5:$D$319,"=kls",FA5:FA319)*HLOOKUP(ER322,Verteil_rwst,9,FALSE)+SUMIF($D$5:$D$319,"=klm",FA5:FA319)*HLOOKUP(ER322,Verteil_rwst,10,FALSE)+SUMIF($D$5:$D$319,"=klr",FA5:FA319)*HLOOKUP(ER322,Verteil_rwst,11,FALSE)+SUMIF($D$5:$D$319,"=klk",FA5:FA319)*HLOOKUP(ER322,Verteil_rwst,12,FALSE)+SUMIF($D$5:$D$319,"=klz",FA5:FA319)*HLOOKUP(ER322,Verteil_rwst,13,FALSE)</f>
        <v>0</v>
      </c>
      <c r="FB331" s="237">
        <f>SUMIF($D$5:$D$319,"=kls",FB5:FB319)*HLOOKUP(ER322,Verteil_rwst,9,FALSE)+SUMIF($D$5:$D$319,"=klm",FB5:FB319)*HLOOKUP(ER322,Verteil_rwst,10,FALSE)+SUMIF($D$5:$D$319,"=klr",FB5:FB319)*HLOOKUP(ER322,Verteil_rwst,11,FALSE)+SUMIF($D$5:$D$319,"=klk",FB5:FB319)*HLOOKUP(ER322,Verteil_rwst,12,FALSE)+SUMIF($D$5:$D$319,"=klz",FB5:FB319)*HLOOKUP(ER322,Verteil_rwst,13,FALSE)</f>
        <v>0</v>
      </c>
      <c r="FG331" s="179">
        <f>SUMIF($D$5:$D$319,"=kls",FG5:FG319)*HLOOKUP(FI322,Verteil_rwst,9,FALSE)+SUMIF($D$5:$D$319,"=klm",FG5:FG319)*HLOOKUP(FI322,Verteil_rwst,10,FALSE)+SUMIF($D$5:$D$319,"=klr",FG5:FG319)*HLOOKUP(FI322,Verteil_rwst,11,FALSE)+SUMIF($D$5:$D$319,"=klk",FG5:FG319)*HLOOKUP(FI322,Verteil_rwst,12,FALSE)+SUMIF($D$5:$D$319,"=klz",FG5:FG319)*HLOOKUP(FI322,Verteil_rwst,13,FALSE)</f>
        <v>0</v>
      </c>
      <c r="FH331" s="102">
        <f t="shared" ref="FH331" si="1142">IF(FG328&lt;&gt;0,FG331/FG328,0)</f>
        <v>0</v>
      </c>
      <c r="FI331" s="179">
        <f>SUMIF($D$5:$D$319,"=kls",FI5:FI319)*HLOOKUP(FI322,Verteil_rwst,9,FALSE)+SUMIF($D$5:$D$319,"=klm",FI5:FI319)*HLOOKUP(FI322,Verteil_rwst,10,FALSE)+SUMIF($D$5:$D$319,"=klr",FI5:FI319)*HLOOKUP(FI322,Verteil_rwst,11,FALSE)+SUMIF($D$5:$D$319,"=klk",FI5:FI319)*HLOOKUP(FI322,Verteil_rwst,12,FALSE)+SUMIF($D$5:$D$319,"=klz",FI5:FI319)*HLOOKUP(FI322,Verteil_rwst,13,FALSE)</f>
        <v>0</v>
      </c>
      <c r="FJ331" s="102">
        <f t="shared" ref="FJ331" si="1143">IF(FI328&lt;&gt;0,FI331/FI328,0)</f>
        <v>0</v>
      </c>
      <c r="FK331" s="659" t="s">
        <v>182</v>
      </c>
      <c r="FQ331" s="102">
        <f t="shared" ref="FQ331" si="1144">IF(FS328&lt;&gt;0,FS331/FS328,0)</f>
        <v>0</v>
      </c>
      <c r="FR331" s="179">
        <f>SUMIF($D$5:$D$319,"=kls",FR5:FR319)*HLOOKUP(FI322,Verteil_rwst,9,FALSE)+SUMIF($D$5:$D$319,"=klm",FR5:FR319)*HLOOKUP(FI322,Verteil_rwst,10,FALSE)+SUMIF($D$5:$D$319,"=klr",FR5:FR319)*HLOOKUP(FI322,Verteil_rwst,11,FALSE)+SUMIF($D$5:$D$319,"=klk",FR5:FR319)*HLOOKUP(FI322,Verteil_rwst,12,FALSE)+SUMIF($D$5:$D$319,"=klz",FR5:FR319)*HLOOKUP(FI322,Verteil_rwst,13,FALSE)</f>
        <v>0</v>
      </c>
      <c r="FS331" s="237">
        <f>SUMIF($D$5:$D$319,"=kls",FS5:FS319)*HLOOKUP(FI322,Verteil_rwst,9,FALSE)+SUMIF($D$5:$D$319,"=klm",FS5:FS319)*HLOOKUP(FI322,Verteil_rwst,10,FALSE)+SUMIF($D$5:$D$319,"=klr",FS5:FS319)*HLOOKUP(FI322,Verteil_rwst,11,FALSE)+SUMIF($D$5:$D$319,"=klk",FS5:FS319)*HLOOKUP(FI322,Verteil_rwst,12,FALSE)+SUMIF($D$5:$D$319,"=klz",FS5:FS319)*HLOOKUP(FI322,Verteil_rwst,13,FALSE)</f>
        <v>0</v>
      </c>
    </row>
    <row r="332" spans="1:175" s="10" customFormat="1" hidden="1" x14ac:dyDescent="0.3">
      <c r="A332" s="657" t="s">
        <v>184</v>
      </c>
      <c r="V332" s="217">
        <v>11</v>
      </c>
      <c r="AA332" s="179">
        <f>SUMIF($D$5:$D$319,"=sos",AA5:AA319)+SUMIF($D$5:$D$319,"=som",AA5:AA319)+SUMIF($D$5:$D$319,"=sor",AA5:AA319)+SUMIF($D$5:$D$319,"=soz",AA5:AA319)</f>
        <v>110000</v>
      </c>
      <c r="AB332" s="102">
        <f t="shared" ref="AB332:AD332" si="1145">SUM(AB333:AB335)</f>
        <v>1</v>
      </c>
      <c r="AC332" s="179">
        <f>SUMIF($D$5:$D$319,"=sos",AC5:AC319)+SUMIF($D$5:$D$319,"=som",AC5:AC319)+SUMIF($D$5:$D$319,"=sor",AC5:AC319)+SUMIF($D$5:$D$319,"=soz",AC5:AC319)</f>
        <v>0</v>
      </c>
      <c r="AD332" s="102">
        <f t="shared" si="1145"/>
        <v>0</v>
      </c>
      <c r="AE332" s="657" t="s">
        <v>184</v>
      </c>
      <c r="AK332" s="102">
        <f t="shared" ref="AK332" si="1146">SUM(AK333:AK335)</f>
        <v>0</v>
      </c>
      <c r="AL332" s="179">
        <f>SUMIF($D$5:$D$319,"=sos",AL5:AL319)+SUMIF($D$5:$D$319,"=som",AL5:AL319)+SUMIF($D$5:$D$319,"=sor",AL5:AL319)+SUMIF($D$5:$D$319,"=soz",AL5:AL319)</f>
        <v>110000</v>
      </c>
      <c r="AM332" s="237">
        <f>SUMIF($D$5:$D$319,"=sos",AM5:AM319)+SUMIF($D$5:$D$319,"=som",AM5:AM319)+SUMIF($D$5:$D$319,"=sor",AM5:AM319)+SUMIF($D$5:$D$319,"=soz",AM5:AM319)</f>
        <v>0</v>
      </c>
      <c r="AR332" s="179">
        <f t="shared" ref="AR332" si="1147">SUMIF($D$5:$D$319,"=sos",AR5:AR319)+SUMIF($D$5:$D$319,"=som",AR5:AR319)+SUMIF($D$5:$D$319,"=sor",AR5:AR319)+SUMIF($D$5:$D$319,"=soz",AR5:AR319)</f>
        <v>110000</v>
      </c>
      <c r="AS332" s="102">
        <f t="shared" ref="AS332" si="1148">SUM(AS333:AS335)</f>
        <v>1</v>
      </c>
      <c r="AT332" s="179">
        <f t="shared" ref="AT332" si="1149">SUMIF($D$5:$D$319,"=sos",AT5:AT319)+SUMIF($D$5:$D$319,"=som",AT5:AT319)+SUMIF($D$5:$D$319,"=sor",AT5:AT319)+SUMIF($D$5:$D$319,"=soz",AT5:AT319)</f>
        <v>0</v>
      </c>
      <c r="AU332" s="102">
        <f t="shared" ref="AU332" si="1150">SUM(AU333:AU335)</f>
        <v>0</v>
      </c>
      <c r="AV332" s="658" t="s">
        <v>184</v>
      </c>
      <c r="BB332" s="102">
        <f t="shared" ref="BB332:DA332" si="1151">SUM(BB333:BB335)</f>
        <v>0</v>
      </c>
      <c r="BC332" s="179">
        <f t="shared" ref="BC332:BD332" si="1152">SUMIF($D$5:$D$319,"=sos",BC5:BC319)+SUMIF($D$5:$D$319,"=som",BC5:BC319)+SUMIF($D$5:$D$319,"=sor",BC5:BC319)+SUMIF($D$5:$D$319,"=soz",BC5:BC319)</f>
        <v>110000</v>
      </c>
      <c r="BD332" s="237">
        <f t="shared" si="1152"/>
        <v>0</v>
      </c>
      <c r="BI332" s="179">
        <f t="shared" ref="BI332" si="1153">SUMIF($D$5:$D$319,"=sos",BI5:BI319)+SUMIF($D$5:$D$319,"=som",BI5:BI319)+SUMIF($D$5:$D$319,"=sor",BI5:BI319)+SUMIF($D$5:$D$319,"=soz",BI5:BI319)</f>
        <v>110000</v>
      </c>
      <c r="BJ332" s="102">
        <f t="shared" ref="BJ332" si="1154">SUM(BJ333:BJ335)</f>
        <v>1</v>
      </c>
      <c r="BK332" s="179">
        <f t="shared" ref="BK332" si="1155">SUMIF($D$5:$D$319,"=sos",BK5:BK319)+SUMIF($D$5:$D$319,"=som",BK5:BK319)+SUMIF($D$5:$D$319,"=sor",BK5:BK319)+SUMIF($D$5:$D$319,"=soz",BK5:BK319)</f>
        <v>0</v>
      </c>
      <c r="BL332" s="102">
        <f t="shared" ref="BL332" si="1156">SUM(BL333:BL335)</f>
        <v>0</v>
      </c>
      <c r="BM332" s="658" t="s">
        <v>184</v>
      </c>
      <c r="BS332" s="102">
        <f t="shared" si="1151"/>
        <v>0</v>
      </c>
      <c r="BT332" s="179">
        <f t="shared" ref="BT332:BU332" si="1157">SUMIF($D$5:$D$319,"=sos",BT5:BT319)+SUMIF($D$5:$D$319,"=som",BT5:BT319)+SUMIF($D$5:$D$319,"=sor",BT5:BT319)+SUMIF($D$5:$D$319,"=soz",BT5:BT319)</f>
        <v>110000</v>
      </c>
      <c r="BU332" s="237">
        <f t="shared" si="1157"/>
        <v>0</v>
      </c>
      <c r="BZ332" s="179">
        <f t="shared" ref="BZ332" si="1158">SUMIF($D$5:$D$319,"=sos",BZ5:BZ319)+SUMIF($D$5:$D$319,"=som",BZ5:BZ319)+SUMIF($D$5:$D$319,"=sor",BZ5:BZ319)+SUMIF($D$5:$D$319,"=soz",BZ5:BZ319)</f>
        <v>110000</v>
      </c>
      <c r="CA332" s="102">
        <f t="shared" ref="CA332" si="1159">SUM(CA333:CA335)</f>
        <v>1</v>
      </c>
      <c r="CB332" s="179">
        <f t="shared" ref="CB332" si="1160">SUMIF($D$5:$D$319,"=sos",CB5:CB319)+SUMIF($D$5:$D$319,"=som",CB5:CB319)+SUMIF($D$5:$D$319,"=sor",CB5:CB319)+SUMIF($D$5:$D$319,"=soz",CB5:CB319)</f>
        <v>0</v>
      </c>
      <c r="CC332" s="102">
        <f t="shared" ref="CC332" si="1161">SUM(CC333:CC335)</f>
        <v>0</v>
      </c>
      <c r="CD332" s="658" t="s">
        <v>184</v>
      </c>
      <c r="CJ332" s="102">
        <f t="shared" si="1151"/>
        <v>0</v>
      </c>
      <c r="CK332" s="179">
        <f t="shared" ref="CK332:CL332" si="1162">SUMIF($D$5:$D$319,"=sos",CK5:CK319)+SUMIF($D$5:$D$319,"=som",CK5:CK319)+SUMIF($D$5:$D$319,"=sor",CK5:CK319)+SUMIF($D$5:$D$319,"=soz",CK5:CK319)</f>
        <v>110000</v>
      </c>
      <c r="CL332" s="237">
        <f t="shared" si="1162"/>
        <v>0</v>
      </c>
      <c r="CQ332" s="179">
        <f t="shared" ref="CQ332" si="1163">SUMIF($D$5:$D$319,"=sos",CQ5:CQ319)+SUMIF($D$5:$D$319,"=som",CQ5:CQ319)+SUMIF($D$5:$D$319,"=sor",CQ5:CQ319)+SUMIF($D$5:$D$319,"=soz",CQ5:CQ319)</f>
        <v>110000</v>
      </c>
      <c r="CR332" s="102">
        <f t="shared" ref="CR332" si="1164">SUM(CR333:CR335)</f>
        <v>1</v>
      </c>
      <c r="CS332" s="179">
        <f t="shared" ref="CS332" si="1165">SUMIF($D$5:$D$319,"=sos",CS5:CS319)+SUMIF($D$5:$D$319,"=som",CS5:CS319)+SUMIF($D$5:$D$319,"=sor",CS5:CS319)+SUMIF($D$5:$D$319,"=soz",CS5:CS319)</f>
        <v>0</v>
      </c>
      <c r="CT332" s="102">
        <f t="shared" ref="CT332" si="1166">SUM(CT333:CT335)</f>
        <v>0</v>
      </c>
      <c r="CU332" s="658" t="s">
        <v>184</v>
      </c>
      <c r="DA332" s="102">
        <f t="shared" si="1151"/>
        <v>0</v>
      </c>
      <c r="DB332" s="179">
        <f t="shared" ref="DB332:DC332" si="1167">SUMIF($D$5:$D$319,"=sos",DB5:DB319)+SUMIF($D$5:$D$319,"=som",DB5:DB319)+SUMIF($D$5:$D$319,"=sor",DB5:DB319)+SUMIF($D$5:$D$319,"=soz",DB5:DB319)</f>
        <v>110000</v>
      </c>
      <c r="DC332" s="237">
        <f t="shared" si="1167"/>
        <v>0</v>
      </c>
      <c r="DH332" s="179">
        <f t="shared" ref="DH332" si="1168">SUMIF($D$5:$D$319,"=sos",DH5:DH319)+SUMIF($D$5:$D$319,"=som",DH5:DH319)+SUMIF($D$5:$D$319,"=sor",DH5:DH319)+SUMIF($D$5:$D$319,"=soz",DH5:DH319)</f>
        <v>110000</v>
      </c>
      <c r="DI332" s="102">
        <f t="shared" ref="DI332" si="1169">SUM(DI333:DI335)</f>
        <v>1</v>
      </c>
      <c r="DJ332" s="179">
        <f t="shared" ref="DJ332" si="1170">SUMIF($D$5:$D$319,"=sos",DJ5:DJ319)+SUMIF($D$5:$D$319,"=som",DJ5:DJ319)+SUMIF($D$5:$D$319,"=sor",DJ5:DJ319)+SUMIF($D$5:$D$319,"=soz",DJ5:DJ319)</f>
        <v>0</v>
      </c>
      <c r="DK332" s="102">
        <f t="shared" ref="DK332" si="1171">SUM(DK333:DK335)</f>
        <v>0</v>
      </c>
      <c r="DL332" s="658" t="s">
        <v>184</v>
      </c>
      <c r="DR332" s="102">
        <f t="shared" ref="DR332:FQ332" si="1172">SUM(DR333:DR335)</f>
        <v>0</v>
      </c>
      <c r="DS332" s="179">
        <f t="shared" ref="DS332:DT332" si="1173">SUMIF($D$5:$D$319,"=sos",DS5:DS319)+SUMIF($D$5:$D$319,"=som",DS5:DS319)+SUMIF($D$5:$D$319,"=sor",DS5:DS319)+SUMIF($D$5:$D$319,"=soz",DS5:DS319)</f>
        <v>110000</v>
      </c>
      <c r="DT332" s="237">
        <f t="shared" si="1173"/>
        <v>0</v>
      </c>
      <c r="DY332" s="179">
        <f t="shared" ref="DY332" si="1174">SUMIF($D$5:$D$319,"=sos",DY5:DY319)+SUMIF($D$5:$D$319,"=som",DY5:DY319)+SUMIF($D$5:$D$319,"=sor",DY5:DY319)+SUMIF($D$5:$D$319,"=soz",DY5:DY319)</f>
        <v>110000</v>
      </c>
      <c r="DZ332" s="102">
        <f t="shared" ref="DZ332" si="1175">SUM(DZ333:DZ335)</f>
        <v>1</v>
      </c>
      <c r="EA332" s="179">
        <f t="shared" ref="EA332" si="1176">SUMIF($D$5:$D$319,"=sos",EA5:EA319)+SUMIF($D$5:$D$319,"=som",EA5:EA319)+SUMIF($D$5:$D$319,"=sor",EA5:EA319)+SUMIF($D$5:$D$319,"=soz",EA5:EA319)</f>
        <v>0</v>
      </c>
      <c r="EB332" s="102">
        <f t="shared" ref="EB332" si="1177">SUM(EB333:EB335)</f>
        <v>0</v>
      </c>
      <c r="EC332" s="658" t="s">
        <v>184</v>
      </c>
      <c r="EI332" s="102">
        <f t="shared" si="1172"/>
        <v>0</v>
      </c>
      <c r="EJ332" s="179">
        <f t="shared" ref="EJ332:EK332" si="1178">SUMIF($D$5:$D$319,"=sos",EJ5:EJ319)+SUMIF($D$5:$D$319,"=som",EJ5:EJ319)+SUMIF($D$5:$D$319,"=sor",EJ5:EJ319)+SUMIF($D$5:$D$319,"=soz",EJ5:EJ319)</f>
        <v>110000</v>
      </c>
      <c r="EK332" s="237">
        <f t="shared" si="1178"/>
        <v>0</v>
      </c>
      <c r="EP332" s="179">
        <f t="shared" ref="EP332" si="1179">SUMIF($D$5:$D$319,"=sos",EP5:EP319)+SUMIF($D$5:$D$319,"=som",EP5:EP319)+SUMIF($D$5:$D$319,"=sor",EP5:EP319)+SUMIF($D$5:$D$319,"=soz",EP5:EP319)</f>
        <v>110000</v>
      </c>
      <c r="EQ332" s="102">
        <f t="shared" ref="EQ332" si="1180">SUM(EQ333:EQ335)</f>
        <v>1</v>
      </c>
      <c r="ER332" s="179">
        <f t="shared" ref="ER332" si="1181">SUMIF($D$5:$D$319,"=sos",ER5:ER319)+SUMIF($D$5:$D$319,"=som",ER5:ER319)+SUMIF($D$5:$D$319,"=sor",ER5:ER319)+SUMIF($D$5:$D$319,"=soz",ER5:ER319)</f>
        <v>0</v>
      </c>
      <c r="ES332" s="102">
        <f t="shared" ref="ES332" si="1182">SUM(ES333:ES335)</f>
        <v>0</v>
      </c>
      <c r="ET332" s="658" t="s">
        <v>184</v>
      </c>
      <c r="EZ332" s="102">
        <f t="shared" si="1172"/>
        <v>0</v>
      </c>
      <c r="FA332" s="179">
        <f t="shared" ref="FA332:FB332" si="1183">SUMIF($D$5:$D$319,"=sos",FA5:FA319)+SUMIF($D$5:$D$319,"=som",FA5:FA319)+SUMIF($D$5:$D$319,"=sor",FA5:FA319)+SUMIF($D$5:$D$319,"=soz",FA5:FA319)</f>
        <v>110000</v>
      </c>
      <c r="FB332" s="237">
        <f t="shared" si="1183"/>
        <v>0</v>
      </c>
      <c r="FG332" s="179">
        <f t="shared" ref="FG332" si="1184">SUMIF($D$5:$D$319,"=sos",FG5:FG319)+SUMIF($D$5:$D$319,"=som",FG5:FG319)+SUMIF($D$5:$D$319,"=sor",FG5:FG319)+SUMIF($D$5:$D$319,"=soz",FG5:FG319)</f>
        <v>110000</v>
      </c>
      <c r="FH332" s="102">
        <f t="shared" ref="FH332" si="1185">SUM(FH333:FH335)</f>
        <v>1</v>
      </c>
      <c r="FI332" s="179">
        <f t="shared" ref="FI332" si="1186">SUMIF($D$5:$D$319,"=sos",FI5:FI319)+SUMIF($D$5:$D$319,"=som",FI5:FI319)+SUMIF($D$5:$D$319,"=sor",FI5:FI319)+SUMIF($D$5:$D$319,"=soz",FI5:FI319)</f>
        <v>0</v>
      </c>
      <c r="FJ332" s="102">
        <f t="shared" ref="FJ332" si="1187">SUM(FJ333:FJ335)</f>
        <v>0</v>
      </c>
      <c r="FK332" s="658" t="s">
        <v>184</v>
      </c>
      <c r="FQ332" s="102">
        <f t="shared" si="1172"/>
        <v>0</v>
      </c>
      <c r="FR332" s="179">
        <f t="shared" ref="FR332:FS332" si="1188">SUMIF($D$5:$D$319,"=sos",FR5:FR319)+SUMIF($D$5:$D$319,"=som",FR5:FR319)+SUMIF($D$5:$D$319,"=sor",FR5:FR319)+SUMIF($D$5:$D$319,"=soz",FR5:FR319)</f>
        <v>110000</v>
      </c>
      <c r="FS332" s="237">
        <f t="shared" si="1188"/>
        <v>0</v>
      </c>
    </row>
    <row r="333" spans="1:175" s="10" customFormat="1" hidden="1" x14ac:dyDescent="0.3">
      <c r="A333" s="656" t="s">
        <v>180</v>
      </c>
      <c r="V333" s="217">
        <v>12</v>
      </c>
      <c r="AA333" s="179">
        <f>SUMIF($D$5:$D$319,"=sos",AA5:AA319)*HLOOKUP(AC322,Verteil_sw,17,FALSE)+SUMIF($D$5:$D$319,"=som",AA5:AA319)*HLOOKUP(AC322,Verteil_sw,18,FALSE)+SUMIF($D$5:$D$319,"=sor",AA5:AA319)*HLOOKUP(AC322,Verteil_sw,19,FALSE)+SUMIF($D$5:$D$319,"=soz",AA5:AA319)*HLOOKUP(AC322,Verteil_sw,20,FALSE)</f>
        <v>55000</v>
      </c>
      <c r="AB333" s="102">
        <f t="shared" ref="AB333:AD333" si="1189">IF(AA332&lt;&gt;0,AA333/AA332,0)</f>
        <v>0.5</v>
      </c>
      <c r="AC333" s="179">
        <f>SUMIF($D$5:$D$319,"=sos",AC5:AC319)*HLOOKUP(AC322,Verteil_sw,17,FALSE)+SUMIF($D$5:$D$319,"=som",AC5:AC319)*HLOOKUP(AC322,Verteil_sw,18,FALSE)+SUMIF($D$5:$D$319,"=sor",AC5:AC319)*HLOOKUP(AC322,Verteil_sw,19,FALSE)+SUMIF($D$5:$D$319,"=soz",AC5:AC319)*HLOOKUP(AC322,Verteil_sw,20,FALSE)</f>
        <v>0</v>
      </c>
      <c r="AD333" s="102">
        <f t="shared" si="1189"/>
        <v>0</v>
      </c>
      <c r="AE333" s="656" t="s">
        <v>180</v>
      </c>
      <c r="AK333" s="102">
        <f t="shared" ref="AK333" si="1190">IF(AM332&lt;&gt;0,AM333/AM332,0)</f>
        <v>0</v>
      </c>
      <c r="AL333" s="179">
        <f>SUMIF($D$5:$D$319,"=sos",AL5:AL319)*HLOOKUP(AC322,Verteil_sw,17,FALSE)+SUMIF($D$5:$D$319,"=som",AL5:AL319)*HLOOKUP(AC322,Verteil_sw,18,FALSE)+SUMIF($D$5:$D$319,"=sor",AL5:AL319)*HLOOKUP(AC322,Verteil_sw,19,FALSE)+SUMIF($D$5:$D$319,"=soz",AL5:AL319)*HLOOKUP(AC322,Verteil_sw,20,FALSE)</f>
        <v>55000</v>
      </c>
      <c r="AM333" s="237">
        <f>SUMIF($D$5:$D$319,"=sos",AM5:AM319)*HLOOKUP(AC322,Verteil_sw,17,FALSE)+SUMIF($D$5:$D$319,"=som",AM5:AM319)*HLOOKUP(AC322,Verteil_sw,18,FALSE)+SUMIF($D$5:$D$319,"=sor",AM5:AM319)*HLOOKUP(AC322,Verteil_sw,19,FALSE)+SUMIF($D$5:$D$319,"=soz",AM5:AM319)*HLOOKUP(AC322,Verteil_sw,20,FALSE)</f>
        <v>0</v>
      </c>
      <c r="AR333" s="179">
        <f>SUMIF($D$5:$D$319,"=sos",AR5:AR319)*HLOOKUP(AT322,Verteil_sw,17,FALSE)+SUMIF($D$5:$D$319,"=som",AR5:AR319)*HLOOKUP(AT322,Verteil_sw,18,FALSE)+SUMIF($D$5:$D$319,"=sor",AR5:AR319)*HLOOKUP(AT322,Verteil_sw,19,FALSE)+SUMIF($D$5:$D$319,"=soz",AR5:AR319)*HLOOKUP(AT322,Verteil_sw,20,FALSE)</f>
        <v>55000</v>
      </c>
      <c r="AS333" s="102">
        <f t="shared" ref="AS333" si="1191">IF(AR332&lt;&gt;0,AR333/AR332,0)</f>
        <v>0.5</v>
      </c>
      <c r="AT333" s="179">
        <f>SUMIF($D$5:$D$319,"=sos",AT5:AT319)*HLOOKUP(AT322,Verteil_sw,17,FALSE)+SUMIF($D$5:$D$319,"=som",AT5:AT319)*HLOOKUP(AT322,Verteil_sw,18,FALSE)+SUMIF($D$5:$D$319,"=sor",AT5:AT319)*HLOOKUP(AT322,Verteil_sw,19,FALSE)+SUMIF($D$5:$D$319,"=soz",AT5:AT319)*HLOOKUP(AT322,Verteil_sw,20,FALSE)</f>
        <v>0</v>
      </c>
      <c r="AU333" s="102">
        <f t="shared" ref="AU333" si="1192">IF(AT332&lt;&gt;0,AT333/AT332,0)</f>
        <v>0</v>
      </c>
      <c r="AV333" s="659" t="s">
        <v>180</v>
      </c>
      <c r="BB333" s="102">
        <f t="shared" ref="BB333" si="1193">IF(BD332&lt;&gt;0,BD333/BD332,0)</f>
        <v>0</v>
      </c>
      <c r="BC333" s="179">
        <f>SUMIF($D$5:$D$319,"=sos",BC5:BC319)*HLOOKUP(AT322,Verteil_sw,17,FALSE)+SUMIF($D$5:$D$319,"=som",BC5:BC319)*HLOOKUP(AT322,Verteil_sw,18,FALSE)+SUMIF($D$5:$D$319,"=sor",BC5:BC319)*HLOOKUP(AT322,Verteil_sw,19,FALSE)+SUMIF($D$5:$D$319,"=soz",BC5:BC319)*HLOOKUP(AT322,Verteil_sw,20,FALSE)</f>
        <v>55000</v>
      </c>
      <c r="BD333" s="237">
        <f>SUMIF($D$5:$D$319,"=sos",BD5:BD319)*HLOOKUP(AT322,Verteil_sw,17,FALSE)+SUMIF($D$5:$D$319,"=som",BD5:BD319)*HLOOKUP(AT322,Verteil_sw,18,FALSE)+SUMIF($D$5:$D$319,"=sor",BD5:BD319)*HLOOKUP(AT322,Verteil_sw,19,FALSE)+SUMIF($D$5:$D$319,"=soz",BD5:BD319)*HLOOKUP(AT322,Verteil_sw,20,FALSE)</f>
        <v>0</v>
      </c>
      <c r="BI333" s="179">
        <f>SUMIF($D$5:$D$319,"=sos",BI5:BI319)*HLOOKUP(BK322,Verteil_sw,17,FALSE)+SUMIF($D$5:$D$319,"=som",BI5:BI319)*HLOOKUP(BK322,Verteil_sw,18,FALSE)+SUMIF($D$5:$D$319,"=sor",BI5:BI319)*HLOOKUP(BK322,Verteil_sw,19,FALSE)+SUMIF($D$5:$D$319,"=soz",BI5:BI319)*HLOOKUP(BK322,Verteil_sw,20,FALSE)</f>
        <v>55000</v>
      </c>
      <c r="BJ333" s="102">
        <f t="shared" ref="BJ333" si="1194">IF(BI332&lt;&gt;0,BI333/BI332,0)</f>
        <v>0.5</v>
      </c>
      <c r="BK333" s="179">
        <f>SUMIF($D$5:$D$319,"=sos",BK5:BK319)*HLOOKUP(BK322,Verteil_sw,17,FALSE)+SUMIF($D$5:$D$319,"=som",BK5:BK319)*HLOOKUP(BK322,Verteil_sw,18,FALSE)+SUMIF($D$5:$D$319,"=sor",BK5:BK319)*HLOOKUP(BK322,Verteil_sw,19,FALSE)+SUMIF($D$5:$D$319,"=soz",BK5:BK319)*HLOOKUP(BK322,Verteil_sw,20,FALSE)</f>
        <v>0</v>
      </c>
      <c r="BL333" s="102">
        <f t="shared" ref="BL333" si="1195">IF(BK332&lt;&gt;0,BK333/BK332,0)</f>
        <v>0</v>
      </c>
      <c r="BM333" s="659" t="s">
        <v>180</v>
      </c>
      <c r="BS333" s="102">
        <f t="shared" ref="BS333" si="1196">IF(BU332&lt;&gt;0,BU333/BU332,0)</f>
        <v>0</v>
      </c>
      <c r="BT333" s="179">
        <f>SUMIF($D$5:$D$319,"=sos",BT5:BT319)*HLOOKUP(BK322,Verteil_sw,17,FALSE)+SUMIF($D$5:$D$319,"=som",BT5:BT319)*HLOOKUP(BK322,Verteil_sw,18,FALSE)+SUMIF($D$5:$D$319,"=sor",BT5:BT319)*HLOOKUP(BK322,Verteil_sw,19,FALSE)+SUMIF($D$5:$D$319,"=soz",BT5:BT319)*HLOOKUP(BK322,Verteil_sw,20,FALSE)</f>
        <v>55000</v>
      </c>
      <c r="BU333" s="237">
        <f>SUMIF($D$5:$D$319,"=sos",BU5:BU319)*HLOOKUP(BK322,Verteil_sw,17,FALSE)+SUMIF($D$5:$D$319,"=som",BU5:BU319)*HLOOKUP(BK322,Verteil_sw,18,FALSE)+SUMIF($D$5:$D$319,"=sor",BU5:BU319)*HLOOKUP(BK322,Verteil_sw,19,FALSE)+SUMIF($D$5:$D$319,"=soz",BU5:BU319)*HLOOKUP(BK322,Verteil_sw,20,FALSE)</f>
        <v>0</v>
      </c>
      <c r="BZ333" s="179">
        <f>SUMIF($D$5:$D$319,"=sos",BZ5:BZ319)*HLOOKUP(CB322,Verteil_sw,17,FALSE)+SUMIF($D$5:$D$319,"=som",BZ5:BZ319)*HLOOKUP(CB322,Verteil_sw,18,FALSE)+SUMIF($D$5:$D$319,"=sor",BZ5:BZ319)*HLOOKUP(CB322,Verteil_sw,19,FALSE)+SUMIF($D$5:$D$319,"=soz",BZ5:BZ319)*HLOOKUP(CB322,Verteil_sw,20,FALSE)</f>
        <v>55000</v>
      </c>
      <c r="CA333" s="102">
        <f t="shared" ref="CA333" si="1197">IF(BZ332&lt;&gt;0,BZ333/BZ332,0)</f>
        <v>0.5</v>
      </c>
      <c r="CB333" s="179">
        <f>SUMIF($D$5:$D$319,"=sos",CB5:CB319)*HLOOKUP(CB322,Verteil_sw,17,FALSE)+SUMIF($D$5:$D$319,"=som",CB5:CB319)*HLOOKUP(CB322,Verteil_sw,18,FALSE)+SUMIF($D$5:$D$319,"=sor",CB5:CB319)*HLOOKUP(CB322,Verteil_sw,19,FALSE)+SUMIF($D$5:$D$319,"=soz",CB5:CB319)*HLOOKUP(CB322,Verteil_sw,20,FALSE)</f>
        <v>0</v>
      </c>
      <c r="CC333" s="102">
        <f t="shared" ref="CC333" si="1198">IF(CB332&lt;&gt;0,CB333/CB332,0)</f>
        <v>0</v>
      </c>
      <c r="CD333" s="659" t="s">
        <v>180</v>
      </c>
      <c r="CJ333" s="102">
        <f t="shared" ref="CJ333" si="1199">IF(CL332&lt;&gt;0,CL333/CL332,0)</f>
        <v>0</v>
      </c>
      <c r="CK333" s="179">
        <f>SUMIF($D$5:$D$319,"=sos",CK5:CK319)*HLOOKUP(CB322,Verteil_sw,17,FALSE)+SUMIF($D$5:$D$319,"=som",CK5:CK319)*HLOOKUP(CB322,Verteil_sw,18,FALSE)+SUMIF($D$5:$D$319,"=sor",CK5:CK319)*HLOOKUP(CB322,Verteil_sw,19,FALSE)+SUMIF($D$5:$D$319,"=soz",CK5:CK319)*HLOOKUP(CB322,Verteil_sw,20,FALSE)</f>
        <v>55000</v>
      </c>
      <c r="CL333" s="237">
        <f>SUMIF($D$5:$D$319,"=sos",CL5:CL319)*HLOOKUP(CB322,Verteil_sw,17,FALSE)+SUMIF($D$5:$D$319,"=som",CL5:CL319)*HLOOKUP(CB322,Verteil_sw,18,FALSE)+SUMIF($D$5:$D$319,"=sor",CL5:CL319)*HLOOKUP(CB322,Verteil_sw,19,FALSE)+SUMIF($D$5:$D$319,"=soz",CL5:CL319)*HLOOKUP(CB322,Verteil_sw,20,FALSE)</f>
        <v>0</v>
      </c>
      <c r="CQ333" s="179">
        <f>SUMIF($D$5:$D$319,"=sos",CQ5:CQ319)*HLOOKUP(CS322,Verteil_sw,17,FALSE)+SUMIF($D$5:$D$319,"=som",CQ5:CQ319)*HLOOKUP(CS322,Verteil_sw,18,FALSE)+SUMIF($D$5:$D$319,"=sor",CQ5:CQ319)*HLOOKUP(CS322,Verteil_sw,19,FALSE)+SUMIF($D$5:$D$319,"=soz",CQ5:CQ319)*HLOOKUP(CS322,Verteil_sw,20,FALSE)</f>
        <v>55000</v>
      </c>
      <c r="CR333" s="102">
        <f t="shared" ref="CR333" si="1200">IF(CQ332&lt;&gt;0,CQ333/CQ332,0)</f>
        <v>0.5</v>
      </c>
      <c r="CS333" s="179">
        <f>SUMIF($D$5:$D$319,"=sos",CS5:CS319)*HLOOKUP(CS322,Verteil_sw,17,FALSE)+SUMIF($D$5:$D$319,"=som",CS5:CS319)*HLOOKUP(CS322,Verteil_sw,18,FALSE)+SUMIF($D$5:$D$319,"=sor",CS5:CS319)*HLOOKUP(CS322,Verteil_sw,19,FALSE)+SUMIF($D$5:$D$319,"=soz",CS5:CS319)*HLOOKUP(CS322,Verteil_sw,20,FALSE)</f>
        <v>0</v>
      </c>
      <c r="CT333" s="102">
        <f t="shared" ref="CT333" si="1201">IF(CS332&lt;&gt;0,CS333/CS332,0)</f>
        <v>0</v>
      </c>
      <c r="CU333" s="659" t="s">
        <v>180</v>
      </c>
      <c r="DA333" s="102">
        <f t="shared" ref="DA333" si="1202">IF(DC332&lt;&gt;0,DC333/DC332,0)</f>
        <v>0</v>
      </c>
      <c r="DB333" s="179">
        <f>SUMIF($D$5:$D$319,"=sos",DB5:DB319)*HLOOKUP(CS322,Verteil_sw,17,FALSE)+SUMIF($D$5:$D$319,"=som",DB5:DB319)*HLOOKUP(CS322,Verteil_sw,18,FALSE)+SUMIF($D$5:$D$319,"=sor",DB5:DB319)*HLOOKUP(CS322,Verteil_sw,19,FALSE)+SUMIF($D$5:$D$319,"=soz",DB5:DB319)*HLOOKUP(CS322,Verteil_sw,20,FALSE)</f>
        <v>55000</v>
      </c>
      <c r="DC333" s="237">
        <f>SUMIF($D$5:$D$319,"=sos",DC5:DC319)*HLOOKUP(CS322,Verteil_sw,17,FALSE)+SUMIF($D$5:$D$319,"=som",DC5:DC319)*HLOOKUP(CS322,Verteil_sw,18,FALSE)+SUMIF($D$5:$D$319,"=sor",DC5:DC319)*HLOOKUP(CS322,Verteil_sw,19,FALSE)+SUMIF($D$5:$D$319,"=soz",DC5:DC319)*HLOOKUP(CS322,Verteil_sw,20,FALSE)</f>
        <v>0</v>
      </c>
      <c r="DH333" s="179">
        <f>SUMIF($D$5:$D$319,"=sos",DH5:DH319)*HLOOKUP(DJ322,Verteil_sw,17,FALSE)+SUMIF($D$5:$D$319,"=som",DH5:DH319)*HLOOKUP(DJ322,Verteil_sw,18,FALSE)+SUMIF($D$5:$D$319,"=sor",DH5:DH319)*HLOOKUP(DJ322,Verteil_sw,19,FALSE)+SUMIF($D$5:$D$319,"=soz",DH5:DH319)*HLOOKUP(DJ322,Verteil_sw,20,FALSE)</f>
        <v>55000</v>
      </c>
      <c r="DI333" s="102">
        <f t="shared" ref="DI333" si="1203">IF(DH332&lt;&gt;0,DH333/DH332,0)</f>
        <v>0.5</v>
      </c>
      <c r="DJ333" s="179">
        <f>SUMIF($D$5:$D$319,"=sos",DJ5:DJ319)*HLOOKUP(DJ322,Verteil_sw,17,FALSE)+SUMIF($D$5:$D$319,"=som",DJ5:DJ319)*HLOOKUP(DJ322,Verteil_sw,18,FALSE)+SUMIF($D$5:$D$319,"=sor",DJ5:DJ319)*HLOOKUP(DJ322,Verteil_sw,19,FALSE)+SUMIF($D$5:$D$319,"=soz",DJ5:DJ319)*HLOOKUP(DJ322,Verteil_sw,20,FALSE)</f>
        <v>0</v>
      </c>
      <c r="DK333" s="102">
        <f t="shared" ref="DK333" si="1204">IF(DJ332&lt;&gt;0,DJ333/DJ332,0)</f>
        <v>0</v>
      </c>
      <c r="DL333" s="659" t="s">
        <v>180</v>
      </c>
      <c r="DR333" s="102">
        <f t="shared" ref="DR333" si="1205">IF(DT332&lt;&gt;0,DT333/DT332,0)</f>
        <v>0</v>
      </c>
      <c r="DS333" s="179">
        <f>SUMIF($D$5:$D$319,"=sos",DS5:DS319)*HLOOKUP(DJ322,Verteil_sw,17,FALSE)+SUMIF($D$5:$D$319,"=som",DS5:DS319)*HLOOKUP(DJ322,Verteil_sw,18,FALSE)+SUMIF($D$5:$D$319,"=sor",DS5:DS319)*HLOOKUP(DJ322,Verteil_sw,19,FALSE)+SUMIF($D$5:$D$319,"=soz",DS5:DS319)*HLOOKUP(DJ322,Verteil_sw,20,FALSE)</f>
        <v>55000</v>
      </c>
      <c r="DT333" s="237">
        <f>SUMIF($D$5:$D$319,"=sos",DT5:DT319)*HLOOKUP(DJ322,Verteil_sw,17,FALSE)+SUMIF($D$5:$D$319,"=som",DT5:DT319)*HLOOKUP(DJ322,Verteil_sw,18,FALSE)+SUMIF($D$5:$D$319,"=sor",DT5:DT319)*HLOOKUP(DJ322,Verteil_sw,19,FALSE)+SUMIF($D$5:$D$319,"=soz",DT5:DT319)*HLOOKUP(DJ322,Verteil_sw,20,FALSE)</f>
        <v>0</v>
      </c>
      <c r="DY333" s="179">
        <f>SUMIF($D$5:$D$319,"=sos",DY5:DY319)*HLOOKUP(EA322,Verteil_sw,17,FALSE)+SUMIF($D$5:$D$319,"=som",DY5:DY319)*HLOOKUP(EA322,Verteil_sw,18,FALSE)+SUMIF($D$5:$D$319,"=sor",DY5:DY319)*HLOOKUP(EA322,Verteil_sw,19,FALSE)+SUMIF($D$5:$D$319,"=soz",DY5:DY319)*HLOOKUP(EA322,Verteil_sw,20,FALSE)</f>
        <v>55000</v>
      </c>
      <c r="DZ333" s="102">
        <f t="shared" ref="DZ333" si="1206">IF(DY332&lt;&gt;0,DY333/DY332,0)</f>
        <v>0.5</v>
      </c>
      <c r="EA333" s="179">
        <f>SUMIF($D$5:$D$319,"=sos",EA5:EA319)*HLOOKUP(EA322,Verteil_sw,17,FALSE)+SUMIF($D$5:$D$319,"=som",EA5:EA319)*HLOOKUP(EA322,Verteil_sw,18,FALSE)+SUMIF($D$5:$D$319,"=sor",EA5:EA319)*HLOOKUP(EA322,Verteil_sw,19,FALSE)+SUMIF($D$5:$D$319,"=soz",EA5:EA319)*HLOOKUP(EA322,Verteil_sw,20,FALSE)</f>
        <v>0</v>
      </c>
      <c r="EB333" s="102">
        <f t="shared" ref="EB333" si="1207">IF(EA332&lt;&gt;0,EA333/EA332,0)</f>
        <v>0</v>
      </c>
      <c r="EC333" s="659" t="s">
        <v>180</v>
      </c>
      <c r="EI333" s="102">
        <f t="shared" ref="EI333" si="1208">IF(EK332&lt;&gt;0,EK333/EK332,0)</f>
        <v>0</v>
      </c>
      <c r="EJ333" s="179">
        <f>SUMIF($D$5:$D$319,"=sos",EJ5:EJ319)*HLOOKUP(EA322,Verteil_sw,17,FALSE)+SUMIF($D$5:$D$319,"=som",EJ5:EJ319)*HLOOKUP(EA322,Verteil_sw,18,FALSE)+SUMIF($D$5:$D$319,"=sor",EJ5:EJ319)*HLOOKUP(EA322,Verteil_sw,19,FALSE)+SUMIF($D$5:$D$319,"=soz",EJ5:EJ319)*HLOOKUP(EA322,Verteil_sw,20,FALSE)</f>
        <v>55000</v>
      </c>
      <c r="EK333" s="237">
        <f>SUMIF($D$5:$D$319,"=sos",EK5:EK319)*HLOOKUP(EA322,Verteil_sw,17,FALSE)+SUMIF($D$5:$D$319,"=som",EK5:EK319)*HLOOKUP(EA322,Verteil_sw,18,FALSE)+SUMIF($D$5:$D$319,"=sor",EK5:EK319)*HLOOKUP(EA322,Verteil_sw,19,FALSE)+SUMIF($D$5:$D$319,"=soz",EK5:EK319)*HLOOKUP(EA322,Verteil_sw,20,FALSE)</f>
        <v>0</v>
      </c>
      <c r="EP333" s="179">
        <f>SUMIF($D$5:$D$319,"=sos",EP5:EP319)*HLOOKUP(ER322,Verteil_sw,17,FALSE)+SUMIF($D$5:$D$319,"=som",EP5:EP319)*HLOOKUP(ER322,Verteil_sw,18,FALSE)+SUMIF($D$5:$D$319,"=sor",EP5:EP319)*HLOOKUP(ER322,Verteil_sw,19,FALSE)+SUMIF($D$5:$D$319,"=soz",EP5:EP319)*HLOOKUP(ER322,Verteil_sw,20,FALSE)</f>
        <v>55000</v>
      </c>
      <c r="EQ333" s="102">
        <f t="shared" ref="EQ333" si="1209">IF(EP332&lt;&gt;0,EP333/EP332,0)</f>
        <v>0.5</v>
      </c>
      <c r="ER333" s="179">
        <f>SUMIF($D$5:$D$319,"=sos",ER5:ER319)*HLOOKUP(ER322,Verteil_sw,17,FALSE)+SUMIF($D$5:$D$319,"=som",ER5:ER319)*HLOOKUP(ER322,Verteil_sw,18,FALSE)+SUMIF($D$5:$D$319,"=sor",ER5:ER319)*HLOOKUP(ER322,Verteil_sw,19,FALSE)+SUMIF($D$5:$D$319,"=soz",ER5:ER319)*HLOOKUP(ER322,Verteil_sw,20,FALSE)</f>
        <v>0</v>
      </c>
      <c r="ES333" s="102">
        <f t="shared" ref="ES333" si="1210">IF(ER332&lt;&gt;0,ER333/ER332,0)</f>
        <v>0</v>
      </c>
      <c r="ET333" s="659" t="s">
        <v>180</v>
      </c>
      <c r="EZ333" s="102">
        <f t="shared" ref="EZ333" si="1211">IF(FB332&lt;&gt;0,FB333/FB332,0)</f>
        <v>0</v>
      </c>
      <c r="FA333" s="179">
        <f>SUMIF($D$5:$D$319,"=sos",FA5:FA319)*HLOOKUP(ER322,Verteil_sw,17,FALSE)+SUMIF($D$5:$D$319,"=som",FA5:FA319)*HLOOKUP(ER322,Verteil_sw,18,FALSE)+SUMIF($D$5:$D$319,"=sor",FA5:FA319)*HLOOKUP(ER322,Verteil_sw,19,FALSE)+SUMIF($D$5:$D$319,"=soz",FA5:FA319)*HLOOKUP(ER322,Verteil_sw,20,FALSE)</f>
        <v>55000</v>
      </c>
      <c r="FB333" s="237">
        <f>SUMIF($D$5:$D$319,"=sos",FB5:FB319)*HLOOKUP(ER322,Verteil_sw,17,FALSE)+SUMIF($D$5:$D$319,"=som",FB5:FB319)*HLOOKUP(ER322,Verteil_sw,18,FALSE)+SUMIF($D$5:$D$319,"=sor",FB5:FB319)*HLOOKUP(ER322,Verteil_sw,19,FALSE)+SUMIF($D$5:$D$319,"=soz",FB5:FB319)*HLOOKUP(ER322,Verteil_sw,20,FALSE)</f>
        <v>0</v>
      </c>
      <c r="FG333" s="179">
        <f>SUMIF($D$5:$D$319,"=sos",FG5:FG319)*HLOOKUP(FI322,Verteil_sw,17,FALSE)+SUMIF($D$5:$D$319,"=som",FG5:FG319)*HLOOKUP(FI322,Verteil_sw,18,FALSE)+SUMIF($D$5:$D$319,"=sor",FG5:FG319)*HLOOKUP(FI322,Verteil_sw,19,FALSE)+SUMIF($D$5:$D$319,"=soz",FG5:FG319)*HLOOKUP(FI322,Verteil_sw,20,FALSE)</f>
        <v>55000</v>
      </c>
      <c r="FH333" s="102">
        <f t="shared" ref="FH333" si="1212">IF(FG332&lt;&gt;0,FG333/FG332,0)</f>
        <v>0.5</v>
      </c>
      <c r="FI333" s="179">
        <f>SUMIF($D$5:$D$319,"=sos",FI5:FI319)*HLOOKUP(FI322,Verteil_sw,17,FALSE)+SUMIF($D$5:$D$319,"=som",FI5:FI319)*HLOOKUP(FI322,Verteil_sw,18,FALSE)+SUMIF($D$5:$D$319,"=sor",FI5:FI319)*HLOOKUP(FI322,Verteil_sw,19,FALSE)+SUMIF($D$5:$D$319,"=soz",FI5:FI319)*HLOOKUP(FI322,Verteil_sw,20,FALSE)</f>
        <v>0</v>
      </c>
      <c r="FJ333" s="102">
        <f t="shared" ref="FJ333" si="1213">IF(FI332&lt;&gt;0,FI333/FI332,0)</f>
        <v>0</v>
      </c>
      <c r="FK333" s="659" t="s">
        <v>180</v>
      </c>
      <c r="FQ333" s="102">
        <f t="shared" ref="FQ333" si="1214">IF(FS332&lt;&gt;0,FS333/FS332,0)</f>
        <v>0</v>
      </c>
      <c r="FR333" s="179">
        <f>SUMIF($D$5:$D$319,"=sos",FR5:FR319)*HLOOKUP(FI322,Verteil_sw,17,FALSE)+SUMIF($D$5:$D$319,"=som",FR5:FR319)*HLOOKUP(FI322,Verteil_sw,18,FALSE)+SUMIF($D$5:$D$319,"=sor",FR5:FR319)*HLOOKUP(FI322,Verteil_sw,19,FALSE)+SUMIF($D$5:$D$319,"=soz",FR5:FR319)*HLOOKUP(FI322,Verteil_sw,20,FALSE)</f>
        <v>55000</v>
      </c>
      <c r="FS333" s="237">
        <f>SUMIF($D$5:$D$319,"=sos",FS5:FS319)*HLOOKUP(FI322,Verteil_sw,17,FALSE)+SUMIF($D$5:$D$319,"=som",FS5:FS319)*HLOOKUP(FI322,Verteil_sw,18,FALSE)+SUMIF($D$5:$D$319,"=sor",FS5:FS319)*HLOOKUP(FI322,Verteil_sw,19,FALSE)+SUMIF($D$5:$D$319,"=soz",FS5:FS319)*HLOOKUP(FI322,Verteil_sw,20,FALSE)</f>
        <v>0</v>
      </c>
    </row>
    <row r="334" spans="1:175" s="10" customFormat="1" hidden="1" x14ac:dyDescent="0.3">
      <c r="A334" s="656" t="s">
        <v>181</v>
      </c>
      <c r="V334" s="217">
        <v>13</v>
      </c>
      <c r="AA334" s="179">
        <f>SUMIF($D$5:$D$319,"=sos",AA5:AA319)*HLOOKUP(AC322,Verteil_rwgr,16,FALSE)+SUMIF($D$5:$D$319,"=som",AA5:AA319)*HLOOKUP(AC322,Verteil_rwgr,17,FALSE)+SUMIF($D$5:$D$319,"=sor",AA5:AA319)*HLOOKUP(AC322,Verteil_rwgr,18,FALSE)+SUMIF($D$5:$D$319,"=soz",AA5:AA319)*HLOOKUP(AC322,Verteil_rwgr,19,FALSE)</f>
        <v>27500</v>
      </c>
      <c r="AB334" s="102">
        <f t="shared" ref="AB334:AD334" si="1215">IF(AA332&lt;&gt;0,AA334/AA332,0)</f>
        <v>0.25</v>
      </c>
      <c r="AC334" s="179">
        <f>SUMIF($D$5:$D$319,"=sos",AC5:AC319)*HLOOKUP(AC322,Verteil_rwgr,16,FALSE)+SUMIF($D$5:$D$319,"=som",AC5:AC319)*HLOOKUP(AC322,Verteil_rwgr,17,FALSE)+SUMIF($D$5:$D$319,"=sor",AC5:AC319)*HLOOKUP(AC322,Verteil_rwgr,18,FALSE)+SUMIF($D$5:$D$319,"=soz",AC5:AC319)*HLOOKUP(AC322,Verteil_rwgr,19,FALSE)</f>
        <v>0</v>
      </c>
      <c r="AD334" s="102">
        <f t="shared" si="1215"/>
        <v>0</v>
      </c>
      <c r="AE334" s="656" t="s">
        <v>181</v>
      </c>
      <c r="AK334" s="102">
        <f t="shared" ref="AK334" si="1216">IF(AM332&lt;&gt;0,AM334/AM332,0)</f>
        <v>0</v>
      </c>
      <c r="AL334" s="179">
        <f>SUMIF($D$5:$D$319,"=sos",AL5:AL319)*HLOOKUP(AC322,Verteil_rwgr,16,FALSE)+SUMIF($D$5:$D$319,"=som",AL5:AL319)*HLOOKUP(AC322,Verteil_rwgr,17,FALSE)+SUMIF($D$5:$D$319,"=sor",AL5:AL319)*HLOOKUP(AC322,Verteil_rwgr,18,FALSE)+SUMIF($D$5:$D$319,"=soz",AL5:AL319)*HLOOKUP(AC322,Verteil_rwgr,19,FALSE)</f>
        <v>27500</v>
      </c>
      <c r="AM334" s="237">
        <f>SUMIF($D$5:$D$319,"=sos",AM5:AM319)*HLOOKUP(AC322,Verteil_rwgr,16,FALSE)+SUMIF($D$5:$D$319,"=som",AM5:AM319)*HLOOKUP(AC322,Verteil_rwgr,17,FALSE)+SUMIF($D$5:$D$319,"=sor",AM5:AM319)*HLOOKUP(AC322,Verteil_rwgr,18,FALSE)+SUMIF($D$5:$D$319,"=soz",AM5:AM319)*HLOOKUP(AC322,Verteil_rwgr,19,FALSE)</f>
        <v>0</v>
      </c>
      <c r="AR334" s="179">
        <f>SUMIF($D$5:$D$319,"=sos",AR5:AR319)*HLOOKUP(AT322,Verteil_rwgr,16,FALSE)+SUMIF($D$5:$D$319,"=som",AR5:AR319)*HLOOKUP(AT322,Verteil_rwgr,17,FALSE)+SUMIF($D$5:$D$319,"=sor",AR5:AR319)*HLOOKUP(AT322,Verteil_rwgr,18,FALSE)+SUMIF($D$5:$D$319,"=soz",AR5:AR319)*HLOOKUP(AT322,Verteil_rwgr,19,FALSE)</f>
        <v>27500</v>
      </c>
      <c r="AS334" s="102">
        <f t="shared" ref="AS334" si="1217">IF(AR332&lt;&gt;0,AR334/AR332,0)</f>
        <v>0.25</v>
      </c>
      <c r="AT334" s="179">
        <f>SUMIF($D$5:$D$319,"=sos",AT5:AT319)*HLOOKUP(AT322,Verteil_rwgr,16,FALSE)+SUMIF($D$5:$D$319,"=som",AT5:AT319)*HLOOKUP(AT322,Verteil_rwgr,17,FALSE)+SUMIF($D$5:$D$319,"=sor",AT5:AT319)*HLOOKUP(AT322,Verteil_rwgr,18,FALSE)+SUMIF($D$5:$D$319,"=soz",AT5:AT319)*HLOOKUP(AT322,Verteil_rwgr,19,FALSE)</f>
        <v>0</v>
      </c>
      <c r="AU334" s="102">
        <f t="shared" ref="AU334" si="1218">IF(AT332&lt;&gt;0,AT334/AT332,0)</f>
        <v>0</v>
      </c>
      <c r="AV334" s="659" t="s">
        <v>181</v>
      </c>
      <c r="BB334" s="102">
        <f t="shared" ref="BB334" si="1219">IF(BD332&lt;&gt;0,BD334/BD332,0)</f>
        <v>0</v>
      </c>
      <c r="BC334" s="179">
        <f>SUMIF($D$5:$D$319,"=sos",BC5:BC319)*HLOOKUP(AT322,Verteil_rwgr,16,FALSE)+SUMIF($D$5:$D$319,"=som",BC5:BC319)*HLOOKUP(AT322,Verteil_rwgr,17,FALSE)+SUMIF($D$5:$D$319,"=sor",BC5:BC319)*HLOOKUP(AT322,Verteil_rwgr,18,FALSE)+SUMIF($D$5:$D$319,"=soz",BC5:BC319)*HLOOKUP(AT322,Verteil_rwgr,19,FALSE)</f>
        <v>27500</v>
      </c>
      <c r="BD334" s="237">
        <f>SUMIF($D$5:$D$319,"=sos",BD5:BD319)*HLOOKUP(AT322,Verteil_rwgr,16,FALSE)+SUMIF($D$5:$D$319,"=som",BD5:BD319)*HLOOKUP(AT322,Verteil_rwgr,17,FALSE)+SUMIF($D$5:$D$319,"=sor",BD5:BD319)*HLOOKUP(AT322,Verteil_rwgr,18,FALSE)+SUMIF($D$5:$D$319,"=soz",BD5:BD319)*HLOOKUP(AT322,Verteil_rwgr,19,FALSE)</f>
        <v>0</v>
      </c>
      <c r="BI334" s="179">
        <f>SUMIF($D$5:$D$319,"=sos",BI5:BI319)*HLOOKUP(BK322,Verteil_rwgr,16,FALSE)+SUMIF($D$5:$D$319,"=som",BI5:BI319)*HLOOKUP(BK322,Verteil_rwgr,17,FALSE)+SUMIF($D$5:$D$319,"=sor",BI5:BI319)*HLOOKUP(BK322,Verteil_rwgr,18,FALSE)+SUMIF($D$5:$D$319,"=soz",BI5:BI319)*HLOOKUP(BK322,Verteil_rwgr,19,FALSE)</f>
        <v>27500</v>
      </c>
      <c r="BJ334" s="102">
        <f t="shared" ref="BJ334" si="1220">IF(BI332&lt;&gt;0,BI334/BI332,0)</f>
        <v>0.25</v>
      </c>
      <c r="BK334" s="179">
        <f>SUMIF($D$5:$D$319,"=sos",BK5:BK319)*HLOOKUP(BK322,Verteil_rwgr,16,FALSE)+SUMIF($D$5:$D$319,"=som",BK5:BK319)*HLOOKUP(BK322,Verteil_rwgr,17,FALSE)+SUMIF($D$5:$D$319,"=sor",BK5:BK319)*HLOOKUP(BK322,Verteil_rwgr,18,FALSE)+SUMIF($D$5:$D$319,"=soz",BK5:BK319)*HLOOKUP(BK322,Verteil_rwgr,19,FALSE)</f>
        <v>0</v>
      </c>
      <c r="BL334" s="102">
        <f t="shared" ref="BL334" si="1221">IF(BK332&lt;&gt;0,BK334/BK332,0)</f>
        <v>0</v>
      </c>
      <c r="BM334" s="659" t="s">
        <v>181</v>
      </c>
      <c r="BS334" s="102">
        <f t="shared" ref="BS334" si="1222">IF(BU332&lt;&gt;0,BU334/BU332,0)</f>
        <v>0</v>
      </c>
      <c r="BT334" s="179">
        <f>SUMIF($D$5:$D$319,"=sos",BT5:BT319)*HLOOKUP(BK322,Verteil_rwgr,16,FALSE)+SUMIF($D$5:$D$319,"=som",BT5:BT319)*HLOOKUP(BK322,Verteil_rwgr,17,FALSE)+SUMIF($D$5:$D$319,"=sor",BT5:BT319)*HLOOKUP(BK322,Verteil_rwgr,18,FALSE)+SUMIF($D$5:$D$319,"=soz",BT5:BT319)*HLOOKUP(BK322,Verteil_rwgr,19,FALSE)</f>
        <v>27500</v>
      </c>
      <c r="BU334" s="237">
        <f>SUMIF($D$5:$D$319,"=sos",BU5:BU319)*HLOOKUP(BK322,Verteil_rwgr,16,FALSE)+SUMIF($D$5:$D$319,"=som",BU5:BU319)*HLOOKUP(BK322,Verteil_rwgr,17,FALSE)+SUMIF($D$5:$D$319,"=sor",BU5:BU319)*HLOOKUP(BK322,Verteil_rwgr,18,FALSE)+SUMIF($D$5:$D$319,"=soz",BU5:BU319)*HLOOKUP(BK322,Verteil_rwgr,19,FALSE)</f>
        <v>0</v>
      </c>
      <c r="BZ334" s="179">
        <f>SUMIF($D$5:$D$319,"=sos",BZ5:BZ319)*HLOOKUP(CB322,Verteil_rwgr,16,FALSE)+SUMIF($D$5:$D$319,"=som",BZ5:BZ319)*HLOOKUP(CB322,Verteil_rwgr,17,FALSE)+SUMIF($D$5:$D$319,"=sor",BZ5:BZ319)*HLOOKUP(CB322,Verteil_rwgr,18,FALSE)+SUMIF($D$5:$D$319,"=soz",BZ5:BZ319)*HLOOKUP(CB322,Verteil_rwgr,19,FALSE)</f>
        <v>27500</v>
      </c>
      <c r="CA334" s="102">
        <f t="shared" ref="CA334" si="1223">IF(BZ332&lt;&gt;0,BZ334/BZ332,0)</f>
        <v>0.25</v>
      </c>
      <c r="CB334" s="179">
        <f>SUMIF($D$5:$D$319,"=sos",CB5:CB319)*HLOOKUP(CB322,Verteil_rwgr,16,FALSE)+SUMIF($D$5:$D$319,"=som",CB5:CB319)*HLOOKUP(CB322,Verteil_rwgr,17,FALSE)+SUMIF($D$5:$D$319,"=sor",CB5:CB319)*HLOOKUP(CB322,Verteil_rwgr,18,FALSE)+SUMIF($D$5:$D$319,"=soz",CB5:CB319)*HLOOKUP(CB322,Verteil_rwgr,19,FALSE)</f>
        <v>0</v>
      </c>
      <c r="CC334" s="102">
        <f t="shared" ref="CC334" si="1224">IF(CB332&lt;&gt;0,CB334/CB332,0)</f>
        <v>0</v>
      </c>
      <c r="CD334" s="659" t="s">
        <v>181</v>
      </c>
      <c r="CJ334" s="102">
        <f t="shared" ref="CJ334" si="1225">IF(CL332&lt;&gt;0,CL334/CL332,0)</f>
        <v>0</v>
      </c>
      <c r="CK334" s="179">
        <f>SUMIF($D$5:$D$319,"=sos",CK5:CK319)*HLOOKUP(CB322,Verteil_rwgr,16,FALSE)+SUMIF($D$5:$D$319,"=som",CK5:CK319)*HLOOKUP(CB322,Verteil_rwgr,17,FALSE)+SUMIF($D$5:$D$319,"=sor",CK5:CK319)*HLOOKUP(CB322,Verteil_rwgr,18,FALSE)+SUMIF($D$5:$D$319,"=soz",CK5:CK319)*HLOOKUP(CB322,Verteil_rwgr,19,FALSE)</f>
        <v>27500</v>
      </c>
      <c r="CL334" s="237">
        <f>SUMIF($D$5:$D$319,"=sos",CL5:CL319)*HLOOKUP(CB322,Verteil_rwgr,16,FALSE)+SUMIF($D$5:$D$319,"=som",CL5:CL319)*HLOOKUP(CB322,Verteil_rwgr,17,FALSE)+SUMIF($D$5:$D$319,"=sor",CL5:CL319)*HLOOKUP(CB322,Verteil_rwgr,18,FALSE)+SUMIF($D$5:$D$319,"=soz",CL5:CL319)*HLOOKUP(CB322,Verteil_rwgr,19,FALSE)</f>
        <v>0</v>
      </c>
      <c r="CQ334" s="179">
        <f>SUMIF($D$5:$D$319,"=sos",CQ5:CQ319)*HLOOKUP(CS322,Verteil_rwgr,16,FALSE)+SUMIF($D$5:$D$319,"=som",CQ5:CQ319)*HLOOKUP(CS322,Verteil_rwgr,17,FALSE)+SUMIF($D$5:$D$319,"=sor",CQ5:CQ319)*HLOOKUP(CS322,Verteil_rwgr,18,FALSE)+SUMIF($D$5:$D$319,"=soz",CQ5:CQ319)*HLOOKUP(CS322,Verteil_rwgr,19,FALSE)</f>
        <v>27500</v>
      </c>
      <c r="CR334" s="102">
        <f t="shared" ref="CR334" si="1226">IF(CQ332&lt;&gt;0,CQ334/CQ332,0)</f>
        <v>0.25</v>
      </c>
      <c r="CS334" s="179">
        <f>SUMIF($D$5:$D$319,"=sos",CS5:CS319)*HLOOKUP(CS322,Verteil_rwgr,16,FALSE)+SUMIF($D$5:$D$319,"=som",CS5:CS319)*HLOOKUP(CS322,Verteil_rwgr,17,FALSE)+SUMIF($D$5:$D$319,"=sor",CS5:CS319)*HLOOKUP(CS322,Verteil_rwgr,18,FALSE)+SUMIF($D$5:$D$319,"=soz",CS5:CS319)*HLOOKUP(CS322,Verteil_rwgr,19,FALSE)</f>
        <v>0</v>
      </c>
      <c r="CT334" s="102">
        <f t="shared" ref="CT334" si="1227">IF(CS332&lt;&gt;0,CS334/CS332,0)</f>
        <v>0</v>
      </c>
      <c r="CU334" s="659" t="s">
        <v>181</v>
      </c>
      <c r="DA334" s="102">
        <f t="shared" ref="DA334" si="1228">IF(DC332&lt;&gt;0,DC334/DC332,0)</f>
        <v>0</v>
      </c>
      <c r="DB334" s="179">
        <f>SUMIF($D$5:$D$319,"=sos",DB5:DB319)*HLOOKUP(CS322,Verteil_rwgr,16,FALSE)+SUMIF($D$5:$D$319,"=som",DB5:DB319)*HLOOKUP(CS322,Verteil_rwgr,17,FALSE)+SUMIF($D$5:$D$319,"=sor",DB5:DB319)*HLOOKUP(CS322,Verteil_rwgr,18,FALSE)+SUMIF($D$5:$D$319,"=soz",DB5:DB319)*HLOOKUP(CS322,Verteil_rwgr,19,FALSE)</f>
        <v>27500</v>
      </c>
      <c r="DC334" s="237">
        <f>SUMIF($D$5:$D$319,"=sos",DC5:DC319)*HLOOKUP(CS322,Verteil_rwgr,16,FALSE)+SUMIF($D$5:$D$319,"=som",DC5:DC319)*HLOOKUP(CS322,Verteil_rwgr,17,FALSE)+SUMIF($D$5:$D$319,"=sor",DC5:DC319)*HLOOKUP(CS322,Verteil_rwgr,18,FALSE)+SUMIF($D$5:$D$319,"=soz",DC5:DC319)*HLOOKUP(CS322,Verteil_rwgr,19,FALSE)</f>
        <v>0</v>
      </c>
      <c r="DH334" s="179">
        <f>SUMIF($D$5:$D$319,"=sos",DH5:DH319)*HLOOKUP(DJ322,Verteil_rwgr,16,FALSE)+SUMIF($D$5:$D$319,"=som",DH5:DH319)*HLOOKUP(DJ322,Verteil_rwgr,17,FALSE)+SUMIF($D$5:$D$319,"=sor",DH5:DH319)*HLOOKUP(DJ322,Verteil_rwgr,18,FALSE)+SUMIF($D$5:$D$319,"=soz",DH5:DH319)*HLOOKUP(DJ322,Verteil_rwgr,19,FALSE)</f>
        <v>27500</v>
      </c>
      <c r="DI334" s="102">
        <f t="shared" ref="DI334" si="1229">IF(DH332&lt;&gt;0,DH334/DH332,0)</f>
        <v>0.25</v>
      </c>
      <c r="DJ334" s="179">
        <f>SUMIF($D$5:$D$319,"=sos",DJ5:DJ319)*HLOOKUP(DJ322,Verteil_rwgr,16,FALSE)+SUMIF($D$5:$D$319,"=som",DJ5:DJ319)*HLOOKUP(DJ322,Verteil_rwgr,17,FALSE)+SUMIF($D$5:$D$319,"=sor",DJ5:DJ319)*HLOOKUP(DJ322,Verteil_rwgr,18,FALSE)+SUMIF($D$5:$D$319,"=soz",DJ5:DJ319)*HLOOKUP(DJ322,Verteil_rwgr,19,FALSE)</f>
        <v>0</v>
      </c>
      <c r="DK334" s="102">
        <f t="shared" ref="DK334" si="1230">IF(DJ332&lt;&gt;0,DJ334/DJ332,0)</f>
        <v>0</v>
      </c>
      <c r="DL334" s="659" t="s">
        <v>181</v>
      </c>
      <c r="DR334" s="102">
        <f t="shared" ref="DR334" si="1231">IF(DT332&lt;&gt;0,DT334/DT332,0)</f>
        <v>0</v>
      </c>
      <c r="DS334" s="179">
        <f>SUMIF($D$5:$D$319,"=sos",DS5:DS319)*HLOOKUP(DJ322,Verteil_rwgr,16,FALSE)+SUMIF($D$5:$D$319,"=som",DS5:DS319)*HLOOKUP(DJ322,Verteil_rwgr,17,FALSE)+SUMIF($D$5:$D$319,"=sor",DS5:DS319)*HLOOKUP(DJ322,Verteil_rwgr,18,FALSE)+SUMIF($D$5:$D$319,"=soz",DS5:DS319)*HLOOKUP(DJ322,Verteil_rwgr,19,FALSE)</f>
        <v>27500</v>
      </c>
      <c r="DT334" s="237">
        <f>SUMIF($D$5:$D$319,"=sos",DT5:DT319)*HLOOKUP(DJ322,Verteil_rwgr,16,FALSE)+SUMIF($D$5:$D$319,"=som",DT5:DT319)*HLOOKUP(DJ322,Verteil_rwgr,17,FALSE)+SUMIF($D$5:$D$319,"=sor",DT5:DT319)*HLOOKUP(DJ322,Verteil_rwgr,18,FALSE)+SUMIF($D$5:$D$319,"=soz",DT5:DT319)*HLOOKUP(DJ322,Verteil_rwgr,19,FALSE)</f>
        <v>0</v>
      </c>
      <c r="DY334" s="179">
        <f>SUMIF($D$5:$D$319,"=sos",DY5:DY319)*HLOOKUP(EA322,Verteil_rwgr,16,FALSE)+SUMIF($D$5:$D$319,"=som",DY5:DY319)*HLOOKUP(EA322,Verteil_rwgr,17,FALSE)+SUMIF($D$5:$D$319,"=sor",DY5:DY319)*HLOOKUP(EA322,Verteil_rwgr,18,FALSE)+SUMIF($D$5:$D$319,"=soz",DY5:DY319)*HLOOKUP(EA322,Verteil_rwgr,19,FALSE)</f>
        <v>27500</v>
      </c>
      <c r="DZ334" s="102">
        <f t="shared" ref="DZ334" si="1232">IF(DY332&lt;&gt;0,DY334/DY332,0)</f>
        <v>0.25</v>
      </c>
      <c r="EA334" s="179">
        <f>SUMIF($D$5:$D$319,"=sos",EA5:EA319)*HLOOKUP(EA322,Verteil_rwgr,16,FALSE)+SUMIF($D$5:$D$319,"=som",EA5:EA319)*HLOOKUP(EA322,Verteil_rwgr,17,FALSE)+SUMIF($D$5:$D$319,"=sor",EA5:EA319)*HLOOKUP(EA322,Verteil_rwgr,18,FALSE)+SUMIF($D$5:$D$319,"=soz",EA5:EA319)*HLOOKUP(EA322,Verteil_rwgr,19,FALSE)</f>
        <v>0</v>
      </c>
      <c r="EB334" s="102">
        <f t="shared" ref="EB334" si="1233">IF(EA332&lt;&gt;0,EA334/EA332,0)</f>
        <v>0</v>
      </c>
      <c r="EC334" s="659" t="s">
        <v>181</v>
      </c>
      <c r="EI334" s="102">
        <f t="shared" ref="EI334" si="1234">IF(EK332&lt;&gt;0,EK334/EK332,0)</f>
        <v>0</v>
      </c>
      <c r="EJ334" s="179">
        <f>SUMIF($D$5:$D$319,"=sos",EJ5:EJ319)*HLOOKUP(EA322,Verteil_rwgr,16,FALSE)+SUMIF($D$5:$D$319,"=som",EJ5:EJ319)*HLOOKUP(EA322,Verteil_rwgr,17,FALSE)+SUMIF($D$5:$D$319,"=sor",EJ5:EJ319)*HLOOKUP(EA322,Verteil_rwgr,18,FALSE)+SUMIF($D$5:$D$319,"=soz",EJ5:EJ319)*HLOOKUP(EA322,Verteil_rwgr,19,FALSE)</f>
        <v>27500</v>
      </c>
      <c r="EK334" s="237">
        <f>SUMIF($D$5:$D$319,"=sos",EK5:EK319)*HLOOKUP(EA322,Verteil_rwgr,16,FALSE)+SUMIF($D$5:$D$319,"=som",EK5:EK319)*HLOOKUP(EA322,Verteil_rwgr,17,FALSE)+SUMIF($D$5:$D$319,"=sor",EK5:EK319)*HLOOKUP(EA322,Verteil_rwgr,18,FALSE)+SUMIF($D$5:$D$319,"=soz",EK5:EK319)*HLOOKUP(EA322,Verteil_rwgr,19,FALSE)</f>
        <v>0</v>
      </c>
      <c r="EP334" s="179">
        <f>SUMIF($D$5:$D$319,"=sos",EP5:EP319)*HLOOKUP(ER322,Verteil_rwgr,16,FALSE)+SUMIF($D$5:$D$319,"=som",EP5:EP319)*HLOOKUP(ER322,Verteil_rwgr,17,FALSE)+SUMIF($D$5:$D$319,"=sor",EP5:EP319)*HLOOKUP(ER322,Verteil_rwgr,18,FALSE)+SUMIF($D$5:$D$319,"=soz",EP5:EP319)*HLOOKUP(ER322,Verteil_rwgr,19,FALSE)</f>
        <v>27500</v>
      </c>
      <c r="EQ334" s="102">
        <f t="shared" ref="EQ334" si="1235">IF(EP332&lt;&gt;0,EP334/EP332,0)</f>
        <v>0.25</v>
      </c>
      <c r="ER334" s="179">
        <f>SUMIF($D$5:$D$319,"=sos",ER5:ER319)*HLOOKUP(ER322,Verteil_rwgr,16,FALSE)+SUMIF($D$5:$D$319,"=som",ER5:ER319)*HLOOKUP(ER322,Verteil_rwgr,17,FALSE)+SUMIF($D$5:$D$319,"=sor",ER5:ER319)*HLOOKUP(ER322,Verteil_rwgr,18,FALSE)+SUMIF($D$5:$D$319,"=soz",ER5:ER319)*HLOOKUP(ER322,Verteil_rwgr,19,FALSE)</f>
        <v>0</v>
      </c>
      <c r="ES334" s="102">
        <f t="shared" ref="ES334" si="1236">IF(ER332&lt;&gt;0,ER334/ER332,0)</f>
        <v>0</v>
      </c>
      <c r="ET334" s="659" t="s">
        <v>181</v>
      </c>
      <c r="EZ334" s="102">
        <f t="shared" ref="EZ334" si="1237">IF(FB332&lt;&gt;0,FB334/FB332,0)</f>
        <v>0</v>
      </c>
      <c r="FA334" s="179">
        <f>SUMIF($D$5:$D$319,"=sos",FA5:FA319)*HLOOKUP(ER322,Verteil_rwgr,16,FALSE)+SUMIF($D$5:$D$319,"=som",FA5:FA319)*HLOOKUP(ER322,Verteil_rwgr,17,FALSE)+SUMIF($D$5:$D$319,"=sor",FA5:FA319)*HLOOKUP(ER322,Verteil_rwgr,18,FALSE)+SUMIF($D$5:$D$319,"=soz",FA5:FA319)*HLOOKUP(ER322,Verteil_rwgr,19,FALSE)</f>
        <v>27500</v>
      </c>
      <c r="FB334" s="237">
        <f>SUMIF($D$5:$D$319,"=sos",FB5:FB319)*HLOOKUP(ER322,Verteil_rwgr,16,FALSE)+SUMIF($D$5:$D$319,"=som",FB5:FB319)*HLOOKUP(ER322,Verteil_rwgr,17,FALSE)+SUMIF($D$5:$D$319,"=sor",FB5:FB319)*HLOOKUP(ER322,Verteil_rwgr,18,FALSE)+SUMIF($D$5:$D$319,"=soz",FB5:FB319)*HLOOKUP(ER322,Verteil_rwgr,19,FALSE)</f>
        <v>0</v>
      </c>
      <c r="FG334" s="179">
        <f>SUMIF($D$5:$D$319,"=sos",FG5:FG319)*HLOOKUP(FI322,Verteil_rwgr,16,FALSE)+SUMIF($D$5:$D$319,"=som",FG5:FG319)*HLOOKUP(FI322,Verteil_rwgr,17,FALSE)+SUMIF($D$5:$D$319,"=sor",FG5:FG319)*HLOOKUP(FI322,Verteil_rwgr,18,FALSE)+SUMIF($D$5:$D$319,"=soz",FG5:FG319)*HLOOKUP(FI322,Verteil_rwgr,19,FALSE)</f>
        <v>27500</v>
      </c>
      <c r="FH334" s="102">
        <f t="shared" ref="FH334" si="1238">IF(FG332&lt;&gt;0,FG334/FG332,0)</f>
        <v>0.25</v>
      </c>
      <c r="FI334" s="179">
        <f>SUMIF($D$5:$D$319,"=sos",FI5:FI319)*HLOOKUP(FI322,Verteil_rwgr,16,FALSE)+SUMIF($D$5:$D$319,"=som",FI5:FI319)*HLOOKUP(FI322,Verteil_rwgr,17,FALSE)+SUMIF($D$5:$D$319,"=sor",FI5:FI319)*HLOOKUP(FI322,Verteil_rwgr,18,FALSE)+SUMIF($D$5:$D$319,"=soz",FI5:FI319)*HLOOKUP(FI322,Verteil_rwgr,19,FALSE)</f>
        <v>0</v>
      </c>
      <c r="FJ334" s="102">
        <f t="shared" ref="FJ334" si="1239">IF(FI332&lt;&gt;0,FI334/FI332,0)</f>
        <v>0</v>
      </c>
      <c r="FK334" s="659" t="s">
        <v>181</v>
      </c>
      <c r="FQ334" s="102">
        <f t="shared" ref="FQ334" si="1240">IF(FS332&lt;&gt;0,FS334/FS332,0)</f>
        <v>0</v>
      </c>
      <c r="FR334" s="179">
        <f>SUMIF($D$5:$D$319,"=sos",FR5:FR319)*HLOOKUP(FI322,Verteil_rwgr,16,FALSE)+SUMIF($D$5:$D$319,"=som",FR5:FR319)*HLOOKUP(FI322,Verteil_rwgr,17,FALSE)+SUMIF($D$5:$D$319,"=sor",FR5:FR319)*HLOOKUP(FI322,Verteil_rwgr,18,FALSE)+SUMIF($D$5:$D$319,"=soz",FR5:FR319)*HLOOKUP(FI322,Verteil_rwgr,19,FALSE)</f>
        <v>27500</v>
      </c>
      <c r="FS334" s="237">
        <f>SUMIF($D$5:$D$319,"=sos",FS5:FS319)*HLOOKUP(FI322,Verteil_rwgr,16,FALSE)+SUMIF($D$5:$D$319,"=som",FS5:FS319)*HLOOKUP(FI322,Verteil_rwgr,17,FALSE)+SUMIF($D$5:$D$319,"=sor",FS5:FS319)*HLOOKUP(FI322,Verteil_rwgr,18,FALSE)+SUMIF($D$5:$D$319,"=soz",FS5:FS319)*HLOOKUP(FI322,Verteil_rwgr,19,FALSE)</f>
        <v>0</v>
      </c>
    </row>
    <row r="335" spans="1:175" s="10" customFormat="1" hidden="1" x14ac:dyDescent="0.3">
      <c r="A335" s="656" t="s">
        <v>182</v>
      </c>
      <c r="V335" s="217">
        <v>14</v>
      </c>
      <c r="AA335" s="179">
        <f>SUMIF($D$5:$D$319,"=sos",AA5:AA319)*HLOOKUP(AC322,Verteil_rwst,15,FALSE)+SUMIF($D$5:$D$319,"=som",AA5:AA319)*HLOOKUP(AC322,Verteil_rwst,16,FALSE)+SUMIF($D$5:$D$319,"=sor",AA5:AA319)*HLOOKUP(AC322,Verteil_rwst,17,FALSE)+SUMIF($D$5:$D$319,"=soz",AA5:AA319)*HLOOKUP(AC322,Verteil_rwst,18,FALSE)</f>
        <v>27500</v>
      </c>
      <c r="AB335" s="102">
        <f t="shared" ref="AB335:AD335" si="1241">IF(AA332&lt;&gt;0,AA335/AA332,0)</f>
        <v>0.25</v>
      </c>
      <c r="AC335" s="179">
        <f>SUMIF($D$5:$D$319,"=sos",AC5:AC319)*HLOOKUP(AC322,Verteil_rwst,15,FALSE)+SUMIF($D$5:$D$319,"=som",AC5:AC319)*HLOOKUP(AC322,Verteil_rwst,16,FALSE)+SUMIF($D$5:$D$319,"=sor",AC5:AC319)*HLOOKUP(AC322,Verteil_rwst,17,FALSE)+SUMIF($D$5:$D$319,"=soz",AC5:AC319)*HLOOKUP(AC322,Verteil_rwst,18,FALSE)</f>
        <v>0</v>
      </c>
      <c r="AD335" s="102">
        <f t="shared" si="1241"/>
        <v>0</v>
      </c>
      <c r="AE335" s="656" t="s">
        <v>182</v>
      </c>
      <c r="AK335" s="102">
        <f t="shared" ref="AK335" si="1242">IF(AM332&lt;&gt;0,AM335/AM332,0)</f>
        <v>0</v>
      </c>
      <c r="AL335" s="179">
        <f>SUMIF($D$5:$D$319,"=sos",AL5:AL319)*HLOOKUP(AC322,Verteil_rwst,15,FALSE)+SUMIF($D$5:$D$319,"=som",AL5:AL319)*HLOOKUP(AC322,Verteil_rwst,16,FALSE)+SUMIF($D$5:$D$319,"=sor",AL5:AL319)*HLOOKUP(AC322,Verteil_rwst,17,FALSE)+SUMIF($D$5:$D$319,"=soz",AL5:AL319)*HLOOKUP(AC322,Verteil_rwst,18,FALSE)</f>
        <v>27500</v>
      </c>
      <c r="AM335" s="237">
        <f>SUMIF($D$5:$D$319,"=sos",AM5:AM319)*HLOOKUP(AC322,Verteil_rwst,15,FALSE)+SUMIF($D$5:$D$319,"=som",AM5:AM319)*HLOOKUP(AC322,Verteil_rwst,16,FALSE)+SUMIF($D$5:$D$319,"=sor",AM5:AM319)*HLOOKUP(AC322,Verteil_rwst,17,FALSE)+SUMIF($D$5:$D$319,"=soz",AM5:AM319)*HLOOKUP(AC322,Verteil_rwst,18,FALSE)</f>
        <v>0</v>
      </c>
      <c r="AR335" s="179">
        <f>SUMIF($D$5:$D$319,"=sos",AR5:AR319)*HLOOKUP(AT322,Verteil_rwst,15,FALSE)+SUMIF($D$5:$D$319,"=som",AR5:AR319)*HLOOKUP(AT322,Verteil_rwst,16,FALSE)+SUMIF($D$5:$D$319,"=sor",AR5:AR319)*HLOOKUP(AT322,Verteil_rwst,17,FALSE)+SUMIF($D$5:$D$319,"=soz",AR5:AR319)*HLOOKUP(AT322,Verteil_rwst,18,FALSE)</f>
        <v>27500</v>
      </c>
      <c r="AS335" s="102">
        <f t="shared" ref="AS335" si="1243">IF(AR332&lt;&gt;0,AR335/AR332,0)</f>
        <v>0.25</v>
      </c>
      <c r="AT335" s="179">
        <f>SUMIF($D$5:$D$319,"=sos",AT5:AT319)*HLOOKUP(AT322,Verteil_rwst,15,FALSE)+SUMIF($D$5:$D$319,"=som",AT5:AT319)*HLOOKUP(AT322,Verteil_rwst,16,FALSE)+SUMIF($D$5:$D$319,"=sor",AT5:AT319)*HLOOKUP(AT322,Verteil_rwst,17,FALSE)+SUMIF($D$5:$D$319,"=soz",AT5:AT319)*HLOOKUP(AT322,Verteil_rwst,18,FALSE)</f>
        <v>0</v>
      </c>
      <c r="AU335" s="102">
        <f t="shared" ref="AU335" si="1244">IF(AT332&lt;&gt;0,AT335/AT332,0)</f>
        <v>0</v>
      </c>
      <c r="AV335" s="659" t="s">
        <v>182</v>
      </c>
      <c r="BB335" s="102">
        <f t="shared" ref="BB335" si="1245">IF(BD332&lt;&gt;0,BD335/BD332,0)</f>
        <v>0</v>
      </c>
      <c r="BC335" s="179">
        <f>SUMIF($D$5:$D$319,"=sos",BC5:BC319)*HLOOKUP(AT322,Verteil_rwst,15,FALSE)+SUMIF($D$5:$D$319,"=som",BC5:BC319)*HLOOKUP(AT322,Verteil_rwst,16,FALSE)+SUMIF($D$5:$D$319,"=sor",BC5:BC319)*HLOOKUP(AT322,Verteil_rwst,17,FALSE)+SUMIF($D$5:$D$319,"=soz",BC5:BC319)*HLOOKUP(AT322,Verteil_rwst,18,FALSE)</f>
        <v>27500</v>
      </c>
      <c r="BD335" s="237">
        <f>SUMIF($D$5:$D$319,"=sos",BD5:BD319)*HLOOKUP(AT322,Verteil_rwst,15,FALSE)+SUMIF($D$5:$D$319,"=som",BD5:BD319)*HLOOKUP(AT322,Verteil_rwst,16,FALSE)+SUMIF($D$5:$D$319,"=sor",BD5:BD319)*HLOOKUP(AT322,Verteil_rwst,17,FALSE)+SUMIF($D$5:$D$319,"=soz",BD5:BD319)*HLOOKUP(AT322,Verteil_rwst,18,FALSE)</f>
        <v>0</v>
      </c>
      <c r="BI335" s="179">
        <f>SUMIF($D$5:$D$319,"=sos",BI5:BI319)*HLOOKUP(BK322,Verteil_rwst,15,FALSE)+SUMIF($D$5:$D$319,"=som",BI5:BI319)*HLOOKUP(BK322,Verteil_rwst,16,FALSE)+SUMIF($D$5:$D$319,"=sor",BI5:BI319)*HLOOKUP(BK322,Verteil_rwst,17,FALSE)+SUMIF($D$5:$D$319,"=soz",BI5:BI319)*HLOOKUP(BK322,Verteil_rwst,18,FALSE)</f>
        <v>27500</v>
      </c>
      <c r="BJ335" s="102">
        <f t="shared" ref="BJ335" si="1246">IF(BI332&lt;&gt;0,BI335/BI332,0)</f>
        <v>0.25</v>
      </c>
      <c r="BK335" s="179">
        <f>SUMIF($D$5:$D$319,"=sos",BK5:BK319)*HLOOKUP(BK322,Verteil_rwst,15,FALSE)+SUMIF($D$5:$D$319,"=som",BK5:BK319)*HLOOKUP(BK322,Verteil_rwst,16,FALSE)+SUMIF($D$5:$D$319,"=sor",BK5:BK319)*HLOOKUP(BK322,Verteil_rwst,17,FALSE)+SUMIF($D$5:$D$319,"=soz",BK5:BK319)*HLOOKUP(BK322,Verteil_rwst,18,FALSE)</f>
        <v>0</v>
      </c>
      <c r="BL335" s="102">
        <f t="shared" ref="BL335" si="1247">IF(BK332&lt;&gt;0,BK335/BK332,0)</f>
        <v>0</v>
      </c>
      <c r="BM335" s="659" t="s">
        <v>182</v>
      </c>
      <c r="BS335" s="102">
        <f t="shared" ref="BS335" si="1248">IF(BU332&lt;&gt;0,BU335/BU332,0)</f>
        <v>0</v>
      </c>
      <c r="BT335" s="179">
        <f>SUMIF($D$5:$D$319,"=sos",BT5:BT319)*HLOOKUP(BK322,Verteil_rwst,15,FALSE)+SUMIF($D$5:$D$319,"=som",BT5:BT319)*HLOOKUP(BK322,Verteil_rwst,16,FALSE)+SUMIF($D$5:$D$319,"=sor",BT5:BT319)*HLOOKUP(BK322,Verteil_rwst,17,FALSE)+SUMIF($D$5:$D$319,"=soz",BT5:BT319)*HLOOKUP(BK322,Verteil_rwst,18,FALSE)</f>
        <v>27500</v>
      </c>
      <c r="BU335" s="237">
        <f>SUMIF($D$5:$D$319,"=sos",BU5:BU319)*HLOOKUP(BK322,Verteil_rwst,15,FALSE)+SUMIF($D$5:$D$319,"=som",BU5:BU319)*HLOOKUP(BK322,Verteil_rwst,16,FALSE)+SUMIF($D$5:$D$319,"=sor",BU5:BU319)*HLOOKUP(BK322,Verteil_rwst,17,FALSE)+SUMIF($D$5:$D$319,"=soz",BU5:BU319)*HLOOKUP(BK322,Verteil_rwst,18,FALSE)</f>
        <v>0</v>
      </c>
      <c r="BZ335" s="179">
        <f>SUMIF($D$5:$D$319,"=sos",BZ5:BZ319)*HLOOKUP(CB322,Verteil_rwst,15,FALSE)+SUMIF($D$5:$D$319,"=som",BZ5:BZ319)*HLOOKUP(CB322,Verteil_rwst,16,FALSE)+SUMIF($D$5:$D$319,"=sor",BZ5:BZ319)*HLOOKUP(CB322,Verteil_rwst,17,FALSE)+SUMIF($D$5:$D$319,"=soz",BZ5:BZ319)*HLOOKUP(CB322,Verteil_rwst,18,FALSE)</f>
        <v>27500</v>
      </c>
      <c r="CA335" s="102">
        <f t="shared" ref="CA335" si="1249">IF(BZ332&lt;&gt;0,BZ335/BZ332,0)</f>
        <v>0.25</v>
      </c>
      <c r="CB335" s="179">
        <f>SUMIF($D$5:$D$319,"=sos",CB5:CB319)*HLOOKUP(CB322,Verteil_rwst,15,FALSE)+SUMIF($D$5:$D$319,"=som",CB5:CB319)*HLOOKUP(CB322,Verteil_rwst,16,FALSE)+SUMIF($D$5:$D$319,"=sor",CB5:CB319)*HLOOKUP(CB322,Verteil_rwst,17,FALSE)+SUMIF($D$5:$D$319,"=soz",CB5:CB319)*HLOOKUP(CB322,Verteil_rwst,18,FALSE)</f>
        <v>0</v>
      </c>
      <c r="CC335" s="102">
        <f t="shared" ref="CC335" si="1250">IF(CB332&lt;&gt;0,CB335/CB332,0)</f>
        <v>0</v>
      </c>
      <c r="CD335" s="659" t="s">
        <v>182</v>
      </c>
      <c r="CJ335" s="102">
        <f t="shared" ref="CJ335" si="1251">IF(CL332&lt;&gt;0,CL335/CL332,0)</f>
        <v>0</v>
      </c>
      <c r="CK335" s="179">
        <f>SUMIF($D$5:$D$319,"=sos",CK5:CK319)*HLOOKUP(CB322,Verteil_rwst,15,FALSE)+SUMIF($D$5:$D$319,"=som",CK5:CK319)*HLOOKUP(CB322,Verteil_rwst,16,FALSE)+SUMIF($D$5:$D$319,"=sor",CK5:CK319)*HLOOKUP(CB322,Verteil_rwst,17,FALSE)+SUMIF($D$5:$D$319,"=soz",CK5:CK319)*HLOOKUP(CB322,Verteil_rwst,18,FALSE)</f>
        <v>27500</v>
      </c>
      <c r="CL335" s="237">
        <f>SUMIF($D$5:$D$319,"=sos",CL5:CL319)*HLOOKUP(CB322,Verteil_rwst,15,FALSE)+SUMIF($D$5:$D$319,"=som",CL5:CL319)*HLOOKUP(CB322,Verteil_rwst,16,FALSE)+SUMIF($D$5:$D$319,"=sor",CL5:CL319)*HLOOKUP(CB322,Verteil_rwst,17,FALSE)+SUMIF($D$5:$D$319,"=soz",CL5:CL319)*HLOOKUP(CB322,Verteil_rwst,18,FALSE)</f>
        <v>0</v>
      </c>
      <c r="CQ335" s="179">
        <f>SUMIF($D$5:$D$319,"=sos",CQ5:CQ319)*HLOOKUP(CS322,Verteil_rwst,15,FALSE)+SUMIF($D$5:$D$319,"=som",CQ5:CQ319)*HLOOKUP(CS322,Verteil_rwst,16,FALSE)+SUMIF($D$5:$D$319,"=sor",CQ5:CQ319)*HLOOKUP(CS322,Verteil_rwst,17,FALSE)+SUMIF($D$5:$D$319,"=soz",CQ5:CQ319)*HLOOKUP(CS322,Verteil_rwst,18,FALSE)</f>
        <v>27500</v>
      </c>
      <c r="CR335" s="102">
        <f t="shared" ref="CR335" si="1252">IF(CQ332&lt;&gt;0,CQ335/CQ332,0)</f>
        <v>0.25</v>
      </c>
      <c r="CS335" s="179">
        <f>SUMIF($D$5:$D$319,"=sos",CS5:CS319)*HLOOKUP(CS322,Verteil_rwst,15,FALSE)+SUMIF($D$5:$D$319,"=som",CS5:CS319)*HLOOKUP(CS322,Verteil_rwst,16,FALSE)+SUMIF($D$5:$D$319,"=sor",CS5:CS319)*HLOOKUP(CS322,Verteil_rwst,17,FALSE)+SUMIF($D$5:$D$319,"=soz",CS5:CS319)*HLOOKUP(CS322,Verteil_rwst,18,FALSE)</f>
        <v>0</v>
      </c>
      <c r="CT335" s="102">
        <f t="shared" ref="CT335" si="1253">IF(CS332&lt;&gt;0,CS335/CS332,0)</f>
        <v>0</v>
      </c>
      <c r="CU335" s="659" t="s">
        <v>182</v>
      </c>
      <c r="DA335" s="102">
        <f t="shared" ref="DA335" si="1254">IF(DC332&lt;&gt;0,DC335/DC332,0)</f>
        <v>0</v>
      </c>
      <c r="DB335" s="179">
        <f>SUMIF($D$5:$D$319,"=sos",DB5:DB319)*HLOOKUP(CS322,Verteil_rwst,15,FALSE)+SUMIF($D$5:$D$319,"=som",DB5:DB319)*HLOOKUP(CS322,Verteil_rwst,16,FALSE)+SUMIF($D$5:$D$319,"=sor",DB5:DB319)*HLOOKUP(CS322,Verteil_rwst,17,FALSE)+SUMIF($D$5:$D$319,"=soz",DB5:DB319)*HLOOKUP(CS322,Verteil_rwst,18,FALSE)</f>
        <v>27500</v>
      </c>
      <c r="DC335" s="237">
        <f>SUMIF($D$5:$D$319,"=sos",DC5:DC319)*HLOOKUP(CS322,Verteil_rwst,15,FALSE)+SUMIF($D$5:$D$319,"=som",DC5:DC319)*HLOOKUP(CS322,Verteil_rwst,16,FALSE)+SUMIF($D$5:$D$319,"=sor",DC5:DC319)*HLOOKUP(CS322,Verteil_rwst,17,FALSE)+SUMIF($D$5:$D$319,"=soz",DC5:DC319)*HLOOKUP(CS322,Verteil_rwst,18,FALSE)</f>
        <v>0</v>
      </c>
      <c r="DH335" s="179">
        <f>SUMIF($D$5:$D$319,"=sos",DH5:DH319)*HLOOKUP(DJ322,Verteil_rwst,15,FALSE)+SUMIF($D$5:$D$319,"=som",DH5:DH319)*HLOOKUP(DJ322,Verteil_rwst,16,FALSE)+SUMIF($D$5:$D$319,"=sor",DH5:DH319)*HLOOKUP(DJ322,Verteil_rwst,17,FALSE)+SUMIF($D$5:$D$319,"=soz",DH5:DH319)*HLOOKUP(DJ322,Verteil_rwst,18,FALSE)</f>
        <v>27500</v>
      </c>
      <c r="DI335" s="102">
        <f t="shared" ref="DI335" si="1255">IF(DH332&lt;&gt;0,DH335/DH332,0)</f>
        <v>0.25</v>
      </c>
      <c r="DJ335" s="179">
        <f>SUMIF($D$5:$D$319,"=sos",DJ5:DJ319)*HLOOKUP(DJ322,Verteil_rwst,15,FALSE)+SUMIF($D$5:$D$319,"=som",DJ5:DJ319)*HLOOKUP(DJ322,Verteil_rwst,16,FALSE)+SUMIF($D$5:$D$319,"=sor",DJ5:DJ319)*HLOOKUP(DJ322,Verteil_rwst,17,FALSE)+SUMIF($D$5:$D$319,"=soz",DJ5:DJ319)*HLOOKUP(DJ322,Verteil_rwst,18,FALSE)</f>
        <v>0</v>
      </c>
      <c r="DK335" s="102">
        <f t="shared" ref="DK335" si="1256">IF(DJ332&lt;&gt;0,DJ335/DJ332,0)</f>
        <v>0</v>
      </c>
      <c r="DL335" s="659" t="s">
        <v>182</v>
      </c>
      <c r="DR335" s="102">
        <f t="shared" ref="DR335" si="1257">IF(DT332&lt;&gt;0,DT335/DT332,0)</f>
        <v>0</v>
      </c>
      <c r="DS335" s="179">
        <f>SUMIF($D$5:$D$319,"=sos",DS5:DS319)*HLOOKUP(DJ322,Verteil_rwst,15,FALSE)+SUMIF($D$5:$D$319,"=som",DS5:DS319)*HLOOKUP(DJ322,Verteil_rwst,16,FALSE)+SUMIF($D$5:$D$319,"=sor",DS5:DS319)*HLOOKUP(DJ322,Verteil_rwst,17,FALSE)+SUMIF($D$5:$D$319,"=soz",DS5:DS319)*HLOOKUP(DJ322,Verteil_rwst,18,FALSE)</f>
        <v>27500</v>
      </c>
      <c r="DT335" s="237">
        <f>SUMIF($D$5:$D$319,"=sos",DT5:DT319)*HLOOKUP(DJ322,Verteil_rwst,15,FALSE)+SUMIF($D$5:$D$319,"=som",DT5:DT319)*HLOOKUP(DJ322,Verteil_rwst,16,FALSE)+SUMIF($D$5:$D$319,"=sor",DT5:DT319)*HLOOKUP(DJ322,Verteil_rwst,17,FALSE)+SUMIF($D$5:$D$319,"=soz",DT5:DT319)*HLOOKUP(DJ322,Verteil_rwst,18,FALSE)</f>
        <v>0</v>
      </c>
      <c r="DY335" s="179">
        <f>SUMIF($D$5:$D$319,"=sos",DY5:DY319)*HLOOKUP(EA322,Verteil_rwst,15,FALSE)+SUMIF($D$5:$D$319,"=som",DY5:DY319)*HLOOKUP(EA322,Verteil_rwst,16,FALSE)+SUMIF($D$5:$D$319,"=sor",DY5:DY319)*HLOOKUP(EA322,Verteil_rwst,17,FALSE)+SUMIF($D$5:$D$319,"=soz",DY5:DY319)*HLOOKUP(EA322,Verteil_rwst,18,FALSE)</f>
        <v>27500</v>
      </c>
      <c r="DZ335" s="102">
        <f t="shared" ref="DZ335" si="1258">IF(DY332&lt;&gt;0,DY335/DY332,0)</f>
        <v>0.25</v>
      </c>
      <c r="EA335" s="179">
        <f>SUMIF($D$5:$D$319,"=sos",EA5:EA319)*HLOOKUP(EA322,Verteil_rwst,15,FALSE)+SUMIF($D$5:$D$319,"=som",EA5:EA319)*HLOOKUP(EA322,Verteil_rwst,16,FALSE)+SUMIF($D$5:$D$319,"=sor",EA5:EA319)*HLOOKUP(EA322,Verteil_rwst,17,FALSE)+SUMIF($D$5:$D$319,"=soz",EA5:EA319)*HLOOKUP(EA322,Verteil_rwst,18,FALSE)</f>
        <v>0</v>
      </c>
      <c r="EB335" s="102">
        <f t="shared" ref="EB335" si="1259">IF(EA332&lt;&gt;0,EA335/EA332,0)</f>
        <v>0</v>
      </c>
      <c r="EC335" s="659" t="s">
        <v>182</v>
      </c>
      <c r="EI335" s="102">
        <f t="shared" ref="EI335" si="1260">IF(EK332&lt;&gt;0,EK335/EK332,0)</f>
        <v>0</v>
      </c>
      <c r="EJ335" s="179">
        <f>SUMIF($D$5:$D$319,"=sos",EJ5:EJ319)*HLOOKUP(EA322,Verteil_rwst,15,FALSE)+SUMIF($D$5:$D$319,"=som",EJ5:EJ319)*HLOOKUP(EA322,Verteil_rwst,16,FALSE)+SUMIF($D$5:$D$319,"=sor",EJ5:EJ319)*HLOOKUP(EA322,Verteil_rwst,17,FALSE)+SUMIF($D$5:$D$319,"=soz",EJ5:EJ319)*HLOOKUP(EA322,Verteil_rwst,18,FALSE)</f>
        <v>27500</v>
      </c>
      <c r="EK335" s="237">
        <f>SUMIF($D$5:$D$319,"=sos",EK5:EK319)*HLOOKUP(EA322,Verteil_rwst,15,FALSE)+SUMIF($D$5:$D$319,"=som",EK5:EK319)*HLOOKUP(EA322,Verteil_rwst,16,FALSE)+SUMIF($D$5:$D$319,"=sor",EK5:EK319)*HLOOKUP(EA322,Verteil_rwst,17,FALSE)+SUMIF($D$5:$D$319,"=soz",EK5:EK319)*HLOOKUP(EA322,Verteil_rwst,18,FALSE)</f>
        <v>0</v>
      </c>
      <c r="EP335" s="179">
        <f>SUMIF($D$5:$D$319,"=sos",EP5:EP319)*HLOOKUP(ER322,Verteil_rwst,15,FALSE)+SUMIF($D$5:$D$319,"=som",EP5:EP319)*HLOOKUP(ER322,Verteil_rwst,16,FALSE)+SUMIF($D$5:$D$319,"=sor",EP5:EP319)*HLOOKUP(ER322,Verteil_rwst,17,FALSE)+SUMIF($D$5:$D$319,"=soz",EP5:EP319)*HLOOKUP(ER322,Verteil_rwst,18,FALSE)</f>
        <v>27500</v>
      </c>
      <c r="EQ335" s="102">
        <f t="shared" ref="EQ335" si="1261">IF(EP332&lt;&gt;0,EP335/EP332,0)</f>
        <v>0.25</v>
      </c>
      <c r="ER335" s="179">
        <f>SUMIF($D$5:$D$319,"=sos",ER5:ER319)*HLOOKUP(ER322,Verteil_rwst,15,FALSE)+SUMIF($D$5:$D$319,"=som",ER5:ER319)*HLOOKUP(ER322,Verteil_rwst,16,FALSE)+SUMIF($D$5:$D$319,"=sor",ER5:ER319)*HLOOKUP(ER322,Verteil_rwst,17,FALSE)+SUMIF($D$5:$D$319,"=soz",ER5:ER319)*HLOOKUP(ER322,Verteil_rwst,18,FALSE)</f>
        <v>0</v>
      </c>
      <c r="ES335" s="102">
        <f t="shared" ref="ES335" si="1262">IF(ER332&lt;&gt;0,ER335/ER332,0)</f>
        <v>0</v>
      </c>
      <c r="ET335" s="659" t="s">
        <v>182</v>
      </c>
      <c r="EZ335" s="102">
        <f t="shared" ref="EZ335" si="1263">IF(FB332&lt;&gt;0,FB335/FB332,0)</f>
        <v>0</v>
      </c>
      <c r="FA335" s="179">
        <f>SUMIF($D$5:$D$319,"=sos",FA5:FA319)*HLOOKUP(ER322,Verteil_rwst,15,FALSE)+SUMIF($D$5:$D$319,"=som",FA5:FA319)*HLOOKUP(ER322,Verteil_rwst,16,FALSE)+SUMIF($D$5:$D$319,"=sor",FA5:FA319)*HLOOKUP(ER322,Verteil_rwst,17,FALSE)+SUMIF($D$5:$D$319,"=soz",FA5:FA319)*HLOOKUP(ER322,Verteil_rwst,18,FALSE)</f>
        <v>27500</v>
      </c>
      <c r="FB335" s="237">
        <f>SUMIF($D$5:$D$319,"=sos",FB5:FB319)*HLOOKUP(ER322,Verteil_rwst,15,FALSE)+SUMIF($D$5:$D$319,"=som",FB5:FB319)*HLOOKUP(ER322,Verteil_rwst,16,FALSE)+SUMIF($D$5:$D$319,"=sor",FB5:FB319)*HLOOKUP(ER322,Verteil_rwst,17,FALSE)+SUMIF($D$5:$D$319,"=soz",FB5:FB319)*HLOOKUP(ER322,Verteil_rwst,18,FALSE)</f>
        <v>0</v>
      </c>
      <c r="FG335" s="179">
        <f>SUMIF($D$5:$D$319,"=sos",FG5:FG319)*HLOOKUP(FI322,Verteil_rwst,15,FALSE)+SUMIF($D$5:$D$319,"=som",FG5:FG319)*HLOOKUP(FI322,Verteil_rwst,16,FALSE)+SUMIF($D$5:$D$319,"=sor",FG5:FG319)*HLOOKUP(FI322,Verteil_rwst,17,FALSE)+SUMIF($D$5:$D$319,"=soz",FG5:FG319)*HLOOKUP(FI322,Verteil_rwst,18,FALSE)</f>
        <v>27500</v>
      </c>
      <c r="FH335" s="102">
        <f t="shared" ref="FH335" si="1264">IF(FG332&lt;&gt;0,FG335/FG332,0)</f>
        <v>0.25</v>
      </c>
      <c r="FI335" s="179">
        <f>SUMIF($D$5:$D$319,"=sos",FI5:FI319)*HLOOKUP(FI322,Verteil_rwst,15,FALSE)+SUMIF($D$5:$D$319,"=som",FI5:FI319)*HLOOKUP(FI322,Verteil_rwst,16,FALSE)+SUMIF($D$5:$D$319,"=sor",FI5:FI319)*HLOOKUP(FI322,Verteil_rwst,17,FALSE)+SUMIF($D$5:$D$319,"=soz",FI5:FI319)*HLOOKUP(FI322,Verteil_rwst,18,FALSE)</f>
        <v>0</v>
      </c>
      <c r="FJ335" s="102">
        <f t="shared" ref="FJ335" si="1265">IF(FI332&lt;&gt;0,FI335/FI332,0)</f>
        <v>0</v>
      </c>
      <c r="FK335" s="659" t="s">
        <v>182</v>
      </c>
      <c r="FQ335" s="102">
        <f t="shared" ref="FQ335" si="1266">IF(FS332&lt;&gt;0,FS335/FS332,0)</f>
        <v>0</v>
      </c>
      <c r="FR335" s="179">
        <f>SUMIF($D$5:$D$319,"=sos",FR5:FR319)*HLOOKUP(FI322,Verteil_rwst,15,FALSE)+SUMIF($D$5:$D$319,"=som",FR5:FR319)*HLOOKUP(FI322,Verteil_rwst,16,FALSE)+SUMIF($D$5:$D$319,"=sor",FR5:FR319)*HLOOKUP(FI322,Verteil_rwst,17,FALSE)+SUMIF($D$5:$D$319,"=soz",FR5:FR319)*HLOOKUP(FI322,Verteil_rwst,18,FALSE)</f>
        <v>27500</v>
      </c>
      <c r="FS335" s="237">
        <f>SUMIF($D$5:$D$319,"=sos",FS5:FS319)*HLOOKUP(FI322,Verteil_rwst,15,FALSE)+SUMIF($D$5:$D$319,"=som",FS5:FS319)*HLOOKUP(FI322,Verteil_rwst,16,FALSE)+SUMIF($D$5:$D$319,"=sor",FS5:FS319)*HLOOKUP(FI322,Verteil_rwst,17,FALSE)+SUMIF($D$5:$D$319,"=soz",FS5:FS319)*HLOOKUP(FI322,Verteil_rwst,18,FALSE)</f>
        <v>0</v>
      </c>
    </row>
    <row r="336" spans="1:175" s="10" customFormat="1" hidden="1" x14ac:dyDescent="0.3">
      <c r="A336" s="657" t="s">
        <v>185</v>
      </c>
      <c r="V336" s="217">
        <v>15</v>
      </c>
      <c r="AA336" s="179">
        <f>SUMIF($D$5:$D$319,"=has",AA5:AA319)+SUMIF($D$5:$D$319,"=ham",AA5:AA319)+SUMIF($D$5:$D$319,"=har",AA5:AA319)+SUMIF($D$5:$D$319,"=haz",AA5:AA319)</f>
        <v>2172000</v>
      </c>
      <c r="AB336" s="102">
        <f t="shared" ref="AB336:AD336" si="1267">SUM(AB337:AB339)</f>
        <v>1</v>
      </c>
      <c r="AC336" s="179">
        <f>SUMIF($D$5:$D$319,"=has",AC5:AC319)+SUMIF($D$5:$D$319,"=ham",AC5:AC319)+SUMIF($D$5:$D$319,"=har",AC5:AC319)+SUMIF($D$5:$D$319,"=haz",AC5:AC319)</f>
        <v>24540</v>
      </c>
      <c r="AD336" s="102">
        <f t="shared" si="1267"/>
        <v>1</v>
      </c>
      <c r="AE336" s="657" t="s">
        <v>185</v>
      </c>
      <c r="AK336" s="102">
        <f t="shared" ref="AK336" si="1268">SUM(AK337:AK339)</f>
        <v>0.99999999999999989</v>
      </c>
      <c r="AL336" s="179">
        <f>SUMIF($D$5:$D$319,"=has",AL5:AL319)+SUMIF($D$5:$D$319,"=ham",AL5:AL319)+SUMIF($D$5:$D$319,"=har",AL5:AL319)+SUMIF($D$5:$D$319,"=haz",AL5:AL319)</f>
        <v>5681265</v>
      </c>
      <c r="AM336" s="237">
        <f>SUMIF($D$5:$D$319,"=has",AM5:AM319)+SUMIF($D$5:$D$319,"=ham",AM5:AM319)+SUMIF($D$5:$D$319,"=har",AM5:AM319)+SUMIF($D$5:$D$319,"=haz",AM5:AM319)</f>
        <v>31599.300000000003</v>
      </c>
      <c r="AR336" s="179">
        <f t="shared" ref="AR336" si="1269">SUMIF($D$5:$D$319,"=has",AR5:AR319)+SUMIF($D$5:$D$319,"=ham",AR5:AR319)+SUMIF($D$5:$D$319,"=har",AR5:AR319)+SUMIF($D$5:$D$319,"=haz",AR5:AR319)</f>
        <v>2172000</v>
      </c>
      <c r="AS336" s="102">
        <f t="shared" ref="AS336" si="1270">SUM(AS337:AS339)</f>
        <v>1</v>
      </c>
      <c r="AT336" s="179">
        <f t="shared" ref="AT336" si="1271">SUMIF($D$5:$D$319,"=has",AT5:AT319)+SUMIF($D$5:$D$319,"=ham",AT5:AT319)+SUMIF($D$5:$D$319,"=har",AT5:AT319)+SUMIF($D$5:$D$319,"=haz",AT5:AT319)</f>
        <v>24540</v>
      </c>
      <c r="AU336" s="102">
        <f t="shared" ref="AU336" si="1272">SUM(AU337:AU339)</f>
        <v>1</v>
      </c>
      <c r="AV336" s="658" t="s">
        <v>185</v>
      </c>
      <c r="BB336" s="102">
        <f t="shared" ref="BB336:DA336" si="1273">SUM(BB337:BB339)</f>
        <v>1</v>
      </c>
      <c r="BC336" s="179">
        <f t="shared" ref="BC336:BD336" si="1274">SUMIF($D$5:$D$319,"=has",BC5:BC319)+SUMIF($D$5:$D$319,"=ham",BC5:BC319)+SUMIF($D$5:$D$319,"=har",BC5:BC319)+SUMIF($D$5:$D$319,"=haz",BC5:BC319)</f>
        <v>5785485</v>
      </c>
      <c r="BD336" s="237">
        <f t="shared" si="1274"/>
        <v>32171.7</v>
      </c>
      <c r="BI336" s="179">
        <f t="shared" ref="BI336" si="1275">SUMIF($D$5:$D$319,"=has",BI5:BI319)+SUMIF($D$5:$D$319,"=ham",BI5:BI319)+SUMIF($D$5:$D$319,"=har",BI5:BI319)+SUMIF($D$5:$D$319,"=haz",BI5:BI319)</f>
        <v>2172000</v>
      </c>
      <c r="BJ336" s="102">
        <f t="shared" ref="BJ336" si="1276">SUM(BJ337:BJ339)</f>
        <v>1</v>
      </c>
      <c r="BK336" s="179">
        <f t="shared" ref="BK336" si="1277">SUMIF($D$5:$D$319,"=has",BK5:BK319)+SUMIF($D$5:$D$319,"=ham",BK5:BK319)+SUMIF($D$5:$D$319,"=har",BK5:BK319)+SUMIF($D$5:$D$319,"=haz",BK5:BK319)</f>
        <v>24540</v>
      </c>
      <c r="BL336" s="102">
        <f t="shared" ref="BL336" si="1278">SUM(BL337:BL339)</f>
        <v>1</v>
      </c>
      <c r="BM336" s="658" t="s">
        <v>185</v>
      </c>
      <c r="BS336" s="102">
        <f t="shared" si="1273"/>
        <v>1</v>
      </c>
      <c r="BT336" s="179">
        <f t="shared" ref="BT336:BU336" si="1279">SUMIF($D$5:$D$319,"=has",BT5:BT319)+SUMIF($D$5:$D$319,"=ham",BT5:BT319)+SUMIF($D$5:$D$319,"=har",BT5:BT319)+SUMIF($D$5:$D$319,"=haz",BT5:BT319)</f>
        <v>5887875</v>
      </c>
      <c r="BU336" s="237">
        <f t="shared" si="1279"/>
        <v>32707.499999999996</v>
      </c>
      <c r="BZ336" s="179">
        <f t="shared" ref="BZ336" si="1280">SUMIF($D$5:$D$319,"=has",BZ5:BZ319)+SUMIF($D$5:$D$319,"=ham",BZ5:BZ319)+SUMIF($D$5:$D$319,"=har",BZ5:BZ319)+SUMIF($D$5:$D$319,"=haz",BZ5:BZ319)</f>
        <v>2172000</v>
      </c>
      <c r="CA336" s="102">
        <f t="shared" ref="CA336" si="1281">SUM(CA337:CA339)</f>
        <v>1</v>
      </c>
      <c r="CB336" s="179">
        <f t="shared" ref="CB336" si="1282">SUMIF($D$5:$D$319,"=has",CB5:CB319)+SUMIF($D$5:$D$319,"=ham",CB5:CB319)+SUMIF($D$5:$D$319,"=har",CB5:CB319)+SUMIF($D$5:$D$319,"=haz",CB5:CB319)</f>
        <v>24540</v>
      </c>
      <c r="CC336" s="102">
        <f t="shared" ref="CC336" si="1283">SUM(CC337:CC339)</f>
        <v>1</v>
      </c>
      <c r="CD336" s="658" t="s">
        <v>185</v>
      </c>
      <c r="CJ336" s="102">
        <f t="shared" si="1273"/>
        <v>1</v>
      </c>
      <c r="CK336" s="179">
        <f t="shared" ref="CK336:CL336" si="1284">SUMIF($D$5:$D$319,"=has",CK5:CK319)+SUMIF($D$5:$D$319,"=ham",CK5:CK319)+SUMIF($D$5:$D$319,"=har",CK5:CK319)+SUMIF($D$5:$D$319,"=haz",CK5:CK319)</f>
        <v>5953815</v>
      </c>
      <c r="CL336" s="237">
        <f t="shared" si="1284"/>
        <v>33081.300000000003</v>
      </c>
      <c r="CQ336" s="179">
        <f t="shared" ref="CQ336" si="1285">SUMIF($D$5:$D$319,"=has",CQ5:CQ319)+SUMIF($D$5:$D$319,"=ham",CQ5:CQ319)+SUMIF($D$5:$D$319,"=har",CQ5:CQ319)+SUMIF($D$5:$D$319,"=haz",CQ5:CQ319)</f>
        <v>2172000</v>
      </c>
      <c r="CR336" s="102">
        <f t="shared" ref="CR336" si="1286">SUM(CR337:CR339)</f>
        <v>1</v>
      </c>
      <c r="CS336" s="179">
        <f t="shared" ref="CS336" si="1287">SUMIF($D$5:$D$319,"=has",CS5:CS319)+SUMIF($D$5:$D$319,"=ham",CS5:CS319)+SUMIF($D$5:$D$319,"=har",CS5:CS319)+SUMIF($D$5:$D$319,"=haz",CS5:CS319)</f>
        <v>24540</v>
      </c>
      <c r="CT336" s="102">
        <f t="shared" ref="CT336" si="1288">SUM(CT337:CT339)</f>
        <v>1</v>
      </c>
      <c r="CU336" s="658" t="s">
        <v>185</v>
      </c>
      <c r="DA336" s="102">
        <f t="shared" si="1273"/>
        <v>1</v>
      </c>
      <c r="DB336" s="179">
        <f t="shared" ref="DB336:DC336" si="1289">SUMIF($D$5:$D$319,"=has",DB5:DB319)+SUMIF($D$5:$D$319,"=ham",DB5:DB319)+SUMIF($D$5:$D$319,"=har",DB5:DB319)+SUMIF($D$5:$D$319,"=haz",DB5:DB319)</f>
        <v>6050520</v>
      </c>
      <c r="DC336" s="237">
        <f t="shared" si="1289"/>
        <v>33692.400000000001</v>
      </c>
      <c r="DH336" s="179">
        <f t="shared" ref="DH336" si="1290">SUMIF($D$5:$D$319,"=has",DH5:DH319)+SUMIF($D$5:$D$319,"=ham",DH5:DH319)+SUMIF($D$5:$D$319,"=har",DH5:DH319)+SUMIF($D$5:$D$319,"=haz",DH5:DH319)</f>
        <v>2172000</v>
      </c>
      <c r="DI336" s="102">
        <f t="shared" ref="DI336" si="1291">SUM(DI337:DI339)</f>
        <v>1</v>
      </c>
      <c r="DJ336" s="179">
        <f t="shared" ref="DJ336" si="1292">SUMIF($D$5:$D$319,"=has",DJ5:DJ319)+SUMIF($D$5:$D$319,"=ham",DJ5:DJ319)+SUMIF($D$5:$D$319,"=har",DJ5:DJ319)+SUMIF($D$5:$D$319,"=haz",DJ5:DJ319)</f>
        <v>24540</v>
      </c>
      <c r="DK336" s="102">
        <f t="shared" ref="DK336" si="1293">SUM(DK337:DK339)</f>
        <v>1</v>
      </c>
      <c r="DL336" s="658" t="s">
        <v>185</v>
      </c>
      <c r="DR336" s="102">
        <f t="shared" ref="DR336:FQ336" si="1294">SUM(DR337:DR339)</f>
        <v>0.99999999999999989</v>
      </c>
      <c r="DS336" s="179">
        <f t="shared" ref="DS336:DT336" si="1295">SUMIF($D$5:$D$319,"=has",DS5:DS319)+SUMIF($D$5:$D$319,"=ham",DS5:DS319)+SUMIF($D$5:$D$319,"=har",DS5:DS319)+SUMIF($D$5:$D$319,"=haz",DS5:DS319)</f>
        <v>6245100</v>
      </c>
      <c r="DT336" s="237">
        <f t="shared" si="1295"/>
        <v>34749</v>
      </c>
      <c r="DY336" s="179">
        <f t="shared" ref="DY336" si="1296">SUMIF($D$5:$D$319,"=has",DY5:DY319)+SUMIF($D$5:$D$319,"=ham",DY5:DY319)+SUMIF($D$5:$D$319,"=har",DY5:DY319)+SUMIF($D$5:$D$319,"=haz",DY5:DY319)</f>
        <v>2172000</v>
      </c>
      <c r="DZ336" s="102">
        <f t="shared" ref="DZ336" si="1297">SUM(DZ337:DZ339)</f>
        <v>1</v>
      </c>
      <c r="EA336" s="179">
        <f t="shared" ref="EA336" si="1298">SUMIF($D$5:$D$319,"=has",EA5:EA319)+SUMIF($D$5:$D$319,"=ham",EA5:EA319)+SUMIF($D$5:$D$319,"=har",EA5:EA319)+SUMIF($D$5:$D$319,"=haz",EA5:EA319)</f>
        <v>24540</v>
      </c>
      <c r="EB336" s="102">
        <f t="shared" ref="EB336" si="1299">SUM(EB337:EB339)</f>
        <v>1</v>
      </c>
      <c r="EC336" s="658" t="s">
        <v>185</v>
      </c>
      <c r="EI336" s="102">
        <f t="shared" si="1294"/>
        <v>1</v>
      </c>
      <c r="EJ336" s="179">
        <f t="shared" ref="EJ336:EK336" si="1300">SUMIF($D$5:$D$319,"=has",EJ5:EJ319)+SUMIF($D$5:$D$319,"=ham",EJ5:EJ319)+SUMIF($D$5:$D$319,"=har",EJ5:EJ319)+SUMIF($D$5:$D$319,"=haz",EJ5:EJ319)</f>
        <v>6561150</v>
      </c>
      <c r="EK336" s="237">
        <f t="shared" si="1300"/>
        <v>36534</v>
      </c>
      <c r="EP336" s="179">
        <f t="shared" ref="EP336" si="1301">SUMIF($D$5:$D$319,"=has",EP5:EP319)+SUMIF($D$5:$D$319,"=ham",EP5:EP319)+SUMIF($D$5:$D$319,"=har",EP5:EP319)+SUMIF($D$5:$D$319,"=haz",EP5:EP319)</f>
        <v>2172000</v>
      </c>
      <c r="EQ336" s="102">
        <f t="shared" ref="EQ336" si="1302">SUM(EQ337:EQ339)</f>
        <v>1</v>
      </c>
      <c r="ER336" s="179">
        <f t="shared" ref="ER336" si="1303">SUMIF($D$5:$D$319,"=has",ER5:ER319)+SUMIF($D$5:$D$319,"=ham",ER5:ER319)+SUMIF($D$5:$D$319,"=har",ER5:ER319)+SUMIF($D$5:$D$319,"=haz",ER5:ER319)</f>
        <v>24540</v>
      </c>
      <c r="ES336" s="102">
        <f t="shared" ref="ES336" si="1304">SUM(ES337:ES339)</f>
        <v>1</v>
      </c>
      <c r="ET336" s="658" t="s">
        <v>185</v>
      </c>
      <c r="EZ336" s="102">
        <f t="shared" si="1294"/>
        <v>1</v>
      </c>
      <c r="FA336" s="179">
        <f t="shared" ref="FA336:FB336" si="1305">SUMIF($D$5:$D$319,"=has",FA5:FA319)+SUMIF($D$5:$D$319,"=ham",FA5:FA319)+SUMIF($D$5:$D$319,"=har",FA5:FA319)+SUMIF($D$5:$D$319,"=haz",FA5:FA319)</f>
        <v>6561150</v>
      </c>
      <c r="FB336" s="237">
        <f t="shared" si="1305"/>
        <v>36534</v>
      </c>
      <c r="FG336" s="179">
        <f t="shared" ref="FG336" si="1306">SUMIF($D$5:$D$319,"=has",FG5:FG319)+SUMIF($D$5:$D$319,"=ham",FG5:FG319)+SUMIF($D$5:$D$319,"=har",FG5:FG319)+SUMIF($D$5:$D$319,"=haz",FG5:FG319)</f>
        <v>2172000</v>
      </c>
      <c r="FH336" s="102">
        <f t="shared" ref="FH336" si="1307">SUM(FH337:FH339)</f>
        <v>1</v>
      </c>
      <c r="FI336" s="179">
        <f t="shared" ref="FI336" si="1308">SUMIF($D$5:$D$319,"=has",FI5:FI319)+SUMIF($D$5:$D$319,"=ham",FI5:FI319)+SUMIF($D$5:$D$319,"=har",FI5:FI319)+SUMIF($D$5:$D$319,"=haz",FI5:FI319)</f>
        <v>24540</v>
      </c>
      <c r="FJ336" s="102">
        <f t="shared" ref="FJ336" si="1309">SUM(FJ337:FJ339)</f>
        <v>1</v>
      </c>
      <c r="FK336" s="658" t="s">
        <v>185</v>
      </c>
      <c r="FQ336" s="102">
        <f t="shared" si="1294"/>
        <v>1</v>
      </c>
      <c r="FR336" s="179">
        <f t="shared" ref="FR336:FS336" si="1310">SUMIF($D$5:$D$319,"=has",FR5:FR319)+SUMIF($D$5:$D$319,"=ham",FR5:FR319)+SUMIF($D$5:$D$319,"=har",FR5:FR319)+SUMIF($D$5:$D$319,"=haz",FR5:FR319)</f>
        <v>6561150</v>
      </c>
      <c r="FS336" s="237">
        <f t="shared" si="1310"/>
        <v>36534</v>
      </c>
    </row>
    <row r="337" spans="1:175" s="10" customFormat="1" hidden="1" x14ac:dyDescent="0.3">
      <c r="A337" s="656" t="s">
        <v>180</v>
      </c>
      <c r="V337" s="217">
        <v>16</v>
      </c>
      <c r="AA337" s="179">
        <f>SUMIF($D$5:$D$319,"=has",AA5:AA319)*HLOOKUP(AC322,Verteil_sw,22,FALSE)+SUMIF($D$5:$D$319,"=ham",AA5:AA319)*HLOOKUP(AC322,Verteil_sw,23,FALSE)+SUMIF($D$5:$D$319,"=har",AA5:AA319)*HLOOKUP(AC322,Verteil_sw,24,FALSE)+SUMIF($D$5:$D$319,"=haz",AA5:AA319)*HLOOKUP(AC322,Verteil_sw,25,FALSE)</f>
        <v>1177500</v>
      </c>
      <c r="AB337" s="102">
        <f t="shared" ref="AB337:AD337" si="1311">IF(AA336&lt;&gt;0,AA337/AA336,0)</f>
        <v>0.54212707182320441</v>
      </c>
      <c r="AC337" s="179">
        <f>SUMIF($D$5:$D$319,"=has",AC5:AC319)*HLOOKUP(AC322,Verteil_sw,22,FALSE)+SUMIF($D$5:$D$319,"=ham",AC5:AC319)*HLOOKUP(AC322,Verteil_sw,23,FALSE)+SUMIF($D$5:$D$319,"=har",AC5:AC319)*HLOOKUP(AC322,Verteil_sw,24,FALSE)+SUMIF($D$5:$D$319,"=haz",AC5:AC319)*HLOOKUP(AC322,Verteil_sw,25,FALSE)</f>
        <v>14100</v>
      </c>
      <c r="AD337" s="102">
        <f t="shared" si="1311"/>
        <v>0.57457212713936434</v>
      </c>
      <c r="AE337" s="656" t="s">
        <v>180</v>
      </c>
      <c r="AK337" s="102">
        <f t="shared" ref="AK337" si="1312">IF(AM336&lt;&gt;0,AM337/AM336,0)</f>
        <v>0.56842714870266109</v>
      </c>
      <c r="AL337" s="179">
        <f>SUMIF($D$5:$D$319,"=has",AL5:AL319)*HLOOKUP(AC322,Verteil_sw,22,FALSE)+SUMIF($D$5:$D$319,"=ham",AL5:AL319)*HLOOKUP(AC322,Verteil_sw,23,FALSE)+SUMIF($D$5:$D$319,"=har",AL5:AL319)*HLOOKUP(AC322,Verteil_sw,24,FALSE)+SUMIF($D$5:$D$319,"=haz",AL5:AL319)*HLOOKUP(AC322,Verteil_sw,25,FALSE)</f>
        <v>2948745</v>
      </c>
      <c r="AM337" s="237">
        <f>SUMIF($D$5:$D$319,"=has",AM5:AM319)*HLOOKUP(AC322,Verteil_sw,22,FALSE)+SUMIF($D$5:$D$319,"=ham",AM5:AM319)*HLOOKUP(AC322,Verteil_sw,23,FALSE)+SUMIF($D$5:$D$319,"=har",AM5:AM319)*HLOOKUP(AC322,Verteil_sw,24,FALSE)+SUMIF($D$5:$D$319,"=haz",AM5:AM319)*HLOOKUP(AC322,Verteil_sw,25,FALSE)</f>
        <v>17961.900000000001</v>
      </c>
      <c r="AR337" s="179">
        <f>SUMIF($D$5:$D$319,"=has",AR5:AR319)*HLOOKUP(AT322,Verteil_sw,22,FALSE)+SUMIF($D$5:$D$319,"=ham",AR5:AR319)*HLOOKUP(AT322,Verteil_sw,23,FALSE)+SUMIF($D$5:$D$319,"=har",AR5:AR319)*HLOOKUP(AT322,Verteil_sw,24,FALSE)+SUMIF($D$5:$D$319,"=haz",AR5:AR319)*HLOOKUP(AT322,Verteil_sw,25,FALSE)</f>
        <v>1177500</v>
      </c>
      <c r="AS337" s="102">
        <f t="shared" ref="AS337" si="1313">IF(AR336&lt;&gt;0,AR337/AR336,0)</f>
        <v>0.54212707182320441</v>
      </c>
      <c r="AT337" s="179">
        <f>SUMIF($D$5:$D$319,"=has",AT5:AT319)*HLOOKUP(AT322,Verteil_sw,22,FALSE)+SUMIF($D$5:$D$319,"=ham",AT5:AT319)*HLOOKUP(AT322,Verteil_sw,23,FALSE)+SUMIF($D$5:$D$319,"=har",AT5:AT319)*HLOOKUP(AT322,Verteil_sw,24,FALSE)+SUMIF($D$5:$D$319,"=haz",AT5:AT319)*HLOOKUP(AT322,Verteil_sw,25,FALSE)</f>
        <v>14100</v>
      </c>
      <c r="AU337" s="102">
        <f t="shared" ref="AU337" si="1314">IF(AT336&lt;&gt;0,AT337/AT336,0)</f>
        <v>0.57457212713936434</v>
      </c>
      <c r="AV337" s="659" t="s">
        <v>180</v>
      </c>
      <c r="BB337" s="102">
        <f t="shared" ref="BB337" si="1315">IF(BD336&lt;&gt;0,BD337/BD336,0)</f>
        <v>0.56845923591230796</v>
      </c>
      <c r="BC337" s="179">
        <f>SUMIF($D$5:$D$319,"=has",BC5:BC319)*HLOOKUP(AT322,Verteil_sw,22,FALSE)+SUMIF($D$5:$D$319,"=ham",BC5:BC319)*HLOOKUP(AT322,Verteil_sw,23,FALSE)+SUMIF($D$5:$D$319,"=har",BC5:BC319)*HLOOKUP(AT322,Verteil_sw,24,FALSE)+SUMIF($D$5:$D$319,"=haz",BC5:BC319)*HLOOKUP(AT322,Verteil_sw,25,FALSE)</f>
        <v>3002865</v>
      </c>
      <c r="BD337" s="237">
        <f>SUMIF($D$5:$D$319,"=has",BD5:BD319)*HLOOKUP(AT322,Verteil_sw,22,FALSE)+SUMIF($D$5:$D$319,"=ham",BD5:BD319)*HLOOKUP(AT322,Verteil_sw,23,FALSE)+SUMIF($D$5:$D$319,"=har",BD5:BD319)*HLOOKUP(AT322,Verteil_sw,24,FALSE)+SUMIF($D$5:$D$319,"=haz",BD5:BD319)*HLOOKUP(AT322,Verteil_sw,25,FALSE)</f>
        <v>18288.3</v>
      </c>
      <c r="BI337" s="179">
        <f>SUMIF($D$5:$D$319,"=has",BI5:BI319)*HLOOKUP(BK322,Verteil_sw,22,FALSE)+SUMIF($D$5:$D$319,"=ham",BI5:BI319)*HLOOKUP(BK322,Verteil_sw,23,FALSE)+SUMIF($D$5:$D$319,"=har",BI5:BI319)*HLOOKUP(BK322,Verteil_sw,24,FALSE)+SUMIF($D$5:$D$319,"=haz",BI5:BI319)*HLOOKUP(BK322,Verteil_sw,25,FALSE)</f>
        <v>1177500</v>
      </c>
      <c r="BJ337" s="102">
        <f t="shared" ref="BJ337" si="1316">IF(BI336&lt;&gt;0,BI337/BI336,0)</f>
        <v>0.54212707182320441</v>
      </c>
      <c r="BK337" s="179">
        <f>SUMIF($D$5:$D$319,"=has",BK5:BK319)*HLOOKUP(BK322,Verteil_sw,22,FALSE)+SUMIF($D$5:$D$319,"=ham",BK5:BK319)*HLOOKUP(BK322,Verteil_sw,23,FALSE)+SUMIF($D$5:$D$319,"=har",BK5:BK319)*HLOOKUP(BK322,Verteil_sw,24,FALSE)+SUMIF($D$5:$D$319,"=haz",BK5:BK319)*HLOOKUP(BK322,Verteil_sw,25,FALSE)</f>
        <v>14100</v>
      </c>
      <c r="BL337" s="102">
        <f t="shared" ref="BL337" si="1317">IF(BK336&lt;&gt;0,BK337/BK336,0)</f>
        <v>0.57457212713936434</v>
      </c>
      <c r="BM337" s="659" t="s">
        <v>180</v>
      </c>
      <c r="BS337" s="102">
        <f t="shared" ref="BS337" si="1318">IF(BU336&lt;&gt;0,BU337/BU336,0)</f>
        <v>0.5684567759688145</v>
      </c>
      <c r="BT337" s="179">
        <f>SUMIF($D$5:$D$319,"=has",BT5:BT319)*HLOOKUP(BK322,Verteil_sw,22,FALSE)+SUMIF($D$5:$D$319,"=ham",BT5:BT319)*HLOOKUP(BK322,Verteil_sw,23,FALSE)+SUMIF($D$5:$D$319,"=har",BT5:BT319)*HLOOKUP(BK322,Verteil_sw,24,FALSE)+SUMIF($D$5:$D$319,"=haz",BT5:BT319)*HLOOKUP(BK322,Verteil_sw,25,FALSE)</f>
        <v>3055890</v>
      </c>
      <c r="BU337" s="237">
        <f>SUMIF($D$5:$D$319,"=has",BU5:BU319)*HLOOKUP(BK322,Verteil_sw,22,FALSE)+SUMIF($D$5:$D$319,"=ham",BU5:BU319)*HLOOKUP(BK322,Verteil_sw,23,FALSE)+SUMIF($D$5:$D$319,"=har",BU5:BU319)*HLOOKUP(BK322,Verteil_sw,24,FALSE)+SUMIF($D$5:$D$319,"=haz",BU5:BU319)*HLOOKUP(BK322,Verteil_sw,25,FALSE)</f>
        <v>18592.8</v>
      </c>
      <c r="BZ337" s="179">
        <f>SUMIF($D$5:$D$319,"=has",BZ5:BZ319)*HLOOKUP(CB322,Verteil_sw,22,FALSE)+SUMIF($D$5:$D$319,"=ham",BZ5:BZ319)*HLOOKUP(CB322,Verteil_sw,23,FALSE)+SUMIF($D$5:$D$319,"=har",BZ5:BZ319)*HLOOKUP(CB322,Verteil_sw,24,FALSE)+SUMIF($D$5:$D$319,"=haz",BZ5:BZ319)*HLOOKUP(CB322,Verteil_sw,25,FALSE)</f>
        <v>1177500</v>
      </c>
      <c r="CA337" s="102">
        <f t="shared" ref="CA337" si="1319">IF(BZ336&lt;&gt;0,BZ337/BZ336,0)</f>
        <v>0.54212707182320441</v>
      </c>
      <c r="CB337" s="179">
        <f>SUMIF($D$5:$D$319,"=has",CB5:CB319)*HLOOKUP(CB322,Verteil_sw,22,FALSE)+SUMIF($D$5:$D$319,"=ham",CB5:CB319)*HLOOKUP(CB322,Verteil_sw,23,FALSE)+SUMIF($D$5:$D$319,"=har",CB5:CB319)*HLOOKUP(CB322,Verteil_sw,24,FALSE)+SUMIF($D$5:$D$319,"=haz",CB5:CB319)*HLOOKUP(CB322,Verteil_sw,25,FALSE)</f>
        <v>14100</v>
      </c>
      <c r="CC337" s="102">
        <f t="shared" ref="CC337" si="1320">IF(CB336&lt;&gt;0,CB337/CB336,0)</f>
        <v>0.57457212713936434</v>
      </c>
      <c r="CD337" s="659" t="s">
        <v>180</v>
      </c>
      <c r="CJ337" s="102">
        <f t="shared" ref="CJ337" si="1321">IF(CL336&lt;&gt;0,CL337/CL336,0)</f>
        <v>0.56850395842968682</v>
      </c>
      <c r="CK337" s="179">
        <f>SUMIF($D$5:$D$319,"=has",CK5:CK319)*HLOOKUP(CB322,Verteil_sw,22,FALSE)+SUMIF($D$5:$D$319,"=ham",CK5:CK319)*HLOOKUP(CB322,Verteil_sw,23,FALSE)+SUMIF($D$5:$D$319,"=har",CK5:CK319)*HLOOKUP(CB322,Verteil_sw,24,FALSE)+SUMIF($D$5:$D$319,"=haz",CK5:CK319)*HLOOKUP(CB322,Verteil_sw,25,FALSE)</f>
        <v>3090217.5</v>
      </c>
      <c r="CL337" s="237">
        <f>SUMIF($D$5:$D$319,"=has",CL5:CL319)*HLOOKUP(CB322,Verteil_sw,22,FALSE)+SUMIF($D$5:$D$319,"=ham",CL5:CL319)*HLOOKUP(CB322,Verteil_sw,23,FALSE)+SUMIF($D$5:$D$319,"=har",CL5:CL319)*HLOOKUP(CB322,Verteil_sw,24,FALSE)+SUMIF($D$5:$D$319,"=haz",CL5:CL319)*HLOOKUP(CB322,Verteil_sw,25,FALSE)</f>
        <v>18806.849999999999</v>
      </c>
      <c r="CQ337" s="179">
        <f>SUMIF($D$5:$D$319,"=has",CQ5:CQ319)*HLOOKUP(CS322,Verteil_sw,22,FALSE)+SUMIF($D$5:$D$319,"=ham",CQ5:CQ319)*HLOOKUP(CS322,Verteil_sw,23,FALSE)+SUMIF($D$5:$D$319,"=har",CQ5:CQ319)*HLOOKUP(CS322,Verteil_sw,24,FALSE)+SUMIF($D$5:$D$319,"=haz",CQ5:CQ319)*HLOOKUP(CS322,Verteil_sw,25,FALSE)</f>
        <v>1177500</v>
      </c>
      <c r="CR337" s="102">
        <f t="shared" ref="CR337" si="1322">IF(CQ336&lt;&gt;0,CQ337/CQ336,0)</f>
        <v>0.54212707182320441</v>
      </c>
      <c r="CS337" s="179">
        <f>SUMIF($D$5:$D$319,"=has",CS5:CS319)*HLOOKUP(CS322,Verteil_sw,22,FALSE)+SUMIF($D$5:$D$319,"=ham",CS5:CS319)*HLOOKUP(CS322,Verteil_sw,23,FALSE)+SUMIF($D$5:$D$319,"=har",CS5:CS319)*HLOOKUP(CS322,Verteil_sw,24,FALSE)+SUMIF($D$5:$D$319,"=haz",CS5:CS319)*HLOOKUP(CS322,Verteil_sw,25,FALSE)</f>
        <v>14100</v>
      </c>
      <c r="CT337" s="102">
        <f t="shared" ref="CT337" si="1323">IF(CS336&lt;&gt;0,CS337/CS336,0)</f>
        <v>0.57457212713936434</v>
      </c>
      <c r="CU337" s="659" t="s">
        <v>180</v>
      </c>
      <c r="DA337" s="102">
        <f t="shared" ref="DA337" si="1324">IF(DC336&lt;&gt;0,DC337/DC336,0)</f>
        <v>0.56850357944224805</v>
      </c>
      <c r="DB337" s="179">
        <f>SUMIF($D$5:$D$319,"=has",DB5:DB319)*HLOOKUP(CS322,Verteil_sw,22,FALSE)+SUMIF($D$5:$D$319,"=ham",DB5:DB319)*HLOOKUP(CS322,Verteil_sw,23,FALSE)+SUMIF($D$5:$D$319,"=har",DB5:DB319)*HLOOKUP(CS322,Verteil_sw,24,FALSE)+SUMIF($D$5:$D$319,"=haz",DB5:DB319)*HLOOKUP(CS322,Verteil_sw,25,FALSE)</f>
        <v>3140662.5</v>
      </c>
      <c r="DC337" s="237">
        <f>SUMIF($D$5:$D$319,"=has",DC5:DC319)*HLOOKUP(CS322,Verteil_sw,22,FALSE)+SUMIF($D$5:$D$319,"=ham",DC5:DC319)*HLOOKUP(CS322,Verteil_sw,23,FALSE)+SUMIF($D$5:$D$319,"=har",DC5:DC319)*HLOOKUP(CS322,Verteil_sw,24,FALSE)+SUMIF($D$5:$D$319,"=haz",DC5:DC319)*HLOOKUP(CS322,Verteil_sw,25,FALSE)</f>
        <v>19154.25</v>
      </c>
      <c r="DH337" s="179">
        <f>SUMIF($D$5:$D$319,"=has",DH5:DH319)*HLOOKUP(DJ322,Verteil_sw,22,FALSE)+SUMIF($D$5:$D$319,"=ham",DH5:DH319)*HLOOKUP(DJ322,Verteil_sw,23,FALSE)+SUMIF($D$5:$D$319,"=har",DH5:DH319)*HLOOKUP(DJ322,Verteil_sw,24,FALSE)+SUMIF($D$5:$D$319,"=haz",DH5:DH319)*HLOOKUP(DJ322,Verteil_sw,25,FALSE)</f>
        <v>1177500</v>
      </c>
      <c r="DI337" s="102">
        <f t="shared" ref="DI337" si="1325">IF(DH336&lt;&gt;0,DH337/DH336,0)</f>
        <v>0.54212707182320441</v>
      </c>
      <c r="DJ337" s="179">
        <f>SUMIF($D$5:$D$319,"=has",DJ5:DJ319)*HLOOKUP(DJ322,Verteil_sw,22,FALSE)+SUMIF($D$5:$D$319,"=ham",DJ5:DJ319)*HLOOKUP(DJ322,Verteil_sw,23,FALSE)+SUMIF($D$5:$D$319,"=har",DJ5:DJ319)*HLOOKUP(DJ322,Verteil_sw,24,FALSE)+SUMIF($D$5:$D$319,"=haz",DJ5:DJ319)*HLOOKUP(DJ322,Verteil_sw,25,FALSE)</f>
        <v>14100</v>
      </c>
      <c r="DK337" s="102">
        <f t="shared" ref="DK337" si="1326">IF(DJ336&lt;&gt;0,DJ337/DJ336,0)</f>
        <v>0.57457212713936434</v>
      </c>
      <c r="DL337" s="659" t="s">
        <v>180</v>
      </c>
      <c r="DR337" s="102">
        <f t="shared" ref="DR337" si="1327">IF(DT336&lt;&gt;0,DT337/DT336,0)</f>
        <v>0.56847535180868503</v>
      </c>
      <c r="DS337" s="179">
        <f>SUMIF($D$5:$D$319,"=has",DS5:DS319)*HLOOKUP(DJ322,Verteil_sw,22,FALSE)+SUMIF($D$5:$D$319,"=ham",DS5:DS319)*HLOOKUP(DJ322,Verteil_sw,23,FALSE)+SUMIF($D$5:$D$319,"=har",DS5:DS319)*HLOOKUP(DJ322,Verteil_sw,24,FALSE)+SUMIF($D$5:$D$319,"=haz",DS5:DS319)*HLOOKUP(DJ322,Verteil_sw,25,FALSE)</f>
        <v>3241522.5</v>
      </c>
      <c r="DT337" s="237">
        <f>SUMIF($D$5:$D$319,"=has",DT5:DT319)*HLOOKUP(DJ322,Verteil_sw,22,FALSE)+SUMIF($D$5:$D$319,"=ham",DT5:DT319)*HLOOKUP(DJ322,Verteil_sw,23,FALSE)+SUMIF($D$5:$D$319,"=har",DT5:DT319)*HLOOKUP(DJ322,Verteil_sw,24,FALSE)+SUMIF($D$5:$D$319,"=haz",DT5:DT319)*HLOOKUP(DJ322,Verteil_sw,25,FALSE)</f>
        <v>19753.949999999997</v>
      </c>
      <c r="DY337" s="179">
        <f>SUMIF($D$5:$D$319,"=has",DY5:DY319)*HLOOKUP(EA322,Verteil_sw,22,FALSE)+SUMIF($D$5:$D$319,"=ham",DY5:DY319)*HLOOKUP(EA322,Verteil_sw,23,FALSE)+SUMIF($D$5:$D$319,"=har",DY5:DY319)*HLOOKUP(EA322,Verteil_sw,24,FALSE)+SUMIF($D$5:$D$319,"=haz",DY5:DY319)*HLOOKUP(EA322,Verteil_sw,25,FALSE)</f>
        <v>1177500</v>
      </c>
      <c r="DZ337" s="102">
        <f t="shared" ref="DZ337" si="1328">IF(DY336&lt;&gt;0,DY337/DY336,0)</f>
        <v>0.54212707182320441</v>
      </c>
      <c r="EA337" s="179">
        <f>SUMIF($D$5:$D$319,"=has",EA5:EA319)*HLOOKUP(EA322,Verteil_sw,22,FALSE)+SUMIF($D$5:$D$319,"=ham",EA5:EA319)*HLOOKUP(EA322,Verteil_sw,23,FALSE)+SUMIF($D$5:$D$319,"=har",EA5:EA319)*HLOOKUP(EA322,Verteil_sw,24,FALSE)+SUMIF($D$5:$D$319,"=haz",EA5:EA319)*HLOOKUP(EA322,Verteil_sw,25,FALSE)</f>
        <v>14100</v>
      </c>
      <c r="EB337" s="102">
        <f t="shared" ref="EB337" si="1329">IF(EA336&lt;&gt;0,EA337/EA336,0)</f>
        <v>0.57457212713936434</v>
      </c>
      <c r="EC337" s="659" t="s">
        <v>180</v>
      </c>
      <c r="EI337" s="102">
        <f t="shared" ref="EI337" si="1330">IF(EK336&lt;&gt;0,EK337/EK336,0)</f>
        <v>0.56852110362949582</v>
      </c>
      <c r="EJ337" s="179">
        <f>SUMIF($D$5:$D$319,"=has",EJ5:EJ319)*HLOOKUP(EA322,Verteil_sw,22,FALSE)+SUMIF($D$5:$D$319,"=ham",EJ5:EJ319)*HLOOKUP(EA322,Verteil_sw,23,FALSE)+SUMIF($D$5:$D$319,"=har",EJ5:EJ319)*HLOOKUP(EA322,Verteil_sw,24,FALSE)+SUMIF($D$5:$D$319,"=haz",EJ5:EJ319)*HLOOKUP(EA322,Verteil_sw,25,FALSE)</f>
        <v>3405742.5</v>
      </c>
      <c r="EK337" s="237">
        <f>SUMIF($D$5:$D$319,"=has",EK5:EK319)*HLOOKUP(EA322,Verteil_sw,22,FALSE)+SUMIF($D$5:$D$319,"=ham",EK5:EK319)*HLOOKUP(EA322,Verteil_sw,23,FALSE)+SUMIF($D$5:$D$319,"=har",EK5:EK319)*HLOOKUP(EA322,Verteil_sw,24,FALSE)+SUMIF($D$5:$D$319,"=haz",EK5:EK319)*HLOOKUP(EA322,Verteil_sw,25,FALSE)</f>
        <v>20770.349999999999</v>
      </c>
      <c r="EP337" s="179">
        <f>SUMIF($D$5:$D$319,"=has",EP5:EP319)*HLOOKUP(ER322,Verteil_sw,22,FALSE)+SUMIF($D$5:$D$319,"=ham",EP5:EP319)*HLOOKUP(ER322,Verteil_sw,23,FALSE)+SUMIF($D$5:$D$319,"=har",EP5:EP319)*HLOOKUP(ER322,Verteil_sw,24,FALSE)+SUMIF($D$5:$D$319,"=haz",EP5:EP319)*HLOOKUP(ER322,Verteil_sw,25,FALSE)</f>
        <v>1177500</v>
      </c>
      <c r="EQ337" s="102">
        <f t="shared" ref="EQ337" si="1331">IF(EP336&lt;&gt;0,EP337/EP336,0)</f>
        <v>0.54212707182320441</v>
      </c>
      <c r="ER337" s="179">
        <f>SUMIF($D$5:$D$319,"=has",ER5:ER319)*HLOOKUP(ER322,Verteil_sw,22,FALSE)+SUMIF($D$5:$D$319,"=ham",ER5:ER319)*HLOOKUP(ER322,Verteil_sw,23,FALSE)+SUMIF($D$5:$D$319,"=har",ER5:ER319)*HLOOKUP(ER322,Verteil_sw,24,FALSE)+SUMIF($D$5:$D$319,"=haz",ER5:ER319)*HLOOKUP(ER322,Verteil_sw,25,FALSE)</f>
        <v>14100</v>
      </c>
      <c r="ES337" s="102">
        <f t="shared" ref="ES337" si="1332">IF(ER336&lt;&gt;0,ER337/ER336,0)</f>
        <v>0.57457212713936434</v>
      </c>
      <c r="ET337" s="659" t="s">
        <v>180</v>
      </c>
      <c r="EZ337" s="102">
        <f t="shared" ref="EZ337" si="1333">IF(FB336&lt;&gt;0,FB337/FB336,0)</f>
        <v>0.56852110362949582</v>
      </c>
      <c r="FA337" s="179">
        <f>SUMIF($D$5:$D$319,"=has",FA5:FA319)*HLOOKUP(ER322,Verteil_sw,22,FALSE)+SUMIF($D$5:$D$319,"=ham",FA5:FA319)*HLOOKUP(ER322,Verteil_sw,23,FALSE)+SUMIF($D$5:$D$319,"=har",FA5:FA319)*HLOOKUP(ER322,Verteil_sw,24,FALSE)+SUMIF($D$5:$D$319,"=haz",FA5:FA319)*HLOOKUP(ER322,Verteil_sw,25,FALSE)</f>
        <v>3405742.5</v>
      </c>
      <c r="FB337" s="237">
        <f>SUMIF($D$5:$D$319,"=has",FB5:FB319)*HLOOKUP(ER322,Verteil_sw,22,FALSE)+SUMIF($D$5:$D$319,"=ham",FB5:FB319)*HLOOKUP(ER322,Verteil_sw,23,FALSE)+SUMIF($D$5:$D$319,"=har",FB5:FB319)*HLOOKUP(ER322,Verteil_sw,24,FALSE)+SUMIF($D$5:$D$319,"=haz",FB5:FB319)*HLOOKUP(ER322,Verteil_sw,25,FALSE)</f>
        <v>20770.349999999999</v>
      </c>
      <c r="FG337" s="179">
        <f>SUMIF($D$5:$D$319,"=has",FG5:FG319)*HLOOKUP(FI322,Verteil_sw,22,FALSE)+SUMIF($D$5:$D$319,"=ham",FG5:FG319)*HLOOKUP(FI322,Verteil_sw,23,FALSE)+SUMIF($D$5:$D$319,"=har",FG5:FG319)*HLOOKUP(FI322,Verteil_sw,24,FALSE)+SUMIF($D$5:$D$319,"=haz",FG5:FG319)*HLOOKUP(FI322,Verteil_sw,25,FALSE)</f>
        <v>1177500</v>
      </c>
      <c r="FH337" s="102">
        <f t="shared" ref="FH337" si="1334">IF(FG336&lt;&gt;0,FG337/FG336,0)</f>
        <v>0.54212707182320441</v>
      </c>
      <c r="FI337" s="179">
        <f>SUMIF($D$5:$D$319,"=has",FI5:FI319)*HLOOKUP(FI322,Verteil_sw,22,FALSE)+SUMIF($D$5:$D$319,"=ham",FI5:FI319)*HLOOKUP(FI322,Verteil_sw,23,FALSE)+SUMIF($D$5:$D$319,"=har",FI5:FI319)*HLOOKUP(FI322,Verteil_sw,24,FALSE)+SUMIF($D$5:$D$319,"=haz",FI5:FI319)*HLOOKUP(FI322,Verteil_sw,25,FALSE)</f>
        <v>14100</v>
      </c>
      <c r="FJ337" s="102">
        <f t="shared" ref="FJ337" si="1335">IF(FI336&lt;&gt;0,FI337/FI336,0)</f>
        <v>0.57457212713936434</v>
      </c>
      <c r="FK337" s="659" t="s">
        <v>180</v>
      </c>
      <c r="FQ337" s="102">
        <f t="shared" ref="FQ337" si="1336">IF(FS336&lt;&gt;0,FS337/FS336,0)</f>
        <v>0.56852110362949582</v>
      </c>
      <c r="FR337" s="179">
        <f>SUMIF($D$5:$D$319,"=has",FR5:FR319)*HLOOKUP(FI322,Verteil_sw,22,FALSE)+SUMIF($D$5:$D$319,"=ham",FR5:FR319)*HLOOKUP(FI322,Verteil_sw,23,FALSE)+SUMIF($D$5:$D$319,"=har",FR5:FR319)*HLOOKUP(FI322,Verteil_sw,24,FALSE)+SUMIF($D$5:$D$319,"=haz",FR5:FR319)*HLOOKUP(FI322,Verteil_sw,25,FALSE)</f>
        <v>3405742.5</v>
      </c>
      <c r="FS337" s="237">
        <f>SUMIF($D$5:$D$319,"=has",FS5:FS319)*HLOOKUP(FI322,Verteil_sw,22,FALSE)+SUMIF($D$5:$D$319,"=ham",FS5:FS319)*HLOOKUP(FI322,Verteil_sw,23,FALSE)+SUMIF($D$5:$D$319,"=har",FS5:FS319)*HLOOKUP(FI322,Verteil_sw,24,FALSE)+SUMIF($D$5:$D$319,"=haz",FS5:FS319)*HLOOKUP(FI322,Verteil_sw,25,FALSE)</f>
        <v>20770.349999999999</v>
      </c>
    </row>
    <row r="338" spans="1:175" s="10" customFormat="1" hidden="1" x14ac:dyDescent="0.3">
      <c r="A338" s="656" t="s">
        <v>181</v>
      </c>
      <c r="V338" s="217">
        <v>17</v>
      </c>
      <c r="AA338" s="179">
        <f>SUMIF($D$5:$D$319,"=has",AA5:AA319)*HLOOKUP(AC322,Verteil_rwgr,21,FALSE)+SUMIF($D$5:$D$319,"=ham",AA5:AA319)*HLOOKUP(AC322,Verteil_rwgr,22,FALSE)+SUMIF($D$5:$D$319,"=har",AA5:AA319)*HLOOKUP(AC322,Verteil_rwgr,23,FALSE)+SUMIF($D$5:$D$319,"=haz",AA5:AA319)*HLOOKUP(AC322,Verteil_rwgr,24,FALSE)</f>
        <v>994500</v>
      </c>
      <c r="AB338" s="102">
        <f t="shared" ref="AB338:AD338" si="1337">IF(AA336&lt;&gt;0,AA338/AA336,0)</f>
        <v>0.45787292817679559</v>
      </c>
      <c r="AC338" s="179">
        <f>SUMIF($D$5:$D$319,"=has",AC5:AC319)*HLOOKUP(AC322,Verteil_rwgr,21,FALSE)+SUMIF($D$5:$D$319,"=ham",AC5:AC319)*HLOOKUP(AC322,Verteil_rwgr,22,FALSE)+SUMIF($D$5:$D$319,"=har",AC5:AC319)*HLOOKUP(AC322,Verteil_rwgr,23,FALSE)+SUMIF($D$5:$D$319,"=haz",AC5:AC319)*HLOOKUP(AC322,Verteil_rwgr,24,FALSE)</f>
        <v>10440</v>
      </c>
      <c r="AD338" s="102">
        <f t="shared" si="1337"/>
        <v>0.42542787286063571</v>
      </c>
      <c r="AE338" s="656" t="s">
        <v>181</v>
      </c>
      <c r="AK338" s="102">
        <f t="shared" ref="AK338" si="1338">IF(AM336&lt;&gt;0,AM338/AM336,0)</f>
        <v>0.4315728512973388</v>
      </c>
      <c r="AL338" s="179">
        <f>SUMIF($D$5:$D$319,"=has",AL5:AL319)*HLOOKUP(AC322,Verteil_rwgr,21,FALSE)+SUMIF($D$5:$D$319,"=ham",AL5:AL319)*HLOOKUP(AC322,Verteil_rwgr,22,FALSE)+SUMIF($D$5:$D$319,"=har",AL5:AL319)*HLOOKUP(AC322,Verteil_rwgr,23,FALSE)+SUMIF($D$5:$D$319,"=haz",AL5:AL319)*HLOOKUP(AC322,Verteil_rwgr,24,FALSE)</f>
        <v>2732520</v>
      </c>
      <c r="AM338" s="237">
        <f>SUMIF($D$5:$D$319,"=has",AM5:AM319)*HLOOKUP(AC322,Verteil_rwgr,21,FALSE)+SUMIF($D$5:$D$319,"=ham",AM5:AM319)*HLOOKUP(AC322,Verteil_rwgr,22,FALSE)+SUMIF($D$5:$D$319,"=har",AM5:AM319)*HLOOKUP(AC322,Verteil_rwgr,23,FALSE)+SUMIF($D$5:$D$319,"=haz",AM5:AM319)*HLOOKUP(AC322,Verteil_rwgr,24,FALSE)</f>
        <v>13637.4</v>
      </c>
      <c r="AR338" s="179">
        <f>SUMIF($D$5:$D$319,"=has",AR5:AR319)*HLOOKUP(AT322,Verteil_rwgr,21,FALSE)+SUMIF($D$5:$D$319,"=ham",AR5:AR319)*HLOOKUP(AT322,Verteil_rwgr,22,FALSE)+SUMIF($D$5:$D$319,"=har",AR5:AR319)*HLOOKUP(AT322,Verteil_rwgr,23,FALSE)+SUMIF($D$5:$D$319,"=haz",AR5:AR319)*HLOOKUP(AT322,Verteil_rwgr,24,FALSE)</f>
        <v>994500</v>
      </c>
      <c r="AS338" s="102">
        <f t="shared" ref="AS338" si="1339">IF(AR336&lt;&gt;0,AR338/AR336,0)</f>
        <v>0.45787292817679559</v>
      </c>
      <c r="AT338" s="179">
        <f>SUMIF($D$5:$D$319,"=has",AT5:AT319)*HLOOKUP(AT322,Verteil_rwgr,21,FALSE)+SUMIF($D$5:$D$319,"=ham",AT5:AT319)*HLOOKUP(AT322,Verteil_rwgr,22,FALSE)+SUMIF($D$5:$D$319,"=har",AT5:AT319)*HLOOKUP(AT322,Verteil_rwgr,23,FALSE)+SUMIF($D$5:$D$319,"=haz",AT5:AT319)*HLOOKUP(AT322,Verteil_rwgr,24,FALSE)</f>
        <v>10440</v>
      </c>
      <c r="AU338" s="102">
        <f t="shared" ref="AU338" si="1340">IF(AT336&lt;&gt;0,AT338/AT336,0)</f>
        <v>0.42542787286063571</v>
      </c>
      <c r="AV338" s="659" t="s">
        <v>181</v>
      </c>
      <c r="BB338" s="102">
        <f t="shared" ref="BB338" si="1341">IF(BD336&lt;&gt;0,BD338/BD336,0)</f>
        <v>0.43154076408769199</v>
      </c>
      <c r="BC338" s="179">
        <f>SUMIF($D$5:$D$319,"=has",BC5:BC319)*HLOOKUP(AT322,Verteil_rwgr,21,FALSE)+SUMIF($D$5:$D$319,"=ham",BC5:BC319)*HLOOKUP(AT322,Verteil_rwgr,22,FALSE)+SUMIF($D$5:$D$319,"=har",BC5:BC319)*HLOOKUP(AT322,Verteil_rwgr,23,FALSE)+SUMIF($D$5:$D$319,"=haz",BC5:BC319)*HLOOKUP(AT322,Verteil_rwgr,24,FALSE)</f>
        <v>2782620</v>
      </c>
      <c r="BD338" s="237">
        <f>SUMIF($D$5:$D$319,"=has",BD5:BD319)*HLOOKUP(AT322,Verteil_rwgr,21,FALSE)+SUMIF($D$5:$D$319,"=ham",BD5:BD319)*HLOOKUP(AT322,Verteil_rwgr,22,FALSE)+SUMIF($D$5:$D$319,"=har",BD5:BD319)*HLOOKUP(AT322,Verteil_rwgr,23,FALSE)+SUMIF($D$5:$D$319,"=haz",BD5:BD319)*HLOOKUP(AT322,Verteil_rwgr,24,FALSE)</f>
        <v>13883.400000000001</v>
      </c>
      <c r="BI338" s="179">
        <f>SUMIF($D$5:$D$319,"=has",BI5:BI319)*HLOOKUP(BK322,Verteil_rwgr,21,FALSE)+SUMIF($D$5:$D$319,"=ham",BI5:BI319)*HLOOKUP(BK322,Verteil_rwgr,22,FALSE)+SUMIF($D$5:$D$319,"=har",BI5:BI319)*HLOOKUP(BK322,Verteil_rwgr,23,FALSE)+SUMIF($D$5:$D$319,"=haz",BI5:BI319)*HLOOKUP(BK322,Verteil_rwgr,24,FALSE)</f>
        <v>994500</v>
      </c>
      <c r="BJ338" s="102">
        <f t="shared" ref="BJ338" si="1342">IF(BI336&lt;&gt;0,BI338/BI336,0)</f>
        <v>0.45787292817679559</v>
      </c>
      <c r="BK338" s="179">
        <f>SUMIF($D$5:$D$319,"=has",BK5:BK319)*HLOOKUP(BK322,Verteil_rwgr,21,FALSE)+SUMIF($D$5:$D$319,"=ham",BK5:BK319)*HLOOKUP(BK322,Verteil_rwgr,22,FALSE)+SUMIF($D$5:$D$319,"=har",BK5:BK319)*HLOOKUP(BK322,Verteil_rwgr,23,FALSE)+SUMIF($D$5:$D$319,"=haz",BK5:BK319)*HLOOKUP(BK322,Verteil_rwgr,24,FALSE)</f>
        <v>10440</v>
      </c>
      <c r="BL338" s="102">
        <f t="shared" ref="BL338" si="1343">IF(BK336&lt;&gt;0,BK338/BK336,0)</f>
        <v>0.42542787286063571</v>
      </c>
      <c r="BM338" s="659" t="s">
        <v>181</v>
      </c>
      <c r="BS338" s="102">
        <f t="shared" ref="BS338" si="1344">IF(BU336&lt;&gt;0,BU338/BU336,0)</f>
        <v>0.43154322403118545</v>
      </c>
      <c r="BT338" s="179">
        <f>SUMIF($D$5:$D$319,"=has",BT5:BT319)*HLOOKUP(BK322,Verteil_rwgr,21,FALSE)+SUMIF($D$5:$D$319,"=ham",BT5:BT319)*HLOOKUP(BK322,Verteil_rwgr,22,FALSE)+SUMIF($D$5:$D$319,"=har",BT5:BT319)*HLOOKUP(BK322,Verteil_rwgr,23,FALSE)+SUMIF($D$5:$D$319,"=haz",BT5:BT319)*HLOOKUP(BK322,Verteil_rwgr,24,FALSE)</f>
        <v>2831985</v>
      </c>
      <c r="BU338" s="237">
        <f>SUMIF($D$5:$D$319,"=has",BU5:BU319)*HLOOKUP(BK322,Verteil_rwgr,21,FALSE)+SUMIF($D$5:$D$319,"=ham",BU5:BU319)*HLOOKUP(BK322,Verteil_rwgr,22,FALSE)+SUMIF($D$5:$D$319,"=har",BU5:BU319)*HLOOKUP(BK322,Verteil_rwgr,23,FALSE)+SUMIF($D$5:$D$319,"=haz",BU5:BU319)*HLOOKUP(BK322,Verteil_rwgr,24,FALSE)</f>
        <v>14114.699999999997</v>
      </c>
      <c r="BZ338" s="179">
        <f>SUMIF($D$5:$D$319,"=has",BZ5:BZ319)*HLOOKUP(CB322,Verteil_rwgr,21,FALSE)+SUMIF($D$5:$D$319,"=ham",BZ5:BZ319)*HLOOKUP(CB322,Verteil_rwgr,22,FALSE)+SUMIF($D$5:$D$319,"=har",BZ5:BZ319)*HLOOKUP(CB322,Verteil_rwgr,23,FALSE)+SUMIF($D$5:$D$319,"=haz",BZ5:BZ319)*HLOOKUP(CB322,Verteil_rwgr,24,FALSE)</f>
        <v>994500</v>
      </c>
      <c r="CA338" s="102">
        <f t="shared" ref="CA338" si="1345">IF(BZ336&lt;&gt;0,BZ338/BZ336,0)</f>
        <v>0.45787292817679559</v>
      </c>
      <c r="CB338" s="179">
        <f>SUMIF($D$5:$D$319,"=has",CB5:CB319)*HLOOKUP(CB322,Verteil_rwgr,21,FALSE)+SUMIF($D$5:$D$319,"=ham",CB5:CB319)*HLOOKUP(CB322,Verteil_rwgr,22,FALSE)+SUMIF($D$5:$D$319,"=har",CB5:CB319)*HLOOKUP(CB322,Verteil_rwgr,23,FALSE)+SUMIF($D$5:$D$319,"=haz",CB5:CB319)*HLOOKUP(CB322,Verteil_rwgr,24,FALSE)</f>
        <v>10440</v>
      </c>
      <c r="CC338" s="102">
        <f t="shared" ref="CC338" si="1346">IF(CB336&lt;&gt;0,CB338/CB336,0)</f>
        <v>0.42542787286063571</v>
      </c>
      <c r="CD338" s="659" t="s">
        <v>181</v>
      </c>
      <c r="CJ338" s="102">
        <f t="shared" ref="CJ338" si="1347">IF(CL336&lt;&gt;0,CL338/CL336,0)</f>
        <v>0.43149604157031313</v>
      </c>
      <c r="CK338" s="179">
        <f>SUMIF($D$5:$D$319,"=has",CK5:CK319)*HLOOKUP(CB322,Verteil_rwgr,21,FALSE)+SUMIF($D$5:$D$319,"=ham",CK5:CK319)*HLOOKUP(CB322,Verteil_rwgr,22,FALSE)+SUMIF($D$5:$D$319,"=har",CK5:CK319)*HLOOKUP(CB322,Verteil_rwgr,23,FALSE)+SUMIF($D$5:$D$319,"=haz",CK5:CK319)*HLOOKUP(CB322,Verteil_rwgr,24,FALSE)</f>
        <v>2863597.5</v>
      </c>
      <c r="CL338" s="237">
        <f>SUMIF($D$5:$D$319,"=has",CL5:CL319)*HLOOKUP(CB322,Verteil_rwgr,21,FALSE)+SUMIF($D$5:$D$319,"=ham",CL5:CL319)*HLOOKUP(CB322,Verteil_rwgr,22,FALSE)+SUMIF($D$5:$D$319,"=har",CL5:CL319)*HLOOKUP(CB322,Verteil_rwgr,23,FALSE)+SUMIF($D$5:$D$319,"=haz",CL5:CL319)*HLOOKUP(CB322,Verteil_rwgr,24,FALSE)</f>
        <v>14274.45</v>
      </c>
      <c r="CQ338" s="179">
        <f>SUMIF($D$5:$D$319,"=has",CQ5:CQ319)*HLOOKUP(CS322,Verteil_rwgr,21,FALSE)+SUMIF($D$5:$D$319,"=ham",CQ5:CQ319)*HLOOKUP(CS322,Verteil_rwgr,22,FALSE)+SUMIF($D$5:$D$319,"=har",CQ5:CQ319)*HLOOKUP(CS322,Verteil_rwgr,23,FALSE)+SUMIF($D$5:$D$319,"=haz",CQ5:CQ319)*HLOOKUP(CS322,Verteil_rwgr,24,FALSE)</f>
        <v>994500</v>
      </c>
      <c r="CR338" s="102">
        <f t="shared" ref="CR338" si="1348">IF(CQ336&lt;&gt;0,CQ338/CQ336,0)</f>
        <v>0.45787292817679559</v>
      </c>
      <c r="CS338" s="179">
        <f>SUMIF($D$5:$D$319,"=has",CS5:CS319)*HLOOKUP(CS322,Verteil_rwgr,21,FALSE)+SUMIF($D$5:$D$319,"=ham",CS5:CS319)*HLOOKUP(CS322,Verteil_rwgr,22,FALSE)+SUMIF($D$5:$D$319,"=har",CS5:CS319)*HLOOKUP(CS322,Verteil_rwgr,23,FALSE)+SUMIF($D$5:$D$319,"=haz",CS5:CS319)*HLOOKUP(CS322,Verteil_rwgr,24,FALSE)</f>
        <v>10440</v>
      </c>
      <c r="CT338" s="102">
        <f t="shared" ref="CT338" si="1349">IF(CS336&lt;&gt;0,CS338/CS336,0)</f>
        <v>0.42542787286063571</v>
      </c>
      <c r="CU338" s="659" t="s">
        <v>181</v>
      </c>
      <c r="DA338" s="102">
        <f t="shared" ref="DA338" si="1350">IF(DC336&lt;&gt;0,DC338/DC336,0)</f>
        <v>0.43149642055775195</v>
      </c>
      <c r="DB338" s="179">
        <f>SUMIF($D$5:$D$319,"=has",DB5:DB319)*HLOOKUP(CS322,Verteil_rwgr,21,FALSE)+SUMIF($D$5:$D$319,"=ham",DB5:DB319)*HLOOKUP(CS322,Verteil_rwgr,22,FALSE)+SUMIF($D$5:$D$319,"=har",DB5:DB319)*HLOOKUP(CS322,Verteil_rwgr,23,FALSE)+SUMIF($D$5:$D$319,"=haz",DB5:DB319)*HLOOKUP(CS322,Verteil_rwgr,24,FALSE)</f>
        <v>2909857.5</v>
      </c>
      <c r="DC338" s="237">
        <f>SUMIF($D$5:$D$319,"=has",DC5:DC319)*HLOOKUP(CS322,Verteil_rwgr,21,FALSE)+SUMIF($D$5:$D$319,"=ham",DC5:DC319)*HLOOKUP(CS322,Verteil_rwgr,22,FALSE)+SUMIF($D$5:$D$319,"=har",DC5:DC319)*HLOOKUP(CS322,Verteil_rwgr,23,FALSE)+SUMIF($D$5:$D$319,"=haz",DC5:DC319)*HLOOKUP(CS322,Verteil_rwgr,24,FALSE)</f>
        <v>14538.150000000001</v>
      </c>
      <c r="DH338" s="179">
        <f>SUMIF($D$5:$D$319,"=has",DH5:DH319)*HLOOKUP(DJ322,Verteil_rwgr,21,FALSE)+SUMIF($D$5:$D$319,"=ham",DH5:DH319)*HLOOKUP(DJ322,Verteil_rwgr,22,FALSE)+SUMIF($D$5:$D$319,"=har",DH5:DH319)*HLOOKUP(DJ322,Verteil_rwgr,23,FALSE)+SUMIF($D$5:$D$319,"=haz",DH5:DH319)*HLOOKUP(DJ322,Verteil_rwgr,24,FALSE)</f>
        <v>994500</v>
      </c>
      <c r="DI338" s="102">
        <f t="shared" ref="DI338" si="1351">IF(DH336&lt;&gt;0,DH338/DH336,0)</f>
        <v>0.45787292817679559</v>
      </c>
      <c r="DJ338" s="179">
        <f>SUMIF($D$5:$D$319,"=has",DJ5:DJ319)*HLOOKUP(DJ322,Verteil_rwgr,21,FALSE)+SUMIF($D$5:$D$319,"=ham",DJ5:DJ319)*HLOOKUP(DJ322,Verteil_rwgr,22,FALSE)+SUMIF($D$5:$D$319,"=har",DJ5:DJ319)*HLOOKUP(DJ322,Verteil_rwgr,23,FALSE)+SUMIF($D$5:$D$319,"=haz",DJ5:DJ319)*HLOOKUP(DJ322,Verteil_rwgr,24,FALSE)</f>
        <v>10440</v>
      </c>
      <c r="DK338" s="102">
        <f t="shared" ref="DK338" si="1352">IF(DJ336&lt;&gt;0,DJ338/DJ336,0)</f>
        <v>0.42542787286063571</v>
      </c>
      <c r="DL338" s="659" t="s">
        <v>181</v>
      </c>
      <c r="DR338" s="102">
        <f t="shared" ref="DR338" si="1353">IF(DT336&lt;&gt;0,DT338/DT336,0)</f>
        <v>0.43152464819131486</v>
      </c>
      <c r="DS338" s="179">
        <f>SUMIF($D$5:$D$319,"=has",DS5:DS319)*HLOOKUP(DJ322,Verteil_rwgr,21,FALSE)+SUMIF($D$5:$D$319,"=ham",DS5:DS319)*HLOOKUP(DJ322,Verteil_rwgr,22,FALSE)+SUMIF($D$5:$D$319,"=har",DS5:DS319)*HLOOKUP(DJ322,Verteil_rwgr,23,FALSE)+SUMIF($D$5:$D$319,"=haz",DS5:DS319)*HLOOKUP(DJ322,Verteil_rwgr,24,FALSE)</f>
        <v>3003577.5</v>
      </c>
      <c r="DT338" s="237">
        <f>SUMIF($D$5:$D$319,"=has",DT5:DT319)*HLOOKUP(DJ322,Verteil_rwgr,21,FALSE)+SUMIF($D$5:$D$319,"=ham",DT5:DT319)*HLOOKUP(DJ322,Verteil_rwgr,22,FALSE)+SUMIF($D$5:$D$319,"=har",DT5:DT319)*HLOOKUP(DJ322,Verteil_rwgr,23,FALSE)+SUMIF($D$5:$D$319,"=haz",DT5:DT319)*HLOOKUP(DJ322,Verteil_rwgr,24,FALSE)</f>
        <v>14995.05</v>
      </c>
      <c r="DY338" s="179">
        <f>SUMIF($D$5:$D$319,"=has",DY5:DY319)*HLOOKUP(EA322,Verteil_rwgr,21,FALSE)+SUMIF($D$5:$D$319,"=ham",DY5:DY319)*HLOOKUP(EA322,Verteil_rwgr,22,FALSE)+SUMIF($D$5:$D$319,"=har",DY5:DY319)*HLOOKUP(EA322,Verteil_rwgr,23,FALSE)+SUMIF($D$5:$D$319,"=haz",DY5:DY319)*HLOOKUP(EA322,Verteil_rwgr,24,FALSE)</f>
        <v>994500</v>
      </c>
      <c r="DZ338" s="102">
        <f t="shared" ref="DZ338" si="1354">IF(DY336&lt;&gt;0,DY338/DY336,0)</f>
        <v>0.45787292817679559</v>
      </c>
      <c r="EA338" s="179">
        <f>SUMIF($D$5:$D$319,"=has",EA5:EA319)*HLOOKUP(EA322,Verteil_rwgr,21,FALSE)+SUMIF($D$5:$D$319,"=ham",EA5:EA319)*HLOOKUP(EA322,Verteil_rwgr,22,FALSE)+SUMIF($D$5:$D$319,"=har",EA5:EA319)*HLOOKUP(EA322,Verteil_rwgr,23,FALSE)+SUMIF($D$5:$D$319,"=haz",EA5:EA319)*HLOOKUP(EA322,Verteil_rwgr,24,FALSE)</f>
        <v>10440</v>
      </c>
      <c r="EB338" s="102">
        <f t="shared" ref="EB338" si="1355">IF(EA336&lt;&gt;0,EA338/EA336,0)</f>
        <v>0.42542787286063571</v>
      </c>
      <c r="EC338" s="659" t="s">
        <v>181</v>
      </c>
      <c r="EI338" s="102">
        <f t="shared" ref="EI338" si="1356">IF(EK336&lt;&gt;0,EK338/EK336,0)</f>
        <v>0.43147889637050424</v>
      </c>
      <c r="EJ338" s="179">
        <f>SUMIF($D$5:$D$319,"=has",EJ5:EJ319)*HLOOKUP(EA322,Verteil_rwgr,21,FALSE)+SUMIF($D$5:$D$319,"=ham",EJ5:EJ319)*HLOOKUP(EA322,Verteil_rwgr,22,FALSE)+SUMIF($D$5:$D$319,"=har",EJ5:EJ319)*HLOOKUP(EA322,Verteil_rwgr,23,FALSE)+SUMIF($D$5:$D$319,"=haz",EJ5:EJ319)*HLOOKUP(EA322,Verteil_rwgr,24,FALSE)</f>
        <v>3155407.5</v>
      </c>
      <c r="EK338" s="237">
        <f>SUMIF($D$5:$D$319,"=has",EK5:EK319)*HLOOKUP(EA322,Verteil_rwgr,21,FALSE)+SUMIF($D$5:$D$319,"=ham",EK5:EK319)*HLOOKUP(EA322,Verteil_rwgr,22,FALSE)+SUMIF($D$5:$D$319,"=har",EK5:EK319)*HLOOKUP(EA322,Verteil_rwgr,23,FALSE)+SUMIF($D$5:$D$319,"=haz",EK5:EK319)*HLOOKUP(EA322,Verteil_rwgr,24,FALSE)</f>
        <v>15763.650000000001</v>
      </c>
      <c r="EP338" s="179">
        <f>SUMIF($D$5:$D$319,"=has",EP5:EP319)*HLOOKUP(ER322,Verteil_rwgr,21,FALSE)+SUMIF($D$5:$D$319,"=ham",EP5:EP319)*HLOOKUP(ER322,Verteil_rwgr,22,FALSE)+SUMIF($D$5:$D$319,"=har",EP5:EP319)*HLOOKUP(ER322,Verteil_rwgr,23,FALSE)+SUMIF($D$5:$D$319,"=haz",EP5:EP319)*HLOOKUP(ER322,Verteil_rwgr,24,FALSE)</f>
        <v>994500</v>
      </c>
      <c r="EQ338" s="102">
        <f t="shared" ref="EQ338" si="1357">IF(EP336&lt;&gt;0,EP338/EP336,0)</f>
        <v>0.45787292817679559</v>
      </c>
      <c r="ER338" s="179">
        <f>SUMIF($D$5:$D$319,"=has",ER5:ER319)*HLOOKUP(ER322,Verteil_rwgr,21,FALSE)+SUMIF($D$5:$D$319,"=ham",ER5:ER319)*HLOOKUP(ER322,Verteil_rwgr,22,FALSE)+SUMIF($D$5:$D$319,"=har",ER5:ER319)*HLOOKUP(ER322,Verteil_rwgr,23,FALSE)+SUMIF($D$5:$D$319,"=haz",ER5:ER319)*HLOOKUP(ER322,Verteil_rwgr,24,FALSE)</f>
        <v>10440</v>
      </c>
      <c r="ES338" s="102">
        <f t="shared" ref="ES338" si="1358">IF(ER336&lt;&gt;0,ER338/ER336,0)</f>
        <v>0.42542787286063571</v>
      </c>
      <c r="ET338" s="659" t="s">
        <v>181</v>
      </c>
      <c r="EZ338" s="102">
        <f t="shared" ref="EZ338" si="1359">IF(FB336&lt;&gt;0,FB338/FB336,0)</f>
        <v>0.43147889637050424</v>
      </c>
      <c r="FA338" s="179">
        <f>SUMIF($D$5:$D$319,"=has",FA5:FA319)*HLOOKUP(ER322,Verteil_rwgr,21,FALSE)+SUMIF($D$5:$D$319,"=ham",FA5:FA319)*HLOOKUP(ER322,Verteil_rwgr,22,FALSE)+SUMIF($D$5:$D$319,"=har",FA5:FA319)*HLOOKUP(ER322,Verteil_rwgr,23,FALSE)+SUMIF($D$5:$D$319,"=haz",FA5:FA319)*HLOOKUP(ER322,Verteil_rwgr,24,FALSE)</f>
        <v>3155407.5</v>
      </c>
      <c r="FB338" s="237">
        <f>SUMIF($D$5:$D$319,"=has",FB5:FB319)*HLOOKUP(ER322,Verteil_rwgr,21,FALSE)+SUMIF($D$5:$D$319,"=ham",FB5:FB319)*HLOOKUP(ER322,Verteil_rwgr,22,FALSE)+SUMIF($D$5:$D$319,"=har",FB5:FB319)*HLOOKUP(ER322,Verteil_rwgr,23,FALSE)+SUMIF($D$5:$D$319,"=haz",FB5:FB319)*HLOOKUP(ER322,Verteil_rwgr,24,FALSE)</f>
        <v>15763.650000000001</v>
      </c>
      <c r="FG338" s="179">
        <f>SUMIF($D$5:$D$319,"=has",FG5:FG319)*HLOOKUP(FI322,Verteil_rwgr,21,FALSE)+SUMIF($D$5:$D$319,"=ham",FG5:FG319)*HLOOKUP(FI322,Verteil_rwgr,22,FALSE)+SUMIF($D$5:$D$319,"=har",FG5:FG319)*HLOOKUP(FI322,Verteil_rwgr,23,FALSE)+SUMIF($D$5:$D$319,"=haz",FG5:FG319)*HLOOKUP(FI322,Verteil_rwgr,24,FALSE)</f>
        <v>994500</v>
      </c>
      <c r="FH338" s="102">
        <f t="shared" ref="FH338" si="1360">IF(FG336&lt;&gt;0,FG338/FG336,0)</f>
        <v>0.45787292817679559</v>
      </c>
      <c r="FI338" s="179">
        <f>SUMIF($D$5:$D$319,"=has",FI5:FI319)*HLOOKUP(FI322,Verteil_rwgr,21,FALSE)+SUMIF($D$5:$D$319,"=ham",FI5:FI319)*HLOOKUP(FI322,Verteil_rwgr,22,FALSE)+SUMIF($D$5:$D$319,"=har",FI5:FI319)*HLOOKUP(FI322,Verteil_rwgr,23,FALSE)+SUMIF($D$5:$D$319,"=haz",FI5:FI319)*HLOOKUP(FI322,Verteil_rwgr,24,FALSE)</f>
        <v>10440</v>
      </c>
      <c r="FJ338" s="102">
        <f t="shared" ref="FJ338" si="1361">IF(FI336&lt;&gt;0,FI338/FI336,0)</f>
        <v>0.42542787286063571</v>
      </c>
      <c r="FK338" s="659" t="s">
        <v>181</v>
      </c>
      <c r="FQ338" s="102">
        <f t="shared" ref="FQ338" si="1362">IF(FS336&lt;&gt;0,FS338/FS336,0)</f>
        <v>0.43147889637050424</v>
      </c>
      <c r="FR338" s="179">
        <f>SUMIF($D$5:$D$319,"=has",FR5:FR319)*HLOOKUP(FI322,Verteil_rwgr,21,FALSE)+SUMIF($D$5:$D$319,"=ham",FR5:FR319)*HLOOKUP(FI322,Verteil_rwgr,22,FALSE)+SUMIF($D$5:$D$319,"=har",FR5:FR319)*HLOOKUP(FI322,Verteil_rwgr,23,FALSE)+SUMIF($D$5:$D$319,"=haz",FR5:FR319)*HLOOKUP(FI322,Verteil_rwgr,24,FALSE)</f>
        <v>3155407.5</v>
      </c>
      <c r="FS338" s="237">
        <f>SUMIF($D$5:$D$319,"=has",FS5:FS319)*HLOOKUP(FI322,Verteil_rwgr,21,FALSE)+SUMIF($D$5:$D$319,"=ham",FS5:FS319)*HLOOKUP(FI322,Verteil_rwgr,22,FALSE)+SUMIF($D$5:$D$319,"=har",FS5:FS319)*HLOOKUP(FI322,Verteil_rwgr,23,FALSE)+SUMIF($D$5:$D$319,"=haz",FS5:FS319)*HLOOKUP(FI322,Verteil_rwgr,24,FALSE)</f>
        <v>15763.650000000001</v>
      </c>
    </row>
    <row r="339" spans="1:175" s="10" customFormat="1" hidden="1" x14ac:dyDescent="0.3">
      <c r="A339" s="112" t="s">
        <v>186</v>
      </c>
      <c r="V339" s="217">
        <v>18</v>
      </c>
      <c r="AA339" s="179"/>
      <c r="AB339" s="102"/>
      <c r="AC339" s="179"/>
      <c r="AD339" s="179"/>
      <c r="AE339" s="112" t="s">
        <v>186</v>
      </c>
      <c r="AK339" s="102">
        <f t="shared" ref="AK339" si="1363">IF(AM336&lt;&gt;0,AM339/AM336,0)</f>
        <v>0</v>
      </c>
      <c r="AL339" s="179">
        <f>SUMIF($D$5:$D$319,"=has",AL5:AL319)*HLOOKUP(AC322,Verteil_rwst,20,FALSE)+SUMIF($D$5:$D$319,"=ham",AL5:AL319)*HLOOKUP(AC322,Verteil_rwst,21,FALSE)+SUMIF($D$5:$D$319,"=har",AL5:AL319)*HLOOKUP(AC322,Verteil_rwst,22,FALSE)+SUMIF($D$5:$D$319,"=haz",AL5:AL319)*HLOOKUP(AC322,Verteil_rwst,23,FALSE)</f>
        <v>0</v>
      </c>
      <c r="AM339" s="237">
        <f>SUMIF($D$5:$D$319,"=has",AM5:AM319)*HLOOKUP(AC322,Verteil_rwst,20,FALSE)+SUMIF($D$5:$D$319,"=ham",AM5:AM319)*HLOOKUP(AC322,Verteil_rwst,21,FALSE)+SUMIF($D$5:$D$319,"=har",AM5:AM319)*HLOOKUP(AC322,Verteil_rwst,22,FALSE)+SUMIF($D$5:$D$319,"=haz",AM5:AM319)*HLOOKUP(AC322,Verteil_rwst,23,FALSE)</f>
        <v>0</v>
      </c>
      <c r="AR339" s="179"/>
      <c r="AS339" s="102"/>
      <c r="AT339" s="179"/>
      <c r="AU339" s="179"/>
      <c r="AV339" s="112" t="s">
        <v>186</v>
      </c>
      <c r="BB339" s="102">
        <f t="shared" ref="BB339" si="1364">IF(BD336&lt;&gt;0,BD339/BD336,0)</f>
        <v>0</v>
      </c>
      <c r="BC339" s="179">
        <f>SUMIF($D$5:$D$319,"=has",BC5:BC319)*HLOOKUP(AT322,Verteil_rwst,20,FALSE)+SUMIF($D$5:$D$319,"=ham",BC5:BC319)*HLOOKUP(AT322,Verteil_rwst,21,FALSE)+SUMIF($D$5:$D$319,"=har",BC5:BC319)*HLOOKUP(AT322,Verteil_rwst,22,FALSE)+SUMIF($D$5:$D$319,"=haz",BC5:BC319)*HLOOKUP(AT322,Verteil_rwst,23,FALSE)</f>
        <v>0</v>
      </c>
      <c r="BD339" s="237">
        <f>SUMIF($D$5:$D$319,"=has",BD5:BD319)*HLOOKUP(AT322,Verteil_rwst,20,FALSE)+SUMIF($D$5:$D$319,"=ham",BD5:BD319)*HLOOKUP(AT322,Verteil_rwst,21,FALSE)+SUMIF($D$5:$D$319,"=har",BD5:BD319)*HLOOKUP(AT322,Verteil_rwst,22,FALSE)+SUMIF($D$5:$D$319,"=haz",BD5:BD319)*HLOOKUP(AT322,Verteil_rwst,23,FALSE)</f>
        <v>0</v>
      </c>
      <c r="BI339" s="179"/>
      <c r="BJ339" s="102"/>
      <c r="BK339" s="179"/>
      <c r="BL339" s="179"/>
      <c r="BM339" s="112" t="s">
        <v>186</v>
      </c>
      <c r="BS339" s="102">
        <f t="shared" ref="BS339" si="1365">IF(BU336&lt;&gt;0,BU339/BU336,0)</f>
        <v>0</v>
      </c>
      <c r="BT339" s="179">
        <f>SUMIF($D$5:$D$319,"=has",BT5:BT319)*HLOOKUP(BK322,Verteil_rwst,20,FALSE)+SUMIF($D$5:$D$319,"=ham",BT5:BT319)*HLOOKUP(BK322,Verteil_rwst,21,FALSE)+SUMIF($D$5:$D$319,"=har",BT5:BT319)*HLOOKUP(BK322,Verteil_rwst,22,FALSE)+SUMIF($D$5:$D$319,"=haz",BT5:BT319)*HLOOKUP(BK322,Verteil_rwst,23,FALSE)</f>
        <v>0</v>
      </c>
      <c r="BU339" s="237">
        <f>SUMIF($D$5:$D$319,"=has",BU5:BU319)*HLOOKUP(BK322,Verteil_rwst,20,FALSE)+SUMIF($D$5:$D$319,"=ham",BU5:BU319)*HLOOKUP(BK322,Verteil_rwst,21,FALSE)+SUMIF($D$5:$D$319,"=har",BU5:BU319)*HLOOKUP(BK322,Verteil_rwst,22,FALSE)+SUMIF($D$5:$D$319,"=haz",BU5:BU319)*HLOOKUP(BK322,Verteil_rwst,23,FALSE)</f>
        <v>0</v>
      </c>
      <c r="BZ339" s="179"/>
      <c r="CA339" s="102"/>
      <c r="CB339" s="179"/>
      <c r="CC339" s="179"/>
      <c r="CD339" s="112" t="s">
        <v>186</v>
      </c>
      <c r="CJ339" s="102">
        <f t="shared" ref="CJ339" si="1366">IF(CL336&lt;&gt;0,CL339/CL336,0)</f>
        <v>0</v>
      </c>
      <c r="CK339" s="179">
        <f>SUMIF($D$5:$D$319,"=has",CK5:CK319)*HLOOKUP(CB322,Verteil_rwst,20,FALSE)+SUMIF($D$5:$D$319,"=ham",CK5:CK319)*HLOOKUP(CB322,Verteil_rwst,21,FALSE)+SUMIF($D$5:$D$319,"=har",CK5:CK319)*HLOOKUP(CB322,Verteil_rwst,22,FALSE)+SUMIF($D$5:$D$319,"=haz",CK5:CK319)*HLOOKUP(CB322,Verteil_rwst,23,FALSE)</f>
        <v>0</v>
      </c>
      <c r="CL339" s="237">
        <f>SUMIF($D$5:$D$319,"=has",CL5:CL319)*HLOOKUP(CB322,Verteil_rwst,20,FALSE)+SUMIF($D$5:$D$319,"=ham",CL5:CL319)*HLOOKUP(CB322,Verteil_rwst,21,FALSE)+SUMIF($D$5:$D$319,"=har",CL5:CL319)*HLOOKUP(CB322,Verteil_rwst,22,FALSE)+SUMIF($D$5:$D$319,"=haz",CL5:CL319)*HLOOKUP(CB322,Verteil_rwst,23,FALSE)</f>
        <v>0</v>
      </c>
      <c r="CQ339" s="179"/>
      <c r="CR339" s="102"/>
      <c r="CS339" s="179"/>
      <c r="CT339" s="179"/>
      <c r="CU339" s="112" t="s">
        <v>186</v>
      </c>
      <c r="DA339" s="102">
        <f t="shared" ref="DA339" si="1367">IF(DC336&lt;&gt;0,DC339/DC336,0)</f>
        <v>0</v>
      </c>
      <c r="DB339" s="179">
        <f>SUMIF($D$5:$D$319,"=has",DB5:DB319)*HLOOKUP(CS322,Verteil_rwst,20,FALSE)+SUMIF($D$5:$D$319,"=ham",DB5:DB319)*HLOOKUP(CS322,Verteil_rwst,21,FALSE)+SUMIF($D$5:$D$319,"=har",DB5:DB319)*HLOOKUP(CS322,Verteil_rwst,22,FALSE)+SUMIF($D$5:$D$319,"=haz",DB5:DB319)*HLOOKUP(CS322,Verteil_rwst,23,FALSE)</f>
        <v>0</v>
      </c>
      <c r="DC339" s="237">
        <f>SUMIF($D$5:$D$319,"=has",DC5:DC319)*HLOOKUP(CS322,Verteil_rwst,20,FALSE)+SUMIF($D$5:$D$319,"=ham",DC5:DC319)*HLOOKUP(CS322,Verteil_rwst,21,FALSE)+SUMIF($D$5:$D$319,"=har",DC5:DC319)*HLOOKUP(CS322,Verteil_rwst,22,FALSE)+SUMIF($D$5:$D$319,"=haz",DC5:DC319)*HLOOKUP(CS322,Verteil_rwst,23,FALSE)</f>
        <v>0</v>
      </c>
      <c r="DH339" s="179"/>
      <c r="DI339" s="102"/>
      <c r="DJ339" s="179"/>
      <c r="DK339" s="179"/>
      <c r="DL339" s="112" t="s">
        <v>186</v>
      </c>
      <c r="DR339" s="102">
        <f t="shared" ref="DR339" si="1368">IF(DT336&lt;&gt;0,DT339/DT336,0)</f>
        <v>0</v>
      </c>
      <c r="DS339" s="179">
        <f>SUMIF($D$5:$D$319,"=has",DS5:DS319)*HLOOKUP(DJ322,Verteil_rwst,20,FALSE)+SUMIF($D$5:$D$319,"=ham",DS5:DS319)*HLOOKUP(DJ322,Verteil_rwst,21,FALSE)+SUMIF($D$5:$D$319,"=har",DS5:DS319)*HLOOKUP(DJ322,Verteil_rwst,22,FALSE)+SUMIF($D$5:$D$319,"=haz",DS5:DS319)*HLOOKUP(DJ322,Verteil_rwst,23,FALSE)</f>
        <v>0</v>
      </c>
      <c r="DT339" s="237">
        <f>SUMIF($D$5:$D$319,"=has",DT5:DT319)*HLOOKUP(DJ322,Verteil_rwst,20,FALSE)+SUMIF($D$5:$D$319,"=ham",DT5:DT319)*HLOOKUP(DJ322,Verteil_rwst,21,FALSE)+SUMIF($D$5:$D$319,"=har",DT5:DT319)*HLOOKUP(DJ322,Verteil_rwst,22,FALSE)+SUMIF($D$5:$D$319,"=haz",DT5:DT319)*HLOOKUP(DJ322,Verteil_rwst,23,FALSE)</f>
        <v>0</v>
      </c>
      <c r="DY339" s="179"/>
      <c r="DZ339" s="102"/>
      <c r="EA339" s="179"/>
      <c r="EB339" s="179"/>
      <c r="EC339" s="112" t="s">
        <v>186</v>
      </c>
      <c r="EI339" s="102">
        <f t="shared" ref="EI339" si="1369">IF(EK336&lt;&gt;0,EK339/EK336,0)</f>
        <v>0</v>
      </c>
      <c r="EJ339" s="179">
        <f>SUMIF($D$5:$D$319,"=has",EJ5:EJ319)*HLOOKUP(EA322,Verteil_rwst,20,FALSE)+SUMIF($D$5:$D$319,"=ham",EJ5:EJ319)*HLOOKUP(EA322,Verteil_rwst,21,FALSE)+SUMIF($D$5:$D$319,"=har",EJ5:EJ319)*HLOOKUP(EA322,Verteil_rwst,22,FALSE)+SUMIF($D$5:$D$319,"=haz",EJ5:EJ319)*HLOOKUP(EA322,Verteil_rwst,23,FALSE)</f>
        <v>0</v>
      </c>
      <c r="EK339" s="237">
        <f>SUMIF($D$5:$D$319,"=has",EK5:EK319)*HLOOKUP(EA322,Verteil_rwst,20,FALSE)+SUMIF($D$5:$D$319,"=ham",EK5:EK319)*HLOOKUP(EA322,Verteil_rwst,21,FALSE)+SUMIF($D$5:$D$319,"=har",EK5:EK319)*HLOOKUP(EA322,Verteil_rwst,22,FALSE)+SUMIF($D$5:$D$319,"=haz",EK5:EK319)*HLOOKUP(EA322,Verteil_rwst,23,FALSE)</f>
        <v>0</v>
      </c>
      <c r="EP339" s="179"/>
      <c r="EQ339" s="102"/>
      <c r="ER339" s="179"/>
      <c r="ES339" s="179"/>
      <c r="ET339" s="112" t="s">
        <v>186</v>
      </c>
      <c r="EZ339" s="102">
        <f t="shared" ref="EZ339" si="1370">IF(FB336&lt;&gt;0,FB339/FB336,0)</f>
        <v>0</v>
      </c>
      <c r="FA339" s="179">
        <f>SUMIF($D$5:$D$319,"=has",FA5:FA319)*HLOOKUP(ER322,Verteil_rwst,20,FALSE)+SUMIF($D$5:$D$319,"=ham",FA5:FA319)*HLOOKUP(ER322,Verteil_rwst,21,FALSE)+SUMIF($D$5:$D$319,"=har",FA5:FA319)*HLOOKUP(ER322,Verteil_rwst,22,FALSE)+SUMIF($D$5:$D$319,"=haz",FA5:FA319)*HLOOKUP(ER322,Verteil_rwst,23,FALSE)</f>
        <v>0</v>
      </c>
      <c r="FB339" s="237">
        <f>SUMIF($D$5:$D$319,"=has",FB5:FB319)*HLOOKUP(ER322,Verteil_rwst,20,FALSE)+SUMIF($D$5:$D$319,"=ham",FB5:FB319)*HLOOKUP(ER322,Verteil_rwst,21,FALSE)+SUMIF($D$5:$D$319,"=har",FB5:FB319)*HLOOKUP(ER322,Verteil_rwst,22,FALSE)+SUMIF($D$5:$D$319,"=haz",FB5:FB319)*HLOOKUP(ER322,Verteil_rwst,23,FALSE)</f>
        <v>0</v>
      </c>
      <c r="FG339" s="179"/>
      <c r="FH339" s="102"/>
      <c r="FI339" s="179"/>
      <c r="FJ339" s="179"/>
      <c r="FK339" s="112" t="s">
        <v>186</v>
      </c>
      <c r="FQ339" s="102">
        <f t="shared" ref="FQ339" si="1371">IF(FS336&lt;&gt;0,FS339/FS336,0)</f>
        <v>0</v>
      </c>
      <c r="FR339" s="179">
        <f>SUMIF($D$5:$D$319,"=has",FR5:FR319)*HLOOKUP(FI322,Verteil_rwst,20,FALSE)+SUMIF($D$5:$D$319,"=ham",FR5:FR319)*HLOOKUP(FI322,Verteil_rwst,21,FALSE)+SUMIF($D$5:$D$319,"=har",FR5:FR319)*HLOOKUP(FI322,Verteil_rwst,22,FALSE)+SUMIF($D$5:$D$319,"=haz",FR5:FR319)*HLOOKUP(FI322,Verteil_rwst,23,FALSE)</f>
        <v>0</v>
      </c>
      <c r="FS339" s="237">
        <f>SUMIF($D$5:$D$319,"=has",FS5:FS319)*HLOOKUP(FI322,Verteil_rwst,20,FALSE)+SUMIF($D$5:$D$319,"=ham",FS5:FS319)*HLOOKUP(FI322,Verteil_rwst,21,FALSE)+SUMIF($D$5:$D$319,"=har",FS5:FS319)*HLOOKUP(FI322,Verteil_rwst,22,FALSE)+SUMIF($D$5:$D$319,"=haz",FS5:FS319)*HLOOKUP(FI322,Verteil_rwst,23,FALSE)</f>
        <v>0</v>
      </c>
    </row>
    <row r="340" spans="1:175" s="10" customFormat="1" hidden="1" x14ac:dyDescent="0.3">
      <c r="A340" s="657" t="s">
        <v>187</v>
      </c>
      <c r="V340" s="217">
        <v>19</v>
      </c>
      <c r="AA340" s="179">
        <f>SUMIF($D$5:$D$319,"=sas",AA5:AA319)+SUMIF($D$5:$D$319,"=sam",AA5:AA319)+SUMIF($D$5:$D$319,"=sar",AA5:AA319)+SUMIF($D$5:$D$319,"=saz",AA5:AA319)</f>
        <v>0</v>
      </c>
      <c r="AB340" s="102">
        <f t="shared" ref="AB340" si="1372">SUM(AB341:AB343)</f>
        <v>0</v>
      </c>
      <c r="AC340" s="179">
        <f>SUMIF($D$5:$D$319,"=sas",AC5:AC319)+SUMIF($D$5:$D$319,"=sam",AC5:AC319)+SUMIF($D$5:$D$319,"=sar",AC5:AC319)+SUMIF($D$5:$D$319,"=saz",AC5:AC319)</f>
        <v>0</v>
      </c>
      <c r="AD340" s="102">
        <f t="shared" ref="AD340" si="1373">SUM(AD341:AD343)</f>
        <v>0</v>
      </c>
      <c r="AE340" s="657" t="s">
        <v>187</v>
      </c>
      <c r="AK340" s="102">
        <f t="shared" ref="AK340" si="1374">SUM(AK341:AK343)</f>
        <v>0</v>
      </c>
      <c r="AL340" s="179">
        <f>SUMIF($D$5:$D$319,"=sas",AL5:AL319)+SUMIF($D$5:$D$319,"=sam",AL5:AL319)+SUMIF($D$5:$D$319,"=sar",AL5:AL319)+SUMIF($D$5:$D$319,"=saz",AL5:AL319)</f>
        <v>0</v>
      </c>
      <c r="AM340" s="237">
        <f>SUMIF($D$5:$D$319,"=sas",AM5:AM319)+SUMIF($D$5:$D$319,"=sam",AM5:AM319)+SUMIF($D$5:$D$319,"=sar",AM5:AM319)+SUMIF($D$5:$D$319,"=saz",AM5:AM319)</f>
        <v>0</v>
      </c>
      <c r="AR340" s="179">
        <f t="shared" ref="AR340" si="1375">SUMIF($D$5:$D$319,"=sas",AR5:AR319)+SUMIF($D$5:$D$319,"=sam",AR5:AR319)+SUMIF($D$5:$D$319,"=sar",AR5:AR319)+SUMIF($D$5:$D$319,"=saz",AR5:AR319)</f>
        <v>0</v>
      </c>
      <c r="AS340" s="102">
        <f t="shared" ref="AS340:CR340" si="1376">SUM(AS341:AS343)</f>
        <v>0</v>
      </c>
      <c r="AT340" s="179">
        <f t="shared" ref="AT340" si="1377">SUMIF($D$5:$D$319,"=sas",AT5:AT319)+SUMIF($D$5:$D$319,"=sam",AT5:AT319)+SUMIF($D$5:$D$319,"=sar",AT5:AT319)+SUMIF($D$5:$D$319,"=saz",AT5:AT319)</f>
        <v>0</v>
      </c>
      <c r="AU340" s="102">
        <f t="shared" ref="AU340:CT340" si="1378">SUM(AU341:AU343)</f>
        <v>0</v>
      </c>
      <c r="AV340" s="658" t="s">
        <v>187</v>
      </c>
      <c r="BB340" s="102">
        <f t="shared" ref="BB340:DA340" si="1379">SUM(BB341:BB343)</f>
        <v>0</v>
      </c>
      <c r="BC340" s="179">
        <f t="shared" ref="BC340:BD340" si="1380">SUMIF($D$5:$D$319,"=sas",BC5:BC319)+SUMIF($D$5:$D$319,"=sam",BC5:BC319)+SUMIF($D$5:$D$319,"=sar",BC5:BC319)+SUMIF($D$5:$D$319,"=saz",BC5:BC319)</f>
        <v>0</v>
      </c>
      <c r="BD340" s="237">
        <f t="shared" si="1380"/>
        <v>0</v>
      </c>
      <c r="BI340" s="179">
        <f t="shared" ref="BI340" si="1381">SUMIF($D$5:$D$319,"=sas",BI5:BI319)+SUMIF($D$5:$D$319,"=sam",BI5:BI319)+SUMIF($D$5:$D$319,"=sar",BI5:BI319)+SUMIF($D$5:$D$319,"=saz",BI5:BI319)</f>
        <v>0</v>
      </c>
      <c r="BJ340" s="102">
        <f t="shared" si="1376"/>
        <v>0</v>
      </c>
      <c r="BK340" s="179">
        <f t="shared" ref="BK340" si="1382">SUMIF($D$5:$D$319,"=sas",BK5:BK319)+SUMIF($D$5:$D$319,"=sam",BK5:BK319)+SUMIF($D$5:$D$319,"=sar",BK5:BK319)+SUMIF($D$5:$D$319,"=saz",BK5:BK319)</f>
        <v>0</v>
      </c>
      <c r="BL340" s="102">
        <f t="shared" si="1378"/>
        <v>0</v>
      </c>
      <c r="BM340" s="658" t="s">
        <v>187</v>
      </c>
      <c r="BS340" s="102">
        <f t="shared" si="1379"/>
        <v>0</v>
      </c>
      <c r="BT340" s="179">
        <f t="shared" ref="BT340:BU340" si="1383">SUMIF($D$5:$D$319,"=sas",BT5:BT319)+SUMIF($D$5:$D$319,"=sam",BT5:BT319)+SUMIF($D$5:$D$319,"=sar",BT5:BT319)+SUMIF($D$5:$D$319,"=saz",BT5:BT319)</f>
        <v>0</v>
      </c>
      <c r="BU340" s="237">
        <f t="shared" si="1383"/>
        <v>0</v>
      </c>
      <c r="BZ340" s="179">
        <f t="shared" ref="BZ340" si="1384">SUMIF($D$5:$D$319,"=sas",BZ5:BZ319)+SUMIF($D$5:$D$319,"=sam",BZ5:BZ319)+SUMIF($D$5:$D$319,"=sar",BZ5:BZ319)+SUMIF($D$5:$D$319,"=saz",BZ5:BZ319)</f>
        <v>0</v>
      </c>
      <c r="CA340" s="102">
        <f t="shared" si="1376"/>
        <v>0</v>
      </c>
      <c r="CB340" s="179">
        <f t="shared" ref="CB340" si="1385">SUMIF($D$5:$D$319,"=sas",CB5:CB319)+SUMIF($D$5:$D$319,"=sam",CB5:CB319)+SUMIF($D$5:$D$319,"=sar",CB5:CB319)+SUMIF($D$5:$D$319,"=saz",CB5:CB319)</f>
        <v>0</v>
      </c>
      <c r="CC340" s="102">
        <f t="shared" si="1378"/>
        <v>0</v>
      </c>
      <c r="CD340" s="658" t="s">
        <v>187</v>
      </c>
      <c r="CJ340" s="102">
        <f t="shared" si="1379"/>
        <v>0</v>
      </c>
      <c r="CK340" s="179">
        <f t="shared" ref="CK340:CL340" si="1386">SUMIF($D$5:$D$319,"=sas",CK5:CK319)+SUMIF($D$5:$D$319,"=sam",CK5:CK319)+SUMIF($D$5:$D$319,"=sar",CK5:CK319)+SUMIF($D$5:$D$319,"=saz",CK5:CK319)</f>
        <v>0</v>
      </c>
      <c r="CL340" s="237">
        <f t="shared" si="1386"/>
        <v>0</v>
      </c>
      <c r="CQ340" s="179">
        <f t="shared" ref="CQ340" si="1387">SUMIF($D$5:$D$319,"=sas",CQ5:CQ319)+SUMIF($D$5:$D$319,"=sam",CQ5:CQ319)+SUMIF($D$5:$D$319,"=sar",CQ5:CQ319)+SUMIF($D$5:$D$319,"=saz",CQ5:CQ319)</f>
        <v>0</v>
      </c>
      <c r="CR340" s="102">
        <f t="shared" si="1376"/>
        <v>0</v>
      </c>
      <c r="CS340" s="179">
        <f t="shared" ref="CS340" si="1388">SUMIF($D$5:$D$319,"=sas",CS5:CS319)+SUMIF($D$5:$D$319,"=sam",CS5:CS319)+SUMIF($D$5:$D$319,"=sar",CS5:CS319)+SUMIF($D$5:$D$319,"=saz",CS5:CS319)</f>
        <v>0</v>
      </c>
      <c r="CT340" s="102">
        <f t="shared" si="1378"/>
        <v>0</v>
      </c>
      <c r="CU340" s="658" t="s">
        <v>187</v>
      </c>
      <c r="DA340" s="102">
        <f t="shared" si="1379"/>
        <v>0</v>
      </c>
      <c r="DB340" s="179">
        <f t="shared" ref="DB340:DC340" si="1389">SUMIF($D$5:$D$319,"=sas",DB5:DB319)+SUMIF($D$5:$D$319,"=sam",DB5:DB319)+SUMIF($D$5:$D$319,"=sar",DB5:DB319)+SUMIF($D$5:$D$319,"=saz",DB5:DB319)</f>
        <v>0</v>
      </c>
      <c r="DC340" s="237">
        <f t="shared" si="1389"/>
        <v>0</v>
      </c>
      <c r="DH340" s="179">
        <f t="shared" ref="DH340" si="1390">SUMIF($D$5:$D$319,"=sas",DH5:DH319)+SUMIF($D$5:$D$319,"=sam",DH5:DH319)+SUMIF($D$5:$D$319,"=sar",DH5:DH319)+SUMIF($D$5:$D$319,"=saz",DH5:DH319)</f>
        <v>0</v>
      </c>
      <c r="DI340" s="102">
        <f t="shared" ref="DI340:FH340" si="1391">SUM(DI341:DI343)</f>
        <v>0</v>
      </c>
      <c r="DJ340" s="179">
        <f t="shared" ref="DJ340" si="1392">SUMIF($D$5:$D$319,"=sas",DJ5:DJ319)+SUMIF($D$5:$D$319,"=sam",DJ5:DJ319)+SUMIF($D$5:$D$319,"=sar",DJ5:DJ319)+SUMIF($D$5:$D$319,"=saz",DJ5:DJ319)</f>
        <v>0</v>
      </c>
      <c r="DK340" s="102">
        <f t="shared" ref="DK340:FJ340" si="1393">SUM(DK341:DK343)</f>
        <v>0</v>
      </c>
      <c r="DL340" s="658" t="s">
        <v>187</v>
      </c>
      <c r="DR340" s="102">
        <f t="shared" ref="DR340:FQ340" si="1394">SUM(DR341:DR343)</f>
        <v>0</v>
      </c>
      <c r="DS340" s="179">
        <f t="shared" ref="DS340:DT340" si="1395">SUMIF($D$5:$D$319,"=sas",DS5:DS319)+SUMIF($D$5:$D$319,"=sam",DS5:DS319)+SUMIF($D$5:$D$319,"=sar",DS5:DS319)+SUMIF($D$5:$D$319,"=saz",DS5:DS319)</f>
        <v>0</v>
      </c>
      <c r="DT340" s="237">
        <f t="shared" si="1395"/>
        <v>0</v>
      </c>
      <c r="DY340" s="179">
        <f t="shared" ref="DY340" si="1396">SUMIF($D$5:$D$319,"=sas",DY5:DY319)+SUMIF($D$5:$D$319,"=sam",DY5:DY319)+SUMIF($D$5:$D$319,"=sar",DY5:DY319)+SUMIF($D$5:$D$319,"=saz",DY5:DY319)</f>
        <v>0</v>
      </c>
      <c r="DZ340" s="102">
        <f t="shared" si="1391"/>
        <v>0</v>
      </c>
      <c r="EA340" s="179">
        <f t="shared" ref="EA340" si="1397">SUMIF($D$5:$D$319,"=sas",EA5:EA319)+SUMIF($D$5:$D$319,"=sam",EA5:EA319)+SUMIF($D$5:$D$319,"=sar",EA5:EA319)+SUMIF($D$5:$D$319,"=saz",EA5:EA319)</f>
        <v>0</v>
      </c>
      <c r="EB340" s="102">
        <f t="shared" si="1393"/>
        <v>0</v>
      </c>
      <c r="EC340" s="658" t="s">
        <v>187</v>
      </c>
      <c r="EI340" s="102">
        <f t="shared" si="1394"/>
        <v>0</v>
      </c>
      <c r="EJ340" s="179">
        <f t="shared" ref="EJ340:EK340" si="1398">SUMIF($D$5:$D$319,"=sas",EJ5:EJ319)+SUMIF($D$5:$D$319,"=sam",EJ5:EJ319)+SUMIF($D$5:$D$319,"=sar",EJ5:EJ319)+SUMIF($D$5:$D$319,"=saz",EJ5:EJ319)</f>
        <v>0</v>
      </c>
      <c r="EK340" s="237">
        <f t="shared" si="1398"/>
        <v>0</v>
      </c>
      <c r="EP340" s="179">
        <f t="shared" ref="EP340" si="1399">SUMIF($D$5:$D$319,"=sas",EP5:EP319)+SUMIF($D$5:$D$319,"=sam",EP5:EP319)+SUMIF($D$5:$D$319,"=sar",EP5:EP319)+SUMIF($D$5:$D$319,"=saz",EP5:EP319)</f>
        <v>0</v>
      </c>
      <c r="EQ340" s="102">
        <f t="shared" si="1391"/>
        <v>0</v>
      </c>
      <c r="ER340" s="179">
        <f t="shared" ref="ER340" si="1400">SUMIF($D$5:$D$319,"=sas",ER5:ER319)+SUMIF($D$5:$D$319,"=sam",ER5:ER319)+SUMIF($D$5:$D$319,"=sar",ER5:ER319)+SUMIF($D$5:$D$319,"=saz",ER5:ER319)</f>
        <v>0</v>
      </c>
      <c r="ES340" s="102">
        <f t="shared" si="1393"/>
        <v>0</v>
      </c>
      <c r="ET340" s="658" t="s">
        <v>187</v>
      </c>
      <c r="EZ340" s="102">
        <f t="shared" si="1394"/>
        <v>0</v>
      </c>
      <c r="FA340" s="179">
        <f t="shared" ref="FA340:FB340" si="1401">SUMIF($D$5:$D$319,"=sas",FA5:FA319)+SUMIF($D$5:$D$319,"=sam",FA5:FA319)+SUMIF($D$5:$D$319,"=sar",FA5:FA319)+SUMIF($D$5:$D$319,"=saz",FA5:FA319)</f>
        <v>0</v>
      </c>
      <c r="FB340" s="237">
        <f t="shared" si="1401"/>
        <v>0</v>
      </c>
      <c r="FG340" s="179">
        <f t="shared" ref="FG340" si="1402">SUMIF($D$5:$D$319,"=sas",FG5:FG319)+SUMIF($D$5:$D$319,"=sam",FG5:FG319)+SUMIF($D$5:$D$319,"=sar",FG5:FG319)+SUMIF($D$5:$D$319,"=saz",FG5:FG319)</f>
        <v>0</v>
      </c>
      <c r="FH340" s="102">
        <f t="shared" si="1391"/>
        <v>0</v>
      </c>
      <c r="FI340" s="179">
        <f t="shared" ref="FI340" si="1403">SUMIF($D$5:$D$319,"=sas",FI5:FI319)+SUMIF($D$5:$D$319,"=sam",FI5:FI319)+SUMIF($D$5:$D$319,"=sar",FI5:FI319)+SUMIF($D$5:$D$319,"=saz",FI5:FI319)</f>
        <v>0</v>
      </c>
      <c r="FJ340" s="102">
        <f t="shared" si="1393"/>
        <v>0</v>
      </c>
      <c r="FK340" s="658" t="s">
        <v>187</v>
      </c>
      <c r="FQ340" s="102">
        <f t="shared" si="1394"/>
        <v>0</v>
      </c>
      <c r="FR340" s="179">
        <f t="shared" ref="FR340:FS340" si="1404">SUMIF($D$5:$D$319,"=sas",FR5:FR319)+SUMIF($D$5:$D$319,"=sam",FR5:FR319)+SUMIF($D$5:$D$319,"=sar",FR5:FR319)+SUMIF($D$5:$D$319,"=saz",FR5:FR319)</f>
        <v>0</v>
      </c>
      <c r="FS340" s="237">
        <f t="shared" si="1404"/>
        <v>0</v>
      </c>
    </row>
    <row r="341" spans="1:175" s="10" customFormat="1" hidden="1" x14ac:dyDescent="0.3">
      <c r="A341" s="656" t="s">
        <v>180</v>
      </c>
      <c r="V341" s="217">
        <v>20</v>
      </c>
      <c r="AA341" s="179">
        <f>SUMIF($D$5:$D$319,"=sas",AA5:AA319)*HLOOKUP(AC322,Verteil_sw,27,FALSE)+SUMIF($D$5:$D$319,"=sam",AA5:AA319)*HLOOKUP(AC322,Verteil_sw,28,FALSE)+SUMIF($D$5:$D$319,"=sar",AA5:AA319)*HLOOKUP(AC322,Verteil_sw,29,FALSE)+SUMIF($D$5:$D$319,"=saz",AA5:AA319)*HLOOKUP(AC322,Verteil_sw,30,FALSE)</f>
        <v>0</v>
      </c>
      <c r="AB341" s="102">
        <f t="shared" ref="AB341" si="1405">IF(AA340&lt;&gt;0,AA341/AA340,0)</f>
        <v>0</v>
      </c>
      <c r="AC341" s="179">
        <f>SUMIF($D$5:$D$319,"=sas",AC5:AC319)*HLOOKUP(AC322,Verteil_sw,27,FALSE)+SUMIF($D$5:$D$319,"=sam",AC5:AC319)*HLOOKUP(AC322,Verteil_sw,28,FALSE)+SUMIF($D$5:$D$319,"=sar",AC5:AC319)*HLOOKUP(AC322,Verteil_sw,29,FALSE)+SUMIF($D$5:$D$319,"=saz",AC5:AC319)*HLOOKUP(AC322,Verteil_sw,30,FALSE)</f>
        <v>0</v>
      </c>
      <c r="AD341" s="102">
        <f t="shared" ref="AD341:AD349" si="1406">IF(AC340&lt;&gt;0,AC341/AC340,0)</f>
        <v>0</v>
      </c>
      <c r="AE341" s="656" t="s">
        <v>180</v>
      </c>
      <c r="AK341" s="102">
        <f t="shared" ref="AK341" si="1407">IF(AM340&lt;&gt;0,AM341/AM340,0)</f>
        <v>0</v>
      </c>
      <c r="AL341" s="179">
        <f>SUMIF($D$5:$D$319,"=sas",AL5:AL319)*HLOOKUP(AC322,Verteil_sw,27,FALSE)+SUMIF($D$5:$D$319,"=sam",AL5:AL319)*HLOOKUP(AC322,Verteil_sw,28,FALSE)+SUMIF($D$5:$D$319,"=sar",AL5:AL319)*HLOOKUP(AC322,Verteil_sw,29,FALSE)+SUMIF($D$5:$D$319,"=saz",AL5:AL319)*HLOOKUP(AC322,Verteil_sw,30,FALSE)</f>
        <v>0</v>
      </c>
      <c r="AM341" s="237">
        <f>SUMIF($D$5:$D$319,"=sas",AM5:AM319)*HLOOKUP(AC322,Verteil_sw,27,FALSE)+SUMIF($D$5:$D$319,"=sam",AM5:AM319)*HLOOKUP(AC322,Verteil_sw,28,FALSE)+SUMIF($D$5:$D$319,"=sar",AM5:AM319)*HLOOKUP(AC322,Verteil_sw,29,FALSE)+SUMIF($D$5:$D$319,"=saz",AM5:AM319)*HLOOKUP(AC322,Verteil_sw,30,FALSE)</f>
        <v>0</v>
      </c>
      <c r="AR341" s="179">
        <f>SUMIF($D$5:$D$319,"=sas",AR5:AR319)*HLOOKUP(AT322,Verteil_sw,27,FALSE)+SUMIF($D$5:$D$319,"=sam",AR5:AR319)*HLOOKUP(AT322,Verteil_sw,28,FALSE)+SUMIF($D$5:$D$319,"=sar",AR5:AR319)*HLOOKUP(AT322,Verteil_sw,29,FALSE)+SUMIF($D$5:$D$319,"=saz",AR5:AR319)*HLOOKUP(AT322,Verteil_sw,30,FALSE)</f>
        <v>0</v>
      </c>
      <c r="AS341" s="102">
        <f t="shared" ref="AS341" si="1408">IF(AR340&lt;&gt;0,AR341/AR340,0)</f>
        <v>0</v>
      </c>
      <c r="AT341" s="179">
        <f>SUMIF($D$5:$D$319,"=sas",AT5:AT319)*HLOOKUP(AT322,Verteil_sw,27,FALSE)+SUMIF($D$5:$D$319,"=sam",AT5:AT319)*HLOOKUP(AT322,Verteil_sw,28,FALSE)+SUMIF($D$5:$D$319,"=sar",AT5:AT319)*HLOOKUP(AT322,Verteil_sw,29,FALSE)+SUMIF($D$5:$D$319,"=saz",AT5:AT319)*HLOOKUP(AT322,Verteil_sw,30,FALSE)</f>
        <v>0</v>
      </c>
      <c r="AU341" s="102">
        <f t="shared" ref="AU341" si="1409">IF(AT340&lt;&gt;0,AT341/AT340,0)</f>
        <v>0</v>
      </c>
      <c r="AV341" s="659" t="s">
        <v>180</v>
      </c>
      <c r="BB341" s="102">
        <f t="shared" ref="BB341" si="1410">IF(BD340&lt;&gt;0,BD341/BD340,0)</f>
        <v>0</v>
      </c>
      <c r="BC341" s="179">
        <f>SUMIF($D$5:$D$319,"=sas",BC5:BC319)*HLOOKUP(AT322,Verteil_sw,27,FALSE)+SUMIF($D$5:$D$319,"=sam",BC5:BC319)*HLOOKUP(AT322,Verteil_sw,28,FALSE)+SUMIF($D$5:$D$319,"=sar",BC5:BC319)*HLOOKUP(AT322,Verteil_sw,29,FALSE)+SUMIF($D$5:$D$319,"=saz",BC5:BC319)*HLOOKUP(AT322,Verteil_sw,30,FALSE)</f>
        <v>0</v>
      </c>
      <c r="BD341" s="237">
        <f>SUMIF($D$5:$D$319,"=sas",BD5:BD319)*HLOOKUP(AT322,Verteil_sw,27,FALSE)+SUMIF($D$5:$D$319,"=sam",BD5:BD319)*HLOOKUP(AT322,Verteil_sw,28,FALSE)+SUMIF($D$5:$D$319,"=sar",BD5:BD319)*HLOOKUP(AT322,Verteil_sw,29,FALSE)+SUMIF($D$5:$D$319,"=saz",BD5:BD319)*HLOOKUP(AT322,Verteil_sw,30,FALSE)</f>
        <v>0</v>
      </c>
      <c r="BI341" s="179">
        <f>SUMIF($D$5:$D$319,"=sas",BI5:BI319)*HLOOKUP(BK322,Verteil_sw,27,FALSE)+SUMIF($D$5:$D$319,"=sam",BI5:BI319)*HLOOKUP(BK322,Verteil_sw,28,FALSE)+SUMIF($D$5:$D$319,"=sar",BI5:BI319)*HLOOKUP(BK322,Verteil_sw,29,FALSE)+SUMIF($D$5:$D$319,"=saz",BI5:BI319)*HLOOKUP(BK322,Verteil_sw,30,FALSE)</f>
        <v>0</v>
      </c>
      <c r="BJ341" s="102">
        <f t="shared" ref="BJ341" si="1411">IF(BI340&lt;&gt;0,BI341/BI340,0)</f>
        <v>0</v>
      </c>
      <c r="BK341" s="179">
        <f>SUMIF($D$5:$D$319,"=sas",BK5:BK319)*HLOOKUP(BK322,Verteil_sw,27,FALSE)+SUMIF($D$5:$D$319,"=sam",BK5:BK319)*HLOOKUP(BK322,Verteil_sw,28,FALSE)+SUMIF($D$5:$D$319,"=sar",BK5:BK319)*HLOOKUP(BK322,Verteil_sw,29,FALSE)+SUMIF($D$5:$D$319,"=saz",BK5:BK319)*HLOOKUP(BK322,Verteil_sw,30,FALSE)</f>
        <v>0</v>
      </c>
      <c r="BL341" s="102">
        <f t="shared" ref="BL341" si="1412">IF(BK340&lt;&gt;0,BK341/BK340,0)</f>
        <v>0</v>
      </c>
      <c r="BM341" s="659" t="s">
        <v>180</v>
      </c>
      <c r="BS341" s="102">
        <f t="shared" ref="BS341" si="1413">IF(BU340&lt;&gt;0,BU341/BU340,0)</f>
        <v>0</v>
      </c>
      <c r="BT341" s="179">
        <f>SUMIF($D$5:$D$319,"=sas",BT5:BT319)*HLOOKUP(BK322,Verteil_sw,27,FALSE)+SUMIF($D$5:$D$319,"=sam",BT5:BT319)*HLOOKUP(BK322,Verteil_sw,28,FALSE)+SUMIF($D$5:$D$319,"=sar",BT5:BT319)*HLOOKUP(BK322,Verteil_sw,29,FALSE)+SUMIF($D$5:$D$319,"=saz",BT5:BT319)*HLOOKUP(BK322,Verteil_sw,30,FALSE)</f>
        <v>0</v>
      </c>
      <c r="BU341" s="237">
        <f>SUMIF($D$5:$D$319,"=sas",BU5:BU319)*HLOOKUP(BK322,Verteil_sw,27,FALSE)+SUMIF($D$5:$D$319,"=sam",BU5:BU319)*HLOOKUP(BK322,Verteil_sw,28,FALSE)+SUMIF($D$5:$D$319,"=sar",BU5:BU319)*HLOOKUP(BK322,Verteil_sw,29,FALSE)+SUMIF($D$5:$D$319,"=saz",BU5:BU319)*HLOOKUP(BK322,Verteil_sw,30,FALSE)</f>
        <v>0</v>
      </c>
      <c r="BZ341" s="179">
        <f>SUMIF($D$5:$D$319,"=sas",BZ5:BZ319)*HLOOKUP(CB322,Verteil_sw,27,FALSE)+SUMIF($D$5:$D$319,"=sam",BZ5:BZ319)*HLOOKUP(CB322,Verteil_sw,28,FALSE)+SUMIF($D$5:$D$319,"=sar",BZ5:BZ319)*HLOOKUP(CB322,Verteil_sw,29,FALSE)+SUMIF($D$5:$D$319,"=saz",BZ5:BZ319)*HLOOKUP(CB322,Verteil_sw,30,FALSE)</f>
        <v>0</v>
      </c>
      <c r="CA341" s="102">
        <f t="shared" ref="CA341" si="1414">IF(BZ340&lt;&gt;0,BZ341/BZ340,0)</f>
        <v>0</v>
      </c>
      <c r="CB341" s="179">
        <f>SUMIF($D$5:$D$319,"=sas",CB5:CB319)*HLOOKUP(CB322,Verteil_sw,27,FALSE)+SUMIF($D$5:$D$319,"=sam",CB5:CB319)*HLOOKUP(CB322,Verteil_sw,28,FALSE)+SUMIF($D$5:$D$319,"=sar",CB5:CB319)*HLOOKUP(CB322,Verteil_sw,29,FALSE)+SUMIF($D$5:$D$319,"=saz",CB5:CB319)*HLOOKUP(CB322,Verteil_sw,30,FALSE)</f>
        <v>0</v>
      </c>
      <c r="CC341" s="102">
        <f t="shared" ref="CC341" si="1415">IF(CB340&lt;&gt;0,CB341/CB340,0)</f>
        <v>0</v>
      </c>
      <c r="CD341" s="659" t="s">
        <v>180</v>
      </c>
      <c r="CJ341" s="102">
        <f t="shared" ref="CJ341" si="1416">IF(CL340&lt;&gt;0,CL341/CL340,0)</f>
        <v>0</v>
      </c>
      <c r="CK341" s="179">
        <f>SUMIF($D$5:$D$319,"=sas",CK5:CK319)*HLOOKUP(CB322,Verteil_sw,27,FALSE)+SUMIF($D$5:$D$319,"=sam",CK5:CK319)*HLOOKUP(CB322,Verteil_sw,28,FALSE)+SUMIF($D$5:$D$319,"=sar",CK5:CK319)*HLOOKUP(CB322,Verteil_sw,29,FALSE)+SUMIF($D$5:$D$319,"=saz",CK5:CK319)*HLOOKUP(CB322,Verteil_sw,30,FALSE)</f>
        <v>0</v>
      </c>
      <c r="CL341" s="237">
        <f>SUMIF($D$5:$D$319,"=sas",CL5:CL319)*HLOOKUP(CB322,Verteil_sw,27,FALSE)+SUMIF($D$5:$D$319,"=sam",CL5:CL319)*HLOOKUP(CB322,Verteil_sw,28,FALSE)+SUMIF($D$5:$D$319,"=sar",CL5:CL319)*HLOOKUP(CB322,Verteil_sw,29,FALSE)+SUMIF($D$5:$D$319,"=saz",CL5:CL319)*HLOOKUP(CB322,Verteil_sw,30,FALSE)</f>
        <v>0</v>
      </c>
      <c r="CQ341" s="179">
        <f>SUMIF($D$5:$D$319,"=sas",CQ5:CQ319)*HLOOKUP(CS322,Verteil_sw,27,FALSE)+SUMIF($D$5:$D$319,"=sam",CQ5:CQ319)*HLOOKUP(CS322,Verteil_sw,28,FALSE)+SUMIF($D$5:$D$319,"=sar",CQ5:CQ319)*HLOOKUP(CS322,Verteil_sw,29,FALSE)+SUMIF($D$5:$D$319,"=saz",CQ5:CQ319)*HLOOKUP(CS322,Verteil_sw,30,FALSE)</f>
        <v>0</v>
      </c>
      <c r="CR341" s="102">
        <f t="shared" ref="CR341" si="1417">IF(CQ340&lt;&gt;0,CQ341/CQ340,0)</f>
        <v>0</v>
      </c>
      <c r="CS341" s="179">
        <f>SUMIF($D$5:$D$319,"=sas",CS5:CS319)*HLOOKUP(CS322,Verteil_sw,27,FALSE)+SUMIF($D$5:$D$319,"=sam",CS5:CS319)*HLOOKUP(CS322,Verteil_sw,28,FALSE)+SUMIF($D$5:$D$319,"=sar",CS5:CS319)*HLOOKUP(CS322,Verteil_sw,29,FALSE)+SUMIF($D$5:$D$319,"=saz",CS5:CS319)*HLOOKUP(CS322,Verteil_sw,30,FALSE)</f>
        <v>0</v>
      </c>
      <c r="CT341" s="102">
        <f t="shared" ref="CT341" si="1418">IF(CS340&lt;&gt;0,CS341/CS340,0)</f>
        <v>0</v>
      </c>
      <c r="CU341" s="659" t="s">
        <v>180</v>
      </c>
      <c r="DA341" s="102">
        <f t="shared" ref="DA341" si="1419">IF(DC340&lt;&gt;0,DC341/DC340,0)</f>
        <v>0</v>
      </c>
      <c r="DB341" s="179">
        <f>SUMIF($D$5:$D$319,"=sas",DB5:DB319)*HLOOKUP(CS322,Verteil_sw,27,FALSE)+SUMIF($D$5:$D$319,"=sam",DB5:DB319)*HLOOKUP(CS322,Verteil_sw,28,FALSE)+SUMIF($D$5:$D$319,"=sar",DB5:DB319)*HLOOKUP(CS322,Verteil_sw,29,FALSE)+SUMIF($D$5:$D$319,"=saz",DB5:DB319)*HLOOKUP(CS322,Verteil_sw,30,FALSE)</f>
        <v>0</v>
      </c>
      <c r="DC341" s="237">
        <f>SUMIF($D$5:$D$319,"=sas",DC5:DC319)*HLOOKUP(CS322,Verteil_sw,27,FALSE)+SUMIF($D$5:$D$319,"=sam",DC5:DC319)*HLOOKUP(CS322,Verteil_sw,28,FALSE)+SUMIF($D$5:$D$319,"=sar",DC5:DC319)*HLOOKUP(CS322,Verteil_sw,29,FALSE)+SUMIF($D$5:$D$319,"=saz",DC5:DC319)*HLOOKUP(CS322,Verteil_sw,30,FALSE)</f>
        <v>0</v>
      </c>
      <c r="DH341" s="179">
        <f>SUMIF($D$5:$D$319,"=sas",DH5:DH319)*HLOOKUP(DJ322,Verteil_sw,27,FALSE)+SUMIF($D$5:$D$319,"=sam",DH5:DH319)*HLOOKUP(DJ322,Verteil_sw,28,FALSE)+SUMIF($D$5:$D$319,"=sar",DH5:DH319)*HLOOKUP(DJ322,Verteil_sw,29,FALSE)+SUMIF($D$5:$D$319,"=saz",DH5:DH319)*HLOOKUP(DJ322,Verteil_sw,30,FALSE)</f>
        <v>0</v>
      </c>
      <c r="DI341" s="102">
        <f t="shared" ref="DI341" si="1420">IF(DH340&lt;&gt;0,DH341/DH340,0)</f>
        <v>0</v>
      </c>
      <c r="DJ341" s="179">
        <f>SUMIF($D$5:$D$319,"=sas",DJ5:DJ319)*HLOOKUP(DJ322,Verteil_sw,27,FALSE)+SUMIF($D$5:$D$319,"=sam",DJ5:DJ319)*HLOOKUP(DJ322,Verteil_sw,28,FALSE)+SUMIF($D$5:$D$319,"=sar",DJ5:DJ319)*HLOOKUP(DJ322,Verteil_sw,29,FALSE)+SUMIF($D$5:$D$319,"=saz",DJ5:DJ319)*HLOOKUP(DJ322,Verteil_sw,30,FALSE)</f>
        <v>0</v>
      </c>
      <c r="DK341" s="102">
        <f t="shared" ref="DK341" si="1421">IF(DJ340&lt;&gt;0,DJ341/DJ340,0)</f>
        <v>0</v>
      </c>
      <c r="DL341" s="659" t="s">
        <v>180</v>
      </c>
      <c r="DR341" s="102">
        <f t="shared" ref="DR341" si="1422">IF(DT340&lt;&gt;0,DT341/DT340,0)</f>
        <v>0</v>
      </c>
      <c r="DS341" s="179">
        <f>SUMIF($D$5:$D$319,"=sas",DS5:DS319)*HLOOKUP(DJ322,Verteil_sw,27,FALSE)+SUMIF($D$5:$D$319,"=sam",DS5:DS319)*HLOOKUP(DJ322,Verteil_sw,28,FALSE)+SUMIF($D$5:$D$319,"=sar",DS5:DS319)*HLOOKUP(DJ322,Verteil_sw,29,FALSE)+SUMIF($D$5:$D$319,"=saz",DS5:DS319)*HLOOKUP(DJ322,Verteil_sw,30,FALSE)</f>
        <v>0</v>
      </c>
      <c r="DT341" s="237">
        <f>SUMIF($D$5:$D$319,"=sas",DT5:DT319)*HLOOKUP(DJ322,Verteil_sw,27,FALSE)+SUMIF($D$5:$D$319,"=sam",DT5:DT319)*HLOOKUP(DJ322,Verteil_sw,28,FALSE)+SUMIF($D$5:$D$319,"=sar",DT5:DT319)*HLOOKUP(DJ322,Verteil_sw,29,FALSE)+SUMIF($D$5:$D$319,"=saz",DT5:DT319)*HLOOKUP(DJ322,Verteil_sw,30,FALSE)</f>
        <v>0</v>
      </c>
      <c r="DY341" s="179">
        <f>SUMIF($D$5:$D$319,"=sas",DY5:DY319)*HLOOKUP(EA322,Verteil_sw,27,FALSE)+SUMIF($D$5:$D$319,"=sam",DY5:DY319)*HLOOKUP(EA322,Verteil_sw,28,FALSE)+SUMIF($D$5:$D$319,"=sar",DY5:DY319)*HLOOKUP(EA322,Verteil_sw,29,FALSE)+SUMIF($D$5:$D$319,"=saz",DY5:DY319)*HLOOKUP(EA322,Verteil_sw,30,FALSE)</f>
        <v>0</v>
      </c>
      <c r="DZ341" s="102">
        <f t="shared" ref="DZ341" si="1423">IF(DY340&lt;&gt;0,DY341/DY340,0)</f>
        <v>0</v>
      </c>
      <c r="EA341" s="179">
        <f>SUMIF($D$5:$D$319,"=sas",EA5:EA319)*HLOOKUP(EA322,Verteil_sw,27,FALSE)+SUMIF($D$5:$D$319,"=sam",EA5:EA319)*HLOOKUP(EA322,Verteil_sw,28,FALSE)+SUMIF($D$5:$D$319,"=sar",EA5:EA319)*HLOOKUP(EA322,Verteil_sw,29,FALSE)+SUMIF($D$5:$D$319,"=saz",EA5:EA319)*HLOOKUP(EA322,Verteil_sw,30,FALSE)</f>
        <v>0</v>
      </c>
      <c r="EB341" s="102">
        <f t="shared" ref="EB341" si="1424">IF(EA340&lt;&gt;0,EA341/EA340,0)</f>
        <v>0</v>
      </c>
      <c r="EC341" s="659" t="s">
        <v>180</v>
      </c>
      <c r="EI341" s="102">
        <f t="shared" ref="EI341" si="1425">IF(EK340&lt;&gt;0,EK341/EK340,0)</f>
        <v>0</v>
      </c>
      <c r="EJ341" s="179">
        <f>SUMIF($D$5:$D$319,"=sas",EJ5:EJ319)*HLOOKUP(EA322,Verteil_sw,27,FALSE)+SUMIF($D$5:$D$319,"=sam",EJ5:EJ319)*HLOOKUP(EA322,Verteil_sw,28,FALSE)+SUMIF($D$5:$D$319,"=sar",EJ5:EJ319)*HLOOKUP(EA322,Verteil_sw,29,FALSE)+SUMIF($D$5:$D$319,"=saz",EJ5:EJ319)*HLOOKUP(EA322,Verteil_sw,30,FALSE)</f>
        <v>0</v>
      </c>
      <c r="EK341" s="237">
        <f>SUMIF($D$5:$D$319,"=sas",EK5:EK319)*HLOOKUP(EA322,Verteil_sw,27,FALSE)+SUMIF($D$5:$D$319,"=sam",EK5:EK319)*HLOOKUP(EA322,Verteil_sw,28,FALSE)+SUMIF($D$5:$D$319,"=sar",EK5:EK319)*HLOOKUP(EA322,Verteil_sw,29,FALSE)+SUMIF($D$5:$D$319,"=saz",EK5:EK319)*HLOOKUP(EA322,Verteil_sw,30,FALSE)</f>
        <v>0</v>
      </c>
      <c r="EP341" s="179">
        <f>SUMIF($D$5:$D$319,"=sas",EP5:EP319)*HLOOKUP(ER322,Verteil_sw,27,FALSE)+SUMIF($D$5:$D$319,"=sam",EP5:EP319)*HLOOKUP(ER322,Verteil_sw,28,FALSE)+SUMIF($D$5:$D$319,"=sar",EP5:EP319)*HLOOKUP(ER322,Verteil_sw,29,FALSE)+SUMIF($D$5:$D$319,"=saz",EP5:EP319)*HLOOKUP(ER322,Verteil_sw,30,FALSE)</f>
        <v>0</v>
      </c>
      <c r="EQ341" s="102">
        <f t="shared" ref="EQ341" si="1426">IF(EP340&lt;&gt;0,EP341/EP340,0)</f>
        <v>0</v>
      </c>
      <c r="ER341" s="179">
        <f>SUMIF($D$5:$D$319,"=sas",ER5:ER319)*HLOOKUP(ER322,Verteil_sw,27,FALSE)+SUMIF($D$5:$D$319,"=sam",ER5:ER319)*HLOOKUP(ER322,Verteil_sw,28,FALSE)+SUMIF($D$5:$D$319,"=sar",ER5:ER319)*HLOOKUP(ER322,Verteil_sw,29,FALSE)+SUMIF($D$5:$D$319,"=saz",ER5:ER319)*HLOOKUP(ER322,Verteil_sw,30,FALSE)</f>
        <v>0</v>
      </c>
      <c r="ES341" s="102">
        <f t="shared" ref="ES341" si="1427">IF(ER340&lt;&gt;0,ER341/ER340,0)</f>
        <v>0</v>
      </c>
      <c r="ET341" s="659" t="s">
        <v>180</v>
      </c>
      <c r="EZ341" s="102">
        <f t="shared" ref="EZ341" si="1428">IF(FB340&lt;&gt;0,FB341/FB340,0)</f>
        <v>0</v>
      </c>
      <c r="FA341" s="179">
        <f>SUMIF($D$5:$D$319,"=sas",FA5:FA319)*HLOOKUP(ER322,Verteil_sw,27,FALSE)+SUMIF($D$5:$D$319,"=sam",FA5:FA319)*HLOOKUP(ER322,Verteil_sw,28,FALSE)+SUMIF($D$5:$D$319,"=sar",FA5:FA319)*HLOOKUP(ER322,Verteil_sw,29,FALSE)+SUMIF($D$5:$D$319,"=saz",FA5:FA319)*HLOOKUP(ER322,Verteil_sw,30,FALSE)</f>
        <v>0</v>
      </c>
      <c r="FB341" s="237">
        <f>SUMIF($D$5:$D$319,"=sas",FB5:FB319)*HLOOKUP(ER322,Verteil_sw,27,FALSE)+SUMIF($D$5:$D$319,"=sam",FB5:FB319)*HLOOKUP(ER322,Verteil_sw,28,FALSE)+SUMIF($D$5:$D$319,"=sar",FB5:FB319)*HLOOKUP(ER322,Verteil_sw,29,FALSE)+SUMIF($D$5:$D$319,"=saz",FB5:FB319)*HLOOKUP(ER322,Verteil_sw,30,FALSE)</f>
        <v>0</v>
      </c>
      <c r="FG341" s="179">
        <f>SUMIF($D$5:$D$319,"=sas",FG5:FG319)*HLOOKUP(FI322,Verteil_sw,27,FALSE)+SUMIF($D$5:$D$319,"=sam",FG5:FG319)*HLOOKUP(FI322,Verteil_sw,28,FALSE)+SUMIF($D$5:$D$319,"=sar",FG5:FG319)*HLOOKUP(FI322,Verteil_sw,29,FALSE)+SUMIF($D$5:$D$319,"=saz",FG5:FG319)*HLOOKUP(FI322,Verteil_sw,30,FALSE)</f>
        <v>0</v>
      </c>
      <c r="FH341" s="102">
        <f t="shared" ref="FH341" si="1429">IF(FG340&lt;&gt;0,FG341/FG340,0)</f>
        <v>0</v>
      </c>
      <c r="FI341" s="179">
        <f>SUMIF($D$5:$D$319,"=sas",FI5:FI319)*HLOOKUP(FI322,Verteil_sw,27,FALSE)+SUMIF($D$5:$D$319,"=sam",FI5:FI319)*HLOOKUP(FI322,Verteil_sw,28,FALSE)+SUMIF($D$5:$D$319,"=sar",FI5:FI319)*HLOOKUP(FI322,Verteil_sw,29,FALSE)+SUMIF($D$5:$D$319,"=saz",FI5:FI319)*HLOOKUP(FI322,Verteil_sw,30,FALSE)</f>
        <v>0</v>
      </c>
      <c r="FJ341" s="102">
        <f t="shared" ref="FJ341" si="1430">IF(FI340&lt;&gt;0,FI341/FI340,0)</f>
        <v>0</v>
      </c>
      <c r="FK341" s="659" t="s">
        <v>180</v>
      </c>
      <c r="FQ341" s="102">
        <f t="shared" ref="FQ341" si="1431">IF(FS340&lt;&gt;0,FS341/FS340,0)</f>
        <v>0</v>
      </c>
      <c r="FR341" s="179">
        <f>SUMIF($D$5:$D$319,"=sas",FR5:FR319)*HLOOKUP(FI322,Verteil_sw,27,FALSE)+SUMIF($D$5:$D$319,"=sam",FR5:FR319)*HLOOKUP(FI322,Verteil_sw,28,FALSE)+SUMIF($D$5:$D$319,"=sar",FR5:FR319)*HLOOKUP(FI322,Verteil_sw,29,FALSE)+SUMIF($D$5:$D$319,"=saz",FR5:FR319)*HLOOKUP(FI322,Verteil_sw,30,FALSE)</f>
        <v>0</v>
      </c>
      <c r="FS341" s="237">
        <f>SUMIF($D$5:$D$319,"=sas",FS5:FS319)*HLOOKUP(FI322,Verteil_sw,27,FALSE)+SUMIF($D$5:$D$319,"=sam",FS5:FS319)*HLOOKUP(FI322,Verteil_sw,28,FALSE)+SUMIF($D$5:$D$319,"=sar",FS5:FS319)*HLOOKUP(FI322,Verteil_sw,29,FALSE)+SUMIF($D$5:$D$319,"=saz",FS5:FS319)*HLOOKUP(FI322,Verteil_sw,30,FALSE)</f>
        <v>0</v>
      </c>
    </row>
    <row r="342" spans="1:175" s="10" customFormat="1" hidden="1" x14ac:dyDescent="0.3">
      <c r="A342" s="656" t="s">
        <v>181</v>
      </c>
      <c r="V342" s="217">
        <v>21</v>
      </c>
      <c r="AA342" s="179">
        <f>SUMIF($D$5:$D$319,"=sas",AA5:AA319)*HLOOKUP(AC322,Verteil_rwgr,26,FALSE)+SUMIF($D$5:$D$319,"=sam",AA5:AA319)*HLOOKUP(AC322,Verteil_rwgr,27,FALSE)+SUMIF($D$5:$D$319,"=sar",AA5:AA319)*HLOOKUP(AC322,Verteil_rwgr,28,FALSE)+SUMIF($D$5:$D$319,"=saz",AA5:AA319)*HLOOKUP(AC322,Verteil_rwgr,29,FALSE)</f>
        <v>0</v>
      </c>
      <c r="AB342" s="102">
        <f t="shared" ref="AB342" si="1432">IF(AA340&lt;&gt;0,AA342/AA340,0)</f>
        <v>0</v>
      </c>
      <c r="AC342" s="179">
        <f>SUMIF($D$5:$D$319,"=sas",AC5:AC319)*HLOOKUP(AC322,Verteil_rwgr,26,FALSE)+SUMIF($D$5:$D$319,"=sam",AC5:AC319)*HLOOKUP(AC322,Verteil_rwgr,27,FALSE)+SUMIF($D$5:$D$319,"=sar",AC5:AC319)*HLOOKUP(AC322,Verteil_rwgr,28,FALSE)+SUMIF($D$5:$D$319,"=saz",AC5:AC319)*HLOOKUP(AC322,Verteil_rwgr,29,FALSE)</f>
        <v>0</v>
      </c>
      <c r="AD342" s="102">
        <f t="shared" ref="AD342:AD350" si="1433">IF(AC340&lt;&gt;0,AC342/AC340,0)</f>
        <v>0</v>
      </c>
      <c r="AE342" s="656" t="s">
        <v>181</v>
      </c>
      <c r="AK342" s="102">
        <f t="shared" ref="AK342" si="1434">IF(AM340&lt;&gt;0,AM342/AM340,0)</f>
        <v>0</v>
      </c>
      <c r="AL342" s="179">
        <f>SUMIF($D$5:$D$319,"=sas",AL5:AL319)*HLOOKUP(AC322,Verteil_rwgr,26,FALSE)+SUMIF($D$5:$D$319,"=sam",AL5:AL319)*HLOOKUP(AC322,Verteil_rwgr,27,FALSE)+SUMIF($D$5:$D$319,"=sar",AL5:AL319)*HLOOKUP(AC322,Verteil_rwgr,28,FALSE)+SUMIF($D$5:$D$319,"=saz",AL5:AL319)*HLOOKUP(AC322,Verteil_rwgr,29,FALSE)</f>
        <v>0</v>
      </c>
      <c r="AM342" s="237">
        <f>SUMIF($D$5:$D$319,"=sas",AM5:AM319)*HLOOKUP(AC322,Verteil_rwgr,26,FALSE)+SUMIF($D$5:$D$319,"=sam",AM5:AM319)*HLOOKUP(AC322,Verteil_rwgr,27,FALSE)+SUMIF($D$5:$D$319,"=sar",AM5:AM319)*HLOOKUP(AC322,Verteil_rwgr,28,FALSE)+SUMIF($D$5:$D$319,"=saz",AM5:AM319)*HLOOKUP(AC322,Verteil_rwgr,29,FALSE)</f>
        <v>0</v>
      </c>
      <c r="AR342" s="179">
        <f>SUMIF($D$5:$D$319,"=sas",AR5:AR319)*HLOOKUP(AT322,Verteil_rwgr,26,FALSE)+SUMIF($D$5:$D$319,"=sam",AR5:AR319)*HLOOKUP(AT322,Verteil_rwgr,27,FALSE)+SUMIF($D$5:$D$319,"=sar",AR5:AR319)*HLOOKUP(AT322,Verteil_rwgr,28,FALSE)+SUMIF($D$5:$D$319,"=saz",AR5:AR319)*HLOOKUP(AT322,Verteil_rwgr,29,FALSE)</f>
        <v>0</v>
      </c>
      <c r="AS342" s="102">
        <f t="shared" ref="AS342" si="1435">IF(AR340&lt;&gt;0,AR342/AR340,0)</f>
        <v>0</v>
      </c>
      <c r="AT342" s="179">
        <f>SUMIF($D$5:$D$319,"=sas",AT5:AT319)*HLOOKUP(AT322,Verteil_rwgr,26,FALSE)+SUMIF($D$5:$D$319,"=sam",AT5:AT319)*HLOOKUP(AT322,Verteil_rwgr,27,FALSE)+SUMIF($D$5:$D$319,"=sar",AT5:AT319)*HLOOKUP(AT322,Verteil_rwgr,28,FALSE)+SUMIF($D$5:$D$319,"=saz",AT5:AT319)*HLOOKUP(AT322,Verteil_rwgr,29,FALSE)</f>
        <v>0</v>
      </c>
      <c r="AU342" s="102">
        <f t="shared" ref="AU342" si="1436">IF(AT340&lt;&gt;0,AT342/AT340,0)</f>
        <v>0</v>
      </c>
      <c r="AV342" s="659" t="s">
        <v>181</v>
      </c>
      <c r="BB342" s="102">
        <f t="shared" ref="BB342" si="1437">IF(BD340&lt;&gt;0,BD342/BD340,0)</f>
        <v>0</v>
      </c>
      <c r="BC342" s="179">
        <f>SUMIF($D$5:$D$319,"=sas",BC5:BC319)*HLOOKUP(AT322,Verteil_rwgr,26,FALSE)+SUMIF($D$5:$D$319,"=sam",BC5:BC319)*HLOOKUP(AT322,Verteil_rwgr,27,FALSE)+SUMIF($D$5:$D$319,"=sar",BC5:BC319)*HLOOKUP(AT322,Verteil_rwgr,28,FALSE)+SUMIF($D$5:$D$319,"=saz",BC5:BC319)*HLOOKUP(AT322,Verteil_rwgr,29,FALSE)</f>
        <v>0</v>
      </c>
      <c r="BD342" s="237">
        <f>SUMIF($D$5:$D$319,"=sas",BD5:BD319)*HLOOKUP(AT322,Verteil_rwgr,26,FALSE)+SUMIF($D$5:$D$319,"=sam",BD5:BD319)*HLOOKUP(AT322,Verteil_rwgr,27,FALSE)+SUMIF($D$5:$D$319,"=sar",BD5:BD319)*HLOOKUP(AT322,Verteil_rwgr,28,FALSE)+SUMIF($D$5:$D$319,"=saz",BD5:BD319)*HLOOKUP(AT322,Verteil_rwgr,29,FALSE)</f>
        <v>0</v>
      </c>
      <c r="BI342" s="179">
        <f>SUMIF($D$5:$D$319,"=sas",BI5:BI319)*HLOOKUP(BK322,Verteil_rwgr,26,FALSE)+SUMIF($D$5:$D$319,"=sam",BI5:BI319)*HLOOKUP(BK322,Verteil_rwgr,27,FALSE)+SUMIF($D$5:$D$319,"=sar",BI5:BI319)*HLOOKUP(BK322,Verteil_rwgr,28,FALSE)+SUMIF($D$5:$D$319,"=saz",BI5:BI319)*HLOOKUP(BK322,Verteil_rwgr,29,FALSE)</f>
        <v>0</v>
      </c>
      <c r="BJ342" s="102">
        <f t="shared" ref="BJ342" si="1438">IF(BI340&lt;&gt;0,BI342/BI340,0)</f>
        <v>0</v>
      </c>
      <c r="BK342" s="179">
        <f>SUMIF($D$5:$D$319,"=sas",BK5:BK319)*HLOOKUP(BK322,Verteil_rwgr,26,FALSE)+SUMIF($D$5:$D$319,"=sam",BK5:BK319)*HLOOKUP(BK322,Verteil_rwgr,27,FALSE)+SUMIF($D$5:$D$319,"=sar",BK5:BK319)*HLOOKUP(BK322,Verteil_rwgr,28,FALSE)+SUMIF($D$5:$D$319,"=saz",BK5:BK319)*HLOOKUP(BK322,Verteil_rwgr,29,FALSE)</f>
        <v>0</v>
      </c>
      <c r="BL342" s="102">
        <f t="shared" ref="BL342" si="1439">IF(BK340&lt;&gt;0,BK342/BK340,0)</f>
        <v>0</v>
      </c>
      <c r="BM342" s="659" t="s">
        <v>181</v>
      </c>
      <c r="BS342" s="102">
        <f t="shared" ref="BS342" si="1440">IF(BU340&lt;&gt;0,BU342/BU340,0)</f>
        <v>0</v>
      </c>
      <c r="BT342" s="179">
        <f>SUMIF($D$5:$D$319,"=sas",BT5:BT319)*HLOOKUP(BK322,Verteil_rwgr,26,FALSE)+SUMIF($D$5:$D$319,"=sam",BT5:BT319)*HLOOKUP(BK322,Verteil_rwgr,27,FALSE)+SUMIF($D$5:$D$319,"=sar",BT5:BT319)*HLOOKUP(BK322,Verteil_rwgr,28,FALSE)+SUMIF($D$5:$D$319,"=saz",BT5:BT319)*HLOOKUP(BK322,Verteil_rwgr,29,FALSE)</f>
        <v>0</v>
      </c>
      <c r="BU342" s="237">
        <f>SUMIF($D$5:$D$319,"=sas",BU5:BU319)*HLOOKUP(BK322,Verteil_rwgr,26,FALSE)+SUMIF($D$5:$D$319,"=sam",BU5:BU319)*HLOOKUP(BK322,Verteil_rwgr,27,FALSE)+SUMIF($D$5:$D$319,"=sar",BU5:BU319)*HLOOKUP(BK322,Verteil_rwgr,28,FALSE)+SUMIF($D$5:$D$319,"=saz",BU5:BU319)*HLOOKUP(BK322,Verteil_rwgr,29,FALSE)</f>
        <v>0</v>
      </c>
      <c r="BZ342" s="179">
        <f>SUMIF($D$5:$D$319,"=sas",BZ5:BZ319)*HLOOKUP(CB322,Verteil_rwgr,26,FALSE)+SUMIF($D$5:$D$319,"=sam",BZ5:BZ319)*HLOOKUP(CB322,Verteil_rwgr,27,FALSE)+SUMIF($D$5:$D$319,"=sar",BZ5:BZ319)*HLOOKUP(CB322,Verteil_rwgr,28,FALSE)+SUMIF($D$5:$D$319,"=saz",BZ5:BZ319)*HLOOKUP(CB322,Verteil_rwgr,29,FALSE)</f>
        <v>0</v>
      </c>
      <c r="CA342" s="102">
        <f t="shared" ref="CA342" si="1441">IF(BZ340&lt;&gt;0,BZ342/BZ340,0)</f>
        <v>0</v>
      </c>
      <c r="CB342" s="179">
        <f>SUMIF($D$5:$D$319,"=sas",CB5:CB319)*HLOOKUP(CB322,Verteil_rwgr,26,FALSE)+SUMIF($D$5:$D$319,"=sam",CB5:CB319)*HLOOKUP(CB322,Verteil_rwgr,27,FALSE)+SUMIF($D$5:$D$319,"=sar",CB5:CB319)*HLOOKUP(CB322,Verteil_rwgr,28,FALSE)+SUMIF($D$5:$D$319,"=saz",CB5:CB319)*HLOOKUP(CB322,Verteil_rwgr,29,FALSE)</f>
        <v>0</v>
      </c>
      <c r="CC342" s="102">
        <f t="shared" ref="CC342" si="1442">IF(CB340&lt;&gt;0,CB342/CB340,0)</f>
        <v>0</v>
      </c>
      <c r="CD342" s="659" t="s">
        <v>181</v>
      </c>
      <c r="CJ342" s="102">
        <f t="shared" ref="CJ342" si="1443">IF(CL340&lt;&gt;0,CL342/CL340,0)</f>
        <v>0</v>
      </c>
      <c r="CK342" s="179">
        <f>SUMIF($D$5:$D$319,"=sas",CK5:CK319)*HLOOKUP(CB322,Verteil_rwgr,26,FALSE)+SUMIF($D$5:$D$319,"=sam",CK5:CK319)*HLOOKUP(CB322,Verteil_rwgr,27,FALSE)+SUMIF($D$5:$D$319,"=sar",CK5:CK319)*HLOOKUP(CB322,Verteil_rwgr,28,FALSE)+SUMIF($D$5:$D$319,"=saz",CK5:CK319)*HLOOKUP(CB322,Verteil_rwgr,29,FALSE)</f>
        <v>0</v>
      </c>
      <c r="CL342" s="237">
        <f>SUMIF($D$5:$D$319,"=sas",CL5:CL319)*HLOOKUP(CB322,Verteil_rwgr,26,FALSE)+SUMIF($D$5:$D$319,"=sam",CL5:CL319)*HLOOKUP(CB322,Verteil_rwgr,27,FALSE)+SUMIF($D$5:$D$319,"=sar",CL5:CL319)*HLOOKUP(CB322,Verteil_rwgr,28,FALSE)+SUMIF($D$5:$D$319,"=saz",CL5:CL319)*HLOOKUP(CB322,Verteil_rwgr,29,FALSE)</f>
        <v>0</v>
      </c>
      <c r="CQ342" s="179">
        <f>SUMIF($D$5:$D$319,"=sas",CQ5:CQ319)*HLOOKUP(CS322,Verteil_rwgr,26,FALSE)+SUMIF($D$5:$D$319,"=sam",CQ5:CQ319)*HLOOKUP(CS322,Verteil_rwgr,27,FALSE)+SUMIF($D$5:$D$319,"=sar",CQ5:CQ319)*HLOOKUP(CS322,Verteil_rwgr,28,FALSE)+SUMIF($D$5:$D$319,"=saz",CQ5:CQ319)*HLOOKUP(CS322,Verteil_rwgr,29,FALSE)</f>
        <v>0</v>
      </c>
      <c r="CR342" s="102">
        <f t="shared" ref="CR342" si="1444">IF(CQ340&lt;&gt;0,CQ342/CQ340,0)</f>
        <v>0</v>
      </c>
      <c r="CS342" s="179">
        <f>SUMIF($D$5:$D$319,"=sas",CS5:CS319)*HLOOKUP(CS322,Verteil_rwgr,26,FALSE)+SUMIF($D$5:$D$319,"=sam",CS5:CS319)*HLOOKUP(CS322,Verteil_rwgr,27,FALSE)+SUMIF($D$5:$D$319,"=sar",CS5:CS319)*HLOOKUP(CS322,Verteil_rwgr,28,FALSE)+SUMIF($D$5:$D$319,"=saz",CS5:CS319)*HLOOKUP(CS322,Verteil_rwgr,29,FALSE)</f>
        <v>0</v>
      </c>
      <c r="CT342" s="102">
        <f t="shared" ref="CT342" si="1445">IF(CS340&lt;&gt;0,CS342/CS340,0)</f>
        <v>0</v>
      </c>
      <c r="CU342" s="659" t="s">
        <v>181</v>
      </c>
      <c r="DA342" s="102">
        <f t="shared" ref="DA342" si="1446">IF(DC340&lt;&gt;0,DC342/DC340,0)</f>
        <v>0</v>
      </c>
      <c r="DB342" s="179">
        <f>SUMIF($D$5:$D$319,"=sas",DB5:DB319)*HLOOKUP(CS322,Verteil_rwgr,26,FALSE)+SUMIF($D$5:$D$319,"=sam",DB5:DB319)*HLOOKUP(CS322,Verteil_rwgr,27,FALSE)+SUMIF($D$5:$D$319,"=sar",DB5:DB319)*HLOOKUP(CS322,Verteil_rwgr,28,FALSE)+SUMIF($D$5:$D$319,"=saz",DB5:DB319)*HLOOKUP(CS322,Verteil_rwgr,29,FALSE)</f>
        <v>0</v>
      </c>
      <c r="DC342" s="237">
        <f>SUMIF($D$5:$D$319,"=sas",DC5:DC319)*HLOOKUP(CS322,Verteil_rwgr,26,FALSE)+SUMIF($D$5:$D$319,"=sam",DC5:DC319)*HLOOKUP(CS322,Verteil_rwgr,27,FALSE)+SUMIF($D$5:$D$319,"=sar",DC5:DC319)*HLOOKUP(CS322,Verteil_rwgr,28,FALSE)+SUMIF($D$5:$D$319,"=saz",DC5:DC319)*HLOOKUP(CS322,Verteil_rwgr,29,FALSE)</f>
        <v>0</v>
      </c>
      <c r="DH342" s="179">
        <f>SUMIF($D$5:$D$319,"=sas",DH5:DH319)*HLOOKUP(DJ322,Verteil_rwgr,26,FALSE)+SUMIF($D$5:$D$319,"=sam",DH5:DH319)*HLOOKUP(DJ322,Verteil_rwgr,27,FALSE)+SUMIF($D$5:$D$319,"=sar",DH5:DH319)*HLOOKUP(DJ322,Verteil_rwgr,28,FALSE)+SUMIF($D$5:$D$319,"=saz",DH5:DH319)*HLOOKUP(DJ322,Verteil_rwgr,29,FALSE)</f>
        <v>0</v>
      </c>
      <c r="DI342" s="102">
        <f t="shared" ref="DI342" si="1447">IF(DH340&lt;&gt;0,DH342/DH340,0)</f>
        <v>0</v>
      </c>
      <c r="DJ342" s="179">
        <f>SUMIF($D$5:$D$319,"=sas",DJ5:DJ319)*HLOOKUP(DJ322,Verteil_rwgr,26,FALSE)+SUMIF($D$5:$D$319,"=sam",DJ5:DJ319)*HLOOKUP(DJ322,Verteil_rwgr,27,FALSE)+SUMIF($D$5:$D$319,"=sar",DJ5:DJ319)*HLOOKUP(DJ322,Verteil_rwgr,28,FALSE)+SUMIF($D$5:$D$319,"=saz",DJ5:DJ319)*HLOOKUP(DJ322,Verteil_rwgr,29,FALSE)</f>
        <v>0</v>
      </c>
      <c r="DK342" s="102">
        <f t="shared" ref="DK342" si="1448">IF(DJ340&lt;&gt;0,DJ342/DJ340,0)</f>
        <v>0</v>
      </c>
      <c r="DL342" s="659" t="s">
        <v>181</v>
      </c>
      <c r="DR342" s="102">
        <f t="shared" ref="DR342" si="1449">IF(DT340&lt;&gt;0,DT342/DT340,0)</f>
        <v>0</v>
      </c>
      <c r="DS342" s="179">
        <f>SUMIF($D$5:$D$319,"=sas",DS5:DS319)*HLOOKUP(DJ322,Verteil_rwgr,26,FALSE)+SUMIF($D$5:$D$319,"=sam",DS5:DS319)*HLOOKUP(DJ322,Verteil_rwgr,27,FALSE)+SUMIF($D$5:$D$319,"=sar",DS5:DS319)*HLOOKUP(DJ322,Verteil_rwgr,28,FALSE)+SUMIF($D$5:$D$319,"=saz",DS5:DS319)*HLOOKUP(DJ322,Verteil_rwgr,29,FALSE)</f>
        <v>0</v>
      </c>
      <c r="DT342" s="237">
        <f>SUMIF($D$5:$D$319,"=sas",DT5:DT319)*HLOOKUP(DJ322,Verteil_rwgr,26,FALSE)+SUMIF($D$5:$D$319,"=sam",DT5:DT319)*HLOOKUP(DJ322,Verteil_rwgr,27,FALSE)+SUMIF($D$5:$D$319,"=sar",DT5:DT319)*HLOOKUP(DJ322,Verteil_rwgr,28,FALSE)+SUMIF($D$5:$D$319,"=saz",DT5:DT319)*HLOOKUP(DJ322,Verteil_rwgr,29,FALSE)</f>
        <v>0</v>
      </c>
      <c r="DY342" s="179">
        <f>SUMIF($D$5:$D$319,"=sas",DY5:DY319)*HLOOKUP(EA322,Verteil_rwgr,26,FALSE)+SUMIF($D$5:$D$319,"=sam",DY5:DY319)*HLOOKUP(EA322,Verteil_rwgr,27,FALSE)+SUMIF($D$5:$D$319,"=sar",DY5:DY319)*HLOOKUP(EA322,Verteil_rwgr,28,FALSE)+SUMIF($D$5:$D$319,"=saz",DY5:DY319)*HLOOKUP(EA322,Verteil_rwgr,29,FALSE)</f>
        <v>0</v>
      </c>
      <c r="DZ342" s="102">
        <f t="shared" ref="DZ342" si="1450">IF(DY340&lt;&gt;0,DY342/DY340,0)</f>
        <v>0</v>
      </c>
      <c r="EA342" s="179">
        <f>SUMIF($D$5:$D$319,"=sas",EA5:EA319)*HLOOKUP(EA322,Verteil_rwgr,26,FALSE)+SUMIF($D$5:$D$319,"=sam",EA5:EA319)*HLOOKUP(EA322,Verteil_rwgr,27,FALSE)+SUMIF($D$5:$D$319,"=sar",EA5:EA319)*HLOOKUP(EA322,Verteil_rwgr,28,FALSE)+SUMIF($D$5:$D$319,"=saz",EA5:EA319)*HLOOKUP(EA322,Verteil_rwgr,29,FALSE)</f>
        <v>0</v>
      </c>
      <c r="EB342" s="102">
        <f t="shared" ref="EB342" si="1451">IF(EA340&lt;&gt;0,EA342/EA340,0)</f>
        <v>0</v>
      </c>
      <c r="EC342" s="659" t="s">
        <v>181</v>
      </c>
      <c r="EI342" s="102">
        <f t="shared" ref="EI342" si="1452">IF(EK340&lt;&gt;0,EK342/EK340,0)</f>
        <v>0</v>
      </c>
      <c r="EJ342" s="179">
        <f>SUMIF($D$5:$D$319,"=sas",EJ5:EJ319)*HLOOKUP(EA322,Verteil_rwgr,26,FALSE)+SUMIF($D$5:$D$319,"=sam",EJ5:EJ319)*HLOOKUP(EA322,Verteil_rwgr,27,FALSE)+SUMIF($D$5:$D$319,"=sar",EJ5:EJ319)*HLOOKUP(EA322,Verteil_rwgr,28,FALSE)+SUMIF($D$5:$D$319,"=saz",EJ5:EJ319)*HLOOKUP(EA322,Verteil_rwgr,29,FALSE)</f>
        <v>0</v>
      </c>
      <c r="EK342" s="237">
        <f>SUMIF($D$5:$D$319,"=sas",EK5:EK319)*HLOOKUP(EA322,Verteil_rwgr,26,FALSE)+SUMIF($D$5:$D$319,"=sam",EK5:EK319)*HLOOKUP(EA322,Verteil_rwgr,27,FALSE)+SUMIF($D$5:$D$319,"=sar",EK5:EK319)*HLOOKUP(EA322,Verteil_rwgr,28,FALSE)+SUMIF($D$5:$D$319,"=saz",EK5:EK319)*HLOOKUP(EA322,Verteil_rwgr,29,FALSE)</f>
        <v>0</v>
      </c>
      <c r="EP342" s="179">
        <f>SUMIF($D$5:$D$319,"=sas",EP5:EP319)*HLOOKUP(ER322,Verteil_rwgr,26,FALSE)+SUMIF($D$5:$D$319,"=sam",EP5:EP319)*HLOOKUP(ER322,Verteil_rwgr,27,FALSE)+SUMIF($D$5:$D$319,"=sar",EP5:EP319)*HLOOKUP(ER322,Verteil_rwgr,28,FALSE)+SUMIF($D$5:$D$319,"=saz",EP5:EP319)*HLOOKUP(ER322,Verteil_rwgr,29,FALSE)</f>
        <v>0</v>
      </c>
      <c r="EQ342" s="102">
        <f t="shared" ref="EQ342" si="1453">IF(EP340&lt;&gt;0,EP342/EP340,0)</f>
        <v>0</v>
      </c>
      <c r="ER342" s="179">
        <f>SUMIF($D$5:$D$319,"=sas",ER5:ER319)*HLOOKUP(ER322,Verteil_rwgr,26,FALSE)+SUMIF($D$5:$D$319,"=sam",ER5:ER319)*HLOOKUP(ER322,Verteil_rwgr,27,FALSE)+SUMIF($D$5:$D$319,"=sar",ER5:ER319)*HLOOKUP(ER322,Verteil_rwgr,28,FALSE)+SUMIF($D$5:$D$319,"=saz",ER5:ER319)*HLOOKUP(ER322,Verteil_rwgr,29,FALSE)</f>
        <v>0</v>
      </c>
      <c r="ES342" s="102">
        <f t="shared" ref="ES342" si="1454">IF(ER340&lt;&gt;0,ER342/ER340,0)</f>
        <v>0</v>
      </c>
      <c r="ET342" s="659" t="s">
        <v>181</v>
      </c>
      <c r="EZ342" s="102">
        <f t="shared" ref="EZ342" si="1455">IF(FB340&lt;&gt;0,FB342/FB340,0)</f>
        <v>0</v>
      </c>
      <c r="FA342" s="179">
        <f>SUMIF($D$5:$D$319,"=sas",FA5:FA319)*HLOOKUP(ER322,Verteil_rwgr,26,FALSE)+SUMIF($D$5:$D$319,"=sam",FA5:FA319)*HLOOKUP(ER322,Verteil_rwgr,27,FALSE)+SUMIF($D$5:$D$319,"=sar",FA5:FA319)*HLOOKUP(ER322,Verteil_rwgr,28,FALSE)+SUMIF($D$5:$D$319,"=saz",FA5:FA319)*HLOOKUP(ER322,Verteil_rwgr,29,FALSE)</f>
        <v>0</v>
      </c>
      <c r="FB342" s="237">
        <f>SUMIF($D$5:$D$319,"=sas",FB5:FB319)*HLOOKUP(ER322,Verteil_rwgr,26,FALSE)+SUMIF($D$5:$D$319,"=sam",FB5:FB319)*HLOOKUP(ER322,Verteil_rwgr,27,FALSE)+SUMIF($D$5:$D$319,"=sar",FB5:FB319)*HLOOKUP(ER322,Verteil_rwgr,28,FALSE)+SUMIF($D$5:$D$319,"=saz",FB5:FB319)*HLOOKUP(ER322,Verteil_rwgr,29,FALSE)</f>
        <v>0</v>
      </c>
      <c r="FG342" s="179">
        <f>SUMIF($D$5:$D$319,"=sas",FG5:FG319)*HLOOKUP(FI322,Verteil_rwgr,26,FALSE)+SUMIF($D$5:$D$319,"=sam",FG5:FG319)*HLOOKUP(FI322,Verteil_rwgr,27,FALSE)+SUMIF($D$5:$D$319,"=sar",FG5:FG319)*HLOOKUP(FI322,Verteil_rwgr,28,FALSE)+SUMIF($D$5:$D$319,"=saz",FG5:FG319)*HLOOKUP(FI322,Verteil_rwgr,29,FALSE)</f>
        <v>0</v>
      </c>
      <c r="FH342" s="102">
        <f t="shared" ref="FH342" si="1456">IF(FG340&lt;&gt;0,FG342/FG340,0)</f>
        <v>0</v>
      </c>
      <c r="FI342" s="179">
        <f>SUMIF($D$5:$D$319,"=sas",FI5:FI319)*HLOOKUP(FI322,Verteil_rwgr,26,FALSE)+SUMIF($D$5:$D$319,"=sam",FI5:FI319)*HLOOKUP(FI322,Verteil_rwgr,27,FALSE)+SUMIF($D$5:$D$319,"=sar",FI5:FI319)*HLOOKUP(FI322,Verteil_rwgr,28,FALSE)+SUMIF($D$5:$D$319,"=saz",FI5:FI319)*HLOOKUP(FI322,Verteil_rwgr,29,FALSE)</f>
        <v>0</v>
      </c>
      <c r="FJ342" s="102">
        <f t="shared" ref="FJ342" si="1457">IF(FI340&lt;&gt;0,FI342/FI340,0)</f>
        <v>0</v>
      </c>
      <c r="FK342" s="659" t="s">
        <v>181</v>
      </c>
      <c r="FQ342" s="102">
        <f t="shared" ref="FQ342" si="1458">IF(FS340&lt;&gt;0,FS342/FS340,0)</f>
        <v>0</v>
      </c>
      <c r="FR342" s="179">
        <f>SUMIF($D$5:$D$319,"=sas",FR5:FR319)*HLOOKUP(FI322,Verteil_rwgr,26,FALSE)+SUMIF($D$5:$D$319,"=sam",FR5:FR319)*HLOOKUP(FI322,Verteil_rwgr,27,FALSE)+SUMIF($D$5:$D$319,"=sar",FR5:FR319)*HLOOKUP(FI322,Verteil_rwgr,28,FALSE)+SUMIF($D$5:$D$319,"=saz",FR5:FR319)*HLOOKUP(FI322,Verteil_rwgr,29,FALSE)</f>
        <v>0</v>
      </c>
      <c r="FS342" s="237">
        <f>SUMIF($D$5:$D$319,"=sas",FS5:FS319)*HLOOKUP(FI322,Verteil_rwgr,26,FALSE)+SUMIF($D$5:$D$319,"=sam",FS5:FS319)*HLOOKUP(FI322,Verteil_rwgr,27,FALSE)+SUMIF($D$5:$D$319,"=sar",FS5:FS319)*HLOOKUP(FI322,Verteil_rwgr,28,FALSE)+SUMIF($D$5:$D$319,"=saz",FS5:FS319)*HLOOKUP(FI322,Verteil_rwgr,29,FALSE)</f>
        <v>0</v>
      </c>
    </row>
    <row r="343" spans="1:175" s="10" customFormat="1" hidden="1" x14ac:dyDescent="0.3">
      <c r="A343" s="656" t="s">
        <v>182</v>
      </c>
      <c r="V343" s="217">
        <v>22</v>
      </c>
      <c r="AA343" s="179">
        <f>SUMIF($D$5:$D$319,"=sas",AA5:AA319)*HLOOKUP(AC322,Verteil_rwst,25,FALSE)+SUMIF($D$5:$D$319,"=sam",AA5:AA319)*HLOOKUP(AC322,Verteil_rwst,26,FALSE)+SUMIF($D$5:$D$319,"=sar",AA5:AA319)*HLOOKUP(AC322,Verteil_rwst,27,FALSE)+SUMIF($D$5:$D$319,"=saz",AA5:AA319)*HLOOKUP(AC322,Verteil_rwst,28,FALSE)</f>
        <v>0</v>
      </c>
      <c r="AB343" s="102">
        <f t="shared" ref="AB343" si="1459">IF(AA340&lt;&gt;0,AA343/AA340,0)</f>
        <v>0</v>
      </c>
      <c r="AC343" s="179">
        <f>SUMIF($D$5:$D$319,"=sas",AC5:AC319)*HLOOKUP(AC322,Verteil_rwst,25,FALSE)+SUMIF($D$5:$D$319,"=sam",AC5:AC319)*HLOOKUP(AC322,Verteil_rwst,26,FALSE)+SUMIF($D$5:$D$319,"=sar",AC5:AC319)*HLOOKUP(AC322,Verteil_rwst,27,FALSE)+SUMIF($D$5:$D$319,"=saz",AC5:AC319)*HLOOKUP(AC322,Verteil_rwst,28,FALSE)</f>
        <v>0</v>
      </c>
      <c r="AD343" s="102">
        <f t="shared" ref="AD343:AD351" si="1460">IF(AC340&lt;&gt;0,AC343/AC340,0)</f>
        <v>0</v>
      </c>
      <c r="AE343" s="656" t="s">
        <v>182</v>
      </c>
      <c r="AK343" s="102">
        <f t="shared" ref="AK343" si="1461">IF(AM340&lt;&gt;0,AM343/AM340,0)</f>
        <v>0</v>
      </c>
      <c r="AL343" s="179">
        <f>SUMIF($D$5:$D$319,"=sas",AL5:AL319)*HLOOKUP(AC322,Verteil_rwst,25,FALSE)+SUMIF($D$5:$D$319,"=sam",AL5:AL319)*HLOOKUP(AC322,Verteil_rwst,26,FALSE)+SUMIF($D$5:$D$319,"=sar",AL5:AL319)*HLOOKUP(AC322,Verteil_rwst,27,FALSE)+SUMIF($D$5:$D$319,"=saz",AL5:AL319)*HLOOKUP(AC322,Verteil_rwst,28,FALSE)</f>
        <v>0</v>
      </c>
      <c r="AM343" s="237">
        <f>SUMIF($D$5:$D$319,"=sas",AM5:AM319)*HLOOKUP(AC322,Verteil_rwst,25,FALSE)+SUMIF($D$5:$D$319,"=sam",AM5:AM319)*HLOOKUP(AC322,Verteil_rwst,26,FALSE)+SUMIF($D$5:$D$319,"=sar",AM5:AM319)*HLOOKUP(AC322,Verteil_rwst,27,FALSE)+SUMIF($D$5:$D$319,"=saz",AM5:AM319)*HLOOKUP(AC322,Verteil_rwst,28,FALSE)</f>
        <v>0</v>
      </c>
      <c r="AR343" s="179">
        <f>SUMIF($D$5:$D$319,"=sas",AR5:AR319)*HLOOKUP(AT322,Verteil_rwst,25,FALSE)+SUMIF($D$5:$D$319,"=sam",AR5:AR319)*HLOOKUP(AT322,Verteil_rwst,26,FALSE)+SUMIF($D$5:$D$319,"=sar",AR5:AR319)*HLOOKUP(AT322,Verteil_rwst,27,FALSE)+SUMIF($D$5:$D$319,"=saz",AR5:AR319)*HLOOKUP(AT322,Verteil_rwst,28,FALSE)</f>
        <v>0</v>
      </c>
      <c r="AS343" s="102">
        <f t="shared" ref="AS343" si="1462">IF(AR340&lt;&gt;0,AR343/AR340,0)</f>
        <v>0</v>
      </c>
      <c r="AT343" s="179">
        <f>SUMIF($D$5:$D$319,"=sas",AT5:AT319)*HLOOKUP(AT322,Verteil_rwst,25,FALSE)+SUMIF($D$5:$D$319,"=sam",AT5:AT319)*HLOOKUP(AT322,Verteil_rwst,26,FALSE)+SUMIF($D$5:$D$319,"=sar",AT5:AT319)*HLOOKUP(AT322,Verteil_rwst,27,FALSE)+SUMIF($D$5:$D$319,"=saz",AT5:AT319)*HLOOKUP(AT322,Verteil_rwst,28,FALSE)</f>
        <v>0</v>
      </c>
      <c r="AU343" s="102">
        <f t="shared" ref="AU343" si="1463">IF(AT340&lt;&gt;0,AT343/AT340,0)</f>
        <v>0</v>
      </c>
      <c r="AV343" s="659" t="s">
        <v>182</v>
      </c>
      <c r="BB343" s="102">
        <f t="shared" ref="BB343" si="1464">IF(BD340&lt;&gt;0,BD343/BD340,0)</f>
        <v>0</v>
      </c>
      <c r="BC343" s="179">
        <f>SUMIF($D$5:$D$319,"=sas",BC5:BC319)*HLOOKUP(AT322,Verteil_rwst,25,FALSE)+SUMIF($D$5:$D$319,"=sam",BC5:BC319)*HLOOKUP(AT322,Verteil_rwst,26,FALSE)+SUMIF($D$5:$D$319,"=sar",BC5:BC319)*HLOOKUP(AT322,Verteil_rwst,27,FALSE)+SUMIF($D$5:$D$319,"=saz",BC5:BC319)*HLOOKUP(AT322,Verteil_rwst,28,FALSE)</f>
        <v>0</v>
      </c>
      <c r="BD343" s="237">
        <f>SUMIF($D$5:$D$319,"=sas",BD5:BD319)*HLOOKUP(AT322,Verteil_rwst,25,FALSE)+SUMIF($D$5:$D$319,"=sam",BD5:BD319)*HLOOKUP(AT322,Verteil_rwst,26,FALSE)+SUMIF($D$5:$D$319,"=sar",BD5:BD319)*HLOOKUP(AT322,Verteil_rwst,27,FALSE)+SUMIF($D$5:$D$319,"=saz",BD5:BD319)*HLOOKUP(AT322,Verteil_rwst,28,FALSE)</f>
        <v>0</v>
      </c>
      <c r="BI343" s="179">
        <f>SUMIF($D$5:$D$319,"=sas",BI5:BI319)*HLOOKUP(BK322,Verteil_rwst,25,FALSE)+SUMIF($D$5:$D$319,"=sam",BI5:BI319)*HLOOKUP(BK322,Verteil_rwst,26,FALSE)+SUMIF($D$5:$D$319,"=sar",BI5:BI319)*HLOOKUP(BK322,Verteil_rwst,27,FALSE)+SUMIF($D$5:$D$319,"=saz",BI5:BI319)*HLOOKUP(BK322,Verteil_rwst,28,FALSE)</f>
        <v>0</v>
      </c>
      <c r="BJ343" s="102">
        <f t="shared" ref="BJ343" si="1465">IF(BI340&lt;&gt;0,BI343/BI340,0)</f>
        <v>0</v>
      </c>
      <c r="BK343" s="179">
        <f>SUMIF($D$5:$D$319,"=sas",BK5:BK319)*HLOOKUP(BK322,Verteil_rwst,25,FALSE)+SUMIF($D$5:$D$319,"=sam",BK5:BK319)*HLOOKUP(BK322,Verteil_rwst,26,FALSE)+SUMIF($D$5:$D$319,"=sar",BK5:BK319)*HLOOKUP(BK322,Verteil_rwst,27,FALSE)+SUMIF($D$5:$D$319,"=saz",BK5:BK319)*HLOOKUP(BK322,Verteil_rwst,28,FALSE)</f>
        <v>0</v>
      </c>
      <c r="BL343" s="102">
        <f t="shared" ref="BL343" si="1466">IF(BK340&lt;&gt;0,BK343/BK340,0)</f>
        <v>0</v>
      </c>
      <c r="BM343" s="659" t="s">
        <v>182</v>
      </c>
      <c r="BS343" s="102">
        <f t="shared" ref="BS343" si="1467">IF(BU340&lt;&gt;0,BU343/BU340,0)</f>
        <v>0</v>
      </c>
      <c r="BT343" s="179">
        <f>SUMIF($D$5:$D$319,"=sas",BT5:BT319)*HLOOKUP(BK322,Verteil_rwst,25,FALSE)+SUMIF($D$5:$D$319,"=sam",BT5:BT319)*HLOOKUP(BK322,Verteil_rwst,26,FALSE)+SUMIF($D$5:$D$319,"=sar",BT5:BT319)*HLOOKUP(BK322,Verteil_rwst,27,FALSE)+SUMIF($D$5:$D$319,"=saz",BT5:BT319)*HLOOKUP(BK322,Verteil_rwst,28,FALSE)</f>
        <v>0</v>
      </c>
      <c r="BU343" s="237">
        <f>SUMIF($D$5:$D$319,"=sas",BU5:BU319)*HLOOKUP(BK322,Verteil_rwst,25,FALSE)+SUMIF($D$5:$D$319,"=sam",BU5:BU319)*HLOOKUP(BK322,Verteil_rwst,26,FALSE)+SUMIF($D$5:$D$319,"=sar",BU5:BU319)*HLOOKUP(BK322,Verteil_rwst,27,FALSE)+SUMIF($D$5:$D$319,"=saz",BU5:BU319)*HLOOKUP(BK322,Verteil_rwst,28,FALSE)</f>
        <v>0</v>
      </c>
      <c r="BZ343" s="179">
        <f>SUMIF($D$5:$D$319,"=sas",BZ5:BZ319)*HLOOKUP(CB322,Verteil_rwst,25,FALSE)+SUMIF($D$5:$D$319,"=sam",BZ5:BZ319)*HLOOKUP(CB322,Verteil_rwst,26,FALSE)+SUMIF($D$5:$D$319,"=sar",BZ5:BZ319)*HLOOKUP(CB322,Verteil_rwst,27,FALSE)+SUMIF($D$5:$D$319,"=saz",BZ5:BZ319)*HLOOKUP(CB322,Verteil_rwst,28,FALSE)</f>
        <v>0</v>
      </c>
      <c r="CA343" s="102">
        <f t="shared" ref="CA343" si="1468">IF(BZ340&lt;&gt;0,BZ343/BZ340,0)</f>
        <v>0</v>
      </c>
      <c r="CB343" s="179">
        <f>SUMIF($D$5:$D$319,"=sas",CB5:CB319)*HLOOKUP(CB322,Verteil_rwst,25,FALSE)+SUMIF($D$5:$D$319,"=sam",CB5:CB319)*HLOOKUP(CB322,Verteil_rwst,26,FALSE)+SUMIF($D$5:$D$319,"=sar",CB5:CB319)*HLOOKUP(CB322,Verteil_rwst,27,FALSE)+SUMIF($D$5:$D$319,"=saz",CB5:CB319)*HLOOKUP(CB322,Verteil_rwst,28,FALSE)</f>
        <v>0</v>
      </c>
      <c r="CC343" s="102">
        <f t="shared" ref="CC343" si="1469">IF(CB340&lt;&gt;0,CB343/CB340,0)</f>
        <v>0</v>
      </c>
      <c r="CD343" s="659" t="s">
        <v>182</v>
      </c>
      <c r="CJ343" s="102">
        <f t="shared" ref="CJ343" si="1470">IF(CL340&lt;&gt;0,CL343/CL340,0)</f>
        <v>0</v>
      </c>
      <c r="CK343" s="179">
        <f>SUMIF($D$5:$D$319,"=sas",CK5:CK319)*HLOOKUP(CB322,Verteil_rwst,25,FALSE)+SUMIF($D$5:$D$319,"=sam",CK5:CK319)*HLOOKUP(CB322,Verteil_rwst,26,FALSE)+SUMIF($D$5:$D$319,"=sar",CK5:CK319)*HLOOKUP(CB322,Verteil_rwst,27,FALSE)+SUMIF($D$5:$D$319,"=saz",CK5:CK319)*HLOOKUP(CB322,Verteil_rwst,28,FALSE)</f>
        <v>0</v>
      </c>
      <c r="CL343" s="237">
        <f>SUMIF($D$5:$D$319,"=sas",CL5:CL319)*HLOOKUP(CB322,Verteil_rwst,25,FALSE)+SUMIF($D$5:$D$319,"=sam",CL5:CL319)*HLOOKUP(CB322,Verteil_rwst,26,FALSE)+SUMIF($D$5:$D$319,"=sar",CL5:CL319)*HLOOKUP(CB322,Verteil_rwst,27,FALSE)+SUMIF($D$5:$D$319,"=saz",CL5:CL319)*HLOOKUP(CB322,Verteil_rwst,28,FALSE)</f>
        <v>0</v>
      </c>
      <c r="CQ343" s="179">
        <f>SUMIF($D$5:$D$319,"=sas",CQ5:CQ319)*HLOOKUP(CS322,Verteil_rwst,25,FALSE)+SUMIF($D$5:$D$319,"=sam",CQ5:CQ319)*HLOOKUP(CS322,Verteil_rwst,26,FALSE)+SUMIF($D$5:$D$319,"=sar",CQ5:CQ319)*HLOOKUP(CS322,Verteil_rwst,27,FALSE)+SUMIF($D$5:$D$319,"=saz",CQ5:CQ319)*HLOOKUP(CS322,Verteil_rwst,28,FALSE)</f>
        <v>0</v>
      </c>
      <c r="CR343" s="102">
        <f t="shared" ref="CR343" si="1471">IF(CQ340&lt;&gt;0,CQ343/CQ340,0)</f>
        <v>0</v>
      </c>
      <c r="CS343" s="179">
        <f>SUMIF($D$5:$D$319,"=sas",CS5:CS319)*HLOOKUP(CS322,Verteil_rwst,25,FALSE)+SUMIF($D$5:$D$319,"=sam",CS5:CS319)*HLOOKUP(CS322,Verteil_rwst,26,FALSE)+SUMIF($D$5:$D$319,"=sar",CS5:CS319)*HLOOKUP(CS322,Verteil_rwst,27,FALSE)+SUMIF($D$5:$D$319,"=saz",CS5:CS319)*HLOOKUP(CS322,Verteil_rwst,28,FALSE)</f>
        <v>0</v>
      </c>
      <c r="CT343" s="102">
        <f t="shared" ref="CT343" si="1472">IF(CS340&lt;&gt;0,CS343/CS340,0)</f>
        <v>0</v>
      </c>
      <c r="CU343" s="659" t="s">
        <v>182</v>
      </c>
      <c r="DA343" s="102">
        <f t="shared" ref="DA343" si="1473">IF(DC340&lt;&gt;0,DC343/DC340,0)</f>
        <v>0</v>
      </c>
      <c r="DB343" s="179">
        <f>SUMIF($D$5:$D$319,"=sas",DB5:DB319)*HLOOKUP(CS322,Verteil_rwst,25,FALSE)+SUMIF($D$5:$D$319,"=sam",DB5:DB319)*HLOOKUP(CS322,Verteil_rwst,26,FALSE)+SUMIF($D$5:$D$319,"=sar",DB5:DB319)*HLOOKUP(CS322,Verteil_rwst,27,FALSE)+SUMIF($D$5:$D$319,"=saz",DB5:DB319)*HLOOKUP(CS322,Verteil_rwst,28,FALSE)</f>
        <v>0</v>
      </c>
      <c r="DC343" s="237">
        <f>SUMIF($D$5:$D$319,"=sas",DC5:DC319)*HLOOKUP(CS322,Verteil_rwst,25,FALSE)+SUMIF($D$5:$D$319,"=sam",DC5:DC319)*HLOOKUP(CS322,Verteil_rwst,26,FALSE)+SUMIF($D$5:$D$319,"=sar",DC5:DC319)*HLOOKUP(CS322,Verteil_rwst,27,FALSE)+SUMIF($D$5:$D$319,"=saz",DC5:DC319)*HLOOKUP(CS322,Verteil_rwst,28,FALSE)</f>
        <v>0</v>
      </c>
      <c r="DH343" s="179">
        <f>SUMIF($D$5:$D$319,"=sas",DH5:DH319)*HLOOKUP(DJ322,Verteil_rwst,25,FALSE)+SUMIF($D$5:$D$319,"=sam",DH5:DH319)*HLOOKUP(DJ322,Verteil_rwst,26,FALSE)+SUMIF($D$5:$D$319,"=sar",DH5:DH319)*HLOOKUP(DJ322,Verteil_rwst,27,FALSE)+SUMIF($D$5:$D$319,"=saz",DH5:DH319)*HLOOKUP(DJ322,Verteil_rwst,28,FALSE)</f>
        <v>0</v>
      </c>
      <c r="DI343" s="102">
        <f t="shared" ref="DI343" si="1474">IF(DH340&lt;&gt;0,DH343/DH340,0)</f>
        <v>0</v>
      </c>
      <c r="DJ343" s="179">
        <f>SUMIF($D$5:$D$319,"=sas",DJ5:DJ319)*HLOOKUP(DJ322,Verteil_rwst,25,FALSE)+SUMIF($D$5:$D$319,"=sam",DJ5:DJ319)*HLOOKUP(DJ322,Verteil_rwst,26,FALSE)+SUMIF($D$5:$D$319,"=sar",DJ5:DJ319)*HLOOKUP(DJ322,Verteil_rwst,27,FALSE)+SUMIF($D$5:$D$319,"=saz",DJ5:DJ319)*HLOOKUP(DJ322,Verteil_rwst,28,FALSE)</f>
        <v>0</v>
      </c>
      <c r="DK343" s="102">
        <f t="shared" ref="DK343" si="1475">IF(DJ340&lt;&gt;0,DJ343/DJ340,0)</f>
        <v>0</v>
      </c>
      <c r="DL343" s="659" t="s">
        <v>182</v>
      </c>
      <c r="DR343" s="102">
        <f t="shared" ref="DR343" si="1476">IF(DT340&lt;&gt;0,DT343/DT340,0)</f>
        <v>0</v>
      </c>
      <c r="DS343" s="179">
        <f>SUMIF($D$5:$D$319,"=sas",DS5:DS319)*HLOOKUP(DJ322,Verteil_rwst,25,FALSE)+SUMIF($D$5:$D$319,"=sam",DS5:DS319)*HLOOKUP(DJ322,Verteil_rwst,26,FALSE)+SUMIF($D$5:$D$319,"=sar",DS5:DS319)*HLOOKUP(DJ322,Verteil_rwst,27,FALSE)+SUMIF($D$5:$D$319,"=saz",DS5:DS319)*HLOOKUP(DJ322,Verteil_rwst,28,FALSE)</f>
        <v>0</v>
      </c>
      <c r="DT343" s="237">
        <f>SUMIF($D$5:$D$319,"=sas",DT5:DT319)*HLOOKUP(DJ322,Verteil_rwst,25,FALSE)+SUMIF($D$5:$D$319,"=sam",DT5:DT319)*HLOOKUP(DJ322,Verteil_rwst,26,FALSE)+SUMIF($D$5:$D$319,"=sar",DT5:DT319)*HLOOKUP(DJ322,Verteil_rwst,27,FALSE)+SUMIF($D$5:$D$319,"=saz",DT5:DT319)*HLOOKUP(DJ322,Verteil_rwst,28,FALSE)</f>
        <v>0</v>
      </c>
      <c r="DY343" s="179">
        <f>SUMIF($D$5:$D$319,"=sas",DY5:DY319)*HLOOKUP(EA322,Verteil_rwst,25,FALSE)+SUMIF($D$5:$D$319,"=sam",DY5:DY319)*HLOOKUP(EA322,Verteil_rwst,26,FALSE)+SUMIF($D$5:$D$319,"=sar",DY5:DY319)*HLOOKUP(EA322,Verteil_rwst,27,FALSE)+SUMIF($D$5:$D$319,"=saz",DY5:DY319)*HLOOKUP(EA322,Verteil_rwst,28,FALSE)</f>
        <v>0</v>
      </c>
      <c r="DZ343" s="102">
        <f t="shared" ref="DZ343" si="1477">IF(DY340&lt;&gt;0,DY343/DY340,0)</f>
        <v>0</v>
      </c>
      <c r="EA343" s="179">
        <f>SUMIF($D$5:$D$319,"=sas",EA5:EA319)*HLOOKUP(EA322,Verteil_rwst,25,FALSE)+SUMIF($D$5:$D$319,"=sam",EA5:EA319)*HLOOKUP(EA322,Verteil_rwst,26,FALSE)+SUMIF($D$5:$D$319,"=sar",EA5:EA319)*HLOOKUP(EA322,Verteil_rwst,27,FALSE)+SUMIF($D$5:$D$319,"=saz",EA5:EA319)*HLOOKUP(EA322,Verteil_rwst,28,FALSE)</f>
        <v>0</v>
      </c>
      <c r="EB343" s="102">
        <f t="shared" ref="EB343" si="1478">IF(EA340&lt;&gt;0,EA343/EA340,0)</f>
        <v>0</v>
      </c>
      <c r="EC343" s="659" t="s">
        <v>182</v>
      </c>
      <c r="EI343" s="102">
        <f t="shared" ref="EI343" si="1479">IF(EK340&lt;&gt;0,EK343/EK340,0)</f>
        <v>0</v>
      </c>
      <c r="EJ343" s="179">
        <f>SUMIF($D$5:$D$319,"=sas",EJ5:EJ319)*HLOOKUP(EA322,Verteil_rwst,25,FALSE)+SUMIF($D$5:$D$319,"=sam",EJ5:EJ319)*HLOOKUP(EA322,Verteil_rwst,26,FALSE)+SUMIF($D$5:$D$319,"=sar",EJ5:EJ319)*HLOOKUP(EA322,Verteil_rwst,27,FALSE)+SUMIF($D$5:$D$319,"=saz",EJ5:EJ319)*HLOOKUP(EA322,Verteil_rwst,28,FALSE)</f>
        <v>0</v>
      </c>
      <c r="EK343" s="237">
        <f>SUMIF($D$5:$D$319,"=sas",EK5:EK319)*HLOOKUP(EA322,Verteil_rwst,25,FALSE)+SUMIF($D$5:$D$319,"=sam",EK5:EK319)*HLOOKUP(EA322,Verteil_rwst,26,FALSE)+SUMIF($D$5:$D$319,"=sar",EK5:EK319)*HLOOKUP(EA322,Verteil_rwst,27,FALSE)+SUMIF($D$5:$D$319,"=saz",EK5:EK319)*HLOOKUP(EA322,Verteil_rwst,28,FALSE)</f>
        <v>0</v>
      </c>
      <c r="EP343" s="179">
        <f>SUMIF($D$5:$D$319,"=sas",EP5:EP319)*HLOOKUP(ER322,Verteil_rwst,25,FALSE)+SUMIF($D$5:$D$319,"=sam",EP5:EP319)*HLOOKUP(ER322,Verteil_rwst,26,FALSE)+SUMIF($D$5:$D$319,"=sar",EP5:EP319)*HLOOKUP(ER322,Verteil_rwst,27,FALSE)+SUMIF($D$5:$D$319,"=saz",EP5:EP319)*HLOOKUP(ER322,Verteil_rwst,28,FALSE)</f>
        <v>0</v>
      </c>
      <c r="EQ343" s="102">
        <f t="shared" ref="EQ343" si="1480">IF(EP340&lt;&gt;0,EP343/EP340,0)</f>
        <v>0</v>
      </c>
      <c r="ER343" s="179">
        <f>SUMIF($D$5:$D$319,"=sas",ER5:ER319)*HLOOKUP(ER322,Verteil_rwst,25,FALSE)+SUMIF($D$5:$D$319,"=sam",ER5:ER319)*HLOOKUP(ER322,Verteil_rwst,26,FALSE)+SUMIF($D$5:$D$319,"=sar",ER5:ER319)*HLOOKUP(ER322,Verteil_rwst,27,FALSE)+SUMIF($D$5:$D$319,"=saz",ER5:ER319)*HLOOKUP(ER322,Verteil_rwst,28,FALSE)</f>
        <v>0</v>
      </c>
      <c r="ES343" s="102">
        <f t="shared" ref="ES343" si="1481">IF(ER340&lt;&gt;0,ER343/ER340,0)</f>
        <v>0</v>
      </c>
      <c r="ET343" s="659" t="s">
        <v>182</v>
      </c>
      <c r="EZ343" s="102">
        <f t="shared" ref="EZ343" si="1482">IF(FB340&lt;&gt;0,FB343/FB340,0)</f>
        <v>0</v>
      </c>
      <c r="FA343" s="179">
        <f>SUMIF($D$5:$D$319,"=sas",FA5:FA319)*HLOOKUP(ER322,Verteil_rwst,25,FALSE)+SUMIF($D$5:$D$319,"=sam",FA5:FA319)*HLOOKUP(ER322,Verteil_rwst,26,FALSE)+SUMIF($D$5:$D$319,"=sar",FA5:FA319)*HLOOKUP(ER322,Verteil_rwst,27,FALSE)+SUMIF($D$5:$D$319,"=saz",FA5:FA319)*HLOOKUP(ER322,Verteil_rwst,28,FALSE)</f>
        <v>0</v>
      </c>
      <c r="FB343" s="237">
        <f>SUMIF($D$5:$D$319,"=sas",FB5:FB319)*HLOOKUP(ER322,Verteil_rwst,25,FALSE)+SUMIF($D$5:$D$319,"=sam",FB5:FB319)*HLOOKUP(ER322,Verteil_rwst,26,FALSE)+SUMIF($D$5:$D$319,"=sar",FB5:FB319)*HLOOKUP(ER322,Verteil_rwst,27,FALSE)+SUMIF($D$5:$D$319,"=saz",FB5:FB319)*HLOOKUP(ER322,Verteil_rwst,28,FALSE)</f>
        <v>0</v>
      </c>
      <c r="FG343" s="179">
        <f>SUMIF($D$5:$D$319,"=sas",FG5:FG319)*HLOOKUP(FI322,Verteil_rwst,25,FALSE)+SUMIF($D$5:$D$319,"=sam",FG5:FG319)*HLOOKUP(FI322,Verteil_rwst,26,FALSE)+SUMIF($D$5:$D$319,"=sar",FG5:FG319)*HLOOKUP(FI322,Verteil_rwst,27,FALSE)+SUMIF($D$5:$D$319,"=saz",FG5:FG319)*HLOOKUP(FI322,Verteil_rwst,28,FALSE)</f>
        <v>0</v>
      </c>
      <c r="FH343" s="102">
        <f t="shared" ref="FH343" si="1483">IF(FG340&lt;&gt;0,FG343/FG340,0)</f>
        <v>0</v>
      </c>
      <c r="FI343" s="179">
        <f>SUMIF($D$5:$D$319,"=sas",FI5:FI319)*HLOOKUP(FI322,Verteil_rwst,25,FALSE)+SUMIF($D$5:$D$319,"=sam",FI5:FI319)*HLOOKUP(FI322,Verteil_rwst,26,FALSE)+SUMIF($D$5:$D$319,"=sar",FI5:FI319)*HLOOKUP(FI322,Verteil_rwst,27,FALSE)+SUMIF($D$5:$D$319,"=saz",FI5:FI319)*HLOOKUP(FI322,Verteil_rwst,28,FALSE)</f>
        <v>0</v>
      </c>
      <c r="FJ343" s="102">
        <f t="shared" ref="FJ343" si="1484">IF(FI340&lt;&gt;0,FI343/FI340,0)</f>
        <v>0</v>
      </c>
      <c r="FK343" s="659" t="s">
        <v>182</v>
      </c>
      <c r="FQ343" s="102">
        <f t="shared" ref="FQ343" si="1485">IF(FS340&lt;&gt;0,FS343/FS340,0)</f>
        <v>0</v>
      </c>
      <c r="FR343" s="179">
        <f>SUMIF($D$5:$D$319,"=sas",FR5:FR319)*HLOOKUP(FI322,Verteil_rwst,25,FALSE)+SUMIF($D$5:$D$319,"=sam",FR5:FR319)*HLOOKUP(FI322,Verteil_rwst,26,FALSE)+SUMIF($D$5:$D$319,"=sar",FR5:FR319)*HLOOKUP(FI322,Verteil_rwst,27,FALSE)+SUMIF($D$5:$D$319,"=saz",FR5:FR319)*HLOOKUP(FI322,Verteil_rwst,28,FALSE)</f>
        <v>0</v>
      </c>
      <c r="FS343" s="237">
        <f>SUMIF($D$5:$D$319,"=sas",FS5:FS319)*HLOOKUP(FI322,Verteil_rwst,25,FALSE)+SUMIF($D$5:$D$319,"=sam",FS5:FS319)*HLOOKUP(FI322,Verteil_rwst,26,FALSE)+SUMIF($D$5:$D$319,"=sar",FS5:FS319)*HLOOKUP(FI322,Verteil_rwst,27,FALSE)+SUMIF($D$5:$D$319,"=saz",FS5:FS319)*HLOOKUP(FI322,Verteil_rwst,28,FALSE)</f>
        <v>0</v>
      </c>
    </row>
    <row r="344" spans="1:175" s="10" customFormat="1" hidden="1" x14ac:dyDescent="0.3">
      <c r="A344" s="657" t="s">
        <v>188</v>
      </c>
      <c r="V344" s="217">
        <v>23</v>
      </c>
      <c r="AA344" s="179">
        <f>SUMIF($D$5:$D$319,"=alz",AA5:AA319)</f>
        <v>0</v>
      </c>
      <c r="AB344" s="102">
        <f t="shared" ref="AB344" si="1486">SUM(AB345:AB347)</f>
        <v>0</v>
      </c>
      <c r="AC344" s="179">
        <f>SUMIF($D$5:$D$319,"=alz",AC5:AC319)</f>
        <v>0</v>
      </c>
      <c r="AD344" s="102">
        <f t="shared" ref="AD344" si="1487">SUM(AD345:AD347)</f>
        <v>0</v>
      </c>
      <c r="AE344" s="657" t="s">
        <v>188</v>
      </c>
      <c r="AK344" s="102">
        <f t="shared" ref="AK344" si="1488">SUM(AK345:AK347)</f>
        <v>0</v>
      </c>
      <c r="AL344" s="179">
        <f>SUMIF($D$5:$D$319,"=alz",AL5:AL319)</f>
        <v>0</v>
      </c>
      <c r="AM344" s="237">
        <f>SUMIF($D$5:$D$319,"=alz",AM5:AM319)</f>
        <v>0</v>
      </c>
      <c r="AR344" s="179">
        <f t="shared" ref="AR344" si="1489">SUMIF($D$5:$D$319,"=alz",AR5:AR319)</f>
        <v>0</v>
      </c>
      <c r="AS344" s="102">
        <f t="shared" ref="AS344:CR344" si="1490">SUM(AS345:AS347)</f>
        <v>0</v>
      </c>
      <c r="AT344" s="179">
        <f t="shared" ref="AT344" si="1491">SUMIF($D$5:$D$319,"=alz",AT5:AT319)</f>
        <v>0</v>
      </c>
      <c r="AU344" s="102">
        <f t="shared" ref="AU344:CT344" si="1492">SUM(AU345:AU347)</f>
        <v>0</v>
      </c>
      <c r="AV344" s="658" t="s">
        <v>188</v>
      </c>
      <c r="BB344" s="102">
        <f t="shared" ref="BB344:DA344" si="1493">SUM(BB345:BB347)</f>
        <v>0</v>
      </c>
      <c r="BC344" s="179">
        <f t="shared" ref="BC344:BD344" si="1494">SUMIF($D$5:$D$319,"=alz",BC5:BC319)</f>
        <v>0</v>
      </c>
      <c r="BD344" s="237">
        <f t="shared" si="1494"/>
        <v>0</v>
      </c>
      <c r="BI344" s="179">
        <f t="shared" ref="BI344" si="1495">SUMIF($D$5:$D$319,"=alz",BI5:BI319)</f>
        <v>0</v>
      </c>
      <c r="BJ344" s="102">
        <f t="shared" si="1490"/>
        <v>0</v>
      </c>
      <c r="BK344" s="179">
        <f t="shared" ref="BK344" si="1496">SUMIF($D$5:$D$319,"=alz",BK5:BK319)</f>
        <v>0</v>
      </c>
      <c r="BL344" s="102">
        <f t="shared" si="1492"/>
        <v>0</v>
      </c>
      <c r="BM344" s="658" t="s">
        <v>188</v>
      </c>
      <c r="BS344" s="102">
        <f t="shared" si="1493"/>
        <v>0</v>
      </c>
      <c r="BT344" s="179">
        <f t="shared" ref="BT344:BU344" si="1497">SUMIF($D$5:$D$319,"=alz",BT5:BT319)</f>
        <v>0</v>
      </c>
      <c r="BU344" s="237">
        <f t="shared" si="1497"/>
        <v>0</v>
      </c>
      <c r="BZ344" s="179">
        <f t="shared" ref="BZ344" si="1498">SUMIF($D$5:$D$319,"=alz",BZ5:BZ319)</f>
        <v>0</v>
      </c>
      <c r="CA344" s="102">
        <f t="shared" si="1490"/>
        <v>0</v>
      </c>
      <c r="CB344" s="179">
        <f t="shared" ref="CB344" si="1499">SUMIF($D$5:$D$319,"=alz",CB5:CB319)</f>
        <v>0</v>
      </c>
      <c r="CC344" s="102">
        <f t="shared" si="1492"/>
        <v>0</v>
      </c>
      <c r="CD344" s="658" t="s">
        <v>188</v>
      </c>
      <c r="CJ344" s="102">
        <f t="shared" si="1493"/>
        <v>0</v>
      </c>
      <c r="CK344" s="179">
        <f t="shared" ref="CK344:CL344" si="1500">SUMIF($D$5:$D$319,"=alz",CK5:CK319)</f>
        <v>0</v>
      </c>
      <c r="CL344" s="237">
        <f t="shared" si="1500"/>
        <v>0</v>
      </c>
      <c r="CQ344" s="179">
        <f t="shared" ref="CQ344" si="1501">SUMIF($D$5:$D$319,"=alz",CQ5:CQ319)</f>
        <v>0</v>
      </c>
      <c r="CR344" s="102">
        <f t="shared" si="1490"/>
        <v>0</v>
      </c>
      <c r="CS344" s="179">
        <f t="shared" ref="CS344" si="1502">SUMIF($D$5:$D$319,"=alz",CS5:CS319)</f>
        <v>0</v>
      </c>
      <c r="CT344" s="102">
        <f t="shared" si="1492"/>
        <v>0</v>
      </c>
      <c r="CU344" s="658" t="s">
        <v>188</v>
      </c>
      <c r="DA344" s="102">
        <f t="shared" si="1493"/>
        <v>0</v>
      </c>
      <c r="DB344" s="179">
        <f t="shared" ref="DB344:DC344" si="1503">SUMIF($D$5:$D$319,"=alz",DB5:DB319)</f>
        <v>0</v>
      </c>
      <c r="DC344" s="237">
        <f t="shared" si="1503"/>
        <v>0</v>
      </c>
      <c r="DH344" s="179">
        <f t="shared" ref="DH344" si="1504">SUMIF($D$5:$D$319,"=alz",DH5:DH319)</f>
        <v>0</v>
      </c>
      <c r="DI344" s="102">
        <f t="shared" ref="DI344:FH344" si="1505">SUM(DI345:DI347)</f>
        <v>0</v>
      </c>
      <c r="DJ344" s="179">
        <f t="shared" ref="DJ344" si="1506">SUMIF($D$5:$D$319,"=alz",DJ5:DJ319)</f>
        <v>0</v>
      </c>
      <c r="DK344" s="102">
        <f t="shared" ref="DK344:FJ344" si="1507">SUM(DK345:DK347)</f>
        <v>0</v>
      </c>
      <c r="DL344" s="658" t="s">
        <v>188</v>
      </c>
      <c r="DR344" s="102">
        <f t="shared" ref="DR344:FQ344" si="1508">SUM(DR345:DR347)</f>
        <v>0</v>
      </c>
      <c r="DS344" s="179">
        <f t="shared" ref="DS344:DT344" si="1509">SUMIF($D$5:$D$319,"=alz",DS5:DS319)</f>
        <v>0</v>
      </c>
      <c r="DT344" s="237">
        <f t="shared" si="1509"/>
        <v>0</v>
      </c>
      <c r="DY344" s="179">
        <f t="shared" ref="DY344" si="1510">SUMIF($D$5:$D$319,"=alz",DY5:DY319)</f>
        <v>0</v>
      </c>
      <c r="DZ344" s="102">
        <f t="shared" si="1505"/>
        <v>0</v>
      </c>
      <c r="EA344" s="179">
        <f t="shared" ref="EA344" si="1511">SUMIF($D$5:$D$319,"=alz",EA5:EA319)</f>
        <v>0</v>
      </c>
      <c r="EB344" s="102">
        <f t="shared" si="1507"/>
        <v>0</v>
      </c>
      <c r="EC344" s="658" t="s">
        <v>188</v>
      </c>
      <c r="EI344" s="102">
        <f t="shared" si="1508"/>
        <v>0</v>
      </c>
      <c r="EJ344" s="179">
        <f t="shared" ref="EJ344:EK344" si="1512">SUMIF($D$5:$D$319,"=alz",EJ5:EJ319)</f>
        <v>0</v>
      </c>
      <c r="EK344" s="237">
        <f t="shared" si="1512"/>
        <v>0</v>
      </c>
      <c r="EP344" s="179">
        <f t="shared" ref="EP344" si="1513">SUMIF($D$5:$D$319,"=alz",EP5:EP319)</f>
        <v>0</v>
      </c>
      <c r="EQ344" s="102">
        <f t="shared" si="1505"/>
        <v>0</v>
      </c>
      <c r="ER344" s="179">
        <f t="shared" ref="ER344" si="1514">SUMIF($D$5:$D$319,"=alz",ER5:ER319)</f>
        <v>0</v>
      </c>
      <c r="ES344" s="102">
        <f t="shared" si="1507"/>
        <v>0</v>
      </c>
      <c r="ET344" s="658" t="s">
        <v>188</v>
      </c>
      <c r="EZ344" s="102">
        <f t="shared" si="1508"/>
        <v>0</v>
      </c>
      <c r="FA344" s="179">
        <f t="shared" ref="FA344:FB344" si="1515">SUMIF($D$5:$D$319,"=alz",FA5:FA319)</f>
        <v>0</v>
      </c>
      <c r="FB344" s="237">
        <f t="shared" si="1515"/>
        <v>0</v>
      </c>
      <c r="FG344" s="179">
        <f t="shared" ref="FG344" si="1516">SUMIF($D$5:$D$319,"=alz",FG5:FG319)</f>
        <v>0</v>
      </c>
      <c r="FH344" s="102">
        <f t="shared" si="1505"/>
        <v>0</v>
      </c>
      <c r="FI344" s="179">
        <f t="shared" ref="FI344" si="1517">SUMIF($D$5:$D$319,"=alz",FI5:FI319)</f>
        <v>0</v>
      </c>
      <c r="FJ344" s="102">
        <f t="shared" si="1507"/>
        <v>0</v>
      </c>
      <c r="FK344" s="658" t="s">
        <v>188</v>
      </c>
      <c r="FQ344" s="102">
        <f t="shared" si="1508"/>
        <v>0</v>
      </c>
      <c r="FR344" s="179">
        <f t="shared" ref="FR344:FS344" si="1518">SUMIF($D$5:$D$319,"=alz",FR5:FR319)</f>
        <v>0</v>
      </c>
      <c r="FS344" s="237">
        <f t="shared" si="1518"/>
        <v>0</v>
      </c>
    </row>
    <row r="345" spans="1:175" s="10" customFormat="1" hidden="1" x14ac:dyDescent="0.3">
      <c r="A345" s="656" t="s">
        <v>180</v>
      </c>
      <c r="V345" s="217">
        <v>24</v>
      </c>
      <c r="AA345" s="179">
        <f>SUMIF($D$5:$D$319,"=alz",AA5:AA319)*HLOOKUP(AC322,Verteil_sw,51,FALSE)</f>
        <v>0</v>
      </c>
      <c r="AB345" s="102">
        <f t="shared" ref="AB345" si="1519">IF(AA344&lt;&gt;0,AA345/AA344,0)</f>
        <v>0</v>
      </c>
      <c r="AC345" s="179">
        <f>SUMIF($D$5:$D$319,"=alz",AC5:AC319)*HLOOKUP(AC322,Verteil_sw,51,FALSE)</f>
        <v>0</v>
      </c>
      <c r="AD345" s="102">
        <f t="shared" si="1406"/>
        <v>0</v>
      </c>
      <c r="AE345" s="656" t="s">
        <v>180</v>
      </c>
      <c r="AK345" s="102">
        <f t="shared" ref="AK345" si="1520">IF(AM344&lt;&gt;0,AM345/AM344,0)</f>
        <v>0</v>
      </c>
      <c r="AL345" s="179">
        <f>SUMIF($D$5:$D$319,"=alz",AL5:AL319)*HLOOKUP(AC322,Verteil_sw,51,FALSE)</f>
        <v>0</v>
      </c>
      <c r="AM345" s="237">
        <f>SUMIF($D$5:$D$319,"=alz",AM5:AM319)*HLOOKUP(AC322,Verteil_sw,51,FALSE)</f>
        <v>0</v>
      </c>
      <c r="AR345" s="179">
        <f>SUMIF($D$5:$D$319,"=alz",AR5:AR319)*HLOOKUP(AT322,Verteil_sw,51,FALSE)</f>
        <v>0</v>
      </c>
      <c r="AS345" s="102">
        <f t="shared" ref="AS345" si="1521">IF(AR344&lt;&gt;0,AR345/AR344,0)</f>
        <v>0</v>
      </c>
      <c r="AT345" s="179">
        <f>SUMIF($D$5:$D$319,"=alz",AT5:AT319)*HLOOKUP(AT322,Verteil_sw,51,FALSE)</f>
        <v>0</v>
      </c>
      <c r="AU345" s="102">
        <f t="shared" ref="AU345" si="1522">IF(AT344&lt;&gt;0,AT345/AT344,0)</f>
        <v>0</v>
      </c>
      <c r="AV345" s="659" t="s">
        <v>180</v>
      </c>
      <c r="BB345" s="102">
        <f t="shared" ref="BB345" si="1523">IF(BD344&lt;&gt;0,BD345/BD344,0)</f>
        <v>0</v>
      </c>
      <c r="BC345" s="179">
        <f>SUMIF($D$5:$D$319,"=alz",BC5:BC319)*HLOOKUP(AT322,Verteil_sw,51,FALSE)</f>
        <v>0</v>
      </c>
      <c r="BD345" s="237">
        <f>SUMIF($D$5:$D$319,"=alz",BD5:BD319)*HLOOKUP(AT322,Verteil_sw,51,FALSE)</f>
        <v>0</v>
      </c>
      <c r="BI345" s="179">
        <f>SUMIF($D$5:$D$319,"=alz",BI5:BI319)*HLOOKUP(BK322,Verteil_sw,51,FALSE)</f>
        <v>0</v>
      </c>
      <c r="BJ345" s="102">
        <f t="shared" ref="BJ345" si="1524">IF(BI344&lt;&gt;0,BI345/BI344,0)</f>
        <v>0</v>
      </c>
      <c r="BK345" s="179">
        <f>SUMIF($D$5:$D$319,"=alz",BK5:BK319)*HLOOKUP(BK322,Verteil_sw,51,FALSE)</f>
        <v>0</v>
      </c>
      <c r="BL345" s="102">
        <f t="shared" ref="BL345" si="1525">IF(BK344&lt;&gt;0,BK345/BK344,0)</f>
        <v>0</v>
      </c>
      <c r="BM345" s="659" t="s">
        <v>180</v>
      </c>
      <c r="BS345" s="102">
        <f t="shared" ref="BS345" si="1526">IF(BU344&lt;&gt;0,BU345/BU344,0)</f>
        <v>0</v>
      </c>
      <c r="BT345" s="179">
        <f>SUMIF($D$5:$D$319,"=alz",BT5:BT319)*HLOOKUP(BK322,Verteil_sw,51,FALSE)</f>
        <v>0</v>
      </c>
      <c r="BU345" s="237">
        <f>SUMIF($D$5:$D$319,"=alz",BU5:BU319)*HLOOKUP(BK322,Verteil_sw,51,FALSE)</f>
        <v>0</v>
      </c>
      <c r="BZ345" s="179">
        <f>SUMIF($D$5:$D$319,"=alz",BZ5:BZ319)*HLOOKUP(CB322,Verteil_sw,51,FALSE)</f>
        <v>0</v>
      </c>
      <c r="CA345" s="102">
        <f t="shared" ref="CA345" si="1527">IF(BZ344&lt;&gt;0,BZ345/BZ344,0)</f>
        <v>0</v>
      </c>
      <c r="CB345" s="179">
        <f>SUMIF($D$5:$D$319,"=alz",CB5:CB319)*HLOOKUP(CB322,Verteil_sw,51,FALSE)</f>
        <v>0</v>
      </c>
      <c r="CC345" s="102">
        <f t="shared" ref="CC345" si="1528">IF(CB344&lt;&gt;0,CB345/CB344,0)</f>
        <v>0</v>
      </c>
      <c r="CD345" s="659" t="s">
        <v>180</v>
      </c>
      <c r="CJ345" s="102">
        <f t="shared" ref="CJ345" si="1529">IF(CL344&lt;&gt;0,CL345/CL344,0)</f>
        <v>0</v>
      </c>
      <c r="CK345" s="179">
        <f>SUMIF($D$5:$D$319,"=alz",CK5:CK319)*HLOOKUP(CB322,Verteil_sw,51,FALSE)</f>
        <v>0</v>
      </c>
      <c r="CL345" s="237">
        <f>SUMIF($D$5:$D$319,"=alz",CL5:CL319)*HLOOKUP(CB322,Verteil_sw,51,FALSE)</f>
        <v>0</v>
      </c>
      <c r="CQ345" s="179">
        <f>SUMIF($D$5:$D$319,"=alz",CQ5:CQ319)*HLOOKUP(CS322,Verteil_sw,51,FALSE)</f>
        <v>0</v>
      </c>
      <c r="CR345" s="102">
        <f t="shared" ref="CR345" si="1530">IF(CQ344&lt;&gt;0,CQ345/CQ344,0)</f>
        <v>0</v>
      </c>
      <c r="CS345" s="179">
        <f>SUMIF($D$5:$D$319,"=alz",CS5:CS319)*HLOOKUP(CS322,Verteil_sw,51,FALSE)</f>
        <v>0</v>
      </c>
      <c r="CT345" s="102">
        <f t="shared" ref="CT345" si="1531">IF(CS344&lt;&gt;0,CS345/CS344,0)</f>
        <v>0</v>
      </c>
      <c r="CU345" s="659" t="s">
        <v>180</v>
      </c>
      <c r="DA345" s="102">
        <f t="shared" ref="DA345" si="1532">IF(DC344&lt;&gt;0,DC345/DC344,0)</f>
        <v>0</v>
      </c>
      <c r="DB345" s="179">
        <f>SUMIF($D$5:$D$319,"=alz",DB5:DB319)*HLOOKUP(CS322,Verteil_sw,51,FALSE)</f>
        <v>0</v>
      </c>
      <c r="DC345" s="237">
        <f>SUMIF($D$5:$D$319,"=alz",DC5:DC319)*HLOOKUP(CS322,Verteil_sw,51,FALSE)</f>
        <v>0</v>
      </c>
      <c r="DH345" s="179">
        <f>SUMIF($D$5:$D$319,"=alz",DH5:DH319)*HLOOKUP(DJ322,Verteil_sw,51,FALSE)</f>
        <v>0</v>
      </c>
      <c r="DI345" s="102">
        <f t="shared" ref="DI345" si="1533">IF(DH344&lt;&gt;0,DH345/DH344,0)</f>
        <v>0</v>
      </c>
      <c r="DJ345" s="179">
        <f>SUMIF($D$5:$D$319,"=alz",DJ5:DJ319)*HLOOKUP(DJ322,Verteil_sw,51,FALSE)</f>
        <v>0</v>
      </c>
      <c r="DK345" s="102">
        <f t="shared" ref="DK345" si="1534">IF(DJ344&lt;&gt;0,DJ345/DJ344,0)</f>
        <v>0</v>
      </c>
      <c r="DL345" s="659" t="s">
        <v>180</v>
      </c>
      <c r="DR345" s="102">
        <f t="shared" ref="DR345" si="1535">IF(DT344&lt;&gt;0,DT345/DT344,0)</f>
        <v>0</v>
      </c>
      <c r="DS345" s="179">
        <f>SUMIF($D$5:$D$319,"=alz",DS5:DS319)*HLOOKUP(DJ322,Verteil_sw,51,FALSE)</f>
        <v>0</v>
      </c>
      <c r="DT345" s="237">
        <f>SUMIF($D$5:$D$319,"=alz",DT5:DT319)*HLOOKUP(DJ322,Verteil_sw,51,FALSE)</f>
        <v>0</v>
      </c>
      <c r="DY345" s="179">
        <f>SUMIF($D$5:$D$319,"=alz",DY5:DY319)*HLOOKUP(EA322,Verteil_sw,51,FALSE)</f>
        <v>0</v>
      </c>
      <c r="DZ345" s="102">
        <f t="shared" ref="DZ345" si="1536">IF(DY344&lt;&gt;0,DY345/DY344,0)</f>
        <v>0</v>
      </c>
      <c r="EA345" s="179">
        <f>SUMIF($D$5:$D$319,"=alz",EA5:EA319)*HLOOKUP(EA322,Verteil_sw,51,FALSE)</f>
        <v>0</v>
      </c>
      <c r="EB345" s="102">
        <f t="shared" ref="EB345" si="1537">IF(EA344&lt;&gt;0,EA345/EA344,0)</f>
        <v>0</v>
      </c>
      <c r="EC345" s="659" t="s">
        <v>180</v>
      </c>
      <c r="EI345" s="102">
        <f t="shared" ref="EI345" si="1538">IF(EK344&lt;&gt;0,EK345/EK344,0)</f>
        <v>0</v>
      </c>
      <c r="EJ345" s="179">
        <f>SUMIF($D$5:$D$319,"=alz",EJ5:EJ319)*HLOOKUP(EA322,Verteil_sw,51,FALSE)</f>
        <v>0</v>
      </c>
      <c r="EK345" s="237">
        <f>SUMIF($D$5:$D$319,"=alz",EK5:EK319)*HLOOKUP(EA322,Verteil_sw,51,FALSE)</f>
        <v>0</v>
      </c>
      <c r="EP345" s="179">
        <f>SUMIF($D$5:$D$319,"=alz",EP5:EP319)*HLOOKUP(ER322,Verteil_sw,51,FALSE)</f>
        <v>0</v>
      </c>
      <c r="EQ345" s="102">
        <f t="shared" ref="EQ345" si="1539">IF(EP344&lt;&gt;0,EP345/EP344,0)</f>
        <v>0</v>
      </c>
      <c r="ER345" s="179">
        <f>SUMIF($D$5:$D$319,"=alz",ER5:ER319)*HLOOKUP(ER322,Verteil_sw,51,FALSE)</f>
        <v>0</v>
      </c>
      <c r="ES345" s="102">
        <f t="shared" ref="ES345" si="1540">IF(ER344&lt;&gt;0,ER345/ER344,0)</f>
        <v>0</v>
      </c>
      <c r="ET345" s="659" t="s">
        <v>180</v>
      </c>
      <c r="EZ345" s="102">
        <f t="shared" ref="EZ345" si="1541">IF(FB344&lt;&gt;0,FB345/FB344,0)</f>
        <v>0</v>
      </c>
      <c r="FA345" s="179">
        <f>SUMIF($D$5:$D$319,"=alz",FA5:FA319)*HLOOKUP(ER322,Verteil_sw,51,FALSE)</f>
        <v>0</v>
      </c>
      <c r="FB345" s="237">
        <f>SUMIF($D$5:$D$319,"=alz",FB5:FB319)*HLOOKUP(ER322,Verteil_sw,51,FALSE)</f>
        <v>0</v>
      </c>
      <c r="FG345" s="179">
        <f>SUMIF($D$5:$D$319,"=alz",FG5:FG319)*HLOOKUP(FI322,Verteil_sw,51,FALSE)</f>
        <v>0</v>
      </c>
      <c r="FH345" s="102">
        <f t="shared" ref="FH345" si="1542">IF(FG344&lt;&gt;0,FG345/FG344,0)</f>
        <v>0</v>
      </c>
      <c r="FI345" s="179">
        <f>SUMIF($D$5:$D$319,"=alz",FI5:FI319)*HLOOKUP(FI322,Verteil_sw,51,FALSE)</f>
        <v>0</v>
      </c>
      <c r="FJ345" s="102">
        <f t="shared" ref="FJ345" si="1543">IF(FI344&lt;&gt;0,FI345/FI344,0)</f>
        <v>0</v>
      </c>
      <c r="FK345" s="659" t="s">
        <v>180</v>
      </c>
      <c r="FQ345" s="102">
        <f t="shared" ref="FQ345" si="1544">IF(FS344&lt;&gt;0,FS345/FS344,0)</f>
        <v>0</v>
      </c>
      <c r="FR345" s="179">
        <f>SUMIF($D$5:$D$319,"=alz",FR5:FR319)*HLOOKUP(FI322,Verteil_sw,51,FALSE)</f>
        <v>0</v>
      </c>
      <c r="FS345" s="237">
        <f>SUMIF($D$5:$D$319,"=alz",FS5:FS319)*HLOOKUP(FI322,Verteil_sw,51,FALSE)</f>
        <v>0</v>
      </c>
    </row>
    <row r="346" spans="1:175" s="10" customFormat="1" hidden="1" x14ac:dyDescent="0.3">
      <c r="A346" s="656" t="s">
        <v>181</v>
      </c>
      <c r="V346" s="217">
        <v>25</v>
      </c>
      <c r="AA346" s="179">
        <f>SUMIF($D$5:$D$319,"=alz",AA5:AA319)*HLOOKUP(AC322,Verteil_rwgr,50,FALSE)</f>
        <v>0</v>
      </c>
      <c r="AB346" s="102">
        <f t="shared" ref="AB346" si="1545">IF(AA344&lt;&gt;0,AA346/AA344,0)</f>
        <v>0</v>
      </c>
      <c r="AC346" s="179">
        <f>SUMIF($D$5:$D$319,"=alz",AC5:AC319)*HLOOKUP(AC322,Verteil_rwgr,50,FALSE)</f>
        <v>0</v>
      </c>
      <c r="AD346" s="102">
        <f t="shared" si="1433"/>
        <v>0</v>
      </c>
      <c r="AE346" s="656" t="s">
        <v>181</v>
      </c>
      <c r="AK346" s="102">
        <f t="shared" ref="AK346" si="1546">IF(AM344&lt;&gt;0,AM346/AM344,0)</f>
        <v>0</v>
      </c>
      <c r="AL346" s="179">
        <f>SUMIF($D$5:$D$319,"=alz",AL5:AL319)*HLOOKUP(AC322,Verteil_rwgr,50,FALSE)</f>
        <v>0</v>
      </c>
      <c r="AM346" s="237">
        <f>SUMIF($D$5:$D$319,"=alz",AM5:AM319)*HLOOKUP(AC322,Verteil_rwgr,50,FALSE)</f>
        <v>0</v>
      </c>
      <c r="AR346" s="179">
        <f>SUMIF($D$5:$D$319,"=alz",AR5:AR319)*HLOOKUP(AT322,Verteil_rwgr,50,FALSE)</f>
        <v>0</v>
      </c>
      <c r="AS346" s="102">
        <f t="shared" ref="AS346" si="1547">IF(AR344&lt;&gt;0,AR346/AR344,0)</f>
        <v>0</v>
      </c>
      <c r="AT346" s="179">
        <f>SUMIF($D$5:$D$319,"=alz",AT5:AT319)*HLOOKUP(AT322,Verteil_rwgr,50,FALSE)</f>
        <v>0</v>
      </c>
      <c r="AU346" s="102">
        <f t="shared" ref="AU346" si="1548">IF(AT344&lt;&gt;0,AT346/AT344,0)</f>
        <v>0</v>
      </c>
      <c r="AV346" s="659" t="s">
        <v>181</v>
      </c>
      <c r="BB346" s="102">
        <f t="shared" ref="BB346" si="1549">IF(BD344&lt;&gt;0,BD346/BD344,0)</f>
        <v>0</v>
      </c>
      <c r="BC346" s="179">
        <f>SUMIF($D$5:$D$319,"=alz",BC5:BC319)*HLOOKUP(AT322,Verteil_rwgr,50,FALSE)</f>
        <v>0</v>
      </c>
      <c r="BD346" s="237">
        <f>SUMIF($D$5:$D$319,"=alz",BD5:BD319)*HLOOKUP(AT322,Verteil_rwgr,50,FALSE)</f>
        <v>0</v>
      </c>
      <c r="BI346" s="179">
        <f>SUMIF($D$5:$D$319,"=alz",BI5:BI319)*HLOOKUP(BK322,Verteil_rwgr,50,FALSE)</f>
        <v>0</v>
      </c>
      <c r="BJ346" s="102">
        <f t="shared" ref="BJ346" si="1550">IF(BI344&lt;&gt;0,BI346/BI344,0)</f>
        <v>0</v>
      </c>
      <c r="BK346" s="179">
        <f>SUMIF($D$5:$D$319,"=alz",BK5:BK319)*HLOOKUP(BK322,Verteil_rwgr,50,FALSE)</f>
        <v>0</v>
      </c>
      <c r="BL346" s="102">
        <f t="shared" ref="BL346" si="1551">IF(BK344&lt;&gt;0,BK346/BK344,0)</f>
        <v>0</v>
      </c>
      <c r="BM346" s="659" t="s">
        <v>181</v>
      </c>
      <c r="BS346" s="102">
        <f t="shared" ref="BS346" si="1552">IF(BU344&lt;&gt;0,BU346/BU344,0)</f>
        <v>0</v>
      </c>
      <c r="BT346" s="179">
        <f>SUMIF($D$5:$D$319,"=alz",BT5:BT319)*HLOOKUP(BK322,Verteil_rwgr,50,FALSE)</f>
        <v>0</v>
      </c>
      <c r="BU346" s="237">
        <f>SUMIF($D$5:$D$319,"=alz",BU5:BU319)*HLOOKUP(BK322,Verteil_rwgr,50,FALSE)</f>
        <v>0</v>
      </c>
      <c r="BZ346" s="179">
        <f>SUMIF($D$5:$D$319,"=alz",BZ5:BZ319)*HLOOKUP(CB322,Verteil_rwgr,50,FALSE)</f>
        <v>0</v>
      </c>
      <c r="CA346" s="102">
        <f t="shared" ref="CA346" si="1553">IF(BZ344&lt;&gt;0,BZ346/BZ344,0)</f>
        <v>0</v>
      </c>
      <c r="CB346" s="179">
        <f>SUMIF($D$5:$D$319,"=alz",CB5:CB319)*HLOOKUP(CB322,Verteil_rwgr,50,FALSE)</f>
        <v>0</v>
      </c>
      <c r="CC346" s="102">
        <f t="shared" ref="CC346" si="1554">IF(CB344&lt;&gt;0,CB346/CB344,0)</f>
        <v>0</v>
      </c>
      <c r="CD346" s="659" t="s">
        <v>181</v>
      </c>
      <c r="CJ346" s="102">
        <f t="shared" ref="CJ346" si="1555">IF(CL344&lt;&gt;0,CL346/CL344,0)</f>
        <v>0</v>
      </c>
      <c r="CK346" s="179">
        <f>SUMIF($D$5:$D$319,"=alz",CK5:CK319)*HLOOKUP(CB322,Verteil_rwgr,50,FALSE)</f>
        <v>0</v>
      </c>
      <c r="CL346" s="237">
        <f>SUMIF($D$5:$D$319,"=alz",CL5:CL319)*HLOOKUP(CB322,Verteil_rwgr,50,FALSE)</f>
        <v>0</v>
      </c>
      <c r="CQ346" s="179">
        <f>SUMIF($D$5:$D$319,"=alz",CQ5:CQ319)*HLOOKUP(CS322,Verteil_rwgr,50,FALSE)</f>
        <v>0</v>
      </c>
      <c r="CR346" s="102">
        <f t="shared" ref="CR346" si="1556">IF(CQ344&lt;&gt;0,CQ346/CQ344,0)</f>
        <v>0</v>
      </c>
      <c r="CS346" s="179">
        <f>SUMIF($D$5:$D$319,"=alz",CS5:CS319)*HLOOKUP(CS322,Verteil_rwgr,50,FALSE)</f>
        <v>0</v>
      </c>
      <c r="CT346" s="102">
        <f t="shared" ref="CT346" si="1557">IF(CS344&lt;&gt;0,CS346/CS344,0)</f>
        <v>0</v>
      </c>
      <c r="CU346" s="659" t="s">
        <v>181</v>
      </c>
      <c r="DA346" s="102">
        <f t="shared" ref="DA346" si="1558">IF(DC344&lt;&gt;0,DC346/DC344,0)</f>
        <v>0</v>
      </c>
      <c r="DB346" s="179">
        <f>SUMIF($D$5:$D$319,"=alz",DB5:DB319)*HLOOKUP(CS322,Verteil_rwgr,50,FALSE)</f>
        <v>0</v>
      </c>
      <c r="DC346" s="237">
        <f>SUMIF($D$5:$D$319,"=alz",DC5:DC319)*HLOOKUP(CS322,Verteil_rwgr,50,FALSE)</f>
        <v>0</v>
      </c>
      <c r="DH346" s="179">
        <f>SUMIF($D$5:$D$319,"=alz",DH5:DH319)*HLOOKUP(DJ322,Verteil_rwgr,50,FALSE)</f>
        <v>0</v>
      </c>
      <c r="DI346" s="102">
        <f t="shared" ref="DI346" si="1559">IF(DH344&lt;&gt;0,DH346/DH344,0)</f>
        <v>0</v>
      </c>
      <c r="DJ346" s="179">
        <f>SUMIF($D$5:$D$319,"=alz",DJ5:DJ319)*HLOOKUP(DJ322,Verteil_rwgr,50,FALSE)</f>
        <v>0</v>
      </c>
      <c r="DK346" s="102">
        <f t="shared" ref="DK346" si="1560">IF(DJ344&lt;&gt;0,DJ346/DJ344,0)</f>
        <v>0</v>
      </c>
      <c r="DL346" s="659" t="s">
        <v>181</v>
      </c>
      <c r="DR346" s="102">
        <f t="shared" ref="DR346" si="1561">IF(DT344&lt;&gt;0,DT346/DT344,0)</f>
        <v>0</v>
      </c>
      <c r="DS346" s="179">
        <f>SUMIF($D$5:$D$319,"=alz",DS5:DS319)*HLOOKUP(DJ322,Verteil_rwgr,50,FALSE)</f>
        <v>0</v>
      </c>
      <c r="DT346" s="237">
        <f>SUMIF($D$5:$D$319,"=alz",DT5:DT319)*HLOOKUP(DJ322,Verteil_rwgr,50,FALSE)</f>
        <v>0</v>
      </c>
      <c r="DY346" s="179">
        <f>SUMIF($D$5:$D$319,"=alz",DY5:DY319)*HLOOKUP(EA322,Verteil_rwgr,50,FALSE)</f>
        <v>0</v>
      </c>
      <c r="DZ346" s="102">
        <f t="shared" ref="DZ346" si="1562">IF(DY344&lt;&gt;0,DY346/DY344,0)</f>
        <v>0</v>
      </c>
      <c r="EA346" s="179">
        <f>SUMIF($D$5:$D$319,"=alz",EA5:EA319)*HLOOKUP(EA322,Verteil_rwgr,50,FALSE)</f>
        <v>0</v>
      </c>
      <c r="EB346" s="102">
        <f t="shared" ref="EB346" si="1563">IF(EA344&lt;&gt;0,EA346/EA344,0)</f>
        <v>0</v>
      </c>
      <c r="EC346" s="659" t="s">
        <v>181</v>
      </c>
      <c r="EI346" s="102">
        <f t="shared" ref="EI346" si="1564">IF(EK344&lt;&gt;0,EK346/EK344,0)</f>
        <v>0</v>
      </c>
      <c r="EJ346" s="179">
        <f>SUMIF($D$5:$D$319,"=alz",EJ5:EJ319)*HLOOKUP(EA322,Verteil_rwgr,50,FALSE)</f>
        <v>0</v>
      </c>
      <c r="EK346" s="237">
        <f>SUMIF($D$5:$D$319,"=alz",EK5:EK319)*HLOOKUP(EA322,Verteil_rwgr,50,FALSE)</f>
        <v>0</v>
      </c>
      <c r="EP346" s="179">
        <f>SUMIF($D$5:$D$319,"=alz",EP5:EP319)*HLOOKUP(ER322,Verteil_rwgr,50,FALSE)</f>
        <v>0</v>
      </c>
      <c r="EQ346" s="102">
        <f t="shared" ref="EQ346" si="1565">IF(EP344&lt;&gt;0,EP346/EP344,0)</f>
        <v>0</v>
      </c>
      <c r="ER346" s="179">
        <f>SUMIF($D$5:$D$319,"=alz",ER5:ER319)*HLOOKUP(ER322,Verteil_rwgr,50,FALSE)</f>
        <v>0</v>
      </c>
      <c r="ES346" s="102">
        <f t="shared" ref="ES346" si="1566">IF(ER344&lt;&gt;0,ER346/ER344,0)</f>
        <v>0</v>
      </c>
      <c r="ET346" s="659" t="s">
        <v>181</v>
      </c>
      <c r="EZ346" s="102">
        <f t="shared" ref="EZ346" si="1567">IF(FB344&lt;&gt;0,FB346/FB344,0)</f>
        <v>0</v>
      </c>
      <c r="FA346" s="179">
        <f>SUMIF($D$5:$D$319,"=alz",FA5:FA319)*HLOOKUP(ER322,Verteil_rwgr,50,FALSE)</f>
        <v>0</v>
      </c>
      <c r="FB346" s="237">
        <f>SUMIF($D$5:$D$319,"=alz",FB5:FB319)*HLOOKUP(ER322,Verteil_rwgr,50,FALSE)</f>
        <v>0</v>
      </c>
      <c r="FG346" s="179">
        <f>SUMIF($D$5:$D$319,"=alz",FG5:FG319)*HLOOKUP(FI322,Verteil_rwgr,50,FALSE)</f>
        <v>0</v>
      </c>
      <c r="FH346" s="102">
        <f t="shared" ref="FH346" si="1568">IF(FG344&lt;&gt;0,FG346/FG344,0)</f>
        <v>0</v>
      </c>
      <c r="FI346" s="179">
        <f>SUMIF($D$5:$D$319,"=alz",FI5:FI319)*HLOOKUP(FI322,Verteil_rwgr,50,FALSE)</f>
        <v>0</v>
      </c>
      <c r="FJ346" s="102">
        <f t="shared" ref="FJ346" si="1569">IF(FI344&lt;&gt;0,FI346/FI344,0)</f>
        <v>0</v>
      </c>
      <c r="FK346" s="659" t="s">
        <v>181</v>
      </c>
      <c r="FQ346" s="102">
        <f t="shared" ref="FQ346" si="1570">IF(FS344&lt;&gt;0,FS346/FS344,0)</f>
        <v>0</v>
      </c>
      <c r="FR346" s="179">
        <f>SUMIF($D$5:$D$319,"=alz",FR5:FR319)*HLOOKUP(FI322,Verteil_rwgr,50,FALSE)</f>
        <v>0</v>
      </c>
      <c r="FS346" s="237">
        <f>SUMIF($D$5:$D$319,"=alz",FS5:FS319)*HLOOKUP(FI322,Verteil_rwgr,50,FALSE)</f>
        <v>0</v>
      </c>
    </row>
    <row r="347" spans="1:175" s="10" customFormat="1" hidden="1" x14ac:dyDescent="0.3">
      <c r="A347" s="656" t="s">
        <v>182</v>
      </c>
      <c r="V347" s="217">
        <v>26</v>
      </c>
      <c r="AA347" s="179">
        <f>SUMIF($D$5:$D$319,"=alz",AA5:AA319)*HLOOKUP(AC322,Verteil_rwst,49,FALSE)</f>
        <v>0</v>
      </c>
      <c r="AB347" s="102">
        <f t="shared" ref="AB347" si="1571">IF(AA344&lt;&gt;0,AA347/AA344,0)</f>
        <v>0</v>
      </c>
      <c r="AC347" s="179">
        <f>SUMIF($D$5:$D$319,"=alz",AC5:AC319)*HLOOKUP(AC322,Verteil_rwst,49,FALSE)</f>
        <v>0</v>
      </c>
      <c r="AD347" s="102">
        <f t="shared" si="1460"/>
        <v>0</v>
      </c>
      <c r="AE347" s="656" t="s">
        <v>182</v>
      </c>
      <c r="AK347" s="102">
        <f t="shared" ref="AK347" si="1572">IF(AM344&lt;&gt;0,AM347/AM344,0)</f>
        <v>0</v>
      </c>
      <c r="AL347" s="179">
        <f>SUMIF($D$5:$D$319,"=alz",AL5:AL319)*HLOOKUP(AC322,Verteil_rwst,49,FALSE)</f>
        <v>0</v>
      </c>
      <c r="AM347" s="237">
        <f>SUMIF($D$5:$D$319,"=alz",AM5:AM319)*HLOOKUP(AC322,Verteil_rwst,49,FALSE)</f>
        <v>0</v>
      </c>
      <c r="AR347" s="179">
        <f>SUMIF($D$5:$D$319,"=alz",AR5:AR319)*HLOOKUP(AT322,Verteil_rwst,49,FALSE)</f>
        <v>0</v>
      </c>
      <c r="AS347" s="102">
        <f t="shared" ref="AS347" si="1573">IF(AR344&lt;&gt;0,AR347/AR344,0)</f>
        <v>0</v>
      </c>
      <c r="AT347" s="179">
        <f>SUMIF($D$5:$D$319,"=alz",AT5:AT319)*HLOOKUP(AT322,Verteil_rwst,49,FALSE)</f>
        <v>0</v>
      </c>
      <c r="AU347" s="102">
        <f t="shared" ref="AU347" si="1574">IF(AT344&lt;&gt;0,AT347/AT344,0)</f>
        <v>0</v>
      </c>
      <c r="AV347" s="659" t="s">
        <v>182</v>
      </c>
      <c r="BB347" s="102">
        <f t="shared" ref="BB347" si="1575">IF(BD344&lt;&gt;0,BD347/BD344,0)</f>
        <v>0</v>
      </c>
      <c r="BC347" s="179">
        <f>SUMIF($D$5:$D$319,"=alz",BC5:BC319)*HLOOKUP(AT322,Verteil_rwst,49,FALSE)</f>
        <v>0</v>
      </c>
      <c r="BD347" s="237">
        <f>SUMIF($D$5:$D$319,"=alz",BD5:BD319)*HLOOKUP(AT322,Verteil_rwst,49,FALSE)</f>
        <v>0</v>
      </c>
      <c r="BI347" s="179">
        <f>SUMIF($D$5:$D$319,"=alz",BI5:BI319)*HLOOKUP(BK322,Verteil_rwst,49,FALSE)</f>
        <v>0</v>
      </c>
      <c r="BJ347" s="102">
        <f t="shared" ref="BJ347" si="1576">IF(BI344&lt;&gt;0,BI347/BI344,0)</f>
        <v>0</v>
      </c>
      <c r="BK347" s="179">
        <f>SUMIF($D$5:$D$319,"=alz",BK5:BK319)*HLOOKUP(BK322,Verteil_rwst,49,FALSE)</f>
        <v>0</v>
      </c>
      <c r="BL347" s="102">
        <f t="shared" ref="BL347" si="1577">IF(BK344&lt;&gt;0,BK347/BK344,0)</f>
        <v>0</v>
      </c>
      <c r="BM347" s="659" t="s">
        <v>182</v>
      </c>
      <c r="BS347" s="102">
        <f t="shared" ref="BS347" si="1578">IF(BU344&lt;&gt;0,BU347/BU344,0)</f>
        <v>0</v>
      </c>
      <c r="BT347" s="179">
        <f>SUMIF($D$5:$D$319,"=alz",BT5:BT319)*HLOOKUP(BK322,Verteil_rwst,49,FALSE)</f>
        <v>0</v>
      </c>
      <c r="BU347" s="237">
        <f>SUMIF($D$5:$D$319,"=alz",BU5:BU319)*HLOOKUP(BK322,Verteil_rwst,49,FALSE)</f>
        <v>0</v>
      </c>
      <c r="BZ347" s="179">
        <f>SUMIF($D$5:$D$319,"=alz",BZ5:BZ319)*HLOOKUP(CB322,Verteil_rwst,49,FALSE)</f>
        <v>0</v>
      </c>
      <c r="CA347" s="102">
        <f t="shared" ref="CA347" si="1579">IF(BZ344&lt;&gt;0,BZ347/BZ344,0)</f>
        <v>0</v>
      </c>
      <c r="CB347" s="179">
        <f>SUMIF($D$5:$D$319,"=alz",CB5:CB319)*HLOOKUP(CB322,Verteil_rwst,49,FALSE)</f>
        <v>0</v>
      </c>
      <c r="CC347" s="102">
        <f t="shared" ref="CC347" si="1580">IF(CB344&lt;&gt;0,CB347/CB344,0)</f>
        <v>0</v>
      </c>
      <c r="CD347" s="659" t="s">
        <v>182</v>
      </c>
      <c r="CJ347" s="102">
        <f t="shared" ref="CJ347" si="1581">IF(CL344&lt;&gt;0,CL347/CL344,0)</f>
        <v>0</v>
      </c>
      <c r="CK347" s="179">
        <f>SUMIF($D$5:$D$319,"=alz",CK5:CK319)*HLOOKUP(CB322,Verteil_rwst,49,FALSE)</f>
        <v>0</v>
      </c>
      <c r="CL347" s="237">
        <f>SUMIF($D$5:$D$319,"=alz",CL5:CL319)*HLOOKUP(CB322,Verteil_rwst,49,FALSE)</f>
        <v>0</v>
      </c>
      <c r="CQ347" s="179">
        <f>SUMIF($D$5:$D$319,"=alz",CQ5:CQ319)*HLOOKUP(CS322,Verteil_rwst,49,FALSE)</f>
        <v>0</v>
      </c>
      <c r="CR347" s="102">
        <f t="shared" ref="CR347" si="1582">IF(CQ344&lt;&gt;0,CQ347/CQ344,0)</f>
        <v>0</v>
      </c>
      <c r="CS347" s="179">
        <f>SUMIF($D$5:$D$319,"=alz",CS5:CS319)*HLOOKUP(CS322,Verteil_rwst,49,FALSE)</f>
        <v>0</v>
      </c>
      <c r="CT347" s="102">
        <f t="shared" ref="CT347" si="1583">IF(CS344&lt;&gt;0,CS347/CS344,0)</f>
        <v>0</v>
      </c>
      <c r="CU347" s="659" t="s">
        <v>182</v>
      </c>
      <c r="DA347" s="102">
        <f t="shared" ref="DA347" si="1584">IF(DC344&lt;&gt;0,DC347/DC344,0)</f>
        <v>0</v>
      </c>
      <c r="DB347" s="179">
        <f>SUMIF($D$5:$D$319,"=alz",DB5:DB319)*HLOOKUP(CS322,Verteil_rwst,49,FALSE)</f>
        <v>0</v>
      </c>
      <c r="DC347" s="237">
        <f>SUMIF($D$5:$D$319,"=alz",DC5:DC319)*HLOOKUP(CS322,Verteil_rwst,49,FALSE)</f>
        <v>0</v>
      </c>
      <c r="DH347" s="179">
        <f>SUMIF($D$5:$D$319,"=alz",DH5:DH319)*HLOOKUP(DJ322,Verteil_rwst,49,FALSE)</f>
        <v>0</v>
      </c>
      <c r="DI347" s="102">
        <f t="shared" ref="DI347" si="1585">IF(DH344&lt;&gt;0,DH347/DH344,0)</f>
        <v>0</v>
      </c>
      <c r="DJ347" s="179">
        <f>SUMIF($D$5:$D$319,"=alz",DJ5:DJ319)*HLOOKUP(DJ322,Verteil_rwst,49,FALSE)</f>
        <v>0</v>
      </c>
      <c r="DK347" s="102">
        <f t="shared" ref="DK347" si="1586">IF(DJ344&lt;&gt;0,DJ347/DJ344,0)</f>
        <v>0</v>
      </c>
      <c r="DL347" s="659" t="s">
        <v>182</v>
      </c>
      <c r="DR347" s="102">
        <f t="shared" ref="DR347" si="1587">IF(DT344&lt;&gt;0,DT347/DT344,0)</f>
        <v>0</v>
      </c>
      <c r="DS347" s="179">
        <f>SUMIF($D$5:$D$319,"=alz",DS5:DS319)*HLOOKUP(DJ322,Verteil_rwst,49,FALSE)</f>
        <v>0</v>
      </c>
      <c r="DT347" s="237">
        <f>SUMIF($D$5:$D$319,"=alz",DT5:DT319)*HLOOKUP(DJ322,Verteil_rwst,49,FALSE)</f>
        <v>0</v>
      </c>
      <c r="DY347" s="179">
        <f>SUMIF($D$5:$D$319,"=alz",DY5:DY319)*HLOOKUP(EA322,Verteil_rwst,49,FALSE)</f>
        <v>0</v>
      </c>
      <c r="DZ347" s="102">
        <f t="shared" ref="DZ347" si="1588">IF(DY344&lt;&gt;0,DY347/DY344,0)</f>
        <v>0</v>
      </c>
      <c r="EA347" s="179">
        <f>SUMIF($D$5:$D$319,"=alz",EA5:EA319)*HLOOKUP(EA322,Verteil_rwst,49,FALSE)</f>
        <v>0</v>
      </c>
      <c r="EB347" s="102">
        <f t="shared" ref="EB347" si="1589">IF(EA344&lt;&gt;0,EA347/EA344,0)</f>
        <v>0</v>
      </c>
      <c r="EC347" s="659" t="s">
        <v>182</v>
      </c>
      <c r="EI347" s="102">
        <f t="shared" ref="EI347" si="1590">IF(EK344&lt;&gt;0,EK347/EK344,0)</f>
        <v>0</v>
      </c>
      <c r="EJ347" s="179">
        <f>SUMIF($D$5:$D$319,"=alz",EJ5:EJ319)*HLOOKUP(EA322,Verteil_rwst,49,FALSE)</f>
        <v>0</v>
      </c>
      <c r="EK347" s="237">
        <f>SUMIF($D$5:$D$319,"=alz",EK5:EK319)*HLOOKUP(EA322,Verteil_rwst,49,FALSE)</f>
        <v>0</v>
      </c>
      <c r="EP347" s="179">
        <f>SUMIF($D$5:$D$319,"=alz",EP5:EP319)*HLOOKUP(ER322,Verteil_rwst,49,FALSE)</f>
        <v>0</v>
      </c>
      <c r="EQ347" s="102">
        <f t="shared" ref="EQ347" si="1591">IF(EP344&lt;&gt;0,EP347/EP344,0)</f>
        <v>0</v>
      </c>
      <c r="ER347" s="179">
        <f>SUMIF($D$5:$D$319,"=alz",ER5:ER319)*HLOOKUP(ER322,Verteil_rwst,49,FALSE)</f>
        <v>0</v>
      </c>
      <c r="ES347" s="102">
        <f t="shared" ref="ES347" si="1592">IF(ER344&lt;&gt;0,ER347/ER344,0)</f>
        <v>0</v>
      </c>
      <c r="ET347" s="659" t="s">
        <v>182</v>
      </c>
      <c r="EZ347" s="102">
        <f t="shared" ref="EZ347" si="1593">IF(FB344&lt;&gt;0,FB347/FB344,0)</f>
        <v>0</v>
      </c>
      <c r="FA347" s="179">
        <f>SUMIF($D$5:$D$319,"=alz",FA5:FA319)*HLOOKUP(ER322,Verteil_rwst,49,FALSE)</f>
        <v>0</v>
      </c>
      <c r="FB347" s="237">
        <f>SUMIF($D$5:$D$319,"=alz",FB5:FB319)*HLOOKUP(ER322,Verteil_rwst,49,FALSE)</f>
        <v>0</v>
      </c>
      <c r="FG347" s="179">
        <f>SUMIF($D$5:$D$319,"=alz",FG5:FG319)*HLOOKUP(FI322,Verteil_rwst,49,FALSE)</f>
        <v>0</v>
      </c>
      <c r="FH347" s="102">
        <f t="shared" ref="FH347" si="1594">IF(FG344&lt;&gt;0,FG347/FG344,0)</f>
        <v>0</v>
      </c>
      <c r="FI347" s="179">
        <f>SUMIF($D$5:$D$319,"=alz",FI5:FI319)*HLOOKUP(FI322,Verteil_rwst,49,FALSE)</f>
        <v>0</v>
      </c>
      <c r="FJ347" s="102">
        <f t="shared" ref="FJ347" si="1595">IF(FI344&lt;&gt;0,FI347/FI344,0)</f>
        <v>0</v>
      </c>
      <c r="FK347" s="659" t="s">
        <v>182</v>
      </c>
      <c r="FQ347" s="102">
        <f t="shared" ref="FQ347" si="1596">IF(FS344&lt;&gt;0,FS347/FS344,0)</f>
        <v>0</v>
      </c>
      <c r="FR347" s="179">
        <f>SUMIF($D$5:$D$319,"=alz",FR5:FR319)*HLOOKUP(FI322,Verteil_rwst,49,FALSE)</f>
        <v>0</v>
      </c>
      <c r="FS347" s="237">
        <f>SUMIF($D$5:$D$319,"=alz",FS5:FS319)*HLOOKUP(FI322,Verteil_rwst,49,FALSE)</f>
        <v>0</v>
      </c>
    </row>
    <row r="348" spans="1:175" s="10" customFormat="1" hidden="1" x14ac:dyDescent="0.3">
      <c r="A348" s="657" t="s">
        <v>189</v>
      </c>
      <c r="V348" s="217">
        <v>27</v>
      </c>
      <c r="AA348" s="179">
        <f>ROUND(AA324+AA328+AA332+AA336+AA340+AA344,2)</f>
        <v>18783000</v>
      </c>
      <c r="AB348" s="102">
        <f t="shared" ref="AB348" si="1597">SUM(AB349:AB351)</f>
        <v>1</v>
      </c>
      <c r="AC348" s="65">
        <f>ROUND(AC324+AC328+AC332+AC336+AC340+AC344,2)</f>
        <v>354140</v>
      </c>
      <c r="AD348" s="102">
        <f t="shared" ref="AD348" si="1598">SUM(AD349:AD351)</f>
        <v>1</v>
      </c>
      <c r="AE348" s="657" t="s">
        <v>189</v>
      </c>
      <c r="AK348" s="102">
        <f t="shared" ref="AK348" si="1599">SUM(AK349:AK351)</f>
        <v>1</v>
      </c>
      <c r="AL348" s="179">
        <f>ROUND(AL324+AL328+AL332+AL336+AL340+AL344,2)</f>
        <v>37934365</v>
      </c>
      <c r="AM348" s="237">
        <f>ROUND(AM324+AM328+AM332+AM336+AM340+AM344,2)</f>
        <v>674041.3</v>
      </c>
      <c r="AR348" s="179">
        <f t="shared" ref="AR348" si="1600">ROUND(AR324+AR328+AR332+AR336+AR340+AR344,2)</f>
        <v>18783000</v>
      </c>
      <c r="AS348" s="102">
        <f t="shared" ref="AS348:CR348" si="1601">SUM(AS349:AS351)</f>
        <v>1</v>
      </c>
      <c r="AT348" s="65">
        <f t="shared" ref="AT348" si="1602">ROUND(AT324+AT328+AT332+AT336+AT340+AT344,2)</f>
        <v>354140</v>
      </c>
      <c r="AU348" s="102">
        <f t="shared" ref="AU348:CT348" si="1603">SUM(AU349:AU351)</f>
        <v>1</v>
      </c>
      <c r="AV348" s="658" t="s">
        <v>189</v>
      </c>
      <c r="BB348" s="102">
        <f t="shared" ref="BB348:DA348" si="1604">SUM(BB349:BB351)</f>
        <v>1</v>
      </c>
      <c r="BC348" s="179">
        <f t="shared" ref="BC348:BD348" si="1605">ROUND(BC324+BC328+BC332+BC336+BC340+BC344,2)</f>
        <v>38667385</v>
      </c>
      <c r="BD348" s="237">
        <f t="shared" si="1605"/>
        <v>687189.7</v>
      </c>
      <c r="BI348" s="179">
        <f t="shared" ref="BI348" si="1606">ROUND(BI324+BI328+BI332+BI336+BI340+BI344,2)</f>
        <v>18783000</v>
      </c>
      <c r="BJ348" s="102">
        <f t="shared" si="1601"/>
        <v>1</v>
      </c>
      <c r="BK348" s="65">
        <f t="shared" ref="BK348" si="1607">ROUND(BK324+BK328+BK332+BK336+BK340+BK344,2)</f>
        <v>354140</v>
      </c>
      <c r="BL348" s="102">
        <f t="shared" si="1603"/>
        <v>1</v>
      </c>
      <c r="BM348" s="658" t="s">
        <v>189</v>
      </c>
      <c r="BS348" s="102">
        <f t="shared" si="1604"/>
        <v>1</v>
      </c>
      <c r="BT348" s="179">
        <f t="shared" ref="BT348:BU348" si="1608">ROUND(BT324+BT328+BT332+BT336+BT340+BT344,2)</f>
        <v>39303375</v>
      </c>
      <c r="BU348" s="237">
        <f t="shared" si="1608"/>
        <v>698397.5</v>
      </c>
      <c r="BZ348" s="179">
        <f t="shared" ref="BZ348" si="1609">ROUND(BZ324+BZ328+BZ332+BZ336+BZ340+BZ344,2)</f>
        <v>18783000</v>
      </c>
      <c r="CA348" s="102">
        <f t="shared" si="1601"/>
        <v>1</v>
      </c>
      <c r="CB348" s="65">
        <f t="shared" ref="CB348" si="1610">ROUND(CB324+CB328+CB332+CB336+CB340+CB344,2)</f>
        <v>354140</v>
      </c>
      <c r="CC348" s="102">
        <f t="shared" si="1603"/>
        <v>1</v>
      </c>
      <c r="CD348" s="658" t="s">
        <v>189</v>
      </c>
      <c r="CJ348" s="102">
        <f t="shared" si="1604"/>
        <v>0.99999999999999989</v>
      </c>
      <c r="CK348" s="179">
        <f t="shared" ref="CK348:CL348" si="1611">ROUND(CK324+CK328+CK332+CK336+CK340+CK344,2)</f>
        <v>39702915</v>
      </c>
      <c r="CL348" s="237">
        <f t="shared" si="1611"/>
        <v>705443.3</v>
      </c>
      <c r="CQ348" s="179">
        <f t="shared" ref="CQ348" si="1612">ROUND(CQ324+CQ328+CQ332+CQ336+CQ340+CQ344,2)</f>
        <v>18783000</v>
      </c>
      <c r="CR348" s="102">
        <f t="shared" si="1601"/>
        <v>1</v>
      </c>
      <c r="CS348" s="65">
        <f t="shared" ref="CS348" si="1613">ROUND(CS324+CS328+CS332+CS336+CS340+CS344,2)</f>
        <v>354140</v>
      </c>
      <c r="CT348" s="102">
        <f t="shared" si="1603"/>
        <v>1</v>
      </c>
      <c r="CU348" s="658" t="s">
        <v>189</v>
      </c>
      <c r="DA348" s="102">
        <f t="shared" si="1604"/>
        <v>1</v>
      </c>
      <c r="DB348" s="179">
        <f t="shared" ref="DB348:DC348" si="1614">ROUND(DB324+DB328+DB332+DB336+DB340+DB344,2)</f>
        <v>40441320</v>
      </c>
      <c r="DC348" s="237">
        <f t="shared" si="1614"/>
        <v>718888.4</v>
      </c>
      <c r="DH348" s="179">
        <f t="shared" ref="DH348" si="1615">ROUND(DH324+DH328+DH332+DH336+DH340+DH344,2)</f>
        <v>18783000</v>
      </c>
      <c r="DI348" s="102">
        <f t="shared" ref="DI348:FH348" si="1616">SUM(DI349:DI351)</f>
        <v>1</v>
      </c>
      <c r="DJ348" s="65">
        <f t="shared" ref="DJ348" si="1617">ROUND(DJ324+DJ328+DJ332+DJ336+DJ340+DJ344,2)</f>
        <v>354140</v>
      </c>
      <c r="DK348" s="102">
        <f t="shared" ref="DK348:FJ348" si="1618">SUM(DK349:DK351)</f>
        <v>1</v>
      </c>
      <c r="DL348" s="658" t="s">
        <v>189</v>
      </c>
      <c r="DR348" s="102">
        <f t="shared" ref="DR348:FQ348" si="1619">SUM(DR349:DR351)</f>
        <v>1</v>
      </c>
      <c r="DS348" s="179">
        <f t="shared" ref="DS348:DT348" si="1620">ROUND(DS324+DS328+DS332+DS336+DS340+DS344,2)</f>
        <v>41698100</v>
      </c>
      <c r="DT348" s="237">
        <f t="shared" si="1620"/>
        <v>741189</v>
      </c>
      <c r="DY348" s="179">
        <f t="shared" ref="DY348" si="1621">ROUND(DY324+DY328+DY332+DY336+DY340+DY344,2)</f>
        <v>18783000</v>
      </c>
      <c r="DZ348" s="102">
        <f t="shared" si="1616"/>
        <v>1</v>
      </c>
      <c r="EA348" s="65">
        <f t="shared" ref="EA348" si="1622">ROUND(EA324+EA328+EA332+EA336+EA340+EA344,2)</f>
        <v>354140</v>
      </c>
      <c r="EB348" s="102">
        <f t="shared" si="1618"/>
        <v>1</v>
      </c>
      <c r="EC348" s="658" t="s">
        <v>189</v>
      </c>
      <c r="EI348" s="102">
        <f t="shared" si="1619"/>
        <v>1</v>
      </c>
      <c r="EJ348" s="179">
        <f t="shared" ref="EJ348:EK348" si="1623">ROUND(EJ324+EJ328+EJ332+EJ336+EJ340+EJ344,2)</f>
        <v>43820150</v>
      </c>
      <c r="EK348" s="237">
        <f t="shared" si="1623"/>
        <v>779094</v>
      </c>
      <c r="EP348" s="179">
        <f t="shared" ref="EP348" si="1624">ROUND(EP324+EP328+EP332+EP336+EP340+EP344,2)</f>
        <v>18783000</v>
      </c>
      <c r="EQ348" s="102">
        <f t="shared" si="1616"/>
        <v>1</v>
      </c>
      <c r="ER348" s="65">
        <f t="shared" ref="ER348" si="1625">ROUND(ER324+ER328+ER332+ER336+ER340+ER344,2)</f>
        <v>354140</v>
      </c>
      <c r="ES348" s="102">
        <f t="shared" si="1618"/>
        <v>1</v>
      </c>
      <c r="ET348" s="658" t="s">
        <v>189</v>
      </c>
      <c r="EZ348" s="102">
        <f t="shared" si="1619"/>
        <v>1</v>
      </c>
      <c r="FA348" s="179">
        <f t="shared" ref="FA348:FB348" si="1626">ROUND(FA324+FA328+FA332+FA336+FA340+FA344,2)</f>
        <v>43820150</v>
      </c>
      <c r="FB348" s="237">
        <f t="shared" si="1626"/>
        <v>779094</v>
      </c>
      <c r="FG348" s="179">
        <f t="shared" ref="FG348" si="1627">ROUND(FG324+FG328+FG332+FG336+FG340+FG344,2)</f>
        <v>18783000</v>
      </c>
      <c r="FH348" s="102">
        <f t="shared" si="1616"/>
        <v>1</v>
      </c>
      <c r="FI348" s="65">
        <f t="shared" ref="FI348" si="1628">ROUND(FI324+FI328+FI332+FI336+FI340+FI344,2)</f>
        <v>306890</v>
      </c>
      <c r="FJ348" s="102">
        <f t="shared" si="1618"/>
        <v>1</v>
      </c>
      <c r="FK348" s="658" t="s">
        <v>189</v>
      </c>
      <c r="FQ348" s="102">
        <f t="shared" si="1619"/>
        <v>1</v>
      </c>
      <c r="FR348" s="179">
        <f t="shared" ref="FR348:FS348" si="1629">ROUND(FR324+FR328+FR332+FR336+FR340+FR344,2)</f>
        <v>43820150</v>
      </c>
      <c r="FS348" s="237">
        <f t="shared" si="1629"/>
        <v>613719</v>
      </c>
    </row>
    <row r="349" spans="1:175" s="10" customFormat="1" hidden="1" x14ac:dyDescent="0.3">
      <c r="A349" s="656" t="s">
        <v>180</v>
      </c>
      <c r="V349" s="217">
        <v>28</v>
      </c>
      <c r="AA349" s="179">
        <f t="shared" ref="AA349:AC351" si="1630">ROUND(AA325+AA329+AA333+AA337+AA341+AA345,2)</f>
        <v>11103500</v>
      </c>
      <c r="AB349" s="102">
        <f t="shared" ref="AB349" si="1631">IF(AA348&lt;&gt;0,AA349/AA348,0)</f>
        <v>0.59114624926795512</v>
      </c>
      <c r="AC349" s="65">
        <f t="shared" si="1630"/>
        <v>211100</v>
      </c>
      <c r="AD349" s="102">
        <f t="shared" si="1406"/>
        <v>0.59609194104026653</v>
      </c>
      <c r="AE349" s="656" t="s">
        <v>180</v>
      </c>
      <c r="AK349" s="102">
        <f t="shared" ref="AK349" si="1632">IF(AM348&lt;&gt;0,AM349/AM348,0)</f>
        <v>0.56168353482197608</v>
      </c>
      <c r="AL349" s="179">
        <f t="shared" ref="AL349:AM351" si="1633">ROUND(AL325+AL329+AL333+AL337+AL341+AL345,2)</f>
        <v>21056545</v>
      </c>
      <c r="AM349" s="237">
        <f t="shared" si="1633"/>
        <v>378597.9</v>
      </c>
      <c r="AR349" s="179">
        <f t="shared" ref="AR349" si="1634">ROUND(AR325+AR329+AR333+AR337+AR341+AR345,2)</f>
        <v>11103500</v>
      </c>
      <c r="AS349" s="102">
        <f t="shared" ref="AS349" si="1635">IF(AR348&lt;&gt;0,AR349/AR348,0)</f>
        <v>0.59114624926795512</v>
      </c>
      <c r="AT349" s="65">
        <f t="shared" ref="AT349" si="1636">ROUND(AT325+AT329+AT333+AT337+AT341+AT345,2)</f>
        <v>211100</v>
      </c>
      <c r="AU349" s="102">
        <f t="shared" ref="AU349" si="1637">IF(AT348&lt;&gt;0,AT349/AT348,0)</f>
        <v>0.59609194104026653</v>
      </c>
      <c r="AV349" s="659" t="s">
        <v>180</v>
      </c>
      <c r="BB349" s="102">
        <f t="shared" ref="BB349" si="1638">IF(BD348&lt;&gt;0,BD349/BD348,0)</f>
        <v>0.56182492257960215</v>
      </c>
      <c r="BC349" s="179">
        <f t="shared" ref="BC349:BD349" si="1639">ROUND(BC325+BC329+BC333+BC337+BC341+BC345,2)</f>
        <v>21468465</v>
      </c>
      <c r="BD349" s="237">
        <f t="shared" si="1639"/>
        <v>386080.3</v>
      </c>
      <c r="BI349" s="179">
        <f t="shared" ref="BI349" si="1640">ROUND(BI325+BI329+BI333+BI337+BI341+BI345,2)</f>
        <v>11103500</v>
      </c>
      <c r="BJ349" s="102">
        <f t="shared" ref="BJ349" si="1641">IF(BI348&lt;&gt;0,BI349/BI348,0)</f>
        <v>0.59114624926795512</v>
      </c>
      <c r="BK349" s="65">
        <f t="shared" ref="BK349" si="1642">ROUND(BK325+BK329+BK333+BK337+BK341+BK345,2)</f>
        <v>211100</v>
      </c>
      <c r="BL349" s="102">
        <f t="shared" ref="BL349" si="1643">IF(BK348&lt;&gt;0,BK349/BK348,0)</f>
        <v>0.59609194104026653</v>
      </c>
      <c r="BM349" s="659" t="s">
        <v>180</v>
      </c>
      <c r="BS349" s="102">
        <f t="shared" ref="BS349" si="1644">IF(BU348&lt;&gt;0,BU349/BU348,0)</f>
        <v>0.56180728023797333</v>
      </c>
      <c r="BT349" s="179">
        <f t="shared" ref="BT349:BU349" si="1645">ROUND(BT325+BT329+BT333+BT337+BT341+BT345,2)</f>
        <v>21820490</v>
      </c>
      <c r="BU349" s="237">
        <f t="shared" si="1645"/>
        <v>392364.79999999999</v>
      </c>
      <c r="BZ349" s="179">
        <f t="shared" ref="BZ349" si="1646">ROUND(BZ325+BZ329+BZ333+BZ337+BZ341+BZ345,2)</f>
        <v>11103500</v>
      </c>
      <c r="CA349" s="102">
        <f t="shared" ref="CA349" si="1647">IF(BZ348&lt;&gt;0,BZ349/BZ348,0)</f>
        <v>0.59114624926795512</v>
      </c>
      <c r="CB349" s="65">
        <f t="shared" ref="CB349" si="1648">ROUND(CB325+CB329+CB333+CB337+CB341+CB345,2)</f>
        <v>211100</v>
      </c>
      <c r="CC349" s="102">
        <f t="shared" ref="CC349" si="1649">IF(CB348&lt;&gt;0,CB349/CB348,0)</f>
        <v>0.59609194104026653</v>
      </c>
      <c r="CD349" s="659" t="s">
        <v>180</v>
      </c>
      <c r="CJ349" s="102">
        <f t="shared" ref="CJ349" si="1650">IF(CL348&lt;&gt;0,CL349/CL348,0)</f>
        <v>0.56176853618143363</v>
      </c>
      <c r="CK349" s="179">
        <f t="shared" ref="CK349:CL349" si="1651">ROUND(CK325+CK329+CK333+CK337+CK341+CK345,2)</f>
        <v>22040667.5</v>
      </c>
      <c r="CL349" s="237">
        <f t="shared" si="1651"/>
        <v>396295.85</v>
      </c>
      <c r="CQ349" s="179">
        <f t="shared" ref="CQ349" si="1652">ROUND(CQ325+CQ329+CQ333+CQ337+CQ341+CQ345,2)</f>
        <v>11103500</v>
      </c>
      <c r="CR349" s="102">
        <f t="shared" ref="CR349" si="1653">IF(CQ348&lt;&gt;0,CQ349/CQ348,0)</f>
        <v>0.59114624926795512</v>
      </c>
      <c r="CS349" s="65">
        <f t="shared" ref="CS349" si="1654">ROUND(CS325+CS329+CS333+CS337+CS341+CS345,2)</f>
        <v>211100</v>
      </c>
      <c r="CT349" s="102">
        <f t="shared" ref="CT349" si="1655">IF(CS348&lt;&gt;0,CS349/CS348,0)</f>
        <v>0.59609194104026653</v>
      </c>
      <c r="CU349" s="659" t="s">
        <v>180</v>
      </c>
      <c r="DA349" s="102">
        <f t="shared" ref="DA349" si="1656">IF(DC348&lt;&gt;0,DC349/DC348,0)</f>
        <v>0.56189423838248054</v>
      </c>
      <c r="DB349" s="179">
        <f t="shared" ref="DB349:DC349" si="1657">ROUND(DB325+DB329+DB333+DB337+DB341+DB345,2)</f>
        <v>22455912.5</v>
      </c>
      <c r="DC349" s="237">
        <f t="shared" si="1657"/>
        <v>403939.25</v>
      </c>
      <c r="DH349" s="179">
        <f t="shared" ref="DH349" si="1658">ROUND(DH325+DH329+DH333+DH337+DH341+DH345,2)</f>
        <v>11103500</v>
      </c>
      <c r="DI349" s="102">
        <f t="shared" ref="DI349" si="1659">IF(DH348&lt;&gt;0,DH349/DH348,0)</f>
        <v>0.59114624926795512</v>
      </c>
      <c r="DJ349" s="65">
        <f t="shared" ref="DJ349" si="1660">ROUND(DJ325+DJ329+DJ333+DJ337+DJ341+DJ345,2)</f>
        <v>211100</v>
      </c>
      <c r="DK349" s="102">
        <f t="shared" ref="DK349" si="1661">IF(DJ348&lt;&gt;0,DJ349/DJ348,0)</f>
        <v>0.59609194104026653</v>
      </c>
      <c r="DL349" s="659" t="s">
        <v>180</v>
      </c>
      <c r="DR349" s="102">
        <f t="shared" ref="DR349" si="1662">IF(DT348&lt;&gt;0,DT349/DT348,0)</f>
        <v>0.5618498790456955</v>
      </c>
      <c r="DS349" s="179">
        <f t="shared" ref="DS349:DT349" si="1663">ROUND(DS325+DS329+DS333+DS337+DS341+DS345,2)</f>
        <v>23151672.5</v>
      </c>
      <c r="DT349" s="237">
        <f t="shared" si="1663"/>
        <v>416436.95</v>
      </c>
      <c r="DY349" s="179">
        <f t="shared" ref="DY349" si="1664">ROUND(DY325+DY329+DY333+DY337+DY341+DY345,2)</f>
        <v>11103500</v>
      </c>
      <c r="DZ349" s="102">
        <f t="shared" ref="DZ349" si="1665">IF(DY348&lt;&gt;0,DY349/DY348,0)</f>
        <v>0.59114624926795512</v>
      </c>
      <c r="EA349" s="65">
        <f t="shared" ref="EA349" si="1666">ROUND(EA325+EA329+EA333+EA337+EA341+EA345,2)</f>
        <v>211100</v>
      </c>
      <c r="EB349" s="102">
        <f t="shared" ref="EB349" si="1667">IF(EA348&lt;&gt;0,EA349/EA348,0)</f>
        <v>0.59609194104026653</v>
      </c>
      <c r="EC349" s="659" t="s">
        <v>180</v>
      </c>
      <c r="EI349" s="102">
        <f t="shared" ref="EI349" si="1668">IF(EK348&lt;&gt;0,EK349/EK348,0)</f>
        <v>0.56185691328645837</v>
      </c>
      <c r="EJ349" s="179">
        <f t="shared" ref="EJ349:EK349" si="1669">ROUND(EJ325+EJ329+EJ333+EJ337+EJ341+EJ345,2)</f>
        <v>24330192.5</v>
      </c>
      <c r="EK349" s="237">
        <f t="shared" si="1669"/>
        <v>437739.35</v>
      </c>
      <c r="EP349" s="179">
        <f t="shared" ref="EP349" si="1670">ROUND(EP325+EP329+EP333+EP337+EP341+EP345,2)</f>
        <v>11103500</v>
      </c>
      <c r="EQ349" s="102">
        <f t="shared" ref="EQ349" si="1671">IF(EP348&lt;&gt;0,EP349/EP348,0)</f>
        <v>0.59114624926795512</v>
      </c>
      <c r="ER349" s="65">
        <f t="shared" ref="ER349" si="1672">ROUND(ER325+ER329+ER333+ER337+ER341+ER345,2)</f>
        <v>211100</v>
      </c>
      <c r="ES349" s="102">
        <f t="shared" ref="ES349" si="1673">IF(ER348&lt;&gt;0,ER349/ER348,0)</f>
        <v>0.59609194104026653</v>
      </c>
      <c r="ET349" s="659" t="s">
        <v>180</v>
      </c>
      <c r="EZ349" s="102">
        <f t="shared" ref="EZ349" si="1674">IF(FB348&lt;&gt;0,FB349/FB348,0)</f>
        <v>0.56185691328645837</v>
      </c>
      <c r="FA349" s="179">
        <f t="shared" ref="FA349:FB349" si="1675">ROUND(FA325+FA329+FA333+FA337+FA341+FA345,2)</f>
        <v>24330192.5</v>
      </c>
      <c r="FB349" s="237">
        <f t="shared" si="1675"/>
        <v>437739.35</v>
      </c>
      <c r="FG349" s="179">
        <f t="shared" ref="FG349" si="1676">ROUND(FG325+FG329+FG333+FG337+FG341+FG345,2)</f>
        <v>11103500</v>
      </c>
      <c r="FH349" s="102">
        <f t="shared" ref="FH349" si="1677">IF(FG348&lt;&gt;0,FG349/FG348,0)</f>
        <v>0.59114624926795512</v>
      </c>
      <c r="FI349" s="65">
        <f t="shared" ref="FI349" si="1678">ROUND(FI325+FI329+FI333+FI337+FI341+FI345,2)</f>
        <v>187475</v>
      </c>
      <c r="FJ349" s="102">
        <f t="shared" ref="FJ349" si="1679">IF(FI348&lt;&gt;0,FI349/FI348,0)</f>
        <v>0.61088663690573175</v>
      </c>
      <c r="FK349" s="659" t="s">
        <v>180</v>
      </c>
      <c r="FQ349" s="102">
        <f t="shared" ref="FQ349" si="1680">IF(FS348&lt;&gt;0,FS349/FS348,0)</f>
        <v>0.57852510676710345</v>
      </c>
      <c r="FR349" s="179">
        <f t="shared" ref="FR349:FS349" si="1681">ROUND(FR325+FR329+FR333+FR337+FR341+FR345,2)</f>
        <v>24330192.5</v>
      </c>
      <c r="FS349" s="237">
        <f t="shared" si="1681"/>
        <v>355051.85</v>
      </c>
    </row>
    <row r="350" spans="1:175" s="10" customFormat="1" hidden="1" x14ac:dyDescent="0.3">
      <c r="A350" s="656" t="s">
        <v>181</v>
      </c>
      <c r="V350" s="217">
        <v>29</v>
      </c>
      <c r="AA350" s="179">
        <f t="shared" si="1630"/>
        <v>4337000</v>
      </c>
      <c r="AB350" s="102">
        <f t="shared" ref="AB350" si="1682">IF(AA348&lt;&gt;0,AA350/AA348,0)</f>
        <v>0.23090028217004738</v>
      </c>
      <c r="AC350" s="65">
        <f t="shared" si="1630"/>
        <v>76740</v>
      </c>
      <c r="AD350" s="102">
        <f t="shared" si="1433"/>
        <v>0.21669396283955497</v>
      </c>
      <c r="AE350" s="656" t="s">
        <v>181</v>
      </c>
      <c r="AK350" s="102">
        <f t="shared" ref="AK350" si="1683">IF(AM348&lt;&gt;0,AM350/AM348,0)</f>
        <v>0.22927437829106315</v>
      </c>
      <c r="AL350" s="179">
        <f t="shared" si="1633"/>
        <v>9805170</v>
      </c>
      <c r="AM350" s="237">
        <f t="shared" si="1633"/>
        <v>154540.4</v>
      </c>
      <c r="AR350" s="179">
        <f t="shared" ref="AR350" si="1684">ROUND(AR326+AR330+AR334+AR338+AR342+AR346,2)</f>
        <v>4337000</v>
      </c>
      <c r="AS350" s="102">
        <f t="shared" ref="AS350" si="1685">IF(AR348&lt;&gt;0,AR350/AR348,0)</f>
        <v>0.23090028217004738</v>
      </c>
      <c r="AT350" s="65">
        <f t="shared" ref="AT350" si="1686">ROUND(AT326+AT330+AT334+AT338+AT342+AT346,2)</f>
        <v>76740</v>
      </c>
      <c r="AU350" s="102">
        <f t="shared" ref="AU350" si="1687">IF(AT348&lt;&gt;0,AT350/AT348,0)</f>
        <v>0.21669396283955497</v>
      </c>
      <c r="AV350" s="659" t="s">
        <v>181</v>
      </c>
      <c r="BB350" s="102">
        <f t="shared" ref="BB350" si="1688">IF(BD348&lt;&gt;0,BD350/BD348,0)</f>
        <v>0.22918911619309779</v>
      </c>
      <c r="BC350" s="179">
        <f t="shared" ref="BC350:BD350" si="1689">ROUND(BC326+BC330+BC334+BC338+BC342+BC346,2)</f>
        <v>9990770</v>
      </c>
      <c r="BD350" s="237">
        <f t="shared" si="1689"/>
        <v>157496.4</v>
      </c>
      <c r="BI350" s="179">
        <f t="shared" ref="BI350" si="1690">ROUND(BI326+BI330+BI334+BI338+BI342+BI346,2)</f>
        <v>4337000</v>
      </c>
      <c r="BJ350" s="102">
        <f t="shared" ref="BJ350" si="1691">IF(BI348&lt;&gt;0,BI350/BI348,0)</f>
        <v>0.23090028217004738</v>
      </c>
      <c r="BK350" s="65">
        <f t="shared" ref="BK350" si="1692">ROUND(BK326+BK330+BK334+BK338+BK342+BK346,2)</f>
        <v>76740</v>
      </c>
      <c r="BL350" s="102">
        <f t="shared" ref="BL350" si="1693">IF(BK348&lt;&gt;0,BK350/BK348,0)</f>
        <v>0.21669396283955497</v>
      </c>
      <c r="BM350" s="659" t="s">
        <v>181</v>
      </c>
      <c r="BS350" s="102">
        <f t="shared" ref="BS350" si="1694">IF(BU348&lt;&gt;0,BU350/BU348,0)</f>
        <v>0.22920142182639544</v>
      </c>
      <c r="BT350" s="179">
        <f t="shared" ref="BT350:BU350" si="1695">ROUND(BT326+BT330+BT334+BT338+BT342+BT346,2)</f>
        <v>10157435</v>
      </c>
      <c r="BU350" s="237">
        <f t="shared" si="1695"/>
        <v>160073.70000000001</v>
      </c>
      <c r="BZ350" s="179">
        <f t="shared" ref="BZ350" si="1696">ROUND(BZ326+BZ330+BZ334+BZ338+BZ342+BZ346,2)</f>
        <v>4337000</v>
      </c>
      <c r="CA350" s="102">
        <f t="shared" ref="CA350" si="1697">IF(BZ348&lt;&gt;0,BZ350/BZ348,0)</f>
        <v>0.23090028217004738</v>
      </c>
      <c r="CB350" s="65">
        <f t="shared" ref="CB350" si="1698">ROUND(CB326+CB330+CB334+CB338+CB342+CB346,2)</f>
        <v>76740</v>
      </c>
      <c r="CC350" s="102">
        <f t="shared" ref="CC350" si="1699">IF(CB348&lt;&gt;0,CB350/CB348,0)</f>
        <v>0.21669396283955497</v>
      </c>
      <c r="CD350" s="659" t="s">
        <v>181</v>
      </c>
      <c r="CJ350" s="102">
        <f t="shared" ref="CJ350" si="1700">IF(CL348&lt;&gt;0,CL350/CL348,0)</f>
        <v>0.22923309357392721</v>
      </c>
      <c r="CK350" s="179">
        <f t="shared" ref="CK350:CL350" si="1701">ROUND(CK326+CK330+CK334+CK338+CK342+CK346,2)</f>
        <v>10262922.5</v>
      </c>
      <c r="CL350" s="237">
        <f t="shared" si="1701"/>
        <v>161710.95000000001</v>
      </c>
      <c r="CQ350" s="179">
        <f t="shared" ref="CQ350" si="1702">ROUND(CQ326+CQ330+CQ334+CQ338+CQ342+CQ346,2)</f>
        <v>4337000</v>
      </c>
      <c r="CR350" s="102">
        <f t="shared" ref="CR350" si="1703">IF(CQ348&lt;&gt;0,CQ350/CQ348,0)</f>
        <v>0.23090028217004738</v>
      </c>
      <c r="CS350" s="65">
        <f t="shared" ref="CS350" si="1704">ROUND(CS326+CS330+CS334+CS338+CS342+CS346,2)</f>
        <v>76740</v>
      </c>
      <c r="CT350" s="102">
        <f t="shared" ref="CT350" si="1705">IF(CS348&lt;&gt;0,CS350/CS348,0)</f>
        <v>0.21669396283955497</v>
      </c>
      <c r="CU350" s="659" t="s">
        <v>181</v>
      </c>
      <c r="DA350" s="102">
        <f t="shared" ref="DA350" si="1706">IF(DC348&lt;&gt;0,DC350/DC348,0)</f>
        <v>0.22916442941630438</v>
      </c>
      <c r="DB350" s="179">
        <f t="shared" ref="DB350:DC350" si="1707">ROUND(DB326+DB330+DB334+DB338+DB342+DB346,2)</f>
        <v>10447632.5</v>
      </c>
      <c r="DC350" s="237">
        <f t="shared" si="1707"/>
        <v>164743.65</v>
      </c>
      <c r="DH350" s="179">
        <f t="shared" ref="DH350" si="1708">ROUND(DH326+DH330+DH334+DH338+DH342+DH346,2)</f>
        <v>4337000</v>
      </c>
      <c r="DI350" s="102">
        <f t="shared" ref="DI350" si="1709">IF(DH348&lt;&gt;0,DH350/DH348,0)</f>
        <v>0.23090028217004738</v>
      </c>
      <c r="DJ350" s="65">
        <f t="shared" ref="DJ350" si="1710">ROUND(DJ326+DJ330+DJ334+DJ338+DJ342+DJ346,2)</f>
        <v>76740</v>
      </c>
      <c r="DK350" s="102">
        <f t="shared" ref="DK350" si="1711">IF(DJ348&lt;&gt;0,DJ350/DJ348,0)</f>
        <v>0.21669396283955497</v>
      </c>
      <c r="DL350" s="659" t="s">
        <v>181</v>
      </c>
      <c r="DR350" s="102">
        <f t="shared" ref="DR350" si="1712">IF(DT348&lt;&gt;0,DT350/DT348,0)</f>
        <v>0.22919059780973541</v>
      </c>
      <c r="DS350" s="179">
        <f t="shared" ref="DS350:DT350" si="1713">ROUND(DS326+DS330+DS334+DS338+DS342+DS346,2)</f>
        <v>10775002.5</v>
      </c>
      <c r="DT350" s="237">
        <f t="shared" si="1713"/>
        <v>169873.55</v>
      </c>
      <c r="DY350" s="179">
        <f t="shared" ref="DY350" si="1714">ROUND(DY326+DY330+DY334+DY338+DY342+DY346,2)</f>
        <v>4337000</v>
      </c>
      <c r="DZ350" s="102">
        <f t="shared" ref="DZ350" si="1715">IF(DY348&lt;&gt;0,DY350/DY348,0)</f>
        <v>0.23090028217004738</v>
      </c>
      <c r="EA350" s="65">
        <f t="shared" ref="EA350" si="1716">ROUND(EA326+EA330+EA334+EA338+EA342+EA346,2)</f>
        <v>76740</v>
      </c>
      <c r="EB350" s="102">
        <f t="shared" ref="EB350" si="1717">IF(EA348&lt;&gt;0,EA350/EA348,0)</f>
        <v>0.21669396283955497</v>
      </c>
      <c r="EC350" s="659" t="s">
        <v>181</v>
      </c>
      <c r="EI350" s="102">
        <f t="shared" ref="EI350" si="1718">IF(EK348&lt;&gt;0,EK350/EK348,0)</f>
        <v>0.22918819808649532</v>
      </c>
      <c r="EJ350" s="179">
        <f t="shared" ref="EJ350:EK350" si="1719">ROUND(EJ326+EJ330+EJ334+EJ338+EJ342+EJ346,2)</f>
        <v>11322682.5</v>
      </c>
      <c r="EK350" s="237">
        <f t="shared" si="1719"/>
        <v>178559.15</v>
      </c>
      <c r="EP350" s="179">
        <f t="shared" ref="EP350" si="1720">ROUND(EP326+EP330+EP334+EP338+EP342+EP346,2)</f>
        <v>4337000</v>
      </c>
      <c r="EQ350" s="102">
        <f t="shared" ref="EQ350" si="1721">IF(EP348&lt;&gt;0,EP350/EP348,0)</f>
        <v>0.23090028217004738</v>
      </c>
      <c r="ER350" s="65">
        <f t="shared" ref="ER350" si="1722">ROUND(ER326+ER330+ER334+ER338+ER342+ER346,2)</f>
        <v>76740</v>
      </c>
      <c r="ES350" s="102">
        <f t="shared" ref="ES350" si="1723">IF(ER348&lt;&gt;0,ER350/ER348,0)</f>
        <v>0.21669396283955497</v>
      </c>
      <c r="ET350" s="659" t="s">
        <v>181</v>
      </c>
      <c r="EZ350" s="102">
        <f t="shared" ref="EZ350" si="1724">IF(FB348&lt;&gt;0,FB350/FB348,0)</f>
        <v>0.22918819808649532</v>
      </c>
      <c r="FA350" s="179">
        <f t="shared" ref="FA350:FB350" si="1725">ROUND(FA326+FA330+FA334+FA338+FA342+FA346,2)</f>
        <v>11322682.5</v>
      </c>
      <c r="FB350" s="237">
        <f t="shared" si="1725"/>
        <v>178559.15</v>
      </c>
      <c r="FG350" s="179">
        <f t="shared" ref="FG350" si="1726">ROUND(FG326+FG330+FG334+FG338+FG342+FG346,2)</f>
        <v>4337000</v>
      </c>
      <c r="FH350" s="102">
        <f t="shared" ref="FH350" si="1727">IF(FG348&lt;&gt;0,FG350/FG348,0)</f>
        <v>0.23090028217004738</v>
      </c>
      <c r="FI350" s="65">
        <f t="shared" ref="FI350" si="1728">ROUND(FI326+FI330+FI334+FI338+FI342+FI346,2)</f>
        <v>64927.5</v>
      </c>
      <c r="FJ350" s="102">
        <f t="shared" ref="FJ350" si="1729">IF(FI348&lt;&gt;0,FI350/FI348,0)</f>
        <v>0.21156603343217439</v>
      </c>
      <c r="FK350" s="659" t="s">
        <v>181</v>
      </c>
      <c r="FQ350" s="102">
        <f t="shared" ref="FQ350" si="1730">IF(FS348&lt;&gt;0,FS350/FS348,0)</f>
        <v>0.22358017268489325</v>
      </c>
      <c r="FR350" s="179">
        <f t="shared" ref="FR350:FS350" si="1731">ROUND(FR326+FR330+FR334+FR338+FR342+FR346,2)</f>
        <v>11322682.5</v>
      </c>
      <c r="FS350" s="237">
        <f t="shared" si="1731"/>
        <v>137215.4</v>
      </c>
    </row>
    <row r="351" spans="1:175" s="10" customFormat="1" hidden="1" x14ac:dyDescent="0.3">
      <c r="A351" s="656" t="s">
        <v>182</v>
      </c>
      <c r="V351" s="217">
        <v>30</v>
      </c>
      <c r="AA351" s="179">
        <f t="shared" si="1630"/>
        <v>3342500</v>
      </c>
      <c r="AB351" s="102">
        <f t="shared" ref="AB351" si="1732">IF(AA348&lt;&gt;0,AA351/AA348,0)</f>
        <v>0.17795346856199756</v>
      </c>
      <c r="AC351" s="65">
        <f t="shared" si="1630"/>
        <v>66300</v>
      </c>
      <c r="AD351" s="102">
        <f t="shared" si="1460"/>
        <v>0.18721409612017845</v>
      </c>
      <c r="AE351" s="656" t="s">
        <v>182</v>
      </c>
      <c r="AK351" s="102">
        <f t="shared" ref="AK351" si="1733">IF(AM348&lt;&gt;0,AM351/AM348,0)</f>
        <v>0.20904208688696077</v>
      </c>
      <c r="AL351" s="179">
        <f t="shared" si="1633"/>
        <v>7072650</v>
      </c>
      <c r="AM351" s="237">
        <f t="shared" si="1633"/>
        <v>140903</v>
      </c>
      <c r="AR351" s="179">
        <f t="shared" ref="AR351" si="1734">ROUND(AR327+AR331+AR335+AR339+AR343+AR347,2)</f>
        <v>3342500</v>
      </c>
      <c r="AS351" s="102">
        <f t="shared" ref="AS351" si="1735">IF(AR348&lt;&gt;0,AR351/AR348,0)</f>
        <v>0.17795346856199756</v>
      </c>
      <c r="AT351" s="65">
        <f t="shared" ref="AT351" si="1736">ROUND(AT327+AT331+AT335+AT339+AT343+AT347,2)</f>
        <v>66300</v>
      </c>
      <c r="AU351" s="102">
        <f t="shared" ref="AU351" si="1737">IF(AT348&lt;&gt;0,AT351/AT348,0)</f>
        <v>0.18721409612017845</v>
      </c>
      <c r="AV351" s="659" t="s">
        <v>182</v>
      </c>
      <c r="BB351" s="102">
        <f t="shared" ref="BB351" si="1738">IF(BD348&lt;&gt;0,BD351/BD348,0)</f>
        <v>0.20898596122730012</v>
      </c>
      <c r="BC351" s="179">
        <f t="shared" ref="BC351:BD351" si="1739">ROUND(BC327+BC331+BC335+BC339+BC343+BC347,2)</f>
        <v>7208150</v>
      </c>
      <c r="BD351" s="237">
        <f t="shared" si="1739"/>
        <v>143613</v>
      </c>
      <c r="BI351" s="179">
        <f t="shared" ref="BI351" si="1740">ROUND(BI327+BI331+BI335+BI339+BI343+BI347,2)</f>
        <v>3342500</v>
      </c>
      <c r="BJ351" s="102">
        <f t="shared" ref="BJ351" si="1741">IF(BI348&lt;&gt;0,BI351/BI348,0)</f>
        <v>0.17795346856199756</v>
      </c>
      <c r="BK351" s="65">
        <f t="shared" ref="BK351" si="1742">ROUND(BK327+BK331+BK335+BK339+BK343+BK347,2)</f>
        <v>66300</v>
      </c>
      <c r="BL351" s="102">
        <f t="shared" ref="BL351" si="1743">IF(BK348&lt;&gt;0,BK351/BK348,0)</f>
        <v>0.18721409612017845</v>
      </c>
      <c r="BM351" s="659" t="s">
        <v>182</v>
      </c>
      <c r="BS351" s="102">
        <f t="shared" ref="BS351" si="1744">IF(BU348&lt;&gt;0,BU351/BU348,0)</f>
        <v>0.2089912979356312</v>
      </c>
      <c r="BT351" s="179">
        <f t="shared" ref="BT351:BU351" si="1745">ROUND(BT327+BT331+BT335+BT339+BT343+BT347,2)</f>
        <v>7325450</v>
      </c>
      <c r="BU351" s="237">
        <f t="shared" si="1745"/>
        <v>145959</v>
      </c>
      <c r="BZ351" s="179">
        <f t="shared" ref="BZ351" si="1746">ROUND(BZ327+BZ331+BZ335+BZ339+BZ343+BZ347,2)</f>
        <v>3342500</v>
      </c>
      <c r="CA351" s="102">
        <f t="shared" ref="CA351" si="1747">IF(BZ348&lt;&gt;0,BZ351/BZ348,0)</f>
        <v>0.17795346856199756</v>
      </c>
      <c r="CB351" s="65">
        <f t="shared" ref="CB351" si="1748">ROUND(CB327+CB331+CB335+CB339+CB343+CB347,2)</f>
        <v>66300</v>
      </c>
      <c r="CC351" s="102">
        <f t="shared" ref="CC351" si="1749">IF(CB348&lt;&gt;0,CB351/CB348,0)</f>
        <v>0.18721409612017845</v>
      </c>
      <c r="CD351" s="659" t="s">
        <v>182</v>
      </c>
      <c r="CJ351" s="102">
        <f t="shared" ref="CJ351" si="1750">IF(CL348&lt;&gt;0,CL351/CL348,0)</f>
        <v>0.20899837024463908</v>
      </c>
      <c r="CK351" s="179">
        <f t="shared" ref="CK351:CL351" si="1751">ROUND(CK327+CK331+CK335+CK339+CK343+CK347,2)</f>
        <v>7399325</v>
      </c>
      <c r="CL351" s="237">
        <f t="shared" si="1751"/>
        <v>147436.5</v>
      </c>
      <c r="CQ351" s="179">
        <f t="shared" ref="CQ351" si="1752">ROUND(CQ327+CQ331+CQ335+CQ339+CQ343+CQ347,2)</f>
        <v>3342500</v>
      </c>
      <c r="CR351" s="102">
        <f t="shared" ref="CR351" si="1753">IF(CQ348&lt;&gt;0,CQ351/CQ348,0)</f>
        <v>0.17795346856199756</v>
      </c>
      <c r="CS351" s="65">
        <f t="shared" ref="CS351" si="1754">ROUND(CS327+CS331+CS335+CS339+CS343+CS347,2)</f>
        <v>66300</v>
      </c>
      <c r="CT351" s="102">
        <f t="shared" ref="CT351" si="1755">IF(CS348&lt;&gt;0,CS351/CS348,0)</f>
        <v>0.18721409612017845</v>
      </c>
      <c r="CU351" s="659" t="s">
        <v>182</v>
      </c>
      <c r="DA351" s="102">
        <f t="shared" ref="DA351" si="1756">IF(DC348&lt;&gt;0,DC351/DC348,0)</f>
        <v>0.20894133220121508</v>
      </c>
      <c r="DB351" s="179">
        <f t="shared" ref="DB351:DC351" si="1757">ROUND(DB327+DB331+DB335+DB339+DB343+DB347,2)</f>
        <v>7537775</v>
      </c>
      <c r="DC351" s="237">
        <f t="shared" si="1757"/>
        <v>150205.5</v>
      </c>
      <c r="DH351" s="179">
        <f t="shared" ref="DH351" si="1758">ROUND(DH327+DH331+DH335+DH339+DH343+DH347,2)</f>
        <v>3342500</v>
      </c>
      <c r="DI351" s="102">
        <f t="shared" ref="DI351" si="1759">IF(DH348&lt;&gt;0,DH351/DH348,0)</f>
        <v>0.17795346856199756</v>
      </c>
      <c r="DJ351" s="65">
        <f t="shared" ref="DJ351" si="1760">ROUND(DJ327+DJ331+DJ335+DJ339+DJ343+DJ347,2)</f>
        <v>66300</v>
      </c>
      <c r="DK351" s="102">
        <f t="shared" ref="DK351" si="1761">IF(DJ348&lt;&gt;0,DJ351/DJ348,0)</f>
        <v>0.18721409612017845</v>
      </c>
      <c r="DL351" s="659" t="s">
        <v>182</v>
      </c>
      <c r="DR351" s="102">
        <f t="shared" ref="DR351" si="1762">IF(DT348&lt;&gt;0,DT351/DT348,0)</f>
        <v>0.20895952314456906</v>
      </c>
      <c r="DS351" s="179">
        <f t="shared" ref="DS351:DT351" si="1763">ROUND(DS327+DS331+DS335+DS339+DS343+DS347,2)</f>
        <v>7771425</v>
      </c>
      <c r="DT351" s="237">
        <f t="shared" si="1763"/>
        <v>154878.5</v>
      </c>
      <c r="DY351" s="179">
        <f t="shared" ref="DY351" si="1764">ROUND(DY327+DY331+DY335+DY339+DY343+DY347,2)</f>
        <v>3342500</v>
      </c>
      <c r="DZ351" s="102">
        <f t="shared" ref="DZ351" si="1765">IF(DY348&lt;&gt;0,DY351/DY348,0)</f>
        <v>0.17795346856199756</v>
      </c>
      <c r="EA351" s="65">
        <f t="shared" ref="EA351" si="1766">ROUND(EA327+EA331+EA335+EA339+EA343+EA347,2)</f>
        <v>66300</v>
      </c>
      <c r="EB351" s="102">
        <f t="shared" ref="EB351" si="1767">IF(EA348&lt;&gt;0,EA351/EA348,0)</f>
        <v>0.18721409612017845</v>
      </c>
      <c r="EC351" s="659" t="s">
        <v>182</v>
      </c>
      <c r="EI351" s="102">
        <f t="shared" ref="EI351" si="1768">IF(EK348&lt;&gt;0,EK351/EK348,0)</f>
        <v>0.20895488862704628</v>
      </c>
      <c r="EJ351" s="179">
        <f t="shared" ref="EJ351:EK351" si="1769">ROUND(EJ327+EJ331+EJ335+EJ339+EJ343+EJ347,2)</f>
        <v>8167275</v>
      </c>
      <c r="EK351" s="237">
        <f t="shared" si="1769"/>
        <v>162795.5</v>
      </c>
      <c r="EP351" s="179">
        <f t="shared" ref="EP351" si="1770">ROUND(EP327+EP331+EP335+EP339+EP343+EP347,2)</f>
        <v>3342500</v>
      </c>
      <c r="EQ351" s="102">
        <f t="shared" ref="EQ351" si="1771">IF(EP348&lt;&gt;0,EP351/EP348,0)</f>
        <v>0.17795346856199756</v>
      </c>
      <c r="ER351" s="65">
        <f t="shared" ref="ER351" si="1772">ROUND(ER327+ER331+ER335+ER339+ER343+ER347,2)</f>
        <v>66300</v>
      </c>
      <c r="ES351" s="102">
        <f t="shared" ref="ES351" si="1773">IF(ER348&lt;&gt;0,ER351/ER348,0)</f>
        <v>0.18721409612017845</v>
      </c>
      <c r="ET351" s="659" t="s">
        <v>182</v>
      </c>
      <c r="EZ351" s="102">
        <f t="shared" ref="EZ351" si="1774">IF(FB348&lt;&gt;0,FB351/FB348,0)</f>
        <v>0.20895488862704628</v>
      </c>
      <c r="FA351" s="179">
        <f t="shared" ref="FA351:FB351" si="1775">ROUND(FA327+FA331+FA335+FA339+FA343+FA347,2)</f>
        <v>8167275</v>
      </c>
      <c r="FB351" s="237">
        <f t="shared" si="1775"/>
        <v>162795.5</v>
      </c>
      <c r="FG351" s="179">
        <f t="shared" ref="FG351" si="1776">ROUND(FG327+FG331+FG335+FG339+FG343+FG347,2)</f>
        <v>3342500</v>
      </c>
      <c r="FH351" s="102">
        <f t="shared" ref="FH351" si="1777">IF(FG348&lt;&gt;0,FG351/FG348,0)</f>
        <v>0.17795346856199756</v>
      </c>
      <c r="FI351" s="65">
        <f t="shared" ref="FI351" si="1778">ROUND(FI327+FI331+FI335+FI339+FI343+FI347,2)</f>
        <v>54487.5</v>
      </c>
      <c r="FJ351" s="102">
        <f t="shared" ref="FJ351" si="1779">IF(FI348&lt;&gt;0,FI351/FI348,0)</f>
        <v>0.17754732966209391</v>
      </c>
      <c r="FK351" s="659" t="s">
        <v>182</v>
      </c>
      <c r="FQ351" s="102">
        <f t="shared" ref="FQ351" si="1780">IF(FS348&lt;&gt;0,FS351/FS348,0)</f>
        <v>0.19789472054800325</v>
      </c>
      <c r="FR351" s="179">
        <f t="shared" ref="FR351:FS351" si="1781">ROUND(FR327+FR331+FR335+FR339+FR343+FR347,2)</f>
        <v>8167275</v>
      </c>
      <c r="FS351" s="237">
        <f t="shared" si="1781"/>
        <v>121451.75</v>
      </c>
    </row>
    <row r="352" spans="1:175" s="10" customFormat="1" ht="18" hidden="1" x14ac:dyDescent="0.35">
      <c r="A352" s="108" t="s">
        <v>190</v>
      </c>
      <c r="V352" s="217">
        <v>31</v>
      </c>
      <c r="W352" s="108" t="s">
        <v>190</v>
      </c>
      <c r="AC352" s="663" t="s">
        <v>196</v>
      </c>
      <c r="AD352" s="92" t="s">
        <v>269</v>
      </c>
      <c r="AE352" s="91" t="s">
        <v>190</v>
      </c>
      <c r="AM352" s="217"/>
      <c r="AN352" s="108" t="s">
        <v>190</v>
      </c>
      <c r="AT352" s="663" t="s">
        <v>196</v>
      </c>
      <c r="AU352" s="92" t="s">
        <v>269</v>
      </c>
      <c r="AV352" s="91" t="s">
        <v>190</v>
      </c>
      <c r="BD352" s="217"/>
      <c r="BE352" s="108" t="s">
        <v>190</v>
      </c>
      <c r="BK352" s="663" t="s">
        <v>196</v>
      </c>
      <c r="BL352" s="92" t="s">
        <v>269</v>
      </c>
      <c r="BM352" s="91" t="s">
        <v>190</v>
      </c>
      <c r="BU352" s="217"/>
      <c r="BV352" s="108" t="s">
        <v>190</v>
      </c>
      <c r="CB352" s="663" t="s">
        <v>196</v>
      </c>
      <c r="CC352" s="92" t="s">
        <v>269</v>
      </c>
      <c r="CD352" s="91" t="s">
        <v>190</v>
      </c>
      <c r="CL352" s="217"/>
      <c r="CM352" s="108" t="s">
        <v>190</v>
      </c>
      <c r="CS352" s="663" t="s">
        <v>196</v>
      </c>
      <c r="CT352" s="92" t="s">
        <v>269</v>
      </c>
      <c r="CU352" s="91" t="s">
        <v>190</v>
      </c>
      <c r="DC352" s="217"/>
      <c r="DD352" s="108" t="s">
        <v>190</v>
      </c>
      <c r="DJ352" s="663" t="s">
        <v>196</v>
      </c>
      <c r="DK352" s="92" t="s">
        <v>269</v>
      </c>
      <c r="DL352" s="91" t="s">
        <v>190</v>
      </c>
      <c r="DT352" s="217"/>
      <c r="DU352" s="108" t="s">
        <v>190</v>
      </c>
      <c r="EA352" s="663" t="s">
        <v>196</v>
      </c>
      <c r="EB352" s="92" t="s">
        <v>269</v>
      </c>
      <c r="EC352" s="91" t="s">
        <v>190</v>
      </c>
      <c r="EK352" s="217"/>
      <c r="EL352" s="108" t="s">
        <v>190</v>
      </c>
      <c r="ER352" s="663" t="s">
        <v>196</v>
      </c>
      <c r="ES352" s="92" t="s">
        <v>269</v>
      </c>
      <c r="ET352" s="91" t="s">
        <v>190</v>
      </c>
      <c r="FB352" s="217"/>
      <c r="FC352" s="108" t="s">
        <v>190</v>
      </c>
      <c r="FI352" s="663" t="s">
        <v>196</v>
      </c>
      <c r="FJ352" s="92" t="s">
        <v>269</v>
      </c>
      <c r="FK352" s="91" t="s">
        <v>190</v>
      </c>
      <c r="FS352" s="217"/>
    </row>
    <row r="353" spans="1:175" s="10" customFormat="1" ht="15" hidden="1" customHeight="1" x14ac:dyDescent="0.3">
      <c r="A353" s="664" t="s">
        <v>191</v>
      </c>
      <c r="V353" s="217">
        <v>32</v>
      </c>
      <c r="AC353" s="179">
        <f>ROUND(AM353,2)</f>
        <v>674041.3</v>
      </c>
      <c r="AD353" s="102">
        <f t="shared" ref="AD353:AD365" si="1782">SUM(AD354:AD356)</f>
        <v>1</v>
      </c>
      <c r="AE353" s="664" t="s">
        <v>191</v>
      </c>
      <c r="AL353" s="102">
        <f t="shared" ref="AL353" si="1783">SUM(AL354:AL356)</f>
        <v>1</v>
      </c>
      <c r="AM353" s="237">
        <f>AM348</f>
        <v>674041.3</v>
      </c>
      <c r="AT353" s="179">
        <f t="shared" ref="AT353:AT356" si="1784">ROUND(BD353,2)</f>
        <v>687189.7</v>
      </c>
      <c r="AU353" s="102">
        <f t="shared" ref="AU353:CT353" si="1785">SUM(AU354:AU356)</f>
        <v>1</v>
      </c>
      <c r="AV353" s="664" t="s">
        <v>191</v>
      </c>
      <c r="BC353" s="102">
        <f t="shared" ref="BC353:DB353" si="1786">SUM(BC354:BC356)</f>
        <v>1</v>
      </c>
      <c r="BD353" s="237">
        <f t="shared" ref="BD353:BU356" si="1787">BD348</f>
        <v>687189.7</v>
      </c>
      <c r="BK353" s="179">
        <f t="shared" ref="BK353:BK356" si="1788">ROUND(BU353,2)</f>
        <v>698397.5</v>
      </c>
      <c r="BL353" s="102">
        <f t="shared" si="1785"/>
        <v>1</v>
      </c>
      <c r="BM353" s="664" t="s">
        <v>191</v>
      </c>
      <c r="BT353" s="102">
        <f t="shared" si="1786"/>
        <v>1</v>
      </c>
      <c r="BU353" s="237">
        <f t="shared" ref="BU353" si="1789">BU348</f>
        <v>698397.5</v>
      </c>
      <c r="CB353" s="179">
        <f t="shared" ref="CB353:CB356" si="1790">ROUND(CL353,2)</f>
        <v>705443.3</v>
      </c>
      <c r="CC353" s="102">
        <f t="shared" si="1785"/>
        <v>0.99999999999999989</v>
      </c>
      <c r="CD353" s="664" t="s">
        <v>191</v>
      </c>
      <c r="CK353" s="102">
        <f t="shared" si="1786"/>
        <v>0.99999999999999989</v>
      </c>
      <c r="CL353" s="237">
        <f t="shared" ref="CL353:DC356" si="1791">CL348</f>
        <v>705443.3</v>
      </c>
      <c r="CS353" s="179">
        <f t="shared" ref="CS353:CS356" si="1792">ROUND(DC353,2)</f>
        <v>718888.4</v>
      </c>
      <c r="CT353" s="102">
        <f t="shared" si="1785"/>
        <v>1</v>
      </c>
      <c r="CU353" s="664" t="s">
        <v>191</v>
      </c>
      <c r="DB353" s="102">
        <f t="shared" si="1786"/>
        <v>1</v>
      </c>
      <c r="DC353" s="237">
        <f t="shared" ref="DC353" si="1793">DC348</f>
        <v>718888.4</v>
      </c>
      <c r="DJ353" s="179">
        <f t="shared" ref="DJ353:DJ356" si="1794">ROUND(DT353,2)</f>
        <v>741189</v>
      </c>
      <c r="DK353" s="102">
        <f t="shared" ref="DK353:FJ353" si="1795">SUM(DK354:DK356)</f>
        <v>1</v>
      </c>
      <c r="DL353" s="664" t="s">
        <v>191</v>
      </c>
      <c r="DS353" s="102">
        <f t="shared" ref="DS353:FR353" si="1796">SUM(DS354:DS356)</f>
        <v>1</v>
      </c>
      <c r="DT353" s="237">
        <f t="shared" ref="DT353:EK356" si="1797">DT348</f>
        <v>741189</v>
      </c>
      <c r="EA353" s="179">
        <f t="shared" ref="EA353:EA356" si="1798">ROUND(EK353,2)</f>
        <v>779094</v>
      </c>
      <c r="EB353" s="102">
        <f t="shared" si="1795"/>
        <v>1</v>
      </c>
      <c r="EC353" s="664" t="s">
        <v>191</v>
      </c>
      <c r="EJ353" s="102">
        <f t="shared" si="1796"/>
        <v>1</v>
      </c>
      <c r="EK353" s="237">
        <f t="shared" ref="EK353" si="1799">EK348</f>
        <v>779094</v>
      </c>
      <c r="ER353" s="179">
        <f t="shared" ref="ER353:ER356" si="1800">ROUND(FB353,2)</f>
        <v>779094</v>
      </c>
      <c r="ES353" s="102">
        <f t="shared" si="1795"/>
        <v>1</v>
      </c>
      <c r="ET353" s="664" t="s">
        <v>191</v>
      </c>
      <c r="FA353" s="102">
        <f t="shared" si="1796"/>
        <v>1</v>
      </c>
      <c r="FB353" s="237">
        <f t="shared" ref="FB353:FS356" si="1801">FB348</f>
        <v>779094</v>
      </c>
      <c r="FI353" s="179">
        <f t="shared" ref="FI353:FI356" si="1802">ROUND(FS353,2)</f>
        <v>613719</v>
      </c>
      <c r="FJ353" s="102">
        <f t="shared" si="1795"/>
        <v>1</v>
      </c>
      <c r="FK353" s="664" t="s">
        <v>191</v>
      </c>
      <c r="FR353" s="102">
        <f t="shared" si="1796"/>
        <v>1</v>
      </c>
      <c r="FS353" s="237">
        <f t="shared" ref="FS353" si="1803">FS348</f>
        <v>613719</v>
      </c>
    </row>
    <row r="354" spans="1:175" s="10" customFormat="1" ht="15" hidden="1" customHeight="1" x14ac:dyDescent="0.3">
      <c r="A354" s="656" t="s">
        <v>180</v>
      </c>
      <c r="V354" s="217">
        <v>33</v>
      </c>
      <c r="AC354" s="179">
        <f t="shared" ref="AC354:AC356" si="1804">ROUND(AM354,2)</f>
        <v>378597.9</v>
      </c>
      <c r="AD354" s="102">
        <f t="shared" ref="AD354:AD366" si="1805">IF(AC353&lt;&gt;0,AC354/AC353,0)</f>
        <v>0.56168353482197608</v>
      </c>
      <c r="AE354" s="656" t="s">
        <v>180</v>
      </c>
      <c r="AL354" s="102">
        <f>IF(AM353&lt;&gt;0,AM354/AM353,0)</f>
        <v>0.56168353482197608</v>
      </c>
      <c r="AM354" s="237">
        <f t="shared" ref="AM354:AM356" si="1806">AM349</f>
        <v>378597.9</v>
      </c>
      <c r="AT354" s="179">
        <f t="shared" si="1784"/>
        <v>386080.3</v>
      </c>
      <c r="AU354" s="102">
        <f t="shared" ref="AU354" si="1807">IF(AT353&lt;&gt;0,AT354/AT353,0)</f>
        <v>0.56182492257960215</v>
      </c>
      <c r="AV354" s="659" t="s">
        <v>180</v>
      </c>
      <c r="BC354" s="102">
        <f t="shared" ref="BC354" si="1808">IF(BD353&lt;&gt;0,BD354/BD353,0)</f>
        <v>0.56182492257960215</v>
      </c>
      <c r="BD354" s="237">
        <f t="shared" si="1787"/>
        <v>386080.3</v>
      </c>
      <c r="BK354" s="179">
        <f t="shared" si="1788"/>
        <v>392364.79999999999</v>
      </c>
      <c r="BL354" s="102">
        <f t="shared" ref="BL354" si="1809">IF(BK353&lt;&gt;0,BK354/BK353,0)</f>
        <v>0.56180728023797333</v>
      </c>
      <c r="BM354" s="659" t="s">
        <v>180</v>
      </c>
      <c r="BT354" s="102">
        <f t="shared" ref="BT354" si="1810">IF(BU353&lt;&gt;0,BU354/BU353,0)</f>
        <v>0.56180728023797333</v>
      </c>
      <c r="BU354" s="237">
        <f t="shared" si="1787"/>
        <v>392364.79999999999</v>
      </c>
      <c r="CB354" s="179">
        <f t="shared" si="1790"/>
        <v>396295.85</v>
      </c>
      <c r="CC354" s="102">
        <f t="shared" ref="CC354" si="1811">IF(CB353&lt;&gt;0,CB354/CB353,0)</f>
        <v>0.56176853618143363</v>
      </c>
      <c r="CD354" s="659" t="s">
        <v>180</v>
      </c>
      <c r="CK354" s="102">
        <f t="shared" ref="CK354" si="1812">IF(CL353&lt;&gt;0,CL354/CL353,0)</f>
        <v>0.56176853618143363</v>
      </c>
      <c r="CL354" s="237">
        <f t="shared" si="1791"/>
        <v>396295.85</v>
      </c>
      <c r="CS354" s="179">
        <f t="shared" si="1792"/>
        <v>403939.25</v>
      </c>
      <c r="CT354" s="102">
        <f t="shared" ref="CT354" si="1813">IF(CS353&lt;&gt;0,CS354/CS353,0)</f>
        <v>0.56189423838248054</v>
      </c>
      <c r="CU354" s="659" t="s">
        <v>180</v>
      </c>
      <c r="DB354" s="102">
        <f t="shared" ref="DB354" si="1814">IF(DC353&lt;&gt;0,DC354/DC353,0)</f>
        <v>0.56189423838248054</v>
      </c>
      <c r="DC354" s="237">
        <f t="shared" si="1791"/>
        <v>403939.25</v>
      </c>
      <c r="DJ354" s="179">
        <f t="shared" si="1794"/>
        <v>416436.95</v>
      </c>
      <c r="DK354" s="102">
        <f t="shared" ref="DK354" si="1815">IF(DJ353&lt;&gt;0,DJ354/DJ353,0)</f>
        <v>0.5618498790456955</v>
      </c>
      <c r="DL354" s="659" t="s">
        <v>180</v>
      </c>
      <c r="DS354" s="102">
        <f t="shared" ref="DS354" si="1816">IF(DT353&lt;&gt;0,DT354/DT353,0)</f>
        <v>0.5618498790456955</v>
      </c>
      <c r="DT354" s="237">
        <f t="shared" si="1797"/>
        <v>416436.95</v>
      </c>
      <c r="EA354" s="179">
        <f t="shared" si="1798"/>
        <v>437739.35</v>
      </c>
      <c r="EB354" s="102">
        <f t="shared" ref="EB354" si="1817">IF(EA353&lt;&gt;0,EA354/EA353,0)</f>
        <v>0.56185691328645837</v>
      </c>
      <c r="EC354" s="659" t="s">
        <v>180</v>
      </c>
      <c r="EJ354" s="102">
        <f t="shared" ref="EJ354" si="1818">IF(EK353&lt;&gt;0,EK354/EK353,0)</f>
        <v>0.56185691328645837</v>
      </c>
      <c r="EK354" s="237">
        <f t="shared" si="1797"/>
        <v>437739.35</v>
      </c>
      <c r="ER354" s="179">
        <f t="shared" si="1800"/>
        <v>437739.35</v>
      </c>
      <c r="ES354" s="102">
        <f t="shared" ref="ES354" si="1819">IF(ER353&lt;&gt;0,ER354/ER353,0)</f>
        <v>0.56185691328645837</v>
      </c>
      <c r="ET354" s="659" t="s">
        <v>180</v>
      </c>
      <c r="FA354" s="102">
        <f t="shared" ref="FA354" si="1820">IF(FB353&lt;&gt;0,FB354/FB353,0)</f>
        <v>0.56185691328645837</v>
      </c>
      <c r="FB354" s="237">
        <f t="shared" si="1801"/>
        <v>437739.35</v>
      </c>
      <c r="FI354" s="179">
        <f t="shared" si="1802"/>
        <v>355051.85</v>
      </c>
      <c r="FJ354" s="102">
        <f t="shared" ref="FJ354" si="1821">IF(FI353&lt;&gt;0,FI354/FI353,0)</f>
        <v>0.57852510676710345</v>
      </c>
      <c r="FK354" s="659" t="s">
        <v>180</v>
      </c>
      <c r="FR354" s="102">
        <f t="shared" ref="FR354" si="1822">IF(FS353&lt;&gt;0,FS354/FS353,0)</f>
        <v>0.57852510676710345</v>
      </c>
      <c r="FS354" s="237">
        <f t="shared" si="1801"/>
        <v>355051.85</v>
      </c>
    </row>
    <row r="355" spans="1:175" s="10" customFormat="1" ht="15" hidden="1" customHeight="1" x14ac:dyDescent="0.3">
      <c r="A355" s="656" t="s">
        <v>181</v>
      </c>
      <c r="V355" s="217">
        <v>34</v>
      </c>
      <c r="AC355" s="179">
        <f t="shared" si="1804"/>
        <v>154540.4</v>
      </c>
      <c r="AD355" s="102">
        <f t="shared" ref="AD355:AD367" si="1823">IF(AC353&lt;&gt;0,AC355/AC353,0)</f>
        <v>0.22927437829106315</v>
      </c>
      <c r="AE355" s="656" t="s">
        <v>181</v>
      </c>
      <c r="AL355" s="102">
        <f>IF(AM353&lt;&gt;0,AM355/AM353,0)</f>
        <v>0.22927437829106315</v>
      </c>
      <c r="AM355" s="237">
        <f t="shared" si="1806"/>
        <v>154540.4</v>
      </c>
      <c r="AT355" s="179">
        <f t="shared" si="1784"/>
        <v>157496.4</v>
      </c>
      <c r="AU355" s="102">
        <f t="shared" ref="AU355" si="1824">IF(AT353&lt;&gt;0,AT355/AT353,0)</f>
        <v>0.22918911619309779</v>
      </c>
      <c r="AV355" s="659" t="s">
        <v>181</v>
      </c>
      <c r="BC355" s="102">
        <f t="shared" ref="BC355" si="1825">IF(BD353&lt;&gt;0,BD355/BD353,0)</f>
        <v>0.22918911619309779</v>
      </c>
      <c r="BD355" s="237">
        <f t="shared" si="1787"/>
        <v>157496.4</v>
      </c>
      <c r="BK355" s="179">
        <f t="shared" si="1788"/>
        <v>160073.70000000001</v>
      </c>
      <c r="BL355" s="102">
        <f t="shared" ref="BL355" si="1826">IF(BK353&lt;&gt;0,BK355/BK353,0)</f>
        <v>0.22920142182639544</v>
      </c>
      <c r="BM355" s="659" t="s">
        <v>181</v>
      </c>
      <c r="BT355" s="102">
        <f t="shared" ref="BT355" si="1827">IF(BU353&lt;&gt;0,BU355/BU353,0)</f>
        <v>0.22920142182639544</v>
      </c>
      <c r="BU355" s="237">
        <f t="shared" si="1787"/>
        <v>160073.70000000001</v>
      </c>
      <c r="CB355" s="179">
        <f t="shared" si="1790"/>
        <v>161710.95000000001</v>
      </c>
      <c r="CC355" s="102">
        <f t="shared" ref="CC355" si="1828">IF(CB353&lt;&gt;0,CB355/CB353,0)</f>
        <v>0.22923309357392721</v>
      </c>
      <c r="CD355" s="659" t="s">
        <v>181</v>
      </c>
      <c r="CK355" s="102">
        <f t="shared" ref="CK355" si="1829">IF(CL353&lt;&gt;0,CL355/CL353,0)</f>
        <v>0.22923309357392721</v>
      </c>
      <c r="CL355" s="237">
        <f t="shared" si="1791"/>
        <v>161710.95000000001</v>
      </c>
      <c r="CS355" s="179">
        <f t="shared" si="1792"/>
        <v>164743.65</v>
      </c>
      <c r="CT355" s="102">
        <f t="shared" ref="CT355" si="1830">IF(CS353&lt;&gt;0,CS355/CS353,0)</f>
        <v>0.22916442941630438</v>
      </c>
      <c r="CU355" s="659" t="s">
        <v>181</v>
      </c>
      <c r="DB355" s="102">
        <f t="shared" ref="DB355" si="1831">IF(DC353&lt;&gt;0,DC355/DC353,0)</f>
        <v>0.22916442941630438</v>
      </c>
      <c r="DC355" s="237">
        <f t="shared" si="1791"/>
        <v>164743.65</v>
      </c>
      <c r="DJ355" s="179">
        <f t="shared" si="1794"/>
        <v>169873.55</v>
      </c>
      <c r="DK355" s="102">
        <f t="shared" ref="DK355" si="1832">IF(DJ353&lt;&gt;0,DJ355/DJ353,0)</f>
        <v>0.22919059780973541</v>
      </c>
      <c r="DL355" s="659" t="s">
        <v>181</v>
      </c>
      <c r="DS355" s="102">
        <f t="shared" ref="DS355" si="1833">IF(DT353&lt;&gt;0,DT355/DT353,0)</f>
        <v>0.22919059780973541</v>
      </c>
      <c r="DT355" s="237">
        <f t="shared" si="1797"/>
        <v>169873.55</v>
      </c>
      <c r="EA355" s="179">
        <f t="shared" si="1798"/>
        <v>178559.15</v>
      </c>
      <c r="EB355" s="102">
        <f t="shared" ref="EB355" si="1834">IF(EA353&lt;&gt;0,EA355/EA353,0)</f>
        <v>0.22918819808649532</v>
      </c>
      <c r="EC355" s="659" t="s">
        <v>181</v>
      </c>
      <c r="EJ355" s="102">
        <f t="shared" ref="EJ355" si="1835">IF(EK353&lt;&gt;0,EK355/EK353,0)</f>
        <v>0.22918819808649532</v>
      </c>
      <c r="EK355" s="237">
        <f t="shared" si="1797"/>
        <v>178559.15</v>
      </c>
      <c r="ER355" s="179">
        <f t="shared" si="1800"/>
        <v>178559.15</v>
      </c>
      <c r="ES355" s="102">
        <f t="shared" ref="ES355" si="1836">IF(ER353&lt;&gt;0,ER355/ER353,0)</f>
        <v>0.22918819808649532</v>
      </c>
      <c r="ET355" s="659" t="s">
        <v>181</v>
      </c>
      <c r="FA355" s="102">
        <f t="shared" ref="FA355" si="1837">IF(FB353&lt;&gt;0,FB355/FB353,0)</f>
        <v>0.22918819808649532</v>
      </c>
      <c r="FB355" s="237">
        <f t="shared" si="1801"/>
        <v>178559.15</v>
      </c>
      <c r="FI355" s="179">
        <f t="shared" si="1802"/>
        <v>137215.4</v>
      </c>
      <c r="FJ355" s="102">
        <f t="shared" ref="FJ355" si="1838">IF(FI353&lt;&gt;0,FI355/FI353,0)</f>
        <v>0.22358017268489325</v>
      </c>
      <c r="FK355" s="659" t="s">
        <v>181</v>
      </c>
      <c r="FR355" s="102">
        <f t="shared" ref="FR355" si="1839">IF(FS353&lt;&gt;0,FS355/FS353,0)</f>
        <v>0.22358017268489325</v>
      </c>
      <c r="FS355" s="237">
        <f t="shared" si="1801"/>
        <v>137215.4</v>
      </c>
    </row>
    <row r="356" spans="1:175" s="10" customFormat="1" ht="15" hidden="1" customHeight="1" x14ac:dyDescent="0.3">
      <c r="A356" s="656" t="s">
        <v>182</v>
      </c>
      <c r="V356" s="217">
        <v>35</v>
      </c>
      <c r="AC356" s="179">
        <f t="shared" si="1804"/>
        <v>140903</v>
      </c>
      <c r="AD356" s="102">
        <f t="shared" ref="AD356:AD368" si="1840">IF(AC353&lt;&gt;0,AC356/AC353,0)</f>
        <v>0.20904208688696077</v>
      </c>
      <c r="AE356" s="656" t="s">
        <v>182</v>
      </c>
      <c r="AL356" s="102">
        <f>IF(AM353&lt;&gt;0,AM356/AM353,0)</f>
        <v>0.20904208688696077</v>
      </c>
      <c r="AM356" s="237">
        <f t="shared" si="1806"/>
        <v>140903</v>
      </c>
      <c r="AT356" s="179">
        <f t="shared" si="1784"/>
        <v>143613</v>
      </c>
      <c r="AU356" s="102">
        <f t="shared" ref="AU356" si="1841">IF(AT353&lt;&gt;0,AT356/AT353,0)</f>
        <v>0.20898596122730012</v>
      </c>
      <c r="AV356" s="659" t="s">
        <v>182</v>
      </c>
      <c r="BC356" s="102">
        <f t="shared" ref="BC356" si="1842">IF(BD353&lt;&gt;0,BD356/BD353,0)</f>
        <v>0.20898596122730012</v>
      </c>
      <c r="BD356" s="237">
        <f t="shared" si="1787"/>
        <v>143613</v>
      </c>
      <c r="BK356" s="179">
        <f t="shared" si="1788"/>
        <v>145959</v>
      </c>
      <c r="BL356" s="102">
        <f t="shared" ref="BL356" si="1843">IF(BK353&lt;&gt;0,BK356/BK353,0)</f>
        <v>0.2089912979356312</v>
      </c>
      <c r="BM356" s="659" t="s">
        <v>182</v>
      </c>
      <c r="BT356" s="102">
        <f t="shared" ref="BT356" si="1844">IF(BU353&lt;&gt;0,BU356/BU353,0)</f>
        <v>0.2089912979356312</v>
      </c>
      <c r="BU356" s="237">
        <f t="shared" si="1787"/>
        <v>145959</v>
      </c>
      <c r="CB356" s="179">
        <f t="shared" si="1790"/>
        <v>147436.5</v>
      </c>
      <c r="CC356" s="102">
        <f t="shared" ref="CC356" si="1845">IF(CB353&lt;&gt;0,CB356/CB353,0)</f>
        <v>0.20899837024463908</v>
      </c>
      <c r="CD356" s="659" t="s">
        <v>182</v>
      </c>
      <c r="CK356" s="102">
        <f t="shared" ref="CK356" si="1846">IF(CL353&lt;&gt;0,CL356/CL353,0)</f>
        <v>0.20899837024463908</v>
      </c>
      <c r="CL356" s="237">
        <f t="shared" si="1791"/>
        <v>147436.5</v>
      </c>
      <c r="CS356" s="179">
        <f t="shared" si="1792"/>
        <v>150205.5</v>
      </c>
      <c r="CT356" s="102">
        <f t="shared" ref="CT356" si="1847">IF(CS353&lt;&gt;0,CS356/CS353,0)</f>
        <v>0.20894133220121508</v>
      </c>
      <c r="CU356" s="659" t="s">
        <v>182</v>
      </c>
      <c r="DB356" s="102">
        <f t="shared" ref="DB356" si="1848">IF(DC353&lt;&gt;0,DC356/DC353,0)</f>
        <v>0.20894133220121508</v>
      </c>
      <c r="DC356" s="237">
        <f t="shared" si="1791"/>
        <v>150205.5</v>
      </c>
      <c r="DJ356" s="179">
        <f t="shared" si="1794"/>
        <v>154878.5</v>
      </c>
      <c r="DK356" s="102">
        <f t="shared" ref="DK356" si="1849">IF(DJ353&lt;&gt;0,DJ356/DJ353,0)</f>
        <v>0.20895952314456906</v>
      </c>
      <c r="DL356" s="659" t="s">
        <v>182</v>
      </c>
      <c r="DS356" s="102">
        <f t="shared" ref="DS356" si="1850">IF(DT353&lt;&gt;0,DT356/DT353,0)</f>
        <v>0.20895952314456906</v>
      </c>
      <c r="DT356" s="237">
        <f t="shared" si="1797"/>
        <v>154878.5</v>
      </c>
      <c r="EA356" s="179">
        <f t="shared" si="1798"/>
        <v>162795.5</v>
      </c>
      <c r="EB356" s="102">
        <f t="shared" ref="EB356" si="1851">IF(EA353&lt;&gt;0,EA356/EA353,0)</f>
        <v>0.20895488862704628</v>
      </c>
      <c r="EC356" s="659" t="s">
        <v>182</v>
      </c>
      <c r="EJ356" s="102">
        <f t="shared" ref="EJ356" si="1852">IF(EK353&lt;&gt;0,EK356/EK353,0)</f>
        <v>0.20895488862704628</v>
      </c>
      <c r="EK356" s="237">
        <f t="shared" si="1797"/>
        <v>162795.5</v>
      </c>
      <c r="ER356" s="179">
        <f t="shared" si="1800"/>
        <v>162795.5</v>
      </c>
      <c r="ES356" s="102">
        <f t="shared" ref="ES356" si="1853">IF(ER353&lt;&gt;0,ER356/ER353,0)</f>
        <v>0.20895488862704628</v>
      </c>
      <c r="ET356" s="659" t="s">
        <v>182</v>
      </c>
      <c r="FA356" s="102">
        <f t="shared" ref="FA356" si="1854">IF(FB353&lt;&gt;0,FB356/FB353,0)</f>
        <v>0.20895488862704628</v>
      </c>
      <c r="FB356" s="237">
        <f t="shared" si="1801"/>
        <v>162795.5</v>
      </c>
      <c r="FI356" s="179">
        <f t="shared" si="1802"/>
        <v>121451.75</v>
      </c>
      <c r="FJ356" s="102">
        <f t="shared" ref="FJ356" si="1855">IF(FI353&lt;&gt;0,FI356/FI353,0)</f>
        <v>0.19789472054800325</v>
      </c>
      <c r="FK356" s="659" t="s">
        <v>182</v>
      </c>
      <c r="FR356" s="102">
        <f t="shared" ref="FR356" si="1856">IF(FS353&lt;&gt;0,FS356/FS353,0)</f>
        <v>0.19789472054800325</v>
      </c>
      <c r="FS356" s="237">
        <f t="shared" si="1801"/>
        <v>121451.75</v>
      </c>
    </row>
    <row r="357" spans="1:175" s="10" customFormat="1" ht="15" hidden="1" customHeight="1" x14ac:dyDescent="0.3">
      <c r="A357" s="657" t="s">
        <v>192</v>
      </c>
      <c r="V357" s="217">
        <v>36</v>
      </c>
      <c r="AC357" s="179">
        <f>AC353-AC348</f>
        <v>319901.30000000005</v>
      </c>
      <c r="AD357" s="102">
        <f t="shared" si="1782"/>
        <v>0.99999999999999978</v>
      </c>
      <c r="AE357" s="657" t="s">
        <v>192</v>
      </c>
      <c r="AM357" s="217"/>
      <c r="AT357" s="179">
        <f t="shared" ref="AT357:BK360" si="1857">AT353-AT348</f>
        <v>333049.69999999995</v>
      </c>
      <c r="AU357" s="102">
        <f t="shared" ref="AU357:CT357" si="1858">SUM(AU358:AU360)</f>
        <v>1.0000000000000002</v>
      </c>
      <c r="AV357" s="658" t="s">
        <v>192</v>
      </c>
      <c r="BD357" s="217"/>
      <c r="BK357" s="179">
        <f t="shared" ref="BK357" si="1859">BK353-BK348</f>
        <v>344257.5</v>
      </c>
      <c r="BL357" s="102">
        <f t="shared" si="1858"/>
        <v>1</v>
      </c>
      <c r="BM357" s="658" t="s">
        <v>192</v>
      </c>
      <c r="BU357" s="217"/>
      <c r="CB357" s="179">
        <f t="shared" ref="CB357:CS360" si="1860">CB353-CB348</f>
        <v>351303.30000000005</v>
      </c>
      <c r="CC357" s="102">
        <f t="shared" si="1858"/>
        <v>0.99999999999999978</v>
      </c>
      <c r="CD357" s="658" t="s">
        <v>192</v>
      </c>
      <c r="CL357" s="217"/>
      <c r="CS357" s="179">
        <f t="shared" ref="CS357" si="1861">CS353-CS348</f>
        <v>364748.4</v>
      </c>
      <c r="CT357" s="102">
        <f t="shared" si="1858"/>
        <v>0.99999999999999989</v>
      </c>
      <c r="CU357" s="658" t="s">
        <v>192</v>
      </c>
      <c r="DC357" s="217"/>
      <c r="DJ357" s="179">
        <f t="shared" ref="DJ357:EA360" si="1862">DJ353-DJ348</f>
        <v>387049</v>
      </c>
      <c r="DK357" s="102">
        <f t="shared" ref="DK357:FJ357" si="1863">SUM(DK358:DK360)</f>
        <v>0.99999999999999989</v>
      </c>
      <c r="DL357" s="658" t="s">
        <v>192</v>
      </c>
      <c r="DT357" s="217"/>
      <c r="EA357" s="179">
        <f t="shared" ref="EA357" si="1864">EA353-EA348</f>
        <v>424954</v>
      </c>
      <c r="EB357" s="102">
        <f t="shared" si="1863"/>
        <v>1</v>
      </c>
      <c r="EC357" s="658" t="s">
        <v>192</v>
      </c>
      <c r="EK357" s="217"/>
      <c r="ER357" s="179">
        <f t="shared" ref="ER357:FI360" si="1865">ER353-ER348</f>
        <v>424954</v>
      </c>
      <c r="ES357" s="102">
        <f t="shared" si="1863"/>
        <v>1</v>
      </c>
      <c r="ET357" s="658" t="s">
        <v>192</v>
      </c>
      <c r="FB357" s="217"/>
      <c r="FI357" s="179">
        <f t="shared" ref="FI357" si="1866">FI353-FI348</f>
        <v>306829</v>
      </c>
      <c r="FJ357" s="102">
        <f t="shared" si="1863"/>
        <v>0.99999999999999989</v>
      </c>
      <c r="FK357" s="658" t="s">
        <v>192</v>
      </c>
      <c r="FS357" s="217"/>
    </row>
    <row r="358" spans="1:175" s="10" customFormat="1" ht="15" hidden="1" customHeight="1" x14ac:dyDescent="0.3">
      <c r="A358" s="665" t="s">
        <v>180</v>
      </c>
      <c r="V358" s="217">
        <v>37</v>
      </c>
      <c r="AC358" s="179">
        <f t="shared" ref="AC358:AC360" si="1867">AC354-AC349</f>
        <v>167497.90000000002</v>
      </c>
      <c r="AD358" s="102">
        <f t="shared" si="1805"/>
        <v>0.52359243304106606</v>
      </c>
      <c r="AE358" s="665" t="s">
        <v>180</v>
      </c>
      <c r="AM358" s="217"/>
      <c r="AT358" s="179">
        <f t="shared" si="1857"/>
        <v>174980.3</v>
      </c>
      <c r="AU358" s="102">
        <f t="shared" ref="AU358" si="1868">IF(AT357&lt;&gt;0,AT358/AT357,0)</f>
        <v>0.52538795260887494</v>
      </c>
      <c r="AV358" s="665" t="s">
        <v>180</v>
      </c>
      <c r="BD358" s="217"/>
      <c r="BK358" s="179">
        <f t="shared" si="1857"/>
        <v>181264.8</v>
      </c>
      <c r="BL358" s="102">
        <f t="shared" ref="BL358" si="1869">IF(BK357&lt;&gt;0,BK358/BK357,0)</f>
        <v>0.52653841964227355</v>
      </c>
      <c r="BM358" s="665" t="s">
        <v>180</v>
      </c>
      <c r="BU358" s="217"/>
      <c r="CB358" s="179">
        <f t="shared" si="1860"/>
        <v>185195.84999999998</v>
      </c>
      <c r="CC358" s="102">
        <f t="shared" ref="CC358" si="1870">IF(CB357&lt;&gt;0,CB358/CB357,0)</f>
        <v>0.52716797707280272</v>
      </c>
      <c r="CD358" s="665" t="s">
        <v>180</v>
      </c>
      <c r="CL358" s="217"/>
      <c r="CS358" s="179">
        <f t="shared" si="1860"/>
        <v>192839.25</v>
      </c>
      <c r="CT358" s="102">
        <f t="shared" ref="CT358" si="1871">IF(CS357&lt;&gt;0,CS358/CS357,0)</f>
        <v>0.5286911471030441</v>
      </c>
      <c r="CU358" s="665" t="s">
        <v>180</v>
      </c>
      <c r="DC358" s="217"/>
      <c r="DJ358" s="179">
        <f t="shared" si="1862"/>
        <v>205336.95</v>
      </c>
      <c r="DK358" s="102">
        <f t="shared" ref="DK358" si="1872">IF(DJ357&lt;&gt;0,DJ358/DJ357,0)</f>
        <v>0.53051926241897018</v>
      </c>
      <c r="DL358" s="665" t="s">
        <v>180</v>
      </c>
      <c r="DT358" s="217"/>
      <c r="EA358" s="179">
        <f t="shared" si="1862"/>
        <v>226639.34999999998</v>
      </c>
      <c r="EB358" s="102">
        <f t="shared" ref="EB358" si="1873">IF(EA357&lt;&gt;0,EA358/EA357,0)</f>
        <v>0.53332678360481367</v>
      </c>
      <c r="EC358" s="665" t="s">
        <v>180</v>
      </c>
      <c r="EK358" s="217"/>
      <c r="ER358" s="179">
        <f t="shared" si="1865"/>
        <v>226639.34999999998</v>
      </c>
      <c r="ES358" s="102">
        <f t="shared" ref="ES358" si="1874">IF(ER357&lt;&gt;0,ER358/ER357,0)</f>
        <v>0.53332678360481367</v>
      </c>
      <c r="ET358" s="665" t="s">
        <v>180</v>
      </c>
      <c r="FB358" s="217"/>
      <c r="FI358" s="179">
        <f t="shared" si="1865"/>
        <v>167576.84999999998</v>
      </c>
      <c r="FJ358" s="102">
        <f t="shared" ref="FJ358" si="1875">IF(FI357&lt;&gt;0,FI358/FI357,0)</f>
        <v>0.54615714290370199</v>
      </c>
      <c r="FK358" s="665" t="s">
        <v>180</v>
      </c>
      <c r="FS358" s="217"/>
    </row>
    <row r="359" spans="1:175" s="10" customFormat="1" ht="15" hidden="1" customHeight="1" x14ac:dyDescent="0.3">
      <c r="A359" s="665" t="s">
        <v>193</v>
      </c>
      <c r="V359" s="217">
        <v>38</v>
      </c>
      <c r="AC359" s="179">
        <f t="shared" si="1867"/>
        <v>77800.399999999994</v>
      </c>
      <c r="AD359" s="102">
        <f t="shared" si="1823"/>
        <v>0.24320126238936818</v>
      </c>
      <c r="AE359" s="665" t="s">
        <v>193</v>
      </c>
      <c r="AM359" s="217"/>
      <c r="AT359" s="179">
        <f t="shared" si="1857"/>
        <v>80756.399999999994</v>
      </c>
      <c r="AU359" s="102">
        <f t="shared" ref="AU359" si="1876">IF(AT357&lt;&gt;0,AT359/AT357,0)</f>
        <v>0.24247552242202891</v>
      </c>
      <c r="AV359" s="665" t="s">
        <v>193</v>
      </c>
      <c r="BD359" s="217"/>
      <c r="BK359" s="179">
        <f t="shared" si="1857"/>
        <v>83333.700000000012</v>
      </c>
      <c r="BL359" s="102">
        <f t="shared" ref="BL359" si="1877">IF(BK357&lt;&gt;0,BK359/BK357,0)</f>
        <v>0.24206792880329409</v>
      </c>
      <c r="BM359" s="665" t="s">
        <v>193</v>
      </c>
      <c r="BU359" s="217"/>
      <c r="CB359" s="179">
        <f t="shared" si="1860"/>
        <v>84970.950000000012</v>
      </c>
      <c r="CC359" s="102">
        <f t="shared" ref="CC359" si="1878">IF(CB357&lt;&gt;0,CB359/CB357,0)</f>
        <v>0.24187347514241966</v>
      </c>
      <c r="CD359" s="665" t="s">
        <v>193</v>
      </c>
      <c r="CL359" s="217"/>
      <c r="CS359" s="179">
        <f t="shared" si="1860"/>
        <v>88003.65</v>
      </c>
      <c r="CT359" s="102">
        <f t="shared" ref="CT359" si="1879">IF(CS357&lt;&gt;0,CS359/CS357,0)</f>
        <v>0.24127220297607882</v>
      </c>
      <c r="CU359" s="665" t="s">
        <v>193</v>
      </c>
      <c r="DC359" s="217"/>
      <c r="DJ359" s="179">
        <f t="shared" si="1862"/>
        <v>93133.549999999988</v>
      </c>
      <c r="DK359" s="102">
        <f t="shared" ref="DK359" si="1880">IF(DJ357&lt;&gt;0,DJ359/DJ357,0)</f>
        <v>0.24062470126521446</v>
      </c>
      <c r="DL359" s="665" t="s">
        <v>193</v>
      </c>
      <c r="DT359" s="217"/>
      <c r="EA359" s="179">
        <f t="shared" si="1862"/>
        <v>101819.15</v>
      </c>
      <c r="EB359" s="102">
        <f t="shared" ref="EB359" si="1881">IF(EA357&lt;&gt;0,EA359/EA357,0)</f>
        <v>0.23960040380841219</v>
      </c>
      <c r="EC359" s="665" t="s">
        <v>193</v>
      </c>
      <c r="EK359" s="217"/>
      <c r="ER359" s="179">
        <f t="shared" si="1865"/>
        <v>101819.15</v>
      </c>
      <c r="ES359" s="102">
        <f t="shared" ref="ES359" si="1882">IF(ER357&lt;&gt;0,ER359/ER357,0)</f>
        <v>0.23960040380841219</v>
      </c>
      <c r="ET359" s="665" t="s">
        <v>193</v>
      </c>
      <c r="FB359" s="217"/>
      <c r="FI359" s="179">
        <f t="shared" si="1865"/>
        <v>72287.899999999994</v>
      </c>
      <c r="FJ359" s="102">
        <f t="shared" ref="FJ359" si="1883">IF(FI357&lt;&gt;0,FI359/FI357,0)</f>
        <v>0.23559670044226586</v>
      </c>
      <c r="FK359" s="665" t="s">
        <v>193</v>
      </c>
      <c r="FS359" s="217"/>
    </row>
    <row r="360" spans="1:175" s="10" customFormat="1" ht="15" hidden="1" customHeight="1" x14ac:dyDescent="0.3">
      <c r="A360" s="665" t="s">
        <v>194</v>
      </c>
      <c r="V360" s="217">
        <v>39</v>
      </c>
      <c r="AC360" s="179">
        <f t="shared" si="1867"/>
        <v>74603</v>
      </c>
      <c r="AD360" s="102">
        <f t="shared" si="1840"/>
        <v>0.23320630456956565</v>
      </c>
      <c r="AE360" s="665" t="s">
        <v>194</v>
      </c>
      <c r="AM360" s="217"/>
      <c r="AT360" s="179">
        <f t="shared" si="1857"/>
        <v>77313</v>
      </c>
      <c r="AU360" s="102">
        <f t="shared" ref="AU360" si="1884">IF(AT357&lt;&gt;0,AT360/AT357,0)</f>
        <v>0.23213652496909623</v>
      </c>
      <c r="AV360" s="665" t="s">
        <v>194</v>
      </c>
      <c r="BD360" s="217"/>
      <c r="BK360" s="179">
        <f t="shared" si="1857"/>
        <v>79659</v>
      </c>
      <c r="BL360" s="102">
        <f t="shared" ref="BL360" si="1885">IF(BK357&lt;&gt;0,BK360/BK357,0)</f>
        <v>0.23139365155443237</v>
      </c>
      <c r="BM360" s="665" t="s">
        <v>194</v>
      </c>
      <c r="BU360" s="217"/>
      <c r="CB360" s="179">
        <f t="shared" si="1860"/>
        <v>81136.5</v>
      </c>
      <c r="CC360" s="102">
        <f t="shared" ref="CC360" si="1886">IF(CB357&lt;&gt;0,CB360/CB357,0)</f>
        <v>0.2309585477847774</v>
      </c>
      <c r="CD360" s="665" t="s">
        <v>194</v>
      </c>
      <c r="CL360" s="217"/>
      <c r="CS360" s="179">
        <f t="shared" si="1860"/>
        <v>83905.5</v>
      </c>
      <c r="CT360" s="102">
        <f t="shared" ref="CT360" si="1887">IF(CS357&lt;&gt;0,CS360/CS357,0)</f>
        <v>0.23003664992087694</v>
      </c>
      <c r="CU360" s="665" t="s">
        <v>194</v>
      </c>
      <c r="DC360" s="217"/>
      <c r="DJ360" s="179">
        <f t="shared" si="1862"/>
        <v>88578.5</v>
      </c>
      <c r="DK360" s="102">
        <f t="shared" ref="DK360" si="1888">IF(DJ357&lt;&gt;0,DJ360/DJ357,0)</f>
        <v>0.2288560363158153</v>
      </c>
      <c r="DL360" s="665" t="s">
        <v>194</v>
      </c>
      <c r="DT360" s="217"/>
      <c r="EA360" s="179">
        <f t="shared" si="1862"/>
        <v>96495.5</v>
      </c>
      <c r="EB360" s="102">
        <f t="shared" ref="EB360" si="1889">IF(EA357&lt;&gt;0,EA360/EA357,0)</f>
        <v>0.22707281258677409</v>
      </c>
      <c r="EC360" s="665" t="s">
        <v>194</v>
      </c>
      <c r="EK360" s="217"/>
      <c r="ER360" s="179">
        <f t="shared" si="1865"/>
        <v>96495.5</v>
      </c>
      <c r="ES360" s="102">
        <f t="shared" ref="ES360" si="1890">IF(ER357&lt;&gt;0,ER360/ER357,0)</f>
        <v>0.22707281258677409</v>
      </c>
      <c r="ET360" s="665" t="s">
        <v>194</v>
      </c>
      <c r="FB360" s="217"/>
      <c r="FI360" s="179">
        <f t="shared" si="1865"/>
        <v>66964.25</v>
      </c>
      <c r="FJ360" s="102">
        <f t="shared" ref="FJ360" si="1891">IF(FI357&lt;&gt;0,FI360/FI357,0)</f>
        <v>0.21824615665403205</v>
      </c>
      <c r="FK360" s="665" t="s">
        <v>194</v>
      </c>
      <c r="FS360" s="217"/>
    </row>
    <row r="361" spans="1:175" s="10" customFormat="1" ht="15" hidden="1" customHeight="1" x14ac:dyDescent="0.3">
      <c r="A361" s="657" t="s">
        <v>978</v>
      </c>
      <c r="V361" s="217">
        <v>40</v>
      </c>
      <c r="AC361" s="179">
        <f>IF(AND(AC357&gt;1,HLOOKUP(AC322,Grund_be,3,FALSE)&gt;1),AC357,ROUND(AC357*HLOOKUP(AC322,Grund_be,3,FALSE),2))</f>
        <v>319901.3</v>
      </c>
      <c r="AD361" s="102">
        <f t="shared" si="1782"/>
        <v>1</v>
      </c>
      <c r="AE361" s="657" t="str">
        <f>"Von der Differenz werden auf die Gebühren umgelegt: "&amp;TEXT(HLOOKUP(AC322,Grund_be,3,FALSE),"00,00%")</f>
        <v>Von der Differenz werden auf die Gebühren umgelegt: 100,00%</v>
      </c>
      <c r="AM361" s="217"/>
      <c r="AT361" s="179">
        <f>IF(AND(AT357&gt;1,HLOOKUP(AT322,Grund_be,3,FALSE)&gt;1),AT357,ROUND(AT357*HLOOKUP(AT322,Grund_be,3,FALSE),2))</f>
        <v>333049.7</v>
      </c>
      <c r="AU361" s="102">
        <f t="shared" ref="AU361:CT361" si="1892">SUM(AU362:AU364)</f>
        <v>0.99999999999999989</v>
      </c>
      <c r="AV361" s="658" t="str">
        <f>"Von der Differenz werden auf die Gebühren umgelegt: "&amp;TEXT(HLOOKUP(AT322,Grund_be,3,FALSE),"00,00%")</f>
        <v>Von der Differenz werden auf die Gebühren umgelegt: 100,00%</v>
      </c>
      <c r="BD361" s="217"/>
      <c r="BK361" s="179">
        <f>IF(AND(BK357&gt;1,HLOOKUP(BK322,Grund_be,3,FALSE)&gt;1),BK357,ROUND(BK357*HLOOKUP(BK322,Grund_be,3,FALSE),2))</f>
        <v>344257.5</v>
      </c>
      <c r="BL361" s="102">
        <f t="shared" si="1892"/>
        <v>1</v>
      </c>
      <c r="BM361" s="658" t="str">
        <f>"Von der Differenz werden auf die Gebühren umgelegt: "&amp;TEXT(HLOOKUP(BK322,Grund_be,3,FALSE),"00,00%")</f>
        <v>Von der Differenz werden auf die Gebühren umgelegt: 100,00%</v>
      </c>
      <c r="BU361" s="217"/>
      <c r="CB361" s="179">
        <f>IF(AND(CB357&gt;1,HLOOKUP(CB322,Grund_be,3,FALSE)&gt;1),CB357,ROUND(CB357*HLOOKUP(CB322,Grund_be,3,FALSE),2))</f>
        <v>351303.3</v>
      </c>
      <c r="CC361" s="102">
        <f t="shared" si="1892"/>
        <v>1</v>
      </c>
      <c r="CD361" s="658" t="str">
        <f>"Von der Differenz werden auf die Gebühren umgelegt: "&amp;TEXT(HLOOKUP(CB322,Grund_be,3,FALSE),"00,00%")</f>
        <v>Von der Differenz werden auf die Gebühren umgelegt: 100,00%</v>
      </c>
      <c r="CL361" s="217"/>
      <c r="CS361" s="179">
        <f>IF(AND(CS357&gt;1,HLOOKUP(CS322,Grund_be,3,FALSE)&gt;1),CS357,ROUND(CS357*HLOOKUP(CS322,Grund_be,3,FALSE),2))</f>
        <v>364748.4</v>
      </c>
      <c r="CT361" s="102">
        <f t="shared" si="1892"/>
        <v>0.99999999999999989</v>
      </c>
      <c r="CU361" s="658" t="str">
        <f>"Von der Differenz werden auf die Gebühren umgelegt: "&amp;TEXT(HLOOKUP(CS322,Grund_be,3,FALSE),"00,00%")</f>
        <v>Von der Differenz werden auf die Gebühren umgelegt: 100,00%</v>
      </c>
      <c r="DC361" s="217"/>
      <c r="DJ361" s="179">
        <f>IF(AND(DJ357&gt;1,HLOOKUP(DJ322,Grund_be,3,FALSE)&gt;1),DJ357,ROUND(DJ357*HLOOKUP(DJ322,Grund_be,3,FALSE),2))</f>
        <v>387049</v>
      </c>
      <c r="DK361" s="102">
        <f t="shared" ref="DK361:FJ361" si="1893">SUM(DK362:DK364)</f>
        <v>1</v>
      </c>
      <c r="DL361" s="658" t="str">
        <f>"Von der Differenz werden auf die Gebühren umgelegt: "&amp;TEXT(HLOOKUP(DJ322,Grund_be,3,FALSE),"00,00%")</f>
        <v>Von der Differenz werden auf die Gebühren umgelegt: 100,00%</v>
      </c>
      <c r="DT361" s="217"/>
      <c r="EA361" s="179">
        <f>IF(AND(EA357&gt;1,HLOOKUP(EA322,Grund_be,3,FALSE)&gt;1),EA357,ROUND(EA357*HLOOKUP(EA322,Grund_be,3,FALSE),2))</f>
        <v>424954</v>
      </c>
      <c r="EB361" s="102">
        <f t="shared" si="1893"/>
        <v>1</v>
      </c>
      <c r="EC361" s="658" t="str">
        <f>"Von der Differenz werden auf die Gebühren umgelegt: "&amp;TEXT(HLOOKUP(EA322,Grund_be,3,FALSE),"00,00%")</f>
        <v>Von der Differenz werden auf die Gebühren umgelegt: 100,00%</v>
      </c>
      <c r="EK361" s="217"/>
      <c r="ER361" s="179">
        <f>IF(AND(ER357&gt;1,HLOOKUP(ER322,Grund_be,3,FALSE)&gt;1),ER357,ROUND(ER357*HLOOKUP(ER322,Grund_be,3,FALSE),2))</f>
        <v>424954</v>
      </c>
      <c r="ES361" s="102">
        <f t="shared" si="1893"/>
        <v>1</v>
      </c>
      <c r="ET361" s="658" t="str">
        <f>"Von der Differenz werden auf die Gebühren umgelegt: "&amp;TEXT(HLOOKUP(ER322,Grund_be,3,FALSE),"00,00%")</f>
        <v>Von der Differenz werden auf die Gebühren umgelegt: 100,00%</v>
      </c>
      <c r="FB361" s="217"/>
      <c r="FI361" s="179">
        <f>IF(AND(FI357&gt;1,HLOOKUP(FI322,Grund_be,3,FALSE)&gt;1),FI357,ROUND(FI357*HLOOKUP(FI322,Grund_be,3,FALSE),2))</f>
        <v>306829</v>
      </c>
      <c r="FJ361" s="102">
        <f t="shared" si="1893"/>
        <v>1</v>
      </c>
      <c r="FK361" s="658" t="str">
        <f>"Von der Differenz werden auf die Gebühren umgelegt: "&amp;TEXT(HLOOKUP(FI322,Grund_be,3,FALSE),"00,00%")</f>
        <v>Von der Differenz werden auf die Gebühren umgelegt: 100,00%</v>
      </c>
      <c r="FS361" s="217"/>
    </row>
    <row r="362" spans="1:175" s="10" customFormat="1" ht="15" hidden="1" customHeight="1" x14ac:dyDescent="0.3">
      <c r="A362" s="665" t="s">
        <v>180</v>
      </c>
      <c r="V362" s="217">
        <v>41</v>
      </c>
      <c r="AC362" s="179">
        <f>IF(AND(AC358&gt;1,HLOOKUP(AC322,Grund_be,3,FALSE)&gt;1),AC358,ROUND(AC358*HLOOKUP(AC322,Grund_be,3,FALSE),2))</f>
        <v>167497.9</v>
      </c>
      <c r="AD362" s="102">
        <f t="shared" si="1805"/>
        <v>0.52359243304106606</v>
      </c>
      <c r="AE362" s="665" t="s">
        <v>180</v>
      </c>
      <c r="AM362" s="217"/>
      <c r="AT362" s="179">
        <f>IF(AND(AT358&gt;1,HLOOKUP(AT322,Grund_be,3,FALSE)&gt;1),AT358,ROUND(AT358*HLOOKUP(AT322,Grund_be,3,FALSE),2))</f>
        <v>174980.3</v>
      </c>
      <c r="AU362" s="102">
        <f t="shared" ref="AU362" si="1894">IF(AT361&lt;&gt;0,AT362/AT361,0)</f>
        <v>0.52538795260887483</v>
      </c>
      <c r="AV362" s="665" t="s">
        <v>180</v>
      </c>
      <c r="BD362" s="217"/>
      <c r="BK362" s="179">
        <f>IF(AND(BK358&gt;1,HLOOKUP(BK322,Grund_be,3,FALSE)&gt;1),BK358,ROUND(BK358*HLOOKUP(BK322,Grund_be,3,FALSE),2))</f>
        <v>181264.8</v>
      </c>
      <c r="BL362" s="102">
        <f t="shared" ref="BL362" si="1895">IF(BK361&lt;&gt;0,BK362/BK361,0)</f>
        <v>0.52653841964227355</v>
      </c>
      <c r="BM362" s="665" t="s">
        <v>180</v>
      </c>
      <c r="BU362" s="217"/>
      <c r="CB362" s="179">
        <f>IF(AND(CB358&gt;1,HLOOKUP(CB322,Grund_be,3,FALSE)&gt;1),CB358,ROUND(CB358*HLOOKUP(CB322,Grund_be,3,FALSE),2))</f>
        <v>185195.85</v>
      </c>
      <c r="CC362" s="102">
        <f t="shared" ref="CC362" si="1896">IF(CB361&lt;&gt;0,CB362/CB361,0)</f>
        <v>0.52716797707280294</v>
      </c>
      <c r="CD362" s="665" t="s">
        <v>180</v>
      </c>
      <c r="CL362" s="217"/>
      <c r="CS362" s="179">
        <f>IF(AND(CS358&gt;1,HLOOKUP(CS322,Grund_be,3,FALSE)&gt;1),CS358,ROUND(CS358*HLOOKUP(CS322,Grund_be,3,FALSE),2))</f>
        <v>192839.25</v>
      </c>
      <c r="CT362" s="102">
        <f t="shared" ref="CT362" si="1897">IF(CS361&lt;&gt;0,CS362/CS361,0)</f>
        <v>0.5286911471030441</v>
      </c>
      <c r="CU362" s="665" t="s">
        <v>180</v>
      </c>
      <c r="DC362" s="217"/>
      <c r="DJ362" s="179">
        <f>IF(AND(DJ358&gt;1,HLOOKUP(DJ322,Grund_be,3,FALSE)&gt;1),DJ358,ROUND(DJ358*HLOOKUP(DJ322,Grund_be,3,FALSE),2))</f>
        <v>205336.95</v>
      </c>
      <c r="DK362" s="102">
        <f t="shared" ref="DK362" si="1898">IF(DJ361&lt;&gt;0,DJ362/DJ361,0)</f>
        <v>0.53051926241897018</v>
      </c>
      <c r="DL362" s="665" t="s">
        <v>180</v>
      </c>
      <c r="DT362" s="217"/>
      <c r="EA362" s="179">
        <f>IF(AND(EA358&gt;1,HLOOKUP(EA322,Grund_be,3,FALSE)&gt;1),EA358,ROUND(EA358*HLOOKUP(EA322,Grund_be,3,FALSE),2))</f>
        <v>226639.35</v>
      </c>
      <c r="EB362" s="102">
        <f t="shared" ref="EB362" si="1899">IF(EA361&lt;&gt;0,EA362/EA361,0)</f>
        <v>0.53332678360481367</v>
      </c>
      <c r="EC362" s="665" t="s">
        <v>180</v>
      </c>
      <c r="EK362" s="217"/>
      <c r="ER362" s="179">
        <f>IF(AND(ER358&gt;1,HLOOKUP(ER322,Grund_be,3,FALSE)&gt;1),ER358,ROUND(ER358*HLOOKUP(ER322,Grund_be,3,FALSE),2))</f>
        <v>226639.35</v>
      </c>
      <c r="ES362" s="102">
        <f t="shared" ref="ES362" si="1900">IF(ER361&lt;&gt;0,ER362/ER361,0)</f>
        <v>0.53332678360481367</v>
      </c>
      <c r="ET362" s="665" t="s">
        <v>180</v>
      </c>
      <c r="FB362" s="217"/>
      <c r="FI362" s="179">
        <f>IF(AND(FI358&gt;1,HLOOKUP(FI322,Grund_be,3,FALSE)&gt;1),FI358,ROUND(FI358*HLOOKUP(FI322,Grund_be,3,FALSE),2))</f>
        <v>167576.85</v>
      </c>
      <c r="FJ362" s="102">
        <f t="shared" ref="FJ362" si="1901">IF(FI361&lt;&gt;0,FI362/FI361,0)</f>
        <v>0.5461571429037021</v>
      </c>
      <c r="FK362" s="665" t="s">
        <v>180</v>
      </c>
      <c r="FS362" s="217"/>
    </row>
    <row r="363" spans="1:175" s="10" customFormat="1" ht="15" hidden="1" customHeight="1" x14ac:dyDescent="0.3">
      <c r="A363" s="665" t="s">
        <v>193</v>
      </c>
      <c r="V363" s="217">
        <v>42</v>
      </c>
      <c r="AC363" s="179">
        <f>IF(AND(AC359&gt;1,HLOOKUP(AC322,Grund_be,3,FALSE)&gt;1),AC359,ROUND(AC359*HLOOKUP(AC322,Grund_be,3,FALSE),2))</f>
        <v>77800.399999999994</v>
      </c>
      <c r="AD363" s="102">
        <f t="shared" si="1823"/>
        <v>0.24320126238936821</v>
      </c>
      <c r="AE363" s="665" t="s">
        <v>193</v>
      </c>
      <c r="AM363" s="217"/>
      <c r="AT363" s="179">
        <f>IF(AND(AT359&gt;1,HLOOKUP(AT322,Grund_be,3,FALSE)&gt;1),AT359,ROUND(AT359*HLOOKUP(AT322,Grund_be,3,FALSE),2))</f>
        <v>80756.399999999994</v>
      </c>
      <c r="AU363" s="102">
        <f t="shared" ref="AU363" si="1902">IF(AT361&lt;&gt;0,AT363/AT361,0)</f>
        <v>0.24247552242202888</v>
      </c>
      <c r="AV363" s="665" t="s">
        <v>193</v>
      </c>
      <c r="BD363" s="217"/>
      <c r="BK363" s="179">
        <f>IF(AND(BK359&gt;1,HLOOKUP(BK322,Grund_be,3,FALSE)&gt;1),BK359,ROUND(BK359*HLOOKUP(BK322,Grund_be,3,FALSE),2))</f>
        <v>83333.7</v>
      </c>
      <c r="BL363" s="102">
        <f t="shared" ref="BL363" si="1903">IF(BK361&lt;&gt;0,BK363/BK361,0)</f>
        <v>0.24206792880329403</v>
      </c>
      <c r="BM363" s="665" t="s">
        <v>193</v>
      </c>
      <c r="BU363" s="217"/>
      <c r="CB363" s="179">
        <f>IF(AND(CB359&gt;1,HLOOKUP(CB322,Grund_be,3,FALSE)&gt;1),CB359,ROUND(CB359*HLOOKUP(CB322,Grund_be,3,FALSE),2))</f>
        <v>84970.95</v>
      </c>
      <c r="CC363" s="102">
        <f t="shared" ref="CC363" si="1904">IF(CB361&lt;&gt;0,CB363/CB361,0)</f>
        <v>0.24187347514241966</v>
      </c>
      <c r="CD363" s="665" t="s">
        <v>193</v>
      </c>
      <c r="CL363" s="217"/>
      <c r="CS363" s="179">
        <f>IF(AND(CS359&gt;1,HLOOKUP(CS322,Grund_be,3,FALSE)&gt;1),CS359,ROUND(CS359*HLOOKUP(CS322,Grund_be,3,FALSE),2))</f>
        <v>88003.65</v>
      </c>
      <c r="CT363" s="102">
        <f t="shared" ref="CT363" si="1905">IF(CS361&lt;&gt;0,CS363/CS361,0)</f>
        <v>0.24127220297607882</v>
      </c>
      <c r="CU363" s="665" t="s">
        <v>193</v>
      </c>
      <c r="DC363" s="217"/>
      <c r="DJ363" s="179">
        <f>IF(AND(DJ359&gt;1,HLOOKUP(DJ322,Grund_be,3,FALSE)&gt;1),DJ359,ROUND(DJ359*HLOOKUP(DJ322,Grund_be,3,FALSE),2))</f>
        <v>93133.55</v>
      </c>
      <c r="DK363" s="102">
        <f t="shared" ref="DK363" si="1906">IF(DJ361&lt;&gt;0,DJ363/DJ361,0)</f>
        <v>0.24062470126521449</v>
      </c>
      <c r="DL363" s="665" t="s">
        <v>193</v>
      </c>
      <c r="DT363" s="217"/>
      <c r="EA363" s="179">
        <f>IF(AND(EA359&gt;1,HLOOKUP(EA322,Grund_be,3,FALSE)&gt;1),EA359,ROUND(EA359*HLOOKUP(EA322,Grund_be,3,FALSE),2))</f>
        <v>101819.15</v>
      </c>
      <c r="EB363" s="102">
        <f t="shared" ref="EB363" si="1907">IF(EA361&lt;&gt;0,EA363/EA361,0)</f>
        <v>0.23960040380841219</v>
      </c>
      <c r="EC363" s="665" t="s">
        <v>193</v>
      </c>
      <c r="EK363" s="217"/>
      <c r="ER363" s="179">
        <f>IF(AND(ER359&gt;1,HLOOKUP(ER322,Grund_be,3,FALSE)&gt;1),ER359,ROUND(ER359*HLOOKUP(ER322,Grund_be,3,FALSE),2))</f>
        <v>101819.15</v>
      </c>
      <c r="ES363" s="102">
        <f t="shared" ref="ES363" si="1908">IF(ER361&lt;&gt;0,ER363/ER361,0)</f>
        <v>0.23960040380841219</v>
      </c>
      <c r="ET363" s="665" t="s">
        <v>193</v>
      </c>
      <c r="FB363" s="217"/>
      <c r="FI363" s="179">
        <f>IF(AND(FI359&gt;1,HLOOKUP(FI322,Grund_be,3,FALSE)&gt;1),FI359,ROUND(FI359*HLOOKUP(FI322,Grund_be,3,FALSE),2))</f>
        <v>72287.899999999994</v>
      </c>
      <c r="FJ363" s="102">
        <f t="shared" ref="FJ363" si="1909">IF(FI361&lt;&gt;0,FI363/FI361,0)</f>
        <v>0.23559670044226586</v>
      </c>
      <c r="FK363" s="665" t="s">
        <v>193</v>
      </c>
      <c r="FS363" s="217"/>
    </row>
    <row r="364" spans="1:175" s="10" customFormat="1" ht="15" hidden="1" customHeight="1" x14ac:dyDescent="0.3">
      <c r="A364" s="665" t="s">
        <v>194</v>
      </c>
      <c r="V364" s="217">
        <v>43</v>
      </c>
      <c r="AC364" s="179">
        <f>IF(AND(AC360&gt;1,HLOOKUP(AC322,Grund_be,3,FALSE)&gt;1),AC360,ROUND(AC360*HLOOKUP(AC322,Grund_be,3,FALSE),2))</f>
        <v>74603</v>
      </c>
      <c r="AD364" s="102">
        <f t="shared" si="1840"/>
        <v>0.23320630456956568</v>
      </c>
      <c r="AE364" s="665" t="s">
        <v>194</v>
      </c>
      <c r="AM364" s="217"/>
      <c r="AT364" s="179">
        <f>IF(AND(AT360&gt;1,HLOOKUP(AT322,Grund_be,3,FALSE)&gt;1),AT360,ROUND(AT360*HLOOKUP(AT322,Grund_be,3,FALSE),2))</f>
        <v>77313</v>
      </c>
      <c r="AU364" s="102">
        <f t="shared" ref="AU364" si="1910">IF(AT361&lt;&gt;0,AT364/AT361,0)</f>
        <v>0.2321365249690962</v>
      </c>
      <c r="AV364" s="665" t="s">
        <v>194</v>
      </c>
      <c r="BD364" s="217"/>
      <c r="BK364" s="179">
        <f>IF(AND(BK360&gt;1,HLOOKUP(BK322,Grund_be,3,FALSE)&gt;1),BK360,ROUND(BK360*HLOOKUP(BK322,Grund_be,3,FALSE),2))</f>
        <v>79659</v>
      </c>
      <c r="BL364" s="102">
        <f t="shared" ref="BL364" si="1911">IF(BK361&lt;&gt;0,BK364/BK361,0)</f>
        <v>0.23139365155443237</v>
      </c>
      <c r="BM364" s="665" t="s">
        <v>194</v>
      </c>
      <c r="BU364" s="217"/>
      <c r="CB364" s="179">
        <f>IF(AND(CB360&gt;1,HLOOKUP(CB322,Grund_be,3,FALSE)&gt;1),CB360,ROUND(CB360*HLOOKUP(CB322,Grund_be,3,FALSE),2))</f>
        <v>81136.5</v>
      </c>
      <c r="CC364" s="102">
        <f t="shared" ref="CC364" si="1912">IF(CB361&lt;&gt;0,CB364/CB361,0)</f>
        <v>0.23095854778477742</v>
      </c>
      <c r="CD364" s="665" t="s">
        <v>194</v>
      </c>
      <c r="CL364" s="217"/>
      <c r="CS364" s="179">
        <f>IF(AND(CS360&gt;1,HLOOKUP(CS322,Grund_be,3,FALSE)&gt;1),CS360,ROUND(CS360*HLOOKUP(CS322,Grund_be,3,FALSE),2))</f>
        <v>83905.5</v>
      </c>
      <c r="CT364" s="102">
        <f t="shared" ref="CT364" si="1913">IF(CS361&lt;&gt;0,CS364/CS361,0)</f>
        <v>0.23003664992087694</v>
      </c>
      <c r="CU364" s="665" t="s">
        <v>194</v>
      </c>
      <c r="DC364" s="217"/>
      <c r="DJ364" s="179">
        <f>IF(AND(DJ360&gt;1,HLOOKUP(DJ322,Grund_be,3,FALSE)&gt;1),DJ360,ROUND(DJ360*HLOOKUP(DJ322,Grund_be,3,FALSE),2))</f>
        <v>88578.5</v>
      </c>
      <c r="DK364" s="102">
        <f t="shared" ref="DK364" si="1914">IF(DJ361&lt;&gt;0,DJ364/DJ361,0)</f>
        <v>0.2288560363158153</v>
      </c>
      <c r="DL364" s="665" t="s">
        <v>194</v>
      </c>
      <c r="DT364" s="217"/>
      <c r="EA364" s="179">
        <f>IF(AND(EA360&gt;1,HLOOKUP(EA322,Grund_be,3,FALSE)&gt;1),EA360,ROUND(EA360*HLOOKUP(EA322,Grund_be,3,FALSE),2))</f>
        <v>96495.5</v>
      </c>
      <c r="EB364" s="102">
        <f t="shared" ref="EB364" si="1915">IF(EA361&lt;&gt;0,EA364/EA361,0)</f>
        <v>0.22707281258677409</v>
      </c>
      <c r="EC364" s="665" t="s">
        <v>194</v>
      </c>
      <c r="EK364" s="217"/>
      <c r="ER364" s="179">
        <f>IF(AND(ER360&gt;1,HLOOKUP(ER322,Grund_be,3,FALSE)&gt;1),ER360,ROUND(ER360*HLOOKUP(ER322,Grund_be,3,FALSE),2))</f>
        <v>96495.5</v>
      </c>
      <c r="ES364" s="102">
        <f t="shared" ref="ES364" si="1916">IF(ER361&lt;&gt;0,ER364/ER361,0)</f>
        <v>0.22707281258677409</v>
      </c>
      <c r="ET364" s="665" t="s">
        <v>194</v>
      </c>
      <c r="FB364" s="217"/>
      <c r="FI364" s="179">
        <f>IF(AND(FI360&gt;1,HLOOKUP(FI322,Grund_be,3,FALSE)&gt;1),FI360,ROUND(FI360*HLOOKUP(FI322,Grund_be,3,FALSE),2))</f>
        <v>66964.25</v>
      </c>
      <c r="FJ364" s="102">
        <f t="shared" ref="FJ364" si="1917">IF(FI361&lt;&gt;0,FI364/FI361,0)</f>
        <v>0.21824615665403205</v>
      </c>
      <c r="FK364" s="665" t="s">
        <v>194</v>
      </c>
      <c r="FS364" s="217"/>
    </row>
    <row r="365" spans="1:175" s="10" customFormat="1" ht="15" hidden="1" customHeight="1" x14ac:dyDescent="0.3">
      <c r="A365" s="664" t="s">
        <v>195</v>
      </c>
      <c r="V365" s="217">
        <v>44</v>
      </c>
      <c r="AC365" s="65">
        <f>ROUND((AC361+AC348),2)</f>
        <v>674041.3</v>
      </c>
      <c r="AD365" s="102">
        <f t="shared" si="1782"/>
        <v>1</v>
      </c>
      <c r="AE365" s="664" t="s">
        <v>195</v>
      </c>
      <c r="AM365" s="217"/>
      <c r="AT365" s="65">
        <f t="shared" ref="AT365:BK368" si="1918">ROUND((AT361+AT348),2)</f>
        <v>687189.7</v>
      </c>
      <c r="AU365" s="102">
        <f t="shared" ref="AU365:CT365" si="1919">SUM(AU366:AU368)</f>
        <v>1</v>
      </c>
      <c r="AV365" s="664" t="s">
        <v>195</v>
      </c>
      <c r="BD365" s="217"/>
      <c r="BK365" s="65">
        <f t="shared" ref="BK365" si="1920">ROUND((BK361+BK348),2)</f>
        <v>698397.5</v>
      </c>
      <c r="BL365" s="102">
        <f t="shared" si="1919"/>
        <v>1</v>
      </c>
      <c r="BM365" s="664" t="s">
        <v>195</v>
      </c>
      <c r="BU365" s="217"/>
      <c r="CB365" s="65">
        <f t="shared" ref="CB365:CS368" si="1921">ROUND((CB361+CB348),2)</f>
        <v>705443.3</v>
      </c>
      <c r="CC365" s="102">
        <f t="shared" si="1919"/>
        <v>0.99999999999999989</v>
      </c>
      <c r="CD365" s="664" t="s">
        <v>195</v>
      </c>
      <c r="CL365" s="217"/>
      <c r="CS365" s="65">
        <f t="shared" ref="CS365" si="1922">ROUND((CS361+CS348),2)</f>
        <v>718888.4</v>
      </c>
      <c r="CT365" s="102">
        <f t="shared" si="1919"/>
        <v>1</v>
      </c>
      <c r="CU365" s="664" t="s">
        <v>195</v>
      </c>
      <c r="DC365" s="217"/>
      <c r="DJ365" s="65">
        <f t="shared" ref="DJ365:EA368" si="1923">ROUND((DJ361+DJ348),2)</f>
        <v>741189</v>
      </c>
      <c r="DK365" s="102">
        <f t="shared" ref="DK365:FJ365" si="1924">SUM(DK366:DK368)</f>
        <v>1</v>
      </c>
      <c r="DL365" s="664" t="s">
        <v>195</v>
      </c>
      <c r="DT365" s="217"/>
      <c r="EA365" s="65">
        <f t="shared" ref="EA365" si="1925">ROUND((EA361+EA348),2)</f>
        <v>779094</v>
      </c>
      <c r="EB365" s="102">
        <f t="shared" si="1924"/>
        <v>1</v>
      </c>
      <c r="EC365" s="664" t="s">
        <v>195</v>
      </c>
      <c r="EK365" s="217"/>
      <c r="ER365" s="65">
        <f t="shared" ref="ER365:FI368" si="1926">ROUND((ER361+ER348),2)</f>
        <v>779094</v>
      </c>
      <c r="ES365" s="102">
        <f t="shared" si="1924"/>
        <v>1</v>
      </c>
      <c r="ET365" s="664" t="s">
        <v>195</v>
      </c>
      <c r="FB365" s="217"/>
      <c r="FI365" s="65">
        <f t="shared" ref="FI365" si="1927">ROUND((FI361+FI348),2)</f>
        <v>613719</v>
      </c>
      <c r="FJ365" s="102">
        <f t="shared" si="1924"/>
        <v>1</v>
      </c>
      <c r="FK365" s="664" t="s">
        <v>195</v>
      </c>
      <c r="FS365" s="217"/>
    </row>
    <row r="366" spans="1:175" s="10" customFormat="1" ht="15" hidden="1" customHeight="1" x14ac:dyDescent="0.3">
      <c r="A366" s="665" t="s">
        <v>180</v>
      </c>
      <c r="V366" s="217">
        <v>45</v>
      </c>
      <c r="AC366" s="65">
        <f t="shared" ref="AC366:AC368" si="1928">ROUND((AC362+AC349),2)</f>
        <v>378597.9</v>
      </c>
      <c r="AD366" s="102">
        <f t="shared" si="1805"/>
        <v>0.56168353482197608</v>
      </c>
      <c r="AE366" s="665" t="s">
        <v>180</v>
      </c>
      <c r="AM366" s="217"/>
      <c r="AT366" s="65">
        <f t="shared" si="1918"/>
        <v>386080.3</v>
      </c>
      <c r="AU366" s="102">
        <f t="shared" ref="AU366" si="1929">IF(AT365&lt;&gt;0,AT366/AT365,0)</f>
        <v>0.56182492257960215</v>
      </c>
      <c r="AV366" s="665" t="s">
        <v>180</v>
      </c>
      <c r="BD366" s="217"/>
      <c r="BK366" s="65">
        <f t="shared" si="1918"/>
        <v>392364.79999999999</v>
      </c>
      <c r="BL366" s="102">
        <f t="shared" ref="BL366" si="1930">IF(BK365&lt;&gt;0,BK366/BK365,0)</f>
        <v>0.56180728023797333</v>
      </c>
      <c r="BM366" s="665" t="s">
        <v>180</v>
      </c>
      <c r="BU366" s="217"/>
      <c r="CB366" s="65">
        <f t="shared" si="1921"/>
        <v>396295.85</v>
      </c>
      <c r="CC366" s="102">
        <f t="shared" ref="CC366" si="1931">IF(CB365&lt;&gt;0,CB366/CB365,0)</f>
        <v>0.56176853618143363</v>
      </c>
      <c r="CD366" s="665" t="s">
        <v>180</v>
      </c>
      <c r="CL366" s="217"/>
      <c r="CS366" s="65">
        <f t="shared" si="1921"/>
        <v>403939.25</v>
      </c>
      <c r="CT366" s="102">
        <f t="shared" ref="CT366" si="1932">IF(CS365&lt;&gt;0,CS366/CS365,0)</f>
        <v>0.56189423838248054</v>
      </c>
      <c r="CU366" s="665" t="s">
        <v>180</v>
      </c>
      <c r="DC366" s="217"/>
      <c r="DJ366" s="65">
        <f t="shared" si="1923"/>
        <v>416436.95</v>
      </c>
      <c r="DK366" s="102">
        <f t="shared" ref="DK366" si="1933">IF(DJ365&lt;&gt;0,DJ366/DJ365,0)</f>
        <v>0.5618498790456955</v>
      </c>
      <c r="DL366" s="665" t="s">
        <v>180</v>
      </c>
      <c r="DT366" s="217"/>
      <c r="EA366" s="65">
        <f t="shared" si="1923"/>
        <v>437739.35</v>
      </c>
      <c r="EB366" s="102">
        <f t="shared" ref="EB366" si="1934">IF(EA365&lt;&gt;0,EA366/EA365,0)</f>
        <v>0.56185691328645837</v>
      </c>
      <c r="EC366" s="665" t="s">
        <v>180</v>
      </c>
      <c r="EK366" s="217"/>
      <c r="ER366" s="65">
        <f t="shared" si="1926"/>
        <v>437739.35</v>
      </c>
      <c r="ES366" s="102">
        <f t="shared" ref="ES366" si="1935">IF(ER365&lt;&gt;0,ER366/ER365,0)</f>
        <v>0.56185691328645837</v>
      </c>
      <c r="ET366" s="665" t="s">
        <v>180</v>
      </c>
      <c r="FB366" s="217"/>
      <c r="FI366" s="65">
        <f t="shared" si="1926"/>
        <v>355051.85</v>
      </c>
      <c r="FJ366" s="102">
        <f t="shared" ref="FJ366" si="1936">IF(FI365&lt;&gt;0,FI366/FI365,0)</f>
        <v>0.57852510676710345</v>
      </c>
      <c r="FK366" s="665" t="s">
        <v>180</v>
      </c>
      <c r="FS366" s="217"/>
    </row>
    <row r="367" spans="1:175" s="10" customFormat="1" ht="15" hidden="1" customHeight="1" x14ac:dyDescent="0.3">
      <c r="A367" s="665" t="s">
        <v>193</v>
      </c>
      <c r="V367" s="217">
        <v>46</v>
      </c>
      <c r="AC367" s="65">
        <f t="shared" si="1928"/>
        <v>154540.4</v>
      </c>
      <c r="AD367" s="102">
        <f t="shared" si="1823"/>
        <v>0.22927437829106315</v>
      </c>
      <c r="AE367" s="665" t="s">
        <v>193</v>
      </c>
      <c r="AM367" s="217"/>
      <c r="AT367" s="65">
        <f t="shared" si="1918"/>
        <v>157496.4</v>
      </c>
      <c r="AU367" s="102">
        <f t="shared" ref="AU367" si="1937">IF(AT365&lt;&gt;0,AT367/AT365,0)</f>
        <v>0.22918911619309779</v>
      </c>
      <c r="AV367" s="665" t="s">
        <v>193</v>
      </c>
      <c r="BD367" s="217"/>
      <c r="BK367" s="65">
        <f t="shared" si="1918"/>
        <v>160073.70000000001</v>
      </c>
      <c r="BL367" s="102">
        <f t="shared" ref="BL367" si="1938">IF(BK365&lt;&gt;0,BK367/BK365,0)</f>
        <v>0.22920142182639544</v>
      </c>
      <c r="BM367" s="665" t="s">
        <v>193</v>
      </c>
      <c r="BU367" s="217"/>
      <c r="CB367" s="65">
        <f t="shared" si="1921"/>
        <v>161710.95000000001</v>
      </c>
      <c r="CC367" s="102">
        <f t="shared" ref="CC367" si="1939">IF(CB365&lt;&gt;0,CB367/CB365,0)</f>
        <v>0.22923309357392721</v>
      </c>
      <c r="CD367" s="665" t="s">
        <v>193</v>
      </c>
      <c r="CL367" s="217"/>
      <c r="CS367" s="65">
        <f t="shared" si="1921"/>
        <v>164743.65</v>
      </c>
      <c r="CT367" s="102">
        <f t="shared" ref="CT367" si="1940">IF(CS365&lt;&gt;0,CS367/CS365,0)</f>
        <v>0.22916442941630438</v>
      </c>
      <c r="CU367" s="665" t="s">
        <v>193</v>
      </c>
      <c r="DC367" s="217"/>
      <c r="DJ367" s="65">
        <f t="shared" si="1923"/>
        <v>169873.55</v>
      </c>
      <c r="DK367" s="102">
        <f t="shared" ref="DK367" si="1941">IF(DJ365&lt;&gt;0,DJ367/DJ365,0)</f>
        <v>0.22919059780973541</v>
      </c>
      <c r="DL367" s="665" t="s">
        <v>193</v>
      </c>
      <c r="DT367" s="217"/>
      <c r="EA367" s="65">
        <f t="shared" si="1923"/>
        <v>178559.15</v>
      </c>
      <c r="EB367" s="102">
        <f t="shared" ref="EB367" si="1942">IF(EA365&lt;&gt;0,EA367/EA365,0)</f>
        <v>0.22918819808649532</v>
      </c>
      <c r="EC367" s="665" t="s">
        <v>193</v>
      </c>
      <c r="EK367" s="217"/>
      <c r="ER367" s="65">
        <f t="shared" si="1926"/>
        <v>178559.15</v>
      </c>
      <c r="ES367" s="102">
        <f t="shared" ref="ES367" si="1943">IF(ER365&lt;&gt;0,ER367/ER365,0)</f>
        <v>0.22918819808649532</v>
      </c>
      <c r="ET367" s="665" t="s">
        <v>193</v>
      </c>
      <c r="FB367" s="217"/>
      <c r="FI367" s="65">
        <f t="shared" si="1926"/>
        <v>137215.4</v>
      </c>
      <c r="FJ367" s="102">
        <f t="shared" ref="FJ367" si="1944">IF(FI365&lt;&gt;0,FI367/FI365,0)</f>
        <v>0.22358017268489325</v>
      </c>
      <c r="FK367" s="665" t="s">
        <v>193</v>
      </c>
      <c r="FS367" s="217"/>
    </row>
    <row r="368" spans="1:175" s="10" customFormat="1" ht="15" hidden="1" customHeight="1" x14ac:dyDescent="0.35">
      <c r="A368" s="665" t="s">
        <v>194</v>
      </c>
      <c r="V368" s="217">
        <v>47</v>
      </c>
      <c r="W368" s="108" t="s">
        <v>710</v>
      </c>
      <c r="AC368" s="65">
        <f t="shared" si="1928"/>
        <v>140903</v>
      </c>
      <c r="AD368" s="102">
        <f t="shared" si="1840"/>
        <v>0.20904208688696077</v>
      </c>
      <c r="AE368" s="665" t="s">
        <v>194</v>
      </c>
      <c r="AM368" s="217"/>
      <c r="AN368" s="108" t="s">
        <v>710</v>
      </c>
      <c r="AT368" s="65">
        <f t="shared" si="1918"/>
        <v>143613</v>
      </c>
      <c r="AU368" s="102">
        <f t="shared" ref="AU368" si="1945">IF(AT365&lt;&gt;0,AT368/AT365,0)</f>
        <v>0.20898596122730012</v>
      </c>
      <c r="AV368" s="665" t="s">
        <v>194</v>
      </c>
      <c r="BD368" s="217"/>
      <c r="BE368" s="108" t="s">
        <v>710</v>
      </c>
      <c r="BK368" s="65">
        <f t="shared" si="1918"/>
        <v>145959</v>
      </c>
      <c r="BL368" s="102">
        <f t="shared" ref="BL368" si="1946">IF(BK365&lt;&gt;0,BK368/BK365,0)</f>
        <v>0.2089912979356312</v>
      </c>
      <c r="BM368" s="665" t="s">
        <v>194</v>
      </c>
      <c r="BU368" s="217"/>
      <c r="BV368" s="108" t="s">
        <v>710</v>
      </c>
      <c r="CB368" s="65">
        <f t="shared" si="1921"/>
        <v>147436.5</v>
      </c>
      <c r="CC368" s="102">
        <f t="shared" ref="CC368" si="1947">IF(CB365&lt;&gt;0,CB368/CB365,0)</f>
        <v>0.20899837024463908</v>
      </c>
      <c r="CD368" s="665" t="s">
        <v>194</v>
      </c>
      <c r="CL368" s="217"/>
      <c r="CM368" s="108" t="s">
        <v>710</v>
      </c>
      <c r="CS368" s="65">
        <f t="shared" si="1921"/>
        <v>150205.5</v>
      </c>
      <c r="CT368" s="102">
        <f t="shared" ref="CT368" si="1948">IF(CS365&lt;&gt;0,CS368/CS365,0)</f>
        <v>0.20894133220121508</v>
      </c>
      <c r="CU368" s="665" t="s">
        <v>194</v>
      </c>
      <c r="DC368" s="217"/>
      <c r="DD368" s="108" t="s">
        <v>710</v>
      </c>
      <c r="DJ368" s="65">
        <f t="shared" si="1923"/>
        <v>154878.5</v>
      </c>
      <c r="DK368" s="102">
        <f t="shared" ref="DK368" si="1949">IF(DJ365&lt;&gt;0,DJ368/DJ365,0)</f>
        <v>0.20895952314456906</v>
      </c>
      <c r="DL368" s="665" t="s">
        <v>194</v>
      </c>
      <c r="DT368" s="217"/>
      <c r="DU368" s="108" t="s">
        <v>710</v>
      </c>
      <c r="EA368" s="65">
        <f t="shared" si="1923"/>
        <v>162795.5</v>
      </c>
      <c r="EB368" s="102">
        <f t="shared" ref="EB368" si="1950">IF(EA365&lt;&gt;0,EA368/EA365,0)</f>
        <v>0.20895488862704628</v>
      </c>
      <c r="EC368" s="665" t="s">
        <v>194</v>
      </c>
      <c r="EK368" s="217"/>
      <c r="EL368" s="108" t="s">
        <v>710</v>
      </c>
      <c r="ER368" s="65">
        <f t="shared" si="1926"/>
        <v>162795.5</v>
      </c>
      <c r="ES368" s="102">
        <f t="shared" ref="ES368" si="1951">IF(ER365&lt;&gt;0,ER368/ER365,0)</f>
        <v>0.20895488862704628</v>
      </c>
      <c r="ET368" s="665" t="s">
        <v>194</v>
      </c>
      <c r="FB368" s="217"/>
      <c r="FC368" s="108" t="s">
        <v>710</v>
      </c>
      <c r="FI368" s="65">
        <f t="shared" si="1926"/>
        <v>121451.75</v>
      </c>
      <c r="FJ368" s="102">
        <f t="shared" ref="FJ368" si="1952">IF(FI365&lt;&gt;0,FI368/FI365,0)</f>
        <v>0.19789472054800325</v>
      </c>
      <c r="FK368" s="665" t="s">
        <v>194</v>
      </c>
      <c r="FS368" s="217"/>
    </row>
    <row r="369" spans="1:175" s="10" customFormat="1" ht="18.75" hidden="1" customHeight="1" x14ac:dyDescent="0.35">
      <c r="A369" s="108" t="s">
        <v>710</v>
      </c>
      <c r="V369" s="217">
        <v>48</v>
      </c>
      <c r="X369" s="92" t="s">
        <v>284</v>
      </c>
      <c r="Y369" s="92"/>
      <c r="Z369" s="92" t="s">
        <v>468</v>
      </c>
      <c r="AB369" s="92" t="s">
        <v>285</v>
      </c>
      <c r="AC369" s="657" t="s">
        <v>279</v>
      </c>
      <c r="AD369" s="657" t="s">
        <v>280</v>
      </c>
      <c r="AE369" s="91" t="s">
        <v>281</v>
      </c>
      <c r="AF369" s="91" t="s">
        <v>282</v>
      </c>
      <c r="AG369" s="666" t="s">
        <v>283</v>
      </c>
      <c r="AH369" s="91" t="s">
        <v>702</v>
      </c>
      <c r="AM369" s="217"/>
      <c r="AO369" s="92" t="s">
        <v>284</v>
      </c>
      <c r="AP369" s="92"/>
      <c r="AQ369" s="92" t="s">
        <v>468</v>
      </c>
      <c r="AS369" s="92" t="s">
        <v>285</v>
      </c>
      <c r="AT369" s="658" t="s">
        <v>279</v>
      </c>
      <c r="AU369" s="658" t="s">
        <v>280</v>
      </c>
      <c r="AV369" s="91" t="s">
        <v>281</v>
      </c>
      <c r="AW369" s="91" t="s">
        <v>282</v>
      </c>
      <c r="AX369" s="666" t="s">
        <v>283</v>
      </c>
      <c r="AY369" s="91" t="s">
        <v>702</v>
      </c>
      <c r="BD369" s="217"/>
      <c r="BF369" s="92" t="s">
        <v>284</v>
      </c>
      <c r="BG369" s="92"/>
      <c r="BH369" s="92" t="s">
        <v>468</v>
      </c>
      <c r="BJ369" s="92" t="s">
        <v>285</v>
      </c>
      <c r="BK369" s="658" t="s">
        <v>279</v>
      </c>
      <c r="BL369" s="658" t="s">
        <v>280</v>
      </c>
      <c r="BM369" s="91" t="s">
        <v>281</v>
      </c>
      <c r="BN369" s="91" t="s">
        <v>282</v>
      </c>
      <c r="BO369" s="666" t="s">
        <v>283</v>
      </c>
      <c r="BP369" s="91" t="s">
        <v>702</v>
      </c>
      <c r="BU369" s="217"/>
      <c r="BW369" s="92" t="s">
        <v>284</v>
      </c>
      <c r="BX369" s="92"/>
      <c r="BY369" s="92" t="s">
        <v>468</v>
      </c>
      <c r="CA369" s="92" t="s">
        <v>285</v>
      </c>
      <c r="CB369" s="658" t="s">
        <v>279</v>
      </c>
      <c r="CC369" s="658" t="s">
        <v>280</v>
      </c>
      <c r="CD369" s="91" t="s">
        <v>281</v>
      </c>
      <c r="CE369" s="91" t="s">
        <v>282</v>
      </c>
      <c r="CF369" s="666" t="s">
        <v>283</v>
      </c>
      <c r="CG369" s="91" t="s">
        <v>702</v>
      </c>
      <c r="CL369" s="217"/>
      <c r="CN369" s="92" t="s">
        <v>284</v>
      </c>
      <c r="CO369" s="92"/>
      <c r="CP369" s="92" t="s">
        <v>468</v>
      </c>
      <c r="CR369" s="92" t="s">
        <v>285</v>
      </c>
      <c r="CS369" s="658" t="s">
        <v>279</v>
      </c>
      <c r="CT369" s="658" t="s">
        <v>280</v>
      </c>
      <c r="CU369" s="91" t="s">
        <v>281</v>
      </c>
      <c r="CV369" s="91" t="s">
        <v>282</v>
      </c>
      <c r="CW369" s="666" t="s">
        <v>283</v>
      </c>
      <c r="CX369" s="91" t="s">
        <v>702</v>
      </c>
      <c r="DC369" s="217"/>
      <c r="DE369" s="92" t="s">
        <v>284</v>
      </c>
      <c r="DF369" s="92"/>
      <c r="DG369" s="92" t="s">
        <v>468</v>
      </c>
      <c r="DI369" s="92" t="s">
        <v>285</v>
      </c>
      <c r="DJ369" s="658" t="s">
        <v>279</v>
      </c>
      <c r="DK369" s="658" t="s">
        <v>280</v>
      </c>
      <c r="DL369" s="91" t="s">
        <v>281</v>
      </c>
      <c r="DM369" s="91" t="s">
        <v>282</v>
      </c>
      <c r="DN369" s="666" t="s">
        <v>283</v>
      </c>
      <c r="DO369" s="91" t="s">
        <v>702</v>
      </c>
      <c r="DT369" s="217"/>
      <c r="DV369" s="92" t="s">
        <v>284</v>
      </c>
      <c r="DW369" s="92"/>
      <c r="DX369" s="92" t="s">
        <v>468</v>
      </c>
      <c r="DZ369" s="92" t="s">
        <v>285</v>
      </c>
      <c r="EA369" s="658" t="s">
        <v>279</v>
      </c>
      <c r="EB369" s="658" t="s">
        <v>280</v>
      </c>
      <c r="EC369" s="91" t="s">
        <v>281</v>
      </c>
      <c r="ED369" s="91" t="s">
        <v>282</v>
      </c>
      <c r="EE369" s="666" t="s">
        <v>283</v>
      </c>
      <c r="EF369" s="91" t="s">
        <v>702</v>
      </c>
      <c r="EK369" s="217"/>
      <c r="EM369" s="92" t="s">
        <v>284</v>
      </c>
      <c r="EN369" s="92"/>
      <c r="EO369" s="92" t="s">
        <v>468</v>
      </c>
      <c r="EQ369" s="92" t="s">
        <v>285</v>
      </c>
      <c r="ER369" s="658" t="s">
        <v>279</v>
      </c>
      <c r="ES369" s="658" t="s">
        <v>280</v>
      </c>
      <c r="ET369" s="91" t="s">
        <v>281</v>
      </c>
      <c r="EU369" s="91" t="s">
        <v>282</v>
      </c>
      <c r="EV369" s="666" t="s">
        <v>283</v>
      </c>
      <c r="EW369" s="91" t="s">
        <v>702</v>
      </c>
      <c r="FB369" s="217"/>
      <c r="FD369" s="92" t="s">
        <v>284</v>
      </c>
      <c r="FE369" s="92"/>
      <c r="FF369" s="92" t="s">
        <v>468</v>
      </c>
      <c r="FH369" s="92" t="s">
        <v>285</v>
      </c>
      <c r="FI369" s="658" t="s">
        <v>279</v>
      </c>
      <c r="FJ369" s="658" t="s">
        <v>280</v>
      </c>
      <c r="FK369" s="91" t="s">
        <v>281</v>
      </c>
      <c r="FL369" s="91" t="s">
        <v>282</v>
      </c>
      <c r="FM369" s="666" t="s">
        <v>283</v>
      </c>
      <c r="FN369" s="91" t="s">
        <v>702</v>
      </c>
      <c r="FS369" s="217"/>
    </row>
    <row r="370" spans="1:175" s="10" customFormat="1" ht="15" hidden="1" customHeight="1" x14ac:dyDescent="0.3">
      <c r="A370" s="664" t="s">
        <v>272</v>
      </c>
      <c r="V370" s="217">
        <v>49</v>
      </c>
      <c r="X370" s="179">
        <f>SUMIF($D$5:$D$319,"=kas",X5:X319)+SUMIF($D$5:$D$319,"=kam",X5:X319)+SUMIF($D$5:$D$319,"=kar",X5:X319)+SUMIF($D$5:$D$319,"=kaz",X5:X319)</f>
        <v>0</v>
      </c>
      <c r="Z370" s="179">
        <f>SUMIF($D$5:$D$319,"=kas",Z5:Z319)+SUMIF($D$5:$D$319,"=kam",Z5:Z319)+SUMIF($D$5:$D$319,"=kar",Z5:Z319)+SUMIF($D$5:$D$319,"=kaz",Z5:Z319)</f>
        <v>0</v>
      </c>
      <c r="AB370" s="102">
        <f>SUM(AB371:AB373)</f>
        <v>1</v>
      </c>
      <c r="AC370" s="179">
        <f>ROUND(AE370*HLOOKUP(AC322,Grund_zins,2,FALSE),2)</f>
        <v>303224.25</v>
      </c>
      <c r="AD370" s="179">
        <f>SUMIF($D$5:$D$319,"=kas",AD5:AD319)+SUMIF($D$5:$D$319,"=kam",AD5:AD319)+SUMIF($D$5:$D$319,"=kar",AD5:AD319)+SUMIF($D$5:$D$319,"=kaz",AD5:AD319)</f>
        <v>329600</v>
      </c>
      <c r="AE370" s="179">
        <f>AF370-X370+Z370+AD370/2</f>
        <v>8663550</v>
      </c>
      <c r="AF370" s="179">
        <f>SUMIF($D$5:$D$319,"=kas",AF5:AF319)+SUMIF($D$5:$D$319,"=kam",AF5:AF319)+SUMIF($D$5:$D$319,"=kar",AF5:AF319)+SUMIF($D$5:$D$319,"=kaz",AF5:AF319)</f>
        <v>8498750</v>
      </c>
      <c r="AG370" s="102">
        <f>SUM(AG371:AG373)</f>
        <v>1</v>
      </c>
      <c r="AH370" s="664" t="s">
        <v>272</v>
      </c>
      <c r="AM370" s="217"/>
      <c r="AO370" s="179">
        <f t="shared" ref="AO370" si="1953">SUMIF($D$5:$D$319,"=kas",AO5:AO319)+SUMIF($D$5:$D$319,"=kam",AO5:AO319)+SUMIF($D$5:$D$319,"=kar",AO5:AO319)+SUMIF($D$5:$D$319,"=kaz",AO5:AO319)</f>
        <v>0</v>
      </c>
      <c r="AQ370" s="179">
        <f t="shared" ref="AQ370" si="1954">SUMIF($D$5:$D$319,"=kas",AQ5:AQ319)+SUMIF($D$5:$D$319,"=kam",AQ5:AQ319)+SUMIF($D$5:$D$319,"=kar",AQ5:AQ319)+SUMIF($D$5:$D$319,"=kaz",AQ5:AQ319)</f>
        <v>0</v>
      </c>
      <c r="AS370" s="102">
        <f t="shared" ref="AS370" si="1955">SUM(AS371:AS373)</f>
        <v>1</v>
      </c>
      <c r="AT370" s="179">
        <f>ROUND(AV370*HLOOKUP(AT322,Grund_zins,2,FALSE),2)</f>
        <v>291688.25</v>
      </c>
      <c r="AU370" s="179">
        <f t="shared" ref="AU370" si="1956">SUMIF($D$5:$D$319,"=kas",AU5:AU319)+SUMIF($D$5:$D$319,"=kam",AU5:AU319)+SUMIF($D$5:$D$319,"=kar",AU5:AU319)+SUMIF($D$5:$D$319,"=kaz",AU5:AU319)</f>
        <v>329600</v>
      </c>
      <c r="AV370" s="179">
        <f t="shared" ref="AV370:AV393" si="1957">AW370-AO370+AQ370+AU370/2</f>
        <v>8333950</v>
      </c>
      <c r="AW370" s="179">
        <f t="shared" ref="AW370" si="1958">SUMIF($D$5:$D$319,"=kas",AW5:AW319)+SUMIF($D$5:$D$319,"=kam",AW5:AW319)+SUMIF($D$5:$D$319,"=kar",AW5:AW319)+SUMIF($D$5:$D$319,"=kaz",AW5:AW319)</f>
        <v>8169150</v>
      </c>
      <c r="AX370" s="102">
        <f t="shared" ref="AX370" si="1959">SUM(AX371:AX373)</f>
        <v>1</v>
      </c>
      <c r="AY370" s="664" t="s">
        <v>272</v>
      </c>
      <c r="BD370" s="217"/>
      <c r="BF370" s="179">
        <f t="shared" ref="BF370" si="1960">SUMIF($D$5:$D$319,"=kas",BF5:BF319)+SUMIF($D$5:$D$319,"=kam",BF5:BF319)+SUMIF($D$5:$D$319,"=kar",BF5:BF319)+SUMIF($D$5:$D$319,"=kaz",BF5:BF319)</f>
        <v>0</v>
      </c>
      <c r="BH370" s="179">
        <f t="shared" ref="BH370" si="1961">SUMIF($D$5:$D$319,"=kas",BH5:BH319)+SUMIF($D$5:$D$319,"=kam",BH5:BH319)+SUMIF($D$5:$D$319,"=kar",BH5:BH319)+SUMIF($D$5:$D$319,"=kaz",BH5:BH319)</f>
        <v>0</v>
      </c>
      <c r="BJ370" s="102">
        <f t="shared" ref="BJ370" si="1962">SUM(BJ371:BJ373)</f>
        <v>1</v>
      </c>
      <c r="BK370" s="179">
        <f>ROUND(BM370*HLOOKUP(BK322,Grund_zins,2,FALSE),2)</f>
        <v>280152.25</v>
      </c>
      <c r="BL370" s="179">
        <f t="shared" ref="BL370" si="1963">SUMIF($D$5:$D$319,"=kas",BL5:BL319)+SUMIF($D$5:$D$319,"=kam",BL5:BL319)+SUMIF($D$5:$D$319,"=kar",BL5:BL319)+SUMIF($D$5:$D$319,"=kaz",BL5:BL319)</f>
        <v>329600</v>
      </c>
      <c r="BM370" s="179">
        <f t="shared" ref="BM370:BM393" si="1964">BN370-BF370+BH370+BL370/2</f>
        <v>8004350</v>
      </c>
      <c r="BN370" s="179">
        <f t="shared" ref="BN370" si="1965">SUMIF($D$5:$D$319,"=kas",BN5:BN319)+SUMIF($D$5:$D$319,"=kam",BN5:BN319)+SUMIF($D$5:$D$319,"=kar",BN5:BN319)+SUMIF($D$5:$D$319,"=kaz",BN5:BN319)</f>
        <v>7839550</v>
      </c>
      <c r="BO370" s="102">
        <f t="shared" ref="BO370" si="1966">SUM(BO371:BO373)</f>
        <v>1</v>
      </c>
      <c r="BP370" s="664" t="s">
        <v>272</v>
      </c>
      <c r="BU370" s="217"/>
      <c r="BW370" s="179">
        <f t="shared" ref="BW370" si="1967">SUMIF($D$5:$D$319,"=kas",BW5:BW319)+SUMIF($D$5:$D$319,"=kam",BW5:BW319)+SUMIF($D$5:$D$319,"=kar",BW5:BW319)+SUMIF($D$5:$D$319,"=kaz",BW5:BW319)</f>
        <v>0</v>
      </c>
      <c r="BY370" s="179">
        <f t="shared" ref="BY370" si="1968">SUMIF($D$5:$D$319,"=kas",BY5:BY319)+SUMIF($D$5:$D$319,"=kam",BY5:BY319)+SUMIF($D$5:$D$319,"=kar",BY5:BY319)+SUMIF($D$5:$D$319,"=kaz",BY5:BY319)</f>
        <v>0</v>
      </c>
      <c r="CA370" s="102">
        <f t="shared" ref="CA370" si="1969">SUM(CA371:CA373)</f>
        <v>1</v>
      </c>
      <c r="CB370" s="179">
        <f>ROUND(CD370*HLOOKUP(CB322,Grund_zins,2,FALSE),2)</f>
        <v>268616.25</v>
      </c>
      <c r="CC370" s="179">
        <f t="shared" ref="CC370" si="1970">SUMIF($D$5:$D$319,"=kas",CC5:CC319)+SUMIF($D$5:$D$319,"=kam",CC5:CC319)+SUMIF($D$5:$D$319,"=kar",CC5:CC319)+SUMIF($D$5:$D$319,"=kaz",CC5:CC319)</f>
        <v>329600</v>
      </c>
      <c r="CD370" s="179">
        <f t="shared" ref="CD370:CD393" si="1971">CE370-BW370+BY370+CC370/2</f>
        <v>7674750</v>
      </c>
      <c r="CE370" s="179">
        <f t="shared" ref="CE370" si="1972">SUMIF($D$5:$D$319,"=kas",CE5:CE319)+SUMIF($D$5:$D$319,"=kam",CE5:CE319)+SUMIF($D$5:$D$319,"=kar",CE5:CE319)+SUMIF($D$5:$D$319,"=kaz",CE5:CE319)</f>
        <v>7509950</v>
      </c>
      <c r="CF370" s="102">
        <f t="shared" ref="CF370" si="1973">SUM(CF371:CF373)</f>
        <v>1</v>
      </c>
      <c r="CG370" s="664" t="s">
        <v>272</v>
      </c>
      <c r="CL370" s="217"/>
      <c r="CN370" s="179">
        <f t="shared" ref="CN370" si="1974">SUMIF($D$5:$D$319,"=kas",CN5:CN319)+SUMIF($D$5:$D$319,"=kam",CN5:CN319)+SUMIF($D$5:$D$319,"=kar",CN5:CN319)+SUMIF($D$5:$D$319,"=kaz",CN5:CN319)</f>
        <v>0</v>
      </c>
      <c r="CP370" s="179">
        <f t="shared" ref="CP370" si="1975">SUMIF($D$5:$D$319,"=kas",CP5:CP319)+SUMIF($D$5:$D$319,"=kam",CP5:CP319)+SUMIF($D$5:$D$319,"=kar",CP5:CP319)+SUMIF($D$5:$D$319,"=kaz",CP5:CP319)</f>
        <v>0</v>
      </c>
      <c r="CR370" s="102">
        <f t="shared" ref="CR370" si="1976">SUM(CR371:CR373)</f>
        <v>1</v>
      </c>
      <c r="CS370" s="179">
        <f>ROUND(CU370*HLOOKUP(CS322,Grund_zins,2,FALSE),2)</f>
        <v>257080.25</v>
      </c>
      <c r="CT370" s="179">
        <f t="shared" ref="CT370" si="1977">SUMIF($D$5:$D$319,"=kas",CT5:CT319)+SUMIF($D$5:$D$319,"=kam",CT5:CT319)+SUMIF($D$5:$D$319,"=kar",CT5:CT319)+SUMIF($D$5:$D$319,"=kaz",CT5:CT319)</f>
        <v>329600</v>
      </c>
      <c r="CU370" s="179">
        <f t="shared" ref="CU370:CU393" si="1978">CV370-CN370+CP370+CT370/2</f>
        <v>7345150</v>
      </c>
      <c r="CV370" s="179">
        <f t="shared" ref="CV370" si="1979">SUMIF($D$5:$D$319,"=kas",CV5:CV319)+SUMIF($D$5:$D$319,"=kam",CV5:CV319)+SUMIF($D$5:$D$319,"=kar",CV5:CV319)+SUMIF($D$5:$D$319,"=kaz",CV5:CV319)</f>
        <v>7180350</v>
      </c>
      <c r="CW370" s="102">
        <f t="shared" ref="CW370" si="1980">SUM(CW371:CW373)</f>
        <v>0.99999999999999989</v>
      </c>
      <c r="CX370" s="664" t="s">
        <v>272</v>
      </c>
      <c r="DC370" s="217"/>
      <c r="DE370" s="179">
        <f t="shared" ref="DE370" si="1981">SUMIF($D$5:$D$319,"=kas",DE5:DE319)+SUMIF($D$5:$D$319,"=kam",DE5:DE319)+SUMIF($D$5:$D$319,"=kar",DE5:DE319)+SUMIF($D$5:$D$319,"=kaz",DE5:DE319)</f>
        <v>0</v>
      </c>
      <c r="DG370" s="179">
        <f t="shared" ref="DG370" si="1982">SUMIF($D$5:$D$319,"=kas",DG5:DG319)+SUMIF($D$5:$D$319,"=kam",DG5:DG319)+SUMIF($D$5:$D$319,"=kar",DG5:DG319)+SUMIF($D$5:$D$319,"=kaz",DG5:DG319)</f>
        <v>0</v>
      </c>
      <c r="DI370" s="102">
        <f t="shared" ref="DI370" si="1983">SUM(DI371:DI373)</f>
        <v>1.0000000475134998</v>
      </c>
      <c r="DJ370" s="179">
        <f>ROUND(DL370*HLOOKUP(DJ322,Grund_zins,2,FALSE),2)</f>
        <v>210466.5</v>
      </c>
      <c r="DK370" s="179">
        <f t="shared" ref="DK370" si="1984">SUMIF($D$5:$D$319,"=kas",DK5:DK319)+SUMIF($D$5:$D$319,"=kam",DK5:DK319)+SUMIF($D$5:$D$319,"=kar",DK5:DK319)+SUMIF($D$5:$D$319,"=kaz",DK5:DK319)</f>
        <v>329600</v>
      </c>
      <c r="DL370" s="179">
        <f t="shared" ref="DL370:DL393" si="1985">DM370-DE370+DG370+DK370/2</f>
        <v>7015550</v>
      </c>
      <c r="DM370" s="179">
        <f t="shared" ref="DM370" si="1986">SUMIF($D$5:$D$319,"=kas",DM5:DM319)+SUMIF($D$5:$D$319,"=kam",DM5:DM319)+SUMIF($D$5:$D$319,"=kar",DM5:DM319)+SUMIF($D$5:$D$319,"=kaz",DM5:DM319)</f>
        <v>6850750</v>
      </c>
      <c r="DN370" s="102">
        <f t="shared" ref="DN370" si="1987">SUM(DN371:DN373)</f>
        <v>1</v>
      </c>
      <c r="DO370" s="664" t="s">
        <v>272</v>
      </c>
      <c r="DT370" s="217"/>
      <c r="DV370" s="179">
        <f t="shared" ref="DV370" si="1988">SUMIF($D$5:$D$319,"=kas",DV5:DV319)+SUMIF($D$5:$D$319,"=kam",DV5:DV319)+SUMIF($D$5:$D$319,"=kar",DV5:DV319)+SUMIF($D$5:$D$319,"=kaz",DV5:DV319)</f>
        <v>0</v>
      </c>
      <c r="DX370" s="179">
        <f t="shared" ref="DX370" si="1989">SUMIF($D$5:$D$319,"=kas",DX5:DX319)+SUMIF($D$5:$D$319,"=kam",DX5:DX319)+SUMIF($D$5:$D$319,"=kar",DX5:DX319)+SUMIF($D$5:$D$319,"=kaz",DX5:DX319)</f>
        <v>0</v>
      </c>
      <c r="DZ370" s="102">
        <f t="shared" ref="DZ370" si="1990">SUM(DZ371:DZ373)</f>
        <v>1.0000000498557922</v>
      </c>
      <c r="EA370" s="179">
        <f>ROUND(EC370*HLOOKUP(EA322,Grund_zins,2,FALSE),2)</f>
        <v>200578.5</v>
      </c>
      <c r="EB370" s="179">
        <f t="shared" ref="EB370" si="1991">SUMIF($D$5:$D$319,"=kas",EB5:EB319)+SUMIF($D$5:$D$319,"=kam",EB5:EB319)+SUMIF($D$5:$D$319,"=kar",EB5:EB319)+SUMIF($D$5:$D$319,"=kaz",EB5:EB319)</f>
        <v>329600</v>
      </c>
      <c r="EC370" s="179">
        <f t="shared" ref="EC370:EC393" si="1992">ED370-DV370+DX370+EB370/2</f>
        <v>6685950</v>
      </c>
      <c r="ED370" s="179">
        <f t="shared" ref="ED370" si="1993">SUMIF($D$5:$D$319,"=kas",ED5:ED319)+SUMIF($D$5:$D$319,"=kam",ED5:ED319)+SUMIF($D$5:$D$319,"=kar",ED5:ED319)+SUMIF($D$5:$D$319,"=kaz",ED5:ED319)</f>
        <v>6521150</v>
      </c>
      <c r="EE370" s="102">
        <f t="shared" ref="EE370" si="1994">SUM(EE371:EE373)</f>
        <v>1</v>
      </c>
      <c r="EF370" s="664" t="s">
        <v>272</v>
      </c>
      <c r="EK370" s="217"/>
      <c r="EM370" s="179">
        <f t="shared" ref="EM370" si="1995">SUMIF($D$5:$D$319,"=kas",EM5:EM319)+SUMIF($D$5:$D$319,"=kam",EM5:EM319)+SUMIF($D$5:$D$319,"=kar",EM5:EM319)+SUMIF($D$5:$D$319,"=kaz",EM5:EM319)</f>
        <v>0</v>
      </c>
      <c r="EO370" s="179">
        <f t="shared" ref="EO370" si="1996">SUMIF($D$5:$D$319,"=kas",EO5:EO319)+SUMIF($D$5:$D$319,"=kam",EO5:EO319)+SUMIF($D$5:$D$319,"=kar",EO5:EO319)+SUMIF($D$5:$D$319,"=kaz",EO5:EO319)</f>
        <v>0</v>
      </c>
      <c r="EQ370" s="102">
        <f t="shared" ref="EQ370" si="1997">SUM(EQ371:EQ373)</f>
        <v>1.0000000524409973</v>
      </c>
      <c r="ER370" s="179">
        <f>ROUND(ET370*HLOOKUP(ER322,Grund_zins,2,FALSE),2)</f>
        <v>190690.5</v>
      </c>
      <c r="ES370" s="179">
        <f t="shared" ref="ES370" si="1998">SUMIF($D$5:$D$319,"=kas",ES5:ES319)+SUMIF($D$5:$D$319,"=kam",ES5:ES319)+SUMIF($D$5:$D$319,"=kar",ES5:ES319)+SUMIF($D$5:$D$319,"=kaz",ES5:ES319)</f>
        <v>329600</v>
      </c>
      <c r="ET370" s="179">
        <f t="shared" ref="ET370:ET393" si="1999">EU370-EM370+EO370+ES370/2</f>
        <v>6356350</v>
      </c>
      <c r="EU370" s="179">
        <f t="shared" ref="EU370" si="2000">SUMIF($D$5:$D$319,"=kas",EU5:EU319)+SUMIF($D$5:$D$319,"=kam",EU5:EU319)+SUMIF($D$5:$D$319,"=kar",EU5:EU319)+SUMIF($D$5:$D$319,"=kaz",EU5:EU319)</f>
        <v>6191550</v>
      </c>
      <c r="EV370" s="102">
        <f t="shared" ref="EV370" si="2001">SUM(EV371:EV373)</f>
        <v>1</v>
      </c>
      <c r="EW370" s="664" t="s">
        <v>272</v>
      </c>
      <c r="FB370" s="217"/>
      <c r="FD370" s="179">
        <f t="shared" ref="FD370" si="2002">SUMIF($D$5:$D$319,"=kas",FD5:FD319)+SUMIF($D$5:$D$319,"=kam",FD5:FD319)+SUMIF($D$5:$D$319,"=kar",FD5:FD319)+SUMIF($D$5:$D$319,"=kaz",FD5:FD319)</f>
        <v>0</v>
      </c>
      <c r="FF370" s="179">
        <f t="shared" ref="FF370" si="2003">SUMIF($D$5:$D$319,"=kas",FF5:FF319)+SUMIF($D$5:$D$319,"=kam",FF5:FF319)+SUMIF($D$5:$D$319,"=kar",FF5:FF319)+SUMIF($D$5:$D$319,"=kaz",FF5:FF319)</f>
        <v>0</v>
      </c>
      <c r="FH370" s="102">
        <f t="shared" ref="FH370" si="2004">SUM(FH371:FH373)</f>
        <v>1</v>
      </c>
      <c r="FI370" s="179">
        <f>ROUND(FK370*HLOOKUP(FI322,Grund_zins,2,FALSE),2)</f>
        <v>181511.25</v>
      </c>
      <c r="FJ370" s="179">
        <f t="shared" ref="FJ370" si="2005">SUMIF($D$5:$D$319,"=kas",FJ5:FJ319)+SUMIF($D$5:$D$319,"=kam",FJ5:FJ319)+SUMIF($D$5:$D$319,"=kar",FJ5:FJ319)+SUMIF($D$5:$D$319,"=kaz",FJ5:FJ319)</f>
        <v>282350</v>
      </c>
      <c r="FK370" s="179">
        <f t="shared" ref="FK370:FK393" si="2006">FL370-FD370+FF370+FJ370/2</f>
        <v>6050375</v>
      </c>
      <c r="FL370" s="179">
        <f t="shared" ref="FL370" si="2007">SUMIF($D$5:$D$319,"=kas",FL5:FL319)+SUMIF($D$5:$D$319,"=kam",FL5:FL319)+SUMIF($D$5:$D$319,"=kar",FL5:FL319)+SUMIF($D$5:$D$319,"=kaz",FL5:FL319)</f>
        <v>5909200</v>
      </c>
      <c r="FM370" s="102">
        <f t="shared" ref="FM370" si="2008">SUM(FM371:FM373)</f>
        <v>1</v>
      </c>
      <c r="FN370" s="664" t="s">
        <v>272</v>
      </c>
      <c r="FS370" s="217"/>
    </row>
    <row r="371" spans="1:175" s="10" customFormat="1" ht="15" hidden="1" customHeight="1" x14ac:dyDescent="0.3">
      <c r="A371" s="665" t="s">
        <v>180</v>
      </c>
      <c r="V371" s="217">
        <v>50</v>
      </c>
      <c r="X371" s="179">
        <f>SUMIF($D$5:$D$319,"=kas",X5:X319)*HLOOKUP(AC322,Verteil_sw,6,FALSE)+SUMIF($D$5:$D$319,"=kam",X5:X319)*HLOOKUP(AC322,Verteil_sw,7,FALSE)+SUMIF($D$5:$D$319,"=kar",X5:X319)*HLOOKUP(AC322,Verteil_sw,8,FALSE)+SUMIF($D$5:$D$319,"=kaz",X5:X319)*HLOOKUP(AC322,Verteil_sw,9,FALSE)</f>
        <v>0</v>
      </c>
      <c r="Z371" s="179">
        <f>SUMIF($D$5:$D$319,"=kas",Z5:Z319)*HLOOKUP(AC322,Verteil_sw,6,FALSE)+SUMIF($D$5:$D$319,"=kam",Z5:Z319)*HLOOKUP(AC322,Verteil_sw,7,FALSE)+SUMIF($D$5:$D$319,"=kar",Z5:Z319)*HLOOKUP(AC322,Verteil_sw,8,FALSE)+SUMIF($D$5:$D$319,"=kaz",Z5:Z319)*HLOOKUP(AC322,Verteil_sw,9,FALSE)</f>
        <v>0</v>
      </c>
      <c r="AB371" s="102">
        <f>IF(AC370&lt;&gt;0,AC371/AC370,0)</f>
        <v>0.64392485099724051</v>
      </c>
      <c r="AC371" s="179">
        <f>ROUND(AE371*HLOOKUP(AC322,Grund_zins,2,FALSE),2)</f>
        <v>195253.63</v>
      </c>
      <c r="AD371" s="179">
        <f>SUMIF($D$5:$D$319,"=kas",AD5:AD319)*HLOOKUP(AC322,Verteil_sw,6,FALSE)+SUMIF($D$5:$D$319,"=kam",AD5:AD319)*HLOOKUP(AC322,Verteil_sw,7,FALSE)+SUMIF($D$5:$D$319,"=kar",AD5:AD319)*HLOOKUP(AC322,Verteil_sw,8,FALSE)+SUMIF($D$5:$D$319,"=kaz",AD5:AD319)*HLOOKUP(AC322,Verteil_sw,9,FALSE)</f>
        <v>197000</v>
      </c>
      <c r="AE371" s="179">
        <f t="shared" ref="AE371:AE393" si="2009">AF371-X371+Z371+AD371/2</f>
        <v>5578675</v>
      </c>
      <c r="AF371" s="179">
        <f>SUMIF($D$5:$D$319,"=kas",AF5:AF319)*HLOOKUP(AC322,Verteil_sw,6,FALSE)+SUMIF($D$5:$D$319,"=kam",AF5:AF319)*HLOOKUP(AC322,Verteil_sw,7,FALSE)+SUMIF($D$5:$D$319,"=kar",AF5:AF319)*HLOOKUP(AC322,Verteil_sw,8,FALSE)+SUMIF($D$5:$D$319,"=kaz",AF5:AF319)*HLOOKUP(AC322,Verteil_sw,9,FALSE)</f>
        <v>5480175</v>
      </c>
      <c r="AG371" s="102">
        <f>IF(AF370&lt;&gt;0,AF371/AF370,0)</f>
        <v>0.64482129724959558</v>
      </c>
      <c r="AH371" s="665" t="s">
        <v>180</v>
      </c>
      <c r="AM371" s="217"/>
      <c r="AO371" s="179">
        <f>SUMIF($D$5:$D$319,"=kas",AO5:AO319)*HLOOKUP(AT322,Verteil_sw,6,FALSE)+SUMIF($D$5:$D$319,"=kam",AO5:AO319)*HLOOKUP(AT322,Verteil_sw,7,FALSE)+SUMIF($D$5:$D$319,"=kar",AO5:AO319)*HLOOKUP(AT322,Verteil_sw,8,FALSE)+SUMIF($D$5:$D$319,"=kaz",AO5:AO319)*HLOOKUP(AT322,Verteil_sw,9,FALSE)</f>
        <v>0</v>
      </c>
      <c r="AQ371" s="179">
        <f>SUMIF($D$5:$D$319,"=kas",AQ5:AQ319)*HLOOKUP(AT322,Verteil_sw,6,FALSE)+SUMIF($D$5:$D$319,"=kam",AQ5:AQ319)*HLOOKUP(AT322,Verteil_sw,7,FALSE)+SUMIF($D$5:$D$319,"=kar",AQ5:AQ319)*HLOOKUP(AT322,Verteil_sw,8,FALSE)+SUMIF($D$5:$D$319,"=kaz",AQ5:AQ319)*HLOOKUP(AT322,Verteil_sw,9,FALSE)</f>
        <v>0</v>
      </c>
      <c r="AS371" s="102">
        <f t="shared" ref="AS371" si="2010">IF(AT370&lt;&gt;0,AT371/AT370,0)</f>
        <v>0.64575323140373331</v>
      </c>
      <c r="AT371" s="179">
        <f>ROUND(AV371*HLOOKUP(AT322,Grund_zins,2,FALSE),2)</f>
        <v>188358.63</v>
      </c>
      <c r="AU371" s="179">
        <f>SUMIF($D$5:$D$319,"=kas",AU5:AU319)*HLOOKUP(AT322,Verteil_sw,6,FALSE)+SUMIF($D$5:$D$319,"=kam",AU5:AU319)*HLOOKUP(AT322,Verteil_sw,7,FALSE)+SUMIF($D$5:$D$319,"=kar",AU5:AU319)*HLOOKUP(AT322,Verteil_sw,8,FALSE)+SUMIF($D$5:$D$319,"=kaz",AU5:AU319)*HLOOKUP(AT322,Verteil_sw,9,FALSE)</f>
        <v>197000</v>
      </c>
      <c r="AV371" s="179">
        <f t="shared" si="1957"/>
        <v>5381675</v>
      </c>
      <c r="AW371" s="179">
        <f>SUMIF($D$5:$D$319,"=kas",AW5:AW319)*HLOOKUP(AT322,Verteil_sw,6,FALSE)+SUMIF($D$5:$D$319,"=kam",AW5:AW319)*HLOOKUP(AT322,Verteil_sw,7,FALSE)+SUMIF($D$5:$D$319,"=kar",AW5:AW319)*HLOOKUP(AT322,Verteil_sw,8,FALSE)+SUMIF($D$5:$D$319,"=kaz",AW5:AW319)*HLOOKUP(AT322,Verteil_sw,9,FALSE)</f>
        <v>5283175</v>
      </c>
      <c r="AX371" s="102">
        <f t="shared" ref="AX371" si="2011">IF(AW370&lt;&gt;0,AW371/AW370,0)</f>
        <v>0.64672273125110935</v>
      </c>
      <c r="AY371" s="665" t="s">
        <v>180</v>
      </c>
      <c r="BD371" s="217"/>
      <c r="BF371" s="179">
        <f>SUMIF($D$5:$D$319,"=kas",BF5:BF319)*HLOOKUP(BK322,Verteil_sw,6,FALSE)+SUMIF($D$5:$D$319,"=kam",BF5:BF319)*HLOOKUP(BK322,Verteil_sw,7,FALSE)+SUMIF($D$5:$D$319,"=kar",BF5:BF319)*HLOOKUP(BK322,Verteil_sw,8,FALSE)+SUMIF($D$5:$D$319,"=kaz",BF5:BF319)*HLOOKUP(BK322,Verteil_sw,9,FALSE)</f>
        <v>0</v>
      </c>
      <c r="BH371" s="179">
        <f>SUMIF($D$5:$D$319,"=kas",BH5:BH319)*HLOOKUP(BK322,Verteil_sw,6,FALSE)+SUMIF($D$5:$D$319,"=kam",BH5:BH319)*HLOOKUP(BK322,Verteil_sw,7,FALSE)+SUMIF($D$5:$D$319,"=kar",BH5:BH319)*HLOOKUP(BK322,Verteil_sw,8,FALSE)+SUMIF($D$5:$D$319,"=kaz",BH5:BH319)*HLOOKUP(BK322,Verteil_sw,9,FALSE)</f>
        <v>0</v>
      </c>
      <c r="BJ371" s="102">
        <f t="shared" ref="BJ371" si="2012">IF(BK370&lt;&gt;0,BK371/BK370,0)</f>
        <v>0.64773218847965708</v>
      </c>
      <c r="BK371" s="179">
        <f>ROUND(BM371*HLOOKUP(BK322,Grund_zins,2,FALSE),2)</f>
        <v>181463.63</v>
      </c>
      <c r="BL371" s="179">
        <f>SUMIF($D$5:$D$319,"=kas",BL5:BL319)*HLOOKUP(BK322,Verteil_sw,6,FALSE)+SUMIF($D$5:$D$319,"=kam",BL5:BL319)*HLOOKUP(BK322,Verteil_sw,7,FALSE)+SUMIF($D$5:$D$319,"=kar",BL5:BL319)*HLOOKUP(BK322,Verteil_sw,8,FALSE)+SUMIF($D$5:$D$319,"=kaz",BL5:BL319)*HLOOKUP(BK322,Verteil_sw,9,FALSE)</f>
        <v>197000</v>
      </c>
      <c r="BM371" s="179">
        <f t="shared" si="1964"/>
        <v>5184675</v>
      </c>
      <c r="BN371" s="179">
        <f>SUMIF($D$5:$D$319,"=kas",BN5:BN319)*HLOOKUP(BK322,Verteil_sw,6,FALSE)+SUMIF($D$5:$D$319,"=kam",BN5:BN319)*HLOOKUP(BK322,Verteil_sw,7,FALSE)+SUMIF($D$5:$D$319,"=kar",BN5:BN319)*HLOOKUP(BK322,Verteil_sw,8,FALSE)+SUMIF($D$5:$D$319,"=kaz",BN5:BN319)*HLOOKUP(BK322,Verteil_sw,9,FALSE)</f>
        <v>5086175</v>
      </c>
      <c r="BO371" s="102">
        <f t="shared" ref="BO371" si="2013">IF(BN370&lt;&gt;0,BN371/BN370,0)</f>
        <v>0.64878405010491669</v>
      </c>
      <c r="BP371" s="665" t="s">
        <v>180</v>
      </c>
      <c r="BU371" s="217"/>
      <c r="BW371" s="179">
        <f>SUMIF($D$5:$D$319,"=kas",BW5:BW319)*HLOOKUP(CB322,Verteil_sw,6,FALSE)+SUMIF($D$5:$D$319,"=kam",BW5:BW319)*HLOOKUP(CB322,Verteil_sw,7,FALSE)+SUMIF($D$5:$D$319,"=kar",BW5:BW319)*HLOOKUP(CB322,Verteil_sw,8,FALSE)+SUMIF($D$5:$D$319,"=kaz",BW5:BW319)*HLOOKUP(CB322,Verteil_sw,9,FALSE)</f>
        <v>0</v>
      </c>
      <c r="BY371" s="179">
        <f>SUMIF($D$5:$D$319,"=kas",BY5:BY319)*HLOOKUP(CB322,Verteil_sw,6,FALSE)+SUMIF($D$5:$D$319,"=kam",BY5:BY319)*HLOOKUP(CB322,Verteil_sw,7,FALSE)+SUMIF($D$5:$D$319,"=kar",BY5:BY319)*HLOOKUP(CB322,Verteil_sw,8,FALSE)+SUMIF($D$5:$D$319,"=kaz",BY5:BY319)*HLOOKUP(CB322,Verteil_sw,9,FALSE)</f>
        <v>0</v>
      </c>
      <c r="CA371" s="102">
        <f t="shared" ref="CA371" si="2014">IF(CB370&lt;&gt;0,CB371/CB370,0)</f>
        <v>0.64988112223292527</v>
      </c>
      <c r="CB371" s="179">
        <f>ROUND(CD371*HLOOKUP(CB322,Grund_zins,2,FALSE),2)</f>
        <v>174568.63</v>
      </c>
      <c r="CC371" s="179">
        <f>SUMIF($D$5:$D$319,"=kas",CC5:CC319)*HLOOKUP(CB322,Verteil_sw,6,FALSE)+SUMIF($D$5:$D$319,"=kam",CC5:CC319)*HLOOKUP(CB322,Verteil_sw,7,FALSE)+SUMIF($D$5:$D$319,"=kar",CC5:CC319)*HLOOKUP(CB322,Verteil_sw,8,FALSE)+SUMIF($D$5:$D$319,"=kaz",CC5:CC319)*HLOOKUP(CB322,Verteil_sw,9,FALSE)</f>
        <v>197000</v>
      </c>
      <c r="CD371" s="179">
        <f t="shared" si="1971"/>
        <v>4987675</v>
      </c>
      <c r="CE371" s="179">
        <f>SUMIF($D$5:$D$319,"=kas",CE5:CE319)*HLOOKUP(CB322,Verteil_sw,6,FALSE)+SUMIF($D$5:$D$319,"=kam",CE5:CE319)*HLOOKUP(CB322,Verteil_sw,7,FALSE)+SUMIF($D$5:$D$319,"=kar",CE5:CE319)*HLOOKUP(CB322,Verteil_sw,8,FALSE)+SUMIF($D$5:$D$319,"=kaz",CE5:CE319)*HLOOKUP(CB322,Verteil_sw,9,FALSE)</f>
        <v>4889175</v>
      </c>
      <c r="CF371" s="102">
        <f t="shared" ref="CF371" si="2015">IF(CE370&lt;&gt;0,CE371/CE370,0)</f>
        <v>0.65102630510189818</v>
      </c>
      <c r="CG371" s="665" t="s">
        <v>180</v>
      </c>
      <c r="CL371" s="217"/>
      <c r="CN371" s="179">
        <f>SUMIF($D$5:$D$319,"=kas",CN5:CN319)*HLOOKUP(CS322,Verteil_sw,6,FALSE)+SUMIF($D$5:$D$319,"=kam",CN5:CN319)*HLOOKUP(CS322,Verteil_sw,7,FALSE)+SUMIF($D$5:$D$319,"=kar",CN5:CN319)*HLOOKUP(CS322,Verteil_sw,8,FALSE)+SUMIF($D$5:$D$319,"=kaz",CN5:CN319)*HLOOKUP(CS322,Verteil_sw,9,FALSE)</f>
        <v>0</v>
      </c>
      <c r="CP371" s="179">
        <f>SUMIF($D$5:$D$319,"=kas",CP5:CP319)*HLOOKUP(CS322,Verteil_sw,6,FALSE)+SUMIF($D$5:$D$319,"=kam",CP5:CP319)*HLOOKUP(CS322,Verteil_sw,7,FALSE)+SUMIF($D$5:$D$319,"=kar",CP5:CP319)*HLOOKUP(CS322,Verteil_sw,8,FALSE)+SUMIF($D$5:$D$319,"=kaz",CP5:CP319)*HLOOKUP(CS322,Verteil_sw,9,FALSE)</f>
        <v>0</v>
      </c>
      <c r="CR371" s="102">
        <f t="shared" ref="CR371" si="2016">IF(CS370&lt;&gt;0,CS371/CS370,0)</f>
        <v>0.65222291482912442</v>
      </c>
      <c r="CS371" s="179">
        <f>ROUND(CU371*HLOOKUP(CS322,Grund_zins,2,FALSE),2)</f>
        <v>167673.63</v>
      </c>
      <c r="CT371" s="179">
        <f>SUMIF($D$5:$D$319,"=kas",CT5:CT319)*HLOOKUP(CS322,Verteil_sw,6,FALSE)+SUMIF($D$5:$D$319,"=kam",CT5:CT319)*HLOOKUP(CS322,Verteil_sw,7,FALSE)+SUMIF($D$5:$D$319,"=kar",CT5:CT319)*HLOOKUP(CS322,Verteil_sw,8,FALSE)+SUMIF($D$5:$D$319,"=kaz",CT5:CT319)*HLOOKUP(CS322,Verteil_sw,9,FALSE)</f>
        <v>197000</v>
      </c>
      <c r="CU371" s="179">
        <f t="shared" si="1978"/>
        <v>4790675</v>
      </c>
      <c r="CV371" s="179">
        <f>SUMIF($D$5:$D$319,"=kas",CV5:CV319)*HLOOKUP(CS322,Verteil_sw,6,FALSE)+SUMIF($D$5:$D$319,"=kam",CV5:CV319)*HLOOKUP(CS322,Verteil_sw,7,FALSE)+SUMIF($D$5:$D$319,"=kar",CV5:CV319)*HLOOKUP(CS322,Verteil_sw,8,FALSE)+SUMIF($D$5:$D$319,"=kaz",CV5:CV319)*HLOOKUP(CS322,Verteil_sw,9,FALSE)</f>
        <v>4692175</v>
      </c>
      <c r="CW371" s="102">
        <f t="shared" ref="CW371" si="2017">IF(CV370&lt;&gt;0,CV371/CV370,0)</f>
        <v>0.65347441280717511</v>
      </c>
      <c r="CX371" s="665" t="s">
        <v>180</v>
      </c>
      <c r="DC371" s="217"/>
      <c r="DE371" s="179">
        <f>SUMIF($D$5:$D$319,"=kas",DE5:DE319)*HLOOKUP(DJ322,Verteil_sw,6,FALSE)+SUMIF($D$5:$D$319,"=kam",DE5:DE319)*HLOOKUP(DJ322,Verteil_sw,7,FALSE)+SUMIF($D$5:$D$319,"=kar",DE5:DE319)*HLOOKUP(DJ322,Verteil_sw,8,FALSE)+SUMIF($D$5:$D$319,"=kaz",DE5:DE319)*HLOOKUP(DJ322,Verteil_sw,9,FALSE)</f>
        <v>0</v>
      </c>
      <c r="DG371" s="179">
        <f>SUMIF($D$5:$D$319,"=kas",DG5:DG319)*HLOOKUP(DJ322,Verteil_sw,6,FALSE)+SUMIF($D$5:$D$319,"=kam",DG5:DG319)*HLOOKUP(DJ322,Verteil_sw,7,FALSE)+SUMIF($D$5:$D$319,"=kar",DG5:DG319)*HLOOKUP(DJ322,Verteil_sw,8,FALSE)+SUMIF($D$5:$D$319,"=kaz",DG5:DG319)*HLOOKUP(DJ322,Verteil_sw,9,FALSE)</f>
        <v>0</v>
      </c>
      <c r="DI371" s="102">
        <f t="shared" ref="DI371" si="2018">IF(DJ370&lt;&gt;0,DJ371/DJ370,0)</f>
        <v>0.65478472821090294</v>
      </c>
      <c r="DJ371" s="179">
        <f>ROUND(DL371*HLOOKUP(DJ322,Grund_zins,2,FALSE),2)</f>
        <v>137810.25</v>
      </c>
      <c r="DK371" s="179">
        <f>SUMIF($D$5:$D$319,"=kas",DK5:DK319)*HLOOKUP(DJ322,Verteil_sw,6,FALSE)+SUMIF($D$5:$D$319,"=kam",DK5:DK319)*HLOOKUP(DJ322,Verteil_sw,7,FALSE)+SUMIF($D$5:$D$319,"=kar",DK5:DK319)*HLOOKUP(DJ322,Verteil_sw,8,FALSE)+SUMIF($D$5:$D$319,"=kaz",DK5:DK319)*HLOOKUP(DJ322,Verteil_sw,9,FALSE)</f>
        <v>197000</v>
      </c>
      <c r="DL371" s="179">
        <f t="shared" si="1985"/>
        <v>4593675</v>
      </c>
      <c r="DM371" s="179">
        <f>SUMIF($D$5:$D$319,"=kas",DM5:DM319)*HLOOKUP(DJ322,Verteil_sw,6,FALSE)+SUMIF($D$5:$D$319,"=kam",DM5:DM319)*HLOOKUP(DJ322,Verteil_sw,7,FALSE)+SUMIF($D$5:$D$319,"=kar",DM5:DM319)*HLOOKUP(DJ322,Verteil_sw,8,FALSE)+SUMIF($D$5:$D$319,"=kaz",DM5:DM319)*HLOOKUP(DJ322,Verteil_sw,9,FALSE)</f>
        <v>4495175</v>
      </c>
      <c r="DN371" s="102">
        <f t="shared" ref="DN371" si="2019">IF(DM370&lt;&gt;0,DM371/DM370,0)</f>
        <v>0.65615808488121741</v>
      </c>
      <c r="DO371" s="665" t="s">
        <v>180</v>
      </c>
      <c r="DT371" s="217"/>
      <c r="DV371" s="179">
        <f>SUMIF($D$5:$D$319,"=kas",DV5:DV319)*HLOOKUP(EA322,Verteil_sw,6,FALSE)+SUMIF($D$5:$D$319,"=kam",DV5:DV319)*HLOOKUP(EA322,Verteil_sw,7,FALSE)+SUMIF($D$5:$D$319,"=kar",DV5:DV319)*HLOOKUP(EA322,Verteil_sw,8,FALSE)+SUMIF($D$5:$D$319,"=kaz",DV5:DV319)*HLOOKUP(EA322,Verteil_sw,9,FALSE)</f>
        <v>0</v>
      </c>
      <c r="DX371" s="179">
        <f>SUMIF($D$5:$D$319,"=kas",DX5:DX319)*HLOOKUP(EA322,Verteil_sw,6,FALSE)+SUMIF($D$5:$D$319,"=kam",DX5:DX319)*HLOOKUP(EA322,Verteil_sw,7,FALSE)+SUMIF($D$5:$D$319,"=kar",DX5:DX319)*HLOOKUP(EA322,Verteil_sw,8,FALSE)+SUMIF($D$5:$D$319,"=kaz",DX5:DX319)*HLOOKUP(EA322,Verteil_sw,9,FALSE)</f>
        <v>0</v>
      </c>
      <c r="DZ371" s="102">
        <f t="shared" ref="DZ371" si="2020">IF(EA370&lt;&gt;0,EA371/EA370,0)</f>
        <v>0.65759914447460721</v>
      </c>
      <c r="EA371" s="179">
        <f>ROUND(EC371*HLOOKUP(EA322,Grund_zins,2,FALSE),2)</f>
        <v>131900.25</v>
      </c>
      <c r="EB371" s="179">
        <f>SUMIF($D$5:$D$319,"=kas",EB5:EB319)*HLOOKUP(EA322,Verteil_sw,6,FALSE)+SUMIF($D$5:$D$319,"=kam",EB5:EB319)*HLOOKUP(EA322,Verteil_sw,7,FALSE)+SUMIF($D$5:$D$319,"=kar",EB5:EB319)*HLOOKUP(EA322,Verteil_sw,8,FALSE)+SUMIF($D$5:$D$319,"=kaz",EB5:EB319)*HLOOKUP(EA322,Verteil_sw,9,FALSE)</f>
        <v>197000</v>
      </c>
      <c r="EC371" s="179">
        <f t="shared" si="1992"/>
        <v>4396675</v>
      </c>
      <c r="ED371" s="179">
        <f>SUMIF($D$5:$D$319,"=kas",ED5:ED319)*HLOOKUP(EA322,Verteil_sw,6,FALSE)+SUMIF($D$5:$D$319,"=kam",ED5:ED319)*HLOOKUP(EA322,Verteil_sw,7,FALSE)+SUMIF($D$5:$D$319,"=kar",ED5:ED319)*HLOOKUP(EA322,Verteil_sw,8,FALSE)+SUMIF($D$5:$D$319,"=kaz",ED5:ED319)*HLOOKUP(EA322,Verteil_sw,9,FALSE)</f>
        <v>4298175</v>
      </c>
      <c r="EE371" s="102">
        <f t="shared" ref="EE371" si="2021">IF(ED370&lt;&gt;0,ED371/ED370,0)</f>
        <v>0.65911303987793568</v>
      </c>
      <c r="EF371" s="665" t="s">
        <v>180</v>
      </c>
      <c r="EK371" s="217"/>
      <c r="EM371" s="179">
        <f>SUMIF($D$5:$D$319,"=kas",EM5:EM319)*HLOOKUP(ER322,Verteil_sw,6,FALSE)+SUMIF($D$5:$D$319,"=kam",EM5:EM319)*HLOOKUP(ER322,Verteil_sw,7,FALSE)+SUMIF($D$5:$D$319,"=kar",EM5:EM319)*HLOOKUP(ER322,Verteil_sw,8,FALSE)+SUMIF($D$5:$D$319,"=kaz",EM5:EM319)*HLOOKUP(ER322,Verteil_sw,9,FALSE)</f>
        <v>0</v>
      </c>
      <c r="EO371" s="179">
        <f>SUMIF($D$5:$D$319,"=kas",EO5:EO319)*HLOOKUP(ER322,Verteil_sw,6,FALSE)+SUMIF($D$5:$D$319,"=kam",EO5:EO319)*HLOOKUP(ER322,Verteil_sw,7,FALSE)+SUMIF($D$5:$D$319,"=kar",EO5:EO319)*HLOOKUP(ER322,Verteil_sw,8,FALSE)+SUMIF($D$5:$D$319,"=kaz",EO5:EO319)*HLOOKUP(ER322,Verteil_sw,9,FALSE)</f>
        <v>0</v>
      </c>
      <c r="EQ371" s="102">
        <f t="shared" ref="EQ371" si="2022">IF(ER370&lt;&gt;0,ER371/ER370,0)</f>
        <v>0.66070543629598744</v>
      </c>
      <c r="ER371" s="179">
        <f>ROUND(ET371*HLOOKUP(ER322,Grund_zins,2,FALSE),2)</f>
        <v>125990.25</v>
      </c>
      <c r="ES371" s="179">
        <f>SUMIF($D$5:$D$319,"=kas",ES5:ES319)*HLOOKUP(ER322,Verteil_sw,6,FALSE)+SUMIF($D$5:$D$319,"=kam",ES5:ES319)*HLOOKUP(ER322,Verteil_sw,7,FALSE)+SUMIF($D$5:$D$319,"=kar",ES5:ES319)*HLOOKUP(ER322,Verteil_sw,8,FALSE)+SUMIF($D$5:$D$319,"=kaz",ES5:ES319)*HLOOKUP(ER322,Verteil_sw,9,FALSE)</f>
        <v>197000</v>
      </c>
      <c r="ET371" s="179">
        <f t="shared" si="1999"/>
        <v>4199675</v>
      </c>
      <c r="EU371" s="179">
        <f>SUMIF($D$5:$D$319,"=kas",EU5:EU319)*HLOOKUP(ER322,Verteil_sw,6,FALSE)+SUMIF($D$5:$D$319,"=kam",EU5:EU319)*HLOOKUP(ER322,Verteil_sw,7,FALSE)+SUMIF($D$5:$D$319,"=kar",EU5:EU319)*HLOOKUP(ER322,Verteil_sw,8,FALSE)+SUMIF($D$5:$D$319,"=kaz",EU5:EU319)*HLOOKUP(ER322,Verteil_sw,9,FALSE)</f>
        <v>4101175</v>
      </c>
      <c r="EV371" s="102">
        <f t="shared" ref="EV371" si="2023">IF(EU370&lt;&gt;0,EU371/EU370,0)</f>
        <v>0.6623826020947905</v>
      </c>
      <c r="EW371" s="665" t="s">
        <v>180</v>
      </c>
      <c r="FB371" s="217"/>
      <c r="FD371" s="179">
        <f>SUMIF($D$5:$D$319,"=kas",FD5:FD319)*HLOOKUP(FI322,Verteil_sw,6,FALSE)+SUMIF($D$5:$D$319,"=kam",FD5:FD319)*HLOOKUP(FI322,Verteil_sw,7,FALSE)+SUMIF($D$5:$D$319,"=kar",FD5:FD319)*HLOOKUP(FI322,Verteil_sw,8,FALSE)+SUMIF($D$5:$D$319,"=kaz",FD5:FD319)*HLOOKUP(FI322,Verteil_sw,9,FALSE)</f>
        <v>0</v>
      </c>
      <c r="FF371" s="179">
        <f>SUMIF($D$5:$D$319,"=kas",FF5:FF319)*HLOOKUP(FI322,Verteil_sw,6,FALSE)+SUMIF($D$5:$D$319,"=kam",FF5:FF319)*HLOOKUP(FI322,Verteil_sw,7,FALSE)+SUMIF($D$5:$D$319,"=kar",FF5:FF319)*HLOOKUP(FI322,Verteil_sw,8,FALSE)+SUMIF($D$5:$D$319,"=kaz",FF5:FF319)*HLOOKUP(FI322,Verteil_sw,9,FALSE)</f>
        <v>0</v>
      </c>
      <c r="FH371" s="102">
        <f t="shared" ref="FH371" si="2024">IF(FI370&lt;&gt;0,FI371/FI370,0)</f>
        <v>0.66351055375355528</v>
      </c>
      <c r="FI371" s="179">
        <f>ROUND(FK371*HLOOKUP(FI322,Grund_zins,2,FALSE),2)</f>
        <v>120434.63</v>
      </c>
      <c r="FJ371" s="179">
        <f>SUMIF($D$5:$D$319,"=kas",FJ5:FJ319)*HLOOKUP(FI322,Verteil_sw,6,FALSE)+SUMIF($D$5:$D$319,"=kam",FJ5:FJ319)*HLOOKUP(FI322,Verteil_sw,7,FALSE)+SUMIF($D$5:$D$319,"=kar",FJ5:FJ319)*HLOOKUP(FI322,Verteil_sw,8,FALSE)+SUMIF($D$5:$D$319,"=kaz",FJ5:FJ319)*HLOOKUP(FI322,Verteil_sw,9,FALSE)</f>
        <v>173375</v>
      </c>
      <c r="FK371" s="179">
        <f t="shared" si="2006"/>
        <v>4014487.5</v>
      </c>
      <c r="FL371" s="179">
        <f>SUMIF($D$5:$D$319,"=kas",FL5:FL319)*HLOOKUP(FI322,Verteil_sw,6,FALSE)+SUMIF($D$5:$D$319,"=kam",FL5:FL319)*HLOOKUP(FI322,Verteil_sw,7,FALSE)+SUMIF($D$5:$D$319,"=kar",FL5:FL319)*HLOOKUP(FI322,Verteil_sw,8,FALSE)+SUMIF($D$5:$D$319,"=kaz",FL5:FL319)*HLOOKUP(FI322,Verteil_sw,9,FALSE)</f>
        <v>3927800</v>
      </c>
      <c r="FM371" s="102">
        <f t="shared" ref="FM371" si="2025">IF(FL370&lt;&gt;0,FL371/FL370,0)</f>
        <v>0.66469234414133893</v>
      </c>
      <c r="FN371" s="665" t="s">
        <v>180</v>
      </c>
      <c r="FS371" s="217"/>
    </row>
    <row r="372" spans="1:175" s="10" customFormat="1" ht="15" hidden="1" customHeight="1" x14ac:dyDescent="0.3">
      <c r="A372" s="665" t="s">
        <v>193</v>
      </c>
      <c r="V372" s="217">
        <v>51</v>
      </c>
      <c r="X372" s="179">
        <f>SUMIF($D$5:$D$319,"=kas",X5:X319)*HLOOKUP(AC322,Verteil_rwgr,5,FALSE)+SUMIF($D$5:$D$319,"=kam",X5:X319)*HLOOKUP(AC322,Verteil_rwgr,6,FALSE)+SUMIF($D$5:$D$319,"=kar",X5:X319)*HLOOKUP(AC322,Verteil_rwgr,7,FALSE)+SUMIF($D$5:$D$319,"=kaz",X5:X319)*HLOOKUP(AC322,Verteil_rwgr,8,FALSE)</f>
        <v>0</v>
      </c>
      <c r="Z372" s="179">
        <f>SUMIF($D$5:$D$319,"=kas",Z5:Z319)*HLOOKUP(AC322,Verteil_rwgr,5,FALSE)+SUMIF($D$5:$D$319,"=kam",Z5:Z319)*HLOOKUP(AC322,Verteil_rwgr,6,FALSE)+SUMIF($D$5:$D$319,"=kar",Z5:Z319)*HLOOKUP(AC322,Verteil_rwgr,7,FALSE)+SUMIF($D$5:$D$319,"=kaz",Z5:Z319)*HLOOKUP(AC322,Verteil_rwgr,8,FALSE)</f>
        <v>0</v>
      </c>
      <c r="AB372" s="102">
        <f>IF(AC370&lt;&gt;0,AC372/AC370,0)</f>
        <v>0.17803757450137975</v>
      </c>
      <c r="AC372" s="179">
        <f>ROUND(AE372*HLOOKUP(AC322,Grund_zins,2,FALSE),2)</f>
        <v>53985.31</v>
      </c>
      <c r="AD372" s="179">
        <f>SUMIF($D$5:$D$319,"=kas",AD5:AD319)*HLOOKUP(AC322,Verteil_rwgr,5,FALSE)+SUMIF($D$5:$D$319,"=kam",AD5:AD319)*HLOOKUP(AC322,Verteil_rwgr,6,FALSE)+SUMIF($D$5:$D$319,"=kar",AD5:AD319)*HLOOKUP(AC322,Verteil_rwgr,7,FALSE)+SUMIF($D$5:$D$319,"=kaz",AD5:AD319)*HLOOKUP(AC322,Verteil_rwgr,8,FALSE)</f>
        <v>66300</v>
      </c>
      <c r="AE372" s="179">
        <f t="shared" si="2009"/>
        <v>1542437.5</v>
      </c>
      <c r="AF372" s="179">
        <f>SUMIF($D$5:$D$319,"=kas",AF5:AF319)*HLOOKUP(AC322,Verteil_rwgr,5,FALSE)+SUMIF($D$5:$D$319,"=kam",AF5:AF319)*HLOOKUP(AC322,Verteil_rwgr,6,FALSE)+SUMIF($D$5:$D$319,"=kar",AF5:AF319)*HLOOKUP(AC322,Verteil_rwgr,7,FALSE)+SUMIF($D$5:$D$319,"=kaz",AF5:AF319)*HLOOKUP(AC322,Verteil_rwgr,8,FALSE)</f>
        <v>1509287.5</v>
      </c>
      <c r="AG372" s="102">
        <f>IF(AF370&lt;&gt;0,AF372/AF370,0)</f>
        <v>0.17758935137520224</v>
      </c>
      <c r="AH372" s="665" t="s">
        <v>193</v>
      </c>
      <c r="AM372" s="217"/>
      <c r="AO372" s="179">
        <f>SUMIF($D$5:$D$319,"=kas",AO5:AO319)*HLOOKUP(AT322,Verteil_rwgr,5,FALSE)+SUMIF($D$5:$D$319,"=kam",AO5:AO319)*HLOOKUP(AT322,Verteil_rwgr,6,FALSE)+SUMIF($D$5:$D$319,"=kar",AO5:AO319)*HLOOKUP(AT322,Verteil_rwgr,7,FALSE)+SUMIF($D$5:$D$319,"=kaz",AO5:AO319)*HLOOKUP(AT322,Verteil_rwgr,8,FALSE)</f>
        <v>0</v>
      </c>
      <c r="AQ372" s="179">
        <f>SUMIF($D$5:$D$319,"=kas",AQ5:AQ319)*HLOOKUP(AT322,Verteil_rwgr,5,FALSE)+SUMIF($D$5:$D$319,"=kam",AQ5:AQ319)*HLOOKUP(AT322,Verteil_rwgr,6,FALSE)+SUMIF($D$5:$D$319,"=kar",AQ5:AQ319)*HLOOKUP(AT322,Verteil_rwgr,7,FALSE)+SUMIF($D$5:$D$319,"=kaz",AQ5:AQ319)*HLOOKUP(AT322,Verteil_rwgr,8,FALSE)</f>
        <v>0</v>
      </c>
      <c r="AS372" s="102">
        <f t="shared" ref="AS372" si="2026">IF(AT370&lt;&gt;0,AT372/AT370,0)</f>
        <v>0.17712338429813335</v>
      </c>
      <c r="AT372" s="179">
        <f>ROUND(AV372*HLOOKUP(AT322,Grund_zins,2,FALSE),2)</f>
        <v>51664.81</v>
      </c>
      <c r="AU372" s="179">
        <f>SUMIF($D$5:$D$319,"=kas",AU5:AU319)*HLOOKUP(AT322,Verteil_rwgr,5,FALSE)+SUMIF($D$5:$D$319,"=kam",AU5:AU319)*HLOOKUP(AT322,Verteil_rwgr,6,FALSE)+SUMIF($D$5:$D$319,"=kar",AU5:AU319)*HLOOKUP(AT322,Verteil_rwgr,7,FALSE)+SUMIF($D$5:$D$319,"=kaz",AU5:AU319)*HLOOKUP(AT322,Verteil_rwgr,8,FALSE)</f>
        <v>66300</v>
      </c>
      <c r="AV372" s="179">
        <f t="shared" si="1957"/>
        <v>1476137.5</v>
      </c>
      <c r="AW372" s="179">
        <f>SUMIF($D$5:$D$319,"=kas",AW5:AW319)*HLOOKUP(AT322,Verteil_rwgr,5,FALSE)+SUMIF($D$5:$D$319,"=kam",AW5:AW319)*HLOOKUP(AT322,Verteil_rwgr,6,FALSE)+SUMIF($D$5:$D$319,"=kar",AW5:AW319)*HLOOKUP(AT322,Verteil_rwgr,7,FALSE)+SUMIF($D$5:$D$319,"=kaz",AW5:AW319)*HLOOKUP(AT322,Verteil_rwgr,8,FALSE)</f>
        <v>1442987.5</v>
      </c>
      <c r="AX372" s="102">
        <f t="shared" ref="AX372" si="2027">IF(AW370&lt;&gt;0,AW372/AW370,0)</f>
        <v>0.17663863437444532</v>
      </c>
      <c r="AY372" s="665" t="s">
        <v>193</v>
      </c>
      <c r="BD372" s="217"/>
      <c r="BF372" s="179">
        <f>SUMIF($D$5:$D$319,"=kas",BF5:BF319)*HLOOKUP(BK322,Verteil_rwgr,5,FALSE)+SUMIF($D$5:$D$319,"=kam",BF5:BF319)*HLOOKUP(BK322,Verteil_rwgr,6,FALSE)+SUMIF($D$5:$D$319,"=kar",BF5:BF319)*HLOOKUP(BK322,Verteil_rwgr,7,FALSE)+SUMIF($D$5:$D$319,"=kaz",BF5:BF319)*HLOOKUP(BK322,Verteil_rwgr,8,FALSE)</f>
        <v>0</v>
      </c>
      <c r="BH372" s="179">
        <f>SUMIF($D$5:$D$319,"=kas",BH5:BH319)*HLOOKUP(BK322,Verteil_rwgr,5,FALSE)+SUMIF($D$5:$D$319,"=kam",BH5:BH319)*HLOOKUP(BK322,Verteil_rwgr,6,FALSE)+SUMIF($D$5:$D$319,"=kar",BH5:BH319)*HLOOKUP(BK322,Verteil_rwgr,7,FALSE)+SUMIF($D$5:$D$319,"=kaz",BH5:BH319)*HLOOKUP(BK322,Verteil_rwgr,8,FALSE)</f>
        <v>0</v>
      </c>
      <c r="BJ372" s="102">
        <f t="shared" ref="BJ372" si="2028">IF(BK370&lt;&gt;0,BK372/BK370,0)</f>
        <v>0.17613390576017146</v>
      </c>
      <c r="BK372" s="179">
        <f>ROUND(BM372*HLOOKUP(BK322,Grund_zins,2,FALSE),2)</f>
        <v>49344.31</v>
      </c>
      <c r="BL372" s="179">
        <f>SUMIF($D$5:$D$319,"=kas",BL5:BL319)*HLOOKUP(BK322,Verteil_rwgr,5,FALSE)+SUMIF($D$5:$D$319,"=kam",BL5:BL319)*HLOOKUP(BK322,Verteil_rwgr,6,FALSE)+SUMIF($D$5:$D$319,"=kar",BL5:BL319)*HLOOKUP(BK322,Verteil_rwgr,7,FALSE)+SUMIF($D$5:$D$319,"=kaz",BL5:BL319)*HLOOKUP(BK322,Verteil_rwgr,8,FALSE)</f>
        <v>66300</v>
      </c>
      <c r="BM372" s="179">
        <f t="shared" si="1964"/>
        <v>1409837.5</v>
      </c>
      <c r="BN372" s="179">
        <f>SUMIF($D$5:$D$319,"=kas",BN5:BN319)*HLOOKUP(BK322,Verteil_rwgr,5,FALSE)+SUMIF($D$5:$D$319,"=kam",BN5:BN319)*HLOOKUP(BK322,Verteil_rwgr,6,FALSE)+SUMIF($D$5:$D$319,"=kar",BN5:BN319)*HLOOKUP(BK322,Verteil_rwgr,7,FALSE)+SUMIF($D$5:$D$319,"=kaz",BN5:BN319)*HLOOKUP(BK322,Verteil_rwgr,8,FALSE)</f>
        <v>1376687.5</v>
      </c>
      <c r="BO372" s="102">
        <f t="shared" ref="BO372" si="2029">IF(BN370&lt;&gt;0,BN372/BN370,0)</f>
        <v>0.17560797494754163</v>
      </c>
      <c r="BP372" s="665" t="s">
        <v>193</v>
      </c>
      <c r="BU372" s="217"/>
      <c r="BW372" s="179">
        <f>SUMIF($D$5:$D$319,"=kas",BW5:BW319)*HLOOKUP(CB322,Verteil_rwgr,5,FALSE)+SUMIF($D$5:$D$319,"=kam",BW5:BW319)*HLOOKUP(CB322,Verteil_rwgr,6,FALSE)+SUMIF($D$5:$D$319,"=kar",BW5:BW319)*HLOOKUP(CB322,Verteil_rwgr,7,FALSE)+SUMIF($D$5:$D$319,"=kaz",BW5:BW319)*HLOOKUP(CB322,Verteil_rwgr,8,FALSE)</f>
        <v>0</v>
      </c>
      <c r="BY372" s="179">
        <f>SUMIF($D$5:$D$319,"=kas",BY5:BY319)*HLOOKUP(CB322,Verteil_rwgr,5,FALSE)+SUMIF($D$5:$D$319,"=kam",BY5:BY319)*HLOOKUP(CB322,Verteil_rwgr,6,FALSE)+SUMIF($D$5:$D$319,"=kar",BY5:BY319)*HLOOKUP(CB322,Verteil_rwgr,7,FALSE)+SUMIF($D$5:$D$319,"=kaz",BY5:BY319)*HLOOKUP(CB322,Verteil_rwgr,8,FALSE)</f>
        <v>0</v>
      </c>
      <c r="CA372" s="102">
        <f t="shared" ref="CA372" si="2030">IF(CB370&lt;&gt;0,CB372/CB370,0)</f>
        <v>0.17505943888353737</v>
      </c>
      <c r="CB372" s="179">
        <f>ROUND(CD372*HLOOKUP(CB322,Grund_zins,2,FALSE),2)</f>
        <v>47023.81</v>
      </c>
      <c r="CC372" s="179">
        <f>SUMIF($D$5:$D$319,"=kas",CC5:CC319)*HLOOKUP(CB322,Verteil_rwgr,5,FALSE)+SUMIF($D$5:$D$319,"=kam",CC5:CC319)*HLOOKUP(CB322,Verteil_rwgr,6,FALSE)+SUMIF($D$5:$D$319,"=kar",CC5:CC319)*HLOOKUP(CB322,Verteil_rwgr,7,FALSE)+SUMIF($D$5:$D$319,"=kaz",CC5:CC319)*HLOOKUP(CB322,Verteil_rwgr,8,FALSE)</f>
        <v>66300</v>
      </c>
      <c r="CD372" s="179">
        <f t="shared" si="1971"/>
        <v>1343537.5</v>
      </c>
      <c r="CE372" s="179">
        <f>SUMIF($D$5:$D$319,"=kas",CE5:CE319)*HLOOKUP(CB322,Verteil_rwgr,5,FALSE)+SUMIF($D$5:$D$319,"=kam",CE5:CE319)*HLOOKUP(CB322,Verteil_rwgr,6,FALSE)+SUMIF($D$5:$D$319,"=kar",CE5:CE319)*HLOOKUP(CB322,Verteil_rwgr,7,FALSE)+SUMIF($D$5:$D$319,"=kaz",CE5:CE319)*HLOOKUP(CB322,Verteil_rwgr,8,FALSE)</f>
        <v>1310387.5</v>
      </c>
      <c r="CF372" s="102">
        <f t="shared" ref="CF372" si="2031">IF(CE370&lt;&gt;0,CE372/CE370,0)</f>
        <v>0.17448684744905094</v>
      </c>
      <c r="CG372" s="665" t="s">
        <v>193</v>
      </c>
      <c r="CL372" s="217"/>
      <c r="CN372" s="179">
        <f>SUMIF($D$5:$D$319,"=kas",CN5:CN319)*HLOOKUP(CS322,Verteil_rwgr,5,FALSE)+SUMIF($D$5:$D$319,"=kam",CN5:CN319)*HLOOKUP(CS322,Verteil_rwgr,6,FALSE)+SUMIF($D$5:$D$319,"=kar",CN5:CN319)*HLOOKUP(CS322,Verteil_rwgr,7,FALSE)+SUMIF($D$5:$D$319,"=kaz",CN5:CN319)*HLOOKUP(CS322,Verteil_rwgr,8,FALSE)</f>
        <v>0</v>
      </c>
      <c r="CP372" s="179">
        <f>SUMIF($D$5:$D$319,"=kas",CP5:CP319)*HLOOKUP(CS322,Verteil_rwgr,5,FALSE)+SUMIF($D$5:$D$319,"=kam",CP5:CP319)*HLOOKUP(CS322,Verteil_rwgr,6,FALSE)+SUMIF($D$5:$D$319,"=kar",CP5:CP319)*HLOOKUP(CS322,Verteil_rwgr,7,FALSE)+SUMIF($D$5:$D$319,"=kaz",CP5:CP319)*HLOOKUP(CS322,Verteil_rwgr,8,FALSE)</f>
        <v>0</v>
      </c>
      <c r="CR372" s="102">
        <f t="shared" ref="CR372" si="2032">IF(CS370&lt;&gt;0,CS372/CS370,0)</f>
        <v>0.17388854258543782</v>
      </c>
      <c r="CS372" s="179">
        <f>ROUND(CU372*HLOOKUP(CS322,Grund_zins,2,FALSE),2)</f>
        <v>44703.31</v>
      </c>
      <c r="CT372" s="179">
        <f>SUMIF($D$5:$D$319,"=kas",CT5:CT319)*HLOOKUP(CS322,Verteil_rwgr,5,FALSE)+SUMIF($D$5:$D$319,"=kam",CT5:CT319)*HLOOKUP(CS322,Verteil_rwgr,6,FALSE)+SUMIF($D$5:$D$319,"=kar",CT5:CT319)*HLOOKUP(CS322,Verteil_rwgr,7,FALSE)+SUMIF($D$5:$D$319,"=kaz",CT5:CT319)*HLOOKUP(CS322,Verteil_rwgr,8,FALSE)</f>
        <v>66300</v>
      </c>
      <c r="CU372" s="179">
        <f t="shared" si="1978"/>
        <v>1277237.5</v>
      </c>
      <c r="CV372" s="179">
        <f>SUMIF($D$5:$D$319,"=kas",CV5:CV319)*HLOOKUP(CS322,Verteil_rwgr,5,FALSE)+SUMIF($D$5:$D$319,"=kam",CV5:CV319)*HLOOKUP(CS322,Verteil_rwgr,6,FALSE)+SUMIF($D$5:$D$319,"=kar",CV5:CV319)*HLOOKUP(CS322,Verteil_rwgr,7,FALSE)+SUMIF($D$5:$D$319,"=kaz",CV5:CV319)*HLOOKUP(CS322,Verteil_rwgr,8,FALSE)</f>
        <v>1244087.5</v>
      </c>
      <c r="CW372" s="102">
        <f t="shared" ref="CW372" si="2033">IF(CV370&lt;&gt;0,CV372/CV370,0)</f>
        <v>0.17326279359641242</v>
      </c>
      <c r="CX372" s="665" t="s">
        <v>193</v>
      </c>
      <c r="DC372" s="217"/>
      <c r="DE372" s="179">
        <f>SUMIF($D$5:$D$319,"=kas",DE5:DE319)*HLOOKUP(DJ322,Verteil_rwgr,5,FALSE)+SUMIF($D$5:$D$319,"=kam",DE5:DE319)*HLOOKUP(DJ322,Verteil_rwgr,6,FALSE)+SUMIF($D$5:$D$319,"=kar",DE5:DE319)*HLOOKUP(DJ322,Verteil_rwgr,7,FALSE)+SUMIF($D$5:$D$319,"=kaz",DE5:DE319)*HLOOKUP(DJ322,Verteil_rwgr,8,FALSE)</f>
        <v>0</v>
      </c>
      <c r="DG372" s="179">
        <f>SUMIF($D$5:$D$319,"=kas",DG5:DG319)*HLOOKUP(DJ322,Verteil_rwgr,5,FALSE)+SUMIF($D$5:$D$319,"=kam",DG5:DG319)*HLOOKUP(DJ322,Verteil_rwgr,6,FALSE)+SUMIF($D$5:$D$319,"=kar",DG5:DG319)*HLOOKUP(DJ322,Verteil_rwgr,7,FALSE)+SUMIF($D$5:$D$319,"=kaz",DG5:DG319)*HLOOKUP(DJ322,Verteil_rwgr,8,FALSE)</f>
        <v>0</v>
      </c>
      <c r="DI372" s="102">
        <f t="shared" ref="DI372" si="2034">IF(DJ370&lt;&gt;0,DJ372/DJ370,0)</f>
        <v>0.1726076596512984</v>
      </c>
      <c r="DJ372" s="179">
        <f>ROUND(DL372*HLOOKUP(DJ322,Grund_zins,2,FALSE),2)</f>
        <v>36328.129999999997</v>
      </c>
      <c r="DK372" s="179">
        <f>SUMIF($D$5:$D$319,"=kas",DK5:DK319)*HLOOKUP(DJ322,Verteil_rwgr,5,FALSE)+SUMIF($D$5:$D$319,"=kam",DK5:DK319)*HLOOKUP(DJ322,Verteil_rwgr,6,FALSE)+SUMIF($D$5:$D$319,"=kar",DK5:DK319)*HLOOKUP(DJ322,Verteil_rwgr,7,FALSE)+SUMIF($D$5:$D$319,"=kaz",DK5:DK319)*HLOOKUP(DJ322,Verteil_rwgr,8,FALSE)</f>
        <v>66300</v>
      </c>
      <c r="DL372" s="179">
        <f t="shared" si="1985"/>
        <v>1210937.5</v>
      </c>
      <c r="DM372" s="179">
        <f>SUMIF($D$5:$D$319,"=kas",DM5:DM319)*HLOOKUP(DJ322,Verteil_rwgr,5,FALSE)+SUMIF($D$5:$D$319,"=kam",DM5:DM319)*HLOOKUP(DJ322,Verteil_rwgr,6,FALSE)+SUMIF($D$5:$D$319,"=kar",DM5:DM319)*HLOOKUP(DJ322,Verteil_rwgr,7,FALSE)+SUMIF($D$5:$D$319,"=kaz",DM5:DM319)*HLOOKUP(DJ322,Verteil_rwgr,8,FALSE)</f>
        <v>1177787.5</v>
      </c>
      <c r="DN372" s="102">
        <f t="shared" ref="DN372" si="2035">IF(DM370&lt;&gt;0,DM372/DM370,0)</f>
        <v>0.1719209575593913</v>
      </c>
      <c r="DO372" s="665" t="s">
        <v>193</v>
      </c>
      <c r="DT372" s="217"/>
      <c r="DV372" s="179">
        <f>SUMIF($D$5:$D$319,"=kas",DV5:DV319)*HLOOKUP(EA322,Verteil_rwgr,5,FALSE)+SUMIF($D$5:$D$319,"=kam",DV5:DV319)*HLOOKUP(EA322,Verteil_rwgr,6,FALSE)+SUMIF($D$5:$D$319,"=kar",DV5:DV319)*HLOOKUP(EA322,Verteil_rwgr,7,FALSE)+SUMIF($D$5:$D$319,"=kaz",DV5:DV319)*HLOOKUP(EA322,Verteil_rwgr,8,FALSE)</f>
        <v>0</v>
      </c>
      <c r="DX372" s="179">
        <f>SUMIF($D$5:$D$319,"=kas",DX5:DX319)*HLOOKUP(EA322,Verteil_rwgr,5,FALSE)+SUMIF($D$5:$D$319,"=kam",DX5:DX319)*HLOOKUP(EA322,Verteil_rwgr,6,FALSE)+SUMIF($D$5:$D$319,"=kar",DX5:DX319)*HLOOKUP(EA322,Verteil_rwgr,7,FALSE)+SUMIF($D$5:$D$319,"=kaz",DX5:DX319)*HLOOKUP(EA322,Verteil_rwgr,8,FALSE)</f>
        <v>0</v>
      </c>
      <c r="DZ372" s="102">
        <f t="shared" ref="DZ372" si="2036">IF(EA370&lt;&gt;0,EA372/EA370,0)</f>
        <v>0.17120045269059245</v>
      </c>
      <c r="EA372" s="179">
        <f>ROUND(EC372*HLOOKUP(EA322,Grund_zins,2,FALSE),2)</f>
        <v>34339.129999999997</v>
      </c>
      <c r="EB372" s="179">
        <f>SUMIF($D$5:$D$319,"=kas",EB5:EB319)*HLOOKUP(EA322,Verteil_rwgr,5,FALSE)+SUMIF($D$5:$D$319,"=kam",EB5:EB319)*HLOOKUP(EA322,Verteil_rwgr,6,FALSE)+SUMIF($D$5:$D$319,"=kar",EB5:EB319)*HLOOKUP(EA322,Verteil_rwgr,7,FALSE)+SUMIF($D$5:$D$319,"=kaz",EB5:EB319)*HLOOKUP(EA322,Verteil_rwgr,8,FALSE)</f>
        <v>66300</v>
      </c>
      <c r="EC372" s="179">
        <f t="shared" si="1992"/>
        <v>1144637.5</v>
      </c>
      <c r="ED372" s="179">
        <f>SUMIF($D$5:$D$319,"=kas",ED5:ED319)*HLOOKUP(EA322,Verteil_rwgr,5,FALSE)+SUMIF($D$5:$D$319,"=kam",ED5:ED319)*HLOOKUP(EA322,Verteil_rwgr,6,FALSE)+SUMIF($D$5:$D$319,"=kar",ED5:ED319)*HLOOKUP(EA322,Verteil_rwgr,7,FALSE)+SUMIF($D$5:$D$319,"=kaz",ED5:ED319)*HLOOKUP(EA322,Verteil_rwgr,8,FALSE)</f>
        <v>1111487.5</v>
      </c>
      <c r="EE372" s="102">
        <f t="shared" ref="EE372" si="2037">IF(ED370&lt;&gt;0,ED372/ED370,0)</f>
        <v>0.17044348006103219</v>
      </c>
      <c r="EF372" s="665" t="s">
        <v>193</v>
      </c>
      <c r="EK372" s="217"/>
      <c r="EM372" s="179">
        <f>SUMIF($D$5:$D$319,"=kas",EM5:EM319)*HLOOKUP(ER322,Verteil_rwgr,5,FALSE)+SUMIF($D$5:$D$319,"=kam",EM5:EM319)*HLOOKUP(ER322,Verteil_rwgr,6,FALSE)+SUMIF($D$5:$D$319,"=kar",EM5:EM319)*HLOOKUP(ER322,Verteil_rwgr,7,FALSE)+SUMIF($D$5:$D$319,"=kaz",EM5:EM319)*HLOOKUP(ER322,Verteil_rwgr,8,FALSE)</f>
        <v>0</v>
      </c>
      <c r="EO372" s="179">
        <f>SUMIF($D$5:$D$319,"=kas",EO5:EO319)*HLOOKUP(ER322,Verteil_rwgr,5,FALSE)+SUMIF($D$5:$D$319,"=kam",EO5:EO319)*HLOOKUP(ER322,Verteil_rwgr,6,FALSE)+SUMIF($D$5:$D$319,"=kar",EO5:EO319)*HLOOKUP(ER322,Verteil_rwgr,7,FALSE)+SUMIF($D$5:$D$319,"=kaz",EO5:EO319)*HLOOKUP(ER322,Verteil_rwgr,8,FALSE)</f>
        <v>0</v>
      </c>
      <c r="EQ372" s="102">
        <f t="shared" ref="EQ372" si="2038">IF(ER370&lt;&gt;0,ER372/ER370,0)</f>
        <v>0.16964730807250492</v>
      </c>
      <c r="ER372" s="179">
        <f>ROUND(ET372*HLOOKUP(ER322,Grund_zins,2,FALSE),2)</f>
        <v>32350.13</v>
      </c>
      <c r="ES372" s="179">
        <f>SUMIF($D$5:$D$319,"=kas",ES5:ES319)*HLOOKUP(ER322,Verteil_rwgr,5,FALSE)+SUMIF($D$5:$D$319,"=kam",ES5:ES319)*HLOOKUP(ER322,Verteil_rwgr,6,FALSE)+SUMIF($D$5:$D$319,"=kar",ES5:ES319)*HLOOKUP(ER322,Verteil_rwgr,7,FALSE)+SUMIF($D$5:$D$319,"=kaz",ES5:ES319)*HLOOKUP(ER322,Verteil_rwgr,8,FALSE)</f>
        <v>66300</v>
      </c>
      <c r="ET372" s="179">
        <f t="shared" si="1999"/>
        <v>1078337.5</v>
      </c>
      <c r="EU372" s="179">
        <f>SUMIF($D$5:$D$319,"=kas",EU5:EU319)*HLOOKUP(ER322,Verteil_rwgr,5,FALSE)+SUMIF($D$5:$D$319,"=kam",EU5:EU319)*HLOOKUP(ER322,Verteil_rwgr,6,FALSE)+SUMIF($D$5:$D$319,"=kar",EU5:EU319)*HLOOKUP(ER322,Verteil_rwgr,7,FALSE)+SUMIF($D$5:$D$319,"=kaz",EU5:EU319)*HLOOKUP(ER322,Verteil_rwgr,8,FALSE)</f>
        <v>1045187.5</v>
      </c>
      <c r="EV372" s="102">
        <f t="shared" ref="EV372" si="2039">IF(EU370&lt;&gt;0,EU372/EU370,0)</f>
        <v>0.16880869895260475</v>
      </c>
      <c r="EW372" s="665" t="s">
        <v>193</v>
      </c>
      <c r="FB372" s="217"/>
      <c r="FD372" s="179">
        <f>SUMIF($D$5:$D$319,"=kas",FD5:FD319)*HLOOKUP(FI322,Verteil_rwgr,5,FALSE)+SUMIF($D$5:$D$319,"=kam",FD5:FD319)*HLOOKUP(FI322,Verteil_rwgr,6,FALSE)+SUMIF($D$5:$D$319,"=kar",FD5:FD319)*HLOOKUP(FI322,Verteil_rwgr,7,FALSE)+SUMIF($D$5:$D$319,"=kaz",FD5:FD319)*HLOOKUP(FI322,Verteil_rwgr,8,FALSE)</f>
        <v>0</v>
      </c>
      <c r="FF372" s="179">
        <f>SUMIF($D$5:$D$319,"=kas",FF5:FF319)*HLOOKUP(FI322,Verteil_rwgr,5,FALSE)+SUMIF($D$5:$D$319,"=kam",FF5:FF319)*HLOOKUP(FI322,Verteil_rwgr,6,FALSE)+SUMIF($D$5:$D$319,"=kar",FF5:FF319)*HLOOKUP(FI322,Verteil_rwgr,7,FALSE)+SUMIF($D$5:$D$319,"=kaz",FF5:FF319)*HLOOKUP(FI322,Verteil_rwgr,8,FALSE)</f>
        <v>0</v>
      </c>
      <c r="FH372" s="102">
        <f t="shared" ref="FH372" si="2040">IF(FI370&lt;&gt;0,FI372/FI370,0)</f>
        <v>0.16824472312322239</v>
      </c>
      <c r="FI372" s="179">
        <f>ROUND(FK372*HLOOKUP(FI322,Grund_zins,2,FALSE),2)</f>
        <v>30538.31</v>
      </c>
      <c r="FJ372" s="179">
        <f>SUMIF($D$5:$D$319,"=kas",FJ5:FJ319)*HLOOKUP(FI322,Verteil_rwgr,5,FALSE)+SUMIF($D$5:$D$319,"=kam",FJ5:FJ319)*HLOOKUP(FI322,Verteil_rwgr,6,FALSE)+SUMIF($D$5:$D$319,"=kar",FJ5:FJ319)*HLOOKUP(FI322,Verteil_rwgr,7,FALSE)+SUMIF($D$5:$D$319,"=kaz",FJ5:FJ319)*HLOOKUP(FI322,Verteil_rwgr,8,FALSE)</f>
        <v>54487.5</v>
      </c>
      <c r="FK372" s="179">
        <f t="shared" si="2006"/>
        <v>1017943.75</v>
      </c>
      <c r="FL372" s="179">
        <f>SUMIF($D$5:$D$319,"=kas",FL5:FL319)*HLOOKUP(FI322,Verteil_rwgr,5,FALSE)+SUMIF($D$5:$D$319,"=kam",FL5:FL319)*HLOOKUP(FI322,Verteil_rwgr,6,FALSE)+SUMIF($D$5:$D$319,"=kar",FL5:FL319)*HLOOKUP(FI322,Verteil_rwgr,7,FALSE)+SUMIF($D$5:$D$319,"=kaz",FL5:FL319)*HLOOKUP(FI322,Verteil_rwgr,8,FALSE)</f>
        <v>990700</v>
      </c>
      <c r="FM372" s="102">
        <f t="shared" ref="FM372" si="2041">IF(FL370&lt;&gt;0,FL372/FL370,0)</f>
        <v>0.16765382792933053</v>
      </c>
      <c r="FN372" s="665" t="s">
        <v>193</v>
      </c>
      <c r="FS372" s="217"/>
    </row>
    <row r="373" spans="1:175" s="10" customFormat="1" ht="15" hidden="1" customHeight="1" x14ac:dyDescent="0.3">
      <c r="A373" s="665" t="s">
        <v>194</v>
      </c>
      <c r="V373" s="217">
        <v>52</v>
      </c>
      <c r="X373" s="179">
        <f>SUMIF($D$5:$D$319,"=kas",X5:X319)*HLOOKUP(AC322,Verteil_rwst,4,FALSE)+SUMIF($D$5:$D$319,"=kam",X5:X319)*HLOOKUP(AC322,Verteil_rwst,5,FALSE)+SUMIF($D$5:$D$319,"=kar",X5:X319)*HLOOKUP(AC322,Verteil_rwst,6,FALSE)+SUMIF($D$5:$D$319,"=kaz",X5:X319)*HLOOKUP(AC322,Verteil_rwst,7,FALSE)</f>
        <v>0</v>
      </c>
      <c r="Z373" s="179">
        <f>SUMIF($D$5:$D$319,"=kas",Z5:Z319)*HLOOKUP(AC322,Verteil_rwst,4,FALSE)+SUMIF($D$5:$D$319,"=kam",Z5:Z319)*HLOOKUP(AC322,Verteil_rwst,5,FALSE)+SUMIF($D$5:$D$319,"=kar",Z5:Z319)*HLOOKUP(AC322,Verteil_rwst,6,FALSE)+SUMIF($D$5:$D$319,"=kaz",Z5:Z319)*HLOOKUP(AC322,Verteil_rwst,7,FALSE)</f>
        <v>0</v>
      </c>
      <c r="AB373" s="102">
        <f>IF(AC370&lt;&gt;0,AC373/AC370,0)</f>
        <v>0.17803757450137975</v>
      </c>
      <c r="AC373" s="179">
        <f>ROUND(AE373*HLOOKUP(AC322,Grund_zins,2,FALSE),2)</f>
        <v>53985.31</v>
      </c>
      <c r="AD373" s="179">
        <f>SUMIF($D$5:$D$319,"=kas",AD5:AD319)*HLOOKUP(AC322,Verteil_rwst,4,FALSE)+SUMIF($D$5:$D$319,"=kam",AD5:AD319)*HLOOKUP(AC322,Verteil_rwst,5,FALSE)+SUMIF($D$5:$D$319,"=kar",AD5:AD319)*HLOOKUP(AC322,Verteil_rwst,6,FALSE)+SUMIF($D$5:$D$319,"=kaz",AD5:AD319)*HLOOKUP(AC322,Verteil_rwst,7,FALSE)</f>
        <v>66300</v>
      </c>
      <c r="AE373" s="179">
        <f t="shared" si="2009"/>
        <v>1542437.5</v>
      </c>
      <c r="AF373" s="179">
        <f>SUMIF($D$5:$D$319,"=kas",AF5:AF319)*HLOOKUP(AC322,Verteil_rwst,4,FALSE)+SUMIF($D$5:$D$319,"=kam",AF5:AF319)*HLOOKUP(AC322,Verteil_rwst,5,FALSE)+SUMIF($D$5:$D$319,"=kar",AF5:AF319)*HLOOKUP(AC322,Verteil_rwst,6,FALSE)+SUMIF($D$5:$D$319,"=kaz",AF5:AF319)*HLOOKUP(AC322,Verteil_rwst,7,FALSE)</f>
        <v>1509287.5</v>
      </c>
      <c r="AG373" s="102">
        <f>IF(AF370&lt;&gt;0,AF373/AF370,0)</f>
        <v>0.17758935137520224</v>
      </c>
      <c r="AH373" s="665" t="s">
        <v>194</v>
      </c>
      <c r="AM373" s="217"/>
      <c r="AO373" s="179">
        <f>SUMIF($D$5:$D$319,"=kas",AO5:AO319)*HLOOKUP(AT322,Verteil_rwst,4,FALSE)+SUMIF($D$5:$D$319,"=kam",AO5:AO319)*HLOOKUP(AT322,Verteil_rwst,5,FALSE)+SUMIF($D$5:$D$319,"=kar",AO5:AO319)*HLOOKUP(AT322,Verteil_rwst,6,FALSE)+SUMIF($D$5:$D$319,"=kaz",AO5:AO319)*HLOOKUP(AT322,Verteil_rwst,7,FALSE)</f>
        <v>0</v>
      </c>
      <c r="AQ373" s="179">
        <f>SUMIF($D$5:$D$319,"=kas",AQ5:AQ319)*HLOOKUP(AT322,Verteil_rwst,4,FALSE)+SUMIF($D$5:$D$319,"=kam",AQ5:AQ319)*HLOOKUP(AT322,Verteil_rwst,5,FALSE)+SUMIF($D$5:$D$319,"=kar",AQ5:AQ319)*HLOOKUP(AT322,Verteil_rwst,6,FALSE)+SUMIF($D$5:$D$319,"=kaz",AQ5:AQ319)*HLOOKUP(AT322,Verteil_rwst,7,FALSE)</f>
        <v>0</v>
      </c>
      <c r="AS373" s="102">
        <f t="shared" ref="AS373" si="2042">IF(AT370&lt;&gt;0,AT373/AT370,0)</f>
        <v>0.17712338429813335</v>
      </c>
      <c r="AT373" s="179">
        <f>ROUND(AV373*HLOOKUP(AT322,Grund_zins,2,FALSE),2)</f>
        <v>51664.81</v>
      </c>
      <c r="AU373" s="179">
        <f>SUMIF($D$5:$D$319,"=kas",AU5:AU319)*HLOOKUP(AT322,Verteil_rwst,4,FALSE)+SUMIF($D$5:$D$319,"=kam",AU5:AU319)*HLOOKUP(AT322,Verteil_rwst,5,FALSE)+SUMIF($D$5:$D$319,"=kar",AU5:AU319)*HLOOKUP(AT322,Verteil_rwst,6,FALSE)+SUMIF($D$5:$D$319,"=kaz",AU5:AU319)*HLOOKUP(AT322,Verteil_rwst,7,FALSE)</f>
        <v>66300</v>
      </c>
      <c r="AV373" s="179">
        <f t="shared" si="1957"/>
        <v>1476137.5</v>
      </c>
      <c r="AW373" s="179">
        <f>SUMIF($D$5:$D$319,"=kas",AW5:AW319)*HLOOKUP(AT322,Verteil_rwst,4,FALSE)+SUMIF($D$5:$D$319,"=kam",AW5:AW319)*HLOOKUP(AT322,Verteil_rwst,5,FALSE)+SUMIF($D$5:$D$319,"=kar",AW5:AW319)*HLOOKUP(AT322,Verteil_rwst,6,FALSE)+SUMIF($D$5:$D$319,"=kaz",AW5:AW319)*HLOOKUP(AT322,Verteil_rwst,7,FALSE)</f>
        <v>1442987.5</v>
      </c>
      <c r="AX373" s="102">
        <f t="shared" ref="AX373" si="2043">IF(AW370&lt;&gt;0,AW373/AW370,0)</f>
        <v>0.17663863437444532</v>
      </c>
      <c r="AY373" s="665" t="s">
        <v>194</v>
      </c>
      <c r="BD373" s="217"/>
      <c r="BF373" s="179">
        <f>SUMIF($D$5:$D$319,"=kas",BF5:BF319)*HLOOKUP(BK322,Verteil_rwst,4,FALSE)+SUMIF($D$5:$D$319,"=kam",BF5:BF319)*HLOOKUP(BK322,Verteil_rwst,5,FALSE)+SUMIF($D$5:$D$319,"=kar",BF5:BF319)*HLOOKUP(BK322,Verteil_rwst,6,FALSE)+SUMIF($D$5:$D$319,"=kaz",BF5:BF319)*HLOOKUP(BK322,Verteil_rwst,7,FALSE)</f>
        <v>0</v>
      </c>
      <c r="BH373" s="179">
        <f>SUMIF($D$5:$D$319,"=kas",BH5:BH319)*HLOOKUP(BK322,Verteil_rwst,4,FALSE)+SUMIF($D$5:$D$319,"=kam",BH5:BH319)*HLOOKUP(BK322,Verteil_rwst,5,FALSE)+SUMIF($D$5:$D$319,"=kar",BH5:BH319)*HLOOKUP(BK322,Verteil_rwst,6,FALSE)+SUMIF($D$5:$D$319,"=kaz",BH5:BH319)*HLOOKUP(BK322,Verteil_rwst,7,FALSE)</f>
        <v>0</v>
      </c>
      <c r="BJ373" s="102">
        <f t="shared" ref="BJ373" si="2044">IF(BK370&lt;&gt;0,BK373/BK370,0)</f>
        <v>0.17613390576017146</v>
      </c>
      <c r="BK373" s="179">
        <f>ROUND(BM373*HLOOKUP(BK322,Grund_zins,2,FALSE),2)</f>
        <v>49344.31</v>
      </c>
      <c r="BL373" s="179">
        <f>SUMIF($D$5:$D$319,"=kas",BL5:BL319)*HLOOKUP(BK322,Verteil_rwst,4,FALSE)+SUMIF($D$5:$D$319,"=kam",BL5:BL319)*HLOOKUP(BK322,Verteil_rwst,5,FALSE)+SUMIF($D$5:$D$319,"=kar",BL5:BL319)*HLOOKUP(BK322,Verteil_rwst,6,FALSE)+SUMIF($D$5:$D$319,"=kaz",BL5:BL319)*HLOOKUP(BK322,Verteil_rwst,7,FALSE)</f>
        <v>66300</v>
      </c>
      <c r="BM373" s="179">
        <f t="shared" si="1964"/>
        <v>1409837.5</v>
      </c>
      <c r="BN373" s="179">
        <f>SUMIF($D$5:$D$319,"=kas",BN5:BN319)*HLOOKUP(BK322,Verteil_rwst,4,FALSE)+SUMIF($D$5:$D$319,"=kam",BN5:BN319)*HLOOKUP(BK322,Verteil_rwst,5,FALSE)+SUMIF($D$5:$D$319,"=kar",BN5:BN319)*HLOOKUP(BK322,Verteil_rwst,6,FALSE)+SUMIF($D$5:$D$319,"=kaz",BN5:BN319)*HLOOKUP(BK322,Verteil_rwst,7,FALSE)</f>
        <v>1376687.5</v>
      </c>
      <c r="BO373" s="102">
        <f t="shared" ref="BO373" si="2045">IF(BN370&lt;&gt;0,BN373/BN370,0)</f>
        <v>0.17560797494754163</v>
      </c>
      <c r="BP373" s="665" t="s">
        <v>194</v>
      </c>
      <c r="BU373" s="217"/>
      <c r="BW373" s="179">
        <f>SUMIF($D$5:$D$319,"=kas",BW5:BW319)*HLOOKUP(CB322,Verteil_rwst,4,FALSE)+SUMIF($D$5:$D$319,"=kam",BW5:BW319)*HLOOKUP(CB322,Verteil_rwst,5,FALSE)+SUMIF($D$5:$D$319,"=kar",BW5:BW319)*HLOOKUP(CB322,Verteil_rwst,6,FALSE)+SUMIF($D$5:$D$319,"=kaz",BW5:BW319)*HLOOKUP(CB322,Verteil_rwst,7,FALSE)</f>
        <v>0</v>
      </c>
      <c r="BY373" s="179">
        <f>SUMIF($D$5:$D$319,"=kas",BY5:BY319)*HLOOKUP(CB322,Verteil_rwst,4,FALSE)+SUMIF($D$5:$D$319,"=kam",BY5:BY319)*HLOOKUP(CB322,Verteil_rwst,5,FALSE)+SUMIF($D$5:$D$319,"=kar",BY5:BY319)*HLOOKUP(CB322,Verteil_rwst,6,FALSE)+SUMIF($D$5:$D$319,"=kaz",BY5:BY319)*HLOOKUP(CB322,Verteil_rwst,7,FALSE)</f>
        <v>0</v>
      </c>
      <c r="CA373" s="102">
        <f t="shared" ref="CA373" si="2046">IF(CB370&lt;&gt;0,CB373/CB370,0)</f>
        <v>0.17505943888353737</v>
      </c>
      <c r="CB373" s="179">
        <f>ROUND(CD373*HLOOKUP(CB322,Grund_zins,2,FALSE),2)</f>
        <v>47023.81</v>
      </c>
      <c r="CC373" s="179">
        <f>SUMIF($D$5:$D$319,"=kas",CC5:CC319)*HLOOKUP(CB322,Verteil_rwst,4,FALSE)+SUMIF($D$5:$D$319,"=kam",CC5:CC319)*HLOOKUP(CB322,Verteil_rwst,5,FALSE)+SUMIF($D$5:$D$319,"=kar",CC5:CC319)*HLOOKUP(CB322,Verteil_rwst,6,FALSE)+SUMIF($D$5:$D$319,"=kaz",CC5:CC319)*HLOOKUP(CB322,Verteil_rwst,7,FALSE)</f>
        <v>66300</v>
      </c>
      <c r="CD373" s="179">
        <f t="shared" si="1971"/>
        <v>1343537.5</v>
      </c>
      <c r="CE373" s="179">
        <f>SUMIF($D$5:$D$319,"=kas",CE5:CE319)*HLOOKUP(CB322,Verteil_rwst,4,FALSE)+SUMIF($D$5:$D$319,"=kam",CE5:CE319)*HLOOKUP(CB322,Verteil_rwst,5,FALSE)+SUMIF($D$5:$D$319,"=kar",CE5:CE319)*HLOOKUP(CB322,Verteil_rwst,6,FALSE)+SUMIF($D$5:$D$319,"=kaz",CE5:CE319)*HLOOKUP(CB322,Verteil_rwst,7,FALSE)</f>
        <v>1310387.5</v>
      </c>
      <c r="CF373" s="102">
        <f t="shared" ref="CF373" si="2047">IF(CE370&lt;&gt;0,CE373/CE370,0)</f>
        <v>0.17448684744905094</v>
      </c>
      <c r="CG373" s="665" t="s">
        <v>194</v>
      </c>
      <c r="CL373" s="217"/>
      <c r="CN373" s="179">
        <f>SUMIF($D$5:$D$319,"=kas",CN5:CN319)*HLOOKUP(CS322,Verteil_rwst,4,FALSE)+SUMIF($D$5:$D$319,"=kam",CN5:CN319)*HLOOKUP(CS322,Verteil_rwst,5,FALSE)+SUMIF($D$5:$D$319,"=kar",CN5:CN319)*HLOOKUP(CS322,Verteil_rwst,6,FALSE)+SUMIF($D$5:$D$319,"=kaz",CN5:CN319)*HLOOKUP(CS322,Verteil_rwst,7,FALSE)</f>
        <v>0</v>
      </c>
      <c r="CP373" s="179">
        <f>SUMIF($D$5:$D$319,"=kas",CP5:CP319)*HLOOKUP(CS322,Verteil_rwst,4,FALSE)+SUMIF($D$5:$D$319,"=kam",CP5:CP319)*HLOOKUP(CS322,Verteil_rwst,5,FALSE)+SUMIF($D$5:$D$319,"=kar",CP5:CP319)*HLOOKUP(CS322,Verteil_rwst,6,FALSE)+SUMIF($D$5:$D$319,"=kaz",CP5:CP319)*HLOOKUP(CS322,Verteil_rwst,7,FALSE)</f>
        <v>0</v>
      </c>
      <c r="CR373" s="102">
        <f t="shared" ref="CR373" si="2048">IF(CS370&lt;&gt;0,CS373/CS370,0)</f>
        <v>0.17388854258543782</v>
      </c>
      <c r="CS373" s="179">
        <f>ROUND(CU373*HLOOKUP(CS322,Grund_zins,2,FALSE),2)</f>
        <v>44703.31</v>
      </c>
      <c r="CT373" s="179">
        <f>SUMIF($D$5:$D$319,"=kas",CT5:CT319)*HLOOKUP(CS322,Verteil_rwst,4,FALSE)+SUMIF($D$5:$D$319,"=kam",CT5:CT319)*HLOOKUP(CS322,Verteil_rwst,5,FALSE)+SUMIF($D$5:$D$319,"=kar",CT5:CT319)*HLOOKUP(CS322,Verteil_rwst,6,FALSE)+SUMIF($D$5:$D$319,"=kaz",CT5:CT319)*HLOOKUP(CS322,Verteil_rwst,7,FALSE)</f>
        <v>66300</v>
      </c>
      <c r="CU373" s="179">
        <f t="shared" si="1978"/>
        <v>1277237.5</v>
      </c>
      <c r="CV373" s="179">
        <f>SUMIF($D$5:$D$319,"=kas",CV5:CV319)*HLOOKUP(CS322,Verteil_rwst,4,FALSE)+SUMIF($D$5:$D$319,"=kam",CV5:CV319)*HLOOKUP(CS322,Verteil_rwst,5,FALSE)+SUMIF($D$5:$D$319,"=kar",CV5:CV319)*HLOOKUP(CS322,Verteil_rwst,6,FALSE)+SUMIF($D$5:$D$319,"=kaz",CV5:CV319)*HLOOKUP(CS322,Verteil_rwst,7,FALSE)</f>
        <v>1244087.5</v>
      </c>
      <c r="CW373" s="102">
        <f t="shared" ref="CW373" si="2049">IF(CV370&lt;&gt;0,CV373/CV370,0)</f>
        <v>0.17326279359641242</v>
      </c>
      <c r="CX373" s="665" t="s">
        <v>194</v>
      </c>
      <c r="DC373" s="217"/>
      <c r="DE373" s="179">
        <f>SUMIF($D$5:$D$319,"=kas",DE5:DE319)*HLOOKUP(DJ322,Verteil_rwst,4,FALSE)+SUMIF($D$5:$D$319,"=kam",DE5:DE319)*HLOOKUP(DJ322,Verteil_rwst,5,FALSE)+SUMIF($D$5:$D$319,"=kar",DE5:DE319)*HLOOKUP(DJ322,Verteil_rwst,6,FALSE)+SUMIF($D$5:$D$319,"=kaz",DE5:DE319)*HLOOKUP(DJ322,Verteil_rwst,7,FALSE)</f>
        <v>0</v>
      </c>
      <c r="DG373" s="179">
        <f>SUMIF($D$5:$D$319,"=kas",DG5:DG319)*HLOOKUP(DJ322,Verteil_rwst,4,FALSE)+SUMIF($D$5:$D$319,"=kam",DG5:DG319)*HLOOKUP(DJ322,Verteil_rwst,5,FALSE)+SUMIF($D$5:$D$319,"=kar",DG5:DG319)*HLOOKUP(DJ322,Verteil_rwst,6,FALSE)+SUMIF($D$5:$D$319,"=kaz",DG5:DG319)*HLOOKUP(DJ322,Verteil_rwst,7,FALSE)</f>
        <v>0</v>
      </c>
      <c r="DI373" s="102">
        <f t="shared" ref="DI373" si="2050">IF(DJ370&lt;&gt;0,DJ373/DJ370,0)</f>
        <v>0.1726076596512984</v>
      </c>
      <c r="DJ373" s="179">
        <f>ROUND(DL373*HLOOKUP(DJ322,Grund_zins,2,FALSE),2)</f>
        <v>36328.129999999997</v>
      </c>
      <c r="DK373" s="179">
        <f>SUMIF($D$5:$D$319,"=kas",DK5:DK319)*HLOOKUP(DJ322,Verteil_rwst,4,FALSE)+SUMIF($D$5:$D$319,"=kam",DK5:DK319)*HLOOKUP(DJ322,Verteil_rwst,5,FALSE)+SUMIF($D$5:$D$319,"=kar",DK5:DK319)*HLOOKUP(DJ322,Verteil_rwst,6,FALSE)+SUMIF($D$5:$D$319,"=kaz",DK5:DK319)*HLOOKUP(DJ322,Verteil_rwst,7,FALSE)</f>
        <v>66300</v>
      </c>
      <c r="DL373" s="179">
        <f t="shared" si="1985"/>
        <v>1210937.5</v>
      </c>
      <c r="DM373" s="179">
        <f>SUMIF($D$5:$D$319,"=kas",DM5:DM319)*HLOOKUP(DJ322,Verteil_rwst,4,FALSE)+SUMIF($D$5:$D$319,"=kam",DM5:DM319)*HLOOKUP(DJ322,Verteil_rwst,5,FALSE)+SUMIF($D$5:$D$319,"=kar",DM5:DM319)*HLOOKUP(DJ322,Verteil_rwst,6,FALSE)+SUMIF($D$5:$D$319,"=kaz",DM5:DM319)*HLOOKUP(DJ322,Verteil_rwst,7,FALSE)</f>
        <v>1177787.5</v>
      </c>
      <c r="DN373" s="102">
        <f t="shared" ref="DN373" si="2051">IF(DM370&lt;&gt;0,DM373/DM370,0)</f>
        <v>0.1719209575593913</v>
      </c>
      <c r="DO373" s="665" t="s">
        <v>194</v>
      </c>
      <c r="DT373" s="217"/>
      <c r="DV373" s="179">
        <f>SUMIF($D$5:$D$319,"=kas",DV5:DV319)*HLOOKUP(EA322,Verteil_rwst,4,FALSE)+SUMIF($D$5:$D$319,"=kam",DV5:DV319)*HLOOKUP(EA322,Verteil_rwst,5,FALSE)+SUMIF($D$5:$D$319,"=kar",DV5:DV319)*HLOOKUP(EA322,Verteil_rwst,6,FALSE)+SUMIF($D$5:$D$319,"=kaz",DV5:DV319)*HLOOKUP(EA322,Verteil_rwst,7,FALSE)</f>
        <v>0</v>
      </c>
      <c r="DX373" s="179">
        <f>SUMIF($D$5:$D$319,"=kas",DX5:DX319)*HLOOKUP(EA322,Verteil_rwst,4,FALSE)+SUMIF($D$5:$D$319,"=kam",DX5:DX319)*HLOOKUP(EA322,Verteil_rwst,5,FALSE)+SUMIF($D$5:$D$319,"=kar",DX5:DX319)*HLOOKUP(EA322,Verteil_rwst,6,FALSE)+SUMIF($D$5:$D$319,"=kaz",DX5:DX319)*HLOOKUP(EA322,Verteil_rwst,7,FALSE)</f>
        <v>0</v>
      </c>
      <c r="DZ373" s="102">
        <f t="shared" ref="DZ373" si="2052">IF(EA370&lt;&gt;0,EA373/EA370,0)</f>
        <v>0.17120045269059245</v>
      </c>
      <c r="EA373" s="179">
        <f>ROUND(EC373*HLOOKUP(EA322,Grund_zins,2,FALSE),2)</f>
        <v>34339.129999999997</v>
      </c>
      <c r="EB373" s="179">
        <f>SUMIF($D$5:$D$319,"=kas",EB5:EB319)*HLOOKUP(EA322,Verteil_rwst,4,FALSE)+SUMIF($D$5:$D$319,"=kam",EB5:EB319)*HLOOKUP(EA322,Verteil_rwst,5,FALSE)+SUMIF($D$5:$D$319,"=kar",EB5:EB319)*HLOOKUP(EA322,Verteil_rwst,6,FALSE)+SUMIF($D$5:$D$319,"=kaz",EB5:EB319)*HLOOKUP(EA322,Verteil_rwst,7,FALSE)</f>
        <v>66300</v>
      </c>
      <c r="EC373" s="179">
        <f t="shared" si="1992"/>
        <v>1144637.5</v>
      </c>
      <c r="ED373" s="179">
        <f>SUMIF($D$5:$D$319,"=kas",ED5:ED319)*HLOOKUP(EA322,Verteil_rwst,4,FALSE)+SUMIF($D$5:$D$319,"=kam",ED5:ED319)*HLOOKUP(EA322,Verteil_rwst,5,FALSE)+SUMIF($D$5:$D$319,"=kar",ED5:ED319)*HLOOKUP(EA322,Verteil_rwst,6,FALSE)+SUMIF($D$5:$D$319,"=kaz",ED5:ED319)*HLOOKUP(EA322,Verteil_rwst,7,FALSE)</f>
        <v>1111487.5</v>
      </c>
      <c r="EE373" s="102">
        <f t="shared" ref="EE373" si="2053">IF(ED370&lt;&gt;0,ED373/ED370,0)</f>
        <v>0.17044348006103219</v>
      </c>
      <c r="EF373" s="665" t="s">
        <v>194</v>
      </c>
      <c r="EK373" s="217"/>
      <c r="EM373" s="179">
        <f>SUMIF($D$5:$D$319,"=kas",EM5:EM319)*HLOOKUP(ER322,Verteil_rwst,4,FALSE)+SUMIF($D$5:$D$319,"=kam",EM5:EM319)*HLOOKUP(ER322,Verteil_rwst,5,FALSE)+SUMIF($D$5:$D$319,"=kar",EM5:EM319)*HLOOKUP(ER322,Verteil_rwst,6,FALSE)+SUMIF($D$5:$D$319,"=kaz",EM5:EM319)*HLOOKUP(ER322,Verteil_rwst,7,FALSE)</f>
        <v>0</v>
      </c>
      <c r="EO373" s="179">
        <f>SUMIF($D$5:$D$319,"=kas",EO5:EO319)*HLOOKUP(ER322,Verteil_rwst,4,FALSE)+SUMIF($D$5:$D$319,"=kam",EO5:EO319)*HLOOKUP(ER322,Verteil_rwst,5,FALSE)+SUMIF($D$5:$D$319,"=kar",EO5:EO319)*HLOOKUP(ER322,Verteil_rwst,6,FALSE)+SUMIF($D$5:$D$319,"=kaz",EO5:EO319)*HLOOKUP(ER322,Verteil_rwst,7,FALSE)</f>
        <v>0</v>
      </c>
      <c r="EQ373" s="102">
        <f t="shared" ref="EQ373" si="2054">IF(ER370&lt;&gt;0,ER373/ER370,0)</f>
        <v>0.16964730807250492</v>
      </c>
      <c r="ER373" s="179">
        <f>ROUND(ET373*HLOOKUP(ER322,Grund_zins,2,FALSE),2)</f>
        <v>32350.13</v>
      </c>
      <c r="ES373" s="179">
        <f>SUMIF($D$5:$D$319,"=kas",ES5:ES319)*HLOOKUP(ER322,Verteil_rwst,4,FALSE)+SUMIF($D$5:$D$319,"=kam",ES5:ES319)*HLOOKUP(ER322,Verteil_rwst,5,FALSE)+SUMIF($D$5:$D$319,"=kar",ES5:ES319)*HLOOKUP(ER322,Verteil_rwst,6,FALSE)+SUMIF($D$5:$D$319,"=kaz",ES5:ES319)*HLOOKUP(ER322,Verteil_rwst,7,FALSE)</f>
        <v>66300</v>
      </c>
      <c r="ET373" s="179">
        <f t="shared" si="1999"/>
        <v>1078337.5</v>
      </c>
      <c r="EU373" s="179">
        <f>SUMIF($D$5:$D$319,"=kas",EU5:EU319)*HLOOKUP(ER322,Verteil_rwst,4,FALSE)+SUMIF($D$5:$D$319,"=kam",EU5:EU319)*HLOOKUP(ER322,Verteil_rwst,5,FALSE)+SUMIF($D$5:$D$319,"=kar",EU5:EU319)*HLOOKUP(ER322,Verteil_rwst,6,FALSE)+SUMIF($D$5:$D$319,"=kaz",EU5:EU319)*HLOOKUP(ER322,Verteil_rwst,7,FALSE)</f>
        <v>1045187.5</v>
      </c>
      <c r="EV373" s="102">
        <f t="shared" ref="EV373" si="2055">IF(EU370&lt;&gt;0,EU373/EU370,0)</f>
        <v>0.16880869895260475</v>
      </c>
      <c r="EW373" s="665" t="s">
        <v>194</v>
      </c>
      <c r="FB373" s="217"/>
      <c r="FD373" s="179">
        <f>SUMIF($D$5:$D$319,"=kas",FD5:FD319)*HLOOKUP(FI322,Verteil_rwst,4,FALSE)+SUMIF($D$5:$D$319,"=kam",FD5:FD319)*HLOOKUP(FI322,Verteil_rwst,5,FALSE)+SUMIF($D$5:$D$319,"=kar",FD5:FD319)*HLOOKUP(FI322,Verteil_rwst,6,FALSE)+SUMIF($D$5:$D$319,"=kaz",FD5:FD319)*HLOOKUP(FI322,Verteil_rwst,7,FALSE)</f>
        <v>0</v>
      </c>
      <c r="FF373" s="179">
        <f>SUMIF($D$5:$D$319,"=kas",FF5:FF319)*HLOOKUP(FI322,Verteil_rwst,4,FALSE)+SUMIF($D$5:$D$319,"=kam",FF5:FF319)*HLOOKUP(FI322,Verteil_rwst,5,FALSE)+SUMIF($D$5:$D$319,"=kar",FF5:FF319)*HLOOKUP(FI322,Verteil_rwst,6,FALSE)+SUMIF($D$5:$D$319,"=kaz",FF5:FF319)*HLOOKUP(FI322,Verteil_rwst,7,FALSE)</f>
        <v>0</v>
      </c>
      <c r="FH373" s="102">
        <f t="shared" ref="FH373" si="2056">IF(FI370&lt;&gt;0,FI373/FI370,0)</f>
        <v>0.16824472312322239</v>
      </c>
      <c r="FI373" s="179">
        <f>ROUND(FK373*HLOOKUP(FI322,Grund_zins,2,FALSE),2)</f>
        <v>30538.31</v>
      </c>
      <c r="FJ373" s="179">
        <f>SUMIF($D$5:$D$319,"=kas",FJ5:FJ319)*HLOOKUP(FI322,Verteil_rwst,4,FALSE)+SUMIF($D$5:$D$319,"=kam",FJ5:FJ319)*HLOOKUP(FI322,Verteil_rwst,5,FALSE)+SUMIF($D$5:$D$319,"=kar",FJ5:FJ319)*HLOOKUP(FI322,Verteil_rwst,6,FALSE)+SUMIF($D$5:$D$319,"=kaz",FJ5:FJ319)*HLOOKUP(FI322,Verteil_rwst,7,FALSE)</f>
        <v>54487.5</v>
      </c>
      <c r="FK373" s="179">
        <f t="shared" si="2006"/>
        <v>1017943.75</v>
      </c>
      <c r="FL373" s="179">
        <f>SUMIF($D$5:$D$319,"=kas",FL5:FL319)*HLOOKUP(FI322,Verteil_rwst,4,FALSE)+SUMIF($D$5:$D$319,"=kam",FL5:FL319)*HLOOKUP(FI322,Verteil_rwst,5,FALSE)+SUMIF($D$5:$D$319,"=kar",FL5:FL319)*HLOOKUP(FI322,Verteil_rwst,6,FALSE)+SUMIF($D$5:$D$319,"=kaz",FL5:FL319)*HLOOKUP(FI322,Verteil_rwst,7,FALSE)</f>
        <v>990700</v>
      </c>
      <c r="FM373" s="102">
        <f t="shared" ref="FM373" si="2057">IF(FL370&lt;&gt;0,FL373/FL370,0)</f>
        <v>0.16765382792933053</v>
      </c>
      <c r="FN373" s="665" t="s">
        <v>194</v>
      </c>
      <c r="FS373" s="217"/>
    </row>
    <row r="374" spans="1:175" s="10" customFormat="1" ht="15" hidden="1" customHeight="1" x14ac:dyDescent="0.3">
      <c r="A374" s="664" t="s">
        <v>273</v>
      </c>
      <c r="V374" s="217">
        <v>53</v>
      </c>
      <c r="X374" s="179">
        <f>SUMIF($D$5:$D$319,"=klm",X5:X319)+SUMIF($D$5:$D$319,"=kls",X5:X319)+SUMIF($D$5:$D$319,"=klr",X5:X319)+SUMIF($D$5:$D$319,"=klk",X5:X319)+SUMIF($D$5:$D$319,"=klz",X5:X319)</f>
        <v>0</v>
      </c>
      <c r="Z374" s="179">
        <f>SUMIF($D$5:$D$319,"=klm",Z5:Z319)+SUMIF($D$5:$D$319,"=kls",Z5:Z319)+SUMIF($D$5:$D$319,"=klr",Z5:Z319)+SUMIF($D$5:$D$319,"=klk",Z5:Z319)+SUMIF($D$5:$D$319,"=klz",Z5:Z319)</f>
        <v>0</v>
      </c>
      <c r="AB374" s="102">
        <f t="shared" ref="AB374" si="2058">SUM(AB375:AB377)</f>
        <v>0</v>
      </c>
      <c r="AC374" s="179">
        <f>ROUND(AE374*HLOOKUP(AC322,Grund_zins,2,FALSE),2)</f>
        <v>0</v>
      </c>
      <c r="AD374" s="179">
        <f>SUMIF($D$5:$D$319,"=klm",AD5:AD319)+SUMIF($D$5:$D$319,"=kls",AD5:AD319)+SUMIF($D$5:$D$319,"=klr",AD5:AD319)+SUMIF($D$5:$D$319,"=klk",AD5:AD319)+SUMIF($D$5:$D$319,"=klz",AD5:AD319)</f>
        <v>0</v>
      </c>
      <c r="AE374" s="179">
        <f t="shared" si="2009"/>
        <v>0</v>
      </c>
      <c r="AF374" s="179">
        <f>SUMIF($D$5:$D$319,"=klm",AF5:AF319)+SUMIF($D$5:$D$319,"=kls",AF5:AF319)+SUMIF($D$5:$D$319,"=klr",AF5:AF319)+SUMIF($D$5:$D$319,"=klk",AF5:AF319)+SUMIF($D$5:$D$319,"=klz",AF5:AF319)</f>
        <v>0</v>
      </c>
      <c r="AG374" s="102">
        <f t="shared" ref="AG374" si="2059">SUM(AG375:AG377)</f>
        <v>0</v>
      </c>
      <c r="AH374" s="664" t="s">
        <v>273</v>
      </c>
      <c r="AM374" s="217"/>
      <c r="AO374" s="179">
        <f t="shared" ref="AO374" si="2060">SUMIF($D$5:$D$319,"=klm",AO5:AO319)+SUMIF($D$5:$D$319,"=kls",AO5:AO319)+SUMIF($D$5:$D$319,"=klr",AO5:AO319)+SUMIF($D$5:$D$319,"=klk",AO5:AO319)+SUMIF($D$5:$D$319,"=klz",AO5:AO319)</f>
        <v>0</v>
      </c>
      <c r="AQ374" s="179">
        <f t="shared" ref="AQ374" si="2061">SUMIF($D$5:$D$319,"=klm",AQ5:AQ319)+SUMIF($D$5:$D$319,"=kls",AQ5:AQ319)+SUMIF($D$5:$D$319,"=klr",AQ5:AQ319)+SUMIF($D$5:$D$319,"=klk",AQ5:AQ319)+SUMIF($D$5:$D$319,"=klz",AQ5:AQ319)</f>
        <v>0</v>
      </c>
      <c r="AS374" s="102">
        <f t="shared" ref="AS374:CR374" si="2062">SUM(AS375:AS377)</f>
        <v>0</v>
      </c>
      <c r="AT374" s="179">
        <f>ROUND(AV374*HLOOKUP(AT322,Grund_zins,2,FALSE),2)</f>
        <v>0</v>
      </c>
      <c r="AU374" s="179">
        <f t="shared" ref="AU374" si="2063">SUMIF($D$5:$D$319,"=klm",AU5:AU319)+SUMIF($D$5:$D$319,"=kls",AU5:AU319)+SUMIF($D$5:$D$319,"=klr",AU5:AU319)+SUMIF($D$5:$D$319,"=klk",AU5:AU319)+SUMIF($D$5:$D$319,"=klz",AU5:AU319)</f>
        <v>0</v>
      </c>
      <c r="AV374" s="179">
        <f t="shared" si="1957"/>
        <v>0</v>
      </c>
      <c r="AW374" s="179">
        <f t="shared" ref="AW374" si="2064">SUMIF($D$5:$D$319,"=klm",AW5:AW319)+SUMIF($D$5:$D$319,"=kls",AW5:AW319)+SUMIF($D$5:$D$319,"=klr",AW5:AW319)+SUMIF($D$5:$D$319,"=klk",AW5:AW319)+SUMIF($D$5:$D$319,"=klz",AW5:AW319)</f>
        <v>0</v>
      </c>
      <c r="AX374" s="102">
        <f t="shared" ref="AX374:CW374" si="2065">SUM(AX375:AX377)</f>
        <v>0</v>
      </c>
      <c r="AY374" s="664" t="s">
        <v>273</v>
      </c>
      <c r="BD374" s="217"/>
      <c r="BF374" s="179">
        <f t="shared" ref="BF374" si="2066">SUMIF($D$5:$D$319,"=klm",BF5:BF319)+SUMIF($D$5:$D$319,"=kls",BF5:BF319)+SUMIF($D$5:$D$319,"=klr",BF5:BF319)+SUMIF($D$5:$D$319,"=klk",BF5:BF319)+SUMIF($D$5:$D$319,"=klz",BF5:BF319)</f>
        <v>0</v>
      </c>
      <c r="BH374" s="179">
        <f t="shared" ref="BH374" si="2067">SUMIF($D$5:$D$319,"=klm",BH5:BH319)+SUMIF($D$5:$D$319,"=kls",BH5:BH319)+SUMIF($D$5:$D$319,"=klr",BH5:BH319)+SUMIF($D$5:$D$319,"=klk",BH5:BH319)+SUMIF($D$5:$D$319,"=klz",BH5:BH319)</f>
        <v>0</v>
      </c>
      <c r="BJ374" s="102">
        <f t="shared" si="2062"/>
        <v>0</v>
      </c>
      <c r="BK374" s="179">
        <f>ROUND(BM374*HLOOKUP(BK322,Grund_zins,2,FALSE),2)</f>
        <v>0</v>
      </c>
      <c r="BL374" s="179">
        <f t="shared" ref="BL374" si="2068">SUMIF($D$5:$D$319,"=klm",BL5:BL319)+SUMIF($D$5:$D$319,"=kls",BL5:BL319)+SUMIF($D$5:$D$319,"=klr",BL5:BL319)+SUMIF($D$5:$D$319,"=klk",BL5:BL319)+SUMIF($D$5:$D$319,"=klz",BL5:BL319)</f>
        <v>0</v>
      </c>
      <c r="BM374" s="179">
        <f t="shared" si="1964"/>
        <v>0</v>
      </c>
      <c r="BN374" s="179">
        <f t="shared" ref="BN374" si="2069">SUMIF($D$5:$D$319,"=klm",BN5:BN319)+SUMIF($D$5:$D$319,"=kls",BN5:BN319)+SUMIF($D$5:$D$319,"=klr",BN5:BN319)+SUMIF($D$5:$D$319,"=klk",BN5:BN319)+SUMIF($D$5:$D$319,"=klz",BN5:BN319)</f>
        <v>0</v>
      </c>
      <c r="BO374" s="102">
        <f t="shared" si="2065"/>
        <v>0</v>
      </c>
      <c r="BP374" s="664" t="s">
        <v>273</v>
      </c>
      <c r="BU374" s="217"/>
      <c r="BW374" s="179">
        <f t="shared" ref="BW374" si="2070">SUMIF($D$5:$D$319,"=klm",BW5:BW319)+SUMIF($D$5:$D$319,"=kls",BW5:BW319)+SUMIF($D$5:$D$319,"=klr",BW5:BW319)+SUMIF($D$5:$D$319,"=klk",BW5:BW319)+SUMIF($D$5:$D$319,"=klz",BW5:BW319)</f>
        <v>0</v>
      </c>
      <c r="BY374" s="179">
        <f t="shared" ref="BY374" si="2071">SUMIF($D$5:$D$319,"=klm",BY5:BY319)+SUMIF($D$5:$D$319,"=kls",BY5:BY319)+SUMIF($D$5:$D$319,"=klr",BY5:BY319)+SUMIF($D$5:$D$319,"=klk",BY5:BY319)+SUMIF($D$5:$D$319,"=klz",BY5:BY319)</f>
        <v>0</v>
      </c>
      <c r="CA374" s="102">
        <f t="shared" si="2062"/>
        <v>0</v>
      </c>
      <c r="CB374" s="179">
        <f>ROUND(CD374*HLOOKUP(CB322,Grund_zins,2,FALSE),2)</f>
        <v>0</v>
      </c>
      <c r="CC374" s="179">
        <f t="shared" ref="CC374" si="2072">SUMIF($D$5:$D$319,"=klm",CC5:CC319)+SUMIF($D$5:$D$319,"=kls",CC5:CC319)+SUMIF($D$5:$D$319,"=klr",CC5:CC319)+SUMIF($D$5:$D$319,"=klk",CC5:CC319)+SUMIF($D$5:$D$319,"=klz",CC5:CC319)</f>
        <v>0</v>
      </c>
      <c r="CD374" s="179">
        <f t="shared" si="1971"/>
        <v>0</v>
      </c>
      <c r="CE374" s="179">
        <f t="shared" ref="CE374" si="2073">SUMIF($D$5:$D$319,"=klm",CE5:CE319)+SUMIF($D$5:$D$319,"=kls",CE5:CE319)+SUMIF($D$5:$D$319,"=klr",CE5:CE319)+SUMIF($D$5:$D$319,"=klk",CE5:CE319)+SUMIF($D$5:$D$319,"=klz",CE5:CE319)</f>
        <v>0</v>
      </c>
      <c r="CF374" s="102">
        <f t="shared" si="2065"/>
        <v>0</v>
      </c>
      <c r="CG374" s="664" t="s">
        <v>273</v>
      </c>
      <c r="CL374" s="217"/>
      <c r="CN374" s="179">
        <f t="shared" ref="CN374" si="2074">SUMIF($D$5:$D$319,"=klm",CN5:CN319)+SUMIF($D$5:$D$319,"=kls",CN5:CN319)+SUMIF($D$5:$D$319,"=klr",CN5:CN319)+SUMIF($D$5:$D$319,"=klk",CN5:CN319)+SUMIF($D$5:$D$319,"=klz",CN5:CN319)</f>
        <v>0</v>
      </c>
      <c r="CP374" s="179">
        <f t="shared" ref="CP374" si="2075">SUMIF($D$5:$D$319,"=klm",CP5:CP319)+SUMIF($D$5:$D$319,"=kls",CP5:CP319)+SUMIF($D$5:$D$319,"=klr",CP5:CP319)+SUMIF($D$5:$D$319,"=klk",CP5:CP319)+SUMIF($D$5:$D$319,"=klz",CP5:CP319)</f>
        <v>0</v>
      </c>
      <c r="CR374" s="102">
        <f t="shared" si="2062"/>
        <v>0</v>
      </c>
      <c r="CS374" s="179">
        <f>ROUND(CU374*HLOOKUP(CS322,Grund_zins,2,FALSE),2)</f>
        <v>0</v>
      </c>
      <c r="CT374" s="179">
        <f t="shared" ref="CT374" si="2076">SUMIF($D$5:$D$319,"=klm",CT5:CT319)+SUMIF($D$5:$D$319,"=kls",CT5:CT319)+SUMIF($D$5:$D$319,"=klr",CT5:CT319)+SUMIF($D$5:$D$319,"=klk",CT5:CT319)+SUMIF($D$5:$D$319,"=klz",CT5:CT319)</f>
        <v>0</v>
      </c>
      <c r="CU374" s="179">
        <f t="shared" si="1978"/>
        <v>0</v>
      </c>
      <c r="CV374" s="179">
        <f t="shared" ref="CV374" si="2077">SUMIF($D$5:$D$319,"=klm",CV5:CV319)+SUMIF($D$5:$D$319,"=kls",CV5:CV319)+SUMIF($D$5:$D$319,"=klr",CV5:CV319)+SUMIF($D$5:$D$319,"=klk",CV5:CV319)+SUMIF($D$5:$D$319,"=klz",CV5:CV319)</f>
        <v>0</v>
      </c>
      <c r="CW374" s="102">
        <f t="shared" si="2065"/>
        <v>0</v>
      </c>
      <c r="CX374" s="664" t="s">
        <v>273</v>
      </c>
      <c r="DC374" s="217"/>
      <c r="DE374" s="179">
        <f t="shared" ref="DE374" si="2078">SUMIF($D$5:$D$319,"=klm",DE5:DE319)+SUMIF($D$5:$D$319,"=kls",DE5:DE319)+SUMIF($D$5:$D$319,"=klr",DE5:DE319)+SUMIF($D$5:$D$319,"=klk",DE5:DE319)+SUMIF($D$5:$D$319,"=klz",DE5:DE319)</f>
        <v>0</v>
      </c>
      <c r="DG374" s="179">
        <f t="shared" ref="DG374" si="2079">SUMIF($D$5:$D$319,"=klm",DG5:DG319)+SUMIF($D$5:$D$319,"=kls",DG5:DG319)+SUMIF($D$5:$D$319,"=klr",DG5:DG319)+SUMIF($D$5:$D$319,"=klk",DG5:DG319)+SUMIF($D$5:$D$319,"=klz",DG5:DG319)</f>
        <v>0</v>
      </c>
      <c r="DI374" s="102">
        <f t="shared" ref="DI374:FH374" si="2080">SUM(DI375:DI377)</f>
        <v>0</v>
      </c>
      <c r="DJ374" s="179">
        <f>ROUND(DL374*HLOOKUP(DJ322,Grund_zins,2,FALSE),2)</f>
        <v>0</v>
      </c>
      <c r="DK374" s="179">
        <f t="shared" ref="DK374" si="2081">SUMIF($D$5:$D$319,"=klm",DK5:DK319)+SUMIF($D$5:$D$319,"=kls",DK5:DK319)+SUMIF($D$5:$D$319,"=klr",DK5:DK319)+SUMIF($D$5:$D$319,"=klk",DK5:DK319)+SUMIF($D$5:$D$319,"=klz",DK5:DK319)</f>
        <v>0</v>
      </c>
      <c r="DL374" s="179">
        <f t="shared" si="1985"/>
        <v>0</v>
      </c>
      <c r="DM374" s="179">
        <f t="shared" ref="DM374" si="2082">SUMIF($D$5:$D$319,"=klm",DM5:DM319)+SUMIF($D$5:$D$319,"=kls",DM5:DM319)+SUMIF($D$5:$D$319,"=klr",DM5:DM319)+SUMIF($D$5:$D$319,"=klk",DM5:DM319)+SUMIF($D$5:$D$319,"=klz",DM5:DM319)</f>
        <v>0</v>
      </c>
      <c r="DN374" s="102">
        <f t="shared" ref="DN374:FM374" si="2083">SUM(DN375:DN377)</f>
        <v>0</v>
      </c>
      <c r="DO374" s="664" t="s">
        <v>273</v>
      </c>
      <c r="DT374" s="217"/>
      <c r="DV374" s="179">
        <f t="shared" ref="DV374" si="2084">SUMIF($D$5:$D$319,"=klm",DV5:DV319)+SUMIF($D$5:$D$319,"=kls",DV5:DV319)+SUMIF($D$5:$D$319,"=klr",DV5:DV319)+SUMIF($D$5:$D$319,"=klk",DV5:DV319)+SUMIF($D$5:$D$319,"=klz",DV5:DV319)</f>
        <v>0</v>
      </c>
      <c r="DX374" s="179">
        <f t="shared" ref="DX374" si="2085">SUMIF($D$5:$D$319,"=klm",DX5:DX319)+SUMIF($D$5:$D$319,"=kls",DX5:DX319)+SUMIF($D$5:$D$319,"=klr",DX5:DX319)+SUMIF($D$5:$D$319,"=klk",DX5:DX319)+SUMIF($D$5:$D$319,"=klz",DX5:DX319)</f>
        <v>0</v>
      </c>
      <c r="DZ374" s="102">
        <f t="shared" si="2080"/>
        <v>0</v>
      </c>
      <c r="EA374" s="179">
        <f>ROUND(EC374*HLOOKUP(EA322,Grund_zins,2,FALSE),2)</f>
        <v>0</v>
      </c>
      <c r="EB374" s="179">
        <f t="shared" ref="EB374" si="2086">SUMIF($D$5:$D$319,"=klm",EB5:EB319)+SUMIF($D$5:$D$319,"=kls",EB5:EB319)+SUMIF($D$5:$D$319,"=klr",EB5:EB319)+SUMIF($D$5:$D$319,"=klk",EB5:EB319)+SUMIF($D$5:$D$319,"=klz",EB5:EB319)</f>
        <v>0</v>
      </c>
      <c r="EC374" s="179">
        <f t="shared" si="1992"/>
        <v>0</v>
      </c>
      <c r="ED374" s="179">
        <f t="shared" ref="ED374" si="2087">SUMIF($D$5:$D$319,"=klm",ED5:ED319)+SUMIF($D$5:$D$319,"=kls",ED5:ED319)+SUMIF($D$5:$D$319,"=klr",ED5:ED319)+SUMIF($D$5:$D$319,"=klk",ED5:ED319)+SUMIF($D$5:$D$319,"=klz",ED5:ED319)</f>
        <v>0</v>
      </c>
      <c r="EE374" s="102">
        <f t="shared" si="2083"/>
        <v>0</v>
      </c>
      <c r="EF374" s="664" t="s">
        <v>273</v>
      </c>
      <c r="EK374" s="217"/>
      <c r="EM374" s="179">
        <f t="shared" ref="EM374" si="2088">SUMIF($D$5:$D$319,"=klm",EM5:EM319)+SUMIF($D$5:$D$319,"=kls",EM5:EM319)+SUMIF($D$5:$D$319,"=klr",EM5:EM319)+SUMIF($D$5:$D$319,"=klk",EM5:EM319)+SUMIF($D$5:$D$319,"=klz",EM5:EM319)</f>
        <v>0</v>
      </c>
      <c r="EO374" s="179">
        <f t="shared" ref="EO374" si="2089">SUMIF($D$5:$D$319,"=klm",EO5:EO319)+SUMIF($D$5:$D$319,"=kls",EO5:EO319)+SUMIF($D$5:$D$319,"=klr",EO5:EO319)+SUMIF($D$5:$D$319,"=klk",EO5:EO319)+SUMIF($D$5:$D$319,"=klz",EO5:EO319)</f>
        <v>0</v>
      </c>
      <c r="EQ374" s="102">
        <f t="shared" si="2080"/>
        <v>0</v>
      </c>
      <c r="ER374" s="179">
        <f>ROUND(ET374*HLOOKUP(ER322,Grund_zins,2,FALSE),2)</f>
        <v>0</v>
      </c>
      <c r="ES374" s="179">
        <f t="shared" ref="ES374" si="2090">SUMIF($D$5:$D$319,"=klm",ES5:ES319)+SUMIF($D$5:$D$319,"=kls",ES5:ES319)+SUMIF($D$5:$D$319,"=klr",ES5:ES319)+SUMIF($D$5:$D$319,"=klk",ES5:ES319)+SUMIF($D$5:$D$319,"=klz",ES5:ES319)</f>
        <v>0</v>
      </c>
      <c r="ET374" s="179">
        <f t="shared" si="1999"/>
        <v>0</v>
      </c>
      <c r="EU374" s="179">
        <f t="shared" ref="EU374" si="2091">SUMIF($D$5:$D$319,"=klm",EU5:EU319)+SUMIF($D$5:$D$319,"=kls",EU5:EU319)+SUMIF($D$5:$D$319,"=klr",EU5:EU319)+SUMIF($D$5:$D$319,"=klk",EU5:EU319)+SUMIF($D$5:$D$319,"=klz",EU5:EU319)</f>
        <v>0</v>
      </c>
      <c r="EV374" s="102">
        <f t="shared" si="2083"/>
        <v>0</v>
      </c>
      <c r="EW374" s="664" t="s">
        <v>273</v>
      </c>
      <c r="FB374" s="217"/>
      <c r="FD374" s="179">
        <f t="shared" ref="FD374" si="2092">SUMIF($D$5:$D$319,"=klm",FD5:FD319)+SUMIF($D$5:$D$319,"=kls",FD5:FD319)+SUMIF($D$5:$D$319,"=klr",FD5:FD319)+SUMIF($D$5:$D$319,"=klk",FD5:FD319)+SUMIF($D$5:$D$319,"=klz",FD5:FD319)</f>
        <v>0</v>
      </c>
      <c r="FF374" s="179">
        <f t="shared" ref="FF374" si="2093">SUMIF($D$5:$D$319,"=klm",FF5:FF319)+SUMIF($D$5:$D$319,"=kls",FF5:FF319)+SUMIF($D$5:$D$319,"=klr",FF5:FF319)+SUMIF($D$5:$D$319,"=klk",FF5:FF319)+SUMIF($D$5:$D$319,"=klz",FF5:FF319)</f>
        <v>0</v>
      </c>
      <c r="FH374" s="102">
        <f t="shared" si="2080"/>
        <v>0</v>
      </c>
      <c r="FI374" s="179">
        <f>ROUND(FK374*HLOOKUP(FI322,Grund_zins,2,FALSE),2)</f>
        <v>0</v>
      </c>
      <c r="FJ374" s="179">
        <f t="shared" ref="FJ374" si="2094">SUMIF($D$5:$D$319,"=klm",FJ5:FJ319)+SUMIF($D$5:$D$319,"=kls",FJ5:FJ319)+SUMIF($D$5:$D$319,"=klr",FJ5:FJ319)+SUMIF($D$5:$D$319,"=klk",FJ5:FJ319)+SUMIF($D$5:$D$319,"=klz",FJ5:FJ319)</f>
        <v>0</v>
      </c>
      <c r="FK374" s="179">
        <f t="shared" si="2006"/>
        <v>0</v>
      </c>
      <c r="FL374" s="179">
        <f t="shared" ref="FL374" si="2095">SUMIF($D$5:$D$319,"=klm",FL5:FL319)+SUMIF($D$5:$D$319,"=kls",FL5:FL319)+SUMIF($D$5:$D$319,"=klr",FL5:FL319)+SUMIF($D$5:$D$319,"=klk",FL5:FL319)+SUMIF($D$5:$D$319,"=klz",FL5:FL319)</f>
        <v>0</v>
      </c>
      <c r="FM374" s="102">
        <f t="shared" si="2083"/>
        <v>0</v>
      </c>
      <c r="FN374" s="664" t="s">
        <v>273</v>
      </c>
      <c r="FS374" s="217"/>
    </row>
    <row r="375" spans="1:175" s="10" customFormat="1" ht="15" hidden="1" customHeight="1" x14ac:dyDescent="0.3">
      <c r="A375" s="665" t="s">
        <v>180</v>
      </c>
      <c r="V375" s="217">
        <v>54</v>
      </c>
      <c r="X375" s="179">
        <f>SUMIF($D$5:$D$319,"=kls",X5:X319)*HLOOKUP(AC322,Verteil_sw,11,FALSE)+SUMIF($D$5:$D$319,"=klm",X5:X319)*HLOOKUP(AC322,Verteil_sw,12,FALSE)+SUMIF($D$5:$D$319,"=klr",X5:X319)*HLOOKUP(AC322,Verteil_sw,13,FALSE)+SUMIF($D$5:$D$319,"=klk",X5:X319)*HLOOKUP(AC322,Verteil_sw,14,FALSE)+SUMIF($D$5:$D$319,"=klz",X5:X319)*HLOOKUP(AC322,Verteil_sw,15,FALSE)</f>
        <v>0</v>
      </c>
      <c r="Z375" s="179">
        <f>SUMIF($D$5:$D$319,"=kls",Z5:Z319)*HLOOKUP(AC322,Verteil_sw,11,FALSE)+SUMIF($D$5:$D$319,"=klm",Z5:Z319)*HLOOKUP(AC322,Verteil_sw,12,FALSE)+SUMIF($D$5:$D$319,"=klr",Z5:Z319)*HLOOKUP(AC322,Verteil_sw,13,FALSE)+SUMIF($D$5:$D$319,"=klk",Z5:Z319)*HLOOKUP(AC322,Verteil_sw,14,FALSE)+SUMIF($D$5:$D$319,"=klz",Z5:Z319)*HLOOKUP(AC322,Verteil_sw,15,FALSE)</f>
        <v>0</v>
      </c>
      <c r="AB375" s="102">
        <f t="shared" ref="AB375" si="2096">IF(AC374&lt;&gt;0,AC375/AC374,0)</f>
        <v>0</v>
      </c>
      <c r="AC375" s="179">
        <f>ROUND(AE375*HLOOKUP(AC322,Grund_zins,2,FALSE),2)</f>
        <v>0</v>
      </c>
      <c r="AD375" s="179">
        <f>SUMIF($D$5:$D$319,"=kls",AD5:AD319)*HLOOKUP(AC322,Verteil_sw,11,FALSE)+SUMIF($D$5:$D$319,"=klm",AD5:AD319)*HLOOKUP(AC322,Verteil_sw,12,FALSE)+SUMIF($D$5:$D$319,"=klr",AD5:AD319)*HLOOKUP(AC322,Verteil_sw,13,FALSE)+SUMIF($D$5:$D$319,"=klk",AD5:AD319)*HLOOKUP(AC322,Verteil_sw,14,FALSE)+SUMIF($D$5:$D$319,"=klz",AD5:AD319)*HLOOKUP(AC322,Verteil_sw,15,FALSE)</f>
        <v>0</v>
      </c>
      <c r="AE375" s="179">
        <f t="shared" si="2009"/>
        <v>0</v>
      </c>
      <c r="AF375" s="179">
        <f>SUMIF($D$5:$D$319,"=kls",AF5:AF319)*HLOOKUP(AC322,Verteil_sw,11,FALSE)+SUMIF($D$5:$D$319,"=klm",AF5:AF319)*HLOOKUP(AC322,Verteil_sw,12,FALSE)+SUMIF($D$5:$D$319,"=klr",AF5:AF319)*HLOOKUP(AC322,Verteil_sw,13,FALSE)+SUMIF($D$5:$D$319,"=klk",AF5:AF319)*HLOOKUP(AC322,Verteil_sw,14,FALSE)+SUMIF($D$5:$D$319,"=klz",AF5:AF319)*HLOOKUP(AC322,Verteil_sw,15,FALSE)</f>
        <v>0</v>
      </c>
      <c r="AG375" s="102">
        <f t="shared" ref="AG375" si="2097">IF(AF374&lt;&gt;0,AF375/AF374,0)</f>
        <v>0</v>
      </c>
      <c r="AH375" s="665" t="s">
        <v>180</v>
      </c>
      <c r="AM375" s="217"/>
      <c r="AO375" s="179">
        <f>SUMIF($D$5:$D$319,"=kls",AO5:AO319)*HLOOKUP(AT322,Verteil_sw,11,FALSE)+SUMIF($D$5:$D$319,"=klm",AO5:AO319)*HLOOKUP(AT322,Verteil_sw,12,FALSE)+SUMIF($D$5:$D$319,"=klr",AO5:AO319)*HLOOKUP(AT322,Verteil_sw,13,FALSE)+SUMIF($D$5:$D$319,"=klk",AO5:AO319)*HLOOKUP(AT322,Verteil_sw,14,FALSE)+SUMIF($D$5:$D$319,"=klz",AO5:AO319)*HLOOKUP(AT322,Verteil_sw,15,FALSE)</f>
        <v>0</v>
      </c>
      <c r="AQ375" s="179">
        <f>SUMIF($D$5:$D$319,"=kls",AQ5:AQ319)*HLOOKUP(AT322,Verteil_sw,11,FALSE)+SUMIF($D$5:$D$319,"=klm",AQ5:AQ319)*HLOOKUP(AT322,Verteil_sw,12,FALSE)+SUMIF($D$5:$D$319,"=klr",AQ5:AQ319)*HLOOKUP(AT322,Verteil_sw,13,FALSE)+SUMIF($D$5:$D$319,"=klk",AQ5:AQ319)*HLOOKUP(AT322,Verteil_sw,14,FALSE)+SUMIF($D$5:$D$319,"=klz",AQ5:AQ319)*HLOOKUP(AT322,Verteil_sw,15,FALSE)</f>
        <v>0</v>
      </c>
      <c r="AS375" s="102">
        <f t="shared" ref="AS375" si="2098">IF(AT374&lt;&gt;0,AT375/AT374,0)</f>
        <v>0</v>
      </c>
      <c r="AT375" s="179">
        <f>ROUND(AV375*HLOOKUP(AT322,Grund_zins,2,FALSE),2)</f>
        <v>0</v>
      </c>
      <c r="AU375" s="179">
        <f>SUMIF($D$5:$D$319,"=kls",AU5:AU319)*HLOOKUP(AT322,Verteil_sw,11,FALSE)+SUMIF($D$5:$D$319,"=klm",AU5:AU319)*HLOOKUP(AT322,Verteil_sw,12,FALSE)+SUMIF($D$5:$D$319,"=klr",AU5:AU319)*HLOOKUP(AT322,Verteil_sw,13,FALSE)+SUMIF($D$5:$D$319,"=klk",AU5:AU319)*HLOOKUP(AT322,Verteil_sw,14,FALSE)+SUMIF($D$5:$D$319,"=klz",AU5:AU319)*HLOOKUP(AT322,Verteil_sw,15,FALSE)</f>
        <v>0</v>
      </c>
      <c r="AV375" s="179">
        <f t="shared" si="1957"/>
        <v>0</v>
      </c>
      <c r="AW375" s="179">
        <f>SUMIF($D$5:$D$319,"=kls",AW5:AW319)*HLOOKUP(AT322,Verteil_sw,11,FALSE)+SUMIF($D$5:$D$319,"=klm",AW5:AW319)*HLOOKUP(AT322,Verteil_sw,12,FALSE)+SUMIF($D$5:$D$319,"=klr",AW5:AW319)*HLOOKUP(AT322,Verteil_sw,13,FALSE)+SUMIF($D$5:$D$319,"=klk",AW5:AW319)*HLOOKUP(AT322,Verteil_sw,14,FALSE)+SUMIF($D$5:$D$319,"=klz",AW5:AW319)*HLOOKUP(AT322,Verteil_sw,15,FALSE)</f>
        <v>0</v>
      </c>
      <c r="AX375" s="102">
        <f t="shared" ref="AX375" si="2099">IF(AW374&lt;&gt;0,AW375/AW374,0)</f>
        <v>0</v>
      </c>
      <c r="AY375" s="665" t="s">
        <v>180</v>
      </c>
      <c r="BD375" s="217"/>
      <c r="BF375" s="179">
        <f>SUMIF($D$5:$D$319,"=kls",BF5:BF319)*HLOOKUP(BK322,Verteil_sw,11,FALSE)+SUMIF($D$5:$D$319,"=klm",BF5:BF319)*HLOOKUP(BK322,Verteil_sw,12,FALSE)+SUMIF($D$5:$D$319,"=klr",BF5:BF319)*HLOOKUP(BK322,Verteil_sw,13,FALSE)+SUMIF($D$5:$D$319,"=klk",BF5:BF319)*HLOOKUP(BK322,Verteil_sw,14,FALSE)+SUMIF($D$5:$D$319,"=klz",BF5:BF319)*HLOOKUP(BK322,Verteil_sw,15,FALSE)</f>
        <v>0</v>
      </c>
      <c r="BH375" s="179">
        <f>SUMIF($D$5:$D$319,"=kls",BH5:BH319)*HLOOKUP(BK322,Verteil_sw,11,FALSE)+SUMIF($D$5:$D$319,"=klm",BH5:BH319)*HLOOKUP(BK322,Verteil_sw,12,FALSE)+SUMIF($D$5:$D$319,"=klr",BH5:BH319)*HLOOKUP(BK322,Verteil_sw,13,FALSE)+SUMIF($D$5:$D$319,"=klk",BH5:BH319)*HLOOKUP(BK322,Verteil_sw,14,FALSE)+SUMIF($D$5:$D$319,"=klz",BH5:BH319)*HLOOKUP(BK322,Verteil_sw,15,FALSE)</f>
        <v>0</v>
      </c>
      <c r="BJ375" s="102">
        <f t="shared" ref="BJ375" si="2100">IF(BK374&lt;&gt;0,BK375/BK374,0)</f>
        <v>0</v>
      </c>
      <c r="BK375" s="179">
        <f>ROUND(BM375*HLOOKUP(BK322,Grund_zins,2,FALSE),2)</f>
        <v>0</v>
      </c>
      <c r="BL375" s="179">
        <f>SUMIF($D$5:$D$319,"=kls",BL5:BL319)*HLOOKUP(BK322,Verteil_sw,11,FALSE)+SUMIF($D$5:$D$319,"=klm",BL5:BL319)*HLOOKUP(BK322,Verteil_sw,12,FALSE)+SUMIF($D$5:$D$319,"=klr",BL5:BL319)*HLOOKUP(BK322,Verteil_sw,13,FALSE)+SUMIF($D$5:$D$319,"=klk",BL5:BL319)*HLOOKUP(BK322,Verteil_sw,14,FALSE)+SUMIF($D$5:$D$319,"=klz",BL5:BL319)*HLOOKUP(BK322,Verteil_sw,15,FALSE)</f>
        <v>0</v>
      </c>
      <c r="BM375" s="179">
        <f t="shared" si="1964"/>
        <v>0</v>
      </c>
      <c r="BN375" s="179">
        <f>SUMIF($D$5:$D$319,"=kls",BN5:BN319)*HLOOKUP(BK322,Verteil_sw,11,FALSE)+SUMIF($D$5:$D$319,"=klm",BN5:BN319)*HLOOKUP(BK322,Verteil_sw,12,FALSE)+SUMIF($D$5:$D$319,"=klr",BN5:BN319)*HLOOKUP(BK322,Verteil_sw,13,FALSE)+SUMIF($D$5:$D$319,"=klk",BN5:BN319)*HLOOKUP(BK322,Verteil_sw,14,FALSE)+SUMIF($D$5:$D$319,"=klz",BN5:BN319)*HLOOKUP(BK322,Verteil_sw,15,FALSE)</f>
        <v>0</v>
      </c>
      <c r="BO375" s="102">
        <f t="shared" ref="BO375" si="2101">IF(BN374&lt;&gt;0,BN375/BN374,0)</f>
        <v>0</v>
      </c>
      <c r="BP375" s="665" t="s">
        <v>180</v>
      </c>
      <c r="BU375" s="217"/>
      <c r="BW375" s="179">
        <f>SUMIF($D$5:$D$319,"=kls",BW5:BW319)*HLOOKUP(CB322,Verteil_sw,11,FALSE)+SUMIF($D$5:$D$319,"=klm",BW5:BW319)*HLOOKUP(CB322,Verteil_sw,12,FALSE)+SUMIF($D$5:$D$319,"=klr",BW5:BW319)*HLOOKUP(CB322,Verteil_sw,13,FALSE)+SUMIF($D$5:$D$319,"=klk",BW5:BW319)*HLOOKUP(CB322,Verteil_sw,14,FALSE)+SUMIF($D$5:$D$319,"=klz",BW5:BW319)*HLOOKUP(CB322,Verteil_sw,15,FALSE)</f>
        <v>0</v>
      </c>
      <c r="BY375" s="179">
        <f>SUMIF($D$5:$D$319,"=kls",BY5:BY319)*HLOOKUP(CB322,Verteil_sw,11,FALSE)+SUMIF($D$5:$D$319,"=klm",BY5:BY319)*HLOOKUP(CB322,Verteil_sw,12,FALSE)+SUMIF($D$5:$D$319,"=klr",BY5:BY319)*HLOOKUP(CB322,Verteil_sw,13,FALSE)+SUMIF($D$5:$D$319,"=klk",BY5:BY319)*HLOOKUP(CB322,Verteil_sw,14,FALSE)+SUMIF($D$5:$D$319,"=klz",BY5:BY319)*HLOOKUP(CB322,Verteil_sw,15,FALSE)</f>
        <v>0</v>
      </c>
      <c r="CA375" s="102">
        <f t="shared" ref="CA375" si="2102">IF(CB374&lt;&gt;0,CB375/CB374,0)</f>
        <v>0</v>
      </c>
      <c r="CB375" s="179">
        <f>ROUND(CD375*HLOOKUP(CB322,Grund_zins,2,FALSE),2)</f>
        <v>0</v>
      </c>
      <c r="CC375" s="179">
        <f>SUMIF($D$5:$D$319,"=kls",CC5:CC319)*HLOOKUP(CB322,Verteil_sw,11,FALSE)+SUMIF($D$5:$D$319,"=klm",CC5:CC319)*HLOOKUP(CB322,Verteil_sw,12,FALSE)+SUMIF($D$5:$D$319,"=klr",CC5:CC319)*HLOOKUP(CB322,Verteil_sw,13,FALSE)+SUMIF($D$5:$D$319,"=klk",CC5:CC319)*HLOOKUP(CB322,Verteil_sw,14,FALSE)+SUMIF($D$5:$D$319,"=klz",CC5:CC319)*HLOOKUP(CB322,Verteil_sw,15,FALSE)</f>
        <v>0</v>
      </c>
      <c r="CD375" s="179">
        <f t="shared" si="1971"/>
        <v>0</v>
      </c>
      <c r="CE375" s="179">
        <f>SUMIF($D$5:$D$319,"=kls",CE5:CE319)*HLOOKUP(CB322,Verteil_sw,11,FALSE)+SUMIF($D$5:$D$319,"=klm",CE5:CE319)*HLOOKUP(CB322,Verteil_sw,12,FALSE)+SUMIF($D$5:$D$319,"=klr",CE5:CE319)*HLOOKUP(CB322,Verteil_sw,13,FALSE)+SUMIF($D$5:$D$319,"=klk",CE5:CE319)*HLOOKUP(CB322,Verteil_sw,14,FALSE)+SUMIF($D$5:$D$319,"=klz",CE5:CE319)*HLOOKUP(CB322,Verteil_sw,15,FALSE)</f>
        <v>0</v>
      </c>
      <c r="CF375" s="102">
        <f t="shared" ref="CF375" si="2103">IF(CE374&lt;&gt;0,CE375/CE374,0)</f>
        <v>0</v>
      </c>
      <c r="CG375" s="665" t="s">
        <v>180</v>
      </c>
      <c r="CL375" s="217"/>
      <c r="CN375" s="179">
        <f>SUMIF($D$5:$D$319,"=kls",CN5:CN319)*HLOOKUP(CS322,Verteil_sw,11,FALSE)+SUMIF($D$5:$D$319,"=klm",CN5:CN319)*HLOOKUP(CS322,Verteil_sw,12,FALSE)+SUMIF($D$5:$D$319,"=klr",CN5:CN319)*HLOOKUP(CS322,Verteil_sw,13,FALSE)+SUMIF($D$5:$D$319,"=klk",CN5:CN319)*HLOOKUP(CS322,Verteil_sw,14,FALSE)+SUMIF($D$5:$D$319,"=klz",CN5:CN319)*HLOOKUP(CS322,Verteil_sw,15,FALSE)</f>
        <v>0</v>
      </c>
      <c r="CP375" s="179">
        <f>SUMIF($D$5:$D$319,"=kls",CP5:CP319)*HLOOKUP(CS322,Verteil_sw,11,FALSE)+SUMIF($D$5:$D$319,"=klm",CP5:CP319)*HLOOKUP(CS322,Verteil_sw,12,FALSE)+SUMIF($D$5:$D$319,"=klr",CP5:CP319)*HLOOKUP(CS322,Verteil_sw,13,FALSE)+SUMIF($D$5:$D$319,"=klk",CP5:CP319)*HLOOKUP(CS322,Verteil_sw,14,FALSE)+SUMIF($D$5:$D$319,"=klz",CP5:CP319)*HLOOKUP(CS322,Verteil_sw,15,FALSE)</f>
        <v>0</v>
      </c>
      <c r="CR375" s="102">
        <f t="shared" ref="CR375" si="2104">IF(CS374&lt;&gt;0,CS375/CS374,0)</f>
        <v>0</v>
      </c>
      <c r="CS375" s="179">
        <f>ROUND(CU375*HLOOKUP(CS322,Grund_zins,2,FALSE),2)</f>
        <v>0</v>
      </c>
      <c r="CT375" s="179">
        <f>SUMIF($D$5:$D$319,"=kls",CT5:CT319)*HLOOKUP(CS322,Verteil_sw,11,FALSE)+SUMIF($D$5:$D$319,"=klm",CT5:CT319)*HLOOKUP(CS322,Verteil_sw,12,FALSE)+SUMIF($D$5:$D$319,"=klr",CT5:CT319)*HLOOKUP(CS322,Verteil_sw,13,FALSE)+SUMIF($D$5:$D$319,"=klk",CT5:CT319)*HLOOKUP(CS322,Verteil_sw,14,FALSE)+SUMIF($D$5:$D$319,"=klz",CT5:CT319)*HLOOKUP(CS322,Verteil_sw,15,FALSE)</f>
        <v>0</v>
      </c>
      <c r="CU375" s="179">
        <f t="shared" si="1978"/>
        <v>0</v>
      </c>
      <c r="CV375" s="179">
        <f>SUMIF($D$5:$D$319,"=kls",CV5:CV319)*HLOOKUP(CS322,Verteil_sw,11,FALSE)+SUMIF($D$5:$D$319,"=klm",CV5:CV319)*HLOOKUP(CS322,Verteil_sw,12,FALSE)+SUMIF($D$5:$D$319,"=klr",CV5:CV319)*HLOOKUP(CS322,Verteil_sw,13,FALSE)+SUMIF($D$5:$D$319,"=klk",CV5:CV319)*HLOOKUP(CS322,Verteil_sw,14,FALSE)+SUMIF($D$5:$D$319,"=klz",CV5:CV319)*HLOOKUP(CS322,Verteil_sw,15,FALSE)</f>
        <v>0</v>
      </c>
      <c r="CW375" s="102">
        <f t="shared" ref="CW375" si="2105">IF(CV374&lt;&gt;0,CV375/CV374,0)</f>
        <v>0</v>
      </c>
      <c r="CX375" s="665" t="s">
        <v>180</v>
      </c>
      <c r="DC375" s="217"/>
      <c r="DE375" s="179">
        <f>SUMIF($D$5:$D$319,"=kls",DE5:DE319)*HLOOKUP(DJ322,Verteil_sw,11,FALSE)+SUMIF($D$5:$D$319,"=klm",DE5:DE319)*HLOOKUP(DJ322,Verteil_sw,12,FALSE)+SUMIF($D$5:$D$319,"=klr",DE5:DE319)*HLOOKUP(DJ322,Verteil_sw,13,FALSE)+SUMIF($D$5:$D$319,"=klk",DE5:DE319)*HLOOKUP(DJ322,Verteil_sw,14,FALSE)+SUMIF($D$5:$D$319,"=klz",DE5:DE319)*HLOOKUP(DJ322,Verteil_sw,15,FALSE)</f>
        <v>0</v>
      </c>
      <c r="DG375" s="179">
        <f>SUMIF($D$5:$D$319,"=kls",DG5:DG319)*HLOOKUP(DJ322,Verteil_sw,11,FALSE)+SUMIF($D$5:$D$319,"=klm",DG5:DG319)*HLOOKUP(DJ322,Verteil_sw,12,FALSE)+SUMIF($D$5:$D$319,"=klr",DG5:DG319)*HLOOKUP(DJ322,Verteil_sw,13,FALSE)+SUMIF($D$5:$D$319,"=klk",DG5:DG319)*HLOOKUP(DJ322,Verteil_sw,14,FALSE)+SUMIF($D$5:$D$319,"=klz",DG5:DG319)*HLOOKUP(DJ322,Verteil_sw,15,FALSE)</f>
        <v>0</v>
      </c>
      <c r="DI375" s="102">
        <f t="shared" ref="DI375" si="2106">IF(DJ374&lt;&gt;0,DJ375/DJ374,0)</f>
        <v>0</v>
      </c>
      <c r="DJ375" s="179">
        <f>ROUND(DL375*HLOOKUP(DJ322,Grund_zins,2,FALSE),2)</f>
        <v>0</v>
      </c>
      <c r="DK375" s="179">
        <f>SUMIF($D$5:$D$319,"=kls",DK5:DK319)*HLOOKUP(DJ322,Verteil_sw,11,FALSE)+SUMIF($D$5:$D$319,"=klm",DK5:DK319)*HLOOKUP(DJ322,Verteil_sw,12,FALSE)+SUMIF($D$5:$D$319,"=klr",DK5:DK319)*HLOOKUP(DJ322,Verteil_sw,13,FALSE)+SUMIF($D$5:$D$319,"=klk",DK5:DK319)*HLOOKUP(DJ322,Verteil_sw,14,FALSE)+SUMIF($D$5:$D$319,"=klz",DK5:DK319)*HLOOKUP(DJ322,Verteil_sw,15,FALSE)</f>
        <v>0</v>
      </c>
      <c r="DL375" s="179">
        <f t="shared" si="1985"/>
        <v>0</v>
      </c>
      <c r="DM375" s="179">
        <f>SUMIF($D$5:$D$319,"=kls",DM5:DM319)*HLOOKUP(DJ322,Verteil_sw,11,FALSE)+SUMIF($D$5:$D$319,"=klm",DM5:DM319)*HLOOKUP(DJ322,Verteil_sw,12,FALSE)+SUMIF($D$5:$D$319,"=klr",DM5:DM319)*HLOOKUP(DJ322,Verteil_sw,13,FALSE)+SUMIF($D$5:$D$319,"=klk",DM5:DM319)*HLOOKUP(DJ322,Verteil_sw,14,FALSE)+SUMIF($D$5:$D$319,"=klz",DM5:DM319)*HLOOKUP(DJ322,Verteil_sw,15,FALSE)</f>
        <v>0</v>
      </c>
      <c r="DN375" s="102">
        <f t="shared" ref="DN375" si="2107">IF(DM374&lt;&gt;0,DM375/DM374,0)</f>
        <v>0</v>
      </c>
      <c r="DO375" s="665" t="s">
        <v>180</v>
      </c>
      <c r="DT375" s="217"/>
      <c r="DV375" s="179">
        <f>SUMIF($D$5:$D$319,"=kls",DV5:DV319)*HLOOKUP(EA322,Verteil_sw,11,FALSE)+SUMIF($D$5:$D$319,"=klm",DV5:DV319)*HLOOKUP(EA322,Verteil_sw,12,FALSE)+SUMIF($D$5:$D$319,"=klr",DV5:DV319)*HLOOKUP(EA322,Verteil_sw,13,FALSE)+SUMIF($D$5:$D$319,"=klk",DV5:DV319)*HLOOKUP(EA322,Verteil_sw,14,FALSE)+SUMIF($D$5:$D$319,"=klz",DV5:DV319)*HLOOKUP(EA322,Verteil_sw,15,FALSE)</f>
        <v>0</v>
      </c>
      <c r="DX375" s="179">
        <f>SUMIF($D$5:$D$319,"=kls",DX5:DX319)*HLOOKUP(EA322,Verteil_sw,11,FALSE)+SUMIF($D$5:$D$319,"=klm",DX5:DX319)*HLOOKUP(EA322,Verteil_sw,12,FALSE)+SUMIF($D$5:$D$319,"=klr",DX5:DX319)*HLOOKUP(EA322,Verteil_sw,13,FALSE)+SUMIF($D$5:$D$319,"=klk",DX5:DX319)*HLOOKUP(EA322,Verteil_sw,14,FALSE)+SUMIF($D$5:$D$319,"=klz",DX5:DX319)*HLOOKUP(EA322,Verteil_sw,15,FALSE)</f>
        <v>0</v>
      </c>
      <c r="DZ375" s="102">
        <f t="shared" ref="DZ375" si="2108">IF(EA374&lt;&gt;0,EA375/EA374,0)</f>
        <v>0</v>
      </c>
      <c r="EA375" s="179">
        <f>ROUND(EC375*HLOOKUP(EA322,Grund_zins,2,FALSE),2)</f>
        <v>0</v>
      </c>
      <c r="EB375" s="179">
        <f>SUMIF($D$5:$D$319,"=kls",EB5:EB319)*HLOOKUP(EA322,Verteil_sw,11,FALSE)+SUMIF($D$5:$D$319,"=klm",EB5:EB319)*HLOOKUP(EA322,Verteil_sw,12,FALSE)+SUMIF($D$5:$D$319,"=klr",EB5:EB319)*HLOOKUP(EA322,Verteil_sw,13,FALSE)+SUMIF($D$5:$D$319,"=klk",EB5:EB319)*HLOOKUP(EA322,Verteil_sw,14,FALSE)+SUMIF($D$5:$D$319,"=klz",EB5:EB319)*HLOOKUP(EA322,Verteil_sw,15,FALSE)</f>
        <v>0</v>
      </c>
      <c r="EC375" s="179">
        <f t="shared" si="1992"/>
        <v>0</v>
      </c>
      <c r="ED375" s="179">
        <f>SUMIF($D$5:$D$319,"=kls",ED5:ED319)*HLOOKUP(EA322,Verteil_sw,11,FALSE)+SUMIF($D$5:$D$319,"=klm",ED5:ED319)*HLOOKUP(EA322,Verteil_sw,12,FALSE)+SUMIF($D$5:$D$319,"=klr",ED5:ED319)*HLOOKUP(EA322,Verteil_sw,13,FALSE)+SUMIF($D$5:$D$319,"=klk",ED5:ED319)*HLOOKUP(EA322,Verteil_sw,14,FALSE)+SUMIF($D$5:$D$319,"=klz",ED5:ED319)*HLOOKUP(EA322,Verteil_sw,15,FALSE)</f>
        <v>0</v>
      </c>
      <c r="EE375" s="102">
        <f t="shared" ref="EE375" si="2109">IF(ED374&lt;&gt;0,ED375/ED374,0)</f>
        <v>0</v>
      </c>
      <c r="EF375" s="665" t="s">
        <v>180</v>
      </c>
      <c r="EK375" s="217"/>
      <c r="EM375" s="179">
        <f>SUMIF($D$5:$D$319,"=kls",EM5:EM319)*HLOOKUP(ER322,Verteil_sw,11,FALSE)+SUMIF($D$5:$D$319,"=klm",EM5:EM319)*HLOOKUP(ER322,Verteil_sw,12,FALSE)+SUMIF($D$5:$D$319,"=klr",EM5:EM319)*HLOOKUP(ER322,Verteil_sw,13,FALSE)+SUMIF($D$5:$D$319,"=klk",EM5:EM319)*HLOOKUP(ER322,Verteil_sw,14,FALSE)+SUMIF($D$5:$D$319,"=klz",EM5:EM319)*HLOOKUP(ER322,Verteil_sw,15,FALSE)</f>
        <v>0</v>
      </c>
      <c r="EO375" s="179">
        <f>SUMIF($D$5:$D$319,"=kls",EO5:EO319)*HLOOKUP(ER322,Verteil_sw,11,FALSE)+SUMIF($D$5:$D$319,"=klm",EO5:EO319)*HLOOKUP(ER322,Verteil_sw,12,FALSE)+SUMIF($D$5:$D$319,"=klr",EO5:EO319)*HLOOKUP(ER322,Verteil_sw,13,FALSE)+SUMIF($D$5:$D$319,"=klk",EO5:EO319)*HLOOKUP(ER322,Verteil_sw,14,FALSE)+SUMIF($D$5:$D$319,"=klz",EO5:EO319)*HLOOKUP(ER322,Verteil_sw,15,FALSE)</f>
        <v>0</v>
      </c>
      <c r="EQ375" s="102">
        <f t="shared" ref="EQ375" si="2110">IF(ER374&lt;&gt;0,ER375/ER374,0)</f>
        <v>0</v>
      </c>
      <c r="ER375" s="179">
        <f>ROUND(ET375*HLOOKUP(ER322,Grund_zins,2,FALSE),2)</f>
        <v>0</v>
      </c>
      <c r="ES375" s="179">
        <f>SUMIF($D$5:$D$319,"=kls",ES5:ES319)*HLOOKUP(ER322,Verteil_sw,11,FALSE)+SUMIF($D$5:$D$319,"=klm",ES5:ES319)*HLOOKUP(ER322,Verteil_sw,12,FALSE)+SUMIF($D$5:$D$319,"=klr",ES5:ES319)*HLOOKUP(ER322,Verteil_sw,13,FALSE)+SUMIF($D$5:$D$319,"=klk",ES5:ES319)*HLOOKUP(ER322,Verteil_sw,14,FALSE)+SUMIF($D$5:$D$319,"=klz",ES5:ES319)*HLOOKUP(ER322,Verteil_sw,15,FALSE)</f>
        <v>0</v>
      </c>
      <c r="ET375" s="179">
        <f t="shared" si="1999"/>
        <v>0</v>
      </c>
      <c r="EU375" s="179">
        <f>SUMIF($D$5:$D$319,"=kls",EU5:EU319)*HLOOKUP(ER322,Verteil_sw,11,FALSE)+SUMIF($D$5:$D$319,"=klm",EU5:EU319)*HLOOKUP(ER322,Verteil_sw,12,FALSE)+SUMIF($D$5:$D$319,"=klr",EU5:EU319)*HLOOKUP(ER322,Verteil_sw,13,FALSE)+SUMIF($D$5:$D$319,"=klk",EU5:EU319)*HLOOKUP(ER322,Verteil_sw,14,FALSE)+SUMIF($D$5:$D$319,"=klz",EU5:EU319)*HLOOKUP(ER322,Verteil_sw,15,FALSE)</f>
        <v>0</v>
      </c>
      <c r="EV375" s="102">
        <f t="shared" ref="EV375" si="2111">IF(EU374&lt;&gt;0,EU375/EU374,0)</f>
        <v>0</v>
      </c>
      <c r="EW375" s="665" t="s">
        <v>180</v>
      </c>
      <c r="FB375" s="217"/>
      <c r="FD375" s="179">
        <f>SUMIF($D$5:$D$319,"=kls",FD5:FD319)*HLOOKUP(FI322,Verteil_sw,11,FALSE)+SUMIF($D$5:$D$319,"=klm",FD5:FD319)*HLOOKUP(FI322,Verteil_sw,12,FALSE)+SUMIF($D$5:$D$319,"=klr",FD5:FD319)*HLOOKUP(FI322,Verteil_sw,13,FALSE)+SUMIF($D$5:$D$319,"=klk",FD5:FD319)*HLOOKUP(FI322,Verteil_sw,14,FALSE)+SUMIF($D$5:$D$319,"=klz",FD5:FD319)*HLOOKUP(FI322,Verteil_sw,15,FALSE)</f>
        <v>0</v>
      </c>
      <c r="FF375" s="179">
        <f>SUMIF($D$5:$D$319,"=kls",FF5:FF319)*HLOOKUP(FI322,Verteil_sw,11,FALSE)+SUMIF($D$5:$D$319,"=klm",FF5:FF319)*HLOOKUP(FI322,Verteil_sw,12,FALSE)+SUMIF($D$5:$D$319,"=klr",FF5:FF319)*HLOOKUP(FI322,Verteil_sw,13,FALSE)+SUMIF($D$5:$D$319,"=klk",FF5:FF319)*HLOOKUP(FI322,Verteil_sw,14,FALSE)+SUMIF($D$5:$D$319,"=klz",FF5:FF319)*HLOOKUP(FI322,Verteil_sw,15,FALSE)</f>
        <v>0</v>
      </c>
      <c r="FH375" s="102">
        <f t="shared" ref="FH375" si="2112">IF(FI374&lt;&gt;0,FI375/FI374,0)</f>
        <v>0</v>
      </c>
      <c r="FI375" s="179">
        <f>ROUND(FK375*HLOOKUP(FI322,Grund_zins,2,FALSE),2)</f>
        <v>0</v>
      </c>
      <c r="FJ375" s="179">
        <f>SUMIF($D$5:$D$319,"=kls",FJ5:FJ319)*HLOOKUP(FI322,Verteil_sw,11,FALSE)+SUMIF($D$5:$D$319,"=klm",FJ5:FJ319)*HLOOKUP(FI322,Verteil_sw,12,FALSE)+SUMIF($D$5:$D$319,"=klr",FJ5:FJ319)*HLOOKUP(FI322,Verteil_sw,13,FALSE)+SUMIF($D$5:$D$319,"=klk",FJ5:FJ319)*HLOOKUP(FI322,Verteil_sw,14,FALSE)+SUMIF($D$5:$D$319,"=klz",FJ5:FJ319)*HLOOKUP(FI322,Verteil_sw,15,FALSE)</f>
        <v>0</v>
      </c>
      <c r="FK375" s="179">
        <f t="shared" si="2006"/>
        <v>0</v>
      </c>
      <c r="FL375" s="179">
        <f>SUMIF($D$5:$D$319,"=kls",FL5:FL319)*HLOOKUP(FI322,Verteil_sw,11,FALSE)+SUMIF($D$5:$D$319,"=klm",FL5:FL319)*HLOOKUP(FI322,Verteil_sw,12,FALSE)+SUMIF($D$5:$D$319,"=klr",FL5:FL319)*HLOOKUP(FI322,Verteil_sw,13,FALSE)+SUMIF($D$5:$D$319,"=klk",FL5:FL319)*HLOOKUP(FI322,Verteil_sw,14,FALSE)+SUMIF($D$5:$D$319,"=klz",FL5:FL319)*HLOOKUP(FI322,Verteil_sw,15,FALSE)</f>
        <v>0</v>
      </c>
      <c r="FM375" s="102">
        <f t="shared" ref="FM375" si="2113">IF(FL374&lt;&gt;0,FL375/FL374,0)</f>
        <v>0</v>
      </c>
      <c r="FN375" s="665" t="s">
        <v>180</v>
      </c>
      <c r="FS375" s="217"/>
    </row>
    <row r="376" spans="1:175" s="10" customFormat="1" ht="15" hidden="1" customHeight="1" x14ac:dyDescent="0.3">
      <c r="A376" s="665" t="s">
        <v>193</v>
      </c>
      <c r="V376" s="217">
        <v>55</v>
      </c>
      <c r="X376" s="179">
        <f>SUMIF($D$5:$D$319,"=kls",X5:X319)*HLOOKUP(AC322,Verteil_rwgr,10,FALSE)+SUMIF($D$5:$D$319,"=klm",X5:X319)*HLOOKUP(AC322,Verteil_rwgr,11,FALSE)+SUMIF($D$5:$D$319,"=klr",X5:X319)*HLOOKUP(AC322,Verteil_rwgr,12,FALSE)+SUMIF($D$5:$D$319,"=klk",X5:X319)*HLOOKUP(AC322,Verteil_rwgr,13,FALSE)+SUMIF($D$5:$D$319,"=klz",X5:X319)*HLOOKUP(AC322,Verteil_rwgr,14,FALSE)</f>
        <v>0</v>
      </c>
      <c r="Z376" s="179">
        <f>SUMIF($D$5:$D$319,"=kls",Z5:Z319)*HLOOKUP(AC322,Verteil_rwgr,10,FALSE)+SUMIF($D$5:$D$319,"=klm",Z5:Z319)*HLOOKUP(AC322,Verteil_rwgr,11,FALSE)+SUMIF($D$5:$D$319,"=klr",Z5:Z319)*HLOOKUP(AC322,Verteil_rwgr,12,FALSE)+SUMIF($D$5:$D$319,"=klk",Z5:Z319)*HLOOKUP(AC322,Verteil_rwgr,13,FALSE)+SUMIF($D$5:$D$319,"=klz",Z5:Z319)*HLOOKUP(AC322,Verteil_rwgr,14,FALSE)</f>
        <v>0</v>
      </c>
      <c r="AB376" s="102">
        <f t="shared" ref="AB376" si="2114">IF(AC374&lt;&gt;0,AC376/AC374,0)</f>
        <v>0</v>
      </c>
      <c r="AC376" s="179">
        <f>ROUND(AE376*HLOOKUP(AC322,Grund_zins,2,FALSE),2)</f>
        <v>0</v>
      </c>
      <c r="AD376" s="179">
        <f>SUMIF($D$5:$D$319,"=kls",AD5:AD319)*HLOOKUP(AC322,Verteil_rwgr,10,FALSE)+SUMIF($D$5:$D$319,"=klm",AD5:AD319)*HLOOKUP(AC322,Verteil_rwgr,11,FALSE)+SUMIF($D$5:$D$319,"=klr",AD5:AD319)*HLOOKUP(AC322,Verteil_rwgr,12,FALSE)+SUMIF($D$5:$D$319,"=klk",AD5:AD319)*HLOOKUP(AC322,Verteil_rwgr,13,FALSE)+SUMIF($D$5:$D$319,"=klz",AD5:AD319)*HLOOKUP(AC322,Verteil_rwgr,14,FALSE)</f>
        <v>0</v>
      </c>
      <c r="AE376" s="179">
        <f t="shared" si="2009"/>
        <v>0</v>
      </c>
      <c r="AF376" s="179">
        <f>SUMIF($D$5:$D$319,"=kls",AF5:AF319)*HLOOKUP(AC322,Verteil_rwgr,10,FALSE)+SUMIF($D$5:$D$319,"=klm",AF5:AF319)*HLOOKUP(AC322,Verteil_rwgr,11,FALSE)+SUMIF($D$5:$D$319,"=klr",AF5:AF319)*HLOOKUP(AC322,Verteil_rwgr,12,FALSE)+SUMIF($D$5:$D$319,"=klk",AF5:AF319)*HLOOKUP(AC322,Verteil_rwgr,13,FALSE)+SUMIF($D$5:$D$319,"=klz",AF5:AF319)*HLOOKUP(AC322,Verteil_rwgr,14,FALSE)</f>
        <v>0</v>
      </c>
      <c r="AG376" s="102">
        <f t="shared" ref="AG376" si="2115">IF(AF374&lt;&gt;0,AF376/AF374,0)</f>
        <v>0</v>
      </c>
      <c r="AH376" s="665" t="s">
        <v>193</v>
      </c>
      <c r="AM376" s="217"/>
      <c r="AO376" s="179">
        <f>SUMIF($D$5:$D$319,"=kls",AO5:AO319)*HLOOKUP(AT322,Verteil_rwgr,10,FALSE)+SUMIF($D$5:$D$319,"=klm",AO5:AO319)*HLOOKUP(AT322,Verteil_rwgr,11,FALSE)+SUMIF($D$5:$D$319,"=klr",AO5:AO319)*HLOOKUP(AT322,Verteil_rwgr,12,FALSE)+SUMIF($D$5:$D$319,"=klk",AO5:AO319)*HLOOKUP(AT322,Verteil_rwgr,13,FALSE)+SUMIF($D$5:$D$319,"=klz",AO5:AO319)*HLOOKUP(AT322,Verteil_rwgr,14,FALSE)</f>
        <v>0</v>
      </c>
      <c r="AQ376" s="179">
        <f>SUMIF($D$5:$D$319,"=kls",AQ5:AQ319)*HLOOKUP(AT322,Verteil_rwgr,10,FALSE)+SUMIF($D$5:$D$319,"=klm",AQ5:AQ319)*HLOOKUP(AT322,Verteil_rwgr,11,FALSE)+SUMIF($D$5:$D$319,"=klr",AQ5:AQ319)*HLOOKUP(AT322,Verteil_rwgr,12,FALSE)+SUMIF($D$5:$D$319,"=klk",AQ5:AQ319)*HLOOKUP(AT322,Verteil_rwgr,13,FALSE)+SUMIF($D$5:$D$319,"=klz",AQ5:AQ319)*HLOOKUP(AT322,Verteil_rwgr,14,FALSE)</f>
        <v>0</v>
      </c>
      <c r="AS376" s="102">
        <f t="shared" ref="AS376" si="2116">IF(AT374&lt;&gt;0,AT376/AT374,0)</f>
        <v>0</v>
      </c>
      <c r="AT376" s="179">
        <f>ROUND(AV376*HLOOKUP(AT322,Grund_zins,2,FALSE),2)</f>
        <v>0</v>
      </c>
      <c r="AU376" s="179">
        <f>SUMIF($D$5:$D$319,"=kls",AU5:AU319)*HLOOKUP(AT322,Verteil_rwgr,10,FALSE)+SUMIF($D$5:$D$319,"=klm",AU5:AU319)*HLOOKUP(AT322,Verteil_rwgr,11,FALSE)+SUMIF($D$5:$D$319,"=klr",AU5:AU319)*HLOOKUP(AT322,Verteil_rwgr,12,FALSE)+SUMIF($D$5:$D$319,"=klk",AU5:AU319)*HLOOKUP(AT322,Verteil_rwgr,13,FALSE)+SUMIF($D$5:$D$319,"=klz",AU5:AU319)*HLOOKUP(AT322,Verteil_rwgr,14,FALSE)</f>
        <v>0</v>
      </c>
      <c r="AV376" s="179">
        <f t="shared" si="1957"/>
        <v>0</v>
      </c>
      <c r="AW376" s="179">
        <f>SUMIF($D$5:$D$319,"=kls",AW5:AW319)*HLOOKUP(AT322,Verteil_rwgr,10,FALSE)+SUMIF($D$5:$D$319,"=klm",AW5:AW319)*HLOOKUP(AT322,Verteil_rwgr,11,FALSE)+SUMIF($D$5:$D$319,"=klr",AW5:AW319)*HLOOKUP(AT322,Verteil_rwgr,12,FALSE)+SUMIF($D$5:$D$319,"=klk",AW5:AW319)*HLOOKUP(AT322,Verteil_rwgr,13,FALSE)+SUMIF($D$5:$D$319,"=klz",AW5:AW319)*HLOOKUP(AT322,Verteil_rwgr,14,FALSE)</f>
        <v>0</v>
      </c>
      <c r="AX376" s="102">
        <f t="shared" ref="AX376" si="2117">IF(AW374&lt;&gt;0,AW376/AW374,0)</f>
        <v>0</v>
      </c>
      <c r="AY376" s="665" t="s">
        <v>193</v>
      </c>
      <c r="BD376" s="217"/>
      <c r="BF376" s="179">
        <f>SUMIF($D$5:$D$319,"=kls",BF5:BF319)*HLOOKUP(BK322,Verteil_rwgr,10,FALSE)+SUMIF($D$5:$D$319,"=klm",BF5:BF319)*HLOOKUP(BK322,Verteil_rwgr,11,FALSE)+SUMIF($D$5:$D$319,"=klr",BF5:BF319)*HLOOKUP(BK322,Verteil_rwgr,12,FALSE)+SUMIF($D$5:$D$319,"=klk",BF5:BF319)*HLOOKUP(BK322,Verteil_rwgr,13,FALSE)+SUMIF($D$5:$D$319,"=klz",BF5:BF319)*HLOOKUP(BK322,Verteil_rwgr,14,FALSE)</f>
        <v>0</v>
      </c>
      <c r="BH376" s="179">
        <f>SUMIF($D$5:$D$319,"=kls",BH5:BH319)*HLOOKUP(BK322,Verteil_rwgr,10,FALSE)+SUMIF($D$5:$D$319,"=klm",BH5:BH319)*HLOOKUP(BK322,Verteil_rwgr,11,FALSE)+SUMIF($D$5:$D$319,"=klr",BH5:BH319)*HLOOKUP(BK322,Verteil_rwgr,12,FALSE)+SUMIF($D$5:$D$319,"=klk",BH5:BH319)*HLOOKUP(BK322,Verteil_rwgr,13,FALSE)+SUMIF($D$5:$D$319,"=klz",BH5:BH319)*HLOOKUP(BK322,Verteil_rwgr,14,FALSE)</f>
        <v>0</v>
      </c>
      <c r="BJ376" s="102">
        <f t="shared" ref="BJ376" si="2118">IF(BK374&lt;&gt;0,BK376/BK374,0)</f>
        <v>0</v>
      </c>
      <c r="BK376" s="179">
        <f>ROUND(BM376*HLOOKUP(BK322,Grund_zins,2,FALSE),2)</f>
        <v>0</v>
      </c>
      <c r="BL376" s="179">
        <f>SUMIF($D$5:$D$319,"=kls",BL5:BL319)*HLOOKUP(BK322,Verteil_rwgr,10,FALSE)+SUMIF($D$5:$D$319,"=klm",BL5:BL319)*HLOOKUP(BK322,Verteil_rwgr,11,FALSE)+SUMIF($D$5:$D$319,"=klr",BL5:BL319)*HLOOKUP(BK322,Verteil_rwgr,12,FALSE)+SUMIF($D$5:$D$319,"=klk",BL5:BL319)*HLOOKUP(BK322,Verteil_rwgr,13,FALSE)+SUMIF($D$5:$D$319,"=klz",BL5:BL319)*HLOOKUP(BK322,Verteil_rwgr,14,FALSE)</f>
        <v>0</v>
      </c>
      <c r="BM376" s="179">
        <f t="shared" si="1964"/>
        <v>0</v>
      </c>
      <c r="BN376" s="179">
        <f>SUMIF($D$5:$D$319,"=kls",BN5:BN319)*HLOOKUP(BK322,Verteil_rwgr,10,FALSE)+SUMIF($D$5:$D$319,"=klm",BN5:BN319)*HLOOKUP(BK322,Verteil_rwgr,11,FALSE)+SUMIF($D$5:$D$319,"=klr",BN5:BN319)*HLOOKUP(BK322,Verteil_rwgr,12,FALSE)+SUMIF($D$5:$D$319,"=klk",BN5:BN319)*HLOOKUP(BK322,Verteil_rwgr,13,FALSE)+SUMIF($D$5:$D$319,"=klz",BN5:BN319)*HLOOKUP(BK322,Verteil_rwgr,14,FALSE)</f>
        <v>0</v>
      </c>
      <c r="BO376" s="102">
        <f t="shared" ref="BO376" si="2119">IF(BN374&lt;&gt;0,BN376/BN374,0)</f>
        <v>0</v>
      </c>
      <c r="BP376" s="665" t="s">
        <v>193</v>
      </c>
      <c r="BU376" s="217"/>
      <c r="BW376" s="179">
        <f>SUMIF($D$5:$D$319,"=kls",BW5:BW319)*HLOOKUP(CB322,Verteil_rwgr,10,FALSE)+SUMIF($D$5:$D$319,"=klm",BW5:BW319)*HLOOKUP(CB322,Verteil_rwgr,11,FALSE)+SUMIF($D$5:$D$319,"=klr",BW5:BW319)*HLOOKUP(CB322,Verteil_rwgr,12,FALSE)+SUMIF($D$5:$D$319,"=klk",BW5:BW319)*HLOOKUP(CB322,Verteil_rwgr,13,FALSE)+SUMIF($D$5:$D$319,"=klz",BW5:BW319)*HLOOKUP(CB322,Verteil_rwgr,14,FALSE)</f>
        <v>0</v>
      </c>
      <c r="BY376" s="179">
        <f>SUMIF($D$5:$D$319,"=kls",BY5:BY319)*HLOOKUP(CB322,Verteil_rwgr,10,FALSE)+SUMIF($D$5:$D$319,"=klm",BY5:BY319)*HLOOKUP(CB322,Verteil_rwgr,11,FALSE)+SUMIF($D$5:$D$319,"=klr",BY5:BY319)*HLOOKUP(CB322,Verteil_rwgr,12,FALSE)+SUMIF($D$5:$D$319,"=klk",BY5:BY319)*HLOOKUP(CB322,Verteil_rwgr,13,FALSE)+SUMIF($D$5:$D$319,"=klz",BY5:BY319)*HLOOKUP(CB322,Verteil_rwgr,14,FALSE)</f>
        <v>0</v>
      </c>
      <c r="CA376" s="102">
        <f t="shared" ref="CA376" si="2120">IF(CB374&lt;&gt;0,CB376/CB374,0)</f>
        <v>0</v>
      </c>
      <c r="CB376" s="179">
        <f>ROUND(CD376*HLOOKUP(CB322,Grund_zins,2,FALSE),2)</f>
        <v>0</v>
      </c>
      <c r="CC376" s="179">
        <f>SUMIF($D$5:$D$319,"=kls",CC5:CC319)*HLOOKUP(CB322,Verteil_rwgr,10,FALSE)+SUMIF($D$5:$D$319,"=klm",CC5:CC319)*HLOOKUP(CB322,Verteil_rwgr,11,FALSE)+SUMIF($D$5:$D$319,"=klr",CC5:CC319)*HLOOKUP(CB322,Verteil_rwgr,12,FALSE)+SUMIF($D$5:$D$319,"=klk",CC5:CC319)*HLOOKUP(CB322,Verteil_rwgr,13,FALSE)+SUMIF($D$5:$D$319,"=klz",CC5:CC319)*HLOOKUP(CB322,Verteil_rwgr,14,FALSE)</f>
        <v>0</v>
      </c>
      <c r="CD376" s="179">
        <f t="shared" si="1971"/>
        <v>0</v>
      </c>
      <c r="CE376" s="179">
        <f>SUMIF($D$5:$D$319,"=kls",CE5:CE319)*HLOOKUP(CB322,Verteil_rwgr,10,FALSE)+SUMIF($D$5:$D$319,"=klm",CE5:CE319)*HLOOKUP(CB322,Verteil_rwgr,11,FALSE)+SUMIF($D$5:$D$319,"=klr",CE5:CE319)*HLOOKUP(CB322,Verteil_rwgr,12,FALSE)+SUMIF($D$5:$D$319,"=klk",CE5:CE319)*HLOOKUP(CB322,Verteil_rwgr,13,FALSE)+SUMIF($D$5:$D$319,"=klz",CE5:CE319)*HLOOKUP(CB322,Verteil_rwgr,14,FALSE)</f>
        <v>0</v>
      </c>
      <c r="CF376" s="102">
        <f t="shared" ref="CF376" si="2121">IF(CE374&lt;&gt;0,CE376/CE374,0)</f>
        <v>0</v>
      </c>
      <c r="CG376" s="665" t="s">
        <v>193</v>
      </c>
      <c r="CL376" s="217"/>
      <c r="CN376" s="179">
        <f>SUMIF($D$5:$D$319,"=kls",CN5:CN319)*HLOOKUP(CS322,Verteil_rwgr,10,FALSE)+SUMIF($D$5:$D$319,"=klm",CN5:CN319)*HLOOKUP(CS322,Verteil_rwgr,11,FALSE)+SUMIF($D$5:$D$319,"=klr",CN5:CN319)*HLOOKUP(CS322,Verteil_rwgr,12,FALSE)+SUMIF($D$5:$D$319,"=klk",CN5:CN319)*HLOOKUP(CS322,Verteil_rwgr,13,FALSE)+SUMIF($D$5:$D$319,"=klz",CN5:CN319)*HLOOKUP(CS322,Verteil_rwgr,14,FALSE)</f>
        <v>0</v>
      </c>
      <c r="CP376" s="179">
        <f>SUMIF($D$5:$D$319,"=kls",CP5:CP319)*HLOOKUP(CS322,Verteil_rwgr,10,FALSE)+SUMIF($D$5:$D$319,"=klm",CP5:CP319)*HLOOKUP(CS322,Verteil_rwgr,11,FALSE)+SUMIF($D$5:$D$319,"=klr",CP5:CP319)*HLOOKUP(CS322,Verteil_rwgr,12,FALSE)+SUMIF($D$5:$D$319,"=klk",CP5:CP319)*HLOOKUP(CS322,Verteil_rwgr,13,FALSE)+SUMIF($D$5:$D$319,"=klz",CP5:CP319)*HLOOKUP(CS322,Verteil_rwgr,14,FALSE)</f>
        <v>0</v>
      </c>
      <c r="CR376" s="102">
        <f t="shared" ref="CR376" si="2122">IF(CS374&lt;&gt;0,CS376/CS374,0)</f>
        <v>0</v>
      </c>
      <c r="CS376" s="179">
        <f>ROUND(CU376*HLOOKUP(CS322,Grund_zins,2,FALSE),2)</f>
        <v>0</v>
      </c>
      <c r="CT376" s="179">
        <f>SUMIF($D$5:$D$319,"=kls",CT5:CT319)*HLOOKUP(CS322,Verteil_rwgr,10,FALSE)+SUMIF($D$5:$D$319,"=klm",CT5:CT319)*HLOOKUP(CS322,Verteil_rwgr,11,FALSE)+SUMIF($D$5:$D$319,"=klr",CT5:CT319)*HLOOKUP(CS322,Verteil_rwgr,12,FALSE)+SUMIF($D$5:$D$319,"=klk",CT5:CT319)*HLOOKUP(CS322,Verteil_rwgr,13,FALSE)+SUMIF($D$5:$D$319,"=klz",CT5:CT319)*HLOOKUP(CS322,Verteil_rwgr,14,FALSE)</f>
        <v>0</v>
      </c>
      <c r="CU376" s="179">
        <f t="shared" si="1978"/>
        <v>0</v>
      </c>
      <c r="CV376" s="179">
        <f>SUMIF($D$5:$D$319,"=kls",CV5:CV319)*HLOOKUP(CS322,Verteil_rwgr,10,FALSE)+SUMIF($D$5:$D$319,"=klm",CV5:CV319)*HLOOKUP(CS322,Verteil_rwgr,11,FALSE)+SUMIF($D$5:$D$319,"=klr",CV5:CV319)*HLOOKUP(CS322,Verteil_rwgr,12,FALSE)+SUMIF($D$5:$D$319,"=klk",CV5:CV319)*HLOOKUP(CS322,Verteil_rwgr,13,FALSE)+SUMIF($D$5:$D$319,"=klz",CV5:CV319)*HLOOKUP(CS322,Verteil_rwgr,14,FALSE)</f>
        <v>0</v>
      </c>
      <c r="CW376" s="102">
        <f t="shared" ref="CW376" si="2123">IF(CV374&lt;&gt;0,CV376/CV374,0)</f>
        <v>0</v>
      </c>
      <c r="CX376" s="665" t="s">
        <v>193</v>
      </c>
      <c r="DC376" s="217"/>
      <c r="DE376" s="179">
        <f>SUMIF($D$5:$D$319,"=kls",DE5:DE319)*HLOOKUP(DJ322,Verteil_rwgr,10,FALSE)+SUMIF($D$5:$D$319,"=klm",DE5:DE319)*HLOOKUP(DJ322,Verteil_rwgr,11,FALSE)+SUMIF($D$5:$D$319,"=klr",DE5:DE319)*HLOOKUP(DJ322,Verteil_rwgr,12,FALSE)+SUMIF($D$5:$D$319,"=klk",DE5:DE319)*HLOOKUP(DJ322,Verteil_rwgr,13,FALSE)+SUMIF($D$5:$D$319,"=klz",DE5:DE319)*HLOOKUP(DJ322,Verteil_rwgr,14,FALSE)</f>
        <v>0</v>
      </c>
      <c r="DG376" s="179">
        <f>SUMIF($D$5:$D$319,"=kls",DG5:DG319)*HLOOKUP(DJ322,Verteil_rwgr,10,FALSE)+SUMIF($D$5:$D$319,"=klm",DG5:DG319)*HLOOKUP(DJ322,Verteil_rwgr,11,FALSE)+SUMIF($D$5:$D$319,"=klr",DG5:DG319)*HLOOKUP(DJ322,Verteil_rwgr,12,FALSE)+SUMIF($D$5:$D$319,"=klk",DG5:DG319)*HLOOKUP(DJ322,Verteil_rwgr,13,FALSE)+SUMIF($D$5:$D$319,"=klz",DG5:DG319)*HLOOKUP(DJ322,Verteil_rwgr,14,FALSE)</f>
        <v>0</v>
      </c>
      <c r="DI376" s="102">
        <f t="shared" ref="DI376" si="2124">IF(DJ374&lt;&gt;0,DJ376/DJ374,0)</f>
        <v>0</v>
      </c>
      <c r="DJ376" s="179">
        <f>ROUND(DL376*HLOOKUP(DJ322,Grund_zins,2,FALSE),2)</f>
        <v>0</v>
      </c>
      <c r="DK376" s="179">
        <f>SUMIF($D$5:$D$319,"=kls",DK5:DK319)*HLOOKUP(DJ322,Verteil_rwgr,10,FALSE)+SUMIF($D$5:$D$319,"=klm",DK5:DK319)*HLOOKUP(DJ322,Verteil_rwgr,11,FALSE)+SUMIF($D$5:$D$319,"=klr",DK5:DK319)*HLOOKUP(DJ322,Verteil_rwgr,12,FALSE)+SUMIF($D$5:$D$319,"=klk",DK5:DK319)*HLOOKUP(DJ322,Verteil_rwgr,13,FALSE)+SUMIF($D$5:$D$319,"=klz",DK5:DK319)*HLOOKUP(DJ322,Verteil_rwgr,14,FALSE)</f>
        <v>0</v>
      </c>
      <c r="DL376" s="179">
        <f t="shared" si="1985"/>
        <v>0</v>
      </c>
      <c r="DM376" s="179">
        <f>SUMIF($D$5:$D$319,"=kls",DM5:DM319)*HLOOKUP(DJ322,Verteil_rwgr,10,FALSE)+SUMIF($D$5:$D$319,"=klm",DM5:DM319)*HLOOKUP(DJ322,Verteil_rwgr,11,FALSE)+SUMIF($D$5:$D$319,"=klr",DM5:DM319)*HLOOKUP(DJ322,Verteil_rwgr,12,FALSE)+SUMIF($D$5:$D$319,"=klk",DM5:DM319)*HLOOKUP(DJ322,Verteil_rwgr,13,FALSE)+SUMIF($D$5:$D$319,"=klz",DM5:DM319)*HLOOKUP(DJ322,Verteil_rwgr,14,FALSE)</f>
        <v>0</v>
      </c>
      <c r="DN376" s="102">
        <f t="shared" ref="DN376" si="2125">IF(DM374&lt;&gt;0,DM376/DM374,0)</f>
        <v>0</v>
      </c>
      <c r="DO376" s="665" t="s">
        <v>193</v>
      </c>
      <c r="DT376" s="217"/>
      <c r="DV376" s="179">
        <f>SUMIF($D$5:$D$319,"=kls",DV5:DV319)*HLOOKUP(EA322,Verteil_rwgr,10,FALSE)+SUMIF($D$5:$D$319,"=klm",DV5:DV319)*HLOOKUP(EA322,Verteil_rwgr,11,FALSE)+SUMIF($D$5:$D$319,"=klr",DV5:DV319)*HLOOKUP(EA322,Verteil_rwgr,12,FALSE)+SUMIF($D$5:$D$319,"=klk",DV5:DV319)*HLOOKUP(EA322,Verteil_rwgr,13,FALSE)+SUMIF($D$5:$D$319,"=klz",DV5:DV319)*HLOOKUP(EA322,Verteil_rwgr,14,FALSE)</f>
        <v>0</v>
      </c>
      <c r="DX376" s="179">
        <f>SUMIF($D$5:$D$319,"=kls",DX5:DX319)*HLOOKUP(EA322,Verteil_rwgr,10,FALSE)+SUMIF($D$5:$D$319,"=klm",DX5:DX319)*HLOOKUP(EA322,Verteil_rwgr,11,FALSE)+SUMIF($D$5:$D$319,"=klr",DX5:DX319)*HLOOKUP(EA322,Verteil_rwgr,12,FALSE)+SUMIF($D$5:$D$319,"=klk",DX5:DX319)*HLOOKUP(EA322,Verteil_rwgr,13,FALSE)+SUMIF($D$5:$D$319,"=klz",DX5:DX319)*HLOOKUP(EA322,Verteil_rwgr,14,FALSE)</f>
        <v>0</v>
      </c>
      <c r="DZ376" s="102">
        <f t="shared" ref="DZ376" si="2126">IF(EA374&lt;&gt;0,EA376/EA374,0)</f>
        <v>0</v>
      </c>
      <c r="EA376" s="179">
        <f>ROUND(EC376*HLOOKUP(EA322,Grund_zins,2,FALSE),2)</f>
        <v>0</v>
      </c>
      <c r="EB376" s="179">
        <f>SUMIF($D$5:$D$319,"=kls",EB5:EB319)*HLOOKUP(EA322,Verteil_rwgr,10,FALSE)+SUMIF($D$5:$D$319,"=klm",EB5:EB319)*HLOOKUP(EA322,Verteil_rwgr,11,FALSE)+SUMIF($D$5:$D$319,"=klr",EB5:EB319)*HLOOKUP(EA322,Verteil_rwgr,12,FALSE)+SUMIF($D$5:$D$319,"=klk",EB5:EB319)*HLOOKUP(EA322,Verteil_rwgr,13,FALSE)+SUMIF($D$5:$D$319,"=klz",EB5:EB319)*HLOOKUP(EA322,Verteil_rwgr,14,FALSE)</f>
        <v>0</v>
      </c>
      <c r="EC376" s="179">
        <f t="shared" si="1992"/>
        <v>0</v>
      </c>
      <c r="ED376" s="179">
        <f>SUMIF($D$5:$D$319,"=kls",ED5:ED319)*HLOOKUP(EA322,Verteil_rwgr,10,FALSE)+SUMIF($D$5:$D$319,"=klm",ED5:ED319)*HLOOKUP(EA322,Verteil_rwgr,11,FALSE)+SUMIF($D$5:$D$319,"=klr",ED5:ED319)*HLOOKUP(EA322,Verteil_rwgr,12,FALSE)+SUMIF($D$5:$D$319,"=klk",ED5:ED319)*HLOOKUP(EA322,Verteil_rwgr,13,FALSE)+SUMIF($D$5:$D$319,"=klz",ED5:ED319)*HLOOKUP(EA322,Verteil_rwgr,14,FALSE)</f>
        <v>0</v>
      </c>
      <c r="EE376" s="102">
        <f t="shared" ref="EE376" si="2127">IF(ED374&lt;&gt;0,ED376/ED374,0)</f>
        <v>0</v>
      </c>
      <c r="EF376" s="665" t="s">
        <v>193</v>
      </c>
      <c r="EK376" s="217"/>
      <c r="EM376" s="179">
        <f>SUMIF($D$5:$D$319,"=kls",EM5:EM319)*HLOOKUP(ER322,Verteil_rwgr,10,FALSE)+SUMIF($D$5:$D$319,"=klm",EM5:EM319)*HLOOKUP(ER322,Verteil_rwgr,11,FALSE)+SUMIF($D$5:$D$319,"=klr",EM5:EM319)*HLOOKUP(ER322,Verteil_rwgr,12,FALSE)+SUMIF($D$5:$D$319,"=klk",EM5:EM319)*HLOOKUP(ER322,Verteil_rwgr,13,FALSE)+SUMIF($D$5:$D$319,"=klz",EM5:EM319)*HLOOKUP(ER322,Verteil_rwgr,14,FALSE)</f>
        <v>0</v>
      </c>
      <c r="EO376" s="179">
        <f>SUMIF($D$5:$D$319,"=kls",EO5:EO319)*HLOOKUP(ER322,Verteil_rwgr,10,FALSE)+SUMIF($D$5:$D$319,"=klm",EO5:EO319)*HLOOKUP(ER322,Verteil_rwgr,11,FALSE)+SUMIF($D$5:$D$319,"=klr",EO5:EO319)*HLOOKUP(ER322,Verteil_rwgr,12,FALSE)+SUMIF($D$5:$D$319,"=klk",EO5:EO319)*HLOOKUP(ER322,Verteil_rwgr,13,FALSE)+SUMIF($D$5:$D$319,"=klz",EO5:EO319)*HLOOKUP(ER322,Verteil_rwgr,14,FALSE)</f>
        <v>0</v>
      </c>
      <c r="EQ376" s="102">
        <f t="shared" ref="EQ376" si="2128">IF(ER374&lt;&gt;0,ER376/ER374,0)</f>
        <v>0</v>
      </c>
      <c r="ER376" s="179">
        <f>ROUND(ET376*HLOOKUP(ER322,Grund_zins,2,FALSE),2)</f>
        <v>0</v>
      </c>
      <c r="ES376" s="179">
        <f>SUMIF($D$5:$D$319,"=kls",ES5:ES319)*HLOOKUP(ER322,Verteil_rwgr,10,FALSE)+SUMIF($D$5:$D$319,"=klm",ES5:ES319)*HLOOKUP(ER322,Verteil_rwgr,11,FALSE)+SUMIF($D$5:$D$319,"=klr",ES5:ES319)*HLOOKUP(ER322,Verteil_rwgr,12,FALSE)+SUMIF($D$5:$D$319,"=klk",ES5:ES319)*HLOOKUP(ER322,Verteil_rwgr,13,FALSE)+SUMIF($D$5:$D$319,"=klz",ES5:ES319)*HLOOKUP(ER322,Verteil_rwgr,14,FALSE)</f>
        <v>0</v>
      </c>
      <c r="ET376" s="179">
        <f t="shared" si="1999"/>
        <v>0</v>
      </c>
      <c r="EU376" s="179">
        <f>SUMIF($D$5:$D$319,"=kls",EU5:EU319)*HLOOKUP(ER322,Verteil_rwgr,10,FALSE)+SUMIF($D$5:$D$319,"=klm",EU5:EU319)*HLOOKUP(ER322,Verteil_rwgr,11,FALSE)+SUMIF($D$5:$D$319,"=klr",EU5:EU319)*HLOOKUP(ER322,Verteil_rwgr,12,FALSE)+SUMIF($D$5:$D$319,"=klk",EU5:EU319)*HLOOKUP(ER322,Verteil_rwgr,13,FALSE)+SUMIF($D$5:$D$319,"=klz",EU5:EU319)*HLOOKUP(ER322,Verteil_rwgr,14,FALSE)</f>
        <v>0</v>
      </c>
      <c r="EV376" s="102">
        <f t="shared" ref="EV376" si="2129">IF(EU374&lt;&gt;0,EU376/EU374,0)</f>
        <v>0</v>
      </c>
      <c r="EW376" s="665" t="s">
        <v>193</v>
      </c>
      <c r="FB376" s="217"/>
      <c r="FD376" s="179">
        <f>SUMIF($D$5:$D$319,"=kls",FD5:FD319)*HLOOKUP(FI322,Verteil_rwgr,10,FALSE)+SUMIF($D$5:$D$319,"=klm",FD5:FD319)*HLOOKUP(FI322,Verteil_rwgr,11,FALSE)+SUMIF($D$5:$D$319,"=klr",FD5:FD319)*HLOOKUP(FI322,Verteil_rwgr,12,FALSE)+SUMIF($D$5:$D$319,"=klk",FD5:FD319)*HLOOKUP(FI322,Verteil_rwgr,13,FALSE)+SUMIF($D$5:$D$319,"=klz",FD5:FD319)*HLOOKUP(FI322,Verteil_rwgr,14,FALSE)</f>
        <v>0</v>
      </c>
      <c r="FF376" s="179">
        <f>SUMIF($D$5:$D$319,"=kls",FF5:FF319)*HLOOKUP(FI322,Verteil_rwgr,10,FALSE)+SUMIF($D$5:$D$319,"=klm",FF5:FF319)*HLOOKUP(FI322,Verteil_rwgr,11,FALSE)+SUMIF($D$5:$D$319,"=klr",FF5:FF319)*HLOOKUP(FI322,Verteil_rwgr,12,FALSE)+SUMIF($D$5:$D$319,"=klk",FF5:FF319)*HLOOKUP(FI322,Verteil_rwgr,13,FALSE)+SUMIF($D$5:$D$319,"=klz",FF5:FF319)*HLOOKUP(FI322,Verteil_rwgr,14,FALSE)</f>
        <v>0</v>
      </c>
      <c r="FH376" s="102">
        <f t="shared" ref="FH376" si="2130">IF(FI374&lt;&gt;0,FI376/FI374,0)</f>
        <v>0</v>
      </c>
      <c r="FI376" s="179">
        <f>ROUND(FK376*HLOOKUP(FI322,Grund_zins,2,FALSE),2)</f>
        <v>0</v>
      </c>
      <c r="FJ376" s="179">
        <f>SUMIF($D$5:$D$319,"=kls",FJ5:FJ319)*HLOOKUP(FI322,Verteil_rwgr,10,FALSE)+SUMIF($D$5:$D$319,"=klm",FJ5:FJ319)*HLOOKUP(FI322,Verteil_rwgr,11,FALSE)+SUMIF($D$5:$D$319,"=klr",FJ5:FJ319)*HLOOKUP(FI322,Verteil_rwgr,12,FALSE)+SUMIF($D$5:$D$319,"=klk",FJ5:FJ319)*HLOOKUP(FI322,Verteil_rwgr,13,FALSE)+SUMIF($D$5:$D$319,"=klz",FJ5:FJ319)*HLOOKUP(FI322,Verteil_rwgr,14,FALSE)</f>
        <v>0</v>
      </c>
      <c r="FK376" s="179">
        <f t="shared" si="2006"/>
        <v>0</v>
      </c>
      <c r="FL376" s="179">
        <f>SUMIF($D$5:$D$319,"=kls",FL5:FL319)*HLOOKUP(FI322,Verteil_rwgr,10,FALSE)+SUMIF($D$5:$D$319,"=klm",FL5:FL319)*HLOOKUP(FI322,Verteil_rwgr,11,FALSE)+SUMIF($D$5:$D$319,"=klr",FL5:FL319)*HLOOKUP(FI322,Verteil_rwgr,12,FALSE)+SUMIF($D$5:$D$319,"=klk",FL5:FL319)*HLOOKUP(FI322,Verteil_rwgr,13,FALSE)+SUMIF($D$5:$D$319,"=klz",FL5:FL319)*HLOOKUP(FI322,Verteil_rwgr,14,FALSE)</f>
        <v>0</v>
      </c>
      <c r="FM376" s="102">
        <f t="shared" ref="FM376" si="2131">IF(FL374&lt;&gt;0,FL376/FL374,0)</f>
        <v>0</v>
      </c>
      <c r="FN376" s="665" t="s">
        <v>193</v>
      </c>
      <c r="FS376" s="217"/>
    </row>
    <row r="377" spans="1:175" s="10" customFormat="1" ht="15" hidden="1" customHeight="1" x14ac:dyDescent="0.3">
      <c r="A377" s="665" t="s">
        <v>194</v>
      </c>
      <c r="V377" s="217">
        <v>56</v>
      </c>
      <c r="X377" s="179">
        <f>SUMIF($D$5:$D$319,"=kls",X5:X319)*HLOOKUP(AC322,Verteil_rwst,9,FALSE)+SUMIF($D$5:$D$319,"=klm",X5:X319)*HLOOKUP(AC322,Verteil_rwst,10,FALSE)+SUMIF($D$5:$D$319,"=klr",X5:X319)*HLOOKUP(AC322,Verteil_rwst,11,FALSE)+SUMIF($D$5:$D$319,"=klk",X5:X319)*HLOOKUP(AC322,Verteil_rwst,12,FALSE)+SUMIF($D$5:$D$319,"=klz",X5:X319)*HLOOKUP(AC322,Verteil_rwst,13,FALSE)</f>
        <v>0</v>
      </c>
      <c r="Z377" s="179">
        <f>SUMIF($D$5:$D$319,"=kls",Z5:Z319)*HLOOKUP(AC322,Verteil_rwst,9,FALSE)+SUMIF($D$5:$D$319,"=klm",Z5:Z319)*HLOOKUP(AC322,Verteil_rwst,10,FALSE)+SUMIF($D$5:$D$319,"=klr",Z5:Z319)*HLOOKUP(AC322,Verteil_rwst,11,FALSE)+SUMIF($D$5:$D$319,"=klk",Z5:Z319)*HLOOKUP(AC322,Verteil_rwst,12,FALSE)+SUMIF($D$5:$D$319,"=klz",Z5:Z319)*HLOOKUP(AC322,Verteil_rwst,13,FALSE)</f>
        <v>0</v>
      </c>
      <c r="AB377" s="102">
        <f t="shared" ref="AB377" si="2132">IF(AC374&lt;&gt;0,AC377/AC374,0)</f>
        <v>0</v>
      </c>
      <c r="AC377" s="179">
        <f>ROUND(AE377*HLOOKUP(AC322,Grund_zins,2,FALSE),2)</f>
        <v>0</v>
      </c>
      <c r="AD377" s="179">
        <f>SUMIF($D$5:$D$319,"=kls",AD5:AD319)*HLOOKUP(AC322,Verteil_rwst,9,FALSE)+SUMIF($D$5:$D$319,"=klm",AD5:AD319)*HLOOKUP(AC322,Verteil_rwst,10,FALSE)+SUMIF($D$5:$D$319,"=klr",AD5:AD319)*HLOOKUP(AC322,Verteil_rwst,11,FALSE)+SUMIF($D$5:$D$319,"=klk",AD5:AD319)*HLOOKUP(AC322,Verteil_rwst,12,FALSE)+SUMIF($D$5:$D$319,"=klz",AD5:AD319)*HLOOKUP(AC322,Verteil_rwst,13,FALSE)</f>
        <v>0</v>
      </c>
      <c r="AE377" s="179">
        <f t="shared" si="2009"/>
        <v>0</v>
      </c>
      <c r="AF377" s="179">
        <f>SUMIF($D$5:$D$319,"=kls",AF5:AF319)*HLOOKUP(AC322,Verteil_rwst,9,FALSE)+SUMIF($D$5:$D$319,"=klm",AF5:AF319)*HLOOKUP(AC322,Verteil_rwst,10,FALSE)+SUMIF($D$5:$D$319,"=klr",AF5:AF319)*HLOOKUP(AC322,Verteil_rwst,11,FALSE)+SUMIF($D$5:$D$319,"=klk",AF5:AF319)*HLOOKUP(AC322,Verteil_rwst,12,FALSE)+SUMIF($D$5:$D$319,"=klz",AF5:AF319)*HLOOKUP(AC322,Verteil_rwst,13,FALSE)</f>
        <v>0</v>
      </c>
      <c r="AG377" s="102">
        <f t="shared" ref="AG377" si="2133">IF(AF374&lt;&gt;0,AF377/AF374,0)</f>
        <v>0</v>
      </c>
      <c r="AH377" s="665" t="s">
        <v>194</v>
      </c>
      <c r="AM377" s="217"/>
      <c r="AO377" s="179">
        <f>SUMIF($D$5:$D$319,"=kls",AO5:AO319)*HLOOKUP(AT322,Verteil_rwst,9,FALSE)+SUMIF($D$5:$D$319,"=klm",AO5:AO319)*HLOOKUP(AT322,Verteil_rwst,10,FALSE)+SUMIF($D$5:$D$319,"=klr",AO5:AO319)*HLOOKUP(AT322,Verteil_rwst,11,FALSE)+SUMIF($D$5:$D$319,"=klk",AO5:AO319)*HLOOKUP(AT322,Verteil_rwst,12,FALSE)+SUMIF($D$5:$D$319,"=klz",AO5:AO319)*HLOOKUP(AT322,Verteil_rwst,13,FALSE)</f>
        <v>0</v>
      </c>
      <c r="AQ377" s="179">
        <f>SUMIF($D$5:$D$319,"=kls",AQ5:AQ319)*HLOOKUP(AT322,Verteil_rwst,9,FALSE)+SUMIF($D$5:$D$319,"=klm",AQ5:AQ319)*HLOOKUP(AT322,Verteil_rwst,10,FALSE)+SUMIF($D$5:$D$319,"=klr",AQ5:AQ319)*HLOOKUP(AT322,Verteil_rwst,11,FALSE)+SUMIF($D$5:$D$319,"=klk",AQ5:AQ319)*HLOOKUP(AT322,Verteil_rwst,12,FALSE)+SUMIF($D$5:$D$319,"=klz",AQ5:AQ319)*HLOOKUP(AT322,Verteil_rwst,13,FALSE)</f>
        <v>0</v>
      </c>
      <c r="AS377" s="102">
        <f t="shared" ref="AS377" si="2134">IF(AT374&lt;&gt;0,AT377/AT374,0)</f>
        <v>0</v>
      </c>
      <c r="AT377" s="179">
        <f>ROUND(AV377*HLOOKUP(AT322,Grund_zins,2,FALSE),2)</f>
        <v>0</v>
      </c>
      <c r="AU377" s="179">
        <f>SUMIF($D$5:$D$319,"=kls",AU5:AU319)*HLOOKUP(AT322,Verteil_rwst,9,FALSE)+SUMIF($D$5:$D$319,"=klm",AU5:AU319)*HLOOKUP(AT322,Verteil_rwst,10,FALSE)+SUMIF($D$5:$D$319,"=klr",AU5:AU319)*HLOOKUP(AT322,Verteil_rwst,11,FALSE)+SUMIF($D$5:$D$319,"=klk",AU5:AU319)*HLOOKUP(AT322,Verteil_rwst,12,FALSE)+SUMIF($D$5:$D$319,"=klz",AU5:AU319)*HLOOKUP(AT322,Verteil_rwst,13,FALSE)</f>
        <v>0</v>
      </c>
      <c r="AV377" s="179">
        <f t="shared" si="1957"/>
        <v>0</v>
      </c>
      <c r="AW377" s="179">
        <f>SUMIF($D$5:$D$319,"=kls",AW5:AW319)*HLOOKUP(AT322,Verteil_rwst,9,FALSE)+SUMIF($D$5:$D$319,"=klm",AW5:AW319)*HLOOKUP(AT322,Verteil_rwst,10,FALSE)+SUMIF($D$5:$D$319,"=klr",AW5:AW319)*HLOOKUP(AT322,Verteil_rwst,11,FALSE)+SUMIF($D$5:$D$319,"=klk",AW5:AW319)*HLOOKUP(AT322,Verteil_rwst,12,FALSE)+SUMIF($D$5:$D$319,"=klz",AW5:AW319)*HLOOKUP(AT322,Verteil_rwst,13,FALSE)</f>
        <v>0</v>
      </c>
      <c r="AX377" s="102">
        <f t="shared" ref="AX377" si="2135">IF(AW374&lt;&gt;0,AW377/AW374,0)</f>
        <v>0</v>
      </c>
      <c r="AY377" s="665" t="s">
        <v>194</v>
      </c>
      <c r="BD377" s="217"/>
      <c r="BF377" s="179">
        <f>SUMIF($D$5:$D$319,"=kls",BF5:BF319)*HLOOKUP(BK322,Verteil_rwst,9,FALSE)+SUMIF($D$5:$D$319,"=klm",BF5:BF319)*HLOOKUP(BK322,Verteil_rwst,10,FALSE)+SUMIF($D$5:$D$319,"=klr",BF5:BF319)*HLOOKUP(BK322,Verteil_rwst,11,FALSE)+SUMIF($D$5:$D$319,"=klk",BF5:BF319)*HLOOKUP(BK322,Verteil_rwst,12,FALSE)+SUMIF($D$5:$D$319,"=klz",BF5:BF319)*HLOOKUP(BK322,Verteil_rwst,13,FALSE)</f>
        <v>0</v>
      </c>
      <c r="BH377" s="179">
        <f>SUMIF($D$5:$D$319,"=kls",BH5:BH319)*HLOOKUP(BK322,Verteil_rwst,9,FALSE)+SUMIF($D$5:$D$319,"=klm",BH5:BH319)*HLOOKUP(BK322,Verteil_rwst,10,FALSE)+SUMIF($D$5:$D$319,"=klr",BH5:BH319)*HLOOKUP(BK322,Verteil_rwst,11,FALSE)+SUMIF($D$5:$D$319,"=klk",BH5:BH319)*HLOOKUP(BK322,Verteil_rwst,12,FALSE)+SUMIF($D$5:$D$319,"=klz",BH5:BH319)*HLOOKUP(BK322,Verteil_rwst,13,FALSE)</f>
        <v>0</v>
      </c>
      <c r="BJ377" s="102">
        <f t="shared" ref="BJ377" si="2136">IF(BK374&lt;&gt;0,BK377/BK374,0)</f>
        <v>0</v>
      </c>
      <c r="BK377" s="179">
        <f>ROUND(BM377*HLOOKUP(BK322,Grund_zins,2,FALSE),2)</f>
        <v>0</v>
      </c>
      <c r="BL377" s="179">
        <f>SUMIF($D$5:$D$319,"=kls",BL5:BL319)*HLOOKUP(BK322,Verteil_rwst,9,FALSE)+SUMIF($D$5:$D$319,"=klm",BL5:BL319)*HLOOKUP(BK322,Verteil_rwst,10,FALSE)+SUMIF($D$5:$D$319,"=klr",BL5:BL319)*HLOOKUP(BK322,Verteil_rwst,11,FALSE)+SUMIF($D$5:$D$319,"=klk",BL5:BL319)*HLOOKUP(BK322,Verteil_rwst,12,FALSE)+SUMIF($D$5:$D$319,"=klz",BL5:BL319)*HLOOKUP(BK322,Verteil_rwst,13,FALSE)</f>
        <v>0</v>
      </c>
      <c r="BM377" s="179">
        <f t="shared" si="1964"/>
        <v>0</v>
      </c>
      <c r="BN377" s="179">
        <f>SUMIF($D$5:$D$319,"=kls",BN5:BN319)*HLOOKUP(BK322,Verteil_rwst,9,FALSE)+SUMIF($D$5:$D$319,"=klm",BN5:BN319)*HLOOKUP(BK322,Verteil_rwst,10,FALSE)+SUMIF($D$5:$D$319,"=klr",BN5:BN319)*HLOOKUP(BK322,Verteil_rwst,11,FALSE)+SUMIF($D$5:$D$319,"=klk",BN5:BN319)*HLOOKUP(BK322,Verteil_rwst,12,FALSE)+SUMIF($D$5:$D$319,"=klz",BN5:BN319)*HLOOKUP(BK322,Verteil_rwst,13,FALSE)</f>
        <v>0</v>
      </c>
      <c r="BO377" s="102">
        <f t="shared" ref="BO377" si="2137">IF(BN374&lt;&gt;0,BN377/BN374,0)</f>
        <v>0</v>
      </c>
      <c r="BP377" s="665" t="s">
        <v>194</v>
      </c>
      <c r="BU377" s="217"/>
      <c r="BW377" s="179">
        <f>SUMIF($D$5:$D$319,"=kls",BW5:BW319)*HLOOKUP(CB322,Verteil_rwst,9,FALSE)+SUMIF($D$5:$D$319,"=klm",BW5:BW319)*HLOOKUP(CB322,Verteil_rwst,10,FALSE)+SUMIF($D$5:$D$319,"=klr",BW5:BW319)*HLOOKUP(CB322,Verteil_rwst,11,FALSE)+SUMIF($D$5:$D$319,"=klk",BW5:BW319)*HLOOKUP(CB322,Verteil_rwst,12,FALSE)+SUMIF($D$5:$D$319,"=klz",BW5:BW319)*HLOOKUP(CB322,Verteil_rwst,13,FALSE)</f>
        <v>0</v>
      </c>
      <c r="BY377" s="179">
        <f>SUMIF($D$5:$D$319,"=kls",BY5:BY319)*HLOOKUP(CB322,Verteil_rwst,9,FALSE)+SUMIF($D$5:$D$319,"=klm",BY5:BY319)*HLOOKUP(CB322,Verteil_rwst,10,FALSE)+SUMIF($D$5:$D$319,"=klr",BY5:BY319)*HLOOKUP(CB322,Verteil_rwst,11,FALSE)+SUMIF($D$5:$D$319,"=klk",BY5:BY319)*HLOOKUP(CB322,Verteil_rwst,12,FALSE)+SUMIF($D$5:$D$319,"=klz",BY5:BY319)*HLOOKUP(CB322,Verteil_rwst,13,FALSE)</f>
        <v>0</v>
      </c>
      <c r="CA377" s="102">
        <f t="shared" ref="CA377" si="2138">IF(CB374&lt;&gt;0,CB377/CB374,0)</f>
        <v>0</v>
      </c>
      <c r="CB377" s="179">
        <f>ROUND(CD377*HLOOKUP(CB322,Grund_zins,2,FALSE),2)</f>
        <v>0</v>
      </c>
      <c r="CC377" s="179">
        <f>SUMIF($D$5:$D$319,"=kls",CC5:CC319)*HLOOKUP(CB322,Verteil_rwst,9,FALSE)+SUMIF($D$5:$D$319,"=klm",CC5:CC319)*HLOOKUP(CB322,Verteil_rwst,10,FALSE)+SUMIF($D$5:$D$319,"=klr",CC5:CC319)*HLOOKUP(CB322,Verteil_rwst,11,FALSE)+SUMIF($D$5:$D$319,"=klk",CC5:CC319)*HLOOKUP(CB322,Verteil_rwst,12,FALSE)+SUMIF($D$5:$D$319,"=klz",CC5:CC319)*HLOOKUP(CB322,Verteil_rwst,13,FALSE)</f>
        <v>0</v>
      </c>
      <c r="CD377" s="179">
        <f t="shared" si="1971"/>
        <v>0</v>
      </c>
      <c r="CE377" s="179">
        <f>SUMIF($D$5:$D$319,"=kls",CE5:CE319)*HLOOKUP(CB322,Verteil_rwst,9,FALSE)+SUMIF($D$5:$D$319,"=klm",CE5:CE319)*HLOOKUP(CB322,Verteil_rwst,10,FALSE)+SUMIF($D$5:$D$319,"=klr",CE5:CE319)*HLOOKUP(CB322,Verteil_rwst,11,FALSE)+SUMIF($D$5:$D$319,"=klk",CE5:CE319)*HLOOKUP(CB322,Verteil_rwst,12,FALSE)+SUMIF($D$5:$D$319,"=klz",CE5:CE319)*HLOOKUP(CB322,Verteil_rwst,13,FALSE)</f>
        <v>0</v>
      </c>
      <c r="CF377" s="102">
        <f t="shared" ref="CF377" si="2139">IF(CE374&lt;&gt;0,CE377/CE374,0)</f>
        <v>0</v>
      </c>
      <c r="CG377" s="665" t="s">
        <v>194</v>
      </c>
      <c r="CL377" s="217"/>
      <c r="CN377" s="179">
        <f>SUMIF($D$5:$D$319,"=kls",CN5:CN319)*HLOOKUP(CS322,Verteil_rwst,9,FALSE)+SUMIF($D$5:$D$319,"=klm",CN5:CN319)*HLOOKUP(CS322,Verteil_rwst,10,FALSE)+SUMIF($D$5:$D$319,"=klr",CN5:CN319)*HLOOKUP(CS322,Verteil_rwst,11,FALSE)+SUMIF($D$5:$D$319,"=klk",CN5:CN319)*HLOOKUP(CS322,Verteil_rwst,12,FALSE)+SUMIF($D$5:$D$319,"=klz",CN5:CN319)*HLOOKUP(CS322,Verteil_rwst,13,FALSE)</f>
        <v>0</v>
      </c>
      <c r="CP377" s="179">
        <f>SUMIF($D$5:$D$319,"=kls",CP5:CP319)*HLOOKUP(CS322,Verteil_rwst,9,FALSE)+SUMIF($D$5:$D$319,"=klm",CP5:CP319)*HLOOKUP(CS322,Verteil_rwst,10,FALSE)+SUMIF($D$5:$D$319,"=klr",CP5:CP319)*HLOOKUP(CS322,Verteil_rwst,11,FALSE)+SUMIF($D$5:$D$319,"=klk",CP5:CP319)*HLOOKUP(CS322,Verteil_rwst,12,FALSE)+SUMIF($D$5:$D$319,"=klz",CP5:CP319)*HLOOKUP(CS322,Verteil_rwst,13,FALSE)</f>
        <v>0</v>
      </c>
      <c r="CR377" s="102">
        <f t="shared" ref="CR377" si="2140">IF(CS374&lt;&gt;0,CS377/CS374,0)</f>
        <v>0</v>
      </c>
      <c r="CS377" s="179">
        <f>ROUND(CU377*HLOOKUP(CS322,Grund_zins,2,FALSE),2)</f>
        <v>0</v>
      </c>
      <c r="CT377" s="179">
        <f>SUMIF($D$5:$D$319,"=kls",CT5:CT319)*HLOOKUP(CS322,Verteil_rwst,9,FALSE)+SUMIF($D$5:$D$319,"=klm",CT5:CT319)*HLOOKUP(CS322,Verteil_rwst,10,FALSE)+SUMIF($D$5:$D$319,"=klr",CT5:CT319)*HLOOKUP(CS322,Verteil_rwst,11,FALSE)+SUMIF($D$5:$D$319,"=klk",CT5:CT319)*HLOOKUP(CS322,Verteil_rwst,12,FALSE)+SUMIF($D$5:$D$319,"=klz",CT5:CT319)*HLOOKUP(CS322,Verteil_rwst,13,FALSE)</f>
        <v>0</v>
      </c>
      <c r="CU377" s="179">
        <f t="shared" si="1978"/>
        <v>0</v>
      </c>
      <c r="CV377" s="179">
        <f>SUMIF($D$5:$D$319,"=kls",CV5:CV319)*HLOOKUP(CS322,Verteil_rwst,9,FALSE)+SUMIF($D$5:$D$319,"=klm",CV5:CV319)*HLOOKUP(CS322,Verteil_rwst,10,FALSE)+SUMIF($D$5:$D$319,"=klr",CV5:CV319)*HLOOKUP(CS322,Verteil_rwst,11,FALSE)+SUMIF($D$5:$D$319,"=klk",CV5:CV319)*HLOOKUP(CS322,Verteil_rwst,12,FALSE)+SUMIF($D$5:$D$319,"=klz",CV5:CV319)*HLOOKUP(CS322,Verteil_rwst,13,FALSE)</f>
        <v>0</v>
      </c>
      <c r="CW377" s="102">
        <f t="shared" ref="CW377" si="2141">IF(CV374&lt;&gt;0,CV377/CV374,0)</f>
        <v>0</v>
      </c>
      <c r="CX377" s="665" t="s">
        <v>194</v>
      </c>
      <c r="DC377" s="217"/>
      <c r="DE377" s="179">
        <f>SUMIF($D$5:$D$319,"=kls",DE5:DE319)*HLOOKUP(DJ322,Verteil_rwst,9,FALSE)+SUMIF($D$5:$D$319,"=klm",DE5:DE319)*HLOOKUP(DJ322,Verteil_rwst,10,FALSE)+SUMIF($D$5:$D$319,"=klr",DE5:DE319)*HLOOKUP(DJ322,Verteil_rwst,11,FALSE)+SUMIF($D$5:$D$319,"=klk",DE5:DE319)*HLOOKUP(DJ322,Verteil_rwst,12,FALSE)+SUMIF($D$5:$D$319,"=klz",DE5:DE319)*HLOOKUP(DJ322,Verteil_rwst,13,FALSE)</f>
        <v>0</v>
      </c>
      <c r="DG377" s="179">
        <f>SUMIF($D$5:$D$319,"=kls",DG5:DG319)*HLOOKUP(DJ322,Verteil_rwst,9,FALSE)+SUMIF($D$5:$D$319,"=klm",DG5:DG319)*HLOOKUP(DJ322,Verteil_rwst,10,FALSE)+SUMIF($D$5:$D$319,"=klr",DG5:DG319)*HLOOKUP(DJ322,Verteil_rwst,11,FALSE)+SUMIF($D$5:$D$319,"=klk",DG5:DG319)*HLOOKUP(DJ322,Verteil_rwst,12,FALSE)+SUMIF($D$5:$D$319,"=klz",DG5:DG319)*HLOOKUP(DJ322,Verteil_rwst,13,FALSE)</f>
        <v>0</v>
      </c>
      <c r="DI377" s="102">
        <f t="shared" ref="DI377" si="2142">IF(DJ374&lt;&gt;0,DJ377/DJ374,0)</f>
        <v>0</v>
      </c>
      <c r="DJ377" s="179">
        <f>ROUND(DL377*HLOOKUP(DJ322,Grund_zins,2,FALSE),2)</f>
        <v>0</v>
      </c>
      <c r="DK377" s="179">
        <f>SUMIF($D$5:$D$319,"=kls",DK5:DK319)*HLOOKUP(DJ322,Verteil_rwst,9,FALSE)+SUMIF($D$5:$D$319,"=klm",DK5:DK319)*HLOOKUP(DJ322,Verteil_rwst,10,FALSE)+SUMIF($D$5:$D$319,"=klr",DK5:DK319)*HLOOKUP(DJ322,Verteil_rwst,11,FALSE)+SUMIF($D$5:$D$319,"=klk",DK5:DK319)*HLOOKUP(DJ322,Verteil_rwst,12,FALSE)+SUMIF($D$5:$D$319,"=klz",DK5:DK319)*HLOOKUP(DJ322,Verteil_rwst,13,FALSE)</f>
        <v>0</v>
      </c>
      <c r="DL377" s="179">
        <f t="shared" si="1985"/>
        <v>0</v>
      </c>
      <c r="DM377" s="179">
        <f>SUMIF($D$5:$D$319,"=kls",DM5:DM319)*HLOOKUP(DJ322,Verteil_rwst,9,FALSE)+SUMIF($D$5:$D$319,"=klm",DM5:DM319)*HLOOKUP(DJ322,Verteil_rwst,10,FALSE)+SUMIF($D$5:$D$319,"=klr",DM5:DM319)*HLOOKUP(DJ322,Verteil_rwst,11,FALSE)+SUMIF($D$5:$D$319,"=klk",DM5:DM319)*HLOOKUP(DJ322,Verteil_rwst,12,FALSE)+SUMIF($D$5:$D$319,"=klz",DM5:DM319)*HLOOKUP(DJ322,Verteil_rwst,13,FALSE)</f>
        <v>0</v>
      </c>
      <c r="DN377" s="102">
        <f t="shared" ref="DN377" si="2143">IF(DM374&lt;&gt;0,DM377/DM374,0)</f>
        <v>0</v>
      </c>
      <c r="DO377" s="665" t="s">
        <v>194</v>
      </c>
      <c r="DT377" s="217"/>
      <c r="DV377" s="179">
        <f>SUMIF($D$5:$D$319,"=kls",DV5:DV319)*HLOOKUP(EA322,Verteil_rwst,9,FALSE)+SUMIF($D$5:$D$319,"=klm",DV5:DV319)*HLOOKUP(EA322,Verteil_rwst,10,FALSE)+SUMIF($D$5:$D$319,"=klr",DV5:DV319)*HLOOKUP(EA322,Verteil_rwst,11,FALSE)+SUMIF($D$5:$D$319,"=klk",DV5:DV319)*HLOOKUP(EA322,Verteil_rwst,12,FALSE)+SUMIF($D$5:$D$319,"=klz",DV5:DV319)*HLOOKUP(EA322,Verteil_rwst,13,FALSE)</f>
        <v>0</v>
      </c>
      <c r="DX377" s="179">
        <f>SUMIF($D$5:$D$319,"=kls",DX5:DX319)*HLOOKUP(EA322,Verteil_rwst,9,FALSE)+SUMIF($D$5:$D$319,"=klm",DX5:DX319)*HLOOKUP(EA322,Verteil_rwst,10,FALSE)+SUMIF($D$5:$D$319,"=klr",DX5:DX319)*HLOOKUP(EA322,Verteil_rwst,11,FALSE)+SUMIF($D$5:$D$319,"=klk",DX5:DX319)*HLOOKUP(EA322,Verteil_rwst,12,FALSE)+SUMIF($D$5:$D$319,"=klz",DX5:DX319)*HLOOKUP(EA322,Verteil_rwst,13,FALSE)</f>
        <v>0</v>
      </c>
      <c r="DZ377" s="102">
        <f t="shared" ref="DZ377" si="2144">IF(EA374&lt;&gt;0,EA377/EA374,0)</f>
        <v>0</v>
      </c>
      <c r="EA377" s="179">
        <f>ROUND(EC377*HLOOKUP(EA322,Grund_zins,2,FALSE),2)</f>
        <v>0</v>
      </c>
      <c r="EB377" s="179">
        <f>SUMIF($D$5:$D$319,"=kls",EB5:EB319)*HLOOKUP(EA322,Verteil_rwst,9,FALSE)+SUMIF($D$5:$D$319,"=klm",EB5:EB319)*HLOOKUP(EA322,Verteil_rwst,10,FALSE)+SUMIF($D$5:$D$319,"=klr",EB5:EB319)*HLOOKUP(EA322,Verteil_rwst,11,FALSE)+SUMIF($D$5:$D$319,"=klk",EB5:EB319)*HLOOKUP(EA322,Verteil_rwst,12,FALSE)+SUMIF($D$5:$D$319,"=klz",EB5:EB319)*HLOOKUP(EA322,Verteil_rwst,13,FALSE)</f>
        <v>0</v>
      </c>
      <c r="EC377" s="179">
        <f t="shared" si="1992"/>
        <v>0</v>
      </c>
      <c r="ED377" s="179">
        <f>SUMIF($D$5:$D$319,"=kls",ED5:ED319)*HLOOKUP(EA322,Verteil_rwst,9,FALSE)+SUMIF($D$5:$D$319,"=klm",ED5:ED319)*HLOOKUP(EA322,Verteil_rwst,10,FALSE)+SUMIF($D$5:$D$319,"=klr",ED5:ED319)*HLOOKUP(EA322,Verteil_rwst,11,FALSE)+SUMIF($D$5:$D$319,"=klk",ED5:ED319)*HLOOKUP(EA322,Verteil_rwst,12,FALSE)+SUMIF($D$5:$D$319,"=klz",ED5:ED319)*HLOOKUP(EA322,Verteil_rwst,13,FALSE)</f>
        <v>0</v>
      </c>
      <c r="EE377" s="102">
        <f t="shared" ref="EE377" si="2145">IF(ED374&lt;&gt;0,ED377/ED374,0)</f>
        <v>0</v>
      </c>
      <c r="EF377" s="665" t="s">
        <v>194</v>
      </c>
      <c r="EK377" s="217"/>
      <c r="EM377" s="179">
        <f>SUMIF($D$5:$D$319,"=kls",EM5:EM319)*HLOOKUP(ER322,Verteil_rwst,9,FALSE)+SUMIF($D$5:$D$319,"=klm",EM5:EM319)*HLOOKUP(ER322,Verteil_rwst,10,FALSE)+SUMIF($D$5:$D$319,"=klr",EM5:EM319)*HLOOKUP(ER322,Verteil_rwst,11,FALSE)+SUMIF($D$5:$D$319,"=klk",EM5:EM319)*HLOOKUP(ER322,Verteil_rwst,12,FALSE)+SUMIF($D$5:$D$319,"=klz",EM5:EM319)*HLOOKUP(ER322,Verteil_rwst,13,FALSE)</f>
        <v>0</v>
      </c>
      <c r="EO377" s="179">
        <f>SUMIF($D$5:$D$319,"=kls",EO5:EO319)*HLOOKUP(ER322,Verteil_rwst,9,FALSE)+SUMIF($D$5:$D$319,"=klm",EO5:EO319)*HLOOKUP(ER322,Verteil_rwst,10,FALSE)+SUMIF($D$5:$D$319,"=klr",EO5:EO319)*HLOOKUP(ER322,Verteil_rwst,11,FALSE)+SUMIF($D$5:$D$319,"=klk",EO5:EO319)*HLOOKUP(ER322,Verteil_rwst,12,FALSE)+SUMIF($D$5:$D$319,"=klz",EO5:EO319)*HLOOKUP(ER322,Verteil_rwst,13,FALSE)</f>
        <v>0</v>
      </c>
      <c r="EQ377" s="102">
        <f t="shared" ref="EQ377" si="2146">IF(ER374&lt;&gt;0,ER377/ER374,0)</f>
        <v>0</v>
      </c>
      <c r="ER377" s="179">
        <f>ROUND(ET377*HLOOKUP(ER322,Grund_zins,2,FALSE),2)</f>
        <v>0</v>
      </c>
      <c r="ES377" s="179">
        <f>SUMIF($D$5:$D$319,"=kls",ES5:ES319)*HLOOKUP(ER322,Verteil_rwst,9,FALSE)+SUMIF($D$5:$D$319,"=klm",ES5:ES319)*HLOOKUP(ER322,Verteil_rwst,10,FALSE)+SUMIF($D$5:$D$319,"=klr",ES5:ES319)*HLOOKUP(ER322,Verteil_rwst,11,FALSE)+SUMIF($D$5:$D$319,"=klk",ES5:ES319)*HLOOKUP(ER322,Verteil_rwst,12,FALSE)+SUMIF($D$5:$D$319,"=klz",ES5:ES319)*HLOOKUP(ER322,Verteil_rwst,13,FALSE)</f>
        <v>0</v>
      </c>
      <c r="ET377" s="179">
        <f t="shared" si="1999"/>
        <v>0</v>
      </c>
      <c r="EU377" s="179">
        <f>SUMIF($D$5:$D$319,"=kls",EU5:EU319)*HLOOKUP(ER322,Verteil_rwst,9,FALSE)+SUMIF($D$5:$D$319,"=klm",EU5:EU319)*HLOOKUP(ER322,Verteil_rwst,10,FALSE)+SUMIF($D$5:$D$319,"=klr",EU5:EU319)*HLOOKUP(ER322,Verteil_rwst,11,FALSE)+SUMIF($D$5:$D$319,"=klk",EU5:EU319)*HLOOKUP(ER322,Verteil_rwst,12,FALSE)+SUMIF($D$5:$D$319,"=klz",EU5:EU319)*HLOOKUP(ER322,Verteil_rwst,13,FALSE)</f>
        <v>0</v>
      </c>
      <c r="EV377" s="102">
        <f t="shared" ref="EV377" si="2147">IF(EU374&lt;&gt;0,EU377/EU374,0)</f>
        <v>0</v>
      </c>
      <c r="EW377" s="665" t="s">
        <v>194</v>
      </c>
      <c r="FB377" s="217"/>
      <c r="FD377" s="179">
        <f>SUMIF($D$5:$D$319,"=kls",FD5:FD319)*HLOOKUP(FI322,Verteil_rwst,9,FALSE)+SUMIF($D$5:$D$319,"=klm",FD5:FD319)*HLOOKUP(FI322,Verteil_rwst,10,FALSE)+SUMIF($D$5:$D$319,"=klr",FD5:FD319)*HLOOKUP(FI322,Verteil_rwst,11,FALSE)+SUMIF($D$5:$D$319,"=klk",FD5:FD319)*HLOOKUP(FI322,Verteil_rwst,12,FALSE)+SUMIF($D$5:$D$319,"=klz",FD5:FD319)*HLOOKUP(FI322,Verteil_rwst,13,FALSE)</f>
        <v>0</v>
      </c>
      <c r="FF377" s="179">
        <f>SUMIF($D$5:$D$319,"=kls",FF5:FF319)*HLOOKUP(FI322,Verteil_rwst,9,FALSE)+SUMIF($D$5:$D$319,"=klm",FF5:FF319)*HLOOKUP(FI322,Verteil_rwst,10,FALSE)+SUMIF($D$5:$D$319,"=klr",FF5:FF319)*HLOOKUP(FI322,Verteil_rwst,11,FALSE)+SUMIF($D$5:$D$319,"=klk",FF5:FF319)*HLOOKUP(FI322,Verteil_rwst,12,FALSE)+SUMIF($D$5:$D$319,"=klz",FF5:FF319)*HLOOKUP(FI322,Verteil_rwst,13,FALSE)</f>
        <v>0</v>
      </c>
      <c r="FH377" s="102">
        <f t="shared" ref="FH377" si="2148">IF(FI374&lt;&gt;0,FI377/FI374,0)</f>
        <v>0</v>
      </c>
      <c r="FI377" s="179">
        <f>ROUND(FK377*HLOOKUP(FI322,Grund_zins,2,FALSE),2)</f>
        <v>0</v>
      </c>
      <c r="FJ377" s="179">
        <f>SUMIF($D$5:$D$319,"=kls",FJ5:FJ319)*HLOOKUP(FI322,Verteil_rwst,9,FALSE)+SUMIF($D$5:$D$319,"=klm",FJ5:FJ319)*HLOOKUP(FI322,Verteil_rwst,10,FALSE)+SUMIF($D$5:$D$319,"=klr",FJ5:FJ319)*HLOOKUP(FI322,Verteil_rwst,11,FALSE)+SUMIF($D$5:$D$319,"=klk",FJ5:FJ319)*HLOOKUP(FI322,Verteil_rwst,12,FALSE)+SUMIF($D$5:$D$319,"=klz",FJ5:FJ319)*HLOOKUP(FI322,Verteil_rwst,13,FALSE)</f>
        <v>0</v>
      </c>
      <c r="FK377" s="179">
        <f t="shared" si="2006"/>
        <v>0</v>
      </c>
      <c r="FL377" s="179">
        <f>SUMIF($D$5:$D$319,"=kls",FL5:FL319)*HLOOKUP(FI322,Verteil_rwst,9,FALSE)+SUMIF($D$5:$D$319,"=klm",FL5:FL319)*HLOOKUP(FI322,Verteil_rwst,10,FALSE)+SUMIF($D$5:$D$319,"=klr",FL5:FL319)*HLOOKUP(FI322,Verteil_rwst,11,FALSE)+SUMIF($D$5:$D$319,"=klk",FL5:FL319)*HLOOKUP(FI322,Verteil_rwst,12,FALSE)+SUMIF($D$5:$D$319,"=klz",FL5:FL319)*HLOOKUP(FI322,Verteil_rwst,13,FALSE)</f>
        <v>0</v>
      </c>
      <c r="FM377" s="102">
        <f t="shared" ref="FM377" si="2149">IF(FL374&lt;&gt;0,FL377/FL374,0)</f>
        <v>0</v>
      </c>
      <c r="FN377" s="665" t="s">
        <v>194</v>
      </c>
      <c r="FS377" s="217"/>
    </row>
    <row r="378" spans="1:175" s="10" customFormat="1" ht="15" hidden="1" customHeight="1" x14ac:dyDescent="0.3">
      <c r="A378" s="664" t="s">
        <v>274</v>
      </c>
      <c r="V378" s="217">
        <v>57</v>
      </c>
      <c r="X378" s="179">
        <f>SUMIF($D$5:$D$319,"=sos",X5:X319)+SUMIF($D$5:$D$319,"=som",X5:X319)+SUMIF($D$5:$D$319,"=sor",X5:X319)+SUMIF($D$5:$D$319,"=soz",X5:X319)</f>
        <v>0</v>
      </c>
      <c r="Z378" s="179">
        <f>SUMIF($D$5:$D$319,"=sos",Z5:Z319)+SUMIF($D$5:$D$319,"=som",Z5:Z319)+SUMIF($D$5:$D$319,"=sor",Z5:Z319)+SUMIF($D$5:$D$319,"=soz",Z5:Z319)</f>
        <v>0</v>
      </c>
      <c r="AB378" s="102">
        <f t="shared" ref="AB378" si="2150">SUM(AB379:AB381)</f>
        <v>1</v>
      </c>
      <c r="AC378" s="179">
        <f>ROUND(AE378*HLOOKUP(AC322,Grund_zins,2,FALSE),2)</f>
        <v>3850</v>
      </c>
      <c r="AD378" s="179">
        <f>SUMIF($D$5:$D$319,"=sos",AD5:AD319)+SUMIF($D$5:$D$319,"=som",AD5:AD319)+SUMIF($D$5:$D$319,"=sor",AD5:AD319)+SUMIF($D$5:$D$319,"=soz",AD5:AD319)</f>
        <v>0</v>
      </c>
      <c r="AE378" s="179">
        <f t="shared" si="2009"/>
        <v>110000</v>
      </c>
      <c r="AF378" s="179">
        <f>SUMIF($D$5:$D$319,"=sos",AF5:AF319)+SUMIF($D$5:$D$319,"=som",AF5:AF319)+SUMIF($D$5:$D$319,"=sor",AF5:AF319)+SUMIF($D$5:$D$319,"=soz",AF5:AF319)</f>
        <v>110000</v>
      </c>
      <c r="AG378" s="102">
        <f t="shared" ref="AG378" si="2151">SUM(AG379:AG381)</f>
        <v>1</v>
      </c>
      <c r="AH378" s="664" t="s">
        <v>274</v>
      </c>
      <c r="AM378" s="217"/>
      <c r="AO378" s="179">
        <f t="shared" ref="AO378" si="2152">SUMIF($D$5:$D$319,"=sos",AO5:AO319)+SUMIF($D$5:$D$319,"=som",AO5:AO319)+SUMIF($D$5:$D$319,"=sor",AO5:AO319)+SUMIF($D$5:$D$319,"=soz",AO5:AO319)</f>
        <v>0</v>
      </c>
      <c r="AQ378" s="179">
        <f t="shared" ref="AQ378" si="2153">SUMIF($D$5:$D$319,"=sos",AQ5:AQ319)+SUMIF($D$5:$D$319,"=som",AQ5:AQ319)+SUMIF($D$5:$D$319,"=sor",AQ5:AQ319)+SUMIF($D$5:$D$319,"=soz",AQ5:AQ319)</f>
        <v>0</v>
      </c>
      <c r="AS378" s="102">
        <f t="shared" ref="AS378:CR378" si="2154">SUM(AS379:AS381)</f>
        <v>1</v>
      </c>
      <c r="AT378" s="179">
        <f>ROUND(AV378*HLOOKUP(AT322,Grund_zins,2,FALSE),2)</f>
        <v>3850</v>
      </c>
      <c r="AU378" s="179">
        <f t="shared" ref="AU378" si="2155">SUMIF($D$5:$D$319,"=sos",AU5:AU319)+SUMIF($D$5:$D$319,"=som",AU5:AU319)+SUMIF($D$5:$D$319,"=sor",AU5:AU319)+SUMIF($D$5:$D$319,"=soz",AU5:AU319)</f>
        <v>0</v>
      </c>
      <c r="AV378" s="179">
        <f t="shared" si="1957"/>
        <v>110000</v>
      </c>
      <c r="AW378" s="179">
        <f t="shared" ref="AW378" si="2156">SUMIF($D$5:$D$319,"=sos",AW5:AW319)+SUMIF($D$5:$D$319,"=som",AW5:AW319)+SUMIF($D$5:$D$319,"=sor",AW5:AW319)+SUMIF($D$5:$D$319,"=soz",AW5:AW319)</f>
        <v>110000</v>
      </c>
      <c r="AX378" s="102">
        <f t="shared" ref="AX378:CW378" si="2157">SUM(AX379:AX381)</f>
        <v>1</v>
      </c>
      <c r="AY378" s="664" t="s">
        <v>274</v>
      </c>
      <c r="BD378" s="217"/>
      <c r="BF378" s="179">
        <f t="shared" ref="BF378" si="2158">SUMIF($D$5:$D$319,"=sos",BF5:BF319)+SUMIF($D$5:$D$319,"=som",BF5:BF319)+SUMIF($D$5:$D$319,"=sor",BF5:BF319)+SUMIF($D$5:$D$319,"=soz",BF5:BF319)</f>
        <v>0</v>
      </c>
      <c r="BH378" s="179">
        <f t="shared" ref="BH378" si="2159">SUMIF($D$5:$D$319,"=sos",BH5:BH319)+SUMIF($D$5:$D$319,"=som",BH5:BH319)+SUMIF($D$5:$D$319,"=sor",BH5:BH319)+SUMIF($D$5:$D$319,"=soz",BH5:BH319)</f>
        <v>0</v>
      </c>
      <c r="BJ378" s="102">
        <f t="shared" si="2154"/>
        <v>1</v>
      </c>
      <c r="BK378" s="179">
        <f>ROUND(BM378*HLOOKUP(BK322,Grund_zins,2,FALSE),2)</f>
        <v>3850</v>
      </c>
      <c r="BL378" s="179">
        <f t="shared" ref="BL378" si="2160">SUMIF($D$5:$D$319,"=sos",BL5:BL319)+SUMIF($D$5:$D$319,"=som",BL5:BL319)+SUMIF($D$5:$D$319,"=sor",BL5:BL319)+SUMIF($D$5:$D$319,"=soz",BL5:BL319)</f>
        <v>0</v>
      </c>
      <c r="BM378" s="179">
        <f t="shared" si="1964"/>
        <v>110000</v>
      </c>
      <c r="BN378" s="179">
        <f t="shared" ref="BN378" si="2161">SUMIF($D$5:$D$319,"=sos",BN5:BN319)+SUMIF($D$5:$D$319,"=som",BN5:BN319)+SUMIF($D$5:$D$319,"=sor",BN5:BN319)+SUMIF($D$5:$D$319,"=soz",BN5:BN319)</f>
        <v>110000</v>
      </c>
      <c r="BO378" s="102">
        <f t="shared" si="2157"/>
        <v>1</v>
      </c>
      <c r="BP378" s="664" t="s">
        <v>274</v>
      </c>
      <c r="BU378" s="217"/>
      <c r="BW378" s="179">
        <f t="shared" ref="BW378" si="2162">SUMIF($D$5:$D$319,"=sos",BW5:BW319)+SUMIF($D$5:$D$319,"=som",BW5:BW319)+SUMIF($D$5:$D$319,"=sor",BW5:BW319)+SUMIF($D$5:$D$319,"=soz",BW5:BW319)</f>
        <v>0</v>
      </c>
      <c r="BY378" s="179">
        <f t="shared" ref="BY378" si="2163">SUMIF($D$5:$D$319,"=sos",BY5:BY319)+SUMIF($D$5:$D$319,"=som",BY5:BY319)+SUMIF($D$5:$D$319,"=sor",BY5:BY319)+SUMIF($D$5:$D$319,"=soz",BY5:BY319)</f>
        <v>0</v>
      </c>
      <c r="CA378" s="102">
        <f t="shared" si="2154"/>
        <v>1</v>
      </c>
      <c r="CB378" s="179">
        <f>ROUND(CD378*HLOOKUP(CB322,Grund_zins,2,FALSE),2)</f>
        <v>3850</v>
      </c>
      <c r="CC378" s="179">
        <f t="shared" ref="CC378" si="2164">SUMIF($D$5:$D$319,"=sos",CC5:CC319)+SUMIF($D$5:$D$319,"=som",CC5:CC319)+SUMIF($D$5:$D$319,"=sor",CC5:CC319)+SUMIF($D$5:$D$319,"=soz",CC5:CC319)</f>
        <v>0</v>
      </c>
      <c r="CD378" s="179">
        <f t="shared" si="1971"/>
        <v>110000</v>
      </c>
      <c r="CE378" s="179">
        <f t="shared" ref="CE378" si="2165">SUMIF($D$5:$D$319,"=sos",CE5:CE319)+SUMIF($D$5:$D$319,"=som",CE5:CE319)+SUMIF($D$5:$D$319,"=sor",CE5:CE319)+SUMIF($D$5:$D$319,"=soz",CE5:CE319)</f>
        <v>110000</v>
      </c>
      <c r="CF378" s="102">
        <f t="shared" si="2157"/>
        <v>1</v>
      </c>
      <c r="CG378" s="664" t="s">
        <v>274</v>
      </c>
      <c r="CL378" s="217"/>
      <c r="CN378" s="179">
        <f t="shared" ref="CN378" si="2166">SUMIF($D$5:$D$319,"=sos",CN5:CN319)+SUMIF($D$5:$D$319,"=som",CN5:CN319)+SUMIF($D$5:$D$319,"=sor",CN5:CN319)+SUMIF($D$5:$D$319,"=soz",CN5:CN319)</f>
        <v>0</v>
      </c>
      <c r="CP378" s="179">
        <f t="shared" ref="CP378" si="2167">SUMIF($D$5:$D$319,"=sos",CP5:CP319)+SUMIF($D$5:$D$319,"=som",CP5:CP319)+SUMIF($D$5:$D$319,"=sor",CP5:CP319)+SUMIF($D$5:$D$319,"=soz",CP5:CP319)</f>
        <v>0</v>
      </c>
      <c r="CR378" s="102">
        <f t="shared" si="2154"/>
        <v>1</v>
      </c>
      <c r="CS378" s="179">
        <f>ROUND(CU378*HLOOKUP(CS322,Grund_zins,2,FALSE),2)</f>
        <v>3850</v>
      </c>
      <c r="CT378" s="179">
        <f t="shared" ref="CT378" si="2168">SUMIF($D$5:$D$319,"=sos",CT5:CT319)+SUMIF($D$5:$D$319,"=som",CT5:CT319)+SUMIF($D$5:$D$319,"=sor",CT5:CT319)+SUMIF($D$5:$D$319,"=soz",CT5:CT319)</f>
        <v>0</v>
      </c>
      <c r="CU378" s="179">
        <f t="shared" si="1978"/>
        <v>110000</v>
      </c>
      <c r="CV378" s="179">
        <f t="shared" ref="CV378" si="2169">SUMIF($D$5:$D$319,"=sos",CV5:CV319)+SUMIF($D$5:$D$319,"=som",CV5:CV319)+SUMIF($D$5:$D$319,"=sor",CV5:CV319)+SUMIF($D$5:$D$319,"=soz",CV5:CV319)</f>
        <v>110000</v>
      </c>
      <c r="CW378" s="102">
        <f t="shared" si="2157"/>
        <v>1</v>
      </c>
      <c r="CX378" s="664" t="s">
        <v>274</v>
      </c>
      <c r="DC378" s="217"/>
      <c r="DE378" s="179">
        <f t="shared" ref="DE378" si="2170">SUMIF($D$5:$D$319,"=sos",DE5:DE319)+SUMIF($D$5:$D$319,"=som",DE5:DE319)+SUMIF($D$5:$D$319,"=sor",DE5:DE319)+SUMIF($D$5:$D$319,"=soz",DE5:DE319)</f>
        <v>0</v>
      </c>
      <c r="DG378" s="179">
        <f t="shared" ref="DG378" si="2171">SUMIF($D$5:$D$319,"=sos",DG5:DG319)+SUMIF($D$5:$D$319,"=som",DG5:DG319)+SUMIF($D$5:$D$319,"=sor",DG5:DG319)+SUMIF($D$5:$D$319,"=soz",DG5:DG319)</f>
        <v>0</v>
      </c>
      <c r="DI378" s="102">
        <f t="shared" ref="DI378:FH378" si="2172">SUM(DI379:DI381)</f>
        <v>1</v>
      </c>
      <c r="DJ378" s="179">
        <f>ROUND(DL378*HLOOKUP(DJ322,Grund_zins,2,FALSE),2)</f>
        <v>3300</v>
      </c>
      <c r="DK378" s="179">
        <f t="shared" ref="DK378" si="2173">SUMIF($D$5:$D$319,"=sos",DK5:DK319)+SUMIF($D$5:$D$319,"=som",DK5:DK319)+SUMIF($D$5:$D$319,"=sor",DK5:DK319)+SUMIF($D$5:$D$319,"=soz",DK5:DK319)</f>
        <v>0</v>
      </c>
      <c r="DL378" s="179">
        <f t="shared" si="1985"/>
        <v>110000</v>
      </c>
      <c r="DM378" s="179">
        <f t="shared" ref="DM378" si="2174">SUMIF($D$5:$D$319,"=sos",DM5:DM319)+SUMIF($D$5:$D$319,"=som",DM5:DM319)+SUMIF($D$5:$D$319,"=sor",DM5:DM319)+SUMIF($D$5:$D$319,"=soz",DM5:DM319)</f>
        <v>110000</v>
      </c>
      <c r="DN378" s="102">
        <f t="shared" ref="DN378:FM378" si="2175">SUM(DN379:DN381)</f>
        <v>1</v>
      </c>
      <c r="DO378" s="664" t="s">
        <v>274</v>
      </c>
      <c r="DT378" s="217"/>
      <c r="DV378" s="179">
        <f t="shared" ref="DV378" si="2176">SUMIF($D$5:$D$319,"=sos",DV5:DV319)+SUMIF($D$5:$D$319,"=som",DV5:DV319)+SUMIF($D$5:$D$319,"=sor",DV5:DV319)+SUMIF($D$5:$D$319,"=soz",DV5:DV319)</f>
        <v>0</v>
      </c>
      <c r="DX378" s="179">
        <f t="shared" ref="DX378" si="2177">SUMIF($D$5:$D$319,"=sos",DX5:DX319)+SUMIF($D$5:$D$319,"=som",DX5:DX319)+SUMIF($D$5:$D$319,"=sor",DX5:DX319)+SUMIF($D$5:$D$319,"=soz",DX5:DX319)</f>
        <v>0</v>
      </c>
      <c r="DZ378" s="102">
        <f t="shared" si="2172"/>
        <v>1</v>
      </c>
      <c r="EA378" s="179">
        <f>ROUND(EC378*HLOOKUP(EA322,Grund_zins,2,FALSE),2)</f>
        <v>3300</v>
      </c>
      <c r="EB378" s="179">
        <f t="shared" ref="EB378" si="2178">SUMIF($D$5:$D$319,"=sos",EB5:EB319)+SUMIF($D$5:$D$319,"=som",EB5:EB319)+SUMIF($D$5:$D$319,"=sor",EB5:EB319)+SUMIF($D$5:$D$319,"=soz",EB5:EB319)</f>
        <v>0</v>
      </c>
      <c r="EC378" s="179">
        <f t="shared" si="1992"/>
        <v>110000</v>
      </c>
      <c r="ED378" s="179">
        <f t="shared" ref="ED378" si="2179">SUMIF($D$5:$D$319,"=sos",ED5:ED319)+SUMIF($D$5:$D$319,"=som",ED5:ED319)+SUMIF($D$5:$D$319,"=sor",ED5:ED319)+SUMIF($D$5:$D$319,"=soz",ED5:ED319)</f>
        <v>110000</v>
      </c>
      <c r="EE378" s="102">
        <f t="shared" si="2175"/>
        <v>1</v>
      </c>
      <c r="EF378" s="664" t="s">
        <v>274</v>
      </c>
      <c r="EK378" s="217"/>
      <c r="EM378" s="179">
        <f t="shared" ref="EM378" si="2180">SUMIF($D$5:$D$319,"=sos",EM5:EM319)+SUMIF($D$5:$D$319,"=som",EM5:EM319)+SUMIF($D$5:$D$319,"=sor",EM5:EM319)+SUMIF($D$5:$D$319,"=soz",EM5:EM319)</f>
        <v>0</v>
      </c>
      <c r="EO378" s="179">
        <f t="shared" ref="EO378" si="2181">SUMIF($D$5:$D$319,"=sos",EO5:EO319)+SUMIF($D$5:$D$319,"=som",EO5:EO319)+SUMIF($D$5:$D$319,"=sor",EO5:EO319)+SUMIF($D$5:$D$319,"=soz",EO5:EO319)</f>
        <v>0</v>
      </c>
      <c r="EQ378" s="102">
        <f t="shared" si="2172"/>
        <v>1</v>
      </c>
      <c r="ER378" s="179">
        <f>ROUND(ET378*HLOOKUP(ER322,Grund_zins,2,FALSE),2)</f>
        <v>3300</v>
      </c>
      <c r="ES378" s="179">
        <f t="shared" ref="ES378" si="2182">SUMIF($D$5:$D$319,"=sos",ES5:ES319)+SUMIF($D$5:$D$319,"=som",ES5:ES319)+SUMIF($D$5:$D$319,"=sor",ES5:ES319)+SUMIF($D$5:$D$319,"=soz",ES5:ES319)</f>
        <v>0</v>
      </c>
      <c r="ET378" s="179">
        <f t="shared" si="1999"/>
        <v>110000</v>
      </c>
      <c r="EU378" s="179">
        <f t="shared" ref="EU378" si="2183">SUMIF($D$5:$D$319,"=sos",EU5:EU319)+SUMIF($D$5:$D$319,"=som",EU5:EU319)+SUMIF($D$5:$D$319,"=sor",EU5:EU319)+SUMIF($D$5:$D$319,"=soz",EU5:EU319)</f>
        <v>110000</v>
      </c>
      <c r="EV378" s="102">
        <f t="shared" si="2175"/>
        <v>1</v>
      </c>
      <c r="EW378" s="664" t="s">
        <v>274</v>
      </c>
      <c r="FB378" s="217"/>
      <c r="FD378" s="179">
        <f t="shared" ref="FD378" si="2184">SUMIF($D$5:$D$319,"=sos",FD5:FD319)+SUMIF($D$5:$D$319,"=som",FD5:FD319)+SUMIF($D$5:$D$319,"=sor",FD5:FD319)+SUMIF($D$5:$D$319,"=soz",FD5:FD319)</f>
        <v>0</v>
      </c>
      <c r="FF378" s="179">
        <f t="shared" ref="FF378" si="2185">SUMIF($D$5:$D$319,"=sos",FF5:FF319)+SUMIF($D$5:$D$319,"=som",FF5:FF319)+SUMIF($D$5:$D$319,"=sor",FF5:FF319)+SUMIF($D$5:$D$319,"=soz",FF5:FF319)</f>
        <v>0</v>
      </c>
      <c r="FH378" s="102">
        <f t="shared" si="2172"/>
        <v>1</v>
      </c>
      <c r="FI378" s="179">
        <f>ROUND(FK378*HLOOKUP(FI322,Grund_zins,2,FALSE),2)</f>
        <v>3300</v>
      </c>
      <c r="FJ378" s="179">
        <f t="shared" ref="FJ378" si="2186">SUMIF($D$5:$D$319,"=sos",FJ5:FJ319)+SUMIF($D$5:$D$319,"=som",FJ5:FJ319)+SUMIF($D$5:$D$319,"=sor",FJ5:FJ319)+SUMIF($D$5:$D$319,"=soz",FJ5:FJ319)</f>
        <v>0</v>
      </c>
      <c r="FK378" s="179">
        <f t="shared" si="2006"/>
        <v>110000</v>
      </c>
      <c r="FL378" s="179">
        <f t="shared" ref="FL378" si="2187">SUMIF($D$5:$D$319,"=sos",FL5:FL319)+SUMIF($D$5:$D$319,"=som",FL5:FL319)+SUMIF($D$5:$D$319,"=sor",FL5:FL319)+SUMIF($D$5:$D$319,"=soz",FL5:FL319)</f>
        <v>110000</v>
      </c>
      <c r="FM378" s="102">
        <f t="shared" si="2175"/>
        <v>1</v>
      </c>
      <c r="FN378" s="664" t="s">
        <v>274</v>
      </c>
      <c r="FS378" s="217"/>
    </row>
    <row r="379" spans="1:175" s="10" customFormat="1" ht="15" hidden="1" customHeight="1" x14ac:dyDescent="0.3">
      <c r="A379" s="665" t="s">
        <v>180</v>
      </c>
      <c r="V379" s="217">
        <v>58</v>
      </c>
      <c r="X379" s="179">
        <f>SUMIF($D$5:$D$319,"=sos",X5:X319)*HLOOKUP(AC322,Verteil_sw,17,FALSE)+SUMIF($D$5:$D$319,"=som",X5:X319)*HLOOKUP(AC322,Verteil_sw,18,FALSE)+SUMIF($D$5:$D$319,"=sor",X5:X319)*HLOOKUP(AC322,Verteil_sw,19,FALSE)+SUMIF($D$5:$D$319,"=soz",X5:X319)*HLOOKUP(AC322,Verteil_sw,20,FALSE)</f>
        <v>0</v>
      </c>
      <c r="Z379" s="179">
        <f>SUMIF($D$5:$D$319,"=sos",Z5:Z319)*HLOOKUP(AC322,Verteil_sw,17,FALSE)+SUMIF($D$5:$D$319,"=som",Z5:Z319)*HLOOKUP(AC322,Verteil_sw,18,FALSE)+SUMIF($D$5:$D$319,"=sor",Z5:Z319)*HLOOKUP(AC322,Verteil_sw,19,FALSE)+SUMIF($D$5:$D$319,"=soz",Z5:Z319)*HLOOKUP(AC322,Verteil_sw,20,FALSE)</f>
        <v>0</v>
      </c>
      <c r="AB379" s="102">
        <f t="shared" ref="AB379" si="2188">IF(AC378&lt;&gt;0,AC379/AC378,0)</f>
        <v>0.5</v>
      </c>
      <c r="AC379" s="179">
        <f>ROUND(AE379*HLOOKUP(AC322,Grund_zins,2,FALSE),2)</f>
        <v>1925</v>
      </c>
      <c r="AD379" s="179">
        <f>SUMIF($D$5:$D$319,"=sos",AD5:AD319)*HLOOKUP(AC322,Verteil_sw,17,FALSE)+SUMIF($D$5:$D$319,"=som",AD5:AD319)*HLOOKUP(AC322,Verteil_sw,18,FALSE)+SUMIF($D$5:$D$319,"=sor",AD5:AD319)*HLOOKUP(AC322,Verteil_sw,19,FALSE)+SUMIF($D$5:$D$319,"=soz",AD5:AD319)*HLOOKUP(AC322,Verteil_sw,20,FALSE)</f>
        <v>0</v>
      </c>
      <c r="AE379" s="179">
        <f t="shared" si="2009"/>
        <v>55000</v>
      </c>
      <c r="AF379" s="179">
        <f>SUMIF($D$5:$D$319,"=sos",AF5:AF319)*HLOOKUP(AC322,Verteil_sw,17,FALSE)+SUMIF($D$5:$D$319,"=som",AF5:AF319)*HLOOKUP(AC322,Verteil_sw,18,FALSE)+SUMIF($D$5:$D$319,"=sor",AF5:AF319)*HLOOKUP(AC322,Verteil_sw,19,FALSE)+SUMIF($D$5:$D$319,"=soz",AF5:AF319)*HLOOKUP(AC322,Verteil_sw,20,FALSE)</f>
        <v>55000</v>
      </c>
      <c r="AG379" s="102">
        <f t="shared" ref="AG379" si="2189">IF(AF378&lt;&gt;0,AF379/AF378,0)</f>
        <v>0.5</v>
      </c>
      <c r="AH379" s="665" t="s">
        <v>180</v>
      </c>
      <c r="AM379" s="217"/>
      <c r="AO379" s="179">
        <f>SUMIF($D$5:$D$319,"=sos",AO5:AO319)*HLOOKUP(AT322,Verteil_sw,17,FALSE)+SUMIF($D$5:$D$319,"=som",AO5:AO319)*HLOOKUP(AT322,Verteil_sw,18,FALSE)+SUMIF($D$5:$D$319,"=sor",AO5:AO319)*HLOOKUP(AT322,Verteil_sw,19,FALSE)+SUMIF($D$5:$D$319,"=soz",AO5:AO319)*HLOOKUP(AT322,Verteil_sw,20,FALSE)</f>
        <v>0</v>
      </c>
      <c r="AQ379" s="179">
        <f>SUMIF($D$5:$D$319,"=sos",AQ5:AQ319)*HLOOKUP(AT322,Verteil_sw,17,FALSE)+SUMIF($D$5:$D$319,"=som",AQ5:AQ319)*HLOOKUP(AT322,Verteil_sw,18,FALSE)+SUMIF($D$5:$D$319,"=sor",AQ5:AQ319)*HLOOKUP(AT322,Verteil_sw,19,FALSE)+SUMIF($D$5:$D$319,"=soz",AQ5:AQ319)*HLOOKUP(AT322,Verteil_sw,20,FALSE)</f>
        <v>0</v>
      </c>
      <c r="AS379" s="102">
        <f t="shared" ref="AS379" si="2190">IF(AT378&lt;&gt;0,AT379/AT378,0)</f>
        <v>0.5</v>
      </c>
      <c r="AT379" s="179">
        <f>ROUND(AV379*HLOOKUP(AT322,Grund_zins,2,FALSE),2)</f>
        <v>1925</v>
      </c>
      <c r="AU379" s="179">
        <f>SUMIF($D$5:$D$319,"=sos",AU5:AU319)*HLOOKUP(AT322,Verteil_sw,17,FALSE)+SUMIF($D$5:$D$319,"=som",AU5:AU319)*HLOOKUP(AT322,Verteil_sw,18,FALSE)+SUMIF($D$5:$D$319,"=sor",AU5:AU319)*HLOOKUP(AT322,Verteil_sw,19,FALSE)+SUMIF($D$5:$D$319,"=soz",AU5:AU319)*HLOOKUP(AT322,Verteil_sw,20,FALSE)</f>
        <v>0</v>
      </c>
      <c r="AV379" s="179">
        <f t="shared" si="1957"/>
        <v>55000</v>
      </c>
      <c r="AW379" s="179">
        <f>SUMIF($D$5:$D$319,"=sos",AW5:AW319)*HLOOKUP(AT322,Verteil_sw,17,FALSE)+SUMIF($D$5:$D$319,"=som",AW5:AW319)*HLOOKUP(AT322,Verteil_sw,18,FALSE)+SUMIF($D$5:$D$319,"=sor",AW5:AW319)*HLOOKUP(AT322,Verteil_sw,19,FALSE)+SUMIF($D$5:$D$319,"=soz",AW5:AW319)*HLOOKUP(AT322,Verteil_sw,20,FALSE)</f>
        <v>55000</v>
      </c>
      <c r="AX379" s="102">
        <f t="shared" ref="AX379" si="2191">IF(AW378&lt;&gt;0,AW379/AW378,0)</f>
        <v>0.5</v>
      </c>
      <c r="AY379" s="665" t="s">
        <v>180</v>
      </c>
      <c r="BD379" s="217"/>
      <c r="BF379" s="179">
        <f>SUMIF($D$5:$D$319,"=sos",BF5:BF319)*HLOOKUP(BK322,Verteil_sw,17,FALSE)+SUMIF($D$5:$D$319,"=som",BF5:BF319)*HLOOKUP(BK322,Verteil_sw,18,FALSE)+SUMIF($D$5:$D$319,"=sor",BF5:BF319)*HLOOKUP(BK322,Verteil_sw,19,FALSE)+SUMIF($D$5:$D$319,"=soz",BF5:BF319)*HLOOKUP(BK322,Verteil_sw,20,FALSE)</f>
        <v>0</v>
      </c>
      <c r="BH379" s="179">
        <f>SUMIF($D$5:$D$319,"=sos",BH5:BH319)*HLOOKUP(BK322,Verteil_sw,17,FALSE)+SUMIF($D$5:$D$319,"=som",BH5:BH319)*HLOOKUP(BK322,Verteil_sw,18,FALSE)+SUMIF($D$5:$D$319,"=sor",BH5:BH319)*HLOOKUP(BK322,Verteil_sw,19,FALSE)+SUMIF($D$5:$D$319,"=soz",BH5:BH319)*HLOOKUP(BK322,Verteil_sw,20,FALSE)</f>
        <v>0</v>
      </c>
      <c r="BJ379" s="102">
        <f t="shared" ref="BJ379" si="2192">IF(BK378&lt;&gt;0,BK379/BK378,0)</f>
        <v>0.5</v>
      </c>
      <c r="BK379" s="179">
        <f>ROUND(BM379*HLOOKUP(BK322,Grund_zins,2,FALSE),2)</f>
        <v>1925</v>
      </c>
      <c r="BL379" s="179">
        <f>SUMIF($D$5:$D$319,"=sos",BL5:BL319)*HLOOKUP(BK322,Verteil_sw,17,FALSE)+SUMIF($D$5:$D$319,"=som",BL5:BL319)*HLOOKUP(BK322,Verteil_sw,18,FALSE)+SUMIF($D$5:$D$319,"=sor",BL5:BL319)*HLOOKUP(BK322,Verteil_sw,19,FALSE)+SUMIF($D$5:$D$319,"=soz",BL5:BL319)*HLOOKUP(BK322,Verteil_sw,20,FALSE)</f>
        <v>0</v>
      </c>
      <c r="BM379" s="179">
        <f t="shared" si="1964"/>
        <v>55000</v>
      </c>
      <c r="BN379" s="179">
        <f>SUMIF($D$5:$D$319,"=sos",BN5:BN319)*HLOOKUP(BK322,Verteil_sw,17,FALSE)+SUMIF($D$5:$D$319,"=som",BN5:BN319)*HLOOKUP(BK322,Verteil_sw,18,FALSE)+SUMIF($D$5:$D$319,"=sor",BN5:BN319)*HLOOKUP(BK322,Verteil_sw,19,FALSE)+SUMIF($D$5:$D$319,"=soz",BN5:BN319)*HLOOKUP(BK322,Verteil_sw,20,FALSE)</f>
        <v>55000</v>
      </c>
      <c r="BO379" s="102">
        <f t="shared" ref="BO379" si="2193">IF(BN378&lt;&gt;0,BN379/BN378,0)</f>
        <v>0.5</v>
      </c>
      <c r="BP379" s="665" t="s">
        <v>180</v>
      </c>
      <c r="BU379" s="217"/>
      <c r="BW379" s="179">
        <f>SUMIF($D$5:$D$319,"=sos",BW5:BW319)*HLOOKUP(CB322,Verteil_sw,17,FALSE)+SUMIF($D$5:$D$319,"=som",BW5:BW319)*HLOOKUP(CB322,Verteil_sw,18,FALSE)+SUMIF($D$5:$D$319,"=sor",BW5:BW319)*HLOOKUP(CB322,Verteil_sw,19,FALSE)+SUMIF($D$5:$D$319,"=soz",BW5:BW319)*HLOOKUP(CB322,Verteil_sw,20,FALSE)</f>
        <v>0</v>
      </c>
      <c r="BY379" s="179">
        <f>SUMIF($D$5:$D$319,"=sos",BY5:BY319)*HLOOKUP(CB322,Verteil_sw,17,FALSE)+SUMIF($D$5:$D$319,"=som",BY5:BY319)*HLOOKUP(CB322,Verteil_sw,18,FALSE)+SUMIF($D$5:$D$319,"=sor",BY5:BY319)*HLOOKUP(CB322,Verteil_sw,19,FALSE)+SUMIF($D$5:$D$319,"=soz",BY5:BY319)*HLOOKUP(CB322,Verteil_sw,20,FALSE)</f>
        <v>0</v>
      </c>
      <c r="CA379" s="102">
        <f t="shared" ref="CA379" si="2194">IF(CB378&lt;&gt;0,CB379/CB378,0)</f>
        <v>0.5</v>
      </c>
      <c r="CB379" s="179">
        <f>ROUND(CD379*HLOOKUP(CB322,Grund_zins,2,FALSE),2)</f>
        <v>1925</v>
      </c>
      <c r="CC379" s="179">
        <f>SUMIF($D$5:$D$319,"=sos",CC5:CC319)*HLOOKUP(CB322,Verteil_sw,17,FALSE)+SUMIF($D$5:$D$319,"=som",CC5:CC319)*HLOOKUP(CB322,Verteil_sw,18,FALSE)+SUMIF($D$5:$D$319,"=sor",CC5:CC319)*HLOOKUP(CB322,Verteil_sw,19,FALSE)+SUMIF($D$5:$D$319,"=soz",CC5:CC319)*HLOOKUP(CB322,Verteil_sw,20,FALSE)</f>
        <v>0</v>
      </c>
      <c r="CD379" s="179">
        <f t="shared" si="1971"/>
        <v>55000</v>
      </c>
      <c r="CE379" s="179">
        <f>SUMIF($D$5:$D$319,"=sos",CE5:CE319)*HLOOKUP(CB322,Verteil_sw,17,FALSE)+SUMIF($D$5:$D$319,"=som",CE5:CE319)*HLOOKUP(CB322,Verteil_sw,18,FALSE)+SUMIF($D$5:$D$319,"=sor",CE5:CE319)*HLOOKUP(CB322,Verteil_sw,19,FALSE)+SUMIF($D$5:$D$319,"=soz",CE5:CE319)*HLOOKUP(CB322,Verteil_sw,20,FALSE)</f>
        <v>55000</v>
      </c>
      <c r="CF379" s="102">
        <f t="shared" ref="CF379" si="2195">IF(CE378&lt;&gt;0,CE379/CE378,0)</f>
        <v>0.5</v>
      </c>
      <c r="CG379" s="665" t="s">
        <v>180</v>
      </c>
      <c r="CL379" s="217"/>
      <c r="CN379" s="179">
        <f>SUMIF($D$5:$D$319,"=sos",CN5:CN319)*HLOOKUP(CS322,Verteil_sw,17,FALSE)+SUMIF($D$5:$D$319,"=som",CN5:CN319)*HLOOKUP(CS322,Verteil_sw,18,FALSE)+SUMIF($D$5:$D$319,"=sor",CN5:CN319)*HLOOKUP(CS322,Verteil_sw,19,FALSE)+SUMIF($D$5:$D$319,"=soz",CN5:CN319)*HLOOKUP(CS322,Verteil_sw,20,FALSE)</f>
        <v>0</v>
      </c>
      <c r="CP379" s="179">
        <f>SUMIF($D$5:$D$319,"=sos",CP5:CP319)*HLOOKUP(CS322,Verteil_sw,17,FALSE)+SUMIF($D$5:$D$319,"=som",CP5:CP319)*HLOOKUP(CS322,Verteil_sw,18,FALSE)+SUMIF($D$5:$D$319,"=sor",CP5:CP319)*HLOOKUP(CS322,Verteil_sw,19,FALSE)+SUMIF($D$5:$D$319,"=soz",CP5:CP319)*HLOOKUP(CS322,Verteil_sw,20,FALSE)</f>
        <v>0</v>
      </c>
      <c r="CR379" s="102">
        <f t="shared" ref="CR379" si="2196">IF(CS378&lt;&gt;0,CS379/CS378,0)</f>
        <v>0.5</v>
      </c>
      <c r="CS379" s="179">
        <f>ROUND(CU379*HLOOKUP(CS322,Grund_zins,2,FALSE),2)</f>
        <v>1925</v>
      </c>
      <c r="CT379" s="179">
        <f>SUMIF($D$5:$D$319,"=sos",CT5:CT319)*HLOOKUP(CS322,Verteil_sw,17,FALSE)+SUMIF($D$5:$D$319,"=som",CT5:CT319)*HLOOKUP(CS322,Verteil_sw,18,FALSE)+SUMIF($D$5:$D$319,"=sor",CT5:CT319)*HLOOKUP(CS322,Verteil_sw,19,FALSE)+SUMIF($D$5:$D$319,"=soz",CT5:CT319)*HLOOKUP(CS322,Verteil_sw,20,FALSE)</f>
        <v>0</v>
      </c>
      <c r="CU379" s="179">
        <f t="shared" si="1978"/>
        <v>55000</v>
      </c>
      <c r="CV379" s="179">
        <f>SUMIF($D$5:$D$319,"=sos",CV5:CV319)*HLOOKUP(CS322,Verteil_sw,17,FALSE)+SUMIF($D$5:$D$319,"=som",CV5:CV319)*HLOOKUP(CS322,Verteil_sw,18,FALSE)+SUMIF($D$5:$D$319,"=sor",CV5:CV319)*HLOOKUP(CS322,Verteil_sw,19,FALSE)+SUMIF($D$5:$D$319,"=soz",CV5:CV319)*HLOOKUP(CS322,Verteil_sw,20,FALSE)</f>
        <v>55000</v>
      </c>
      <c r="CW379" s="102">
        <f t="shared" ref="CW379" si="2197">IF(CV378&lt;&gt;0,CV379/CV378,0)</f>
        <v>0.5</v>
      </c>
      <c r="CX379" s="665" t="s">
        <v>180</v>
      </c>
      <c r="DC379" s="217"/>
      <c r="DE379" s="179">
        <f>SUMIF($D$5:$D$319,"=sos",DE5:DE319)*HLOOKUP(DJ322,Verteil_sw,17,FALSE)+SUMIF($D$5:$D$319,"=som",DE5:DE319)*HLOOKUP(DJ322,Verteil_sw,18,FALSE)+SUMIF($D$5:$D$319,"=sor",DE5:DE319)*HLOOKUP(DJ322,Verteil_sw,19,FALSE)+SUMIF($D$5:$D$319,"=soz",DE5:DE319)*HLOOKUP(DJ322,Verteil_sw,20,FALSE)</f>
        <v>0</v>
      </c>
      <c r="DG379" s="179">
        <f>SUMIF($D$5:$D$319,"=sos",DG5:DG319)*HLOOKUP(DJ322,Verteil_sw,17,FALSE)+SUMIF($D$5:$D$319,"=som",DG5:DG319)*HLOOKUP(DJ322,Verteil_sw,18,FALSE)+SUMIF($D$5:$D$319,"=sor",DG5:DG319)*HLOOKUP(DJ322,Verteil_sw,19,FALSE)+SUMIF($D$5:$D$319,"=soz",DG5:DG319)*HLOOKUP(DJ322,Verteil_sw,20,FALSE)</f>
        <v>0</v>
      </c>
      <c r="DI379" s="102">
        <f t="shared" ref="DI379" si="2198">IF(DJ378&lt;&gt;0,DJ379/DJ378,0)</f>
        <v>0.5</v>
      </c>
      <c r="DJ379" s="179">
        <f>ROUND(DL379*HLOOKUP(DJ322,Grund_zins,2,FALSE),2)</f>
        <v>1650</v>
      </c>
      <c r="DK379" s="179">
        <f>SUMIF($D$5:$D$319,"=sos",DK5:DK319)*HLOOKUP(DJ322,Verteil_sw,17,FALSE)+SUMIF($D$5:$D$319,"=som",DK5:DK319)*HLOOKUP(DJ322,Verteil_sw,18,FALSE)+SUMIF($D$5:$D$319,"=sor",DK5:DK319)*HLOOKUP(DJ322,Verteil_sw,19,FALSE)+SUMIF($D$5:$D$319,"=soz",DK5:DK319)*HLOOKUP(DJ322,Verteil_sw,20,FALSE)</f>
        <v>0</v>
      </c>
      <c r="DL379" s="179">
        <f t="shared" si="1985"/>
        <v>55000</v>
      </c>
      <c r="DM379" s="179">
        <f>SUMIF($D$5:$D$319,"=sos",DM5:DM319)*HLOOKUP(DJ322,Verteil_sw,17,FALSE)+SUMIF($D$5:$D$319,"=som",DM5:DM319)*HLOOKUP(DJ322,Verteil_sw,18,FALSE)+SUMIF($D$5:$D$319,"=sor",DM5:DM319)*HLOOKUP(DJ322,Verteil_sw,19,FALSE)+SUMIF($D$5:$D$319,"=soz",DM5:DM319)*HLOOKUP(DJ322,Verteil_sw,20,FALSE)</f>
        <v>55000</v>
      </c>
      <c r="DN379" s="102">
        <f t="shared" ref="DN379" si="2199">IF(DM378&lt;&gt;0,DM379/DM378,0)</f>
        <v>0.5</v>
      </c>
      <c r="DO379" s="665" t="s">
        <v>180</v>
      </c>
      <c r="DT379" s="217"/>
      <c r="DV379" s="179">
        <f>SUMIF($D$5:$D$319,"=sos",DV5:DV319)*HLOOKUP(EA322,Verteil_sw,17,FALSE)+SUMIF($D$5:$D$319,"=som",DV5:DV319)*HLOOKUP(EA322,Verteil_sw,18,FALSE)+SUMIF($D$5:$D$319,"=sor",DV5:DV319)*HLOOKUP(EA322,Verteil_sw,19,FALSE)+SUMIF($D$5:$D$319,"=soz",DV5:DV319)*HLOOKUP(EA322,Verteil_sw,20,FALSE)</f>
        <v>0</v>
      </c>
      <c r="DX379" s="179">
        <f>SUMIF($D$5:$D$319,"=sos",DX5:DX319)*HLOOKUP(EA322,Verteil_sw,17,FALSE)+SUMIF($D$5:$D$319,"=som",DX5:DX319)*HLOOKUP(EA322,Verteil_sw,18,FALSE)+SUMIF($D$5:$D$319,"=sor",DX5:DX319)*HLOOKUP(EA322,Verteil_sw,19,FALSE)+SUMIF($D$5:$D$319,"=soz",DX5:DX319)*HLOOKUP(EA322,Verteil_sw,20,FALSE)</f>
        <v>0</v>
      </c>
      <c r="DZ379" s="102">
        <f t="shared" ref="DZ379" si="2200">IF(EA378&lt;&gt;0,EA379/EA378,0)</f>
        <v>0.5</v>
      </c>
      <c r="EA379" s="179">
        <f>ROUND(EC379*HLOOKUP(EA322,Grund_zins,2,FALSE),2)</f>
        <v>1650</v>
      </c>
      <c r="EB379" s="179">
        <f>SUMIF($D$5:$D$319,"=sos",EB5:EB319)*HLOOKUP(EA322,Verteil_sw,17,FALSE)+SUMIF($D$5:$D$319,"=som",EB5:EB319)*HLOOKUP(EA322,Verteil_sw,18,FALSE)+SUMIF($D$5:$D$319,"=sor",EB5:EB319)*HLOOKUP(EA322,Verteil_sw,19,FALSE)+SUMIF($D$5:$D$319,"=soz",EB5:EB319)*HLOOKUP(EA322,Verteil_sw,20,FALSE)</f>
        <v>0</v>
      </c>
      <c r="EC379" s="179">
        <f t="shared" si="1992"/>
        <v>55000</v>
      </c>
      <c r="ED379" s="179">
        <f>SUMIF($D$5:$D$319,"=sos",ED5:ED319)*HLOOKUP(EA322,Verteil_sw,17,FALSE)+SUMIF($D$5:$D$319,"=som",ED5:ED319)*HLOOKUP(EA322,Verteil_sw,18,FALSE)+SUMIF($D$5:$D$319,"=sor",ED5:ED319)*HLOOKUP(EA322,Verteil_sw,19,FALSE)+SUMIF($D$5:$D$319,"=soz",ED5:ED319)*HLOOKUP(EA322,Verteil_sw,20,FALSE)</f>
        <v>55000</v>
      </c>
      <c r="EE379" s="102">
        <f t="shared" ref="EE379" si="2201">IF(ED378&lt;&gt;0,ED379/ED378,0)</f>
        <v>0.5</v>
      </c>
      <c r="EF379" s="665" t="s">
        <v>180</v>
      </c>
      <c r="EK379" s="217"/>
      <c r="EM379" s="179">
        <f>SUMIF($D$5:$D$319,"=sos",EM5:EM319)*HLOOKUP(ER322,Verteil_sw,17,FALSE)+SUMIF($D$5:$D$319,"=som",EM5:EM319)*HLOOKUP(ER322,Verteil_sw,18,FALSE)+SUMIF($D$5:$D$319,"=sor",EM5:EM319)*HLOOKUP(ER322,Verteil_sw,19,FALSE)+SUMIF($D$5:$D$319,"=soz",EM5:EM319)*HLOOKUP(ER322,Verteil_sw,20,FALSE)</f>
        <v>0</v>
      </c>
      <c r="EO379" s="179">
        <f>SUMIF($D$5:$D$319,"=sos",EO5:EO319)*HLOOKUP(ER322,Verteil_sw,17,FALSE)+SUMIF($D$5:$D$319,"=som",EO5:EO319)*HLOOKUP(ER322,Verteil_sw,18,FALSE)+SUMIF($D$5:$D$319,"=sor",EO5:EO319)*HLOOKUP(ER322,Verteil_sw,19,FALSE)+SUMIF($D$5:$D$319,"=soz",EO5:EO319)*HLOOKUP(ER322,Verteil_sw,20,FALSE)</f>
        <v>0</v>
      </c>
      <c r="EQ379" s="102">
        <f t="shared" ref="EQ379" si="2202">IF(ER378&lt;&gt;0,ER379/ER378,0)</f>
        <v>0.5</v>
      </c>
      <c r="ER379" s="179">
        <f>ROUND(ET379*HLOOKUP(ER322,Grund_zins,2,FALSE),2)</f>
        <v>1650</v>
      </c>
      <c r="ES379" s="179">
        <f>SUMIF($D$5:$D$319,"=sos",ES5:ES319)*HLOOKUP(ER322,Verteil_sw,17,FALSE)+SUMIF($D$5:$D$319,"=som",ES5:ES319)*HLOOKUP(ER322,Verteil_sw,18,FALSE)+SUMIF($D$5:$D$319,"=sor",ES5:ES319)*HLOOKUP(ER322,Verteil_sw,19,FALSE)+SUMIF($D$5:$D$319,"=soz",ES5:ES319)*HLOOKUP(ER322,Verteil_sw,20,FALSE)</f>
        <v>0</v>
      </c>
      <c r="ET379" s="179">
        <f t="shared" si="1999"/>
        <v>55000</v>
      </c>
      <c r="EU379" s="179">
        <f>SUMIF($D$5:$D$319,"=sos",EU5:EU319)*HLOOKUP(ER322,Verteil_sw,17,FALSE)+SUMIF($D$5:$D$319,"=som",EU5:EU319)*HLOOKUP(ER322,Verteil_sw,18,FALSE)+SUMIF($D$5:$D$319,"=sor",EU5:EU319)*HLOOKUP(ER322,Verteil_sw,19,FALSE)+SUMIF($D$5:$D$319,"=soz",EU5:EU319)*HLOOKUP(ER322,Verteil_sw,20,FALSE)</f>
        <v>55000</v>
      </c>
      <c r="EV379" s="102">
        <f t="shared" ref="EV379" si="2203">IF(EU378&lt;&gt;0,EU379/EU378,0)</f>
        <v>0.5</v>
      </c>
      <c r="EW379" s="665" t="s">
        <v>180</v>
      </c>
      <c r="FB379" s="217"/>
      <c r="FD379" s="179">
        <f>SUMIF($D$5:$D$319,"=sos",FD5:FD319)*HLOOKUP(FI322,Verteil_sw,17,FALSE)+SUMIF($D$5:$D$319,"=som",FD5:FD319)*HLOOKUP(FI322,Verteil_sw,18,FALSE)+SUMIF($D$5:$D$319,"=sor",FD5:FD319)*HLOOKUP(FI322,Verteil_sw,19,FALSE)+SUMIF($D$5:$D$319,"=soz",FD5:FD319)*HLOOKUP(FI322,Verteil_sw,20,FALSE)</f>
        <v>0</v>
      </c>
      <c r="FF379" s="179">
        <f>SUMIF($D$5:$D$319,"=sos",FF5:FF319)*HLOOKUP(FI322,Verteil_sw,17,FALSE)+SUMIF($D$5:$D$319,"=som",FF5:FF319)*HLOOKUP(FI322,Verteil_sw,18,FALSE)+SUMIF($D$5:$D$319,"=sor",FF5:FF319)*HLOOKUP(FI322,Verteil_sw,19,FALSE)+SUMIF($D$5:$D$319,"=soz",FF5:FF319)*HLOOKUP(FI322,Verteil_sw,20,FALSE)</f>
        <v>0</v>
      </c>
      <c r="FH379" s="102">
        <f t="shared" ref="FH379" si="2204">IF(FI378&lt;&gt;0,FI379/FI378,0)</f>
        <v>0.5</v>
      </c>
      <c r="FI379" s="179">
        <f>ROUND(FK379*HLOOKUP(FI322,Grund_zins,2,FALSE),2)</f>
        <v>1650</v>
      </c>
      <c r="FJ379" s="179">
        <f>SUMIF($D$5:$D$319,"=sos",FJ5:FJ319)*HLOOKUP(FI322,Verteil_sw,17,FALSE)+SUMIF($D$5:$D$319,"=som",FJ5:FJ319)*HLOOKUP(FI322,Verteil_sw,18,FALSE)+SUMIF($D$5:$D$319,"=sor",FJ5:FJ319)*HLOOKUP(FI322,Verteil_sw,19,FALSE)+SUMIF($D$5:$D$319,"=soz",FJ5:FJ319)*HLOOKUP(FI322,Verteil_sw,20,FALSE)</f>
        <v>0</v>
      </c>
      <c r="FK379" s="179">
        <f t="shared" si="2006"/>
        <v>55000</v>
      </c>
      <c r="FL379" s="179">
        <f>SUMIF($D$5:$D$319,"=sos",FL5:FL319)*HLOOKUP(FI322,Verteil_sw,17,FALSE)+SUMIF($D$5:$D$319,"=som",FL5:FL319)*HLOOKUP(FI322,Verteil_sw,18,FALSE)+SUMIF($D$5:$D$319,"=sor",FL5:FL319)*HLOOKUP(FI322,Verteil_sw,19,FALSE)+SUMIF($D$5:$D$319,"=soz",FL5:FL319)*HLOOKUP(FI322,Verteil_sw,20,FALSE)</f>
        <v>55000</v>
      </c>
      <c r="FM379" s="102">
        <f t="shared" ref="FM379" si="2205">IF(FL378&lt;&gt;0,FL379/FL378,0)</f>
        <v>0.5</v>
      </c>
      <c r="FN379" s="665" t="s">
        <v>180</v>
      </c>
      <c r="FS379" s="217"/>
    </row>
    <row r="380" spans="1:175" s="10" customFormat="1" ht="15" hidden="1" customHeight="1" x14ac:dyDescent="0.3">
      <c r="A380" s="665" t="s">
        <v>193</v>
      </c>
      <c r="V380" s="217">
        <v>59</v>
      </c>
      <c r="X380" s="179">
        <f>SUMIF($D$5:$D$319,"=sos",X5:X319)*HLOOKUP(AC322,Verteil_rwgr,16,FALSE)+SUMIF($D$5:$D$319,"=som",X5:X319)*HLOOKUP(AC322,Verteil_rwgr,17,FALSE)+SUMIF($D$5:$D$319,"=sor",X5:X319)*HLOOKUP(AC322,Verteil_rwgr,18,FALSE)+SUMIF($D$5:$D$319,"=soz",X5:X319)*HLOOKUP(AC322,Verteil_rwgr,19,FALSE)</f>
        <v>0</v>
      </c>
      <c r="Z380" s="179">
        <f>SUMIF($D$5:$D$319,"=sos",Z5:Z319)*HLOOKUP(AC322,Verteil_rwgr,16,FALSE)+SUMIF($D$5:$D$319,"=som",Z5:Z319)*HLOOKUP(AC322,Verteil_rwgr,17,FALSE)+SUMIF($D$5:$D$319,"=sor",Z5:Z319)*HLOOKUP(AC322,Verteil_rwgr,18,FALSE)+SUMIF($D$5:$D$319,"=soz",Z5:Z319)*HLOOKUP(AC322,Verteil_rwgr,19,FALSE)</f>
        <v>0</v>
      </c>
      <c r="AB380" s="102">
        <f t="shared" ref="AB380" si="2206">IF(AC378&lt;&gt;0,AC380/AC378,0)</f>
        <v>0.25</v>
      </c>
      <c r="AC380" s="179">
        <f>ROUND(AE380*HLOOKUP(AC322,Grund_zins,2,FALSE),2)</f>
        <v>962.5</v>
      </c>
      <c r="AD380" s="179">
        <f>SUMIF($D$5:$D$319,"=sos",AD5:AD319)*HLOOKUP(AC322,Verteil_rwgr,16,FALSE)+SUMIF($D$5:$D$319,"=som",AD5:AD319)*HLOOKUP(AC322,Verteil_rwgr,17,FALSE)+SUMIF($D$5:$D$319,"=sor",AD5:AD319)*HLOOKUP(AC322,Verteil_rwgr,18,FALSE)+SUMIF($D$5:$D$319,"=soz",AD5:AD319)*HLOOKUP(AC322,Verteil_rwgr,19,FALSE)</f>
        <v>0</v>
      </c>
      <c r="AE380" s="179">
        <f t="shared" si="2009"/>
        <v>27500</v>
      </c>
      <c r="AF380" s="179">
        <f>SUMIF($D$5:$D$319,"=sos",AF5:AF319)*HLOOKUP(AC322,Verteil_rwgr,16,FALSE)+SUMIF($D$5:$D$319,"=som",AF5:AF319)*HLOOKUP(AC322,Verteil_rwgr,17,FALSE)+SUMIF($D$5:$D$319,"=sor",AF5:AF319)*HLOOKUP(AC322,Verteil_rwgr,18,FALSE)+SUMIF($D$5:$D$319,"=soz",AF5:AF319)*HLOOKUP(AC322,Verteil_rwgr,19,FALSE)</f>
        <v>27500</v>
      </c>
      <c r="AG380" s="102">
        <f t="shared" ref="AG380" si="2207">IF(AF378&lt;&gt;0,AF380/AF378,0)</f>
        <v>0.25</v>
      </c>
      <c r="AH380" s="665" t="s">
        <v>193</v>
      </c>
      <c r="AM380" s="217"/>
      <c r="AO380" s="179">
        <f>SUMIF($D$5:$D$319,"=sos",AO5:AO319)*HLOOKUP(AT322,Verteil_rwgr,16,FALSE)+SUMIF($D$5:$D$319,"=som",AO5:AO319)*HLOOKUP(AT322,Verteil_rwgr,17,FALSE)+SUMIF($D$5:$D$319,"=sor",AO5:AO319)*HLOOKUP(AT322,Verteil_rwgr,18,FALSE)+SUMIF($D$5:$D$319,"=soz",AO5:AO319)*HLOOKUP(AT322,Verteil_rwgr,19,FALSE)</f>
        <v>0</v>
      </c>
      <c r="AQ380" s="179">
        <f>SUMIF($D$5:$D$319,"=sos",AQ5:AQ319)*HLOOKUP(AT322,Verteil_rwgr,16,FALSE)+SUMIF($D$5:$D$319,"=som",AQ5:AQ319)*HLOOKUP(AT322,Verteil_rwgr,17,FALSE)+SUMIF($D$5:$D$319,"=sor",AQ5:AQ319)*HLOOKUP(AT322,Verteil_rwgr,18,FALSE)+SUMIF($D$5:$D$319,"=soz",AQ5:AQ319)*HLOOKUP(AT322,Verteil_rwgr,19,FALSE)</f>
        <v>0</v>
      </c>
      <c r="AS380" s="102">
        <f t="shared" ref="AS380" si="2208">IF(AT378&lt;&gt;0,AT380/AT378,0)</f>
        <v>0.25</v>
      </c>
      <c r="AT380" s="179">
        <f>ROUND(AV380*HLOOKUP(AT322,Grund_zins,2,FALSE),2)</f>
        <v>962.5</v>
      </c>
      <c r="AU380" s="179">
        <f>SUMIF($D$5:$D$319,"=sos",AU5:AU319)*HLOOKUP(AT322,Verteil_rwgr,16,FALSE)+SUMIF($D$5:$D$319,"=som",AU5:AU319)*HLOOKUP(AT322,Verteil_rwgr,17,FALSE)+SUMIF($D$5:$D$319,"=sor",AU5:AU319)*HLOOKUP(AT322,Verteil_rwgr,18,FALSE)+SUMIF($D$5:$D$319,"=soz",AU5:AU319)*HLOOKUP(AT322,Verteil_rwgr,19,FALSE)</f>
        <v>0</v>
      </c>
      <c r="AV380" s="179">
        <f t="shared" si="1957"/>
        <v>27500</v>
      </c>
      <c r="AW380" s="179">
        <f>SUMIF($D$5:$D$319,"=sos",AW5:AW319)*HLOOKUP(AT322,Verteil_rwgr,16,FALSE)+SUMIF($D$5:$D$319,"=som",AW5:AW319)*HLOOKUP(AT322,Verteil_rwgr,17,FALSE)+SUMIF($D$5:$D$319,"=sor",AW5:AW319)*HLOOKUP(AT322,Verteil_rwgr,18,FALSE)+SUMIF($D$5:$D$319,"=soz",AW5:AW319)*HLOOKUP(AT322,Verteil_rwgr,19,FALSE)</f>
        <v>27500</v>
      </c>
      <c r="AX380" s="102">
        <f t="shared" ref="AX380" si="2209">IF(AW378&lt;&gt;0,AW380/AW378,0)</f>
        <v>0.25</v>
      </c>
      <c r="AY380" s="665" t="s">
        <v>193</v>
      </c>
      <c r="BD380" s="217"/>
      <c r="BF380" s="179">
        <f>SUMIF($D$5:$D$319,"=sos",BF5:BF319)*HLOOKUP(BK322,Verteil_rwgr,16,FALSE)+SUMIF($D$5:$D$319,"=som",BF5:BF319)*HLOOKUP(BK322,Verteil_rwgr,17,FALSE)+SUMIF($D$5:$D$319,"=sor",BF5:BF319)*HLOOKUP(BK322,Verteil_rwgr,18,FALSE)+SUMIF($D$5:$D$319,"=soz",BF5:BF319)*HLOOKUP(BK322,Verteil_rwgr,19,FALSE)</f>
        <v>0</v>
      </c>
      <c r="BH380" s="179">
        <f>SUMIF($D$5:$D$319,"=sos",BH5:BH319)*HLOOKUP(BK322,Verteil_rwgr,16,FALSE)+SUMIF($D$5:$D$319,"=som",BH5:BH319)*HLOOKUP(BK322,Verteil_rwgr,17,FALSE)+SUMIF($D$5:$D$319,"=sor",BH5:BH319)*HLOOKUP(BK322,Verteil_rwgr,18,FALSE)+SUMIF($D$5:$D$319,"=soz",BH5:BH319)*HLOOKUP(BK322,Verteil_rwgr,19,FALSE)</f>
        <v>0</v>
      </c>
      <c r="BJ380" s="102">
        <f t="shared" ref="BJ380" si="2210">IF(BK378&lt;&gt;0,BK380/BK378,0)</f>
        <v>0.25</v>
      </c>
      <c r="BK380" s="179">
        <f>ROUND(BM380*HLOOKUP(BK322,Grund_zins,2,FALSE),2)</f>
        <v>962.5</v>
      </c>
      <c r="BL380" s="179">
        <f>SUMIF($D$5:$D$319,"=sos",BL5:BL319)*HLOOKUP(BK322,Verteil_rwgr,16,FALSE)+SUMIF($D$5:$D$319,"=som",BL5:BL319)*HLOOKUP(BK322,Verteil_rwgr,17,FALSE)+SUMIF($D$5:$D$319,"=sor",BL5:BL319)*HLOOKUP(BK322,Verteil_rwgr,18,FALSE)+SUMIF($D$5:$D$319,"=soz",BL5:BL319)*HLOOKUP(BK322,Verteil_rwgr,19,FALSE)</f>
        <v>0</v>
      </c>
      <c r="BM380" s="179">
        <f t="shared" si="1964"/>
        <v>27500</v>
      </c>
      <c r="BN380" s="179">
        <f>SUMIF($D$5:$D$319,"=sos",BN5:BN319)*HLOOKUP(BK322,Verteil_rwgr,16,FALSE)+SUMIF($D$5:$D$319,"=som",BN5:BN319)*HLOOKUP(BK322,Verteil_rwgr,17,FALSE)+SUMIF($D$5:$D$319,"=sor",BN5:BN319)*HLOOKUP(BK322,Verteil_rwgr,18,FALSE)+SUMIF($D$5:$D$319,"=soz",BN5:BN319)*HLOOKUP(BK322,Verteil_rwgr,19,FALSE)</f>
        <v>27500</v>
      </c>
      <c r="BO380" s="102">
        <f t="shared" ref="BO380" si="2211">IF(BN378&lt;&gt;0,BN380/BN378,0)</f>
        <v>0.25</v>
      </c>
      <c r="BP380" s="665" t="s">
        <v>193</v>
      </c>
      <c r="BU380" s="217"/>
      <c r="BW380" s="179">
        <f>SUMIF($D$5:$D$319,"=sos",BW5:BW319)*HLOOKUP(CB322,Verteil_rwgr,16,FALSE)+SUMIF($D$5:$D$319,"=som",BW5:BW319)*HLOOKUP(CB322,Verteil_rwgr,17,FALSE)+SUMIF($D$5:$D$319,"=sor",BW5:BW319)*HLOOKUP(CB322,Verteil_rwgr,18,FALSE)+SUMIF($D$5:$D$319,"=soz",BW5:BW319)*HLOOKUP(CB322,Verteil_rwgr,19,FALSE)</f>
        <v>0</v>
      </c>
      <c r="BY380" s="179">
        <f>SUMIF($D$5:$D$319,"=sos",BY5:BY319)*HLOOKUP(CB322,Verteil_rwgr,16,FALSE)+SUMIF($D$5:$D$319,"=som",BY5:BY319)*HLOOKUP(CB322,Verteil_rwgr,17,FALSE)+SUMIF($D$5:$D$319,"=sor",BY5:BY319)*HLOOKUP(CB322,Verteil_rwgr,18,FALSE)+SUMIF($D$5:$D$319,"=soz",BY5:BY319)*HLOOKUP(CB322,Verteil_rwgr,19,FALSE)</f>
        <v>0</v>
      </c>
      <c r="CA380" s="102">
        <f t="shared" ref="CA380" si="2212">IF(CB378&lt;&gt;0,CB380/CB378,0)</f>
        <v>0.25</v>
      </c>
      <c r="CB380" s="179">
        <f>ROUND(CD380*HLOOKUP(CB322,Grund_zins,2,FALSE),2)</f>
        <v>962.5</v>
      </c>
      <c r="CC380" s="179">
        <f>SUMIF($D$5:$D$319,"=sos",CC5:CC319)*HLOOKUP(CB322,Verteil_rwgr,16,FALSE)+SUMIF($D$5:$D$319,"=som",CC5:CC319)*HLOOKUP(CB322,Verteil_rwgr,17,FALSE)+SUMIF($D$5:$D$319,"=sor",CC5:CC319)*HLOOKUP(CB322,Verteil_rwgr,18,FALSE)+SUMIF($D$5:$D$319,"=soz",CC5:CC319)*HLOOKUP(CB322,Verteil_rwgr,19,FALSE)</f>
        <v>0</v>
      </c>
      <c r="CD380" s="179">
        <f t="shared" si="1971"/>
        <v>27500</v>
      </c>
      <c r="CE380" s="179">
        <f>SUMIF($D$5:$D$319,"=sos",CE5:CE319)*HLOOKUP(CB322,Verteil_rwgr,16,FALSE)+SUMIF($D$5:$D$319,"=som",CE5:CE319)*HLOOKUP(CB322,Verteil_rwgr,17,FALSE)+SUMIF($D$5:$D$319,"=sor",CE5:CE319)*HLOOKUP(CB322,Verteil_rwgr,18,FALSE)+SUMIF($D$5:$D$319,"=soz",CE5:CE319)*HLOOKUP(CB322,Verteil_rwgr,19,FALSE)</f>
        <v>27500</v>
      </c>
      <c r="CF380" s="102">
        <f t="shared" ref="CF380" si="2213">IF(CE378&lt;&gt;0,CE380/CE378,0)</f>
        <v>0.25</v>
      </c>
      <c r="CG380" s="665" t="s">
        <v>193</v>
      </c>
      <c r="CL380" s="217"/>
      <c r="CN380" s="179">
        <f>SUMIF($D$5:$D$319,"=sos",CN5:CN319)*HLOOKUP(CS322,Verteil_rwgr,16,FALSE)+SUMIF($D$5:$D$319,"=som",CN5:CN319)*HLOOKUP(CS322,Verteil_rwgr,17,FALSE)+SUMIF($D$5:$D$319,"=sor",CN5:CN319)*HLOOKUP(CS322,Verteil_rwgr,18,FALSE)+SUMIF($D$5:$D$319,"=soz",CN5:CN319)*HLOOKUP(CS322,Verteil_rwgr,19,FALSE)</f>
        <v>0</v>
      </c>
      <c r="CP380" s="179">
        <f>SUMIF($D$5:$D$319,"=sos",CP5:CP319)*HLOOKUP(CS322,Verteil_rwgr,16,FALSE)+SUMIF($D$5:$D$319,"=som",CP5:CP319)*HLOOKUP(CS322,Verteil_rwgr,17,FALSE)+SUMIF($D$5:$D$319,"=sor",CP5:CP319)*HLOOKUP(CS322,Verteil_rwgr,18,FALSE)+SUMIF($D$5:$D$319,"=soz",CP5:CP319)*HLOOKUP(CS322,Verteil_rwgr,19,FALSE)</f>
        <v>0</v>
      </c>
      <c r="CR380" s="102">
        <f t="shared" ref="CR380" si="2214">IF(CS378&lt;&gt;0,CS380/CS378,0)</f>
        <v>0.25</v>
      </c>
      <c r="CS380" s="179">
        <f>ROUND(CU380*HLOOKUP(CS322,Grund_zins,2,FALSE),2)</f>
        <v>962.5</v>
      </c>
      <c r="CT380" s="179">
        <f>SUMIF($D$5:$D$319,"=sos",CT5:CT319)*HLOOKUP(CS322,Verteil_rwgr,16,FALSE)+SUMIF($D$5:$D$319,"=som",CT5:CT319)*HLOOKUP(CS322,Verteil_rwgr,17,FALSE)+SUMIF($D$5:$D$319,"=sor",CT5:CT319)*HLOOKUP(CS322,Verteil_rwgr,18,FALSE)+SUMIF($D$5:$D$319,"=soz",CT5:CT319)*HLOOKUP(CS322,Verteil_rwgr,19,FALSE)</f>
        <v>0</v>
      </c>
      <c r="CU380" s="179">
        <f t="shared" si="1978"/>
        <v>27500</v>
      </c>
      <c r="CV380" s="179">
        <f>SUMIF($D$5:$D$319,"=sos",CV5:CV319)*HLOOKUP(CS322,Verteil_rwgr,16,FALSE)+SUMIF($D$5:$D$319,"=som",CV5:CV319)*HLOOKUP(CS322,Verteil_rwgr,17,FALSE)+SUMIF($D$5:$D$319,"=sor",CV5:CV319)*HLOOKUP(CS322,Verteil_rwgr,18,FALSE)+SUMIF($D$5:$D$319,"=soz",CV5:CV319)*HLOOKUP(CS322,Verteil_rwgr,19,FALSE)</f>
        <v>27500</v>
      </c>
      <c r="CW380" s="102">
        <f t="shared" ref="CW380" si="2215">IF(CV378&lt;&gt;0,CV380/CV378,0)</f>
        <v>0.25</v>
      </c>
      <c r="CX380" s="665" t="s">
        <v>193</v>
      </c>
      <c r="DC380" s="217"/>
      <c r="DE380" s="179">
        <f>SUMIF($D$5:$D$319,"=sos",DE5:DE319)*HLOOKUP(DJ322,Verteil_rwgr,16,FALSE)+SUMIF($D$5:$D$319,"=som",DE5:DE319)*HLOOKUP(DJ322,Verteil_rwgr,17,FALSE)+SUMIF($D$5:$D$319,"=sor",DE5:DE319)*HLOOKUP(DJ322,Verteil_rwgr,18,FALSE)+SUMIF($D$5:$D$319,"=soz",DE5:DE319)*HLOOKUP(DJ322,Verteil_rwgr,19,FALSE)</f>
        <v>0</v>
      </c>
      <c r="DG380" s="179">
        <f>SUMIF($D$5:$D$319,"=sos",DG5:DG319)*HLOOKUP(DJ322,Verteil_rwgr,16,FALSE)+SUMIF($D$5:$D$319,"=som",DG5:DG319)*HLOOKUP(DJ322,Verteil_rwgr,17,FALSE)+SUMIF($D$5:$D$319,"=sor",DG5:DG319)*HLOOKUP(DJ322,Verteil_rwgr,18,FALSE)+SUMIF($D$5:$D$319,"=soz",DG5:DG319)*HLOOKUP(DJ322,Verteil_rwgr,19,FALSE)</f>
        <v>0</v>
      </c>
      <c r="DI380" s="102">
        <f t="shared" ref="DI380" si="2216">IF(DJ378&lt;&gt;0,DJ380/DJ378,0)</f>
        <v>0.25</v>
      </c>
      <c r="DJ380" s="179">
        <f>ROUND(DL380*HLOOKUP(DJ322,Grund_zins,2,FALSE),2)</f>
        <v>825</v>
      </c>
      <c r="DK380" s="179">
        <f>SUMIF($D$5:$D$319,"=sos",DK5:DK319)*HLOOKUP(DJ322,Verteil_rwgr,16,FALSE)+SUMIF($D$5:$D$319,"=som",DK5:DK319)*HLOOKUP(DJ322,Verteil_rwgr,17,FALSE)+SUMIF($D$5:$D$319,"=sor",DK5:DK319)*HLOOKUP(DJ322,Verteil_rwgr,18,FALSE)+SUMIF($D$5:$D$319,"=soz",DK5:DK319)*HLOOKUP(DJ322,Verteil_rwgr,19,FALSE)</f>
        <v>0</v>
      </c>
      <c r="DL380" s="179">
        <f t="shared" si="1985"/>
        <v>27500</v>
      </c>
      <c r="DM380" s="179">
        <f>SUMIF($D$5:$D$319,"=sos",DM5:DM319)*HLOOKUP(DJ322,Verteil_rwgr,16,FALSE)+SUMIF($D$5:$D$319,"=som",DM5:DM319)*HLOOKUP(DJ322,Verteil_rwgr,17,FALSE)+SUMIF($D$5:$D$319,"=sor",DM5:DM319)*HLOOKUP(DJ322,Verteil_rwgr,18,FALSE)+SUMIF($D$5:$D$319,"=soz",DM5:DM319)*HLOOKUP(DJ322,Verteil_rwgr,19,FALSE)</f>
        <v>27500</v>
      </c>
      <c r="DN380" s="102">
        <f t="shared" ref="DN380" si="2217">IF(DM378&lt;&gt;0,DM380/DM378,0)</f>
        <v>0.25</v>
      </c>
      <c r="DO380" s="665" t="s">
        <v>193</v>
      </c>
      <c r="DT380" s="217"/>
      <c r="DV380" s="179">
        <f>SUMIF($D$5:$D$319,"=sos",DV5:DV319)*HLOOKUP(EA322,Verteil_rwgr,16,FALSE)+SUMIF($D$5:$D$319,"=som",DV5:DV319)*HLOOKUP(EA322,Verteil_rwgr,17,FALSE)+SUMIF($D$5:$D$319,"=sor",DV5:DV319)*HLOOKUP(EA322,Verteil_rwgr,18,FALSE)+SUMIF($D$5:$D$319,"=soz",DV5:DV319)*HLOOKUP(EA322,Verteil_rwgr,19,FALSE)</f>
        <v>0</v>
      </c>
      <c r="DX380" s="179">
        <f>SUMIF($D$5:$D$319,"=sos",DX5:DX319)*HLOOKUP(EA322,Verteil_rwgr,16,FALSE)+SUMIF($D$5:$D$319,"=som",DX5:DX319)*HLOOKUP(EA322,Verteil_rwgr,17,FALSE)+SUMIF($D$5:$D$319,"=sor",DX5:DX319)*HLOOKUP(EA322,Verteil_rwgr,18,FALSE)+SUMIF($D$5:$D$319,"=soz",DX5:DX319)*HLOOKUP(EA322,Verteil_rwgr,19,FALSE)</f>
        <v>0</v>
      </c>
      <c r="DZ380" s="102">
        <f t="shared" ref="DZ380" si="2218">IF(EA378&lt;&gt;0,EA380/EA378,0)</f>
        <v>0.25</v>
      </c>
      <c r="EA380" s="179">
        <f>ROUND(EC380*HLOOKUP(EA322,Grund_zins,2,FALSE),2)</f>
        <v>825</v>
      </c>
      <c r="EB380" s="179">
        <f>SUMIF($D$5:$D$319,"=sos",EB5:EB319)*HLOOKUP(EA322,Verteil_rwgr,16,FALSE)+SUMIF($D$5:$D$319,"=som",EB5:EB319)*HLOOKUP(EA322,Verteil_rwgr,17,FALSE)+SUMIF($D$5:$D$319,"=sor",EB5:EB319)*HLOOKUP(EA322,Verteil_rwgr,18,FALSE)+SUMIF($D$5:$D$319,"=soz",EB5:EB319)*HLOOKUP(EA322,Verteil_rwgr,19,FALSE)</f>
        <v>0</v>
      </c>
      <c r="EC380" s="179">
        <f t="shared" si="1992"/>
        <v>27500</v>
      </c>
      <c r="ED380" s="179">
        <f>SUMIF($D$5:$D$319,"=sos",ED5:ED319)*HLOOKUP(EA322,Verteil_rwgr,16,FALSE)+SUMIF($D$5:$D$319,"=som",ED5:ED319)*HLOOKUP(EA322,Verteil_rwgr,17,FALSE)+SUMIF($D$5:$D$319,"=sor",ED5:ED319)*HLOOKUP(EA322,Verteil_rwgr,18,FALSE)+SUMIF($D$5:$D$319,"=soz",ED5:ED319)*HLOOKUP(EA322,Verteil_rwgr,19,FALSE)</f>
        <v>27500</v>
      </c>
      <c r="EE380" s="102">
        <f t="shared" ref="EE380" si="2219">IF(ED378&lt;&gt;0,ED380/ED378,0)</f>
        <v>0.25</v>
      </c>
      <c r="EF380" s="665" t="s">
        <v>193</v>
      </c>
      <c r="EK380" s="217"/>
      <c r="EM380" s="179">
        <f>SUMIF($D$5:$D$319,"=sos",EM5:EM319)*HLOOKUP(ER322,Verteil_rwgr,16,FALSE)+SUMIF($D$5:$D$319,"=som",EM5:EM319)*HLOOKUP(ER322,Verteil_rwgr,17,FALSE)+SUMIF($D$5:$D$319,"=sor",EM5:EM319)*HLOOKUP(ER322,Verteil_rwgr,18,FALSE)+SUMIF($D$5:$D$319,"=soz",EM5:EM319)*HLOOKUP(ER322,Verteil_rwgr,19,FALSE)</f>
        <v>0</v>
      </c>
      <c r="EO380" s="179">
        <f>SUMIF($D$5:$D$319,"=sos",EO5:EO319)*HLOOKUP(ER322,Verteil_rwgr,16,FALSE)+SUMIF($D$5:$D$319,"=som",EO5:EO319)*HLOOKUP(ER322,Verteil_rwgr,17,FALSE)+SUMIF($D$5:$D$319,"=sor",EO5:EO319)*HLOOKUP(ER322,Verteil_rwgr,18,FALSE)+SUMIF($D$5:$D$319,"=soz",EO5:EO319)*HLOOKUP(ER322,Verteil_rwgr,19,FALSE)</f>
        <v>0</v>
      </c>
      <c r="EQ380" s="102">
        <f t="shared" ref="EQ380" si="2220">IF(ER378&lt;&gt;0,ER380/ER378,0)</f>
        <v>0.25</v>
      </c>
      <c r="ER380" s="179">
        <f>ROUND(ET380*HLOOKUP(ER322,Grund_zins,2,FALSE),2)</f>
        <v>825</v>
      </c>
      <c r="ES380" s="179">
        <f>SUMIF($D$5:$D$319,"=sos",ES5:ES319)*HLOOKUP(ER322,Verteil_rwgr,16,FALSE)+SUMIF($D$5:$D$319,"=som",ES5:ES319)*HLOOKUP(ER322,Verteil_rwgr,17,FALSE)+SUMIF($D$5:$D$319,"=sor",ES5:ES319)*HLOOKUP(ER322,Verteil_rwgr,18,FALSE)+SUMIF($D$5:$D$319,"=soz",ES5:ES319)*HLOOKUP(ER322,Verteil_rwgr,19,FALSE)</f>
        <v>0</v>
      </c>
      <c r="ET380" s="179">
        <f t="shared" si="1999"/>
        <v>27500</v>
      </c>
      <c r="EU380" s="179">
        <f>SUMIF($D$5:$D$319,"=sos",EU5:EU319)*HLOOKUP(ER322,Verteil_rwgr,16,FALSE)+SUMIF($D$5:$D$319,"=som",EU5:EU319)*HLOOKUP(ER322,Verteil_rwgr,17,FALSE)+SUMIF($D$5:$D$319,"=sor",EU5:EU319)*HLOOKUP(ER322,Verteil_rwgr,18,FALSE)+SUMIF($D$5:$D$319,"=soz",EU5:EU319)*HLOOKUP(ER322,Verteil_rwgr,19,FALSE)</f>
        <v>27500</v>
      </c>
      <c r="EV380" s="102">
        <f t="shared" ref="EV380" si="2221">IF(EU378&lt;&gt;0,EU380/EU378,0)</f>
        <v>0.25</v>
      </c>
      <c r="EW380" s="665" t="s">
        <v>193</v>
      </c>
      <c r="FB380" s="217"/>
      <c r="FD380" s="179">
        <f>SUMIF($D$5:$D$319,"=sos",FD5:FD319)*HLOOKUP(FI322,Verteil_rwgr,16,FALSE)+SUMIF($D$5:$D$319,"=som",FD5:FD319)*HLOOKUP(FI322,Verteil_rwgr,17,FALSE)+SUMIF($D$5:$D$319,"=sor",FD5:FD319)*HLOOKUP(FI322,Verteil_rwgr,18,FALSE)+SUMIF($D$5:$D$319,"=soz",FD5:FD319)*HLOOKUP(FI322,Verteil_rwgr,19,FALSE)</f>
        <v>0</v>
      </c>
      <c r="FF380" s="179">
        <f>SUMIF($D$5:$D$319,"=sos",FF5:FF319)*HLOOKUP(FI322,Verteil_rwgr,16,FALSE)+SUMIF($D$5:$D$319,"=som",FF5:FF319)*HLOOKUP(FI322,Verteil_rwgr,17,FALSE)+SUMIF($D$5:$D$319,"=sor",FF5:FF319)*HLOOKUP(FI322,Verteil_rwgr,18,FALSE)+SUMIF($D$5:$D$319,"=soz",FF5:FF319)*HLOOKUP(FI322,Verteil_rwgr,19,FALSE)</f>
        <v>0</v>
      </c>
      <c r="FH380" s="102">
        <f t="shared" ref="FH380" si="2222">IF(FI378&lt;&gt;0,FI380/FI378,0)</f>
        <v>0.25</v>
      </c>
      <c r="FI380" s="179">
        <f>ROUND(FK380*HLOOKUP(FI322,Grund_zins,2,FALSE),2)</f>
        <v>825</v>
      </c>
      <c r="FJ380" s="179">
        <f>SUMIF($D$5:$D$319,"=sos",FJ5:FJ319)*HLOOKUP(FI322,Verteil_rwgr,16,FALSE)+SUMIF($D$5:$D$319,"=som",FJ5:FJ319)*HLOOKUP(FI322,Verteil_rwgr,17,FALSE)+SUMIF($D$5:$D$319,"=sor",FJ5:FJ319)*HLOOKUP(FI322,Verteil_rwgr,18,FALSE)+SUMIF($D$5:$D$319,"=soz",FJ5:FJ319)*HLOOKUP(FI322,Verteil_rwgr,19,FALSE)</f>
        <v>0</v>
      </c>
      <c r="FK380" s="179">
        <f t="shared" si="2006"/>
        <v>27500</v>
      </c>
      <c r="FL380" s="179">
        <f>SUMIF($D$5:$D$319,"=sos",FL5:FL319)*HLOOKUP(FI322,Verteil_rwgr,16,FALSE)+SUMIF($D$5:$D$319,"=som",FL5:FL319)*HLOOKUP(FI322,Verteil_rwgr,17,FALSE)+SUMIF($D$5:$D$319,"=sor",FL5:FL319)*HLOOKUP(FI322,Verteil_rwgr,18,FALSE)+SUMIF($D$5:$D$319,"=soz",FL5:FL319)*HLOOKUP(FI322,Verteil_rwgr,19,FALSE)</f>
        <v>27500</v>
      </c>
      <c r="FM380" s="102">
        <f t="shared" ref="FM380" si="2223">IF(FL378&lt;&gt;0,FL380/FL378,0)</f>
        <v>0.25</v>
      </c>
      <c r="FN380" s="665" t="s">
        <v>193</v>
      </c>
      <c r="FS380" s="217"/>
    </row>
    <row r="381" spans="1:175" s="10" customFormat="1" ht="15" hidden="1" customHeight="1" x14ac:dyDescent="0.3">
      <c r="A381" s="665" t="s">
        <v>194</v>
      </c>
      <c r="V381" s="217">
        <v>60</v>
      </c>
      <c r="X381" s="179">
        <f>SUMIF($D$5:$D$319,"=sos",X5:X319)*HLOOKUP(AC322,Verteil_rwst,15,FALSE)+SUMIF($D$5:$D$319,"=som",X5:X319)*HLOOKUP(AC322,Verteil_rwst,16,FALSE)+SUMIF($D$5:$D$319,"=sor",X5:X319)*HLOOKUP(AC322,Verteil_rwst,17,FALSE)+SUMIF($D$5:$D$319,"=soz",X5:X319)*HLOOKUP(AC322,Verteil_rwst,18,FALSE)</f>
        <v>0</v>
      </c>
      <c r="Z381" s="179">
        <f>SUMIF($D$5:$D$319,"=sos",Z5:Z319)*HLOOKUP(AC322,Verteil_rwst,15,FALSE)+SUMIF($D$5:$D$319,"=som",Z5:Z319)*HLOOKUP(AC322,Verteil_rwst,16,FALSE)+SUMIF($D$5:$D$319,"=sor",Z5:Z319)*HLOOKUP(AC322,Verteil_rwst,17,FALSE)+SUMIF($D$5:$D$319,"=soz",Z5:Z319)*HLOOKUP(AC322,Verteil_rwst,18,FALSE)</f>
        <v>0</v>
      </c>
      <c r="AB381" s="102">
        <f t="shared" ref="AB381" si="2224">IF(AC378&lt;&gt;0,AC381/AC378,0)</f>
        <v>0.25</v>
      </c>
      <c r="AC381" s="179">
        <f>ROUND(AE381*HLOOKUP(AC322,Grund_zins,2,FALSE),2)</f>
        <v>962.5</v>
      </c>
      <c r="AD381" s="179">
        <f>SUMIF($D$5:$D$319,"=sos",AD5:AD319)*HLOOKUP(AC322,Verteil_rwst,15,FALSE)+SUMIF($D$5:$D$319,"=som",AD5:AD319)*HLOOKUP(AC322,Verteil_rwst,16,FALSE)+SUMIF($D$5:$D$319,"=sor",AD5:AD319)*HLOOKUP(AC322,Verteil_rwst,17,FALSE)+SUMIF($D$5:$D$319,"=soz",AD5:AD319)*HLOOKUP(AC322,Verteil_rwst,18,FALSE)</f>
        <v>0</v>
      </c>
      <c r="AE381" s="179">
        <f t="shared" si="2009"/>
        <v>27500</v>
      </c>
      <c r="AF381" s="179">
        <f>SUMIF($D$5:$D$319,"=sos",AF5:AF319)*HLOOKUP(AC322,Verteil_rwst,15,FALSE)+SUMIF($D$5:$D$319,"=som",AF5:AF319)*HLOOKUP(AC322,Verteil_rwst,16,FALSE)+SUMIF($D$5:$D$319,"=sor",AF5:AF319)*HLOOKUP(AC322,Verteil_rwst,17,FALSE)+SUMIF($D$5:$D$319,"=soz",AF5:AF319)*HLOOKUP(AC322,Verteil_rwst,18,FALSE)</f>
        <v>27500</v>
      </c>
      <c r="AG381" s="102">
        <f t="shared" ref="AG381" si="2225">IF(AF378&lt;&gt;0,AF381/AF378,0)</f>
        <v>0.25</v>
      </c>
      <c r="AH381" s="665" t="s">
        <v>194</v>
      </c>
      <c r="AM381" s="217"/>
      <c r="AO381" s="179">
        <f>SUMIF($D$5:$D$319,"=sos",AO5:AO319)*HLOOKUP(AT322,Verteil_rwst,15,FALSE)+SUMIF($D$5:$D$319,"=som",AO5:AO319)*HLOOKUP(AT322,Verteil_rwst,16,FALSE)+SUMIF($D$5:$D$319,"=sor",AO5:AO319)*HLOOKUP(AT322,Verteil_rwst,17,FALSE)+SUMIF($D$5:$D$319,"=soz",AO5:AO319)*HLOOKUP(AT322,Verteil_rwst,18,FALSE)</f>
        <v>0</v>
      </c>
      <c r="AQ381" s="179">
        <f>SUMIF($D$5:$D$319,"=sos",AQ5:AQ319)*HLOOKUP(AT322,Verteil_rwst,15,FALSE)+SUMIF($D$5:$D$319,"=som",AQ5:AQ319)*HLOOKUP(AT322,Verteil_rwst,16,FALSE)+SUMIF($D$5:$D$319,"=sor",AQ5:AQ319)*HLOOKUP(AT322,Verteil_rwst,17,FALSE)+SUMIF($D$5:$D$319,"=soz",AQ5:AQ319)*HLOOKUP(AT322,Verteil_rwst,18,FALSE)</f>
        <v>0</v>
      </c>
      <c r="AS381" s="102">
        <f t="shared" ref="AS381" si="2226">IF(AT378&lt;&gt;0,AT381/AT378,0)</f>
        <v>0.25</v>
      </c>
      <c r="AT381" s="179">
        <f>ROUND(AV381*HLOOKUP(AT322,Grund_zins,2,FALSE),2)</f>
        <v>962.5</v>
      </c>
      <c r="AU381" s="179">
        <f>SUMIF($D$5:$D$319,"=sos",AU5:AU319)*HLOOKUP(AT322,Verteil_rwst,15,FALSE)+SUMIF($D$5:$D$319,"=som",AU5:AU319)*HLOOKUP(AT322,Verteil_rwst,16,FALSE)+SUMIF($D$5:$D$319,"=sor",AU5:AU319)*HLOOKUP(AT322,Verteil_rwst,17,FALSE)+SUMIF($D$5:$D$319,"=soz",AU5:AU319)*HLOOKUP(AT322,Verteil_rwst,18,FALSE)</f>
        <v>0</v>
      </c>
      <c r="AV381" s="179">
        <f t="shared" si="1957"/>
        <v>27500</v>
      </c>
      <c r="AW381" s="179">
        <f>SUMIF($D$5:$D$319,"=sos",AW5:AW319)*HLOOKUP(AT322,Verteil_rwst,15,FALSE)+SUMIF($D$5:$D$319,"=som",AW5:AW319)*HLOOKUP(AT322,Verteil_rwst,16,FALSE)+SUMIF($D$5:$D$319,"=sor",AW5:AW319)*HLOOKUP(AT322,Verteil_rwst,17,FALSE)+SUMIF($D$5:$D$319,"=soz",AW5:AW319)*HLOOKUP(AT322,Verteil_rwst,18,FALSE)</f>
        <v>27500</v>
      </c>
      <c r="AX381" s="102">
        <f t="shared" ref="AX381" si="2227">IF(AW378&lt;&gt;0,AW381/AW378,0)</f>
        <v>0.25</v>
      </c>
      <c r="AY381" s="665" t="s">
        <v>194</v>
      </c>
      <c r="BD381" s="217"/>
      <c r="BF381" s="179">
        <f>SUMIF($D$5:$D$319,"=sos",BF5:BF319)*HLOOKUP(BK322,Verteil_rwst,15,FALSE)+SUMIF($D$5:$D$319,"=som",BF5:BF319)*HLOOKUP(BK322,Verteil_rwst,16,FALSE)+SUMIF($D$5:$D$319,"=sor",BF5:BF319)*HLOOKUP(BK322,Verteil_rwst,17,FALSE)+SUMIF($D$5:$D$319,"=soz",BF5:BF319)*HLOOKUP(BK322,Verteil_rwst,18,FALSE)</f>
        <v>0</v>
      </c>
      <c r="BH381" s="179">
        <f>SUMIF($D$5:$D$319,"=sos",BH5:BH319)*HLOOKUP(BK322,Verteil_rwst,15,FALSE)+SUMIF($D$5:$D$319,"=som",BH5:BH319)*HLOOKUP(BK322,Verteil_rwst,16,FALSE)+SUMIF($D$5:$D$319,"=sor",BH5:BH319)*HLOOKUP(BK322,Verteil_rwst,17,FALSE)+SUMIF($D$5:$D$319,"=soz",BH5:BH319)*HLOOKUP(BK322,Verteil_rwst,18,FALSE)</f>
        <v>0</v>
      </c>
      <c r="BJ381" s="102">
        <f t="shared" ref="BJ381" si="2228">IF(BK378&lt;&gt;0,BK381/BK378,0)</f>
        <v>0.25</v>
      </c>
      <c r="BK381" s="179">
        <f>ROUND(BM381*HLOOKUP(BK322,Grund_zins,2,FALSE),2)</f>
        <v>962.5</v>
      </c>
      <c r="BL381" s="179">
        <f>SUMIF($D$5:$D$319,"=sos",BL5:BL319)*HLOOKUP(BK322,Verteil_rwst,15,FALSE)+SUMIF($D$5:$D$319,"=som",BL5:BL319)*HLOOKUP(BK322,Verteil_rwst,16,FALSE)+SUMIF($D$5:$D$319,"=sor",BL5:BL319)*HLOOKUP(BK322,Verteil_rwst,17,FALSE)+SUMIF($D$5:$D$319,"=soz",BL5:BL319)*HLOOKUP(BK322,Verteil_rwst,18,FALSE)</f>
        <v>0</v>
      </c>
      <c r="BM381" s="179">
        <f t="shared" si="1964"/>
        <v>27500</v>
      </c>
      <c r="BN381" s="179">
        <f>SUMIF($D$5:$D$319,"=sos",BN5:BN319)*HLOOKUP(BK322,Verteil_rwst,15,FALSE)+SUMIF($D$5:$D$319,"=som",BN5:BN319)*HLOOKUP(BK322,Verteil_rwst,16,FALSE)+SUMIF($D$5:$D$319,"=sor",BN5:BN319)*HLOOKUP(BK322,Verteil_rwst,17,FALSE)+SUMIF($D$5:$D$319,"=soz",BN5:BN319)*HLOOKUP(BK322,Verteil_rwst,18,FALSE)</f>
        <v>27500</v>
      </c>
      <c r="BO381" s="102">
        <f t="shared" ref="BO381" si="2229">IF(BN378&lt;&gt;0,BN381/BN378,0)</f>
        <v>0.25</v>
      </c>
      <c r="BP381" s="665" t="s">
        <v>194</v>
      </c>
      <c r="BU381" s="217"/>
      <c r="BW381" s="179">
        <f>SUMIF($D$5:$D$319,"=sos",BW5:BW319)*HLOOKUP(CB322,Verteil_rwst,15,FALSE)+SUMIF($D$5:$D$319,"=som",BW5:BW319)*HLOOKUP(CB322,Verteil_rwst,16,FALSE)+SUMIF($D$5:$D$319,"=sor",BW5:BW319)*HLOOKUP(CB322,Verteil_rwst,17,FALSE)+SUMIF($D$5:$D$319,"=soz",BW5:BW319)*HLOOKUP(CB322,Verteil_rwst,18,FALSE)</f>
        <v>0</v>
      </c>
      <c r="BY381" s="179">
        <f>SUMIF($D$5:$D$319,"=sos",BY5:BY319)*HLOOKUP(CB322,Verteil_rwst,15,FALSE)+SUMIF($D$5:$D$319,"=som",BY5:BY319)*HLOOKUP(CB322,Verteil_rwst,16,FALSE)+SUMIF($D$5:$D$319,"=sor",BY5:BY319)*HLOOKUP(CB322,Verteil_rwst,17,FALSE)+SUMIF($D$5:$D$319,"=soz",BY5:BY319)*HLOOKUP(CB322,Verteil_rwst,18,FALSE)</f>
        <v>0</v>
      </c>
      <c r="CA381" s="102">
        <f t="shared" ref="CA381" si="2230">IF(CB378&lt;&gt;0,CB381/CB378,0)</f>
        <v>0.25</v>
      </c>
      <c r="CB381" s="179">
        <f>ROUND(CD381*HLOOKUP(CB322,Grund_zins,2,FALSE),2)</f>
        <v>962.5</v>
      </c>
      <c r="CC381" s="179">
        <f>SUMIF($D$5:$D$319,"=sos",CC5:CC319)*HLOOKUP(CB322,Verteil_rwst,15,FALSE)+SUMIF($D$5:$D$319,"=som",CC5:CC319)*HLOOKUP(CB322,Verteil_rwst,16,FALSE)+SUMIF($D$5:$D$319,"=sor",CC5:CC319)*HLOOKUP(CB322,Verteil_rwst,17,FALSE)+SUMIF($D$5:$D$319,"=soz",CC5:CC319)*HLOOKUP(CB322,Verteil_rwst,18,FALSE)</f>
        <v>0</v>
      </c>
      <c r="CD381" s="179">
        <f t="shared" si="1971"/>
        <v>27500</v>
      </c>
      <c r="CE381" s="179">
        <f>SUMIF($D$5:$D$319,"=sos",CE5:CE319)*HLOOKUP(CB322,Verteil_rwst,15,FALSE)+SUMIF($D$5:$D$319,"=som",CE5:CE319)*HLOOKUP(CB322,Verteil_rwst,16,FALSE)+SUMIF($D$5:$D$319,"=sor",CE5:CE319)*HLOOKUP(CB322,Verteil_rwst,17,FALSE)+SUMIF($D$5:$D$319,"=soz",CE5:CE319)*HLOOKUP(CB322,Verteil_rwst,18,FALSE)</f>
        <v>27500</v>
      </c>
      <c r="CF381" s="102">
        <f t="shared" ref="CF381" si="2231">IF(CE378&lt;&gt;0,CE381/CE378,0)</f>
        <v>0.25</v>
      </c>
      <c r="CG381" s="665" t="s">
        <v>194</v>
      </c>
      <c r="CL381" s="217"/>
      <c r="CN381" s="179">
        <f>SUMIF($D$5:$D$319,"=sos",CN5:CN319)*HLOOKUP(CS322,Verteil_rwst,15,FALSE)+SUMIF($D$5:$D$319,"=som",CN5:CN319)*HLOOKUP(CS322,Verteil_rwst,16,FALSE)+SUMIF($D$5:$D$319,"=sor",CN5:CN319)*HLOOKUP(CS322,Verteil_rwst,17,FALSE)+SUMIF($D$5:$D$319,"=soz",CN5:CN319)*HLOOKUP(CS322,Verteil_rwst,18,FALSE)</f>
        <v>0</v>
      </c>
      <c r="CP381" s="179">
        <f>SUMIF($D$5:$D$319,"=sos",CP5:CP319)*HLOOKUP(CS322,Verteil_rwst,15,FALSE)+SUMIF($D$5:$D$319,"=som",CP5:CP319)*HLOOKUP(CS322,Verteil_rwst,16,FALSE)+SUMIF($D$5:$D$319,"=sor",CP5:CP319)*HLOOKUP(CS322,Verteil_rwst,17,FALSE)+SUMIF($D$5:$D$319,"=soz",CP5:CP319)*HLOOKUP(CS322,Verteil_rwst,18,FALSE)</f>
        <v>0</v>
      </c>
      <c r="CR381" s="102">
        <f t="shared" ref="CR381" si="2232">IF(CS378&lt;&gt;0,CS381/CS378,0)</f>
        <v>0.25</v>
      </c>
      <c r="CS381" s="179">
        <f>ROUND(CU381*HLOOKUP(CS322,Grund_zins,2,FALSE),2)</f>
        <v>962.5</v>
      </c>
      <c r="CT381" s="179">
        <f>SUMIF($D$5:$D$319,"=sos",CT5:CT319)*HLOOKUP(CS322,Verteil_rwst,15,FALSE)+SUMIF($D$5:$D$319,"=som",CT5:CT319)*HLOOKUP(CS322,Verteil_rwst,16,FALSE)+SUMIF($D$5:$D$319,"=sor",CT5:CT319)*HLOOKUP(CS322,Verteil_rwst,17,FALSE)+SUMIF($D$5:$D$319,"=soz",CT5:CT319)*HLOOKUP(CS322,Verteil_rwst,18,FALSE)</f>
        <v>0</v>
      </c>
      <c r="CU381" s="179">
        <f t="shared" si="1978"/>
        <v>27500</v>
      </c>
      <c r="CV381" s="179">
        <f>SUMIF($D$5:$D$319,"=sos",CV5:CV319)*HLOOKUP(CS322,Verteil_rwst,15,FALSE)+SUMIF($D$5:$D$319,"=som",CV5:CV319)*HLOOKUP(CS322,Verteil_rwst,16,FALSE)+SUMIF($D$5:$D$319,"=sor",CV5:CV319)*HLOOKUP(CS322,Verteil_rwst,17,FALSE)+SUMIF($D$5:$D$319,"=soz",CV5:CV319)*HLOOKUP(CS322,Verteil_rwst,18,FALSE)</f>
        <v>27500</v>
      </c>
      <c r="CW381" s="102">
        <f t="shared" ref="CW381" si="2233">IF(CV378&lt;&gt;0,CV381/CV378,0)</f>
        <v>0.25</v>
      </c>
      <c r="CX381" s="665" t="s">
        <v>194</v>
      </c>
      <c r="DC381" s="217"/>
      <c r="DE381" s="179">
        <f>SUMIF($D$5:$D$319,"=sos",DE5:DE319)*HLOOKUP(DJ322,Verteil_rwst,15,FALSE)+SUMIF($D$5:$D$319,"=som",DE5:DE319)*HLOOKUP(DJ322,Verteil_rwst,16,FALSE)+SUMIF($D$5:$D$319,"=sor",DE5:DE319)*HLOOKUP(DJ322,Verteil_rwst,17,FALSE)+SUMIF($D$5:$D$319,"=soz",DE5:DE319)*HLOOKUP(DJ322,Verteil_rwst,18,FALSE)</f>
        <v>0</v>
      </c>
      <c r="DG381" s="179">
        <f>SUMIF($D$5:$D$319,"=sos",DG5:DG319)*HLOOKUP(DJ322,Verteil_rwst,15,FALSE)+SUMIF($D$5:$D$319,"=som",DG5:DG319)*HLOOKUP(DJ322,Verteil_rwst,16,FALSE)+SUMIF($D$5:$D$319,"=sor",DG5:DG319)*HLOOKUP(DJ322,Verteil_rwst,17,FALSE)+SUMIF($D$5:$D$319,"=soz",DG5:DG319)*HLOOKUP(DJ322,Verteil_rwst,18,FALSE)</f>
        <v>0</v>
      </c>
      <c r="DI381" s="102">
        <f t="shared" ref="DI381" si="2234">IF(DJ378&lt;&gt;0,DJ381/DJ378,0)</f>
        <v>0.25</v>
      </c>
      <c r="DJ381" s="179">
        <f>ROUND(DL381*HLOOKUP(DJ322,Grund_zins,2,FALSE),2)</f>
        <v>825</v>
      </c>
      <c r="DK381" s="179">
        <f>SUMIF($D$5:$D$319,"=sos",DK5:DK319)*HLOOKUP(DJ322,Verteil_rwst,15,FALSE)+SUMIF($D$5:$D$319,"=som",DK5:DK319)*HLOOKUP(DJ322,Verteil_rwst,16,FALSE)+SUMIF($D$5:$D$319,"=sor",DK5:DK319)*HLOOKUP(DJ322,Verteil_rwst,17,FALSE)+SUMIF($D$5:$D$319,"=soz",DK5:DK319)*HLOOKUP(DJ322,Verteil_rwst,18,FALSE)</f>
        <v>0</v>
      </c>
      <c r="DL381" s="179">
        <f t="shared" si="1985"/>
        <v>27500</v>
      </c>
      <c r="DM381" s="179">
        <f>SUMIF($D$5:$D$319,"=sos",DM5:DM319)*HLOOKUP(DJ322,Verteil_rwst,15,FALSE)+SUMIF($D$5:$D$319,"=som",DM5:DM319)*HLOOKUP(DJ322,Verteil_rwst,16,FALSE)+SUMIF($D$5:$D$319,"=sor",DM5:DM319)*HLOOKUP(DJ322,Verteil_rwst,17,FALSE)+SUMIF($D$5:$D$319,"=soz",DM5:DM319)*HLOOKUP(DJ322,Verteil_rwst,18,FALSE)</f>
        <v>27500</v>
      </c>
      <c r="DN381" s="102">
        <f t="shared" ref="DN381" si="2235">IF(DM378&lt;&gt;0,DM381/DM378,0)</f>
        <v>0.25</v>
      </c>
      <c r="DO381" s="665" t="s">
        <v>194</v>
      </c>
      <c r="DT381" s="217"/>
      <c r="DV381" s="179">
        <f>SUMIF($D$5:$D$319,"=sos",DV5:DV319)*HLOOKUP(EA322,Verteil_rwst,15,FALSE)+SUMIF($D$5:$D$319,"=som",DV5:DV319)*HLOOKUP(EA322,Verteil_rwst,16,FALSE)+SUMIF($D$5:$D$319,"=sor",DV5:DV319)*HLOOKUP(EA322,Verteil_rwst,17,FALSE)+SUMIF($D$5:$D$319,"=soz",DV5:DV319)*HLOOKUP(EA322,Verteil_rwst,18,FALSE)</f>
        <v>0</v>
      </c>
      <c r="DX381" s="179">
        <f>SUMIF($D$5:$D$319,"=sos",DX5:DX319)*HLOOKUP(EA322,Verteil_rwst,15,FALSE)+SUMIF($D$5:$D$319,"=som",DX5:DX319)*HLOOKUP(EA322,Verteil_rwst,16,FALSE)+SUMIF($D$5:$D$319,"=sor",DX5:DX319)*HLOOKUP(EA322,Verteil_rwst,17,FALSE)+SUMIF($D$5:$D$319,"=soz",DX5:DX319)*HLOOKUP(EA322,Verteil_rwst,18,FALSE)</f>
        <v>0</v>
      </c>
      <c r="DZ381" s="102">
        <f t="shared" ref="DZ381" si="2236">IF(EA378&lt;&gt;0,EA381/EA378,0)</f>
        <v>0.25</v>
      </c>
      <c r="EA381" s="179">
        <f>ROUND(EC381*HLOOKUP(EA322,Grund_zins,2,FALSE),2)</f>
        <v>825</v>
      </c>
      <c r="EB381" s="179">
        <f>SUMIF($D$5:$D$319,"=sos",EB5:EB319)*HLOOKUP(EA322,Verteil_rwst,15,FALSE)+SUMIF($D$5:$D$319,"=som",EB5:EB319)*HLOOKUP(EA322,Verteil_rwst,16,FALSE)+SUMIF($D$5:$D$319,"=sor",EB5:EB319)*HLOOKUP(EA322,Verteil_rwst,17,FALSE)+SUMIF($D$5:$D$319,"=soz",EB5:EB319)*HLOOKUP(EA322,Verteil_rwst,18,FALSE)</f>
        <v>0</v>
      </c>
      <c r="EC381" s="179">
        <f t="shared" si="1992"/>
        <v>27500</v>
      </c>
      <c r="ED381" s="179">
        <f>SUMIF($D$5:$D$319,"=sos",ED5:ED319)*HLOOKUP(EA322,Verteil_rwst,15,FALSE)+SUMIF($D$5:$D$319,"=som",ED5:ED319)*HLOOKUP(EA322,Verteil_rwst,16,FALSE)+SUMIF($D$5:$D$319,"=sor",ED5:ED319)*HLOOKUP(EA322,Verteil_rwst,17,FALSE)+SUMIF($D$5:$D$319,"=soz",ED5:ED319)*HLOOKUP(EA322,Verteil_rwst,18,FALSE)</f>
        <v>27500</v>
      </c>
      <c r="EE381" s="102">
        <f t="shared" ref="EE381" si="2237">IF(ED378&lt;&gt;0,ED381/ED378,0)</f>
        <v>0.25</v>
      </c>
      <c r="EF381" s="665" t="s">
        <v>194</v>
      </c>
      <c r="EK381" s="217"/>
      <c r="EM381" s="179">
        <f>SUMIF($D$5:$D$319,"=sos",EM5:EM319)*HLOOKUP(ER322,Verteil_rwst,15,FALSE)+SUMIF($D$5:$D$319,"=som",EM5:EM319)*HLOOKUP(ER322,Verteil_rwst,16,FALSE)+SUMIF($D$5:$D$319,"=sor",EM5:EM319)*HLOOKUP(ER322,Verteil_rwst,17,FALSE)+SUMIF($D$5:$D$319,"=soz",EM5:EM319)*HLOOKUP(ER322,Verteil_rwst,18,FALSE)</f>
        <v>0</v>
      </c>
      <c r="EO381" s="179">
        <f>SUMIF($D$5:$D$319,"=sos",EO5:EO319)*HLOOKUP(ER322,Verteil_rwst,15,FALSE)+SUMIF($D$5:$D$319,"=som",EO5:EO319)*HLOOKUP(ER322,Verteil_rwst,16,FALSE)+SUMIF($D$5:$D$319,"=sor",EO5:EO319)*HLOOKUP(ER322,Verteil_rwst,17,FALSE)+SUMIF($D$5:$D$319,"=soz",EO5:EO319)*HLOOKUP(ER322,Verteil_rwst,18,FALSE)</f>
        <v>0</v>
      </c>
      <c r="EQ381" s="102">
        <f t="shared" ref="EQ381" si="2238">IF(ER378&lt;&gt;0,ER381/ER378,0)</f>
        <v>0.25</v>
      </c>
      <c r="ER381" s="179">
        <f>ROUND(ET381*HLOOKUP(ER322,Grund_zins,2,FALSE),2)</f>
        <v>825</v>
      </c>
      <c r="ES381" s="179">
        <f>SUMIF($D$5:$D$319,"=sos",ES5:ES319)*HLOOKUP(ER322,Verteil_rwst,15,FALSE)+SUMIF($D$5:$D$319,"=som",ES5:ES319)*HLOOKUP(ER322,Verteil_rwst,16,FALSE)+SUMIF($D$5:$D$319,"=sor",ES5:ES319)*HLOOKUP(ER322,Verteil_rwst,17,FALSE)+SUMIF($D$5:$D$319,"=soz",ES5:ES319)*HLOOKUP(ER322,Verteil_rwst,18,FALSE)</f>
        <v>0</v>
      </c>
      <c r="ET381" s="179">
        <f t="shared" si="1999"/>
        <v>27500</v>
      </c>
      <c r="EU381" s="179">
        <f>SUMIF($D$5:$D$319,"=sos",EU5:EU319)*HLOOKUP(ER322,Verteil_rwst,15,FALSE)+SUMIF($D$5:$D$319,"=som",EU5:EU319)*HLOOKUP(ER322,Verteil_rwst,16,FALSE)+SUMIF($D$5:$D$319,"=sor",EU5:EU319)*HLOOKUP(ER322,Verteil_rwst,17,FALSE)+SUMIF($D$5:$D$319,"=soz",EU5:EU319)*HLOOKUP(ER322,Verteil_rwst,18,FALSE)</f>
        <v>27500</v>
      </c>
      <c r="EV381" s="102">
        <f t="shared" ref="EV381" si="2239">IF(EU378&lt;&gt;0,EU381/EU378,0)</f>
        <v>0.25</v>
      </c>
      <c r="EW381" s="665" t="s">
        <v>194</v>
      </c>
      <c r="FB381" s="217"/>
      <c r="FD381" s="179">
        <f>SUMIF($D$5:$D$319,"=sos",FD5:FD319)*HLOOKUP(FI322,Verteil_rwst,15,FALSE)+SUMIF($D$5:$D$319,"=som",FD5:FD319)*HLOOKUP(FI322,Verteil_rwst,16,FALSE)+SUMIF($D$5:$D$319,"=sor",FD5:FD319)*HLOOKUP(FI322,Verteil_rwst,17,FALSE)+SUMIF($D$5:$D$319,"=soz",FD5:FD319)*HLOOKUP(FI322,Verteil_rwst,18,FALSE)</f>
        <v>0</v>
      </c>
      <c r="FF381" s="179">
        <f>SUMIF($D$5:$D$319,"=sos",FF5:FF319)*HLOOKUP(FI322,Verteil_rwst,15,FALSE)+SUMIF($D$5:$D$319,"=som",FF5:FF319)*HLOOKUP(FI322,Verteil_rwst,16,FALSE)+SUMIF($D$5:$D$319,"=sor",FF5:FF319)*HLOOKUP(FI322,Verteil_rwst,17,FALSE)+SUMIF($D$5:$D$319,"=soz",FF5:FF319)*HLOOKUP(FI322,Verteil_rwst,18,FALSE)</f>
        <v>0</v>
      </c>
      <c r="FH381" s="102">
        <f t="shared" ref="FH381" si="2240">IF(FI378&lt;&gt;0,FI381/FI378,0)</f>
        <v>0.25</v>
      </c>
      <c r="FI381" s="179">
        <f>ROUND(FK381*HLOOKUP(FI322,Grund_zins,2,FALSE),2)</f>
        <v>825</v>
      </c>
      <c r="FJ381" s="179">
        <f>SUMIF($D$5:$D$319,"=sos",FJ5:FJ319)*HLOOKUP(FI322,Verteil_rwst,15,FALSE)+SUMIF($D$5:$D$319,"=som",FJ5:FJ319)*HLOOKUP(FI322,Verteil_rwst,16,FALSE)+SUMIF($D$5:$D$319,"=sor",FJ5:FJ319)*HLOOKUP(FI322,Verteil_rwst,17,FALSE)+SUMIF($D$5:$D$319,"=soz",FJ5:FJ319)*HLOOKUP(FI322,Verteil_rwst,18,FALSE)</f>
        <v>0</v>
      </c>
      <c r="FK381" s="179">
        <f t="shared" si="2006"/>
        <v>27500</v>
      </c>
      <c r="FL381" s="179">
        <f>SUMIF($D$5:$D$319,"=sos",FL5:FL319)*HLOOKUP(FI322,Verteil_rwst,15,FALSE)+SUMIF($D$5:$D$319,"=som",FL5:FL319)*HLOOKUP(FI322,Verteil_rwst,16,FALSE)+SUMIF($D$5:$D$319,"=sor",FL5:FL319)*HLOOKUP(FI322,Verteil_rwst,17,FALSE)+SUMIF($D$5:$D$319,"=soz",FL5:FL319)*HLOOKUP(FI322,Verteil_rwst,18,FALSE)</f>
        <v>27500</v>
      </c>
      <c r="FM381" s="102">
        <f t="shared" ref="FM381" si="2241">IF(FL378&lt;&gt;0,FL381/FL378,0)</f>
        <v>0.25</v>
      </c>
      <c r="FN381" s="665" t="s">
        <v>194</v>
      </c>
      <c r="FS381" s="217"/>
    </row>
    <row r="382" spans="1:175" s="10" customFormat="1" ht="15" hidden="1" customHeight="1" x14ac:dyDescent="0.3">
      <c r="A382" s="664" t="s">
        <v>275</v>
      </c>
      <c r="V382" s="217">
        <v>61</v>
      </c>
      <c r="X382" s="179">
        <f>SUMIF($D$5:$D$319,"=has",X5:X319)+SUMIF($D$5:$D$319,"=ham",X5:X319)+SUMIF($D$5:$D$319,"=har",X5:X319)+SUMIF($D$5:$D$319,"=haz",X5:X319)</f>
        <v>0</v>
      </c>
      <c r="Z382" s="179">
        <f>SUMIF($D$5:$D$319,"=has",Z5:Z319)+SUMIF($D$5:$D$319,"=ham",Z5:Z319)+SUMIF($D$5:$D$319,"=har",Z5:Z319)+SUMIF($D$5:$D$319,"=haz",Z5:Z319)</f>
        <v>0</v>
      </c>
      <c r="AB382" s="102">
        <f t="shared" ref="AB382" si="2242">SUM(AB383:AB385)</f>
        <v>1</v>
      </c>
      <c r="AC382" s="179">
        <f>ROUND(AE382*HLOOKUP(AC322,Grund_zins,2,FALSE),2)</f>
        <v>32438.7</v>
      </c>
      <c r="AD382" s="179">
        <f>SUMIF($D$5:$D$319,"=has",AD5:AD319)+SUMIF($D$5:$D$319,"=ham",AD5:AD319)+SUMIF($D$5:$D$319,"=har",AD5:AD319)+SUMIF($D$5:$D$319,"=haz",AD5:AD319)</f>
        <v>24540</v>
      </c>
      <c r="AE382" s="179">
        <f t="shared" si="2009"/>
        <v>926820</v>
      </c>
      <c r="AF382" s="179">
        <f>SUMIF($D$5:$D$319,"=has",AF5:AF319)+SUMIF($D$5:$D$319,"=ham",AF5:AF319)+SUMIF($D$5:$D$319,"=har",AF5:AF319)+SUMIF($D$5:$D$319,"=haz",AF5:AF319)</f>
        <v>914550</v>
      </c>
      <c r="AG382" s="102">
        <f t="shared" ref="AG382" si="2243">SUM(AG383:AG385)</f>
        <v>1</v>
      </c>
      <c r="AH382" s="664" t="s">
        <v>275</v>
      </c>
      <c r="AM382" s="217"/>
      <c r="AO382" s="179">
        <f t="shared" ref="AO382" si="2244">SUMIF($D$5:$D$319,"=has",AO5:AO319)+SUMIF($D$5:$D$319,"=ham",AO5:AO319)+SUMIF($D$5:$D$319,"=har",AO5:AO319)+SUMIF($D$5:$D$319,"=haz",AO5:AO319)</f>
        <v>0</v>
      </c>
      <c r="AQ382" s="179">
        <f t="shared" ref="AQ382" si="2245">SUMIF($D$5:$D$319,"=has",AQ5:AQ319)+SUMIF($D$5:$D$319,"=ham",AQ5:AQ319)+SUMIF($D$5:$D$319,"=har",AQ5:AQ319)+SUMIF($D$5:$D$319,"=haz",AQ5:AQ319)</f>
        <v>0</v>
      </c>
      <c r="AS382" s="102">
        <f t="shared" ref="AS382:CR382" si="2246">SUM(AS383:AS385)</f>
        <v>1</v>
      </c>
      <c r="AT382" s="179">
        <f>ROUND(AV382*HLOOKUP(AT322,Grund_zins,2,FALSE),2)</f>
        <v>31579.8</v>
      </c>
      <c r="AU382" s="179">
        <f t="shared" ref="AU382" si="2247">SUMIF($D$5:$D$319,"=has",AU5:AU319)+SUMIF($D$5:$D$319,"=ham",AU5:AU319)+SUMIF($D$5:$D$319,"=har",AU5:AU319)+SUMIF($D$5:$D$319,"=haz",AU5:AU319)</f>
        <v>24540</v>
      </c>
      <c r="AV382" s="179">
        <f t="shared" si="1957"/>
        <v>902280</v>
      </c>
      <c r="AW382" s="179">
        <f t="shared" ref="AW382" si="2248">SUMIF($D$5:$D$319,"=has",AW5:AW319)+SUMIF($D$5:$D$319,"=ham",AW5:AW319)+SUMIF($D$5:$D$319,"=har",AW5:AW319)+SUMIF($D$5:$D$319,"=haz",AW5:AW319)</f>
        <v>890010</v>
      </c>
      <c r="AX382" s="102">
        <f t="shared" ref="AX382:CW382" si="2249">SUM(AX383:AX385)</f>
        <v>1</v>
      </c>
      <c r="AY382" s="664" t="s">
        <v>275</v>
      </c>
      <c r="BD382" s="217"/>
      <c r="BF382" s="179">
        <f t="shared" ref="BF382" si="2250">SUMIF($D$5:$D$319,"=has",BF5:BF319)+SUMIF($D$5:$D$319,"=ham",BF5:BF319)+SUMIF($D$5:$D$319,"=har",BF5:BF319)+SUMIF($D$5:$D$319,"=haz",BF5:BF319)</f>
        <v>0</v>
      </c>
      <c r="BH382" s="179">
        <f t="shared" ref="BH382" si="2251">SUMIF($D$5:$D$319,"=has",BH5:BH319)+SUMIF($D$5:$D$319,"=ham",BH5:BH319)+SUMIF($D$5:$D$319,"=har",BH5:BH319)+SUMIF($D$5:$D$319,"=haz",BH5:BH319)</f>
        <v>0</v>
      </c>
      <c r="BJ382" s="102">
        <f t="shared" si="2246"/>
        <v>1</v>
      </c>
      <c r="BK382" s="179">
        <f>ROUND(BM382*HLOOKUP(BK322,Grund_zins,2,FALSE),2)</f>
        <v>30720.9</v>
      </c>
      <c r="BL382" s="179">
        <f t="shared" ref="BL382" si="2252">SUMIF($D$5:$D$319,"=has",BL5:BL319)+SUMIF($D$5:$D$319,"=ham",BL5:BL319)+SUMIF($D$5:$D$319,"=har",BL5:BL319)+SUMIF($D$5:$D$319,"=haz",BL5:BL319)</f>
        <v>24540</v>
      </c>
      <c r="BM382" s="179">
        <f t="shared" si="1964"/>
        <v>877740</v>
      </c>
      <c r="BN382" s="179">
        <f t="shared" ref="BN382" si="2253">SUMIF($D$5:$D$319,"=has",BN5:BN319)+SUMIF($D$5:$D$319,"=ham",BN5:BN319)+SUMIF($D$5:$D$319,"=har",BN5:BN319)+SUMIF($D$5:$D$319,"=haz",BN5:BN319)</f>
        <v>865470</v>
      </c>
      <c r="BO382" s="102">
        <f t="shared" si="2249"/>
        <v>1</v>
      </c>
      <c r="BP382" s="664" t="s">
        <v>275</v>
      </c>
      <c r="BU382" s="217"/>
      <c r="BW382" s="179">
        <f t="shared" ref="BW382" si="2254">SUMIF($D$5:$D$319,"=has",BW5:BW319)+SUMIF($D$5:$D$319,"=ham",BW5:BW319)+SUMIF($D$5:$D$319,"=har",BW5:BW319)+SUMIF($D$5:$D$319,"=haz",BW5:BW319)</f>
        <v>0</v>
      </c>
      <c r="BY382" s="179">
        <f t="shared" ref="BY382" si="2255">SUMIF($D$5:$D$319,"=has",BY5:BY319)+SUMIF($D$5:$D$319,"=ham",BY5:BY319)+SUMIF($D$5:$D$319,"=har",BY5:BY319)+SUMIF($D$5:$D$319,"=haz",BY5:BY319)</f>
        <v>0</v>
      </c>
      <c r="CA382" s="102">
        <f t="shared" si="2246"/>
        <v>1</v>
      </c>
      <c r="CB382" s="179">
        <f>ROUND(CD382*HLOOKUP(CB322,Grund_zins,2,FALSE),2)</f>
        <v>29862</v>
      </c>
      <c r="CC382" s="179">
        <f t="shared" ref="CC382" si="2256">SUMIF($D$5:$D$319,"=has",CC5:CC319)+SUMIF($D$5:$D$319,"=ham",CC5:CC319)+SUMIF($D$5:$D$319,"=har",CC5:CC319)+SUMIF($D$5:$D$319,"=haz",CC5:CC319)</f>
        <v>24540</v>
      </c>
      <c r="CD382" s="179">
        <f t="shared" si="1971"/>
        <v>853200</v>
      </c>
      <c r="CE382" s="179">
        <f t="shared" ref="CE382" si="2257">SUMIF($D$5:$D$319,"=has",CE5:CE319)+SUMIF($D$5:$D$319,"=ham",CE5:CE319)+SUMIF($D$5:$D$319,"=har",CE5:CE319)+SUMIF($D$5:$D$319,"=haz",CE5:CE319)</f>
        <v>840930</v>
      </c>
      <c r="CF382" s="102">
        <f t="shared" si="2249"/>
        <v>1</v>
      </c>
      <c r="CG382" s="664" t="s">
        <v>275</v>
      </c>
      <c r="CL382" s="217"/>
      <c r="CN382" s="179">
        <f t="shared" ref="CN382" si="2258">SUMIF($D$5:$D$319,"=has",CN5:CN319)+SUMIF($D$5:$D$319,"=ham",CN5:CN319)+SUMIF($D$5:$D$319,"=har",CN5:CN319)+SUMIF($D$5:$D$319,"=haz",CN5:CN319)</f>
        <v>0</v>
      </c>
      <c r="CP382" s="179">
        <f t="shared" ref="CP382" si="2259">SUMIF($D$5:$D$319,"=has",CP5:CP319)+SUMIF($D$5:$D$319,"=ham",CP5:CP319)+SUMIF($D$5:$D$319,"=har",CP5:CP319)+SUMIF($D$5:$D$319,"=haz",CP5:CP319)</f>
        <v>0</v>
      </c>
      <c r="CR382" s="102">
        <f t="shared" si="2246"/>
        <v>1</v>
      </c>
      <c r="CS382" s="179">
        <f>ROUND(CU382*HLOOKUP(CS322,Grund_zins,2,FALSE),2)</f>
        <v>29003.1</v>
      </c>
      <c r="CT382" s="179">
        <f t="shared" ref="CT382" si="2260">SUMIF($D$5:$D$319,"=has",CT5:CT319)+SUMIF($D$5:$D$319,"=ham",CT5:CT319)+SUMIF($D$5:$D$319,"=har",CT5:CT319)+SUMIF($D$5:$D$319,"=haz",CT5:CT319)</f>
        <v>24540</v>
      </c>
      <c r="CU382" s="179">
        <f t="shared" si="1978"/>
        <v>828660</v>
      </c>
      <c r="CV382" s="179">
        <f t="shared" ref="CV382" si="2261">SUMIF($D$5:$D$319,"=has",CV5:CV319)+SUMIF($D$5:$D$319,"=ham",CV5:CV319)+SUMIF($D$5:$D$319,"=har",CV5:CV319)+SUMIF($D$5:$D$319,"=haz",CV5:CV319)</f>
        <v>816390</v>
      </c>
      <c r="CW382" s="102">
        <f t="shared" si="2249"/>
        <v>1</v>
      </c>
      <c r="CX382" s="664" t="s">
        <v>275</v>
      </c>
      <c r="DC382" s="217"/>
      <c r="DE382" s="179">
        <f t="shared" ref="DE382" si="2262">SUMIF($D$5:$D$319,"=has",DE5:DE319)+SUMIF($D$5:$D$319,"=ham",DE5:DE319)+SUMIF($D$5:$D$319,"=har",DE5:DE319)+SUMIF($D$5:$D$319,"=haz",DE5:DE319)</f>
        <v>0</v>
      </c>
      <c r="DG382" s="179">
        <f t="shared" ref="DG382" si="2263">SUMIF($D$5:$D$319,"=has",DG5:DG319)+SUMIF($D$5:$D$319,"=ham",DG5:DG319)+SUMIF($D$5:$D$319,"=har",DG5:DG319)+SUMIF($D$5:$D$319,"=haz",DG5:DG319)</f>
        <v>0</v>
      </c>
      <c r="DI382" s="102">
        <f t="shared" ref="DI382:FH382" si="2264">SUM(DI383:DI385)</f>
        <v>1</v>
      </c>
      <c r="DJ382" s="179">
        <f>ROUND(DL382*HLOOKUP(DJ322,Grund_zins,2,FALSE),2)</f>
        <v>24123.599999999999</v>
      </c>
      <c r="DK382" s="179">
        <f t="shared" ref="DK382" si="2265">SUMIF($D$5:$D$319,"=has",DK5:DK319)+SUMIF($D$5:$D$319,"=ham",DK5:DK319)+SUMIF($D$5:$D$319,"=har",DK5:DK319)+SUMIF($D$5:$D$319,"=haz",DK5:DK319)</f>
        <v>24540</v>
      </c>
      <c r="DL382" s="179">
        <f t="shared" si="1985"/>
        <v>804120</v>
      </c>
      <c r="DM382" s="179">
        <f t="shared" ref="DM382" si="2266">SUMIF($D$5:$D$319,"=has",DM5:DM319)+SUMIF($D$5:$D$319,"=ham",DM5:DM319)+SUMIF($D$5:$D$319,"=har",DM5:DM319)+SUMIF($D$5:$D$319,"=haz",DM5:DM319)</f>
        <v>791850</v>
      </c>
      <c r="DN382" s="102">
        <f t="shared" ref="DN382:FM382" si="2267">SUM(DN383:DN385)</f>
        <v>1</v>
      </c>
      <c r="DO382" s="664" t="s">
        <v>275</v>
      </c>
      <c r="DT382" s="217"/>
      <c r="DV382" s="179">
        <f t="shared" ref="DV382" si="2268">SUMIF($D$5:$D$319,"=has",DV5:DV319)+SUMIF($D$5:$D$319,"=ham",DV5:DV319)+SUMIF($D$5:$D$319,"=har",DV5:DV319)+SUMIF($D$5:$D$319,"=haz",DV5:DV319)</f>
        <v>0</v>
      </c>
      <c r="DX382" s="179">
        <f t="shared" ref="DX382" si="2269">SUMIF($D$5:$D$319,"=has",DX5:DX319)+SUMIF($D$5:$D$319,"=ham",DX5:DX319)+SUMIF($D$5:$D$319,"=har",DX5:DX319)+SUMIF($D$5:$D$319,"=haz",DX5:DX319)</f>
        <v>0</v>
      </c>
      <c r="DZ382" s="102">
        <f t="shared" si="2264"/>
        <v>0.99999999999999989</v>
      </c>
      <c r="EA382" s="179">
        <f>ROUND(EC382*HLOOKUP(EA322,Grund_zins,2,FALSE),2)</f>
        <v>23387.4</v>
      </c>
      <c r="EB382" s="179">
        <f t="shared" ref="EB382" si="2270">SUMIF($D$5:$D$319,"=has",EB5:EB319)+SUMIF($D$5:$D$319,"=ham",EB5:EB319)+SUMIF($D$5:$D$319,"=har",EB5:EB319)+SUMIF($D$5:$D$319,"=haz",EB5:EB319)</f>
        <v>24540</v>
      </c>
      <c r="EC382" s="179">
        <f t="shared" si="1992"/>
        <v>779580</v>
      </c>
      <c r="ED382" s="179">
        <f t="shared" ref="ED382" si="2271">SUMIF($D$5:$D$319,"=has",ED5:ED319)+SUMIF($D$5:$D$319,"=ham",ED5:ED319)+SUMIF($D$5:$D$319,"=har",ED5:ED319)+SUMIF($D$5:$D$319,"=haz",ED5:ED319)</f>
        <v>767310</v>
      </c>
      <c r="EE382" s="102">
        <f t="shared" si="2267"/>
        <v>1</v>
      </c>
      <c r="EF382" s="664" t="s">
        <v>275</v>
      </c>
      <c r="EK382" s="217"/>
      <c r="EM382" s="179">
        <f t="shared" ref="EM382" si="2272">SUMIF($D$5:$D$319,"=has",EM5:EM319)+SUMIF($D$5:$D$319,"=ham",EM5:EM319)+SUMIF($D$5:$D$319,"=har",EM5:EM319)+SUMIF($D$5:$D$319,"=haz",EM5:EM319)</f>
        <v>0</v>
      </c>
      <c r="EO382" s="179">
        <f t="shared" ref="EO382" si="2273">SUMIF($D$5:$D$319,"=has",EO5:EO319)+SUMIF($D$5:$D$319,"=ham",EO5:EO319)+SUMIF($D$5:$D$319,"=har",EO5:EO319)+SUMIF($D$5:$D$319,"=haz",EO5:EO319)</f>
        <v>0</v>
      </c>
      <c r="EQ382" s="102">
        <f t="shared" si="2264"/>
        <v>1</v>
      </c>
      <c r="ER382" s="179">
        <f>ROUND(ET382*HLOOKUP(ER322,Grund_zins,2,FALSE),2)</f>
        <v>22651.200000000001</v>
      </c>
      <c r="ES382" s="179">
        <f t="shared" ref="ES382" si="2274">SUMIF($D$5:$D$319,"=has",ES5:ES319)+SUMIF($D$5:$D$319,"=ham",ES5:ES319)+SUMIF($D$5:$D$319,"=har",ES5:ES319)+SUMIF($D$5:$D$319,"=haz",ES5:ES319)</f>
        <v>24540</v>
      </c>
      <c r="ET382" s="179">
        <f t="shared" si="1999"/>
        <v>755040</v>
      </c>
      <c r="EU382" s="179">
        <f t="shared" ref="EU382" si="2275">SUMIF($D$5:$D$319,"=has",EU5:EU319)+SUMIF($D$5:$D$319,"=ham",EU5:EU319)+SUMIF($D$5:$D$319,"=har",EU5:EU319)+SUMIF($D$5:$D$319,"=haz",EU5:EU319)</f>
        <v>742770</v>
      </c>
      <c r="EV382" s="102">
        <f t="shared" si="2267"/>
        <v>1</v>
      </c>
      <c r="EW382" s="664" t="s">
        <v>275</v>
      </c>
      <c r="FB382" s="217"/>
      <c r="FD382" s="179">
        <f t="shared" ref="FD382" si="2276">SUMIF($D$5:$D$319,"=has",FD5:FD319)+SUMIF($D$5:$D$319,"=ham",FD5:FD319)+SUMIF($D$5:$D$319,"=har",FD5:FD319)+SUMIF($D$5:$D$319,"=haz",FD5:FD319)</f>
        <v>0</v>
      </c>
      <c r="FF382" s="179">
        <f t="shared" ref="FF382" si="2277">SUMIF($D$5:$D$319,"=has",FF5:FF319)+SUMIF($D$5:$D$319,"=ham",FF5:FF319)+SUMIF($D$5:$D$319,"=har",FF5:FF319)+SUMIF($D$5:$D$319,"=haz",FF5:FF319)</f>
        <v>0</v>
      </c>
      <c r="FH382" s="102">
        <f t="shared" si="2264"/>
        <v>1</v>
      </c>
      <c r="FI382" s="179">
        <f>ROUND(FK382*HLOOKUP(FI322,Grund_zins,2,FALSE),2)</f>
        <v>21915</v>
      </c>
      <c r="FJ382" s="179">
        <f t="shared" ref="FJ382" si="2278">SUMIF($D$5:$D$319,"=has",FJ5:FJ319)+SUMIF($D$5:$D$319,"=ham",FJ5:FJ319)+SUMIF($D$5:$D$319,"=har",FJ5:FJ319)+SUMIF($D$5:$D$319,"=haz",FJ5:FJ319)</f>
        <v>24540</v>
      </c>
      <c r="FK382" s="179">
        <f t="shared" si="2006"/>
        <v>730500</v>
      </c>
      <c r="FL382" s="179">
        <f t="shared" ref="FL382" si="2279">SUMIF($D$5:$D$319,"=has",FL5:FL319)+SUMIF($D$5:$D$319,"=ham",FL5:FL319)+SUMIF($D$5:$D$319,"=har",FL5:FL319)+SUMIF($D$5:$D$319,"=haz",FL5:FL319)</f>
        <v>718230</v>
      </c>
      <c r="FM382" s="102">
        <f t="shared" si="2267"/>
        <v>1</v>
      </c>
      <c r="FN382" s="664" t="s">
        <v>275</v>
      </c>
      <c r="FS382" s="217"/>
    </row>
    <row r="383" spans="1:175" s="10" customFormat="1" ht="15" hidden="1" customHeight="1" x14ac:dyDescent="0.3">
      <c r="A383" s="665" t="s">
        <v>180</v>
      </c>
      <c r="V383" s="217">
        <v>62</v>
      </c>
      <c r="X383" s="179">
        <f>SUMIF($D$5:$D$319,"=has",X5:X319)*HLOOKUP(AC322,Verteil_sw,22,FALSE)+SUMIF($D$5:$D$319,"=ham",X5:X319)*HLOOKUP(AC322,Verteil_sw,23,FALSE)+SUMIF($D$5:$D$319,"=har",X5:X319)*HLOOKUP(AC322,Verteil_sw,24,FALSE)+SUMIF($D$5:$D$319,"=haz",X5:X319)*HLOOKUP(AC322,Verteil_sw,25,FALSE)</f>
        <v>0</v>
      </c>
      <c r="Z383" s="179">
        <f>SUMIF($D$5:$D$319,"=has",Z5:Z319)*HLOOKUP(AC322,Verteil_sw,22,FALSE)+SUMIF($D$5:$D$319,"=ham",Z5:Z319)*HLOOKUP(AC322,Verteil_sw,23,FALSE)+SUMIF($D$5:$D$319,"=har",Z5:Z319)*HLOOKUP(AC322,Verteil_sw,24,FALSE)+SUMIF($D$5:$D$319,"=haz",Z5:Z319)*HLOOKUP(AC322,Verteil_sw,25,FALSE)</f>
        <v>0</v>
      </c>
      <c r="AB383" s="102">
        <f t="shared" ref="AB383" si="2280">IF(AC382&lt;&gt;0,AC383/AC382,0)</f>
        <v>0.58357609891888396</v>
      </c>
      <c r="AC383" s="179">
        <f>ROUND(AE383*HLOOKUP(AC322,Grund_zins,2,FALSE),2)</f>
        <v>18930.45</v>
      </c>
      <c r="AD383" s="179">
        <f>SUMIF($D$5:$D$319,"=has",AD5:AD319)*HLOOKUP(AC322,Verteil_sw,22,FALSE)+SUMIF($D$5:$D$319,"=ham",AD5:AD319)*HLOOKUP(AC322,Verteil_sw,23,FALSE)+SUMIF($D$5:$D$319,"=har",AD5:AD319)*HLOOKUP(AC322,Verteil_sw,24,FALSE)+SUMIF($D$5:$D$319,"=haz",AD5:AD319)*HLOOKUP(AC322,Verteil_sw,25,FALSE)</f>
        <v>14100</v>
      </c>
      <c r="AE383" s="179">
        <f t="shared" si="2009"/>
        <v>540870</v>
      </c>
      <c r="AF383" s="179">
        <f>SUMIF($D$5:$D$319,"=has",AF5:AF319)*HLOOKUP(AC322,Verteil_sw,22,FALSE)+SUMIF($D$5:$D$319,"=ham",AF5:AF319)*HLOOKUP(AC322,Verteil_sw,23,FALSE)+SUMIF($D$5:$D$319,"=har",AF5:AF319)*HLOOKUP(AC322,Verteil_sw,24,FALSE)+SUMIF($D$5:$D$319,"=haz",AF5:AF319)*HLOOKUP(AC322,Verteil_sw,25,FALSE)</f>
        <v>533820</v>
      </c>
      <c r="AG383" s="102">
        <f t="shared" ref="AG383" si="2281">IF(AF382&lt;&gt;0,AF383/AF382,0)</f>
        <v>0.58369690011481057</v>
      </c>
      <c r="AH383" s="665" t="s">
        <v>180</v>
      </c>
      <c r="AM383" s="217"/>
      <c r="AO383" s="179">
        <f>SUMIF($D$5:$D$319,"=has",AO5:AO319)*HLOOKUP(AT322,Verteil_sw,22,FALSE)+SUMIF($D$5:$D$319,"=ham",AO5:AO319)*HLOOKUP(AT322,Verteil_sw,23,FALSE)+SUMIF($D$5:$D$319,"=har",AO5:AO319)*HLOOKUP(AT322,Verteil_sw,24,FALSE)+SUMIF($D$5:$D$319,"=haz",AO5:AO319)*HLOOKUP(AT322,Verteil_sw,25,FALSE)</f>
        <v>0</v>
      </c>
      <c r="AQ383" s="179">
        <f>SUMIF($D$5:$D$319,"=has",AQ5:AQ319)*HLOOKUP(AT322,Verteil_sw,22,FALSE)+SUMIF($D$5:$D$319,"=ham",AQ5:AQ319)*HLOOKUP(AT322,Verteil_sw,23,FALSE)+SUMIF($D$5:$D$319,"=har",AQ5:AQ319)*HLOOKUP(AT322,Verteil_sw,24,FALSE)+SUMIF($D$5:$D$319,"=haz",AQ5:AQ319)*HLOOKUP(AT322,Verteil_sw,25,FALSE)</f>
        <v>0</v>
      </c>
      <c r="AS383" s="102">
        <f t="shared" ref="AS383" si="2282">IF(AT382&lt;&gt;0,AT383/AT382,0)</f>
        <v>0.58382098683335548</v>
      </c>
      <c r="AT383" s="179">
        <f>ROUND(AV383*HLOOKUP(AT322,Grund_zins,2,FALSE),2)</f>
        <v>18436.95</v>
      </c>
      <c r="AU383" s="179">
        <f>SUMIF($D$5:$D$319,"=has",AU5:AU319)*HLOOKUP(AT322,Verteil_sw,22,FALSE)+SUMIF($D$5:$D$319,"=ham",AU5:AU319)*HLOOKUP(AT322,Verteil_sw,23,FALSE)+SUMIF($D$5:$D$319,"=har",AU5:AU319)*HLOOKUP(AT322,Verteil_sw,24,FALSE)+SUMIF($D$5:$D$319,"=haz",AU5:AU319)*HLOOKUP(AT322,Verteil_sw,25,FALSE)</f>
        <v>14100</v>
      </c>
      <c r="AV383" s="179">
        <f t="shared" si="1957"/>
        <v>526770</v>
      </c>
      <c r="AW383" s="179">
        <f>SUMIF($D$5:$D$319,"=has",AW5:AW319)*HLOOKUP(AT322,Verteil_sw,22,FALSE)+SUMIF($D$5:$D$319,"=ham",AW5:AW319)*HLOOKUP(AT322,Verteil_sw,23,FALSE)+SUMIF($D$5:$D$319,"=har",AW5:AW319)*HLOOKUP(AT322,Verteil_sw,24,FALSE)+SUMIF($D$5:$D$319,"=haz",AW5:AW319)*HLOOKUP(AT322,Verteil_sw,25,FALSE)</f>
        <v>519720</v>
      </c>
      <c r="AX383" s="102">
        <f t="shared" ref="AX383" si="2283">IF(AW382&lt;&gt;0,AW383/AW382,0)</f>
        <v>0.58394849496073076</v>
      </c>
      <c r="AY383" s="665" t="s">
        <v>180</v>
      </c>
      <c r="BD383" s="217"/>
      <c r="BF383" s="179">
        <f>SUMIF($D$5:$D$319,"=has",BF5:BF319)*HLOOKUP(BK322,Verteil_sw,22,FALSE)+SUMIF($D$5:$D$319,"=ham",BF5:BF319)*HLOOKUP(BK322,Verteil_sw,23,FALSE)+SUMIF($D$5:$D$319,"=har",BF5:BF319)*HLOOKUP(BK322,Verteil_sw,24,FALSE)+SUMIF($D$5:$D$319,"=haz",BF5:BF319)*HLOOKUP(BK322,Verteil_sw,25,FALSE)</f>
        <v>0</v>
      </c>
      <c r="BH383" s="179">
        <f>SUMIF($D$5:$D$319,"=has",BH5:BH319)*HLOOKUP(BK322,Verteil_sw,22,FALSE)+SUMIF($D$5:$D$319,"=ham",BH5:BH319)*HLOOKUP(BK322,Verteil_sw,23,FALSE)+SUMIF($D$5:$D$319,"=har",BH5:BH319)*HLOOKUP(BK322,Verteil_sw,24,FALSE)+SUMIF($D$5:$D$319,"=haz",BH5:BH319)*HLOOKUP(BK322,Verteil_sw,25,FALSE)</f>
        <v>0</v>
      </c>
      <c r="BJ383" s="102">
        <f t="shared" ref="BJ383" si="2284">IF(BK382&lt;&gt;0,BK383/BK382,0)</f>
        <v>0.58407956798140681</v>
      </c>
      <c r="BK383" s="179">
        <f>ROUND(BM383*HLOOKUP(BK322,Grund_zins,2,FALSE),2)</f>
        <v>17943.45</v>
      </c>
      <c r="BL383" s="179">
        <f>SUMIF($D$5:$D$319,"=has",BL5:BL319)*HLOOKUP(BK322,Verteil_sw,22,FALSE)+SUMIF($D$5:$D$319,"=ham",BL5:BL319)*HLOOKUP(BK322,Verteil_sw,23,FALSE)+SUMIF($D$5:$D$319,"=har",BL5:BL319)*HLOOKUP(BK322,Verteil_sw,24,FALSE)+SUMIF($D$5:$D$319,"=haz",BL5:BL319)*HLOOKUP(BK322,Verteil_sw,25,FALSE)</f>
        <v>14100</v>
      </c>
      <c r="BM383" s="179">
        <f t="shared" si="1964"/>
        <v>512670</v>
      </c>
      <c r="BN383" s="179">
        <f>SUMIF($D$5:$D$319,"=has",BN5:BN319)*HLOOKUP(BK322,Verteil_sw,22,FALSE)+SUMIF($D$5:$D$319,"=ham",BN5:BN319)*HLOOKUP(BK322,Verteil_sw,23,FALSE)+SUMIF($D$5:$D$319,"=har",BN5:BN319)*HLOOKUP(BK322,Verteil_sw,24,FALSE)+SUMIF($D$5:$D$319,"=haz",BN5:BN319)*HLOOKUP(BK322,Verteil_sw,25,FALSE)</f>
        <v>505620</v>
      </c>
      <c r="BO383" s="102">
        <f t="shared" ref="BO383" si="2285">IF(BN382&lt;&gt;0,BN383/BN382,0)</f>
        <v>0.58421435751672501</v>
      </c>
      <c r="BP383" s="665" t="s">
        <v>180</v>
      </c>
      <c r="BU383" s="217"/>
      <c r="BW383" s="179">
        <f>SUMIF($D$5:$D$319,"=has",BW5:BW319)*HLOOKUP(CB322,Verteil_sw,22,FALSE)+SUMIF($D$5:$D$319,"=ham",BW5:BW319)*HLOOKUP(CB322,Verteil_sw,23,FALSE)+SUMIF($D$5:$D$319,"=har",BW5:BW319)*HLOOKUP(CB322,Verteil_sw,24,FALSE)+SUMIF($D$5:$D$319,"=haz",BW5:BW319)*HLOOKUP(CB322,Verteil_sw,25,FALSE)</f>
        <v>0</v>
      </c>
      <c r="BY383" s="179">
        <f>SUMIF($D$5:$D$319,"=has",BY5:BY319)*HLOOKUP(CB322,Verteil_sw,22,FALSE)+SUMIF($D$5:$D$319,"=ham",BY5:BY319)*HLOOKUP(CB322,Verteil_sw,23,FALSE)+SUMIF($D$5:$D$319,"=har",BY5:BY319)*HLOOKUP(CB322,Verteil_sw,24,FALSE)+SUMIF($D$5:$D$319,"=haz",BY5:BY319)*HLOOKUP(CB322,Verteil_sw,25,FALSE)</f>
        <v>0</v>
      </c>
      <c r="CA383" s="102">
        <f t="shared" ref="CA383" si="2286">IF(CB382&lt;&gt;0,CB383/CB382,0)</f>
        <v>0.584353023909986</v>
      </c>
      <c r="CB383" s="179">
        <f>ROUND(CD383*HLOOKUP(CB322,Grund_zins,2,FALSE),2)</f>
        <v>17449.95</v>
      </c>
      <c r="CC383" s="179">
        <f>SUMIF($D$5:$D$319,"=has",CC5:CC319)*HLOOKUP(CB322,Verteil_sw,22,FALSE)+SUMIF($D$5:$D$319,"=ham",CC5:CC319)*HLOOKUP(CB322,Verteil_sw,23,FALSE)+SUMIF($D$5:$D$319,"=har",CC5:CC319)*HLOOKUP(CB322,Verteil_sw,24,FALSE)+SUMIF($D$5:$D$319,"=haz",CC5:CC319)*HLOOKUP(CB322,Verteil_sw,25,FALSE)</f>
        <v>14100</v>
      </c>
      <c r="CD383" s="179">
        <f t="shared" si="1971"/>
        <v>498570</v>
      </c>
      <c r="CE383" s="179">
        <f>SUMIF($D$5:$D$319,"=has",CE5:CE319)*HLOOKUP(CB322,Verteil_sw,22,FALSE)+SUMIF($D$5:$D$319,"=ham",CE5:CE319)*HLOOKUP(CB322,Verteil_sw,23,FALSE)+SUMIF($D$5:$D$319,"=har",CE5:CE319)*HLOOKUP(CB322,Verteil_sw,24,FALSE)+SUMIF($D$5:$D$319,"=haz",CE5:CE319)*HLOOKUP(CB322,Verteil_sw,25,FALSE)</f>
        <v>491520</v>
      </c>
      <c r="CF383" s="102">
        <f t="shared" ref="CF383" si="2287">IF(CE382&lt;&gt;0,CE383/CE382,0)</f>
        <v>0.58449573686275913</v>
      </c>
      <c r="CG383" s="665" t="s">
        <v>180</v>
      </c>
      <c r="CL383" s="217"/>
      <c r="CN383" s="179">
        <f>SUMIF($D$5:$D$319,"=has",CN5:CN319)*HLOOKUP(CS322,Verteil_sw,22,FALSE)+SUMIF($D$5:$D$319,"=ham",CN5:CN319)*HLOOKUP(CS322,Verteil_sw,23,FALSE)+SUMIF($D$5:$D$319,"=har",CN5:CN319)*HLOOKUP(CS322,Verteil_sw,24,FALSE)+SUMIF($D$5:$D$319,"=haz",CN5:CN319)*HLOOKUP(CS322,Verteil_sw,25,FALSE)</f>
        <v>0</v>
      </c>
      <c r="CP383" s="179">
        <f>SUMIF($D$5:$D$319,"=has",CP5:CP319)*HLOOKUP(CS322,Verteil_sw,22,FALSE)+SUMIF($D$5:$D$319,"=ham",CP5:CP319)*HLOOKUP(CS322,Verteil_sw,23,FALSE)+SUMIF($D$5:$D$319,"=har",CP5:CP319)*HLOOKUP(CS322,Verteil_sw,24,FALSE)+SUMIF($D$5:$D$319,"=haz",CP5:CP319)*HLOOKUP(CS322,Verteil_sw,25,FALSE)</f>
        <v>0</v>
      </c>
      <c r="CR383" s="102">
        <f t="shared" ref="CR383" si="2288">IF(CS382&lt;&gt;0,CS383/CS382,0)</f>
        <v>0.58464267612772436</v>
      </c>
      <c r="CS383" s="179">
        <f>ROUND(CU383*HLOOKUP(CS322,Grund_zins,2,FALSE),2)</f>
        <v>16956.45</v>
      </c>
      <c r="CT383" s="179">
        <f>SUMIF($D$5:$D$319,"=has",CT5:CT319)*HLOOKUP(CS322,Verteil_sw,22,FALSE)+SUMIF($D$5:$D$319,"=ham",CT5:CT319)*HLOOKUP(CS322,Verteil_sw,23,FALSE)+SUMIF($D$5:$D$319,"=har",CT5:CT319)*HLOOKUP(CS322,Verteil_sw,24,FALSE)+SUMIF($D$5:$D$319,"=haz",CT5:CT319)*HLOOKUP(CS322,Verteil_sw,25,FALSE)</f>
        <v>14100</v>
      </c>
      <c r="CU383" s="179">
        <f t="shared" si="1978"/>
        <v>484470</v>
      </c>
      <c r="CV383" s="179">
        <f>SUMIF($D$5:$D$319,"=has",CV5:CV319)*HLOOKUP(CS322,Verteil_sw,22,FALSE)+SUMIF($D$5:$D$319,"=ham",CV5:CV319)*HLOOKUP(CS322,Verteil_sw,23,FALSE)+SUMIF($D$5:$D$319,"=har",CV5:CV319)*HLOOKUP(CS322,Verteil_sw,24,FALSE)+SUMIF($D$5:$D$319,"=haz",CV5:CV319)*HLOOKUP(CS322,Verteil_sw,25,FALSE)</f>
        <v>477420</v>
      </c>
      <c r="CW383" s="102">
        <f t="shared" ref="CW383" si="2289">IF(CV382&lt;&gt;0,CV383/CV382,0)</f>
        <v>0.58479403226399151</v>
      </c>
      <c r="CX383" s="665" t="s">
        <v>180</v>
      </c>
      <c r="DC383" s="217"/>
      <c r="DE383" s="179">
        <f>SUMIF($D$5:$D$319,"=has",DE5:DE319)*HLOOKUP(DJ322,Verteil_sw,22,FALSE)+SUMIF($D$5:$D$319,"=ham",DE5:DE319)*HLOOKUP(DJ322,Verteil_sw,23,FALSE)+SUMIF($D$5:$D$319,"=har",DE5:DE319)*HLOOKUP(DJ322,Verteil_sw,24,FALSE)+SUMIF($D$5:$D$319,"=haz",DE5:DE319)*HLOOKUP(DJ322,Verteil_sw,25,FALSE)</f>
        <v>0</v>
      </c>
      <c r="DG383" s="179">
        <f>SUMIF($D$5:$D$319,"=has",DG5:DG319)*HLOOKUP(DJ322,Verteil_sw,22,FALSE)+SUMIF($D$5:$D$319,"=ham",DG5:DG319)*HLOOKUP(DJ322,Verteil_sw,23,FALSE)+SUMIF($D$5:$D$319,"=har",DG5:DG319)*HLOOKUP(DJ322,Verteil_sw,24,FALSE)+SUMIF($D$5:$D$319,"=haz",DG5:DG319)*HLOOKUP(DJ322,Verteil_sw,25,FALSE)</f>
        <v>0</v>
      </c>
      <c r="DI383" s="102">
        <f t="shared" ref="DI383" si="2290">IF(DJ382&lt;&gt;0,DJ383/DJ382,0)</f>
        <v>0.584950007461573</v>
      </c>
      <c r="DJ383" s="179">
        <f>ROUND(DL383*HLOOKUP(DJ322,Grund_zins,2,FALSE),2)</f>
        <v>14111.1</v>
      </c>
      <c r="DK383" s="179">
        <f>SUMIF($D$5:$D$319,"=has",DK5:DK319)*HLOOKUP(DJ322,Verteil_sw,22,FALSE)+SUMIF($D$5:$D$319,"=ham",DK5:DK319)*HLOOKUP(DJ322,Verteil_sw,23,FALSE)+SUMIF($D$5:$D$319,"=har",DK5:DK319)*HLOOKUP(DJ322,Verteil_sw,24,FALSE)+SUMIF($D$5:$D$319,"=haz",DK5:DK319)*HLOOKUP(DJ322,Verteil_sw,25,FALSE)</f>
        <v>14100</v>
      </c>
      <c r="DL383" s="179">
        <f t="shared" si="1985"/>
        <v>470370</v>
      </c>
      <c r="DM383" s="179">
        <f>SUMIF($D$5:$D$319,"=has",DM5:DM319)*HLOOKUP(DJ322,Verteil_sw,22,FALSE)+SUMIF($D$5:$D$319,"=ham",DM5:DM319)*HLOOKUP(DJ322,Verteil_sw,23,FALSE)+SUMIF($D$5:$D$319,"=har",DM5:DM319)*HLOOKUP(DJ322,Verteil_sw,24,FALSE)+SUMIF($D$5:$D$319,"=haz",DM5:DM319)*HLOOKUP(DJ322,Verteil_sw,25,FALSE)</f>
        <v>463320</v>
      </c>
      <c r="DN383" s="102">
        <f t="shared" ref="DN383" si="2291">IF(DM382&lt;&gt;0,DM383/DM382,0)</f>
        <v>0.58511081644250806</v>
      </c>
      <c r="DO383" s="665" t="s">
        <v>180</v>
      </c>
      <c r="DT383" s="217"/>
      <c r="DV383" s="179">
        <f>SUMIF($D$5:$D$319,"=has",DV5:DV319)*HLOOKUP(EA322,Verteil_sw,22,FALSE)+SUMIF($D$5:$D$319,"=ham",DV5:DV319)*HLOOKUP(EA322,Verteil_sw,23,FALSE)+SUMIF($D$5:$D$319,"=har",DV5:DV319)*HLOOKUP(EA322,Verteil_sw,24,FALSE)+SUMIF($D$5:$D$319,"=haz",DV5:DV319)*HLOOKUP(EA322,Verteil_sw,25,FALSE)</f>
        <v>0</v>
      </c>
      <c r="DX383" s="179">
        <f>SUMIF($D$5:$D$319,"=has",DX5:DX319)*HLOOKUP(EA322,Verteil_sw,22,FALSE)+SUMIF($D$5:$D$319,"=ham",DX5:DX319)*HLOOKUP(EA322,Verteil_sw,23,FALSE)+SUMIF($D$5:$D$319,"=har",DX5:DX319)*HLOOKUP(EA322,Verteil_sw,24,FALSE)+SUMIF($D$5:$D$319,"=haz",DX5:DX319)*HLOOKUP(EA322,Verteil_sw,25,FALSE)</f>
        <v>0</v>
      </c>
      <c r="DZ383" s="102">
        <f t="shared" ref="DZ383" si="2292">IF(EA382&lt;&gt;0,EA383/EA382,0)</f>
        <v>0.58527668744708683</v>
      </c>
      <c r="EA383" s="179">
        <f>ROUND(EC383*HLOOKUP(EA322,Grund_zins,2,FALSE),2)</f>
        <v>13688.1</v>
      </c>
      <c r="EB383" s="179">
        <f>SUMIF($D$5:$D$319,"=has",EB5:EB319)*HLOOKUP(EA322,Verteil_sw,22,FALSE)+SUMIF($D$5:$D$319,"=ham",EB5:EB319)*HLOOKUP(EA322,Verteil_sw,23,FALSE)+SUMIF($D$5:$D$319,"=har",EB5:EB319)*HLOOKUP(EA322,Verteil_sw,24,FALSE)+SUMIF($D$5:$D$319,"=haz",EB5:EB319)*HLOOKUP(EA322,Verteil_sw,25,FALSE)</f>
        <v>14100</v>
      </c>
      <c r="EC383" s="179">
        <f t="shared" si="1992"/>
        <v>456270</v>
      </c>
      <c r="ED383" s="179">
        <f>SUMIF($D$5:$D$319,"=has",ED5:ED319)*HLOOKUP(EA322,Verteil_sw,22,FALSE)+SUMIF($D$5:$D$319,"=ham",ED5:ED319)*HLOOKUP(EA322,Verteil_sw,23,FALSE)+SUMIF($D$5:$D$319,"=har",ED5:ED319)*HLOOKUP(EA322,Verteil_sw,24,FALSE)+SUMIF($D$5:$D$319,"=haz",ED5:ED319)*HLOOKUP(EA322,Verteil_sw,25,FALSE)</f>
        <v>449220</v>
      </c>
      <c r="EE383" s="102">
        <f t="shared" ref="EE383" si="2293">IF(ED382&lt;&gt;0,ED383/ED382,0)</f>
        <v>0.58544786331469678</v>
      </c>
      <c r="EF383" s="665" t="s">
        <v>180</v>
      </c>
      <c r="EK383" s="217"/>
      <c r="EM383" s="179">
        <f>SUMIF($D$5:$D$319,"=has",EM5:EM319)*HLOOKUP(ER322,Verteil_sw,22,FALSE)+SUMIF($D$5:$D$319,"=ham",EM5:EM319)*HLOOKUP(ER322,Verteil_sw,23,FALSE)+SUMIF($D$5:$D$319,"=har",EM5:EM319)*HLOOKUP(ER322,Verteil_sw,24,FALSE)+SUMIF($D$5:$D$319,"=haz",EM5:EM319)*HLOOKUP(ER322,Verteil_sw,25,FALSE)</f>
        <v>0</v>
      </c>
      <c r="EO383" s="179">
        <f>SUMIF($D$5:$D$319,"=has",EO5:EO319)*HLOOKUP(ER322,Verteil_sw,22,FALSE)+SUMIF($D$5:$D$319,"=ham",EO5:EO319)*HLOOKUP(ER322,Verteil_sw,23,FALSE)+SUMIF($D$5:$D$319,"=har",EO5:EO319)*HLOOKUP(ER322,Verteil_sw,24,FALSE)+SUMIF($D$5:$D$319,"=haz",EO5:EO319)*HLOOKUP(ER322,Verteil_sw,25,FALSE)</f>
        <v>0</v>
      </c>
      <c r="EQ383" s="102">
        <f t="shared" ref="EQ383" si="2294">IF(ER382&lt;&gt;0,ER383/ER382,0)</f>
        <v>0.58562460267005723</v>
      </c>
      <c r="ER383" s="179">
        <f>ROUND(ET383*HLOOKUP(ER322,Grund_zins,2,FALSE),2)</f>
        <v>13265.1</v>
      </c>
      <c r="ES383" s="179">
        <f>SUMIF($D$5:$D$319,"=has",ES5:ES319)*HLOOKUP(ER322,Verteil_sw,22,FALSE)+SUMIF($D$5:$D$319,"=ham",ES5:ES319)*HLOOKUP(ER322,Verteil_sw,23,FALSE)+SUMIF($D$5:$D$319,"=har",ES5:ES319)*HLOOKUP(ER322,Verteil_sw,24,FALSE)+SUMIF($D$5:$D$319,"=haz",ES5:ES319)*HLOOKUP(ER322,Verteil_sw,25,FALSE)</f>
        <v>14100</v>
      </c>
      <c r="ET383" s="179">
        <f t="shared" si="1999"/>
        <v>442170</v>
      </c>
      <c r="EU383" s="179">
        <f>SUMIF($D$5:$D$319,"=has",EU5:EU319)*HLOOKUP(ER322,Verteil_sw,22,FALSE)+SUMIF($D$5:$D$319,"=ham",EU5:EU319)*HLOOKUP(ER322,Verteil_sw,23,FALSE)+SUMIF($D$5:$D$319,"=har",EU5:EU319)*HLOOKUP(ER322,Verteil_sw,24,FALSE)+SUMIF($D$5:$D$319,"=haz",EU5:EU319)*HLOOKUP(ER322,Verteil_sw,25,FALSE)</f>
        <v>435120</v>
      </c>
      <c r="EV383" s="102">
        <f t="shared" ref="EV383" si="2295">IF(EU382&lt;&gt;0,EU383/EU382,0)</f>
        <v>0.58580718122702857</v>
      </c>
      <c r="EW383" s="665" t="s">
        <v>180</v>
      </c>
      <c r="FB383" s="217"/>
      <c r="FD383" s="179">
        <f>SUMIF($D$5:$D$319,"=has",FD5:FD319)*HLOOKUP(FI322,Verteil_sw,22,FALSE)+SUMIF($D$5:$D$319,"=ham",FD5:FD319)*HLOOKUP(FI322,Verteil_sw,23,FALSE)+SUMIF($D$5:$D$319,"=har",FD5:FD319)*HLOOKUP(FI322,Verteil_sw,24,FALSE)+SUMIF($D$5:$D$319,"=haz",FD5:FD319)*HLOOKUP(FI322,Verteil_sw,25,FALSE)</f>
        <v>0</v>
      </c>
      <c r="FF383" s="179">
        <f>SUMIF($D$5:$D$319,"=has",FF5:FF319)*HLOOKUP(FI322,Verteil_sw,22,FALSE)+SUMIF($D$5:$D$319,"=ham",FF5:FF319)*HLOOKUP(FI322,Verteil_sw,23,FALSE)+SUMIF($D$5:$D$319,"=har",FF5:FF319)*HLOOKUP(FI322,Verteil_sw,24,FALSE)+SUMIF($D$5:$D$319,"=haz",FF5:FF319)*HLOOKUP(FI322,Verteil_sw,25,FALSE)</f>
        <v>0</v>
      </c>
      <c r="FH383" s="102">
        <f t="shared" ref="FH383" si="2296">IF(FI382&lt;&gt;0,FI383/FI382,0)</f>
        <v>0.58599589322381929</v>
      </c>
      <c r="FI383" s="179">
        <f>ROUND(FK383*HLOOKUP(FI322,Grund_zins,2,FALSE),2)</f>
        <v>12842.1</v>
      </c>
      <c r="FJ383" s="179">
        <f>SUMIF($D$5:$D$319,"=has",FJ5:FJ319)*HLOOKUP(FI322,Verteil_sw,22,FALSE)+SUMIF($D$5:$D$319,"=ham",FJ5:FJ319)*HLOOKUP(FI322,Verteil_sw,23,FALSE)+SUMIF($D$5:$D$319,"=har",FJ5:FJ319)*HLOOKUP(FI322,Verteil_sw,24,FALSE)+SUMIF($D$5:$D$319,"=haz",FJ5:FJ319)*HLOOKUP(FI322,Verteil_sw,25,FALSE)</f>
        <v>14100</v>
      </c>
      <c r="FK383" s="179">
        <f t="shared" si="2006"/>
        <v>428070</v>
      </c>
      <c r="FL383" s="179">
        <f>SUMIF($D$5:$D$319,"=has",FL5:FL319)*HLOOKUP(FI322,Verteil_sw,22,FALSE)+SUMIF($D$5:$D$319,"=ham",FL5:FL319)*HLOOKUP(FI322,Verteil_sw,23,FALSE)+SUMIF($D$5:$D$319,"=har",FL5:FL319)*HLOOKUP(FI322,Verteil_sw,24,FALSE)+SUMIF($D$5:$D$319,"=haz",FL5:FL319)*HLOOKUP(FI322,Verteil_sw,25,FALSE)</f>
        <v>421020</v>
      </c>
      <c r="FM383" s="102">
        <f t="shared" ref="FM383" si="2297">IF(FL382&lt;&gt;0,FL383/FL382,0)</f>
        <v>0.58619105300530472</v>
      </c>
      <c r="FN383" s="665" t="s">
        <v>180</v>
      </c>
      <c r="FS383" s="217"/>
    </row>
    <row r="384" spans="1:175" s="10" customFormat="1" ht="15" hidden="1" customHeight="1" x14ac:dyDescent="0.3">
      <c r="A384" s="665" t="s">
        <v>193</v>
      </c>
      <c r="V384" s="217">
        <v>63</v>
      </c>
      <c r="X384" s="179">
        <f>SUMIF($D$5:$D$319,"=has",X5:X319)*HLOOKUP(AC322,Verteil_rwgr,21,FALSE)+SUMIF($D$5:$D$319,"=ham",X5:X319)*HLOOKUP(AC322,Verteil_rwgr,22,FALSE)+SUMIF($D$5:$D$319,"=har",X5:X319)*HLOOKUP(AC322,Verteil_rwgr,23,FALSE)+SUMIF($D$5:$D$319,"=haz",X5:X319)*HLOOKUP(AC322,Verteil_rwgr,24,FALSE)</f>
        <v>0</v>
      </c>
      <c r="Z384" s="179">
        <f>SUMIF($D$5:$D$319,"=has",Z5:Z319)*HLOOKUP(AC322,Verteil_rwgr,21,FALSE)+SUMIF($D$5:$D$319,"=ham",Z5:Z319)*HLOOKUP(AC322,Verteil_rwgr,22,FALSE)+SUMIF($D$5:$D$319,"=har",Z5:Z319)*HLOOKUP(AC322,Verteil_rwgr,23,FALSE)+SUMIF($D$5:$D$319,"=haz",Z5:Z319)*HLOOKUP(AC322,Verteil_rwgr,24,FALSE)</f>
        <v>0</v>
      </c>
      <c r="AB384" s="102">
        <f t="shared" ref="AB384" si="2298">IF(AC382&lt;&gt;0,AC384/AC382,0)</f>
        <v>0.41642390108111604</v>
      </c>
      <c r="AC384" s="179">
        <f>ROUND(AE384*HLOOKUP(AC322,Grund_zins,2,FALSE),2)</f>
        <v>13508.25</v>
      </c>
      <c r="AD384" s="179">
        <f>SUMIF($D$5:$D$319,"=has",AD5:AD319)*HLOOKUP(AC322,Verteil_rwgr,21,FALSE)+SUMIF($D$5:$D$319,"=ham",AD5:AD319)*HLOOKUP(AC322,Verteil_rwgr,22,FALSE)+SUMIF($D$5:$D$319,"=har",AD5:AD319)*HLOOKUP(AC322,Verteil_rwgr,23,FALSE)+SUMIF($D$5:$D$319,"=haz",AD5:AD319)*HLOOKUP(AC322,Verteil_rwgr,24,FALSE)</f>
        <v>10440</v>
      </c>
      <c r="AE384" s="179">
        <f t="shared" si="2009"/>
        <v>385950</v>
      </c>
      <c r="AF384" s="179">
        <f>SUMIF($D$5:$D$319,"=has",AF5:AF319)*HLOOKUP(AC322,Verteil_rwgr,21,FALSE)+SUMIF($D$5:$D$319,"=ham",AF5:AF319)*HLOOKUP(AC322,Verteil_rwgr,22,FALSE)+SUMIF($D$5:$D$319,"=har",AF5:AF319)*HLOOKUP(AC322,Verteil_rwgr,23,FALSE)+SUMIF($D$5:$D$319,"=haz",AF5:AF319)*HLOOKUP(AC322,Verteil_rwgr,24,FALSE)</f>
        <v>380730</v>
      </c>
      <c r="AG384" s="102">
        <f t="shared" ref="AG384" si="2299">IF(AF382&lt;&gt;0,AF384/AF382,0)</f>
        <v>0.41630309988518943</v>
      </c>
      <c r="AH384" s="665" t="s">
        <v>193</v>
      </c>
      <c r="AM384" s="217"/>
      <c r="AO384" s="179">
        <f>SUMIF($D$5:$D$319,"=has",AO5:AO319)*HLOOKUP(AT322,Verteil_rwgr,21,FALSE)+SUMIF($D$5:$D$319,"=ham",AO5:AO319)*HLOOKUP(AT322,Verteil_rwgr,22,FALSE)+SUMIF($D$5:$D$319,"=har",AO5:AO319)*HLOOKUP(AT322,Verteil_rwgr,23,FALSE)+SUMIF($D$5:$D$319,"=haz",AO5:AO319)*HLOOKUP(AT322,Verteil_rwgr,24,FALSE)</f>
        <v>0</v>
      </c>
      <c r="AQ384" s="179">
        <f>SUMIF($D$5:$D$319,"=has",AQ5:AQ319)*HLOOKUP(AT322,Verteil_rwgr,21,FALSE)+SUMIF($D$5:$D$319,"=ham",AQ5:AQ319)*HLOOKUP(AT322,Verteil_rwgr,22,FALSE)+SUMIF($D$5:$D$319,"=har",AQ5:AQ319)*HLOOKUP(AT322,Verteil_rwgr,23,FALSE)+SUMIF($D$5:$D$319,"=haz",AQ5:AQ319)*HLOOKUP(AT322,Verteil_rwgr,24,FALSE)</f>
        <v>0</v>
      </c>
      <c r="AS384" s="102">
        <f t="shared" ref="AS384" si="2300">IF(AT382&lt;&gt;0,AT384/AT382,0)</f>
        <v>0.41617901316664452</v>
      </c>
      <c r="AT384" s="179">
        <f>ROUND(AV384*HLOOKUP(AT322,Grund_zins,2,FALSE),2)</f>
        <v>13142.85</v>
      </c>
      <c r="AU384" s="179">
        <f>SUMIF($D$5:$D$319,"=has",AU5:AU319)*HLOOKUP(AT322,Verteil_rwgr,21,FALSE)+SUMIF($D$5:$D$319,"=ham",AU5:AU319)*HLOOKUP(AT322,Verteil_rwgr,22,FALSE)+SUMIF($D$5:$D$319,"=har",AU5:AU319)*HLOOKUP(AT322,Verteil_rwgr,23,FALSE)+SUMIF($D$5:$D$319,"=haz",AU5:AU319)*HLOOKUP(AT322,Verteil_rwgr,24,FALSE)</f>
        <v>10440</v>
      </c>
      <c r="AV384" s="179">
        <f t="shared" si="1957"/>
        <v>375510</v>
      </c>
      <c r="AW384" s="179">
        <f>SUMIF($D$5:$D$319,"=has",AW5:AW319)*HLOOKUP(AT322,Verteil_rwgr,21,FALSE)+SUMIF($D$5:$D$319,"=ham",AW5:AW319)*HLOOKUP(AT322,Verteil_rwgr,22,FALSE)+SUMIF($D$5:$D$319,"=har",AW5:AW319)*HLOOKUP(AT322,Verteil_rwgr,23,FALSE)+SUMIF($D$5:$D$319,"=haz",AW5:AW319)*HLOOKUP(AT322,Verteil_rwgr,24,FALSE)</f>
        <v>370290</v>
      </c>
      <c r="AX384" s="102">
        <f t="shared" ref="AX384" si="2301">IF(AW382&lt;&gt;0,AW384/AW382,0)</f>
        <v>0.41605150503926924</v>
      </c>
      <c r="AY384" s="665" t="s">
        <v>193</v>
      </c>
      <c r="BD384" s="217"/>
      <c r="BF384" s="179">
        <f>SUMIF($D$5:$D$319,"=has",BF5:BF319)*HLOOKUP(BK322,Verteil_rwgr,21,FALSE)+SUMIF($D$5:$D$319,"=ham",BF5:BF319)*HLOOKUP(BK322,Verteil_rwgr,22,FALSE)+SUMIF($D$5:$D$319,"=har",BF5:BF319)*HLOOKUP(BK322,Verteil_rwgr,23,FALSE)+SUMIF($D$5:$D$319,"=haz",BF5:BF319)*HLOOKUP(BK322,Verteil_rwgr,24,FALSE)</f>
        <v>0</v>
      </c>
      <c r="BH384" s="179">
        <f>SUMIF($D$5:$D$319,"=has",BH5:BH319)*HLOOKUP(BK322,Verteil_rwgr,21,FALSE)+SUMIF($D$5:$D$319,"=ham",BH5:BH319)*HLOOKUP(BK322,Verteil_rwgr,22,FALSE)+SUMIF($D$5:$D$319,"=har",BH5:BH319)*HLOOKUP(BK322,Verteil_rwgr,23,FALSE)+SUMIF($D$5:$D$319,"=haz",BH5:BH319)*HLOOKUP(BK322,Verteil_rwgr,24,FALSE)</f>
        <v>0</v>
      </c>
      <c r="BJ384" s="102">
        <f t="shared" ref="BJ384" si="2302">IF(BK382&lt;&gt;0,BK384/BK382,0)</f>
        <v>0.41592043201859319</v>
      </c>
      <c r="BK384" s="179">
        <f>ROUND(BM384*HLOOKUP(BK322,Grund_zins,2,FALSE),2)</f>
        <v>12777.45</v>
      </c>
      <c r="BL384" s="179">
        <f>SUMIF($D$5:$D$319,"=has",BL5:BL319)*HLOOKUP(BK322,Verteil_rwgr,21,FALSE)+SUMIF($D$5:$D$319,"=ham",BL5:BL319)*HLOOKUP(BK322,Verteil_rwgr,22,FALSE)+SUMIF($D$5:$D$319,"=har",BL5:BL319)*HLOOKUP(BK322,Verteil_rwgr,23,FALSE)+SUMIF($D$5:$D$319,"=haz",BL5:BL319)*HLOOKUP(BK322,Verteil_rwgr,24,FALSE)</f>
        <v>10440</v>
      </c>
      <c r="BM384" s="179">
        <f t="shared" si="1964"/>
        <v>365070</v>
      </c>
      <c r="BN384" s="179">
        <f>SUMIF($D$5:$D$319,"=has",BN5:BN319)*HLOOKUP(BK322,Verteil_rwgr,21,FALSE)+SUMIF($D$5:$D$319,"=ham",BN5:BN319)*HLOOKUP(BK322,Verteil_rwgr,22,FALSE)+SUMIF($D$5:$D$319,"=har",BN5:BN319)*HLOOKUP(BK322,Verteil_rwgr,23,FALSE)+SUMIF($D$5:$D$319,"=haz",BN5:BN319)*HLOOKUP(BK322,Verteil_rwgr,24,FALSE)</f>
        <v>359850</v>
      </c>
      <c r="BO384" s="102">
        <f t="shared" ref="BO384" si="2303">IF(BN382&lt;&gt;0,BN384/BN382,0)</f>
        <v>0.41578564248327499</v>
      </c>
      <c r="BP384" s="665" t="s">
        <v>193</v>
      </c>
      <c r="BU384" s="217"/>
      <c r="BW384" s="179">
        <f>SUMIF($D$5:$D$319,"=has",BW5:BW319)*HLOOKUP(CB322,Verteil_rwgr,21,FALSE)+SUMIF($D$5:$D$319,"=ham",BW5:BW319)*HLOOKUP(CB322,Verteil_rwgr,22,FALSE)+SUMIF($D$5:$D$319,"=har",BW5:BW319)*HLOOKUP(CB322,Verteil_rwgr,23,FALSE)+SUMIF($D$5:$D$319,"=haz",BW5:BW319)*HLOOKUP(CB322,Verteil_rwgr,24,FALSE)</f>
        <v>0</v>
      </c>
      <c r="BY384" s="179">
        <f>SUMIF($D$5:$D$319,"=has",BY5:BY319)*HLOOKUP(CB322,Verteil_rwgr,21,FALSE)+SUMIF($D$5:$D$319,"=ham",BY5:BY319)*HLOOKUP(CB322,Verteil_rwgr,22,FALSE)+SUMIF($D$5:$D$319,"=har",BY5:BY319)*HLOOKUP(CB322,Verteil_rwgr,23,FALSE)+SUMIF($D$5:$D$319,"=haz",BY5:BY319)*HLOOKUP(CB322,Verteil_rwgr,24,FALSE)</f>
        <v>0</v>
      </c>
      <c r="CA384" s="102">
        <f t="shared" ref="CA384" si="2304">IF(CB382&lt;&gt;0,CB384/CB382,0)</f>
        <v>0.41564697609001405</v>
      </c>
      <c r="CB384" s="179">
        <f>ROUND(CD384*HLOOKUP(CB322,Grund_zins,2,FALSE),2)</f>
        <v>12412.05</v>
      </c>
      <c r="CC384" s="179">
        <f>SUMIF($D$5:$D$319,"=has",CC5:CC319)*HLOOKUP(CB322,Verteil_rwgr,21,FALSE)+SUMIF($D$5:$D$319,"=ham",CC5:CC319)*HLOOKUP(CB322,Verteil_rwgr,22,FALSE)+SUMIF($D$5:$D$319,"=har",CC5:CC319)*HLOOKUP(CB322,Verteil_rwgr,23,FALSE)+SUMIF($D$5:$D$319,"=haz",CC5:CC319)*HLOOKUP(CB322,Verteil_rwgr,24,FALSE)</f>
        <v>10440</v>
      </c>
      <c r="CD384" s="179">
        <f t="shared" si="1971"/>
        <v>354630</v>
      </c>
      <c r="CE384" s="179">
        <f>SUMIF($D$5:$D$319,"=has",CE5:CE319)*HLOOKUP(CB322,Verteil_rwgr,21,FALSE)+SUMIF($D$5:$D$319,"=ham",CE5:CE319)*HLOOKUP(CB322,Verteil_rwgr,22,FALSE)+SUMIF($D$5:$D$319,"=har",CE5:CE319)*HLOOKUP(CB322,Verteil_rwgr,23,FALSE)+SUMIF($D$5:$D$319,"=haz",CE5:CE319)*HLOOKUP(CB322,Verteil_rwgr,24,FALSE)</f>
        <v>349410</v>
      </c>
      <c r="CF384" s="102">
        <f t="shared" ref="CF384" si="2305">IF(CE382&lt;&gt;0,CE384/CE382,0)</f>
        <v>0.41550426313724093</v>
      </c>
      <c r="CG384" s="665" t="s">
        <v>193</v>
      </c>
      <c r="CL384" s="217"/>
      <c r="CN384" s="179">
        <f>SUMIF($D$5:$D$319,"=has",CN5:CN319)*HLOOKUP(CS322,Verteil_rwgr,21,FALSE)+SUMIF($D$5:$D$319,"=ham",CN5:CN319)*HLOOKUP(CS322,Verteil_rwgr,22,FALSE)+SUMIF($D$5:$D$319,"=har",CN5:CN319)*HLOOKUP(CS322,Verteil_rwgr,23,FALSE)+SUMIF($D$5:$D$319,"=haz",CN5:CN319)*HLOOKUP(CS322,Verteil_rwgr,24,FALSE)</f>
        <v>0</v>
      </c>
      <c r="CP384" s="179">
        <f>SUMIF($D$5:$D$319,"=has",CP5:CP319)*HLOOKUP(CS322,Verteil_rwgr,21,FALSE)+SUMIF($D$5:$D$319,"=ham",CP5:CP319)*HLOOKUP(CS322,Verteil_rwgr,22,FALSE)+SUMIF($D$5:$D$319,"=har",CP5:CP319)*HLOOKUP(CS322,Verteil_rwgr,23,FALSE)+SUMIF($D$5:$D$319,"=haz",CP5:CP319)*HLOOKUP(CS322,Verteil_rwgr,24,FALSE)</f>
        <v>0</v>
      </c>
      <c r="CR384" s="102">
        <f t="shared" ref="CR384" si="2306">IF(CS382&lt;&gt;0,CS384/CS382,0)</f>
        <v>0.41535732387227575</v>
      </c>
      <c r="CS384" s="179">
        <f>ROUND(CU384*HLOOKUP(CS322,Grund_zins,2,FALSE),2)</f>
        <v>12046.65</v>
      </c>
      <c r="CT384" s="179">
        <f>SUMIF($D$5:$D$319,"=has",CT5:CT319)*HLOOKUP(CS322,Verteil_rwgr,21,FALSE)+SUMIF($D$5:$D$319,"=ham",CT5:CT319)*HLOOKUP(CS322,Verteil_rwgr,22,FALSE)+SUMIF($D$5:$D$319,"=har",CT5:CT319)*HLOOKUP(CS322,Verteil_rwgr,23,FALSE)+SUMIF($D$5:$D$319,"=haz",CT5:CT319)*HLOOKUP(CS322,Verteil_rwgr,24,FALSE)</f>
        <v>10440</v>
      </c>
      <c r="CU384" s="179">
        <f t="shared" si="1978"/>
        <v>344190</v>
      </c>
      <c r="CV384" s="179">
        <f>SUMIF($D$5:$D$319,"=has",CV5:CV319)*HLOOKUP(CS322,Verteil_rwgr,21,FALSE)+SUMIF($D$5:$D$319,"=ham",CV5:CV319)*HLOOKUP(CS322,Verteil_rwgr,22,FALSE)+SUMIF($D$5:$D$319,"=har",CV5:CV319)*HLOOKUP(CS322,Verteil_rwgr,23,FALSE)+SUMIF($D$5:$D$319,"=haz",CV5:CV319)*HLOOKUP(CS322,Verteil_rwgr,24,FALSE)</f>
        <v>338970</v>
      </c>
      <c r="CW384" s="102">
        <f t="shared" ref="CW384" si="2307">IF(CV382&lt;&gt;0,CV384/CV382,0)</f>
        <v>0.41520596773600854</v>
      </c>
      <c r="CX384" s="665" t="s">
        <v>193</v>
      </c>
      <c r="DC384" s="217"/>
      <c r="DE384" s="179">
        <f>SUMIF($D$5:$D$319,"=has",DE5:DE319)*HLOOKUP(DJ322,Verteil_rwgr,21,FALSE)+SUMIF($D$5:$D$319,"=ham",DE5:DE319)*HLOOKUP(DJ322,Verteil_rwgr,22,FALSE)+SUMIF($D$5:$D$319,"=har",DE5:DE319)*HLOOKUP(DJ322,Verteil_rwgr,23,FALSE)+SUMIF($D$5:$D$319,"=haz",DE5:DE319)*HLOOKUP(DJ322,Verteil_rwgr,24,FALSE)</f>
        <v>0</v>
      </c>
      <c r="DG384" s="179">
        <f>SUMIF($D$5:$D$319,"=has",DG5:DG319)*HLOOKUP(DJ322,Verteil_rwgr,21,FALSE)+SUMIF($D$5:$D$319,"=ham",DG5:DG319)*HLOOKUP(DJ322,Verteil_rwgr,22,FALSE)+SUMIF($D$5:$D$319,"=har",DG5:DG319)*HLOOKUP(DJ322,Verteil_rwgr,23,FALSE)+SUMIF($D$5:$D$319,"=haz",DG5:DG319)*HLOOKUP(DJ322,Verteil_rwgr,24,FALSE)</f>
        <v>0</v>
      </c>
      <c r="DI384" s="102">
        <f t="shared" ref="DI384" si="2308">IF(DJ382&lt;&gt;0,DJ384/DJ382,0)</f>
        <v>0.41504999253842711</v>
      </c>
      <c r="DJ384" s="179">
        <f>ROUND(DL384*HLOOKUP(DJ322,Grund_zins,2,FALSE),2)</f>
        <v>10012.5</v>
      </c>
      <c r="DK384" s="179">
        <f>SUMIF($D$5:$D$319,"=has",DK5:DK319)*HLOOKUP(DJ322,Verteil_rwgr,21,FALSE)+SUMIF($D$5:$D$319,"=ham",DK5:DK319)*HLOOKUP(DJ322,Verteil_rwgr,22,FALSE)+SUMIF($D$5:$D$319,"=har",DK5:DK319)*HLOOKUP(DJ322,Verteil_rwgr,23,FALSE)+SUMIF($D$5:$D$319,"=haz",DK5:DK319)*HLOOKUP(DJ322,Verteil_rwgr,24,FALSE)</f>
        <v>10440</v>
      </c>
      <c r="DL384" s="179">
        <f t="shared" si="1985"/>
        <v>333750</v>
      </c>
      <c r="DM384" s="179">
        <f>SUMIF($D$5:$D$319,"=has",DM5:DM319)*HLOOKUP(DJ322,Verteil_rwgr,21,FALSE)+SUMIF($D$5:$D$319,"=ham",DM5:DM319)*HLOOKUP(DJ322,Verteil_rwgr,22,FALSE)+SUMIF($D$5:$D$319,"=har",DM5:DM319)*HLOOKUP(DJ322,Verteil_rwgr,23,FALSE)+SUMIF($D$5:$D$319,"=haz",DM5:DM319)*HLOOKUP(DJ322,Verteil_rwgr,24,FALSE)</f>
        <v>328530</v>
      </c>
      <c r="DN384" s="102">
        <f t="shared" ref="DN384" si="2309">IF(DM382&lt;&gt;0,DM384/DM382,0)</f>
        <v>0.41488918355749194</v>
      </c>
      <c r="DO384" s="665" t="s">
        <v>193</v>
      </c>
      <c r="DT384" s="217"/>
      <c r="DV384" s="179">
        <f>SUMIF($D$5:$D$319,"=has",DV5:DV319)*HLOOKUP(EA322,Verteil_rwgr,21,FALSE)+SUMIF($D$5:$D$319,"=ham",DV5:DV319)*HLOOKUP(EA322,Verteil_rwgr,22,FALSE)+SUMIF($D$5:$D$319,"=har",DV5:DV319)*HLOOKUP(EA322,Verteil_rwgr,23,FALSE)+SUMIF($D$5:$D$319,"=haz",DV5:DV319)*HLOOKUP(EA322,Verteil_rwgr,24,FALSE)</f>
        <v>0</v>
      </c>
      <c r="DX384" s="179">
        <f>SUMIF($D$5:$D$319,"=has",DX5:DX319)*HLOOKUP(EA322,Verteil_rwgr,21,FALSE)+SUMIF($D$5:$D$319,"=ham",DX5:DX319)*HLOOKUP(EA322,Verteil_rwgr,22,FALSE)+SUMIF($D$5:$D$319,"=har",DX5:DX319)*HLOOKUP(EA322,Verteil_rwgr,23,FALSE)+SUMIF($D$5:$D$319,"=haz",DX5:DX319)*HLOOKUP(EA322,Verteil_rwgr,24,FALSE)</f>
        <v>0</v>
      </c>
      <c r="DZ384" s="102">
        <f t="shared" ref="DZ384" si="2310">IF(EA382&lt;&gt;0,EA384/EA382,0)</f>
        <v>0.41472331255291306</v>
      </c>
      <c r="EA384" s="179">
        <f>ROUND(EC384*HLOOKUP(EA322,Grund_zins,2,FALSE),2)</f>
        <v>9699.2999999999993</v>
      </c>
      <c r="EB384" s="179">
        <f>SUMIF($D$5:$D$319,"=has",EB5:EB319)*HLOOKUP(EA322,Verteil_rwgr,21,FALSE)+SUMIF($D$5:$D$319,"=ham",EB5:EB319)*HLOOKUP(EA322,Verteil_rwgr,22,FALSE)+SUMIF($D$5:$D$319,"=har",EB5:EB319)*HLOOKUP(EA322,Verteil_rwgr,23,FALSE)+SUMIF($D$5:$D$319,"=haz",EB5:EB319)*HLOOKUP(EA322,Verteil_rwgr,24,FALSE)</f>
        <v>10440</v>
      </c>
      <c r="EC384" s="179">
        <f t="shared" si="1992"/>
        <v>323310</v>
      </c>
      <c r="ED384" s="179">
        <f>SUMIF($D$5:$D$319,"=has",ED5:ED319)*HLOOKUP(EA322,Verteil_rwgr,21,FALSE)+SUMIF($D$5:$D$319,"=ham",ED5:ED319)*HLOOKUP(EA322,Verteil_rwgr,22,FALSE)+SUMIF($D$5:$D$319,"=har",ED5:ED319)*HLOOKUP(EA322,Verteil_rwgr,23,FALSE)+SUMIF($D$5:$D$319,"=haz",ED5:ED319)*HLOOKUP(EA322,Verteil_rwgr,24,FALSE)</f>
        <v>318090</v>
      </c>
      <c r="EE384" s="102">
        <f t="shared" ref="EE384" si="2311">IF(ED382&lt;&gt;0,ED384/ED382,0)</f>
        <v>0.41455213668530322</v>
      </c>
      <c r="EF384" s="665" t="s">
        <v>193</v>
      </c>
      <c r="EK384" s="217"/>
      <c r="EM384" s="179">
        <f>SUMIF($D$5:$D$319,"=has",EM5:EM319)*HLOOKUP(ER322,Verteil_rwgr,21,FALSE)+SUMIF($D$5:$D$319,"=ham",EM5:EM319)*HLOOKUP(ER322,Verteil_rwgr,22,FALSE)+SUMIF($D$5:$D$319,"=har",EM5:EM319)*HLOOKUP(ER322,Verteil_rwgr,23,FALSE)+SUMIF($D$5:$D$319,"=haz",EM5:EM319)*HLOOKUP(ER322,Verteil_rwgr,24,FALSE)</f>
        <v>0</v>
      </c>
      <c r="EO384" s="179">
        <f>SUMIF($D$5:$D$319,"=has",EO5:EO319)*HLOOKUP(ER322,Verteil_rwgr,21,FALSE)+SUMIF($D$5:$D$319,"=ham",EO5:EO319)*HLOOKUP(ER322,Verteil_rwgr,22,FALSE)+SUMIF($D$5:$D$319,"=har",EO5:EO319)*HLOOKUP(ER322,Verteil_rwgr,23,FALSE)+SUMIF($D$5:$D$319,"=haz",EO5:EO319)*HLOOKUP(ER322,Verteil_rwgr,24,FALSE)</f>
        <v>0</v>
      </c>
      <c r="EQ384" s="102">
        <f t="shared" ref="EQ384" si="2312">IF(ER382&lt;&gt;0,ER384/ER382,0)</f>
        <v>0.41437539732994277</v>
      </c>
      <c r="ER384" s="179">
        <f>ROUND(ET384*HLOOKUP(ER322,Grund_zins,2,FALSE),2)</f>
        <v>9386.1</v>
      </c>
      <c r="ES384" s="179">
        <f>SUMIF($D$5:$D$319,"=has",ES5:ES319)*HLOOKUP(ER322,Verteil_rwgr,21,FALSE)+SUMIF($D$5:$D$319,"=ham",ES5:ES319)*HLOOKUP(ER322,Verteil_rwgr,22,FALSE)+SUMIF($D$5:$D$319,"=har",ES5:ES319)*HLOOKUP(ER322,Verteil_rwgr,23,FALSE)+SUMIF($D$5:$D$319,"=haz",ES5:ES319)*HLOOKUP(ER322,Verteil_rwgr,24,FALSE)</f>
        <v>10440</v>
      </c>
      <c r="ET384" s="179">
        <f t="shared" si="1999"/>
        <v>312870</v>
      </c>
      <c r="EU384" s="179">
        <f>SUMIF($D$5:$D$319,"=has",EU5:EU319)*HLOOKUP(ER322,Verteil_rwgr,21,FALSE)+SUMIF($D$5:$D$319,"=ham",EU5:EU319)*HLOOKUP(ER322,Verteil_rwgr,22,FALSE)+SUMIF($D$5:$D$319,"=har",EU5:EU319)*HLOOKUP(ER322,Verteil_rwgr,23,FALSE)+SUMIF($D$5:$D$319,"=haz",EU5:EU319)*HLOOKUP(ER322,Verteil_rwgr,24,FALSE)</f>
        <v>307650</v>
      </c>
      <c r="EV384" s="102">
        <f t="shared" ref="EV384" si="2313">IF(EU382&lt;&gt;0,EU384/EU382,0)</f>
        <v>0.41419281877297143</v>
      </c>
      <c r="EW384" s="665" t="s">
        <v>193</v>
      </c>
      <c r="FB384" s="217"/>
      <c r="FD384" s="179">
        <f>SUMIF($D$5:$D$319,"=has",FD5:FD319)*HLOOKUP(FI322,Verteil_rwgr,21,FALSE)+SUMIF($D$5:$D$319,"=ham",FD5:FD319)*HLOOKUP(FI322,Verteil_rwgr,22,FALSE)+SUMIF($D$5:$D$319,"=har",FD5:FD319)*HLOOKUP(FI322,Verteil_rwgr,23,FALSE)+SUMIF($D$5:$D$319,"=haz",FD5:FD319)*HLOOKUP(FI322,Verteil_rwgr,24,FALSE)</f>
        <v>0</v>
      </c>
      <c r="FF384" s="179">
        <f>SUMIF($D$5:$D$319,"=has",FF5:FF319)*HLOOKUP(FI322,Verteil_rwgr,21,FALSE)+SUMIF($D$5:$D$319,"=ham",FF5:FF319)*HLOOKUP(FI322,Verteil_rwgr,22,FALSE)+SUMIF($D$5:$D$319,"=har",FF5:FF319)*HLOOKUP(FI322,Verteil_rwgr,23,FALSE)+SUMIF($D$5:$D$319,"=haz",FF5:FF319)*HLOOKUP(FI322,Verteil_rwgr,24,FALSE)</f>
        <v>0</v>
      </c>
      <c r="FH384" s="102">
        <f t="shared" ref="FH384" si="2314">IF(FI382&lt;&gt;0,FI384/FI382,0)</f>
        <v>0.41400410677618066</v>
      </c>
      <c r="FI384" s="179">
        <f>ROUND(FK384*HLOOKUP(FI322,Grund_zins,2,FALSE),2)</f>
        <v>9072.9</v>
      </c>
      <c r="FJ384" s="179">
        <f>SUMIF($D$5:$D$319,"=has",FJ5:FJ319)*HLOOKUP(FI322,Verteil_rwgr,21,FALSE)+SUMIF($D$5:$D$319,"=ham",FJ5:FJ319)*HLOOKUP(FI322,Verteil_rwgr,22,FALSE)+SUMIF($D$5:$D$319,"=har",FJ5:FJ319)*HLOOKUP(FI322,Verteil_rwgr,23,FALSE)+SUMIF($D$5:$D$319,"=haz",FJ5:FJ319)*HLOOKUP(FI322,Verteil_rwgr,24,FALSE)</f>
        <v>10440</v>
      </c>
      <c r="FK384" s="179">
        <f t="shared" si="2006"/>
        <v>302430</v>
      </c>
      <c r="FL384" s="179">
        <f>SUMIF($D$5:$D$319,"=has",FL5:FL319)*HLOOKUP(FI322,Verteil_rwgr,21,FALSE)+SUMIF($D$5:$D$319,"=ham",FL5:FL319)*HLOOKUP(FI322,Verteil_rwgr,22,FALSE)+SUMIF($D$5:$D$319,"=har",FL5:FL319)*HLOOKUP(FI322,Verteil_rwgr,23,FALSE)+SUMIF($D$5:$D$319,"=haz",FL5:FL319)*HLOOKUP(FI322,Verteil_rwgr,24,FALSE)</f>
        <v>297210</v>
      </c>
      <c r="FM384" s="102">
        <f t="shared" ref="FM384" si="2315">IF(FL382&lt;&gt;0,FL384/FL382,0)</f>
        <v>0.41380894699469528</v>
      </c>
      <c r="FN384" s="665" t="s">
        <v>193</v>
      </c>
      <c r="FS384" s="217"/>
    </row>
    <row r="385" spans="1:175" s="10" customFormat="1" ht="15" hidden="1" customHeight="1" x14ac:dyDescent="0.3">
      <c r="A385" s="665" t="s">
        <v>194</v>
      </c>
      <c r="V385" s="217">
        <v>64</v>
      </c>
      <c r="X385" s="179">
        <f>SUMIF($D$5:$D$319,"=has",X5:X319)*HLOOKUP(AC322,Verteil_rwst,20,FALSE)+SUMIF($D$5:$D$319,"=ham",X5:X319)*HLOOKUP(AC322,Verteil_rwst,21,FALSE)+SUMIF($D$5:$D$319,"=har",X5:X319)*HLOOKUP(AC322,Verteil_rwst,22,FALSE)+SUMIF($D$5:$D$319,"=haz",X5:X319)*HLOOKUP(AC322,Verteil_rwst,23,FALSE)</f>
        <v>0</v>
      </c>
      <c r="Z385" s="179">
        <f>SUMIF($D$5:$D$319,"=has",Z5:Z319)*HLOOKUP(AC322,Verteil_rwst,20,FALSE)+SUMIF($D$5:$D$319,"=ham",Z5:Z319)*HLOOKUP(AC322,Verteil_rwst,21,FALSE)+SUMIF($D$5:$D$319,"=har",Z5:Z319)*HLOOKUP(AC322,Verteil_rwst,22,FALSE)+SUMIF($D$5:$D$319,"=haz",Z5:Z319)*HLOOKUP(AC322,Verteil_rwst,23,FALSE)</f>
        <v>0</v>
      </c>
      <c r="AB385" s="102">
        <f t="shared" ref="AB385" si="2316">IF(AC382&lt;&gt;0,AC385/AC382,0)</f>
        <v>0</v>
      </c>
      <c r="AC385" s="179">
        <f>ROUND(AE385*HLOOKUP(AC322,Grund_zins,2,FALSE),2)</f>
        <v>0</v>
      </c>
      <c r="AD385" s="179">
        <f>SUMIF($D$5:$D$319,"=has",AD5:AD319)*HLOOKUP(AC322,Verteil_rwst,20,FALSE)+SUMIF($D$5:$D$319,"=ham",AD5:AD319)*HLOOKUP(AC322,Verteil_rwst,21,FALSE)+SUMIF($D$5:$D$319,"=har",AD5:AD319)*HLOOKUP(AC322,Verteil_rwst,22,FALSE)+SUMIF($D$5:$D$319,"=haz",AD5:AD319)*HLOOKUP(AC322,Verteil_rwst,23,FALSE)</f>
        <v>0</v>
      </c>
      <c r="AE385" s="179">
        <f t="shared" si="2009"/>
        <v>0</v>
      </c>
      <c r="AF385" s="179">
        <f>SUMIF($D$5:$D$319,"=has",AF5:AF319)*HLOOKUP(AC322,Verteil_rwst,20,FALSE)+SUMIF($D$5:$D$319,"=ham",AF5:AF319)*HLOOKUP(AC322,Verteil_rwst,21,FALSE)+SUMIF($D$5:$D$319,"=har",AF5:AF319)*HLOOKUP(AC322,Verteil_rwst,22,FALSE)+SUMIF($D$5:$D$319,"=haz",AF5:AF319)*HLOOKUP(AC322,Verteil_rwst,23,FALSE)</f>
        <v>0</v>
      </c>
      <c r="AG385" s="102">
        <f t="shared" ref="AG385" si="2317">IF(AF382&lt;&gt;0,AF385/AF382,0)</f>
        <v>0</v>
      </c>
      <c r="AH385" s="665" t="s">
        <v>194</v>
      </c>
      <c r="AM385" s="217"/>
      <c r="AO385" s="179">
        <f>SUMIF($D$5:$D$319,"=has",AO5:AO319)*HLOOKUP(AT322,Verteil_rwst,20,FALSE)+SUMIF($D$5:$D$319,"=ham",AO5:AO319)*HLOOKUP(AT322,Verteil_rwst,21,FALSE)+SUMIF($D$5:$D$319,"=har",AO5:AO319)*HLOOKUP(AT322,Verteil_rwst,22,FALSE)+SUMIF($D$5:$D$319,"=haz",AO5:AO319)*HLOOKUP(AT322,Verteil_rwst,23,FALSE)</f>
        <v>0</v>
      </c>
      <c r="AQ385" s="179">
        <f>SUMIF($D$5:$D$319,"=has",AQ5:AQ319)*HLOOKUP(AT322,Verteil_rwst,20,FALSE)+SUMIF($D$5:$D$319,"=ham",AQ5:AQ319)*HLOOKUP(AT322,Verteil_rwst,21,FALSE)+SUMIF($D$5:$D$319,"=har",AQ5:AQ319)*HLOOKUP(AT322,Verteil_rwst,22,FALSE)+SUMIF($D$5:$D$319,"=haz",AQ5:AQ319)*HLOOKUP(AT322,Verteil_rwst,23,FALSE)</f>
        <v>0</v>
      </c>
      <c r="AS385" s="102">
        <f t="shared" ref="AS385" si="2318">IF(AT382&lt;&gt;0,AT385/AT382,0)</f>
        <v>0</v>
      </c>
      <c r="AT385" s="179">
        <f>ROUND(AV385*HLOOKUP(AT322,Grund_zins,2,FALSE),2)</f>
        <v>0</v>
      </c>
      <c r="AU385" s="179">
        <f>SUMIF($D$5:$D$319,"=has",AU5:AU319)*HLOOKUP(AT322,Verteil_rwst,20,FALSE)+SUMIF($D$5:$D$319,"=ham",AU5:AU319)*HLOOKUP(AT322,Verteil_rwst,21,FALSE)+SUMIF($D$5:$D$319,"=har",AU5:AU319)*HLOOKUP(AT322,Verteil_rwst,22,FALSE)+SUMIF($D$5:$D$319,"=haz",AU5:AU319)*HLOOKUP(AT322,Verteil_rwst,23,FALSE)</f>
        <v>0</v>
      </c>
      <c r="AV385" s="179">
        <f t="shared" si="1957"/>
        <v>0</v>
      </c>
      <c r="AW385" s="179">
        <f>SUMIF($D$5:$D$319,"=has",AW5:AW319)*HLOOKUP(AT322,Verteil_rwst,20,FALSE)+SUMIF($D$5:$D$319,"=ham",AW5:AW319)*HLOOKUP(AT322,Verteil_rwst,21,FALSE)+SUMIF($D$5:$D$319,"=har",AW5:AW319)*HLOOKUP(AT322,Verteil_rwst,22,FALSE)+SUMIF($D$5:$D$319,"=haz",AW5:AW319)*HLOOKUP(AT322,Verteil_rwst,23,FALSE)</f>
        <v>0</v>
      </c>
      <c r="AX385" s="102">
        <f t="shared" ref="AX385" si="2319">IF(AW382&lt;&gt;0,AW385/AW382,0)</f>
        <v>0</v>
      </c>
      <c r="AY385" s="665" t="s">
        <v>194</v>
      </c>
      <c r="BD385" s="217"/>
      <c r="BF385" s="179">
        <f>SUMIF($D$5:$D$319,"=has",BF5:BF319)*HLOOKUP(BK322,Verteil_rwst,20,FALSE)+SUMIF($D$5:$D$319,"=ham",BF5:BF319)*HLOOKUP(BK322,Verteil_rwst,21,FALSE)+SUMIF($D$5:$D$319,"=har",BF5:BF319)*HLOOKUP(BK322,Verteil_rwst,22,FALSE)+SUMIF($D$5:$D$319,"=haz",BF5:BF319)*HLOOKUP(BK322,Verteil_rwst,23,FALSE)</f>
        <v>0</v>
      </c>
      <c r="BH385" s="179">
        <f>SUMIF($D$5:$D$319,"=has",BH5:BH319)*HLOOKUP(BK322,Verteil_rwst,20,FALSE)+SUMIF($D$5:$D$319,"=ham",BH5:BH319)*HLOOKUP(BK322,Verteil_rwst,21,FALSE)+SUMIF($D$5:$D$319,"=har",BH5:BH319)*HLOOKUP(BK322,Verteil_rwst,22,FALSE)+SUMIF($D$5:$D$319,"=haz",BH5:BH319)*HLOOKUP(BK322,Verteil_rwst,23,FALSE)</f>
        <v>0</v>
      </c>
      <c r="BJ385" s="102">
        <f t="shared" ref="BJ385" si="2320">IF(BK382&lt;&gt;0,BK385/BK382,0)</f>
        <v>0</v>
      </c>
      <c r="BK385" s="179">
        <f>ROUND(BM385*HLOOKUP(BK322,Grund_zins,2,FALSE),2)</f>
        <v>0</v>
      </c>
      <c r="BL385" s="179">
        <f>SUMIF($D$5:$D$319,"=has",BL5:BL319)*HLOOKUP(BK322,Verteil_rwst,20,FALSE)+SUMIF($D$5:$D$319,"=ham",BL5:BL319)*HLOOKUP(BK322,Verteil_rwst,21,FALSE)+SUMIF($D$5:$D$319,"=har",BL5:BL319)*HLOOKUP(BK322,Verteil_rwst,22,FALSE)+SUMIF($D$5:$D$319,"=haz",BL5:BL319)*HLOOKUP(BK322,Verteil_rwst,23,FALSE)</f>
        <v>0</v>
      </c>
      <c r="BM385" s="179">
        <f t="shared" si="1964"/>
        <v>0</v>
      </c>
      <c r="BN385" s="179">
        <f>SUMIF($D$5:$D$319,"=has",BN5:BN319)*HLOOKUP(BK322,Verteil_rwst,20,FALSE)+SUMIF($D$5:$D$319,"=ham",BN5:BN319)*HLOOKUP(BK322,Verteil_rwst,21,FALSE)+SUMIF($D$5:$D$319,"=har",BN5:BN319)*HLOOKUP(BK322,Verteil_rwst,22,FALSE)+SUMIF($D$5:$D$319,"=haz",BN5:BN319)*HLOOKUP(BK322,Verteil_rwst,23,FALSE)</f>
        <v>0</v>
      </c>
      <c r="BO385" s="102">
        <f t="shared" ref="BO385" si="2321">IF(BN382&lt;&gt;0,BN385/BN382,0)</f>
        <v>0</v>
      </c>
      <c r="BP385" s="665" t="s">
        <v>194</v>
      </c>
      <c r="BU385" s="217"/>
      <c r="BW385" s="179">
        <f>SUMIF($D$5:$D$319,"=has",BW5:BW319)*HLOOKUP(CB322,Verteil_rwst,20,FALSE)+SUMIF($D$5:$D$319,"=ham",BW5:BW319)*HLOOKUP(CB322,Verteil_rwst,21,FALSE)+SUMIF($D$5:$D$319,"=har",BW5:BW319)*HLOOKUP(CB322,Verteil_rwst,22,FALSE)+SUMIF($D$5:$D$319,"=haz",BW5:BW319)*HLOOKUP(CB322,Verteil_rwst,23,FALSE)</f>
        <v>0</v>
      </c>
      <c r="BY385" s="179">
        <f>SUMIF($D$5:$D$319,"=has",BY5:BY319)*HLOOKUP(CB322,Verteil_rwst,20,FALSE)+SUMIF($D$5:$D$319,"=ham",BY5:BY319)*HLOOKUP(CB322,Verteil_rwst,21,FALSE)+SUMIF($D$5:$D$319,"=har",BY5:BY319)*HLOOKUP(CB322,Verteil_rwst,22,FALSE)+SUMIF($D$5:$D$319,"=haz",BY5:BY319)*HLOOKUP(CB322,Verteil_rwst,23,FALSE)</f>
        <v>0</v>
      </c>
      <c r="CA385" s="102">
        <f t="shared" ref="CA385" si="2322">IF(CB382&lt;&gt;0,CB385/CB382,0)</f>
        <v>0</v>
      </c>
      <c r="CB385" s="179">
        <f>ROUND(CD385*HLOOKUP(CB322,Grund_zins,2,FALSE),2)</f>
        <v>0</v>
      </c>
      <c r="CC385" s="179">
        <f>SUMIF($D$5:$D$319,"=has",CC5:CC319)*HLOOKUP(CB322,Verteil_rwst,20,FALSE)+SUMIF($D$5:$D$319,"=ham",CC5:CC319)*HLOOKUP(CB322,Verteil_rwst,21,FALSE)+SUMIF($D$5:$D$319,"=har",CC5:CC319)*HLOOKUP(CB322,Verteil_rwst,22,FALSE)+SUMIF($D$5:$D$319,"=haz",CC5:CC319)*HLOOKUP(CB322,Verteil_rwst,23,FALSE)</f>
        <v>0</v>
      </c>
      <c r="CD385" s="179">
        <f t="shared" si="1971"/>
        <v>0</v>
      </c>
      <c r="CE385" s="179">
        <f>SUMIF($D$5:$D$319,"=has",CE5:CE319)*HLOOKUP(CB322,Verteil_rwst,20,FALSE)+SUMIF($D$5:$D$319,"=ham",CE5:CE319)*HLOOKUP(CB322,Verteil_rwst,21,FALSE)+SUMIF($D$5:$D$319,"=har",CE5:CE319)*HLOOKUP(CB322,Verteil_rwst,22,FALSE)+SUMIF($D$5:$D$319,"=haz",CE5:CE319)*HLOOKUP(CB322,Verteil_rwst,23,FALSE)</f>
        <v>0</v>
      </c>
      <c r="CF385" s="102">
        <f t="shared" ref="CF385" si="2323">IF(CE382&lt;&gt;0,CE385/CE382,0)</f>
        <v>0</v>
      </c>
      <c r="CG385" s="665" t="s">
        <v>194</v>
      </c>
      <c r="CL385" s="217"/>
      <c r="CN385" s="179">
        <f>SUMIF($D$5:$D$319,"=has",CN5:CN319)*HLOOKUP(CS322,Verteil_rwst,20,FALSE)+SUMIF($D$5:$D$319,"=ham",CN5:CN319)*HLOOKUP(CS322,Verteil_rwst,21,FALSE)+SUMIF($D$5:$D$319,"=har",CN5:CN319)*HLOOKUP(CS322,Verteil_rwst,22,FALSE)+SUMIF($D$5:$D$319,"=haz",CN5:CN319)*HLOOKUP(CS322,Verteil_rwst,23,FALSE)</f>
        <v>0</v>
      </c>
      <c r="CP385" s="179">
        <f>SUMIF($D$5:$D$319,"=has",CP5:CP319)*HLOOKUP(CS322,Verteil_rwst,20,FALSE)+SUMIF($D$5:$D$319,"=ham",CP5:CP319)*HLOOKUP(CS322,Verteil_rwst,21,FALSE)+SUMIF($D$5:$D$319,"=har",CP5:CP319)*HLOOKUP(CS322,Verteil_rwst,22,FALSE)+SUMIF($D$5:$D$319,"=haz",CP5:CP319)*HLOOKUP(CS322,Verteil_rwst,23,FALSE)</f>
        <v>0</v>
      </c>
      <c r="CR385" s="102">
        <f t="shared" ref="CR385" si="2324">IF(CS382&lt;&gt;0,CS385/CS382,0)</f>
        <v>0</v>
      </c>
      <c r="CS385" s="179">
        <f>ROUND(CU385*HLOOKUP(CS322,Grund_zins,2,FALSE),2)</f>
        <v>0</v>
      </c>
      <c r="CT385" s="179">
        <f>SUMIF($D$5:$D$319,"=has",CT5:CT319)*HLOOKUP(CS322,Verteil_rwst,20,FALSE)+SUMIF($D$5:$D$319,"=ham",CT5:CT319)*HLOOKUP(CS322,Verteil_rwst,21,FALSE)+SUMIF($D$5:$D$319,"=har",CT5:CT319)*HLOOKUP(CS322,Verteil_rwst,22,FALSE)+SUMIF($D$5:$D$319,"=haz",CT5:CT319)*HLOOKUP(CS322,Verteil_rwst,23,FALSE)</f>
        <v>0</v>
      </c>
      <c r="CU385" s="179">
        <f t="shared" si="1978"/>
        <v>0</v>
      </c>
      <c r="CV385" s="179">
        <f>SUMIF($D$5:$D$319,"=has",CV5:CV319)*HLOOKUP(CS322,Verteil_rwst,20,FALSE)+SUMIF($D$5:$D$319,"=ham",CV5:CV319)*HLOOKUP(CS322,Verteil_rwst,21,FALSE)+SUMIF($D$5:$D$319,"=har",CV5:CV319)*HLOOKUP(CS322,Verteil_rwst,22,FALSE)+SUMIF($D$5:$D$319,"=haz",CV5:CV319)*HLOOKUP(CS322,Verteil_rwst,23,FALSE)</f>
        <v>0</v>
      </c>
      <c r="CW385" s="102">
        <f t="shared" ref="CW385" si="2325">IF(CV382&lt;&gt;0,CV385/CV382,0)</f>
        <v>0</v>
      </c>
      <c r="CX385" s="665" t="s">
        <v>194</v>
      </c>
      <c r="DC385" s="217"/>
      <c r="DE385" s="179">
        <f>SUMIF($D$5:$D$319,"=has",DE5:DE319)*HLOOKUP(DJ322,Verteil_rwst,20,FALSE)+SUMIF($D$5:$D$319,"=ham",DE5:DE319)*HLOOKUP(DJ322,Verteil_rwst,21,FALSE)+SUMIF($D$5:$D$319,"=har",DE5:DE319)*HLOOKUP(DJ322,Verteil_rwst,22,FALSE)+SUMIF($D$5:$D$319,"=haz",DE5:DE319)*HLOOKUP(DJ322,Verteil_rwst,23,FALSE)</f>
        <v>0</v>
      </c>
      <c r="DG385" s="179">
        <f>SUMIF($D$5:$D$319,"=has",DG5:DG319)*HLOOKUP(DJ322,Verteil_rwst,20,FALSE)+SUMIF($D$5:$D$319,"=ham",DG5:DG319)*HLOOKUP(DJ322,Verteil_rwst,21,FALSE)+SUMIF($D$5:$D$319,"=har",DG5:DG319)*HLOOKUP(DJ322,Verteil_rwst,22,FALSE)+SUMIF($D$5:$D$319,"=haz",DG5:DG319)*HLOOKUP(DJ322,Verteil_rwst,23,FALSE)</f>
        <v>0</v>
      </c>
      <c r="DI385" s="102">
        <f t="shared" ref="DI385" si="2326">IF(DJ382&lt;&gt;0,DJ385/DJ382,0)</f>
        <v>0</v>
      </c>
      <c r="DJ385" s="179">
        <f>ROUND(DL385*HLOOKUP(DJ322,Grund_zins,2,FALSE),2)</f>
        <v>0</v>
      </c>
      <c r="DK385" s="179">
        <f>SUMIF($D$5:$D$319,"=has",DK5:DK319)*HLOOKUP(DJ322,Verteil_rwst,20,FALSE)+SUMIF($D$5:$D$319,"=ham",DK5:DK319)*HLOOKUP(DJ322,Verteil_rwst,21,FALSE)+SUMIF($D$5:$D$319,"=har",DK5:DK319)*HLOOKUP(DJ322,Verteil_rwst,22,FALSE)+SUMIF($D$5:$D$319,"=haz",DK5:DK319)*HLOOKUP(DJ322,Verteil_rwst,23,FALSE)</f>
        <v>0</v>
      </c>
      <c r="DL385" s="179">
        <f t="shared" si="1985"/>
        <v>0</v>
      </c>
      <c r="DM385" s="179">
        <f>SUMIF($D$5:$D$319,"=has",DM5:DM319)*HLOOKUP(DJ322,Verteil_rwst,20,FALSE)+SUMIF($D$5:$D$319,"=ham",DM5:DM319)*HLOOKUP(DJ322,Verteil_rwst,21,FALSE)+SUMIF($D$5:$D$319,"=har",DM5:DM319)*HLOOKUP(DJ322,Verteil_rwst,22,FALSE)+SUMIF($D$5:$D$319,"=haz",DM5:DM319)*HLOOKUP(DJ322,Verteil_rwst,23,FALSE)</f>
        <v>0</v>
      </c>
      <c r="DN385" s="102">
        <f t="shared" ref="DN385" si="2327">IF(DM382&lt;&gt;0,DM385/DM382,0)</f>
        <v>0</v>
      </c>
      <c r="DO385" s="665" t="s">
        <v>194</v>
      </c>
      <c r="DT385" s="217"/>
      <c r="DV385" s="179">
        <f>SUMIF($D$5:$D$319,"=has",DV5:DV319)*HLOOKUP(EA322,Verteil_rwst,20,FALSE)+SUMIF($D$5:$D$319,"=ham",DV5:DV319)*HLOOKUP(EA322,Verteil_rwst,21,FALSE)+SUMIF($D$5:$D$319,"=har",DV5:DV319)*HLOOKUP(EA322,Verteil_rwst,22,FALSE)+SUMIF($D$5:$D$319,"=haz",DV5:DV319)*HLOOKUP(EA322,Verteil_rwst,23,FALSE)</f>
        <v>0</v>
      </c>
      <c r="DX385" s="179">
        <f>SUMIF($D$5:$D$319,"=has",DX5:DX319)*HLOOKUP(EA322,Verteil_rwst,20,FALSE)+SUMIF($D$5:$D$319,"=ham",DX5:DX319)*HLOOKUP(EA322,Verteil_rwst,21,FALSE)+SUMIF($D$5:$D$319,"=har",DX5:DX319)*HLOOKUP(EA322,Verteil_rwst,22,FALSE)+SUMIF($D$5:$D$319,"=haz",DX5:DX319)*HLOOKUP(EA322,Verteil_rwst,23,FALSE)</f>
        <v>0</v>
      </c>
      <c r="DZ385" s="102">
        <f t="shared" ref="DZ385" si="2328">IF(EA382&lt;&gt;0,EA385/EA382,0)</f>
        <v>0</v>
      </c>
      <c r="EA385" s="179">
        <f>ROUND(EC385*HLOOKUP(EA322,Grund_zins,2,FALSE),2)</f>
        <v>0</v>
      </c>
      <c r="EB385" s="179">
        <f>SUMIF($D$5:$D$319,"=has",EB5:EB319)*HLOOKUP(EA322,Verteil_rwst,20,FALSE)+SUMIF($D$5:$D$319,"=ham",EB5:EB319)*HLOOKUP(EA322,Verteil_rwst,21,FALSE)+SUMIF($D$5:$D$319,"=har",EB5:EB319)*HLOOKUP(EA322,Verteil_rwst,22,FALSE)+SUMIF($D$5:$D$319,"=haz",EB5:EB319)*HLOOKUP(EA322,Verteil_rwst,23,FALSE)</f>
        <v>0</v>
      </c>
      <c r="EC385" s="179">
        <f t="shared" si="1992"/>
        <v>0</v>
      </c>
      <c r="ED385" s="179">
        <f>SUMIF($D$5:$D$319,"=has",ED5:ED319)*HLOOKUP(EA322,Verteil_rwst,20,FALSE)+SUMIF($D$5:$D$319,"=ham",ED5:ED319)*HLOOKUP(EA322,Verteil_rwst,21,FALSE)+SUMIF($D$5:$D$319,"=har",ED5:ED319)*HLOOKUP(EA322,Verteil_rwst,22,FALSE)+SUMIF($D$5:$D$319,"=haz",ED5:ED319)*HLOOKUP(EA322,Verteil_rwst,23,FALSE)</f>
        <v>0</v>
      </c>
      <c r="EE385" s="102">
        <f t="shared" ref="EE385" si="2329">IF(ED382&lt;&gt;0,ED385/ED382,0)</f>
        <v>0</v>
      </c>
      <c r="EF385" s="665" t="s">
        <v>194</v>
      </c>
      <c r="EK385" s="217"/>
      <c r="EM385" s="179">
        <f>SUMIF($D$5:$D$319,"=has",EM5:EM319)*HLOOKUP(ER322,Verteil_rwst,20,FALSE)+SUMIF($D$5:$D$319,"=ham",EM5:EM319)*HLOOKUP(ER322,Verteil_rwst,21,FALSE)+SUMIF($D$5:$D$319,"=har",EM5:EM319)*HLOOKUP(ER322,Verteil_rwst,22,FALSE)+SUMIF($D$5:$D$319,"=haz",EM5:EM319)*HLOOKUP(ER322,Verteil_rwst,23,FALSE)</f>
        <v>0</v>
      </c>
      <c r="EO385" s="179">
        <f>SUMIF($D$5:$D$319,"=has",EO5:EO319)*HLOOKUP(ER322,Verteil_rwst,20,FALSE)+SUMIF($D$5:$D$319,"=ham",EO5:EO319)*HLOOKUP(ER322,Verteil_rwst,21,FALSE)+SUMIF($D$5:$D$319,"=har",EO5:EO319)*HLOOKUP(ER322,Verteil_rwst,22,FALSE)+SUMIF($D$5:$D$319,"=haz",EO5:EO319)*HLOOKUP(ER322,Verteil_rwst,23,FALSE)</f>
        <v>0</v>
      </c>
      <c r="EQ385" s="102">
        <f t="shared" ref="EQ385" si="2330">IF(ER382&lt;&gt;0,ER385/ER382,0)</f>
        <v>0</v>
      </c>
      <c r="ER385" s="179">
        <f>ROUND(ET385*HLOOKUP(ER322,Grund_zins,2,FALSE),2)</f>
        <v>0</v>
      </c>
      <c r="ES385" s="179">
        <f>SUMIF($D$5:$D$319,"=has",ES5:ES319)*HLOOKUP(ER322,Verteil_rwst,20,FALSE)+SUMIF($D$5:$D$319,"=ham",ES5:ES319)*HLOOKUP(ER322,Verteil_rwst,21,FALSE)+SUMIF($D$5:$D$319,"=har",ES5:ES319)*HLOOKUP(ER322,Verteil_rwst,22,FALSE)+SUMIF($D$5:$D$319,"=haz",ES5:ES319)*HLOOKUP(ER322,Verteil_rwst,23,FALSE)</f>
        <v>0</v>
      </c>
      <c r="ET385" s="179">
        <f t="shared" si="1999"/>
        <v>0</v>
      </c>
      <c r="EU385" s="179">
        <f>SUMIF($D$5:$D$319,"=has",EU5:EU319)*HLOOKUP(ER322,Verteil_rwst,20,FALSE)+SUMIF($D$5:$D$319,"=ham",EU5:EU319)*HLOOKUP(ER322,Verteil_rwst,21,FALSE)+SUMIF($D$5:$D$319,"=har",EU5:EU319)*HLOOKUP(ER322,Verteil_rwst,22,FALSE)+SUMIF($D$5:$D$319,"=haz",EU5:EU319)*HLOOKUP(ER322,Verteil_rwst,23,FALSE)</f>
        <v>0</v>
      </c>
      <c r="EV385" s="102">
        <f t="shared" ref="EV385" si="2331">IF(EU382&lt;&gt;0,EU385/EU382,0)</f>
        <v>0</v>
      </c>
      <c r="EW385" s="665" t="s">
        <v>194</v>
      </c>
      <c r="FB385" s="217"/>
      <c r="FD385" s="179">
        <f>SUMIF($D$5:$D$319,"=has",FD5:FD319)*HLOOKUP(FI322,Verteil_rwst,20,FALSE)+SUMIF($D$5:$D$319,"=ham",FD5:FD319)*HLOOKUP(FI322,Verteil_rwst,21,FALSE)+SUMIF($D$5:$D$319,"=har",FD5:FD319)*HLOOKUP(FI322,Verteil_rwst,22,FALSE)+SUMIF($D$5:$D$319,"=haz",FD5:FD319)*HLOOKUP(FI322,Verteil_rwst,23,FALSE)</f>
        <v>0</v>
      </c>
      <c r="FF385" s="179">
        <f>SUMIF($D$5:$D$319,"=has",FF5:FF319)*HLOOKUP(FI322,Verteil_rwst,20,FALSE)+SUMIF($D$5:$D$319,"=ham",FF5:FF319)*HLOOKUP(FI322,Verteil_rwst,21,FALSE)+SUMIF($D$5:$D$319,"=har",FF5:FF319)*HLOOKUP(FI322,Verteil_rwst,22,FALSE)+SUMIF($D$5:$D$319,"=haz",FF5:FF319)*HLOOKUP(FI322,Verteil_rwst,23,FALSE)</f>
        <v>0</v>
      </c>
      <c r="FH385" s="102">
        <f t="shared" ref="FH385" si="2332">IF(FI382&lt;&gt;0,FI385/FI382,0)</f>
        <v>0</v>
      </c>
      <c r="FI385" s="179">
        <f>ROUND(FK385*HLOOKUP(FI322,Grund_zins,2,FALSE),2)</f>
        <v>0</v>
      </c>
      <c r="FJ385" s="179">
        <f>SUMIF($D$5:$D$319,"=has",FJ5:FJ319)*HLOOKUP(FI322,Verteil_rwst,20,FALSE)+SUMIF($D$5:$D$319,"=ham",FJ5:FJ319)*HLOOKUP(FI322,Verteil_rwst,21,FALSE)+SUMIF($D$5:$D$319,"=har",FJ5:FJ319)*HLOOKUP(FI322,Verteil_rwst,22,FALSE)+SUMIF($D$5:$D$319,"=haz",FJ5:FJ319)*HLOOKUP(FI322,Verteil_rwst,23,FALSE)</f>
        <v>0</v>
      </c>
      <c r="FK385" s="179">
        <f t="shared" si="2006"/>
        <v>0</v>
      </c>
      <c r="FL385" s="179">
        <f>SUMIF($D$5:$D$319,"=has",FL5:FL319)*HLOOKUP(FI322,Verteil_rwst,20,FALSE)+SUMIF($D$5:$D$319,"=ham",FL5:FL319)*HLOOKUP(FI322,Verteil_rwst,21,FALSE)+SUMIF($D$5:$D$319,"=har",FL5:FL319)*HLOOKUP(FI322,Verteil_rwst,22,FALSE)+SUMIF($D$5:$D$319,"=haz",FL5:FL319)*HLOOKUP(FI322,Verteil_rwst,23,FALSE)</f>
        <v>0</v>
      </c>
      <c r="FM385" s="102">
        <f t="shared" ref="FM385" si="2333">IF(FL382&lt;&gt;0,FL385/FL382,0)</f>
        <v>0</v>
      </c>
      <c r="FN385" s="665" t="s">
        <v>194</v>
      </c>
      <c r="FS385" s="217"/>
    </row>
    <row r="386" spans="1:175" s="10" customFormat="1" ht="15" hidden="1" customHeight="1" x14ac:dyDescent="0.3">
      <c r="A386" s="664" t="s">
        <v>276</v>
      </c>
      <c r="V386" s="217">
        <v>65</v>
      </c>
      <c r="X386" s="179">
        <f>SUMIF($D$5:$D$319,"=sas",X5:X319)+SUMIF($D$5:$D$319,"=sam",X5:X319)+SUMIF($D$5:$D$319,"=sar",X5:X319)+SUMIF($D$5:$D$319,"=saz",X5:X319)</f>
        <v>0</v>
      </c>
      <c r="Z386" s="179">
        <f>SUMIF($D$5:$D$319,"=sas",Z5:Z319)+SUMIF($D$5:$D$319,"=sam",Z5:Z319)+SUMIF($D$5:$D$319,"=sar",Z5:Z319)+SUMIF($D$5:$D$319,"=saz",Z5:Z319)</f>
        <v>0</v>
      </c>
      <c r="AB386" s="102">
        <f t="shared" ref="AB386" si="2334">SUM(AB387:AB389)</f>
        <v>0</v>
      </c>
      <c r="AC386" s="179">
        <f>ROUND(AE386*HLOOKUP(AC322,Grund_zins,2,FALSE),2)</f>
        <v>0</v>
      </c>
      <c r="AD386" s="179">
        <f>SUMIF($D$5:$D$319,"=sas",AD5:AD319)+SUMIF($D$5:$D$319,"=sam",AD5:AD319)+SUMIF($D$5:$D$319,"=sar",AD5:AD319)+SUMIF($D$5:$D$319,"=saz",AD5:AD319)</f>
        <v>0</v>
      </c>
      <c r="AE386" s="179">
        <f t="shared" si="2009"/>
        <v>0</v>
      </c>
      <c r="AF386" s="179">
        <f>SUMIF($D$5:$D$319,"=sas",AF5:AF319)+SUMIF($D$5:$D$319,"=sam",AF5:AF319)+SUMIF($D$5:$D$319,"=sar",AF5:AF319)+SUMIF($D$5:$D$319,"=saz",AF5:AF319)</f>
        <v>0</v>
      </c>
      <c r="AG386" s="102">
        <f t="shared" ref="AG386" si="2335">SUM(AG387:AG389)</f>
        <v>0</v>
      </c>
      <c r="AH386" s="664" t="s">
        <v>276</v>
      </c>
      <c r="AM386" s="217"/>
      <c r="AO386" s="179">
        <f t="shared" ref="AO386" si="2336">SUMIF($D$5:$D$319,"=sas",AO5:AO319)+SUMIF($D$5:$D$319,"=sam",AO5:AO319)+SUMIF($D$5:$D$319,"=sar",AO5:AO319)+SUMIF($D$5:$D$319,"=saz",AO5:AO319)</f>
        <v>0</v>
      </c>
      <c r="AQ386" s="179">
        <f t="shared" ref="AQ386" si="2337">SUMIF($D$5:$D$319,"=sas",AQ5:AQ319)+SUMIF($D$5:$D$319,"=sam",AQ5:AQ319)+SUMIF($D$5:$D$319,"=sar",AQ5:AQ319)+SUMIF($D$5:$D$319,"=saz",AQ5:AQ319)</f>
        <v>0</v>
      </c>
      <c r="AS386" s="102">
        <f t="shared" ref="AS386:CR386" si="2338">SUM(AS387:AS389)</f>
        <v>0</v>
      </c>
      <c r="AT386" s="179">
        <f>ROUND(AV386*HLOOKUP(AT322,Grund_zins,2,FALSE),2)</f>
        <v>0</v>
      </c>
      <c r="AU386" s="179">
        <f t="shared" ref="AU386" si="2339">SUMIF($D$5:$D$319,"=sas",AU5:AU319)+SUMIF($D$5:$D$319,"=sam",AU5:AU319)+SUMIF($D$5:$D$319,"=sar",AU5:AU319)+SUMIF($D$5:$D$319,"=saz",AU5:AU319)</f>
        <v>0</v>
      </c>
      <c r="AV386" s="179">
        <f t="shared" si="1957"/>
        <v>0</v>
      </c>
      <c r="AW386" s="179">
        <f t="shared" ref="AW386" si="2340">SUMIF($D$5:$D$319,"=sas",AW5:AW319)+SUMIF($D$5:$D$319,"=sam",AW5:AW319)+SUMIF($D$5:$D$319,"=sar",AW5:AW319)+SUMIF($D$5:$D$319,"=saz",AW5:AW319)</f>
        <v>0</v>
      </c>
      <c r="AX386" s="102">
        <f t="shared" ref="AX386:CW386" si="2341">SUM(AX387:AX389)</f>
        <v>0</v>
      </c>
      <c r="AY386" s="664" t="s">
        <v>276</v>
      </c>
      <c r="BD386" s="217"/>
      <c r="BF386" s="179">
        <f t="shared" ref="BF386" si="2342">SUMIF($D$5:$D$319,"=sas",BF5:BF319)+SUMIF($D$5:$D$319,"=sam",BF5:BF319)+SUMIF($D$5:$D$319,"=sar",BF5:BF319)+SUMIF($D$5:$D$319,"=saz",BF5:BF319)</f>
        <v>0</v>
      </c>
      <c r="BH386" s="179">
        <f t="shared" ref="BH386" si="2343">SUMIF($D$5:$D$319,"=sas",BH5:BH319)+SUMIF($D$5:$D$319,"=sam",BH5:BH319)+SUMIF($D$5:$D$319,"=sar",BH5:BH319)+SUMIF($D$5:$D$319,"=saz",BH5:BH319)</f>
        <v>0</v>
      </c>
      <c r="BJ386" s="102">
        <f t="shared" si="2338"/>
        <v>0</v>
      </c>
      <c r="BK386" s="179">
        <f>ROUND(BM386*HLOOKUP(BK322,Grund_zins,2,FALSE),2)</f>
        <v>0</v>
      </c>
      <c r="BL386" s="179">
        <f t="shared" ref="BL386" si="2344">SUMIF($D$5:$D$319,"=sas",BL5:BL319)+SUMIF($D$5:$D$319,"=sam",BL5:BL319)+SUMIF($D$5:$D$319,"=sar",BL5:BL319)+SUMIF($D$5:$D$319,"=saz",BL5:BL319)</f>
        <v>0</v>
      </c>
      <c r="BM386" s="179">
        <f t="shared" si="1964"/>
        <v>0</v>
      </c>
      <c r="BN386" s="179">
        <f t="shared" ref="BN386" si="2345">SUMIF($D$5:$D$319,"=sas",BN5:BN319)+SUMIF($D$5:$D$319,"=sam",BN5:BN319)+SUMIF($D$5:$D$319,"=sar",BN5:BN319)+SUMIF($D$5:$D$319,"=saz",BN5:BN319)</f>
        <v>0</v>
      </c>
      <c r="BO386" s="102">
        <f t="shared" si="2341"/>
        <v>0</v>
      </c>
      <c r="BP386" s="664" t="s">
        <v>276</v>
      </c>
      <c r="BU386" s="217"/>
      <c r="BW386" s="179">
        <f t="shared" ref="BW386" si="2346">SUMIF($D$5:$D$319,"=sas",BW5:BW319)+SUMIF($D$5:$D$319,"=sam",BW5:BW319)+SUMIF($D$5:$D$319,"=sar",BW5:BW319)+SUMIF($D$5:$D$319,"=saz",BW5:BW319)</f>
        <v>0</v>
      </c>
      <c r="BY386" s="179">
        <f t="shared" ref="BY386" si="2347">SUMIF($D$5:$D$319,"=sas",BY5:BY319)+SUMIF($D$5:$D$319,"=sam",BY5:BY319)+SUMIF($D$5:$D$319,"=sar",BY5:BY319)+SUMIF($D$5:$D$319,"=saz",BY5:BY319)</f>
        <v>0</v>
      </c>
      <c r="CA386" s="102">
        <f t="shared" si="2338"/>
        <v>0</v>
      </c>
      <c r="CB386" s="179">
        <f>ROUND(CD386*HLOOKUP(CB322,Grund_zins,2,FALSE),2)</f>
        <v>0</v>
      </c>
      <c r="CC386" s="179">
        <f t="shared" ref="CC386" si="2348">SUMIF($D$5:$D$319,"=sas",CC5:CC319)+SUMIF($D$5:$D$319,"=sam",CC5:CC319)+SUMIF($D$5:$D$319,"=sar",CC5:CC319)+SUMIF($D$5:$D$319,"=saz",CC5:CC319)</f>
        <v>0</v>
      </c>
      <c r="CD386" s="179">
        <f t="shared" si="1971"/>
        <v>0</v>
      </c>
      <c r="CE386" s="179">
        <f t="shared" ref="CE386" si="2349">SUMIF($D$5:$D$319,"=sas",CE5:CE319)+SUMIF($D$5:$D$319,"=sam",CE5:CE319)+SUMIF($D$5:$D$319,"=sar",CE5:CE319)+SUMIF($D$5:$D$319,"=saz",CE5:CE319)</f>
        <v>0</v>
      </c>
      <c r="CF386" s="102">
        <f t="shared" si="2341"/>
        <v>0</v>
      </c>
      <c r="CG386" s="664" t="s">
        <v>276</v>
      </c>
      <c r="CL386" s="217"/>
      <c r="CN386" s="179">
        <f t="shared" ref="CN386" si="2350">SUMIF($D$5:$D$319,"=sas",CN5:CN319)+SUMIF($D$5:$D$319,"=sam",CN5:CN319)+SUMIF($D$5:$D$319,"=sar",CN5:CN319)+SUMIF($D$5:$D$319,"=saz",CN5:CN319)</f>
        <v>0</v>
      </c>
      <c r="CP386" s="179">
        <f t="shared" ref="CP386" si="2351">SUMIF($D$5:$D$319,"=sas",CP5:CP319)+SUMIF($D$5:$D$319,"=sam",CP5:CP319)+SUMIF($D$5:$D$319,"=sar",CP5:CP319)+SUMIF($D$5:$D$319,"=saz",CP5:CP319)</f>
        <v>0</v>
      </c>
      <c r="CR386" s="102">
        <f t="shared" si="2338"/>
        <v>0</v>
      </c>
      <c r="CS386" s="179">
        <f>ROUND(CU386*HLOOKUP(CS322,Grund_zins,2,FALSE),2)</f>
        <v>0</v>
      </c>
      <c r="CT386" s="179">
        <f t="shared" ref="CT386" si="2352">SUMIF($D$5:$D$319,"=sas",CT5:CT319)+SUMIF($D$5:$D$319,"=sam",CT5:CT319)+SUMIF($D$5:$D$319,"=sar",CT5:CT319)+SUMIF($D$5:$D$319,"=saz",CT5:CT319)</f>
        <v>0</v>
      </c>
      <c r="CU386" s="179">
        <f t="shared" si="1978"/>
        <v>0</v>
      </c>
      <c r="CV386" s="179">
        <f t="shared" ref="CV386" si="2353">SUMIF($D$5:$D$319,"=sas",CV5:CV319)+SUMIF($D$5:$D$319,"=sam",CV5:CV319)+SUMIF($D$5:$D$319,"=sar",CV5:CV319)+SUMIF($D$5:$D$319,"=saz",CV5:CV319)</f>
        <v>0</v>
      </c>
      <c r="CW386" s="102">
        <f t="shared" si="2341"/>
        <v>0</v>
      </c>
      <c r="CX386" s="664" t="s">
        <v>276</v>
      </c>
      <c r="DC386" s="217"/>
      <c r="DE386" s="179">
        <f t="shared" ref="DE386" si="2354">SUMIF($D$5:$D$319,"=sas",DE5:DE319)+SUMIF($D$5:$D$319,"=sam",DE5:DE319)+SUMIF($D$5:$D$319,"=sar",DE5:DE319)+SUMIF($D$5:$D$319,"=saz",DE5:DE319)</f>
        <v>0</v>
      </c>
      <c r="DG386" s="179">
        <f t="shared" ref="DG386" si="2355">SUMIF($D$5:$D$319,"=sas",DG5:DG319)+SUMIF($D$5:$D$319,"=sam",DG5:DG319)+SUMIF($D$5:$D$319,"=sar",DG5:DG319)+SUMIF($D$5:$D$319,"=saz",DG5:DG319)</f>
        <v>0</v>
      </c>
      <c r="DI386" s="102">
        <f t="shared" ref="DI386:FH386" si="2356">SUM(DI387:DI389)</f>
        <v>0</v>
      </c>
      <c r="DJ386" s="179">
        <f>ROUND(DL386*HLOOKUP(DJ322,Grund_zins,2,FALSE),2)</f>
        <v>0</v>
      </c>
      <c r="DK386" s="179">
        <f t="shared" ref="DK386" si="2357">SUMIF($D$5:$D$319,"=sas",DK5:DK319)+SUMIF($D$5:$D$319,"=sam",DK5:DK319)+SUMIF($D$5:$D$319,"=sar",DK5:DK319)+SUMIF($D$5:$D$319,"=saz",DK5:DK319)</f>
        <v>0</v>
      </c>
      <c r="DL386" s="179">
        <f t="shared" si="1985"/>
        <v>0</v>
      </c>
      <c r="DM386" s="179">
        <f t="shared" ref="DM386" si="2358">SUMIF($D$5:$D$319,"=sas",DM5:DM319)+SUMIF($D$5:$D$319,"=sam",DM5:DM319)+SUMIF($D$5:$D$319,"=sar",DM5:DM319)+SUMIF($D$5:$D$319,"=saz",DM5:DM319)</f>
        <v>0</v>
      </c>
      <c r="DN386" s="102">
        <f t="shared" ref="DN386:FM386" si="2359">SUM(DN387:DN389)</f>
        <v>0</v>
      </c>
      <c r="DO386" s="664" t="s">
        <v>276</v>
      </c>
      <c r="DT386" s="217"/>
      <c r="DV386" s="179">
        <f t="shared" ref="DV386" si="2360">SUMIF($D$5:$D$319,"=sas",DV5:DV319)+SUMIF($D$5:$D$319,"=sam",DV5:DV319)+SUMIF($D$5:$D$319,"=sar",DV5:DV319)+SUMIF($D$5:$D$319,"=saz",DV5:DV319)</f>
        <v>0</v>
      </c>
      <c r="DX386" s="179">
        <f t="shared" ref="DX386" si="2361">SUMIF($D$5:$D$319,"=sas",DX5:DX319)+SUMIF($D$5:$D$319,"=sam",DX5:DX319)+SUMIF($D$5:$D$319,"=sar",DX5:DX319)+SUMIF($D$5:$D$319,"=saz",DX5:DX319)</f>
        <v>0</v>
      </c>
      <c r="DZ386" s="102">
        <f t="shared" si="2356"/>
        <v>0</v>
      </c>
      <c r="EA386" s="179">
        <f>ROUND(EC386*HLOOKUP(EA322,Grund_zins,2,FALSE),2)</f>
        <v>0</v>
      </c>
      <c r="EB386" s="179">
        <f t="shared" ref="EB386" si="2362">SUMIF($D$5:$D$319,"=sas",EB5:EB319)+SUMIF($D$5:$D$319,"=sam",EB5:EB319)+SUMIF($D$5:$D$319,"=sar",EB5:EB319)+SUMIF($D$5:$D$319,"=saz",EB5:EB319)</f>
        <v>0</v>
      </c>
      <c r="EC386" s="179">
        <f t="shared" si="1992"/>
        <v>0</v>
      </c>
      <c r="ED386" s="179">
        <f t="shared" ref="ED386" si="2363">SUMIF($D$5:$D$319,"=sas",ED5:ED319)+SUMIF($D$5:$D$319,"=sam",ED5:ED319)+SUMIF($D$5:$D$319,"=sar",ED5:ED319)+SUMIF($D$5:$D$319,"=saz",ED5:ED319)</f>
        <v>0</v>
      </c>
      <c r="EE386" s="102">
        <f t="shared" si="2359"/>
        <v>0</v>
      </c>
      <c r="EF386" s="664" t="s">
        <v>276</v>
      </c>
      <c r="EK386" s="217"/>
      <c r="EM386" s="179">
        <f t="shared" ref="EM386" si="2364">SUMIF($D$5:$D$319,"=sas",EM5:EM319)+SUMIF($D$5:$D$319,"=sam",EM5:EM319)+SUMIF($D$5:$D$319,"=sar",EM5:EM319)+SUMIF($D$5:$D$319,"=saz",EM5:EM319)</f>
        <v>0</v>
      </c>
      <c r="EO386" s="179">
        <f t="shared" ref="EO386" si="2365">SUMIF($D$5:$D$319,"=sas",EO5:EO319)+SUMIF($D$5:$D$319,"=sam",EO5:EO319)+SUMIF($D$5:$D$319,"=sar",EO5:EO319)+SUMIF($D$5:$D$319,"=saz",EO5:EO319)</f>
        <v>0</v>
      </c>
      <c r="EQ386" s="102">
        <f t="shared" si="2356"/>
        <v>0</v>
      </c>
      <c r="ER386" s="179">
        <f>ROUND(ET386*HLOOKUP(ER322,Grund_zins,2,FALSE),2)</f>
        <v>0</v>
      </c>
      <c r="ES386" s="179">
        <f t="shared" ref="ES386" si="2366">SUMIF($D$5:$D$319,"=sas",ES5:ES319)+SUMIF($D$5:$D$319,"=sam",ES5:ES319)+SUMIF($D$5:$D$319,"=sar",ES5:ES319)+SUMIF($D$5:$D$319,"=saz",ES5:ES319)</f>
        <v>0</v>
      </c>
      <c r="ET386" s="179">
        <f t="shared" si="1999"/>
        <v>0</v>
      </c>
      <c r="EU386" s="179">
        <f t="shared" ref="EU386" si="2367">SUMIF($D$5:$D$319,"=sas",EU5:EU319)+SUMIF($D$5:$D$319,"=sam",EU5:EU319)+SUMIF($D$5:$D$319,"=sar",EU5:EU319)+SUMIF($D$5:$D$319,"=saz",EU5:EU319)</f>
        <v>0</v>
      </c>
      <c r="EV386" s="102">
        <f t="shared" si="2359"/>
        <v>0</v>
      </c>
      <c r="EW386" s="664" t="s">
        <v>276</v>
      </c>
      <c r="FB386" s="217"/>
      <c r="FD386" s="179">
        <f t="shared" ref="FD386" si="2368">SUMIF($D$5:$D$319,"=sas",FD5:FD319)+SUMIF($D$5:$D$319,"=sam",FD5:FD319)+SUMIF($D$5:$D$319,"=sar",FD5:FD319)+SUMIF($D$5:$D$319,"=saz",FD5:FD319)</f>
        <v>0</v>
      </c>
      <c r="FF386" s="179">
        <f t="shared" ref="FF386" si="2369">SUMIF($D$5:$D$319,"=sas",FF5:FF319)+SUMIF($D$5:$D$319,"=sam",FF5:FF319)+SUMIF($D$5:$D$319,"=sar",FF5:FF319)+SUMIF($D$5:$D$319,"=saz",FF5:FF319)</f>
        <v>0</v>
      </c>
      <c r="FH386" s="102">
        <f t="shared" si="2356"/>
        <v>0</v>
      </c>
      <c r="FI386" s="179">
        <f>ROUND(FK386*HLOOKUP(FI322,Grund_zins,2,FALSE),2)</f>
        <v>0</v>
      </c>
      <c r="FJ386" s="179">
        <f t="shared" ref="FJ386" si="2370">SUMIF($D$5:$D$319,"=sas",FJ5:FJ319)+SUMIF($D$5:$D$319,"=sam",FJ5:FJ319)+SUMIF($D$5:$D$319,"=sar",FJ5:FJ319)+SUMIF($D$5:$D$319,"=saz",FJ5:FJ319)</f>
        <v>0</v>
      </c>
      <c r="FK386" s="179">
        <f t="shared" si="2006"/>
        <v>0</v>
      </c>
      <c r="FL386" s="179">
        <f t="shared" ref="FL386" si="2371">SUMIF($D$5:$D$319,"=sas",FL5:FL319)+SUMIF($D$5:$D$319,"=sam",FL5:FL319)+SUMIF($D$5:$D$319,"=sar",FL5:FL319)+SUMIF($D$5:$D$319,"=saz",FL5:FL319)</f>
        <v>0</v>
      </c>
      <c r="FM386" s="102">
        <f t="shared" si="2359"/>
        <v>0</v>
      </c>
      <c r="FN386" s="664" t="s">
        <v>276</v>
      </c>
      <c r="FS386" s="217"/>
    </row>
    <row r="387" spans="1:175" s="10" customFormat="1" ht="15" hidden="1" customHeight="1" x14ac:dyDescent="0.3">
      <c r="A387" s="665" t="s">
        <v>180</v>
      </c>
      <c r="V387" s="217">
        <v>66</v>
      </c>
      <c r="X387" s="179">
        <f>SUMIF($D$5:$D$319,"=sas",X5:X319)*HLOOKUP(AC322,Verteil_sw,27,FALSE)+SUMIF($D$5:$D$319,"=sam",X5:X319)*HLOOKUP(AC322,Verteil_sw,28,FALSE)+SUMIF($D$5:$D$319,"=sar",X5:X319)*HLOOKUP(AC322,Verteil_sw,29,FALSE)+SUMIF($D$5:$D$319,"=saz",X5:X319)*HLOOKUP(AC322,Verteil_sw,30,FALSE)</f>
        <v>0</v>
      </c>
      <c r="Z387" s="179">
        <f>SUMIF($D$5:$D$319,"=sas",Z5:Z319)*HLOOKUP(AC322,Verteil_sw,27,FALSE)+SUMIF($D$5:$D$319,"=sam",Z5:Z319)*HLOOKUP(AC322,Verteil_sw,28,FALSE)+SUMIF($D$5:$D$319,"=sar",Z5:Z319)*HLOOKUP(AC322,Verteil_sw,29,FALSE)+SUMIF($D$5:$D$319,"=saz",Z5:Z319)*HLOOKUP(AC322,Verteil_sw,30,FALSE)</f>
        <v>0</v>
      </c>
      <c r="AB387" s="102">
        <f t="shared" ref="AB387" si="2372">IF(AC386&lt;&gt;0,AC387/AC386,0)</f>
        <v>0</v>
      </c>
      <c r="AC387" s="179">
        <f>ROUND(AE387*HLOOKUP(AC322,Grund_zins,2,FALSE),2)</f>
        <v>0</v>
      </c>
      <c r="AD387" s="179">
        <f>SUMIF($D$5:$D$319,"=sas",AD5:AD319)*HLOOKUP(AC322,Verteil_sw,27,FALSE)+SUMIF($D$5:$D$319,"=sam",AD5:AD319)*HLOOKUP(AC322,Verteil_sw,28,FALSE)+SUMIF($D$5:$D$319,"=sar",AD5:AD319)*HLOOKUP(AC322,Verteil_sw,29,FALSE)+SUMIF($D$5:$D$319,"=saz",AD5:AD319)*HLOOKUP(AC322,Verteil_sw,30,FALSE)</f>
        <v>0</v>
      </c>
      <c r="AE387" s="179">
        <f t="shared" si="2009"/>
        <v>0</v>
      </c>
      <c r="AF387" s="179">
        <f>SUMIF($D$5:$D$319,"=sas",AF5:AF319)*HLOOKUP(AC322,Verteil_sw,27,FALSE)+SUMIF($D$5:$D$319,"=sam",AF5:AF319)*HLOOKUP(AC322,Verteil_sw,28,FALSE)+SUMIF($D$5:$D$319,"=sar",AF5:AF319)*HLOOKUP(AC322,Verteil_sw,29,FALSE)+SUMIF($D$5:$D$319,"=saz",AF5:AF319)*HLOOKUP(AC322,Verteil_sw,30,FALSE)</f>
        <v>0</v>
      </c>
      <c r="AG387" s="102">
        <f t="shared" ref="AG387" si="2373">IF(AF386&lt;&gt;0,AF387/AF386,0)</f>
        <v>0</v>
      </c>
      <c r="AH387" s="665" t="s">
        <v>180</v>
      </c>
      <c r="AM387" s="217"/>
      <c r="AO387" s="179">
        <f>SUMIF($D$5:$D$319,"=sas",AO5:AO319)*HLOOKUP(AT322,Verteil_sw,27,FALSE)+SUMIF($D$5:$D$319,"=sam",AO5:AO319)*HLOOKUP(AT322,Verteil_sw,28,FALSE)+SUMIF($D$5:$D$319,"=sar",AO5:AO319)*HLOOKUP(AT322,Verteil_sw,29,FALSE)+SUMIF($D$5:$D$319,"=saz",AO5:AO319)*HLOOKUP(AT322,Verteil_sw,30,FALSE)</f>
        <v>0</v>
      </c>
      <c r="AQ387" s="179">
        <f>SUMIF($D$5:$D$319,"=sas",AQ5:AQ319)*HLOOKUP(AT322,Verteil_sw,27,FALSE)+SUMIF($D$5:$D$319,"=sam",AQ5:AQ319)*HLOOKUP(AT322,Verteil_sw,28,FALSE)+SUMIF($D$5:$D$319,"=sar",AQ5:AQ319)*HLOOKUP(AT322,Verteil_sw,29,FALSE)+SUMIF($D$5:$D$319,"=saz",AQ5:AQ319)*HLOOKUP(AT322,Verteil_sw,30,FALSE)</f>
        <v>0</v>
      </c>
      <c r="AS387" s="102">
        <f t="shared" ref="AS387" si="2374">IF(AT386&lt;&gt;0,AT387/AT386,0)</f>
        <v>0</v>
      </c>
      <c r="AT387" s="179">
        <f>ROUND(AV387*HLOOKUP(AT322,Grund_zins,2,FALSE),2)</f>
        <v>0</v>
      </c>
      <c r="AU387" s="179">
        <f>SUMIF($D$5:$D$319,"=sas",AU5:AU319)*HLOOKUP(AT322,Verteil_sw,27,FALSE)+SUMIF($D$5:$D$319,"=sam",AU5:AU319)*HLOOKUP(AT322,Verteil_sw,28,FALSE)+SUMIF($D$5:$D$319,"=sar",AU5:AU319)*HLOOKUP(AT322,Verteil_sw,29,FALSE)+SUMIF($D$5:$D$319,"=saz",AU5:AU319)*HLOOKUP(AT322,Verteil_sw,30,FALSE)</f>
        <v>0</v>
      </c>
      <c r="AV387" s="179">
        <f t="shared" si="1957"/>
        <v>0</v>
      </c>
      <c r="AW387" s="179">
        <f>SUMIF($D$5:$D$319,"=sas",AW5:AW319)*HLOOKUP(AT322,Verteil_sw,27,FALSE)+SUMIF($D$5:$D$319,"=sam",AW5:AW319)*HLOOKUP(AT322,Verteil_sw,28,FALSE)+SUMIF($D$5:$D$319,"=sar",AW5:AW319)*HLOOKUP(AT322,Verteil_sw,29,FALSE)+SUMIF($D$5:$D$319,"=saz",AW5:AW319)*HLOOKUP(AT322,Verteil_sw,30,FALSE)</f>
        <v>0</v>
      </c>
      <c r="AX387" s="102">
        <f t="shared" ref="AX387" si="2375">IF(AW386&lt;&gt;0,AW387/AW386,0)</f>
        <v>0</v>
      </c>
      <c r="AY387" s="665" t="s">
        <v>180</v>
      </c>
      <c r="BD387" s="217"/>
      <c r="BF387" s="179">
        <f>SUMIF($D$5:$D$319,"=sas",BF5:BF319)*HLOOKUP(BK322,Verteil_sw,27,FALSE)+SUMIF($D$5:$D$319,"=sam",BF5:BF319)*HLOOKUP(BK322,Verteil_sw,28,FALSE)+SUMIF($D$5:$D$319,"=sar",BF5:BF319)*HLOOKUP(BK322,Verteil_sw,29,FALSE)+SUMIF($D$5:$D$319,"=saz",BF5:BF319)*HLOOKUP(BK322,Verteil_sw,30,FALSE)</f>
        <v>0</v>
      </c>
      <c r="BH387" s="179">
        <f>SUMIF($D$5:$D$319,"=sas",BH5:BH319)*HLOOKUP(BK322,Verteil_sw,27,FALSE)+SUMIF($D$5:$D$319,"=sam",BH5:BH319)*HLOOKUP(BK322,Verteil_sw,28,FALSE)+SUMIF($D$5:$D$319,"=sar",BH5:BH319)*HLOOKUP(BK322,Verteil_sw,29,FALSE)+SUMIF($D$5:$D$319,"=saz",BH5:BH319)*HLOOKUP(BK322,Verteil_sw,30,FALSE)</f>
        <v>0</v>
      </c>
      <c r="BJ387" s="102">
        <f t="shared" ref="BJ387" si="2376">IF(BK386&lt;&gt;0,BK387/BK386,0)</f>
        <v>0</v>
      </c>
      <c r="BK387" s="179">
        <f>ROUND(BM387*HLOOKUP(BK322,Grund_zins,2,FALSE),2)</f>
        <v>0</v>
      </c>
      <c r="BL387" s="179">
        <f>SUMIF($D$5:$D$319,"=sas",BL5:BL319)*HLOOKUP(BK322,Verteil_sw,27,FALSE)+SUMIF($D$5:$D$319,"=sam",BL5:BL319)*HLOOKUP(BK322,Verteil_sw,28,FALSE)+SUMIF($D$5:$D$319,"=sar",BL5:BL319)*HLOOKUP(BK322,Verteil_sw,29,FALSE)+SUMIF($D$5:$D$319,"=saz",BL5:BL319)*HLOOKUP(BK322,Verteil_sw,30,FALSE)</f>
        <v>0</v>
      </c>
      <c r="BM387" s="179">
        <f t="shared" si="1964"/>
        <v>0</v>
      </c>
      <c r="BN387" s="179">
        <f>SUMIF($D$5:$D$319,"=sas",BN5:BN319)*HLOOKUP(BK322,Verteil_sw,27,FALSE)+SUMIF($D$5:$D$319,"=sam",BN5:BN319)*HLOOKUP(BK322,Verteil_sw,28,FALSE)+SUMIF($D$5:$D$319,"=sar",BN5:BN319)*HLOOKUP(BK322,Verteil_sw,29,FALSE)+SUMIF($D$5:$D$319,"=saz",BN5:BN319)*HLOOKUP(BK322,Verteil_sw,30,FALSE)</f>
        <v>0</v>
      </c>
      <c r="BO387" s="102">
        <f t="shared" ref="BO387" si="2377">IF(BN386&lt;&gt;0,BN387/BN386,0)</f>
        <v>0</v>
      </c>
      <c r="BP387" s="665" t="s">
        <v>180</v>
      </c>
      <c r="BU387" s="217"/>
      <c r="BW387" s="179">
        <f>SUMIF($D$5:$D$319,"=sas",BW5:BW319)*HLOOKUP(CB322,Verteil_sw,27,FALSE)+SUMIF($D$5:$D$319,"=sam",BW5:BW319)*HLOOKUP(CB322,Verteil_sw,28,FALSE)+SUMIF($D$5:$D$319,"=sar",BW5:BW319)*HLOOKUP(CB322,Verteil_sw,29,FALSE)+SUMIF($D$5:$D$319,"=saz",BW5:BW319)*HLOOKUP(CB322,Verteil_sw,30,FALSE)</f>
        <v>0</v>
      </c>
      <c r="BY387" s="179">
        <f>SUMIF($D$5:$D$319,"=sas",BY5:BY319)*HLOOKUP(CB322,Verteil_sw,27,FALSE)+SUMIF($D$5:$D$319,"=sam",BY5:BY319)*HLOOKUP(CB322,Verteil_sw,28,FALSE)+SUMIF($D$5:$D$319,"=sar",BY5:BY319)*HLOOKUP(CB322,Verteil_sw,29,FALSE)+SUMIF($D$5:$D$319,"=saz",BY5:BY319)*HLOOKUP(CB322,Verteil_sw,30,FALSE)</f>
        <v>0</v>
      </c>
      <c r="CA387" s="102">
        <f t="shared" ref="CA387" si="2378">IF(CB386&lt;&gt;0,CB387/CB386,0)</f>
        <v>0</v>
      </c>
      <c r="CB387" s="179">
        <f>ROUND(CD387*HLOOKUP(CB322,Grund_zins,2,FALSE),2)</f>
        <v>0</v>
      </c>
      <c r="CC387" s="179">
        <f>SUMIF($D$5:$D$319,"=sas",CC5:CC319)*HLOOKUP(CB322,Verteil_sw,27,FALSE)+SUMIF($D$5:$D$319,"=sam",CC5:CC319)*HLOOKUP(CB322,Verteil_sw,28,FALSE)+SUMIF($D$5:$D$319,"=sar",CC5:CC319)*HLOOKUP(CB322,Verteil_sw,29,FALSE)+SUMIF($D$5:$D$319,"=saz",CC5:CC319)*HLOOKUP(CB322,Verteil_sw,30,FALSE)</f>
        <v>0</v>
      </c>
      <c r="CD387" s="179">
        <f t="shared" si="1971"/>
        <v>0</v>
      </c>
      <c r="CE387" s="179">
        <f>SUMIF($D$5:$D$319,"=sas",CE5:CE319)*HLOOKUP(CB322,Verteil_sw,27,FALSE)+SUMIF($D$5:$D$319,"=sam",CE5:CE319)*HLOOKUP(CB322,Verteil_sw,28,FALSE)+SUMIF($D$5:$D$319,"=sar",CE5:CE319)*HLOOKUP(CB322,Verteil_sw,29,FALSE)+SUMIF($D$5:$D$319,"=saz",CE5:CE319)*HLOOKUP(CB322,Verteil_sw,30,FALSE)</f>
        <v>0</v>
      </c>
      <c r="CF387" s="102">
        <f t="shared" ref="CF387" si="2379">IF(CE386&lt;&gt;0,CE387/CE386,0)</f>
        <v>0</v>
      </c>
      <c r="CG387" s="665" t="s">
        <v>180</v>
      </c>
      <c r="CL387" s="217"/>
      <c r="CN387" s="179">
        <f>SUMIF($D$5:$D$319,"=sas",CN5:CN319)*HLOOKUP(CS322,Verteil_sw,27,FALSE)+SUMIF($D$5:$D$319,"=sam",CN5:CN319)*HLOOKUP(CS322,Verteil_sw,28,FALSE)+SUMIF($D$5:$D$319,"=sar",CN5:CN319)*HLOOKUP(CS322,Verteil_sw,29,FALSE)+SUMIF($D$5:$D$319,"=saz",CN5:CN319)*HLOOKUP(CS322,Verteil_sw,30,FALSE)</f>
        <v>0</v>
      </c>
      <c r="CP387" s="179">
        <f>SUMIF($D$5:$D$319,"=sas",CP5:CP319)*HLOOKUP(CS322,Verteil_sw,27,FALSE)+SUMIF($D$5:$D$319,"=sam",CP5:CP319)*HLOOKUP(CS322,Verteil_sw,28,FALSE)+SUMIF($D$5:$D$319,"=sar",CP5:CP319)*HLOOKUP(CS322,Verteil_sw,29,FALSE)+SUMIF($D$5:$D$319,"=saz",CP5:CP319)*HLOOKUP(CS322,Verteil_sw,30,FALSE)</f>
        <v>0</v>
      </c>
      <c r="CR387" s="102">
        <f t="shared" ref="CR387" si="2380">IF(CS386&lt;&gt;0,CS387/CS386,0)</f>
        <v>0</v>
      </c>
      <c r="CS387" s="179">
        <f>ROUND(CU387*HLOOKUP(CS322,Grund_zins,2,FALSE),2)</f>
        <v>0</v>
      </c>
      <c r="CT387" s="179">
        <f>SUMIF($D$5:$D$319,"=sas",CT5:CT319)*HLOOKUP(CS322,Verteil_sw,27,FALSE)+SUMIF($D$5:$D$319,"=sam",CT5:CT319)*HLOOKUP(CS322,Verteil_sw,28,FALSE)+SUMIF($D$5:$D$319,"=sar",CT5:CT319)*HLOOKUP(CS322,Verteil_sw,29,FALSE)+SUMIF($D$5:$D$319,"=saz",CT5:CT319)*HLOOKUP(CS322,Verteil_sw,30,FALSE)</f>
        <v>0</v>
      </c>
      <c r="CU387" s="179">
        <f t="shared" si="1978"/>
        <v>0</v>
      </c>
      <c r="CV387" s="179">
        <f>SUMIF($D$5:$D$319,"=sas",CV5:CV319)*HLOOKUP(CS322,Verteil_sw,27,FALSE)+SUMIF($D$5:$D$319,"=sam",CV5:CV319)*HLOOKUP(CS322,Verteil_sw,28,FALSE)+SUMIF($D$5:$D$319,"=sar",CV5:CV319)*HLOOKUP(CS322,Verteil_sw,29,FALSE)+SUMIF($D$5:$D$319,"=saz",CV5:CV319)*HLOOKUP(CS322,Verteil_sw,30,FALSE)</f>
        <v>0</v>
      </c>
      <c r="CW387" s="102">
        <f t="shared" ref="CW387" si="2381">IF(CV386&lt;&gt;0,CV387/CV386,0)</f>
        <v>0</v>
      </c>
      <c r="CX387" s="665" t="s">
        <v>180</v>
      </c>
      <c r="DC387" s="217"/>
      <c r="DE387" s="179">
        <f>SUMIF($D$5:$D$319,"=sas",DE5:DE319)*HLOOKUP(DJ322,Verteil_sw,27,FALSE)+SUMIF($D$5:$D$319,"=sam",DE5:DE319)*HLOOKUP(DJ322,Verteil_sw,28,FALSE)+SUMIF($D$5:$D$319,"=sar",DE5:DE319)*HLOOKUP(DJ322,Verteil_sw,29,FALSE)+SUMIF($D$5:$D$319,"=saz",DE5:DE319)*HLOOKUP(DJ322,Verteil_sw,30,FALSE)</f>
        <v>0</v>
      </c>
      <c r="DG387" s="179">
        <f>SUMIF($D$5:$D$319,"=sas",DG5:DG319)*HLOOKUP(DJ322,Verteil_sw,27,FALSE)+SUMIF($D$5:$D$319,"=sam",DG5:DG319)*HLOOKUP(DJ322,Verteil_sw,28,FALSE)+SUMIF($D$5:$D$319,"=sar",DG5:DG319)*HLOOKUP(DJ322,Verteil_sw,29,FALSE)+SUMIF($D$5:$D$319,"=saz",DG5:DG319)*HLOOKUP(DJ322,Verteil_sw,30,FALSE)</f>
        <v>0</v>
      </c>
      <c r="DI387" s="102">
        <f t="shared" ref="DI387" si="2382">IF(DJ386&lt;&gt;0,DJ387/DJ386,0)</f>
        <v>0</v>
      </c>
      <c r="DJ387" s="179">
        <f>ROUND(DL387*HLOOKUP(DJ322,Grund_zins,2,FALSE),2)</f>
        <v>0</v>
      </c>
      <c r="DK387" s="179">
        <f>SUMIF($D$5:$D$319,"=sas",DK5:DK319)*HLOOKUP(DJ322,Verteil_sw,27,FALSE)+SUMIF($D$5:$D$319,"=sam",DK5:DK319)*HLOOKUP(DJ322,Verteil_sw,28,FALSE)+SUMIF($D$5:$D$319,"=sar",DK5:DK319)*HLOOKUP(DJ322,Verteil_sw,29,FALSE)+SUMIF($D$5:$D$319,"=saz",DK5:DK319)*HLOOKUP(DJ322,Verteil_sw,30,FALSE)</f>
        <v>0</v>
      </c>
      <c r="DL387" s="179">
        <f t="shared" si="1985"/>
        <v>0</v>
      </c>
      <c r="DM387" s="179">
        <f>SUMIF($D$5:$D$319,"=sas",DM5:DM319)*HLOOKUP(DJ322,Verteil_sw,27,FALSE)+SUMIF($D$5:$D$319,"=sam",DM5:DM319)*HLOOKUP(DJ322,Verteil_sw,28,FALSE)+SUMIF($D$5:$D$319,"=sar",DM5:DM319)*HLOOKUP(DJ322,Verteil_sw,29,FALSE)+SUMIF($D$5:$D$319,"=saz",DM5:DM319)*HLOOKUP(DJ322,Verteil_sw,30,FALSE)</f>
        <v>0</v>
      </c>
      <c r="DN387" s="102">
        <f t="shared" ref="DN387" si="2383">IF(DM386&lt;&gt;0,DM387/DM386,0)</f>
        <v>0</v>
      </c>
      <c r="DO387" s="665" t="s">
        <v>180</v>
      </c>
      <c r="DT387" s="217"/>
      <c r="DV387" s="179">
        <f>SUMIF($D$5:$D$319,"=sas",DV5:DV319)*HLOOKUP(EA322,Verteil_sw,27,FALSE)+SUMIF($D$5:$D$319,"=sam",DV5:DV319)*HLOOKUP(EA322,Verteil_sw,28,FALSE)+SUMIF($D$5:$D$319,"=sar",DV5:DV319)*HLOOKUP(EA322,Verteil_sw,29,FALSE)+SUMIF($D$5:$D$319,"=saz",DV5:DV319)*HLOOKUP(EA322,Verteil_sw,30,FALSE)</f>
        <v>0</v>
      </c>
      <c r="DX387" s="179">
        <f>SUMIF($D$5:$D$319,"=sas",DX5:DX319)*HLOOKUP(EA322,Verteil_sw,27,FALSE)+SUMIF($D$5:$D$319,"=sam",DX5:DX319)*HLOOKUP(EA322,Verteil_sw,28,FALSE)+SUMIF($D$5:$D$319,"=sar",DX5:DX319)*HLOOKUP(EA322,Verteil_sw,29,FALSE)+SUMIF($D$5:$D$319,"=saz",DX5:DX319)*HLOOKUP(EA322,Verteil_sw,30,FALSE)</f>
        <v>0</v>
      </c>
      <c r="DZ387" s="102">
        <f t="shared" ref="DZ387" si="2384">IF(EA386&lt;&gt;0,EA387/EA386,0)</f>
        <v>0</v>
      </c>
      <c r="EA387" s="179">
        <f>ROUND(EC387*HLOOKUP(EA322,Grund_zins,2,FALSE),2)</f>
        <v>0</v>
      </c>
      <c r="EB387" s="179">
        <f>SUMIF($D$5:$D$319,"=sas",EB5:EB319)*HLOOKUP(EA322,Verteil_sw,27,FALSE)+SUMIF($D$5:$D$319,"=sam",EB5:EB319)*HLOOKUP(EA322,Verteil_sw,28,FALSE)+SUMIF($D$5:$D$319,"=sar",EB5:EB319)*HLOOKUP(EA322,Verteil_sw,29,FALSE)+SUMIF($D$5:$D$319,"=saz",EB5:EB319)*HLOOKUP(EA322,Verteil_sw,30,FALSE)</f>
        <v>0</v>
      </c>
      <c r="EC387" s="179">
        <f t="shared" si="1992"/>
        <v>0</v>
      </c>
      <c r="ED387" s="179">
        <f>SUMIF($D$5:$D$319,"=sas",ED5:ED319)*HLOOKUP(EA322,Verteil_sw,27,FALSE)+SUMIF($D$5:$D$319,"=sam",ED5:ED319)*HLOOKUP(EA322,Verteil_sw,28,FALSE)+SUMIF($D$5:$D$319,"=sar",ED5:ED319)*HLOOKUP(EA322,Verteil_sw,29,FALSE)+SUMIF($D$5:$D$319,"=saz",ED5:ED319)*HLOOKUP(EA322,Verteil_sw,30,FALSE)</f>
        <v>0</v>
      </c>
      <c r="EE387" s="102">
        <f t="shared" ref="EE387" si="2385">IF(ED386&lt;&gt;0,ED387/ED386,0)</f>
        <v>0</v>
      </c>
      <c r="EF387" s="665" t="s">
        <v>180</v>
      </c>
      <c r="EK387" s="217"/>
      <c r="EM387" s="179">
        <f>SUMIF($D$5:$D$319,"=sas",EM5:EM319)*HLOOKUP(ER322,Verteil_sw,27,FALSE)+SUMIF($D$5:$D$319,"=sam",EM5:EM319)*HLOOKUP(ER322,Verteil_sw,28,FALSE)+SUMIF($D$5:$D$319,"=sar",EM5:EM319)*HLOOKUP(ER322,Verteil_sw,29,FALSE)+SUMIF($D$5:$D$319,"=saz",EM5:EM319)*HLOOKUP(ER322,Verteil_sw,30,FALSE)</f>
        <v>0</v>
      </c>
      <c r="EO387" s="179">
        <f>SUMIF($D$5:$D$319,"=sas",EO5:EO319)*HLOOKUP(ER322,Verteil_sw,27,FALSE)+SUMIF($D$5:$D$319,"=sam",EO5:EO319)*HLOOKUP(ER322,Verteil_sw,28,FALSE)+SUMIF($D$5:$D$319,"=sar",EO5:EO319)*HLOOKUP(ER322,Verteil_sw,29,FALSE)+SUMIF($D$5:$D$319,"=saz",EO5:EO319)*HLOOKUP(ER322,Verteil_sw,30,FALSE)</f>
        <v>0</v>
      </c>
      <c r="EQ387" s="102">
        <f t="shared" ref="EQ387" si="2386">IF(ER386&lt;&gt;0,ER387/ER386,0)</f>
        <v>0</v>
      </c>
      <c r="ER387" s="179">
        <f>ROUND(ET387*HLOOKUP(ER322,Grund_zins,2,FALSE),2)</f>
        <v>0</v>
      </c>
      <c r="ES387" s="179">
        <f>SUMIF($D$5:$D$319,"=sas",ES5:ES319)*HLOOKUP(ER322,Verteil_sw,27,FALSE)+SUMIF($D$5:$D$319,"=sam",ES5:ES319)*HLOOKUP(ER322,Verteil_sw,28,FALSE)+SUMIF($D$5:$D$319,"=sar",ES5:ES319)*HLOOKUP(ER322,Verteil_sw,29,FALSE)+SUMIF($D$5:$D$319,"=saz",ES5:ES319)*HLOOKUP(ER322,Verteil_sw,30,FALSE)</f>
        <v>0</v>
      </c>
      <c r="ET387" s="179">
        <f t="shared" si="1999"/>
        <v>0</v>
      </c>
      <c r="EU387" s="179">
        <f>SUMIF($D$5:$D$319,"=sas",EU5:EU319)*HLOOKUP(ER322,Verteil_sw,27,FALSE)+SUMIF($D$5:$D$319,"=sam",EU5:EU319)*HLOOKUP(ER322,Verteil_sw,28,FALSE)+SUMIF($D$5:$D$319,"=sar",EU5:EU319)*HLOOKUP(ER322,Verteil_sw,29,FALSE)+SUMIF($D$5:$D$319,"=saz",EU5:EU319)*HLOOKUP(ER322,Verteil_sw,30,FALSE)</f>
        <v>0</v>
      </c>
      <c r="EV387" s="102">
        <f t="shared" ref="EV387" si="2387">IF(EU386&lt;&gt;0,EU387/EU386,0)</f>
        <v>0</v>
      </c>
      <c r="EW387" s="665" t="s">
        <v>180</v>
      </c>
      <c r="FB387" s="217"/>
      <c r="FD387" s="179">
        <f>SUMIF($D$5:$D$319,"=sas",FD5:FD319)*HLOOKUP(FI322,Verteil_sw,27,FALSE)+SUMIF($D$5:$D$319,"=sam",FD5:FD319)*HLOOKUP(FI322,Verteil_sw,28,FALSE)+SUMIF($D$5:$D$319,"=sar",FD5:FD319)*HLOOKUP(FI322,Verteil_sw,29,FALSE)+SUMIF($D$5:$D$319,"=saz",FD5:FD319)*HLOOKUP(FI322,Verteil_sw,30,FALSE)</f>
        <v>0</v>
      </c>
      <c r="FF387" s="179">
        <f>SUMIF($D$5:$D$319,"=sas",FF5:FF319)*HLOOKUP(FI322,Verteil_sw,27,FALSE)+SUMIF($D$5:$D$319,"=sam",FF5:FF319)*HLOOKUP(FI322,Verteil_sw,28,FALSE)+SUMIF($D$5:$D$319,"=sar",FF5:FF319)*HLOOKUP(FI322,Verteil_sw,29,FALSE)+SUMIF($D$5:$D$319,"=saz",FF5:FF319)*HLOOKUP(FI322,Verteil_sw,30,FALSE)</f>
        <v>0</v>
      </c>
      <c r="FH387" s="102">
        <f t="shared" ref="FH387" si="2388">IF(FI386&lt;&gt;0,FI387/FI386,0)</f>
        <v>0</v>
      </c>
      <c r="FI387" s="179">
        <f>ROUND(FK387*HLOOKUP(FI322,Grund_zins,2,FALSE),2)</f>
        <v>0</v>
      </c>
      <c r="FJ387" s="179">
        <f>SUMIF($D$5:$D$319,"=sas",FJ5:FJ319)*HLOOKUP(FI322,Verteil_sw,27,FALSE)+SUMIF($D$5:$D$319,"=sam",FJ5:FJ319)*HLOOKUP(FI322,Verteil_sw,28,FALSE)+SUMIF($D$5:$D$319,"=sar",FJ5:FJ319)*HLOOKUP(FI322,Verteil_sw,29,FALSE)+SUMIF($D$5:$D$319,"=saz",FJ5:FJ319)*HLOOKUP(FI322,Verteil_sw,30,FALSE)</f>
        <v>0</v>
      </c>
      <c r="FK387" s="179">
        <f t="shared" si="2006"/>
        <v>0</v>
      </c>
      <c r="FL387" s="179">
        <f>SUMIF($D$5:$D$319,"=sas",FL5:FL319)*HLOOKUP(FI322,Verteil_sw,27,FALSE)+SUMIF($D$5:$D$319,"=sam",FL5:FL319)*HLOOKUP(FI322,Verteil_sw,28,FALSE)+SUMIF($D$5:$D$319,"=sar",FL5:FL319)*HLOOKUP(FI322,Verteil_sw,29,FALSE)+SUMIF($D$5:$D$319,"=saz",FL5:FL319)*HLOOKUP(FI322,Verteil_sw,30,FALSE)</f>
        <v>0</v>
      </c>
      <c r="FM387" s="102">
        <f t="shared" ref="FM387" si="2389">IF(FL386&lt;&gt;0,FL387/FL386,0)</f>
        <v>0</v>
      </c>
      <c r="FN387" s="665" t="s">
        <v>180</v>
      </c>
      <c r="FS387" s="217"/>
    </row>
    <row r="388" spans="1:175" s="10" customFormat="1" ht="15" hidden="1" customHeight="1" x14ac:dyDescent="0.3">
      <c r="A388" s="665" t="s">
        <v>193</v>
      </c>
      <c r="V388" s="217">
        <v>67</v>
      </c>
      <c r="X388" s="179">
        <f>SUMIF($D$5:$D$319,"=sas",X5:X319)*HLOOKUP(AC322,Verteil_rwgr,26,FALSE)+SUMIF($D$5:$D$319,"=sam",X5:X319)*HLOOKUP(AC322,Verteil_rwgr,27,FALSE)+SUMIF($D$5:$D$319,"=sar",X5:X319)*HLOOKUP(AC322,Verteil_rwgr,28,FALSE)+SUMIF($D$5:$D$319,"=saz",X5:X319)*HLOOKUP(AC322,Verteil_rwgr,29,FALSE)</f>
        <v>0</v>
      </c>
      <c r="Z388" s="179">
        <f>SUMIF($D$5:$D$319,"=sas",Z5:Z319)*HLOOKUP(AC322,Verteil_rwgr,26,FALSE)+SUMIF($D$5:$D$319,"=sam",Z5:Z319)*HLOOKUP(AC322,Verteil_rwgr,27,FALSE)+SUMIF($D$5:$D$319,"=sar",Z5:Z319)*HLOOKUP(AC322,Verteil_rwgr,28,FALSE)+SUMIF($D$5:$D$319,"=saz",Z5:Z319)*HLOOKUP(AC322,Verteil_rwgr,29,FALSE)</f>
        <v>0</v>
      </c>
      <c r="AB388" s="102">
        <f t="shared" ref="AB388" si="2390">IF(AC386&lt;&gt;0,AC388/AC386,0)</f>
        <v>0</v>
      </c>
      <c r="AC388" s="179">
        <f>ROUND(AE388*HLOOKUP(AC322,Grund_zins,2,FALSE),2)</f>
        <v>0</v>
      </c>
      <c r="AD388" s="179">
        <f>SUMIF($D$5:$D$319,"=sas",AD5:AD319)*HLOOKUP(AC322,Verteil_rwgr,26,FALSE)+SUMIF($D$5:$D$319,"=sam",AD5:AD319)*HLOOKUP(AC322,Verteil_rwgr,27,FALSE)+SUMIF($D$5:$D$319,"=sar",AD5:AD319)*HLOOKUP(AC322,Verteil_rwgr,28,FALSE)+SUMIF($D$5:$D$319,"=saz",AD5:AD319)*HLOOKUP(AC322,Verteil_rwgr,29,FALSE)</f>
        <v>0</v>
      </c>
      <c r="AE388" s="179">
        <f t="shared" si="2009"/>
        <v>0</v>
      </c>
      <c r="AF388" s="179">
        <f>SUMIF($D$5:$D$319,"=sas",AF5:AF319)*HLOOKUP(AC322,Verteil_rwgr,26,FALSE)+SUMIF($D$5:$D$319,"=sam",AF5:AF319)*HLOOKUP(AC322,Verteil_rwgr,27,FALSE)+SUMIF($D$5:$D$319,"=sar",AF5:AF319)*HLOOKUP(AC322,Verteil_rwgr,28,FALSE)+SUMIF($D$5:$D$319,"=saz",AF5:AF319)*HLOOKUP(AC322,Verteil_rwgr,29,FALSE)</f>
        <v>0</v>
      </c>
      <c r="AG388" s="102">
        <f t="shared" ref="AG388" si="2391">IF(AF386&lt;&gt;0,AF388/AF386,0)</f>
        <v>0</v>
      </c>
      <c r="AH388" s="665" t="s">
        <v>193</v>
      </c>
      <c r="AM388" s="217"/>
      <c r="AO388" s="179">
        <f>SUMIF($D$5:$D$319,"=sas",AO5:AO319)*HLOOKUP(AT322,Verteil_rwgr,26,FALSE)+SUMIF($D$5:$D$319,"=sam",AO5:AO319)*HLOOKUP(AT322,Verteil_rwgr,27,FALSE)+SUMIF($D$5:$D$319,"=sar",AO5:AO319)*HLOOKUP(AT322,Verteil_rwgr,28,FALSE)+SUMIF($D$5:$D$319,"=saz",AO5:AO319)*HLOOKUP(AT322,Verteil_rwgr,29,FALSE)</f>
        <v>0</v>
      </c>
      <c r="AQ388" s="179">
        <f>SUMIF($D$5:$D$319,"=sas",AQ5:AQ319)*HLOOKUP(AT322,Verteil_rwgr,26,FALSE)+SUMIF($D$5:$D$319,"=sam",AQ5:AQ319)*HLOOKUP(AT322,Verteil_rwgr,27,FALSE)+SUMIF($D$5:$D$319,"=sar",AQ5:AQ319)*HLOOKUP(AT322,Verteil_rwgr,28,FALSE)+SUMIF($D$5:$D$319,"=saz",AQ5:AQ319)*HLOOKUP(AT322,Verteil_rwgr,29,FALSE)</f>
        <v>0</v>
      </c>
      <c r="AS388" s="102">
        <f t="shared" ref="AS388" si="2392">IF(AT386&lt;&gt;0,AT388/AT386,0)</f>
        <v>0</v>
      </c>
      <c r="AT388" s="179">
        <f>ROUND(AV388*HLOOKUP(AT322,Grund_zins,2,FALSE),2)</f>
        <v>0</v>
      </c>
      <c r="AU388" s="179">
        <f>SUMIF($D$5:$D$319,"=sas",AU5:AU319)*HLOOKUP(AT322,Verteil_rwgr,26,FALSE)+SUMIF($D$5:$D$319,"=sam",AU5:AU319)*HLOOKUP(AT322,Verteil_rwgr,27,FALSE)+SUMIF($D$5:$D$319,"=sar",AU5:AU319)*HLOOKUP(AT322,Verteil_rwgr,28,FALSE)+SUMIF($D$5:$D$319,"=saz",AU5:AU319)*HLOOKUP(AT322,Verteil_rwgr,29,FALSE)</f>
        <v>0</v>
      </c>
      <c r="AV388" s="179">
        <f t="shared" si="1957"/>
        <v>0</v>
      </c>
      <c r="AW388" s="179">
        <f>SUMIF($D$5:$D$319,"=sas",AW5:AW319)*HLOOKUP(AT322,Verteil_rwgr,26,FALSE)+SUMIF($D$5:$D$319,"=sam",AW5:AW319)*HLOOKUP(AT322,Verteil_rwgr,27,FALSE)+SUMIF($D$5:$D$319,"=sar",AW5:AW319)*HLOOKUP(AT322,Verteil_rwgr,28,FALSE)+SUMIF($D$5:$D$319,"=saz",AW5:AW319)*HLOOKUP(AT322,Verteil_rwgr,29,FALSE)</f>
        <v>0</v>
      </c>
      <c r="AX388" s="102">
        <f t="shared" ref="AX388" si="2393">IF(AW386&lt;&gt;0,AW388/AW386,0)</f>
        <v>0</v>
      </c>
      <c r="AY388" s="665" t="s">
        <v>193</v>
      </c>
      <c r="BD388" s="217"/>
      <c r="BF388" s="179">
        <f>SUMIF($D$5:$D$319,"=sas",BF5:BF319)*HLOOKUP(BK322,Verteil_rwgr,26,FALSE)+SUMIF($D$5:$D$319,"=sam",BF5:BF319)*HLOOKUP(BK322,Verteil_rwgr,27,FALSE)+SUMIF($D$5:$D$319,"=sar",BF5:BF319)*HLOOKUP(BK322,Verteil_rwgr,28,FALSE)+SUMIF($D$5:$D$319,"=saz",BF5:BF319)*HLOOKUP(BK322,Verteil_rwgr,29,FALSE)</f>
        <v>0</v>
      </c>
      <c r="BH388" s="179">
        <f>SUMIF($D$5:$D$319,"=sas",BH5:BH319)*HLOOKUP(BK322,Verteil_rwgr,26,FALSE)+SUMIF($D$5:$D$319,"=sam",BH5:BH319)*HLOOKUP(BK322,Verteil_rwgr,27,FALSE)+SUMIF($D$5:$D$319,"=sar",BH5:BH319)*HLOOKUP(BK322,Verteil_rwgr,28,FALSE)+SUMIF($D$5:$D$319,"=saz",BH5:BH319)*HLOOKUP(BK322,Verteil_rwgr,29,FALSE)</f>
        <v>0</v>
      </c>
      <c r="BJ388" s="102">
        <f t="shared" ref="BJ388" si="2394">IF(BK386&lt;&gt;0,BK388/BK386,0)</f>
        <v>0</v>
      </c>
      <c r="BK388" s="179">
        <f>ROUND(BM388*HLOOKUP(BK322,Grund_zins,2,FALSE),2)</f>
        <v>0</v>
      </c>
      <c r="BL388" s="179">
        <f>SUMIF($D$5:$D$319,"=sas",BL5:BL319)*HLOOKUP(BK322,Verteil_rwgr,26,FALSE)+SUMIF($D$5:$D$319,"=sam",BL5:BL319)*HLOOKUP(BK322,Verteil_rwgr,27,FALSE)+SUMIF($D$5:$D$319,"=sar",BL5:BL319)*HLOOKUP(BK322,Verteil_rwgr,28,FALSE)+SUMIF($D$5:$D$319,"=saz",BL5:BL319)*HLOOKUP(BK322,Verteil_rwgr,29,FALSE)</f>
        <v>0</v>
      </c>
      <c r="BM388" s="179">
        <f t="shared" si="1964"/>
        <v>0</v>
      </c>
      <c r="BN388" s="179">
        <f>SUMIF($D$5:$D$319,"=sas",BN5:BN319)*HLOOKUP(BK322,Verteil_rwgr,26,FALSE)+SUMIF($D$5:$D$319,"=sam",BN5:BN319)*HLOOKUP(BK322,Verteil_rwgr,27,FALSE)+SUMIF($D$5:$D$319,"=sar",BN5:BN319)*HLOOKUP(BK322,Verteil_rwgr,28,FALSE)+SUMIF($D$5:$D$319,"=saz",BN5:BN319)*HLOOKUP(BK322,Verteil_rwgr,29,FALSE)</f>
        <v>0</v>
      </c>
      <c r="BO388" s="102">
        <f t="shared" ref="BO388" si="2395">IF(BN386&lt;&gt;0,BN388/BN386,0)</f>
        <v>0</v>
      </c>
      <c r="BP388" s="665" t="s">
        <v>193</v>
      </c>
      <c r="BU388" s="217"/>
      <c r="BW388" s="179">
        <f>SUMIF($D$5:$D$319,"=sas",BW5:BW319)*HLOOKUP(CB322,Verteil_rwgr,26,FALSE)+SUMIF($D$5:$D$319,"=sam",BW5:BW319)*HLOOKUP(CB322,Verteil_rwgr,27,FALSE)+SUMIF($D$5:$D$319,"=sar",BW5:BW319)*HLOOKUP(CB322,Verteil_rwgr,28,FALSE)+SUMIF($D$5:$D$319,"=saz",BW5:BW319)*HLOOKUP(CB322,Verteil_rwgr,29,FALSE)</f>
        <v>0</v>
      </c>
      <c r="BY388" s="179">
        <f>SUMIF($D$5:$D$319,"=sas",BY5:BY319)*HLOOKUP(CB322,Verteil_rwgr,26,FALSE)+SUMIF($D$5:$D$319,"=sam",BY5:BY319)*HLOOKUP(CB322,Verteil_rwgr,27,FALSE)+SUMIF($D$5:$D$319,"=sar",BY5:BY319)*HLOOKUP(CB322,Verteil_rwgr,28,FALSE)+SUMIF($D$5:$D$319,"=saz",BY5:BY319)*HLOOKUP(CB322,Verteil_rwgr,29,FALSE)</f>
        <v>0</v>
      </c>
      <c r="CA388" s="102">
        <f t="shared" ref="CA388" si="2396">IF(CB386&lt;&gt;0,CB388/CB386,0)</f>
        <v>0</v>
      </c>
      <c r="CB388" s="179">
        <f>ROUND(CD388*HLOOKUP(CB322,Grund_zins,2,FALSE),2)</f>
        <v>0</v>
      </c>
      <c r="CC388" s="179">
        <f>SUMIF($D$5:$D$319,"=sas",CC5:CC319)*HLOOKUP(CB322,Verteil_rwgr,26,FALSE)+SUMIF($D$5:$D$319,"=sam",CC5:CC319)*HLOOKUP(CB322,Verteil_rwgr,27,FALSE)+SUMIF($D$5:$D$319,"=sar",CC5:CC319)*HLOOKUP(CB322,Verteil_rwgr,28,FALSE)+SUMIF($D$5:$D$319,"=saz",CC5:CC319)*HLOOKUP(CB322,Verteil_rwgr,29,FALSE)</f>
        <v>0</v>
      </c>
      <c r="CD388" s="179">
        <f t="shared" si="1971"/>
        <v>0</v>
      </c>
      <c r="CE388" s="179">
        <f>SUMIF($D$5:$D$319,"=sas",CE5:CE319)*HLOOKUP(CB322,Verteil_rwgr,26,FALSE)+SUMIF($D$5:$D$319,"=sam",CE5:CE319)*HLOOKUP(CB322,Verteil_rwgr,27,FALSE)+SUMIF($D$5:$D$319,"=sar",CE5:CE319)*HLOOKUP(CB322,Verteil_rwgr,28,FALSE)+SUMIF($D$5:$D$319,"=saz",CE5:CE319)*HLOOKUP(CB322,Verteil_rwgr,29,FALSE)</f>
        <v>0</v>
      </c>
      <c r="CF388" s="102">
        <f t="shared" ref="CF388" si="2397">IF(CE386&lt;&gt;0,CE388/CE386,0)</f>
        <v>0</v>
      </c>
      <c r="CG388" s="665" t="s">
        <v>193</v>
      </c>
      <c r="CL388" s="217"/>
      <c r="CN388" s="179">
        <f>SUMIF($D$5:$D$319,"=sas",CN5:CN319)*HLOOKUP(CS322,Verteil_rwgr,26,FALSE)+SUMIF($D$5:$D$319,"=sam",CN5:CN319)*HLOOKUP(CS322,Verteil_rwgr,27,FALSE)+SUMIF($D$5:$D$319,"=sar",CN5:CN319)*HLOOKUP(CS322,Verteil_rwgr,28,FALSE)+SUMIF($D$5:$D$319,"=saz",CN5:CN319)*HLOOKUP(CS322,Verteil_rwgr,29,FALSE)</f>
        <v>0</v>
      </c>
      <c r="CP388" s="179">
        <f>SUMIF($D$5:$D$319,"=sas",CP5:CP319)*HLOOKUP(CS322,Verteil_rwgr,26,FALSE)+SUMIF($D$5:$D$319,"=sam",CP5:CP319)*HLOOKUP(CS322,Verteil_rwgr,27,FALSE)+SUMIF($D$5:$D$319,"=sar",CP5:CP319)*HLOOKUP(CS322,Verteil_rwgr,28,FALSE)+SUMIF($D$5:$D$319,"=saz",CP5:CP319)*HLOOKUP(CS322,Verteil_rwgr,29,FALSE)</f>
        <v>0</v>
      </c>
      <c r="CR388" s="102">
        <f t="shared" ref="CR388" si="2398">IF(CS386&lt;&gt;0,CS388/CS386,0)</f>
        <v>0</v>
      </c>
      <c r="CS388" s="179">
        <f>ROUND(CU388*HLOOKUP(CS322,Grund_zins,2,FALSE),2)</f>
        <v>0</v>
      </c>
      <c r="CT388" s="179">
        <f>SUMIF($D$5:$D$319,"=sas",CT5:CT319)*HLOOKUP(CS322,Verteil_rwgr,26,FALSE)+SUMIF($D$5:$D$319,"=sam",CT5:CT319)*HLOOKUP(CS322,Verteil_rwgr,27,FALSE)+SUMIF($D$5:$D$319,"=sar",CT5:CT319)*HLOOKUP(CS322,Verteil_rwgr,28,FALSE)+SUMIF($D$5:$D$319,"=saz",CT5:CT319)*HLOOKUP(CS322,Verteil_rwgr,29,FALSE)</f>
        <v>0</v>
      </c>
      <c r="CU388" s="179">
        <f t="shared" si="1978"/>
        <v>0</v>
      </c>
      <c r="CV388" s="179">
        <f>SUMIF($D$5:$D$319,"=sas",CV5:CV319)*HLOOKUP(CS322,Verteil_rwgr,26,FALSE)+SUMIF($D$5:$D$319,"=sam",CV5:CV319)*HLOOKUP(CS322,Verteil_rwgr,27,FALSE)+SUMIF($D$5:$D$319,"=sar",CV5:CV319)*HLOOKUP(CS322,Verteil_rwgr,28,FALSE)+SUMIF($D$5:$D$319,"=saz",CV5:CV319)*HLOOKUP(CS322,Verteil_rwgr,29,FALSE)</f>
        <v>0</v>
      </c>
      <c r="CW388" s="102">
        <f t="shared" ref="CW388" si="2399">IF(CV386&lt;&gt;0,CV388/CV386,0)</f>
        <v>0</v>
      </c>
      <c r="CX388" s="665" t="s">
        <v>193</v>
      </c>
      <c r="DC388" s="217"/>
      <c r="DE388" s="179">
        <f>SUMIF($D$5:$D$319,"=sas",DE5:DE319)*HLOOKUP(DJ322,Verteil_rwgr,26,FALSE)+SUMIF($D$5:$D$319,"=sam",DE5:DE319)*HLOOKUP(DJ322,Verteil_rwgr,27,FALSE)+SUMIF($D$5:$D$319,"=sar",DE5:DE319)*HLOOKUP(DJ322,Verteil_rwgr,28,FALSE)+SUMIF($D$5:$D$319,"=saz",DE5:DE319)*HLOOKUP(DJ322,Verteil_rwgr,29,FALSE)</f>
        <v>0</v>
      </c>
      <c r="DG388" s="179">
        <f>SUMIF($D$5:$D$319,"=sas",DG5:DG319)*HLOOKUP(DJ322,Verteil_rwgr,26,FALSE)+SUMIF($D$5:$D$319,"=sam",DG5:DG319)*HLOOKUP(DJ322,Verteil_rwgr,27,FALSE)+SUMIF($D$5:$D$319,"=sar",DG5:DG319)*HLOOKUP(DJ322,Verteil_rwgr,28,FALSE)+SUMIF($D$5:$D$319,"=saz",DG5:DG319)*HLOOKUP(DJ322,Verteil_rwgr,29,FALSE)</f>
        <v>0</v>
      </c>
      <c r="DI388" s="102">
        <f t="shared" ref="DI388" si="2400">IF(DJ386&lt;&gt;0,DJ388/DJ386,0)</f>
        <v>0</v>
      </c>
      <c r="DJ388" s="179">
        <f>ROUND(DL388*HLOOKUP(DJ322,Grund_zins,2,FALSE),2)</f>
        <v>0</v>
      </c>
      <c r="DK388" s="179">
        <f>SUMIF($D$5:$D$319,"=sas",DK5:DK319)*HLOOKUP(DJ322,Verteil_rwgr,26,FALSE)+SUMIF($D$5:$D$319,"=sam",DK5:DK319)*HLOOKUP(DJ322,Verteil_rwgr,27,FALSE)+SUMIF($D$5:$D$319,"=sar",DK5:DK319)*HLOOKUP(DJ322,Verteil_rwgr,28,FALSE)+SUMIF($D$5:$D$319,"=saz",DK5:DK319)*HLOOKUP(DJ322,Verteil_rwgr,29,FALSE)</f>
        <v>0</v>
      </c>
      <c r="DL388" s="179">
        <f t="shared" si="1985"/>
        <v>0</v>
      </c>
      <c r="DM388" s="179">
        <f>SUMIF($D$5:$D$319,"=sas",DM5:DM319)*HLOOKUP(DJ322,Verteil_rwgr,26,FALSE)+SUMIF($D$5:$D$319,"=sam",DM5:DM319)*HLOOKUP(DJ322,Verteil_rwgr,27,FALSE)+SUMIF($D$5:$D$319,"=sar",DM5:DM319)*HLOOKUP(DJ322,Verteil_rwgr,28,FALSE)+SUMIF($D$5:$D$319,"=saz",DM5:DM319)*HLOOKUP(DJ322,Verteil_rwgr,29,FALSE)</f>
        <v>0</v>
      </c>
      <c r="DN388" s="102">
        <f t="shared" ref="DN388" si="2401">IF(DM386&lt;&gt;0,DM388/DM386,0)</f>
        <v>0</v>
      </c>
      <c r="DO388" s="665" t="s">
        <v>193</v>
      </c>
      <c r="DT388" s="217"/>
      <c r="DV388" s="179">
        <f>SUMIF($D$5:$D$319,"=sas",DV5:DV319)*HLOOKUP(EA322,Verteil_rwgr,26,FALSE)+SUMIF($D$5:$D$319,"=sam",DV5:DV319)*HLOOKUP(EA322,Verteil_rwgr,27,FALSE)+SUMIF($D$5:$D$319,"=sar",DV5:DV319)*HLOOKUP(EA322,Verteil_rwgr,28,FALSE)+SUMIF($D$5:$D$319,"=saz",DV5:DV319)*HLOOKUP(EA322,Verteil_rwgr,29,FALSE)</f>
        <v>0</v>
      </c>
      <c r="DX388" s="179">
        <f>SUMIF($D$5:$D$319,"=sas",DX5:DX319)*HLOOKUP(EA322,Verteil_rwgr,26,FALSE)+SUMIF($D$5:$D$319,"=sam",DX5:DX319)*HLOOKUP(EA322,Verteil_rwgr,27,FALSE)+SUMIF($D$5:$D$319,"=sar",DX5:DX319)*HLOOKUP(EA322,Verteil_rwgr,28,FALSE)+SUMIF($D$5:$D$319,"=saz",DX5:DX319)*HLOOKUP(EA322,Verteil_rwgr,29,FALSE)</f>
        <v>0</v>
      </c>
      <c r="DZ388" s="102">
        <f t="shared" ref="DZ388" si="2402">IF(EA386&lt;&gt;0,EA388/EA386,0)</f>
        <v>0</v>
      </c>
      <c r="EA388" s="179">
        <f>ROUND(EC388*HLOOKUP(EA322,Grund_zins,2,FALSE),2)</f>
        <v>0</v>
      </c>
      <c r="EB388" s="179">
        <f>SUMIF($D$5:$D$319,"=sas",EB5:EB319)*HLOOKUP(EA322,Verteil_rwgr,26,FALSE)+SUMIF($D$5:$D$319,"=sam",EB5:EB319)*HLOOKUP(EA322,Verteil_rwgr,27,FALSE)+SUMIF($D$5:$D$319,"=sar",EB5:EB319)*HLOOKUP(EA322,Verteil_rwgr,28,FALSE)+SUMIF($D$5:$D$319,"=saz",EB5:EB319)*HLOOKUP(EA322,Verteil_rwgr,29,FALSE)</f>
        <v>0</v>
      </c>
      <c r="EC388" s="179">
        <f t="shared" si="1992"/>
        <v>0</v>
      </c>
      <c r="ED388" s="179">
        <f>SUMIF($D$5:$D$319,"=sas",ED5:ED319)*HLOOKUP(EA322,Verteil_rwgr,26,FALSE)+SUMIF($D$5:$D$319,"=sam",ED5:ED319)*HLOOKUP(EA322,Verteil_rwgr,27,FALSE)+SUMIF($D$5:$D$319,"=sar",ED5:ED319)*HLOOKUP(EA322,Verteil_rwgr,28,FALSE)+SUMIF($D$5:$D$319,"=saz",ED5:ED319)*HLOOKUP(EA322,Verteil_rwgr,29,FALSE)</f>
        <v>0</v>
      </c>
      <c r="EE388" s="102">
        <f t="shared" ref="EE388" si="2403">IF(ED386&lt;&gt;0,ED388/ED386,0)</f>
        <v>0</v>
      </c>
      <c r="EF388" s="665" t="s">
        <v>193</v>
      </c>
      <c r="EK388" s="217"/>
      <c r="EM388" s="179">
        <f>SUMIF($D$5:$D$319,"=sas",EM5:EM319)*HLOOKUP(ER322,Verteil_rwgr,26,FALSE)+SUMIF($D$5:$D$319,"=sam",EM5:EM319)*HLOOKUP(ER322,Verteil_rwgr,27,FALSE)+SUMIF($D$5:$D$319,"=sar",EM5:EM319)*HLOOKUP(ER322,Verteil_rwgr,28,FALSE)+SUMIF($D$5:$D$319,"=saz",EM5:EM319)*HLOOKUP(ER322,Verteil_rwgr,29,FALSE)</f>
        <v>0</v>
      </c>
      <c r="EO388" s="179">
        <f>SUMIF($D$5:$D$319,"=sas",EO5:EO319)*HLOOKUP(ER322,Verteil_rwgr,26,FALSE)+SUMIF($D$5:$D$319,"=sam",EO5:EO319)*HLOOKUP(ER322,Verteil_rwgr,27,FALSE)+SUMIF($D$5:$D$319,"=sar",EO5:EO319)*HLOOKUP(ER322,Verteil_rwgr,28,FALSE)+SUMIF($D$5:$D$319,"=saz",EO5:EO319)*HLOOKUP(ER322,Verteil_rwgr,29,FALSE)</f>
        <v>0</v>
      </c>
      <c r="EQ388" s="102">
        <f t="shared" ref="EQ388" si="2404">IF(ER386&lt;&gt;0,ER388/ER386,0)</f>
        <v>0</v>
      </c>
      <c r="ER388" s="179">
        <f>ROUND(ET388*HLOOKUP(ER322,Grund_zins,2,FALSE),2)</f>
        <v>0</v>
      </c>
      <c r="ES388" s="179">
        <f>SUMIF($D$5:$D$319,"=sas",ES5:ES319)*HLOOKUP(ER322,Verteil_rwgr,26,FALSE)+SUMIF($D$5:$D$319,"=sam",ES5:ES319)*HLOOKUP(ER322,Verteil_rwgr,27,FALSE)+SUMIF($D$5:$D$319,"=sar",ES5:ES319)*HLOOKUP(ER322,Verteil_rwgr,28,FALSE)+SUMIF($D$5:$D$319,"=saz",ES5:ES319)*HLOOKUP(ER322,Verteil_rwgr,29,FALSE)</f>
        <v>0</v>
      </c>
      <c r="ET388" s="179">
        <f t="shared" si="1999"/>
        <v>0</v>
      </c>
      <c r="EU388" s="179">
        <f>SUMIF($D$5:$D$319,"=sas",EU5:EU319)*HLOOKUP(ER322,Verteil_rwgr,26,FALSE)+SUMIF($D$5:$D$319,"=sam",EU5:EU319)*HLOOKUP(ER322,Verteil_rwgr,27,FALSE)+SUMIF($D$5:$D$319,"=sar",EU5:EU319)*HLOOKUP(ER322,Verteil_rwgr,28,FALSE)+SUMIF($D$5:$D$319,"=saz",EU5:EU319)*HLOOKUP(ER322,Verteil_rwgr,29,FALSE)</f>
        <v>0</v>
      </c>
      <c r="EV388" s="102">
        <f t="shared" ref="EV388" si="2405">IF(EU386&lt;&gt;0,EU388/EU386,0)</f>
        <v>0</v>
      </c>
      <c r="EW388" s="665" t="s">
        <v>193</v>
      </c>
      <c r="FB388" s="217"/>
      <c r="FD388" s="179">
        <f>SUMIF($D$5:$D$319,"=sas",FD5:FD319)*HLOOKUP(FI322,Verteil_rwgr,26,FALSE)+SUMIF($D$5:$D$319,"=sam",FD5:FD319)*HLOOKUP(FI322,Verteil_rwgr,27,FALSE)+SUMIF($D$5:$D$319,"=sar",FD5:FD319)*HLOOKUP(FI322,Verteil_rwgr,28,FALSE)+SUMIF($D$5:$D$319,"=saz",FD5:FD319)*HLOOKUP(FI322,Verteil_rwgr,29,FALSE)</f>
        <v>0</v>
      </c>
      <c r="FF388" s="179">
        <f>SUMIF($D$5:$D$319,"=sas",FF5:FF319)*HLOOKUP(FI322,Verteil_rwgr,26,FALSE)+SUMIF($D$5:$D$319,"=sam",FF5:FF319)*HLOOKUP(FI322,Verteil_rwgr,27,FALSE)+SUMIF($D$5:$D$319,"=sar",FF5:FF319)*HLOOKUP(FI322,Verteil_rwgr,28,FALSE)+SUMIF($D$5:$D$319,"=saz",FF5:FF319)*HLOOKUP(FI322,Verteil_rwgr,29,FALSE)</f>
        <v>0</v>
      </c>
      <c r="FH388" s="102">
        <f t="shared" ref="FH388" si="2406">IF(FI386&lt;&gt;0,FI388/FI386,0)</f>
        <v>0</v>
      </c>
      <c r="FI388" s="179">
        <f>ROUND(FK388*HLOOKUP(FI322,Grund_zins,2,FALSE),2)</f>
        <v>0</v>
      </c>
      <c r="FJ388" s="179">
        <f>SUMIF($D$5:$D$319,"=sas",FJ5:FJ319)*HLOOKUP(FI322,Verteil_rwgr,26,FALSE)+SUMIF($D$5:$D$319,"=sam",FJ5:FJ319)*HLOOKUP(FI322,Verteil_rwgr,27,FALSE)+SUMIF($D$5:$D$319,"=sar",FJ5:FJ319)*HLOOKUP(FI322,Verteil_rwgr,28,FALSE)+SUMIF($D$5:$D$319,"=saz",FJ5:FJ319)*HLOOKUP(FI322,Verteil_rwgr,29,FALSE)</f>
        <v>0</v>
      </c>
      <c r="FK388" s="179">
        <f t="shared" si="2006"/>
        <v>0</v>
      </c>
      <c r="FL388" s="179">
        <f>SUMIF($D$5:$D$319,"=sas",FL5:FL319)*HLOOKUP(FI322,Verteil_rwgr,26,FALSE)+SUMIF($D$5:$D$319,"=sam",FL5:FL319)*HLOOKUP(FI322,Verteil_rwgr,27,FALSE)+SUMIF($D$5:$D$319,"=sar",FL5:FL319)*HLOOKUP(FI322,Verteil_rwgr,28,FALSE)+SUMIF($D$5:$D$319,"=saz",FL5:FL319)*HLOOKUP(FI322,Verteil_rwgr,29,FALSE)</f>
        <v>0</v>
      </c>
      <c r="FM388" s="102">
        <f t="shared" ref="FM388" si="2407">IF(FL386&lt;&gt;0,FL388/FL386,0)</f>
        <v>0</v>
      </c>
      <c r="FN388" s="665" t="s">
        <v>193</v>
      </c>
      <c r="FS388" s="217"/>
    </row>
    <row r="389" spans="1:175" s="10" customFormat="1" ht="15" hidden="1" customHeight="1" x14ac:dyDescent="0.3">
      <c r="A389" s="665" t="s">
        <v>194</v>
      </c>
      <c r="V389" s="217">
        <v>68</v>
      </c>
      <c r="X389" s="179">
        <f>SUMIF($D$5:$D$319,"=sas",X5:X319)*HLOOKUP(AC322,Verteil_rwst,25,FALSE)+SUMIF($D$5:$D$319,"=sam",X5:X319)*HLOOKUP(AC322,Verteil_rwst,26,FALSE)+SUMIF($D$5:$D$319,"=sar",X5:X319)*HLOOKUP(AC322,Verteil_rwst,27,FALSE)+SUMIF($D$5:$D$319,"=saz",X5:X319)*HLOOKUP(AC322,Verteil_rwst,28,FALSE)</f>
        <v>0</v>
      </c>
      <c r="Z389" s="179">
        <f>SUMIF($D$5:$D$319,"=sas",Z5:Z319)*HLOOKUP(AC322,Verteil_rwst,25,FALSE)+SUMIF($D$5:$D$319,"=sam",Z5:Z319)*HLOOKUP(AC322,Verteil_rwst,26,FALSE)+SUMIF($D$5:$D$319,"=sar",Z5:Z319)*HLOOKUP(AC322,Verteil_rwst,27,FALSE)+SUMIF($D$5:$D$319,"=saz",Z5:Z319)*HLOOKUP(AC322,Verteil_rwst,28,FALSE)</f>
        <v>0</v>
      </c>
      <c r="AB389" s="102">
        <f t="shared" ref="AB389" si="2408">IF(AC386&lt;&gt;0,AC389/AC386,0)</f>
        <v>0</v>
      </c>
      <c r="AC389" s="179">
        <f>ROUND(AE389*HLOOKUP(AC322,Grund_zins,2,FALSE),2)</f>
        <v>0</v>
      </c>
      <c r="AD389" s="179">
        <f>SUMIF($D$5:$D$319,"=sas",AD5:AD319)*HLOOKUP(AC322,Verteil_rwst,25,FALSE)+SUMIF($D$5:$D$319,"=sam",AD5:AD319)*HLOOKUP(AC322,Verteil_rwst,26,FALSE)+SUMIF($D$5:$D$319,"=sar",AD5:AD319)*HLOOKUP(AC322,Verteil_rwst,27,FALSE)+SUMIF($D$5:$D$319,"=saz",AD5:AD319)*HLOOKUP(AC322,Verteil_rwst,28,FALSE)</f>
        <v>0</v>
      </c>
      <c r="AE389" s="179">
        <f t="shared" si="2009"/>
        <v>0</v>
      </c>
      <c r="AF389" s="179">
        <f>SUMIF($D$5:$D$319,"=sas",AF5:AF319)*HLOOKUP(AC322,Verteil_rwst,25,FALSE)+SUMIF($D$5:$D$319,"=sam",AF5:AF319)*HLOOKUP(AC322,Verteil_rwst,26,FALSE)+SUMIF($D$5:$D$319,"=sar",AF5:AF319)*HLOOKUP(AC322,Verteil_rwst,27,FALSE)+SUMIF($D$5:$D$319,"=saz",AF5:AF319)*HLOOKUP(AC322,Verteil_rwst,28,FALSE)</f>
        <v>0</v>
      </c>
      <c r="AG389" s="102">
        <f t="shared" ref="AG389" si="2409">IF(AF386&lt;&gt;0,AF389/AF386,0)</f>
        <v>0</v>
      </c>
      <c r="AH389" s="665" t="s">
        <v>194</v>
      </c>
      <c r="AM389" s="217"/>
      <c r="AO389" s="179">
        <f>SUMIF($D$5:$D$319,"=sas",AO5:AO319)*HLOOKUP(AT322,Verteil_rwst,25,FALSE)+SUMIF($D$5:$D$319,"=sam",AO5:AO319)*HLOOKUP(AT322,Verteil_rwst,26,FALSE)+SUMIF($D$5:$D$319,"=sar",AO5:AO319)*HLOOKUP(AT322,Verteil_rwst,27,FALSE)+SUMIF($D$5:$D$319,"=saz",AO5:AO319)*HLOOKUP(AT322,Verteil_rwst,28,FALSE)</f>
        <v>0</v>
      </c>
      <c r="AQ389" s="179">
        <f>SUMIF($D$5:$D$319,"=sas",AQ5:AQ319)*HLOOKUP(AT322,Verteil_rwst,25,FALSE)+SUMIF($D$5:$D$319,"=sam",AQ5:AQ319)*HLOOKUP(AT322,Verteil_rwst,26,FALSE)+SUMIF($D$5:$D$319,"=sar",AQ5:AQ319)*HLOOKUP(AT322,Verteil_rwst,27,FALSE)+SUMIF($D$5:$D$319,"=saz",AQ5:AQ319)*HLOOKUP(AT322,Verteil_rwst,28,FALSE)</f>
        <v>0</v>
      </c>
      <c r="AS389" s="102">
        <f t="shared" ref="AS389" si="2410">IF(AT386&lt;&gt;0,AT389/AT386,0)</f>
        <v>0</v>
      </c>
      <c r="AT389" s="179">
        <f>ROUND(AV389*HLOOKUP(AT322,Grund_zins,2,FALSE),2)</f>
        <v>0</v>
      </c>
      <c r="AU389" s="179">
        <f>SUMIF($D$5:$D$319,"=sas",AU5:AU319)*HLOOKUP(AT322,Verteil_rwst,25,FALSE)+SUMIF($D$5:$D$319,"=sam",AU5:AU319)*HLOOKUP(AT322,Verteil_rwst,26,FALSE)+SUMIF($D$5:$D$319,"=sar",AU5:AU319)*HLOOKUP(AT322,Verteil_rwst,27,FALSE)+SUMIF($D$5:$D$319,"=saz",AU5:AU319)*HLOOKUP(AT322,Verteil_rwst,28,FALSE)</f>
        <v>0</v>
      </c>
      <c r="AV389" s="179">
        <f t="shared" si="1957"/>
        <v>0</v>
      </c>
      <c r="AW389" s="179">
        <f>SUMIF($D$5:$D$319,"=sas",AW5:AW319)*HLOOKUP(AT322,Verteil_rwst,25,FALSE)+SUMIF($D$5:$D$319,"=sam",AW5:AW319)*HLOOKUP(AT322,Verteil_rwst,26,FALSE)+SUMIF($D$5:$D$319,"=sar",AW5:AW319)*HLOOKUP(AT322,Verteil_rwst,27,FALSE)+SUMIF($D$5:$D$319,"=saz",AW5:AW319)*HLOOKUP(AT322,Verteil_rwst,28,FALSE)</f>
        <v>0</v>
      </c>
      <c r="AX389" s="102">
        <f t="shared" ref="AX389" si="2411">IF(AW386&lt;&gt;0,AW389/AW386,0)</f>
        <v>0</v>
      </c>
      <c r="AY389" s="665" t="s">
        <v>194</v>
      </c>
      <c r="BD389" s="217"/>
      <c r="BF389" s="179">
        <f>SUMIF($D$5:$D$319,"=sas",BF5:BF319)*HLOOKUP(BK322,Verteil_rwst,25,FALSE)+SUMIF($D$5:$D$319,"=sam",BF5:BF319)*HLOOKUP(BK322,Verteil_rwst,26,FALSE)+SUMIF($D$5:$D$319,"=sar",BF5:BF319)*HLOOKUP(BK322,Verteil_rwst,27,FALSE)+SUMIF($D$5:$D$319,"=saz",BF5:BF319)*HLOOKUP(BK322,Verteil_rwst,28,FALSE)</f>
        <v>0</v>
      </c>
      <c r="BH389" s="179">
        <f>SUMIF($D$5:$D$319,"=sas",BH5:BH319)*HLOOKUP(BK322,Verteil_rwst,25,FALSE)+SUMIF($D$5:$D$319,"=sam",BH5:BH319)*HLOOKUP(BK322,Verteil_rwst,26,FALSE)+SUMIF($D$5:$D$319,"=sar",BH5:BH319)*HLOOKUP(BK322,Verteil_rwst,27,FALSE)+SUMIF($D$5:$D$319,"=saz",BH5:BH319)*HLOOKUP(BK322,Verteil_rwst,28,FALSE)</f>
        <v>0</v>
      </c>
      <c r="BJ389" s="102">
        <f t="shared" ref="BJ389" si="2412">IF(BK386&lt;&gt;0,BK389/BK386,0)</f>
        <v>0</v>
      </c>
      <c r="BK389" s="179">
        <f>ROUND(BM389*HLOOKUP(BK322,Grund_zins,2,FALSE),2)</f>
        <v>0</v>
      </c>
      <c r="BL389" s="179">
        <f>SUMIF($D$5:$D$319,"=sas",BL5:BL319)*HLOOKUP(BK322,Verteil_rwst,25,FALSE)+SUMIF($D$5:$D$319,"=sam",BL5:BL319)*HLOOKUP(BK322,Verteil_rwst,26,FALSE)+SUMIF($D$5:$D$319,"=sar",BL5:BL319)*HLOOKUP(BK322,Verteil_rwst,27,FALSE)+SUMIF($D$5:$D$319,"=saz",BL5:BL319)*HLOOKUP(BK322,Verteil_rwst,28,FALSE)</f>
        <v>0</v>
      </c>
      <c r="BM389" s="179">
        <f t="shared" si="1964"/>
        <v>0</v>
      </c>
      <c r="BN389" s="179">
        <f>SUMIF($D$5:$D$319,"=sas",BN5:BN319)*HLOOKUP(BK322,Verteil_rwst,25,FALSE)+SUMIF($D$5:$D$319,"=sam",BN5:BN319)*HLOOKUP(BK322,Verteil_rwst,26,FALSE)+SUMIF($D$5:$D$319,"=sar",BN5:BN319)*HLOOKUP(BK322,Verteil_rwst,27,FALSE)+SUMIF($D$5:$D$319,"=saz",BN5:BN319)*HLOOKUP(BK322,Verteil_rwst,28,FALSE)</f>
        <v>0</v>
      </c>
      <c r="BO389" s="102">
        <f t="shared" ref="BO389" si="2413">IF(BN386&lt;&gt;0,BN389/BN386,0)</f>
        <v>0</v>
      </c>
      <c r="BP389" s="665" t="s">
        <v>194</v>
      </c>
      <c r="BU389" s="217"/>
      <c r="BW389" s="179">
        <f>SUMIF($D$5:$D$319,"=sas",BW5:BW319)*HLOOKUP(CB322,Verteil_rwst,25,FALSE)+SUMIF($D$5:$D$319,"=sam",BW5:BW319)*HLOOKUP(CB322,Verteil_rwst,26,FALSE)+SUMIF($D$5:$D$319,"=sar",BW5:BW319)*HLOOKUP(CB322,Verteil_rwst,27,FALSE)+SUMIF($D$5:$D$319,"=saz",BW5:BW319)*HLOOKUP(CB322,Verteil_rwst,28,FALSE)</f>
        <v>0</v>
      </c>
      <c r="BY389" s="179">
        <f>SUMIF($D$5:$D$319,"=sas",BY5:BY319)*HLOOKUP(CB322,Verteil_rwst,25,FALSE)+SUMIF($D$5:$D$319,"=sam",BY5:BY319)*HLOOKUP(CB322,Verteil_rwst,26,FALSE)+SUMIF($D$5:$D$319,"=sar",BY5:BY319)*HLOOKUP(CB322,Verteil_rwst,27,FALSE)+SUMIF($D$5:$D$319,"=saz",BY5:BY319)*HLOOKUP(CB322,Verteil_rwst,28,FALSE)</f>
        <v>0</v>
      </c>
      <c r="CA389" s="102">
        <f t="shared" ref="CA389" si="2414">IF(CB386&lt;&gt;0,CB389/CB386,0)</f>
        <v>0</v>
      </c>
      <c r="CB389" s="179">
        <f>ROUND(CD389*HLOOKUP(CB322,Grund_zins,2,FALSE),2)</f>
        <v>0</v>
      </c>
      <c r="CC389" s="179">
        <f>SUMIF($D$5:$D$319,"=sas",CC5:CC319)*HLOOKUP(CB322,Verteil_rwst,25,FALSE)+SUMIF($D$5:$D$319,"=sam",CC5:CC319)*HLOOKUP(CB322,Verteil_rwst,26,FALSE)+SUMIF($D$5:$D$319,"=sar",CC5:CC319)*HLOOKUP(CB322,Verteil_rwst,27,FALSE)+SUMIF($D$5:$D$319,"=saz",CC5:CC319)*HLOOKUP(CB322,Verteil_rwst,28,FALSE)</f>
        <v>0</v>
      </c>
      <c r="CD389" s="179">
        <f t="shared" si="1971"/>
        <v>0</v>
      </c>
      <c r="CE389" s="179">
        <f>SUMIF($D$5:$D$319,"=sas",CE5:CE319)*HLOOKUP(CB322,Verteil_rwst,25,FALSE)+SUMIF($D$5:$D$319,"=sam",CE5:CE319)*HLOOKUP(CB322,Verteil_rwst,26,FALSE)+SUMIF($D$5:$D$319,"=sar",CE5:CE319)*HLOOKUP(CB322,Verteil_rwst,27,FALSE)+SUMIF($D$5:$D$319,"=saz",CE5:CE319)*HLOOKUP(CB322,Verteil_rwst,28,FALSE)</f>
        <v>0</v>
      </c>
      <c r="CF389" s="102">
        <f t="shared" ref="CF389" si="2415">IF(CE386&lt;&gt;0,CE389/CE386,0)</f>
        <v>0</v>
      </c>
      <c r="CG389" s="665" t="s">
        <v>194</v>
      </c>
      <c r="CL389" s="217"/>
      <c r="CN389" s="179">
        <f>SUMIF($D$5:$D$319,"=sas",CN5:CN319)*HLOOKUP(CS322,Verteil_rwst,25,FALSE)+SUMIF($D$5:$D$319,"=sam",CN5:CN319)*HLOOKUP(CS322,Verteil_rwst,26,FALSE)+SUMIF($D$5:$D$319,"=sar",CN5:CN319)*HLOOKUP(CS322,Verteil_rwst,27,FALSE)+SUMIF($D$5:$D$319,"=saz",CN5:CN319)*HLOOKUP(CS322,Verteil_rwst,28,FALSE)</f>
        <v>0</v>
      </c>
      <c r="CP389" s="179">
        <f>SUMIF($D$5:$D$319,"=sas",CP5:CP319)*HLOOKUP(CS322,Verteil_rwst,25,FALSE)+SUMIF($D$5:$D$319,"=sam",CP5:CP319)*HLOOKUP(CS322,Verteil_rwst,26,FALSE)+SUMIF($D$5:$D$319,"=sar",CP5:CP319)*HLOOKUP(CS322,Verteil_rwst,27,FALSE)+SUMIF($D$5:$D$319,"=saz",CP5:CP319)*HLOOKUP(CS322,Verteil_rwst,28,FALSE)</f>
        <v>0</v>
      </c>
      <c r="CR389" s="102">
        <f t="shared" ref="CR389" si="2416">IF(CS386&lt;&gt;0,CS389/CS386,0)</f>
        <v>0</v>
      </c>
      <c r="CS389" s="179">
        <f>ROUND(CU389*HLOOKUP(CS322,Grund_zins,2,FALSE),2)</f>
        <v>0</v>
      </c>
      <c r="CT389" s="179">
        <f>SUMIF($D$5:$D$319,"=sas",CT5:CT319)*HLOOKUP(CS322,Verteil_rwst,25,FALSE)+SUMIF($D$5:$D$319,"=sam",CT5:CT319)*HLOOKUP(CS322,Verteil_rwst,26,FALSE)+SUMIF($D$5:$D$319,"=sar",CT5:CT319)*HLOOKUP(CS322,Verteil_rwst,27,FALSE)+SUMIF($D$5:$D$319,"=saz",CT5:CT319)*HLOOKUP(CS322,Verteil_rwst,28,FALSE)</f>
        <v>0</v>
      </c>
      <c r="CU389" s="179">
        <f t="shared" si="1978"/>
        <v>0</v>
      </c>
      <c r="CV389" s="179">
        <f>SUMIF($D$5:$D$319,"=sas",CV5:CV319)*HLOOKUP(CS322,Verteil_rwst,25,FALSE)+SUMIF($D$5:$D$319,"=sam",CV5:CV319)*HLOOKUP(CS322,Verteil_rwst,26,FALSE)+SUMIF($D$5:$D$319,"=sar",CV5:CV319)*HLOOKUP(CS322,Verteil_rwst,27,FALSE)+SUMIF($D$5:$D$319,"=saz",CV5:CV319)*HLOOKUP(CS322,Verteil_rwst,28,FALSE)</f>
        <v>0</v>
      </c>
      <c r="CW389" s="102">
        <f t="shared" ref="CW389" si="2417">IF(CV386&lt;&gt;0,CV389/CV386,0)</f>
        <v>0</v>
      </c>
      <c r="CX389" s="665" t="s">
        <v>194</v>
      </c>
      <c r="DC389" s="217"/>
      <c r="DE389" s="179">
        <f>SUMIF($D$5:$D$319,"=sas",DE5:DE319)*HLOOKUP(DJ322,Verteil_rwst,25,FALSE)+SUMIF($D$5:$D$319,"=sam",DE5:DE319)*HLOOKUP(DJ322,Verteil_rwst,26,FALSE)+SUMIF($D$5:$D$319,"=sar",DE5:DE319)*HLOOKUP(DJ322,Verteil_rwst,27,FALSE)+SUMIF($D$5:$D$319,"=saz",DE5:DE319)*HLOOKUP(DJ322,Verteil_rwst,28,FALSE)</f>
        <v>0</v>
      </c>
      <c r="DG389" s="179">
        <f>SUMIF($D$5:$D$319,"=sas",DG5:DG319)*HLOOKUP(DJ322,Verteil_rwst,25,FALSE)+SUMIF($D$5:$D$319,"=sam",DG5:DG319)*HLOOKUP(DJ322,Verteil_rwst,26,FALSE)+SUMIF($D$5:$D$319,"=sar",DG5:DG319)*HLOOKUP(DJ322,Verteil_rwst,27,FALSE)+SUMIF($D$5:$D$319,"=saz",DG5:DG319)*HLOOKUP(DJ322,Verteil_rwst,28,FALSE)</f>
        <v>0</v>
      </c>
      <c r="DI389" s="102">
        <f t="shared" ref="DI389" si="2418">IF(DJ386&lt;&gt;0,DJ389/DJ386,0)</f>
        <v>0</v>
      </c>
      <c r="DJ389" s="179">
        <f>ROUND(DL389*HLOOKUP(DJ322,Grund_zins,2,FALSE),2)</f>
        <v>0</v>
      </c>
      <c r="DK389" s="179">
        <f>SUMIF($D$5:$D$319,"=sas",DK5:DK319)*HLOOKUP(DJ322,Verteil_rwst,25,FALSE)+SUMIF($D$5:$D$319,"=sam",DK5:DK319)*HLOOKUP(DJ322,Verteil_rwst,26,FALSE)+SUMIF($D$5:$D$319,"=sar",DK5:DK319)*HLOOKUP(DJ322,Verteil_rwst,27,FALSE)+SUMIF($D$5:$D$319,"=saz",DK5:DK319)*HLOOKUP(DJ322,Verteil_rwst,28,FALSE)</f>
        <v>0</v>
      </c>
      <c r="DL389" s="179">
        <f t="shared" si="1985"/>
        <v>0</v>
      </c>
      <c r="DM389" s="179">
        <f>SUMIF($D$5:$D$319,"=sas",DM5:DM319)*HLOOKUP(DJ322,Verteil_rwst,25,FALSE)+SUMIF($D$5:$D$319,"=sam",DM5:DM319)*HLOOKUP(DJ322,Verteil_rwst,26,FALSE)+SUMIF($D$5:$D$319,"=sar",DM5:DM319)*HLOOKUP(DJ322,Verteil_rwst,27,FALSE)+SUMIF($D$5:$D$319,"=saz",DM5:DM319)*HLOOKUP(DJ322,Verteil_rwst,28,FALSE)</f>
        <v>0</v>
      </c>
      <c r="DN389" s="102">
        <f t="shared" ref="DN389" si="2419">IF(DM386&lt;&gt;0,DM389/DM386,0)</f>
        <v>0</v>
      </c>
      <c r="DO389" s="665" t="s">
        <v>194</v>
      </c>
      <c r="DT389" s="217"/>
      <c r="DV389" s="179">
        <f>SUMIF($D$5:$D$319,"=sas",DV5:DV319)*HLOOKUP(EA322,Verteil_rwst,25,FALSE)+SUMIF($D$5:$D$319,"=sam",DV5:DV319)*HLOOKUP(EA322,Verteil_rwst,26,FALSE)+SUMIF($D$5:$D$319,"=sar",DV5:DV319)*HLOOKUP(EA322,Verteil_rwst,27,FALSE)+SUMIF($D$5:$D$319,"=saz",DV5:DV319)*HLOOKUP(EA322,Verteil_rwst,28,FALSE)</f>
        <v>0</v>
      </c>
      <c r="DX389" s="179">
        <f>SUMIF($D$5:$D$319,"=sas",DX5:DX319)*HLOOKUP(EA322,Verteil_rwst,25,FALSE)+SUMIF($D$5:$D$319,"=sam",DX5:DX319)*HLOOKUP(EA322,Verteil_rwst,26,FALSE)+SUMIF($D$5:$D$319,"=sar",DX5:DX319)*HLOOKUP(EA322,Verteil_rwst,27,FALSE)+SUMIF($D$5:$D$319,"=saz",DX5:DX319)*HLOOKUP(EA322,Verteil_rwst,28,FALSE)</f>
        <v>0</v>
      </c>
      <c r="DZ389" s="102">
        <f t="shared" ref="DZ389" si="2420">IF(EA386&lt;&gt;0,EA389/EA386,0)</f>
        <v>0</v>
      </c>
      <c r="EA389" s="179">
        <f>ROUND(EC389*HLOOKUP(EA322,Grund_zins,2,FALSE),2)</f>
        <v>0</v>
      </c>
      <c r="EB389" s="179">
        <f>SUMIF($D$5:$D$319,"=sas",EB5:EB319)*HLOOKUP(EA322,Verteil_rwst,25,FALSE)+SUMIF($D$5:$D$319,"=sam",EB5:EB319)*HLOOKUP(EA322,Verteil_rwst,26,FALSE)+SUMIF($D$5:$D$319,"=sar",EB5:EB319)*HLOOKUP(EA322,Verteil_rwst,27,FALSE)+SUMIF($D$5:$D$319,"=saz",EB5:EB319)*HLOOKUP(EA322,Verteil_rwst,28,FALSE)</f>
        <v>0</v>
      </c>
      <c r="EC389" s="179">
        <f t="shared" si="1992"/>
        <v>0</v>
      </c>
      <c r="ED389" s="179">
        <f>SUMIF($D$5:$D$319,"=sas",ED5:ED319)*HLOOKUP(EA322,Verteil_rwst,25,FALSE)+SUMIF($D$5:$D$319,"=sam",ED5:ED319)*HLOOKUP(EA322,Verteil_rwst,26,FALSE)+SUMIF($D$5:$D$319,"=sar",ED5:ED319)*HLOOKUP(EA322,Verteil_rwst,27,FALSE)+SUMIF($D$5:$D$319,"=saz",ED5:ED319)*HLOOKUP(EA322,Verteil_rwst,28,FALSE)</f>
        <v>0</v>
      </c>
      <c r="EE389" s="102">
        <f t="shared" ref="EE389" si="2421">IF(ED386&lt;&gt;0,ED389/ED386,0)</f>
        <v>0</v>
      </c>
      <c r="EF389" s="665" t="s">
        <v>194</v>
      </c>
      <c r="EK389" s="217"/>
      <c r="EM389" s="179">
        <f>SUMIF($D$5:$D$319,"=sas",EM5:EM319)*HLOOKUP(ER322,Verteil_rwst,25,FALSE)+SUMIF($D$5:$D$319,"=sam",EM5:EM319)*HLOOKUP(ER322,Verteil_rwst,26,FALSE)+SUMIF($D$5:$D$319,"=sar",EM5:EM319)*HLOOKUP(ER322,Verteil_rwst,27,FALSE)+SUMIF($D$5:$D$319,"=saz",EM5:EM319)*HLOOKUP(ER322,Verteil_rwst,28,FALSE)</f>
        <v>0</v>
      </c>
      <c r="EO389" s="179">
        <f>SUMIF($D$5:$D$319,"=sas",EO5:EO319)*HLOOKUP(ER322,Verteil_rwst,25,FALSE)+SUMIF($D$5:$D$319,"=sam",EO5:EO319)*HLOOKUP(ER322,Verteil_rwst,26,FALSE)+SUMIF($D$5:$D$319,"=sar",EO5:EO319)*HLOOKUP(ER322,Verteil_rwst,27,FALSE)+SUMIF($D$5:$D$319,"=saz",EO5:EO319)*HLOOKUP(ER322,Verteil_rwst,28,FALSE)</f>
        <v>0</v>
      </c>
      <c r="EQ389" s="102">
        <f t="shared" ref="EQ389" si="2422">IF(ER386&lt;&gt;0,ER389/ER386,0)</f>
        <v>0</v>
      </c>
      <c r="ER389" s="179">
        <f>ROUND(ET389*HLOOKUP(ER322,Grund_zins,2,FALSE),2)</f>
        <v>0</v>
      </c>
      <c r="ES389" s="179">
        <f>SUMIF($D$5:$D$319,"=sas",ES5:ES319)*HLOOKUP(ER322,Verteil_rwst,25,FALSE)+SUMIF($D$5:$D$319,"=sam",ES5:ES319)*HLOOKUP(ER322,Verteil_rwst,26,FALSE)+SUMIF($D$5:$D$319,"=sar",ES5:ES319)*HLOOKUP(ER322,Verteil_rwst,27,FALSE)+SUMIF($D$5:$D$319,"=saz",ES5:ES319)*HLOOKUP(ER322,Verteil_rwst,28,FALSE)</f>
        <v>0</v>
      </c>
      <c r="ET389" s="179">
        <f t="shared" si="1999"/>
        <v>0</v>
      </c>
      <c r="EU389" s="179">
        <f>SUMIF($D$5:$D$319,"=sas",EU5:EU319)*HLOOKUP(ER322,Verteil_rwst,25,FALSE)+SUMIF($D$5:$D$319,"=sam",EU5:EU319)*HLOOKUP(ER322,Verteil_rwst,26,FALSE)+SUMIF($D$5:$D$319,"=sar",EU5:EU319)*HLOOKUP(ER322,Verteil_rwst,27,FALSE)+SUMIF($D$5:$D$319,"=saz",EU5:EU319)*HLOOKUP(ER322,Verteil_rwst,28,FALSE)</f>
        <v>0</v>
      </c>
      <c r="EV389" s="102">
        <f t="shared" ref="EV389" si="2423">IF(EU386&lt;&gt;0,EU389/EU386,0)</f>
        <v>0</v>
      </c>
      <c r="EW389" s="665" t="s">
        <v>194</v>
      </c>
      <c r="FB389" s="217"/>
      <c r="FD389" s="179">
        <f>SUMIF($D$5:$D$319,"=sas",FD5:FD319)*HLOOKUP(FI322,Verteil_rwst,25,FALSE)+SUMIF($D$5:$D$319,"=sam",FD5:FD319)*HLOOKUP(FI322,Verteil_rwst,26,FALSE)+SUMIF($D$5:$D$319,"=sar",FD5:FD319)*HLOOKUP(FI322,Verteil_rwst,27,FALSE)+SUMIF($D$5:$D$319,"=saz",FD5:FD319)*HLOOKUP(FI322,Verteil_rwst,28,FALSE)</f>
        <v>0</v>
      </c>
      <c r="FF389" s="179">
        <f>SUMIF($D$5:$D$319,"=sas",FF5:FF319)*HLOOKUP(FI322,Verteil_rwst,25,FALSE)+SUMIF($D$5:$D$319,"=sam",FF5:FF319)*HLOOKUP(FI322,Verteil_rwst,26,FALSE)+SUMIF($D$5:$D$319,"=sar",FF5:FF319)*HLOOKUP(FI322,Verteil_rwst,27,FALSE)+SUMIF($D$5:$D$319,"=saz",FF5:FF319)*HLOOKUP(FI322,Verteil_rwst,28,FALSE)</f>
        <v>0</v>
      </c>
      <c r="FH389" s="102">
        <f t="shared" ref="FH389" si="2424">IF(FI386&lt;&gt;0,FI389/FI386,0)</f>
        <v>0</v>
      </c>
      <c r="FI389" s="179">
        <f>ROUND(FK389*HLOOKUP(FI322,Grund_zins,2,FALSE),2)</f>
        <v>0</v>
      </c>
      <c r="FJ389" s="179">
        <f>SUMIF($D$5:$D$319,"=sas",FJ5:FJ319)*HLOOKUP(FI322,Verteil_rwst,25,FALSE)+SUMIF($D$5:$D$319,"=sam",FJ5:FJ319)*HLOOKUP(FI322,Verteil_rwst,26,FALSE)+SUMIF($D$5:$D$319,"=sar",FJ5:FJ319)*HLOOKUP(FI322,Verteil_rwst,27,FALSE)+SUMIF($D$5:$D$319,"=saz",FJ5:FJ319)*HLOOKUP(FI322,Verteil_rwst,28,FALSE)</f>
        <v>0</v>
      </c>
      <c r="FK389" s="179">
        <f t="shared" si="2006"/>
        <v>0</v>
      </c>
      <c r="FL389" s="179">
        <f>SUMIF($D$5:$D$319,"=sas",FL5:FL319)*HLOOKUP(FI322,Verteil_rwst,25,FALSE)+SUMIF($D$5:$D$319,"=sam",FL5:FL319)*HLOOKUP(FI322,Verteil_rwst,26,FALSE)+SUMIF($D$5:$D$319,"=sar",FL5:FL319)*HLOOKUP(FI322,Verteil_rwst,27,FALSE)+SUMIF($D$5:$D$319,"=saz",FL5:FL319)*HLOOKUP(FI322,Verteil_rwst,28,FALSE)</f>
        <v>0</v>
      </c>
      <c r="FM389" s="102">
        <f t="shared" ref="FM389" si="2425">IF(FL386&lt;&gt;0,FL389/FL386,0)</f>
        <v>0</v>
      </c>
      <c r="FN389" s="665" t="s">
        <v>194</v>
      </c>
      <c r="FS389" s="217"/>
    </row>
    <row r="390" spans="1:175" s="10" customFormat="1" ht="15" hidden="1" customHeight="1" x14ac:dyDescent="0.3">
      <c r="A390" s="664" t="s">
        <v>277</v>
      </c>
      <c r="V390" s="217">
        <v>69</v>
      </c>
      <c r="X390" s="179">
        <f>SUMIF($D$5:$D$319,"=alz",X5:X319)</f>
        <v>0</v>
      </c>
      <c r="Z390" s="179">
        <f>SUMIF($D$5:$D$319,"=alz",Z5:Z319)</f>
        <v>0</v>
      </c>
      <c r="AB390" s="102">
        <f t="shared" ref="AB390" si="2426">SUM(AB391:AB393)</f>
        <v>0</v>
      </c>
      <c r="AC390" s="179">
        <f>ROUND(AE390*HLOOKUP(AC322,Grund_zins,2,FALSE),2)</f>
        <v>0</v>
      </c>
      <c r="AD390" s="179">
        <f>SUMIF($D$5:$D$319,"=alz",AD5:AD319)</f>
        <v>0</v>
      </c>
      <c r="AE390" s="179">
        <f t="shared" si="2009"/>
        <v>0</v>
      </c>
      <c r="AF390" s="179">
        <f>SUMIF($D$5:$D$319,"=alz",AF5:AF319)</f>
        <v>0</v>
      </c>
      <c r="AG390" s="102">
        <f t="shared" ref="AG390" si="2427">SUM(AG391:AG393)</f>
        <v>0</v>
      </c>
      <c r="AH390" s="664" t="s">
        <v>277</v>
      </c>
      <c r="AM390" s="217"/>
      <c r="AO390" s="179">
        <f t="shared" ref="AO390" si="2428">SUMIF($D$5:$D$319,"=alz",AO5:AO319)</f>
        <v>0</v>
      </c>
      <c r="AQ390" s="179">
        <f t="shared" ref="AQ390" si="2429">SUMIF($D$5:$D$319,"=alz",AQ5:AQ319)</f>
        <v>0</v>
      </c>
      <c r="AS390" s="102">
        <f t="shared" ref="AS390:CR390" si="2430">SUM(AS391:AS393)</f>
        <v>0</v>
      </c>
      <c r="AT390" s="179">
        <f>ROUND(AV390*HLOOKUP(AT322,Grund_zins,2,FALSE),2)</f>
        <v>0</v>
      </c>
      <c r="AU390" s="179">
        <f t="shared" ref="AU390" si="2431">SUMIF($D$5:$D$319,"=alz",AU5:AU319)</f>
        <v>0</v>
      </c>
      <c r="AV390" s="179">
        <f t="shared" si="1957"/>
        <v>0</v>
      </c>
      <c r="AW390" s="179">
        <f t="shared" ref="AW390" si="2432">SUMIF($D$5:$D$319,"=alz",AW5:AW319)</f>
        <v>0</v>
      </c>
      <c r="AX390" s="102">
        <f t="shared" ref="AX390:CW390" si="2433">SUM(AX391:AX393)</f>
        <v>0</v>
      </c>
      <c r="AY390" s="664" t="s">
        <v>277</v>
      </c>
      <c r="BD390" s="217"/>
      <c r="BF390" s="179">
        <f t="shared" ref="BF390" si="2434">SUMIF($D$5:$D$319,"=alz",BF5:BF319)</f>
        <v>0</v>
      </c>
      <c r="BH390" s="179">
        <f t="shared" ref="BH390" si="2435">SUMIF($D$5:$D$319,"=alz",BH5:BH319)</f>
        <v>0</v>
      </c>
      <c r="BJ390" s="102">
        <f t="shared" si="2430"/>
        <v>0</v>
      </c>
      <c r="BK390" s="179">
        <f>ROUND(BM390*HLOOKUP(BK322,Grund_zins,2,FALSE),2)</f>
        <v>0</v>
      </c>
      <c r="BL390" s="179">
        <f t="shared" ref="BL390" si="2436">SUMIF($D$5:$D$319,"=alz",BL5:BL319)</f>
        <v>0</v>
      </c>
      <c r="BM390" s="179">
        <f t="shared" si="1964"/>
        <v>0</v>
      </c>
      <c r="BN390" s="179">
        <f t="shared" ref="BN390" si="2437">SUMIF($D$5:$D$319,"=alz",BN5:BN319)</f>
        <v>0</v>
      </c>
      <c r="BO390" s="102">
        <f t="shared" si="2433"/>
        <v>0</v>
      </c>
      <c r="BP390" s="664" t="s">
        <v>277</v>
      </c>
      <c r="BU390" s="217"/>
      <c r="BW390" s="179">
        <f t="shared" ref="BW390" si="2438">SUMIF($D$5:$D$319,"=alz",BW5:BW319)</f>
        <v>0</v>
      </c>
      <c r="BY390" s="179">
        <f t="shared" ref="BY390" si="2439">SUMIF($D$5:$D$319,"=alz",BY5:BY319)</f>
        <v>0</v>
      </c>
      <c r="CA390" s="102">
        <f t="shared" si="2430"/>
        <v>0</v>
      </c>
      <c r="CB390" s="179">
        <f>ROUND(CD390*HLOOKUP(CB322,Grund_zins,2,FALSE),2)</f>
        <v>0</v>
      </c>
      <c r="CC390" s="179">
        <f t="shared" ref="CC390" si="2440">SUMIF($D$5:$D$319,"=alz",CC5:CC319)</f>
        <v>0</v>
      </c>
      <c r="CD390" s="179">
        <f t="shared" si="1971"/>
        <v>0</v>
      </c>
      <c r="CE390" s="179">
        <f t="shared" ref="CE390" si="2441">SUMIF($D$5:$D$319,"=alz",CE5:CE319)</f>
        <v>0</v>
      </c>
      <c r="CF390" s="102">
        <f t="shared" si="2433"/>
        <v>0</v>
      </c>
      <c r="CG390" s="664" t="s">
        <v>277</v>
      </c>
      <c r="CL390" s="217"/>
      <c r="CN390" s="179">
        <f t="shared" ref="CN390" si="2442">SUMIF($D$5:$D$319,"=alz",CN5:CN319)</f>
        <v>0</v>
      </c>
      <c r="CP390" s="179">
        <f t="shared" ref="CP390" si="2443">SUMIF($D$5:$D$319,"=alz",CP5:CP319)</f>
        <v>0</v>
      </c>
      <c r="CR390" s="102">
        <f t="shared" si="2430"/>
        <v>0</v>
      </c>
      <c r="CS390" s="179">
        <f>ROUND(CU390*HLOOKUP(CS322,Grund_zins,2,FALSE),2)</f>
        <v>0</v>
      </c>
      <c r="CT390" s="179">
        <f t="shared" ref="CT390" si="2444">SUMIF($D$5:$D$319,"=alz",CT5:CT319)</f>
        <v>0</v>
      </c>
      <c r="CU390" s="179">
        <f t="shared" si="1978"/>
        <v>0</v>
      </c>
      <c r="CV390" s="179">
        <f t="shared" ref="CV390" si="2445">SUMIF($D$5:$D$319,"=alz",CV5:CV319)</f>
        <v>0</v>
      </c>
      <c r="CW390" s="102">
        <f t="shared" si="2433"/>
        <v>0</v>
      </c>
      <c r="CX390" s="664" t="s">
        <v>277</v>
      </c>
      <c r="DC390" s="217"/>
      <c r="DE390" s="179">
        <f t="shared" ref="DE390" si="2446">SUMIF($D$5:$D$319,"=alz",DE5:DE319)</f>
        <v>0</v>
      </c>
      <c r="DG390" s="179">
        <f t="shared" ref="DG390" si="2447">SUMIF($D$5:$D$319,"=alz",DG5:DG319)</f>
        <v>0</v>
      </c>
      <c r="DI390" s="102">
        <f t="shared" ref="DI390:FH390" si="2448">SUM(DI391:DI393)</f>
        <v>0</v>
      </c>
      <c r="DJ390" s="179">
        <f>ROUND(DL390*HLOOKUP(DJ322,Grund_zins,2,FALSE),2)</f>
        <v>0</v>
      </c>
      <c r="DK390" s="179">
        <f t="shared" ref="DK390" si="2449">SUMIF($D$5:$D$319,"=alz",DK5:DK319)</f>
        <v>0</v>
      </c>
      <c r="DL390" s="179">
        <f t="shared" si="1985"/>
        <v>0</v>
      </c>
      <c r="DM390" s="179">
        <f t="shared" ref="DM390" si="2450">SUMIF($D$5:$D$319,"=alz",DM5:DM319)</f>
        <v>0</v>
      </c>
      <c r="DN390" s="102">
        <f t="shared" ref="DN390:FM390" si="2451">SUM(DN391:DN393)</f>
        <v>0</v>
      </c>
      <c r="DO390" s="664" t="s">
        <v>277</v>
      </c>
      <c r="DT390" s="217"/>
      <c r="DV390" s="179">
        <f t="shared" ref="DV390" si="2452">SUMIF($D$5:$D$319,"=alz",DV5:DV319)</f>
        <v>0</v>
      </c>
      <c r="DX390" s="179">
        <f t="shared" ref="DX390" si="2453">SUMIF($D$5:$D$319,"=alz",DX5:DX319)</f>
        <v>0</v>
      </c>
      <c r="DZ390" s="102">
        <f t="shared" si="2448"/>
        <v>0</v>
      </c>
      <c r="EA390" s="179">
        <f>ROUND(EC390*HLOOKUP(EA322,Grund_zins,2,FALSE),2)</f>
        <v>0</v>
      </c>
      <c r="EB390" s="179">
        <f t="shared" ref="EB390" si="2454">SUMIF($D$5:$D$319,"=alz",EB5:EB319)</f>
        <v>0</v>
      </c>
      <c r="EC390" s="179">
        <f t="shared" si="1992"/>
        <v>0</v>
      </c>
      <c r="ED390" s="179">
        <f t="shared" ref="ED390" si="2455">SUMIF($D$5:$D$319,"=alz",ED5:ED319)</f>
        <v>0</v>
      </c>
      <c r="EE390" s="102">
        <f t="shared" si="2451"/>
        <v>0</v>
      </c>
      <c r="EF390" s="664" t="s">
        <v>277</v>
      </c>
      <c r="EK390" s="217"/>
      <c r="EM390" s="179">
        <f t="shared" ref="EM390" si="2456">SUMIF($D$5:$D$319,"=alz",EM5:EM319)</f>
        <v>0</v>
      </c>
      <c r="EO390" s="179">
        <f t="shared" ref="EO390" si="2457">SUMIF($D$5:$D$319,"=alz",EO5:EO319)</f>
        <v>0</v>
      </c>
      <c r="EQ390" s="102">
        <f t="shared" si="2448"/>
        <v>0</v>
      </c>
      <c r="ER390" s="179">
        <f>ROUND(ET390*HLOOKUP(ER322,Grund_zins,2,FALSE),2)</f>
        <v>0</v>
      </c>
      <c r="ES390" s="179">
        <f t="shared" ref="ES390" si="2458">SUMIF($D$5:$D$319,"=alz",ES5:ES319)</f>
        <v>0</v>
      </c>
      <c r="ET390" s="179">
        <f t="shared" si="1999"/>
        <v>0</v>
      </c>
      <c r="EU390" s="179">
        <f t="shared" ref="EU390" si="2459">SUMIF($D$5:$D$319,"=alz",EU5:EU319)</f>
        <v>0</v>
      </c>
      <c r="EV390" s="102">
        <f t="shared" si="2451"/>
        <v>0</v>
      </c>
      <c r="EW390" s="664" t="s">
        <v>277</v>
      </c>
      <c r="FB390" s="217"/>
      <c r="FD390" s="179">
        <f t="shared" ref="FD390" si="2460">SUMIF($D$5:$D$319,"=alz",FD5:FD319)</f>
        <v>0</v>
      </c>
      <c r="FF390" s="179">
        <f t="shared" ref="FF390" si="2461">SUMIF($D$5:$D$319,"=alz",FF5:FF319)</f>
        <v>0</v>
      </c>
      <c r="FH390" s="102">
        <f t="shared" si="2448"/>
        <v>0</v>
      </c>
      <c r="FI390" s="179">
        <f>ROUND(FK390*HLOOKUP(FI322,Grund_zins,2,FALSE),2)</f>
        <v>0</v>
      </c>
      <c r="FJ390" s="179">
        <f t="shared" ref="FJ390" si="2462">SUMIF($D$5:$D$319,"=alz",FJ5:FJ319)</f>
        <v>0</v>
      </c>
      <c r="FK390" s="179">
        <f t="shared" si="2006"/>
        <v>0</v>
      </c>
      <c r="FL390" s="179">
        <f t="shared" ref="FL390" si="2463">SUMIF($D$5:$D$319,"=alz",FL5:FL319)</f>
        <v>0</v>
      </c>
      <c r="FM390" s="102">
        <f t="shared" si="2451"/>
        <v>0</v>
      </c>
      <c r="FN390" s="664" t="s">
        <v>277</v>
      </c>
      <c r="FS390" s="217"/>
    </row>
    <row r="391" spans="1:175" s="10" customFormat="1" ht="15" hidden="1" customHeight="1" x14ac:dyDescent="0.3">
      <c r="A391" s="665" t="s">
        <v>180</v>
      </c>
      <c r="V391" s="217">
        <v>70</v>
      </c>
      <c r="X391" s="179">
        <f>SUMIF($D$5:$D$319,"=alz",X5:X319)*HLOOKUP(AC322,Verteil_sw,51,FALSE)</f>
        <v>0</v>
      </c>
      <c r="Z391" s="179">
        <f>SUMIF($D$5:$D$319,"=alz",Z5:Z319)*HLOOKUP(AC322,Verteil_sw,51,FALSE)</f>
        <v>0</v>
      </c>
      <c r="AB391" s="102">
        <f t="shared" ref="AB391" si="2464">IF(AC390&lt;&gt;0,AC391/AC390,0)</f>
        <v>0</v>
      </c>
      <c r="AC391" s="179">
        <f>ROUND(AE391*HLOOKUP(AC322,Grund_zins,2,FALSE),2)</f>
        <v>0</v>
      </c>
      <c r="AD391" s="179">
        <f>SUMIF($D$5:$D$319,"=alz",AD5:AD319)*HLOOKUP(AC322,Verteil_sw,51,FALSE)</f>
        <v>0</v>
      </c>
      <c r="AE391" s="179">
        <f t="shared" si="2009"/>
        <v>0</v>
      </c>
      <c r="AF391" s="179">
        <f>SUMIF($D$5:$D$319,"=alz",AF5:AF319)*HLOOKUP(AC322,Verteil_sw,51,FALSE)</f>
        <v>0</v>
      </c>
      <c r="AG391" s="102">
        <f t="shared" ref="AG391" si="2465">IF(AF390&lt;&gt;0,AF391/AF390,0)</f>
        <v>0</v>
      </c>
      <c r="AH391" s="665" t="s">
        <v>180</v>
      </c>
      <c r="AM391" s="217"/>
      <c r="AO391" s="179">
        <f>SUMIF($D$5:$D$319,"=alz",AO5:AO319)*HLOOKUP(AT322,Verteil_sw,51,FALSE)</f>
        <v>0</v>
      </c>
      <c r="AQ391" s="179">
        <f>SUMIF($D$5:$D$319,"=alz",AQ5:AQ319)*HLOOKUP(AT322,Verteil_sw,51,FALSE)</f>
        <v>0</v>
      </c>
      <c r="AS391" s="102">
        <f t="shared" ref="AS391" si="2466">IF(AT390&lt;&gt;0,AT391/AT390,0)</f>
        <v>0</v>
      </c>
      <c r="AT391" s="179">
        <f>ROUND(AV391*HLOOKUP(AT322,Grund_zins,2,FALSE),2)</f>
        <v>0</v>
      </c>
      <c r="AU391" s="179">
        <f>SUMIF($D$5:$D$319,"=alz",AU5:AU319)*HLOOKUP(AT322,Verteil_sw,51,FALSE)</f>
        <v>0</v>
      </c>
      <c r="AV391" s="179">
        <f t="shared" si="1957"/>
        <v>0</v>
      </c>
      <c r="AW391" s="179">
        <f>SUMIF($D$5:$D$319,"=alz",AW5:AW319)*HLOOKUP(AT322,Verteil_sw,51,FALSE)</f>
        <v>0</v>
      </c>
      <c r="AX391" s="102">
        <f t="shared" ref="AX391" si="2467">IF(AW390&lt;&gt;0,AW391/AW390,0)</f>
        <v>0</v>
      </c>
      <c r="AY391" s="665" t="s">
        <v>180</v>
      </c>
      <c r="BD391" s="217"/>
      <c r="BF391" s="179">
        <f>SUMIF($D$5:$D$319,"=alz",BF5:BF319)*HLOOKUP(BK322,Verteil_sw,51,FALSE)</f>
        <v>0</v>
      </c>
      <c r="BH391" s="179">
        <f>SUMIF($D$5:$D$319,"=alz",BH5:BH319)*HLOOKUP(BK322,Verteil_sw,51,FALSE)</f>
        <v>0</v>
      </c>
      <c r="BJ391" s="102">
        <f t="shared" ref="BJ391" si="2468">IF(BK390&lt;&gt;0,BK391/BK390,0)</f>
        <v>0</v>
      </c>
      <c r="BK391" s="179">
        <f>ROUND(BM391*HLOOKUP(BK322,Grund_zins,2,FALSE),2)</f>
        <v>0</v>
      </c>
      <c r="BL391" s="179">
        <f>SUMIF($D$5:$D$319,"=alz",BL5:BL319)*HLOOKUP(BK322,Verteil_sw,51,FALSE)</f>
        <v>0</v>
      </c>
      <c r="BM391" s="179">
        <f t="shared" si="1964"/>
        <v>0</v>
      </c>
      <c r="BN391" s="179">
        <f>SUMIF($D$5:$D$319,"=alz",BN5:BN319)*HLOOKUP(BK322,Verteil_sw,51,FALSE)</f>
        <v>0</v>
      </c>
      <c r="BO391" s="102">
        <f t="shared" ref="BO391" si="2469">IF(BN390&lt;&gt;0,BN391/BN390,0)</f>
        <v>0</v>
      </c>
      <c r="BP391" s="665" t="s">
        <v>180</v>
      </c>
      <c r="BU391" s="217"/>
      <c r="BW391" s="179">
        <f>SUMIF($D$5:$D$319,"=alz",BW5:BW319)*HLOOKUP(CB322,Verteil_sw,51,FALSE)</f>
        <v>0</v>
      </c>
      <c r="BY391" s="179">
        <f>SUMIF($D$5:$D$319,"=alz",BY5:BY319)*HLOOKUP(CB322,Verteil_sw,51,FALSE)</f>
        <v>0</v>
      </c>
      <c r="CA391" s="102">
        <f t="shared" ref="CA391" si="2470">IF(CB390&lt;&gt;0,CB391/CB390,0)</f>
        <v>0</v>
      </c>
      <c r="CB391" s="179">
        <f>ROUND(CD391*HLOOKUP(CB322,Grund_zins,2,FALSE),2)</f>
        <v>0</v>
      </c>
      <c r="CC391" s="179">
        <f>SUMIF($D$5:$D$319,"=alz",CC5:CC319)*HLOOKUP(CB322,Verteil_sw,51,FALSE)</f>
        <v>0</v>
      </c>
      <c r="CD391" s="179">
        <f t="shared" si="1971"/>
        <v>0</v>
      </c>
      <c r="CE391" s="179">
        <f>SUMIF($D$5:$D$319,"=alz",CE5:CE319)*HLOOKUP(CB322,Verteil_sw,51,FALSE)</f>
        <v>0</v>
      </c>
      <c r="CF391" s="102">
        <f t="shared" ref="CF391" si="2471">IF(CE390&lt;&gt;0,CE391/CE390,0)</f>
        <v>0</v>
      </c>
      <c r="CG391" s="665" t="s">
        <v>180</v>
      </c>
      <c r="CL391" s="217"/>
      <c r="CN391" s="179">
        <f>SUMIF($D$5:$D$319,"=alz",CN5:CN319)*HLOOKUP(CS322,Verteil_sw,51,FALSE)</f>
        <v>0</v>
      </c>
      <c r="CP391" s="179">
        <f>SUMIF($D$5:$D$319,"=alz",CP5:CP319)*HLOOKUP(CS322,Verteil_sw,51,FALSE)</f>
        <v>0</v>
      </c>
      <c r="CR391" s="102">
        <f t="shared" ref="CR391" si="2472">IF(CS390&lt;&gt;0,CS391/CS390,0)</f>
        <v>0</v>
      </c>
      <c r="CS391" s="179">
        <f>ROUND(CU391*HLOOKUP(CS322,Grund_zins,2,FALSE),2)</f>
        <v>0</v>
      </c>
      <c r="CT391" s="179">
        <f>SUMIF($D$5:$D$319,"=alz",CT5:CT319)*HLOOKUP(CS322,Verteil_sw,51,FALSE)</f>
        <v>0</v>
      </c>
      <c r="CU391" s="179">
        <f t="shared" si="1978"/>
        <v>0</v>
      </c>
      <c r="CV391" s="179">
        <f>SUMIF($D$5:$D$319,"=alz",CV5:CV319)*HLOOKUP(CS322,Verteil_sw,51,FALSE)</f>
        <v>0</v>
      </c>
      <c r="CW391" s="102">
        <f t="shared" ref="CW391" si="2473">IF(CV390&lt;&gt;0,CV391/CV390,0)</f>
        <v>0</v>
      </c>
      <c r="CX391" s="665" t="s">
        <v>180</v>
      </c>
      <c r="DC391" s="217"/>
      <c r="DE391" s="179">
        <f>SUMIF($D$5:$D$319,"=alz",DE5:DE319)*HLOOKUP(DJ322,Verteil_sw,51,FALSE)</f>
        <v>0</v>
      </c>
      <c r="DG391" s="179">
        <f>SUMIF($D$5:$D$319,"=alz",DG5:DG319)*HLOOKUP(DJ322,Verteil_sw,51,FALSE)</f>
        <v>0</v>
      </c>
      <c r="DI391" s="102">
        <f t="shared" ref="DI391" si="2474">IF(DJ390&lt;&gt;0,DJ391/DJ390,0)</f>
        <v>0</v>
      </c>
      <c r="DJ391" s="179">
        <f>ROUND(DL391*HLOOKUP(DJ322,Grund_zins,2,FALSE),2)</f>
        <v>0</v>
      </c>
      <c r="DK391" s="179">
        <f>SUMIF($D$5:$D$319,"=alz",DK5:DK319)*HLOOKUP(DJ322,Verteil_sw,51,FALSE)</f>
        <v>0</v>
      </c>
      <c r="DL391" s="179">
        <f t="shared" si="1985"/>
        <v>0</v>
      </c>
      <c r="DM391" s="179">
        <f>SUMIF($D$5:$D$319,"=alz",DM5:DM319)*HLOOKUP(DJ322,Verteil_sw,51,FALSE)</f>
        <v>0</v>
      </c>
      <c r="DN391" s="102">
        <f t="shared" ref="DN391" si="2475">IF(DM390&lt;&gt;0,DM391/DM390,0)</f>
        <v>0</v>
      </c>
      <c r="DO391" s="665" t="s">
        <v>180</v>
      </c>
      <c r="DT391" s="217"/>
      <c r="DV391" s="179">
        <f>SUMIF($D$5:$D$319,"=alz",DV5:DV319)*HLOOKUP(EA322,Verteil_sw,51,FALSE)</f>
        <v>0</v>
      </c>
      <c r="DX391" s="179">
        <f>SUMIF($D$5:$D$319,"=alz",DX5:DX319)*HLOOKUP(EA322,Verteil_sw,51,FALSE)</f>
        <v>0</v>
      </c>
      <c r="DZ391" s="102">
        <f t="shared" ref="DZ391" si="2476">IF(EA390&lt;&gt;0,EA391/EA390,0)</f>
        <v>0</v>
      </c>
      <c r="EA391" s="179">
        <f>ROUND(EC391*HLOOKUP(EA322,Grund_zins,2,FALSE),2)</f>
        <v>0</v>
      </c>
      <c r="EB391" s="179">
        <f>SUMIF($D$5:$D$319,"=alz",EB5:EB319)*HLOOKUP(EA322,Verteil_sw,51,FALSE)</f>
        <v>0</v>
      </c>
      <c r="EC391" s="179">
        <f t="shared" si="1992"/>
        <v>0</v>
      </c>
      <c r="ED391" s="179">
        <f>SUMIF($D$5:$D$319,"=alz",ED5:ED319)*HLOOKUP(EA322,Verteil_sw,51,FALSE)</f>
        <v>0</v>
      </c>
      <c r="EE391" s="102">
        <f t="shared" ref="EE391" si="2477">IF(ED390&lt;&gt;0,ED391/ED390,0)</f>
        <v>0</v>
      </c>
      <c r="EF391" s="665" t="s">
        <v>180</v>
      </c>
      <c r="EK391" s="217"/>
      <c r="EM391" s="179">
        <f>SUMIF($D$5:$D$319,"=alz",EM5:EM319)*HLOOKUP(ER322,Verteil_sw,51,FALSE)</f>
        <v>0</v>
      </c>
      <c r="EO391" s="179">
        <f>SUMIF($D$5:$D$319,"=alz",EO5:EO319)*HLOOKUP(ER322,Verteil_sw,51,FALSE)</f>
        <v>0</v>
      </c>
      <c r="EQ391" s="102">
        <f t="shared" ref="EQ391" si="2478">IF(ER390&lt;&gt;0,ER391/ER390,0)</f>
        <v>0</v>
      </c>
      <c r="ER391" s="179">
        <f>ROUND(ET391*HLOOKUP(ER322,Grund_zins,2,FALSE),2)</f>
        <v>0</v>
      </c>
      <c r="ES391" s="179">
        <f>SUMIF($D$5:$D$319,"=alz",ES5:ES319)*HLOOKUP(ER322,Verteil_sw,51,FALSE)</f>
        <v>0</v>
      </c>
      <c r="ET391" s="179">
        <f t="shared" si="1999"/>
        <v>0</v>
      </c>
      <c r="EU391" s="179">
        <f>SUMIF($D$5:$D$319,"=alz",EU5:EU319)*HLOOKUP(ER322,Verteil_sw,51,FALSE)</f>
        <v>0</v>
      </c>
      <c r="EV391" s="102">
        <f t="shared" ref="EV391" si="2479">IF(EU390&lt;&gt;0,EU391/EU390,0)</f>
        <v>0</v>
      </c>
      <c r="EW391" s="665" t="s">
        <v>180</v>
      </c>
      <c r="FB391" s="217"/>
      <c r="FD391" s="179">
        <f>SUMIF($D$5:$D$319,"=alz",FD5:FD319)*HLOOKUP(FI322,Verteil_sw,51,FALSE)</f>
        <v>0</v>
      </c>
      <c r="FF391" s="179">
        <f>SUMIF($D$5:$D$319,"=alz",FF5:FF319)*HLOOKUP(FI322,Verteil_sw,51,FALSE)</f>
        <v>0</v>
      </c>
      <c r="FH391" s="102">
        <f t="shared" ref="FH391" si="2480">IF(FI390&lt;&gt;0,FI391/FI390,0)</f>
        <v>0</v>
      </c>
      <c r="FI391" s="179">
        <f>ROUND(FK391*HLOOKUP(FI322,Grund_zins,2,FALSE),2)</f>
        <v>0</v>
      </c>
      <c r="FJ391" s="179">
        <f>SUMIF($D$5:$D$319,"=alz",FJ5:FJ319)*HLOOKUP(FI322,Verteil_sw,51,FALSE)</f>
        <v>0</v>
      </c>
      <c r="FK391" s="179">
        <f t="shared" si="2006"/>
        <v>0</v>
      </c>
      <c r="FL391" s="179">
        <f>SUMIF($D$5:$D$319,"=alz",FL5:FL319)*HLOOKUP(FI322,Verteil_sw,51,FALSE)</f>
        <v>0</v>
      </c>
      <c r="FM391" s="102">
        <f t="shared" ref="FM391" si="2481">IF(FL390&lt;&gt;0,FL391/FL390,0)</f>
        <v>0</v>
      </c>
      <c r="FN391" s="665" t="s">
        <v>180</v>
      </c>
      <c r="FS391" s="217"/>
    </row>
    <row r="392" spans="1:175" s="10" customFormat="1" ht="15" hidden="1" customHeight="1" x14ac:dyDescent="0.3">
      <c r="A392" s="665" t="s">
        <v>193</v>
      </c>
      <c r="V392" s="217">
        <v>71</v>
      </c>
      <c r="X392" s="179">
        <f>SUMIF($D$5:$D$319,"=alz",X5:X319)*HLOOKUP(AC322,Verteil_rwgr,50,FALSE)</f>
        <v>0</v>
      </c>
      <c r="Z392" s="179">
        <f>SUMIF($D$5:$D$319,"=alz",Z5:Z319)*HLOOKUP(AC322,Verteil_rwgr,50,FALSE)</f>
        <v>0</v>
      </c>
      <c r="AB392" s="102">
        <f t="shared" ref="AB392" si="2482">IF(AC390&lt;&gt;0,AC392/AC390,0)</f>
        <v>0</v>
      </c>
      <c r="AC392" s="179">
        <f>ROUND(AE392*HLOOKUP(AC322,Grund_zins,2,FALSE),2)</f>
        <v>0</v>
      </c>
      <c r="AD392" s="179">
        <f>SUMIF($D$5:$D$319,"=alz",AD5:AD319)*HLOOKUP(AC322,Verteil_rwgr,50,FALSE)</f>
        <v>0</v>
      </c>
      <c r="AE392" s="179">
        <f t="shared" si="2009"/>
        <v>0</v>
      </c>
      <c r="AF392" s="179">
        <f>SUMIF($D$5:$D$319,"=alz",AF5:AF319)*HLOOKUP(AC322,Verteil_rwgr,50,FALSE)</f>
        <v>0</v>
      </c>
      <c r="AG392" s="102">
        <f t="shared" ref="AG392" si="2483">IF(AF390&lt;&gt;0,AF392/AF390,0)</f>
        <v>0</v>
      </c>
      <c r="AH392" s="665" t="s">
        <v>193</v>
      </c>
      <c r="AM392" s="217"/>
      <c r="AO392" s="179">
        <f>SUMIF($D$5:$D$319,"=alz",AO5:AO319)*HLOOKUP(AT322,Verteil_rwgr,50,FALSE)</f>
        <v>0</v>
      </c>
      <c r="AQ392" s="179">
        <f>SUMIF($D$5:$D$319,"=alz",AQ5:AQ319)*HLOOKUP(AT322,Verteil_rwgr,50,FALSE)</f>
        <v>0</v>
      </c>
      <c r="AS392" s="102">
        <f t="shared" ref="AS392" si="2484">IF(AT390&lt;&gt;0,AT392/AT390,0)</f>
        <v>0</v>
      </c>
      <c r="AT392" s="179">
        <f>ROUND(AV392*HLOOKUP(AT322,Grund_zins,2,FALSE),2)</f>
        <v>0</v>
      </c>
      <c r="AU392" s="179">
        <f>SUMIF($D$5:$D$319,"=alz",AU5:AU319)*HLOOKUP(AT322,Verteil_rwgr,50,FALSE)</f>
        <v>0</v>
      </c>
      <c r="AV392" s="179">
        <f t="shared" si="1957"/>
        <v>0</v>
      </c>
      <c r="AW392" s="179">
        <f>SUMIF($D$5:$D$319,"=alz",AW5:AW319)*HLOOKUP(AT322,Verteil_rwgr,50,FALSE)</f>
        <v>0</v>
      </c>
      <c r="AX392" s="102">
        <f t="shared" ref="AX392" si="2485">IF(AW390&lt;&gt;0,AW392/AW390,0)</f>
        <v>0</v>
      </c>
      <c r="AY392" s="665" t="s">
        <v>193</v>
      </c>
      <c r="BD392" s="217"/>
      <c r="BF392" s="179">
        <f>SUMIF($D$5:$D$319,"=alz",BF5:BF319)*HLOOKUP(BK322,Verteil_rwgr,50,FALSE)</f>
        <v>0</v>
      </c>
      <c r="BH392" s="179">
        <f>SUMIF($D$5:$D$319,"=alz",BH5:BH319)*HLOOKUP(BK322,Verteil_rwgr,50,FALSE)</f>
        <v>0</v>
      </c>
      <c r="BJ392" s="102">
        <f t="shared" ref="BJ392" si="2486">IF(BK390&lt;&gt;0,BK392/BK390,0)</f>
        <v>0</v>
      </c>
      <c r="BK392" s="179">
        <f>ROUND(BM392*HLOOKUP(BK322,Grund_zins,2,FALSE),2)</f>
        <v>0</v>
      </c>
      <c r="BL392" s="179">
        <f>SUMIF($D$5:$D$319,"=alz",BL5:BL319)*HLOOKUP(BK322,Verteil_rwgr,50,FALSE)</f>
        <v>0</v>
      </c>
      <c r="BM392" s="179">
        <f t="shared" si="1964"/>
        <v>0</v>
      </c>
      <c r="BN392" s="179">
        <f>SUMIF($D$5:$D$319,"=alz",BN5:BN319)*HLOOKUP(BK322,Verteil_rwgr,50,FALSE)</f>
        <v>0</v>
      </c>
      <c r="BO392" s="102">
        <f t="shared" ref="BO392" si="2487">IF(BN390&lt;&gt;0,BN392/BN390,0)</f>
        <v>0</v>
      </c>
      <c r="BP392" s="665" t="s">
        <v>193</v>
      </c>
      <c r="BU392" s="217"/>
      <c r="BW392" s="179">
        <f>SUMIF($D$5:$D$319,"=alz",BW5:BW319)*HLOOKUP(CB322,Verteil_rwgr,50,FALSE)</f>
        <v>0</v>
      </c>
      <c r="BY392" s="179">
        <f>SUMIF($D$5:$D$319,"=alz",BY5:BY319)*HLOOKUP(CB322,Verteil_rwgr,50,FALSE)</f>
        <v>0</v>
      </c>
      <c r="CA392" s="102">
        <f t="shared" ref="CA392" si="2488">IF(CB390&lt;&gt;0,CB392/CB390,0)</f>
        <v>0</v>
      </c>
      <c r="CB392" s="179">
        <f>ROUND(CD392*HLOOKUP(CB322,Grund_zins,2,FALSE),2)</f>
        <v>0</v>
      </c>
      <c r="CC392" s="179">
        <f>SUMIF($D$5:$D$319,"=alz",CC5:CC319)*HLOOKUP(CB322,Verteil_rwgr,50,FALSE)</f>
        <v>0</v>
      </c>
      <c r="CD392" s="179">
        <f t="shared" si="1971"/>
        <v>0</v>
      </c>
      <c r="CE392" s="179">
        <f>SUMIF($D$5:$D$319,"=alz",CE5:CE319)*HLOOKUP(CB322,Verteil_rwgr,50,FALSE)</f>
        <v>0</v>
      </c>
      <c r="CF392" s="102">
        <f t="shared" ref="CF392" si="2489">IF(CE390&lt;&gt;0,CE392/CE390,0)</f>
        <v>0</v>
      </c>
      <c r="CG392" s="665" t="s">
        <v>193</v>
      </c>
      <c r="CL392" s="217"/>
      <c r="CN392" s="179">
        <f>SUMIF($D$5:$D$319,"=alz",CN5:CN319)*HLOOKUP(CS322,Verteil_rwgr,50,FALSE)</f>
        <v>0</v>
      </c>
      <c r="CP392" s="179">
        <f>SUMIF($D$5:$D$319,"=alz",CP5:CP319)*HLOOKUP(CS322,Verteil_rwgr,50,FALSE)</f>
        <v>0</v>
      </c>
      <c r="CR392" s="102">
        <f t="shared" ref="CR392" si="2490">IF(CS390&lt;&gt;0,CS392/CS390,0)</f>
        <v>0</v>
      </c>
      <c r="CS392" s="179">
        <f>ROUND(CU392*HLOOKUP(CS322,Grund_zins,2,FALSE),2)</f>
        <v>0</v>
      </c>
      <c r="CT392" s="179">
        <f>SUMIF($D$5:$D$319,"=alz",CT5:CT319)*HLOOKUP(CS322,Verteil_rwgr,50,FALSE)</f>
        <v>0</v>
      </c>
      <c r="CU392" s="179">
        <f t="shared" si="1978"/>
        <v>0</v>
      </c>
      <c r="CV392" s="179">
        <f>SUMIF($D$5:$D$319,"=alz",CV5:CV319)*HLOOKUP(CS322,Verteil_rwgr,50,FALSE)</f>
        <v>0</v>
      </c>
      <c r="CW392" s="102">
        <f t="shared" ref="CW392" si="2491">IF(CV390&lt;&gt;0,CV392/CV390,0)</f>
        <v>0</v>
      </c>
      <c r="CX392" s="665" t="s">
        <v>193</v>
      </c>
      <c r="DC392" s="217"/>
      <c r="DE392" s="179">
        <f>SUMIF($D$5:$D$319,"=alz",DE5:DE319)*HLOOKUP(DJ322,Verteil_rwgr,50,FALSE)</f>
        <v>0</v>
      </c>
      <c r="DG392" s="179">
        <f>SUMIF($D$5:$D$319,"=alz",DG5:DG319)*HLOOKUP(DJ322,Verteil_rwgr,50,FALSE)</f>
        <v>0</v>
      </c>
      <c r="DI392" s="102">
        <f t="shared" ref="DI392" si="2492">IF(DJ390&lt;&gt;0,DJ392/DJ390,0)</f>
        <v>0</v>
      </c>
      <c r="DJ392" s="179">
        <f>ROUND(DL392*HLOOKUP(DJ322,Grund_zins,2,FALSE),2)</f>
        <v>0</v>
      </c>
      <c r="DK392" s="179">
        <f>SUMIF($D$5:$D$319,"=alz",DK5:DK319)*HLOOKUP(DJ322,Verteil_rwgr,50,FALSE)</f>
        <v>0</v>
      </c>
      <c r="DL392" s="179">
        <f t="shared" si="1985"/>
        <v>0</v>
      </c>
      <c r="DM392" s="179">
        <f>SUMIF($D$5:$D$319,"=alz",DM5:DM319)*HLOOKUP(DJ322,Verteil_rwgr,50,FALSE)</f>
        <v>0</v>
      </c>
      <c r="DN392" s="102">
        <f t="shared" ref="DN392" si="2493">IF(DM390&lt;&gt;0,DM392/DM390,0)</f>
        <v>0</v>
      </c>
      <c r="DO392" s="665" t="s">
        <v>193</v>
      </c>
      <c r="DT392" s="217"/>
      <c r="DV392" s="179">
        <f>SUMIF($D$5:$D$319,"=alz",DV5:DV319)*HLOOKUP(EA322,Verteil_rwgr,50,FALSE)</f>
        <v>0</v>
      </c>
      <c r="DX392" s="179">
        <f>SUMIF($D$5:$D$319,"=alz",DX5:DX319)*HLOOKUP(EA322,Verteil_rwgr,50,FALSE)</f>
        <v>0</v>
      </c>
      <c r="DZ392" s="102">
        <f t="shared" ref="DZ392" si="2494">IF(EA390&lt;&gt;0,EA392/EA390,0)</f>
        <v>0</v>
      </c>
      <c r="EA392" s="179">
        <f>ROUND(EC392*HLOOKUP(EA322,Grund_zins,2,FALSE),2)</f>
        <v>0</v>
      </c>
      <c r="EB392" s="179">
        <f>SUMIF($D$5:$D$319,"=alz",EB5:EB319)*HLOOKUP(EA322,Verteil_rwgr,50,FALSE)</f>
        <v>0</v>
      </c>
      <c r="EC392" s="179">
        <f t="shared" si="1992"/>
        <v>0</v>
      </c>
      <c r="ED392" s="179">
        <f>SUMIF($D$5:$D$319,"=alz",ED5:ED319)*HLOOKUP(EA322,Verteil_rwgr,50,FALSE)</f>
        <v>0</v>
      </c>
      <c r="EE392" s="102">
        <f t="shared" ref="EE392" si="2495">IF(ED390&lt;&gt;0,ED392/ED390,0)</f>
        <v>0</v>
      </c>
      <c r="EF392" s="665" t="s">
        <v>193</v>
      </c>
      <c r="EK392" s="217"/>
      <c r="EM392" s="179">
        <f>SUMIF($D$5:$D$319,"=alz",EM5:EM319)*HLOOKUP(ER322,Verteil_rwgr,50,FALSE)</f>
        <v>0</v>
      </c>
      <c r="EO392" s="179">
        <f>SUMIF($D$5:$D$319,"=alz",EO5:EO319)*HLOOKUP(ER322,Verteil_rwgr,50,FALSE)</f>
        <v>0</v>
      </c>
      <c r="EQ392" s="102">
        <f t="shared" ref="EQ392" si="2496">IF(ER390&lt;&gt;0,ER392/ER390,0)</f>
        <v>0</v>
      </c>
      <c r="ER392" s="179">
        <f>ROUND(ET392*HLOOKUP(ER322,Grund_zins,2,FALSE),2)</f>
        <v>0</v>
      </c>
      <c r="ES392" s="179">
        <f>SUMIF($D$5:$D$319,"=alz",ES5:ES319)*HLOOKUP(ER322,Verteil_rwgr,50,FALSE)</f>
        <v>0</v>
      </c>
      <c r="ET392" s="179">
        <f t="shared" si="1999"/>
        <v>0</v>
      </c>
      <c r="EU392" s="179">
        <f>SUMIF($D$5:$D$319,"=alz",EU5:EU319)*HLOOKUP(ER322,Verteil_rwgr,50,FALSE)</f>
        <v>0</v>
      </c>
      <c r="EV392" s="102">
        <f t="shared" ref="EV392" si="2497">IF(EU390&lt;&gt;0,EU392/EU390,0)</f>
        <v>0</v>
      </c>
      <c r="EW392" s="665" t="s">
        <v>193</v>
      </c>
      <c r="FB392" s="217"/>
      <c r="FD392" s="179">
        <f>SUMIF($D$5:$D$319,"=alz",FD5:FD319)*HLOOKUP(FI322,Verteil_rwgr,50,FALSE)</f>
        <v>0</v>
      </c>
      <c r="FF392" s="179">
        <f>SUMIF($D$5:$D$319,"=alz",FF5:FF319)*HLOOKUP(FI322,Verteil_rwgr,50,FALSE)</f>
        <v>0</v>
      </c>
      <c r="FH392" s="102">
        <f t="shared" ref="FH392" si="2498">IF(FI390&lt;&gt;0,FI392/FI390,0)</f>
        <v>0</v>
      </c>
      <c r="FI392" s="179">
        <f>ROUND(FK392*HLOOKUP(FI322,Grund_zins,2,FALSE),2)</f>
        <v>0</v>
      </c>
      <c r="FJ392" s="179">
        <f>SUMIF($D$5:$D$319,"=alz",FJ5:FJ319)*HLOOKUP(FI322,Verteil_rwgr,50,FALSE)</f>
        <v>0</v>
      </c>
      <c r="FK392" s="179">
        <f t="shared" si="2006"/>
        <v>0</v>
      </c>
      <c r="FL392" s="179">
        <f>SUMIF($D$5:$D$319,"=alz",FL5:FL319)*HLOOKUP(FI322,Verteil_rwgr,50,FALSE)</f>
        <v>0</v>
      </c>
      <c r="FM392" s="102">
        <f t="shared" ref="FM392" si="2499">IF(FL390&lt;&gt;0,FL392/FL390,0)</f>
        <v>0</v>
      </c>
      <c r="FN392" s="665" t="s">
        <v>193</v>
      </c>
      <c r="FS392" s="217"/>
    </row>
    <row r="393" spans="1:175" s="10" customFormat="1" ht="15" hidden="1" customHeight="1" x14ac:dyDescent="0.3">
      <c r="A393" s="665" t="s">
        <v>194</v>
      </c>
      <c r="V393" s="217">
        <v>72</v>
      </c>
      <c r="X393" s="179">
        <f>SUMIF($D$5:$D$319,"=alz",X5:X319)*HLOOKUP(AC322,Verteil_rwst,49,FALSE)</f>
        <v>0</v>
      </c>
      <c r="Z393" s="179">
        <f>SUMIF($D$5:$D$319,"=alz",Z5:Z319)*HLOOKUP(AC322,Verteil_rwst,49,FALSE)</f>
        <v>0</v>
      </c>
      <c r="AB393" s="102">
        <f t="shared" ref="AB393" si="2500">IF(AC390&lt;&gt;0,AC393/AC390,0)</f>
        <v>0</v>
      </c>
      <c r="AC393" s="179">
        <f>ROUND(AE393*HLOOKUP(AC322,Grund_zins,2,FALSE),2)</f>
        <v>0</v>
      </c>
      <c r="AD393" s="179">
        <f>SUMIF($D$5:$D$319,"=alz",AD5:AD319)*HLOOKUP(AC322,Verteil_rwst,49,FALSE)</f>
        <v>0</v>
      </c>
      <c r="AE393" s="179">
        <f t="shared" si="2009"/>
        <v>0</v>
      </c>
      <c r="AF393" s="179">
        <f>SUMIF($D$5:$D$319,"=alz",AF5:AF319)*HLOOKUP(AC322,Verteil_rwst,49,FALSE)</f>
        <v>0</v>
      </c>
      <c r="AG393" s="102">
        <f t="shared" ref="AG393" si="2501">IF(AF390&lt;&gt;0,AF393/AF390,0)</f>
        <v>0</v>
      </c>
      <c r="AH393" s="665" t="s">
        <v>194</v>
      </c>
      <c r="AM393" s="217"/>
      <c r="AO393" s="179">
        <f>SUMIF($D$5:$D$319,"=alz",AO5:AO319)*HLOOKUP(AT322,Verteil_rwst,49,FALSE)</f>
        <v>0</v>
      </c>
      <c r="AQ393" s="179">
        <f>SUMIF($D$5:$D$319,"=alz",AQ5:AQ319)*HLOOKUP(AT322,Verteil_rwst,49,FALSE)</f>
        <v>0</v>
      </c>
      <c r="AS393" s="102">
        <f t="shared" ref="AS393" si="2502">IF(AT390&lt;&gt;0,AT393/AT390,0)</f>
        <v>0</v>
      </c>
      <c r="AT393" s="179">
        <f>ROUND(AV393*HLOOKUP(AT322,Grund_zins,2,FALSE),2)</f>
        <v>0</v>
      </c>
      <c r="AU393" s="179">
        <f>SUMIF($D$5:$D$319,"=alz",AU5:AU319)*HLOOKUP(AT322,Verteil_rwst,49,FALSE)</f>
        <v>0</v>
      </c>
      <c r="AV393" s="179">
        <f t="shared" si="1957"/>
        <v>0</v>
      </c>
      <c r="AW393" s="179">
        <f>SUMIF($D$5:$D$319,"=alz",AW5:AW319)*HLOOKUP(AT322,Verteil_rwst,49,FALSE)</f>
        <v>0</v>
      </c>
      <c r="AX393" s="102">
        <f t="shared" ref="AX393" si="2503">IF(AW390&lt;&gt;0,AW393/AW390,0)</f>
        <v>0</v>
      </c>
      <c r="AY393" s="665" t="s">
        <v>194</v>
      </c>
      <c r="BD393" s="217"/>
      <c r="BF393" s="179">
        <f>SUMIF($D$5:$D$319,"=alz",BF5:BF319)*HLOOKUP(BK322,Verteil_rwst,49,FALSE)</f>
        <v>0</v>
      </c>
      <c r="BH393" s="179">
        <f>SUMIF($D$5:$D$319,"=alz",BH5:BH319)*HLOOKUP(BK322,Verteil_rwst,49,FALSE)</f>
        <v>0</v>
      </c>
      <c r="BJ393" s="102">
        <f t="shared" ref="BJ393" si="2504">IF(BK390&lt;&gt;0,BK393/BK390,0)</f>
        <v>0</v>
      </c>
      <c r="BK393" s="179">
        <f>ROUND(BM393*HLOOKUP(BK322,Grund_zins,2,FALSE),2)</f>
        <v>0</v>
      </c>
      <c r="BL393" s="179">
        <f>SUMIF($D$5:$D$319,"=alz",BL5:BL319)*HLOOKUP(BK322,Verteil_rwst,49,FALSE)</f>
        <v>0</v>
      </c>
      <c r="BM393" s="179">
        <f t="shared" si="1964"/>
        <v>0</v>
      </c>
      <c r="BN393" s="179">
        <f>SUMIF($D$5:$D$319,"=alz",BN5:BN319)*HLOOKUP(BK322,Verteil_rwst,49,FALSE)</f>
        <v>0</v>
      </c>
      <c r="BO393" s="102">
        <f t="shared" ref="BO393" si="2505">IF(BN390&lt;&gt;0,BN393/BN390,0)</f>
        <v>0</v>
      </c>
      <c r="BP393" s="665" t="s">
        <v>194</v>
      </c>
      <c r="BU393" s="217"/>
      <c r="BW393" s="179">
        <f>SUMIF($D$5:$D$319,"=alz",BW5:BW319)*HLOOKUP(CB322,Verteil_rwst,49,FALSE)</f>
        <v>0</v>
      </c>
      <c r="BY393" s="179">
        <f>SUMIF($D$5:$D$319,"=alz",BY5:BY319)*HLOOKUP(CB322,Verteil_rwst,49,FALSE)</f>
        <v>0</v>
      </c>
      <c r="CA393" s="102">
        <f t="shared" ref="CA393" si="2506">IF(CB390&lt;&gt;0,CB393/CB390,0)</f>
        <v>0</v>
      </c>
      <c r="CB393" s="179">
        <f>ROUND(CD393*HLOOKUP(CB322,Grund_zins,2,FALSE),2)</f>
        <v>0</v>
      </c>
      <c r="CC393" s="179">
        <f>SUMIF($D$5:$D$319,"=alz",CC5:CC319)*HLOOKUP(CB322,Verteil_rwst,49,FALSE)</f>
        <v>0</v>
      </c>
      <c r="CD393" s="179">
        <f t="shared" si="1971"/>
        <v>0</v>
      </c>
      <c r="CE393" s="179">
        <f>SUMIF($D$5:$D$319,"=alz",CE5:CE319)*HLOOKUP(CB322,Verteil_rwst,49,FALSE)</f>
        <v>0</v>
      </c>
      <c r="CF393" s="102">
        <f t="shared" ref="CF393" si="2507">IF(CE390&lt;&gt;0,CE393/CE390,0)</f>
        <v>0</v>
      </c>
      <c r="CG393" s="665" t="s">
        <v>194</v>
      </c>
      <c r="CL393" s="217"/>
      <c r="CN393" s="179">
        <f>SUMIF($D$5:$D$319,"=alz",CN5:CN319)*HLOOKUP(CS322,Verteil_rwst,49,FALSE)</f>
        <v>0</v>
      </c>
      <c r="CP393" s="179">
        <f>SUMIF($D$5:$D$319,"=alz",CP5:CP319)*HLOOKUP(CS322,Verteil_rwst,49,FALSE)</f>
        <v>0</v>
      </c>
      <c r="CR393" s="102">
        <f t="shared" ref="CR393" si="2508">IF(CS390&lt;&gt;0,CS393/CS390,0)</f>
        <v>0</v>
      </c>
      <c r="CS393" s="179">
        <f>ROUND(CU393*HLOOKUP(CS322,Grund_zins,2,FALSE),2)</f>
        <v>0</v>
      </c>
      <c r="CT393" s="179">
        <f>SUMIF($D$5:$D$319,"=alz",CT5:CT319)*HLOOKUP(CS322,Verteil_rwst,49,FALSE)</f>
        <v>0</v>
      </c>
      <c r="CU393" s="179">
        <f t="shared" si="1978"/>
        <v>0</v>
      </c>
      <c r="CV393" s="179">
        <f>SUMIF($D$5:$D$319,"=alz",CV5:CV319)*HLOOKUP(CS322,Verteil_rwst,49,FALSE)</f>
        <v>0</v>
      </c>
      <c r="CW393" s="102">
        <f t="shared" ref="CW393" si="2509">IF(CV390&lt;&gt;0,CV393/CV390,0)</f>
        <v>0</v>
      </c>
      <c r="CX393" s="665" t="s">
        <v>194</v>
      </c>
      <c r="DC393" s="217"/>
      <c r="DE393" s="179">
        <f>SUMIF($D$5:$D$319,"=alz",DE5:DE319)*HLOOKUP(DJ322,Verteil_rwst,49,FALSE)</f>
        <v>0</v>
      </c>
      <c r="DG393" s="179">
        <f>SUMIF($D$5:$D$319,"=alz",DG5:DG319)*HLOOKUP(DJ322,Verteil_rwst,49,FALSE)</f>
        <v>0</v>
      </c>
      <c r="DI393" s="102">
        <f t="shared" ref="DI393" si="2510">IF(DJ390&lt;&gt;0,DJ393/DJ390,0)</f>
        <v>0</v>
      </c>
      <c r="DJ393" s="179">
        <f>ROUND(DL393*HLOOKUP(DJ322,Grund_zins,2,FALSE),2)</f>
        <v>0</v>
      </c>
      <c r="DK393" s="179">
        <f>SUMIF($D$5:$D$319,"=alz",DK5:DK319)*HLOOKUP(DJ322,Verteil_rwst,49,FALSE)</f>
        <v>0</v>
      </c>
      <c r="DL393" s="179">
        <f t="shared" si="1985"/>
        <v>0</v>
      </c>
      <c r="DM393" s="179">
        <f>SUMIF($D$5:$D$319,"=alz",DM5:DM319)*HLOOKUP(DJ322,Verteil_rwst,49,FALSE)</f>
        <v>0</v>
      </c>
      <c r="DN393" s="102">
        <f t="shared" ref="DN393" si="2511">IF(DM390&lt;&gt;0,DM393/DM390,0)</f>
        <v>0</v>
      </c>
      <c r="DO393" s="665" t="s">
        <v>194</v>
      </c>
      <c r="DT393" s="217"/>
      <c r="DV393" s="179">
        <f>SUMIF($D$5:$D$319,"=alz",DV5:DV319)*HLOOKUP(EA322,Verteil_rwst,49,FALSE)</f>
        <v>0</v>
      </c>
      <c r="DX393" s="179">
        <f>SUMIF($D$5:$D$319,"=alz",DX5:DX319)*HLOOKUP(EA322,Verteil_rwst,49,FALSE)</f>
        <v>0</v>
      </c>
      <c r="DZ393" s="102">
        <f t="shared" ref="DZ393" si="2512">IF(EA390&lt;&gt;0,EA393/EA390,0)</f>
        <v>0</v>
      </c>
      <c r="EA393" s="179">
        <f>ROUND(EC393*HLOOKUP(EA322,Grund_zins,2,FALSE),2)</f>
        <v>0</v>
      </c>
      <c r="EB393" s="179">
        <f>SUMIF($D$5:$D$319,"=alz",EB5:EB319)*HLOOKUP(EA322,Verteil_rwst,49,FALSE)</f>
        <v>0</v>
      </c>
      <c r="EC393" s="179">
        <f t="shared" si="1992"/>
        <v>0</v>
      </c>
      <c r="ED393" s="179">
        <f>SUMIF($D$5:$D$319,"=alz",ED5:ED319)*HLOOKUP(EA322,Verteil_rwst,49,FALSE)</f>
        <v>0</v>
      </c>
      <c r="EE393" s="102">
        <f t="shared" ref="EE393" si="2513">IF(ED390&lt;&gt;0,ED393/ED390,0)</f>
        <v>0</v>
      </c>
      <c r="EF393" s="665" t="s">
        <v>194</v>
      </c>
      <c r="EK393" s="217"/>
      <c r="EM393" s="179">
        <f>SUMIF($D$5:$D$319,"=alz",EM5:EM319)*HLOOKUP(ER322,Verteil_rwst,49,FALSE)</f>
        <v>0</v>
      </c>
      <c r="EO393" s="179">
        <f>SUMIF($D$5:$D$319,"=alz",EO5:EO319)*HLOOKUP(ER322,Verteil_rwst,49,FALSE)</f>
        <v>0</v>
      </c>
      <c r="EQ393" s="102">
        <f t="shared" ref="EQ393" si="2514">IF(ER390&lt;&gt;0,ER393/ER390,0)</f>
        <v>0</v>
      </c>
      <c r="ER393" s="179">
        <f>ROUND(ET393*HLOOKUP(ER322,Grund_zins,2,FALSE),2)</f>
        <v>0</v>
      </c>
      <c r="ES393" s="179">
        <f>SUMIF($D$5:$D$319,"=alz",ES5:ES319)*HLOOKUP(ER322,Verteil_rwst,49,FALSE)</f>
        <v>0</v>
      </c>
      <c r="ET393" s="179">
        <f t="shared" si="1999"/>
        <v>0</v>
      </c>
      <c r="EU393" s="179">
        <f>SUMIF($D$5:$D$319,"=alz",EU5:EU319)*HLOOKUP(ER322,Verteil_rwst,49,FALSE)</f>
        <v>0</v>
      </c>
      <c r="EV393" s="102">
        <f t="shared" ref="EV393" si="2515">IF(EU390&lt;&gt;0,EU393/EU390,0)</f>
        <v>0</v>
      </c>
      <c r="EW393" s="665" t="s">
        <v>194</v>
      </c>
      <c r="FB393" s="217"/>
      <c r="FD393" s="179">
        <f>SUMIF($D$5:$D$319,"=alz",FD5:FD319)*HLOOKUP(FI322,Verteil_rwst,49,FALSE)</f>
        <v>0</v>
      </c>
      <c r="FF393" s="179">
        <f>SUMIF($D$5:$D$319,"=alz",FF5:FF319)*HLOOKUP(FI322,Verteil_rwst,49,FALSE)</f>
        <v>0</v>
      </c>
      <c r="FH393" s="102">
        <f t="shared" ref="FH393" si="2516">IF(FI390&lt;&gt;0,FI393/FI390,0)</f>
        <v>0</v>
      </c>
      <c r="FI393" s="179">
        <f>ROUND(FK393*HLOOKUP(FI322,Grund_zins,2,FALSE),2)</f>
        <v>0</v>
      </c>
      <c r="FJ393" s="179">
        <f>SUMIF($D$5:$D$319,"=alz",FJ5:FJ319)*HLOOKUP(FI322,Verteil_rwst,49,FALSE)</f>
        <v>0</v>
      </c>
      <c r="FK393" s="179">
        <f t="shared" si="2006"/>
        <v>0</v>
      </c>
      <c r="FL393" s="179">
        <f>SUMIF($D$5:$D$319,"=alz",FL5:FL319)*HLOOKUP(FI322,Verteil_rwst,49,FALSE)</f>
        <v>0</v>
      </c>
      <c r="FM393" s="102">
        <f t="shared" ref="FM393" si="2517">IF(FL390&lt;&gt;0,FL393/FL390,0)</f>
        <v>0</v>
      </c>
      <c r="FN393" s="665" t="s">
        <v>194</v>
      </c>
      <c r="FS393" s="217"/>
    </row>
    <row r="394" spans="1:175" s="10" customFormat="1" ht="15" hidden="1" customHeight="1" x14ac:dyDescent="0.3">
      <c r="A394" s="664" t="s">
        <v>278</v>
      </c>
      <c r="V394" s="217">
        <v>73</v>
      </c>
      <c r="X394" s="179">
        <f>ROUND(X370+X374+X378+X382+X386+X390,2)</f>
        <v>0</v>
      </c>
      <c r="Z394" s="179">
        <f>ROUND(Z370+Z374+Z378+Z382+Z386+Z390,2)</f>
        <v>0</v>
      </c>
      <c r="AB394" s="102">
        <f t="shared" ref="AB394" si="2518">SUM(AB395:AB397)</f>
        <v>0.99999999999999989</v>
      </c>
      <c r="AC394" s="65">
        <f>ROUND(AC370+AC374+AC378+AC382+AC386+AC390,2)</f>
        <v>339512.95</v>
      </c>
      <c r="AD394" s="179">
        <f>ROUND(AD370+AD374+AD378+AD382+AD386+AD390,2)</f>
        <v>354140</v>
      </c>
      <c r="AE394" s="179">
        <f>ROUND(AE370+AE374+AE378+AE382+AE386+AE390,2)</f>
        <v>9700370</v>
      </c>
      <c r="AF394" s="179">
        <f>ROUND(AF370+AF374+AF378+AF382+AF386+AF390,2)</f>
        <v>9523300</v>
      </c>
      <c r="AG394" s="102">
        <f t="shared" ref="AG394" si="2519">SUM(AG395:AG397)</f>
        <v>1</v>
      </c>
      <c r="AH394" s="664" t="s">
        <v>278</v>
      </c>
      <c r="AM394" s="217"/>
      <c r="AO394" s="179">
        <f t="shared" ref="AO394" si="2520">ROUND(AO370+AO374+AO378+AO382+AO386+AO390,2)</f>
        <v>0</v>
      </c>
      <c r="AQ394" s="179">
        <f t="shared" ref="AQ394" si="2521">ROUND(AQ370+AQ374+AQ378+AQ382+AQ386+AQ390,2)</f>
        <v>0</v>
      </c>
      <c r="AS394" s="102">
        <f t="shared" ref="AS394:CR394" si="2522">SUM(AS395:AS397)</f>
        <v>1</v>
      </c>
      <c r="AT394" s="65">
        <f t="shared" ref="AT394:BN397" si="2523">ROUND(AT370+AT374+AT378+AT382+AT386+AT390,2)</f>
        <v>327118.05</v>
      </c>
      <c r="AU394" s="179">
        <f t="shared" si="2523"/>
        <v>354140</v>
      </c>
      <c r="AV394" s="179">
        <f t="shared" si="2523"/>
        <v>9346230</v>
      </c>
      <c r="AW394" s="179">
        <f t="shared" si="2523"/>
        <v>9169160</v>
      </c>
      <c r="AX394" s="102">
        <f t="shared" ref="AX394:CW394" si="2524">SUM(AX395:AX397)</f>
        <v>1</v>
      </c>
      <c r="AY394" s="664" t="s">
        <v>278</v>
      </c>
      <c r="BD394" s="217"/>
      <c r="BF394" s="179">
        <f t="shared" ref="BF394" si="2525">ROUND(BF370+BF374+BF378+BF382+BF386+BF390,2)</f>
        <v>0</v>
      </c>
      <c r="BH394" s="179">
        <f t="shared" ref="BH394" si="2526">ROUND(BH370+BH374+BH378+BH382+BH386+BH390,2)</f>
        <v>0</v>
      </c>
      <c r="BJ394" s="102">
        <f t="shared" si="2522"/>
        <v>0.99999999999999989</v>
      </c>
      <c r="BK394" s="65">
        <f t="shared" ref="BK394:BN394" si="2527">ROUND(BK370+BK374+BK378+BK382+BK386+BK390,2)</f>
        <v>314723.15000000002</v>
      </c>
      <c r="BL394" s="179">
        <f t="shared" si="2527"/>
        <v>354140</v>
      </c>
      <c r="BM394" s="179">
        <f t="shared" si="2527"/>
        <v>8992090</v>
      </c>
      <c r="BN394" s="179">
        <f t="shared" si="2527"/>
        <v>8815020</v>
      </c>
      <c r="BO394" s="102">
        <f t="shared" si="2524"/>
        <v>1</v>
      </c>
      <c r="BP394" s="664" t="s">
        <v>278</v>
      </c>
      <c r="BU394" s="217"/>
      <c r="BW394" s="179">
        <f t="shared" ref="BW394" si="2528">ROUND(BW370+BW374+BW378+BW382+BW386+BW390,2)</f>
        <v>0</v>
      </c>
      <c r="BY394" s="179">
        <f t="shared" ref="BY394" si="2529">ROUND(BY370+BY374+BY378+BY382+BY386+BY390,2)</f>
        <v>0</v>
      </c>
      <c r="CA394" s="102">
        <f t="shared" si="2522"/>
        <v>1</v>
      </c>
      <c r="CB394" s="65">
        <f t="shared" ref="CB394:CV397" si="2530">ROUND(CB370+CB374+CB378+CB382+CB386+CB390,2)</f>
        <v>302328.25</v>
      </c>
      <c r="CC394" s="179">
        <f t="shared" si="2530"/>
        <v>354140</v>
      </c>
      <c r="CD394" s="179">
        <f t="shared" si="2530"/>
        <v>8637950</v>
      </c>
      <c r="CE394" s="179">
        <f t="shared" si="2530"/>
        <v>8460880</v>
      </c>
      <c r="CF394" s="102">
        <f t="shared" si="2524"/>
        <v>1</v>
      </c>
      <c r="CG394" s="664" t="s">
        <v>278</v>
      </c>
      <c r="CL394" s="217"/>
      <c r="CN394" s="179">
        <f t="shared" ref="CN394" si="2531">ROUND(CN370+CN374+CN378+CN382+CN386+CN390,2)</f>
        <v>0</v>
      </c>
      <c r="CP394" s="179">
        <f t="shared" ref="CP394" si="2532">ROUND(CP370+CP374+CP378+CP382+CP386+CP390,2)</f>
        <v>0</v>
      </c>
      <c r="CR394" s="102">
        <f t="shared" si="2522"/>
        <v>1</v>
      </c>
      <c r="CS394" s="65">
        <f t="shared" ref="CS394:CV394" si="2533">ROUND(CS370+CS374+CS378+CS382+CS386+CS390,2)</f>
        <v>289933.34999999998</v>
      </c>
      <c r="CT394" s="179">
        <f t="shared" si="2533"/>
        <v>354140</v>
      </c>
      <c r="CU394" s="179">
        <f t="shared" si="2533"/>
        <v>8283810</v>
      </c>
      <c r="CV394" s="179">
        <f t="shared" si="2533"/>
        <v>8106740</v>
      </c>
      <c r="CW394" s="102">
        <f t="shared" si="2524"/>
        <v>1</v>
      </c>
      <c r="CX394" s="664" t="s">
        <v>278</v>
      </c>
      <c r="DC394" s="217"/>
      <c r="DE394" s="179">
        <f t="shared" ref="DE394" si="2534">ROUND(DE370+DE374+DE378+DE382+DE386+DE390,2)</f>
        <v>0</v>
      </c>
      <c r="DG394" s="179">
        <f t="shared" ref="DG394" si="2535">ROUND(DG370+DG374+DG378+DG382+DG386+DG390,2)</f>
        <v>0</v>
      </c>
      <c r="DI394" s="102">
        <f t="shared" ref="DI394:FH394" si="2536">SUM(DI395:DI397)</f>
        <v>1.0000000420362176</v>
      </c>
      <c r="DJ394" s="65">
        <f t="shared" ref="DJ394:ED397" si="2537">ROUND(DJ370+DJ374+DJ378+DJ382+DJ386+DJ390,2)</f>
        <v>237890.1</v>
      </c>
      <c r="DK394" s="179">
        <f t="shared" si="2537"/>
        <v>354140</v>
      </c>
      <c r="DL394" s="179">
        <f t="shared" si="2537"/>
        <v>7929670</v>
      </c>
      <c r="DM394" s="179">
        <f t="shared" si="2537"/>
        <v>7752600</v>
      </c>
      <c r="DN394" s="102">
        <f t="shared" ref="DN394:FM394" si="2538">SUM(DN395:DN397)</f>
        <v>1</v>
      </c>
      <c r="DO394" s="664" t="s">
        <v>278</v>
      </c>
      <c r="DT394" s="217"/>
      <c r="DV394" s="179">
        <f t="shared" ref="DV394" si="2539">ROUND(DV370+DV374+DV378+DV382+DV386+DV390,2)</f>
        <v>0</v>
      </c>
      <c r="DX394" s="179">
        <f t="shared" ref="DX394" si="2540">ROUND(DX370+DX374+DX378+DX382+DX386+DX390,2)</f>
        <v>0</v>
      </c>
      <c r="DZ394" s="102">
        <f t="shared" si="2536"/>
        <v>1.0000000440013219</v>
      </c>
      <c r="EA394" s="65">
        <f t="shared" ref="EA394:ED394" si="2541">ROUND(EA370+EA374+EA378+EA382+EA386+EA390,2)</f>
        <v>227265.9</v>
      </c>
      <c r="EB394" s="179">
        <f t="shared" si="2541"/>
        <v>354140</v>
      </c>
      <c r="EC394" s="179">
        <f t="shared" si="2541"/>
        <v>7575530</v>
      </c>
      <c r="ED394" s="179">
        <f t="shared" si="2541"/>
        <v>7398460</v>
      </c>
      <c r="EE394" s="102">
        <f t="shared" si="2538"/>
        <v>1</v>
      </c>
      <c r="EF394" s="664" t="s">
        <v>278</v>
      </c>
      <c r="EK394" s="217"/>
      <c r="EM394" s="179">
        <f t="shared" ref="EM394" si="2542">ROUND(EM370+EM374+EM378+EM382+EM386+EM390,2)</f>
        <v>0</v>
      </c>
      <c r="EO394" s="179">
        <f t="shared" ref="EO394" si="2543">ROUND(EO370+EO374+EO378+EO382+EO386+EO390,2)</f>
        <v>0</v>
      </c>
      <c r="EQ394" s="102">
        <f t="shared" si="2536"/>
        <v>1.0000000461591652</v>
      </c>
      <c r="ER394" s="65">
        <f t="shared" ref="ER394:FL397" si="2544">ROUND(ER370+ER374+ER378+ER382+ER386+ER390,2)</f>
        <v>216641.7</v>
      </c>
      <c r="ES394" s="179">
        <f t="shared" si="2544"/>
        <v>354140</v>
      </c>
      <c r="ET394" s="179">
        <f t="shared" si="2544"/>
        <v>7221390</v>
      </c>
      <c r="EU394" s="179">
        <f t="shared" si="2544"/>
        <v>7044320</v>
      </c>
      <c r="EV394" s="102">
        <f t="shared" si="2538"/>
        <v>1</v>
      </c>
      <c r="EW394" s="664" t="s">
        <v>278</v>
      </c>
      <c r="FB394" s="217"/>
      <c r="FD394" s="179">
        <f t="shared" ref="FD394" si="2545">ROUND(FD370+FD374+FD378+FD382+FD386+FD390,2)</f>
        <v>0</v>
      </c>
      <c r="FF394" s="179">
        <f t="shared" ref="FF394" si="2546">ROUND(FF370+FF374+FF378+FF382+FF386+FF390,2)</f>
        <v>0</v>
      </c>
      <c r="FH394" s="102">
        <f t="shared" si="2536"/>
        <v>1</v>
      </c>
      <c r="FI394" s="65">
        <f t="shared" ref="FI394:FL394" si="2547">ROUND(FI370+FI374+FI378+FI382+FI386+FI390,2)</f>
        <v>206726.25</v>
      </c>
      <c r="FJ394" s="179">
        <f t="shared" si="2547"/>
        <v>306890</v>
      </c>
      <c r="FK394" s="179">
        <f t="shared" si="2547"/>
        <v>6890875</v>
      </c>
      <c r="FL394" s="179">
        <f t="shared" si="2547"/>
        <v>6737430</v>
      </c>
      <c r="FM394" s="102">
        <f t="shared" si="2538"/>
        <v>0.99999999999999989</v>
      </c>
      <c r="FN394" s="664" t="s">
        <v>278</v>
      </c>
      <c r="FS394" s="217"/>
    </row>
    <row r="395" spans="1:175" s="10" customFormat="1" ht="15" hidden="1" customHeight="1" x14ac:dyDescent="0.3">
      <c r="A395" s="665" t="s">
        <v>180</v>
      </c>
      <c r="V395" s="217">
        <v>74</v>
      </c>
      <c r="X395" s="179">
        <f t="shared" ref="X395:Z395" si="2548">ROUND(X371+X375+X379+X383+X387+X391,2)</f>
        <v>0</v>
      </c>
      <c r="Z395" s="179">
        <f t="shared" si="2548"/>
        <v>0</v>
      </c>
      <c r="AB395" s="102">
        <f t="shared" ref="AB395" si="2549">IF(AC394&lt;&gt;0,AC395/AC394,0)</f>
        <v>0.63652676576843381</v>
      </c>
      <c r="AC395" s="65">
        <f t="shared" ref="AC395" si="2550">ROUND(AC371+AC375+AC379+AC383+AC387+AC391,2)</f>
        <v>216109.08</v>
      </c>
      <c r="AD395" s="179">
        <f t="shared" ref="AD395:AF397" si="2551">ROUND(AD371+AD375+AD379+AD383+AD387+AD391,2)</f>
        <v>211100</v>
      </c>
      <c r="AE395" s="179">
        <f t="shared" ref="AE395" si="2552">ROUND(AE371+AE375+AE379+AE383+AE387+AE391,2)</f>
        <v>6174545</v>
      </c>
      <c r="AF395" s="179">
        <f t="shared" si="2551"/>
        <v>6068995</v>
      </c>
      <c r="AG395" s="102">
        <f t="shared" ref="AG395" si="2553">IF(AF394&lt;&gt;0,AF395/AF394,0)</f>
        <v>0.63727856940346306</v>
      </c>
      <c r="AH395" s="665" t="s">
        <v>180</v>
      </c>
      <c r="AM395" s="217"/>
      <c r="AO395" s="179">
        <f t="shared" ref="AO395" si="2554">ROUND(AO371+AO375+AO379+AO383+AO387+AO391,2)</f>
        <v>0</v>
      </c>
      <c r="AQ395" s="179">
        <f t="shared" ref="AQ395" si="2555">ROUND(AQ371+AQ375+AQ379+AQ383+AQ387+AQ391,2)</f>
        <v>0</v>
      </c>
      <c r="AS395" s="102">
        <f t="shared" ref="AS395" si="2556">IF(AT394&lt;&gt;0,AT395/AT394,0)</f>
        <v>0.63805889036083452</v>
      </c>
      <c r="AT395" s="65">
        <f t="shared" si="2523"/>
        <v>208720.58</v>
      </c>
      <c r="AU395" s="179">
        <f t="shared" si="2523"/>
        <v>211100</v>
      </c>
      <c r="AV395" s="179">
        <f t="shared" si="2523"/>
        <v>5963445</v>
      </c>
      <c r="AW395" s="179">
        <f t="shared" si="2523"/>
        <v>5857895</v>
      </c>
      <c r="AX395" s="102">
        <f t="shared" ref="AX395" si="2557">IF(AW394&lt;&gt;0,AW395/AW394,0)</f>
        <v>0.63886931845447126</v>
      </c>
      <c r="AY395" s="665" t="s">
        <v>180</v>
      </c>
      <c r="BD395" s="217"/>
      <c r="BF395" s="179">
        <f t="shared" ref="BF395" si="2558">ROUND(BF371+BF375+BF379+BF383+BF387+BF391,2)</f>
        <v>0</v>
      </c>
      <c r="BH395" s="179">
        <f t="shared" ref="BH395" si="2559">ROUND(BH371+BH375+BH379+BH383+BH387+BH391,2)</f>
        <v>0</v>
      </c>
      <c r="BJ395" s="102">
        <f t="shared" ref="BJ395" si="2560">IF(BK394&lt;&gt;0,BK395/BK394,0)</f>
        <v>0.63971169581900778</v>
      </c>
      <c r="BK395" s="65">
        <f t="shared" si="2523"/>
        <v>201332.08</v>
      </c>
      <c r="BL395" s="179">
        <f t="shared" si="2523"/>
        <v>211100</v>
      </c>
      <c r="BM395" s="179">
        <f t="shared" si="2523"/>
        <v>5752345</v>
      </c>
      <c r="BN395" s="179">
        <f t="shared" si="2523"/>
        <v>5646795</v>
      </c>
      <c r="BO395" s="102">
        <f t="shared" ref="BO395" si="2561">IF(BN394&lt;&gt;0,BN395/BN394,0)</f>
        <v>0.64058788295432112</v>
      </c>
      <c r="BP395" s="665" t="s">
        <v>180</v>
      </c>
      <c r="BU395" s="217"/>
      <c r="BW395" s="179">
        <f t="shared" ref="BW395" si="2562">ROUND(BW371+BW375+BW379+BW383+BW387+BW391,2)</f>
        <v>0</v>
      </c>
      <c r="BY395" s="179">
        <f t="shared" ref="BY395" si="2563">ROUND(BY371+BY375+BY379+BY383+BY387+BY391,2)</f>
        <v>0</v>
      </c>
      <c r="CA395" s="102">
        <f t="shared" ref="CA395" si="2564">IF(CB394&lt;&gt;0,CB395/CB394,0)</f>
        <v>0.64150002522093119</v>
      </c>
      <c r="CB395" s="65">
        <f t="shared" si="2530"/>
        <v>193943.58</v>
      </c>
      <c r="CC395" s="179">
        <f t="shared" si="2530"/>
        <v>211100</v>
      </c>
      <c r="CD395" s="179">
        <f t="shared" si="2530"/>
        <v>5541245</v>
      </c>
      <c r="CE395" s="179">
        <f t="shared" si="2530"/>
        <v>5435695</v>
      </c>
      <c r="CF395" s="102">
        <f t="shared" ref="CF395" si="2565">IF(CE394&lt;&gt;0,CE395/CE394,0)</f>
        <v>0.64245031249704521</v>
      </c>
      <c r="CG395" s="665" t="s">
        <v>180</v>
      </c>
      <c r="CL395" s="217"/>
      <c r="CN395" s="179">
        <f t="shared" ref="CN395" si="2566">ROUND(CN371+CN375+CN379+CN383+CN387+CN391,2)</f>
        <v>0</v>
      </c>
      <c r="CP395" s="179">
        <f t="shared" ref="CP395" si="2567">ROUND(CP371+CP375+CP379+CP383+CP387+CP391,2)</f>
        <v>0</v>
      </c>
      <c r="CR395" s="102">
        <f t="shared" ref="CR395" si="2568">IF(CS394&lt;&gt;0,CS395/CS394,0)</f>
        <v>0.64344125986196488</v>
      </c>
      <c r="CS395" s="65">
        <f t="shared" si="2530"/>
        <v>186555.08</v>
      </c>
      <c r="CT395" s="179">
        <f t="shared" si="2530"/>
        <v>211100</v>
      </c>
      <c r="CU395" s="179">
        <f t="shared" si="2530"/>
        <v>5330145</v>
      </c>
      <c r="CV395" s="179">
        <f t="shared" si="2530"/>
        <v>5224595</v>
      </c>
      <c r="CW395" s="102">
        <f t="shared" ref="CW395" si="2569">IF(CV394&lt;&gt;0,CV395/CV394,0)</f>
        <v>0.64447546115947962</v>
      </c>
      <c r="CX395" s="665" t="s">
        <v>180</v>
      </c>
      <c r="DC395" s="217"/>
      <c r="DE395" s="179">
        <f t="shared" ref="DE395" si="2570">ROUND(DE371+DE375+DE379+DE383+DE387+DE391,2)</f>
        <v>0</v>
      </c>
      <c r="DG395" s="179">
        <f t="shared" ref="DG395" si="2571">ROUND(DG371+DG375+DG379+DG383+DG387+DG391,2)</f>
        <v>0</v>
      </c>
      <c r="DI395" s="102">
        <f t="shared" ref="DI395" si="2572">IF(DJ394&lt;&gt;0,DJ395/DJ394,0)</f>
        <v>0.64555586802477283</v>
      </c>
      <c r="DJ395" s="65">
        <f t="shared" si="2537"/>
        <v>153571.35</v>
      </c>
      <c r="DK395" s="179">
        <f t="shared" si="2537"/>
        <v>211100</v>
      </c>
      <c r="DL395" s="179">
        <f t="shared" si="2537"/>
        <v>5119045</v>
      </c>
      <c r="DM395" s="179">
        <f t="shared" si="2537"/>
        <v>5013495</v>
      </c>
      <c r="DN395" s="102">
        <f t="shared" ref="DN395" si="2573">IF(DM394&lt;&gt;0,DM395/DM394,0)</f>
        <v>0.64668562804736474</v>
      </c>
      <c r="DO395" s="665" t="s">
        <v>180</v>
      </c>
      <c r="DT395" s="217"/>
      <c r="DV395" s="179">
        <f t="shared" ref="DV395" si="2574">ROUND(DV371+DV375+DV379+DV383+DV387+DV391,2)</f>
        <v>0</v>
      </c>
      <c r="DX395" s="179">
        <f t="shared" ref="DX395" si="2575">ROUND(DX371+DX375+DX379+DX383+DX387+DX391,2)</f>
        <v>0</v>
      </c>
      <c r="DZ395" s="102">
        <f t="shared" ref="DZ395" si="2576">IF(EA394&lt;&gt;0,EA395/EA394,0)</f>
        <v>0.64786820196078698</v>
      </c>
      <c r="EA395" s="65">
        <f t="shared" si="2537"/>
        <v>147238.35</v>
      </c>
      <c r="EB395" s="179">
        <f t="shared" si="2537"/>
        <v>211100</v>
      </c>
      <c r="EC395" s="179">
        <f t="shared" si="2537"/>
        <v>4907945</v>
      </c>
      <c r="ED395" s="179">
        <f t="shared" si="2537"/>
        <v>4802395</v>
      </c>
      <c r="EE395" s="102">
        <f t="shared" ref="EE395" si="2577">IF(ED394&lt;&gt;0,ED395/ED394,0)</f>
        <v>0.64910738180648409</v>
      </c>
      <c r="EF395" s="665" t="s">
        <v>180</v>
      </c>
      <c r="EK395" s="217"/>
      <c r="EM395" s="179">
        <f t="shared" ref="EM395" si="2578">ROUND(EM371+EM375+EM379+EM383+EM387+EM391,2)</f>
        <v>0</v>
      </c>
      <c r="EO395" s="179">
        <f t="shared" ref="EO395" si="2579">ROUND(EO371+EO375+EO379+EO383+EO387+EO391,2)</f>
        <v>0</v>
      </c>
      <c r="EQ395" s="102">
        <f t="shared" ref="EQ395" si="2580">IF(ER394&lt;&gt;0,ER395/ER394,0)</f>
        <v>0.65040733155251274</v>
      </c>
      <c r="ER395" s="65">
        <f t="shared" si="2544"/>
        <v>140905.35</v>
      </c>
      <c r="ES395" s="179">
        <f t="shared" si="2544"/>
        <v>211100</v>
      </c>
      <c r="ET395" s="179">
        <f t="shared" si="2544"/>
        <v>4696845</v>
      </c>
      <c r="EU395" s="179">
        <f t="shared" si="2544"/>
        <v>4591295</v>
      </c>
      <c r="EV395" s="102">
        <f t="shared" ref="EV395" si="2581">IF(EU394&lt;&gt;0,EU395/EU394,0)</f>
        <v>0.65177263383832651</v>
      </c>
      <c r="EW395" s="665" t="s">
        <v>180</v>
      </c>
      <c r="FB395" s="217"/>
      <c r="FD395" s="179">
        <f t="shared" ref="FD395" si="2582">ROUND(FD371+FD375+FD379+FD383+FD387+FD391,2)</f>
        <v>0</v>
      </c>
      <c r="FF395" s="179">
        <f t="shared" ref="FF395" si="2583">ROUND(FF371+FF375+FF379+FF383+FF387+FF391,2)</f>
        <v>0</v>
      </c>
      <c r="FH395" s="102">
        <f t="shared" ref="FH395" si="2584">IF(FI394&lt;&gt;0,FI395/FI394,0)</f>
        <v>0.65268310144454322</v>
      </c>
      <c r="FI395" s="65">
        <f t="shared" si="2544"/>
        <v>134926.73000000001</v>
      </c>
      <c r="FJ395" s="179">
        <f t="shared" si="2544"/>
        <v>187475</v>
      </c>
      <c r="FK395" s="179">
        <f t="shared" si="2544"/>
        <v>4497557.5</v>
      </c>
      <c r="FL395" s="179">
        <f t="shared" si="2544"/>
        <v>4403820</v>
      </c>
      <c r="FM395" s="102">
        <f t="shared" ref="FM395" si="2585">IF(FL394&lt;&gt;0,FL395/FL394,0)</f>
        <v>0.65363499138395498</v>
      </c>
      <c r="FN395" s="665" t="s">
        <v>180</v>
      </c>
      <c r="FS395" s="217"/>
    </row>
    <row r="396" spans="1:175" s="10" customFormat="1" ht="15" hidden="1" customHeight="1" x14ac:dyDescent="0.3">
      <c r="A396" s="665" t="s">
        <v>193</v>
      </c>
      <c r="V396" s="217">
        <v>75</v>
      </c>
      <c r="X396" s="179">
        <f t="shared" ref="X396:Z396" si="2586">ROUND(X372+X376+X380+X384+X388+X392,2)</f>
        <v>0</v>
      </c>
      <c r="Z396" s="179">
        <f t="shared" si="2586"/>
        <v>0</v>
      </c>
      <c r="AB396" s="102">
        <f t="shared" ref="AB396" si="2587">IF(AC394&lt;&gt;0,AC396/AC394,0)</f>
        <v>0.20163018818575254</v>
      </c>
      <c r="AC396" s="65">
        <f t="shared" ref="AC396" si="2588">ROUND(AC372+AC376+AC380+AC384+AC388+AC392,2)</f>
        <v>68456.06</v>
      </c>
      <c r="AD396" s="179">
        <f t="shared" si="2551"/>
        <v>76740</v>
      </c>
      <c r="AE396" s="179">
        <f t="shared" ref="AE396" si="2589">ROUND(AE372+AE376+AE380+AE384+AE388+AE392,2)</f>
        <v>1955887.5</v>
      </c>
      <c r="AF396" s="179">
        <f t="shared" si="2551"/>
        <v>1917517.5</v>
      </c>
      <c r="AG396" s="102">
        <f t="shared" ref="AG396" si="2590">IF(AF394&lt;&gt;0,AF396/AF394,0)</f>
        <v>0.20135010973087061</v>
      </c>
      <c r="AH396" s="665" t="s">
        <v>193</v>
      </c>
      <c r="AM396" s="217"/>
      <c r="AO396" s="179">
        <f t="shared" ref="AO396" si="2591">ROUND(AO372+AO376+AO380+AO384+AO388+AO392,2)</f>
        <v>0</v>
      </c>
      <c r="AQ396" s="179">
        <f t="shared" ref="AQ396" si="2592">ROUND(AQ372+AQ376+AQ380+AQ384+AQ388+AQ392,2)</f>
        <v>0</v>
      </c>
      <c r="AS396" s="102">
        <f t="shared" ref="AS396" si="2593">IF(AT394&lt;&gt;0,AT396/AT394,0)</f>
        <v>0.20105940347834675</v>
      </c>
      <c r="AT396" s="65">
        <f t="shared" si="2523"/>
        <v>65770.16</v>
      </c>
      <c r="AU396" s="179">
        <f t="shared" si="2523"/>
        <v>76740</v>
      </c>
      <c r="AV396" s="179">
        <f t="shared" si="2523"/>
        <v>1879147.5</v>
      </c>
      <c r="AW396" s="179">
        <f t="shared" si="2523"/>
        <v>1840777.5</v>
      </c>
      <c r="AX396" s="102">
        <f t="shared" ref="AX396" si="2594">IF(AW394&lt;&gt;0,AW396/AW394,0)</f>
        <v>0.20075748487320541</v>
      </c>
      <c r="AY396" s="665" t="s">
        <v>193</v>
      </c>
      <c r="BD396" s="217"/>
      <c r="BF396" s="179">
        <f t="shared" ref="BF396" si="2595">ROUND(BF372+BF376+BF380+BF384+BF388+BF392,2)</f>
        <v>0</v>
      </c>
      <c r="BH396" s="179">
        <f t="shared" ref="BH396" si="2596">ROUND(BH372+BH376+BH380+BH384+BH388+BH392,2)</f>
        <v>0</v>
      </c>
      <c r="BJ396" s="102">
        <f t="shared" ref="BJ396" si="2597">IF(BK394&lt;&gt;0,BK396/BK394,0)</f>
        <v>0.20044365976891118</v>
      </c>
      <c r="BK396" s="65">
        <f t="shared" si="2523"/>
        <v>63084.26</v>
      </c>
      <c r="BL396" s="179">
        <f t="shared" si="2523"/>
        <v>76740</v>
      </c>
      <c r="BM396" s="179">
        <f t="shared" si="2523"/>
        <v>1802407.5</v>
      </c>
      <c r="BN396" s="179">
        <f t="shared" si="2523"/>
        <v>1764037.5</v>
      </c>
      <c r="BO396" s="102">
        <f t="shared" ref="BO396" si="2598">IF(BN394&lt;&gt;0,BN396/BN394,0)</f>
        <v>0.20011724306921594</v>
      </c>
      <c r="BP396" s="665" t="s">
        <v>193</v>
      </c>
      <c r="BU396" s="217"/>
      <c r="BW396" s="179">
        <f t="shared" ref="BW396" si="2599">ROUND(BW372+BW376+BW380+BW384+BW388+BW392,2)</f>
        <v>0</v>
      </c>
      <c r="BY396" s="179">
        <f t="shared" ref="BY396" si="2600">ROUND(BY372+BY376+BY380+BY384+BY388+BY392,2)</f>
        <v>0</v>
      </c>
      <c r="CA396" s="102">
        <f t="shared" ref="CA396" si="2601">IF(CB394&lt;&gt;0,CB396/CB394,0)</f>
        <v>0.19977742734924706</v>
      </c>
      <c r="CB396" s="65">
        <f t="shared" si="2530"/>
        <v>60398.36</v>
      </c>
      <c r="CC396" s="179">
        <f t="shared" si="2530"/>
        <v>76740</v>
      </c>
      <c r="CD396" s="179">
        <f t="shared" si="2530"/>
        <v>1725667.5</v>
      </c>
      <c r="CE396" s="179">
        <f t="shared" si="2530"/>
        <v>1687297.5</v>
      </c>
      <c r="CF396" s="102">
        <f t="shared" ref="CF396" si="2602">IF(CE394&lt;&gt;0,CE396/CE394,0)</f>
        <v>0.1994234051304356</v>
      </c>
      <c r="CG396" s="665" t="s">
        <v>193</v>
      </c>
      <c r="CL396" s="217"/>
      <c r="CN396" s="179">
        <f t="shared" ref="CN396" si="2603">ROUND(CN372+CN376+CN380+CN384+CN388+CN392,2)</f>
        <v>0</v>
      </c>
      <c r="CP396" s="179">
        <f t="shared" ref="CP396" si="2604">ROUND(CP372+CP376+CP380+CP384+CP388+CP392,2)</f>
        <v>0</v>
      </c>
      <c r="CR396" s="102">
        <f t="shared" ref="CR396" si="2605">IF(CS394&lt;&gt;0,CS396/CS394,0)</f>
        <v>0.19905423091203547</v>
      </c>
      <c r="CS396" s="65">
        <f t="shared" si="2530"/>
        <v>57712.46</v>
      </c>
      <c r="CT396" s="179">
        <f t="shared" si="2530"/>
        <v>76740</v>
      </c>
      <c r="CU396" s="179">
        <f t="shared" si="2530"/>
        <v>1648927.5</v>
      </c>
      <c r="CV396" s="179">
        <f t="shared" si="2530"/>
        <v>1610557.5</v>
      </c>
      <c r="CW396" s="102">
        <f t="shared" ref="CW396" si="2606">IF(CV394&lt;&gt;0,CV396/CV394,0)</f>
        <v>0.19866894707366956</v>
      </c>
      <c r="CX396" s="665" t="s">
        <v>193</v>
      </c>
      <c r="DC396" s="217"/>
      <c r="DE396" s="179">
        <f t="shared" ref="DE396" si="2607">ROUND(DE372+DE376+DE380+DE384+DE388+DE392,2)</f>
        <v>0</v>
      </c>
      <c r="DG396" s="179">
        <f t="shared" ref="DG396" si="2608">ROUND(DG372+DG376+DG380+DG384+DG388+DG392,2)</f>
        <v>0</v>
      </c>
      <c r="DI396" s="102">
        <f t="shared" ref="DI396" si="2609">IF(DJ394&lt;&gt;0,DJ396/DJ394,0)</f>
        <v>0.19826646842386461</v>
      </c>
      <c r="DJ396" s="65">
        <f t="shared" si="2537"/>
        <v>47165.63</v>
      </c>
      <c r="DK396" s="179">
        <f t="shared" si="2537"/>
        <v>76740</v>
      </c>
      <c r="DL396" s="179">
        <f t="shared" si="2537"/>
        <v>1572187.5</v>
      </c>
      <c r="DM396" s="179">
        <f t="shared" si="2537"/>
        <v>1533817.5</v>
      </c>
      <c r="DN396" s="102">
        <f t="shared" ref="DN396" si="2610">IF(DM394&lt;&gt;0,DM396/DM394,0)</f>
        <v>0.19784556148904883</v>
      </c>
      <c r="DO396" s="665" t="s">
        <v>193</v>
      </c>
      <c r="DT396" s="217"/>
      <c r="DV396" s="179">
        <f t="shared" ref="DV396" si="2611">ROUND(DV372+DV376+DV380+DV384+DV388+DV392,2)</f>
        <v>0</v>
      </c>
      <c r="DX396" s="179">
        <f t="shared" ref="DX396" si="2612">ROUND(DX372+DX376+DX380+DX384+DX388+DX392,2)</f>
        <v>0</v>
      </c>
      <c r="DZ396" s="102">
        <f t="shared" ref="DZ396" si="2613">IF(EA394&lt;&gt;0,EA396/EA394,0)</f>
        <v>0.19740502204686231</v>
      </c>
      <c r="EA396" s="65">
        <f t="shared" si="2537"/>
        <v>44863.43</v>
      </c>
      <c r="EB396" s="179">
        <f t="shared" si="2537"/>
        <v>76740</v>
      </c>
      <c r="EC396" s="179">
        <f t="shared" si="2537"/>
        <v>1495447.5</v>
      </c>
      <c r="ED396" s="179">
        <f t="shared" si="2537"/>
        <v>1457077.5</v>
      </c>
      <c r="EE396" s="102">
        <f t="shared" ref="EE396" si="2614">IF(ED394&lt;&gt;0,ED396/ED394,0)</f>
        <v>0.19694335037291544</v>
      </c>
      <c r="EF396" s="665" t="s">
        <v>193</v>
      </c>
      <c r="EK396" s="217"/>
      <c r="EM396" s="179">
        <f t="shared" ref="EM396" si="2615">ROUND(EM372+EM376+EM380+EM384+EM388+EM392,2)</f>
        <v>0</v>
      </c>
      <c r="EO396" s="179">
        <f t="shared" ref="EO396" si="2616">ROUND(EO372+EO376+EO380+EO384+EO388+EO392,2)</f>
        <v>0</v>
      </c>
      <c r="EQ396" s="102">
        <f t="shared" ref="EQ396" si="2617">IF(ER394&lt;&gt;0,ER396/ER394,0)</f>
        <v>0.19645908428525072</v>
      </c>
      <c r="ER396" s="65">
        <f t="shared" si="2544"/>
        <v>42561.23</v>
      </c>
      <c r="ES396" s="179">
        <f t="shared" si="2544"/>
        <v>76740</v>
      </c>
      <c r="ET396" s="179">
        <f t="shared" si="2544"/>
        <v>1418707.5</v>
      </c>
      <c r="EU396" s="179">
        <f t="shared" si="2544"/>
        <v>1380337.5</v>
      </c>
      <c r="EV396" s="102">
        <f t="shared" ref="EV396" si="2618">IF(EU394&lt;&gt;0,EU396/EU394,0)</f>
        <v>0.19595042530719786</v>
      </c>
      <c r="EW396" s="665" t="s">
        <v>193</v>
      </c>
      <c r="FB396" s="217"/>
      <c r="FD396" s="179">
        <f t="shared" ref="FD396" si="2619">ROUND(FD372+FD376+FD380+FD384+FD388+FD392,2)</f>
        <v>0</v>
      </c>
      <c r="FF396" s="179">
        <f t="shared" ref="FF396" si="2620">ROUND(FF372+FF376+FF380+FF384+FF388+FF392,2)</f>
        <v>0</v>
      </c>
      <c r="FH396" s="102">
        <f t="shared" ref="FH396" si="2621">IF(FI394&lt;&gt;0,FI396/FI394,0)</f>
        <v>0.19560268712850931</v>
      </c>
      <c r="FI396" s="65">
        <f t="shared" si="2544"/>
        <v>40436.21</v>
      </c>
      <c r="FJ396" s="179">
        <f t="shared" si="2544"/>
        <v>64927.5</v>
      </c>
      <c r="FK396" s="179">
        <f t="shared" si="2544"/>
        <v>1347873.75</v>
      </c>
      <c r="FL396" s="179">
        <f t="shared" si="2544"/>
        <v>1315410</v>
      </c>
      <c r="FM396" s="102">
        <f t="shared" ref="FM396" si="2622">IF(FL394&lt;&gt;0,FL396/FL394,0)</f>
        <v>0.19523913420992872</v>
      </c>
      <c r="FN396" s="665" t="s">
        <v>193</v>
      </c>
      <c r="FS396" s="217"/>
    </row>
    <row r="397" spans="1:175" s="10" customFormat="1" ht="15" hidden="1" customHeight="1" x14ac:dyDescent="0.3">
      <c r="A397" s="665" t="s">
        <v>194</v>
      </c>
      <c r="V397" s="217">
        <v>76</v>
      </c>
      <c r="X397" s="179">
        <f t="shared" ref="X397:Z397" si="2623">ROUND(X373+X377+X381+X385+X389+X393,2)</f>
        <v>0</v>
      </c>
      <c r="Z397" s="179">
        <f t="shared" si="2623"/>
        <v>0</v>
      </c>
      <c r="AB397" s="102">
        <f t="shared" ref="AB397" si="2624">IF(AC394&lt;&gt;0,AC397/AC394,0)</f>
        <v>0.16184304604581357</v>
      </c>
      <c r="AC397" s="65">
        <f t="shared" ref="AC397" si="2625">ROUND(AC373+AC377+AC381+AC385+AC389+AC393,2)</f>
        <v>54947.81</v>
      </c>
      <c r="AD397" s="179">
        <f t="shared" si="2551"/>
        <v>66300</v>
      </c>
      <c r="AE397" s="179">
        <f t="shared" ref="AE397" si="2626">ROUND(AE373+AE377+AE381+AE385+AE389+AE393,2)</f>
        <v>1569937.5</v>
      </c>
      <c r="AF397" s="179">
        <f t="shared" si="2551"/>
        <v>1536787.5</v>
      </c>
      <c r="AG397" s="102">
        <f t="shared" ref="AG397" si="2627">IF(AF394&lt;&gt;0,AF397/AF394,0)</f>
        <v>0.1613713208656663</v>
      </c>
      <c r="AH397" s="665" t="s">
        <v>194</v>
      </c>
      <c r="AM397" s="217"/>
      <c r="AO397" s="179">
        <f t="shared" ref="AO397" si="2628">ROUND(AO373+AO377+AO381+AO385+AO389+AO393,2)</f>
        <v>0</v>
      </c>
      <c r="AQ397" s="179">
        <f t="shared" ref="AQ397" si="2629">ROUND(AQ373+AQ377+AQ381+AQ385+AQ389+AQ393,2)</f>
        <v>0</v>
      </c>
      <c r="AS397" s="102">
        <f t="shared" ref="AS397" si="2630">IF(AT394&lt;&gt;0,AT397/AT394,0)</f>
        <v>0.1608817061608187</v>
      </c>
      <c r="AT397" s="65">
        <f t="shared" si="2523"/>
        <v>52627.31</v>
      </c>
      <c r="AU397" s="179">
        <f t="shared" si="2523"/>
        <v>66300</v>
      </c>
      <c r="AV397" s="179">
        <f t="shared" si="2523"/>
        <v>1503637.5</v>
      </c>
      <c r="AW397" s="179">
        <f t="shared" si="2523"/>
        <v>1470487.5</v>
      </c>
      <c r="AX397" s="102">
        <f t="shared" ref="AX397" si="2631">IF(AW394&lt;&gt;0,AW397/AW394,0)</f>
        <v>0.1603731966723233</v>
      </c>
      <c r="AY397" s="665" t="s">
        <v>194</v>
      </c>
      <c r="BD397" s="217"/>
      <c r="BF397" s="179">
        <f t="shared" ref="BF397" si="2632">ROUND(BF373+BF377+BF381+BF385+BF389+BF393,2)</f>
        <v>0</v>
      </c>
      <c r="BH397" s="179">
        <f t="shared" ref="BH397" si="2633">ROUND(BH373+BH377+BH381+BH385+BH389+BH393,2)</f>
        <v>0</v>
      </c>
      <c r="BJ397" s="102">
        <f t="shared" ref="BJ397" si="2634">IF(BK394&lt;&gt;0,BK397/BK394,0)</f>
        <v>0.15984464441208088</v>
      </c>
      <c r="BK397" s="65">
        <f t="shared" si="2523"/>
        <v>50306.81</v>
      </c>
      <c r="BL397" s="179">
        <f t="shared" si="2523"/>
        <v>66300</v>
      </c>
      <c r="BM397" s="179">
        <f t="shared" si="2523"/>
        <v>1437337.5</v>
      </c>
      <c r="BN397" s="179">
        <f t="shared" si="2523"/>
        <v>1404187.5</v>
      </c>
      <c r="BO397" s="102">
        <f t="shared" ref="BO397" si="2635">IF(BN394&lt;&gt;0,BN397/BN394,0)</f>
        <v>0.15929487397646291</v>
      </c>
      <c r="BP397" s="665" t="s">
        <v>194</v>
      </c>
      <c r="BU397" s="217"/>
      <c r="BW397" s="179">
        <f t="shared" ref="BW397" si="2636">ROUND(BW373+BW377+BW381+BW385+BW389+BW393,2)</f>
        <v>0</v>
      </c>
      <c r="BY397" s="179">
        <f t="shared" ref="BY397" si="2637">ROUND(BY373+BY377+BY381+BY385+BY389+BY393,2)</f>
        <v>0</v>
      </c>
      <c r="CA397" s="102">
        <f t="shared" ref="CA397" si="2638">IF(CB394&lt;&gt;0,CB397/CB394,0)</f>
        <v>0.15872254742982173</v>
      </c>
      <c r="CB397" s="65">
        <f t="shared" si="2530"/>
        <v>47986.31</v>
      </c>
      <c r="CC397" s="179">
        <f t="shared" si="2530"/>
        <v>66300</v>
      </c>
      <c r="CD397" s="179">
        <f t="shared" si="2530"/>
        <v>1371037.5</v>
      </c>
      <c r="CE397" s="179">
        <f t="shared" si="2530"/>
        <v>1337887.5</v>
      </c>
      <c r="CF397" s="102">
        <f t="shared" ref="CF397" si="2639">IF(CE394&lt;&gt;0,CE397/CE394,0)</f>
        <v>0.15812628237251916</v>
      </c>
      <c r="CG397" s="665" t="s">
        <v>194</v>
      </c>
      <c r="CL397" s="217"/>
      <c r="CN397" s="179">
        <f t="shared" ref="CN397" si="2640">ROUND(CN373+CN377+CN381+CN385+CN389+CN393,2)</f>
        <v>0</v>
      </c>
      <c r="CP397" s="179">
        <f t="shared" ref="CP397" si="2641">ROUND(CP373+CP377+CP381+CP385+CP389+CP393,2)</f>
        <v>0</v>
      </c>
      <c r="CR397" s="102">
        <f t="shared" ref="CR397" si="2642">IF(CS394&lt;&gt;0,CS397/CS394,0)</f>
        <v>0.15750450922599971</v>
      </c>
      <c r="CS397" s="65">
        <f t="shared" si="2530"/>
        <v>45665.81</v>
      </c>
      <c r="CT397" s="179">
        <f t="shared" si="2530"/>
        <v>66300</v>
      </c>
      <c r="CU397" s="179">
        <f t="shared" si="2530"/>
        <v>1304737.5</v>
      </c>
      <c r="CV397" s="179">
        <f t="shared" si="2530"/>
        <v>1271587.5</v>
      </c>
      <c r="CW397" s="102">
        <f t="shared" ref="CW397" si="2643">IF(CV394&lt;&gt;0,CV397/CV394,0)</f>
        <v>0.15685559176685079</v>
      </c>
      <c r="CX397" s="665" t="s">
        <v>194</v>
      </c>
      <c r="DC397" s="217"/>
      <c r="DE397" s="179">
        <f t="shared" ref="DE397" si="2644">ROUND(DE373+DE377+DE381+DE385+DE389+DE393,2)</f>
        <v>0</v>
      </c>
      <c r="DG397" s="179">
        <f t="shared" ref="DG397" si="2645">ROUND(DG373+DG377+DG381+DG385+DG389+DG393,2)</f>
        <v>0</v>
      </c>
      <c r="DI397" s="102">
        <f t="shared" ref="DI397" si="2646">IF(DJ394&lt;&gt;0,DJ397/DJ394,0)</f>
        <v>0.15617770558758012</v>
      </c>
      <c r="DJ397" s="65">
        <f t="shared" si="2537"/>
        <v>37153.129999999997</v>
      </c>
      <c r="DK397" s="179">
        <f t="shared" si="2537"/>
        <v>66300</v>
      </c>
      <c r="DL397" s="179">
        <f t="shared" si="2537"/>
        <v>1238437.5</v>
      </c>
      <c r="DM397" s="179">
        <f t="shared" si="2537"/>
        <v>1205287.5</v>
      </c>
      <c r="DN397" s="102">
        <f t="shared" ref="DN397" si="2647">IF(DM394&lt;&gt;0,DM397/DM394,0)</f>
        <v>0.1554688104635864</v>
      </c>
      <c r="DO397" s="665" t="s">
        <v>194</v>
      </c>
      <c r="DT397" s="217"/>
      <c r="DV397" s="179">
        <f t="shared" ref="DV397" si="2648">ROUND(DV373+DV377+DV381+DV385+DV389+DV393,2)</f>
        <v>0</v>
      </c>
      <c r="DX397" s="179">
        <f t="shared" ref="DX397" si="2649">ROUND(DX373+DX377+DX381+DX385+DX389+DX393,2)</f>
        <v>0</v>
      </c>
      <c r="DZ397" s="102">
        <f t="shared" ref="DZ397" si="2650">IF(EA394&lt;&gt;0,EA397/EA394,0)</f>
        <v>0.1547268199936726</v>
      </c>
      <c r="EA397" s="65">
        <f t="shared" si="2537"/>
        <v>35164.129999999997</v>
      </c>
      <c r="EB397" s="179">
        <f t="shared" si="2537"/>
        <v>66300</v>
      </c>
      <c r="EC397" s="179">
        <f t="shared" si="2537"/>
        <v>1172137.5</v>
      </c>
      <c r="ED397" s="179">
        <f t="shared" si="2537"/>
        <v>1138987.5</v>
      </c>
      <c r="EE397" s="102">
        <f t="shared" ref="EE397" si="2651">IF(ED394&lt;&gt;0,ED397/ED394,0)</f>
        <v>0.1539492678206005</v>
      </c>
      <c r="EF397" s="665" t="s">
        <v>194</v>
      </c>
      <c r="EK397" s="217"/>
      <c r="EM397" s="179">
        <f t="shared" ref="EM397" si="2652">ROUND(EM373+EM377+EM381+EM385+EM389+EM393,2)</f>
        <v>0</v>
      </c>
      <c r="EO397" s="179">
        <f t="shared" ref="EO397" si="2653">ROUND(EO373+EO377+EO381+EO385+EO389+EO393,2)</f>
        <v>0</v>
      </c>
      <c r="EQ397" s="102">
        <f t="shared" ref="EQ397" si="2654">IF(ER394&lt;&gt;0,ER397/ER394,0)</f>
        <v>0.15313363032140162</v>
      </c>
      <c r="ER397" s="65">
        <f t="shared" si="2544"/>
        <v>33175.129999999997</v>
      </c>
      <c r="ES397" s="179">
        <f t="shared" si="2544"/>
        <v>66300</v>
      </c>
      <c r="ET397" s="179">
        <f t="shared" si="2544"/>
        <v>1105837.5</v>
      </c>
      <c r="EU397" s="179">
        <f t="shared" si="2544"/>
        <v>1072687.5</v>
      </c>
      <c r="EV397" s="102">
        <f t="shared" ref="EV397" si="2655">IF(EU394&lt;&gt;0,EU397/EU394,0)</f>
        <v>0.15227694085447566</v>
      </c>
      <c r="EW397" s="665" t="s">
        <v>194</v>
      </c>
      <c r="FB397" s="217"/>
      <c r="FD397" s="179">
        <f t="shared" ref="FD397" si="2656">ROUND(FD373+FD377+FD381+FD385+FD389+FD393,2)</f>
        <v>0</v>
      </c>
      <c r="FF397" s="179">
        <f t="shared" ref="FF397" si="2657">ROUND(FF373+FF377+FF381+FF385+FF389+FF393,2)</f>
        <v>0</v>
      </c>
      <c r="FH397" s="102">
        <f t="shared" ref="FH397" si="2658">IF(FI394&lt;&gt;0,FI397/FI394,0)</f>
        <v>0.15171421142694749</v>
      </c>
      <c r="FI397" s="65">
        <f t="shared" si="2544"/>
        <v>31363.31</v>
      </c>
      <c r="FJ397" s="179">
        <f t="shared" si="2544"/>
        <v>54487.5</v>
      </c>
      <c r="FK397" s="179">
        <f t="shared" si="2544"/>
        <v>1045443.75</v>
      </c>
      <c r="FL397" s="179">
        <f t="shared" si="2544"/>
        <v>1018200</v>
      </c>
      <c r="FM397" s="102">
        <f t="shared" ref="FM397" si="2659">IF(FL394&lt;&gt;0,FL397/FL394,0)</f>
        <v>0.15112587440611627</v>
      </c>
      <c r="FN397" s="665" t="s">
        <v>194</v>
      </c>
      <c r="FS397" s="217"/>
    </row>
    <row r="398" spans="1:175" s="10" customFormat="1" ht="15" hidden="1" customHeight="1" x14ac:dyDescent="0.35">
      <c r="A398" s="105" t="s">
        <v>711</v>
      </c>
      <c r="V398" s="217">
        <v>77</v>
      </c>
      <c r="W398" s="105" t="s">
        <v>711</v>
      </c>
      <c r="AA398" s="657"/>
      <c r="AB398" s="215" t="s">
        <v>285</v>
      </c>
      <c r="AC398" s="215" t="s">
        <v>279</v>
      </c>
      <c r="AD398" s="657"/>
      <c r="AE398" s="91" t="s">
        <v>286</v>
      </c>
      <c r="AF398" s="91"/>
      <c r="AG398" s="666" t="s">
        <v>287</v>
      </c>
      <c r="AH398" s="666" t="s">
        <v>198</v>
      </c>
      <c r="AI398" s="91" t="s">
        <v>288</v>
      </c>
      <c r="AM398" s="217"/>
      <c r="AN398" s="105" t="s">
        <v>711</v>
      </c>
      <c r="AR398" s="658"/>
      <c r="AS398" s="215" t="s">
        <v>285</v>
      </c>
      <c r="AT398" s="215" t="s">
        <v>279</v>
      </c>
      <c r="AU398" s="658"/>
      <c r="AV398" s="91" t="s">
        <v>286</v>
      </c>
      <c r="AW398" s="91"/>
      <c r="AX398" s="666" t="s">
        <v>287</v>
      </c>
      <c r="AY398" s="666" t="s">
        <v>198</v>
      </c>
      <c r="AZ398" s="91" t="s">
        <v>288</v>
      </c>
      <c r="BD398" s="217"/>
      <c r="BE398" s="105" t="s">
        <v>711</v>
      </c>
      <c r="BI398" s="658"/>
      <c r="BJ398" s="215" t="s">
        <v>285</v>
      </c>
      <c r="BK398" s="215" t="s">
        <v>279</v>
      </c>
      <c r="BL398" s="658"/>
      <c r="BM398" s="91" t="s">
        <v>286</v>
      </c>
      <c r="BN398" s="91"/>
      <c r="BO398" s="666" t="s">
        <v>287</v>
      </c>
      <c r="BP398" s="666" t="s">
        <v>198</v>
      </c>
      <c r="BQ398" s="91" t="s">
        <v>288</v>
      </c>
      <c r="BU398" s="217"/>
      <c r="BV398" s="105" t="s">
        <v>711</v>
      </c>
      <c r="BZ398" s="658"/>
      <c r="CA398" s="215" t="s">
        <v>285</v>
      </c>
      <c r="CB398" s="215" t="s">
        <v>279</v>
      </c>
      <c r="CC398" s="658"/>
      <c r="CD398" s="91" t="s">
        <v>286</v>
      </c>
      <c r="CE398" s="91"/>
      <c r="CF398" s="666" t="s">
        <v>287</v>
      </c>
      <c r="CG398" s="666" t="s">
        <v>198</v>
      </c>
      <c r="CH398" s="91" t="s">
        <v>288</v>
      </c>
      <c r="CL398" s="217"/>
      <c r="CM398" s="105" t="s">
        <v>711</v>
      </c>
      <c r="CQ398" s="658"/>
      <c r="CR398" s="215" t="s">
        <v>285</v>
      </c>
      <c r="CS398" s="215" t="s">
        <v>279</v>
      </c>
      <c r="CT398" s="658"/>
      <c r="CU398" s="91" t="s">
        <v>286</v>
      </c>
      <c r="CV398" s="91"/>
      <c r="CW398" s="666" t="s">
        <v>287</v>
      </c>
      <c r="CX398" s="666" t="s">
        <v>198</v>
      </c>
      <c r="CY398" s="91" t="s">
        <v>288</v>
      </c>
      <c r="DC398" s="217"/>
      <c r="DD398" s="105" t="s">
        <v>711</v>
      </c>
      <c r="DH398" s="658"/>
      <c r="DI398" s="215" t="s">
        <v>285</v>
      </c>
      <c r="DJ398" s="215" t="s">
        <v>279</v>
      </c>
      <c r="DK398" s="658"/>
      <c r="DL398" s="91" t="s">
        <v>286</v>
      </c>
      <c r="DM398" s="91"/>
      <c r="DN398" s="666" t="s">
        <v>287</v>
      </c>
      <c r="DO398" s="666" t="s">
        <v>198</v>
      </c>
      <c r="DP398" s="91" t="s">
        <v>288</v>
      </c>
      <c r="DT398" s="217"/>
      <c r="DU398" s="105" t="s">
        <v>711</v>
      </c>
      <c r="DY398" s="658"/>
      <c r="DZ398" s="215" t="s">
        <v>285</v>
      </c>
      <c r="EA398" s="215" t="s">
        <v>279</v>
      </c>
      <c r="EB398" s="658"/>
      <c r="EC398" s="91" t="s">
        <v>286</v>
      </c>
      <c r="ED398" s="91"/>
      <c r="EE398" s="666" t="s">
        <v>287</v>
      </c>
      <c r="EF398" s="666" t="s">
        <v>198</v>
      </c>
      <c r="EG398" s="91" t="s">
        <v>288</v>
      </c>
      <c r="EK398" s="217"/>
      <c r="EL398" s="105" t="s">
        <v>711</v>
      </c>
      <c r="EP398" s="658"/>
      <c r="EQ398" s="215" t="s">
        <v>285</v>
      </c>
      <c r="ER398" s="215" t="s">
        <v>279</v>
      </c>
      <c r="ES398" s="658"/>
      <c r="ET398" s="91" t="s">
        <v>286</v>
      </c>
      <c r="EU398" s="91"/>
      <c r="EV398" s="666" t="s">
        <v>287</v>
      </c>
      <c r="EW398" s="666" t="s">
        <v>198</v>
      </c>
      <c r="EX398" s="91" t="s">
        <v>288</v>
      </c>
      <c r="FB398" s="217"/>
      <c r="FC398" s="105" t="s">
        <v>711</v>
      </c>
      <c r="FG398" s="658"/>
      <c r="FH398" s="215" t="s">
        <v>285</v>
      </c>
      <c r="FI398" s="215" t="s">
        <v>279</v>
      </c>
      <c r="FJ398" s="658"/>
      <c r="FK398" s="91" t="s">
        <v>286</v>
      </c>
      <c r="FL398" s="91"/>
      <c r="FM398" s="666" t="s">
        <v>287</v>
      </c>
      <c r="FN398" s="666" t="s">
        <v>198</v>
      </c>
      <c r="FO398" s="91" t="s">
        <v>288</v>
      </c>
      <c r="FS398" s="217"/>
    </row>
    <row r="399" spans="1:175" s="10" customFormat="1" ht="15" hidden="1" customHeight="1" x14ac:dyDescent="0.3">
      <c r="A399" s="664" t="s">
        <v>289</v>
      </c>
      <c r="V399" s="217">
        <v>78</v>
      </c>
      <c r="AB399" s="102">
        <f>SUM(AB400:AB402)</f>
        <v>0</v>
      </c>
      <c r="AC399" s="179">
        <f>ROUND((AH399+AI399/2)*HLOOKUP(AC322,Grund_zins,2,FALSE),2)</f>
        <v>0</v>
      </c>
      <c r="AE399" s="664" t="s">
        <v>289</v>
      </c>
      <c r="AH399" s="179">
        <f>SUMIF($D$5:$D$319,"=kas",AH5:AH319)+SUMIF($D$5:$D$319,"=kam",AH5:AH319)+SUMIF($D$5:$D$319,"=kar",AH5:AH319)+SUMIF($D$5:$D$319,"=kaz",AH5:AH319)</f>
        <v>0</v>
      </c>
      <c r="AI399" s="179">
        <f>SUMIF($D$5:$D$319,"=kas",AI5:AI319)+SUMIF($D$5:$D$319,"=kam",AI5:AI319)+SUMIF($D$5:$D$319,"=kar",AI5:AI319)+SUMIF($D$5:$D$319,"=kaz",AI5:AI319)</f>
        <v>0</v>
      </c>
      <c r="AM399" s="217"/>
      <c r="AS399" s="102">
        <f t="shared" ref="AS399" si="2660">SUM(AS400:AS402)</f>
        <v>0</v>
      </c>
      <c r="AT399" s="179">
        <f>ROUND((AY399+AZ399/2)*HLOOKUP(AT322,Grund_zins,2,FALSE),2)</f>
        <v>0</v>
      </c>
      <c r="AV399" s="664" t="s">
        <v>289</v>
      </c>
      <c r="AY399" s="179">
        <f t="shared" ref="AY399:AZ399" si="2661">SUMIF($D$5:$D$319,"=kas",AY5:AY319)+SUMIF($D$5:$D$319,"=kam",AY5:AY319)+SUMIF($D$5:$D$319,"=kar",AY5:AY319)+SUMIF($D$5:$D$319,"=kaz",AY5:AY319)</f>
        <v>0</v>
      </c>
      <c r="AZ399" s="179">
        <f t="shared" si="2661"/>
        <v>0</v>
      </c>
      <c r="BD399" s="217"/>
      <c r="BJ399" s="102">
        <f t="shared" ref="BJ399" si="2662">SUM(BJ400:BJ402)</f>
        <v>0</v>
      </c>
      <c r="BK399" s="179">
        <f>ROUND((BP399+BQ399/2)*HLOOKUP(BK322,Grund_zins,2,FALSE),2)</f>
        <v>0</v>
      </c>
      <c r="BM399" s="664" t="s">
        <v>289</v>
      </c>
      <c r="BP399" s="179">
        <f t="shared" ref="BP399:BQ399" si="2663">SUMIF($D$5:$D$319,"=kas",BP5:BP319)+SUMIF($D$5:$D$319,"=kam",BP5:BP319)+SUMIF($D$5:$D$319,"=kar",BP5:BP319)+SUMIF($D$5:$D$319,"=kaz",BP5:BP319)</f>
        <v>0</v>
      </c>
      <c r="BQ399" s="179">
        <f t="shared" si="2663"/>
        <v>0</v>
      </c>
      <c r="BU399" s="217"/>
      <c r="CA399" s="102">
        <f t="shared" ref="CA399" si="2664">SUM(CA400:CA402)</f>
        <v>0</v>
      </c>
      <c r="CB399" s="179">
        <f>ROUND((CG399+CH399/2)*HLOOKUP(CB322,Grund_zins,2,FALSE),2)</f>
        <v>0</v>
      </c>
      <c r="CD399" s="664" t="s">
        <v>289</v>
      </c>
      <c r="CG399" s="179">
        <f t="shared" ref="CG399:CH399" si="2665">SUMIF($D$5:$D$319,"=kas",CG5:CG319)+SUMIF($D$5:$D$319,"=kam",CG5:CG319)+SUMIF($D$5:$D$319,"=kar",CG5:CG319)+SUMIF($D$5:$D$319,"=kaz",CG5:CG319)</f>
        <v>0</v>
      </c>
      <c r="CH399" s="179">
        <f t="shared" si="2665"/>
        <v>0</v>
      </c>
      <c r="CL399" s="217"/>
      <c r="CR399" s="102">
        <f t="shared" ref="CR399" si="2666">SUM(CR400:CR402)</f>
        <v>0</v>
      </c>
      <c r="CS399" s="179">
        <f>ROUND((CX399+CY399/2)*HLOOKUP(CS322,Grund_zins,2,FALSE),2)</f>
        <v>0</v>
      </c>
      <c r="CU399" s="664" t="s">
        <v>289</v>
      </c>
      <c r="CX399" s="179">
        <f t="shared" ref="CX399:CY399" si="2667">SUMIF($D$5:$D$319,"=kas",CX5:CX319)+SUMIF($D$5:$D$319,"=kam",CX5:CX319)+SUMIF($D$5:$D$319,"=kar",CX5:CX319)+SUMIF($D$5:$D$319,"=kaz",CX5:CX319)</f>
        <v>0</v>
      </c>
      <c r="CY399" s="179">
        <f t="shared" si="2667"/>
        <v>0</v>
      </c>
      <c r="DC399" s="217"/>
      <c r="DI399" s="102">
        <f t="shared" ref="DI399" si="2668">SUM(DI400:DI402)</f>
        <v>0</v>
      </c>
      <c r="DJ399" s="179">
        <f>ROUND((DO399+DP399/2)*HLOOKUP(DJ322,Grund_zins,2,FALSE),2)</f>
        <v>0</v>
      </c>
      <c r="DL399" s="664" t="s">
        <v>289</v>
      </c>
      <c r="DO399" s="179">
        <f t="shared" ref="DO399:DP399" si="2669">SUMIF($D$5:$D$319,"=kas",DO5:DO319)+SUMIF($D$5:$D$319,"=kam",DO5:DO319)+SUMIF($D$5:$D$319,"=kar",DO5:DO319)+SUMIF($D$5:$D$319,"=kaz",DO5:DO319)</f>
        <v>0</v>
      </c>
      <c r="DP399" s="179">
        <f t="shared" si="2669"/>
        <v>0</v>
      </c>
      <c r="DT399" s="217"/>
      <c r="DZ399" s="102">
        <f t="shared" ref="DZ399" si="2670">SUM(DZ400:DZ402)</f>
        <v>0</v>
      </c>
      <c r="EA399" s="179">
        <f>ROUND((EF399+EG399/2)*HLOOKUP(EA322,Grund_zins,2,FALSE),2)</f>
        <v>0</v>
      </c>
      <c r="EC399" s="664" t="s">
        <v>289</v>
      </c>
      <c r="EF399" s="179">
        <f t="shared" ref="EF399:EG399" si="2671">SUMIF($D$5:$D$319,"=kas",EF5:EF319)+SUMIF($D$5:$D$319,"=kam",EF5:EF319)+SUMIF($D$5:$D$319,"=kar",EF5:EF319)+SUMIF($D$5:$D$319,"=kaz",EF5:EF319)</f>
        <v>0</v>
      </c>
      <c r="EG399" s="179">
        <f t="shared" si="2671"/>
        <v>0</v>
      </c>
      <c r="EK399" s="217"/>
      <c r="EQ399" s="102">
        <f t="shared" ref="EQ399" si="2672">SUM(EQ400:EQ402)</f>
        <v>0</v>
      </c>
      <c r="ER399" s="179">
        <f>ROUND((EW399+EX399/2)*HLOOKUP(ER322,Grund_zins,2,FALSE),2)</f>
        <v>0</v>
      </c>
      <c r="ET399" s="664" t="s">
        <v>289</v>
      </c>
      <c r="EW399" s="179">
        <f t="shared" ref="EW399:EX399" si="2673">SUMIF($D$5:$D$319,"=kas",EW5:EW319)+SUMIF($D$5:$D$319,"=kam",EW5:EW319)+SUMIF($D$5:$D$319,"=kar",EW5:EW319)+SUMIF($D$5:$D$319,"=kaz",EW5:EW319)</f>
        <v>0</v>
      </c>
      <c r="EX399" s="179">
        <f t="shared" si="2673"/>
        <v>0</v>
      </c>
      <c r="FB399" s="217"/>
      <c r="FH399" s="102">
        <f t="shared" ref="FH399" si="2674">SUM(FH400:FH402)</f>
        <v>0</v>
      </c>
      <c r="FI399" s="179">
        <f>ROUND((FN399+FO399/2)*HLOOKUP(FI322,Grund_zins,2,FALSE),2)</f>
        <v>0</v>
      </c>
      <c r="FK399" s="664" t="s">
        <v>289</v>
      </c>
      <c r="FN399" s="179">
        <f t="shared" ref="FN399:FO399" si="2675">SUMIF($D$5:$D$319,"=kas",FN5:FN319)+SUMIF($D$5:$D$319,"=kam",FN5:FN319)+SUMIF($D$5:$D$319,"=kar",FN5:FN319)+SUMIF($D$5:$D$319,"=kaz",FN5:FN319)</f>
        <v>0</v>
      </c>
      <c r="FO399" s="179">
        <f t="shared" si="2675"/>
        <v>0</v>
      </c>
      <c r="FS399" s="217"/>
    </row>
    <row r="400" spans="1:175" s="10" customFormat="1" ht="15" hidden="1" customHeight="1" x14ac:dyDescent="0.3">
      <c r="A400" s="665" t="s">
        <v>180</v>
      </c>
      <c r="V400" s="217">
        <v>79</v>
      </c>
      <c r="AB400" s="102">
        <f>IF(AC399&lt;&gt;0,AC400/AC399,0)</f>
        <v>0</v>
      </c>
      <c r="AC400" s="179">
        <f>ROUND((AH400+AI400/2)*HLOOKUP(AC322,Grund_zins,2,FALSE),2)</f>
        <v>0</v>
      </c>
      <c r="AE400" s="665" t="s">
        <v>180</v>
      </c>
      <c r="AH400" s="179">
        <f>SUMIF($D$5:$D$319,"=kas",AH5:AH319)*HLOOKUP(AC322,Verteil_sw,6,FALSE)+SUMIF($D$5:$D$319,"=kam",AH5:AH319)*HLOOKUP(AC322,Verteil_sw,7,FALSE)+SUMIF($D$5:$D$319,"=kar",AH5:AH319)*HLOOKUP(AC322,Verteil_sw,8,FALSE)+SUMIF($D$5:$D$319,"=kaz",AH5:AH319)*HLOOKUP(AC322,Verteil_sw,9,FALSE)</f>
        <v>0</v>
      </c>
      <c r="AI400" s="179">
        <f>SUMIF($D$5:$D$319,"=kas",AI5:AI319)*HLOOKUP(AC322,Verteil_sw,6,FALSE)+SUMIF($D$5:$D$319,"=kam",AI5:AI319)*HLOOKUP(AC322,Verteil_sw,7,FALSE)+SUMIF($D$5:$D$319,"=kar",AI5:AI319)*HLOOKUP(AC322,Verteil_sw,8,FALSE)+SUMIF($D$5:$D$319,"=kaz",AI5:AI319)*HLOOKUP(AC322,Verteil_sw,9,FALSE)</f>
        <v>0</v>
      </c>
      <c r="AM400" s="217"/>
      <c r="AS400" s="102">
        <f t="shared" ref="AS400" si="2676">IF(AT399&lt;&gt;0,AT400/AT399,0)</f>
        <v>0</v>
      </c>
      <c r="AT400" s="179">
        <f>ROUND((AY400+AZ400/2)*HLOOKUP(AT322,Grund_zins,2,FALSE),2)</f>
        <v>0</v>
      </c>
      <c r="AV400" s="665" t="s">
        <v>180</v>
      </c>
      <c r="AY400" s="179">
        <f>SUMIF($D$5:$D$319,"=kas",AY5:AY319)*HLOOKUP(AT322,Verteil_sw,6,FALSE)+SUMIF($D$5:$D$319,"=kam",AY5:AY319)*HLOOKUP(AT322,Verteil_sw,7,FALSE)+SUMIF($D$5:$D$319,"=kar",AY5:AY319)*HLOOKUP(AT322,Verteil_sw,8,FALSE)+SUMIF($D$5:$D$319,"=kaz",AY5:AY319)*HLOOKUP(AT322,Verteil_sw,9,FALSE)</f>
        <v>0</v>
      </c>
      <c r="AZ400" s="179">
        <f>SUMIF($D$5:$D$319,"=kas",AZ5:AZ319)*HLOOKUP(AT322,Verteil_sw,6,FALSE)+SUMIF($D$5:$D$319,"=kam",AZ5:AZ319)*HLOOKUP(AT322,Verteil_sw,7,FALSE)+SUMIF($D$5:$D$319,"=kar",AZ5:AZ319)*HLOOKUP(AT322,Verteil_sw,8,FALSE)+SUMIF($D$5:$D$319,"=kaz",AZ5:AZ319)*HLOOKUP(AT322,Verteil_sw,9,FALSE)</f>
        <v>0</v>
      </c>
      <c r="BD400" s="217"/>
      <c r="BJ400" s="102">
        <f t="shared" ref="BJ400" si="2677">IF(BK399&lt;&gt;0,BK400/BK399,0)</f>
        <v>0</v>
      </c>
      <c r="BK400" s="179">
        <f>ROUND((BP400+BQ400/2)*HLOOKUP(BK322,Grund_zins,2,FALSE),2)</f>
        <v>0</v>
      </c>
      <c r="BM400" s="665" t="s">
        <v>180</v>
      </c>
      <c r="BP400" s="179">
        <f>SUMIF($D$5:$D$319,"=kas",BP5:BP319)*HLOOKUP(BK322,Verteil_sw,6,FALSE)+SUMIF($D$5:$D$319,"=kam",BP5:BP319)*HLOOKUP(BK322,Verteil_sw,7,FALSE)+SUMIF($D$5:$D$319,"=kar",BP5:BP319)*HLOOKUP(BK322,Verteil_sw,8,FALSE)+SUMIF($D$5:$D$319,"=kaz",BP5:BP319)*HLOOKUP(BK322,Verteil_sw,9,FALSE)</f>
        <v>0</v>
      </c>
      <c r="BQ400" s="179">
        <f>SUMIF($D$5:$D$319,"=kas",BQ5:BQ319)*HLOOKUP(BK322,Verteil_sw,6,FALSE)+SUMIF($D$5:$D$319,"=kam",BQ5:BQ319)*HLOOKUP(BK322,Verteil_sw,7,FALSE)+SUMIF($D$5:$D$319,"=kar",BQ5:BQ319)*HLOOKUP(BK322,Verteil_sw,8,FALSE)+SUMIF($D$5:$D$319,"=kaz",BQ5:BQ319)*HLOOKUP(BK322,Verteil_sw,9,FALSE)</f>
        <v>0</v>
      </c>
      <c r="BU400" s="217"/>
      <c r="CA400" s="102">
        <f t="shared" ref="CA400" si="2678">IF(CB399&lt;&gt;0,CB400/CB399,0)</f>
        <v>0</v>
      </c>
      <c r="CB400" s="179">
        <f>ROUND((CG400+CH400/2)*HLOOKUP(CB322,Grund_zins,2,FALSE),2)</f>
        <v>0</v>
      </c>
      <c r="CD400" s="665" t="s">
        <v>180</v>
      </c>
      <c r="CG400" s="179">
        <f>SUMIF($D$5:$D$319,"=kas",CG5:CG319)*HLOOKUP(CB322,Verteil_sw,6,FALSE)+SUMIF($D$5:$D$319,"=kam",CG5:CG319)*HLOOKUP(CB322,Verteil_sw,7,FALSE)+SUMIF($D$5:$D$319,"=kar",CG5:CG319)*HLOOKUP(CB322,Verteil_sw,8,FALSE)+SUMIF($D$5:$D$319,"=kaz",CG5:CG319)*HLOOKUP(CB322,Verteil_sw,9,FALSE)</f>
        <v>0</v>
      </c>
      <c r="CH400" s="179">
        <f>SUMIF($D$5:$D$319,"=kas",CH5:CH319)*HLOOKUP(CB322,Verteil_sw,6,FALSE)+SUMIF($D$5:$D$319,"=kam",CH5:CH319)*HLOOKUP(CB322,Verteil_sw,7,FALSE)+SUMIF($D$5:$D$319,"=kar",CH5:CH319)*HLOOKUP(CB322,Verteil_sw,8,FALSE)+SUMIF($D$5:$D$319,"=kaz",CH5:CH319)*HLOOKUP(CB322,Verteil_sw,9,FALSE)</f>
        <v>0</v>
      </c>
      <c r="CL400" s="217"/>
      <c r="CR400" s="102">
        <f t="shared" ref="CR400" si="2679">IF(CS399&lt;&gt;0,CS400/CS399,0)</f>
        <v>0</v>
      </c>
      <c r="CS400" s="179">
        <f>ROUND((CX400+CY400/2)*HLOOKUP(CS322,Grund_zins,2,FALSE),2)</f>
        <v>0</v>
      </c>
      <c r="CU400" s="665" t="s">
        <v>180</v>
      </c>
      <c r="CX400" s="179">
        <f>SUMIF($D$5:$D$319,"=kas",CX5:CX319)*HLOOKUP(CS322,Verteil_sw,6,FALSE)+SUMIF($D$5:$D$319,"=kam",CX5:CX319)*HLOOKUP(CS322,Verteil_sw,7,FALSE)+SUMIF($D$5:$D$319,"=kar",CX5:CX319)*HLOOKUP(CS322,Verteil_sw,8,FALSE)+SUMIF($D$5:$D$319,"=kaz",CX5:CX319)*HLOOKUP(CS322,Verteil_sw,9,FALSE)</f>
        <v>0</v>
      </c>
      <c r="CY400" s="179">
        <f>SUMIF($D$5:$D$319,"=kas",CY5:CY319)*HLOOKUP(CS322,Verteil_sw,6,FALSE)+SUMIF($D$5:$D$319,"=kam",CY5:CY319)*HLOOKUP(CS322,Verteil_sw,7,FALSE)+SUMIF($D$5:$D$319,"=kar",CY5:CY319)*HLOOKUP(CS322,Verteil_sw,8,FALSE)+SUMIF($D$5:$D$319,"=kaz",CY5:CY319)*HLOOKUP(CS322,Verteil_sw,9,FALSE)</f>
        <v>0</v>
      </c>
      <c r="DC400" s="217"/>
      <c r="DI400" s="102">
        <f t="shared" ref="DI400" si="2680">IF(DJ399&lt;&gt;0,DJ400/DJ399,0)</f>
        <v>0</v>
      </c>
      <c r="DJ400" s="179">
        <f>ROUND((DO400+DP400/2)*HLOOKUP(DJ322,Grund_zins,2,FALSE),2)</f>
        <v>0</v>
      </c>
      <c r="DL400" s="665" t="s">
        <v>180</v>
      </c>
      <c r="DO400" s="179">
        <f>SUMIF($D$5:$D$319,"=kas",DO5:DO319)*HLOOKUP(DJ322,Verteil_sw,6,FALSE)+SUMIF($D$5:$D$319,"=kam",DO5:DO319)*HLOOKUP(DJ322,Verteil_sw,7,FALSE)+SUMIF($D$5:$D$319,"=kar",DO5:DO319)*HLOOKUP(DJ322,Verteil_sw,8,FALSE)+SUMIF($D$5:$D$319,"=kaz",DO5:DO319)*HLOOKUP(DJ322,Verteil_sw,9,FALSE)</f>
        <v>0</v>
      </c>
      <c r="DP400" s="179">
        <f>SUMIF($D$5:$D$319,"=kas",DP5:DP319)*HLOOKUP(DJ322,Verteil_sw,6,FALSE)+SUMIF($D$5:$D$319,"=kam",DP5:DP319)*HLOOKUP(DJ322,Verteil_sw,7,FALSE)+SUMIF($D$5:$D$319,"=kar",DP5:DP319)*HLOOKUP(DJ322,Verteil_sw,8,FALSE)+SUMIF($D$5:$D$319,"=kaz",DP5:DP319)*HLOOKUP(DJ322,Verteil_sw,9,FALSE)</f>
        <v>0</v>
      </c>
      <c r="DT400" s="217"/>
      <c r="DZ400" s="102">
        <f t="shared" ref="DZ400" si="2681">IF(EA399&lt;&gt;0,EA400/EA399,0)</f>
        <v>0</v>
      </c>
      <c r="EA400" s="179">
        <f>ROUND((EF400+EG400/2)*HLOOKUP(EA322,Grund_zins,2,FALSE),2)</f>
        <v>0</v>
      </c>
      <c r="EC400" s="665" t="s">
        <v>180</v>
      </c>
      <c r="EF400" s="179">
        <f>SUMIF($D$5:$D$319,"=kas",EF5:EF319)*HLOOKUP(EA322,Verteil_sw,6,FALSE)+SUMIF($D$5:$D$319,"=kam",EF5:EF319)*HLOOKUP(EA322,Verteil_sw,7,FALSE)+SUMIF($D$5:$D$319,"=kar",EF5:EF319)*HLOOKUP(EA322,Verteil_sw,8,FALSE)+SUMIF($D$5:$D$319,"=kaz",EF5:EF319)*HLOOKUP(EA322,Verteil_sw,9,FALSE)</f>
        <v>0</v>
      </c>
      <c r="EG400" s="179">
        <f>SUMIF($D$5:$D$319,"=kas",EG5:EG319)*HLOOKUP(EA322,Verteil_sw,6,FALSE)+SUMIF($D$5:$D$319,"=kam",EG5:EG319)*HLOOKUP(EA322,Verteil_sw,7,FALSE)+SUMIF($D$5:$D$319,"=kar",EG5:EG319)*HLOOKUP(EA322,Verteil_sw,8,FALSE)+SUMIF($D$5:$D$319,"=kaz",EG5:EG319)*HLOOKUP(EA322,Verteil_sw,9,FALSE)</f>
        <v>0</v>
      </c>
      <c r="EK400" s="217"/>
      <c r="EQ400" s="102">
        <f t="shared" ref="EQ400" si="2682">IF(ER399&lt;&gt;0,ER400/ER399,0)</f>
        <v>0</v>
      </c>
      <c r="ER400" s="179">
        <f>ROUND((EW400+EX400/2)*HLOOKUP(ER322,Grund_zins,2,FALSE),2)</f>
        <v>0</v>
      </c>
      <c r="ET400" s="665" t="s">
        <v>180</v>
      </c>
      <c r="EW400" s="179">
        <f>SUMIF($D$5:$D$319,"=kas",EW5:EW319)*HLOOKUP(ER322,Verteil_sw,6,FALSE)+SUMIF($D$5:$D$319,"=kam",EW5:EW319)*HLOOKUP(ER322,Verteil_sw,7,FALSE)+SUMIF($D$5:$D$319,"=kar",EW5:EW319)*HLOOKUP(ER322,Verteil_sw,8,FALSE)+SUMIF($D$5:$D$319,"=kaz",EW5:EW319)*HLOOKUP(ER322,Verteil_sw,9,FALSE)</f>
        <v>0</v>
      </c>
      <c r="EX400" s="179">
        <f>SUMIF($D$5:$D$319,"=kas",EX5:EX319)*HLOOKUP(ER322,Verteil_sw,6,FALSE)+SUMIF($D$5:$D$319,"=kam",EX5:EX319)*HLOOKUP(ER322,Verteil_sw,7,FALSE)+SUMIF($D$5:$D$319,"=kar",EX5:EX319)*HLOOKUP(ER322,Verteil_sw,8,FALSE)+SUMIF($D$5:$D$319,"=kaz",EX5:EX319)*HLOOKUP(ER322,Verteil_sw,9,FALSE)</f>
        <v>0</v>
      </c>
      <c r="FB400" s="217"/>
      <c r="FH400" s="102">
        <f t="shared" ref="FH400" si="2683">IF(FI399&lt;&gt;0,FI400/FI399,0)</f>
        <v>0</v>
      </c>
      <c r="FI400" s="179">
        <f>ROUND((FN400+FO400/2)*HLOOKUP(FI322,Grund_zins,2,FALSE),2)</f>
        <v>0</v>
      </c>
      <c r="FK400" s="665" t="s">
        <v>180</v>
      </c>
      <c r="FN400" s="179">
        <f>SUMIF($D$5:$D$319,"=kas",FN5:FN319)*HLOOKUP(FI322,Verteil_sw,6,FALSE)+SUMIF($D$5:$D$319,"=kam",FN5:FN319)*HLOOKUP(FI322,Verteil_sw,7,FALSE)+SUMIF($D$5:$D$319,"=kar",FN5:FN319)*HLOOKUP(FI322,Verteil_sw,8,FALSE)+SUMIF($D$5:$D$319,"=kaz",FN5:FN319)*HLOOKUP(FI322,Verteil_sw,9,FALSE)</f>
        <v>0</v>
      </c>
      <c r="FO400" s="179">
        <f>SUMIF($D$5:$D$319,"=kas",FO5:FO319)*HLOOKUP(FI322,Verteil_sw,6,FALSE)+SUMIF($D$5:$D$319,"=kam",FO5:FO319)*HLOOKUP(FI322,Verteil_sw,7,FALSE)+SUMIF($D$5:$D$319,"=kar",FO5:FO319)*HLOOKUP(FI322,Verteil_sw,8,FALSE)+SUMIF($D$5:$D$319,"=kaz",FO5:FO319)*HLOOKUP(FI322,Verteil_sw,9,FALSE)</f>
        <v>0</v>
      </c>
      <c r="FS400" s="217"/>
    </row>
    <row r="401" spans="1:175" s="10" customFormat="1" ht="15" hidden="1" customHeight="1" x14ac:dyDescent="0.3">
      <c r="A401" s="665" t="s">
        <v>290</v>
      </c>
      <c r="V401" s="217">
        <v>80</v>
      </c>
      <c r="AB401" s="102">
        <f>IF(AC399&lt;&gt;0,AC401/AC399,0)</f>
        <v>0</v>
      </c>
      <c r="AC401" s="179">
        <f>ROUND((AH401+AI401/2)*HLOOKUP(AC322,Grund_zins,2,FALSE),2)</f>
        <v>0</v>
      </c>
      <c r="AE401" s="665" t="s">
        <v>290</v>
      </c>
      <c r="AH401" s="179">
        <f>SUMIF($D$5:$D$319,"=kas",AH5:AH319)*HLOOKUP(AC322,Verteil_rwgr,5,FALSE)+SUMIF($D$5:$D$319,"=kam",AH5:AH319)*HLOOKUP(AC322,Verteil_rwgr,6,FALSE)+SUMIF($D$5:$D$319,"=kar",AH5:AH319)*HLOOKUP(AC322,Verteil_rwgr,7,FALSE)+SUMIF($D$5:$D$319,"=kaz",AH5:AH319)*HLOOKUP(AC322,Verteil_rwgr,8,FALSE)</f>
        <v>0</v>
      </c>
      <c r="AI401" s="179">
        <f>SUMIF($D$5:$D$319,"=kas",AI5:AI319)*HLOOKUP(AC322,Verteil_rwgr,5,FALSE)+SUMIF($D$5:$D$319,"=kam",AI5:AI319)*HLOOKUP(AC322,Verteil_rwgr,6,FALSE)+SUMIF($D$5:$D$319,"=kar",AI5:AI319)*HLOOKUP(AC322,Verteil_rwgr,7,FALSE)+SUMIF($D$5:$D$319,"=kaz",AI5:AI319)*HLOOKUP(AC322,Verteil_rwgr,8,FALSE)</f>
        <v>0</v>
      </c>
      <c r="AM401" s="217"/>
      <c r="AS401" s="102">
        <f t="shared" ref="AS401" si="2684">IF(AT399&lt;&gt;0,AT401/AT399,0)</f>
        <v>0</v>
      </c>
      <c r="AT401" s="179">
        <f>ROUND((AY401+AZ401/2)*HLOOKUP(AT322,Grund_zins,2,FALSE),2)</f>
        <v>0</v>
      </c>
      <c r="AV401" s="665" t="s">
        <v>290</v>
      </c>
      <c r="AY401" s="179">
        <f>SUMIF($D$5:$D$319,"=kas",AY5:AY319)*HLOOKUP(AT322,Verteil_rwgr,5,FALSE)+SUMIF($D$5:$D$319,"=kam",AY5:AY319)*HLOOKUP(AT322,Verteil_rwgr,6,FALSE)+SUMIF($D$5:$D$319,"=kar",AY5:AY319)*HLOOKUP(AT322,Verteil_rwgr,7,FALSE)+SUMIF($D$5:$D$319,"=kaz",AY5:AY319)*HLOOKUP(AT322,Verteil_rwgr,8,FALSE)</f>
        <v>0</v>
      </c>
      <c r="AZ401" s="179">
        <f>SUMIF($D$5:$D$319,"=kas",AZ5:AZ319)*HLOOKUP(AT322,Verteil_rwgr,5,FALSE)+SUMIF($D$5:$D$319,"=kam",AZ5:AZ319)*HLOOKUP(AT322,Verteil_rwgr,6,FALSE)+SUMIF($D$5:$D$319,"=kar",AZ5:AZ319)*HLOOKUP(AT322,Verteil_rwgr,7,FALSE)+SUMIF($D$5:$D$319,"=kaz",AZ5:AZ319)*HLOOKUP(AT322,Verteil_rwgr,8,FALSE)</f>
        <v>0</v>
      </c>
      <c r="BD401" s="217"/>
      <c r="BJ401" s="102">
        <f t="shared" ref="BJ401" si="2685">IF(BK399&lt;&gt;0,BK401/BK399,0)</f>
        <v>0</v>
      </c>
      <c r="BK401" s="179">
        <f>ROUND((BP401+BQ401/2)*HLOOKUP(BK322,Grund_zins,2,FALSE),2)</f>
        <v>0</v>
      </c>
      <c r="BM401" s="665" t="s">
        <v>290</v>
      </c>
      <c r="BP401" s="179">
        <f>SUMIF($D$5:$D$319,"=kas",BP5:BP319)*HLOOKUP(BK322,Verteil_rwgr,5,FALSE)+SUMIF($D$5:$D$319,"=kam",BP5:BP319)*HLOOKUP(BK322,Verteil_rwgr,6,FALSE)+SUMIF($D$5:$D$319,"=kar",BP5:BP319)*HLOOKUP(BK322,Verteil_rwgr,7,FALSE)+SUMIF($D$5:$D$319,"=kaz",BP5:BP319)*HLOOKUP(BK322,Verteil_rwgr,8,FALSE)</f>
        <v>0</v>
      </c>
      <c r="BQ401" s="179">
        <f>SUMIF($D$5:$D$319,"=kas",BQ5:BQ319)*HLOOKUP(BK322,Verteil_rwgr,5,FALSE)+SUMIF($D$5:$D$319,"=kam",BQ5:BQ319)*HLOOKUP(BK322,Verteil_rwgr,6,FALSE)+SUMIF($D$5:$D$319,"=kar",BQ5:BQ319)*HLOOKUP(BK322,Verteil_rwgr,7,FALSE)+SUMIF($D$5:$D$319,"=kaz",BQ5:BQ319)*HLOOKUP(BK322,Verteil_rwgr,8,FALSE)</f>
        <v>0</v>
      </c>
      <c r="BU401" s="217"/>
      <c r="CA401" s="102">
        <f t="shared" ref="CA401" si="2686">IF(CB399&lt;&gt;0,CB401/CB399,0)</f>
        <v>0</v>
      </c>
      <c r="CB401" s="179">
        <f>ROUND((CG401+CH401/2)*HLOOKUP(CB322,Grund_zins,2,FALSE),2)</f>
        <v>0</v>
      </c>
      <c r="CD401" s="665" t="s">
        <v>290</v>
      </c>
      <c r="CG401" s="179">
        <f>SUMIF($D$5:$D$319,"=kas",CG5:CG319)*HLOOKUP(CB322,Verteil_rwgr,5,FALSE)+SUMIF($D$5:$D$319,"=kam",CG5:CG319)*HLOOKUP(CB322,Verteil_rwgr,6,FALSE)+SUMIF($D$5:$D$319,"=kar",CG5:CG319)*HLOOKUP(CB322,Verteil_rwgr,7,FALSE)+SUMIF($D$5:$D$319,"=kaz",CG5:CG319)*HLOOKUP(CB322,Verteil_rwgr,8,FALSE)</f>
        <v>0</v>
      </c>
      <c r="CH401" s="179">
        <f>SUMIF($D$5:$D$319,"=kas",CH5:CH319)*HLOOKUP(CB322,Verteil_rwgr,5,FALSE)+SUMIF($D$5:$D$319,"=kam",CH5:CH319)*HLOOKUP(CB322,Verteil_rwgr,6,FALSE)+SUMIF($D$5:$D$319,"=kar",CH5:CH319)*HLOOKUP(CB322,Verteil_rwgr,7,FALSE)+SUMIF($D$5:$D$319,"=kaz",CH5:CH319)*HLOOKUP(CB322,Verteil_rwgr,8,FALSE)</f>
        <v>0</v>
      </c>
      <c r="CL401" s="217"/>
      <c r="CR401" s="102">
        <f t="shared" ref="CR401" si="2687">IF(CS399&lt;&gt;0,CS401/CS399,0)</f>
        <v>0</v>
      </c>
      <c r="CS401" s="179">
        <f>ROUND((CX401+CY401/2)*HLOOKUP(CS322,Grund_zins,2,FALSE),2)</f>
        <v>0</v>
      </c>
      <c r="CU401" s="665" t="s">
        <v>290</v>
      </c>
      <c r="CX401" s="179">
        <f>SUMIF($D$5:$D$319,"=kas",CX5:CX319)*HLOOKUP(CS322,Verteil_rwgr,5,FALSE)+SUMIF($D$5:$D$319,"=kam",CX5:CX319)*HLOOKUP(CS322,Verteil_rwgr,6,FALSE)+SUMIF($D$5:$D$319,"=kar",CX5:CX319)*HLOOKUP(CS322,Verteil_rwgr,7,FALSE)+SUMIF($D$5:$D$319,"=kaz",CX5:CX319)*HLOOKUP(CS322,Verteil_rwgr,8,FALSE)</f>
        <v>0</v>
      </c>
      <c r="CY401" s="179">
        <f>SUMIF($D$5:$D$319,"=kas",CY5:CY319)*HLOOKUP(CS322,Verteil_rwgr,5,FALSE)+SUMIF($D$5:$D$319,"=kam",CY5:CY319)*HLOOKUP(CS322,Verteil_rwgr,6,FALSE)+SUMIF($D$5:$D$319,"=kar",CY5:CY319)*HLOOKUP(CS322,Verteil_rwgr,7,FALSE)+SUMIF($D$5:$D$319,"=kaz",CY5:CY319)*HLOOKUP(CS322,Verteil_rwgr,8,FALSE)</f>
        <v>0</v>
      </c>
      <c r="DC401" s="217"/>
      <c r="DI401" s="102">
        <f t="shared" ref="DI401" si="2688">IF(DJ399&lt;&gt;0,DJ401/DJ399,0)</f>
        <v>0</v>
      </c>
      <c r="DJ401" s="179">
        <f>ROUND((DO401+DP401/2)*HLOOKUP(DJ322,Grund_zins,2,FALSE),2)</f>
        <v>0</v>
      </c>
      <c r="DL401" s="665" t="s">
        <v>290</v>
      </c>
      <c r="DO401" s="179">
        <f>SUMIF($D$5:$D$319,"=kas",DO5:DO319)*HLOOKUP(DJ322,Verteil_rwgr,5,FALSE)+SUMIF($D$5:$D$319,"=kam",DO5:DO319)*HLOOKUP(DJ322,Verteil_rwgr,6,FALSE)+SUMIF($D$5:$D$319,"=kar",DO5:DO319)*HLOOKUP(DJ322,Verteil_rwgr,7,FALSE)+SUMIF($D$5:$D$319,"=kaz",DO5:DO319)*HLOOKUP(DJ322,Verteil_rwgr,8,FALSE)</f>
        <v>0</v>
      </c>
      <c r="DP401" s="179">
        <f>SUMIF($D$5:$D$319,"=kas",DP5:DP319)*HLOOKUP(DJ322,Verteil_rwgr,5,FALSE)+SUMIF($D$5:$D$319,"=kam",DP5:DP319)*HLOOKUP(DJ322,Verteil_rwgr,6,FALSE)+SUMIF($D$5:$D$319,"=kar",DP5:DP319)*HLOOKUP(DJ322,Verteil_rwgr,7,FALSE)+SUMIF($D$5:$D$319,"=kaz",DP5:DP319)*HLOOKUP(DJ322,Verteil_rwgr,8,FALSE)</f>
        <v>0</v>
      </c>
      <c r="DT401" s="217"/>
      <c r="DZ401" s="102">
        <f t="shared" ref="DZ401" si="2689">IF(EA399&lt;&gt;0,EA401/EA399,0)</f>
        <v>0</v>
      </c>
      <c r="EA401" s="179">
        <f>ROUND((EF401+EG401/2)*HLOOKUP(EA322,Grund_zins,2,FALSE),2)</f>
        <v>0</v>
      </c>
      <c r="EC401" s="665" t="s">
        <v>290</v>
      </c>
      <c r="EF401" s="179">
        <f>SUMIF($D$5:$D$319,"=kas",EF5:EF319)*HLOOKUP(EA322,Verteil_rwgr,5,FALSE)+SUMIF($D$5:$D$319,"=kam",EF5:EF319)*HLOOKUP(EA322,Verteil_rwgr,6,FALSE)+SUMIF($D$5:$D$319,"=kar",EF5:EF319)*HLOOKUP(EA322,Verteil_rwgr,7,FALSE)+SUMIF($D$5:$D$319,"=kaz",EF5:EF319)*HLOOKUP(EA322,Verteil_rwgr,8,FALSE)</f>
        <v>0</v>
      </c>
      <c r="EG401" s="179">
        <f>SUMIF($D$5:$D$319,"=kas",EG5:EG319)*HLOOKUP(EA322,Verteil_rwgr,5,FALSE)+SUMIF($D$5:$D$319,"=kam",EG5:EG319)*HLOOKUP(EA322,Verteil_rwgr,6,FALSE)+SUMIF($D$5:$D$319,"=kar",EG5:EG319)*HLOOKUP(EA322,Verteil_rwgr,7,FALSE)+SUMIF($D$5:$D$319,"=kaz",EG5:EG319)*HLOOKUP(EA322,Verteil_rwgr,8,FALSE)</f>
        <v>0</v>
      </c>
      <c r="EK401" s="217"/>
      <c r="EQ401" s="102">
        <f t="shared" ref="EQ401" si="2690">IF(ER399&lt;&gt;0,ER401/ER399,0)</f>
        <v>0</v>
      </c>
      <c r="ER401" s="179">
        <f>ROUND((EW401+EX401/2)*HLOOKUP(ER322,Grund_zins,2,FALSE),2)</f>
        <v>0</v>
      </c>
      <c r="ET401" s="665" t="s">
        <v>290</v>
      </c>
      <c r="EW401" s="179">
        <f>SUMIF($D$5:$D$319,"=kas",EW5:EW319)*HLOOKUP(ER322,Verteil_rwgr,5,FALSE)+SUMIF($D$5:$D$319,"=kam",EW5:EW319)*HLOOKUP(ER322,Verteil_rwgr,6,FALSE)+SUMIF($D$5:$D$319,"=kar",EW5:EW319)*HLOOKUP(ER322,Verteil_rwgr,7,FALSE)+SUMIF($D$5:$D$319,"=kaz",EW5:EW319)*HLOOKUP(ER322,Verteil_rwgr,8,FALSE)</f>
        <v>0</v>
      </c>
      <c r="EX401" s="179">
        <f>SUMIF($D$5:$D$319,"=kas",EX5:EX319)*HLOOKUP(ER322,Verteil_rwgr,5,FALSE)+SUMIF($D$5:$D$319,"=kam",EX5:EX319)*HLOOKUP(ER322,Verteil_rwgr,6,FALSE)+SUMIF($D$5:$D$319,"=kar",EX5:EX319)*HLOOKUP(ER322,Verteil_rwgr,7,FALSE)+SUMIF($D$5:$D$319,"=kaz",EX5:EX319)*HLOOKUP(ER322,Verteil_rwgr,8,FALSE)</f>
        <v>0</v>
      </c>
      <c r="FB401" s="217"/>
      <c r="FH401" s="102">
        <f t="shared" ref="FH401" si="2691">IF(FI399&lt;&gt;0,FI401/FI399,0)</f>
        <v>0</v>
      </c>
      <c r="FI401" s="179">
        <f>ROUND((FN401+FO401/2)*HLOOKUP(FI322,Grund_zins,2,FALSE),2)</f>
        <v>0</v>
      </c>
      <c r="FK401" s="665" t="s">
        <v>290</v>
      </c>
      <c r="FN401" s="179">
        <f>SUMIF($D$5:$D$319,"=kas",FN5:FN319)*HLOOKUP(FI322,Verteil_rwgr,5,FALSE)+SUMIF($D$5:$D$319,"=kam",FN5:FN319)*HLOOKUP(FI322,Verteil_rwgr,6,FALSE)+SUMIF($D$5:$D$319,"=kar",FN5:FN319)*HLOOKUP(FI322,Verteil_rwgr,7,FALSE)+SUMIF($D$5:$D$319,"=kaz",FN5:FN319)*HLOOKUP(FI322,Verteil_rwgr,8,FALSE)</f>
        <v>0</v>
      </c>
      <c r="FO401" s="179">
        <f>SUMIF($D$5:$D$319,"=kas",FO5:FO319)*HLOOKUP(FI322,Verteil_rwgr,5,FALSE)+SUMIF($D$5:$D$319,"=kam",FO5:FO319)*HLOOKUP(FI322,Verteil_rwgr,6,FALSE)+SUMIF($D$5:$D$319,"=kar",FO5:FO319)*HLOOKUP(FI322,Verteil_rwgr,7,FALSE)+SUMIF($D$5:$D$319,"=kaz",FO5:FO319)*HLOOKUP(FI322,Verteil_rwgr,8,FALSE)</f>
        <v>0</v>
      </c>
      <c r="FS401" s="217"/>
    </row>
    <row r="402" spans="1:175" s="10" customFormat="1" ht="15" hidden="1" customHeight="1" x14ac:dyDescent="0.3">
      <c r="A402" s="665" t="s">
        <v>291</v>
      </c>
      <c r="V402" s="217">
        <v>81</v>
      </c>
      <c r="AB402" s="102">
        <f>IF(AC399&lt;&gt;0,AC402/AC399,0)</f>
        <v>0</v>
      </c>
      <c r="AC402" s="179">
        <f>ROUND((AH402+AI402/2)*HLOOKUP(AC322,Grund_zins,2,FALSE),2)</f>
        <v>0</v>
      </c>
      <c r="AE402" s="665" t="s">
        <v>291</v>
      </c>
      <c r="AH402" s="179">
        <f>SUMIF($D$5:$D$319,"=kas",AH5:AH319)*HLOOKUP(AC322,Verteil_rwst,4,FALSE)+SUMIF($D$5:$D$319,"=kam",AH5:AH319)*HLOOKUP(AC322,Verteil_rwst,5,FALSE)+SUMIF($D$5:$D$319,"=kar",AH5:AH319)*HLOOKUP(AC322,Verteil_rwst,6,FALSE)+SUMIF($D$5:$D$319,"=kaz",AH5:AH319)*HLOOKUP(AC322,Verteil_rwst,7,FALSE)</f>
        <v>0</v>
      </c>
      <c r="AI402" s="179">
        <f>SUMIF($D$5:$D$319,"=kas",AI5:AI319)*HLOOKUP(AC322,Verteil_rwst,4,FALSE)+SUMIF($D$5:$D$319,"=kam",AI5:AI319)*HLOOKUP(AC322,Verteil_rwst,5,FALSE)+SUMIF($D$5:$D$319,"=kar",AI5:AI319)*HLOOKUP(AC322,Verteil_rwst,6,FALSE)+SUMIF($D$5:$D$319,"=kaz",AI5:AI319)*HLOOKUP(AC322,Verteil_rwst,7,FALSE)</f>
        <v>0</v>
      </c>
      <c r="AM402" s="217"/>
      <c r="AS402" s="102">
        <f t="shared" ref="AS402" si="2692">IF(AT399&lt;&gt;0,AT402/AT399,0)</f>
        <v>0</v>
      </c>
      <c r="AT402" s="179">
        <f>ROUND((AY402+AZ402/2)*HLOOKUP(AT322,Grund_zins,2,FALSE),2)</f>
        <v>0</v>
      </c>
      <c r="AV402" s="665" t="s">
        <v>291</v>
      </c>
      <c r="AY402" s="179">
        <f>SUMIF($D$5:$D$319,"=kas",AY5:AY319)*HLOOKUP(AT322,Verteil_rwst,4,FALSE)+SUMIF($D$5:$D$319,"=kam",AY5:AY319)*HLOOKUP(AT322,Verteil_rwst,5,FALSE)+SUMIF($D$5:$D$319,"=kar",AY5:AY319)*HLOOKUP(AT322,Verteil_rwst,6,FALSE)+SUMIF($D$5:$D$319,"=kaz",AY5:AY319)*HLOOKUP(AT322,Verteil_rwst,7,FALSE)</f>
        <v>0</v>
      </c>
      <c r="AZ402" s="179">
        <f>SUMIF($D$5:$D$319,"=kas",AZ5:AZ319)*HLOOKUP(AT322,Verteil_rwst,4,FALSE)+SUMIF($D$5:$D$319,"=kam",AZ5:AZ319)*HLOOKUP(AT322,Verteil_rwst,5,FALSE)+SUMIF($D$5:$D$319,"=kar",AZ5:AZ319)*HLOOKUP(AT322,Verteil_rwst,6,FALSE)+SUMIF($D$5:$D$319,"=kaz",AZ5:AZ319)*HLOOKUP(AT322,Verteil_rwst,7,FALSE)</f>
        <v>0</v>
      </c>
      <c r="BD402" s="217"/>
      <c r="BJ402" s="102">
        <f t="shared" ref="BJ402" si="2693">IF(BK399&lt;&gt;0,BK402/BK399,0)</f>
        <v>0</v>
      </c>
      <c r="BK402" s="179">
        <f>ROUND((BP402+BQ402/2)*HLOOKUP(BK322,Grund_zins,2,FALSE),2)</f>
        <v>0</v>
      </c>
      <c r="BM402" s="665" t="s">
        <v>291</v>
      </c>
      <c r="BP402" s="179">
        <f>SUMIF($D$5:$D$319,"=kas",BP5:BP319)*HLOOKUP(BK322,Verteil_rwst,4,FALSE)+SUMIF($D$5:$D$319,"=kam",BP5:BP319)*HLOOKUP(BK322,Verteil_rwst,5,FALSE)+SUMIF($D$5:$D$319,"=kar",BP5:BP319)*HLOOKUP(BK322,Verteil_rwst,6,FALSE)+SUMIF($D$5:$D$319,"=kaz",BP5:BP319)*HLOOKUP(BK322,Verteil_rwst,7,FALSE)</f>
        <v>0</v>
      </c>
      <c r="BQ402" s="179">
        <f>SUMIF($D$5:$D$319,"=kas",BQ5:BQ319)*HLOOKUP(BK322,Verteil_rwst,4,FALSE)+SUMIF($D$5:$D$319,"=kam",BQ5:BQ319)*HLOOKUP(BK322,Verteil_rwst,5,FALSE)+SUMIF($D$5:$D$319,"=kar",BQ5:BQ319)*HLOOKUP(BK322,Verteil_rwst,6,FALSE)+SUMIF($D$5:$D$319,"=kaz",BQ5:BQ319)*HLOOKUP(BK322,Verteil_rwst,7,FALSE)</f>
        <v>0</v>
      </c>
      <c r="BU402" s="217"/>
      <c r="CA402" s="102">
        <f t="shared" ref="CA402" si="2694">IF(CB399&lt;&gt;0,CB402/CB399,0)</f>
        <v>0</v>
      </c>
      <c r="CB402" s="179">
        <f>ROUND((CG402+CH402/2)*HLOOKUP(CB322,Grund_zins,2,FALSE),2)</f>
        <v>0</v>
      </c>
      <c r="CD402" s="665" t="s">
        <v>291</v>
      </c>
      <c r="CG402" s="179">
        <f>SUMIF($D$5:$D$319,"=kas",CG5:CG319)*HLOOKUP(CB322,Verteil_rwst,4,FALSE)+SUMIF($D$5:$D$319,"=kam",CG5:CG319)*HLOOKUP(CB322,Verteil_rwst,5,FALSE)+SUMIF($D$5:$D$319,"=kar",CG5:CG319)*HLOOKUP(CB322,Verteil_rwst,6,FALSE)+SUMIF($D$5:$D$319,"=kaz",CG5:CG319)*HLOOKUP(CB322,Verteil_rwst,7,FALSE)</f>
        <v>0</v>
      </c>
      <c r="CH402" s="179">
        <f>SUMIF($D$5:$D$319,"=kas",CH5:CH319)*HLOOKUP(CB322,Verteil_rwst,4,FALSE)+SUMIF($D$5:$D$319,"=kam",CH5:CH319)*HLOOKUP(CB322,Verteil_rwst,5,FALSE)+SUMIF($D$5:$D$319,"=kar",CH5:CH319)*HLOOKUP(CB322,Verteil_rwst,6,FALSE)+SUMIF($D$5:$D$319,"=kaz",CH5:CH319)*HLOOKUP(CB322,Verteil_rwst,7,FALSE)</f>
        <v>0</v>
      </c>
      <c r="CL402" s="217"/>
      <c r="CR402" s="102">
        <f t="shared" ref="CR402" si="2695">IF(CS399&lt;&gt;0,CS402/CS399,0)</f>
        <v>0</v>
      </c>
      <c r="CS402" s="179">
        <f>ROUND((CX402+CY402/2)*HLOOKUP(CS322,Grund_zins,2,FALSE),2)</f>
        <v>0</v>
      </c>
      <c r="CU402" s="665" t="s">
        <v>291</v>
      </c>
      <c r="CX402" s="179">
        <f>SUMIF($D$5:$D$319,"=kas",CX5:CX319)*HLOOKUP(CS322,Verteil_rwst,4,FALSE)+SUMIF($D$5:$D$319,"=kam",CX5:CX319)*HLOOKUP(CS322,Verteil_rwst,5,FALSE)+SUMIF($D$5:$D$319,"=kar",CX5:CX319)*HLOOKUP(CS322,Verteil_rwst,6,FALSE)+SUMIF($D$5:$D$319,"=kaz",CX5:CX319)*HLOOKUP(CS322,Verteil_rwst,7,FALSE)</f>
        <v>0</v>
      </c>
      <c r="CY402" s="179">
        <f>SUMIF($D$5:$D$319,"=kas",CY5:CY319)*HLOOKUP(CS322,Verteil_rwst,4,FALSE)+SUMIF($D$5:$D$319,"=kam",CY5:CY319)*HLOOKUP(CS322,Verteil_rwst,5,FALSE)+SUMIF($D$5:$D$319,"=kar",CY5:CY319)*HLOOKUP(CS322,Verteil_rwst,6,FALSE)+SUMIF($D$5:$D$319,"=kaz",CY5:CY319)*HLOOKUP(CS322,Verteil_rwst,7,FALSE)</f>
        <v>0</v>
      </c>
      <c r="DC402" s="217"/>
      <c r="DI402" s="102">
        <f t="shared" ref="DI402" si="2696">IF(DJ399&lt;&gt;0,DJ402/DJ399,0)</f>
        <v>0</v>
      </c>
      <c r="DJ402" s="179">
        <f>ROUND((DO402+DP402/2)*HLOOKUP(DJ322,Grund_zins,2,FALSE),2)</f>
        <v>0</v>
      </c>
      <c r="DL402" s="665" t="s">
        <v>291</v>
      </c>
      <c r="DO402" s="179">
        <f>SUMIF($D$5:$D$319,"=kas",DO5:DO319)*HLOOKUP(DJ322,Verteil_rwst,4,FALSE)+SUMIF($D$5:$D$319,"=kam",DO5:DO319)*HLOOKUP(DJ322,Verteil_rwst,5,FALSE)+SUMIF($D$5:$D$319,"=kar",DO5:DO319)*HLOOKUP(DJ322,Verteil_rwst,6,FALSE)+SUMIF($D$5:$D$319,"=kaz",DO5:DO319)*HLOOKUP(DJ322,Verteil_rwst,7,FALSE)</f>
        <v>0</v>
      </c>
      <c r="DP402" s="179">
        <f>SUMIF($D$5:$D$319,"=kas",DP5:DP319)*HLOOKUP(DJ322,Verteil_rwst,4,FALSE)+SUMIF($D$5:$D$319,"=kam",DP5:DP319)*HLOOKUP(DJ322,Verteil_rwst,5,FALSE)+SUMIF($D$5:$D$319,"=kar",DP5:DP319)*HLOOKUP(DJ322,Verteil_rwst,6,FALSE)+SUMIF($D$5:$D$319,"=kaz",DP5:DP319)*HLOOKUP(DJ322,Verteil_rwst,7,FALSE)</f>
        <v>0</v>
      </c>
      <c r="DT402" s="217"/>
      <c r="DZ402" s="102">
        <f t="shared" ref="DZ402" si="2697">IF(EA399&lt;&gt;0,EA402/EA399,0)</f>
        <v>0</v>
      </c>
      <c r="EA402" s="179">
        <f>ROUND((EF402+EG402/2)*HLOOKUP(EA322,Grund_zins,2,FALSE),2)</f>
        <v>0</v>
      </c>
      <c r="EC402" s="665" t="s">
        <v>291</v>
      </c>
      <c r="EF402" s="179">
        <f>SUMIF($D$5:$D$319,"=kas",EF5:EF319)*HLOOKUP(EA322,Verteil_rwst,4,FALSE)+SUMIF($D$5:$D$319,"=kam",EF5:EF319)*HLOOKUP(EA322,Verteil_rwst,5,FALSE)+SUMIF($D$5:$D$319,"=kar",EF5:EF319)*HLOOKUP(EA322,Verteil_rwst,6,FALSE)+SUMIF($D$5:$D$319,"=kaz",EF5:EF319)*HLOOKUP(EA322,Verteil_rwst,7,FALSE)</f>
        <v>0</v>
      </c>
      <c r="EG402" s="179">
        <f>SUMIF($D$5:$D$319,"=kas",EG5:EG319)*HLOOKUP(EA322,Verteil_rwst,4,FALSE)+SUMIF($D$5:$D$319,"=kam",EG5:EG319)*HLOOKUP(EA322,Verteil_rwst,5,FALSE)+SUMIF($D$5:$D$319,"=kar",EG5:EG319)*HLOOKUP(EA322,Verteil_rwst,6,FALSE)+SUMIF($D$5:$D$319,"=kaz",EG5:EG319)*HLOOKUP(EA322,Verteil_rwst,7,FALSE)</f>
        <v>0</v>
      </c>
      <c r="EK402" s="217"/>
      <c r="EQ402" s="102">
        <f t="shared" ref="EQ402" si="2698">IF(ER399&lt;&gt;0,ER402/ER399,0)</f>
        <v>0</v>
      </c>
      <c r="ER402" s="179">
        <f>ROUND((EW402+EX402/2)*HLOOKUP(ER322,Grund_zins,2,FALSE),2)</f>
        <v>0</v>
      </c>
      <c r="ET402" s="665" t="s">
        <v>291</v>
      </c>
      <c r="EW402" s="179">
        <f>SUMIF($D$5:$D$319,"=kas",EW5:EW319)*HLOOKUP(ER322,Verteil_rwst,4,FALSE)+SUMIF($D$5:$D$319,"=kam",EW5:EW319)*HLOOKUP(ER322,Verteil_rwst,5,FALSE)+SUMIF($D$5:$D$319,"=kar",EW5:EW319)*HLOOKUP(ER322,Verteil_rwst,6,FALSE)+SUMIF($D$5:$D$319,"=kaz",EW5:EW319)*HLOOKUP(ER322,Verteil_rwst,7,FALSE)</f>
        <v>0</v>
      </c>
      <c r="EX402" s="179">
        <f>SUMIF($D$5:$D$319,"=kas",EX5:EX319)*HLOOKUP(ER322,Verteil_rwst,4,FALSE)+SUMIF($D$5:$D$319,"=kam",EX5:EX319)*HLOOKUP(ER322,Verteil_rwst,5,FALSE)+SUMIF($D$5:$D$319,"=kar",EX5:EX319)*HLOOKUP(ER322,Verteil_rwst,6,FALSE)+SUMIF($D$5:$D$319,"=kaz",EX5:EX319)*HLOOKUP(ER322,Verteil_rwst,7,FALSE)</f>
        <v>0</v>
      </c>
      <c r="FB402" s="217"/>
      <c r="FH402" s="102">
        <f t="shared" ref="FH402" si="2699">IF(FI399&lt;&gt;0,FI402/FI399,0)</f>
        <v>0</v>
      </c>
      <c r="FI402" s="179">
        <f>ROUND((FN402+FO402/2)*HLOOKUP(FI322,Grund_zins,2,FALSE),2)</f>
        <v>0</v>
      </c>
      <c r="FK402" s="665" t="s">
        <v>291</v>
      </c>
      <c r="FN402" s="179">
        <f>SUMIF($D$5:$D$319,"=kas",FN5:FN319)*HLOOKUP(FI322,Verteil_rwst,4,FALSE)+SUMIF($D$5:$D$319,"=kam",FN5:FN319)*HLOOKUP(FI322,Verteil_rwst,5,FALSE)+SUMIF($D$5:$D$319,"=kar",FN5:FN319)*HLOOKUP(FI322,Verteil_rwst,6,FALSE)+SUMIF($D$5:$D$319,"=kaz",FN5:FN319)*HLOOKUP(FI322,Verteil_rwst,7,FALSE)</f>
        <v>0</v>
      </c>
      <c r="FO402" s="179">
        <f>SUMIF($D$5:$D$319,"=kas",FO5:FO319)*HLOOKUP(FI322,Verteil_rwst,4,FALSE)+SUMIF($D$5:$D$319,"=kam",FO5:FO319)*HLOOKUP(FI322,Verteil_rwst,5,FALSE)+SUMIF($D$5:$D$319,"=kar",FO5:FO319)*HLOOKUP(FI322,Verteil_rwst,6,FALSE)+SUMIF($D$5:$D$319,"=kaz",FO5:FO319)*HLOOKUP(FI322,Verteil_rwst,7,FALSE)</f>
        <v>0</v>
      </c>
      <c r="FS402" s="217"/>
    </row>
    <row r="403" spans="1:175" s="10" customFormat="1" ht="15" hidden="1" customHeight="1" x14ac:dyDescent="0.3">
      <c r="A403" s="664" t="s">
        <v>292</v>
      </c>
      <c r="V403" s="217">
        <v>82</v>
      </c>
      <c r="AB403" s="102">
        <f t="shared" ref="AB403" si="2700">SUM(AB404:AB406)</f>
        <v>0</v>
      </c>
      <c r="AC403" s="179">
        <f>ROUND((AH403+AI403/2)*HLOOKUP(AC322,Grund_zins,2,FALSE),2)</f>
        <v>0</v>
      </c>
      <c r="AE403" s="664" t="s">
        <v>292</v>
      </c>
      <c r="AH403" s="179">
        <f>SUMIF($D$5:$D$319,"=klm",AH5:AH319)+SUMIF($D$5:$D$319,"=kls",AH5:AH319)+SUMIF($D$5:$D$319,"=klr",AH5:AH319)+SUMIF($D$5:$D$319,"=klk",AH5:AH319)+SUMIF($D$5:$D$319,"=klz",AH5:AH319)</f>
        <v>0</v>
      </c>
      <c r="AI403" s="179">
        <f>SUMIF($D$5:$D$319,"=klm",AI5:AI319)+SUMIF($D$5:$D$319,"=kls",AI5:AI319)+SUMIF($D$5:$D$319,"=klr",AI5:AI319)+SUMIF($D$5:$D$319,"=klk",AI5:AI319)+SUMIF($D$5:$D$319,"=klz",AI5:AI319)</f>
        <v>0</v>
      </c>
      <c r="AM403" s="217"/>
      <c r="AS403" s="102">
        <f t="shared" ref="AS403:CR403" si="2701">SUM(AS404:AS406)</f>
        <v>0</v>
      </c>
      <c r="AT403" s="179">
        <f>ROUND((AY403+AZ403/2)*HLOOKUP(AT322,Grund_zins,2,FALSE),2)</f>
        <v>0</v>
      </c>
      <c r="AV403" s="664" t="s">
        <v>292</v>
      </c>
      <c r="AY403" s="179">
        <f t="shared" ref="AY403:AZ403" si="2702">SUMIF($D$5:$D$319,"=klm",AY5:AY319)+SUMIF($D$5:$D$319,"=kls",AY5:AY319)+SUMIF($D$5:$D$319,"=klr",AY5:AY319)+SUMIF($D$5:$D$319,"=klk",AY5:AY319)+SUMIF($D$5:$D$319,"=klz",AY5:AY319)</f>
        <v>0</v>
      </c>
      <c r="AZ403" s="179">
        <f t="shared" si="2702"/>
        <v>0</v>
      </c>
      <c r="BD403" s="217"/>
      <c r="BJ403" s="102">
        <f t="shared" si="2701"/>
        <v>0</v>
      </c>
      <c r="BK403" s="179">
        <f>ROUND((BP403+BQ403/2)*HLOOKUP(BK322,Grund_zins,2,FALSE),2)</f>
        <v>0</v>
      </c>
      <c r="BM403" s="664" t="s">
        <v>292</v>
      </c>
      <c r="BP403" s="179">
        <f t="shared" ref="BP403:BQ403" si="2703">SUMIF($D$5:$D$319,"=klm",BP5:BP319)+SUMIF($D$5:$D$319,"=kls",BP5:BP319)+SUMIF($D$5:$D$319,"=klr",BP5:BP319)+SUMIF($D$5:$D$319,"=klk",BP5:BP319)+SUMIF($D$5:$D$319,"=klz",BP5:BP319)</f>
        <v>0</v>
      </c>
      <c r="BQ403" s="179">
        <f t="shared" si="2703"/>
        <v>0</v>
      </c>
      <c r="BU403" s="217"/>
      <c r="CA403" s="102">
        <f t="shared" si="2701"/>
        <v>0</v>
      </c>
      <c r="CB403" s="179">
        <f>ROUND((CG403+CH403/2)*HLOOKUP(CB322,Grund_zins,2,FALSE),2)</f>
        <v>0</v>
      </c>
      <c r="CD403" s="664" t="s">
        <v>292</v>
      </c>
      <c r="CG403" s="179">
        <f t="shared" ref="CG403:CH403" si="2704">SUMIF($D$5:$D$319,"=klm",CG5:CG319)+SUMIF($D$5:$D$319,"=kls",CG5:CG319)+SUMIF($D$5:$D$319,"=klr",CG5:CG319)+SUMIF($D$5:$D$319,"=klk",CG5:CG319)+SUMIF($D$5:$D$319,"=klz",CG5:CG319)</f>
        <v>0</v>
      </c>
      <c r="CH403" s="179">
        <f t="shared" si="2704"/>
        <v>0</v>
      </c>
      <c r="CL403" s="217"/>
      <c r="CR403" s="102">
        <f t="shared" si="2701"/>
        <v>0</v>
      </c>
      <c r="CS403" s="179">
        <f>ROUND((CX403+CY403/2)*HLOOKUP(CS322,Grund_zins,2,FALSE),2)</f>
        <v>0</v>
      </c>
      <c r="CU403" s="664" t="s">
        <v>292</v>
      </c>
      <c r="CX403" s="179">
        <f t="shared" ref="CX403:CY403" si="2705">SUMIF($D$5:$D$319,"=klm",CX5:CX319)+SUMIF($D$5:$D$319,"=kls",CX5:CX319)+SUMIF($D$5:$D$319,"=klr",CX5:CX319)+SUMIF($D$5:$D$319,"=klk",CX5:CX319)+SUMIF($D$5:$D$319,"=klz",CX5:CX319)</f>
        <v>0</v>
      </c>
      <c r="CY403" s="179">
        <f t="shared" si="2705"/>
        <v>0</v>
      </c>
      <c r="DC403" s="217"/>
      <c r="DI403" s="102">
        <f t="shared" ref="DI403:FH403" si="2706">SUM(DI404:DI406)</f>
        <v>0</v>
      </c>
      <c r="DJ403" s="179">
        <f>ROUND((DO403+DP403/2)*HLOOKUP(DJ322,Grund_zins,2,FALSE),2)</f>
        <v>0</v>
      </c>
      <c r="DL403" s="664" t="s">
        <v>292</v>
      </c>
      <c r="DO403" s="179">
        <f t="shared" ref="DO403:DP403" si="2707">SUMIF($D$5:$D$319,"=klm",DO5:DO319)+SUMIF($D$5:$D$319,"=kls",DO5:DO319)+SUMIF($D$5:$D$319,"=klr",DO5:DO319)+SUMIF($D$5:$D$319,"=klk",DO5:DO319)+SUMIF($D$5:$D$319,"=klz",DO5:DO319)</f>
        <v>0</v>
      </c>
      <c r="DP403" s="179">
        <f t="shared" si="2707"/>
        <v>0</v>
      </c>
      <c r="DT403" s="217"/>
      <c r="DZ403" s="102">
        <f t="shared" si="2706"/>
        <v>0</v>
      </c>
      <c r="EA403" s="179">
        <f>ROUND((EF403+EG403/2)*HLOOKUP(EA322,Grund_zins,2,FALSE),2)</f>
        <v>0</v>
      </c>
      <c r="EC403" s="664" t="s">
        <v>292</v>
      </c>
      <c r="EF403" s="179">
        <f t="shared" ref="EF403:EG403" si="2708">SUMIF($D$5:$D$319,"=klm",EF5:EF319)+SUMIF($D$5:$D$319,"=kls",EF5:EF319)+SUMIF($D$5:$D$319,"=klr",EF5:EF319)+SUMIF($D$5:$D$319,"=klk",EF5:EF319)+SUMIF($D$5:$D$319,"=klz",EF5:EF319)</f>
        <v>0</v>
      </c>
      <c r="EG403" s="179">
        <f t="shared" si="2708"/>
        <v>0</v>
      </c>
      <c r="EK403" s="217"/>
      <c r="EQ403" s="102">
        <f t="shared" si="2706"/>
        <v>0</v>
      </c>
      <c r="ER403" s="179">
        <f>ROUND((EW403+EX403/2)*HLOOKUP(ER322,Grund_zins,2,FALSE),2)</f>
        <v>0</v>
      </c>
      <c r="ET403" s="664" t="s">
        <v>292</v>
      </c>
      <c r="EW403" s="179">
        <f t="shared" ref="EW403:EX403" si="2709">SUMIF($D$5:$D$319,"=klm",EW5:EW319)+SUMIF($D$5:$D$319,"=kls",EW5:EW319)+SUMIF($D$5:$D$319,"=klr",EW5:EW319)+SUMIF($D$5:$D$319,"=klk",EW5:EW319)+SUMIF($D$5:$D$319,"=klz",EW5:EW319)</f>
        <v>0</v>
      </c>
      <c r="EX403" s="179">
        <f t="shared" si="2709"/>
        <v>0</v>
      </c>
      <c r="FB403" s="217"/>
      <c r="FH403" s="102">
        <f t="shared" si="2706"/>
        <v>0</v>
      </c>
      <c r="FI403" s="179">
        <f>ROUND((FN403+FO403/2)*HLOOKUP(FI322,Grund_zins,2,FALSE),2)</f>
        <v>0</v>
      </c>
      <c r="FK403" s="664" t="s">
        <v>292</v>
      </c>
      <c r="FN403" s="179">
        <f t="shared" ref="FN403:FO403" si="2710">SUMIF($D$5:$D$319,"=klm",FN5:FN319)+SUMIF($D$5:$D$319,"=kls",FN5:FN319)+SUMIF($D$5:$D$319,"=klr",FN5:FN319)+SUMIF($D$5:$D$319,"=klk",FN5:FN319)+SUMIF($D$5:$D$319,"=klz",FN5:FN319)</f>
        <v>0</v>
      </c>
      <c r="FO403" s="179">
        <f t="shared" si="2710"/>
        <v>0</v>
      </c>
      <c r="FS403" s="217"/>
    </row>
    <row r="404" spans="1:175" s="10" customFormat="1" ht="15" hidden="1" customHeight="1" x14ac:dyDescent="0.3">
      <c r="A404" s="665" t="s">
        <v>180</v>
      </c>
      <c r="V404" s="217">
        <v>83</v>
      </c>
      <c r="AB404" s="102">
        <f t="shared" ref="AB404" si="2711">IF(AC403&lt;&gt;0,AC404/AC403,0)</f>
        <v>0</v>
      </c>
      <c r="AC404" s="179">
        <f>ROUND((AH404+AI404/2)*HLOOKUP(AC322,Grund_zins,2,FALSE),2)</f>
        <v>0</v>
      </c>
      <c r="AE404" s="665" t="s">
        <v>180</v>
      </c>
      <c r="AH404" s="179">
        <f>SUMIF($D$5:$D$319,"=kls",AH5:AH319)*HLOOKUP(AC322,Verteil_sw,11,FALSE)+SUMIF($D$5:$D$319,"=klm",AH5:AH319)*HLOOKUP(AC322,Verteil_sw,12,FALSE)+SUMIF($D$5:$D$319,"=klr",AH5:AH319)*HLOOKUP(AC322,Verteil_sw,13,FALSE)+SUMIF($D$5:$D$319,"=klk",AH5:AH319)*HLOOKUP(AC322,Verteil_sw,14,FALSE)+SUMIF($D$5:$D$319,"=klz",AH5:AH319)*HLOOKUP(AC322,Verteil_sw,15,FALSE)</f>
        <v>0</v>
      </c>
      <c r="AI404" s="179">
        <f>SUMIF($D$5:$D$319,"=kls",AI5:AI319)*HLOOKUP(AC322,Verteil_sw,11,FALSE)+SUMIF($D$5:$D$319,"=klm",AI5:AI319)*HLOOKUP(AC322,Verteil_sw,12,FALSE)+SUMIF($D$5:$D$319,"=klr",AI5:AI319)*HLOOKUP(AC322,Verteil_sw,13,FALSE)+SUMIF($D$5:$D$319,"=klk",AI5:AI319)*HLOOKUP(AC322,Verteil_sw,14,FALSE)+SUMIF($D$5:$D$319,"=klz",AI5:AI319)*HLOOKUP(AC322,Verteil_sw,15,FALSE)</f>
        <v>0</v>
      </c>
      <c r="AM404" s="217"/>
      <c r="AS404" s="102">
        <f t="shared" ref="AS404" si="2712">IF(AT403&lt;&gt;0,AT404/AT403,0)</f>
        <v>0</v>
      </c>
      <c r="AT404" s="179">
        <f>ROUND((AY404+AZ404/2)*HLOOKUP(AT322,Grund_zins,2,FALSE),2)</f>
        <v>0</v>
      </c>
      <c r="AV404" s="665" t="s">
        <v>180</v>
      </c>
      <c r="AY404" s="179">
        <f>SUMIF($D$5:$D$319,"=kls",AY5:AY319)*HLOOKUP(AT322,Verteil_sw,11,FALSE)+SUMIF($D$5:$D$319,"=klm",AY5:AY319)*HLOOKUP(AT322,Verteil_sw,12,FALSE)+SUMIF($D$5:$D$319,"=klr",AY5:AY319)*HLOOKUP(AT322,Verteil_sw,13,FALSE)+SUMIF($D$5:$D$319,"=klk",AY5:AY319)*HLOOKUP(AT322,Verteil_sw,14,FALSE)+SUMIF($D$5:$D$319,"=klz",AY5:AY319)*HLOOKUP(AT322,Verteil_sw,15,FALSE)</f>
        <v>0</v>
      </c>
      <c r="AZ404" s="179">
        <f>SUMIF($D$5:$D$319,"=kls",AZ5:AZ319)*HLOOKUP(AT322,Verteil_sw,11,FALSE)+SUMIF($D$5:$D$319,"=klm",AZ5:AZ319)*HLOOKUP(AT322,Verteil_sw,12,FALSE)+SUMIF($D$5:$D$319,"=klr",AZ5:AZ319)*HLOOKUP(AT322,Verteil_sw,13,FALSE)+SUMIF($D$5:$D$319,"=klk",AZ5:AZ319)*HLOOKUP(AT322,Verteil_sw,14,FALSE)+SUMIF($D$5:$D$319,"=klz",AZ5:AZ319)*HLOOKUP(AT322,Verteil_sw,15,FALSE)</f>
        <v>0</v>
      </c>
      <c r="BD404" s="217"/>
      <c r="BJ404" s="102">
        <f t="shared" ref="BJ404" si="2713">IF(BK403&lt;&gt;0,BK404/BK403,0)</f>
        <v>0</v>
      </c>
      <c r="BK404" s="179">
        <f>ROUND((BP404+BQ404/2)*HLOOKUP(BK322,Grund_zins,2,FALSE),2)</f>
        <v>0</v>
      </c>
      <c r="BM404" s="665" t="s">
        <v>180</v>
      </c>
      <c r="BP404" s="179">
        <f>SUMIF($D$5:$D$319,"=kls",BP5:BP319)*HLOOKUP(BK322,Verteil_sw,11,FALSE)+SUMIF($D$5:$D$319,"=klm",BP5:BP319)*HLOOKUP(BK322,Verteil_sw,12,FALSE)+SUMIF($D$5:$D$319,"=klr",BP5:BP319)*HLOOKUP(BK322,Verteil_sw,13,FALSE)+SUMIF($D$5:$D$319,"=klk",BP5:BP319)*HLOOKUP(BK322,Verteil_sw,14,FALSE)+SUMIF($D$5:$D$319,"=klz",BP5:BP319)*HLOOKUP(BK322,Verteil_sw,15,FALSE)</f>
        <v>0</v>
      </c>
      <c r="BQ404" s="179">
        <f>SUMIF($D$5:$D$319,"=kls",BQ5:BQ319)*HLOOKUP(BK322,Verteil_sw,11,FALSE)+SUMIF($D$5:$D$319,"=klm",BQ5:BQ319)*HLOOKUP(BK322,Verteil_sw,12,FALSE)+SUMIF($D$5:$D$319,"=klr",BQ5:BQ319)*HLOOKUP(BK322,Verteil_sw,13,FALSE)+SUMIF($D$5:$D$319,"=klk",BQ5:BQ319)*HLOOKUP(BK322,Verteil_sw,14,FALSE)+SUMIF($D$5:$D$319,"=klz",BQ5:BQ319)*HLOOKUP(BK322,Verteil_sw,15,FALSE)</f>
        <v>0</v>
      </c>
      <c r="BU404" s="217"/>
      <c r="CA404" s="102">
        <f t="shared" ref="CA404" si="2714">IF(CB403&lt;&gt;0,CB404/CB403,0)</f>
        <v>0</v>
      </c>
      <c r="CB404" s="179">
        <f>ROUND((CG404+CH404/2)*HLOOKUP(CB322,Grund_zins,2,FALSE),2)</f>
        <v>0</v>
      </c>
      <c r="CD404" s="665" t="s">
        <v>180</v>
      </c>
      <c r="CG404" s="179">
        <f>SUMIF($D$5:$D$319,"=kls",CG5:CG319)*HLOOKUP(CB322,Verteil_sw,11,FALSE)+SUMIF($D$5:$D$319,"=klm",CG5:CG319)*HLOOKUP(CB322,Verteil_sw,12,FALSE)+SUMIF($D$5:$D$319,"=klr",CG5:CG319)*HLOOKUP(CB322,Verteil_sw,13,FALSE)+SUMIF($D$5:$D$319,"=klk",CG5:CG319)*HLOOKUP(CB322,Verteil_sw,14,FALSE)+SUMIF($D$5:$D$319,"=klz",CG5:CG319)*HLOOKUP(CB322,Verteil_sw,15,FALSE)</f>
        <v>0</v>
      </c>
      <c r="CH404" s="179">
        <f>SUMIF($D$5:$D$319,"=kls",CH5:CH319)*HLOOKUP(CB322,Verteil_sw,11,FALSE)+SUMIF($D$5:$D$319,"=klm",CH5:CH319)*HLOOKUP(CB322,Verteil_sw,12,FALSE)+SUMIF($D$5:$D$319,"=klr",CH5:CH319)*HLOOKUP(CB322,Verteil_sw,13,FALSE)+SUMIF($D$5:$D$319,"=klk",CH5:CH319)*HLOOKUP(CB322,Verteil_sw,14,FALSE)+SUMIF($D$5:$D$319,"=klz",CH5:CH319)*HLOOKUP(CB322,Verteil_sw,15,FALSE)</f>
        <v>0</v>
      </c>
      <c r="CL404" s="217"/>
      <c r="CR404" s="102">
        <f t="shared" ref="CR404" si="2715">IF(CS403&lt;&gt;0,CS404/CS403,0)</f>
        <v>0</v>
      </c>
      <c r="CS404" s="179">
        <f>ROUND((CX404+CY404/2)*HLOOKUP(CS322,Grund_zins,2,FALSE),2)</f>
        <v>0</v>
      </c>
      <c r="CU404" s="665" t="s">
        <v>180</v>
      </c>
      <c r="CX404" s="179">
        <f>SUMIF($D$5:$D$319,"=kls",CX5:CX319)*HLOOKUP(CS322,Verteil_sw,11,FALSE)+SUMIF($D$5:$D$319,"=klm",CX5:CX319)*HLOOKUP(CS322,Verteil_sw,12,FALSE)+SUMIF($D$5:$D$319,"=klr",CX5:CX319)*HLOOKUP(CS322,Verteil_sw,13,FALSE)+SUMIF($D$5:$D$319,"=klk",CX5:CX319)*HLOOKUP(CS322,Verteil_sw,14,FALSE)+SUMIF($D$5:$D$319,"=klz",CX5:CX319)*HLOOKUP(CS322,Verteil_sw,15,FALSE)</f>
        <v>0</v>
      </c>
      <c r="CY404" s="179">
        <f>SUMIF($D$5:$D$319,"=kls",CY5:CY319)*HLOOKUP(CS322,Verteil_sw,11,FALSE)+SUMIF($D$5:$D$319,"=klm",CY5:CY319)*HLOOKUP(CS322,Verteil_sw,12,FALSE)+SUMIF($D$5:$D$319,"=klr",CY5:CY319)*HLOOKUP(CS322,Verteil_sw,13,FALSE)+SUMIF($D$5:$D$319,"=klk",CY5:CY319)*HLOOKUP(CS322,Verteil_sw,14,FALSE)+SUMIF($D$5:$D$319,"=klz",CY5:CY319)*HLOOKUP(CS322,Verteil_sw,15,FALSE)</f>
        <v>0</v>
      </c>
      <c r="DC404" s="217"/>
      <c r="DI404" s="102">
        <f t="shared" ref="DI404" si="2716">IF(DJ403&lt;&gt;0,DJ404/DJ403,0)</f>
        <v>0</v>
      </c>
      <c r="DJ404" s="179">
        <f>ROUND((DO404+DP404/2)*HLOOKUP(DJ322,Grund_zins,2,FALSE),2)</f>
        <v>0</v>
      </c>
      <c r="DL404" s="665" t="s">
        <v>180</v>
      </c>
      <c r="DO404" s="179">
        <f>SUMIF($D$5:$D$319,"=kls",DO5:DO319)*HLOOKUP(DJ322,Verteil_sw,11,FALSE)+SUMIF($D$5:$D$319,"=klm",DO5:DO319)*HLOOKUP(DJ322,Verteil_sw,12,FALSE)+SUMIF($D$5:$D$319,"=klr",DO5:DO319)*HLOOKUP(DJ322,Verteil_sw,13,FALSE)+SUMIF($D$5:$D$319,"=klk",DO5:DO319)*HLOOKUP(DJ322,Verteil_sw,14,FALSE)+SUMIF($D$5:$D$319,"=klz",DO5:DO319)*HLOOKUP(DJ322,Verteil_sw,15,FALSE)</f>
        <v>0</v>
      </c>
      <c r="DP404" s="179">
        <f>SUMIF($D$5:$D$319,"=kls",DP5:DP319)*HLOOKUP(DJ322,Verteil_sw,11,FALSE)+SUMIF($D$5:$D$319,"=klm",DP5:DP319)*HLOOKUP(DJ322,Verteil_sw,12,FALSE)+SUMIF($D$5:$D$319,"=klr",DP5:DP319)*HLOOKUP(DJ322,Verteil_sw,13,FALSE)+SUMIF($D$5:$D$319,"=klk",DP5:DP319)*HLOOKUP(DJ322,Verteil_sw,14,FALSE)+SUMIF($D$5:$D$319,"=klz",DP5:DP319)*HLOOKUP(DJ322,Verteil_sw,15,FALSE)</f>
        <v>0</v>
      </c>
      <c r="DT404" s="217"/>
      <c r="DZ404" s="102">
        <f t="shared" ref="DZ404" si="2717">IF(EA403&lt;&gt;0,EA404/EA403,0)</f>
        <v>0</v>
      </c>
      <c r="EA404" s="179">
        <f>ROUND((EF404+EG404/2)*HLOOKUP(EA322,Grund_zins,2,FALSE),2)</f>
        <v>0</v>
      </c>
      <c r="EC404" s="665" t="s">
        <v>180</v>
      </c>
      <c r="EF404" s="179">
        <f>SUMIF($D$5:$D$319,"=kls",EF5:EF319)*HLOOKUP(EA322,Verteil_sw,11,FALSE)+SUMIF($D$5:$D$319,"=klm",EF5:EF319)*HLOOKUP(EA322,Verteil_sw,12,FALSE)+SUMIF($D$5:$D$319,"=klr",EF5:EF319)*HLOOKUP(EA322,Verteil_sw,13,FALSE)+SUMIF($D$5:$D$319,"=klk",EF5:EF319)*HLOOKUP(EA322,Verteil_sw,14,FALSE)+SUMIF($D$5:$D$319,"=klz",EF5:EF319)*HLOOKUP(EA322,Verteil_sw,15,FALSE)</f>
        <v>0</v>
      </c>
      <c r="EG404" s="179">
        <f>SUMIF($D$5:$D$319,"=kls",EG5:EG319)*HLOOKUP(EA322,Verteil_sw,11,FALSE)+SUMIF($D$5:$D$319,"=klm",EG5:EG319)*HLOOKUP(EA322,Verteil_sw,12,FALSE)+SUMIF($D$5:$D$319,"=klr",EG5:EG319)*HLOOKUP(EA322,Verteil_sw,13,FALSE)+SUMIF($D$5:$D$319,"=klk",EG5:EG319)*HLOOKUP(EA322,Verteil_sw,14,FALSE)+SUMIF($D$5:$D$319,"=klz",EG5:EG319)*HLOOKUP(EA322,Verteil_sw,15,FALSE)</f>
        <v>0</v>
      </c>
      <c r="EK404" s="217"/>
      <c r="EQ404" s="102">
        <f t="shared" ref="EQ404" si="2718">IF(ER403&lt;&gt;0,ER404/ER403,0)</f>
        <v>0</v>
      </c>
      <c r="ER404" s="179">
        <f>ROUND((EW404+EX404/2)*HLOOKUP(ER322,Grund_zins,2,FALSE),2)</f>
        <v>0</v>
      </c>
      <c r="ET404" s="665" t="s">
        <v>180</v>
      </c>
      <c r="EW404" s="179">
        <f>SUMIF($D$5:$D$319,"=kls",EW5:EW319)*HLOOKUP(ER322,Verteil_sw,11,FALSE)+SUMIF($D$5:$D$319,"=klm",EW5:EW319)*HLOOKUP(ER322,Verteil_sw,12,FALSE)+SUMIF($D$5:$D$319,"=klr",EW5:EW319)*HLOOKUP(ER322,Verteil_sw,13,FALSE)+SUMIF($D$5:$D$319,"=klk",EW5:EW319)*HLOOKUP(ER322,Verteil_sw,14,FALSE)+SUMIF($D$5:$D$319,"=klz",EW5:EW319)*HLOOKUP(ER322,Verteil_sw,15,FALSE)</f>
        <v>0</v>
      </c>
      <c r="EX404" s="179">
        <f>SUMIF($D$5:$D$319,"=kls",EX5:EX319)*HLOOKUP(ER322,Verteil_sw,11,FALSE)+SUMIF($D$5:$D$319,"=klm",EX5:EX319)*HLOOKUP(ER322,Verteil_sw,12,FALSE)+SUMIF($D$5:$D$319,"=klr",EX5:EX319)*HLOOKUP(ER322,Verteil_sw,13,FALSE)+SUMIF($D$5:$D$319,"=klk",EX5:EX319)*HLOOKUP(ER322,Verteil_sw,14,FALSE)+SUMIF($D$5:$D$319,"=klz",EX5:EX319)*HLOOKUP(ER322,Verteil_sw,15,FALSE)</f>
        <v>0</v>
      </c>
      <c r="FB404" s="217"/>
      <c r="FH404" s="102">
        <f t="shared" ref="FH404" si="2719">IF(FI403&lt;&gt;0,FI404/FI403,0)</f>
        <v>0</v>
      </c>
      <c r="FI404" s="179">
        <f>ROUND((FN404+FO404/2)*HLOOKUP(FI322,Grund_zins,2,FALSE),2)</f>
        <v>0</v>
      </c>
      <c r="FK404" s="665" t="s">
        <v>180</v>
      </c>
      <c r="FN404" s="179">
        <f>SUMIF($D$5:$D$319,"=kls",FN5:FN319)*HLOOKUP(FI322,Verteil_sw,11,FALSE)+SUMIF($D$5:$D$319,"=klm",FN5:FN319)*HLOOKUP(FI322,Verteil_sw,12,FALSE)+SUMIF($D$5:$D$319,"=klr",FN5:FN319)*HLOOKUP(FI322,Verteil_sw,13,FALSE)+SUMIF($D$5:$D$319,"=klk",FN5:FN319)*HLOOKUP(FI322,Verteil_sw,14,FALSE)+SUMIF($D$5:$D$319,"=klz",FN5:FN319)*HLOOKUP(FI322,Verteil_sw,15,FALSE)</f>
        <v>0</v>
      </c>
      <c r="FO404" s="179">
        <f>SUMIF($D$5:$D$319,"=kls",FO5:FO319)*HLOOKUP(FI322,Verteil_sw,11,FALSE)+SUMIF($D$5:$D$319,"=klm",FO5:FO319)*HLOOKUP(FI322,Verteil_sw,12,FALSE)+SUMIF($D$5:$D$319,"=klr",FO5:FO319)*HLOOKUP(FI322,Verteil_sw,13,FALSE)+SUMIF($D$5:$D$319,"=klk",FO5:FO319)*HLOOKUP(FI322,Verteil_sw,14,FALSE)+SUMIF($D$5:$D$319,"=klz",FO5:FO319)*HLOOKUP(FI322,Verteil_sw,15,FALSE)</f>
        <v>0</v>
      </c>
      <c r="FS404" s="217"/>
    </row>
    <row r="405" spans="1:175" s="10" customFormat="1" ht="15" hidden="1" customHeight="1" x14ac:dyDescent="0.3">
      <c r="A405" s="665" t="s">
        <v>290</v>
      </c>
      <c r="V405" s="217">
        <v>84</v>
      </c>
      <c r="AB405" s="102">
        <f t="shared" ref="AB405" si="2720">IF(AC403&lt;&gt;0,AC405/AC403,0)</f>
        <v>0</v>
      </c>
      <c r="AC405" s="179">
        <f>ROUND((AH405+AI405/2)*HLOOKUP(AC322,Grund_zins,2,FALSE),2)</f>
        <v>0</v>
      </c>
      <c r="AE405" s="665" t="s">
        <v>290</v>
      </c>
      <c r="AH405" s="179">
        <f>SUMIF($D$5:$D$319,"=kls",AH5:AH319)*HLOOKUP(AC322,Verteil_rwgr,10,FALSE)+SUMIF($D$5:$D$319,"=klm",AH5:AH319)*HLOOKUP(AC322,Verteil_rwgr,11,FALSE)+SUMIF($D$5:$D$319,"=klr",AH5:AH319)*HLOOKUP(AC322,Verteil_rwgr,12,FALSE)+SUMIF($D$5:$D$319,"=klk",AH5:AH319)*HLOOKUP(AC322,Verteil_rwgr,13,FALSE)+SUMIF($D$5:$D$319,"=klz",AH5:AH319)*HLOOKUP(AC322,Verteil_rwgr,14,FALSE)</f>
        <v>0</v>
      </c>
      <c r="AI405" s="179">
        <f>SUMIF($D$5:$D$319,"=kls",AI5:AI319)*HLOOKUP(AC322,Verteil_rwgr,10,FALSE)+SUMIF($D$5:$D$319,"=klm",AI5:AI319)*HLOOKUP(AC322,Verteil_rwgr,11,FALSE)+SUMIF($D$5:$D$319,"=klr",AI5:AI319)*HLOOKUP(AC322,Verteil_rwgr,12,FALSE)+SUMIF($D$5:$D$319,"=klk",AI5:AI319)*HLOOKUP(AC322,Verteil_rwgr,13,FALSE)+SUMIF($D$5:$D$319,"=klz",AI5:AI319)*HLOOKUP(AC322,Verteil_rwgr,14,FALSE)</f>
        <v>0</v>
      </c>
      <c r="AM405" s="217"/>
      <c r="AS405" s="102">
        <f t="shared" ref="AS405" si="2721">IF(AT403&lt;&gt;0,AT405/AT403,0)</f>
        <v>0</v>
      </c>
      <c r="AT405" s="179">
        <f>ROUND((AY405+AZ405/2)*HLOOKUP(AT322,Grund_zins,2,FALSE),2)</f>
        <v>0</v>
      </c>
      <c r="AV405" s="665" t="s">
        <v>290</v>
      </c>
      <c r="AY405" s="179">
        <f>SUMIF($D$5:$D$319,"=kls",AY5:AY319)*HLOOKUP(AT322,Verteil_rwgr,10,FALSE)+SUMIF($D$5:$D$319,"=klm",AY5:AY319)*HLOOKUP(AT322,Verteil_rwgr,11,FALSE)+SUMIF($D$5:$D$319,"=klr",AY5:AY319)*HLOOKUP(AT322,Verteil_rwgr,12,FALSE)+SUMIF($D$5:$D$319,"=klk",AY5:AY319)*HLOOKUP(AT322,Verteil_rwgr,13,FALSE)+SUMIF($D$5:$D$319,"=klz",AY5:AY319)*HLOOKUP(AT322,Verteil_rwgr,14,FALSE)</f>
        <v>0</v>
      </c>
      <c r="AZ405" s="179">
        <f>SUMIF($D$5:$D$319,"=kls",AZ5:AZ319)*HLOOKUP(AT322,Verteil_rwgr,10,FALSE)+SUMIF($D$5:$D$319,"=klm",AZ5:AZ319)*HLOOKUP(AT322,Verteil_rwgr,11,FALSE)+SUMIF($D$5:$D$319,"=klr",AZ5:AZ319)*HLOOKUP(AT322,Verteil_rwgr,12,FALSE)+SUMIF($D$5:$D$319,"=klk",AZ5:AZ319)*HLOOKUP(AT322,Verteil_rwgr,13,FALSE)+SUMIF($D$5:$D$319,"=klz",AZ5:AZ319)*HLOOKUP(AT322,Verteil_rwgr,14,FALSE)</f>
        <v>0</v>
      </c>
      <c r="BD405" s="217"/>
      <c r="BJ405" s="102">
        <f t="shared" ref="BJ405" si="2722">IF(BK403&lt;&gt;0,BK405/BK403,0)</f>
        <v>0</v>
      </c>
      <c r="BK405" s="179">
        <f>ROUND((BP405+BQ405/2)*HLOOKUP(BK322,Grund_zins,2,FALSE),2)</f>
        <v>0</v>
      </c>
      <c r="BM405" s="665" t="s">
        <v>290</v>
      </c>
      <c r="BP405" s="179">
        <f>SUMIF($D$5:$D$319,"=kls",BP5:BP319)*HLOOKUP(BK322,Verteil_rwgr,10,FALSE)+SUMIF($D$5:$D$319,"=klm",BP5:BP319)*HLOOKUP(BK322,Verteil_rwgr,11,FALSE)+SUMIF($D$5:$D$319,"=klr",BP5:BP319)*HLOOKUP(BK322,Verteil_rwgr,12,FALSE)+SUMIF($D$5:$D$319,"=klk",BP5:BP319)*HLOOKUP(BK322,Verteil_rwgr,13,FALSE)+SUMIF($D$5:$D$319,"=klz",BP5:BP319)*HLOOKUP(BK322,Verteil_rwgr,14,FALSE)</f>
        <v>0</v>
      </c>
      <c r="BQ405" s="179">
        <f>SUMIF($D$5:$D$319,"=kls",BQ5:BQ319)*HLOOKUP(BK322,Verteil_rwgr,10,FALSE)+SUMIF($D$5:$D$319,"=klm",BQ5:BQ319)*HLOOKUP(BK322,Verteil_rwgr,11,FALSE)+SUMIF($D$5:$D$319,"=klr",BQ5:BQ319)*HLOOKUP(BK322,Verteil_rwgr,12,FALSE)+SUMIF($D$5:$D$319,"=klk",BQ5:BQ319)*HLOOKUP(BK322,Verteil_rwgr,13,FALSE)+SUMIF($D$5:$D$319,"=klz",BQ5:BQ319)*HLOOKUP(BK322,Verteil_rwgr,14,FALSE)</f>
        <v>0</v>
      </c>
      <c r="BU405" s="217"/>
      <c r="CA405" s="102">
        <f t="shared" ref="CA405" si="2723">IF(CB403&lt;&gt;0,CB405/CB403,0)</f>
        <v>0</v>
      </c>
      <c r="CB405" s="179">
        <f>ROUND((CG405+CH405/2)*HLOOKUP(CB322,Grund_zins,2,FALSE),2)</f>
        <v>0</v>
      </c>
      <c r="CD405" s="665" t="s">
        <v>290</v>
      </c>
      <c r="CG405" s="179">
        <f>SUMIF($D$5:$D$319,"=kls",CG5:CG319)*HLOOKUP(CB322,Verteil_rwgr,10,FALSE)+SUMIF($D$5:$D$319,"=klm",CG5:CG319)*HLOOKUP(CB322,Verteil_rwgr,11,FALSE)+SUMIF($D$5:$D$319,"=klr",CG5:CG319)*HLOOKUP(CB322,Verteil_rwgr,12,FALSE)+SUMIF($D$5:$D$319,"=klk",CG5:CG319)*HLOOKUP(CB322,Verteil_rwgr,13,FALSE)+SUMIF($D$5:$D$319,"=klz",CG5:CG319)*HLOOKUP(CB322,Verteil_rwgr,14,FALSE)</f>
        <v>0</v>
      </c>
      <c r="CH405" s="179">
        <f>SUMIF($D$5:$D$319,"=kls",CH5:CH319)*HLOOKUP(CB322,Verteil_rwgr,10,FALSE)+SUMIF($D$5:$D$319,"=klm",CH5:CH319)*HLOOKUP(CB322,Verteil_rwgr,11,FALSE)+SUMIF($D$5:$D$319,"=klr",CH5:CH319)*HLOOKUP(CB322,Verteil_rwgr,12,FALSE)+SUMIF($D$5:$D$319,"=klk",CH5:CH319)*HLOOKUP(CB322,Verteil_rwgr,13,FALSE)+SUMIF($D$5:$D$319,"=klz",CH5:CH319)*HLOOKUP(CB322,Verteil_rwgr,14,FALSE)</f>
        <v>0</v>
      </c>
      <c r="CL405" s="217"/>
      <c r="CR405" s="102">
        <f t="shared" ref="CR405" si="2724">IF(CS403&lt;&gt;0,CS405/CS403,0)</f>
        <v>0</v>
      </c>
      <c r="CS405" s="179">
        <f>ROUND((CX405+CY405/2)*HLOOKUP(CS322,Grund_zins,2,FALSE),2)</f>
        <v>0</v>
      </c>
      <c r="CU405" s="665" t="s">
        <v>290</v>
      </c>
      <c r="CX405" s="179">
        <f>SUMIF($D$5:$D$319,"=kls",CX5:CX319)*HLOOKUP(CS322,Verteil_rwgr,10,FALSE)+SUMIF($D$5:$D$319,"=klm",CX5:CX319)*HLOOKUP(CS322,Verteil_rwgr,11,FALSE)+SUMIF($D$5:$D$319,"=klr",CX5:CX319)*HLOOKUP(CS322,Verteil_rwgr,12,FALSE)+SUMIF($D$5:$D$319,"=klk",CX5:CX319)*HLOOKUP(CS322,Verteil_rwgr,13,FALSE)+SUMIF($D$5:$D$319,"=klz",CX5:CX319)*HLOOKUP(CS322,Verteil_rwgr,14,FALSE)</f>
        <v>0</v>
      </c>
      <c r="CY405" s="179">
        <f>SUMIF($D$5:$D$319,"=kls",CY5:CY319)*HLOOKUP(CS322,Verteil_rwgr,10,FALSE)+SUMIF($D$5:$D$319,"=klm",CY5:CY319)*HLOOKUP(CS322,Verteil_rwgr,11,FALSE)+SUMIF($D$5:$D$319,"=klr",CY5:CY319)*HLOOKUP(CS322,Verteil_rwgr,12,FALSE)+SUMIF($D$5:$D$319,"=klk",CY5:CY319)*HLOOKUP(CS322,Verteil_rwgr,13,FALSE)+SUMIF($D$5:$D$319,"=klz",CY5:CY319)*HLOOKUP(CS322,Verteil_rwgr,14,FALSE)</f>
        <v>0</v>
      </c>
      <c r="DC405" s="217"/>
      <c r="DI405" s="102">
        <f t="shared" ref="DI405" si="2725">IF(DJ403&lt;&gt;0,DJ405/DJ403,0)</f>
        <v>0</v>
      </c>
      <c r="DJ405" s="179">
        <f>ROUND((DO405+DP405/2)*HLOOKUP(DJ322,Grund_zins,2,FALSE),2)</f>
        <v>0</v>
      </c>
      <c r="DL405" s="665" t="s">
        <v>290</v>
      </c>
      <c r="DO405" s="179">
        <f>SUMIF($D$5:$D$319,"=kls",DO5:DO319)*HLOOKUP(DJ322,Verteil_rwgr,10,FALSE)+SUMIF($D$5:$D$319,"=klm",DO5:DO319)*HLOOKUP(DJ322,Verteil_rwgr,11,FALSE)+SUMIF($D$5:$D$319,"=klr",DO5:DO319)*HLOOKUP(DJ322,Verteil_rwgr,12,FALSE)+SUMIF($D$5:$D$319,"=klk",DO5:DO319)*HLOOKUP(DJ322,Verteil_rwgr,13,FALSE)+SUMIF($D$5:$D$319,"=klz",DO5:DO319)*HLOOKUP(DJ322,Verteil_rwgr,14,FALSE)</f>
        <v>0</v>
      </c>
      <c r="DP405" s="179">
        <f>SUMIF($D$5:$D$319,"=kls",DP5:DP319)*HLOOKUP(DJ322,Verteil_rwgr,10,FALSE)+SUMIF($D$5:$D$319,"=klm",DP5:DP319)*HLOOKUP(DJ322,Verteil_rwgr,11,FALSE)+SUMIF($D$5:$D$319,"=klr",DP5:DP319)*HLOOKUP(DJ322,Verteil_rwgr,12,FALSE)+SUMIF($D$5:$D$319,"=klk",DP5:DP319)*HLOOKUP(DJ322,Verteil_rwgr,13,FALSE)+SUMIF($D$5:$D$319,"=klz",DP5:DP319)*HLOOKUP(DJ322,Verteil_rwgr,14,FALSE)</f>
        <v>0</v>
      </c>
      <c r="DT405" s="217"/>
      <c r="DZ405" s="102">
        <f t="shared" ref="DZ405" si="2726">IF(EA403&lt;&gt;0,EA405/EA403,0)</f>
        <v>0</v>
      </c>
      <c r="EA405" s="179">
        <f>ROUND((EF405+EG405/2)*HLOOKUP(EA322,Grund_zins,2,FALSE),2)</f>
        <v>0</v>
      </c>
      <c r="EC405" s="665" t="s">
        <v>290</v>
      </c>
      <c r="EF405" s="179">
        <f>SUMIF($D$5:$D$319,"=kls",EF5:EF319)*HLOOKUP(EA322,Verteil_rwgr,10,FALSE)+SUMIF($D$5:$D$319,"=klm",EF5:EF319)*HLOOKUP(EA322,Verteil_rwgr,11,FALSE)+SUMIF($D$5:$D$319,"=klr",EF5:EF319)*HLOOKUP(EA322,Verteil_rwgr,12,FALSE)+SUMIF($D$5:$D$319,"=klk",EF5:EF319)*HLOOKUP(EA322,Verteil_rwgr,13,FALSE)+SUMIF($D$5:$D$319,"=klz",EF5:EF319)*HLOOKUP(EA322,Verteil_rwgr,14,FALSE)</f>
        <v>0</v>
      </c>
      <c r="EG405" s="179">
        <f>SUMIF($D$5:$D$319,"=kls",EG5:EG319)*HLOOKUP(EA322,Verteil_rwgr,10,FALSE)+SUMIF($D$5:$D$319,"=klm",EG5:EG319)*HLOOKUP(EA322,Verteil_rwgr,11,FALSE)+SUMIF($D$5:$D$319,"=klr",EG5:EG319)*HLOOKUP(EA322,Verteil_rwgr,12,FALSE)+SUMIF($D$5:$D$319,"=klk",EG5:EG319)*HLOOKUP(EA322,Verteil_rwgr,13,FALSE)+SUMIF($D$5:$D$319,"=klz",EG5:EG319)*HLOOKUP(EA322,Verteil_rwgr,14,FALSE)</f>
        <v>0</v>
      </c>
      <c r="EK405" s="217"/>
      <c r="EQ405" s="102">
        <f t="shared" ref="EQ405" si="2727">IF(ER403&lt;&gt;0,ER405/ER403,0)</f>
        <v>0</v>
      </c>
      <c r="ER405" s="179">
        <f>ROUND((EW405+EX405/2)*HLOOKUP(ER322,Grund_zins,2,FALSE),2)</f>
        <v>0</v>
      </c>
      <c r="ET405" s="665" t="s">
        <v>290</v>
      </c>
      <c r="EW405" s="179">
        <f>SUMIF($D$5:$D$319,"=kls",EW5:EW319)*HLOOKUP(ER322,Verteil_rwgr,10,FALSE)+SUMIF($D$5:$D$319,"=klm",EW5:EW319)*HLOOKUP(ER322,Verteil_rwgr,11,FALSE)+SUMIF($D$5:$D$319,"=klr",EW5:EW319)*HLOOKUP(ER322,Verteil_rwgr,12,FALSE)+SUMIF($D$5:$D$319,"=klk",EW5:EW319)*HLOOKUP(ER322,Verteil_rwgr,13,FALSE)+SUMIF($D$5:$D$319,"=klz",EW5:EW319)*HLOOKUP(ER322,Verteil_rwgr,14,FALSE)</f>
        <v>0</v>
      </c>
      <c r="EX405" s="179">
        <f>SUMIF($D$5:$D$319,"=kls",EX5:EX319)*HLOOKUP(ER322,Verteil_rwgr,10,FALSE)+SUMIF($D$5:$D$319,"=klm",EX5:EX319)*HLOOKUP(ER322,Verteil_rwgr,11,FALSE)+SUMIF($D$5:$D$319,"=klr",EX5:EX319)*HLOOKUP(ER322,Verteil_rwgr,12,FALSE)+SUMIF($D$5:$D$319,"=klk",EX5:EX319)*HLOOKUP(ER322,Verteil_rwgr,13,FALSE)+SUMIF($D$5:$D$319,"=klz",EX5:EX319)*HLOOKUP(ER322,Verteil_rwgr,14,FALSE)</f>
        <v>0</v>
      </c>
      <c r="FB405" s="217"/>
      <c r="FH405" s="102">
        <f t="shared" ref="FH405" si="2728">IF(FI403&lt;&gt;0,FI405/FI403,0)</f>
        <v>0</v>
      </c>
      <c r="FI405" s="179">
        <f>ROUND((FN405+FO405/2)*HLOOKUP(FI322,Grund_zins,2,FALSE),2)</f>
        <v>0</v>
      </c>
      <c r="FK405" s="665" t="s">
        <v>290</v>
      </c>
      <c r="FN405" s="179">
        <f>SUMIF($D$5:$D$319,"=kls",FN5:FN319)*HLOOKUP(FI322,Verteil_rwgr,10,FALSE)+SUMIF($D$5:$D$319,"=klm",FN5:FN319)*HLOOKUP(FI322,Verteil_rwgr,11,FALSE)+SUMIF($D$5:$D$319,"=klr",FN5:FN319)*HLOOKUP(FI322,Verteil_rwgr,12,FALSE)+SUMIF($D$5:$D$319,"=klk",FN5:FN319)*HLOOKUP(FI322,Verteil_rwgr,13,FALSE)+SUMIF($D$5:$D$319,"=klz",FN5:FN319)*HLOOKUP(FI322,Verteil_rwgr,14,FALSE)</f>
        <v>0</v>
      </c>
      <c r="FO405" s="179">
        <f>SUMIF($D$5:$D$319,"=kls",FO5:FO319)*HLOOKUP(FI322,Verteil_rwgr,10,FALSE)+SUMIF($D$5:$D$319,"=klm",FO5:FO319)*HLOOKUP(FI322,Verteil_rwgr,11,FALSE)+SUMIF($D$5:$D$319,"=klr",FO5:FO319)*HLOOKUP(FI322,Verteil_rwgr,12,FALSE)+SUMIF($D$5:$D$319,"=klk",FO5:FO319)*HLOOKUP(FI322,Verteil_rwgr,13,FALSE)+SUMIF($D$5:$D$319,"=klz",FO5:FO319)*HLOOKUP(FI322,Verteil_rwgr,14,FALSE)</f>
        <v>0</v>
      </c>
      <c r="FS405" s="217"/>
    </row>
    <row r="406" spans="1:175" s="10" customFormat="1" ht="15" hidden="1" customHeight="1" x14ac:dyDescent="0.3">
      <c r="A406" s="665" t="s">
        <v>291</v>
      </c>
      <c r="V406" s="217">
        <v>85</v>
      </c>
      <c r="AB406" s="102">
        <f t="shared" ref="AB406" si="2729">IF(AC403&lt;&gt;0,AC406/AC403,0)</f>
        <v>0</v>
      </c>
      <c r="AC406" s="179">
        <f>ROUND((AH406+AI406/2)*HLOOKUP(AC322,Grund_zins,2,FALSE),2)</f>
        <v>0</v>
      </c>
      <c r="AE406" s="665" t="s">
        <v>291</v>
      </c>
      <c r="AH406" s="179">
        <f>SUMIF($D$5:$D$319,"=kls",AH5:AH319)*HLOOKUP(AC322,Verteil_rwst,9,FALSE)+SUMIF($D$5:$D$319,"=klm",AH5:AH319)*HLOOKUP(AC322,Verteil_rwst,10,FALSE)+SUMIF($D$5:$D$319,"=klr",AH5:AH319)*HLOOKUP(AC322,Verteil_rwst,11,FALSE)+SUMIF($D$5:$D$319,"=klk",AH5:AH319)*HLOOKUP(AC322,Verteil_rwst,12,FALSE)+SUMIF($D$5:$D$319,"=klz",AH5:AH319)*HLOOKUP(AC322,Verteil_rwst,13,FALSE)</f>
        <v>0</v>
      </c>
      <c r="AI406" s="179">
        <f>SUMIF($D$5:$D$319,"=kls",AI5:AI319)*HLOOKUP(AC322,Verteil_rwst,9,FALSE)+SUMIF($D$5:$D$319,"=klm",AI5:AI319)*HLOOKUP(AC322,Verteil_rwst,10,FALSE)+SUMIF($D$5:$D$319,"=klr",AI5:AI319)*HLOOKUP(AC322,Verteil_rwst,11,FALSE)+SUMIF($D$5:$D$319,"=klk",AI5:AI319)*HLOOKUP(AC322,Verteil_rwst,12,FALSE)+SUMIF($D$5:$D$319,"=klz",AI5:AI319)*HLOOKUP(AC322,Verteil_rwst,13,FALSE)</f>
        <v>0</v>
      </c>
      <c r="AM406" s="217"/>
      <c r="AS406" s="102">
        <f t="shared" ref="AS406" si="2730">IF(AT403&lt;&gt;0,AT406/AT403,0)</f>
        <v>0</v>
      </c>
      <c r="AT406" s="179">
        <f>ROUND((AY406+AZ406/2)*HLOOKUP(AT322,Grund_zins,2,FALSE),2)</f>
        <v>0</v>
      </c>
      <c r="AV406" s="665" t="s">
        <v>291</v>
      </c>
      <c r="AY406" s="179">
        <f>SUMIF($D$5:$D$319,"=kls",AY5:AY319)*HLOOKUP(AT322,Verteil_rwst,9,FALSE)+SUMIF($D$5:$D$319,"=klm",AY5:AY319)*HLOOKUP(AT322,Verteil_rwst,10,FALSE)+SUMIF($D$5:$D$319,"=klr",AY5:AY319)*HLOOKUP(AT322,Verteil_rwst,11,FALSE)+SUMIF($D$5:$D$319,"=klk",AY5:AY319)*HLOOKUP(AT322,Verteil_rwst,12,FALSE)+SUMIF($D$5:$D$319,"=klz",AY5:AY319)*HLOOKUP(AT322,Verteil_rwst,13,FALSE)</f>
        <v>0</v>
      </c>
      <c r="AZ406" s="179">
        <f>SUMIF($D$5:$D$319,"=kls",AZ5:AZ319)*HLOOKUP(AT322,Verteil_rwst,9,FALSE)+SUMIF($D$5:$D$319,"=klm",AZ5:AZ319)*HLOOKUP(AT322,Verteil_rwst,10,FALSE)+SUMIF($D$5:$D$319,"=klr",AZ5:AZ319)*HLOOKUP(AT322,Verteil_rwst,11,FALSE)+SUMIF($D$5:$D$319,"=klk",AZ5:AZ319)*HLOOKUP(AT322,Verteil_rwst,12,FALSE)+SUMIF($D$5:$D$319,"=klz",AZ5:AZ319)*HLOOKUP(AT322,Verteil_rwst,13,FALSE)</f>
        <v>0</v>
      </c>
      <c r="BD406" s="217"/>
      <c r="BJ406" s="102">
        <f t="shared" ref="BJ406" si="2731">IF(BK403&lt;&gt;0,BK406/BK403,0)</f>
        <v>0</v>
      </c>
      <c r="BK406" s="179">
        <f>ROUND((BP406+BQ406/2)*HLOOKUP(BK322,Grund_zins,2,FALSE),2)</f>
        <v>0</v>
      </c>
      <c r="BM406" s="665" t="s">
        <v>291</v>
      </c>
      <c r="BP406" s="179">
        <f>SUMIF($D$5:$D$319,"=kls",BP5:BP319)*HLOOKUP(BK322,Verteil_rwst,9,FALSE)+SUMIF($D$5:$D$319,"=klm",BP5:BP319)*HLOOKUP(BK322,Verteil_rwst,10,FALSE)+SUMIF($D$5:$D$319,"=klr",BP5:BP319)*HLOOKUP(BK322,Verteil_rwst,11,FALSE)+SUMIF($D$5:$D$319,"=klk",BP5:BP319)*HLOOKUP(BK322,Verteil_rwst,12,FALSE)+SUMIF($D$5:$D$319,"=klz",BP5:BP319)*HLOOKUP(BK322,Verteil_rwst,13,FALSE)</f>
        <v>0</v>
      </c>
      <c r="BQ406" s="179">
        <f>SUMIF($D$5:$D$319,"=kls",BQ5:BQ319)*HLOOKUP(BK322,Verteil_rwst,9,FALSE)+SUMIF($D$5:$D$319,"=klm",BQ5:BQ319)*HLOOKUP(BK322,Verteil_rwst,10,FALSE)+SUMIF($D$5:$D$319,"=klr",BQ5:BQ319)*HLOOKUP(BK322,Verteil_rwst,11,FALSE)+SUMIF($D$5:$D$319,"=klk",BQ5:BQ319)*HLOOKUP(BK322,Verteil_rwst,12,FALSE)+SUMIF($D$5:$D$319,"=klz",BQ5:BQ319)*HLOOKUP(BK322,Verteil_rwst,13,FALSE)</f>
        <v>0</v>
      </c>
      <c r="BU406" s="217"/>
      <c r="CA406" s="102">
        <f t="shared" ref="CA406" si="2732">IF(CB403&lt;&gt;0,CB406/CB403,0)</f>
        <v>0</v>
      </c>
      <c r="CB406" s="179">
        <f>ROUND((CG406+CH406/2)*HLOOKUP(CB322,Grund_zins,2,FALSE),2)</f>
        <v>0</v>
      </c>
      <c r="CD406" s="665" t="s">
        <v>291</v>
      </c>
      <c r="CG406" s="179">
        <f>SUMIF($D$5:$D$319,"=kls",CG5:CG319)*HLOOKUP(CB322,Verteil_rwst,9,FALSE)+SUMIF($D$5:$D$319,"=klm",CG5:CG319)*HLOOKUP(CB322,Verteil_rwst,10,FALSE)+SUMIF($D$5:$D$319,"=klr",CG5:CG319)*HLOOKUP(CB322,Verteil_rwst,11,FALSE)+SUMIF($D$5:$D$319,"=klk",CG5:CG319)*HLOOKUP(CB322,Verteil_rwst,12,FALSE)+SUMIF($D$5:$D$319,"=klz",CG5:CG319)*HLOOKUP(CB322,Verteil_rwst,13,FALSE)</f>
        <v>0</v>
      </c>
      <c r="CH406" s="179">
        <f>SUMIF($D$5:$D$319,"=kls",CH5:CH319)*HLOOKUP(CB322,Verteil_rwst,9,FALSE)+SUMIF($D$5:$D$319,"=klm",CH5:CH319)*HLOOKUP(CB322,Verteil_rwst,10,FALSE)+SUMIF($D$5:$D$319,"=klr",CH5:CH319)*HLOOKUP(CB322,Verteil_rwst,11,FALSE)+SUMIF($D$5:$D$319,"=klk",CH5:CH319)*HLOOKUP(CB322,Verteil_rwst,12,FALSE)+SUMIF($D$5:$D$319,"=klz",CH5:CH319)*HLOOKUP(CB322,Verteil_rwst,13,FALSE)</f>
        <v>0</v>
      </c>
      <c r="CL406" s="217"/>
      <c r="CR406" s="102">
        <f t="shared" ref="CR406" si="2733">IF(CS403&lt;&gt;0,CS406/CS403,0)</f>
        <v>0</v>
      </c>
      <c r="CS406" s="179">
        <f>ROUND((CX406+CY406/2)*HLOOKUP(CS322,Grund_zins,2,FALSE),2)</f>
        <v>0</v>
      </c>
      <c r="CU406" s="665" t="s">
        <v>291</v>
      </c>
      <c r="CX406" s="179">
        <f>SUMIF($D$5:$D$319,"=kls",CX5:CX319)*HLOOKUP(CS322,Verteil_rwst,9,FALSE)+SUMIF($D$5:$D$319,"=klm",CX5:CX319)*HLOOKUP(CS322,Verteil_rwst,10,FALSE)+SUMIF($D$5:$D$319,"=klr",CX5:CX319)*HLOOKUP(CS322,Verteil_rwst,11,FALSE)+SUMIF($D$5:$D$319,"=klk",CX5:CX319)*HLOOKUP(CS322,Verteil_rwst,12,FALSE)+SUMIF($D$5:$D$319,"=klz",CX5:CX319)*HLOOKUP(CS322,Verteil_rwst,13,FALSE)</f>
        <v>0</v>
      </c>
      <c r="CY406" s="179">
        <f>SUMIF($D$5:$D$319,"=kls",CY5:CY319)*HLOOKUP(CS322,Verteil_rwst,9,FALSE)+SUMIF($D$5:$D$319,"=klm",CY5:CY319)*HLOOKUP(CS322,Verteil_rwst,10,FALSE)+SUMIF($D$5:$D$319,"=klr",CY5:CY319)*HLOOKUP(CS322,Verteil_rwst,11,FALSE)+SUMIF($D$5:$D$319,"=klk",CY5:CY319)*HLOOKUP(CS322,Verteil_rwst,12,FALSE)+SUMIF($D$5:$D$319,"=klz",CY5:CY319)*HLOOKUP(CS322,Verteil_rwst,13,FALSE)</f>
        <v>0</v>
      </c>
      <c r="DC406" s="217"/>
      <c r="DI406" s="102">
        <f t="shared" ref="DI406" si="2734">IF(DJ403&lt;&gt;0,DJ406/DJ403,0)</f>
        <v>0</v>
      </c>
      <c r="DJ406" s="179">
        <f>ROUND((DO406+DP406/2)*HLOOKUP(DJ322,Grund_zins,2,FALSE),2)</f>
        <v>0</v>
      </c>
      <c r="DL406" s="665" t="s">
        <v>291</v>
      </c>
      <c r="DO406" s="179">
        <f>SUMIF($D$5:$D$319,"=kls",DO5:DO319)*HLOOKUP(DJ322,Verteil_rwst,9,FALSE)+SUMIF($D$5:$D$319,"=klm",DO5:DO319)*HLOOKUP(DJ322,Verteil_rwst,10,FALSE)+SUMIF($D$5:$D$319,"=klr",DO5:DO319)*HLOOKUP(DJ322,Verteil_rwst,11,FALSE)+SUMIF($D$5:$D$319,"=klk",DO5:DO319)*HLOOKUP(DJ322,Verteil_rwst,12,FALSE)+SUMIF($D$5:$D$319,"=klz",DO5:DO319)*HLOOKUP(DJ322,Verteil_rwst,13,FALSE)</f>
        <v>0</v>
      </c>
      <c r="DP406" s="179">
        <f>SUMIF($D$5:$D$319,"=kls",DP5:DP319)*HLOOKUP(DJ322,Verteil_rwst,9,FALSE)+SUMIF($D$5:$D$319,"=klm",DP5:DP319)*HLOOKUP(DJ322,Verteil_rwst,10,FALSE)+SUMIF($D$5:$D$319,"=klr",DP5:DP319)*HLOOKUP(DJ322,Verteil_rwst,11,FALSE)+SUMIF($D$5:$D$319,"=klk",DP5:DP319)*HLOOKUP(DJ322,Verteil_rwst,12,FALSE)+SUMIF($D$5:$D$319,"=klz",DP5:DP319)*HLOOKUP(DJ322,Verteil_rwst,13,FALSE)</f>
        <v>0</v>
      </c>
      <c r="DT406" s="217"/>
      <c r="DZ406" s="102">
        <f t="shared" ref="DZ406" si="2735">IF(EA403&lt;&gt;0,EA406/EA403,0)</f>
        <v>0</v>
      </c>
      <c r="EA406" s="179">
        <f>ROUND((EF406+EG406/2)*HLOOKUP(EA322,Grund_zins,2,FALSE),2)</f>
        <v>0</v>
      </c>
      <c r="EC406" s="665" t="s">
        <v>291</v>
      </c>
      <c r="EF406" s="179">
        <f>SUMIF($D$5:$D$319,"=kls",EF5:EF319)*HLOOKUP(EA322,Verteil_rwst,9,FALSE)+SUMIF($D$5:$D$319,"=klm",EF5:EF319)*HLOOKUP(EA322,Verteil_rwst,10,FALSE)+SUMIF($D$5:$D$319,"=klr",EF5:EF319)*HLOOKUP(EA322,Verteil_rwst,11,FALSE)+SUMIF($D$5:$D$319,"=klk",EF5:EF319)*HLOOKUP(EA322,Verteil_rwst,12,FALSE)+SUMIF($D$5:$D$319,"=klz",EF5:EF319)*HLOOKUP(EA322,Verteil_rwst,13,FALSE)</f>
        <v>0</v>
      </c>
      <c r="EG406" s="179">
        <f>SUMIF($D$5:$D$319,"=kls",EG5:EG319)*HLOOKUP(EA322,Verteil_rwst,9,FALSE)+SUMIF($D$5:$D$319,"=klm",EG5:EG319)*HLOOKUP(EA322,Verteil_rwst,10,FALSE)+SUMIF($D$5:$D$319,"=klr",EG5:EG319)*HLOOKUP(EA322,Verteil_rwst,11,FALSE)+SUMIF($D$5:$D$319,"=klk",EG5:EG319)*HLOOKUP(EA322,Verteil_rwst,12,FALSE)+SUMIF($D$5:$D$319,"=klz",EG5:EG319)*HLOOKUP(EA322,Verteil_rwst,13,FALSE)</f>
        <v>0</v>
      </c>
      <c r="EK406" s="217"/>
      <c r="EQ406" s="102">
        <f t="shared" ref="EQ406" si="2736">IF(ER403&lt;&gt;0,ER406/ER403,0)</f>
        <v>0</v>
      </c>
      <c r="ER406" s="179">
        <f>ROUND((EW406+EX406/2)*HLOOKUP(ER322,Grund_zins,2,FALSE),2)</f>
        <v>0</v>
      </c>
      <c r="ET406" s="665" t="s">
        <v>291</v>
      </c>
      <c r="EW406" s="179">
        <f>SUMIF($D$5:$D$319,"=kls",EW5:EW319)*HLOOKUP(ER322,Verteil_rwst,9,FALSE)+SUMIF($D$5:$D$319,"=klm",EW5:EW319)*HLOOKUP(ER322,Verteil_rwst,10,FALSE)+SUMIF($D$5:$D$319,"=klr",EW5:EW319)*HLOOKUP(ER322,Verteil_rwst,11,FALSE)+SUMIF($D$5:$D$319,"=klk",EW5:EW319)*HLOOKUP(ER322,Verteil_rwst,12,FALSE)+SUMIF($D$5:$D$319,"=klz",EW5:EW319)*HLOOKUP(ER322,Verteil_rwst,13,FALSE)</f>
        <v>0</v>
      </c>
      <c r="EX406" s="179">
        <f>SUMIF($D$5:$D$319,"=kls",EX5:EX319)*HLOOKUP(ER322,Verteil_rwst,9,FALSE)+SUMIF($D$5:$D$319,"=klm",EX5:EX319)*HLOOKUP(ER322,Verteil_rwst,10,FALSE)+SUMIF($D$5:$D$319,"=klr",EX5:EX319)*HLOOKUP(ER322,Verteil_rwst,11,FALSE)+SUMIF($D$5:$D$319,"=klk",EX5:EX319)*HLOOKUP(ER322,Verteil_rwst,12,FALSE)+SUMIF($D$5:$D$319,"=klz",EX5:EX319)*HLOOKUP(ER322,Verteil_rwst,13,FALSE)</f>
        <v>0</v>
      </c>
      <c r="FB406" s="217"/>
      <c r="FH406" s="102">
        <f t="shared" ref="FH406" si="2737">IF(FI403&lt;&gt;0,FI406/FI403,0)</f>
        <v>0</v>
      </c>
      <c r="FI406" s="179">
        <f>ROUND((FN406+FO406/2)*HLOOKUP(FI322,Grund_zins,2,FALSE),2)</f>
        <v>0</v>
      </c>
      <c r="FK406" s="665" t="s">
        <v>291</v>
      </c>
      <c r="FN406" s="179">
        <f>SUMIF($D$5:$D$319,"=kls",FN5:FN319)*HLOOKUP(FI322,Verteil_rwst,9,FALSE)+SUMIF($D$5:$D$319,"=klm",FN5:FN319)*HLOOKUP(FI322,Verteil_rwst,10,FALSE)+SUMIF($D$5:$D$319,"=klr",FN5:FN319)*HLOOKUP(FI322,Verteil_rwst,11,FALSE)+SUMIF($D$5:$D$319,"=klk",FN5:FN319)*HLOOKUP(FI322,Verteil_rwst,12,FALSE)+SUMIF($D$5:$D$319,"=klz",FN5:FN319)*HLOOKUP(FI322,Verteil_rwst,13,FALSE)</f>
        <v>0</v>
      </c>
      <c r="FO406" s="179">
        <f>SUMIF($D$5:$D$319,"=kls",FO5:FO319)*HLOOKUP(FI322,Verteil_rwst,9,FALSE)+SUMIF($D$5:$D$319,"=klm",FO5:FO319)*HLOOKUP(FI322,Verteil_rwst,10,FALSE)+SUMIF($D$5:$D$319,"=klr",FO5:FO319)*HLOOKUP(FI322,Verteil_rwst,11,FALSE)+SUMIF($D$5:$D$319,"=klk",FO5:FO319)*HLOOKUP(FI322,Verteil_rwst,12,FALSE)+SUMIF($D$5:$D$319,"=klz",FO5:FO319)*HLOOKUP(FI322,Verteil_rwst,13,FALSE)</f>
        <v>0</v>
      </c>
      <c r="FS406" s="217"/>
    </row>
    <row r="407" spans="1:175" s="10" customFormat="1" ht="15" hidden="1" customHeight="1" x14ac:dyDescent="0.3">
      <c r="A407" s="664" t="s">
        <v>293</v>
      </c>
      <c r="V407" s="217">
        <v>86</v>
      </c>
      <c r="AB407" s="102">
        <f t="shared" ref="AB407" si="2738">SUM(AB408:AB410)</f>
        <v>0</v>
      </c>
      <c r="AC407" s="179">
        <f>ROUND((AH407+AI407/2)*HLOOKUP(AC322,Grund_zins,2,FALSE),2)</f>
        <v>0</v>
      </c>
      <c r="AE407" s="664" t="s">
        <v>293</v>
      </c>
      <c r="AH407" s="179">
        <f>SUMIF($D$5:$D$319,"=sos",AH5:AH319)+SUMIF($D$5:$D$319,"=som",AH5:AH319)+SUMIF($D$5:$D$319,"=sor",AH5:AH319)+SUMIF($D$5:$D$319,"=soz",AH5:AH319)</f>
        <v>0</v>
      </c>
      <c r="AI407" s="179">
        <f>SUMIF($D$5:$D$319,"=sos",AI5:AI319)+SUMIF($D$5:$D$319,"=som",AI5:AI319)+SUMIF($D$5:$D$319,"=sor",AI5:AI319)+SUMIF($D$5:$D$319,"=soz",AI5:AI319)</f>
        <v>0</v>
      </c>
      <c r="AM407" s="217"/>
      <c r="AS407" s="102">
        <f t="shared" ref="AS407:CR407" si="2739">SUM(AS408:AS410)</f>
        <v>0</v>
      </c>
      <c r="AT407" s="179">
        <f>ROUND((AY407+AZ407/2)*HLOOKUP(AT322,Grund_zins,2,FALSE),2)</f>
        <v>0</v>
      </c>
      <c r="AV407" s="664" t="s">
        <v>293</v>
      </c>
      <c r="AY407" s="179">
        <f t="shared" ref="AY407:AZ407" si="2740">SUMIF($D$5:$D$319,"=sos",AY5:AY319)+SUMIF($D$5:$D$319,"=som",AY5:AY319)+SUMIF($D$5:$D$319,"=sor",AY5:AY319)+SUMIF($D$5:$D$319,"=soz",AY5:AY319)</f>
        <v>0</v>
      </c>
      <c r="AZ407" s="179">
        <f t="shared" si="2740"/>
        <v>0</v>
      </c>
      <c r="BD407" s="217"/>
      <c r="BJ407" s="102">
        <f t="shared" si="2739"/>
        <v>0</v>
      </c>
      <c r="BK407" s="179">
        <f>ROUND((BP407+BQ407/2)*HLOOKUP(BK322,Grund_zins,2,FALSE),2)</f>
        <v>0</v>
      </c>
      <c r="BM407" s="664" t="s">
        <v>293</v>
      </c>
      <c r="BP407" s="179">
        <f t="shared" ref="BP407:BQ407" si="2741">SUMIF($D$5:$D$319,"=sos",BP5:BP319)+SUMIF($D$5:$D$319,"=som",BP5:BP319)+SUMIF($D$5:$D$319,"=sor",BP5:BP319)+SUMIF($D$5:$D$319,"=soz",BP5:BP319)</f>
        <v>0</v>
      </c>
      <c r="BQ407" s="179">
        <f t="shared" si="2741"/>
        <v>0</v>
      </c>
      <c r="BU407" s="217"/>
      <c r="CA407" s="102">
        <f t="shared" si="2739"/>
        <v>0</v>
      </c>
      <c r="CB407" s="179">
        <f>ROUND((CG407+CH407/2)*HLOOKUP(CB322,Grund_zins,2,FALSE),2)</f>
        <v>0</v>
      </c>
      <c r="CD407" s="664" t="s">
        <v>293</v>
      </c>
      <c r="CG407" s="179">
        <f t="shared" ref="CG407:CH407" si="2742">SUMIF($D$5:$D$319,"=sos",CG5:CG319)+SUMIF($D$5:$D$319,"=som",CG5:CG319)+SUMIF($D$5:$D$319,"=sor",CG5:CG319)+SUMIF($D$5:$D$319,"=soz",CG5:CG319)</f>
        <v>0</v>
      </c>
      <c r="CH407" s="179">
        <f t="shared" si="2742"/>
        <v>0</v>
      </c>
      <c r="CL407" s="217"/>
      <c r="CR407" s="102">
        <f t="shared" si="2739"/>
        <v>0</v>
      </c>
      <c r="CS407" s="179">
        <f>ROUND((CX407+CY407/2)*HLOOKUP(CS322,Grund_zins,2,FALSE),2)</f>
        <v>0</v>
      </c>
      <c r="CU407" s="664" t="s">
        <v>293</v>
      </c>
      <c r="CX407" s="179">
        <f t="shared" ref="CX407:CY407" si="2743">SUMIF($D$5:$D$319,"=sos",CX5:CX319)+SUMIF($D$5:$D$319,"=som",CX5:CX319)+SUMIF($D$5:$D$319,"=sor",CX5:CX319)+SUMIF($D$5:$D$319,"=soz",CX5:CX319)</f>
        <v>0</v>
      </c>
      <c r="CY407" s="179">
        <f t="shared" si="2743"/>
        <v>0</v>
      </c>
      <c r="DC407" s="217"/>
      <c r="DI407" s="102">
        <f t="shared" ref="DI407:FH407" si="2744">SUM(DI408:DI410)</f>
        <v>0</v>
      </c>
      <c r="DJ407" s="179">
        <f>ROUND((DO407+DP407/2)*HLOOKUP(DJ322,Grund_zins,2,FALSE),2)</f>
        <v>0</v>
      </c>
      <c r="DL407" s="664" t="s">
        <v>293</v>
      </c>
      <c r="DO407" s="179">
        <f t="shared" ref="DO407:DP407" si="2745">SUMIF($D$5:$D$319,"=sos",DO5:DO319)+SUMIF($D$5:$D$319,"=som",DO5:DO319)+SUMIF($D$5:$D$319,"=sor",DO5:DO319)+SUMIF($D$5:$D$319,"=soz",DO5:DO319)</f>
        <v>0</v>
      </c>
      <c r="DP407" s="179">
        <f t="shared" si="2745"/>
        <v>0</v>
      </c>
      <c r="DT407" s="217"/>
      <c r="DZ407" s="102">
        <f t="shared" si="2744"/>
        <v>0</v>
      </c>
      <c r="EA407" s="179">
        <f>ROUND((EF407+EG407/2)*HLOOKUP(EA322,Grund_zins,2,FALSE),2)</f>
        <v>0</v>
      </c>
      <c r="EC407" s="664" t="s">
        <v>293</v>
      </c>
      <c r="EF407" s="179">
        <f t="shared" ref="EF407:EG407" si="2746">SUMIF($D$5:$D$319,"=sos",EF5:EF319)+SUMIF($D$5:$D$319,"=som",EF5:EF319)+SUMIF($D$5:$D$319,"=sor",EF5:EF319)+SUMIF($D$5:$D$319,"=soz",EF5:EF319)</f>
        <v>0</v>
      </c>
      <c r="EG407" s="179">
        <f t="shared" si="2746"/>
        <v>0</v>
      </c>
      <c r="EK407" s="217"/>
      <c r="EQ407" s="102">
        <f t="shared" si="2744"/>
        <v>0</v>
      </c>
      <c r="ER407" s="179">
        <f>ROUND((EW407+EX407/2)*HLOOKUP(ER322,Grund_zins,2,FALSE),2)</f>
        <v>0</v>
      </c>
      <c r="ET407" s="664" t="s">
        <v>293</v>
      </c>
      <c r="EW407" s="179">
        <f t="shared" ref="EW407:EX407" si="2747">SUMIF($D$5:$D$319,"=sos",EW5:EW319)+SUMIF($D$5:$D$319,"=som",EW5:EW319)+SUMIF($D$5:$D$319,"=sor",EW5:EW319)+SUMIF($D$5:$D$319,"=soz",EW5:EW319)</f>
        <v>0</v>
      </c>
      <c r="EX407" s="179">
        <f t="shared" si="2747"/>
        <v>0</v>
      </c>
      <c r="FB407" s="217"/>
      <c r="FH407" s="102">
        <f t="shared" si="2744"/>
        <v>0</v>
      </c>
      <c r="FI407" s="179">
        <f>ROUND((FN407+FO407/2)*HLOOKUP(FI322,Grund_zins,2,FALSE),2)</f>
        <v>0</v>
      </c>
      <c r="FK407" s="664" t="s">
        <v>293</v>
      </c>
      <c r="FN407" s="179">
        <f t="shared" ref="FN407:FO407" si="2748">SUMIF($D$5:$D$319,"=sos",FN5:FN319)+SUMIF($D$5:$D$319,"=som",FN5:FN319)+SUMIF($D$5:$D$319,"=sor",FN5:FN319)+SUMIF($D$5:$D$319,"=soz",FN5:FN319)</f>
        <v>0</v>
      </c>
      <c r="FO407" s="179">
        <f t="shared" si="2748"/>
        <v>0</v>
      </c>
      <c r="FS407" s="217"/>
    </row>
    <row r="408" spans="1:175" s="10" customFormat="1" ht="15" hidden="1" customHeight="1" x14ac:dyDescent="0.3">
      <c r="A408" s="665" t="s">
        <v>180</v>
      </c>
      <c r="V408" s="217">
        <v>87</v>
      </c>
      <c r="AB408" s="102">
        <f t="shared" ref="AB408" si="2749">IF(AC407&lt;&gt;0,AC408/AC407,0)</f>
        <v>0</v>
      </c>
      <c r="AC408" s="179">
        <f>ROUND((AH408+AI408/2)*HLOOKUP(AC322,Grund_zins,2,FALSE),2)</f>
        <v>0</v>
      </c>
      <c r="AE408" s="665" t="s">
        <v>180</v>
      </c>
      <c r="AH408" s="179">
        <f>SUMIF($D$5:$D$319,"=sos",AH5:AH319)*HLOOKUP(AC322,Verteil_sw,17,FALSE)+SUMIF($D$5:$D$319,"=som",AH5:AH319)*HLOOKUP(AC322,Verteil_sw,18,FALSE)+SUMIF($D$5:$D$319,"=sor",AH5:AH319)*HLOOKUP(AC322,Verteil_sw,19,FALSE)+SUMIF($D$5:$D$319,"=soz",AH5:AH319)*HLOOKUP(AC322,Verteil_sw,20,FALSE)</f>
        <v>0</v>
      </c>
      <c r="AI408" s="179">
        <f>SUMIF($D$5:$D$319,"=sos",AI5:AI319)*HLOOKUP(AC322,Verteil_sw,17,FALSE)+SUMIF($D$5:$D$319,"=som",AI5:AI319)*HLOOKUP(AC322,Verteil_sw,18,FALSE)+SUMIF($D$5:$D$319,"=sor",AI5:AI319)*HLOOKUP(AC322,Verteil_sw,19,FALSE)+SUMIF($D$5:$D$319,"=soz",AI5:AI319)*HLOOKUP(AC322,Verteil_sw,20,FALSE)</f>
        <v>0</v>
      </c>
      <c r="AM408" s="217"/>
      <c r="AS408" s="102">
        <f t="shared" ref="AS408" si="2750">IF(AT407&lt;&gt;0,AT408/AT407,0)</f>
        <v>0</v>
      </c>
      <c r="AT408" s="179">
        <f>ROUND((AY408+AZ408/2)*HLOOKUP(AT322,Grund_zins,2,FALSE),2)</f>
        <v>0</v>
      </c>
      <c r="AV408" s="665" t="s">
        <v>180</v>
      </c>
      <c r="AY408" s="179">
        <f>SUMIF($D$5:$D$319,"=sos",AY5:AY319)*HLOOKUP(AT322,Verteil_sw,17,FALSE)+SUMIF($D$5:$D$319,"=som",AY5:AY319)*HLOOKUP(AT322,Verteil_sw,18,FALSE)+SUMIF($D$5:$D$319,"=sor",AY5:AY319)*HLOOKUP(AT322,Verteil_sw,19,FALSE)+SUMIF($D$5:$D$319,"=soz",AY5:AY319)*HLOOKUP(AT322,Verteil_sw,20,FALSE)</f>
        <v>0</v>
      </c>
      <c r="AZ408" s="179">
        <f>SUMIF($D$5:$D$319,"=sos",AZ5:AZ319)*HLOOKUP(AT322,Verteil_sw,17,FALSE)+SUMIF($D$5:$D$319,"=som",AZ5:AZ319)*HLOOKUP(AT322,Verteil_sw,18,FALSE)+SUMIF($D$5:$D$319,"=sor",AZ5:AZ319)*HLOOKUP(AT322,Verteil_sw,19,FALSE)+SUMIF($D$5:$D$319,"=soz",AZ5:AZ319)*HLOOKUP(AT322,Verteil_sw,20,FALSE)</f>
        <v>0</v>
      </c>
      <c r="BD408" s="217"/>
      <c r="BJ408" s="102">
        <f t="shared" ref="BJ408" si="2751">IF(BK407&lt;&gt;0,BK408/BK407,0)</f>
        <v>0</v>
      </c>
      <c r="BK408" s="179">
        <f>ROUND((BP408+BQ408/2)*HLOOKUP(BK322,Grund_zins,2,FALSE),2)</f>
        <v>0</v>
      </c>
      <c r="BM408" s="665" t="s">
        <v>180</v>
      </c>
      <c r="BP408" s="179">
        <f>SUMIF($D$5:$D$319,"=sos",BP5:BP319)*HLOOKUP(BK322,Verteil_sw,17,FALSE)+SUMIF($D$5:$D$319,"=som",BP5:BP319)*HLOOKUP(BK322,Verteil_sw,18,FALSE)+SUMIF($D$5:$D$319,"=sor",BP5:BP319)*HLOOKUP(BK322,Verteil_sw,19,FALSE)+SUMIF($D$5:$D$319,"=soz",BP5:BP319)*HLOOKUP(BK322,Verteil_sw,20,FALSE)</f>
        <v>0</v>
      </c>
      <c r="BQ408" s="179">
        <f>SUMIF($D$5:$D$319,"=sos",BQ5:BQ319)*HLOOKUP(BK322,Verteil_sw,17,FALSE)+SUMIF($D$5:$D$319,"=som",BQ5:BQ319)*HLOOKUP(BK322,Verteil_sw,18,FALSE)+SUMIF($D$5:$D$319,"=sor",BQ5:BQ319)*HLOOKUP(BK322,Verteil_sw,19,FALSE)+SUMIF($D$5:$D$319,"=soz",BQ5:BQ319)*HLOOKUP(BK322,Verteil_sw,20,FALSE)</f>
        <v>0</v>
      </c>
      <c r="BU408" s="217"/>
      <c r="CA408" s="102">
        <f t="shared" ref="CA408" si="2752">IF(CB407&lt;&gt;0,CB408/CB407,0)</f>
        <v>0</v>
      </c>
      <c r="CB408" s="179">
        <f>ROUND((CG408+CH408/2)*HLOOKUP(CB322,Grund_zins,2,FALSE),2)</f>
        <v>0</v>
      </c>
      <c r="CD408" s="665" t="s">
        <v>180</v>
      </c>
      <c r="CG408" s="179">
        <f>SUMIF($D$5:$D$319,"=sos",CG5:CG319)*HLOOKUP(CB322,Verteil_sw,17,FALSE)+SUMIF($D$5:$D$319,"=som",CG5:CG319)*HLOOKUP(CB322,Verteil_sw,18,FALSE)+SUMIF($D$5:$D$319,"=sor",CG5:CG319)*HLOOKUP(CB322,Verteil_sw,19,FALSE)+SUMIF($D$5:$D$319,"=soz",CG5:CG319)*HLOOKUP(CB322,Verteil_sw,20,FALSE)</f>
        <v>0</v>
      </c>
      <c r="CH408" s="179">
        <f>SUMIF($D$5:$D$319,"=sos",CH5:CH319)*HLOOKUP(CB322,Verteil_sw,17,FALSE)+SUMIF($D$5:$D$319,"=som",CH5:CH319)*HLOOKUP(CB322,Verteil_sw,18,FALSE)+SUMIF($D$5:$D$319,"=sor",CH5:CH319)*HLOOKUP(CB322,Verteil_sw,19,FALSE)+SUMIF($D$5:$D$319,"=soz",CH5:CH319)*HLOOKUP(CB322,Verteil_sw,20,FALSE)</f>
        <v>0</v>
      </c>
      <c r="CL408" s="217"/>
      <c r="CR408" s="102">
        <f t="shared" ref="CR408" si="2753">IF(CS407&lt;&gt;0,CS408/CS407,0)</f>
        <v>0</v>
      </c>
      <c r="CS408" s="179">
        <f>ROUND((CX408+CY408/2)*HLOOKUP(CS322,Grund_zins,2,FALSE),2)</f>
        <v>0</v>
      </c>
      <c r="CU408" s="665" t="s">
        <v>180</v>
      </c>
      <c r="CX408" s="179">
        <f>SUMIF($D$5:$D$319,"=sos",CX5:CX319)*HLOOKUP(CS322,Verteil_sw,17,FALSE)+SUMIF($D$5:$D$319,"=som",CX5:CX319)*HLOOKUP(CS322,Verteil_sw,18,FALSE)+SUMIF($D$5:$D$319,"=sor",CX5:CX319)*HLOOKUP(CS322,Verteil_sw,19,FALSE)+SUMIF($D$5:$D$319,"=soz",CX5:CX319)*HLOOKUP(CS322,Verteil_sw,20,FALSE)</f>
        <v>0</v>
      </c>
      <c r="CY408" s="179">
        <f>SUMIF($D$5:$D$319,"=sos",CY5:CY319)*HLOOKUP(CS322,Verteil_sw,17,FALSE)+SUMIF($D$5:$D$319,"=som",CY5:CY319)*HLOOKUP(CS322,Verteil_sw,18,FALSE)+SUMIF($D$5:$D$319,"=sor",CY5:CY319)*HLOOKUP(CS322,Verteil_sw,19,FALSE)+SUMIF($D$5:$D$319,"=soz",CY5:CY319)*HLOOKUP(CS322,Verteil_sw,20,FALSE)</f>
        <v>0</v>
      </c>
      <c r="DC408" s="217"/>
      <c r="DI408" s="102">
        <f t="shared" ref="DI408" si="2754">IF(DJ407&lt;&gt;0,DJ408/DJ407,0)</f>
        <v>0</v>
      </c>
      <c r="DJ408" s="179">
        <f>ROUND((DO408+DP408/2)*HLOOKUP(DJ322,Grund_zins,2,FALSE),2)</f>
        <v>0</v>
      </c>
      <c r="DL408" s="665" t="s">
        <v>180</v>
      </c>
      <c r="DO408" s="179">
        <f>SUMIF($D$5:$D$319,"=sos",DO5:DO319)*HLOOKUP(DJ322,Verteil_sw,17,FALSE)+SUMIF($D$5:$D$319,"=som",DO5:DO319)*HLOOKUP(DJ322,Verteil_sw,18,FALSE)+SUMIF($D$5:$D$319,"=sor",DO5:DO319)*HLOOKUP(DJ322,Verteil_sw,19,FALSE)+SUMIF($D$5:$D$319,"=soz",DO5:DO319)*HLOOKUP(DJ322,Verteil_sw,20,FALSE)</f>
        <v>0</v>
      </c>
      <c r="DP408" s="179">
        <f>SUMIF($D$5:$D$319,"=sos",DP5:DP319)*HLOOKUP(DJ322,Verteil_sw,17,FALSE)+SUMIF($D$5:$D$319,"=som",DP5:DP319)*HLOOKUP(DJ322,Verteil_sw,18,FALSE)+SUMIF($D$5:$D$319,"=sor",DP5:DP319)*HLOOKUP(DJ322,Verteil_sw,19,FALSE)+SUMIF($D$5:$D$319,"=soz",DP5:DP319)*HLOOKUP(DJ322,Verteil_sw,20,FALSE)</f>
        <v>0</v>
      </c>
      <c r="DT408" s="217"/>
      <c r="DZ408" s="102">
        <f t="shared" ref="DZ408" si="2755">IF(EA407&lt;&gt;0,EA408/EA407,0)</f>
        <v>0</v>
      </c>
      <c r="EA408" s="179">
        <f>ROUND((EF408+EG408/2)*HLOOKUP(EA322,Grund_zins,2,FALSE),2)</f>
        <v>0</v>
      </c>
      <c r="EC408" s="665" t="s">
        <v>180</v>
      </c>
      <c r="EF408" s="179">
        <f>SUMIF($D$5:$D$319,"=sos",EF5:EF319)*HLOOKUP(EA322,Verteil_sw,17,FALSE)+SUMIF($D$5:$D$319,"=som",EF5:EF319)*HLOOKUP(EA322,Verteil_sw,18,FALSE)+SUMIF($D$5:$D$319,"=sor",EF5:EF319)*HLOOKUP(EA322,Verteil_sw,19,FALSE)+SUMIF($D$5:$D$319,"=soz",EF5:EF319)*HLOOKUP(EA322,Verteil_sw,20,FALSE)</f>
        <v>0</v>
      </c>
      <c r="EG408" s="179">
        <f>SUMIF($D$5:$D$319,"=sos",EG5:EG319)*HLOOKUP(EA322,Verteil_sw,17,FALSE)+SUMIF($D$5:$D$319,"=som",EG5:EG319)*HLOOKUP(EA322,Verteil_sw,18,FALSE)+SUMIF($D$5:$D$319,"=sor",EG5:EG319)*HLOOKUP(EA322,Verteil_sw,19,FALSE)+SUMIF($D$5:$D$319,"=soz",EG5:EG319)*HLOOKUP(EA322,Verteil_sw,20,FALSE)</f>
        <v>0</v>
      </c>
      <c r="EK408" s="217"/>
      <c r="EQ408" s="102">
        <f t="shared" ref="EQ408" si="2756">IF(ER407&lt;&gt;0,ER408/ER407,0)</f>
        <v>0</v>
      </c>
      <c r="ER408" s="179">
        <f>ROUND((EW408+EX408/2)*HLOOKUP(ER322,Grund_zins,2,FALSE),2)</f>
        <v>0</v>
      </c>
      <c r="ET408" s="665" t="s">
        <v>180</v>
      </c>
      <c r="EW408" s="179">
        <f>SUMIF($D$5:$D$319,"=sos",EW5:EW319)*HLOOKUP(ER322,Verteil_sw,17,FALSE)+SUMIF($D$5:$D$319,"=som",EW5:EW319)*HLOOKUP(ER322,Verteil_sw,18,FALSE)+SUMIF($D$5:$D$319,"=sor",EW5:EW319)*HLOOKUP(ER322,Verteil_sw,19,FALSE)+SUMIF($D$5:$D$319,"=soz",EW5:EW319)*HLOOKUP(ER322,Verteil_sw,20,FALSE)</f>
        <v>0</v>
      </c>
      <c r="EX408" s="179">
        <f>SUMIF($D$5:$D$319,"=sos",EX5:EX319)*HLOOKUP(ER322,Verteil_sw,17,FALSE)+SUMIF($D$5:$D$319,"=som",EX5:EX319)*HLOOKUP(ER322,Verteil_sw,18,FALSE)+SUMIF($D$5:$D$319,"=sor",EX5:EX319)*HLOOKUP(ER322,Verteil_sw,19,FALSE)+SUMIF($D$5:$D$319,"=soz",EX5:EX319)*HLOOKUP(ER322,Verteil_sw,20,FALSE)</f>
        <v>0</v>
      </c>
      <c r="FB408" s="217"/>
      <c r="FH408" s="102">
        <f t="shared" ref="FH408" si="2757">IF(FI407&lt;&gt;0,FI408/FI407,0)</f>
        <v>0</v>
      </c>
      <c r="FI408" s="179">
        <f>ROUND((FN408+FO408/2)*HLOOKUP(FI322,Grund_zins,2,FALSE),2)</f>
        <v>0</v>
      </c>
      <c r="FK408" s="665" t="s">
        <v>180</v>
      </c>
      <c r="FN408" s="179">
        <f>SUMIF($D$5:$D$319,"=sos",FN5:FN319)*HLOOKUP(FI322,Verteil_sw,17,FALSE)+SUMIF($D$5:$D$319,"=som",FN5:FN319)*HLOOKUP(FI322,Verteil_sw,18,FALSE)+SUMIF($D$5:$D$319,"=sor",FN5:FN319)*HLOOKUP(FI322,Verteil_sw,19,FALSE)+SUMIF($D$5:$D$319,"=soz",FN5:FN319)*HLOOKUP(FI322,Verteil_sw,20,FALSE)</f>
        <v>0</v>
      </c>
      <c r="FO408" s="179">
        <f>SUMIF($D$5:$D$319,"=sos",FO5:FO319)*HLOOKUP(FI322,Verteil_sw,17,FALSE)+SUMIF($D$5:$D$319,"=som",FO5:FO319)*HLOOKUP(FI322,Verteil_sw,18,FALSE)+SUMIF($D$5:$D$319,"=sor",FO5:FO319)*HLOOKUP(FI322,Verteil_sw,19,FALSE)+SUMIF($D$5:$D$319,"=soz",FO5:FO319)*HLOOKUP(FI322,Verteil_sw,20,FALSE)</f>
        <v>0</v>
      </c>
      <c r="FS408" s="217"/>
    </row>
    <row r="409" spans="1:175" s="10" customFormat="1" ht="15" hidden="1" customHeight="1" x14ac:dyDescent="0.3">
      <c r="A409" s="665" t="s">
        <v>290</v>
      </c>
      <c r="V409" s="217">
        <v>88</v>
      </c>
      <c r="AB409" s="102">
        <f t="shared" ref="AB409" si="2758">IF(AC407&lt;&gt;0,AC409/AC407,0)</f>
        <v>0</v>
      </c>
      <c r="AC409" s="179">
        <f>ROUND((AH409+AI409/2)*HLOOKUP(AC322,Grund_zins,2,FALSE),2)</f>
        <v>0</v>
      </c>
      <c r="AE409" s="665" t="s">
        <v>290</v>
      </c>
      <c r="AH409" s="179">
        <f>SUMIF($D$5:$D$319,"=sos",AH5:AH319)*HLOOKUP(AC322,Verteil_rwgr,16,FALSE)+SUMIF($D$5:$D$319,"=som",AH5:AH319)*HLOOKUP(AC322,Verteil_rwgr,17,FALSE)+SUMIF($D$5:$D$319,"=sor",AH5:AH319)*HLOOKUP(AC322,Verteil_rwgr,18,FALSE)+SUMIF($D$5:$D$319,"=soz",AH5:AH319)*HLOOKUP(AC322,Verteil_rwgr,19,FALSE)</f>
        <v>0</v>
      </c>
      <c r="AI409" s="179">
        <f>SUMIF($D$5:$D$319,"=sos",AI5:AI319)*HLOOKUP(AC322,Verteil_rwgr,16,FALSE)+SUMIF($D$5:$D$319,"=som",AI5:AI319)*HLOOKUP(AC322,Verteil_rwgr,17,FALSE)+SUMIF($D$5:$D$319,"=sor",AI5:AI319)*HLOOKUP(AC322,Verteil_rwgr,18,FALSE)+SUMIF($D$5:$D$319,"=soz",AI5:AI319)*HLOOKUP(AC322,Verteil_rwgr,19,FALSE)</f>
        <v>0</v>
      </c>
      <c r="AM409" s="217"/>
      <c r="AS409" s="102">
        <f t="shared" ref="AS409" si="2759">IF(AT407&lt;&gt;0,AT409/AT407,0)</f>
        <v>0</v>
      </c>
      <c r="AT409" s="179">
        <f>ROUND((AY409+AZ409/2)*HLOOKUP(AT322,Grund_zins,2,FALSE),2)</f>
        <v>0</v>
      </c>
      <c r="AV409" s="665" t="s">
        <v>290</v>
      </c>
      <c r="AY409" s="179">
        <f>SUMIF($D$5:$D$319,"=sos",AY5:AY319)*HLOOKUP(AT322,Verteil_rwgr,16,FALSE)+SUMIF($D$5:$D$319,"=som",AY5:AY319)*HLOOKUP(AT322,Verteil_rwgr,17,FALSE)+SUMIF($D$5:$D$319,"=sor",AY5:AY319)*HLOOKUP(AT322,Verteil_rwgr,18,FALSE)+SUMIF($D$5:$D$319,"=soz",AY5:AY319)*HLOOKUP(AT322,Verteil_rwgr,19,FALSE)</f>
        <v>0</v>
      </c>
      <c r="AZ409" s="179">
        <f>SUMIF($D$5:$D$319,"=sos",AZ5:AZ319)*HLOOKUP(AT322,Verteil_rwgr,16,FALSE)+SUMIF($D$5:$D$319,"=som",AZ5:AZ319)*HLOOKUP(AT322,Verteil_rwgr,17,FALSE)+SUMIF($D$5:$D$319,"=sor",AZ5:AZ319)*HLOOKUP(AT322,Verteil_rwgr,18,FALSE)+SUMIF($D$5:$D$319,"=soz",AZ5:AZ319)*HLOOKUP(AT322,Verteil_rwgr,19,FALSE)</f>
        <v>0</v>
      </c>
      <c r="BD409" s="217"/>
      <c r="BJ409" s="102">
        <f t="shared" ref="BJ409" si="2760">IF(BK407&lt;&gt;0,BK409/BK407,0)</f>
        <v>0</v>
      </c>
      <c r="BK409" s="179">
        <f>ROUND((BP409+BQ409/2)*HLOOKUP(BK322,Grund_zins,2,FALSE),2)</f>
        <v>0</v>
      </c>
      <c r="BM409" s="665" t="s">
        <v>290</v>
      </c>
      <c r="BP409" s="179">
        <f>SUMIF($D$5:$D$319,"=sos",BP5:BP319)*HLOOKUP(BK322,Verteil_rwgr,16,FALSE)+SUMIF($D$5:$D$319,"=som",BP5:BP319)*HLOOKUP(BK322,Verteil_rwgr,17,FALSE)+SUMIF($D$5:$D$319,"=sor",BP5:BP319)*HLOOKUP(BK322,Verteil_rwgr,18,FALSE)+SUMIF($D$5:$D$319,"=soz",BP5:BP319)*HLOOKUP(BK322,Verteil_rwgr,19,FALSE)</f>
        <v>0</v>
      </c>
      <c r="BQ409" s="179">
        <f>SUMIF($D$5:$D$319,"=sos",BQ5:BQ319)*HLOOKUP(BK322,Verteil_rwgr,16,FALSE)+SUMIF($D$5:$D$319,"=som",BQ5:BQ319)*HLOOKUP(BK322,Verteil_rwgr,17,FALSE)+SUMIF($D$5:$D$319,"=sor",BQ5:BQ319)*HLOOKUP(BK322,Verteil_rwgr,18,FALSE)+SUMIF($D$5:$D$319,"=soz",BQ5:BQ319)*HLOOKUP(BK322,Verteil_rwgr,19,FALSE)</f>
        <v>0</v>
      </c>
      <c r="BU409" s="217"/>
      <c r="CA409" s="102">
        <f t="shared" ref="CA409" si="2761">IF(CB407&lt;&gt;0,CB409/CB407,0)</f>
        <v>0</v>
      </c>
      <c r="CB409" s="179">
        <f>ROUND((CG409+CH409/2)*HLOOKUP(CB322,Grund_zins,2,FALSE),2)</f>
        <v>0</v>
      </c>
      <c r="CD409" s="665" t="s">
        <v>290</v>
      </c>
      <c r="CG409" s="179">
        <f>SUMIF($D$5:$D$319,"=sos",CG5:CG319)*HLOOKUP(CB322,Verteil_rwgr,16,FALSE)+SUMIF($D$5:$D$319,"=som",CG5:CG319)*HLOOKUP(CB322,Verteil_rwgr,17,FALSE)+SUMIF($D$5:$D$319,"=sor",CG5:CG319)*HLOOKUP(CB322,Verteil_rwgr,18,FALSE)+SUMIF($D$5:$D$319,"=soz",CG5:CG319)*HLOOKUP(CB322,Verteil_rwgr,19,FALSE)</f>
        <v>0</v>
      </c>
      <c r="CH409" s="179">
        <f>SUMIF($D$5:$D$319,"=sos",CH5:CH319)*HLOOKUP(CB322,Verteil_rwgr,16,FALSE)+SUMIF($D$5:$D$319,"=som",CH5:CH319)*HLOOKUP(CB322,Verteil_rwgr,17,FALSE)+SUMIF($D$5:$D$319,"=sor",CH5:CH319)*HLOOKUP(CB322,Verteil_rwgr,18,FALSE)+SUMIF($D$5:$D$319,"=soz",CH5:CH319)*HLOOKUP(CB322,Verteil_rwgr,19,FALSE)</f>
        <v>0</v>
      </c>
      <c r="CL409" s="217"/>
      <c r="CR409" s="102">
        <f t="shared" ref="CR409" si="2762">IF(CS407&lt;&gt;0,CS409/CS407,0)</f>
        <v>0</v>
      </c>
      <c r="CS409" s="179">
        <f>ROUND((CX409+CY409/2)*HLOOKUP(CS322,Grund_zins,2,FALSE),2)</f>
        <v>0</v>
      </c>
      <c r="CU409" s="665" t="s">
        <v>290</v>
      </c>
      <c r="CX409" s="179">
        <f>SUMIF($D$5:$D$319,"=sos",CX5:CX319)*HLOOKUP(CS322,Verteil_rwgr,16,FALSE)+SUMIF($D$5:$D$319,"=som",CX5:CX319)*HLOOKUP(CS322,Verteil_rwgr,17,FALSE)+SUMIF($D$5:$D$319,"=sor",CX5:CX319)*HLOOKUP(CS322,Verteil_rwgr,18,FALSE)+SUMIF($D$5:$D$319,"=soz",CX5:CX319)*HLOOKUP(CS322,Verteil_rwgr,19,FALSE)</f>
        <v>0</v>
      </c>
      <c r="CY409" s="179">
        <f>SUMIF($D$5:$D$319,"=sos",CY5:CY319)*HLOOKUP(CS322,Verteil_rwgr,16,FALSE)+SUMIF($D$5:$D$319,"=som",CY5:CY319)*HLOOKUP(CS322,Verteil_rwgr,17,FALSE)+SUMIF($D$5:$D$319,"=sor",CY5:CY319)*HLOOKUP(CS322,Verteil_rwgr,18,FALSE)+SUMIF($D$5:$D$319,"=soz",CY5:CY319)*HLOOKUP(CS322,Verteil_rwgr,19,FALSE)</f>
        <v>0</v>
      </c>
      <c r="DC409" s="217"/>
      <c r="DI409" s="102">
        <f t="shared" ref="DI409" si="2763">IF(DJ407&lt;&gt;0,DJ409/DJ407,0)</f>
        <v>0</v>
      </c>
      <c r="DJ409" s="179">
        <f>ROUND((DO409+DP409/2)*HLOOKUP(DJ322,Grund_zins,2,FALSE),2)</f>
        <v>0</v>
      </c>
      <c r="DL409" s="665" t="s">
        <v>290</v>
      </c>
      <c r="DO409" s="179">
        <f>SUMIF($D$5:$D$319,"=sos",DO5:DO319)*HLOOKUP(DJ322,Verteil_rwgr,16,FALSE)+SUMIF($D$5:$D$319,"=som",DO5:DO319)*HLOOKUP(DJ322,Verteil_rwgr,17,FALSE)+SUMIF($D$5:$D$319,"=sor",DO5:DO319)*HLOOKUP(DJ322,Verteil_rwgr,18,FALSE)+SUMIF($D$5:$D$319,"=soz",DO5:DO319)*HLOOKUP(DJ322,Verteil_rwgr,19,FALSE)</f>
        <v>0</v>
      </c>
      <c r="DP409" s="179">
        <f>SUMIF($D$5:$D$319,"=sos",DP5:DP319)*HLOOKUP(DJ322,Verteil_rwgr,16,FALSE)+SUMIF($D$5:$D$319,"=som",DP5:DP319)*HLOOKUP(DJ322,Verteil_rwgr,17,FALSE)+SUMIF($D$5:$D$319,"=sor",DP5:DP319)*HLOOKUP(DJ322,Verteil_rwgr,18,FALSE)+SUMIF($D$5:$D$319,"=soz",DP5:DP319)*HLOOKUP(DJ322,Verteil_rwgr,19,FALSE)</f>
        <v>0</v>
      </c>
      <c r="DT409" s="217"/>
      <c r="DZ409" s="102">
        <f t="shared" ref="DZ409" si="2764">IF(EA407&lt;&gt;0,EA409/EA407,0)</f>
        <v>0</v>
      </c>
      <c r="EA409" s="179">
        <f>ROUND((EF409+EG409/2)*HLOOKUP(EA322,Grund_zins,2,FALSE),2)</f>
        <v>0</v>
      </c>
      <c r="EC409" s="665" t="s">
        <v>290</v>
      </c>
      <c r="EF409" s="179">
        <f>SUMIF($D$5:$D$319,"=sos",EF5:EF319)*HLOOKUP(EA322,Verteil_rwgr,16,FALSE)+SUMIF($D$5:$D$319,"=som",EF5:EF319)*HLOOKUP(EA322,Verteil_rwgr,17,FALSE)+SUMIF($D$5:$D$319,"=sor",EF5:EF319)*HLOOKUP(EA322,Verteil_rwgr,18,FALSE)+SUMIF($D$5:$D$319,"=soz",EF5:EF319)*HLOOKUP(EA322,Verteil_rwgr,19,FALSE)</f>
        <v>0</v>
      </c>
      <c r="EG409" s="179">
        <f>SUMIF($D$5:$D$319,"=sos",EG5:EG319)*HLOOKUP(EA322,Verteil_rwgr,16,FALSE)+SUMIF($D$5:$D$319,"=som",EG5:EG319)*HLOOKUP(EA322,Verteil_rwgr,17,FALSE)+SUMIF($D$5:$D$319,"=sor",EG5:EG319)*HLOOKUP(EA322,Verteil_rwgr,18,FALSE)+SUMIF($D$5:$D$319,"=soz",EG5:EG319)*HLOOKUP(EA322,Verteil_rwgr,19,FALSE)</f>
        <v>0</v>
      </c>
      <c r="EK409" s="217"/>
      <c r="EQ409" s="102">
        <f t="shared" ref="EQ409" si="2765">IF(ER407&lt;&gt;0,ER409/ER407,0)</f>
        <v>0</v>
      </c>
      <c r="ER409" s="179">
        <f>ROUND((EW409+EX409/2)*HLOOKUP(ER322,Grund_zins,2,FALSE),2)</f>
        <v>0</v>
      </c>
      <c r="ET409" s="665" t="s">
        <v>290</v>
      </c>
      <c r="EW409" s="179">
        <f>SUMIF($D$5:$D$319,"=sos",EW5:EW319)*HLOOKUP(ER322,Verteil_rwgr,16,FALSE)+SUMIF($D$5:$D$319,"=som",EW5:EW319)*HLOOKUP(ER322,Verteil_rwgr,17,FALSE)+SUMIF($D$5:$D$319,"=sor",EW5:EW319)*HLOOKUP(ER322,Verteil_rwgr,18,FALSE)+SUMIF($D$5:$D$319,"=soz",EW5:EW319)*HLOOKUP(ER322,Verteil_rwgr,19,FALSE)</f>
        <v>0</v>
      </c>
      <c r="EX409" s="179">
        <f>SUMIF($D$5:$D$319,"=sos",EX5:EX319)*HLOOKUP(ER322,Verteil_rwgr,16,FALSE)+SUMIF($D$5:$D$319,"=som",EX5:EX319)*HLOOKUP(ER322,Verteil_rwgr,17,FALSE)+SUMIF($D$5:$D$319,"=sor",EX5:EX319)*HLOOKUP(ER322,Verteil_rwgr,18,FALSE)+SUMIF($D$5:$D$319,"=soz",EX5:EX319)*HLOOKUP(ER322,Verteil_rwgr,19,FALSE)</f>
        <v>0</v>
      </c>
      <c r="FB409" s="217"/>
      <c r="FH409" s="102">
        <f t="shared" ref="FH409" si="2766">IF(FI407&lt;&gt;0,FI409/FI407,0)</f>
        <v>0</v>
      </c>
      <c r="FI409" s="179">
        <f>ROUND((FN409+FO409/2)*HLOOKUP(FI322,Grund_zins,2,FALSE),2)</f>
        <v>0</v>
      </c>
      <c r="FK409" s="665" t="s">
        <v>290</v>
      </c>
      <c r="FN409" s="179">
        <f>SUMIF($D$5:$D$319,"=sos",FN5:FN319)*HLOOKUP(FI322,Verteil_rwgr,16,FALSE)+SUMIF($D$5:$D$319,"=som",FN5:FN319)*HLOOKUP(FI322,Verteil_rwgr,17,FALSE)+SUMIF($D$5:$D$319,"=sor",FN5:FN319)*HLOOKUP(FI322,Verteil_rwgr,18,FALSE)+SUMIF($D$5:$D$319,"=soz",FN5:FN319)*HLOOKUP(FI322,Verteil_rwgr,19,FALSE)</f>
        <v>0</v>
      </c>
      <c r="FO409" s="179">
        <f>SUMIF($D$5:$D$319,"=sos",FO5:FO319)*HLOOKUP(FI322,Verteil_rwgr,16,FALSE)+SUMIF($D$5:$D$319,"=som",FO5:FO319)*HLOOKUP(FI322,Verteil_rwgr,17,FALSE)+SUMIF($D$5:$D$319,"=sor",FO5:FO319)*HLOOKUP(FI322,Verteil_rwgr,18,FALSE)+SUMIF($D$5:$D$319,"=soz",FO5:FO319)*HLOOKUP(FI322,Verteil_rwgr,19,FALSE)</f>
        <v>0</v>
      </c>
      <c r="FS409" s="217"/>
    </row>
    <row r="410" spans="1:175" s="10" customFormat="1" ht="15" hidden="1" customHeight="1" x14ac:dyDescent="0.3">
      <c r="A410" s="665" t="s">
        <v>291</v>
      </c>
      <c r="V410" s="217">
        <v>89</v>
      </c>
      <c r="AB410" s="102">
        <f t="shared" ref="AB410" si="2767">IF(AC407&lt;&gt;0,AC410/AC407,0)</f>
        <v>0</v>
      </c>
      <c r="AC410" s="179">
        <f>ROUND((AH410+AI410/2)*HLOOKUP(AC322,Grund_zins,2,FALSE),2)</f>
        <v>0</v>
      </c>
      <c r="AE410" s="665" t="s">
        <v>291</v>
      </c>
      <c r="AH410" s="179">
        <f>SUMIF($D$5:$D$319,"=sos",AH5:AH319)*HLOOKUP(AC322,Verteil_rwst,15,FALSE)+SUMIF($D$5:$D$319,"=som",AH5:AH319)*HLOOKUP(AC322,Verteil_rwst,16,FALSE)+SUMIF($D$5:$D$319,"=sor",AH5:AH319)*HLOOKUP(AC322,Verteil_rwst,17,FALSE)+SUMIF($D$5:$D$319,"=soz",AH5:AH319)*HLOOKUP(AC322,Verteil_rwst,18,FALSE)</f>
        <v>0</v>
      </c>
      <c r="AI410" s="179">
        <f>SUMIF($D$5:$D$319,"=sos",AI5:AI319)*HLOOKUP(AC322,Verteil_rwst,15,FALSE)+SUMIF($D$5:$D$319,"=som",AI5:AI319)*HLOOKUP(AC322,Verteil_rwst,16,FALSE)+SUMIF($D$5:$D$319,"=sor",AI5:AI319)*HLOOKUP(AC322,Verteil_rwst,17,FALSE)+SUMIF($D$5:$D$319,"=soz",AI5:AI319)*HLOOKUP(AC322,Verteil_rwst,18,FALSE)</f>
        <v>0</v>
      </c>
      <c r="AM410" s="217"/>
      <c r="AS410" s="102">
        <f t="shared" ref="AS410" si="2768">IF(AT407&lt;&gt;0,AT410/AT407,0)</f>
        <v>0</v>
      </c>
      <c r="AT410" s="179">
        <f>ROUND((AY410+AZ410/2)*HLOOKUP(AT322,Grund_zins,2,FALSE),2)</f>
        <v>0</v>
      </c>
      <c r="AV410" s="665" t="s">
        <v>291</v>
      </c>
      <c r="AY410" s="179">
        <f>SUMIF($D$5:$D$319,"=sos",AY5:AY319)*HLOOKUP(AT322,Verteil_rwst,15,FALSE)+SUMIF($D$5:$D$319,"=som",AY5:AY319)*HLOOKUP(AT322,Verteil_rwst,16,FALSE)+SUMIF($D$5:$D$319,"=sor",AY5:AY319)*HLOOKUP(AT322,Verteil_rwst,17,FALSE)+SUMIF($D$5:$D$319,"=soz",AY5:AY319)*HLOOKUP(AT322,Verteil_rwst,18,FALSE)</f>
        <v>0</v>
      </c>
      <c r="AZ410" s="179">
        <f>SUMIF($D$5:$D$319,"=sos",AZ5:AZ319)*HLOOKUP(AT322,Verteil_rwst,15,FALSE)+SUMIF($D$5:$D$319,"=som",AZ5:AZ319)*HLOOKUP(AT322,Verteil_rwst,16,FALSE)+SUMIF($D$5:$D$319,"=sor",AZ5:AZ319)*HLOOKUP(AT322,Verteil_rwst,17,FALSE)+SUMIF($D$5:$D$319,"=soz",AZ5:AZ319)*HLOOKUP(AT322,Verteil_rwst,18,FALSE)</f>
        <v>0</v>
      </c>
      <c r="BD410" s="217"/>
      <c r="BJ410" s="102">
        <f t="shared" ref="BJ410" si="2769">IF(BK407&lt;&gt;0,BK410/BK407,0)</f>
        <v>0</v>
      </c>
      <c r="BK410" s="179">
        <f>ROUND((BP410+BQ410/2)*HLOOKUP(BK322,Grund_zins,2,FALSE),2)</f>
        <v>0</v>
      </c>
      <c r="BM410" s="665" t="s">
        <v>291</v>
      </c>
      <c r="BP410" s="179">
        <f>SUMIF($D$5:$D$319,"=sos",BP5:BP319)*HLOOKUP(BK322,Verteil_rwst,15,FALSE)+SUMIF($D$5:$D$319,"=som",BP5:BP319)*HLOOKUP(BK322,Verteil_rwst,16,FALSE)+SUMIF($D$5:$D$319,"=sor",BP5:BP319)*HLOOKUP(BK322,Verteil_rwst,17,FALSE)+SUMIF($D$5:$D$319,"=soz",BP5:BP319)*HLOOKUP(BK322,Verteil_rwst,18,FALSE)</f>
        <v>0</v>
      </c>
      <c r="BQ410" s="179">
        <f>SUMIF($D$5:$D$319,"=sos",BQ5:BQ319)*HLOOKUP(BK322,Verteil_rwst,15,FALSE)+SUMIF($D$5:$D$319,"=som",BQ5:BQ319)*HLOOKUP(BK322,Verteil_rwst,16,FALSE)+SUMIF($D$5:$D$319,"=sor",BQ5:BQ319)*HLOOKUP(BK322,Verteil_rwst,17,FALSE)+SUMIF($D$5:$D$319,"=soz",BQ5:BQ319)*HLOOKUP(BK322,Verteil_rwst,18,FALSE)</f>
        <v>0</v>
      </c>
      <c r="BU410" s="217"/>
      <c r="CA410" s="102">
        <f t="shared" ref="CA410" si="2770">IF(CB407&lt;&gt;0,CB410/CB407,0)</f>
        <v>0</v>
      </c>
      <c r="CB410" s="179">
        <f>ROUND((CG410+CH410/2)*HLOOKUP(CB322,Grund_zins,2,FALSE),2)</f>
        <v>0</v>
      </c>
      <c r="CD410" s="665" t="s">
        <v>291</v>
      </c>
      <c r="CG410" s="179">
        <f>SUMIF($D$5:$D$319,"=sos",CG5:CG319)*HLOOKUP(CB322,Verteil_rwst,15,FALSE)+SUMIF($D$5:$D$319,"=som",CG5:CG319)*HLOOKUP(CB322,Verteil_rwst,16,FALSE)+SUMIF($D$5:$D$319,"=sor",CG5:CG319)*HLOOKUP(CB322,Verteil_rwst,17,FALSE)+SUMIF($D$5:$D$319,"=soz",CG5:CG319)*HLOOKUP(CB322,Verteil_rwst,18,FALSE)</f>
        <v>0</v>
      </c>
      <c r="CH410" s="179">
        <f>SUMIF($D$5:$D$319,"=sos",CH5:CH319)*HLOOKUP(CB322,Verteil_rwst,15,FALSE)+SUMIF($D$5:$D$319,"=som",CH5:CH319)*HLOOKUP(CB322,Verteil_rwst,16,FALSE)+SUMIF($D$5:$D$319,"=sor",CH5:CH319)*HLOOKUP(CB322,Verteil_rwst,17,FALSE)+SUMIF($D$5:$D$319,"=soz",CH5:CH319)*HLOOKUP(CB322,Verteil_rwst,18,FALSE)</f>
        <v>0</v>
      </c>
      <c r="CL410" s="217"/>
      <c r="CR410" s="102">
        <f t="shared" ref="CR410" si="2771">IF(CS407&lt;&gt;0,CS410/CS407,0)</f>
        <v>0</v>
      </c>
      <c r="CS410" s="179">
        <f>ROUND((CX410+CY410/2)*HLOOKUP(CS322,Grund_zins,2,FALSE),2)</f>
        <v>0</v>
      </c>
      <c r="CU410" s="665" t="s">
        <v>291</v>
      </c>
      <c r="CX410" s="179">
        <f>SUMIF($D$5:$D$319,"=sos",CX5:CX319)*HLOOKUP(CS322,Verteil_rwst,15,FALSE)+SUMIF($D$5:$D$319,"=som",CX5:CX319)*HLOOKUP(CS322,Verteil_rwst,16,FALSE)+SUMIF($D$5:$D$319,"=sor",CX5:CX319)*HLOOKUP(CS322,Verteil_rwst,17,FALSE)+SUMIF($D$5:$D$319,"=soz",CX5:CX319)*HLOOKUP(CS322,Verteil_rwst,18,FALSE)</f>
        <v>0</v>
      </c>
      <c r="CY410" s="179">
        <f>SUMIF($D$5:$D$319,"=sos",CY5:CY319)*HLOOKUP(CS322,Verteil_rwst,15,FALSE)+SUMIF($D$5:$D$319,"=som",CY5:CY319)*HLOOKUP(CS322,Verteil_rwst,16,FALSE)+SUMIF($D$5:$D$319,"=sor",CY5:CY319)*HLOOKUP(CS322,Verteil_rwst,17,FALSE)+SUMIF($D$5:$D$319,"=soz",CY5:CY319)*HLOOKUP(CS322,Verteil_rwst,18,FALSE)</f>
        <v>0</v>
      </c>
      <c r="DC410" s="217"/>
      <c r="DI410" s="102">
        <f t="shared" ref="DI410" si="2772">IF(DJ407&lt;&gt;0,DJ410/DJ407,0)</f>
        <v>0</v>
      </c>
      <c r="DJ410" s="179">
        <f>ROUND((DO410+DP410/2)*HLOOKUP(DJ322,Grund_zins,2,FALSE),2)</f>
        <v>0</v>
      </c>
      <c r="DL410" s="665" t="s">
        <v>291</v>
      </c>
      <c r="DO410" s="179">
        <f>SUMIF($D$5:$D$319,"=sos",DO5:DO319)*HLOOKUP(DJ322,Verteil_rwst,15,FALSE)+SUMIF($D$5:$D$319,"=som",DO5:DO319)*HLOOKUP(DJ322,Verteil_rwst,16,FALSE)+SUMIF($D$5:$D$319,"=sor",DO5:DO319)*HLOOKUP(DJ322,Verteil_rwst,17,FALSE)+SUMIF($D$5:$D$319,"=soz",DO5:DO319)*HLOOKUP(DJ322,Verteil_rwst,18,FALSE)</f>
        <v>0</v>
      </c>
      <c r="DP410" s="179">
        <f>SUMIF($D$5:$D$319,"=sos",DP5:DP319)*HLOOKUP(DJ322,Verteil_rwst,15,FALSE)+SUMIF($D$5:$D$319,"=som",DP5:DP319)*HLOOKUP(DJ322,Verteil_rwst,16,FALSE)+SUMIF($D$5:$D$319,"=sor",DP5:DP319)*HLOOKUP(DJ322,Verteil_rwst,17,FALSE)+SUMIF($D$5:$D$319,"=soz",DP5:DP319)*HLOOKUP(DJ322,Verteil_rwst,18,FALSE)</f>
        <v>0</v>
      </c>
      <c r="DT410" s="217"/>
      <c r="DZ410" s="102">
        <f t="shared" ref="DZ410" si="2773">IF(EA407&lt;&gt;0,EA410/EA407,0)</f>
        <v>0</v>
      </c>
      <c r="EA410" s="179">
        <f>ROUND((EF410+EG410/2)*HLOOKUP(EA322,Grund_zins,2,FALSE),2)</f>
        <v>0</v>
      </c>
      <c r="EC410" s="665" t="s">
        <v>291</v>
      </c>
      <c r="EF410" s="179">
        <f>SUMIF($D$5:$D$319,"=sos",EF5:EF319)*HLOOKUP(EA322,Verteil_rwst,15,FALSE)+SUMIF($D$5:$D$319,"=som",EF5:EF319)*HLOOKUP(EA322,Verteil_rwst,16,FALSE)+SUMIF($D$5:$D$319,"=sor",EF5:EF319)*HLOOKUP(EA322,Verteil_rwst,17,FALSE)+SUMIF($D$5:$D$319,"=soz",EF5:EF319)*HLOOKUP(EA322,Verteil_rwst,18,FALSE)</f>
        <v>0</v>
      </c>
      <c r="EG410" s="179">
        <f>SUMIF($D$5:$D$319,"=sos",EG5:EG319)*HLOOKUP(EA322,Verteil_rwst,15,FALSE)+SUMIF($D$5:$D$319,"=som",EG5:EG319)*HLOOKUP(EA322,Verteil_rwst,16,FALSE)+SUMIF($D$5:$D$319,"=sor",EG5:EG319)*HLOOKUP(EA322,Verteil_rwst,17,FALSE)+SUMIF($D$5:$D$319,"=soz",EG5:EG319)*HLOOKUP(EA322,Verteil_rwst,18,FALSE)</f>
        <v>0</v>
      </c>
      <c r="EK410" s="217"/>
      <c r="EQ410" s="102">
        <f t="shared" ref="EQ410" si="2774">IF(ER407&lt;&gt;0,ER410/ER407,0)</f>
        <v>0</v>
      </c>
      <c r="ER410" s="179">
        <f>ROUND((EW410+EX410/2)*HLOOKUP(ER322,Grund_zins,2,FALSE),2)</f>
        <v>0</v>
      </c>
      <c r="ET410" s="665" t="s">
        <v>291</v>
      </c>
      <c r="EW410" s="179">
        <f>SUMIF($D$5:$D$319,"=sos",EW5:EW319)*HLOOKUP(ER322,Verteil_rwst,15,FALSE)+SUMIF($D$5:$D$319,"=som",EW5:EW319)*HLOOKUP(ER322,Verteil_rwst,16,FALSE)+SUMIF($D$5:$D$319,"=sor",EW5:EW319)*HLOOKUP(ER322,Verteil_rwst,17,FALSE)+SUMIF($D$5:$D$319,"=soz",EW5:EW319)*HLOOKUP(ER322,Verteil_rwst,18,FALSE)</f>
        <v>0</v>
      </c>
      <c r="EX410" s="179">
        <f>SUMIF($D$5:$D$319,"=sos",EX5:EX319)*HLOOKUP(ER322,Verteil_rwst,15,FALSE)+SUMIF($D$5:$D$319,"=som",EX5:EX319)*HLOOKUP(ER322,Verteil_rwst,16,FALSE)+SUMIF($D$5:$D$319,"=sor",EX5:EX319)*HLOOKUP(ER322,Verteil_rwst,17,FALSE)+SUMIF($D$5:$D$319,"=soz",EX5:EX319)*HLOOKUP(ER322,Verteil_rwst,18,FALSE)</f>
        <v>0</v>
      </c>
      <c r="FB410" s="217"/>
      <c r="FH410" s="102">
        <f t="shared" ref="FH410" si="2775">IF(FI407&lt;&gt;0,FI410/FI407,0)</f>
        <v>0</v>
      </c>
      <c r="FI410" s="179">
        <f>ROUND((FN410+FO410/2)*HLOOKUP(FI322,Grund_zins,2,FALSE),2)</f>
        <v>0</v>
      </c>
      <c r="FK410" s="665" t="s">
        <v>291</v>
      </c>
      <c r="FN410" s="179">
        <f>SUMIF($D$5:$D$319,"=sos",FN5:FN319)*HLOOKUP(FI322,Verteil_rwst,15,FALSE)+SUMIF($D$5:$D$319,"=som",FN5:FN319)*HLOOKUP(FI322,Verteil_rwst,16,FALSE)+SUMIF($D$5:$D$319,"=sor",FN5:FN319)*HLOOKUP(FI322,Verteil_rwst,17,FALSE)+SUMIF($D$5:$D$319,"=soz",FN5:FN319)*HLOOKUP(FI322,Verteil_rwst,18,FALSE)</f>
        <v>0</v>
      </c>
      <c r="FO410" s="179">
        <f>SUMIF($D$5:$D$319,"=sos",FO5:FO319)*HLOOKUP(FI322,Verteil_rwst,15,FALSE)+SUMIF($D$5:$D$319,"=som",FO5:FO319)*HLOOKUP(FI322,Verteil_rwst,16,FALSE)+SUMIF($D$5:$D$319,"=sor",FO5:FO319)*HLOOKUP(FI322,Verteil_rwst,17,FALSE)+SUMIF($D$5:$D$319,"=soz",FO5:FO319)*HLOOKUP(FI322,Verteil_rwst,18,FALSE)</f>
        <v>0</v>
      </c>
      <c r="FS410" s="217"/>
    </row>
    <row r="411" spans="1:175" s="10" customFormat="1" ht="15" hidden="1" customHeight="1" x14ac:dyDescent="0.3">
      <c r="A411" s="664" t="s">
        <v>294</v>
      </c>
      <c r="V411" s="217">
        <v>90</v>
      </c>
      <c r="AB411" s="102">
        <f t="shared" ref="AB411" si="2776">SUM(AB412:AB414)</f>
        <v>0</v>
      </c>
      <c r="AC411" s="179">
        <f>ROUND((AH411+AI411/2)*HLOOKUP(AC322,Grund_zins,2,FALSE),2)</f>
        <v>0</v>
      </c>
      <c r="AE411" s="664" t="s">
        <v>294</v>
      </c>
      <c r="AH411" s="179">
        <f>SUMIF($D$5:$D$319,"=has",AH5:AH319)+SUMIF($D$5:$D$319,"=ham",AH5:AH319)+SUMIF($D$5:$D$319,"=har",AH5:AH319)+SUMIF($D$5:$D$319,"=haz",AH5:AH319)</f>
        <v>0</v>
      </c>
      <c r="AI411" s="179">
        <f>SUMIF($D$5:$D$319,"=has",AI5:AI319)+SUMIF($D$5:$D$319,"=ham",AI5:AI319)+SUMIF($D$5:$D$319,"=har",AI5:AI319)+SUMIF($D$5:$D$319,"=haz",AI5:AI319)</f>
        <v>0</v>
      </c>
      <c r="AM411" s="217"/>
      <c r="AS411" s="102">
        <f t="shared" ref="AS411:CR411" si="2777">SUM(AS412:AS414)</f>
        <v>0</v>
      </c>
      <c r="AT411" s="179">
        <f>ROUND((AY411+AZ411/2)*HLOOKUP(AT322,Grund_zins,2,FALSE),2)</f>
        <v>0</v>
      </c>
      <c r="AV411" s="664" t="s">
        <v>294</v>
      </c>
      <c r="AY411" s="179">
        <f t="shared" ref="AY411:AZ411" si="2778">SUMIF($D$5:$D$319,"=has",AY5:AY319)+SUMIF($D$5:$D$319,"=ham",AY5:AY319)+SUMIF($D$5:$D$319,"=har",AY5:AY319)+SUMIF($D$5:$D$319,"=haz",AY5:AY319)</f>
        <v>0</v>
      </c>
      <c r="AZ411" s="179">
        <f t="shared" si="2778"/>
        <v>0</v>
      </c>
      <c r="BD411" s="217"/>
      <c r="BJ411" s="102">
        <f t="shared" si="2777"/>
        <v>0</v>
      </c>
      <c r="BK411" s="179">
        <f>ROUND((BP411+BQ411/2)*HLOOKUP(BK322,Grund_zins,2,FALSE),2)</f>
        <v>0</v>
      </c>
      <c r="BM411" s="664" t="s">
        <v>294</v>
      </c>
      <c r="BP411" s="179">
        <f t="shared" ref="BP411:BQ411" si="2779">SUMIF($D$5:$D$319,"=has",BP5:BP319)+SUMIF($D$5:$D$319,"=ham",BP5:BP319)+SUMIF($D$5:$D$319,"=har",BP5:BP319)+SUMIF($D$5:$D$319,"=haz",BP5:BP319)</f>
        <v>0</v>
      </c>
      <c r="BQ411" s="179">
        <f t="shared" si="2779"/>
        <v>0</v>
      </c>
      <c r="BU411" s="217"/>
      <c r="CA411" s="102">
        <f t="shared" si="2777"/>
        <v>0</v>
      </c>
      <c r="CB411" s="179">
        <f>ROUND((CG411+CH411/2)*HLOOKUP(CB322,Grund_zins,2,FALSE),2)</f>
        <v>0</v>
      </c>
      <c r="CD411" s="664" t="s">
        <v>294</v>
      </c>
      <c r="CG411" s="179">
        <f t="shared" ref="CG411:CH411" si="2780">SUMIF($D$5:$D$319,"=has",CG5:CG319)+SUMIF($D$5:$D$319,"=ham",CG5:CG319)+SUMIF($D$5:$D$319,"=har",CG5:CG319)+SUMIF($D$5:$D$319,"=haz",CG5:CG319)</f>
        <v>0</v>
      </c>
      <c r="CH411" s="179">
        <f t="shared" si="2780"/>
        <v>0</v>
      </c>
      <c r="CL411" s="217"/>
      <c r="CR411" s="102">
        <f t="shared" si="2777"/>
        <v>0</v>
      </c>
      <c r="CS411" s="179">
        <f>ROUND((CX411+CY411/2)*HLOOKUP(CS322,Grund_zins,2,FALSE),2)</f>
        <v>0</v>
      </c>
      <c r="CU411" s="664" t="s">
        <v>294</v>
      </c>
      <c r="CX411" s="179">
        <f t="shared" ref="CX411:CY411" si="2781">SUMIF($D$5:$D$319,"=has",CX5:CX319)+SUMIF($D$5:$D$319,"=ham",CX5:CX319)+SUMIF($D$5:$D$319,"=har",CX5:CX319)+SUMIF($D$5:$D$319,"=haz",CX5:CX319)</f>
        <v>0</v>
      </c>
      <c r="CY411" s="179">
        <f t="shared" si="2781"/>
        <v>0</v>
      </c>
      <c r="DC411" s="217"/>
      <c r="DI411" s="102">
        <f t="shared" ref="DI411:FH411" si="2782">SUM(DI412:DI414)</f>
        <v>0</v>
      </c>
      <c r="DJ411" s="179">
        <f>ROUND((DO411+DP411/2)*HLOOKUP(DJ322,Grund_zins,2,FALSE),2)</f>
        <v>0</v>
      </c>
      <c r="DL411" s="664" t="s">
        <v>294</v>
      </c>
      <c r="DO411" s="179">
        <f t="shared" ref="DO411:DP411" si="2783">SUMIF($D$5:$D$319,"=has",DO5:DO319)+SUMIF($D$5:$D$319,"=ham",DO5:DO319)+SUMIF($D$5:$D$319,"=har",DO5:DO319)+SUMIF($D$5:$D$319,"=haz",DO5:DO319)</f>
        <v>0</v>
      </c>
      <c r="DP411" s="179">
        <f t="shared" si="2783"/>
        <v>0</v>
      </c>
      <c r="DT411" s="217"/>
      <c r="DZ411" s="102">
        <f t="shared" si="2782"/>
        <v>0</v>
      </c>
      <c r="EA411" s="179">
        <f>ROUND((EF411+EG411/2)*HLOOKUP(EA322,Grund_zins,2,FALSE),2)</f>
        <v>0</v>
      </c>
      <c r="EC411" s="664" t="s">
        <v>294</v>
      </c>
      <c r="EF411" s="179">
        <f t="shared" ref="EF411:EG411" si="2784">SUMIF($D$5:$D$319,"=has",EF5:EF319)+SUMIF($D$5:$D$319,"=ham",EF5:EF319)+SUMIF($D$5:$D$319,"=har",EF5:EF319)+SUMIF($D$5:$D$319,"=haz",EF5:EF319)</f>
        <v>0</v>
      </c>
      <c r="EG411" s="179">
        <f t="shared" si="2784"/>
        <v>0</v>
      </c>
      <c r="EK411" s="217"/>
      <c r="EQ411" s="102">
        <f t="shared" si="2782"/>
        <v>0</v>
      </c>
      <c r="ER411" s="179">
        <f>ROUND((EW411+EX411/2)*HLOOKUP(ER322,Grund_zins,2,FALSE),2)</f>
        <v>0</v>
      </c>
      <c r="ET411" s="664" t="s">
        <v>294</v>
      </c>
      <c r="EW411" s="179">
        <f t="shared" ref="EW411:EX411" si="2785">SUMIF($D$5:$D$319,"=has",EW5:EW319)+SUMIF($D$5:$D$319,"=ham",EW5:EW319)+SUMIF($D$5:$D$319,"=har",EW5:EW319)+SUMIF($D$5:$D$319,"=haz",EW5:EW319)</f>
        <v>0</v>
      </c>
      <c r="EX411" s="179">
        <f t="shared" si="2785"/>
        <v>0</v>
      </c>
      <c r="FB411" s="217"/>
      <c r="FH411" s="102">
        <f t="shared" si="2782"/>
        <v>0</v>
      </c>
      <c r="FI411" s="179">
        <f>ROUND((FN411+FO411/2)*HLOOKUP(FI322,Grund_zins,2,FALSE),2)</f>
        <v>0</v>
      </c>
      <c r="FK411" s="664" t="s">
        <v>294</v>
      </c>
      <c r="FN411" s="179">
        <f t="shared" ref="FN411:FO411" si="2786">SUMIF($D$5:$D$319,"=has",FN5:FN319)+SUMIF($D$5:$D$319,"=ham",FN5:FN319)+SUMIF($D$5:$D$319,"=har",FN5:FN319)+SUMIF($D$5:$D$319,"=haz",FN5:FN319)</f>
        <v>0</v>
      </c>
      <c r="FO411" s="179">
        <f t="shared" si="2786"/>
        <v>0</v>
      </c>
      <c r="FS411" s="217"/>
    </row>
    <row r="412" spans="1:175" s="10" customFormat="1" ht="15" hidden="1" customHeight="1" x14ac:dyDescent="0.3">
      <c r="A412" s="665" t="s">
        <v>180</v>
      </c>
      <c r="V412" s="217">
        <v>91</v>
      </c>
      <c r="AB412" s="102">
        <f t="shared" ref="AB412" si="2787">IF(AC411&lt;&gt;0,AC412/AC411,0)</f>
        <v>0</v>
      </c>
      <c r="AC412" s="179">
        <f>ROUND((AH412+AI412/2)*HLOOKUP(AC322,Grund_zins,2,FALSE),2)</f>
        <v>0</v>
      </c>
      <c r="AE412" s="665" t="s">
        <v>180</v>
      </c>
      <c r="AH412" s="179">
        <f>SUMIF($D$5:$D$319,"=has",AH5:AH319)*HLOOKUP(AC322,Verteil_sw,22,FALSE)+SUMIF($D$5:$D$319,"=ham",AH5:AH319)*HLOOKUP(AC322,Verteil_sw,23,FALSE)+SUMIF($D$5:$D$319,"=har",AH5:AH319)*HLOOKUP(AC322,Verteil_sw,24,FALSE)+SUMIF($D$5:$D$319,"=haz",AH5:AH319)*HLOOKUP(AC322,Verteil_sw,25,FALSE)</f>
        <v>0</v>
      </c>
      <c r="AI412" s="179">
        <f>SUMIF($D$5:$D$319,"=has",AI5:AI319)*HLOOKUP(AC322,Verteil_sw,22,FALSE)+SUMIF($D$5:$D$319,"=ham",AI5:AI319)*HLOOKUP(AC322,Verteil_sw,23,FALSE)+SUMIF($D$5:$D$319,"=har",AI5:AI319)*HLOOKUP(AC322,Verteil_sw,24,FALSE)+SUMIF($D$5:$D$319,"=haz",AI5:AI319)*HLOOKUP(AC322,Verteil_sw,25,FALSE)</f>
        <v>0</v>
      </c>
      <c r="AM412" s="217"/>
      <c r="AS412" s="102">
        <f t="shared" ref="AS412" si="2788">IF(AT411&lt;&gt;0,AT412/AT411,0)</f>
        <v>0</v>
      </c>
      <c r="AT412" s="179">
        <f>ROUND((AY412+AZ412/2)*HLOOKUP(AT322,Grund_zins,2,FALSE),2)</f>
        <v>0</v>
      </c>
      <c r="AV412" s="665" t="s">
        <v>180</v>
      </c>
      <c r="AY412" s="179">
        <f>SUMIF($D$5:$D$319,"=has",AY5:AY319)*HLOOKUP(AT322,Verteil_sw,22,FALSE)+SUMIF($D$5:$D$319,"=ham",AY5:AY319)*HLOOKUP(AT322,Verteil_sw,23,FALSE)+SUMIF($D$5:$D$319,"=har",AY5:AY319)*HLOOKUP(AT322,Verteil_sw,24,FALSE)+SUMIF($D$5:$D$319,"=haz",AY5:AY319)*HLOOKUP(AT322,Verteil_sw,25,FALSE)</f>
        <v>0</v>
      </c>
      <c r="AZ412" s="179">
        <f>SUMIF($D$5:$D$319,"=has",AZ5:AZ319)*HLOOKUP(AT322,Verteil_sw,22,FALSE)+SUMIF($D$5:$D$319,"=ham",AZ5:AZ319)*HLOOKUP(AT322,Verteil_sw,23,FALSE)+SUMIF($D$5:$D$319,"=har",AZ5:AZ319)*HLOOKUP(AT322,Verteil_sw,24,FALSE)+SUMIF($D$5:$D$319,"=haz",AZ5:AZ319)*HLOOKUP(AT322,Verteil_sw,25,FALSE)</f>
        <v>0</v>
      </c>
      <c r="BD412" s="217"/>
      <c r="BJ412" s="102">
        <f t="shared" ref="BJ412" si="2789">IF(BK411&lt;&gt;0,BK412/BK411,0)</f>
        <v>0</v>
      </c>
      <c r="BK412" s="179">
        <f>ROUND((BP412+BQ412/2)*HLOOKUP(BK322,Grund_zins,2,FALSE),2)</f>
        <v>0</v>
      </c>
      <c r="BM412" s="665" t="s">
        <v>180</v>
      </c>
      <c r="BP412" s="179">
        <f>SUMIF($D$5:$D$319,"=has",BP5:BP319)*HLOOKUP(BK322,Verteil_sw,22,FALSE)+SUMIF($D$5:$D$319,"=ham",BP5:BP319)*HLOOKUP(BK322,Verteil_sw,23,FALSE)+SUMIF($D$5:$D$319,"=har",BP5:BP319)*HLOOKUP(BK322,Verteil_sw,24,FALSE)+SUMIF($D$5:$D$319,"=haz",BP5:BP319)*HLOOKUP(BK322,Verteil_sw,25,FALSE)</f>
        <v>0</v>
      </c>
      <c r="BQ412" s="179">
        <f>SUMIF($D$5:$D$319,"=has",BQ5:BQ319)*HLOOKUP(BK322,Verteil_sw,22,FALSE)+SUMIF($D$5:$D$319,"=ham",BQ5:BQ319)*HLOOKUP(BK322,Verteil_sw,23,FALSE)+SUMIF($D$5:$D$319,"=har",BQ5:BQ319)*HLOOKUP(BK322,Verteil_sw,24,FALSE)+SUMIF($D$5:$D$319,"=haz",BQ5:BQ319)*HLOOKUP(BK322,Verteil_sw,25,FALSE)</f>
        <v>0</v>
      </c>
      <c r="BU412" s="217"/>
      <c r="CA412" s="102">
        <f t="shared" ref="CA412" si="2790">IF(CB411&lt;&gt;0,CB412/CB411,0)</f>
        <v>0</v>
      </c>
      <c r="CB412" s="179">
        <f>ROUND((CG412+CH412/2)*HLOOKUP(CB322,Grund_zins,2,FALSE),2)</f>
        <v>0</v>
      </c>
      <c r="CD412" s="665" t="s">
        <v>180</v>
      </c>
      <c r="CG412" s="179">
        <f>SUMIF($D$5:$D$319,"=has",CG5:CG319)*HLOOKUP(CB322,Verteil_sw,22,FALSE)+SUMIF($D$5:$D$319,"=ham",CG5:CG319)*HLOOKUP(CB322,Verteil_sw,23,FALSE)+SUMIF($D$5:$D$319,"=har",CG5:CG319)*HLOOKUP(CB322,Verteil_sw,24,FALSE)+SUMIF($D$5:$D$319,"=haz",CG5:CG319)*HLOOKUP(CB322,Verteil_sw,25,FALSE)</f>
        <v>0</v>
      </c>
      <c r="CH412" s="179">
        <f>SUMIF($D$5:$D$319,"=has",CH5:CH319)*HLOOKUP(CB322,Verteil_sw,22,FALSE)+SUMIF($D$5:$D$319,"=ham",CH5:CH319)*HLOOKUP(CB322,Verteil_sw,23,FALSE)+SUMIF($D$5:$D$319,"=har",CH5:CH319)*HLOOKUP(CB322,Verteil_sw,24,FALSE)+SUMIF($D$5:$D$319,"=haz",CH5:CH319)*HLOOKUP(CB322,Verteil_sw,25,FALSE)</f>
        <v>0</v>
      </c>
      <c r="CL412" s="217"/>
      <c r="CR412" s="102">
        <f t="shared" ref="CR412" si="2791">IF(CS411&lt;&gt;0,CS412/CS411,0)</f>
        <v>0</v>
      </c>
      <c r="CS412" s="179">
        <f>ROUND((CX412+CY412/2)*HLOOKUP(CS322,Grund_zins,2,FALSE),2)</f>
        <v>0</v>
      </c>
      <c r="CU412" s="665" t="s">
        <v>180</v>
      </c>
      <c r="CX412" s="179">
        <f>SUMIF($D$5:$D$319,"=has",CX5:CX319)*HLOOKUP(CS322,Verteil_sw,22,FALSE)+SUMIF($D$5:$D$319,"=ham",CX5:CX319)*HLOOKUP(CS322,Verteil_sw,23,FALSE)+SUMIF($D$5:$D$319,"=har",CX5:CX319)*HLOOKUP(CS322,Verteil_sw,24,FALSE)+SUMIF($D$5:$D$319,"=haz",CX5:CX319)*HLOOKUP(CS322,Verteil_sw,25,FALSE)</f>
        <v>0</v>
      </c>
      <c r="CY412" s="179">
        <f>SUMIF($D$5:$D$319,"=has",CY5:CY319)*HLOOKUP(CS322,Verteil_sw,22,FALSE)+SUMIF($D$5:$D$319,"=ham",CY5:CY319)*HLOOKUP(CS322,Verteil_sw,23,FALSE)+SUMIF($D$5:$D$319,"=har",CY5:CY319)*HLOOKUP(CS322,Verteil_sw,24,FALSE)+SUMIF($D$5:$D$319,"=haz",CY5:CY319)*HLOOKUP(CS322,Verteil_sw,25,FALSE)</f>
        <v>0</v>
      </c>
      <c r="DC412" s="217"/>
      <c r="DI412" s="102">
        <f t="shared" ref="DI412" si="2792">IF(DJ411&lt;&gt;0,DJ412/DJ411,0)</f>
        <v>0</v>
      </c>
      <c r="DJ412" s="179">
        <f>ROUND((DO412+DP412/2)*HLOOKUP(DJ322,Grund_zins,2,FALSE),2)</f>
        <v>0</v>
      </c>
      <c r="DL412" s="665" t="s">
        <v>180</v>
      </c>
      <c r="DO412" s="179">
        <f>SUMIF($D$5:$D$319,"=has",DO5:DO319)*HLOOKUP(DJ322,Verteil_sw,22,FALSE)+SUMIF($D$5:$D$319,"=ham",DO5:DO319)*HLOOKUP(DJ322,Verteil_sw,23,FALSE)+SUMIF($D$5:$D$319,"=har",DO5:DO319)*HLOOKUP(DJ322,Verteil_sw,24,FALSE)+SUMIF($D$5:$D$319,"=haz",DO5:DO319)*HLOOKUP(DJ322,Verteil_sw,25,FALSE)</f>
        <v>0</v>
      </c>
      <c r="DP412" s="179">
        <f>SUMIF($D$5:$D$319,"=has",DP5:DP319)*HLOOKUP(DJ322,Verteil_sw,22,FALSE)+SUMIF($D$5:$D$319,"=ham",DP5:DP319)*HLOOKUP(DJ322,Verteil_sw,23,FALSE)+SUMIF($D$5:$D$319,"=har",DP5:DP319)*HLOOKUP(DJ322,Verteil_sw,24,FALSE)+SUMIF($D$5:$D$319,"=haz",DP5:DP319)*HLOOKUP(DJ322,Verteil_sw,25,FALSE)</f>
        <v>0</v>
      </c>
      <c r="DT412" s="217"/>
      <c r="DZ412" s="102">
        <f t="shared" ref="DZ412" si="2793">IF(EA411&lt;&gt;0,EA412/EA411,0)</f>
        <v>0</v>
      </c>
      <c r="EA412" s="179">
        <f>ROUND((EF412+EG412/2)*HLOOKUP(EA322,Grund_zins,2,FALSE),2)</f>
        <v>0</v>
      </c>
      <c r="EC412" s="665" t="s">
        <v>180</v>
      </c>
      <c r="EF412" s="179">
        <f>SUMIF($D$5:$D$319,"=has",EF5:EF319)*HLOOKUP(EA322,Verteil_sw,22,FALSE)+SUMIF($D$5:$D$319,"=ham",EF5:EF319)*HLOOKUP(EA322,Verteil_sw,23,FALSE)+SUMIF($D$5:$D$319,"=har",EF5:EF319)*HLOOKUP(EA322,Verteil_sw,24,FALSE)+SUMIF($D$5:$D$319,"=haz",EF5:EF319)*HLOOKUP(EA322,Verteil_sw,25,FALSE)</f>
        <v>0</v>
      </c>
      <c r="EG412" s="179">
        <f>SUMIF($D$5:$D$319,"=has",EG5:EG319)*HLOOKUP(EA322,Verteil_sw,22,FALSE)+SUMIF($D$5:$D$319,"=ham",EG5:EG319)*HLOOKUP(EA322,Verteil_sw,23,FALSE)+SUMIF($D$5:$D$319,"=har",EG5:EG319)*HLOOKUP(EA322,Verteil_sw,24,FALSE)+SUMIF($D$5:$D$319,"=haz",EG5:EG319)*HLOOKUP(EA322,Verteil_sw,25,FALSE)</f>
        <v>0</v>
      </c>
      <c r="EK412" s="217"/>
      <c r="EQ412" s="102">
        <f t="shared" ref="EQ412" si="2794">IF(ER411&lt;&gt;0,ER412/ER411,0)</f>
        <v>0</v>
      </c>
      <c r="ER412" s="179">
        <f>ROUND((EW412+EX412/2)*HLOOKUP(ER322,Grund_zins,2,FALSE),2)</f>
        <v>0</v>
      </c>
      <c r="ET412" s="665" t="s">
        <v>180</v>
      </c>
      <c r="EW412" s="179">
        <f>SUMIF($D$5:$D$319,"=has",EW5:EW319)*HLOOKUP(ER322,Verteil_sw,22,FALSE)+SUMIF($D$5:$D$319,"=ham",EW5:EW319)*HLOOKUP(ER322,Verteil_sw,23,FALSE)+SUMIF($D$5:$D$319,"=har",EW5:EW319)*HLOOKUP(ER322,Verteil_sw,24,FALSE)+SUMIF($D$5:$D$319,"=haz",EW5:EW319)*HLOOKUP(ER322,Verteil_sw,25,FALSE)</f>
        <v>0</v>
      </c>
      <c r="EX412" s="179">
        <f>SUMIF($D$5:$D$319,"=has",EX5:EX319)*HLOOKUP(ER322,Verteil_sw,22,FALSE)+SUMIF($D$5:$D$319,"=ham",EX5:EX319)*HLOOKUP(ER322,Verteil_sw,23,FALSE)+SUMIF($D$5:$D$319,"=har",EX5:EX319)*HLOOKUP(ER322,Verteil_sw,24,FALSE)+SUMIF($D$5:$D$319,"=haz",EX5:EX319)*HLOOKUP(ER322,Verteil_sw,25,FALSE)</f>
        <v>0</v>
      </c>
      <c r="FB412" s="217"/>
      <c r="FH412" s="102">
        <f t="shared" ref="FH412" si="2795">IF(FI411&lt;&gt;0,FI412/FI411,0)</f>
        <v>0</v>
      </c>
      <c r="FI412" s="179">
        <f>ROUND((FN412+FO412/2)*HLOOKUP(FI322,Grund_zins,2,FALSE),2)</f>
        <v>0</v>
      </c>
      <c r="FK412" s="665" t="s">
        <v>180</v>
      </c>
      <c r="FN412" s="179">
        <f>SUMIF($D$5:$D$319,"=has",FN5:FN319)*HLOOKUP(FI322,Verteil_sw,22,FALSE)+SUMIF($D$5:$D$319,"=ham",FN5:FN319)*HLOOKUP(FI322,Verteil_sw,23,FALSE)+SUMIF($D$5:$D$319,"=har",FN5:FN319)*HLOOKUP(FI322,Verteil_sw,24,FALSE)+SUMIF($D$5:$D$319,"=haz",FN5:FN319)*HLOOKUP(FI322,Verteil_sw,25,FALSE)</f>
        <v>0</v>
      </c>
      <c r="FO412" s="179">
        <f>SUMIF($D$5:$D$319,"=has",FO5:FO319)*HLOOKUP(FI322,Verteil_sw,22,FALSE)+SUMIF($D$5:$D$319,"=ham",FO5:FO319)*HLOOKUP(FI322,Verteil_sw,23,FALSE)+SUMIF($D$5:$D$319,"=har",FO5:FO319)*HLOOKUP(FI322,Verteil_sw,24,FALSE)+SUMIF($D$5:$D$319,"=haz",FO5:FO319)*HLOOKUP(FI322,Verteil_sw,25,FALSE)</f>
        <v>0</v>
      </c>
      <c r="FS412" s="217"/>
    </row>
    <row r="413" spans="1:175" s="10" customFormat="1" ht="15" hidden="1" customHeight="1" x14ac:dyDescent="0.3">
      <c r="A413" s="665" t="s">
        <v>290</v>
      </c>
      <c r="V413" s="217">
        <v>92</v>
      </c>
      <c r="AB413" s="102">
        <f t="shared" ref="AB413" si="2796">IF(AC411&lt;&gt;0,AC413/AC411,0)</f>
        <v>0</v>
      </c>
      <c r="AC413" s="179">
        <f>ROUND((AH413+AI413/2)*HLOOKUP(AC322,Grund_zins,2,FALSE),2)</f>
        <v>0</v>
      </c>
      <c r="AE413" s="665" t="s">
        <v>290</v>
      </c>
      <c r="AH413" s="179">
        <f>SUMIF($D$5:$D$319,"=has",AH5:AH319)*HLOOKUP(AC322,Verteil_rwgr,21,FALSE)+SUMIF($D$5:$D$319,"=ham",AH5:AH319)*HLOOKUP(AC322,Verteil_rwgr,22,FALSE)+SUMIF($D$5:$D$319,"=har",AH5:AH319)*HLOOKUP(AC322,Verteil_rwgr,23,FALSE)+SUMIF($D$5:$D$319,"=haz",AH5:AH319)*HLOOKUP(AC322,Verteil_rwgr,24,FALSE)</f>
        <v>0</v>
      </c>
      <c r="AI413" s="179">
        <f>SUMIF($D$5:$D$319,"=has",AI5:AI319)*HLOOKUP(AC322,Verteil_rwgr,21,FALSE)+SUMIF($D$5:$D$319,"=ham",AI5:AI319)*HLOOKUP(AC322,Verteil_rwgr,22,FALSE)+SUMIF($D$5:$D$319,"=har",AI5:AI319)*HLOOKUP(AC322,Verteil_rwgr,23,FALSE)+SUMIF($D$5:$D$319,"=haz",AI5:AI319)*HLOOKUP(AC322,Verteil_rwgr,24,FALSE)</f>
        <v>0</v>
      </c>
      <c r="AM413" s="217"/>
      <c r="AS413" s="102">
        <f t="shared" ref="AS413" si="2797">IF(AT411&lt;&gt;0,AT413/AT411,0)</f>
        <v>0</v>
      </c>
      <c r="AT413" s="179">
        <f>ROUND((AY413+AZ413/2)*HLOOKUP(AT322,Grund_zins,2,FALSE),2)</f>
        <v>0</v>
      </c>
      <c r="AV413" s="665" t="s">
        <v>290</v>
      </c>
      <c r="AY413" s="179">
        <f>SUMIF($D$5:$D$319,"=has",AY5:AY319)*HLOOKUP(AT322,Verteil_rwgr,21,FALSE)+SUMIF($D$5:$D$319,"=ham",AY5:AY319)*HLOOKUP(AT322,Verteil_rwgr,22,FALSE)+SUMIF($D$5:$D$319,"=har",AY5:AY319)*HLOOKUP(AT322,Verteil_rwgr,23,FALSE)+SUMIF($D$5:$D$319,"=haz",AY5:AY319)*HLOOKUP(AT322,Verteil_rwgr,24,FALSE)</f>
        <v>0</v>
      </c>
      <c r="AZ413" s="179">
        <f>SUMIF($D$5:$D$319,"=has",AZ5:AZ319)*HLOOKUP(AT322,Verteil_rwgr,21,FALSE)+SUMIF($D$5:$D$319,"=ham",AZ5:AZ319)*HLOOKUP(AT322,Verteil_rwgr,22,FALSE)+SUMIF($D$5:$D$319,"=har",AZ5:AZ319)*HLOOKUP(AT322,Verteil_rwgr,23,FALSE)+SUMIF($D$5:$D$319,"=haz",AZ5:AZ319)*HLOOKUP(AT322,Verteil_rwgr,24,FALSE)</f>
        <v>0</v>
      </c>
      <c r="BD413" s="217"/>
      <c r="BJ413" s="102">
        <f t="shared" ref="BJ413" si="2798">IF(BK411&lt;&gt;0,BK413/BK411,0)</f>
        <v>0</v>
      </c>
      <c r="BK413" s="179">
        <f>ROUND((BP413+BQ413/2)*HLOOKUP(BK322,Grund_zins,2,FALSE),2)</f>
        <v>0</v>
      </c>
      <c r="BM413" s="665" t="s">
        <v>290</v>
      </c>
      <c r="BP413" s="179">
        <f>SUMIF($D$5:$D$319,"=has",BP5:BP319)*HLOOKUP(BK322,Verteil_rwgr,21,FALSE)+SUMIF($D$5:$D$319,"=ham",BP5:BP319)*HLOOKUP(BK322,Verteil_rwgr,22,FALSE)+SUMIF($D$5:$D$319,"=har",BP5:BP319)*HLOOKUP(BK322,Verteil_rwgr,23,FALSE)+SUMIF($D$5:$D$319,"=haz",BP5:BP319)*HLOOKUP(BK322,Verteil_rwgr,24,FALSE)</f>
        <v>0</v>
      </c>
      <c r="BQ413" s="179">
        <f>SUMIF($D$5:$D$319,"=has",BQ5:BQ319)*HLOOKUP(BK322,Verteil_rwgr,21,FALSE)+SUMIF($D$5:$D$319,"=ham",BQ5:BQ319)*HLOOKUP(BK322,Verteil_rwgr,22,FALSE)+SUMIF($D$5:$D$319,"=har",BQ5:BQ319)*HLOOKUP(BK322,Verteil_rwgr,23,FALSE)+SUMIF($D$5:$D$319,"=haz",BQ5:BQ319)*HLOOKUP(BK322,Verteil_rwgr,24,FALSE)</f>
        <v>0</v>
      </c>
      <c r="BU413" s="217"/>
      <c r="CA413" s="102">
        <f t="shared" ref="CA413" si="2799">IF(CB411&lt;&gt;0,CB413/CB411,0)</f>
        <v>0</v>
      </c>
      <c r="CB413" s="179">
        <f>ROUND((CG413+CH413/2)*HLOOKUP(CB322,Grund_zins,2,FALSE),2)</f>
        <v>0</v>
      </c>
      <c r="CD413" s="665" t="s">
        <v>290</v>
      </c>
      <c r="CG413" s="179">
        <f>SUMIF($D$5:$D$319,"=has",CG5:CG319)*HLOOKUP(CB322,Verteil_rwgr,21,FALSE)+SUMIF($D$5:$D$319,"=ham",CG5:CG319)*HLOOKUP(CB322,Verteil_rwgr,22,FALSE)+SUMIF($D$5:$D$319,"=har",CG5:CG319)*HLOOKUP(CB322,Verteil_rwgr,23,FALSE)+SUMIF($D$5:$D$319,"=haz",CG5:CG319)*HLOOKUP(CB322,Verteil_rwgr,24,FALSE)</f>
        <v>0</v>
      </c>
      <c r="CH413" s="179">
        <f>SUMIF($D$5:$D$319,"=has",CH5:CH319)*HLOOKUP(CB322,Verteil_rwgr,21,FALSE)+SUMIF($D$5:$D$319,"=ham",CH5:CH319)*HLOOKUP(CB322,Verteil_rwgr,22,FALSE)+SUMIF($D$5:$D$319,"=har",CH5:CH319)*HLOOKUP(CB322,Verteil_rwgr,23,FALSE)+SUMIF($D$5:$D$319,"=haz",CH5:CH319)*HLOOKUP(CB322,Verteil_rwgr,24,FALSE)</f>
        <v>0</v>
      </c>
      <c r="CL413" s="217"/>
      <c r="CR413" s="102">
        <f t="shared" ref="CR413" si="2800">IF(CS411&lt;&gt;0,CS413/CS411,0)</f>
        <v>0</v>
      </c>
      <c r="CS413" s="179">
        <f>ROUND((CX413+CY413/2)*HLOOKUP(CS322,Grund_zins,2,FALSE),2)</f>
        <v>0</v>
      </c>
      <c r="CU413" s="665" t="s">
        <v>290</v>
      </c>
      <c r="CX413" s="179">
        <f>SUMIF($D$5:$D$319,"=has",CX5:CX319)*HLOOKUP(CS322,Verteil_rwgr,21,FALSE)+SUMIF($D$5:$D$319,"=ham",CX5:CX319)*HLOOKUP(CS322,Verteil_rwgr,22,FALSE)+SUMIF($D$5:$D$319,"=har",CX5:CX319)*HLOOKUP(CS322,Verteil_rwgr,23,FALSE)+SUMIF($D$5:$D$319,"=haz",CX5:CX319)*HLOOKUP(CS322,Verteil_rwgr,24,FALSE)</f>
        <v>0</v>
      </c>
      <c r="CY413" s="179">
        <f>SUMIF($D$5:$D$319,"=has",CY5:CY319)*HLOOKUP(CS322,Verteil_rwgr,21,FALSE)+SUMIF($D$5:$D$319,"=ham",CY5:CY319)*HLOOKUP(CS322,Verteil_rwgr,22,FALSE)+SUMIF($D$5:$D$319,"=har",CY5:CY319)*HLOOKUP(CS322,Verteil_rwgr,23,FALSE)+SUMIF($D$5:$D$319,"=haz",CY5:CY319)*HLOOKUP(CS322,Verteil_rwgr,24,FALSE)</f>
        <v>0</v>
      </c>
      <c r="DC413" s="217"/>
      <c r="DI413" s="102">
        <f t="shared" ref="DI413" si="2801">IF(DJ411&lt;&gt;0,DJ413/DJ411,0)</f>
        <v>0</v>
      </c>
      <c r="DJ413" s="179">
        <f>ROUND((DO413+DP413/2)*HLOOKUP(DJ322,Grund_zins,2,FALSE),2)</f>
        <v>0</v>
      </c>
      <c r="DL413" s="665" t="s">
        <v>290</v>
      </c>
      <c r="DO413" s="179">
        <f>SUMIF($D$5:$D$319,"=has",DO5:DO319)*HLOOKUP(DJ322,Verteil_rwgr,21,FALSE)+SUMIF($D$5:$D$319,"=ham",DO5:DO319)*HLOOKUP(DJ322,Verteil_rwgr,22,FALSE)+SUMIF($D$5:$D$319,"=har",DO5:DO319)*HLOOKUP(DJ322,Verteil_rwgr,23,FALSE)+SUMIF($D$5:$D$319,"=haz",DO5:DO319)*HLOOKUP(DJ322,Verteil_rwgr,24,FALSE)</f>
        <v>0</v>
      </c>
      <c r="DP413" s="179">
        <f>SUMIF($D$5:$D$319,"=has",DP5:DP319)*HLOOKUP(DJ322,Verteil_rwgr,21,FALSE)+SUMIF($D$5:$D$319,"=ham",DP5:DP319)*HLOOKUP(DJ322,Verteil_rwgr,22,FALSE)+SUMIF($D$5:$D$319,"=har",DP5:DP319)*HLOOKUP(DJ322,Verteil_rwgr,23,FALSE)+SUMIF($D$5:$D$319,"=haz",DP5:DP319)*HLOOKUP(DJ322,Verteil_rwgr,24,FALSE)</f>
        <v>0</v>
      </c>
      <c r="DT413" s="217"/>
      <c r="DZ413" s="102">
        <f t="shared" ref="DZ413" si="2802">IF(EA411&lt;&gt;0,EA413/EA411,0)</f>
        <v>0</v>
      </c>
      <c r="EA413" s="179">
        <f>ROUND((EF413+EG413/2)*HLOOKUP(EA322,Grund_zins,2,FALSE),2)</f>
        <v>0</v>
      </c>
      <c r="EC413" s="665" t="s">
        <v>290</v>
      </c>
      <c r="EF413" s="179">
        <f>SUMIF($D$5:$D$319,"=has",EF5:EF319)*HLOOKUP(EA322,Verteil_rwgr,21,FALSE)+SUMIF($D$5:$D$319,"=ham",EF5:EF319)*HLOOKUP(EA322,Verteil_rwgr,22,FALSE)+SUMIF($D$5:$D$319,"=har",EF5:EF319)*HLOOKUP(EA322,Verteil_rwgr,23,FALSE)+SUMIF($D$5:$D$319,"=haz",EF5:EF319)*HLOOKUP(EA322,Verteil_rwgr,24,FALSE)</f>
        <v>0</v>
      </c>
      <c r="EG413" s="179">
        <f>SUMIF($D$5:$D$319,"=has",EG5:EG319)*HLOOKUP(EA322,Verteil_rwgr,21,FALSE)+SUMIF($D$5:$D$319,"=ham",EG5:EG319)*HLOOKUP(EA322,Verteil_rwgr,22,FALSE)+SUMIF($D$5:$D$319,"=har",EG5:EG319)*HLOOKUP(EA322,Verteil_rwgr,23,FALSE)+SUMIF($D$5:$D$319,"=haz",EG5:EG319)*HLOOKUP(EA322,Verteil_rwgr,24,FALSE)</f>
        <v>0</v>
      </c>
      <c r="EK413" s="217"/>
      <c r="EQ413" s="102">
        <f t="shared" ref="EQ413" si="2803">IF(ER411&lt;&gt;0,ER413/ER411,0)</f>
        <v>0</v>
      </c>
      <c r="ER413" s="179">
        <f>ROUND((EW413+EX413/2)*HLOOKUP(ER322,Grund_zins,2,FALSE),2)</f>
        <v>0</v>
      </c>
      <c r="ET413" s="665" t="s">
        <v>290</v>
      </c>
      <c r="EW413" s="179">
        <f>SUMIF($D$5:$D$319,"=has",EW5:EW319)*HLOOKUP(ER322,Verteil_rwgr,21,FALSE)+SUMIF($D$5:$D$319,"=ham",EW5:EW319)*HLOOKUP(ER322,Verteil_rwgr,22,FALSE)+SUMIF($D$5:$D$319,"=har",EW5:EW319)*HLOOKUP(ER322,Verteil_rwgr,23,FALSE)+SUMIF($D$5:$D$319,"=haz",EW5:EW319)*HLOOKUP(ER322,Verteil_rwgr,24,FALSE)</f>
        <v>0</v>
      </c>
      <c r="EX413" s="179">
        <f>SUMIF($D$5:$D$319,"=has",EX5:EX319)*HLOOKUP(ER322,Verteil_rwgr,21,FALSE)+SUMIF($D$5:$D$319,"=ham",EX5:EX319)*HLOOKUP(ER322,Verteil_rwgr,22,FALSE)+SUMIF($D$5:$D$319,"=har",EX5:EX319)*HLOOKUP(ER322,Verteil_rwgr,23,FALSE)+SUMIF($D$5:$D$319,"=haz",EX5:EX319)*HLOOKUP(ER322,Verteil_rwgr,24,FALSE)</f>
        <v>0</v>
      </c>
      <c r="FB413" s="217"/>
      <c r="FH413" s="102">
        <f t="shared" ref="FH413" si="2804">IF(FI411&lt;&gt;0,FI413/FI411,0)</f>
        <v>0</v>
      </c>
      <c r="FI413" s="179">
        <f>ROUND((FN413+FO413/2)*HLOOKUP(FI322,Grund_zins,2,FALSE),2)</f>
        <v>0</v>
      </c>
      <c r="FK413" s="665" t="s">
        <v>290</v>
      </c>
      <c r="FN413" s="179">
        <f>SUMIF($D$5:$D$319,"=has",FN5:FN319)*HLOOKUP(FI322,Verteil_rwgr,21,FALSE)+SUMIF($D$5:$D$319,"=ham",FN5:FN319)*HLOOKUP(FI322,Verteil_rwgr,22,FALSE)+SUMIF($D$5:$D$319,"=har",FN5:FN319)*HLOOKUP(FI322,Verteil_rwgr,23,FALSE)+SUMIF($D$5:$D$319,"=haz",FN5:FN319)*HLOOKUP(FI322,Verteil_rwgr,24,FALSE)</f>
        <v>0</v>
      </c>
      <c r="FO413" s="179">
        <f>SUMIF($D$5:$D$319,"=has",FO5:FO319)*HLOOKUP(FI322,Verteil_rwgr,21,FALSE)+SUMIF($D$5:$D$319,"=ham",FO5:FO319)*HLOOKUP(FI322,Verteil_rwgr,22,FALSE)+SUMIF($D$5:$D$319,"=har",FO5:FO319)*HLOOKUP(FI322,Verteil_rwgr,23,FALSE)+SUMIF($D$5:$D$319,"=haz",FO5:FO319)*HLOOKUP(FI322,Verteil_rwgr,24,FALSE)</f>
        <v>0</v>
      </c>
      <c r="FS413" s="217"/>
    </row>
    <row r="414" spans="1:175" s="10" customFormat="1" ht="15" hidden="1" customHeight="1" x14ac:dyDescent="0.3">
      <c r="A414" s="665" t="s">
        <v>291</v>
      </c>
      <c r="V414" s="217">
        <v>93</v>
      </c>
      <c r="AB414" s="102">
        <f t="shared" ref="AB414" si="2805">IF(AC411&lt;&gt;0,AC414/AC411,0)</f>
        <v>0</v>
      </c>
      <c r="AC414" s="179">
        <f>ROUND((AH414+AI414/2)*HLOOKUP(AC322,Grund_zins,2,FALSE),2)</f>
        <v>0</v>
      </c>
      <c r="AE414" s="665" t="s">
        <v>291</v>
      </c>
      <c r="AH414" s="179">
        <f>SUMIF($D$5:$D$319,"=has",AH5:AH319)*HLOOKUP(AC322,Verteil_rwst,20,FALSE)+SUMIF($D$5:$D$319,"=ham",AH5:AH319)*HLOOKUP(AC322,Verteil_rwst,21,FALSE)+SUMIF($D$5:$D$319,"=har",AH5:AH319)*HLOOKUP(AC322,Verteil_rwst,22,FALSE)+SUMIF($D$5:$D$319,"=haz",AH5:AH319)*HLOOKUP(AC322,Verteil_rwst,23,FALSE)</f>
        <v>0</v>
      </c>
      <c r="AI414" s="179">
        <f>SUMIF($D$5:$D$319,"=has",AI5:AI319)*HLOOKUP(AC322,Verteil_rwst,20,FALSE)+SUMIF($D$5:$D$319,"=ham",AI5:AI319)*HLOOKUP(AC322,Verteil_rwst,21,FALSE)+SUMIF($D$5:$D$319,"=har",AI5:AI319)*HLOOKUP(AC322,Verteil_rwst,22,FALSE)+SUMIF($D$5:$D$319,"=haz",AI5:AI319)*HLOOKUP(AC322,Verteil_rwst,23,FALSE)</f>
        <v>0</v>
      </c>
      <c r="AM414" s="217"/>
      <c r="AS414" s="102">
        <f t="shared" ref="AS414" si="2806">IF(AT411&lt;&gt;0,AT414/AT411,0)</f>
        <v>0</v>
      </c>
      <c r="AT414" s="179">
        <f>ROUND((AY414+AZ414/2)*HLOOKUP(AT322,Grund_zins,2,FALSE),2)</f>
        <v>0</v>
      </c>
      <c r="AV414" s="665" t="s">
        <v>291</v>
      </c>
      <c r="AY414" s="179">
        <f>SUMIF($D$5:$D$319,"=has",AY5:AY319)*HLOOKUP(AT322,Verteil_rwst,20,FALSE)+SUMIF($D$5:$D$319,"=ham",AY5:AY319)*HLOOKUP(AT322,Verteil_rwst,21,FALSE)+SUMIF($D$5:$D$319,"=har",AY5:AY319)*HLOOKUP(AT322,Verteil_rwst,22,FALSE)+SUMIF($D$5:$D$319,"=haz",AY5:AY319)*HLOOKUP(AT322,Verteil_rwst,23,FALSE)</f>
        <v>0</v>
      </c>
      <c r="AZ414" s="179">
        <f>SUMIF($D$5:$D$319,"=has",AZ5:AZ319)*HLOOKUP(AT322,Verteil_rwst,20,FALSE)+SUMIF($D$5:$D$319,"=ham",AZ5:AZ319)*HLOOKUP(AT322,Verteil_rwst,21,FALSE)+SUMIF($D$5:$D$319,"=har",AZ5:AZ319)*HLOOKUP(AT322,Verteil_rwst,22,FALSE)+SUMIF($D$5:$D$319,"=haz",AZ5:AZ319)*HLOOKUP(AT322,Verteil_rwst,23,FALSE)</f>
        <v>0</v>
      </c>
      <c r="BD414" s="217"/>
      <c r="BJ414" s="102">
        <f t="shared" ref="BJ414" si="2807">IF(BK411&lt;&gt;0,BK414/BK411,0)</f>
        <v>0</v>
      </c>
      <c r="BK414" s="179">
        <f>ROUND((BP414+BQ414/2)*HLOOKUP(BK322,Grund_zins,2,FALSE),2)</f>
        <v>0</v>
      </c>
      <c r="BM414" s="665" t="s">
        <v>291</v>
      </c>
      <c r="BP414" s="179">
        <f>SUMIF($D$5:$D$319,"=has",BP5:BP319)*HLOOKUP(BK322,Verteil_rwst,20,FALSE)+SUMIF($D$5:$D$319,"=ham",BP5:BP319)*HLOOKUP(BK322,Verteil_rwst,21,FALSE)+SUMIF($D$5:$D$319,"=har",BP5:BP319)*HLOOKUP(BK322,Verteil_rwst,22,FALSE)+SUMIF($D$5:$D$319,"=haz",BP5:BP319)*HLOOKUP(BK322,Verteil_rwst,23,FALSE)</f>
        <v>0</v>
      </c>
      <c r="BQ414" s="179">
        <f>SUMIF($D$5:$D$319,"=has",BQ5:BQ319)*HLOOKUP(BK322,Verteil_rwst,20,FALSE)+SUMIF($D$5:$D$319,"=ham",BQ5:BQ319)*HLOOKUP(BK322,Verteil_rwst,21,FALSE)+SUMIF($D$5:$D$319,"=har",BQ5:BQ319)*HLOOKUP(BK322,Verteil_rwst,22,FALSE)+SUMIF($D$5:$D$319,"=haz",BQ5:BQ319)*HLOOKUP(BK322,Verteil_rwst,23,FALSE)</f>
        <v>0</v>
      </c>
      <c r="BU414" s="217"/>
      <c r="CA414" s="102">
        <f t="shared" ref="CA414" si="2808">IF(CB411&lt;&gt;0,CB414/CB411,0)</f>
        <v>0</v>
      </c>
      <c r="CB414" s="179">
        <f>ROUND((CG414+CH414/2)*HLOOKUP(CB322,Grund_zins,2,FALSE),2)</f>
        <v>0</v>
      </c>
      <c r="CD414" s="665" t="s">
        <v>291</v>
      </c>
      <c r="CG414" s="179">
        <f>SUMIF($D$5:$D$319,"=has",CG5:CG319)*HLOOKUP(CB322,Verteil_rwst,20,FALSE)+SUMIF($D$5:$D$319,"=ham",CG5:CG319)*HLOOKUP(CB322,Verteil_rwst,21,FALSE)+SUMIF($D$5:$D$319,"=har",CG5:CG319)*HLOOKUP(CB322,Verteil_rwst,22,FALSE)+SUMIF($D$5:$D$319,"=haz",CG5:CG319)*HLOOKUP(CB322,Verteil_rwst,23,FALSE)</f>
        <v>0</v>
      </c>
      <c r="CH414" s="179">
        <f>SUMIF($D$5:$D$319,"=has",CH5:CH319)*HLOOKUP(CB322,Verteil_rwst,20,FALSE)+SUMIF($D$5:$D$319,"=ham",CH5:CH319)*HLOOKUP(CB322,Verteil_rwst,21,FALSE)+SUMIF($D$5:$D$319,"=har",CH5:CH319)*HLOOKUP(CB322,Verteil_rwst,22,FALSE)+SUMIF($D$5:$D$319,"=haz",CH5:CH319)*HLOOKUP(CB322,Verteil_rwst,23,FALSE)</f>
        <v>0</v>
      </c>
      <c r="CL414" s="217"/>
      <c r="CR414" s="102">
        <f t="shared" ref="CR414" si="2809">IF(CS411&lt;&gt;0,CS414/CS411,0)</f>
        <v>0</v>
      </c>
      <c r="CS414" s="179">
        <f>ROUND((CX414+CY414/2)*HLOOKUP(CS322,Grund_zins,2,FALSE),2)</f>
        <v>0</v>
      </c>
      <c r="CU414" s="665" t="s">
        <v>291</v>
      </c>
      <c r="CX414" s="179">
        <f>SUMIF($D$5:$D$319,"=has",CX5:CX319)*HLOOKUP(CS322,Verteil_rwst,20,FALSE)+SUMIF($D$5:$D$319,"=ham",CX5:CX319)*HLOOKUP(CS322,Verteil_rwst,21,FALSE)+SUMIF($D$5:$D$319,"=har",CX5:CX319)*HLOOKUP(CS322,Verteil_rwst,22,FALSE)+SUMIF($D$5:$D$319,"=haz",CX5:CX319)*HLOOKUP(CS322,Verteil_rwst,23,FALSE)</f>
        <v>0</v>
      </c>
      <c r="CY414" s="179">
        <f>SUMIF($D$5:$D$319,"=has",CY5:CY319)*HLOOKUP(CS322,Verteil_rwst,20,FALSE)+SUMIF($D$5:$D$319,"=ham",CY5:CY319)*HLOOKUP(CS322,Verteil_rwst,21,FALSE)+SUMIF($D$5:$D$319,"=har",CY5:CY319)*HLOOKUP(CS322,Verteil_rwst,22,FALSE)+SUMIF($D$5:$D$319,"=haz",CY5:CY319)*HLOOKUP(CS322,Verteil_rwst,23,FALSE)</f>
        <v>0</v>
      </c>
      <c r="DC414" s="217"/>
      <c r="DI414" s="102">
        <f t="shared" ref="DI414" si="2810">IF(DJ411&lt;&gt;0,DJ414/DJ411,0)</f>
        <v>0</v>
      </c>
      <c r="DJ414" s="179">
        <f>ROUND((DO414+DP414/2)*HLOOKUP(DJ322,Grund_zins,2,FALSE),2)</f>
        <v>0</v>
      </c>
      <c r="DL414" s="665" t="s">
        <v>291</v>
      </c>
      <c r="DO414" s="179">
        <f>SUMIF($D$5:$D$319,"=has",DO5:DO319)*HLOOKUP(DJ322,Verteil_rwst,20,FALSE)+SUMIF($D$5:$D$319,"=ham",DO5:DO319)*HLOOKUP(DJ322,Verteil_rwst,21,FALSE)+SUMIF($D$5:$D$319,"=har",DO5:DO319)*HLOOKUP(DJ322,Verteil_rwst,22,FALSE)+SUMIF($D$5:$D$319,"=haz",DO5:DO319)*HLOOKUP(DJ322,Verteil_rwst,23,FALSE)</f>
        <v>0</v>
      </c>
      <c r="DP414" s="179">
        <f>SUMIF($D$5:$D$319,"=has",DP5:DP319)*HLOOKUP(DJ322,Verteil_rwst,20,FALSE)+SUMIF($D$5:$D$319,"=ham",DP5:DP319)*HLOOKUP(DJ322,Verteil_rwst,21,FALSE)+SUMIF($D$5:$D$319,"=har",DP5:DP319)*HLOOKUP(DJ322,Verteil_rwst,22,FALSE)+SUMIF($D$5:$D$319,"=haz",DP5:DP319)*HLOOKUP(DJ322,Verteil_rwst,23,FALSE)</f>
        <v>0</v>
      </c>
      <c r="DT414" s="217"/>
      <c r="DZ414" s="102">
        <f t="shared" ref="DZ414" si="2811">IF(EA411&lt;&gt;0,EA414/EA411,0)</f>
        <v>0</v>
      </c>
      <c r="EA414" s="179">
        <f>ROUND((EF414+EG414/2)*HLOOKUP(EA322,Grund_zins,2,FALSE),2)</f>
        <v>0</v>
      </c>
      <c r="EC414" s="665" t="s">
        <v>291</v>
      </c>
      <c r="EF414" s="179">
        <f>SUMIF($D$5:$D$319,"=has",EF5:EF319)*HLOOKUP(EA322,Verteil_rwst,20,FALSE)+SUMIF($D$5:$D$319,"=ham",EF5:EF319)*HLOOKUP(EA322,Verteil_rwst,21,FALSE)+SUMIF($D$5:$D$319,"=har",EF5:EF319)*HLOOKUP(EA322,Verteil_rwst,22,FALSE)+SUMIF($D$5:$D$319,"=haz",EF5:EF319)*HLOOKUP(EA322,Verteil_rwst,23,FALSE)</f>
        <v>0</v>
      </c>
      <c r="EG414" s="179">
        <f>SUMIF($D$5:$D$319,"=has",EG5:EG319)*HLOOKUP(EA322,Verteil_rwst,20,FALSE)+SUMIF($D$5:$D$319,"=ham",EG5:EG319)*HLOOKUP(EA322,Verteil_rwst,21,FALSE)+SUMIF($D$5:$D$319,"=har",EG5:EG319)*HLOOKUP(EA322,Verteil_rwst,22,FALSE)+SUMIF($D$5:$D$319,"=haz",EG5:EG319)*HLOOKUP(EA322,Verteil_rwst,23,FALSE)</f>
        <v>0</v>
      </c>
      <c r="EK414" s="217"/>
      <c r="EQ414" s="102">
        <f t="shared" ref="EQ414" si="2812">IF(ER411&lt;&gt;0,ER414/ER411,0)</f>
        <v>0</v>
      </c>
      <c r="ER414" s="179">
        <f>ROUND((EW414+EX414/2)*HLOOKUP(ER322,Grund_zins,2,FALSE),2)</f>
        <v>0</v>
      </c>
      <c r="ET414" s="665" t="s">
        <v>291</v>
      </c>
      <c r="EW414" s="179">
        <f>SUMIF($D$5:$D$319,"=has",EW5:EW319)*HLOOKUP(ER322,Verteil_rwst,20,FALSE)+SUMIF($D$5:$D$319,"=ham",EW5:EW319)*HLOOKUP(ER322,Verteil_rwst,21,FALSE)+SUMIF($D$5:$D$319,"=har",EW5:EW319)*HLOOKUP(ER322,Verteil_rwst,22,FALSE)+SUMIF($D$5:$D$319,"=haz",EW5:EW319)*HLOOKUP(ER322,Verteil_rwst,23,FALSE)</f>
        <v>0</v>
      </c>
      <c r="EX414" s="179">
        <f>SUMIF($D$5:$D$319,"=has",EX5:EX319)*HLOOKUP(ER322,Verteil_rwst,20,FALSE)+SUMIF($D$5:$D$319,"=ham",EX5:EX319)*HLOOKUP(ER322,Verteil_rwst,21,FALSE)+SUMIF($D$5:$D$319,"=har",EX5:EX319)*HLOOKUP(ER322,Verteil_rwst,22,FALSE)+SUMIF($D$5:$D$319,"=haz",EX5:EX319)*HLOOKUP(ER322,Verteil_rwst,23,FALSE)</f>
        <v>0</v>
      </c>
      <c r="FB414" s="217"/>
      <c r="FH414" s="102">
        <f t="shared" ref="FH414" si="2813">IF(FI411&lt;&gt;0,FI414/FI411,0)</f>
        <v>0</v>
      </c>
      <c r="FI414" s="179">
        <f>ROUND((FN414+FO414/2)*HLOOKUP(FI322,Grund_zins,2,FALSE),2)</f>
        <v>0</v>
      </c>
      <c r="FK414" s="665" t="s">
        <v>291</v>
      </c>
      <c r="FN414" s="179">
        <f>SUMIF($D$5:$D$319,"=has",FN5:FN319)*HLOOKUP(FI322,Verteil_rwst,20,FALSE)+SUMIF($D$5:$D$319,"=ham",FN5:FN319)*HLOOKUP(FI322,Verteil_rwst,21,FALSE)+SUMIF($D$5:$D$319,"=har",FN5:FN319)*HLOOKUP(FI322,Verteil_rwst,22,FALSE)+SUMIF($D$5:$D$319,"=haz",FN5:FN319)*HLOOKUP(FI322,Verteil_rwst,23,FALSE)</f>
        <v>0</v>
      </c>
      <c r="FO414" s="179">
        <f>SUMIF($D$5:$D$319,"=has",FO5:FO319)*HLOOKUP(FI322,Verteil_rwst,20,FALSE)+SUMIF($D$5:$D$319,"=ham",FO5:FO319)*HLOOKUP(FI322,Verteil_rwst,21,FALSE)+SUMIF($D$5:$D$319,"=har",FO5:FO319)*HLOOKUP(FI322,Verteil_rwst,22,FALSE)+SUMIF($D$5:$D$319,"=haz",FO5:FO319)*HLOOKUP(FI322,Verteil_rwst,23,FALSE)</f>
        <v>0</v>
      </c>
      <c r="FS414" s="217"/>
    </row>
    <row r="415" spans="1:175" s="10" customFormat="1" ht="15" hidden="1" customHeight="1" x14ac:dyDescent="0.3">
      <c r="A415" s="664" t="s">
        <v>295</v>
      </c>
      <c r="V415" s="217">
        <v>94</v>
      </c>
      <c r="AB415" s="102">
        <f t="shared" ref="AB415" si="2814">SUM(AB416:AB418)</f>
        <v>0</v>
      </c>
      <c r="AC415" s="179">
        <f>ROUND((AH415+AI415/2)*HLOOKUP(AC322,Grund_zins,2,FALSE),2)</f>
        <v>0</v>
      </c>
      <c r="AE415" s="664" t="s">
        <v>295</v>
      </c>
      <c r="AH415" s="179">
        <f>SUMIF($D$5:$D$319,"=sas",AH5:AH319)+SUMIF($D$5:$D$319,"=sam",AH5:AH319)+SUMIF($D$5:$D$319,"=sar",AH5:AH319)+SUMIF($D$5:$D$319,"=saz",AH5:AH319)</f>
        <v>0</v>
      </c>
      <c r="AI415" s="179">
        <f>SUMIF($D$5:$D$319,"=sas",AI5:AI319)+SUMIF($D$5:$D$319,"=sam",AI5:AI319)+SUMIF($D$5:$D$319,"=sar",AI5:AI319)+SUMIF($D$5:$D$319,"=saz",AI5:AI319)</f>
        <v>0</v>
      </c>
      <c r="AM415" s="217"/>
      <c r="AS415" s="102">
        <f t="shared" ref="AS415:CR415" si="2815">SUM(AS416:AS418)</f>
        <v>0</v>
      </c>
      <c r="AT415" s="179">
        <f>ROUND((AY415+AZ415/2)*HLOOKUP(AT322,Grund_zins,2,FALSE),2)</f>
        <v>0</v>
      </c>
      <c r="AV415" s="664" t="s">
        <v>295</v>
      </c>
      <c r="AY415" s="179">
        <f t="shared" ref="AY415:AZ415" si="2816">SUMIF($D$5:$D$319,"=sas",AY5:AY319)+SUMIF($D$5:$D$319,"=sam",AY5:AY319)+SUMIF($D$5:$D$319,"=sar",AY5:AY319)+SUMIF($D$5:$D$319,"=saz",AY5:AY319)</f>
        <v>0</v>
      </c>
      <c r="AZ415" s="179">
        <f t="shared" si="2816"/>
        <v>0</v>
      </c>
      <c r="BD415" s="217"/>
      <c r="BJ415" s="102">
        <f t="shared" si="2815"/>
        <v>0</v>
      </c>
      <c r="BK415" s="179">
        <f>ROUND((BP415+BQ415/2)*HLOOKUP(BK322,Grund_zins,2,FALSE),2)</f>
        <v>0</v>
      </c>
      <c r="BM415" s="664" t="s">
        <v>295</v>
      </c>
      <c r="BP415" s="179">
        <f t="shared" ref="BP415:BQ415" si="2817">SUMIF($D$5:$D$319,"=sas",BP5:BP319)+SUMIF($D$5:$D$319,"=sam",BP5:BP319)+SUMIF($D$5:$D$319,"=sar",BP5:BP319)+SUMIF($D$5:$D$319,"=saz",BP5:BP319)</f>
        <v>0</v>
      </c>
      <c r="BQ415" s="179">
        <f t="shared" si="2817"/>
        <v>0</v>
      </c>
      <c r="BU415" s="217"/>
      <c r="CA415" s="102">
        <f t="shared" si="2815"/>
        <v>0</v>
      </c>
      <c r="CB415" s="179">
        <f>ROUND((CG415+CH415/2)*HLOOKUP(CB322,Grund_zins,2,FALSE),2)</f>
        <v>0</v>
      </c>
      <c r="CD415" s="664" t="s">
        <v>295</v>
      </c>
      <c r="CG415" s="179">
        <f t="shared" ref="CG415:CH415" si="2818">SUMIF($D$5:$D$319,"=sas",CG5:CG319)+SUMIF($D$5:$D$319,"=sam",CG5:CG319)+SUMIF($D$5:$D$319,"=sar",CG5:CG319)+SUMIF($D$5:$D$319,"=saz",CG5:CG319)</f>
        <v>0</v>
      </c>
      <c r="CH415" s="179">
        <f t="shared" si="2818"/>
        <v>0</v>
      </c>
      <c r="CL415" s="217"/>
      <c r="CR415" s="102">
        <f t="shared" si="2815"/>
        <v>0</v>
      </c>
      <c r="CS415" s="179">
        <f>ROUND((CX415+CY415/2)*HLOOKUP(CS322,Grund_zins,2,FALSE),2)</f>
        <v>0</v>
      </c>
      <c r="CU415" s="664" t="s">
        <v>295</v>
      </c>
      <c r="CX415" s="179">
        <f t="shared" ref="CX415:CY415" si="2819">SUMIF($D$5:$D$319,"=sas",CX5:CX319)+SUMIF($D$5:$D$319,"=sam",CX5:CX319)+SUMIF($D$5:$D$319,"=sar",CX5:CX319)+SUMIF($D$5:$D$319,"=saz",CX5:CX319)</f>
        <v>0</v>
      </c>
      <c r="CY415" s="179">
        <f t="shared" si="2819"/>
        <v>0</v>
      </c>
      <c r="DC415" s="217"/>
      <c r="DI415" s="102">
        <f t="shared" ref="DI415:FH415" si="2820">SUM(DI416:DI418)</f>
        <v>0</v>
      </c>
      <c r="DJ415" s="179">
        <f>ROUND((DO415+DP415/2)*HLOOKUP(DJ322,Grund_zins,2,FALSE),2)</f>
        <v>0</v>
      </c>
      <c r="DL415" s="664" t="s">
        <v>295</v>
      </c>
      <c r="DO415" s="179">
        <f t="shared" ref="DO415:DP415" si="2821">SUMIF($D$5:$D$319,"=sas",DO5:DO319)+SUMIF($D$5:$D$319,"=sam",DO5:DO319)+SUMIF($D$5:$D$319,"=sar",DO5:DO319)+SUMIF($D$5:$D$319,"=saz",DO5:DO319)</f>
        <v>0</v>
      </c>
      <c r="DP415" s="179">
        <f t="shared" si="2821"/>
        <v>0</v>
      </c>
      <c r="DT415" s="217"/>
      <c r="DZ415" s="102">
        <f t="shared" si="2820"/>
        <v>0</v>
      </c>
      <c r="EA415" s="179">
        <f>ROUND((EF415+EG415/2)*HLOOKUP(EA322,Grund_zins,2,FALSE),2)</f>
        <v>0</v>
      </c>
      <c r="EC415" s="664" t="s">
        <v>295</v>
      </c>
      <c r="EF415" s="179">
        <f t="shared" ref="EF415:EG415" si="2822">SUMIF($D$5:$D$319,"=sas",EF5:EF319)+SUMIF($D$5:$D$319,"=sam",EF5:EF319)+SUMIF($D$5:$D$319,"=sar",EF5:EF319)+SUMIF($D$5:$D$319,"=saz",EF5:EF319)</f>
        <v>0</v>
      </c>
      <c r="EG415" s="179">
        <f t="shared" si="2822"/>
        <v>0</v>
      </c>
      <c r="EK415" s="217"/>
      <c r="EQ415" s="102">
        <f t="shared" si="2820"/>
        <v>0</v>
      </c>
      <c r="ER415" s="179">
        <f>ROUND((EW415+EX415/2)*HLOOKUP(ER322,Grund_zins,2,FALSE),2)</f>
        <v>0</v>
      </c>
      <c r="ET415" s="664" t="s">
        <v>295</v>
      </c>
      <c r="EW415" s="179">
        <f t="shared" ref="EW415:EX415" si="2823">SUMIF($D$5:$D$319,"=sas",EW5:EW319)+SUMIF($D$5:$D$319,"=sam",EW5:EW319)+SUMIF($D$5:$D$319,"=sar",EW5:EW319)+SUMIF($D$5:$D$319,"=saz",EW5:EW319)</f>
        <v>0</v>
      </c>
      <c r="EX415" s="179">
        <f t="shared" si="2823"/>
        <v>0</v>
      </c>
      <c r="FB415" s="217"/>
      <c r="FH415" s="102">
        <f t="shared" si="2820"/>
        <v>0</v>
      </c>
      <c r="FI415" s="179">
        <f>ROUND((FN415+FO415/2)*HLOOKUP(FI322,Grund_zins,2,FALSE),2)</f>
        <v>0</v>
      </c>
      <c r="FK415" s="664" t="s">
        <v>295</v>
      </c>
      <c r="FN415" s="179">
        <f t="shared" ref="FN415:FO415" si="2824">SUMIF($D$5:$D$319,"=sas",FN5:FN319)+SUMIF($D$5:$D$319,"=sam",FN5:FN319)+SUMIF($D$5:$D$319,"=sar",FN5:FN319)+SUMIF($D$5:$D$319,"=saz",FN5:FN319)</f>
        <v>0</v>
      </c>
      <c r="FO415" s="179">
        <f t="shared" si="2824"/>
        <v>0</v>
      </c>
      <c r="FS415" s="217"/>
    </row>
    <row r="416" spans="1:175" s="10" customFormat="1" ht="15" hidden="1" customHeight="1" x14ac:dyDescent="0.3">
      <c r="A416" s="665" t="s">
        <v>180</v>
      </c>
      <c r="V416" s="217">
        <v>95</v>
      </c>
      <c r="AB416" s="102">
        <f t="shared" ref="AB416" si="2825">IF(AC415&lt;&gt;0,AC416/AC415,0)</f>
        <v>0</v>
      </c>
      <c r="AC416" s="179">
        <f>ROUND((AH416+AI416/2)*HLOOKUP(AC322,Grund_zins,2,FALSE),2)</f>
        <v>0</v>
      </c>
      <c r="AE416" s="665" t="s">
        <v>180</v>
      </c>
      <c r="AH416" s="179">
        <f>SUMIF($D$5:$D$319,"=sas",AH5:AH319)*HLOOKUP(AC322,Verteil_sw,27,FALSE)+SUMIF($D$5:$D$319,"=sam",AH5:AH319)*HLOOKUP(AC322,Verteil_sw,28,FALSE)+SUMIF($D$5:$D$319,"=sar",AH5:AH319)*HLOOKUP(AC322,Verteil_sw,29,FALSE)+SUMIF($D$5:$D$319,"=saz",AH5:AH319)*HLOOKUP(AC322,Verteil_sw,30,FALSE)</f>
        <v>0</v>
      </c>
      <c r="AI416" s="179">
        <f>SUMIF($D$5:$D$319,"=sas",AI5:AI319)*HLOOKUP(AC322,Verteil_sw,27,FALSE)+SUMIF($D$5:$D$319,"=sam",AI5:AI319)*HLOOKUP(AC322,Verteil_sw,28,FALSE)+SUMIF($D$5:$D$319,"=sar",AI5:AI319)*HLOOKUP(AC322,Verteil_sw,29,FALSE)+SUMIF($D$5:$D$319,"=saz",AI5:AI319)*HLOOKUP(AC322,Verteil_sw,30,FALSE)</f>
        <v>0</v>
      </c>
      <c r="AM416" s="217"/>
      <c r="AS416" s="102">
        <f t="shared" ref="AS416" si="2826">IF(AT415&lt;&gt;0,AT416/AT415,0)</f>
        <v>0</v>
      </c>
      <c r="AT416" s="179">
        <f>ROUND((AY416+AZ416/2)*HLOOKUP(AT322,Grund_zins,2,FALSE),2)</f>
        <v>0</v>
      </c>
      <c r="AV416" s="665" t="s">
        <v>180</v>
      </c>
      <c r="AY416" s="179">
        <f>SUMIF($D$5:$D$319,"=sas",AY5:AY319)*HLOOKUP(AT322,Verteil_sw,27,FALSE)+SUMIF($D$5:$D$319,"=sam",AY5:AY319)*HLOOKUP(AT322,Verteil_sw,28,FALSE)+SUMIF($D$5:$D$319,"=sar",AY5:AY319)*HLOOKUP(AT322,Verteil_sw,29,FALSE)+SUMIF($D$5:$D$319,"=saz",AY5:AY319)*HLOOKUP(AT322,Verteil_sw,30,FALSE)</f>
        <v>0</v>
      </c>
      <c r="AZ416" s="179">
        <f>SUMIF($D$5:$D$319,"=sas",AZ5:AZ319)*HLOOKUP(AT322,Verteil_sw,27,FALSE)+SUMIF($D$5:$D$319,"=sam",AZ5:AZ319)*HLOOKUP(AT322,Verteil_sw,28,FALSE)+SUMIF($D$5:$D$319,"=sar",AZ5:AZ319)*HLOOKUP(AT322,Verteil_sw,29,FALSE)+SUMIF($D$5:$D$319,"=saz",AZ5:AZ319)*HLOOKUP(AT322,Verteil_sw,30,FALSE)</f>
        <v>0</v>
      </c>
      <c r="BD416" s="217"/>
      <c r="BJ416" s="102">
        <f t="shared" ref="BJ416" si="2827">IF(BK415&lt;&gt;0,BK416/BK415,0)</f>
        <v>0</v>
      </c>
      <c r="BK416" s="179">
        <f>ROUND((BP416+BQ416/2)*HLOOKUP(BK322,Grund_zins,2,FALSE),2)</f>
        <v>0</v>
      </c>
      <c r="BM416" s="665" t="s">
        <v>180</v>
      </c>
      <c r="BP416" s="179">
        <f>SUMIF($D$5:$D$319,"=sas",BP5:BP319)*HLOOKUP(BK322,Verteil_sw,27,FALSE)+SUMIF($D$5:$D$319,"=sam",BP5:BP319)*HLOOKUP(BK322,Verteil_sw,28,FALSE)+SUMIF($D$5:$D$319,"=sar",BP5:BP319)*HLOOKUP(BK322,Verteil_sw,29,FALSE)+SUMIF($D$5:$D$319,"=saz",BP5:BP319)*HLOOKUP(BK322,Verteil_sw,30,FALSE)</f>
        <v>0</v>
      </c>
      <c r="BQ416" s="179">
        <f>SUMIF($D$5:$D$319,"=sas",BQ5:BQ319)*HLOOKUP(BK322,Verteil_sw,27,FALSE)+SUMIF($D$5:$D$319,"=sam",BQ5:BQ319)*HLOOKUP(BK322,Verteil_sw,28,FALSE)+SUMIF($D$5:$D$319,"=sar",BQ5:BQ319)*HLOOKUP(BK322,Verteil_sw,29,FALSE)+SUMIF($D$5:$D$319,"=saz",BQ5:BQ319)*HLOOKUP(BK322,Verteil_sw,30,FALSE)</f>
        <v>0</v>
      </c>
      <c r="BU416" s="217"/>
      <c r="CA416" s="102">
        <f t="shared" ref="CA416" si="2828">IF(CB415&lt;&gt;0,CB416/CB415,0)</f>
        <v>0</v>
      </c>
      <c r="CB416" s="179">
        <f>ROUND((CG416+CH416/2)*HLOOKUP(CB322,Grund_zins,2,FALSE),2)</f>
        <v>0</v>
      </c>
      <c r="CD416" s="665" t="s">
        <v>180</v>
      </c>
      <c r="CG416" s="179">
        <f>SUMIF($D$5:$D$319,"=sas",CG5:CG319)*HLOOKUP(CB322,Verteil_sw,27,FALSE)+SUMIF($D$5:$D$319,"=sam",CG5:CG319)*HLOOKUP(CB322,Verteil_sw,28,FALSE)+SUMIF($D$5:$D$319,"=sar",CG5:CG319)*HLOOKUP(CB322,Verteil_sw,29,FALSE)+SUMIF($D$5:$D$319,"=saz",CG5:CG319)*HLOOKUP(CB322,Verteil_sw,30,FALSE)</f>
        <v>0</v>
      </c>
      <c r="CH416" s="179">
        <f>SUMIF($D$5:$D$319,"=sas",CH5:CH319)*HLOOKUP(CB322,Verteil_sw,27,FALSE)+SUMIF($D$5:$D$319,"=sam",CH5:CH319)*HLOOKUP(CB322,Verteil_sw,28,FALSE)+SUMIF($D$5:$D$319,"=sar",CH5:CH319)*HLOOKUP(CB322,Verteil_sw,29,FALSE)+SUMIF($D$5:$D$319,"=saz",CH5:CH319)*HLOOKUP(CB322,Verteil_sw,30,FALSE)</f>
        <v>0</v>
      </c>
      <c r="CL416" s="217"/>
      <c r="CR416" s="102">
        <f t="shared" ref="CR416" si="2829">IF(CS415&lt;&gt;0,CS416/CS415,0)</f>
        <v>0</v>
      </c>
      <c r="CS416" s="179">
        <f>ROUND((CX416+CY416/2)*HLOOKUP(CS322,Grund_zins,2,FALSE),2)</f>
        <v>0</v>
      </c>
      <c r="CU416" s="665" t="s">
        <v>180</v>
      </c>
      <c r="CX416" s="179">
        <f>SUMIF($D$5:$D$319,"=sas",CX5:CX319)*HLOOKUP(CS322,Verteil_sw,27,FALSE)+SUMIF($D$5:$D$319,"=sam",CX5:CX319)*HLOOKUP(CS322,Verteil_sw,28,FALSE)+SUMIF($D$5:$D$319,"=sar",CX5:CX319)*HLOOKUP(CS322,Verteil_sw,29,FALSE)+SUMIF($D$5:$D$319,"=saz",CX5:CX319)*HLOOKUP(CS322,Verteil_sw,30,FALSE)</f>
        <v>0</v>
      </c>
      <c r="CY416" s="179">
        <f>SUMIF($D$5:$D$319,"=sas",CY5:CY319)*HLOOKUP(CS322,Verteil_sw,27,FALSE)+SUMIF($D$5:$D$319,"=sam",CY5:CY319)*HLOOKUP(CS322,Verteil_sw,28,FALSE)+SUMIF($D$5:$D$319,"=sar",CY5:CY319)*HLOOKUP(CS322,Verteil_sw,29,FALSE)+SUMIF($D$5:$D$319,"=saz",CY5:CY319)*HLOOKUP(CS322,Verteil_sw,30,FALSE)</f>
        <v>0</v>
      </c>
      <c r="DC416" s="217"/>
      <c r="DI416" s="102">
        <f t="shared" ref="DI416" si="2830">IF(DJ415&lt;&gt;0,DJ416/DJ415,0)</f>
        <v>0</v>
      </c>
      <c r="DJ416" s="179">
        <f>ROUND((DO416+DP416/2)*HLOOKUP(DJ322,Grund_zins,2,FALSE),2)</f>
        <v>0</v>
      </c>
      <c r="DL416" s="665" t="s">
        <v>180</v>
      </c>
      <c r="DO416" s="179">
        <f>SUMIF($D$5:$D$319,"=sas",DO5:DO319)*HLOOKUP(DJ322,Verteil_sw,27,FALSE)+SUMIF($D$5:$D$319,"=sam",DO5:DO319)*HLOOKUP(DJ322,Verteil_sw,28,FALSE)+SUMIF($D$5:$D$319,"=sar",DO5:DO319)*HLOOKUP(DJ322,Verteil_sw,29,FALSE)+SUMIF($D$5:$D$319,"=saz",DO5:DO319)*HLOOKUP(DJ322,Verteil_sw,30,FALSE)</f>
        <v>0</v>
      </c>
      <c r="DP416" s="179">
        <f>SUMIF($D$5:$D$319,"=sas",DP5:DP319)*HLOOKUP(DJ322,Verteil_sw,27,FALSE)+SUMIF($D$5:$D$319,"=sam",DP5:DP319)*HLOOKUP(DJ322,Verteil_sw,28,FALSE)+SUMIF($D$5:$D$319,"=sar",DP5:DP319)*HLOOKUP(DJ322,Verteil_sw,29,FALSE)+SUMIF($D$5:$D$319,"=saz",DP5:DP319)*HLOOKUP(DJ322,Verteil_sw,30,FALSE)</f>
        <v>0</v>
      </c>
      <c r="DT416" s="217"/>
      <c r="DZ416" s="102">
        <f t="shared" ref="DZ416" si="2831">IF(EA415&lt;&gt;0,EA416/EA415,0)</f>
        <v>0</v>
      </c>
      <c r="EA416" s="179">
        <f>ROUND((EF416+EG416/2)*HLOOKUP(EA322,Grund_zins,2,FALSE),2)</f>
        <v>0</v>
      </c>
      <c r="EC416" s="665" t="s">
        <v>180</v>
      </c>
      <c r="EF416" s="179">
        <f>SUMIF($D$5:$D$319,"=sas",EF5:EF319)*HLOOKUP(EA322,Verteil_sw,27,FALSE)+SUMIF($D$5:$D$319,"=sam",EF5:EF319)*HLOOKUP(EA322,Verteil_sw,28,FALSE)+SUMIF($D$5:$D$319,"=sar",EF5:EF319)*HLOOKUP(EA322,Verteil_sw,29,FALSE)+SUMIF($D$5:$D$319,"=saz",EF5:EF319)*HLOOKUP(EA322,Verteil_sw,30,FALSE)</f>
        <v>0</v>
      </c>
      <c r="EG416" s="179">
        <f>SUMIF($D$5:$D$319,"=sas",EG5:EG319)*HLOOKUP(EA322,Verteil_sw,27,FALSE)+SUMIF($D$5:$D$319,"=sam",EG5:EG319)*HLOOKUP(EA322,Verteil_sw,28,FALSE)+SUMIF($D$5:$D$319,"=sar",EG5:EG319)*HLOOKUP(EA322,Verteil_sw,29,FALSE)+SUMIF($D$5:$D$319,"=saz",EG5:EG319)*HLOOKUP(EA322,Verteil_sw,30,FALSE)</f>
        <v>0</v>
      </c>
      <c r="EK416" s="217"/>
      <c r="EQ416" s="102">
        <f t="shared" ref="EQ416" si="2832">IF(ER415&lt;&gt;0,ER416/ER415,0)</f>
        <v>0</v>
      </c>
      <c r="ER416" s="179">
        <f>ROUND((EW416+EX416/2)*HLOOKUP(ER322,Grund_zins,2,FALSE),2)</f>
        <v>0</v>
      </c>
      <c r="ET416" s="665" t="s">
        <v>180</v>
      </c>
      <c r="EW416" s="179">
        <f>SUMIF($D$5:$D$319,"=sas",EW5:EW319)*HLOOKUP(ER322,Verteil_sw,27,FALSE)+SUMIF($D$5:$D$319,"=sam",EW5:EW319)*HLOOKUP(ER322,Verteil_sw,28,FALSE)+SUMIF($D$5:$D$319,"=sar",EW5:EW319)*HLOOKUP(ER322,Verteil_sw,29,FALSE)+SUMIF($D$5:$D$319,"=saz",EW5:EW319)*HLOOKUP(ER322,Verteil_sw,30,FALSE)</f>
        <v>0</v>
      </c>
      <c r="EX416" s="179">
        <f>SUMIF($D$5:$D$319,"=sas",EX5:EX319)*HLOOKUP(ER322,Verteil_sw,27,FALSE)+SUMIF($D$5:$D$319,"=sam",EX5:EX319)*HLOOKUP(ER322,Verteil_sw,28,FALSE)+SUMIF($D$5:$D$319,"=sar",EX5:EX319)*HLOOKUP(ER322,Verteil_sw,29,FALSE)+SUMIF($D$5:$D$319,"=saz",EX5:EX319)*HLOOKUP(ER322,Verteil_sw,30,FALSE)</f>
        <v>0</v>
      </c>
      <c r="FB416" s="217"/>
      <c r="FH416" s="102">
        <f t="shared" ref="FH416" si="2833">IF(FI415&lt;&gt;0,FI416/FI415,0)</f>
        <v>0</v>
      </c>
      <c r="FI416" s="179">
        <f>ROUND((FN416+FO416/2)*HLOOKUP(FI322,Grund_zins,2,FALSE),2)</f>
        <v>0</v>
      </c>
      <c r="FK416" s="665" t="s">
        <v>180</v>
      </c>
      <c r="FN416" s="179">
        <f>SUMIF($D$5:$D$319,"=sas",FN5:FN319)*HLOOKUP(FI322,Verteil_sw,27,FALSE)+SUMIF($D$5:$D$319,"=sam",FN5:FN319)*HLOOKUP(FI322,Verteil_sw,28,FALSE)+SUMIF($D$5:$D$319,"=sar",FN5:FN319)*HLOOKUP(FI322,Verteil_sw,29,FALSE)+SUMIF($D$5:$D$319,"=saz",FN5:FN319)*HLOOKUP(FI322,Verteil_sw,30,FALSE)</f>
        <v>0</v>
      </c>
      <c r="FO416" s="179">
        <f>SUMIF($D$5:$D$319,"=sas",FO5:FO319)*HLOOKUP(FI322,Verteil_sw,27,FALSE)+SUMIF($D$5:$D$319,"=sam",FO5:FO319)*HLOOKUP(FI322,Verteil_sw,28,FALSE)+SUMIF($D$5:$D$319,"=sar",FO5:FO319)*HLOOKUP(FI322,Verteil_sw,29,FALSE)+SUMIF($D$5:$D$319,"=saz",FO5:FO319)*HLOOKUP(FI322,Verteil_sw,30,FALSE)</f>
        <v>0</v>
      </c>
      <c r="FS416" s="217"/>
    </row>
    <row r="417" spans="1:175" s="10" customFormat="1" ht="15" hidden="1" customHeight="1" x14ac:dyDescent="0.3">
      <c r="A417" s="665" t="s">
        <v>193</v>
      </c>
      <c r="V417" s="217">
        <v>96</v>
      </c>
      <c r="AB417" s="102">
        <f t="shared" ref="AB417" si="2834">IF(AC415&lt;&gt;0,AC417/AC415,0)</f>
        <v>0</v>
      </c>
      <c r="AC417" s="179">
        <f>ROUND((AH417+AI417/2)*HLOOKUP(AC322,Grund_zins,2,FALSE),2)</f>
        <v>0</v>
      </c>
      <c r="AE417" s="665" t="s">
        <v>193</v>
      </c>
      <c r="AH417" s="179">
        <f>SUMIF($D$5:$D$319,"=sas",AH5:AH319)*HLOOKUP(AC322,Verteil_rwgr,26,FALSE)+SUMIF($D$5:$D$319,"=sam",AH5:AH319)*HLOOKUP(AC322,Verteil_rwgr,27,FALSE)+SUMIF($D$5:$D$319,"=sar",AH5:AH319)*HLOOKUP(AC322,Verteil_rwgr,28,FALSE)+SUMIF($D$5:$D$319,"=saz",AH5:AH319)*HLOOKUP(AC322,Verteil_rwgr,29,FALSE)</f>
        <v>0</v>
      </c>
      <c r="AI417" s="179">
        <f>SUMIF($D$5:$D$319,"=sas",AI5:AI319)*HLOOKUP(AC322,Verteil_rwgr,26,FALSE)+SUMIF($D$5:$D$319,"=sam",AI5:AI319)*HLOOKUP(AC322,Verteil_rwgr,27,FALSE)+SUMIF($D$5:$D$319,"=sar",AI5:AI319)*HLOOKUP(AC322,Verteil_rwgr,28,FALSE)+SUMIF($D$5:$D$319,"=saz",AI5:AI319)*HLOOKUP(AC322,Verteil_rwgr,29,FALSE)</f>
        <v>0</v>
      </c>
      <c r="AM417" s="217"/>
      <c r="AS417" s="102">
        <f t="shared" ref="AS417" si="2835">IF(AT415&lt;&gt;0,AT417/AT415,0)</f>
        <v>0</v>
      </c>
      <c r="AT417" s="179">
        <f>ROUND((AY417+AZ417/2)*HLOOKUP(AT322,Grund_zins,2,FALSE),2)</f>
        <v>0</v>
      </c>
      <c r="AV417" s="665" t="s">
        <v>193</v>
      </c>
      <c r="AY417" s="179">
        <f>SUMIF($D$5:$D$319,"=sas",AY5:AY319)*HLOOKUP(AT322,Verteil_rwgr,26,FALSE)+SUMIF($D$5:$D$319,"=sam",AY5:AY319)*HLOOKUP(AT322,Verteil_rwgr,27,FALSE)+SUMIF($D$5:$D$319,"=sar",AY5:AY319)*HLOOKUP(AT322,Verteil_rwgr,28,FALSE)+SUMIF($D$5:$D$319,"=saz",AY5:AY319)*HLOOKUP(AT322,Verteil_rwgr,29,FALSE)</f>
        <v>0</v>
      </c>
      <c r="AZ417" s="179">
        <f>SUMIF($D$5:$D$319,"=sas",AZ5:AZ319)*HLOOKUP(AT322,Verteil_rwgr,26,FALSE)+SUMIF($D$5:$D$319,"=sam",AZ5:AZ319)*HLOOKUP(AT322,Verteil_rwgr,27,FALSE)+SUMIF($D$5:$D$319,"=sar",AZ5:AZ319)*HLOOKUP(AT322,Verteil_rwgr,28,FALSE)+SUMIF($D$5:$D$319,"=saz",AZ5:AZ319)*HLOOKUP(AT322,Verteil_rwgr,29,FALSE)</f>
        <v>0</v>
      </c>
      <c r="BD417" s="217"/>
      <c r="BJ417" s="102">
        <f t="shared" ref="BJ417" si="2836">IF(BK415&lt;&gt;0,BK417/BK415,0)</f>
        <v>0</v>
      </c>
      <c r="BK417" s="179">
        <f>ROUND((BP417+BQ417/2)*HLOOKUP(BK322,Grund_zins,2,FALSE),2)</f>
        <v>0</v>
      </c>
      <c r="BM417" s="665" t="s">
        <v>193</v>
      </c>
      <c r="BP417" s="179">
        <f>SUMIF($D$5:$D$319,"=sas",BP5:BP319)*HLOOKUP(BK322,Verteil_rwgr,26,FALSE)+SUMIF($D$5:$D$319,"=sam",BP5:BP319)*HLOOKUP(BK322,Verteil_rwgr,27,FALSE)+SUMIF($D$5:$D$319,"=sar",BP5:BP319)*HLOOKUP(BK322,Verteil_rwgr,28,FALSE)+SUMIF($D$5:$D$319,"=saz",BP5:BP319)*HLOOKUP(BK322,Verteil_rwgr,29,FALSE)</f>
        <v>0</v>
      </c>
      <c r="BQ417" s="179">
        <f>SUMIF($D$5:$D$319,"=sas",BQ5:BQ319)*HLOOKUP(BK322,Verteil_rwgr,26,FALSE)+SUMIF($D$5:$D$319,"=sam",BQ5:BQ319)*HLOOKUP(BK322,Verteil_rwgr,27,FALSE)+SUMIF($D$5:$D$319,"=sar",BQ5:BQ319)*HLOOKUP(BK322,Verteil_rwgr,28,FALSE)+SUMIF($D$5:$D$319,"=saz",BQ5:BQ319)*HLOOKUP(BK322,Verteil_rwgr,29,FALSE)</f>
        <v>0</v>
      </c>
      <c r="BU417" s="217"/>
      <c r="CA417" s="102">
        <f t="shared" ref="CA417" si="2837">IF(CB415&lt;&gt;0,CB417/CB415,0)</f>
        <v>0</v>
      </c>
      <c r="CB417" s="179">
        <f>ROUND((CG417+CH417/2)*HLOOKUP(CB322,Grund_zins,2,FALSE),2)</f>
        <v>0</v>
      </c>
      <c r="CD417" s="665" t="s">
        <v>193</v>
      </c>
      <c r="CG417" s="179">
        <f>SUMIF($D$5:$D$319,"=sas",CG5:CG319)*HLOOKUP(CB322,Verteil_rwgr,26,FALSE)+SUMIF($D$5:$D$319,"=sam",CG5:CG319)*HLOOKUP(CB322,Verteil_rwgr,27,FALSE)+SUMIF($D$5:$D$319,"=sar",CG5:CG319)*HLOOKUP(CB322,Verteil_rwgr,28,FALSE)+SUMIF($D$5:$D$319,"=saz",CG5:CG319)*HLOOKUP(CB322,Verteil_rwgr,29,FALSE)</f>
        <v>0</v>
      </c>
      <c r="CH417" s="179">
        <f>SUMIF($D$5:$D$319,"=sas",CH5:CH319)*HLOOKUP(CB322,Verteil_rwgr,26,FALSE)+SUMIF($D$5:$D$319,"=sam",CH5:CH319)*HLOOKUP(CB322,Verteil_rwgr,27,FALSE)+SUMIF($D$5:$D$319,"=sar",CH5:CH319)*HLOOKUP(CB322,Verteil_rwgr,28,FALSE)+SUMIF($D$5:$D$319,"=saz",CH5:CH319)*HLOOKUP(CB322,Verteil_rwgr,29,FALSE)</f>
        <v>0</v>
      </c>
      <c r="CL417" s="217"/>
      <c r="CR417" s="102">
        <f t="shared" ref="CR417" si="2838">IF(CS415&lt;&gt;0,CS417/CS415,0)</f>
        <v>0</v>
      </c>
      <c r="CS417" s="179">
        <f>ROUND((CX417+CY417/2)*HLOOKUP(CS322,Grund_zins,2,FALSE),2)</f>
        <v>0</v>
      </c>
      <c r="CU417" s="665" t="s">
        <v>193</v>
      </c>
      <c r="CX417" s="179">
        <f>SUMIF($D$5:$D$319,"=sas",CX5:CX319)*HLOOKUP(CS322,Verteil_rwgr,26,FALSE)+SUMIF($D$5:$D$319,"=sam",CX5:CX319)*HLOOKUP(CS322,Verteil_rwgr,27,FALSE)+SUMIF($D$5:$D$319,"=sar",CX5:CX319)*HLOOKUP(CS322,Verteil_rwgr,28,FALSE)+SUMIF($D$5:$D$319,"=saz",CX5:CX319)*HLOOKUP(CS322,Verteil_rwgr,29,FALSE)</f>
        <v>0</v>
      </c>
      <c r="CY417" s="179">
        <f>SUMIF($D$5:$D$319,"=sas",CY5:CY319)*HLOOKUP(CS322,Verteil_rwgr,26,FALSE)+SUMIF($D$5:$D$319,"=sam",CY5:CY319)*HLOOKUP(CS322,Verteil_rwgr,27,FALSE)+SUMIF($D$5:$D$319,"=sar",CY5:CY319)*HLOOKUP(CS322,Verteil_rwgr,28,FALSE)+SUMIF($D$5:$D$319,"=saz",CY5:CY319)*HLOOKUP(CS322,Verteil_rwgr,29,FALSE)</f>
        <v>0</v>
      </c>
      <c r="DC417" s="217"/>
      <c r="DI417" s="102">
        <f t="shared" ref="DI417" si="2839">IF(DJ415&lt;&gt;0,DJ417/DJ415,0)</f>
        <v>0</v>
      </c>
      <c r="DJ417" s="179">
        <f>ROUND((DO417+DP417/2)*HLOOKUP(DJ322,Grund_zins,2,FALSE),2)</f>
        <v>0</v>
      </c>
      <c r="DL417" s="665" t="s">
        <v>193</v>
      </c>
      <c r="DO417" s="179">
        <f>SUMIF($D$5:$D$319,"=sas",DO5:DO319)*HLOOKUP(DJ322,Verteil_rwgr,26,FALSE)+SUMIF($D$5:$D$319,"=sam",DO5:DO319)*HLOOKUP(DJ322,Verteil_rwgr,27,FALSE)+SUMIF($D$5:$D$319,"=sar",DO5:DO319)*HLOOKUP(DJ322,Verteil_rwgr,28,FALSE)+SUMIF($D$5:$D$319,"=saz",DO5:DO319)*HLOOKUP(DJ322,Verteil_rwgr,29,FALSE)</f>
        <v>0</v>
      </c>
      <c r="DP417" s="179">
        <f>SUMIF($D$5:$D$319,"=sas",DP5:DP319)*HLOOKUP(DJ322,Verteil_rwgr,26,FALSE)+SUMIF($D$5:$D$319,"=sam",DP5:DP319)*HLOOKUP(DJ322,Verteil_rwgr,27,FALSE)+SUMIF($D$5:$D$319,"=sar",DP5:DP319)*HLOOKUP(DJ322,Verteil_rwgr,28,FALSE)+SUMIF($D$5:$D$319,"=saz",DP5:DP319)*HLOOKUP(DJ322,Verteil_rwgr,29,FALSE)</f>
        <v>0</v>
      </c>
      <c r="DT417" s="217"/>
      <c r="DZ417" s="102">
        <f t="shared" ref="DZ417" si="2840">IF(EA415&lt;&gt;0,EA417/EA415,0)</f>
        <v>0</v>
      </c>
      <c r="EA417" s="179">
        <f>ROUND((EF417+EG417/2)*HLOOKUP(EA322,Grund_zins,2,FALSE),2)</f>
        <v>0</v>
      </c>
      <c r="EC417" s="665" t="s">
        <v>193</v>
      </c>
      <c r="EF417" s="179">
        <f>SUMIF($D$5:$D$319,"=sas",EF5:EF319)*HLOOKUP(EA322,Verteil_rwgr,26,FALSE)+SUMIF($D$5:$D$319,"=sam",EF5:EF319)*HLOOKUP(EA322,Verteil_rwgr,27,FALSE)+SUMIF($D$5:$D$319,"=sar",EF5:EF319)*HLOOKUP(EA322,Verteil_rwgr,28,FALSE)+SUMIF($D$5:$D$319,"=saz",EF5:EF319)*HLOOKUP(EA322,Verteil_rwgr,29,FALSE)</f>
        <v>0</v>
      </c>
      <c r="EG417" s="179">
        <f>SUMIF($D$5:$D$319,"=sas",EG5:EG319)*HLOOKUP(EA322,Verteil_rwgr,26,FALSE)+SUMIF($D$5:$D$319,"=sam",EG5:EG319)*HLOOKUP(EA322,Verteil_rwgr,27,FALSE)+SUMIF($D$5:$D$319,"=sar",EG5:EG319)*HLOOKUP(EA322,Verteil_rwgr,28,FALSE)+SUMIF($D$5:$D$319,"=saz",EG5:EG319)*HLOOKUP(EA322,Verteil_rwgr,29,FALSE)</f>
        <v>0</v>
      </c>
      <c r="EK417" s="217"/>
      <c r="EQ417" s="102">
        <f t="shared" ref="EQ417" si="2841">IF(ER415&lt;&gt;0,ER417/ER415,0)</f>
        <v>0</v>
      </c>
      <c r="ER417" s="179">
        <f>ROUND((EW417+EX417/2)*HLOOKUP(ER322,Grund_zins,2,FALSE),2)</f>
        <v>0</v>
      </c>
      <c r="ET417" s="665" t="s">
        <v>193</v>
      </c>
      <c r="EW417" s="179">
        <f>SUMIF($D$5:$D$319,"=sas",EW5:EW319)*HLOOKUP(ER322,Verteil_rwgr,26,FALSE)+SUMIF($D$5:$D$319,"=sam",EW5:EW319)*HLOOKUP(ER322,Verteil_rwgr,27,FALSE)+SUMIF($D$5:$D$319,"=sar",EW5:EW319)*HLOOKUP(ER322,Verteil_rwgr,28,FALSE)+SUMIF($D$5:$D$319,"=saz",EW5:EW319)*HLOOKUP(ER322,Verteil_rwgr,29,FALSE)</f>
        <v>0</v>
      </c>
      <c r="EX417" s="179">
        <f>SUMIF($D$5:$D$319,"=sas",EX5:EX319)*HLOOKUP(ER322,Verteil_rwgr,26,FALSE)+SUMIF($D$5:$D$319,"=sam",EX5:EX319)*HLOOKUP(ER322,Verteil_rwgr,27,FALSE)+SUMIF($D$5:$D$319,"=sar",EX5:EX319)*HLOOKUP(ER322,Verteil_rwgr,28,FALSE)+SUMIF($D$5:$D$319,"=saz",EX5:EX319)*HLOOKUP(ER322,Verteil_rwgr,29,FALSE)</f>
        <v>0</v>
      </c>
      <c r="FB417" s="217"/>
      <c r="FH417" s="102">
        <f t="shared" ref="FH417" si="2842">IF(FI415&lt;&gt;0,FI417/FI415,0)</f>
        <v>0</v>
      </c>
      <c r="FI417" s="179">
        <f>ROUND((FN417+FO417/2)*HLOOKUP(FI322,Grund_zins,2,FALSE),2)</f>
        <v>0</v>
      </c>
      <c r="FK417" s="665" t="s">
        <v>193</v>
      </c>
      <c r="FN417" s="179">
        <f>SUMIF($D$5:$D$319,"=sas",FN5:FN319)*HLOOKUP(FI322,Verteil_rwgr,26,FALSE)+SUMIF($D$5:$D$319,"=sam",FN5:FN319)*HLOOKUP(FI322,Verteil_rwgr,27,FALSE)+SUMIF($D$5:$D$319,"=sar",FN5:FN319)*HLOOKUP(FI322,Verteil_rwgr,28,FALSE)+SUMIF($D$5:$D$319,"=saz",FN5:FN319)*HLOOKUP(FI322,Verteil_rwgr,29,FALSE)</f>
        <v>0</v>
      </c>
      <c r="FO417" s="179">
        <f>SUMIF($D$5:$D$319,"=sas",FO5:FO319)*HLOOKUP(FI322,Verteil_rwgr,26,FALSE)+SUMIF($D$5:$D$319,"=sam",FO5:FO319)*HLOOKUP(FI322,Verteil_rwgr,27,FALSE)+SUMIF($D$5:$D$319,"=sar",FO5:FO319)*HLOOKUP(FI322,Verteil_rwgr,28,FALSE)+SUMIF($D$5:$D$319,"=saz",FO5:FO319)*HLOOKUP(FI322,Verteil_rwgr,29,FALSE)</f>
        <v>0</v>
      </c>
      <c r="FS417" s="217"/>
    </row>
    <row r="418" spans="1:175" s="10" customFormat="1" ht="15" hidden="1" customHeight="1" x14ac:dyDescent="0.3">
      <c r="A418" s="665" t="s">
        <v>194</v>
      </c>
      <c r="V418" s="217">
        <v>97</v>
      </c>
      <c r="AB418" s="102">
        <f t="shared" ref="AB418" si="2843">IF(AC415&lt;&gt;0,AC418/AC415,0)</f>
        <v>0</v>
      </c>
      <c r="AC418" s="179">
        <f>ROUND((AH418+AI418/2)*HLOOKUP(AC322,Grund_zins,2,FALSE),2)</f>
        <v>0</v>
      </c>
      <c r="AE418" s="665" t="s">
        <v>194</v>
      </c>
      <c r="AH418" s="179">
        <f>SUMIF($D$5:$D$319,"=sas",AH5:AH319)*HLOOKUP(AC322,Verteil_rwst,25,FALSE)+SUMIF($D$5:$D$319,"=sam",AH5:AH319)*HLOOKUP(AC322,Verteil_rwst,26,FALSE)+SUMIF($D$5:$D$319,"=sar",AH5:AH319)*HLOOKUP(AC322,Verteil_rwst,27,FALSE)+SUMIF($D$5:$D$319,"=saz",AH5:AH319)*HLOOKUP(AC322,Verteil_rwst,28,FALSE)</f>
        <v>0</v>
      </c>
      <c r="AI418" s="179">
        <f>SUMIF($D$5:$D$319,"=sas",AI5:AI319)*HLOOKUP(AC322,Verteil_rwst,25,FALSE)+SUMIF($D$5:$D$319,"=sam",AI5:AI319)*HLOOKUP(AC322,Verteil_rwst,26,FALSE)+SUMIF($D$5:$D$319,"=sar",AI5:AI319)*HLOOKUP(AC322,Verteil_rwst,27,FALSE)+SUMIF($D$5:$D$319,"=saz",AI5:AI319)*HLOOKUP(AC322,Verteil_rwst,28,FALSE)</f>
        <v>0</v>
      </c>
      <c r="AM418" s="217"/>
      <c r="AS418" s="102">
        <f t="shared" ref="AS418" si="2844">IF(AT415&lt;&gt;0,AT418/AT415,0)</f>
        <v>0</v>
      </c>
      <c r="AT418" s="179">
        <f>ROUND((AY418+AZ418/2)*HLOOKUP(AT322,Grund_zins,2,FALSE),2)</f>
        <v>0</v>
      </c>
      <c r="AV418" s="665" t="s">
        <v>194</v>
      </c>
      <c r="AY418" s="179">
        <f>SUMIF($D$5:$D$319,"=sas",AY5:AY319)*HLOOKUP(AT322,Verteil_rwst,25,FALSE)+SUMIF($D$5:$D$319,"=sam",AY5:AY319)*HLOOKUP(AT322,Verteil_rwst,26,FALSE)+SUMIF($D$5:$D$319,"=sar",AY5:AY319)*HLOOKUP(AT322,Verteil_rwst,27,FALSE)+SUMIF($D$5:$D$319,"=saz",AY5:AY319)*HLOOKUP(AT322,Verteil_rwst,28,FALSE)</f>
        <v>0</v>
      </c>
      <c r="AZ418" s="179">
        <f>SUMIF($D$5:$D$319,"=sas",AZ5:AZ319)*HLOOKUP(AT322,Verteil_rwst,25,FALSE)+SUMIF($D$5:$D$319,"=sam",AZ5:AZ319)*HLOOKUP(AT322,Verteil_rwst,26,FALSE)+SUMIF($D$5:$D$319,"=sar",AZ5:AZ319)*HLOOKUP(AT322,Verteil_rwst,27,FALSE)+SUMIF($D$5:$D$319,"=saz",AZ5:AZ319)*HLOOKUP(AT322,Verteil_rwst,28,FALSE)</f>
        <v>0</v>
      </c>
      <c r="BD418" s="217"/>
      <c r="BJ418" s="102">
        <f t="shared" ref="BJ418" si="2845">IF(BK415&lt;&gt;0,BK418/BK415,0)</f>
        <v>0</v>
      </c>
      <c r="BK418" s="179">
        <f>ROUND((BP418+BQ418/2)*HLOOKUP(BK322,Grund_zins,2,FALSE),2)</f>
        <v>0</v>
      </c>
      <c r="BM418" s="665" t="s">
        <v>194</v>
      </c>
      <c r="BP418" s="179">
        <f>SUMIF($D$5:$D$319,"=sas",BP5:BP319)*HLOOKUP(BK322,Verteil_rwst,25,FALSE)+SUMIF($D$5:$D$319,"=sam",BP5:BP319)*HLOOKUP(BK322,Verteil_rwst,26,FALSE)+SUMIF($D$5:$D$319,"=sar",BP5:BP319)*HLOOKUP(BK322,Verteil_rwst,27,FALSE)+SUMIF($D$5:$D$319,"=saz",BP5:BP319)*HLOOKUP(BK322,Verteil_rwst,28,FALSE)</f>
        <v>0</v>
      </c>
      <c r="BQ418" s="179">
        <f>SUMIF($D$5:$D$319,"=sas",BQ5:BQ319)*HLOOKUP(BK322,Verteil_rwst,25,FALSE)+SUMIF($D$5:$D$319,"=sam",BQ5:BQ319)*HLOOKUP(BK322,Verteil_rwst,26,FALSE)+SUMIF($D$5:$D$319,"=sar",BQ5:BQ319)*HLOOKUP(BK322,Verteil_rwst,27,FALSE)+SUMIF($D$5:$D$319,"=saz",BQ5:BQ319)*HLOOKUP(BK322,Verteil_rwst,28,FALSE)</f>
        <v>0</v>
      </c>
      <c r="BU418" s="217"/>
      <c r="CA418" s="102">
        <f t="shared" ref="CA418" si="2846">IF(CB415&lt;&gt;0,CB418/CB415,0)</f>
        <v>0</v>
      </c>
      <c r="CB418" s="179">
        <f>ROUND((CG418+CH418/2)*HLOOKUP(CB322,Grund_zins,2,FALSE),2)</f>
        <v>0</v>
      </c>
      <c r="CD418" s="665" t="s">
        <v>194</v>
      </c>
      <c r="CG418" s="179">
        <f>SUMIF($D$5:$D$319,"=sas",CG5:CG319)*HLOOKUP(CB322,Verteil_rwst,25,FALSE)+SUMIF($D$5:$D$319,"=sam",CG5:CG319)*HLOOKUP(CB322,Verteil_rwst,26,FALSE)+SUMIF($D$5:$D$319,"=sar",CG5:CG319)*HLOOKUP(CB322,Verteil_rwst,27,FALSE)+SUMIF($D$5:$D$319,"=saz",CG5:CG319)*HLOOKUP(CB322,Verteil_rwst,28,FALSE)</f>
        <v>0</v>
      </c>
      <c r="CH418" s="179">
        <f>SUMIF($D$5:$D$319,"=sas",CH5:CH319)*HLOOKUP(CB322,Verteil_rwst,25,FALSE)+SUMIF($D$5:$D$319,"=sam",CH5:CH319)*HLOOKUP(CB322,Verteil_rwst,26,FALSE)+SUMIF($D$5:$D$319,"=sar",CH5:CH319)*HLOOKUP(CB322,Verteil_rwst,27,FALSE)+SUMIF($D$5:$D$319,"=saz",CH5:CH319)*HLOOKUP(CB322,Verteil_rwst,28,FALSE)</f>
        <v>0</v>
      </c>
      <c r="CL418" s="217"/>
      <c r="CR418" s="102">
        <f t="shared" ref="CR418" si="2847">IF(CS415&lt;&gt;0,CS418/CS415,0)</f>
        <v>0</v>
      </c>
      <c r="CS418" s="179">
        <f>ROUND((CX418+CY418/2)*HLOOKUP(CS322,Grund_zins,2,FALSE),2)</f>
        <v>0</v>
      </c>
      <c r="CU418" s="665" t="s">
        <v>194</v>
      </c>
      <c r="CX418" s="179">
        <f>SUMIF($D$5:$D$319,"=sas",CX5:CX319)*HLOOKUP(CS322,Verteil_rwst,25,FALSE)+SUMIF($D$5:$D$319,"=sam",CX5:CX319)*HLOOKUP(CS322,Verteil_rwst,26,FALSE)+SUMIF($D$5:$D$319,"=sar",CX5:CX319)*HLOOKUP(CS322,Verteil_rwst,27,FALSE)+SUMIF($D$5:$D$319,"=saz",CX5:CX319)*HLOOKUP(CS322,Verteil_rwst,28,FALSE)</f>
        <v>0</v>
      </c>
      <c r="CY418" s="179">
        <f>SUMIF($D$5:$D$319,"=sas",CY5:CY319)*HLOOKUP(CS322,Verteil_rwst,25,FALSE)+SUMIF($D$5:$D$319,"=sam",CY5:CY319)*HLOOKUP(CS322,Verteil_rwst,26,FALSE)+SUMIF($D$5:$D$319,"=sar",CY5:CY319)*HLOOKUP(CS322,Verteil_rwst,27,FALSE)+SUMIF($D$5:$D$319,"=saz",CY5:CY319)*HLOOKUP(CS322,Verteil_rwst,28,FALSE)</f>
        <v>0</v>
      </c>
      <c r="DC418" s="217"/>
      <c r="DI418" s="102">
        <f t="shared" ref="DI418" si="2848">IF(DJ415&lt;&gt;0,DJ418/DJ415,0)</f>
        <v>0</v>
      </c>
      <c r="DJ418" s="179">
        <f>ROUND((DO418+DP418/2)*HLOOKUP(DJ322,Grund_zins,2,FALSE),2)</f>
        <v>0</v>
      </c>
      <c r="DL418" s="665" t="s">
        <v>194</v>
      </c>
      <c r="DO418" s="179">
        <f>SUMIF($D$5:$D$319,"=sas",DO5:DO319)*HLOOKUP(DJ322,Verteil_rwst,25,FALSE)+SUMIF($D$5:$D$319,"=sam",DO5:DO319)*HLOOKUP(DJ322,Verteil_rwst,26,FALSE)+SUMIF($D$5:$D$319,"=sar",DO5:DO319)*HLOOKUP(DJ322,Verteil_rwst,27,FALSE)+SUMIF($D$5:$D$319,"=saz",DO5:DO319)*HLOOKUP(DJ322,Verteil_rwst,28,FALSE)</f>
        <v>0</v>
      </c>
      <c r="DP418" s="179">
        <f>SUMIF($D$5:$D$319,"=sas",DP5:DP319)*HLOOKUP(DJ322,Verteil_rwst,25,FALSE)+SUMIF($D$5:$D$319,"=sam",DP5:DP319)*HLOOKUP(DJ322,Verteil_rwst,26,FALSE)+SUMIF($D$5:$D$319,"=sar",DP5:DP319)*HLOOKUP(DJ322,Verteil_rwst,27,FALSE)+SUMIF($D$5:$D$319,"=saz",DP5:DP319)*HLOOKUP(DJ322,Verteil_rwst,28,FALSE)</f>
        <v>0</v>
      </c>
      <c r="DT418" s="217"/>
      <c r="DZ418" s="102">
        <f t="shared" ref="DZ418" si="2849">IF(EA415&lt;&gt;0,EA418/EA415,0)</f>
        <v>0</v>
      </c>
      <c r="EA418" s="179">
        <f>ROUND((EF418+EG418/2)*HLOOKUP(EA322,Grund_zins,2,FALSE),2)</f>
        <v>0</v>
      </c>
      <c r="EC418" s="665" t="s">
        <v>194</v>
      </c>
      <c r="EF418" s="179">
        <f>SUMIF($D$5:$D$319,"=sas",EF5:EF319)*HLOOKUP(EA322,Verteil_rwst,25,FALSE)+SUMIF($D$5:$D$319,"=sam",EF5:EF319)*HLOOKUP(EA322,Verteil_rwst,26,FALSE)+SUMIF($D$5:$D$319,"=sar",EF5:EF319)*HLOOKUP(EA322,Verteil_rwst,27,FALSE)+SUMIF($D$5:$D$319,"=saz",EF5:EF319)*HLOOKUP(EA322,Verteil_rwst,28,FALSE)</f>
        <v>0</v>
      </c>
      <c r="EG418" s="179">
        <f>SUMIF($D$5:$D$319,"=sas",EG5:EG319)*HLOOKUP(EA322,Verteil_rwst,25,FALSE)+SUMIF($D$5:$D$319,"=sam",EG5:EG319)*HLOOKUP(EA322,Verteil_rwst,26,FALSE)+SUMIF($D$5:$D$319,"=sar",EG5:EG319)*HLOOKUP(EA322,Verteil_rwst,27,FALSE)+SUMIF($D$5:$D$319,"=saz",EG5:EG319)*HLOOKUP(EA322,Verteil_rwst,28,FALSE)</f>
        <v>0</v>
      </c>
      <c r="EK418" s="217"/>
      <c r="EQ418" s="102">
        <f t="shared" ref="EQ418" si="2850">IF(ER415&lt;&gt;0,ER418/ER415,0)</f>
        <v>0</v>
      </c>
      <c r="ER418" s="179">
        <f>ROUND((EW418+EX418/2)*HLOOKUP(ER322,Grund_zins,2,FALSE),2)</f>
        <v>0</v>
      </c>
      <c r="ET418" s="665" t="s">
        <v>194</v>
      </c>
      <c r="EW418" s="179">
        <f>SUMIF($D$5:$D$319,"=sas",EW5:EW319)*HLOOKUP(ER322,Verteil_rwst,25,FALSE)+SUMIF($D$5:$D$319,"=sam",EW5:EW319)*HLOOKUP(ER322,Verteil_rwst,26,FALSE)+SUMIF($D$5:$D$319,"=sar",EW5:EW319)*HLOOKUP(ER322,Verteil_rwst,27,FALSE)+SUMIF($D$5:$D$319,"=saz",EW5:EW319)*HLOOKUP(ER322,Verteil_rwst,28,FALSE)</f>
        <v>0</v>
      </c>
      <c r="EX418" s="179">
        <f>SUMIF($D$5:$D$319,"=sas",EX5:EX319)*HLOOKUP(ER322,Verteil_rwst,25,FALSE)+SUMIF($D$5:$D$319,"=sam",EX5:EX319)*HLOOKUP(ER322,Verteil_rwst,26,FALSE)+SUMIF($D$5:$D$319,"=sar",EX5:EX319)*HLOOKUP(ER322,Verteil_rwst,27,FALSE)+SUMIF($D$5:$D$319,"=saz",EX5:EX319)*HLOOKUP(ER322,Verteil_rwst,28,FALSE)</f>
        <v>0</v>
      </c>
      <c r="FB418" s="217"/>
      <c r="FH418" s="102">
        <f t="shared" ref="FH418" si="2851">IF(FI415&lt;&gt;0,FI418/FI415,0)</f>
        <v>0</v>
      </c>
      <c r="FI418" s="179">
        <f>ROUND((FN418+FO418/2)*HLOOKUP(FI322,Grund_zins,2,FALSE),2)</f>
        <v>0</v>
      </c>
      <c r="FK418" s="665" t="s">
        <v>194</v>
      </c>
      <c r="FN418" s="179">
        <f>SUMIF($D$5:$D$319,"=sas",FN5:FN319)*HLOOKUP(FI322,Verteil_rwst,25,FALSE)+SUMIF($D$5:$D$319,"=sam",FN5:FN319)*HLOOKUP(FI322,Verteil_rwst,26,FALSE)+SUMIF($D$5:$D$319,"=sar",FN5:FN319)*HLOOKUP(FI322,Verteil_rwst,27,FALSE)+SUMIF($D$5:$D$319,"=saz",FN5:FN319)*HLOOKUP(FI322,Verteil_rwst,28,FALSE)</f>
        <v>0</v>
      </c>
      <c r="FO418" s="179">
        <f>SUMIF($D$5:$D$319,"=sas",FO5:FO319)*HLOOKUP(FI322,Verteil_rwst,25,FALSE)+SUMIF($D$5:$D$319,"=sam",FO5:FO319)*HLOOKUP(FI322,Verteil_rwst,26,FALSE)+SUMIF($D$5:$D$319,"=sar",FO5:FO319)*HLOOKUP(FI322,Verteil_rwst,27,FALSE)+SUMIF($D$5:$D$319,"=saz",FO5:FO319)*HLOOKUP(FI322,Verteil_rwst,28,FALSE)</f>
        <v>0</v>
      </c>
      <c r="FS418" s="217"/>
    </row>
    <row r="419" spans="1:175" s="10" customFormat="1" ht="15" hidden="1" customHeight="1" x14ac:dyDescent="0.3">
      <c r="A419" s="657" t="s">
        <v>296</v>
      </c>
      <c r="V419" s="217">
        <v>98</v>
      </c>
      <c r="AB419" s="102">
        <f t="shared" ref="AB419" si="2852">SUM(AB420:AB422)</f>
        <v>0</v>
      </c>
      <c r="AC419" s="179">
        <f>ROUND((AH419+AI419/2)*HLOOKUP(AC322,Grund_zins,2,FALSE),2)</f>
        <v>0</v>
      </c>
      <c r="AE419" s="657" t="s">
        <v>296</v>
      </c>
      <c r="AH419" s="179">
        <f>SUMIF($D$5:$D$319,"=alz",AH5:AH319)</f>
        <v>0</v>
      </c>
      <c r="AI419" s="179">
        <f>SUMIF($D$5:$D$319,"=alz",AI5:AI319)</f>
        <v>0</v>
      </c>
      <c r="AM419" s="217"/>
      <c r="AS419" s="102">
        <f t="shared" ref="AS419:CR419" si="2853">SUM(AS420:AS422)</f>
        <v>0</v>
      </c>
      <c r="AT419" s="179">
        <f>ROUND((AY419+AZ419/2)*HLOOKUP(AT322,Grund_zins,2,FALSE),2)</f>
        <v>0</v>
      </c>
      <c r="AV419" s="658" t="s">
        <v>296</v>
      </c>
      <c r="AY419" s="179">
        <f t="shared" ref="AY419:AZ419" si="2854">SUMIF($D$5:$D$319,"=alz",AY5:AY319)</f>
        <v>0</v>
      </c>
      <c r="AZ419" s="179">
        <f t="shared" si="2854"/>
        <v>0</v>
      </c>
      <c r="BD419" s="217"/>
      <c r="BJ419" s="102">
        <f t="shared" si="2853"/>
        <v>0</v>
      </c>
      <c r="BK419" s="179">
        <f>ROUND((BP419+BQ419/2)*HLOOKUP(BK322,Grund_zins,2,FALSE),2)</f>
        <v>0</v>
      </c>
      <c r="BM419" s="658" t="s">
        <v>296</v>
      </c>
      <c r="BP419" s="179">
        <f t="shared" ref="BP419:BQ419" si="2855">SUMIF($D$5:$D$319,"=alz",BP5:BP319)</f>
        <v>0</v>
      </c>
      <c r="BQ419" s="179">
        <f t="shared" si="2855"/>
        <v>0</v>
      </c>
      <c r="BU419" s="217"/>
      <c r="CA419" s="102">
        <f t="shared" si="2853"/>
        <v>0</v>
      </c>
      <c r="CB419" s="179">
        <f>ROUND((CG419+CH419/2)*HLOOKUP(CB322,Grund_zins,2,FALSE),2)</f>
        <v>0</v>
      </c>
      <c r="CD419" s="658" t="s">
        <v>296</v>
      </c>
      <c r="CG419" s="179">
        <f t="shared" ref="CG419:CH419" si="2856">SUMIF($D$5:$D$319,"=alz",CG5:CG319)</f>
        <v>0</v>
      </c>
      <c r="CH419" s="179">
        <f t="shared" si="2856"/>
        <v>0</v>
      </c>
      <c r="CL419" s="217"/>
      <c r="CR419" s="102">
        <f t="shared" si="2853"/>
        <v>0</v>
      </c>
      <c r="CS419" s="179">
        <f>ROUND((CX419+CY419/2)*HLOOKUP(CS322,Grund_zins,2,FALSE),2)</f>
        <v>0</v>
      </c>
      <c r="CU419" s="658" t="s">
        <v>296</v>
      </c>
      <c r="CX419" s="179">
        <f t="shared" ref="CX419:CY419" si="2857">SUMIF($D$5:$D$319,"=alz",CX5:CX319)</f>
        <v>0</v>
      </c>
      <c r="CY419" s="179">
        <f t="shared" si="2857"/>
        <v>0</v>
      </c>
      <c r="DC419" s="217"/>
      <c r="DI419" s="102">
        <f t="shared" ref="DI419:FH419" si="2858">SUM(DI420:DI422)</f>
        <v>0</v>
      </c>
      <c r="DJ419" s="179">
        <f>ROUND((DO419+DP419/2)*HLOOKUP(DJ322,Grund_zins,2,FALSE),2)</f>
        <v>0</v>
      </c>
      <c r="DL419" s="658" t="s">
        <v>296</v>
      </c>
      <c r="DO419" s="179">
        <f t="shared" ref="DO419:DP419" si="2859">SUMIF($D$5:$D$319,"=alz",DO5:DO319)</f>
        <v>0</v>
      </c>
      <c r="DP419" s="179">
        <f t="shared" si="2859"/>
        <v>0</v>
      </c>
      <c r="DT419" s="217"/>
      <c r="DZ419" s="102">
        <f t="shared" si="2858"/>
        <v>0</v>
      </c>
      <c r="EA419" s="179">
        <f>ROUND((EF419+EG419/2)*HLOOKUP(EA322,Grund_zins,2,FALSE),2)</f>
        <v>0</v>
      </c>
      <c r="EC419" s="658" t="s">
        <v>296</v>
      </c>
      <c r="EF419" s="179">
        <f t="shared" ref="EF419:EG419" si="2860">SUMIF($D$5:$D$319,"=alz",EF5:EF319)</f>
        <v>0</v>
      </c>
      <c r="EG419" s="179">
        <f t="shared" si="2860"/>
        <v>0</v>
      </c>
      <c r="EK419" s="217"/>
      <c r="EQ419" s="102">
        <f t="shared" si="2858"/>
        <v>0</v>
      </c>
      <c r="ER419" s="179">
        <f>ROUND((EW419+EX419/2)*HLOOKUP(ER322,Grund_zins,2,FALSE),2)</f>
        <v>0</v>
      </c>
      <c r="ET419" s="658" t="s">
        <v>296</v>
      </c>
      <c r="EW419" s="179">
        <f t="shared" ref="EW419:EX419" si="2861">SUMIF($D$5:$D$319,"=alz",EW5:EW319)</f>
        <v>0</v>
      </c>
      <c r="EX419" s="179">
        <f t="shared" si="2861"/>
        <v>0</v>
      </c>
      <c r="FB419" s="217"/>
      <c r="FH419" s="102">
        <f t="shared" si="2858"/>
        <v>0</v>
      </c>
      <c r="FI419" s="179">
        <f>ROUND((FN419+FO419/2)*HLOOKUP(FI322,Grund_zins,2,FALSE),2)</f>
        <v>0</v>
      </c>
      <c r="FK419" s="658" t="s">
        <v>296</v>
      </c>
      <c r="FN419" s="179">
        <f t="shared" ref="FN419:FO419" si="2862">SUMIF($D$5:$D$319,"=alz",FN5:FN319)</f>
        <v>0</v>
      </c>
      <c r="FO419" s="179">
        <f t="shared" si="2862"/>
        <v>0</v>
      </c>
      <c r="FS419" s="217"/>
    </row>
    <row r="420" spans="1:175" s="10" customFormat="1" ht="15" hidden="1" customHeight="1" x14ac:dyDescent="0.3">
      <c r="A420" s="656" t="s">
        <v>180</v>
      </c>
      <c r="V420" s="217">
        <v>99</v>
      </c>
      <c r="AB420" s="102">
        <f t="shared" ref="AB420" si="2863">IF(AC419&lt;&gt;0,AC420/AC419,0)</f>
        <v>0</v>
      </c>
      <c r="AC420" s="179">
        <f>ROUND((AH420+AI420/2)*HLOOKUP(AC322,Grund_zins,2,FALSE),2)</f>
        <v>0</v>
      </c>
      <c r="AE420" s="656" t="s">
        <v>180</v>
      </c>
      <c r="AH420" s="179">
        <f>SUMIF($D$5:$D$319,"=alz",AH5:AH319)*HLOOKUP(AC322,Verteil_sw,51,FALSE)</f>
        <v>0</v>
      </c>
      <c r="AI420" s="179">
        <f>SUMIF($D$5:$D$319,"=alz",AI5:AI319)*HLOOKUP(AC322,Verteil_sw,51,FALSE)</f>
        <v>0</v>
      </c>
      <c r="AM420" s="217"/>
      <c r="AS420" s="102">
        <f t="shared" ref="AS420" si="2864">IF(AT419&lt;&gt;0,AT420/AT419,0)</f>
        <v>0</v>
      </c>
      <c r="AT420" s="179">
        <f>ROUND((AY420+AZ420/2)*HLOOKUP(AT322,Grund_zins,2,FALSE),2)</f>
        <v>0</v>
      </c>
      <c r="AV420" s="659" t="s">
        <v>180</v>
      </c>
      <c r="AY420" s="179">
        <f>SUMIF($D$5:$D$319,"=alz",AY5:AY319)*HLOOKUP(AT322,Verteil_sw,51,FALSE)</f>
        <v>0</v>
      </c>
      <c r="AZ420" s="179">
        <f>SUMIF($D$5:$D$319,"=alz",AZ5:AZ319)*HLOOKUP(AT322,Verteil_sw,51,FALSE)</f>
        <v>0</v>
      </c>
      <c r="BD420" s="217"/>
      <c r="BJ420" s="102">
        <f t="shared" ref="BJ420" si="2865">IF(BK419&lt;&gt;0,BK420/BK419,0)</f>
        <v>0</v>
      </c>
      <c r="BK420" s="179">
        <f>ROUND((BP420+BQ420/2)*HLOOKUP(BK322,Grund_zins,2,FALSE),2)</f>
        <v>0</v>
      </c>
      <c r="BM420" s="659" t="s">
        <v>180</v>
      </c>
      <c r="BP420" s="179">
        <f>SUMIF($D$5:$D$319,"=alz",BP5:BP319)*HLOOKUP(BK322,Verteil_sw,51,FALSE)</f>
        <v>0</v>
      </c>
      <c r="BQ420" s="179">
        <f>SUMIF($D$5:$D$319,"=alz",BQ5:BQ319)*HLOOKUP(BK322,Verteil_sw,51,FALSE)</f>
        <v>0</v>
      </c>
      <c r="BU420" s="217"/>
      <c r="CA420" s="102">
        <f t="shared" ref="CA420" si="2866">IF(CB419&lt;&gt;0,CB420/CB419,0)</f>
        <v>0</v>
      </c>
      <c r="CB420" s="179">
        <f>ROUND((CG420+CH420/2)*HLOOKUP(CB322,Grund_zins,2,FALSE),2)</f>
        <v>0</v>
      </c>
      <c r="CD420" s="659" t="s">
        <v>180</v>
      </c>
      <c r="CG420" s="179">
        <f>SUMIF($D$5:$D$319,"=alz",CG5:CG319)*HLOOKUP(CB322,Verteil_sw,51,FALSE)</f>
        <v>0</v>
      </c>
      <c r="CH420" s="179">
        <f>SUMIF($D$5:$D$319,"=alz",CH5:CH319)*HLOOKUP(CB322,Verteil_sw,51,FALSE)</f>
        <v>0</v>
      </c>
      <c r="CL420" s="217"/>
      <c r="CR420" s="102">
        <f t="shared" ref="CR420" si="2867">IF(CS419&lt;&gt;0,CS420/CS419,0)</f>
        <v>0</v>
      </c>
      <c r="CS420" s="179">
        <f>ROUND((CX420+CY420/2)*HLOOKUP(CS322,Grund_zins,2,FALSE),2)</f>
        <v>0</v>
      </c>
      <c r="CU420" s="659" t="s">
        <v>180</v>
      </c>
      <c r="CX420" s="179">
        <f>SUMIF($D$5:$D$319,"=alz",CX5:CX319)*HLOOKUP(CS322,Verteil_sw,51,FALSE)</f>
        <v>0</v>
      </c>
      <c r="CY420" s="179">
        <f>SUMIF($D$5:$D$319,"=alz",CY5:CY319)*HLOOKUP(CS322,Verteil_sw,51,FALSE)</f>
        <v>0</v>
      </c>
      <c r="DC420" s="217"/>
      <c r="DI420" s="102">
        <f t="shared" ref="DI420" si="2868">IF(DJ419&lt;&gt;0,DJ420/DJ419,0)</f>
        <v>0</v>
      </c>
      <c r="DJ420" s="179">
        <f>ROUND((DO420+DP420/2)*HLOOKUP(DJ322,Grund_zins,2,FALSE),2)</f>
        <v>0</v>
      </c>
      <c r="DL420" s="659" t="s">
        <v>180</v>
      </c>
      <c r="DO420" s="179">
        <f>SUMIF($D$5:$D$319,"=alz",DO5:DO319)*HLOOKUP(DJ322,Verteil_sw,51,FALSE)</f>
        <v>0</v>
      </c>
      <c r="DP420" s="179">
        <f>SUMIF($D$5:$D$319,"=alz",DP5:DP319)*HLOOKUP(DJ322,Verteil_sw,51,FALSE)</f>
        <v>0</v>
      </c>
      <c r="DT420" s="217"/>
      <c r="DZ420" s="102">
        <f t="shared" ref="DZ420" si="2869">IF(EA419&lt;&gt;0,EA420/EA419,0)</f>
        <v>0</v>
      </c>
      <c r="EA420" s="179">
        <f>ROUND((EF420+EG420/2)*HLOOKUP(EA322,Grund_zins,2,FALSE),2)</f>
        <v>0</v>
      </c>
      <c r="EC420" s="659" t="s">
        <v>180</v>
      </c>
      <c r="EF420" s="179">
        <f>SUMIF($D$5:$D$319,"=alz",EF5:EF319)*HLOOKUP(EA322,Verteil_sw,51,FALSE)</f>
        <v>0</v>
      </c>
      <c r="EG420" s="179">
        <f>SUMIF($D$5:$D$319,"=alz",EG5:EG319)*HLOOKUP(EA322,Verteil_sw,51,FALSE)</f>
        <v>0</v>
      </c>
      <c r="EK420" s="217"/>
      <c r="EQ420" s="102">
        <f t="shared" ref="EQ420" si="2870">IF(ER419&lt;&gt;0,ER420/ER419,0)</f>
        <v>0</v>
      </c>
      <c r="ER420" s="179">
        <f>ROUND((EW420+EX420/2)*HLOOKUP(ER322,Grund_zins,2,FALSE),2)</f>
        <v>0</v>
      </c>
      <c r="ET420" s="659" t="s">
        <v>180</v>
      </c>
      <c r="EW420" s="179">
        <f>SUMIF($D$5:$D$319,"=alz",EW5:EW319)*HLOOKUP(ER322,Verteil_sw,51,FALSE)</f>
        <v>0</v>
      </c>
      <c r="EX420" s="179">
        <f>SUMIF($D$5:$D$319,"=alz",EX5:EX319)*HLOOKUP(ER322,Verteil_sw,51,FALSE)</f>
        <v>0</v>
      </c>
      <c r="FB420" s="217"/>
      <c r="FH420" s="102">
        <f t="shared" ref="FH420" si="2871">IF(FI419&lt;&gt;0,FI420/FI419,0)</f>
        <v>0</v>
      </c>
      <c r="FI420" s="179">
        <f>ROUND((FN420+FO420/2)*HLOOKUP(FI322,Grund_zins,2,FALSE),2)</f>
        <v>0</v>
      </c>
      <c r="FK420" s="659" t="s">
        <v>180</v>
      </c>
      <c r="FN420" s="179">
        <f>SUMIF($D$5:$D$319,"=alz",FN5:FN319)*HLOOKUP(FI322,Verteil_sw,51,FALSE)</f>
        <v>0</v>
      </c>
      <c r="FO420" s="179">
        <f>SUMIF($D$5:$D$319,"=alz",FO5:FO319)*HLOOKUP(FI322,Verteil_sw,51,FALSE)</f>
        <v>0</v>
      </c>
      <c r="FS420" s="217"/>
    </row>
    <row r="421" spans="1:175" s="10" customFormat="1" ht="15" hidden="1" customHeight="1" x14ac:dyDescent="0.3">
      <c r="A421" s="656" t="s">
        <v>181</v>
      </c>
      <c r="V421" s="217">
        <v>100</v>
      </c>
      <c r="AB421" s="102">
        <f t="shared" ref="AB421" si="2872">IF(AC419&lt;&gt;0,AC421/AC419,0)</f>
        <v>0</v>
      </c>
      <c r="AC421" s="179">
        <f>ROUND((AH421+AI421/2)*HLOOKUP(AC322,Grund_zins,2,FALSE),2)</f>
        <v>0</v>
      </c>
      <c r="AE421" s="656" t="s">
        <v>181</v>
      </c>
      <c r="AH421" s="179">
        <f>SUMIF($D$5:$D$319,"=alz",AH5:AH319)*HLOOKUP(AC322,Verteil_rwgr,50,FALSE)</f>
        <v>0</v>
      </c>
      <c r="AI421" s="179">
        <f>SUMIF($D$5:$D$319,"=alz",AI5:AI319)*HLOOKUP(AC322,Verteil_rwgr,50,FALSE)</f>
        <v>0</v>
      </c>
      <c r="AM421" s="217"/>
      <c r="AS421" s="102">
        <f t="shared" ref="AS421" si="2873">IF(AT419&lt;&gt;0,AT421/AT419,0)</f>
        <v>0</v>
      </c>
      <c r="AT421" s="179">
        <f>ROUND((AY421+AZ421/2)*HLOOKUP(AT322,Grund_zins,2,FALSE),2)</f>
        <v>0</v>
      </c>
      <c r="AV421" s="659" t="s">
        <v>181</v>
      </c>
      <c r="AY421" s="179">
        <f>SUMIF($D$5:$D$319,"=alz",AY5:AY319)*HLOOKUP(AT322,Verteil_rwgr,50,FALSE)</f>
        <v>0</v>
      </c>
      <c r="AZ421" s="179">
        <f>SUMIF($D$5:$D$319,"=alz",AZ5:AZ319)*HLOOKUP(AT322,Verteil_rwgr,50,FALSE)</f>
        <v>0</v>
      </c>
      <c r="BD421" s="217"/>
      <c r="BJ421" s="102">
        <f t="shared" ref="BJ421" si="2874">IF(BK419&lt;&gt;0,BK421/BK419,0)</f>
        <v>0</v>
      </c>
      <c r="BK421" s="179">
        <f>ROUND((BP421+BQ421/2)*HLOOKUP(BK322,Grund_zins,2,FALSE),2)</f>
        <v>0</v>
      </c>
      <c r="BM421" s="659" t="s">
        <v>181</v>
      </c>
      <c r="BP421" s="179">
        <f>SUMIF($D$5:$D$319,"=alz",BP5:BP319)*HLOOKUP(BK322,Verteil_rwgr,50,FALSE)</f>
        <v>0</v>
      </c>
      <c r="BQ421" s="179">
        <f>SUMIF($D$5:$D$319,"=alz",BQ5:BQ319)*HLOOKUP(BK322,Verteil_rwgr,50,FALSE)</f>
        <v>0</v>
      </c>
      <c r="BU421" s="217"/>
      <c r="CA421" s="102">
        <f t="shared" ref="CA421" si="2875">IF(CB419&lt;&gt;0,CB421/CB419,0)</f>
        <v>0</v>
      </c>
      <c r="CB421" s="179">
        <f>ROUND((CG421+CH421/2)*HLOOKUP(CB322,Grund_zins,2,FALSE),2)</f>
        <v>0</v>
      </c>
      <c r="CD421" s="659" t="s">
        <v>181</v>
      </c>
      <c r="CG421" s="179">
        <f>SUMIF($D$5:$D$319,"=alz",CG5:CG319)*HLOOKUP(CB322,Verteil_rwgr,50,FALSE)</f>
        <v>0</v>
      </c>
      <c r="CH421" s="179">
        <f>SUMIF($D$5:$D$319,"=alz",CH5:CH319)*HLOOKUP(CB322,Verteil_rwgr,50,FALSE)</f>
        <v>0</v>
      </c>
      <c r="CL421" s="217"/>
      <c r="CR421" s="102">
        <f t="shared" ref="CR421" si="2876">IF(CS419&lt;&gt;0,CS421/CS419,0)</f>
        <v>0</v>
      </c>
      <c r="CS421" s="179">
        <f>ROUND((CX421+CY421/2)*HLOOKUP(CS322,Grund_zins,2,FALSE),2)</f>
        <v>0</v>
      </c>
      <c r="CU421" s="659" t="s">
        <v>181</v>
      </c>
      <c r="CX421" s="179">
        <f>SUMIF($D$5:$D$319,"=alz",CX5:CX319)*HLOOKUP(CS322,Verteil_rwgr,50,FALSE)</f>
        <v>0</v>
      </c>
      <c r="CY421" s="179">
        <f>SUMIF($D$5:$D$319,"=alz",CY5:CY319)*HLOOKUP(CS322,Verteil_rwgr,50,FALSE)</f>
        <v>0</v>
      </c>
      <c r="DC421" s="217"/>
      <c r="DI421" s="102">
        <f t="shared" ref="DI421" si="2877">IF(DJ419&lt;&gt;0,DJ421/DJ419,0)</f>
        <v>0</v>
      </c>
      <c r="DJ421" s="179">
        <f>ROUND((DO421+DP421/2)*HLOOKUP(DJ322,Grund_zins,2,FALSE),2)</f>
        <v>0</v>
      </c>
      <c r="DL421" s="659" t="s">
        <v>181</v>
      </c>
      <c r="DO421" s="179">
        <f>SUMIF($D$5:$D$319,"=alz",DO5:DO319)*HLOOKUP(DJ322,Verteil_rwgr,50,FALSE)</f>
        <v>0</v>
      </c>
      <c r="DP421" s="179">
        <f>SUMIF($D$5:$D$319,"=alz",DP5:DP319)*HLOOKUP(DJ322,Verteil_rwgr,50,FALSE)</f>
        <v>0</v>
      </c>
      <c r="DT421" s="217"/>
      <c r="DZ421" s="102">
        <f t="shared" ref="DZ421" si="2878">IF(EA419&lt;&gt;0,EA421/EA419,0)</f>
        <v>0</v>
      </c>
      <c r="EA421" s="179">
        <f>ROUND((EF421+EG421/2)*HLOOKUP(EA322,Grund_zins,2,FALSE),2)</f>
        <v>0</v>
      </c>
      <c r="EC421" s="659" t="s">
        <v>181</v>
      </c>
      <c r="EF421" s="179">
        <f>SUMIF($D$5:$D$319,"=alz",EF5:EF319)*HLOOKUP(EA322,Verteil_rwgr,50,FALSE)</f>
        <v>0</v>
      </c>
      <c r="EG421" s="179">
        <f>SUMIF($D$5:$D$319,"=alz",EG5:EG319)*HLOOKUP(EA322,Verteil_rwgr,50,FALSE)</f>
        <v>0</v>
      </c>
      <c r="EK421" s="217"/>
      <c r="EQ421" s="102">
        <f t="shared" ref="EQ421" si="2879">IF(ER419&lt;&gt;0,ER421/ER419,0)</f>
        <v>0</v>
      </c>
      <c r="ER421" s="179">
        <f>ROUND((EW421+EX421/2)*HLOOKUP(ER322,Grund_zins,2,FALSE),2)</f>
        <v>0</v>
      </c>
      <c r="ET421" s="659" t="s">
        <v>181</v>
      </c>
      <c r="EW421" s="179">
        <f>SUMIF($D$5:$D$319,"=alz",EW5:EW319)*HLOOKUP(ER322,Verteil_rwgr,50,FALSE)</f>
        <v>0</v>
      </c>
      <c r="EX421" s="179">
        <f>SUMIF($D$5:$D$319,"=alz",EX5:EX319)*HLOOKUP(ER322,Verteil_rwgr,50,FALSE)</f>
        <v>0</v>
      </c>
      <c r="FB421" s="217"/>
      <c r="FH421" s="102">
        <f t="shared" ref="FH421" si="2880">IF(FI419&lt;&gt;0,FI421/FI419,0)</f>
        <v>0</v>
      </c>
      <c r="FI421" s="179">
        <f>ROUND((FN421+FO421/2)*HLOOKUP(FI322,Grund_zins,2,FALSE),2)</f>
        <v>0</v>
      </c>
      <c r="FK421" s="659" t="s">
        <v>181</v>
      </c>
      <c r="FN421" s="179">
        <f>SUMIF($D$5:$D$319,"=alz",FN5:FN319)*HLOOKUP(FI322,Verteil_rwgr,50,FALSE)</f>
        <v>0</v>
      </c>
      <c r="FO421" s="179">
        <f>SUMIF($D$5:$D$319,"=alz",FO5:FO319)*HLOOKUP(FI322,Verteil_rwgr,50,FALSE)</f>
        <v>0</v>
      </c>
      <c r="FS421" s="217"/>
    </row>
    <row r="422" spans="1:175" s="10" customFormat="1" ht="15" hidden="1" customHeight="1" x14ac:dyDescent="0.3">
      <c r="A422" s="656" t="s">
        <v>182</v>
      </c>
      <c r="V422" s="217">
        <v>101</v>
      </c>
      <c r="AB422" s="102">
        <f t="shared" ref="AB422" si="2881">IF(AC419&lt;&gt;0,AC422/AC419,0)</f>
        <v>0</v>
      </c>
      <c r="AC422" s="179">
        <f>ROUND((AH422+AI422/2)*HLOOKUP(AC322,Grund_zins,2,FALSE),2)</f>
        <v>0</v>
      </c>
      <c r="AE422" s="656" t="s">
        <v>182</v>
      </c>
      <c r="AH422" s="179">
        <f>SUMIF($D$5:$D$319,"=alz",AH5:AH319)*HLOOKUP(AC322,Verteil_rwst,49,FALSE)</f>
        <v>0</v>
      </c>
      <c r="AI422" s="179">
        <f>SUMIF($D$5:$D$319,"=alz",AI5:AI319)*HLOOKUP(AC322,Verteil_rwst,49,FALSE)</f>
        <v>0</v>
      </c>
      <c r="AM422" s="217"/>
      <c r="AS422" s="102">
        <f t="shared" ref="AS422" si="2882">IF(AT419&lt;&gt;0,AT422/AT419,0)</f>
        <v>0</v>
      </c>
      <c r="AT422" s="179">
        <f>ROUND((AY422+AZ422/2)*HLOOKUP(AT322,Grund_zins,2,FALSE),2)</f>
        <v>0</v>
      </c>
      <c r="AV422" s="659" t="s">
        <v>182</v>
      </c>
      <c r="AY422" s="179">
        <f>SUMIF($D$5:$D$319,"=alz",AY5:AY319)*HLOOKUP(AT322,Verteil_rwst,49,FALSE)</f>
        <v>0</v>
      </c>
      <c r="AZ422" s="179">
        <f>SUMIF($D$5:$D$319,"=alz",AZ5:AZ319)*HLOOKUP(AT322,Verteil_rwst,49,FALSE)</f>
        <v>0</v>
      </c>
      <c r="BD422" s="217"/>
      <c r="BJ422" s="102">
        <f t="shared" ref="BJ422" si="2883">IF(BK419&lt;&gt;0,BK422/BK419,0)</f>
        <v>0</v>
      </c>
      <c r="BK422" s="179">
        <f>ROUND((BP422+BQ422/2)*HLOOKUP(BK322,Grund_zins,2,FALSE),2)</f>
        <v>0</v>
      </c>
      <c r="BM422" s="659" t="s">
        <v>182</v>
      </c>
      <c r="BP422" s="179">
        <f>SUMIF($D$5:$D$319,"=alz",BP5:BP319)*HLOOKUP(BK322,Verteil_rwst,49,FALSE)</f>
        <v>0</v>
      </c>
      <c r="BQ422" s="179">
        <f>SUMIF($D$5:$D$319,"=alz",BQ5:BQ319)*HLOOKUP(BK322,Verteil_rwst,49,FALSE)</f>
        <v>0</v>
      </c>
      <c r="BU422" s="217"/>
      <c r="CA422" s="102">
        <f t="shared" ref="CA422" si="2884">IF(CB419&lt;&gt;0,CB422/CB419,0)</f>
        <v>0</v>
      </c>
      <c r="CB422" s="179">
        <f>ROUND((CG422+CH422/2)*HLOOKUP(CB322,Grund_zins,2,FALSE),2)</f>
        <v>0</v>
      </c>
      <c r="CD422" s="659" t="s">
        <v>182</v>
      </c>
      <c r="CG422" s="179">
        <f>SUMIF($D$5:$D$319,"=alz",CG5:CG319)*HLOOKUP(CB322,Verteil_rwst,49,FALSE)</f>
        <v>0</v>
      </c>
      <c r="CH422" s="179">
        <f>SUMIF($D$5:$D$319,"=alz",CH5:CH319)*HLOOKUP(CB322,Verteil_rwst,49,FALSE)</f>
        <v>0</v>
      </c>
      <c r="CL422" s="217"/>
      <c r="CR422" s="102">
        <f t="shared" ref="CR422" si="2885">IF(CS419&lt;&gt;0,CS422/CS419,0)</f>
        <v>0</v>
      </c>
      <c r="CS422" s="179">
        <f>ROUND((CX422+CY422/2)*HLOOKUP(CS322,Grund_zins,2,FALSE),2)</f>
        <v>0</v>
      </c>
      <c r="CU422" s="659" t="s">
        <v>182</v>
      </c>
      <c r="CX422" s="179">
        <f>SUMIF($D$5:$D$319,"=alz",CX5:CX319)*HLOOKUP(CS322,Verteil_rwst,49,FALSE)</f>
        <v>0</v>
      </c>
      <c r="CY422" s="179">
        <f>SUMIF($D$5:$D$319,"=alz",CY5:CY319)*HLOOKUP(CS322,Verteil_rwst,49,FALSE)</f>
        <v>0</v>
      </c>
      <c r="DC422" s="217"/>
      <c r="DI422" s="102">
        <f t="shared" ref="DI422" si="2886">IF(DJ419&lt;&gt;0,DJ422/DJ419,0)</f>
        <v>0</v>
      </c>
      <c r="DJ422" s="179">
        <f>ROUND((DO422+DP422/2)*HLOOKUP(DJ322,Grund_zins,2,FALSE),2)</f>
        <v>0</v>
      </c>
      <c r="DL422" s="659" t="s">
        <v>182</v>
      </c>
      <c r="DO422" s="179">
        <f>SUMIF($D$5:$D$319,"=alz",DO5:DO319)*HLOOKUP(DJ322,Verteil_rwst,49,FALSE)</f>
        <v>0</v>
      </c>
      <c r="DP422" s="179">
        <f>SUMIF($D$5:$D$319,"=alz",DP5:DP319)*HLOOKUP(DJ322,Verteil_rwst,49,FALSE)</f>
        <v>0</v>
      </c>
      <c r="DT422" s="217"/>
      <c r="DZ422" s="102">
        <f t="shared" ref="DZ422" si="2887">IF(EA419&lt;&gt;0,EA422/EA419,0)</f>
        <v>0</v>
      </c>
      <c r="EA422" s="179">
        <f>ROUND((EF422+EG422/2)*HLOOKUP(EA322,Grund_zins,2,FALSE),2)</f>
        <v>0</v>
      </c>
      <c r="EC422" s="659" t="s">
        <v>182</v>
      </c>
      <c r="EF422" s="179">
        <f>SUMIF($D$5:$D$319,"=alz",EF5:EF319)*HLOOKUP(EA322,Verteil_rwst,49,FALSE)</f>
        <v>0</v>
      </c>
      <c r="EG422" s="179">
        <f>SUMIF($D$5:$D$319,"=alz",EG5:EG319)*HLOOKUP(EA322,Verteil_rwst,49,FALSE)</f>
        <v>0</v>
      </c>
      <c r="EK422" s="217"/>
      <c r="EQ422" s="102">
        <f t="shared" ref="EQ422" si="2888">IF(ER419&lt;&gt;0,ER422/ER419,0)</f>
        <v>0</v>
      </c>
      <c r="ER422" s="179">
        <f>ROUND((EW422+EX422/2)*HLOOKUP(ER322,Grund_zins,2,FALSE),2)</f>
        <v>0</v>
      </c>
      <c r="ET422" s="659" t="s">
        <v>182</v>
      </c>
      <c r="EW422" s="179">
        <f>SUMIF($D$5:$D$319,"=alz",EW5:EW319)*HLOOKUP(ER322,Verteil_rwst,49,FALSE)</f>
        <v>0</v>
      </c>
      <c r="EX422" s="179">
        <f>SUMIF($D$5:$D$319,"=alz",EX5:EX319)*HLOOKUP(ER322,Verteil_rwst,49,FALSE)</f>
        <v>0</v>
      </c>
      <c r="FB422" s="217"/>
      <c r="FH422" s="102">
        <f t="shared" ref="FH422" si="2889">IF(FI419&lt;&gt;0,FI422/FI419,0)</f>
        <v>0</v>
      </c>
      <c r="FI422" s="179">
        <f>ROUND((FN422+FO422/2)*HLOOKUP(FI322,Grund_zins,2,FALSE),2)</f>
        <v>0</v>
      </c>
      <c r="FK422" s="659" t="s">
        <v>182</v>
      </c>
      <c r="FN422" s="179">
        <f>SUMIF($D$5:$D$319,"=alz",FN5:FN319)*HLOOKUP(FI322,Verteil_rwst,49,FALSE)</f>
        <v>0</v>
      </c>
      <c r="FO422" s="179">
        <f>SUMIF($D$5:$D$319,"=alz",FO5:FO319)*HLOOKUP(FI322,Verteil_rwst,49,FALSE)</f>
        <v>0</v>
      </c>
      <c r="FS422" s="217"/>
    </row>
    <row r="423" spans="1:175" s="10" customFormat="1" ht="15" hidden="1" customHeight="1" x14ac:dyDescent="0.3">
      <c r="A423" s="664" t="s">
        <v>297</v>
      </c>
      <c r="V423" s="217">
        <v>102</v>
      </c>
      <c r="AB423" s="102">
        <f t="shared" ref="AB423" si="2890">SUM(AB424:AB426)</f>
        <v>0</v>
      </c>
      <c r="AC423" s="65">
        <f>ROUND(AC399+AC403+AC407+AC411+AC415+AC419,2)</f>
        <v>0</v>
      </c>
      <c r="AE423" s="664" t="s">
        <v>297</v>
      </c>
      <c r="AH423" s="179">
        <f>ROUND(AH399+AH403+AH407+AH411+AH415+AH419,2)</f>
        <v>0</v>
      </c>
      <c r="AI423" s="179">
        <f>ROUND(AI399+AI403+AI407+AI411+AI415+AI419,2)</f>
        <v>0</v>
      </c>
      <c r="AM423" s="217"/>
      <c r="AS423" s="102">
        <f t="shared" ref="AS423:CR423" si="2891">SUM(AS424:AS426)</f>
        <v>0</v>
      </c>
      <c r="AT423" s="65">
        <f t="shared" ref="AT423" si="2892">ROUND(AT399+AT403+AT407+AT411+AT415+AT419,2)</f>
        <v>0</v>
      </c>
      <c r="AV423" s="664" t="s">
        <v>297</v>
      </c>
      <c r="AY423" s="179">
        <f t="shared" ref="AY423:AZ423" si="2893">ROUND(AY399+AY403+AY407+AY411+AY415+AY419,2)</f>
        <v>0</v>
      </c>
      <c r="AZ423" s="179">
        <f t="shared" si="2893"/>
        <v>0</v>
      </c>
      <c r="BD423" s="217"/>
      <c r="BJ423" s="102">
        <f t="shared" si="2891"/>
        <v>0</v>
      </c>
      <c r="BK423" s="65">
        <f t="shared" ref="BK423" si="2894">ROUND(BK399+BK403+BK407+BK411+BK415+BK419,2)</f>
        <v>0</v>
      </c>
      <c r="BM423" s="664" t="s">
        <v>297</v>
      </c>
      <c r="BP423" s="179">
        <f t="shared" ref="BP423:BQ423" si="2895">ROUND(BP399+BP403+BP407+BP411+BP415+BP419,2)</f>
        <v>0</v>
      </c>
      <c r="BQ423" s="179">
        <f t="shared" si="2895"/>
        <v>0</v>
      </c>
      <c r="BU423" s="217"/>
      <c r="CA423" s="102">
        <f t="shared" si="2891"/>
        <v>0</v>
      </c>
      <c r="CB423" s="65">
        <f t="shared" ref="CB423" si="2896">ROUND(CB399+CB403+CB407+CB411+CB415+CB419,2)</f>
        <v>0</v>
      </c>
      <c r="CD423" s="664" t="s">
        <v>297</v>
      </c>
      <c r="CG423" s="179">
        <f t="shared" ref="CG423:CH423" si="2897">ROUND(CG399+CG403+CG407+CG411+CG415+CG419,2)</f>
        <v>0</v>
      </c>
      <c r="CH423" s="179">
        <f t="shared" si="2897"/>
        <v>0</v>
      </c>
      <c r="CL423" s="217"/>
      <c r="CR423" s="102">
        <f t="shared" si="2891"/>
        <v>0</v>
      </c>
      <c r="CS423" s="65">
        <f t="shared" ref="CS423" si="2898">ROUND(CS399+CS403+CS407+CS411+CS415+CS419,2)</f>
        <v>0</v>
      </c>
      <c r="CU423" s="664" t="s">
        <v>297</v>
      </c>
      <c r="CX423" s="179">
        <f t="shared" ref="CX423:CY423" si="2899">ROUND(CX399+CX403+CX407+CX411+CX415+CX419,2)</f>
        <v>0</v>
      </c>
      <c r="CY423" s="179">
        <f t="shared" si="2899"/>
        <v>0</v>
      </c>
      <c r="DC423" s="217"/>
      <c r="DI423" s="102">
        <f t="shared" ref="DI423:FH423" si="2900">SUM(DI424:DI426)</f>
        <v>0</v>
      </c>
      <c r="DJ423" s="65">
        <f t="shared" ref="DJ423" si="2901">ROUND(DJ399+DJ403+DJ407+DJ411+DJ415+DJ419,2)</f>
        <v>0</v>
      </c>
      <c r="DL423" s="664" t="s">
        <v>297</v>
      </c>
      <c r="DO423" s="179">
        <f t="shared" ref="DO423:DP423" si="2902">ROUND(DO399+DO403+DO407+DO411+DO415+DO419,2)</f>
        <v>0</v>
      </c>
      <c r="DP423" s="179">
        <f t="shared" si="2902"/>
        <v>0</v>
      </c>
      <c r="DT423" s="217"/>
      <c r="DZ423" s="102">
        <f t="shared" si="2900"/>
        <v>0</v>
      </c>
      <c r="EA423" s="65">
        <f t="shared" ref="EA423" si="2903">ROUND(EA399+EA403+EA407+EA411+EA415+EA419,2)</f>
        <v>0</v>
      </c>
      <c r="EC423" s="664" t="s">
        <v>297</v>
      </c>
      <c r="EF423" s="179">
        <f t="shared" ref="EF423:EG423" si="2904">ROUND(EF399+EF403+EF407+EF411+EF415+EF419,2)</f>
        <v>0</v>
      </c>
      <c r="EG423" s="179">
        <f t="shared" si="2904"/>
        <v>0</v>
      </c>
      <c r="EK423" s="217"/>
      <c r="EQ423" s="102">
        <f t="shared" si="2900"/>
        <v>0</v>
      </c>
      <c r="ER423" s="65">
        <f t="shared" ref="ER423" si="2905">ROUND(ER399+ER403+ER407+ER411+ER415+ER419,2)</f>
        <v>0</v>
      </c>
      <c r="ET423" s="664" t="s">
        <v>297</v>
      </c>
      <c r="EW423" s="179">
        <f t="shared" ref="EW423:EX423" si="2906">ROUND(EW399+EW403+EW407+EW411+EW415+EW419,2)</f>
        <v>0</v>
      </c>
      <c r="EX423" s="179">
        <f t="shared" si="2906"/>
        <v>0</v>
      </c>
      <c r="FB423" s="217"/>
      <c r="FH423" s="102">
        <f t="shared" si="2900"/>
        <v>0</v>
      </c>
      <c r="FI423" s="65">
        <f t="shared" ref="FI423" si="2907">ROUND(FI399+FI403+FI407+FI411+FI415+FI419,2)</f>
        <v>0</v>
      </c>
      <c r="FK423" s="664" t="s">
        <v>297</v>
      </c>
      <c r="FN423" s="179">
        <f t="shared" ref="FN423:FO423" si="2908">ROUND(FN399+FN403+FN407+FN411+FN415+FN419,2)</f>
        <v>0</v>
      </c>
      <c r="FO423" s="179">
        <f t="shared" si="2908"/>
        <v>0</v>
      </c>
      <c r="FS423" s="217"/>
    </row>
    <row r="424" spans="1:175" s="10" customFormat="1" ht="15" hidden="1" customHeight="1" x14ac:dyDescent="0.3">
      <c r="A424" s="665" t="s">
        <v>180</v>
      </c>
      <c r="V424" s="217">
        <v>103</v>
      </c>
      <c r="AB424" s="102">
        <f t="shared" ref="AB424" si="2909">IF(AC423&lt;&gt;0,AC424/AC423,0)</f>
        <v>0</v>
      </c>
      <c r="AC424" s="65">
        <f>ROUND(AC400+AC404+AC408+AC412+AC416+AC420,2)</f>
        <v>0</v>
      </c>
      <c r="AE424" s="665" t="s">
        <v>180</v>
      </c>
      <c r="AH424" s="179">
        <f t="shared" ref="AH424:AI426" si="2910">ROUND(AH400+AH404+AH408+AH412+AH416+AH420,2)</f>
        <v>0</v>
      </c>
      <c r="AI424" s="179">
        <f t="shared" si="2910"/>
        <v>0</v>
      </c>
      <c r="AM424" s="217"/>
      <c r="AS424" s="102">
        <f t="shared" ref="AS424" si="2911">IF(AT423&lt;&gt;0,AT424/AT423,0)</f>
        <v>0</v>
      </c>
      <c r="AT424" s="65">
        <f t="shared" ref="AT424" si="2912">ROUND(AT400+AT404+AT408+AT412+AT416+AT420,2)</f>
        <v>0</v>
      </c>
      <c r="AV424" s="665" t="s">
        <v>180</v>
      </c>
      <c r="AY424" s="179">
        <f t="shared" ref="AY424:AZ424" si="2913">ROUND(AY400+AY404+AY408+AY412+AY416+AY420,2)</f>
        <v>0</v>
      </c>
      <c r="AZ424" s="179">
        <f t="shared" si="2913"/>
        <v>0</v>
      </c>
      <c r="BD424" s="217"/>
      <c r="BJ424" s="102">
        <f t="shared" ref="BJ424" si="2914">IF(BK423&lt;&gt;0,BK424/BK423,0)</f>
        <v>0</v>
      </c>
      <c r="BK424" s="65">
        <f t="shared" ref="BK424" si="2915">ROUND(BK400+BK404+BK408+BK412+BK416+BK420,2)</f>
        <v>0</v>
      </c>
      <c r="BM424" s="665" t="s">
        <v>180</v>
      </c>
      <c r="BP424" s="179">
        <f t="shared" ref="BP424:BQ424" si="2916">ROUND(BP400+BP404+BP408+BP412+BP416+BP420,2)</f>
        <v>0</v>
      </c>
      <c r="BQ424" s="179">
        <f t="shared" si="2916"/>
        <v>0</v>
      </c>
      <c r="BU424" s="217"/>
      <c r="CA424" s="102">
        <f t="shared" ref="CA424" si="2917">IF(CB423&lt;&gt;0,CB424/CB423,0)</f>
        <v>0</v>
      </c>
      <c r="CB424" s="65">
        <f t="shared" ref="CB424" si="2918">ROUND(CB400+CB404+CB408+CB412+CB416+CB420,2)</f>
        <v>0</v>
      </c>
      <c r="CD424" s="665" t="s">
        <v>180</v>
      </c>
      <c r="CG424" s="179">
        <f t="shared" ref="CG424:CH424" si="2919">ROUND(CG400+CG404+CG408+CG412+CG416+CG420,2)</f>
        <v>0</v>
      </c>
      <c r="CH424" s="179">
        <f t="shared" si="2919"/>
        <v>0</v>
      </c>
      <c r="CL424" s="217"/>
      <c r="CR424" s="102">
        <f t="shared" ref="CR424" si="2920">IF(CS423&lt;&gt;0,CS424/CS423,0)</f>
        <v>0</v>
      </c>
      <c r="CS424" s="65">
        <f t="shared" ref="CS424" si="2921">ROUND(CS400+CS404+CS408+CS412+CS416+CS420,2)</f>
        <v>0</v>
      </c>
      <c r="CU424" s="665" t="s">
        <v>180</v>
      </c>
      <c r="CX424" s="179">
        <f t="shared" ref="CX424:CY424" si="2922">ROUND(CX400+CX404+CX408+CX412+CX416+CX420,2)</f>
        <v>0</v>
      </c>
      <c r="CY424" s="179">
        <f t="shared" si="2922"/>
        <v>0</v>
      </c>
      <c r="DC424" s="217"/>
      <c r="DI424" s="102">
        <f t="shared" ref="DI424" si="2923">IF(DJ423&lt;&gt;0,DJ424/DJ423,0)</f>
        <v>0</v>
      </c>
      <c r="DJ424" s="65">
        <f t="shared" ref="DJ424" si="2924">ROUND(DJ400+DJ404+DJ408+DJ412+DJ416+DJ420,2)</f>
        <v>0</v>
      </c>
      <c r="DL424" s="665" t="s">
        <v>180</v>
      </c>
      <c r="DO424" s="179">
        <f t="shared" ref="DO424:DP424" si="2925">ROUND(DO400+DO404+DO408+DO412+DO416+DO420,2)</f>
        <v>0</v>
      </c>
      <c r="DP424" s="179">
        <f t="shared" si="2925"/>
        <v>0</v>
      </c>
      <c r="DT424" s="217"/>
      <c r="DZ424" s="102">
        <f t="shared" ref="DZ424" si="2926">IF(EA423&lt;&gt;0,EA424/EA423,0)</f>
        <v>0</v>
      </c>
      <c r="EA424" s="65">
        <f t="shared" ref="EA424" si="2927">ROUND(EA400+EA404+EA408+EA412+EA416+EA420,2)</f>
        <v>0</v>
      </c>
      <c r="EC424" s="665" t="s">
        <v>180</v>
      </c>
      <c r="EF424" s="179">
        <f t="shared" ref="EF424:EG424" si="2928">ROUND(EF400+EF404+EF408+EF412+EF416+EF420,2)</f>
        <v>0</v>
      </c>
      <c r="EG424" s="179">
        <f t="shared" si="2928"/>
        <v>0</v>
      </c>
      <c r="EK424" s="217"/>
      <c r="EQ424" s="102">
        <f t="shared" ref="EQ424" si="2929">IF(ER423&lt;&gt;0,ER424/ER423,0)</f>
        <v>0</v>
      </c>
      <c r="ER424" s="65">
        <f t="shared" ref="ER424" si="2930">ROUND(ER400+ER404+ER408+ER412+ER416+ER420,2)</f>
        <v>0</v>
      </c>
      <c r="ET424" s="665" t="s">
        <v>180</v>
      </c>
      <c r="EW424" s="179">
        <f t="shared" ref="EW424:EX424" si="2931">ROUND(EW400+EW404+EW408+EW412+EW416+EW420,2)</f>
        <v>0</v>
      </c>
      <c r="EX424" s="179">
        <f t="shared" si="2931"/>
        <v>0</v>
      </c>
      <c r="FB424" s="217"/>
      <c r="FH424" s="102">
        <f t="shared" ref="FH424" si="2932">IF(FI423&lt;&gt;0,FI424/FI423,0)</f>
        <v>0</v>
      </c>
      <c r="FI424" s="65">
        <f t="shared" ref="FI424" si="2933">ROUND(FI400+FI404+FI408+FI412+FI416+FI420,2)</f>
        <v>0</v>
      </c>
      <c r="FK424" s="665" t="s">
        <v>180</v>
      </c>
      <c r="FN424" s="179">
        <f t="shared" ref="FN424:FO424" si="2934">ROUND(FN400+FN404+FN408+FN412+FN416+FN420,2)</f>
        <v>0</v>
      </c>
      <c r="FO424" s="179">
        <f t="shared" si="2934"/>
        <v>0</v>
      </c>
      <c r="FS424" s="217"/>
    </row>
    <row r="425" spans="1:175" s="10" customFormat="1" ht="15" hidden="1" customHeight="1" x14ac:dyDescent="0.3">
      <c r="A425" s="665" t="s">
        <v>290</v>
      </c>
      <c r="V425" s="217">
        <v>104</v>
      </c>
      <c r="AB425" s="102">
        <f t="shared" ref="AB425" si="2935">IF(AC423&lt;&gt;0,AC425/AC423,0)</f>
        <v>0</v>
      </c>
      <c r="AC425" s="65">
        <f>ROUND(AC401+AC405+AC409+AC413+AC417+AC421,2)</f>
        <v>0</v>
      </c>
      <c r="AE425" s="665" t="s">
        <v>290</v>
      </c>
      <c r="AH425" s="179">
        <f t="shared" si="2910"/>
        <v>0</v>
      </c>
      <c r="AI425" s="179">
        <f t="shared" si="2910"/>
        <v>0</v>
      </c>
      <c r="AM425" s="217"/>
      <c r="AS425" s="102">
        <f t="shared" ref="AS425" si="2936">IF(AT423&lt;&gt;0,AT425/AT423,0)</f>
        <v>0</v>
      </c>
      <c r="AT425" s="65">
        <f t="shared" ref="AT425" si="2937">ROUND(AT401+AT405+AT409+AT413+AT417+AT421,2)</f>
        <v>0</v>
      </c>
      <c r="AV425" s="665" t="s">
        <v>290</v>
      </c>
      <c r="AY425" s="179">
        <f t="shared" ref="AY425:AZ425" si="2938">ROUND(AY401+AY405+AY409+AY413+AY417+AY421,2)</f>
        <v>0</v>
      </c>
      <c r="AZ425" s="179">
        <f t="shared" si="2938"/>
        <v>0</v>
      </c>
      <c r="BD425" s="217"/>
      <c r="BJ425" s="102">
        <f t="shared" ref="BJ425" si="2939">IF(BK423&lt;&gt;0,BK425/BK423,0)</f>
        <v>0</v>
      </c>
      <c r="BK425" s="65">
        <f t="shared" ref="BK425" si="2940">ROUND(BK401+BK405+BK409+BK413+BK417+BK421,2)</f>
        <v>0</v>
      </c>
      <c r="BM425" s="665" t="s">
        <v>290</v>
      </c>
      <c r="BP425" s="179">
        <f t="shared" ref="BP425:BQ425" si="2941">ROUND(BP401+BP405+BP409+BP413+BP417+BP421,2)</f>
        <v>0</v>
      </c>
      <c r="BQ425" s="179">
        <f t="shared" si="2941"/>
        <v>0</v>
      </c>
      <c r="BU425" s="217"/>
      <c r="CA425" s="102">
        <f t="shared" ref="CA425" si="2942">IF(CB423&lt;&gt;0,CB425/CB423,0)</f>
        <v>0</v>
      </c>
      <c r="CB425" s="65">
        <f t="shared" ref="CB425" si="2943">ROUND(CB401+CB405+CB409+CB413+CB417+CB421,2)</f>
        <v>0</v>
      </c>
      <c r="CD425" s="665" t="s">
        <v>290</v>
      </c>
      <c r="CG425" s="179">
        <f t="shared" ref="CG425:CH425" si="2944">ROUND(CG401+CG405+CG409+CG413+CG417+CG421,2)</f>
        <v>0</v>
      </c>
      <c r="CH425" s="179">
        <f t="shared" si="2944"/>
        <v>0</v>
      </c>
      <c r="CL425" s="217"/>
      <c r="CR425" s="102">
        <f t="shared" ref="CR425" si="2945">IF(CS423&lt;&gt;0,CS425/CS423,0)</f>
        <v>0</v>
      </c>
      <c r="CS425" s="65">
        <f t="shared" ref="CS425" si="2946">ROUND(CS401+CS405+CS409+CS413+CS417+CS421,2)</f>
        <v>0</v>
      </c>
      <c r="CU425" s="665" t="s">
        <v>290</v>
      </c>
      <c r="CX425" s="179">
        <f t="shared" ref="CX425:CY425" si="2947">ROUND(CX401+CX405+CX409+CX413+CX417+CX421,2)</f>
        <v>0</v>
      </c>
      <c r="CY425" s="179">
        <f t="shared" si="2947"/>
        <v>0</v>
      </c>
      <c r="DC425" s="217"/>
      <c r="DI425" s="102">
        <f t="shared" ref="DI425" si="2948">IF(DJ423&lt;&gt;0,DJ425/DJ423,0)</f>
        <v>0</v>
      </c>
      <c r="DJ425" s="65">
        <f t="shared" ref="DJ425" si="2949">ROUND(DJ401+DJ405+DJ409+DJ413+DJ417+DJ421,2)</f>
        <v>0</v>
      </c>
      <c r="DL425" s="665" t="s">
        <v>290</v>
      </c>
      <c r="DO425" s="179">
        <f t="shared" ref="DO425:DP425" si="2950">ROUND(DO401+DO405+DO409+DO413+DO417+DO421,2)</f>
        <v>0</v>
      </c>
      <c r="DP425" s="179">
        <f t="shared" si="2950"/>
        <v>0</v>
      </c>
      <c r="DT425" s="217"/>
      <c r="DZ425" s="102">
        <f t="shared" ref="DZ425" si="2951">IF(EA423&lt;&gt;0,EA425/EA423,0)</f>
        <v>0</v>
      </c>
      <c r="EA425" s="65">
        <f t="shared" ref="EA425" si="2952">ROUND(EA401+EA405+EA409+EA413+EA417+EA421,2)</f>
        <v>0</v>
      </c>
      <c r="EC425" s="665" t="s">
        <v>290</v>
      </c>
      <c r="EF425" s="179">
        <f t="shared" ref="EF425:EG425" si="2953">ROUND(EF401+EF405+EF409+EF413+EF417+EF421,2)</f>
        <v>0</v>
      </c>
      <c r="EG425" s="179">
        <f t="shared" si="2953"/>
        <v>0</v>
      </c>
      <c r="EK425" s="217"/>
      <c r="EQ425" s="102">
        <f t="shared" ref="EQ425" si="2954">IF(ER423&lt;&gt;0,ER425/ER423,0)</f>
        <v>0</v>
      </c>
      <c r="ER425" s="65">
        <f t="shared" ref="ER425" si="2955">ROUND(ER401+ER405+ER409+ER413+ER417+ER421,2)</f>
        <v>0</v>
      </c>
      <c r="ET425" s="665" t="s">
        <v>290</v>
      </c>
      <c r="EW425" s="179">
        <f t="shared" ref="EW425:EX425" si="2956">ROUND(EW401+EW405+EW409+EW413+EW417+EW421,2)</f>
        <v>0</v>
      </c>
      <c r="EX425" s="179">
        <f t="shared" si="2956"/>
        <v>0</v>
      </c>
      <c r="FB425" s="217"/>
      <c r="FH425" s="102">
        <f t="shared" ref="FH425" si="2957">IF(FI423&lt;&gt;0,FI425/FI423,0)</f>
        <v>0</v>
      </c>
      <c r="FI425" s="65">
        <f t="shared" ref="FI425" si="2958">ROUND(FI401+FI405+FI409+FI413+FI417+FI421,2)</f>
        <v>0</v>
      </c>
      <c r="FK425" s="665" t="s">
        <v>290</v>
      </c>
      <c r="FN425" s="179">
        <f t="shared" ref="FN425:FO425" si="2959">ROUND(FN401+FN405+FN409+FN413+FN417+FN421,2)</f>
        <v>0</v>
      </c>
      <c r="FO425" s="179">
        <f t="shared" si="2959"/>
        <v>0</v>
      </c>
      <c r="FS425" s="217"/>
    </row>
    <row r="426" spans="1:175" s="10" customFormat="1" ht="15" hidden="1" customHeight="1" x14ac:dyDescent="0.3">
      <c r="A426" s="665" t="s">
        <v>291</v>
      </c>
      <c r="V426" s="217">
        <v>105</v>
      </c>
      <c r="AB426" s="102">
        <f t="shared" ref="AB426" si="2960">IF(AC423&lt;&gt;0,AC426/AC423,0)</f>
        <v>0</v>
      </c>
      <c r="AC426" s="65">
        <f>ROUND(AC402+AC406+AC410+AC414+AC418+AC422,2)</f>
        <v>0</v>
      </c>
      <c r="AE426" s="665" t="s">
        <v>291</v>
      </c>
      <c r="AH426" s="179">
        <f t="shared" si="2910"/>
        <v>0</v>
      </c>
      <c r="AI426" s="179">
        <f t="shared" si="2910"/>
        <v>0</v>
      </c>
      <c r="AM426" s="217"/>
      <c r="AS426" s="102">
        <f t="shared" ref="AS426" si="2961">IF(AT423&lt;&gt;0,AT426/AT423,0)</f>
        <v>0</v>
      </c>
      <c r="AT426" s="65">
        <f t="shared" ref="AT426" si="2962">ROUND(AT402+AT406+AT410+AT414+AT418+AT422,2)</f>
        <v>0</v>
      </c>
      <c r="AV426" s="665" t="s">
        <v>291</v>
      </c>
      <c r="AY426" s="179">
        <f t="shared" ref="AY426:AZ426" si="2963">ROUND(AY402+AY406+AY410+AY414+AY418+AY422,2)</f>
        <v>0</v>
      </c>
      <c r="AZ426" s="179">
        <f t="shared" si="2963"/>
        <v>0</v>
      </c>
      <c r="BD426" s="217"/>
      <c r="BJ426" s="102">
        <f t="shared" ref="BJ426" si="2964">IF(BK423&lt;&gt;0,BK426/BK423,0)</f>
        <v>0</v>
      </c>
      <c r="BK426" s="65">
        <f t="shared" ref="BK426" si="2965">ROUND(BK402+BK406+BK410+BK414+BK418+BK422,2)</f>
        <v>0</v>
      </c>
      <c r="BM426" s="665" t="s">
        <v>291</v>
      </c>
      <c r="BP426" s="179">
        <f t="shared" ref="BP426:BQ426" si="2966">ROUND(BP402+BP406+BP410+BP414+BP418+BP422,2)</f>
        <v>0</v>
      </c>
      <c r="BQ426" s="179">
        <f t="shared" si="2966"/>
        <v>0</v>
      </c>
      <c r="BU426" s="217"/>
      <c r="CA426" s="102">
        <f t="shared" ref="CA426" si="2967">IF(CB423&lt;&gt;0,CB426/CB423,0)</f>
        <v>0</v>
      </c>
      <c r="CB426" s="65">
        <f t="shared" ref="CB426" si="2968">ROUND(CB402+CB406+CB410+CB414+CB418+CB422,2)</f>
        <v>0</v>
      </c>
      <c r="CD426" s="665" t="s">
        <v>291</v>
      </c>
      <c r="CG426" s="179">
        <f t="shared" ref="CG426:CH426" si="2969">ROUND(CG402+CG406+CG410+CG414+CG418+CG422,2)</f>
        <v>0</v>
      </c>
      <c r="CH426" s="179">
        <f t="shared" si="2969"/>
        <v>0</v>
      </c>
      <c r="CL426" s="217"/>
      <c r="CR426" s="102">
        <f t="shared" ref="CR426" si="2970">IF(CS423&lt;&gt;0,CS426/CS423,0)</f>
        <v>0</v>
      </c>
      <c r="CS426" s="65">
        <f t="shared" ref="CS426" si="2971">ROUND(CS402+CS406+CS410+CS414+CS418+CS422,2)</f>
        <v>0</v>
      </c>
      <c r="CU426" s="665" t="s">
        <v>291</v>
      </c>
      <c r="CX426" s="179">
        <f t="shared" ref="CX426:CY426" si="2972">ROUND(CX402+CX406+CX410+CX414+CX418+CX422,2)</f>
        <v>0</v>
      </c>
      <c r="CY426" s="179">
        <f t="shared" si="2972"/>
        <v>0</v>
      </c>
      <c r="DC426" s="217"/>
      <c r="DI426" s="102">
        <f t="shared" ref="DI426" si="2973">IF(DJ423&lt;&gt;0,DJ426/DJ423,0)</f>
        <v>0</v>
      </c>
      <c r="DJ426" s="65">
        <f t="shared" ref="DJ426" si="2974">ROUND(DJ402+DJ406+DJ410+DJ414+DJ418+DJ422,2)</f>
        <v>0</v>
      </c>
      <c r="DL426" s="665" t="s">
        <v>291</v>
      </c>
      <c r="DO426" s="179">
        <f t="shared" ref="DO426:DP426" si="2975">ROUND(DO402+DO406+DO410+DO414+DO418+DO422,2)</f>
        <v>0</v>
      </c>
      <c r="DP426" s="179">
        <f t="shared" si="2975"/>
        <v>0</v>
      </c>
      <c r="DT426" s="217"/>
      <c r="DZ426" s="102">
        <f t="shared" ref="DZ426" si="2976">IF(EA423&lt;&gt;0,EA426/EA423,0)</f>
        <v>0</v>
      </c>
      <c r="EA426" s="65">
        <f t="shared" ref="EA426" si="2977">ROUND(EA402+EA406+EA410+EA414+EA418+EA422,2)</f>
        <v>0</v>
      </c>
      <c r="EC426" s="665" t="s">
        <v>291</v>
      </c>
      <c r="EF426" s="179">
        <f t="shared" ref="EF426:EG426" si="2978">ROUND(EF402+EF406+EF410+EF414+EF418+EF422,2)</f>
        <v>0</v>
      </c>
      <c r="EG426" s="179">
        <f t="shared" si="2978"/>
        <v>0</v>
      </c>
      <c r="EK426" s="217"/>
      <c r="EQ426" s="102">
        <f t="shared" ref="EQ426" si="2979">IF(ER423&lt;&gt;0,ER426/ER423,0)</f>
        <v>0</v>
      </c>
      <c r="ER426" s="65">
        <f t="shared" ref="ER426" si="2980">ROUND(ER402+ER406+ER410+ER414+ER418+ER422,2)</f>
        <v>0</v>
      </c>
      <c r="ET426" s="665" t="s">
        <v>291</v>
      </c>
      <c r="EW426" s="179">
        <f t="shared" ref="EW426:EX426" si="2981">ROUND(EW402+EW406+EW410+EW414+EW418+EW422,2)</f>
        <v>0</v>
      </c>
      <c r="EX426" s="179">
        <f t="shared" si="2981"/>
        <v>0</v>
      </c>
      <c r="FB426" s="217"/>
      <c r="FH426" s="102">
        <f t="shared" ref="FH426" si="2982">IF(FI423&lt;&gt;0,FI426/FI423,0)</f>
        <v>0</v>
      </c>
      <c r="FI426" s="65">
        <f t="shared" ref="FI426" si="2983">ROUND(FI402+FI406+FI410+FI414+FI418+FI422,2)</f>
        <v>0</v>
      </c>
      <c r="FK426" s="665" t="s">
        <v>291</v>
      </c>
      <c r="FN426" s="179">
        <f t="shared" ref="FN426:FO426" si="2984">ROUND(FN402+FN406+FN410+FN414+FN418+FN422,2)</f>
        <v>0</v>
      </c>
      <c r="FO426" s="179">
        <f t="shared" si="2984"/>
        <v>0</v>
      </c>
      <c r="FS426" s="217"/>
    </row>
    <row r="427" spans="1:175" s="10" customFormat="1" ht="15" hidden="1" customHeight="1" x14ac:dyDescent="0.35">
      <c r="A427" s="105" t="s">
        <v>712</v>
      </c>
      <c r="V427" s="217">
        <v>106</v>
      </c>
      <c r="AE427" s="91"/>
      <c r="AM427" s="217"/>
      <c r="AV427" s="91"/>
      <c r="BD427" s="217"/>
      <c r="BM427" s="91"/>
      <c r="BU427" s="217"/>
      <c r="CD427" s="91"/>
      <c r="CL427" s="217"/>
      <c r="CU427" s="91"/>
      <c r="DC427" s="217"/>
      <c r="DL427" s="91"/>
      <c r="DT427" s="217"/>
      <c r="EC427" s="91"/>
      <c r="EK427" s="217"/>
      <c r="ET427" s="91"/>
      <c r="FB427" s="217"/>
      <c r="FK427" s="91"/>
      <c r="FS427" s="217"/>
    </row>
    <row r="428" spans="1:175" s="10" customFormat="1" ht="15" hidden="1" customHeight="1" x14ac:dyDescent="0.35">
      <c r="A428" s="91" t="s">
        <v>298</v>
      </c>
      <c r="V428" s="217">
        <v>107</v>
      </c>
      <c r="W428" s="105" t="s">
        <v>712</v>
      </c>
      <c r="AB428" s="102">
        <f t="shared" ref="AB428" si="2985">SUM(AB429:AB431)</f>
        <v>0.99999999999999989</v>
      </c>
      <c r="AC428" s="179">
        <f>AC394+AC423</f>
        <v>339512.95</v>
      </c>
      <c r="AE428" s="91" t="s">
        <v>298</v>
      </c>
      <c r="AM428" s="217"/>
      <c r="AN428" s="105" t="s">
        <v>712</v>
      </c>
      <c r="AS428" s="102">
        <f t="shared" ref="AS428:CR428" si="2986">SUM(AS429:AS431)</f>
        <v>1</v>
      </c>
      <c r="AT428" s="179">
        <f t="shared" ref="AT428:BK431" si="2987">AT394+AT423</f>
        <v>327118.05</v>
      </c>
      <c r="AV428" s="91" t="s">
        <v>298</v>
      </c>
      <c r="BD428" s="217"/>
      <c r="BE428" s="105" t="s">
        <v>712</v>
      </c>
      <c r="BJ428" s="102">
        <f t="shared" si="2986"/>
        <v>0.99999999999999989</v>
      </c>
      <c r="BK428" s="179">
        <f t="shared" ref="BK428" si="2988">BK394+BK423</f>
        <v>314723.15000000002</v>
      </c>
      <c r="BM428" s="91" t="s">
        <v>298</v>
      </c>
      <c r="BU428" s="217"/>
      <c r="BV428" s="105" t="s">
        <v>712</v>
      </c>
      <c r="CA428" s="102">
        <f t="shared" si="2986"/>
        <v>1</v>
      </c>
      <c r="CB428" s="179">
        <f t="shared" ref="CB428:CS431" si="2989">CB394+CB423</f>
        <v>302328.25</v>
      </c>
      <c r="CD428" s="91" t="s">
        <v>298</v>
      </c>
      <c r="CL428" s="217"/>
      <c r="CM428" s="105" t="s">
        <v>712</v>
      </c>
      <c r="CR428" s="102">
        <f t="shared" si="2986"/>
        <v>1</v>
      </c>
      <c r="CS428" s="179">
        <f t="shared" ref="CS428" si="2990">CS394+CS423</f>
        <v>289933.34999999998</v>
      </c>
      <c r="CU428" s="91" t="s">
        <v>298</v>
      </c>
      <c r="DC428" s="217"/>
      <c r="DD428" s="105" t="s">
        <v>712</v>
      </c>
      <c r="DI428" s="102">
        <f t="shared" ref="DI428:FH428" si="2991">SUM(DI429:DI431)</f>
        <v>1.0000000420362176</v>
      </c>
      <c r="DJ428" s="179">
        <f t="shared" ref="DJ428:EA431" si="2992">DJ394+DJ423</f>
        <v>237890.1</v>
      </c>
      <c r="DL428" s="91" t="s">
        <v>298</v>
      </c>
      <c r="DT428" s="217"/>
      <c r="DU428" s="105" t="s">
        <v>712</v>
      </c>
      <c r="DZ428" s="102">
        <f t="shared" si="2991"/>
        <v>1.0000000440013219</v>
      </c>
      <c r="EA428" s="179">
        <f t="shared" ref="EA428" si="2993">EA394+EA423</f>
        <v>227265.9</v>
      </c>
      <c r="EC428" s="91" t="s">
        <v>298</v>
      </c>
      <c r="EK428" s="217"/>
      <c r="EL428" s="105" t="s">
        <v>712</v>
      </c>
      <c r="EQ428" s="102">
        <f t="shared" si="2991"/>
        <v>1.0000000461591652</v>
      </c>
      <c r="ER428" s="179">
        <f t="shared" ref="ER428:FI431" si="2994">ER394+ER423</f>
        <v>216641.7</v>
      </c>
      <c r="ET428" s="91" t="s">
        <v>298</v>
      </c>
      <c r="FB428" s="217"/>
      <c r="FC428" s="105" t="s">
        <v>712</v>
      </c>
      <c r="FH428" s="102">
        <f t="shared" si="2991"/>
        <v>1</v>
      </c>
      <c r="FI428" s="179">
        <f t="shared" ref="FI428" si="2995">FI394+FI423</f>
        <v>206726.25</v>
      </c>
      <c r="FK428" s="91" t="s">
        <v>298</v>
      </c>
      <c r="FS428" s="217"/>
    </row>
    <row r="429" spans="1:175" s="10" customFormat="1" ht="15" hidden="1" customHeight="1" x14ac:dyDescent="0.3">
      <c r="A429" s="656" t="s">
        <v>180</v>
      </c>
      <c r="V429" s="217">
        <v>108</v>
      </c>
      <c r="AB429" s="102">
        <f t="shared" ref="AB429" si="2996">IF(AC428&lt;&gt;0,AC429/AC428,0)</f>
        <v>0.63652676576843381</v>
      </c>
      <c r="AC429" s="179">
        <f t="shared" ref="AC429:AC431" si="2997">AC395+AC424</f>
        <v>216109.08</v>
      </c>
      <c r="AE429" s="656" t="s">
        <v>180</v>
      </c>
      <c r="AM429" s="217"/>
      <c r="AS429" s="102">
        <f t="shared" ref="AS429" si="2998">IF(AT428&lt;&gt;0,AT429/AT428,0)</f>
        <v>0.63805889036083452</v>
      </c>
      <c r="AT429" s="179">
        <f t="shared" si="2987"/>
        <v>208720.58</v>
      </c>
      <c r="AV429" s="659" t="s">
        <v>180</v>
      </c>
      <c r="BD429" s="217"/>
      <c r="BJ429" s="102">
        <f t="shared" ref="BJ429" si="2999">IF(BK428&lt;&gt;0,BK429/BK428,0)</f>
        <v>0.63971169581900778</v>
      </c>
      <c r="BK429" s="179">
        <f t="shared" si="2987"/>
        <v>201332.08</v>
      </c>
      <c r="BM429" s="659" t="s">
        <v>180</v>
      </c>
      <c r="BU429" s="217"/>
      <c r="CA429" s="102">
        <f t="shared" ref="CA429" si="3000">IF(CB428&lt;&gt;0,CB429/CB428,0)</f>
        <v>0.64150002522093119</v>
      </c>
      <c r="CB429" s="179">
        <f t="shared" si="2989"/>
        <v>193943.58</v>
      </c>
      <c r="CD429" s="659" t="s">
        <v>180</v>
      </c>
      <c r="CL429" s="217"/>
      <c r="CR429" s="102">
        <f t="shared" ref="CR429" si="3001">IF(CS428&lt;&gt;0,CS429/CS428,0)</f>
        <v>0.64344125986196488</v>
      </c>
      <c r="CS429" s="179">
        <f t="shared" si="2989"/>
        <v>186555.08</v>
      </c>
      <c r="CU429" s="659" t="s">
        <v>180</v>
      </c>
      <c r="DC429" s="217"/>
      <c r="DI429" s="102">
        <f t="shared" ref="DI429" si="3002">IF(DJ428&lt;&gt;0,DJ429/DJ428,0)</f>
        <v>0.64555586802477283</v>
      </c>
      <c r="DJ429" s="179">
        <f t="shared" si="2992"/>
        <v>153571.35</v>
      </c>
      <c r="DL429" s="659" t="s">
        <v>180</v>
      </c>
      <c r="DT429" s="217"/>
      <c r="DZ429" s="102">
        <f t="shared" ref="DZ429" si="3003">IF(EA428&lt;&gt;0,EA429/EA428,0)</f>
        <v>0.64786820196078698</v>
      </c>
      <c r="EA429" s="179">
        <f t="shared" si="2992"/>
        <v>147238.35</v>
      </c>
      <c r="EC429" s="659" t="s">
        <v>180</v>
      </c>
      <c r="EK429" s="217"/>
      <c r="EQ429" s="102">
        <f t="shared" ref="EQ429" si="3004">IF(ER428&lt;&gt;0,ER429/ER428,0)</f>
        <v>0.65040733155251274</v>
      </c>
      <c r="ER429" s="179">
        <f t="shared" si="2994"/>
        <v>140905.35</v>
      </c>
      <c r="ET429" s="659" t="s">
        <v>180</v>
      </c>
      <c r="FB429" s="217"/>
      <c r="FH429" s="102">
        <f t="shared" ref="FH429" si="3005">IF(FI428&lt;&gt;0,FI429/FI428,0)</f>
        <v>0.65268310144454322</v>
      </c>
      <c r="FI429" s="179">
        <f t="shared" si="2994"/>
        <v>134926.73000000001</v>
      </c>
      <c r="FK429" s="659" t="s">
        <v>180</v>
      </c>
      <c r="FS429" s="217"/>
    </row>
    <row r="430" spans="1:175" s="10" customFormat="1" ht="15" hidden="1" customHeight="1" x14ac:dyDescent="0.3">
      <c r="A430" s="656" t="s">
        <v>181</v>
      </c>
      <c r="V430" s="217">
        <v>109</v>
      </c>
      <c r="AB430" s="102">
        <f t="shared" ref="AB430" si="3006">IF(AC428&lt;&gt;0,AC430/AC428,0)</f>
        <v>0.20163018818575254</v>
      </c>
      <c r="AC430" s="179">
        <f t="shared" si="2997"/>
        <v>68456.06</v>
      </c>
      <c r="AE430" s="656" t="s">
        <v>181</v>
      </c>
      <c r="AM430" s="217"/>
      <c r="AS430" s="102">
        <f t="shared" ref="AS430" si="3007">IF(AT428&lt;&gt;0,AT430/AT428,0)</f>
        <v>0.20105940347834675</v>
      </c>
      <c r="AT430" s="179">
        <f t="shared" si="2987"/>
        <v>65770.16</v>
      </c>
      <c r="AV430" s="659" t="s">
        <v>181</v>
      </c>
      <c r="BD430" s="217"/>
      <c r="BJ430" s="102">
        <f t="shared" ref="BJ430" si="3008">IF(BK428&lt;&gt;0,BK430/BK428,0)</f>
        <v>0.20044365976891118</v>
      </c>
      <c r="BK430" s="179">
        <f t="shared" si="2987"/>
        <v>63084.26</v>
      </c>
      <c r="BM430" s="659" t="s">
        <v>181</v>
      </c>
      <c r="BU430" s="217"/>
      <c r="CA430" s="102">
        <f t="shared" ref="CA430" si="3009">IF(CB428&lt;&gt;0,CB430/CB428,0)</f>
        <v>0.19977742734924706</v>
      </c>
      <c r="CB430" s="179">
        <f t="shared" si="2989"/>
        <v>60398.36</v>
      </c>
      <c r="CD430" s="659" t="s">
        <v>181</v>
      </c>
      <c r="CL430" s="217"/>
      <c r="CR430" s="102">
        <f t="shared" ref="CR430" si="3010">IF(CS428&lt;&gt;0,CS430/CS428,0)</f>
        <v>0.19905423091203547</v>
      </c>
      <c r="CS430" s="179">
        <f t="shared" si="2989"/>
        <v>57712.46</v>
      </c>
      <c r="CU430" s="659" t="s">
        <v>181</v>
      </c>
      <c r="DC430" s="217"/>
      <c r="DI430" s="102">
        <f t="shared" ref="DI430" si="3011">IF(DJ428&lt;&gt;0,DJ430/DJ428,0)</f>
        <v>0.19826646842386461</v>
      </c>
      <c r="DJ430" s="179">
        <f t="shared" si="2992"/>
        <v>47165.63</v>
      </c>
      <c r="DL430" s="659" t="s">
        <v>181</v>
      </c>
      <c r="DT430" s="217"/>
      <c r="DZ430" s="102">
        <f t="shared" ref="DZ430" si="3012">IF(EA428&lt;&gt;0,EA430/EA428,0)</f>
        <v>0.19740502204686231</v>
      </c>
      <c r="EA430" s="179">
        <f t="shared" si="2992"/>
        <v>44863.43</v>
      </c>
      <c r="EC430" s="659" t="s">
        <v>181</v>
      </c>
      <c r="EK430" s="217"/>
      <c r="EQ430" s="102">
        <f t="shared" ref="EQ430" si="3013">IF(ER428&lt;&gt;0,ER430/ER428,0)</f>
        <v>0.19645908428525072</v>
      </c>
      <c r="ER430" s="179">
        <f t="shared" si="2994"/>
        <v>42561.23</v>
      </c>
      <c r="ET430" s="659" t="s">
        <v>181</v>
      </c>
      <c r="FB430" s="217"/>
      <c r="FH430" s="102">
        <f t="shared" ref="FH430" si="3014">IF(FI428&lt;&gt;0,FI430/FI428,0)</f>
        <v>0.19560268712850931</v>
      </c>
      <c r="FI430" s="179">
        <f t="shared" si="2994"/>
        <v>40436.21</v>
      </c>
      <c r="FK430" s="659" t="s">
        <v>181</v>
      </c>
      <c r="FS430" s="217"/>
    </row>
    <row r="431" spans="1:175" s="10" customFormat="1" ht="15" hidden="1" customHeight="1" x14ac:dyDescent="0.3">
      <c r="A431" s="656" t="s">
        <v>182</v>
      </c>
      <c r="V431" s="217">
        <v>110</v>
      </c>
      <c r="AB431" s="102">
        <f t="shared" ref="AB431" si="3015">IF(AC428&lt;&gt;0,AC431/AC428,0)</f>
        <v>0.16184304604581357</v>
      </c>
      <c r="AC431" s="179">
        <f t="shared" si="2997"/>
        <v>54947.81</v>
      </c>
      <c r="AE431" s="656" t="s">
        <v>182</v>
      </c>
      <c r="AM431" s="217"/>
      <c r="AS431" s="102">
        <f t="shared" ref="AS431" si="3016">IF(AT428&lt;&gt;0,AT431/AT428,0)</f>
        <v>0.1608817061608187</v>
      </c>
      <c r="AT431" s="179">
        <f t="shared" si="2987"/>
        <v>52627.31</v>
      </c>
      <c r="AV431" s="659" t="s">
        <v>182</v>
      </c>
      <c r="BD431" s="217"/>
      <c r="BJ431" s="102">
        <f t="shared" ref="BJ431" si="3017">IF(BK428&lt;&gt;0,BK431/BK428,0)</f>
        <v>0.15984464441208088</v>
      </c>
      <c r="BK431" s="179">
        <f t="shared" si="2987"/>
        <v>50306.81</v>
      </c>
      <c r="BM431" s="659" t="s">
        <v>182</v>
      </c>
      <c r="BU431" s="217"/>
      <c r="CA431" s="102">
        <f t="shared" ref="CA431" si="3018">IF(CB428&lt;&gt;0,CB431/CB428,0)</f>
        <v>0.15872254742982173</v>
      </c>
      <c r="CB431" s="179">
        <f t="shared" si="2989"/>
        <v>47986.31</v>
      </c>
      <c r="CD431" s="659" t="s">
        <v>182</v>
      </c>
      <c r="CL431" s="217"/>
      <c r="CR431" s="102">
        <f t="shared" ref="CR431" si="3019">IF(CS428&lt;&gt;0,CS431/CS428,0)</f>
        <v>0.15750450922599971</v>
      </c>
      <c r="CS431" s="179">
        <f t="shared" si="2989"/>
        <v>45665.81</v>
      </c>
      <c r="CU431" s="659" t="s">
        <v>182</v>
      </c>
      <c r="DC431" s="217"/>
      <c r="DI431" s="102">
        <f t="shared" ref="DI431" si="3020">IF(DJ428&lt;&gt;0,DJ431/DJ428,0)</f>
        <v>0.15617770558758012</v>
      </c>
      <c r="DJ431" s="179">
        <f t="shared" si="2992"/>
        <v>37153.129999999997</v>
      </c>
      <c r="DL431" s="659" t="s">
        <v>182</v>
      </c>
      <c r="DT431" s="217"/>
      <c r="DZ431" s="102">
        <f t="shared" ref="DZ431" si="3021">IF(EA428&lt;&gt;0,EA431/EA428,0)</f>
        <v>0.1547268199936726</v>
      </c>
      <c r="EA431" s="179">
        <f t="shared" si="2992"/>
        <v>35164.129999999997</v>
      </c>
      <c r="EC431" s="659" t="s">
        <v>182</v>
      </c>
      <c r="EK431" s="217"/>
      <c r="EQ431" s="102">
        <f t="shared" ref="EQ431" si="3022">IF(ER428&lt;&gt;0,ER431/ER428,0)</f>
        <v>0.15313363032140162</v>
      </c>
      <c r="ER431" s="179">
        <f t="shared" si="2994"/>
        <v>33175.129999999997</v>
      </c>
      <c r="ET431" s="659" t="s">
        <v>182</v>
      </c>
      <c r="FB431" s="217"/>
      <c r="FH431" s="102">
        <f t="shared" ref="FH431" si="3023">IF(FI428&lt;&gt;0,FI431/FI428,0)</f>
        <v>0.15171421142694749</v>
      </c>
      <c r="FI431" s="179">
        <f t="shared" si="2994"/>
        <v>31363.31</v>
      </c>
      <c r="FK431" s="659" t="s">
        <v>182</v>
      </c>
      <c r="FS431" s="217"/>
    </row>
    <row r="432" spans="1:175" s="10" customFormat="1" ht="15" hidden="1" customHeight="1" x14ac:dyDescent="0.35">
      <c r="A432" s="108" t="s">
        <v>325</v>
      </c>
      <c r="V432" s="217">
        <v>111</v>
      </c>
      <c r="W432" s="108" t="s">
        <v>325</v>
      </c>
      <c r="AE432" s="407" t="s">
        <v>732</v>
      </c>
      <c r="AM432" s="217"/>
      <c r="AN432" s="108" t="s">
        <v>325</v>
      </c>
      <c r="AV432" s="407" t="s">
        <v>732</v>
      </c>
      <c r="BD432" s="217"/>
      <c r="BE432" s="108" t="s">
        <v>325</v>
      </c>
      <c r="BM432" s="407" t="s">
        <v>732</v>
      </c>
      <c r="BU432" s="217"/>
      <c r="BV432" s="108" t="s">
        <v>325</v>
      </c>
      <c r="CD432" s="407" t="s">
        <v>732</v>
      </c>
      <c r="CL432" s="217"/>
      <c r="CM432" s="108" t="s">
        <v>325</v>
      </c>
      <c r="CU432" s="407" t="s">
        <v>732</v>
      </c>
      <c r="DC432" s="217"/>
      <c r="DD432" s="108" t="s">
        <v>325</v>
      </c>
      <c r="DL432" s="407" t="s">
        <v>732</v>
      </c>
      <c r="DT432" s="217"/>
      <c r="DU432" s="108" t="s">
        <v>325</v>
      </c>
      <c r="EC432" s="407" t="s">
        <v>732</v>
      </c>
      <c r="EK432" s="217"/>
      <c r="EL432" s="108" t="s">
        <v>325</v>
      </c>
      <c r="ET432" s="407" t="s">
        <v>732</v>
      </c>
      <c r="FB432" s="217"/>
      <c r="FC432" s="108" t="s">
        <v>325</v>
      </c>
      <c r="FK432" s="407" t="s">
        <v>732</v>
      </c>
      <c r="FS432" s="217"/>
    </row>
    <row r="433" spans="1:175" s="10" customFormat="1" ht="15" hidden="1" customHeight="1" x14ac:dyDescent="0.3">
      <c r="A433" s="112" t="s">
        <v>715</v>
      </c>
      <c r="V433" s="217">
        <v>112</v>
      </c>
      <c r="AC433" s="179">
        <f>SUMIF(AC5:AC319,"&lt;&gt;0",AA5:AA319)</f>
        <v>17707000</v>
      </c>
      <c r="AE433" s="112" t="str">
        <f>"Anschaffungs-/Herstellungskosten, von denen im Jahr "&amp;AC4 &amp;" noch abgeschrieben wird"</f>
        <v>Anschaffungs-/Herstellungskosten, von denen im Jahr 2012 noch abgeschrieben wird</v>
      </c>
      <c r="AM433" s="217"/>
      <c r="AT433" s="179">
        <f t="shared" ref="AT433" si="3024">SUMIF(AT5:AT319,"&lt;&gt;0",AR5:AR319)</f>
        <v>17707000</v>
      </c>
      <c r="AV433" s="112" t="str">
        <f t="shared" ref="AV433" si="3025">"Anschaffungs-/Herstellungskosten, von denen im Jahr "&amp;AT4 &amp;" noch abgeschrieben wird"</f>
        <v>Anschaffungs-/Herstellungskosten, von denen im Jahr 2013 noch abgeschrieben wird</v>
      </c>
      <c r="BD433" s="217"/>
      <c r="BK433" s="179">
        <f t="shared" ref="BK433" si="3026">SUMIF(BK5:BK319,"&lt;&gt;0",BI5:BI319)</f>
        <v>17707000</v>
      </c>
      <c r="BM433" s="112" t="str">
        <f t="shared" ref="BM433" si="3027">"Anschaffungs-/Herstellungskosten, von denen im Jahr "&amp;BK4 &amp;" noch abgeschrieben wird"</f>
        <v>Anschaffungs-/Herstellungskosten, von denen im Jahr 2014 noch abgeschrieben wird</v>
      </c>
      <c r="BU433" s="217"/>
      <c r="CB433" s="179">
        <f t="shared" ref="CB433" si="3028">SUMIF(CB5:CB319,"&lt;&gt;0",BZ5:BZ319)</f>
        <v>17707000</v>
      </c>
      <c r="CD433" s="112" t="str">
        <f t="shared" ref="CD433" si="3029">"Anschaffungs-/Herstellungskosten, von denen im Jahr "&amp;CB4 &amp;" noch abgeschrieben wird"</f>
        <v>Anschaffungs-/Herstellungskosten, von denen im Jahr 2015 noch abgeschrieben wird</v>
      </c>
      <c r="CL433" s="217"/>
      <c r="CS433" s="179">
        <f t="shared" ref="CS433" si="3030">SUMIF(CS5:CS319,"&lt;&gt;0",CQ5:CQ319)</f>
        <v>17707000</v>
      </c>
      <c r="CU433" s="112" t="str">
        <f t="shared" ref="CU433" si="3031">"Anschaffungs-/Herstellungskosten, von denen im Jahr "&amp;CS4 &amp;" noch abgeschrieben wird"</f>
        <v>Anschaffungs-/Herstellungskosten, von denen im Jahr 2016 noch abgeschrieben wird</v>
      </c>
      <c r="DC433" s="217"/>
      <c r="DJ433" s="179">
        <f t="shared" ref="DJ433" si="3032">SUMIF(DJ5:DJ319,"&lt;&gt;0",DH5:DH319)</f>
        <v>17707000</v>
      </c>
      <c r="DL433" s="112" t="str">
        <f t="shared" ref="DL433" si="3033">"Anschaffungs-/Herstellungskosten, von denen im Jahr "&amp;DJ4 &amp;" noch abgeschrieben wird"</f>
        <v>Anschaffungs-/Herstellungskosten, von denen im Jahr 2017 noch abgeschrieben wird</v>
      </c>
      <c r="DT433" s="217"/>
      <c r="EA433" s="179">
        <f t="shared" ref="EA433" si="3034">SUMIF(EA5:EA319,"&lt;&gt;0",DY5:DY319)</f>
        <v>17707000</v>
      </c>
      <c r="EC433" s="112" t="str">
        <f t="shared" ref="EC433" si="3035">"Anschaffungs-/Herstellungskosten, von denen im Jahr "&amp;EA4 &amp;" noch abgeschrieben wird"</f>
        <v>Anschaffungs-/Herstellungskosten, von denen im Jahr 2018 noch abgeschrieben wird</v>
      </c>
      <c r="EK433" s="217"/>
      <c r="ER433" s="179">
        <f t="shared" ref="ER433" si="3036">SUMIF(ER5:ER319,"&lt;&gt;0",EP5:EP319)</f>
        <v>17707000</v>
      </c>
      <c r="ET433" s="112" t="str">
        <f t="shared" ref="ET433" si="3037">"Anschaffungs-/Herstellungskosten, von denen im Jahr "&amp;ER4 &amp;" noch abgeschrieben wird"</f>
        <v>Anschaffungs-/Herstellungskosten, von denen im Jahr 2019 noch abgeschrieben wird</v>
      </c>
      <c r="FB433" s="217"/>
      <c r="FI433" s="179">
        <f t="shared" ref="FI433" si="3038">SUMIF(FI5:FI319,"&lt;&gt;0",FG5:FG319)</f>
        <v>17707000</v>
      </c>
      <c r="FK433" s="112" t="str">
        <f t="shared" ref="FK433" si="3039">"Anschaffungs-/Herstellungskosten, von denen im Jahr "&amp;FI4 &amp;" noch abgeschrieben wird"</f>
        <v>Anschaffungs-/Herstellungskosten, von denen im Jahr 2020 noch abgeschrieben wird</v>
      </c>
      <c r="FS433" s="217"/>
    </row>
    <row r="434" spans="1:175" s="10" customFormat="1" ht="15" hidden="1" customHeight="1" x14ac:dyDescent="0.3">
      <c r="A434" s="112" t="s">
        <v>714</v>
      </c>
      <c r="V434" s="217">
        <v>113</v>
      </c>
      <c r="AC434" s="179">
        <f>AC433-AC435</f>
        <v>0</v>
      </c>
      <c r="AE434" s="112" t="str">
        <f>" - Anteilige Kürzung, soweit im Jahr "&amp;AC4 &amp;" nicht der volle Jahresbetrag abgeschrieben wird "</f>
        <v xml:space="preserve"> - Anteilige Kürzung, soweit im Jahr 2012 nicht der volle Jahresbetrag abgeschrieben wird </v>
      </c>
      <c r="AM434" s="217"/>
      <c r="AT434" s="179">
        <f t="shared" ref="AT434" si="3040">AT433-AT435</f>
        <v>0</v>
      </c>
      <c r="AV434" s="112" t="str">
        <f t="shared" ref="AV434" si="3041">" - Anteilige Kürzung, soweit im Jahr "&amp;AT4 &amp;" nicht der volle Jahresbetrag abgeschrieben wird "</f>
        <v xml:space="preserve"> - Anteilige Kürzung, soweit im Jahr 2013 nicht der volle Jahresbetrag abgeschrieben wird </v>
      </c>
      <c r="BD434" s="217"/>
      <c r="BK434" s="179">
        <f t="shared" ref="BK434" si="3042">BK433-BK435</f>
        <v>0</v>
      </c>
      <c r="BM434" s="112" t="str">
        <f t="shared" ref="BM434" si="3043">" - Anteilige Kürzung, soweit im Jahr "&amp;BK4 &amp;" nicht der volle Jahresbetrag abgeschrieben wird "</f>
        <v xml:space="preserve"> - Anteilige Kürzung, soweit im Jahr 2014 nicht der volle Jahresbetrag abgeschrieben wird </v>
      </c>
      <c r="BU434" s="217"/>
      <c r="CB434" s="179">
        <f t="shared" ref="CB434" si="3044">CB433-CB435</f>
        <v>0</v>
      </c>
      <c r="CD434" s="112" t="str">
        <f t="shared" ref="CD434" si="3045">" - Anteilige Kürzung, soweit im Jahr "&amp;CB4 &amp;" nicht der volle Jahresbetrag abgeschrieben wird "</f>
        <v xml:space="preserve"> - Anteilige Kürzung, soweit im Jahr 2015 nicht der volle Jahresbetrag abgeschrieben wird </v>
      </c>
      <c r="CL434" s="217"/>
      <c r="CS434" s="179">
        <f t="shared" ref="CS434" si="3046">CS433-CS435</f>
        <v>0</v>
      </c>
      <c r="CU434" s="112" t="str">
        <f t="shared" ref="CU434" si="3047">" - Anteilige Kürzung, soweit im Jahr "&amp;CS4 &amp;" nicht der volle Jahresbetrag abgeschrieben wird "</f>
        <v xml:space="preserve"> - Anteilige Kürzung, soweit im Jahr 2016 nicht der volle Jahresbetrag abgeschrieben wird </v>
      </c>
      <c r="DC434" s="217"/>
      <c r="DJ434" s="179">
        <f t="shared" ref="DJ434" si="3048">DJ433-DJ435</f>
        <v>0</v>
      </c>
      <c r="DL434" s="112" t="str">
        <f t="shared" ref="DL434" si="3049">" - Anteilige Kürzung, soweit im Jahr "&amp;DJ4 &amp;" nicht der volle Jahresbetrag abgeschrieben wird "</f>
        <v xml:space="preserve"> - Anteilige Kürzung, soweit im Jahr 2017 nicht der volle Jahresbetrag abgeschrieben wird </v>
      </c>
      <c r="DT434" s="217"/>
      <c r="EA434" s="179">
        <f t="shared" ref="EA434" si="3050">EA433-EA435</f>
        <v>0</v>
      </c>
      <c r="EC434" s="112" t="str">
        <f t="shared" ref="EC434" si="3051">" - Anteilige Kürzung, soweit im Jahr "&amp;EA4 &amp;" nicht der volle Jahresbetrag abgeschrieben wird "</f>
        <v xml:space="preserve"> - Anteilige Kürzung, soweit im Jahr 2018 nicht der volle Jahresbetrag abgeschrieben wird </v>
      </c>
      <c r="EK434" s="217"/>
      <c r="ER434" s="179">
        <f t="shared" ref="ER434" si="3052">ER433-ER435</f>
        <v>0</v>
      </c>
      <c r="ET434" s="112" t="str">
        <f t="shared" ref="ET434" si="3053">" - Anteilige Kürzung, soweit im Jahr "&amp;ER4 &amp;" nicht der volle Jahresbetrag abgeschrieben wird "</f>
        <v xml:space="preserve"> - Anteilige Kürzung, soweit im Jahr 2019 nicht der volle Jahresbetrag abgeschrieben wird </v>
      </c>
      <c r="FB434" s="217"/>
      <c r="FI434" s="179">
        <f t="shared" ref="FI434" si="3054">FI433-FI435</f>
        <v>2362500</v>
      </c>
      <c r="FK434" s="112" t="str">
        <f t="shared" ref="FK434" si="3055">" - Anteilige Kürzung, soweit im Jahr "&amp;FI4 &amp;" nicht der volle Jahresbetrag abgeschrieben wird "</f>
        <v xml:space="preserve"> - Anteilige Kürzung, soweit im Jahr 2020 nicht der volle Jahresbetrag abgeschrieben wird </v>
      </c>
      <c r="FS434" s="217"/>
    </row>
    <row r="435" spans="1:175" s="10" customFormat="1" ht="15" hidden="1" customHeight="1" x14ac:dyDescent="0.3">
      <c r="A435" s="112" t="s">
        <v>713</v>
      </c>
      <c r="V435" s="217">
        <v>114</v>
      </c>
      <c r="AC435" s="179">
        <f>AB320</f>
        <v>17707000</v>
      </c>
      <c r="AE435" s="112" t="str">
        <f>"Maßgebliche Anschaffungs-/Herstellungskosten zur Berechnung des gewichteten Abschreibungssatzes im Jahr "&amp;AC4</f>
        <v>Maßgebliche Anschaffungs-/Herstellungskosten zur Berechnung des gewichteten Abschreibungssatzes im Jahr 2012</v>
      </c>
      <c r="AM435" s="217"/>
      <c r="AT435" s="179">
        <f t="shared" ref="AT435" si="3056">AS320</f>
        <v>17707000</v>
      </c>
      <c r="AV435" s="112" t="str">
        <f t="shared" ref="AV435" si="3057">"Maßgebliche Anschaffungs-/Herstellungskosten zur Berechnung des gewichteten Abschreibungssatzes im Jahr "&amp;AT4</f>
        <v>Maßgebliche Anschaffungs-/Herstellungskosten zur Berechnung des gewichteten Abschreibungssatzes im Jahr 2013</v>
      </c>
      <c r="BD435" s="217"/>
      <c r="BK435" s="179">
        <f t="shared" ref="BK435" si="3058">BJ320</f>
        <v>17707000</v>
      </c>
      <c r="BM435" s="112" t="str">
        <f t="shared" ref="BM435" si="3059">"Maßgebliche Anschaffungs-/Herstellungskosten zur Berechnung des gewichteten Abschreibungssatzes im Jahr "&amp;BK4</f>
        <v>Maßgebliche Anschaffungs-/Herstellungskosten zur Berechnung des gewichteten Abschreibungssatzes im Jahr 2014</v>
      </c>
      <c r="BU435" s="217"/>
      <c r="CB435" s="179">
        <f t="shared" ref="CB435" si="3060">CA320</f>
        <v>17707000</v>
      </c>
      <c r="CD435" s="112" t="str">
        <f t="shared" ref="CD435" si="3061">"Maßgebliche Anschaffungs-/Herstellungskosten zur Berechnung des gewichteten Abschreibungssatzes im Jahr "&amp;CB4</f>
        <v>Maßgebliche Anschaffungs-/Herstellungskosten zur Berechnung des gewichteten Abschreibungssatzes im Jahr 2015</v>
      </c>
      <c r="CL435" s="217"/>
      <c r="CS435" s="179">
        <f t="shared" ref="CS435" si="3062">CR320</f>
        <v>17707000</v>
      </c>
      <c r="CU435" s="112" t="str">
        <f t="shared" ref="CU435" si="3063">"Maßgebliche Anschaffungs-/Herstellungskosten zur Berechnung des gewichteten Abschreibungssatzes im Jahr "&amp;CS4</f>
        <v>Maßgebliche Anschaffungs-/Herstellungskosten zur Berechnung des gewichteten Abschreibungssatzes im Jahr 2016</v>
      </c>
      <c r="DC435" s="217"/>
      <c r="DJ435" s="179">
        <f t="shared" ref="DJ435" si="3064">DI320</f>
        <v>17707000</v>
      </c>
      <c r="DL435" s="112" t="str">
        <f t="shared" ref="DL435" si="3065">"Maßgebliche Anschaffungs-/Herstellungskosten zur Berechnung des gewichteten Abschreibungssatzes im Jahr "&amp;DJ4</f>
        <v>Maßgebliche Anschaffungs-/Herstellungskosten zur Berechnung des gewichteten Abschreibungssatzes im Jahr 2017</v>
      </c>
      <c r="DT435" s="217"/>
      <c r="EA435" s="179">
        <f t="shared" ref="EA435" si="3066">DZ320</f>
        <v>17707000</v>
      </c>
      <c r="EC435" s="112" t="str">
        <f t="shared" ref="EC435" si="3067">"Maßgebliche Anschaffungs-/Herstellungskosten zur Berechnung des gewichteten Abschreibungssatzes im Jahr "&amp;EA4</f>
        <v>Maßgebliche Anschaffungs-/Herstellungskosten zur Berechnung des gewichteten Abschreibungssatzes im Jahr 2018</v>
      </c>
      <c r="EK435" s="217"/>
      <c r="ER435" s="179">
        <f t="shared" ref="ER435" si="3068">EQ320</f>
        <v>17707000</v>
      </c>
      <c r="ET435" s="112" t="str">
        <f t="shared" ref="ET435" si="3069">"Maßgebliche Anschaffungs-/Herstellungskosten zur Berechnung des gewichteten Abschreibungssatzes im Jahr "&amp;ER4</f>
        <v>Maßgebliche Anschaffungs-/Herstellungskosten zur Berechnung des gewichteten Abschreibungssatzes im Jahr 2019</v>
      </c>
      <c r="FB435" s="217"/>
      <c r="FI435" s="179">
        <f t="shared" ref="FI435" si="3070">FH320</f>
        <v>15344500</v>
      </c>
      <c r="FK435" s="112" t="str">
        <f t="shared" ref="FK435" si="3071">"Maßgebliche Anschaffungs-/Herstellungskosten zur Berechnung des gewichteten Abschreibungssatzes im Jahr "&amp;FI4</f>
        <v>Maßgebliche Anschaffungs-/Herstellungskosten zur Berechnung des gewichteten Abschreibungssatzes im Jahr 2020</v>
      </c>
      <c r="FS435" s="217"/>
    </row>
    <row r="436" spans="1:175" s="10" customFormat="1" ht="15" hidden="1" customHeight="1" x14ac:dyDescent="0.3">
      <c r="A436" s="112" t="str">
        <f>"Summe der Abschreibungen im Jahr "&amp;F4</f>
        <v xml:space="preserve">Summe der Abschreibungen im Jahr </v>
      </c>
      <c r="V436" s="217">
        <v>115</v>
      </c>
      <c r="AC436" s="179">
        <f>AC320</f>
        <v>354140</v>
      </c>
      <c r="AE436" s="112" t="str">
        <f>"Summe der Abschreibungen im Jahr "&amp;AJ4</f>
        <v>Summe der Abschreibungen im Jahr 2012</v>
      </c>
      <c r="AM436" s="217"/>
      <c r="AT436" s="179">
        <f t="shared" ref="AT436" si="3072">AT320</f>
        <v>354140</v>
      </c>
      <c r="AV436" s="112" t="str">
        <f t="shared" ref="AV436" si="3073">"Summe der Abschreibungen im Jahr "&amp;BA4</f>
        <v>Summe der Abschreibungen im Jahr 2013</v>
      </c>
      <c r="BD436" s="217"/>
      <c r="BK436" s="179">
        <f t="shared" ref="BK436" si="3074">BK320</f>
        <v>354140</v>
      </c>
      <c r="BM436" s="112" t="str">
        <f t="shared" ref="BM436" si="3075">"Summe der Abschreibungen im Jahr "&amp;BR4</f>
        <v>Summe der Abschreibungen im Jahr 2014</v>
      </c>
      <c r="BU436" s="217"/>
      <c r="CB436" s="179">
        <f t="shared" ref="CB436" si="3076">CB320</f>
        <v>354140</v>
      </c>
      <c r="CD436" s="112" t="str">
        <f t="shared" ref="CD436" si="3077">"Summe der Abschreibungen im Jahr "&amp;CI4</f>
        <v>Summe der Abschreibungen im Jahr 2015</v>
      </c>
      <c r="CL436" s="217"/>
      <c r="CS436" s="179">
        <f t="shared" ref="CS436" si="3078">CS320</f>
        <v>354140</v>
      </c>
      <c r="CU436" s="112" t="str">
        <f t="shared" ref="CU436" si="3079">"Summe der Abschreibungen im Jahr "&amp;CZ4</f>
        <v>Summe der Abschreibungen im Jahr 2016</v>
      </c>
      <c r="DC436" s="217"/>
      <c r="DJ436" s="179">
        <f t="shared" ref="DJ436" si="3080">DJ320</f>
        <v>354140</v>
      </c>
      <c r="DL436" s="112" t="str">
        <f t="shared" ref="DL436" si="3081">"Summe der Abschreibungen im Jahr "&amp;DQ4</f>
        <v>Summe der Abschreibungen im Jahr 2017</v>
      </c>
      <c r="DT436" s="217"/>
      <c r="EA436" s="179">
        <f t="shared" ref="EA436" si="3082">EA320</f>
        <v>354140</v>
      </c>
      <c r="EC436" s="112" t="str">
        <f t="shared" ref="EC436" si="3083">"Summe der Abschreibungen im Jahr "&amp;EH4</f>
        <v>Summe der Abschreibungen im Jahr 2018</v>
      </c>
      <c r="EK436" s="217"/>
      <c r="ER436" s="179">
        <f t="shared" ref="ER436" si="3084">ER320</f>
        <v>354140</v>
      </c>
      <c r="ET436" s="112" t="str">
        <f t="shared" ref="ET436" si="3085">"Summe der Abschreibungen im Jahr "&amp;EY4</f>
        <v>Summe der Abschreibungen im Jahr 2019</v>
      </c>
      <c r="FB436" s="217"/>
      <c r="FI436" s="179">
        <f t="shared" ref="FI436" si="3086">FI320</f>
        <v>306890</v>
      </c>
      <c r="FK436" s="112" t="str">
        <f t="shared" ref="FK436" si="3087">"Summe der Abschreibungen im Jahr "&amp;FP4</f>
        <v>Summe der Abschreibungen im Jahr 2020</v>
      </c>
      <c r="FS436" s="217"/>
    </row>
    <row r="437" spans="1:175" s="10" customFormat="1" ht="15" hidden="1" customHeight="1" x14ac:dyDescent="0.3">
      <c r="A437" s="112" t="s">
        <v>716</v>
      </c>
      <c r="V437" s="217">
        <v>116</v>
      </c>
      <c r="AC437" s="107">
        <f>IF(AC435&lt;&gt;0,ROUND(AC436/AC435,4),0)</f>
        <v>0.02</v>
      </c>
      <c r="AE437" s="112" t="str">
        <f>"Durchschnittlicher Abschreibungssatz im Jahr "&amp;AC4</f>
        <v>Durchschnittlicher Abschreibungssatz im Jahr 2012</v>
      </c>
      <c r="AM437" s="217"/>
      <c r="AT437" s="107">
        <f t="shared" ref="AT437" si="3088">IF(AT435&lt;&gt;0,ROUND(AT436/AT435,4),0)</f>
        <v>0.02</v>
      </c>
      <c r="AV437" s="112" t="str">
        <f t="shared" ref="AV437" si="3089">"Durchschnittlicher Abschreibungssatz im Jahr "&amp;AT4</f>
        <v>Durchschnittlicher Abschreibungssatz im Jahr 2013</v>
      </c>
      <c r="BD437" s="217"/>
      <c r="BK437" s="107">
        <f t="shared" ref="BK437" si="3090">IF(BK435&lt;&gt;0,ROUND(BK436/BK435,4),0)</f>
        <v>0.02</v>
      </c>
      <c r="BM437" s="112" t="str">
        <f t="shared" ref="BM437" si="3091">"Durchschnittlicher Abschreibungssatz im Jahr "&amp;BK4</f>
        <v>Durchschnittlicher Abschreibungssatz im Jahr 2014</v>
      </c>
      <c r="BU437" s="217"/>
      <c r="CB437" s="107">
        <f t="shared" ref="CB437" si="3092">IF(CB435&lt;&gt;0,ROUND(CB436/CB435,4),0)</f>
        <v>0.02</v>
      </c>
      <c r="CD437" s="112" t="str">
        <f t="shared" ref="CD437" si="3093">"Durchschnittlicher Abschreibungssatz im Jahr "&amp;CB4</f>
        <v>Durchschnittlicher Abschreibungssatz im Jahr 2015</v>
      </c>
      <c r="CL437" s="217"/>
      <c r="CS437" s="107">
        <f t="shared" ref="CS437" si="3094">IF(CS435&lt;&gt;0,ROUND(CS436/CS435,4),0)</f>
        <v>0.02</v>
      </c>
      <c r="CU437" s="112" t="str">
        <f t="shared" ref="CU437" si="3095">"Durchschnittlicher Abschreibungssatz im Jahr "&amp;CS4</f>
        <v>Durchschnittlicher Abschreibungssatz im Jahr 2016</v>
      </c>
      <c r="DC437" s="217"/>
      <c r="DJ437" s="107">
        <f t="shared" ref="DJ437" si="3096">IF(DJ435&lt;&gt;0,ROUND(DJ436/DJ435,4),0)</f>
        <v>0.02</v>
      </c>
      <c r="DL437" s="112" t="str">
        <f t="shared" ref="DL437" si="3097">"Durchschnittlicher Abschreibungssatz im Jahr "&amp;DJ4</f>
        <v>Durchschnittlicher Abschreibungssatz im Jahr 2017</v>
      </c>
      <c r="DT437" s="217"/>
      <c r="EA437" s="107">
        <f t="shared" ref="EA437" si="3098">IF(EA435&lt;&gt;0,ROUND(EA436/EA435,4),0)</f>
        <v>0.02</v>
      </c>
      <c r="EC437" s="112" t="str">
        <f t="shared" ref="EC437" si="3099">"Durchschnittlicher Abschreibungssatz im Jahr "&amp;EA4</f>
        <v>Durchschnittlicher Abschreibungssatz im Jahr 2018</v>
      </c>
      <c r="EK437" s="217"/>
      <c r="ER437" s="107">
        <f t="shared" ref="ER437" si="3100">IF(ER435&lt;&gt;0,ROUND(ER436/ER435,4),0)</f>
        <v>0.02</v>
      </c>
      <c r="ET437" s="112" t="str">
        <f t="shared" ref="ET437" si="3101">"Durchschnittlicher Abschreibungssatz im Jahr "&amp;ER4</f>
        <v>Durchschnittlicher Abschreibungssatz im Jahr 2019</v>
      </c>
      <c r="FB437" s="217"/>
      <c r="FI437" s="107">
        <f t="shared" ref="FI437" si="3102">IF(FI435&lt;&gt;0,ROUND(FI436/FI435,4),0)</f>
        <v>0.02</v>
      </c>
      <c r="FK437" s="112" t="str">
        <f t="shared" ref="FK437" si="3103">"Durchschnittlicher Abschreibungssatz im Jahr "&amp;FI4</f>
        <v>Durchschnittlicher Abschreibungssatz im Jahr 2020</v>
      </c>
      <c r="FS437" s="217"/>
    </row>
    <row r="438" spans="1:175" s="10" customFormat="1" ht="15" hidden="1" customHeight="1" x14ac:dyDescent="0.35">
      <c r="A438" s="402" t="s">
        <v>744</v>
      </c>
      <c r="V438" s="217">
        <v>117</v>
      </c>
      <c r="W438" s="184" t="s">
        <v>733</v>
      </c>
      <c r="AB438" s="667"/>
      <c r="AC438" s="179"/>
      <c r="AE438" s="402" t="s">
        <v>744</v>
      </c>
      <c r="AM438" s="217"/>
      <c r="AN438" s="184" t="s">
        <v>733</v>
      </c>
      <c r="AS438" s="667"/>
      <c r="AT438" s="179"/>
      <c r="AV438" s="402" t="s">
        <v>744</v>
      </c>
      <c r="BD438" s="217"/>
      <c r="BE438" s="184" t="s">
        <v>733</v>
      </c>
      <c r="BJ438" s="667"/>
      <c r="BK438" s="179"/>
      <c r="BM438" s="402" t="s">
        <v>744</v>
      </c>
      <c r="BU438" s="217"/>
      <c r="BV438" s="184" t="s">
        <v>733</v>
      </c>
      <c r="CA438" s="667"/>
      <c r="CB438" s="179"/>
      <c r="CD438" s="402" t="s">
        <v>744</v>
      </c>
      <c r="CL438" s="217"/>
      <c r="CM438" s="184" t="s">
        <v>733</v>
      </c>
      <c r="CR438" s="667"/>
      <c r="CS438" s="179"/>
      <c r="CU438" s="402" t="s">
        <v>744</v>
      </c>
      <c r="DC438" s="217"/>
      <c r="DD438" s="184" t="s">
        <v>733</v>
      </c>
      <c r="DI438" s="667"/>
      <c r="DJ438" s="179"/>
      <c r="DL438" s="402" t="s">
        <v>744</v>
      </c>
      <c r="DT438" s="217"/>
      <c r="DU438" s="184" t="s">
        <v>733</v>
      </c>
      <c r="DZ438" s="667"/>
      <c r="EA438" s="179"/>
      <c r="EC438" s="402" t="s">
        <v>744</v>
      </c>
      <c r="EK438" s="217"/>
      <c r="EL438" s="184" t="s">
        <v>733</v>
      </c>
      <c r="EQ438" s="667"/>
      <c r="ER438" s="179"/>
      <c r="ET438" s="402" t="s">
        <v>744</v>
      </c>
      <c r="FB438" s="217"/>
      <c r="FC438" s="184" t="s">
        <v>733</v>
      </c>
      <c r="FH438" s="667"/>
      <c r="FI438" s="179"/>
      <c r="FK438" s="402" t="s">
        <v>744</v>
      </c>
      <c r="FS438" s="217"/>
    </row>
    <row r="439" spans="1:175" s="10" customFormat="1" ht="15" hidden="1" customHeight="1" x14ac:dyDescent="0.3">
      <c r="A439" s="106" t="s">
        <v>763</v>
      </c>
      <c r="V439" s="217">
        <v>118</v>
      </c>
      <c r="AB439" s="667" t="s">
        <v>729</v>
      </c>
      <c r="AC439" s="179">
        <f>AA320</f>
        <v>18783000</v>
      </c>
      <c r="AE439" s="106" t="str">
        <f>"Gesamtherstellungskosten bis Ende des Jahres  "&amp;AC4</f>
        <v>Gesamtherstellungskosten bis Ende des Jahres  2012</v>
      </c>
      <c r="AM439" s="217"/>
      <c r="AS439" s="667" t="s">
        <v>729</v>
      </c>
      <c r="AT439" s="179">
        <f t="shared" ref="AT439" si="3104">AR320</f>
        <v>18783000</v>
      </c>
      <c r="AV439" s="106" t="str">
        <f t="shared" ref="AV439" si="3105">"Gesamtherstellungskosten bis Ende des Jahres  "&amp;AT4</f>
        <v>Gesamtherstellungskosten bis Ende des Jahres  2013</v>
      </c>
      <c r="BD439" s="217"/>
      <c r="BJ439" s="667" t="s">
        <v>729</v>
      </c>
      <c r="BK439" s="179">
        <f t="shared" ref="BK439" si="3106">BI320</f>
        <v>18783000</v>
      </c>
      <c r="BM439" s="106" t="str">
        <f t="shared" ref="BM439" si="3107">"Gesamtherstellungskosten bis Ende des Jahres  "&amp;BK4</f>
        <v>Gesamtherstellungskosten bis Ende des Jahres  2014</v>
      </c>
      <c r="BU439" s="217"/>
      <c r="CA439" s="667" t="s">
        <v>729</v>
      </c>
      <c r="CB439" s="179">
        <f t="shared" ref="CB439" si="3108">BZ320</f>
        <v>18783000</v>
      </c>
      <c r="CD439" s="106" t="str">
        <f t="shared" ref="CD439" si="3109">"Gesamtherstellungskosten bis Ende des Jahres  "&amp;CB4</f>
        <v>Gesamtherstellungskosten bis Ende des Jahres  2015</v>
      </c>
      <c r="CL439" s="217"/>
      <c r="CR439" s="667" t="s">
        <v>729</v>
      </c>
      <c r="CS439" s="179">
        <f t="shared" ref="CS439" si="3110">CQ320</f>
        <v>18783000</v>
      </c>
      <c r="CU439" s="106" t="str">
        <f t="shared" ref="CU439" si="3111">"Gesamtherstellungskosten bis Ende des Jahres  "&amp;CS4</f>
        <v>Gesamtherstellungskosten bis Ende des Jahres  2016</v>
      </c>
      <c r="DC439" s="217"/>
      <c r="DI439" s="667" t="s">
        <v>729</v>
      </c>
      <c r="DJ439" s="179">
        <f t="shared" ref="DJ439" si="3112">DH320</f>
        <v>18783000</v>
      </c>
      <c r="DL439" s="106" t="str">
        <f t="shared" ref="DL439" si="3113">"Gesamtherstellungskosten bis Ende des Jahres  "&amp;DJ4</f>
        <v>Gesamtherstellungskosten bis Ende des Jahres  2017</v>
      </c>
      <c r="DT439" s="217"/>
      <c r="DZ439" s="667" t="s">
        <v>729</v>
      </c>
      <c r="EA439" s="179">
        <f t="shared" ref="EA439" si="3114">DY320</f>
        <v>18783000</v>
      </c>
      <c r="EC439" s="106" t="str">
        <f t="shared" ref="EC439" si="3115">"Gesamtherstellungskosten bis Ende des Jahres  "&amp;EA4</f>
        <v>Gesamtherstellungskosten bis Ende des Jahres  2018</v>
      </c>
      <c r="EK439" s="217"/>
      <c r="EQ439" s="667" t="s">
        <v>729</v>
      </c>
      <c r="ER439" s="179">
        <f t="shared" ref="ER439" si="3116">EP320</f>
        <v>18783000</v>
      </c>
      <c r="ET439" s="106" t="str">
        <f t="shared" ref="ET439" si="3117">"Gesamtherstellungskosten bis Ende des Jahres  "&amp;ER4</f>
        <v>Gesamtherstellungskosten bis Ende des Jahres  2019</v>
      </c>
      <c r="FB439" s="217"/>
      <c r="FH439" s="667" t="s">
        <v>729</v>
      </c>
      <c r="FI439" s="179">
        <f t="shared" ref="FI439" si="3118">FG320</f>
        <v>18783000</v>
      </c>
      <c r="FK439" s="106" t="str">
        <f t="shared" ref="FK439" si="3119">"Gesamtherstellungskosten bis Ende des Jahres  "&amp;FI4</f>
        <v>Gesamtherstellungskosten bis Ende des Jahres  2020</v>
      </c>
      <c r="FS439" s="217"/>
    </row>
    <row r="440" spans="1:175" s="10" customFormat="1" ht="15" hidden="1" customHeight="1" x14ac:dyDescent="0.3">
      <c r="A440" s="106" t="s">
        <v>726</v>
      </c>
      <c r="V440" s="217">
        <v>119</v>
      </c>
      <c r="AB440" s="179">
        <f>AC439-AC440</f>
        <v>0</v>
      </c>
      <c r="AC440" s="179">
        <f>AA348</f>
        <v>18783000</v>
      </c>
      <c r="AE440" s="106" t="s">
        <v>726</v>
      </c>
      <c r="AM440" s="217"/>
      <c r="AS440" s="179">
        <f t="shared" ref="AS440" si="3120">AT439-AT440</f>
        <v>0</v>
      </c>
      <c r="AT440" s="179">
        <f t="shared" ref="AT440" si="3121">AR348</f>
        <v>18783000</v>
      </c>
      <c r="AV440" s="106" t="s">
        <v>726</v>
      </c>
      <c r="BD440" s="217"/>
      <c r="BJ440" s="179">
        <f t="shared" ref="BJ440" si="3122">BK439-BK440</f>
        <v>0</v>
      </c>
      <c r="BK440" s="179">
        <f t="shared" ref="BK440" si="3123">BI348</f>
        <v>18783000</v>
      </c>
      <c r="BM440" s="106" t="s">
        <v>726</v>
      </c>
      <c r="BU440" s="217"/>
      <c r="CA440" s="179">
        <f t="shared" ref="CA440" si="3124">CB439-CB440</f>
        <v>0</v>
      </c>
      <c r="CB440" s="179">
        <f t="shared" ref="CB440" si="3125">BZ348</f>
        <v>18783000</v>
      </c>
      <c r="CD440" s="106" t="s">
        <v>726</v>
      </c>
      <c r="CL440" s="217"/>
      <c r="CR440" s="179">
        <f t="shared" ref="CR440" si="3126">CS439-CS440</f>
        <v>0</v>
      </c>
      <c r="CS440" s="179">
        <f t="shared" ref="CS440" si="3127">CQ348</f>
        <v>18783000</v>
      </c>
      <c r="CU440" s="106" t="s">
        <v>726</v>
      </c>
      <c r="DC440" s="217"/>
      <c r="DI440" s="179">
        <f t="shared" ref="DI440" si="3128">DJ439-DJ440</f>
        <v>0</v>
      </c>
      <c r="DJ440" s="179">
        <f t="shared" ref="DJ440" si="3129">DH348</f>
        <v>18783000</v>
      </c>
      <c r="DL440" s="106" t="s">
        <v>726</v>
      </c>
      <c r="DT440" s="217"/>
      <c r="DZ440" s="179">
        <f t="shared" ref="DZ440" si="3130">EA439-EA440</f>
        <v>0</v>
      </c>
      <c r="EA440" s="179">
        <f t="shared" ref="EA440" si="3131">DY348</f>
        <v>18783000</v>
      </c>
      <c r="EC440" s="106" t="s">
        <v>726</v>
      </c>
      <c r="EK440" s="217"/>
      <c r="EQ440" s="179">
        <f t="shared" ref="EQ440" si="3132">ER439-ER440</f>
        <v>0</v>
      </c>
      <c r="ER440" s="179">
        <f t="shared" ref="ER440" si="3133">EP348</f>
        <v>18783000</v>
      </c>
      <c r="ET440" s="106" t="s">
        <v>726</v>
      </c>
      <c r="FB440" s="217"/>
      <c r="FH440" s="179">
        <f t="shared" ref="FH440" si="3134">FI439-FI440</f>
        <v>0</v>
      </c>
      <c r="FI440" s="179">
        <f t="shared" ref="FI440" si="3135">FG348</f>
        <v>18783000</v>
      </c>
      <c r="FK440" s="106" t="s">
        <v>726</v>
      </c>
      <c r="FS440" s="217"/>
    </row>
    <row r="441" spans="1:175" s="10" customFormat="1" ht="15" hidden="1" customHeight="1" x14ac:dyDescent="0.3">
      <c r="A441" s="106" t="s">
        <v>727</v>
      </c>
      <c r="V441" s="217">
        <v>120</v>
      </c>
      <c r="AB441" s="179"/>
      <c r="AC441" s="179">
        <f>AC320</f>
        <v>354140</v>
      </c>
      <c r="AE441" s="106" t="s">
        <v>727</v>
      </c>
      <c r="AM441" s="217"/>
      <c r="AS441" s="179"/>
      <c r="AT441" s="179">
        <f t="shared" ref="AT441" si="3136">AT320</f>
        <v>354140</v>
      </c>
      <c r="AV441" s="106" t="s">
        <v>727</v>
      </c>
      <c r="BD441" s="217"/>
      <c r="BJ441" s="179"/>
      <c r="BK441" s="179">
        <f t="shared" ref="BK441" si="3137">BK320</f>
        <v>354140</v>
      </c>
      <c r="BM441" s="106" t="s">
        <v>727</v>
      </c>
      <c r="BU441" s="217"/>
      <c r="CA441" s="179"/>
      <c r="CB441" s="179">
        <f t="shared" ref="CB441" si="3138">CB320</f>
        <v>354140</v>
      </c>
      <c r="CD441" s="106" t="s">
        <v>727</v>
      </c>
      <c r="CL441" s="217"/>
      <c r="CR441" s="179"/>
      <c r="CS441" s="179">
        <f t="shared" ref="CS441" si="3139">CS320</f>
        <v>354140</v>
      </c>
      <c r="CU441" s="106" t="s">
        <v>727</v>
      </c>
      <c r="DC441" s="217"/>
      <c r="DI441" s="179"/>
      <c r="DJ441" s="179">
        <f t="shared" ref="DJ441" si="3140">DJ320</f>
        <v>354140</v>
      </c>
      <c r="DL441" s="106" t="s">
        <v>727</v>
      </c>
      <c r="DT441" s="217"/>
      <c r="DZ441" s="179"/>
      <c r="EA441" s="179">
        <f t="shared" ref="EA441" si="3141">EA320</f>
        <v>354140</v>
      </c>
      <c r="EC441" s="106" t="s">
        <v>727</v>
      </c>
      <c r="EK441" s="217"/>
      <c r="EQ441" s="179"/>
      <c r="ER441" s="179">
        <f t="shared" ref="ER441" si="3142">ER320</f>
        <v>354140</v>
      </c>
      <c r="ET441" s="106" t="s">
        <v>727</v>
      </c>
      <c r="FB441" s="217"/>
      <c r="FH441" s="179"/>
      <c r="FI441" s="179">
        <f t="shared" ref="FI441" si="3143">FI320</f>
        <v>306890</v>
      </c>
      <c r="FK441" s="106" t="s">
        <v>727</v>
      </c>
      <c r="FS441" s="217"/>
    </row>
    <row r="442" spans="1:175" s="10" customFormat="1" ht="15" hidden="1" customHeight="1" x14ac:dyDescent="0.3">
      <c r="A442" s="106" t="s">
        <v>728</v>
      </c>
      <c r="V442" s="217">
        <v>121</v>
      </c>
      <c r="AB442" s="179">
        <f>AC441-AC442</f>
        <v>0</v>
      </c>
      <c r="AC442" s="179">
        <f>AC348</f>
        <v>354140</v>
      </c>
      <c r="AE442" s="106" t="s">
        <v>728</v>
      </c>
      <c r="AM442" s="217"/>
      <c r="AS442" s="179">
        <f t="shared" ref="AS442" si="3144">AT441-AT442</f>
        <v>0</v>
      </c>
      <c r="AT442" s="179">
        <f t="shared" ref="AT442" si="3145">AT348</f>
        <v>354140</v>
      </c>
      <c r="AV442" s="106" t="s">
        <v>728</v>
      </c>
      <c r="BD442" s="217"/>
      <c r="BJ442" s="179">
        <f t="shared" ref="BJ442" si="3146">BK441-BK442</f>
        <v>0</v>
      </c>
      <c r="BK442" s="179">
        <f t="shared" ref="BK442" si="3147">BK348</f>
        <v>354140</v>
      </c>
      <c r="BM442" s="106" t="s">
        <v>728</v>
      </c>
      <c r="BU442" s="217"/>
      <c r="CA442" s="179">
        <f t="shared" ref="CA442" si="3148">CB441-CB442</f>
        <v>0</v>
      </c>
      <c r="CB442" s="179">
        <f t="shared" ref="CB442" si="3149">CB348</f>
        <v>354140</v>
      </c>
      <c r="CD442" s="106" t="s">
        <v>728</v>
      </c>
      <c r="CL442" s="217"/>
      <c r="CR442" s="179">
        <f t="shared" ref="CR442" si="3150">CS441-CS442</f>
        <v>0</v>
      </c>
      <c r="CS442" s="179">
        <f t="shared" ref="CS442" si="3151">CS348</f>
        <v>354140</v>
      </c>
      <c r="CU442" s="106" t="s">
        <v>728</v>
      </c>
      <c r="DC442" s="217"/>
      <c r="DI442" s="179">
        <f t="shared" ref="DI442" si="3152">DJ441-DJ442</f>
        <v>0</v>
      </c>
      <c r="DJ442" s="179">
        <f t="shared" ref="DJ442" si="3153">DJ348</f>
        <v>354140</v>
      </c>
      <c r="DL442" s="106" t="s">
        <v>728</v>
      </c>
      <c r="DT442" s="217"/>
      <c r="DZ442" s="179">
        <f t="shared" ref="DZ442" si="3154">EA441-EA442</f>
        <v>0</v>
      </c>
      <c r="EA442" s="179">
        <f t="shared" ref="EA442" si="3155">EA348</f>
        <v>354140</v>
      </c>
      <c r="EC442" s="106" t="s">
        <v>728</v>
      </c>
      <c r="EK442" s="217"/>
      <c r="EQ442" s="179">
        <f t="shared" ref="EQ442" si="3156">ER441-ER442</f>
        <v>0</v>
      </c>
      <c r="ER442" s="179">
        <f t="shared" ref="ER442" si="3157">ER348</f>
        <v>354140</v>
      </c>
      <c r="ET442" s="106" t="s">
        <v>728</v>
      </c>
      <c r="FB442" s="217"/>
      <c r="FH442" s="179">
        <f t="shared" ref="FH442" si="3158">FI441-FI442</f>
        <v>0</v>
      </c>
      <c r="FI442" s="179">
        <f t="shared" ref="FI442" si="3159">FI348</f>
        <v>306890</v>
      </c>
      <c r="FK442" s="106" t="s">
        <v>728</v>
      </c>
      <c r="FS442" s="217"/>
    </row>
    <row r="443" spans="1:175" s="10" customFormat="1" ht="15" hidden="1" customHeight="1" x14ac:dyDescent="0.3">
      <c r="A443" s="223" t="s">
        <v>730</v>
      </c>
      <c r="V443" s="217">
        <v>122</v>
      </c>
      <c r="AC443" s="179">
        <f>ROUND((AF320-X320+Z320+AD320/2)*HLOOKUP(AC322,Grund_zins,2,FALSE),2)+ROUND((AH320*HLOOKUP(AC322,Grund_zins,2,FALSE)+AI320*HLOOKUP(AC322,Grund_zins,2,FALSE)/2),2)</f>
        <v>339512.95</v>
      </c>
      <c r="AE443" s="223" t="s">
        <v>730</v>
      </c>
      <c r="AM443" s="217"/>
      <c r="AT443" s="179">
        <f>ROUND((AW320-AO320+AQ320+AU320/2)*HLOOKUP(AT322,Grund_zins,2,FALSE),2)+ROUND((AY320*HLOOKUP(AT322,Grund_zins,2,FALSE)+AZ320*HLOOKUP(AT322,Grund_zins,2,FALSE)/2),2)</f>
        <v>327118.05</v>
      </c>
      <c r="AV443" s="223" t="s">
        <v>730</v>
      </c>
      <c r="BD443" s="217"/>
      <c r="BK443" s="179">
        <f>ROUND((BN320-BF320+BH320+BL320/2)*HLOOKUP(BK322,Grund_zins,2,FALSE),2)+ROUND((BP320*HLOOKUP(BK322,Grund_zins,2,FALSE)+BQ320*HLOOKUP(BK322,Grund_zins,2,FALSE)/2),2)</f>
        <v>314723.15000000002</v>
      </c>
      <c r="BM443" s="223" t="s">
        <v>730</v>
      </c>
      <c r="BU443" s="217"/>
      <c r="CB443" s="179">
        <f>ROUND((CE320-BW320+BY320+CC320/2)*HLOOKUP(CB322,Grund_zins,2,FALSE),2)+ROUND((CG320*HLOOKUP(CB322,Grund_zins,2,FALSE)+CH320*HLOOKUP(CB322,Grund_zins,2,FALSE)/2),2)</f>
        <v>302328.25</v>
      </c>
      <c r="CD443" s="223" t="s">
        <v>730</v>
      </c>
      <c r="CL443" s="217"/>
      <c r="CS443" s="179">
        <f>ROUND((CV320-CN320+CP320+CT320/2)*HLOOKUP(CS322,Grund_zins,2,FALSE),2)+ROUND((CX320*HLOOKUP(CS322,Grund_zins,2,FALSE)+CY320*HLOOKUP(CS322,Grund_zins,2,FALSE)/2),2)</f>
        <v>289933.34999999998</v>
      </c>
      <c r="CU443" s="223" t="s">
        <v>730</v>
      </c>
      <c r="DC443" s="217"/>
      <c r="DJ443" s="179">
        <f>ROUND((DM320-DE320+DG320+DK320/2)*HLOOKUP(DJ322,Grund_zins,2,FALSE),2)+ROUND((DO320*HLOOKUP(DJ322,Grund_zins,2,FALSE)+DP320*HLOOKUP(DJ322,Grund_zins,2,FALSE)/2),2)</f>
        <v>237890.1</v>
      </c>
      <c r="DL443" s="223" t="s">
        <v>730</v>
      </c>
      <c r="DT443" s="217"/>
      <c r="EA443" s="179">
        <f>ROUND((ED320-DV320+DX320+EB320/2)*HLOOKUP(EA322,Grund_zins,2,FALSE),2)+ROUND((EF320*HLOOKUP(EA322,Grund_zins,2,FALSE)+EG320*HLOOKUP(EA322,Grund_zins,2,FALSE)/2),2)</f>
        <v>227265.9</v>
      </c>
      <c r="EC443" s="223" t="s">
        <v>730</v>
      </c>
      <c r="EK443" s="217"/>
      <c r="ER443" s="179">
        <f>ROUND((EU320-EM320+EO320+ES320/2)*HLOOKUP(ER322,Grund_zins,2,FALSE),2)+ROUND((EW320*HLOOKUP(ER322,Grund_zins,2,FALSE)+EX320*HLOOKUP(ER322,Grund_zins,2,FALSE)/2),2)</f>
        <v>216641.7</v>
      </c>
      <c r="ET443" s="223" t="s">
        <v>730</v>
      </c>
      <c r="FB443" s="217"/>
      <c r="FI443" s="179">
        <f>ROUND((FL320-FD320+FF320+FJ320/2)*HLOOKUP(FI322,Grund_zins,2,FALSE),2)+ROUND((FN320*HLOOKUP(FI322,Grund_zins,2,FALSE)+FO320*HLOOKUP(FI322,Grund_zins,2,FALSE)/2),2)</f>
        <v>206726.25</v>
      </c>
      <c r="FK443" s="223" t="s">
        <v>730</v>
      </c>
      <c r="FS443" s="217"/>
    </row>
    <row r="444" spans="1:175" s="10" customFormat="1" ht="15" hidden="1" customHeight="1" x14ac:dyDescent="0.3">
      <c r="A444" s="106" t="s">
        <v>731</v>
      </c>
      <c r="V444" s="217">
        <v>123</v>
      </c>
      <c r="AB444" s="179">
        <f>AC443-AC444</f>
        <v>0</v>
      </c>
      <c r="AC444" s="179">
        <f>AC428</f>
        <v>339512.95</v>
      </c>
      <c r="AE444" s="106" t="s">
        <v>731</v>
      </c>
      <c r="AM444" s="217"/>
      <c r="AS444" s="179">
        <f t="shared" ref="AS444" si="3160">AT443-AT444</f>
        <v>0</v>
      </c>
      <c r="AT444" s="179">
        <f t="shared" ref="AT444" si="3161">AT428</f>
        <v>327118.05</v>
      </c>
      <c r="AV444" s="106" t="s">
        <v>731</v>
      </c>
      <c r="BD444" s="217"/>
      <c r="BJ444" s="179">
        <f t="shared" ref="BJ444" si="3162">BK443-BK444</f>
        <v>0</v>
      </c>
      <c r="BK444" s="179">
        <f t="shared" ref="BK444" si="3163">BK428</f>
        <v>314723.15000000002</v>
      </c>
      <c r="BM444" s="106" t="s">
        <v>731</v>
      </c>
      <c r="BU444" s="217"/>
      <c r="CA444" s="179">
        <f t="shared" ref="CA444" si="3164">CB443-CB444</f>
        <v>0</v>
      </c>
      <c r="CB444" s="179">
        <f t="shared" ref="CB444" si="3165">CB428</f>
        <v>302328.25</v>
      </c>
      <c r="CD444" s="106" t="s">
        <v>731</v>
      </c>
      <c r="CL444" s="217"/>
      <c r="CR444" s="179">
        <f t="shared" ref="CR444" si="3166">CS443-CS444</f>
        <v>0</v>
      </c>
      <c r="CS444" s="179">
        <f t="shared" ref="CS444" si="3167">CS428</f>
        <v>289933.34999999998</v>
      </c>
      <c r="CU444" s="106" t="s">
        <v>731</v>
      </c>
      <c r="DC444" s="217"/>
      <c r="DI444" s="179">
        <f t="shared" ref="DI444" si="3168">DJ443-DJ444</f>
        <v>0</v>
      </c>
      <c r="DJ444" s="179">
        <f t="shared" ref="DJ444" si="3169">DJ428</f>
        <v>237890.1</v>
      </c>
      <c r="DL444" s="106" t="s">
        <v>731</v>
      </c>
      <c r="DT444" s="217"/>
      <c r="DZ444" s="179">
        <f t="shared" ref="DZ444" si="3170">EA443-EA444</f>
        <v>0</v>
      </c>
      <c r="EA444" s="179">
        <f t="shared" ref="EA444" si="3171">EA428</f>
        <v>227265.9</v>
      </c>
      <c r="EC444" s="106" t="s">
        <v>731</v>
      </c>
      <c r="EK444" s="217"/>
      <c r="EQ444" s="179">
        <f t="shared" ref="EQ444" si="3172">ER443-ER444</f>
        <v>0</v>
      </c>
      <c r="ER444" s="179">
        <f t="shared" ref="ER444" si="3173">ER428</f>
        <v>216641.7</v>
      </c>
      <c r="ET444" s="106" t="s">
        <v>731</v>
      </c>
      <c r="FB444" s="217"/>
      <c r="FH444" s="179">
        <f t="shared" ref="FH444" si="3174">FI443-FI444</f>
        <v>0</v>
      </c>
      <c r="FI444" s="179">
        <f t="shared" ref="FI444" si="3175">FI428</f>
        <v>206726.25</v>
      </c>
      <c r="FK444" s="106" t="s">
        <v>731</v>
      </c>
      <c r="FS444" s="217"/>
    </row>
    <row r="445" spans="1:175" s="10" customFormat="1" ht="18.75" hidden="1" customHeight="1" x14ac:dyDescent="0.35">
      <c r="A445" s="105" t="s">
        <v>299</v>
      </c>
      <c r="V445" s="217">
        <v>124</v>
      </c>
      <c r="W445" s="105" t="s">
        <v>299</v>
      </c>
      <c r="AM445" s="217"/>
      <c r="AN445" s="105" t="s">
        <v>299</v>
      </c>
      <c r="BD445" s="217"/>
      <c r="BE445" s="105" t="s">
        <v>299</v>
      </c>
      <c r="BU445" s="217"/>
      <c r="BV445" s="105" t="s">
        <v>299</v>
      </c>
      <c r="CL445" s="217"/>
      <c r="CM445" s="105" t="s">
        <v>299</v>
      </c>
      <c r="DC445" s="217"/>
      <c r="DD445" s="105" t="s">
        <v>299</v>
      </c>
      <c r="DT445" s="217"/>
      <c r="DU445" s="105" t="s">
        <v>299</v>
      </c>
      <c r="EK445" s="217"/>
      <c r="EL445" s="105" t="s">
        <v>299</v>
      </c>
      <c r="FB445" s="217"/>
      <c r="FC445" s="105" t="s">
        <v>299</v>
      </c>
      <c r="FS445" s="217"/>
    </row>
    <row r="446" spans="1:175" s="10" customFormat="1" ht="15" hidden="1" customHeight="1" x14ac:dyDescent="0.3">
      <c r="A446" s="657" t="s">
        <v>314</v>
      </c>
      <c r="V446" s="217">
        <v>125</v>
      </c>
      <c r="AB446" s="179"/>
      <c r="AE446" s="657" t="s">
        <v>314</v>
      </c>
      <c r="AM446" s="217"/>
      <c r="AS446" s="179"/>
      <c r="AV446" s="658" t="s">
        <v>314</v>
      </c>
      <c r="BD446" s="217"/>
      <c r="BJ446" s="179"/>
      <c r="BM446" s="658" t="s">
        <v>314</v>
      </c>
      <c r="BU446" s="217"/>
      <c r="CA446" s="179"/>
      <c r="CD446" s="658" t="s">
        <v>314</v>
      </c>
      <c r="CL446" s="217"/>
      <c r="CR446" s="179"/>
      <c r="CU446" s="658" t="s">
        <v>314</v>
      </c>
      <c r="DC446" s="217"/>
      <c r="DI446" s="179"/>
      <c r="DL446" s="658" t="s">
        <v>314</v>
      </c>
      <c r="DT446" s="217"/>
      <c r="DZ446" s="179"/>
      <c r="EC446" s="658" t="s">
        <v>314</v>
      </c>
      <c r="EK446" s="217"/>
      <c r="EQ446" s="179"/>
      <c r="ET446" s="658" t="s">
        <v>314</v>
      </c>
      <c r="FB446" s="217"/>
      <c r="FH446" s="179"/>
      <c r="FK446" s="658" t="s">
        <v>314</v>
      </c>
      <c r="FS446" s="217"/>
    </row>
    <row r="447" spans="1:175" s="10" customFormat="1" ht="15" hidden="1" customHeight="1" x14ac:dyDescent="0.3">
      <c r="A447" s="223" t="s">
        <v>300</v>
      </c>
      <c r="V447" s="217">
        <v>126</v>
      </c>
      <c r="AA447" s="179">
        <f>SUMIF($D$5:$D$319,"=kas",AA5:AA319)+SUMIF($D$5:$D$319,"=kam",AA5:AA319)+SUMIF($D$5:$D$319,"=kar",AA5:AA319)</f>
        <v>16501000</v>
      </c>
      <c r="AC447" s="668">
        <f>SUM(AC448:AC450)</f>
        <v>1.0000100000000001</v>
      </c>
      <c r="AE447" s="223" t="s">
        <v>665</v>
      </c>
      <c r="AM447" s="217"/>
      <c r="AR447" s="179">
        <f t="shared" ref="AR447" si="3176">SUMIF($D$5:$D$319,"=kas",AR5:AR319)+SUMIF($D$5:$D$319,"=kam",AR5:AR319)+SUMIF($D$5:$D$319,"=kar",AR5:AR319)</f>
        <v>16501000</v>
      </c>
      <c r="AT447" s="668">
        <f t="shared" ref="AT447" si="3177">SUM(AT448:AT450)</f>
        <v>1.0000100000000001</v>
      </c>
      <c r="AV447" s="223" t="s">
        <v>665</v>
      </c>
      <c r="BD447" s="217"/>
      <c r="BI447" s="179">
        <f t="shared" ref="BI447" si="3178">SUMIF($D$5:$D$319,"=kas",BI5:BI319)+SUMIF($D$5:$D$319,"=kam",BI5:BI319)+SUMIF($D$5:$D$319,"=kar",BI5:BI319)</f>
        <v>16501000</v>
      </c>
      <c r="BK447" s="668">
        <f t="shared" ref="BK447" si="3179">SUM(BK448:BK450)</f>
        <v>1.0000100000000001</v>
      </c>
      <c r="BM447" s="223" t="s">
        <v>665</v>
      </c>
      <c r="BU447" s="217"/>
      <c r="BZ447" s="179">
        <f t="shared" ref="BZ447" si="3180">SUMIF($D$5:$D$319,"=kas",BZ5:BZ319)+SUMIF($D$5:$D$319,"=kam",BZ5:BZ319)+SUMIF($D$5:$D$319,"=kar",BZ5:BZ319)</f>
        <v>16501000</v>
      </c>
      <c r="CB447" s="668">
        <f t="shared" ref="CB447" si="3181">SUM(CB448:CB450)</f>
        <v>1.0000100000000001</v>
      </c>
      <c r="CD447" s="223" t="s">
        <v>665</v>
      </c>
      <c r="CL447" s="217"/>
      <c r="CQ447" s="179">
        <f t="shared" ref="CQ447" si="3182">SUMIF($D$5:$D$319,"=kas",CQ5:CQ319)+SUMIF($D$5:$D$319,"=kam",CQ5:CQ319)+SUMIF($D$5:$D$319,"=kar",CQ5:CQ319)</f>
        <v>16501000</v>
      </c>
      <c r="CS447" s="668">
        <f t="shared" ref="CS447" si="3183">SUM(CS448:CS450)</f>
        <v>1.0000100000000001</v>
      </c>
      <c r="CU447" s="223" t="s">
        <v>665</v>
      </c>
      <c r="DC447" s="217"/>
      <c r="DH447" s="179">
        <f t="shared" ref="DH447" si="3184">SUMIF($D$5:$D$319,"=kas",DH5:DH319)+SUMIF($D$5:$D$319,"=kam",DH5:DH319)+SUMIF($D$5:$D$319,"=kar",DH5:DH319)</f>
        <v>16501000</v>
      </c>
      <c r="DJ447" s="668">
        <f t="shared" ref="DJ447" si="3185">SUM(DJ448:DJ450)</f>
        <v>1.0000100000000001</v>
      </c>
      <c r="DL447" s="223" t="s">
        <v>665</v>
      </c>
      <c r="DT447" s="217"/>
      <c r="DY447" s="179">
        <f t="shared" ref="DY447" si="3186">SUMIF($D$5:$D$319,"=kas",DY5:DY319)+SUMIF($D$5:$D$319,"=kam",DY5:DY319)+SUMIF($D$5:$D$319,"=kar",DY5:DY319)</f>
        <v>16501000</v>
      </c>
      <c r="EA447" s="668">
        <f t="shared" ref="EA447" si="3187">SUM(EA448:EA450)</f>
        <v>1.0000100000000001</v>
      </c>
      <c r="EC447" s="223" t="s">
        <v>665</v>
      </c>
      <c r="EK447" s="217"/>
      <c r="EP447" s="179">
        <f t="shared" ref="EP447" si="3188">SUMIF($D$5:$D$319,"=kas",EP5:EP319)+SUMIF($D$5:$D$319,"=kam",EP5:EP319)+SUMIF($D$5:$D$319,"=kar",EP5:EP319)</f>
        <v>16501000</v>
      </c>
      <c r="ER447" s="668">
        <f t="shared" ref="ER447" si="3189">SUM(ER448:ER450)</f>
        <v>1.0000100000000001</v>
      </c>
      <c r="ET447" s="223" t="s">
        <v>665</v>
      </c>
      <c r="FB447" s="217"/>
      <c r="FG447" s="179">
        <f t="shared" ref="FG447" si="3190">SUMIF($D$5:$D$319,"=kas",FG5:FG319)+SUMIF($D$5:$D$319,"=kam",FG5:FG319)+SUMIF($D$5:$D$319,"=kar",FG5:FG319)</f>
        <v>16501000</v>
      </c>
      <c r="FI447" s="668">
        <f t="shared" ref="FI447" si="3191">SUM(FI448:FI450)</f>
        <v>1.0000100000000001</v>
      </c>
      <c r="FK447" s="223" t="s">
        <v>665</v>
      </c>
      <c r="FS447" s="217"/>
    </row>
    <row r="448" spans="1:175" s="10" customFormat="1" ht="15" hidden="1" customHeight="1" x14ac:dyDescent="0.3">
      <c r="A448" s="656" t="s">
        <v>301</v>
      </c>
      <c r="V448" s="217">
        <v>127</v>
      </c>
      <c r="AA448" s="179">
        <f>SUMIF($D$5:$D$319,"=kas",AA5:AA319)*HLOOKUP(AC322,Verteil_sw,6,FALSE)+SUMIF($D$5:$D$319,"=kam",AA5:AA319)*HLOOKUP(AC322,Verteil_sw,7,FALSE)+SUMIF($D$5:$D$319,"=kar",AA5:AA319)*HLOOKUP(AC322,Verteil_sw,8,FALSE)</f>
        <v>9871000</v>
      </c>
      <c r="AC448" s="669">
        <f>IF(AA447&lt;&gt;0,ROUND(AA448/AA447,5),0)</f>
        <v>0.59821000000000002</v>
      </c>
      <c r="AE448" s="656" t="s">
        <v>301</v>
      </c>
      <c r="AM448" s="217"/>
      <c r="AR448" s="179">
        <f>SUMIF($D$5:$D$319,"=kas",AR5:AR319)*HLOOKUP(AT322,Verteil_sw,6,FALSE)+SUMIF($D$5:$D$319,"=kam",AR5:AR319)*HLOOKUP(AT322,Verteil_sw,7,FALSE)+SUMIF($D$5:$D$319,"=kar",AR5:AR319)*HLOOKUP(AT322,Verteil_sw,8,FALSE)</f>
        <v>9871000</v>
      </c>
      <c r="AT448" s="669">
        <f t="shared" ref="AT448" si="3192">IF(AR447&lt;&gt;0,ROUND(AR448/AR447,5),0)</f>
        <v>0.59821000000000002</v>
      </c>
      <c r="AV448" s="659" t="s">
        <v>301</v>
      </c>
      <c r="BD448" s="217"/>
      <c r="BI448" s="179">
        <f>SUMIF($D$5:$D$319,"=kas",BI5:BI319)*HLOOKUP(BK322,Verteil_sw,6,FALSE)+SUMIF($D$5:$D$319,"=kam",BI5:BI319)*HLOOKUP(BK322,Verteil_sw,7,FALSE)+SUMIF($D$5:$D$319,"=kar",BI5:BI319)*HLOOKUP(BK322,Verteil_sw,8,FALSE)</f>
        <v>9871000</v>
      </c>
      <c r="BK448" s="669">
        <f t="shared" ref="BK448" si="3193">IF(BI447&lt;&gt;0,ROUND(BI448/BI447,5),0)</f>
        <v>0.59821000000000002</v>
      </c>
      <c r="BM448" s="659" t="s">
        <v>301</v>
      </c>
      <c r="BU448" s="217"/>
      <c r="BZ448" s="179">
        <f>SUMIF($D$5:$D$319,"=kas",BZ5:BZ319)*HLOOKUP(CB322,Verteil_sw,6,FALSE)+SUMIF($D$5:$D$319,"=kam",BZ5:BZ319)*HLOOKUP(CB322,Verteil_sw,7,FALSE)+SUMIF($D$5:$D$319,"=kar",BZ5:BZ319)*HLOOKUP(CB322,Verteil_sw,8,FALSE)</f>
        <v>9871000</v>
      </c>
      <c r="CB448" s="669">
        <f t="shared" ref="CB448" si="3194">IF(BZ447&lt;&gt;0,ROUND(BZ448/BZ447,5),0)</f>
        <v>0.59821000000000002</v>
      </c>
      <c r="CD448" s="659" t="s">
        <v>301</v>
      </c>
      <c r="CL448" s="217"/>
      <c r="CQ448" s="179">
        <f>SUMIF($D$5:$D$319,"=kas",CQ5:CQ319)*HLOOKUP(CS322,Verteil_sw,6,FALSE)+SUMIF($D$5:$D$319,"=kam",CQ5:CQ319)*HLOOKUP(CS322,Verteil_sw,7,FALSE)+SUMIF($D$5:$D$319,"=kar",CQ5:CQ319)*HLOOKUP(CS322,Verteil_sw,8,FALSE)</f>
        <v>9871000</v>
      </c>
      <c r="CS448" s="669">
        <f t="shared" ref="CS448" si="3195">IF(CQ447&lt;&gt;0,ROUND(CQ448/CQ447,5),0)</f>
        <v>0.59821000000000002</v>
      </c>
      <c r="CU448" s="659" t="s">
        <v>301</v>
      </c>
      <c r="DC448" s="217"/>
      <c r="DH448" s="179">
        <f>SUMIF($D$5:$D$319,"=kas",DH5:DH319)*HLOOKUP(DJ322,Verteil_sw,6,FALSE)+SUMIF($D$5:$D$319,"=kam",DH5:DH319)*HLOOKUP(DJ322,Verteil_sw,7,FALSE)+SUMIF($D$5:$D$319,"=kar",DH5:DH319)*HLOOKUP(DJ322,Verteil_sw,8,FALSE)</f>
        <v>9871000</v>
      </c>
      <c r="DJ448" s="669">
        <f t="shared" ref="DJ448" si="3196">IF(DH447&lt;&gt;0,ROUND(DH448/DH447,5),0)</f>
        <v>0.59821000000000002</v>
      </c>
      <c r="DL448" s="659" t="s">
        <v>301</v>
      </c>
      <c r="DT448" s="217"/>
      <c r="DY448" s="179">
        <f>SUMIF($D$5:$D$319,"=kas",DY5:DY319)*HLOOKUP(EA322,Verteil_sw,6,FALSE)+SUMIF($D$5:$D$319,"=kam",DY5:DY319)*HLOOKUP(EA322,Verteil_sw,7,FALSE)+SUMIF($D$5:$D$319,"=kar",DY5:DY319)*HLOOKUP(EA322,Verteil_sw,8,FALSE)</f>
        <v>9871000</v>
      </c>
      <c r="EA448" s="669">
        <f t="shared" ref="EA448" si="3197">IF(DY447&lt;&gt;0,ROUND(DY448/DY447,5),0)</f>
        <v>0.59821000000000002</v>
      </c>
      <c r="EC448" s="659" t="s">
        <v>301</v>
      </c>
      <c r="EK448" s="217"/>
      <c r="EP448" s="179">
        <f>SUMIF($D$5:$D$319,"=kas",EP5:EP319)*HLOOKUP(ER322,Verteil_sw,6,FALSE)+SUMIF($D$5:$D$319,"=kam",EP5:EP319)*HLOOKUP(ER322,Verteil_sw,7,FALSE)+SUMIF($D$5:$D$319,"=kar",EP5:EP319)*HLOOKUP(ER322,Verteil_sw,8,FALSE)</f>
        <v>9871000</v>
      </c>
      <c r="ER448" s="669">
        <f t="shared" ref="ER448" si="3198">IF(EP447&lt;&gt;0,ROUND(EP448/EP447,5),0)</f>
        <v>0.59821000000000002</v>
      </c>
      <c r="ET448" s="659" t="s">
        <v>301</v>
      </c>
      <c r="FB448" s="217"/>
      <c r="FG448" s="179">
        <f>SUMIF($D$5:$D$319,"=kas",FG5:FG319)*HLOOKUP(FI322,Verteil_sw,6,FALSE)+SUMIF($D$5:$D$319,"=kam",FG5:FG319)*HLOOKUP(FI322,Verteil_sw,7,FALSE)+SUMIF($D$5:$D$319,"=kar",FG5:FG319)*HLOOKUP(FI322,Verteil_sw,8,FALSE)</f>
        <v>9871000</v>
      </c>
      <c r="FI448" s="669">
        <f t="shared" ref="FI448" si="3199">IF(FG447&lt;&gt;0,ROUND(FG448/FG447,5),0)</f>
        <v>0.59821000000000002</v>
      </c>
      <c r="FK448" s="659" t="s">
        <v>301</v>
      </c>
      <c r="FS448" s="217"/>
    </row>
    <row r="449" spans="1:175" s="10" customFormat="1" ht="15" hidden="1" customHeight="1" x14ac:dyDescent="0.3">
      <c r="A449" s="656" t="s">
        <v>302</v>
      </c>
      <c r="V449" s="217">
        <v>128</v>
      </c>
      <c r="AA449" s="179">
        <f>SUMIF($D$5:$D$319,"=kas",AA5:AA319)*HLOOKUP(AC322,Verteil_rwgr,5,FALSE)+SUMIF($D$5:$D$319,"=kam",AA5:AA319)*HLOOKUP(AC322,Verteil_rwgr,6,FALSE)+SUMIF($D$5:$D$319,"=kar",AA5:AA319)*HLOOKUP(AC322,Verteil_rwgr,7,FALSE)</f>
        <v>3315000</v>
      </c>
      <c r="AC449" s="669">
        <f>IF(AA448&lt;&gt;0,ROUND(AA449/AA447,5),0)</f>
        <v>0.2009</v>
      </c>
      <c r="AE449" s="656" t="s">
        <v>302</v>
      </c>
      <c r="AM449" s="217"/>
      <c r="AR449" s="179">
        <f>SUMIF($D$5:$D$319,"=kas",AR5:AR319)*HLOOKUP(AT322,Verteil_rwgr,5,FALSE)+SUMIF($D$5:$D$319,"=kam",AR5:AR319)*HLOOKUP(AT322,Verteil_rwgr,6,FALSE)+SUMIF($D$5:$D$319,"=kar",AR5:AR319)*HLOOKUP(AT322,Verteil_rwgr,7,FALSE)</f>
        <v>3315000</v>
      </c>
      <c r="AT449" s="669">
        <f t="shared" ref="AT449" si="3200">IF(AR448&lt;&gt;0,ROUND(AR449/AR447,5),0)</f>
        <v>0.2009</v>
      </c>
      <c r="AV449" s="659" t="s">
        <v>302</v>
      </c>
      <c r="BD449" s="217"/>
      <c r="BI449" s="179">
        <f>SUMIF($D$5:$D$319,"=kas",BI5:BI319)*HLOOKUP(BK322,Verteil_rwgr,5,FALSE)+SUMIF($D$5:$D$319,"=kam",BI5:BI319)*HLOOKUP(BK322,Verteil_rwgr,6,FALSE)+SUMIF($D$5:$D$319,"=kar",BI5:BI319)*HLOOKUP(BK322,Verteil_rwgr,7,FALSE)</f>
        <v>3315000</v>
      </c>
      <c r="BK449" s="669">
        <f t="shared" ref="BK449" si="3201">IF(BI448&lt;&gt;0,ROUND(BI449/BI447,5),0)</f>
        <v>0.2009</v>
      </c>
      <c r="BM449" s="659" t="s">
        <v>302</v>
      </c>
      <c r="BU449" s="217"/>
      <c r="BZ449" s="179">
        <f>SUMIF($D$5:$D$319,"=kas",BZ5:BZ319)*HLOOKUP(CB322,Verteil_rwgr,5,FALSE)+SUMIF($D$5:$D$319,"=kam",BZ5:BZ319)*HLOOKUP(CB322,Verteil_rwgr,6,FALSE)+SUMIF($D$5:$D$319,"=kar",BZ5:BZ319)*HLOOKUP(CB322,Verteil_rwgr,7,FALSE)</f>
        <v>3315000</v>
      </c>
      <c r="CB449" s="669">
        <f t="shared" ref="CB449" si="3202">IF(BZ448&lt;&gt;0,ROUND(BZ449/BZ447,5),0)</f>
        <v>0.2009</v>
      </c>
      <c r="CD449" s="659" t="s">
        <v>302</v>
      </c>
      <c r="CL449" s="217"/>
      <c r="CQ449" s="179">
        <f>SUMIF($D$5:$D$319,"=kas",CQ5:CQ319)*HLOOKUP(CS322,Verteil_rwgr,5,FALSE)+SUMIF($D$5:$D$319,"=kam",CQ5:CQ319)*HLOOKUP(CS322,Verteil_rwgr,6,FALSE)+SUMIF($D$5:$D$319,"=kar",CQ5:CQ319)*HLOOKUP(CS322,Verteil_rwgr,7,FALSE)</f>
        <v>3315000</v>
      </c>
      <c r="CS449" s="669">
        <f t="shared" ref="CS449" si="3203">IF(CQ448&lt;&gt;0,ROUND(CQ449/CQ447,5),0)</f>
        <v>0.2009</v>
      </c>
      <c r="CU449" s="659" t="s">
        <v>302</v>
      </c>
      <c r="DC449" s="217"/>
      <c r="DH449" s="179">
        <f>SUMIF($D$5:$D$319,"=kas",DH5:DH319)*HLOOKUP(DJ322,Verteil_rwgr,5,FALSE)+SUMIF($D$5:$D$319,"=kam",DH5:DH319)*HLOOKUP(DJ322,Verteil_rwgr,6,FALSE)+SUMIF($D$5:$D$319,"=kar",DH5:DH319)*HLOOKUP(DJ322,Verteil_rwgr,7,FALSE)</f>
        <v>3315000</v>
      </c>
      <c r="DJ449" s="669">
        <f t="shared" ref="DJ449" si="3204">IF(DH448&lt;&gt;0,ROUND(DH449/DH447,5),0)</f>
        <v>0.2009</v>
      </c>
      <c r="DL449" s="659" t="s">
        <v>302</v>
      </c>
      <c r="DT449" s="217"/>
      <c r="DY449" s="179">
        <f>SUMIF($D$5:$D$319,"=kas",DY5:DY319)*HLOOKUP(EA322,Verteil_rwgr,5,FALSE)+SUMIF($D$5:$D$319,"=kam",DY5:DY319)*HLOOKUP(EA322,Verteil_rwgr,6,FALSE)+SUMIF($D$5:$D$319,"=kar",DY5:DY319)*HLOOKUP(EA322,Verteil_rwgr,7,FALSE)</f>
        <v>3315000</v>
      </c>
      <c r="EA449" s="669">
        <f t="shared" ref="EA449" si="3205">IF(DY448&lt;&gt;0,ROUND(DY449/DY447,5),0)</f>
        <v>0.2009</v>
      </c>
      <c r="EC449" s="659" t="s">
        <v>302</v>
      </c>
      <c r="EK449" s="217"/>
      <c r="EP449" s="179">
        <f>SUMIF($D$5:$D$319,"=kas",EP5:EP319)*HLOOKUP(ER322,Verteil_rwgr,5,FALSE)+SUMIF($D$5:$D$319,"=kam",EP5:EP319)*HLOOKUP(ER322,Verteil_rwgr,6,FALSE)+SUMIF($D$5:$D$319,"=kar",EP5:EP319)*HLOOKUP(ER322,Verteil_rwgr,7,FALSE)</f>
        <v>3315000</v>
      </c>
      <c r="ER449" s="669">
        <f t="shared" ref="ER449" si="3206">IF(EP448&lt;&gt;0,ROUND(EP449/EP447,5),0)</f>
        <v>0.2009</v>
      </c>
      <c r="ET449" s="659" t="s">
        <v>302</v>
      </c>
      <c r="FB449" s="217"/>
      <c r="FG449" s="179">
        <f>SUMIF($D$5:$D$319,"=kas",FG5:FG319)*HLOOKUP(FI322,Verteil_rwgr,5,FALSE)+SUMIF($D$5:$D$319,"=kam",FG5:FG319)*HLOOKUP(FI322,Verteil_rwgr,6,FALSE)+SUMIF($D$5:$D$319,"=kar",FG5:FG319)*HLOOKUP(FI322,Verteil_rwgr,7,FALSE)</f>
        <v>3315000</v>
      </c>
      <c r="FI449" s="669">
        <f t="shared" ref="FI449" si="3207">IF(FG448&lt;&gt;0,ROUND(FG449/FG447,5),0)</f>
        <v>0.2009</v>
      </c>
      <c r="FK449" s="659" t="s">
        <v>302</v>
      </c>
      <c r="FS449" s="217"/>
    </row>
    <row r="450" spans="1:175" s="10" customFormat="1" ht="15" hidden="1" customHeight="1" x14ac:dyDescent="0.3">
      <c r="A450" s="656" t="s">
        <v>303</v>
      </c>
      <c r="V450" s="217">
        <v>129</v>
      </c>
      <c r="AA450" s="179">
        <f>SUMIF($D$5:$D$319,"=kas",AA5:AA319)*HLOOKUP(AC322,Verteil_rwst,4,FALSE)+SUMIF($D$5:$D$319,"=kam",AA5:AA319)*HLOOKUP(AC322,Verteil_rwst,5,FALSE)+SUMIF($D$5:$D$319,"=kar",AA5:AA319)*HLOOKUP(AC322,Verteil_rwst,6,FALSE)</f>
        <v>3315000</v>
      </c>
      <c r="AC450" s="669">
        <f>IF(AA449&lt;&gt;0,ROUND(AA450/AA447,5),0)</f>
        <v>0.2009</v>
      </c>
      <c r="AE450" s="656" t="s">
        <v>303</v>
      </c>
      <c r="AM450" s="217"/>
      <c r="AR450" s="179">
        <f>SUMIF($D$5:$D$319,"=kas",AR5:AR319)*HLOOKUP(AT322,Verteil_rwst,4,FALSE)+SUMIF($D$5:$D$319,"=kam",AR5:AR319)*HLOOKUP(AT322,Verteil_rwst,5,FALSE)+SUMIF($D$5:$D$319,"=kar",AR5:AR319)*HLOOKUP(AT322,Verteil_rwst,6,FALSE)</f>
        <v>3315000</v>
      </c>
      <c r="AT450" s="669">
        <f t="shared" ref="AT450" si="3208">IF(AR449&lt;&gt;0,ROUND(AR450/AR447,5),0)</f>
        <v>0.2009</v>
      </c>
      <c r="AV450" s="659" t="s">
        <v>303</v>
      </c>
      <c r="BD450" s="217"/>
      <c r="BI450" s="179">
        <f>SUMIF($D$5:$D$319,"=kas",BI5:BI319)*HLOOKUP(BK322,Verteil_rwst,4,FALSE)+SUMIF($D$5:$D$319,"=kam",BI5:BI319)*HLOOKUP(BK322,Verteil_rwst,5,FALSE)+SUMIF($D$5:$D$319,"=kar",BI5:BI319)*HLOOKUP(BK322,Verteil_rwst,6,FALSE)</f>
        <v>3315000</v>
      </c>
      <c r="BK450" s="669">
        <f t="shared" ref="BK450" si="3209">IF(BI449&lt;&gt;0,ROUND(BI450/BI447,5),0)</f>
        <v>0.2009</v>
      </c>
      <c r="BM450" s="659" t="s">
        <v>303</v>
      </c>
      <c r="BU450" s="217"/>
      <c r="BZ450" s="179">
        <f>SUMIF($D$5:$D$319,"=kas",BZ5:BZ319)*HLOOKUP(CB322,Verteil_rwst,4,FALSE)+SUMIF($D$5:$D$319,"=kam",BZ5:BZ319)*HLOOKUP(CB322,Verteil_rwst,5,FALSE)+SUMIF($D$5:$D$319,"=kar",BZ5:BZ319)*HLOOKUP(CB322,Verteil_rwst,6,FALSE)</f>
        <v>3315000</v>
      </c>
      <c r="CB450" s="669">
        <f t="shared" ref="CB450" si="3210">IF(BZ449&lt;&gt;0,ROUND(BZ450/BZ447,5),0)</f>
        <v>0.2009</v>
      </c>
      <c r="CD450" s="659" t="s">
        <v>303</v>
      </c>
      <c r="CL450" s="217"/>
      <c r="CQ450" s="179">
        <f>SUMIF($D$5:$D$319,"=kas",CQ5:CQ319)*HLOOKUP(CS322,Verteil_rwst,4,FALSE)+SUMIF($D$5:$D$319,"=kam",CQ5:CQ319)*HLOOKUP(CS322,Verteil_rwst,5,FALSE)+SUMIF($D$5:$D$319,"=kar",CQ5:CQ319)*HLOOKUP(CS322,Verteil_rwst,6,FALSE)</f>
        <v>3315000</v>
      </c>
      <c r="CS450" s="669">
        <f t="shared" ref="CS450" si="3211">IF(CQ449&lt;&gt;0,ROUND(CQ450/CQ447,5),0)</f>
        <v>0.2009</v>
      </c>
      <c r="CU450" s="659" t="s">
        <v>303</v>
      </c>
      <c r="DC450" s="217"/>
      <c r="DH450" s="179">
        <f>SUMIF($D$5:$D$319,"=kas",DH5:DH319)*HLOOKUP(DJ322,Verteil_rwst,4,FALSE)+SUMIF($D$5:$D$319,"=kam",DH5:DH319)*HLOOKUP(DJ322,Verteil_rwst,5,FALSE)+SUMIF($D$5:$D$319,"=kar",DH5:DH319)*HLOOKUP(DJ322,Verteil_rwst,6,FALSE)</f>
        <v>3315000</v>
      </c>
      <c r="DJ450" s="669">
        <f t="shared" ref="DJ450" si="3212">IF(DH449&lt;&gt;0,ROUND(DH450/DH447,5),0)</f>
        <v>0.2009</v>
      </c>
      <c r="DL450" s="659" t="s">
        <v>303</v>
      </c>
      <c r="DT450" s="217"/>
      <c r="DY450" s="179">
        <f>SUMIF($D$5:$D$319,"=kas",DY5:DY319)*HLOOKUP(EA322,Verteil_rwst,4,FALSE)+SUMIF($D$5:$D$319,"=kam",DY5:DY319)*HLOOKUP(EA322,Verteil_rwst,5,FALSE)+SUMIF($D$5:$D$319,"=kar",DY5:DY319)*HLOOKUP(EA322,Verteil_rwst,6,FALSE)</f>
        <v>3315000</v>
      </c>
      <c r="EA450" s="669">
        <f t="shared" ref="EA450" si="3213">IF(DY449&lt;&gt;0,ROUND(DY450/DY447,5),0)</f>
        <v>0.2009</v>
      </c>
      <c r="EC450" s="659" t="s">
        <v>303</v>
      </c>
      <c r="EK450" s="217"/>
      <c r="EP450" s="179">
        <f>SUMIF($D$5:$D$319,"=kas",EP5:EP319)*HLOOKUP(ER322,Verteil_rwst,4,FALSE)+SUMIF($D$5:$D$319,"=kam",EP5:EP319)*HLOOKUP(ER322,Verteil_rwst,5,FALSE)+SUMIF($D$5:$D$319,"=kar",EP5:EP319)*HLOOKUP(ER322,Verteil_rwst,6,FALSE)</f>
        <v>3315000</v>
      </c>
      <c r="ER450" s="669">
        <f t="shared" ref="ER450" si="3214">IF(EP449&lt;&gt;0,ROUND(EP450/EP447,5),0)</f>
        <v>0.2009</v>
      </c>
      <c r="ET450" s="659" t="s">
        <v>303</v>
      </c>
      <c r="FB450" s="217"/>
      <c r="FG450" s="179">
        <f>SUMIF($D$5:$D$319,"=kas",FG5:FG319)*HLOOKUP(FI322,Verteil_rwst,4,FALSE)+SUMIF($D$5:$D$319,"=kam",FG5:FG319)*HLOOKUP(FI322,Verteil_rwst,5,FALSE)+SUMIF($D$5:$D$319,"=kar",FG5:FG319)*HLOOKUP(FI322,Verteil_rwst,6,FALSE)</f>
        <v>3315000</v>
      </c>
      <c r="FI450" s="669">
        <f t="shared" ref="FI450" si="3215">IF(FG449&lt;&gt;0,ROUND(FG450/FG447,5),0)</f>
        <v>0.2009</v>
      </c>
      <c r="FK450" s="659" t="s">
        <v>303</v>
      </c>
      <c r="FS450" s="217"/>
    </row>
    <row r="451" spans="1:175" s="10" customFormat="1" ht="15" hidden="1" customHeight="1" x14ac:dyDescent="0.3">
      <c r="A451" s="657" t="s">
        <v>315</v>
      </c>
      <c r="V451" s="217">
        <v>130</v>
      </c>
      <c r="AA451" s="179"/>
      <c r="AE451" s="657" t="s">
        <v>315</v>
      </c>
      <c r="AM451" s="217"/>
      <c r="AR451" s="179"/>
      <c r="AV451" s="658" t="s">
        <v>315</v>
      </c>
      <c r="BD451" s="217"/>
      <c r="BI451" s="179"/>
      <c r="BM451" s="658" t="s">
        <v>315</v>
      </c>
      <c r="BU451" s="217"/>
      <c r="BZ451" s="179"/>
      <c r="CD451" s="658" t="s">
        <v>315</v>
      </c>
      <c r="CL451" s="217"/>
      <c r="CQ451" s="179"/>
      <c r="CU451" s="658" t="s">
        <v>315</v>
      </c>
      <c r="DC451" s="217"/>
      <c r="DH451" s="179"/>
      <c r="DL451" s="658" t="s">
        <v>315</v>
      </c>
      <c r="DT451" s="217"/>
      <c r="DY451" s="179"/>
      <c r="EC451" s="658" t="s">
        <v>315</v>
      </c>
      <c r="EK451" s="217"/>
      <c r="EP451" s="179"/>
      <c r="ET451" s="658" t="s">
        <v>315</v>
      </c>
      <c r="FB451" s="217"/>
      <c r="FG451" s="179"/>
      <c r="FK451" s="658" t="s">
        <v>315</v>
      </c>
      <c r="FS451" s="217"/>
    </row>
    <row r="452" spans="1:175" s="10" customFormat="1" ht="15" hidden="1" customHeight="1" x14ac:dyDescent="0.3">
      <c r="A452" s="223" t="s">
        <v>304</v>
      </c>
      <c r="V452" s="217">
        <v>131</v>
      </c>
      <c r="AA452" s="179">
        <f>SUMIF($D$5:$D$319,"=klm",AA5:AA319)+SUMIF($D$5:$D$319,"=kls",AA5:AA319)+SUMIF($D$5:$D$319,"=klr",AA5:AA319)+SUMIF($D$5:$D$319,"=klk",AA5:AA319)</f>
        <v>0</v>
      </c>
      <c r="AC452" s="668">
        <f>SUM(AC453:AC455)</f>
        <v>0</v>
      </c>
      <c r="AE452" s="223" t="s">
        <v>664</v>
      </c>
      <c r="AM452" s="217"/>
      <c r="AR452" s="179">
        <f t="shared" ref="AR452" si="3216">SUMIF($D$5:$D$319,"=klm",AR5:AR319)+SUMIF($D$5:$D$319,"=kls",AR5:AR319)+SUMIF($D$5:$D$319,"=klr",AR5:AR319)+SUMIF($D$5:$D$319,"=klk",AR5:AR319)</f>
        <v>0</v>
      </c>
      <c r="AT452" s="668">
        <f t="shared" ref="AT452" si="3217">SUM(AT453:AT455)</f>
        <v>0</v>
      </c>
      <c r="AV452" s="223" t="s">
        <v>664</v>
      </c>
      <c r="BD452" s="217"/>
      <c r="BI452" s="179">
        <f t="shared" ref="BI452" si="3218">SUMIF($D$5:$D$319,"=klm",BI5:BI319)+SUMIF($D$5:$D$319,"=kls",BI5:BI319)+SUMIF($D$5:$D$319,"=klr",BI5:BI319)+SUMIF($D$5:$D$319,"=klk",BI5:BI319)</f>
        <v>0</v>
      </c>
      <c r="BK452" s="668">
        <f t="shared" ref="BK452" si="3219">SUM(BK453:BK455)</f>
        <v>0</v>
      </c>
      <c r="BM452" s="223" t="s">
        <v>664</v>
      </c>
      <c r="BU452" s="217"/>
      <c r="BZ452" s="179">
        <f t="shared" ref="BZ452" si="3220">SUMIF($D$5:$D$319,"=klm",BZ5:BZ319)+SUMIF($D$5:$D$319,"=kls",BZ5:BZ319)+SUMIF($D$5:$D$319,"=klr",BZ5:BZ319)+SUMIF($D$5:$D$319,"=klk",BZ5:BZ319)</f>
        <v>0</v>
      </c>
      <c r="CB452" s="668">
        <f t="shared" ref="CB452" si="3221">SUM(CB453:CB455)</f>
        <v>0</v>
      </c>
      <c r="CD452" s="223" t="s">
        <v>664</v>
      </c>
      <c r="CL452" s="217"/>
      <c r="CQ452" s="179">
        <f t="shared" ref="CQ452" si="3222">SUMIF($D$5:$D$319,"=klm",CQ5:CQ319)+SUMIF($D$5:$D$319,"=kls",CQ5:CQ319)+SUMIF($D$5:$D$319,"=klr",CQ5:CQ319)+SUMIF($D$5:$D$319,"=klk",CQ5:CQ319)</f>
        <v>0</v>
      </c>
      <c r="CS452" s="668">
        <f t="shared" ref="CS452" si="3223">SUM(CS453:CS455)</f>
        <v>0</v>
      </c>
      <c r="CU452" s="223" t="s">
        <v>664</v>
      </c>
      <c r="DC452" s="217"/>
      <c r="DH452" s="179">
        <f t="shared" ref="DH452" si="3224">SUMIF($D$5:$D$319,"=klm",DH5:DH319)+SUMIF($D$5:$D$319,"=kls",DH5:DH319)+SUMIF($D$5:$D$319,"=klr",DH5:DH319)+SUMIF($D$5:$D$319,"=klk",DH5:DH319)</f>
        <v>0</v>
      </c>
      <c r="DJ452" s="668">
        <f t="shared" ref="DJ452" si="3225">SUM(DJ453:DJ455)</f>
        <v>0</v>
      </c>
      <c r="DL452" s="223" t="s">
        <v>664</v>
      </c>
      <c r="DT452" s="217"/>
      <c r="DY452" s="179">
        <f t="shared" ref="DY452" si="3226">SUMIF($D$5:$D$319,"=klm",DY5:DY319)+SUMIF($D$5:$D$319,"=kls",DY5:DY319)+SUMIF($D$5:$D$319,"=klr",DY5:DY319)+SUMIF($D$5:$D$319,"=klk",DY5:DY319)</f>
        <v>0</v>
      </c>
      <c r="EA452" s="668">
        <f t="shared" ref="EA452" si="3227">SUM(EA453:EA455)</f>
        <v>0</v>
      </c>
      <c r="EC452" s="223" t="s">
        <v>664</v>
      </c>
      <c r="EK452" s="217"/>
      <c r="EP452" s="179">
        <f t="shared" ref="EP452" si="3228">SUMIF($D$5:$D$319,"=klm",EP5:EP319)+SUMIF($D$5:$D$319,"=kls",EP5:EP319)+SUMIF($D$5:$D$319,"=klr",EP5:EP319)+SUMIF($D$5:$D$319,"=klk",EP5:EP319)</f>
        <v>0</v>
      </c>
      <c r="ER452" s="668">
        <f t="shared" ref="ER452" si="3229">SUM(ER453:ER455)</f>
        <v>0</v>
      </c>
      <c r="ET452" s="223" t="s">
        <v>664</v>
      </c>
      <c r="FB452" s="217"/>
      <c r="FG452" s="179">
        <f t="shared" ref="FG452" si="3230">SUMIF($D$5:$D$319,"=klm",FG5:FG319)+SUMIF($D$5:$D$319,"=kls",FG5:FG319)+SUMIF($D$5:$D$319,"=klr",FG5:FG319)+SUMIF($D$5:$D$319,"=klk",FG5:FG319)</f>
        <v>0</v>
      </c>
      <c r="FI452" s="668">
        <f t="shared" ref="FI452" si="3231">SUM(FI453:FI455)</f>
        <v>0</v>
      </c>
      <c r="FK452" s="223" t="s">
        <v>664</v>
      </c>
      <c r="FS452" s="217"/>
    </row>
    <row r="453" spans="1:175" s="10" customFormat="1" ht="15" hidden="1" customHeight="1" x14ac:dyDescent="0.3">
      <c r="A453" s="656" t="s">
        <v>301</v>
      </c>
      <c r="V453" s="217">
        <v>132</v>
      </c>
      <c r="AA453" s="179">
        <f>SUMIF($D$5:$D$319,"=kls",AA5:AA319)*HLOOKUP(AC322,Verteil_sw,11,FALSE)+SUMIF($D$5:$D$319,"=klm",AA5:AA319)*HLOOKUP(AC322,Verteil_sw,12,FALSE)+SUMIF($D$5:$D$319,"=klr",AA5:AA319)*HLOOKUP(AC322,Verteil_sw,13,FALSE)+SUMIF($D$5:$D$319,"=klk",AA5:AA319)*HLOOKUP(AC322,Verteil_sw,14,FALSE)</f>
        <v>0</v>
      </c>
      <c r="AC453" s="669">
        <f>IF(AA452&lt;&gt;0,ROUND(AA453/AA452,5),0)</f>
        <v>0</v>
      </c>
      <c r="AE453" s="656" t="s">
        <v>301</v>
      </c>
      <c r="AM453" s="217"/>
      <c r="AR453" s="179">
        <f>SUMIF($D$5:$D$319,"=kls",AR5:AR319)*HLOOKUP(AT322,Verteil_sw,11,FALSE)+SUMIF($D$5:$D$319,"=klm",AR5:AR319)*HLOOKUP(AT322,Verteil_sw,12,FALSE)+SUMIF($D$5:$D$319,"=klr",AR5:AR319)*HLOOKUP(AT322,Verteil_sw,13,FALSE)+SUMIF($D$5:$D$319,"=klk",AR5:AR319)*HLOOKUP(AT322,Verteil_sw,14,FALSE)</f>
        <v>0</v>
      </c>
      <c r="AT453" s="669">
        <f t="shared" ref="AT453" si="3232">IF(AR452&lt;&gt;0,ROUND(AR453/AR452,5),0)</f>
        <v>0</v>
      </c>
      <c r="AV453" s="659" t="s">
        <v>301</v>
      </c>
      <c r="BD453" s="217"/>
      <c r="BI453" s="179">
        <f>SUMIF($D$5:$D$319,"=kls",BI5:BI319)*HLOOKUP(BK322,Verteil_sw,11,FALSE)+SUMIF($D$5:$D$319,"=klm",BI5:BI319)*HLOOKUP(BK322,Verteil_sw,12,FALSE)+SUMIF($D$5:$D$319,"=klr",BI5:BI319)*HLOOKUP(BK322,Verteil_sw,13,FALSE)+SUMIF($D$5:$D$319,"=klk",BI5:BI319)*HLOOKUP(BK322,Verteil_sw,14,FALSE)</f>
        <v>0</v>
      </c>
      <c r="BK453" s="669">
        <f t="shared" ref="BK453" si="3233">IF(BI452&lt;&gt;0,ROUND(BI453/BI452,5),0)</f>
        <v>0</v>
      </c>
      <c r="BM453" s="659" t="s">
        <v>301</v>
      </c>
      <c r="BU453" s="217"/>
      <c r="BZ453" s="179">
        <f>SUMIF($D$5:$D$319,"=kls",BZ5:BZ319)*HLOOKUP(CB322,Verteil_sw,11,FALSE)+SUMIF($D$5:$D$319,"=klm",BZ5:BZ319)*HLOOKUP(CB322,Verteil_sw,12,FALSE)+SUMIF($D$5:$D$319,"=klr",BZ5:BZ319)*HLOOKUP(CB322,Verteil_sw,13,FALSE)+SUMIF($D$5:$D$319,"=klk",BZ5:BZ319)*HLOOKUP(CB322,Verteil_sw,14,FALSE)</f>
        <v>0</v>
      </c>
      <c r="CB453" s="669">
        <f t="shared" ref="CB453" si="3234">IF(BZ452&lt;&gt;0,ROUND(BZ453/BZ452,5),0)</f>
        <v>0</v>
      </c>
      <c r="CD453" s="659" t="s">
        <v>301</v>
      </c>
      <c r="CL453" s="217"/>
      <c r="CQ453" s="179">
        <f>SUMIF($D$5:$D$319,"=kls",CQ5:CQ319)*HLOOKUP(CS322,Verteil_sw,11,FALSE)+SUMIF($D$5:$D$319,"=klm",CQ5:CQ319)*HLOOKUP(CS322,Verteil_sw,12,FALSE)+SUMIF($D$5:$D$319,"=klr",CQ5:CQ319)*HLOOKUP(CS322,Verteil_sw,13,FALSE)+SUMIF($D$5:$D$319,"=klk",CQ5:CQ319)*HLOOKUP(CS322,Verteil_sw,14,FALSE)</f>
        <v>0</v>
      </c>
      <c r="CS453" s="669">
        <f t="shared" ref="CS453" si="3235">IF(CQ452&lt;&gt;0,ROUND(CQ453/CQ452,5),0)</f>
        <v>0</v>
      </c>
      <c r="CU453" s="659" t="s">
        <v>301</v>
      </c>
      <c r="DC453" s="217"/>
      <c r="DH453" s="179">
        <f>SUMIF($D$5:$D$319,"=kls",DH5:DH319)*HLOOKUP(DJ322,Verteil_sw,11,FALSE)+SUMIF($D$5:$D$319,"=klm",DH5:DH319)*HLOOKUP(DJ322,Verteil_sw,12,FALSE)+SUMIF($D$5:$D$319,"=klr",DH5:DH319)*HLOOKUP(DJ322,Verteil_sw,13,FALSE)+SUMIF($D$5:$D$319,"=klk",DH5:DH319)*HLOOKUP(DJ322,Verteil_sw,14,FALSE)</f>
        <v>0</v>
      </c>
      <c r="DJ453" s="669">
        <f t="shared" ref="DJ453" si="3236">IF(DH452&lt;&gt;0,ROUND(DH453/DH452,5),0)</f>
        <v>0</v>
      </c>
      <c r="DL453" s="659" t="s">
        <v>301</v>
      </c>
      <c r="DT453" s="217"/>
      <c r="DY453" s="179">
        <f>SUMIF($D$5:$D$319,"=kls",DY5:DY319)*HLOOKUP(EA322,Verteil_sw,11,FALSE)+SUMIF($D$5:$D$319,"=klm",DY5:DY319)*HLOOKUP(EA322,Verteil_sw,12,FALSE)+SUMIF($D$5:$D$319,"=klr",DY5:DY319)*HLOOKUP(EA322,Verteil_sw,13,FALSE)+SUMIF($D$5:$D$319,"=klk",DY5:DY319)*HLOOKUP(EA322,Verteil_sw,14,FALSE)</f>
        <v>0</v>
      </c>
      <c r="EA453" s="669">
        <f t="shared" ref="EA453" si="3237">IF(DY452&lt;&gt;0,ROUND(DY453/DY452,5),0)</f>
        <v>0</v>
      </c>
      <c r="EC453" s="659" t="s">
        <v>301</v>
      </c>
      <c r="EK453" s="217"/>
      <c r="EP453" s="179">
        <f>SUMIF($D$5:$D$319,"=kls",EP5:EP319)*HLOOKUP(ER322,Verteil_sw,11,FALSE)+SUMIF($D$5:$D$319,"=klm",EP5:EP319)*HLOOKUP(ER322,Verteil_sw,12,FALSE)+SUMIF($D$5:$D$319,"=klr",EP5:EP319)*HLOOKUP(ER322,Verteil_sw,13,FALSE)+SUMIF($D$5:$D$319,"=klk",EP5:EP319)*HLOOKUP(ER322,Verteil_sw,14,FALSE)</f>
        <v>0</v>
      </c>
      <c r="ER453" s="669">
        <f t="shared" ref="ER453" si="3238">IF(EP452&lt;&gt;0,ROUND(EP453/EP452,5),0)</f>
        <v>0</v>
      </c>
      <c r="ET453" s="659" t="s">
        <v>301</v>
      </c>
      <c r="FB453" s="217"/>
      <c r="FG453" s="179">
        <f>SUMIF($D$5:$D$319,"=kls",FG5:FG319)*HLOOKUP(FI322,Verteil_sw,11,FALSE)+SUMIF($D$5:$D$319,"=klm",FG5:FG319)*HLOOKUP(FI322,Verteil_sw,12,FALSE)+SUMIF($D$5:$D$319,"=klr",FG5:FG319)*HLOOKUP(FI322,Verteil_sw,13,FALSE)+SUMIF($D$5:$D$319,"=klk",FG5:FG319)*HLOOKUP(FI322,Verteil_sw,14,FALSE)</f>
        <v>0</v>
      </c>
      <c r="FI453" s="669">
        <f t="shared" ref="FI453" si="3239">IF(FG452&lt;&gt;0,ROUND(FG453/FG452,5),0)</f>
        <v>0</v>
      </c>
      <c r="FK453" s="659" t="s">
        <v>301</v>
      </c>
      <c r="FS453" s="217"/>
    </row>
    <row r="454" spans="1:175" s="10" customFormat="1" ht="15" hidden="1" customHeight="1" x14ac:dyDescent="0.3">
      <c r="A454" s="656" t="s">
        <v>302</v>
      </c>
      <c r="V454" s="217">
        <v>133</v>
      </c>
      <c r="AA454" s="179">
        <f>SUMIF($D$5:$D$319,"=kls",AA5:AA319)*HLOOKUP(AC322,Verteil_rwgr,10,FALSE)+SUMIF($D$5:$D$319,"=klm",AA5:AA319)*HLOOKUP(AC322,Verteil_rwgr,11,FALSE)+SUMIF($D$5:$D$319,"=klr",AA5:AA319)*HLOOKUP(AC322,Verteil_rwgr,12,FALSE)+SUMIF($D$5:$D$319,"=klk",AA5:AA319)*HLOOKUP(AC322,Verteil_rwgr,13,FALSE)</f>
        <v>0</v>
      </c>
      <c r="AC454" s="669">
        <f>IF(AA453&lt;&gt;0,ROUND(AA454/AA452,5),0)</f>
        <v>0</v>
      </c>
      <c r="AE454" s="656" t="s">
        <v>302</v>
      </c>
      <c r="AM454" s="217"/>
      <c r="AR454" s="179">
        <f>SUMIF($D$5:$D$319,"=kls",AR5:AR319)*HLOOKUP(AT322,Verteil_rwgr,10,FALSE)+SUMIF($D$5:$D$319,"=klm",AR5:AR319)*HLOOKUP(AT322,Verteil_rwgr,11,FALSE)+SUMIF($D$5:$D$319,"=klr",AR5:AR319)*HLOOKUP(AT322,Verteil_rwgr,12,FALSE)+SUMIF($D$5:$D$319,"=klk",AR5:AR319)*HLOOKUP(AT322,Verteil_rwgr,13,FALSE)</f>
        <v>0</v>
      </c>
      <c r="AT454" s="669">
        <f t="shared" ref="AT454" si="3240">IF(AR453&lt;&gt;0,ROUND(AR454/AR452,5),0)</f>
        <v>0</v>
      </c>
      <c r="AV454" s="659" t="s">
        <v>302</v>
      </c>
      <c r="BD454" s="217"/>
      <c r="BI454" s="179">
        <f>SUMIF($D$5:$D$319,"=kls",BI5:BI319)*HLOOKUP(BK322,Verteil_rwgr,10,FALSE)+SUMIF($D$5:$D$319,"=klm",BI5:BI319)*HLOOKUP(BK322,Verteil_rwgr,11,FALSE)+SUMIF($D$5:$D$319,"=klr",BI5:BI319)*HLOOKUP(BK322,Verteil_rwgr,12,FALSE)+SUMIF($D$5:$D$319,"=klk",BI5:BI319)*HLOOKUP(BK322,Verteil_rwgr,13,FALSE)</f>
        <v>0</v>
      </c>
      <c r="BK454" s="669">
        <f t="shared" ref="BK454" si="3241">IF(BI453&lt;&gt;0,ROUND(BI454/BI452,5),0)</f>
        <v>0</v>
      </c>
      <c r="BM454" s="659" t="s">
        <v>302</v>
      </c>
      <c r="BU454" s="217"/>
      <c r="BZ454" s="179">
        <f>SUMIF($D$5:$D$319,"=kls",BZ5:BZ319)*HLOOKUP(CB322,Verteil_rwgr,10,FALSE)+SUMIF($D$5:$D$319,"=klm",BZ5:BZ319)*HLOOKUP(CB322,Verteil_rwgr,11,FALSE)+SUMIF($D$5:$D$319,"=klr",BZ5:BZ319)*HLOOKUP(CB322,Verteil_rwgr,12,FALSE)+SUMIF($D$5:$D$319,"=klk",BZ5:BZ319)*HLOOKUP(CB322,Verteil_rwgr,13,FALSE)</f>
        <v>0</v>
      </c>
      <c r="CB454" s="669">
        <f t="shared" ref="CB454" si="3242">IF(BZ453&lt;&gt;0,ROUND(BZ454/BZ452,5),0)</f>
        <v>0</v>
      </c>
      <c r="CD454" s="659" t="s">
        <v>302</v>
      </c>
      <c r="CL454" s="217"/>
      <c r="CQ454" s="179">
        <f>SUMIF($D$5:$D$319,"=kls",CQ5:CQ319)*HLOOKUP(CS322,Verteil_rwgr,10,FALSE)+SUMIF($D$5:$D$319,"=klm",CQ5:CQ319)*HLOOKUP(CS322,Verteil_rwgr,11,FALSE)+SUMIF($D$5:$D$319,"=klr",CQ5:CQ319)*HLOOKUP(CS322,Verteil_rwgr,12,FALSE)+SUMIF($D$5:$D$319,"=klk",CQ5:CQ319)*HLOOKUP(CS322,Verteil_rwgr,13,FALSE)</f>
        <v>0</v>
      </c>
      <c r="CS454" s="669">
        <f t="shared" ref="CS454" si="3243">IF(CQ453&lt;&gt;0,ROUND(CQ454/CQ452,5),0)</f>
        <v>0</v>
      </c>
      <c r="CU454" s="659" t="s">
        <v>302</v>
      </c>
      <c r="DC454" s="217"/>
      <c r="DH454" s="179">
        <f>SUMIF($D$5:$D$319,"=kls",DH5:DH319)*HLOOKUP(DJ322,Verteil_rwgr,10,FALSE)+SUMIF($D$5:$D$319,"=klm",DH5:DH319)*HLOOKUP(DJ322,Verteil_rwgr,11,FALSE)+SUMIF($D$5:$D$319,"=klr",DH5:DH319)*HLOOKUP(DJ322,Verteil_rwgr,12,FALSE)+SUMIF($D$5:$D$319,"=klk",DH5:DH319)*HLOOKUP(DJ322,Verteil_rwgr,13,FALSE)</f>
        <v>0</v>
      </c>
      <c r="DJ454" s="669">
        <f t="shared" ref="DJ454" si="3244">IF(DH453&lt;&gt;0,ROUND(DH454/DH452,5),0)</f>
        <v>0</v>
      </c>
      <c r="DL454" s="659" t="s">
        <v>302</v>
      </c>
      <c r="DT454" s="217"/>
      <c r="DY454" s="179">
        <f>SUMIF($D$5:$D$319,"=kls",DY5:DY319)*HLOOKUP(EA322,Verteil_rwgr,10,FALSE)+SUMIF($D$5:$D$319,"=klm",DY5:DY319)*HLOOKUP(EA322,Verteil_rwgr,11,FALSE)+SUMIF($D$5:$D$319,"=klr",DY5:DY319)*HLOOKUP(EA322,Verteil_rwgr,12,FALSE)+SUMIF($D$5:$D$319,"=klk",DY5:DY319)*HLOOKUP(EA322,Verteil_rwgr,13,FALSE)</f>
        <v>0</v>
      </c>
      <c r="EA454" s="669">
        <f t="shared" ref="EA454" si="3245">IF(DY453&lt;&gt;0,ROUND(DY454/DY452,5),0)</f>
        <v>0</v>
      </c>
      <c r="EC454" s="659" t="s">
        <v>302</v>
      </c>
      <c r="EK454" s="217"/>
      <c r="EP454" s="179">
        <f>SUMIF($D$5:$D$319,"=kls",EP5:EP319)*HLOOKUP(ER322,Verteil_rwgr,10,FALSE)+SUMIF($D$5:$D$319,"=klm",EP5:EP319)*HLOOKUP(ER322,Verteil_rwgr,11,FALSE)+SUMIF($D$5:$D$319,"=klr",EP5:EP319)*HLOOKUP(ER322,Verteil_rwgr,12,FALSE)+SUMIF($D$5:$D$319,"=klk",EP5:EP319)*HLOOKUP(ER322,Verteil_rwgr,13,FALSE)</f>
        <v>0</v>
      </c>
      <c r="ER454" s="669">
        <f t="shared" ref="ER454" si="3246">IF(EP453&lt;&gt;0,ROUND(EP454/EP452,5),0)</f>
        <v>0</v>
      </c>
      <c r="ET454" s="659" t="s">
        <v>302</v>
      </c>
      <c r="FB454" s="217"/>
      <c r="FG454" s="179">
        <f>SUMIF($D$5:$D$319,"=kls",FG5:FG319)*HLOOKUP(FI322,Verteil_rwgr,10,FALSE)+SUMIF($D$5:$D$319,"=klm",FG5:FG319)*HLOOKUP(FI322,Verteil_rwgr,11,FALSE)+SUMIF($D$5:$D$319,"=klr",FG5:FG319)*HLOOKUP(FI322,Verteil_rwgr,12,FALSE)+SUMIF($D$5:$D$319,"=klk",FG5:FG319)*HLOOKUP(FI322,Verteil_rwgr,13,FALSE)</f>
        <v>0</v>
      </c>
      <c r="FI454" s="669">
        <f t="shared" ref="FI454" si="3247">IF(FG453&lt;&gt;0,ROUND(FG454/FG452,5),0)</f>
        <v>0</v>
      </c>
      <c r="FK454" s="659" t="s">
        <v>302</v>
      </c>
      <c r="FS454" s="217"/>
    </row>
    <row r="455" spans="1:175" s="10" customFormat="1" ht="15" hidden="1" customHeight="1" x14ac:dyDescent="0.3">
      <c r="A455" s="656" t="s">
        <v>303</v>
      </c>
      <c r="V455" s="217">
        <v>134</v>
      </c>
      <c r="AA455" s="179">
        <f>SUMIF($D$5:$D$319,"=kls",AA5:AA319)*HLOOKUP(AC322,Verteil_rwst,9,FALSE)+SUMIF($D$5:$D$319,"=klm",AA5:AA319)*HLOOKUP(AC322,Verteil_rwst,10,FALSE)+SUMIF($D$5:$D$319,"=klr",AA5:AA319)*HLOOKUP(AC322,Verteil_rwst,11,FALSE)+SUMIF($D$5:$D$319,"=klk",AA5:AA319)*HLOOKUP(AC322,Verteil_rwst,12,FALSE)</f>
        <v>0</v>
      </c>
      <c r="AC455" s="669">
        <f>IF(AA454&lt;&gt;0,ROUND(AA455/AA452,5),0)</f>
        <v>0</v>
      </c>
      <c r="AE455" s="656" t="s">
        <v>303</v>
      </c>
      <c r="AM455" s="217"/>
      <c r="AR455" s="179">
        <f>SUMIF($D$5:$D$319,"=kls",AR5:AR319)*HLOOKUP(AT322,Verteil_rwst,9,FALSE)+SUMIF($D$5:$D$319,"=klm",AR5:AR319)*HLOOKUP(AT322,Verteil_rwst,10,FALSE)+SUMIF($D$5:$D$319,"=klr",AR5:AR319)*HLOOKUP(AT322,Verteil_rwst,11,FALSE)+SUMIF($D$5:$D$319,"=klk",AR5:AR319)*HLOOKUP(AT322,Verteil_rwst,12,FALSE)</f>
        <v>0</v>
      </c>
      <c r="AT455" s="669">
        <f t="shared" ref="AT455" si="3248">IF(AR454&lt;&gt;0,ROUND(AR455/AR452,5),0)</f>
        <v>0</v>
      </c>
      <c r="AV455" s="659" t="s">
        <v>303</v>
      </c>
      <c r="BD455" s="217"/>
      <c r="BI455" s="179">
        <f>SUMIF($D$5:$D$319,"=kls",BI5:BI319)*HLOOKUP(BK322,Verteil_rwst,9,FALSE)+SUMIF($D$5:$D$319,"=klm",BI5:BI319)*HLOOKUP(BK322,Verteil_rwst,10,FALSE)+SUMIF($D$5:$D$319,"=klr",BI5:BI319)*HLOOKUP(BK322,Verteil_rwst,11,FALSE)+SUMIF($D$5:$D$319,"=klk",BI5:BI319)*HLOOKUP(BK322,Verteil_rwst,12,FALSE)</f>
        <v>0</v>
      </c>
      <c r="BK455" s="669">
        <f t="shared" ref="BK455" si="3249">IF(BI454&lt;&gt;0,ROUND(BI455/BI452,5),0)</f>
        <v>0</v>
      </c>
      <c r="BM455" s="659" t="s">
        <v>303</v>
      </c>
      <c r="BU455" s="217"/>
      <c r="BZ455" s="179">
        <f>SUMIF($D$5:$D$319,"=kls",BZ5:BZ319)*HLOOKUP(CB322,Verteil_rwst,9,FALSE)+SUMIF($D$5:$D$319,"=klm",BZ5:BZ319)*HLOOKUP(CB322,Verteil_rwst,10,FALSE)+SUMIF($D$5:$D$319,"=klr",BZ5:BZ319)*HLOOKUP(CB322,Verteil_rwst,11,FALSE)+SUMIF($D$5:$D$319,"=klk",BZ5:BZ319)*HLOOKUP(CB322,Verteil_rwst,12,FALSE)</f>
        <v>0</v>
      </c>
      <c r="CB455" s="669">
        <f t="shared" ref="CB455" si="3250">IF(BZ454&lt;&gt;0,ROUND(BZ455/BZ452,5),0)</f>
        <v>0</v>
      </c>
      <c r="CD455" s="659" t="s">
        <v>303</v>
      </c>
      <c r="CL455" s="217"/>
      <c r="CQ455" s="179">
        <f>SUMIF($D$5:$D$319,"=kls",CQ5:CQ319)*HLOOKUP(CS322,Verteil_rwst,9,FALSE)+SUMIF($D$5:$D$319,"=klm",CQ5:CQ319)*HLOOKUP(CS322,Verteil_rwst,10,FALSE)+SUMIF($D$5:$D$319,"=klr",CQ5:CQ319)*HLOOKUP(CS322,Verteil_rwst,11,FALSE)+SUMIF($D$5:$D$319,"=klk",CQ5:CQ319)*HLOOKUP(CS322,Verteil_rwst,12,FALSE)</f>
        <v>0</v>
      </c>
      <c r="CS455" s="669">
        <f t="shared" ref="CS455" si="3251">IF(CQ454&lt;&gt;0,ROUND(CQ455/CQ452,5),0)</f>
        <v>0</v>
      </c>
      <c r="CU455" s="659" t="s">
        <v>303</v>
      </c>
      <c r="DC455" s="217"/>
      <c r="DH455" s="179">
        <f>SUMIF($D$5:$D$319,"=kls",DH5:DH319)*HLOOKUP(DJ322,Verteil_rwst,9,FALSE)+SUMIF($D$5:$D$319,"=klm",DH5:DH319)*HLOOKUP(DJ322,Verteil_rwst,10,FALSE)+SUMIF($D$5:$D$319,"=klr",DH5:DH319)*HLOOKUP(DJ322,Verteil_rwst,11,FALSE)+SUMIF($D$5:$D$319,"=klk",DH5:DH319)*HLOOKUP(DJ322,Verteil_rwst,12,FALSE)</f>
        <v>0</v>
      </c>
      <c r="DJ455" s="669">
        <f t="shared" ref="DJ455" si="3252">IF(DH454&lt;&gt;0,ROUND(DH455/DH452,5),0)</f>
        <v>0</v>
      </c>
      <c r="DL455" s="659" t="s">
        <v>303</v>
      </c>
      <c r="DT455" s="217"/>
      <c r="DY455" s="179">
        <f>SUMIF($D$5:$D$319,"=kls",DY5:DY319)*HLOOKUP(EA322,Verteil_rwst,9,FALSE)+SUMIF($D$5:$D$319,"=klm",DY5:DY319)*HLOOKUP(EA322,Verteil_rwst,10,FALSE)+SUMIF($D$5:$D$319,"=klr",DY5:DY319)*HLOOKUP(EA322,Verteil_rwst,11,FALSE)+SUMIF($D$5:$D$319,"=klk",DY5:DY319)*HLOOKUP(EA322,Verteil_rwst,12,FALSE)</f>
        <v>0</v>
      </c>
      <c r="EA455" s="669">
        <f t="shared" ref="EA455" si="3253">IF(DY454&lt;&gt;0,ROUND(DY455/DY452,5),0)</f>
        <v>0</v>
      </c>
      <c r="EC455" s="659" t="s">
        <v>303</v>
      </c>
      <c r="EK455" s="217"/>
      <c r="EP455" s="179">
        <f>SUMIF($D$5:$D$319,"=kls",EP5:EP319)*HLOOKUP(ER322,Verteil_rwst,9,FALSE)+SUMIF($D$5:$D$319,"=klm",EP5:EP319)*HLOOKUP(ER322,Verteil_rwst,10,FALSE)+SUMIF($D$5:$D$319,"=klr",EP5:EP319)*HLOOKUP(ER322,Verteil_rwst,11,FALSE)+SUMIF($D$5:$D$319,"=klk",EP5:EP319)*HLOOKUP(ER322,Verteil_rwst,12,FALSE)</f>
        <v>0</v>
      </c>
      <c r="ER455" s="669">
        <f t="shared" ref="ER455" si="3254">IF(EP454&lt;&gt;0,ROUND(EP455/EP452,5),0)</f>
        <v>0</v>
      </c>
      <c r="ET455" s="659" t="s">
        <v>303</v>
      </c>
      <c r="FB455" s="217"/>
      <c r="FG455" s="179">
        <f>SUMIF($D$5:$D$319,"=kls",FG5:FG319)*HLOOKUP(FI322,Verteil_rwst,9,FALSE)+SUMIF($D$5:$D$319,"=klm",FG5:FG319)*HLOOKUP(FI322,Verteil_rwst,10,FALSE)+SUMIF($D$5:$D$319,"=klr",FG5:FG319)*HLOOKUP(FI322,Verteil_rwst,11,FALSE)+SUMIF($D$5:$D$319,"=klk",FG5:FG319)*HLOOKUP(FI322,Verteil_rwst,12,FALSE)</f>
        <v>0</v>
      </c>
      <c r="FI455" s="669">
        <f t="shared" ref="FI455" si="3255">IF(FG454&lt;&gt;0,ROUND(FG455/FG452,5),0)</f>
        <v>0</v>
      </c>
      <c r="FK455" s="659" t="s">
        <v>303</v>
      </c>
      <c r="FS455" s="217"/>
    </row>
    <row r="456" spans="1:175" s="10" customFormat="1" ht="15" hidden="1" customHeight="1" x14ac:dyDescent="0.3">
      <c r="A456" s="657" t="s">
        <v>316</v>
      </c>
      <c r="V456" s="217">
        <v>135</v>
      </c>
      <c r="AA456" s="179"/>
      <c r="AE456" s="657" t="s">
        <v>316</v>
      </c>
      <c r="AM456" s="217"/>
      <c r="AR456" s="179"/>
      <c r="AV456" s="658" t="s">
        <v>316</v>
      </c>
      <c r="BD456" s="217"/>
      <c r="BI456" s="179"/>
      <c r="BM456" s="658" t="s">
        <v>316</v>
      </c>
      <c r="BU456" s="217"/>
      <c r="BZ456" s="179"/>
      <c r="CD456" s="658" t="s">
        <v>316</v>
      </c>
      <c r="CL456" s="217"/>
      <c r="CQ456" s="179"/>
      <c r="CU456" s="658" t="s">
        <v>316</v>
      </c>
      <c r="DC456" s="217"/>
      <c r="DH456" s="179"/>
      <c r="DL456" s="658" t="s">
        <v>316</v>
      </c>
      <c r="DT456" s="217"/>
      <c r="DY456" s="179"/>
      <c r="EC456" s="658" t="s">
        <v>316</v>
      </c>
      <c r="EK456" s="217"/>
      <c r="EP456" s="179"/>
      <c r="ET456" s="658" t="s">
        <v>316</v>
      </c>
      <c r="FB456" s="217"/>
      <c r="FG456" s="179"/>
      <c r="FK456" s="658" t="s">
        <v>316</v>
      </c>
      <c r="FS456" s="217"/>
    </row>
    <row r="457" spans="1:175" s="10" customFormat="1" ht="15" hidden="1" customHeight="1" x14ac:dyDescent="0.3">
      <c r="A457" s="223" t="s">
        <v>305</v>
      </c>
      <c r="V457" s="217">
        <v>136</v>
      </c>
      <c r="AA457" s="179">
        <f>SUMIF($D$5:$D$319,"=sos",AA5:AA319)+SUMIF($D$5:$D$319,"=som",AA5:AA319)+SUMIF($D$5:$D$319,"=sor",AA5:AA319)</f>
        <v>110000</v>
      </c>
      <c r="AC457" s="668">
        <f>SUM(AC458:AC460)</f>
        <v>1</v>
      </c>
      <c r="AE457" s="223" t="s">
        <v>666</v>
      </c>
      <c r="AM457" s="217"/>
      <c r="AR457" s="179">
        <f t="shared" ref="AR457" si="3256">SUMIF($D$5:$D$319,"=sos",AR5:AR319)+SUMIF($D$5:$D$319,"=som",AR5:AR319)+SUMIF($D$5:$D$319,"=sor",AR5:AR319)</f>
        <v>110000</v>
      </c>
      <c r="AT457" s="668">
        <f t="shared" ref="AT457" si="3257">SUM(AT458:AT460)</f>
        <v>1</v>
      </c>
      <c r="AV457" s="223" t="s">
        <v>666</v>
      </c>
      <c r="BD457" s="217"/>
      <c r="BI457" s="179">
        <f t="shared" ref="BI457" si="3258">SUMIF($D$5:$D$319,"=sos",BI5:BI319)+SUMIF($D$5:$D$319,"=som",BI5:BI319)+SUMIF($D$5:$D$319,"=sor",BI5:BI319)</f>
        <v>110000</v>
      </c>
      <c r="BK457" s="668">
        <f t="shared" ref="BK457" si="3259">SUM(BK458:BK460)</f>
        <v>1</v>
      </c>
      <c r="BM457" s="223" t="s">
        <v>666</v>
      </c>
      <c r="BU457" s="217"/>
      <c r="BZ457" s="179">
        <f t="shared" ref="BZ457" si="3260">SUMIF($D$5:$D$319,"=sos",BZ5:BZ319)+SUMIF($D$5:$D$319,"=som",BZ5:BZ319)+SUMIF($D$5:$D$319,"=sor",BZ5:BZ319)</f>
        <v>110000</v>
      </c>
      <c r="CB457" s="668">
        <f t="shared" ref="CB457" si="3261">SUM(CB458:CB460)</f>
        <v>1</v>
      </c>
      <c r="CD457" s="223" t="s">
        <v>666</v>
      </c>
      <c r="CL457" s="217"/>
      <c r="CQ457" s="179">
        <f t="shared" ref="CQ457" si="3262">SUMIF($D$5:$D$319,"=sos",CQ5:CQ319)+SUMIF($D$5:$D$319,"=som",CQ5:CQ319)+SUMIF($D$5:$D$319,"=sor",CQ5:CQ319)</f>
        <v>110000</v>
      </c>
      <c r="CS457" s="668">
        <f t="shared" ref="CS457" si="3263">SUM(CS458:CS460)</f>
        <v>1</v>
      </c>
      <c r="CU457" s="223" t="s">
        <v>666</v>
      </c>
      <c r="DC457" s="217"/>
      <c r="DH457" s="179">
        <f t="shared" ref="DH457" si="3264">SUMIF($D$5:$D$319,"=sos",DH5:DH319)+SUMIF($D$5:$D$319,"=som",DH5:DH319)+SUMIF($D$5:$D$319,"=sor",DH5:DH319)</f>
        <v>110000</v>
      </c>
      <c r="DJ457" s="668">
        <f t="shared" ref="DJ457" si="3265">SUM(DJ458:DJ460)</f>
        <v>1</v>
      </c>
      <c r="DL457" s="223" t="s">
        <v>666</v>
      </c>
      <c r="DT457" s="217"/>
      <c r="DY457" s="179">
        <f t="shared" ref="DY457" si="3266">SUMIF($D$5:$D$319,"=sos",DY5:DY319)+SUMIF($D$5:$D$319,"=som",DY5:DY319)+SUMIF($D$5:$D$319,"=sor",DY5:DY319)</f>
        <v>110000</v>
      </c>
      <c r="EA457" s="668">
        <f t="shared" ref="EA457" si="3267">SUM(EA458:EA460)</f>
        <v>1</v>
      </c>
      <c r="EC457" s="223" t="s">
        <v>666</v>
      </c>
      <c r="EK457" s="217"/>
      <c r="EP457" s="179">
        <f t="shared" ref="EP457" si="3268">SUMIF($D$5:$D$319,"=sos",EP5:EP319)+SUMIF($D$5:$D$319,"=som",EP5:EP319)+SUMIF($D$5:$D$319,"=sor",EP5:EP319)</f>
        <v>110000</v>
      </c>
      <c r="ER457" s="668">
        <f t="shared" ref="ER457" si="3269">SUM(ER458:ER460)</f>
        <v>1</v>
      </c>
      <c r="ET457" s="223" t="s">
        <v>666</v>
      </c>
      <c r="FB457" s="217"/>
      <c r="FG457" s="179">
        <f t="shared" ref="FG457" si="3270">SUMIF($D$5:$D$319,"=sos",FG5:FG319)+SUMIF($D$5:$D$319,"=som",FG5:FG319)+SUMIF($D$5:$D$319,"=sor",FG5:FG319)</f>
        <v>110000</v>
      </c>
      <c r="FI457" s="668">
        <f t="shared" ref="FI457" si="3271">SUM(FI458:FI460)</f>
        <v>1</v>
      </c>
      <c r="FK457" s="223" t="s">
        <v>666</v>
      </c>
      <c r="FS457" s="217"/>
    </row>
    <row r="458" spans="1:175" s="10" customFormat="1" ht="15" hidden="1" customHeight="1" x14ac:dyDescent="0.3">
      <c r="A458" s="656" t="s">
        <v>301</v>
      </c>
      <c r="V458" s="217">
        <v>137</v>
      </c>
      <c r="AA458" s="179">
        <f>SUMIF($D$5:$D$319,"=sos",AA5:AA319)*HLOOKUP(AC322,Verteil_sw,17,FALSE)+SUMIF($D$5:$D$319,"=som",AA5:AA319)*HLOOKUP(AC322,Verteil_sw,18,FALSE)+SUMIF($D$5:$D$319,"=sor",AA5:AA319)*HLOOKUP(AC322,Verteil_sw,19,FALSE)</f>
        <v>55000</v>
      </c>
      <c r="AC458" s="669">
        <f>IF(AA457&lt;&gt;0,ROUND(AA458/AA457,5),0)</f>
        <v>0.5</v>
      </c>
      <c r="AE458" s="656" t="s">
        <v>301</v>
      </c>
      <c r="AM458" s="217"/>
      <c r="AR458" s="179">
        <f>SUMIF($D$5:$D$319,"=sos",AR5:AR319)*HLOOKUP(AT322,Verteil_sw,17,FALSE)+SUMIF($D$5:$D$319,"=som",AR5:AR319)*HLOOKUP(AT322,Verteil_sw,18,FALSE)+SUMIF($D$5:$D$319,"=sor",AR5:AR319)*HLOOKUP(AT322,Verteil_sw,19,FALSE)</f>
        <v>55000</v>
      </c>
      <c r="AT458" s="669">
        <f t="shared" ref="AT458" si="3272">IF(AR457&lt;&gt;0,ROUND(AR458/AR457,5),0)</f>
        <v>0.5</v>
      </c>
      <c r="AV458" s="659" t="s">
        <v>301</v>
      </c>
      <c r="BD458" s="217"/>
      <c r="BI458" s="179">
        <f>SUMIF($D$5:$D$319,"=sos",BI5:BI319)*HLOOKUP(BK322,Verteil_sw,17,FALSE)+SUMIF($D$5:$D$319,"=som",BI5:BI319)*HLOOKUP(BK322,Verteil_sw,18,FALSE)+SUMIF($D$5:$D$319,"=sor",BI5:BI319)*HLOOKUP(BK322,Verteil_sw,19,FALSE)</f>
        <v>55000</v>
      </c>
      <c r="BK458" s="669">
        <f t="shared" ref="BK458" si="3273">IF(BI457&lt;&gt;0,ROUND(BI458/BI457,5),0)</f>
        <v>0.5</v>
      </c>
      <c r="BM458" s="659" t="s">
        <v>301</v>
      </c>
      <c r="BU458" s="217"/>
      <c r="BZ458" s="179">
        <f>SUMIF($D$5:$D$319,"=sos",BZ5:BZ319)*HLOOKUP(CB322,Verteil_sw,17,FALSE)+SUMIF($D$5:$D$319,"=som",BZ5:BZ319)*HLOOKUP(CB322,Verteil_sw,18,FALSE)+SUMIF($D$5:$D$319,"=sor",BZ5:BZ319)*HLOOKUP(CB322,Verteil_sw,19,FALSE)</f>
        <v>55000</v>
      </c>
      <c r="CB458" s="669">
        <f t="shared" ref="CB458" si="3274">IF(BZ457&lt;&gt;0,ROUND(BZ458/BZ457,5),0)</f>
        <v>0.5</v>
      </c>
      <c r="CD458" s="659" t="s">
        <v>301</v>
      </c>
      <c r="CL458" s="217"/>
      <c r="CQ458" s="179">
        <f>SUMIF($D$5:$D$319,"=sos",CQ5:CQ319)*HLOOKUP(CS322,Verteil_sw,17,FALSE)+SUMIF($D$5:$D$319,"=som",CQ5:CQ319)*HLOOKUP(CS322,Verteil_sw,18,FALSE)+SUMIF($D$5:$D$319,"=sor",CQ5:CQ319)*HLOOKUP(CS322,Verteil_sw,19,FALSE)</f>
        <v>55000</v>
      </c>
      <c r="CS458" s="669">
        <f t="shared" ref="CS458" si="3275">IF(CQ457&lt;&gt;0,ROUND(CQ458/CQ457,5),0)</f>
        <v>0.5</v>
      </c>
      <c r="CU458" s="659" t="s">
        <v>301</v>
      </c>
      <c r="DC458" s="217"/>
      <c r="DH458" s="179">
        <f>SUMIF($D$5:$D$319,"=sos",DH5:DH319)*HLOOKUP(DJ322,Verteil_sw,17,FALSE)+SUMIF($D$5:$D$319,"=som",DH5:DH319)*HLOOKUP(DJ322,Verteil_sw,18,FALSE)+SUMIF($D$5:$D$319,"=sor",DH5:DH319)*HLOOKUP(DJ322,Verteil_sw,19,FALSE)</f>
        <v>55000</v>
      </c>
      <c r="DJ458" s="669">
        <f t="shared" ref="DJ458" si="3276">IF(DH457&lt;&gt;0,ROUND(DH458/DH457,5),0)</f>
        <v>0.5</v>
      </c>
      <c r="DL458" s="659" t="s">
        <v>301</v>
      </c>
      <c r="DT458" s="217"/>
      <c r="DY458" s="179">
        <f>SUMIF($D$5:$D$319,"=sos",DY5:DY319)*HLOOKUP(EA322,Verteil_sw,17,FALSE)+SUMIF($D$5:$D$319,"=som",DY5:DY319)*HLOOKUP(EA322,Verteil_sw,18,FALSE)+SUMIF($D$5:$D$319,"=sor",DY5:DY319)*HLOOKUP(EA322,Verteil_sw,19,FALSE)</f>
        <v>55000</v>
      </c>
      <c r="EA458" s="669">
        <f t="shared" ref="EA458" si="3277">IF(DY457&lt;&gt;0,ROUND(DY458/DY457,5),0)</f>
        <v>0.5</v>
      </c>
      <c r="EC458" s="659" t="s">
        <v>301</v>
      </c>
      <c r="EK458" s="217"/>
      <c r="EP458" s="179">
        <f>SUMIF($D$5:$D$319,"=sos",EP5:EP319)*HLOOKUP(ER322,Verteil_sw,17,FALSE)+SUMIF($D$5:$D$319,"=som",EP5:EP319)*HLOOKUP(ER322,Verteil_sw,18,FALSE)+SUMIF($D$5:$D$319,"=sor",EP5:EP319)*HLOOKUP(ER322,Verteil_sw,19,FALSE)</f>
        <v>55000</v>
      </c>
      <c r="ER458" s="669">
        <f t="shared" ref="ER458" si="3278">IF(EP457&lt;&gt;0,ROUND(EP458/EP457,5),0)</f>
        <v>0.5</v>
      </c>
      <c r="ET458" s="659" t="s">
        <v>301</v>
      </c>
      <c r="FB458" s="217"/>
      <c r="FG458" s="179">
        <f>SUMIF($D$5:$D$319,"=sos",FG5:FG319)*HLOOKUP(FI322,Verteil_sw,17,FALSE)+SUMIF($D$5:$D$319,"=som",FG5:FG319)*HLOOKUP(FI322,Verteil_sw,18,FALSE)+SUMIF($D$5:$D$319,"=sor",FG5:FG319)*HLOOKUP(FI322,Verteil_sw,19,FALSE)</f>
        <v>55000</v>
      </c>
      <c r="FI458" s="669">
        <f t="shared" ref="FI458" si="3279">IF(FG457&lt;&gt;0,ROUND(FG458/FG457,5),0)</f>
        <v>0.5</v>
      </c>
      <c r="FK458" s="659" t="s">
        <v>301</v>
      </c>
      <c r="FS458" s="217"/>
    </row>
    <row r="459" spans="1:175" s="10" customFormat="1" ht="15" hidden="1" customHeight="1" x14ac:dyDescent="0.3">
      <c r="A459" s="656" t="s">
        <v>302</v>
      </c>
      <c r="V459" s="217">
        <v>138</v>
      </c>
      <c r="AA459" s="179">
        <f>SUMIF($D$5:$D$319,"=sos",AA5:AA319)*HLOOKUP(AC322,Verteil_rwgr,16,FALSE)+SUMIF($D$5:$D$319,"=som",AA5:AA319)*HLOOKUP(AC322,Verteil_rwgr,17,FALSE)+SUMIF($D$5:$D$319,"=sor",AA5:AA319)*HLOOKUP(AC322,Verteil_rwgr,18,FALSE)</f>
        <v>27500</v>
      </c>
      <c r="AC459" s="669">
        <f>IF(AA458&lt;&gt;0,ROUND(AA459/AA457,5),0)</f>
        <v>0.25</v>
      </c>
      <c r="AE459" s="656" t="s">
        <v>302</v>
      </c>
      <c r="AM459" s="217"/>
      <c r="AR459" s="179">
        <f>SUMIF($D$5:$D$319,"=sos",AR5:AR319)*HLOOKUP(AT322,Verteil_rwgr,16,FALSE)+SUMIF($D$5:$D$319,"=som",AR5:AR319)*HLOOKUP(AT322,Verteil_rwgr,17,FALSE)+SUMIF($D$5:$D$319,"=sor",AR5:AR319)*HLOOKUP(AT322,Verteil_rwgr,18,FALSE)</f>
        <v>27500</v>
      </c>
      <c r="AT459" s="669">
        <f t="shared" ref="AT459" si="3280">IF(AR458&lt;&gt;0,ROUND(AR459/AR457,5),0)</f>
        <v>0.25</v>
      </c>
      <c r="AV459" s="659" t="s">
        <v>302</v>
      </c>
      <c r="BD459" s="217"/>
      <c r="BI459" s="179">
        <f>SUMIF($D$5:$D$319,"=sos",BI5:BI319)*HLOOKUP(BK322,Verteil_rwgr,16,FALSE)+SUMIF($D$5:$D$319,"=som",BI5:BI319)*HLOOKUP(BK322,Verteil_rwgr,17,FALSE)+SUMIF($D$5:$D$319,"=sor",BI5:BI319)*HLOOKUP(BK322,Verteil_rwgr,18,FALSE)</f>
        <v>27500</v>
      </c>
      <c r="BK459" s="669">
        <f t="shared" ref="BK459" si="3281">IF(BI458&lt;&gt;0,ROUND(BI459/BI457,5),0)</f>
        <v>0.25</v>
      </c>
      <c r="BM459" s="659" t="s">
        <v>302</v>
      </c>
      <c r="BU459" s="217"/>
      <c r="BZ459" s="179">
        <f>SUMIF($D$5:$D$319,"=sos",BZ5:BZ319)*HLOOKUP(CB322,Verteil_rwgr,16,FALSE)+SUMIF($D$5:$D$319,"=som",BZ5:BZ319)*HLOOKUP(CB322,Verteil_rwgr,17,FALSE)+SUMIF($D$5:$D$319,"=sor",BZ5:BZ319)*HLOOKUP(CB322,Verteil_rwgr,18,FALSE)</f>
        <v>27500</v>
      </c>
      <c r="CB459" s="669">
        <f t="shared" ref="CB459" si="3282">IF(BZ458&lt;&gt;0,ROUND(BZ459/BZ457,5),0)</f>
        <v>0.25</v>
      </c>
      <c r="CD459" s="659" t="s">
        <v>302</v>
      </c>
      <c r="CL459" s="217"/>
      <c r="CQ459" s="179">
        <f>SUMIF($D$5:$D$319,"=sos",CQ5:CQ319)*HLOOKUP(CS322,Verteil_rwgr,16,FALSE)+SUMIF($D$5:$D$319,"=som",CQ5:CQ319)*HLOOKUP(CS322,Verteil_rwgr,17,FALSE)+SUMIF($D$5:$D$319,"=sor",CQ5:CQ319)*HLOOKUP(CS322,Verteil_rwgr,18,FALSE)</f>
        <v>27500</v>
      </c>
      <c r="CS459" s="669">
        <f t="shared" ref="CS459" si="3283">IF(CQ458&lt;&gt;0,ROUND(CQ459/CQ457,5),0)</f>
        <v>0.25</v>
      </c>
      <c r="CU459" s="659" t="s">
        <v>302</v>
      </c>
      <c r="DC459" s="217"/>
      <c r="DH459" s="179">
        <f>SUMIF($D$5:$D$319,"=sos",DH5:DH319)*HLOOKUP(DJ322,Verteil_rwgr,16,FALSE)+SUMIF($D$5:$D$319,"=som",DH5:DH319)*HLOOKUP(DJ322,Verteil_rwgr,17,FALSE)+SUMIF($D$5:$D$319,"=sor",DH5:DH319)*HLOOKUP(DJ322,Verteil_rwgr,18,FALSE)</f>
        <v>27500</v>
      </c>
      <c r="DJ459" s="669">
        <f t="shared" ref="DJ459" si="3284">IF(DH458&lt;&gt;0,ROUND(DH459/DH457,5),0)</f>
        <v>0.25</v>
      </c>
      <c r="DL459" s="659" t="s">
        <v>302</v>
      </c>
      <c r="DT459" s="217"/>
      <c r="DY459" s="179">
        <f>SUMIF($D$5:$D$319,"=sos",DY5:DY319)*HLOOKUP(EA322,Verteil_rwgr,16,FALSE)+SUMIF($D$5:$D$319,"=som",DY5:DY319)*HLOOKUP(EA322,Verteil_rwgr,17,FALSE)+SUMIF($D$5:$D$319,"=sor",DY5:DY319)*HLOOKUP(EA322,Verteil_rwgr,18,FALSE)</f>
        <v>27500</v>
      </c>
      <c r="EA459" s="669">
        <f t="shared" ref="EA459" si="3285">IF(DY458&lt;&gt;0,ROUND(DY459/DY457,5),0)</f>
        <v>0.25</v>
      </c>
      <c r="EC459" s="659" t="s">
        <v>302</v>
      </c>
      <c r="EK459" s="217"/>
      <c r="EP459" s="179">
        <f>SUMIF($D$5:$D$319,"=sos",EP5:EP319)*HLOOKUP(ER322,Verteil_rwgr,16,FALSE)+SUMIF($D$5:$D$319,"=som",EP5:EP319)*HLOOKUP(ER322,Verteil_rwgr,17,FALSE)+SUMIF($D$5:$D$319,"=sor",EP5:EP319)*HLOOKUP(ER322,Verteil_rwgr,18,FALSE)</f>
        <v>27500</v>
      </c>
      <c r="ER459" s="669">
        <f t="shared" ref="ER459" si="3286">IF(EP458&lt;&gt;0,ROUND(EP459/EP457,5),0)</f>
        <v>0.25</v>
      </c>
      <c r="ET459" s="659" t="s">
        <v>302</v>
      </c>
      <c r="FB459" s="217"/>
      <c r="FG459" s="179">
        <f>SUMIF($D$5:$D$319,"=sos",FG5:FG319)*HLOOKUP(FI322,Verteil_rwgr,16,FALSE)+SUMIF($D$5:$D$319,"=som",FG5:FG319)*HLOOKUP(FI322,Verteil_rwgr,17,FALSE)+SUMIF($D$5:$D$319,"=sor",FG5:FG319)*HLOOKUP(FI322,Verteil_rwgr,18,FALSE)</f>
        <v>27500</v>
      </c>
      <c r="FI459" s="669">
        <f t="shared" ref="FI459" si="3287">IF(FG458&lt;&gt;0,ROUND(FG459/FG457,5),0)</f>
        <v>0.25</v>
      </c>
      <c r="FK459" s="659" t="s">
        <v>302</v>
      </c>
      <c r="FS459" s="217"/>
    </row>
    <row r="460" spans="1:175" s="10" customFormat="1" ht="15" hidden="1" customHeight="1" x14ac:dyDescent="0.3">
      <c r="A460" s="656" t="s">
        <v>303</v>
      </c>
      <c r="V460" s="217">
        <v>139</v>
      </c>
      <c r="AA460" s="179">
        <f>SUMIF($D$5:$D$319,"=sos",AA5:AA319)*HLOOKUP(AC322,Verteil_rwst,15,FALSE)+SUMIF($D$5:$D$319,"=som",AA5:AA319)*HLOOKUP(AC322,Verteil_rwst,16,FALSE)+SUMIF($D$5:$D$319,"=sor",AA5:AA319)*HLOOKUP(AC322,Verteil_rwst,17,FALSE)</f>
        <v>27500</v>
      </c>
      <c r="AC460" s="669">
        <f>IF(AA459&lt;&gt;0,ROUND(AA460/AA457,5),0)</f>
        <v>0.25</v>
      </c>
      <c r="AE460" s="656" t="s">
        <v>303</v>
      </c>
      <c r="AM460" s="217"/>
      <c r="AR460" s="179">
        <f>SUMIF($D$5:$D$319,"=sos",AR5:AR319)*HLOOKUP(AT322,Verteil_rwst,15,FALSE)+SUMIF($D$5:$D$319,"=som",AR5:AR319)*HLOOKUP(AT322,Verteil_rwst,16,FALSE)+SUMIF($D$5:$D$319,"=sor",AR5:AR319)*HLOOKUP(AT322,Verteil_rwst,17,FALSE)</f>
        <v>27500</v>
      </c>
      <c r="AT460" s="669">
        <f t="shared" ref="AT460" si="3288">IF(AR459&lt;&gt;0,ROUND(AR460/AR457,5),0)</f>
        <v>0.25</v>
      </c>
      <c r="AV460" s="659" t="s">
        <v>303</v>
      </c>
      <c r="BD460" s="217"/>
      <c r="BI460" s="179">
        <f>SUMIF($D$5:$D$319,"=sos",BI5:BI319)*HLOOKUP(BK322,Verteil_rwst,15,FALSE)+SUMIF($D$5:$D$319,"=som",BI5:BI319)*HLOOKUP(BK322,Verteil_rwst,16,FALSE)+SUMIF($D$5:$D$319,"=sor",BI5:BI319)*HLOOKUP(BK322,Verteil_rwst,17,FALSE)</f>
        <v>27500</v>
      </c>
      <c r="BK460" s="669">
        <f t="shared" ref="BK460" si="3289">IF(BI459&lt;&gt;0,ROUND(BI460/BI457,5),0)</f>
        <v>0.25</v>
      </c>
      <c r="BM460" s="659" t="s">
        <v>303</v>
      </c>
      <c r="BU460" s="217"/>
      <c r="BZ460" s="179">
        <f>SUMIF($D$5:$D$319,"=sos",BZ5:BZ319)*HLOOKUP(CB322,Verteil_rwst,15,FALSE)+SUMIF($D$5:$D$319,"=som",BZ5:BZ319)*HLOOKUP(CB322,Verteil_rwst,16,FALSE)+SUMIF($D$5:$D$319,"=sor",BZ5:BZ319)*HLOOKUP(CB322,Verteil_rwst,17,FALSE)</f>
        <v>27500</v>
      </c>
      <c r="CB460" s="669">
        <f t="shared" ref="CB460" si="3290">IF(BZ459&lt;&gt;0,ROUND(BZ460/BZ457,5),0)</f>
        <v>0.25</v>
      </c>
      <c r="CD460" s="659" t="s">
        <v>303</v>
      </c>
      <c r="CL460" s="217"/>
      <c r="CQ460" s="179">
        <f>SUMIF($D$5:$D$319,"=sos",CQ5:CQ319)*HLOOKUP(CS322,Verteil_rwst,15,FALSE)+SUMIF($D$5:$D$319,"=som",CQ5:CQ319)*HLOOKUP(CS322,Verteil_rwst,16,FALSE)+SUMIF($D$5:$D$319,"=sor",CQ5:CQ319)*HLOOKUP(CS322,Verteil_rwst,17,FALSE)</f>
        <v>27500</v>
      </c>
      <c r="CS460" s="669">
        <f t="shared" ref="CS460" si="3291">IF(CQ459&lt;&gt;0,ROUND(CQ460/CQ457,5),0)</f>
        <v>0.25</v>
      </c>
      <c r="CU460" s="659" t="s">
        <v>303</v>
      </c>
      <c r="DC460" s="217"/>
      <c r="DH460" s="179">
        <f>SUMIF($D$5:$D$319,"=sos",DH5:DH319)*HLOOKUP(DJ322,Verteil_rwst,15,FALSE)+SUMIF($D$5:$D$319,"=som",DH5:DH319)*HLOOKUP(DJ322,Verteil_rwst,16,FALSE)+SUMIF($D$5:$D$319,"=sor",DH5:DH319)*HLOOKUP(DJ322,Verteil_rwst,17,FALSE)</f>
        <v>27500</v>
      </c>
      <c r="DJ460" s="669">
        <f t="shared" ref="DJ460" si="3292">IF(DH459&lt;&gt;0,ROUND(DH460/DH457,5),0)</f>
        <v>0.25</v>
      </c>
      <c r="DL460" s="659" t="s">
        <v>303</v>
      </c>
      <c r="DT460" s="217"/>
      <c r="DY460" s="179">
        <f>SUMIF($D$5:$D$319,"=sos",DY5:DY319)*HLOOKUP(EA322,Verteil_rwst,15,FALSE)+SUMIF($D$5:$D$319,"=som",DY5:DY319)*HLOOKUP(EA322,Verteil_rwst,16,FALSE)+SUMIF($D$5:$D$319,"=sor",DY5:DY319)*HLOOKUP(EA322,Verteil_rwst,17,FALSE)</f>
        <v>27500</v>
      </c>
      <c r="EA460" s="669">
        <f t="shared" ref="EA460" si="3293">IF(DY459&lt;&gt;0,ROUND(DY460/DY457,5),0)</f>
        <v>0.25</v>
      </c>
      <c r="EC460" s="659" t="s">
        <v>303</v>
      </c>
      <c r="EK460" s="217"/>
      <c r="EP460" s="179">
        <f>SUMIF($D$5:$D$319,"=sos",EP5:EP319)*HLOOKUP(ER322,Verteil_rwst,15,FALSE)+SUMIF($D$5:$D$319,"=som",EP5:EP319)*HLOOKUP(ER322,Verteil_rwst,16,FALSE)+SUMIF($D$5:$D$319,"=sor",EP5:EP319)*HLOOKUP(ER322,Verteil_rwst,17,FALSE)</f>
        <v>27500</v>
      </c>
      <c r="ER460" s="669">
        <f t="shared" ref="ER460" si="3294">IF(EP459&lt;&gt;0,ROUND(EP460/EP457,5),0)</f>
        <v>0.25</v>
      </c>
      <c r="ET460" s="659" t="s">
        <v>303</v>
      </c>
      <c r="FB460" s="217"/>
      <c r="FG460" s="179">
        <f>SUMIF($D$5:$D$319,"=sos",FG5:FG319)*HLOOKUP(FI322,Verteil_rwst,15,FALSE)+SUMIF($D$5:$D$319,"=som",FG5:FG319)*HLOOKUP(FI322,Verteil_rwst,16,FALSE)+SUMIF($D$5:$D$319,"=sor",FG5:FG319)*HLOOKUP(FI322,Verteil_rwst,17,FALSE)</f>
        <v>27500</v>
      </c>
      <c r="FI460" s="669">
        <f t="shared" ref="FI460" si="3295">IF(FG459&lt;&gt;0,ROUND(FG460/FG457,5),0)</f>
        <v>0.25</v>
      </c>
      <c r="FK460" s="659" t="s">
        <v>303</v>
      </c>
      <c r="FS460" s="217"/>
    </row>
    <row r="461" spans="1:175" s="10" customFormat="1" ht="15" hidden="1" customHeight="1" x14ac:dyDescent="0.3">
      <c r="A461" s="657" t="s">
        <v>317</v>
      </c>
      <c r="V461" s="217">
        <v>140</v>
      </c>
      <c r="AA461" s="179"/>
      <c r="AE461" s="657" t="s">
        <v>317</v>
      </c>
      <c r="AM461" s="217"/>
      <c r="AR461" s="179"/>
      <c r="AV461" s="658" t="s">
        <v>317</v>
      </c>
      <c r="BD461" s="217"/>
      <c r="BI461" s="179"/>
      <c r="BM461" s="658" t="s">
        <v>317</v>
      </c>
      <c r="BU461" s="217"/>
      <c r="BZ461" s="179"/>
      <c r="CD461" s="658" t="s">
        <v>317</v>
      </c>
      <c r="CL461" s="217"/>
      <c r="CQ461" s="179"/>
      <c r="CU461" s="658" t="s">
        <v>317</v>
      </c>
      <c r="DC461" s="217"/>
      <c r="DH461" s="179"/>
      <c r="DL461" s="658" t="s">
        <v>317</v>
      </c>
      <c r="DT461" s="217"/>
      <c r="DY461" s="179"/>
      <c r="EC461" s="658" t="s">
        <v>317</v>
      </c>
      <c r="EK461" s="217"/>
      <c r="EP461" s="179"/>
      <c r="ET461" s="658" t="s">
        <v>317</v>
      </c>
      <c r="FB461" s="217"/>
      <c r="FG461" s="179"/>
      <c r="FK461" s="658" t="s">
        <v>317</v>
      </c>
      <c r="FS461" s="217"/>
    </row>
    <row r="462" spans="1:175" s="10" customFormat="1" ht="15" hidden="1" customHeight="1" x14ac:dyDescent="0.3">
      <c r="A462" s="223" t="s">
        <v>306</v>
      </c>
      <c r="V462" s="217">
        <v>141</v>
      </c>
      <c r="AA462" s="179">
        <f>SUMIF($D$5:$D$319,"=has",AA5:AA319)+SUMIF($D$5:$D$319,"=ham",AA5:AA319)+SUMIF($D$5:$D$319,"=har",AA5:AA319)</f>
        <v>2172000</v>
      </c>
      <c r="AC462" s="668">
        <f>SUM(AC463:AC465)</f>
        <v>1</v>
      </c>
      <c r="AE462" s="223" t="s">
        <v>667</v>
      </c>
      <c r="AM462" s="217"/>
      <c r="AR462" s="179">
        <f t="shared" ref="AR462" si="3296">SUMIF($D$5:$D$319,"=has",AR5:AR319)+SUMIF($D$5:$D$319,"=ham",AR5:AR319)+SUMIF($D$5:$D$319,"=har",AR5:AR319)</f>
        <v>2172000</v>
      </c>
      <c r="AT462" s="668">
        <f t="shared" ref="AT462" si="3297">SUM(AT463:AT465)</f>
        <v>1</v>
      </c>
      <c r="AV462" s="223" t="s">
        <v>667</v>
      </c>
      <c r="BD462" s="217"/>
      <c r="BI462" s="179">
        <f t="shared" ref="BI462" si="3298">SUMIF($D$5:$D$319,"=has",BI5:BI319)+SUMIF($D$5:$D$319,"=ham",BI5:BI319)+SUMIF($D$5:$D$319,"=har",BI5:BI319)</f>
        <v>2172000</v>
      </c>
      <c r="BK462" s="668">
        <f t="shared" ref="BK462" si="3299">SUM(BK463:BK465)</f>
        <v>1</v>
      </c>
      <c r="BM462" s="223" t="s">
        <v>667</v>
      </c>
      <c r="BU462" s="217"/>
      <c r="BZ462" s="179">
        <f t="shared" ref="BZ462" si="3300">SUMIF($D$5:$D$319,"=has",BZ5:BZ319)+SUMIF($D$5:$D$319,"=ham",BZ5:BZ319)+SUMIF($D$5:$D$319,"=har",BZ5:BZ319)</f>
        <v>2172000</v>
      </c>
      <c r="CB462" s="668">
        <f t="shared" ref="CB462" si="3301">SUM(CB463:CB465)</f>
        <v>1</v>
      </c>
      <c r="CD462" s="223" t="s">
        <v>667</v>
      </c>
      <c r="CL462" s="217"/>
      <c r="CQ462" s="179">
        <f t="shared" ref="CQ462" si="3302">SUMIF($D$5:$D$319,"=has",CQ5:CQ319)+SUMIF($D$5:$D$319,"=ham",CQ5:CQ319)+SUMIF($D$5:$D$319,"=har",CQ5:CQ319)</f>
        <v>2172000</v>
      </c>
      <c r="CS462" s="668">
        <f t="shared" ref="CS462" si="3303">SUM(CS463:CS465)</f>
        <v>1</v>
      </c>
      <c r="CU462" s="223" t="s">
        <v>667</v>
      </c>
      <c r="DC462" s="217"/>
      <c r="DH462" s="179">
        <f t="shared" ref="DH462" si="3304">SUMIF($D$5:$D$319,"=has",DH5:DH319)+SUMIF($D$5:$D$319,"=ham",DH5:DH319)+SUMIF($D$5:$D$319,"=har",DH5:DH319)</f>
        <v>2172000</v>
      </c>
      <c r="DJ462" s="668">
        <f t="shared" ref="DJ462" si="3305">SUM(DJ463:DJ465)</f>
        <v>1</v>
      </c>
      <c r="DL462" s="223" t="s">
        <v>667</v>
      </c>
      <c r="DT462" s="217"/>
      <c r="DY462" s="179">
        <f t="shared" ref="DY462" si="3306">SUMIF($D$5:$D$319,"=has",DY5:DY319)+SUMIF($D$5:$D$319,"=ham",DY5:DY319)+SUMIF($D$5:$D$319,"=har",DY5:DY319)</f>
        <v>2172000</v>
      </c>
      <c r="EA462" s="668">
        <f t="shared" ref="EA462" si="3307">SUM(EA463:EA465)</f>
        <v>1</v>
      </c>
      <c r="EC462" s="223" t="s">
        <v>667</v>
      </c>
      <c r="EK462" s="217"/>
      <c r="EP462" s="179">
        <f t="shared" ref="EP462" si="3308">SUMIF($D$5:$D$319,"=has",EP5:EP319)+SUMIF($D$5:$D$319,"=ham",EP5:EP319)+SUMIF($D$5:$D$319,"=har",EP5:EP319)</f>
        <v>2172000</v>
      </c>
      <c r="ER462" s="668">
        <f t="shared" ref="ER462" si="3309">SUM(ER463:ER465)</f>
        <v>1</v>
      </c>
      <c r="ET462" s="223" t="s">
        <v>667</v>
      </c>
      <c r="FB462" s="217"/>
      <c r="FG462" s="179">
        <f t="shared" ref="FG462" si="3310">SUMIF($D$5:$D$319,"=has",FG5:FG319)+SUMIF($D$5:$D$319,"=ham",FG5:FG319)+SUMIF($D$5:$D$319,"=har",FG5:FG319)</f>
        <v>2172000</v>
      </c>
      <c r="FI462" s="668">
        <f t="shared" ref="FI462" si="3311">SUM(FI463:FI465)</f>
        <v>1</v>
      </c>
      <c r="FK462" s="223" t="s">
        <v>667</v>
      </c>
      <c r="FS462" s="217"/>
    </row>
    <row r="463" spans="1:175" s="10" customFormat="1" ht="15" hidden="1" customHeight="1" x14ac:dyDescent="0.3">
      <c r="A463" s="656" t="s">
        <v>301</v>
      </c>
      <c r="V463" s="217">
        <v>142</v>
      </c>
      <c r="AA463" s="179">
        <f>SUMIF($D$5:$D$319,"=has",AA5:AA319)*HLOOKUP(AC322,Verteil_sw,22,FALSE)+SUMIF($D$5:$D$319,"=ham",AA5:AA319)*HLOOKUP(AC322,Verteil_sw,23,FALSE)+SUMIF($D$5:$D$319,"=har",AA5:AA319)*HLOOKUP(AC322,Verteil_sw,24,FALSE)</f>
        <v>1177500</v>
      </c>
      <c r="AC463" s="669">
        <f>IF(AA462&lt;&gt;0,ROUND(AA463/AA462,5),0)</f>
        <v>0.54213</v>
      </c>
      <c r="AE463" s="656" t="s">
        <v>301</v>
      </c>
      <c r="AM463" s="217"/>
      <c r="AR463" s="179">
        <f>SUMIF($D$5:$D$319,"=has",AR5:AR319)*HLOOKUP(AT322,Verteil_sw,22,FALSE)+SUMIF($D$5:$D$319,"=ham",AR5:AR319)*HLOOKUP(AT322,Verteil_sw,23,FALSE)+SUMIF($D$5:$D$319,"=har",AR5:AR319)*HLOOKUP(AT322,Verteil_sw,24,FALSE)</f>
        <v>1177500</v>
      </c>
      <c r="AT463" s="669">
        <f t="shared" ref="AT463" si="3312">IF(AR462&lt;&gt;0,ROUND(AR463/AR462,5),0)</f>
        <v>0.54213</v>
      </c>
      <c r="AV463" s="659" t="s">
        <v>301</v>
      </c>
      <c r="BD463" s="217"/>
      <c r="BI463" s="179">
        <f>SUMIF($D$5:$D$319,"=has",BI5:BI319)*HLOOKUP(BK322,Verteil_sw,22,FALSE)+SUMIF($D$5:$D$319,"=ham",BI5:BI319)*HLOOKUP(BK322,Verteil_sw,23,FALSE)+SUMIF($D$5:$D$319,"=har",BI5:BI319)*HLOOKUP(BK322,Verteil_sw,24,FALSE)</f>
        <v>1177500</v>
      </c>
      <c r="BK463" s="669">
        <f t="shared" ref="BK463" si="3313">IF(BI462&lt;&gt;0,ROUND(BI463/BI462,5),0)</f>
        <v>0.54213</v>
      </c>
      <c r="BM463" s="659" t="s">
        <v>301</v>
      </c>
      <c r="BU463" s="217"/>
      <c r="BZ463" s="179">
        <f>SUMIF($D$5:$D$319,"=has",BZ5:BZ319)*HLOOKUP(CB322,Verteil_sw,22,FALSE)+SUMIF($D$5:$D$319,"=ham",BZ5:BZ319)*HLOOKUP(CB322,Verteil_sw,23,FALSE)+SUMIF($D$5:$D$319,"=har",BZ5:BZ319)*HLOOKUP(CB322,Verteil_sw,24,FALSE)</f>
        <v>1177500</v>
      </c>
      <c r="CB463" s="669">
        <f t="shared" ref="CB463" si="3314">IF(BZ462&lt;&gt;0,ROUND(BZ463/BZ462,5),0)</f>
        <v>0.54213</v>
      </c>
      <c r="CD463" s="659" t="s">
        <v>301</v>
      </c>
      <c r="CL463" s="217"/>
      <c r="CQ463" s="179">
        <f>SUMIF($D$5:$D$319,"=has",CQ5:CQ319)*HLOOKUP(CS322,Verteil_sw,22,FALSE)+SUMIF($D$5:$D$319,"=ham",CQ5:CQ319)*HLOOKUP(CS322,Verteil_sw,23,FALSE)+SUMIF($D$5:$D$319,"=har",CQ5:CQ319)*HLOOKUP(CS322,Verteil_sw,24,FALSE)</f>
        <v>1177500</v>
      </c>
      <c r="CS463" s="669">
        <f t="shared" ref="CS463" si="3315">IF(CQ462&lt;&gt;0,ROUND(CQ463/CQ462,5),0)</f>
        <v>0.54213</v>
      </c>
      <c r="CU463" s="659" t="s">
        <v>301</v>
      </c>
      <c r="DC463" s="217"/>
      <c r="DH463" s="179">
        <f>SUMIF($D$5:$D$319,"=has",DH5:DH319)*HLOOKUP(DJ322,Verteil_sw,22,FALSE)+SUMIF($D$5:$D$319,"=ham",DH5:DH319)*HLOOKUP(DJ322,Verteil_sw,23,FALSE)+SUMIF($D$5:$D$319,"=har",DH5:DH319)*HLOOKUP(DJ322,Verteil_sw,24,FALSE)</f>
        <v>1177500</v>
      </c>
      <c r="DJ463" s="669">
        <f t="shared" ref="DJ463" si="3316">IF(DH462&lt;&gt;0,ROUND(DH463/DH462,5),0)</f>
        <v>0.54213</v>
      </c>
      <c r="DL463" s="659" t="s">
        <v>301</v>
      </c>
      <c r="DT463" s="217"/>
      <c r="DY463" s="179">
        <f>SUMIF($D$5:$D$319,"=has",DY5:DY319)*HLOOKUP(EA322,Verteil_sw,22,FALSE)+SUMIF($D$5:$D$319,"=ham",DY5:DY319)*HLOOKUP(EA322,Verteil_sw,23,FALSE)+SUMIF($D$5:$D$319,"=har",DY5:DY319)*HLOOKUP(EA322,Verteil_sw,24,FALSE)</f>
        <v>1177500</v>
      </c>
      <c r="EA463" s="669">
        <f t="shared" ref="EA463" si="3317">IF(DY462&lt;&gt;0,ROUND(DY463/DY462,5),0)</f>
        <v>0.54213</v>
      </c>
      <c r="EC463" s="659" t="s">
        <v>301</v>
      </c>
      <c r="EK463" s="217"/>
      <c r="EP463" s="179">
        <f>SUMIF($D$5:$D$319,"=has",EP5:EP319)*HLOOKUP(ER322,Verteil_sw,22,FALSE)+SUMIF($D$5:$D$319,"=ham",EP5:EP319)*HLOOKUP(ER322,Verteil_sw,23,FALSE)+SUMIF($D$5:$D$319,"=har",EP5:EP319)*HLOOKUP(ER322,Verteil_sw,24,FALSE)</f>
        <v>1177500</v>
      </c>
      <c r="ER463" s="669">
        <f t="shared" ref="ER463" si="3318">IF(EP462&lt;&gt;0,ROUND(EP463/EP462,5),0)</f>
        <v>0.54213</v>
      </c>
      <c r="ET463" s="659" t="s">
        <v>301</v>
      </c>
      <c r="FB463" s="217"/>
      <c r="FG463" s="179">
        <f>SUMIF($D$5:$D$319,"=has",FG5:FG319)*HLOOKUP(FI322,Verteil_sw,22,FALSE)+SUMIF($D$5:$D$319,"=ham",FG5:FG319)*HLOOKUP(FI322,Verteil_sw,23,FALSE)+SUMIF($D$5:$D$319,"=har",FG5:FG319)*HLOOKUP(FI322,Verteil_sw,24,FALSE)</f>
        <v>1177500</v>
      </c>
      <c r="FI463" s="669">
        <f t="shared" ref="FI463" si="3319">IF(FG462&lt;&gt;0,ROUND(FG463/FG462,5),0)</f>
        <v>0.54213</v>
      </c>
      <c r="FK463" s="659" t="s">
        <v>301</v>
      </c>
      <c r="FS463" s="217"/>
    </row>
    <row r="464" spans="1:175" s="10" customFormat="1" ht="15" hidden="1" customHeight="1" x14ac:dyDescent="0.3">
      <c r="A464" s="656" t="s">
        <v>302</v>
      </c>
      <c r="V464" s="217">
        <v>143</v>
      </c>
      <c r="AA464" s="179">
        <f>SUMIF($D$5:$D$319,"=has",AA5:AA319)*HLOOKUP(AC322,Verteil_rwgr,21,FALSE)+SUMIF($D$5:$D$319,"=ham",AA5:AA319)*HLOOKUP(AC322,Verteil_rwgr,22,FALSE)+SUMIF($D$5:$D$319,"=har",AA5:AA319)*HLOOKUP(AC322,Verteil_rwgr,23,FALSE)</f>
        <v>994500</v>
      </c>
      <c r="AC464" s="669">
        <f>IF(AA463&lt;&gt;0,ROUND(AA464/AA462,5),0)</f>
        <v>0.45787</v>
      </c>
      <c r="AE464" s="656" t="s">
        <v>302</v>
      </c>
      <c r="AM464" s="217"/>
      <c r="AR464" s="179">
        <f>SUMIF($D$5:$D$319,"=has",AR5:AR319)*HLOOKUP(AT322,Verteil_rwgr,21,FALSE)+SUMIF($D$5:$D$319,"=ham",AR5:AR319)*HLOOKUP(AT322,Verteil_rwgr,22,FALSE)+SUMIF($D$5:$D$319,"=har",AR5:AR319)*HLOOKUP(AT322,Verteil_rwgr,23,FALSE)</f>
        <v>994500</v>
      </c>
      <c r="AT464" s="669">
        <f t="shared" ref="AT464" si="3320">IF(AR463&lt;&gt;0,ROUND(AR464/AR462,5),0)</f>
        <v>0.45787</v>
      </c>
      <c r="AV464" s="659" t="s">
        <v>302</v>
      </c>
      <c r="BD464" s="217"/>
      <c r="BI464" s="179">
        <f>SUMIF($D$5:$D$319,"=has",BI5:BI319)*HLOOKUP(BK322,Verteil_rwgr,21,FALSE)+SUMIF($D$5:$D$319,"=ham",BI5:BI319)*HLOOKUP(BK322,Verteil_rwgr,22,FALSE)+SUMIF($D$5:$D$319,"=har",BI5:BI319)*HLOOKUP(BK322,Verteil_rwgr,23,FALSE)</f>
        <v>994500</v>
      </c>
      <c r="BK464" s="669">
        <f t="shared" ref="BK464" si="3321">IF(BI463&lt;&gt;0,ROUND(BI464/BI462,5),0)</f>
        <v>0.45787</v>
      </c>
      <c r="BM464" s="659" t="s">
        <v>302</v>
      </c>
      <c r="BU464" s="217"/>
      <c r="BZ464" s="179">
        <f>SUMIF($D$5:$D$319,"=has",BZ5:BZ319)*HLOOKUP(CB322,Verteil_rwgr,21,FALSE)+SUMIF($D$5:$D$319,"=ham",BZ5:BZ319)*HLOOKUP(CB322,Verteil_rwgr,22,FALSE)+SUMIF($D$5:$D$319,"=har",BZ5:BZ319)*HLOOKUP(CB322,Verteil_rwgr,23,FALSE)</f>
        <v>994500</v>
      </c>
      <c r="CB464" s="669">
        <f t="shared" ref="CB464" si="3322">IF(BZ463&lt;&gt;0,ROUND(BZ464/BZ462,5),0)</f>
        <v>0.45787</v>
      </c>
      <c r="CD464" s="659" t="s">
        <v>302</v>
      </c>
      <c r="CL464" s="217"/>
      <c r="CQ464" s="179">
        <f>SUMIF($D$5:$D$319,"=has",CQ5:CQ319)*HLOOKUP(CS322,Verteil_rwgr,21,FALSE)+SUMIF($D$5:$D$319,"=ham",CQ5:CQ319)*HLOOKUP(CS322,Verteil_rwgr,22,FALSE)+SUMIF($D$5:$D$319,"=har",CQ5:CQ319)*HLOOKUP(CS322,Verteil_rwgr,23,FALSE)</f>
        <v>994500</v>
      </c>
      <c r="CS464" s="669">
        <f t="shared" ref="CS464" si="3323">IF(CQ463&lt;&gt;0,ROUND(CQ464/CQ462,5),0)</f>
        <v>0.45787</v>
      </c>
      <c r="CU464" s="659" t="s">
        <v>302</v>
      </c>
      <c r="DC464" s="217"/>
      <c r="DH464" s="179">
        <f>SUMIF($D$5:$D$319,"=has",DH5:DH319)*HLOOKUP(DJ322,Verteil_rwgr,21,FALSE)+SUMIF($D$5:$D$319,"=ham",DH5:DH319)*HLOOKUP(DJ322,Verteil_rwgr,22,FALSE)+SUMIF($D$5:$D$319,"=har",DH5:DH319)*HLOOKUP(DJ322,Verteil_rwgr,23,FALSE)</f>
        <v>994500</v>
      </c>
      <c r="DJ464" s="669">
        <f t="shared" ref="DJ464" si="3324">IF(DH463&lt;&gt;0,ROUND(DH464/DH462,5),0)</f>
        <v>0.45787</v>
      </c>
      <c r="DL464" s="659" t="s">
        <v>302</v>
      </c>
      <c r="DT464" s="217"/>
      <c r="DY464" s="179">
        <f>SUMIF($D$5:$D$319,"=has",DY5:DY319)*HLOOKUP(EA322,Verteil_rwgr,21,FALSE)+SUMIF($D$5:$D$319,"=ham",DY5:DY319)*HLOOKUP(EA322,Verteil_rwgr,22,FALSE)+SUMIF($D$5:$D$319,"=har",DY5:DY319)*HLOOKUP(EA322,Verteil_rwgr,23,FALSE)</f>
        <v>994500</v>
      </c>
      <c r="EA464" s="669">
        <f t="shared" ref="EA464" si="3325">IF(DY463&lt;&gt;0,ROUND(DY464/DY462,5),0)</f>
        <v>0.45787</v>
      </c>
      <c r="EC464" s="659" t="s">
        <v>302</v>
      </c>
      <c r="EK464" s="217"/>
      <c r="EP464" s="179">
        <f>SUMIF($D$5:$D$319,"=has",EP5:EP319)*HLOOKUP(ER322,Verteil_rwgr,21,FALSE)+SUMIF($D$5:$D$319,"=ham",EP5:EP319)*HLOOKUP(ER322,Verteil_rwgr,22,FALSE)+SUMIF($D$5:$D$319,"=har",EP5:EP319)*HLOOKUP(ER322,Verteil_rwgr,23,FALSE)</f>
        <v>994500</v>
      </c>
      <c r="ER464" s="669">
        <f t="shared" ref="ER464" si="3326">IF(EP463&lt;&gt;0,ROUND(EP464/EP462,5),0)</f>
        <v>0.45787</v>
      </c>
      <c r="ET464" s="659" t="s">
        <v>302</v>
      </c>
      <c r="FB464" s="217"/>
      <c r="FG464" s="179">
        <f>SUMIF($D$5:$D$319,"=has",FG5:FG319)*HLOOKUP(FI322,Verteil_rwgr,21,FALSE)+SUMIF($D$5:$D$319,"=ham",FG5:FG319)*HLOOKUP(FI322,Verteil_rwgr,22,FALSE)+SUMIF($D$5:$D$319,"=har",FG5:FG319)*HLOOKUP(FI322,Verteil_rwgr,23,FALSE)</f>
        <v>994500</v>
      </c>
      <c r="FI464" s="669">
        <f t="shared" ref="FI464" si="3327">IF(FG463&lt;&gt;0,ROUND(FG464/FG462,5),0)</f>
        <v>0.45787</v>
      </c>
      <c r="FK464" s="659" t="s">
        <v>302</v>
      </c>
      <c r="FS464" s="217"/>
    </row>
    <row r="465" spans="1:175" s="10" customFormat="1" hidden="1" x14ac:dyDescent="0.3">
      <c r="A465" s="656" t="s">
        <v>324</v>
      </c>
      <c r="V465" s="217">
        <v>144</v>
      </c>
      <c r="AA465" s="179"/>
      <c r="AC465" s="668"/>
      <c r="AE465" s="656" t="s">
        <v>324</v>
      </c>
      <c r="AM465" s="217"/>
      <c r="AR465" s="179"/>
      <c r="AT465" s="668"/>
      <c r="AV465" s="659" t="s">
        <v>324</v>
      </c>
      <c r="BD465" s="217"/>
      <c r="BI465" s="179"/>
      <c r="BK465" s="668"/>
      <c r="BM465" s="659" t="s">
        <v>324</v>
      </c>
      <c r="BU465" s="217"/>
      <c r="BZ465" s="179"/>
      <c r="CB465" s="668"/>
      <c r="CD465" s="659" t="s">
        <v>324</v>
      </c>
      <c r="CL465" s="217"/>
      <c r="CQ465" s="179"/>
      <c r="CS465" s="668"/>
      <c r="CU465" s="659" t="s">
        <v>324</v>
      </c>
      <c r="DC465" s="217"/>
      <c r="DH465" s="179"/>
      <c r="DJ465" s="668"/>
      <c r="DL465" s="659" t="s">
        <v>324</v>
      </c>
      <c r="DT465" s="217"/>
      <c r="DY465" s="179"/>
      <c r="EA465" s="668"/>
      <c r="EC465" s="659" t="s">
        <v>324</v>
      </c>
      <c r="EK465" s="217"/>
      <c r="EP465" s="179"/>
      <c r="ER465" s="668"/>
      <c r="ET465" s="659" t="s">
        <v>324</v>
      </c>
      <c r="FB465" s="217"/>
      <c r="FG465" s="179"/>
      <c r="FI465" s="668"/>
      <c r="FK465" s="659" t="s">
        <v>324</v>
      </c>
      <c r="FS465" s="217"/>
    </row>
    <row r="466" spans="1:175" s="10" customFormat="1" hidden="1" x14ac:dyDescent="0.3">
      <c r="A466" s="657" t="s">
        <v>318</v>
      </c>
      <c r="V466" s="217">
        <v>145</v>
      </c>
      <c r="AA466" s="179"/>
      <c r="AE466" s="657" t="s">
        <v>318</v>
      </c>
      <c r="AM466" s="217"/>
      <c r="AR466" s="179"/>
      <c r="AV466" s="658" t="s">
        <v>318</v>
      </c>
      <c r="BD466" s="217"/>
      <c r="BI466" s="179"/>
      <c r="BM466" s="658" t="s">
        <v>318</v>
      </c>
      <c r="BU466" s="217"/>
      <c r="BZ466" s="179"/>
      <c r="CD466" s="658" t="s">
        <v>318</v>
      </c>
      <c r="CL466" s="217"/>
      <c r="CQ466" s="179"/>
      <c r="CU466" s="658" t="s">
        <v>318</v>
      </c>
      <c r="DC466" s="217"/>
      <c r="DH466" s="179"/>
      <c r="DL466" s="658" t="s">
        <v>318</v>
      </c>
      <c r="DT466" s="217"/>
      <c r="DY466" s="179"/>
      <c r="EC466" s="658" t="s">
        <v>318</v>
      </c>
      <c r="EK466" s="217"/>
      <c r="EP466" s="179"/>
      <c r="ET466" s="658" t="s">
        <v>318</v>
      </c>
      <c r="FB466" s="217"/>
      <c r="FG466" s="179"/>
      <c r="FK466" s="658" t="s">
        <v>318</v>
      </c>
      <c r="FS466" s="217"/>
    </row>
    <row r="467" spans="1:175" s="10" customFormat="1" hidden="1" x14ac:dyDescent="0.3">
      <c r="A467" s="223" t="s">
        <v>307</v>
      </c>
      <c r="V467" s="217">
        <v>146</v>
      </c>
      <c r="AA467" s="179">
        <f>SUMIF($D$5:$D$319,"=sas",AA5:AA319)+SUMIF($D$5:$D$319,"=sam",AA5:AA319)+SUMIF($D$5:$D$319,"=sar",AA5:AA319)</f>
        <v>0</v>
      </c>
      <c r="AC467" s="668">
        <f>SUM(AC468:AC470)</f>
        <v>0</v>
      </c>
      <c r="AE467" s="223" t="s">
        <v>668</v>
      </c>
      <c r="AM467" s="217"/>
      <c r="AR467" s="179">
        <f t="shared" ref="AR467" si="3328">SUMIF($D$5:$D$319,"=sas",AR5:AR319)+SUMIF($D$5:$D$319,"=sam",AR5:AR319)+SUMIF($D$5:$D$319,"=sar",AR5:AR319)</f>
        <v>0</v>
      </c>
      <c r="AT467" s="668">
        <f t="shared" ref="AT467" si="3329">SUM(AT468:AT470)</f>
        <v>0</v>
      </c>
      <c r="AV467" s="223" t="s">
        <v>668</v>
      </c>
      <c r="BD467" s="217"/>
      <c r="BI467" s="179">
        <f t="shared" ref="BI467" si="3330">SUMIF($D$5:$D$319,"=sas",BI5:BI319)+SUMIF($D$5:$D$319,"=sam",BI5:BI319)+SUMIF($D$5:$D$319,"=sar",BI5:BI319)</f>
        <v>0</v>
      </c>
      <c r="BK467" s="668">
        <f t="shared" ref="BK467" si="3331">SUM(BK468:BK470)</f>
        <v>0</v>
      </c>
      <c r="BM467" s="223" t="s">
        <v>668</v>
      </c>
      <c r="BU467" s="217"/>
      <c r="BZ467" s="179">
        <f t="shared" ref="BZ467" si="3332">SUMIF($D$5:$D$319,"=sas",BZ5:BZ319)+SUMIF($D$5:$D$319,"=sam",BZ5:BZ319)+SUMIF($D$5:$D$319,"=sar",BZ5:BZ319)</f>
        <v>0</v>
      </c>
      <c r="CB467" s="668">
        <f t="shared" ref="CB467" si="3333">SUM(CB468:CB470)</f>
        <v>0</v>
      </c>
      <c r="CD467" s="223" t="s">
        <v>668</v>
      </c>
      <c r="CL467" s="217"/>
      <c r="CQ467" s="179">
        <f t="shared" ref="CQ467" si="3334">SUMIF($D$5:$D$319,"=sas",CQ5:CQ319)+SUMIF($D$5:$D$319,"=sam",CQ5:CQ319)+SUMIF($D$5:$D$319,"=sar",CQ5:CQ319)</f>
        <v>0</v>
      </c>
      <c r="CS467" s="668">
        <f t="shared" ref="CS467" si="3335">SUM(CS468:CS470)</f>
        <v>0</v>
      </c>
      <c r="CU467" s="223" t="s">
        <v>668</v>
      </c>
      <c r="DC467" s="217"/>
      <c r="DH467" s="179">
        <f t="shared" ref="DH467" si="3336">SUMIF($D$5:$D$319,"=sas",DH5:DH319)+SUMIF($D$5:$D$319,"=sam",DH5:DH319)+SUMIF($D$5:$D$319,"=sar",DH5:DH319)</f>
        <v>0</v>
      </c>
      <c r="DJ467" s="668">
        <f t="shared" ref="DJ467" si="3337">SUM(DJ468:DJ470)</f>
        <v>0</v>
      </c>
      <c r="DL467" s="223" t="s">
        <v>668</v>
      </c>
      <c r="DT467" s="217"/>
      <c r="DY467" s="179">
        <f t="shared" ref="DY467" si="3338">SUMIF($D$5:$D$319,"=sas",DY5:DY319)+SUMIF($D$5:$D$319,"=sam",DY5:DY319)+SUMIF($D$5:$D$319,"=sar",DY5:DY319)</f>
        <v>0</v>
      </c>
      <c r="EA467" s="668">
        <f t="shared" ref="EA467" si="3339">SUM(EA468:EA470)</f>
        <v>0</v>
      </c>
      <c r="EC467" s="223" t="s">
        <v>668</v>
      </c>
      <c r="EK467" s="217"/>
      <c r="EP467" s="179">
        <f t="shared" ref="EP467" si="3340">SUMIF($D$5:$D$319,"=sas",EP5:EP319)+SUMIF($D$5:$D$319,"=sam",EP5:EP319)+SUMIF($D$5:$D$319,"=sar",EP5:EP319)</f>
        <v>0</v>
      </c>
      <c r="ER467" s="668">
        <f t="shared" ref="ER467" si="3341">SUM(ER468:ER470)</f>
        <v>0</v>
      </c>
      <c r="ET467" s="223" t="s">
        <v>668</v>
      </c>
      <c r="FB467" s="217"/>
      <c r="FG467" s="179">
        <f t="shared" ref="FG467" si="3342">SUMIF($D$5:$D$319,"=sas",FG5:FG319)+SUMIF($D$5:$D$319,"=sam",FG5:FG319)+SUMIF($D$5:$D$319,"=sar",FG5:FG319)</f>
        <v>0</v>
      </c>
      <c r="FI467" s="668">
        <f t="shared" ref="FI467" si="3343">SUM(FI468:FI470)</f>
        <v>0</v>
      </c>
      <c r="FK467" s="223" t="s">
        <v>668</v>
      </c>
      <c r="FS467" s="217"/>
    </row>
    <row r="468" spans="1:175" s="10" customFormat="1" hidden="1" x14ac:dyDescent="0.3">
      <c r="A468" s="656" t="s">
        <v>301</v>
      </c>
      <c r="V468" s="217">
        <v>147</v>
      </c>
      <c r="AA468" s="179">
        <f>SUMIF($D$5:$D$319,"=sas",AA5:AA319)*HLOOKUP(AC322,Verteil_sw,27,FALSE)+SUMIF($D$5:$D$319,"=sam",AA5:AA319)*HLOOKUP(AC322,Verteil_sw,28,FALSE)+SUMIF($D$5:$D$319,"=sar",AA5:AA319)*HLOOKUP(AC322,Verteil_sw,29,FALSE)</f>
        <v>0</v>
      </c>
      <c r="AC468" s="669">
        <f>IF(AA467&lt;&gt;0,ROUND(AA468/AA467,5),0)</f>
        <v>0</v>
      </c>
      <c r="AE468" s="656" t="s">
        <v>301</v>
      </c>
      <c r="AM468" s="217"/>
      <c r="AR468" s="179">
        <f>SUMIF($D$5:$D$319,"=sas",AR5:AR319)*HLOOKUP(AT322,Verteil_sw,27,FALSE)+SUMIF($D$5:$D$319,"=sam",AR5:AR319)*HLOOKUP(AT322,Verteil_sw,28,FALSE)+SUMIF($D$5:$D$319,"=sar",AR5:AR319)*HLOOKUP(AT322,Verteil_sw,29,FALSE)</f>
        <v>0</v>
      </c>
      <c r="AT468" s="669">
        <f t="shared" ref="AT468" si="3344">IF(AR467&lt;&gt;0,ROUND(AR468/AR467,5),0)</f>
        <v>0</v>
      </c>
      <c r="AV468" s="659" t="s">
        <v>301</v>
      </c>
      <c r="BD468" s="217"/>
      <c r="BI468" s="179">
        <f>SUMIF($D$5:$D$319,"=sas",BI5:BI319)*HLOOKUP(BK322,Verteil_sw,27,FALSE)+SUMIF($D$5:$D$319,"=sam",BI5:BI319)*HLOOKUP(BK322,Verteil_sw,28,FALSE)+SUMIF($D$5:$D$319,"=sar",BI5:BI319)*HLOOKUP(BK322,Verteil_sw,29,FALSE)</f>
        <v>0</v>
      </c>
      <c r="BK468" s="669">
        <f t="shared" ref="BK468" si="3345">IF(BI467&lt;&gt;0,ROUND(BI468/BI467,5),0)</f>
        <v>0</v>
      </c>
      <c r="BM468" s="659" t="s">
        <v>301</v>
      </c>
      <c r="BU468" s="217"/>
      <c r="BZ468" s="179">
        <f>SUMIF($D$5:$D$319,"=sas",BZ5:BZ319)*HLOOKUP(CB322,Verteil_sw,27,FALSE)+SUMIF($D$5:$D$319,"=sam",BZ5:BZ319)*HLOOKUP(CB322,Verteil_sw,28,FALSE)+SUMIF($D$5:$D$319,"=sar",BZ5:BZ319)*HLOOKUP(CB322,Verteil_sw,29,FALSE)</f>
        <v>0</v>
      </c>
      <c r="CB468" s="669">
        <f t="shared" ref="CB468" si="3346">IF(BZ467&lt;&gt;0,ROUND(BZ468/BZ467,5),0)</f>
        <v>0</v>
      </c>
      <c r="CD468" s="659" t="s">
        <v>301</v>
      </c>
      <c r="CL468" s="217"/>
      <c r="CQ468" s="179">
        <f>SUMIF($D$5:$D$319,"=sas",CQ5:CQ319)*HLOOKUP(CS322,Verteil_sw,27,FALSE)+SUMIF($D$5:$D$319,"=sam",CQ5:CQ319)*HLOOKUP(CS322,Verteil_sw,28,FALSE)+SUMIF($D$5:$D$319,"=sar",CQ5:CQ319)*HLOOKUP(CS322,Verteil_sw,29,FALSE)</f>
        <v>0</v>
      </c>
      <c r="CS468" s="669">
        <f t="shared" ref="CS468" si="3347">IF(CQ467&lt;&gt;0,ROUND(CQ468/CQ467,5),0)</f>
        <v>0</v>
      </c>
      <c r="CU468" s="659" t="s">
        <v>301</v>
      </c>
      <c r="DC468" s="217"/>
      <c r="DH468" s="179">
        <f>SUMIF($D$5:$D$319,"=sas",DH5:DH319)*HLOOKUP(DJ322,Verteil_sw,27,FALSE)+SUMIF($D$5:$D$319,"=sam",DH5:DH319)*HLOOKUP(DJ322,Verteil_sw,28,FALSE)+SUMIF($D$5:$D$319,"=sar",DH5:DH319)*HLOOKUP(DJ322,Verteil_sw,29,FALSE)</f>
        <v>0</v>
      </c>
      <c r="DJ468" s="669">
        <f t="shared" ref="DJ468" si="3348">IF(DH467&lt;&gt;0,ROUND(DH468/DH467,5),0)</f>
        <v>0</v>
      </c>
      <c r="DL468" s="659" t="s">
        <v>301</v>
      </c>
      <c r="DT468" s="217"/>
      <c r="DY468" s="179">
        <f>SUMIF($D$5:$D$319,"=sas",DY5:DY319)*HLOOKUP(EA322,Verteil_sw,27,FALSE)+SUMIF($D$5:$D$319,"=sam",DY5:DY319)*HLOOKUP(EA322,Verteil_sw,28,FALSE)+SUMIF($D$5:$D$319,"=sar",DY5:DY319)*HLOOKUP(EA322,Verteil_sw,29,FALSE)</f>
        <v>0</v>
      </c>
      <c r="EA468" s="669">
        <f t="shared" ref="EA468" si="3349">IF(DY467&lt;&gt;0,ROUND(DY468/DY467,5),0)</f>
        <v>0</v>
      </c>
      <c r="EC468" s="659" t="s">
        <v>301</v>
      </c>
      <c r="EK468" s="217"/>
      <c r="EP468" s="179">
        <f>SUMIF($D$5:$D$319,"=sas",EP5:EP319)*HLOOKUP(ER322,Verteil_sw,27,FALSE)+SUMIF($D$5:$D$319,"=sam",EP5:EP319)*HLOOKUP(ER322,Verteil_sw,28,FALSE)+SUMIF($D$5:$D$319,"=sar",EP5:EP319)*HLOOKUP(ER322,Verteil_sw,29,FALSE)</f>
        <v>0</v>
      </c>
      <c r="ER468" s="669">
        <f t="shared" ref="ER468" si="3350">IF(EP467&lt;&gt;0,ROUND(EP468/EP467,5),0)</f>
        <v>0</v>
      </c>
      <c r="ET468" s="659" t="s">
        <v>301</v>
      </c>
      <c r="FB468" s="217"/>
      <c r="FG468" s="179">
        <f>SUMIF($D$5:$D$319,"=sas",FG5:FG319)*HLOOKUP(FI322,Verteil_sw,27,FALSE)+SUMIF($D$5:$D$319,"=sam",FG5:FG319)*HLOOKUP(FI322,Verteil_sw,28,FALSE)+SUMIF($D$5:$D$319,"=sar",FG5:FG319)*HLOOKUP(FI322,Verteil_sw,29,FALSE)</f>
        <v>0</v>
      </c>
      <c r="FI468" s="669">
        <f t="shared" ref="FI468" si="3351">IF(FG467&lt;&gt;0,ROUND(FG468/FG467,5),0)</f>
        <v>0</v>
      </c>
      <c r="FK468" s="659" t="s">
        <v>301</v>
      </c>
      <c r="FS468" s="217"/>
    </row>
    <row r="469" spans="1:175" s="10" customFormat="1" hidden="1" x14ac:dyDescent="0.3">
      <c r="A469" s="656" t="s">
        <v>302</v>
      </c>
      <c r="V469" s="217">
        <v>148</v>
      </c>
      <c r="AA469" s="179">
        <f>SUMIF($D$5:$D$319,"=sas",AA5:AA319)*HLOOKUP(AC322,Verteil_rwgr,26,FALSE)+SUMIF($D$5:$D$319,"=sam",AA5:AA319)*HLOOKUP(AC322,Verteil_rwgr,27,FALSE)+SUMIF($D$5:$D$319,"=sar",AA5:AA319)*HLOOKUP(AC322,Verteil_rwgr,28,FALSE)</f>
        <v>0</v>
      </c>
      <c r="AC469" s="669">
        <f>IF(AA468&lt;&gt;0,ROUND(AA469/AA467,5),0)</f>
        <v>0</v>
      </c>
      <c r="AE469" s="656" t="s">
        <v>302</v>
      </c>
      <c r="AM469" s="217"/>
      <c r="AR469" s="179">
        <f>SUMIF($D$5:$D$319,"=sas",AR5:AR319)*HLOOKUP(AT322,Verteil_rwgr,26,FALSE)+SUMIF($D$5:$D$319,"=sam",AR5:AR319)*HLOOKUP(AT322,Verteil_rwgr,27,FALSE)+SUMIF($D$5:$D$319,"=sar",AR5:AR319)*HLOOKUP(AT322,Verteil_rwgr,28,FALSE)</f>
        <v>0</v>
      </c>
      <c r="AT469" s="669">
        <f t="shared" ref="AT469" si="3352">IF(AR468&lt;&gt;0,ROUND(AR469/AR467,5),0)</f>
        <v>0</v>
      </c>
      <c r="AV469" s="659" t="s">
        <v>302</v>
      </c>
      <c r="BD469" s="217"/>
      <c r="BI469" s="179">
        <f>SUMIF($D$5:$D$319,"=sas",BI5:BI319)*HLOOKUP(BK322,Verteil_rwgr,26,FALSE)+SUMIF($D$5:$D$319,"=sam",BI5:BI319)*HLOOKUP(BK322,Verteil_rwgr,27,FALSE)+SUMIF($D$5:$D$319,"=sar",BI5:BI319)*HLOOKUP(BK322,Verteil_rwgr,28,FALSE)</f>
        <v>0</v>
      </c>
      <c r="BK469" s="669">
        <f t="shared" ref="BK469" si="3353">IF(BI468&lt;&gt;0,ROUND(BI469/BI467,5),0)</f>
        <v>0</v>
      </c>
      <c r="BM469" s="659" t="s">
        <v>302</v>
      </c>
      <c r="BU469" s="217"/>
      <c r="BZ469" s="179">
        <f>SUMIF($D$5:$D$319,"=sas",BZ5:BZ319)*HLOOKUP(CB322,Verteil_rwgr,26,FALSE)+SUMIF($D$5:$D$319,"=sam",BZ5:BZ319)*HLOOKUP(CB322,Verteil_rwgr,27,FALSE)+SUMIF($D$5:$D$319,"=sar",BZ5:BZ319)*HLOOKUP(CB322,Verteil_rwgr,28,FALSE)</f>
        <v>0</v>
      </c>
      <c r="CB469" s="669">
        <f t="shared" ref="CB469" si="3354">IF(BZ468&lt;&gt;0,ROUND(BZ469/BZ467,5),0)</f>
        <v>0</v>
      </c>
      <c r="CD469" s="659" t="s">
        <v>302</v>
      </c>
      <c r="CL469" s="217"/>
      <c r="CQ469" s="179">
        <f>SUMIF($D$5:$D$319,"=sas",CQ5:CQ319)*HLOOKUP(CS322,Verteil_rwgr,26,FALSE)+SUMIF($D$5:$D$319,"=sam",CQ5:CQ319)*HLOOKUP(CS322,Verteil_rwgr,27,FALSE)+SUMIF($D$5:$D$319,"=sar",CQ5:CQ319)*HLOOKUP(CS322,Verteil_rwgr,28,FALSE)</f>
        <v>0</v>
      </c>
      <c r="CS469" s="669">
        <f t="shared" ref="CS469" si="3355">IF(CQ468&lt;&gt;0,ROUND(CQ469/CQ467,5),0)</f>
        <v>0</v>
      </c>
      <c r="CU469" s="659" t="s">
        <v>302</v>
      </c>
      <c r="DC469" s="217"/>
      <c r="DH469" s="179">
        <f>SUMIF($D$5:$D$319,"=sas",DH5:DH319)*HLOOKUP(DJ322,Verteil_rwgr,26,FALSE)+SUMIF($D$5:$D$319,"=sam",DH5:DH319)*HLOOKUP(DJ322,Verteil_rwgr,27,FALSE)+SUMIF($D$5:$D$319,"=sar",DH5:DH319)*HLOOKUP(DJ322,Verteil_rwgr,28,FALSE)</f>
        <v>0</v>
      </c>
      <c r="DJ469" s="669">
        <f t="shared" ref="DJ469" si="3356">IF(DH468&lt;&gt;0,ROUND(DH469/DH467,5),0)</f>
        <v>0</v>
      </c>
      <c r="DL469" s="659" t="s">
        <v>302</v>
      </c>
      <c r="DT469" s="217"/>
      <c r="DY469" s="179">
        <f>SUMIF($D$5:$D$319,"=sas",DY5:DY319)*HLOOKUP(EA322,Verteil_rwgr,26,FALSE)+SUMIF($D$5:$D$319,"=sam",DY5:DY319)*HLOOKUP(EA322,Verteil_rwgr,27,FALSE)+SUMIF($D$5:$D$319,"=sar",DY5:DY319)*HLOOKUP(EA322,Verteil_rwgr,28,FALSE)</f>
        <v>0</v>
      </c>
      <c r="EA469" s="669">
        <f t="shared" ref="EA469" si="3357">IF(DY468&lt;&gt;0,ROUND(DY469/DY467,5),0)</f>
        <v>0</v>
      </c>
      <c r="EC469" s="659" t="s">
        <v>302</v>
      </c>
      <c r="EK469" s="217"/>
      <c r="EP469" s="179">
        <f>SUMIF($D$5:$D$319,"=sas",EP5:EP319)*HLOOKUP(ER322,Verteil_rwgr,26,FALSE)+SUMIF($D$5:$D$319,"=sam",EP5:EP319)*HLOOKUP(ER322,Verteil_rwgr,27,FALSE)+SUMIF($D$5:$D$319,"=sar",EP5:EP319)*HLOOKUP(ER322,Verteil_rwgr,28,FALSE)</f>
        <v>0</v>
      </c>
      <c r="ER469" s="669">
        <f t="shared" ref="ER469" si="3358">IF(EP468&lt;&gt;0,ROUND(EP469/EP467,5),0)</f>
        <v>0</v>
      </c>
      <c r="ET469" s="659" t="s">
        <v>302</v>
      </c>
      <c r="FB469" s="217"/>
      <c r="FG469" s="179">
        <f>SUMIF($D$5:$D$319,"=sas",FG5:FG319)*HLOOKUP(FI322,Verteil_rwgr,26,FALSE)+SUMIF($D$5:$D$319,"=sam",FG5:FG319)*HLOOKUP(FI322,Verteil_rwgr,27,FALSE)+SUMIF($D$5:$D$319,"=sar",FG5:FG319)*HLOOKUP(FI322,Verteil_rwgr,28,FALSE)</f>
        <v>0</v>
      </c>
      <c r="FI469" s="669">
        <f t="shared" ref="FI469" si="3359">IF(FG468&lt;&gt;0,ROUND(FG469/FG467,5),0)</f>
        <v>0</v>
      </c>
      <c r="FK469" s="659" t="s">
        <v>302</v>
      </c>
      <c r="FS469" s="217"/>
    </row>
    <row r="470" spans="1:175" s="10" customFormat="1" hidden="1" x14ac:dyDescent="0.3">
      <c r="A470" s="656" t="s">
        <v>303</v>
      </c>
      <c r="V470" s="217">
        <v>149</v>
      </c>
      <c r="AA470" s="179">
        <f>SUMIF($D$5:$D$319,"=sas",AA5:AA319)*HLOOKUP(AC322,Verteil_rwst,25,FALSE)+SUMIF($D$5:$D$319,"=sam",AA5:AA319)*HLOOKUP(AC322,Verteil_rwst,26,FALSE)+SUMIF($D$5:$D$319,"=sar",AA5:AA319)*HLOOKUP(AC322,Verteil_rwst,27,FALSE)</f>
        <v>0</v>
      </c>
      <c r="AC470" s="669">
        <f>IF(AA469&lt;&gt;0,ROUND(AA470/AA467,5),0)</f>
        <v>0</v>
      </c>
      <c r="AE470" s="656" t="s">
        <v>303</v>
      </c>
      <c r="AM470" s="217"/>
      <c r="AR470" s="179">
        <f>SUMIF($D$5:$D$319,"=sas",AR5:AR319)*HLOOKUP(AT322,Verteil_rwst,25,FALSE)+SUMIF($D$5:$D$319,"=sam",AR5:AR319)*HLOOKUP(AT322,Verteil_rwst,26,FALSE)+SUMIF($D$5:$D$319,"=sar",AR5:AR319)*HLOOKUP(AT322,Verteil_rwst,27,FALSE)</f>
        <v>0</v>
      </c>
      <c r="AT470" s="669">
        <f t="shared" ref="AT470" si="3360">IF(AR469&lt;&gt;0,ROUND(AR470/AR467,5),0)</f>
        <v>0</v>
      </c>
      <c r="AV470" s="659" t="s">
        <v>303</v>
      </c>
      <c r="BD470" s="217"/>
      <c r="BI470" s="179">
        <f>SUMIF($D$5:$D$319,"=sas",BI5:BI319)*HLOOKUP(BK322,Verteil_rwst,25,FALSE)+SUMIF($D$5:$D$319,"=sam",BI5:BI319)*HLOOKUP(BK322,Verteil_rwst,26,FALSE)+SUMIF($D$5:$D$319,"=sar",BI5:BI319)*HLOOKUP(BK322,Verteil_rwst,27,FALSE)</f>
        <v>0</v>
      </c>
      <c r="BK470" s="669">
        <f t="shared" ref="BK470" si="3361">IF(BI469&lt;&gt;0,ROUND(BI470/BI467,5),0)</f>
        <v>0</v>
      </c>
      <c r="BM470" s="659" t="s">
        <v>303</v>
      </c>
      <c r="BU470" s="217"/>
      <c r="BZ470" s="179">
        <f>SUMIF($D$5:$D$319,"=sas",BZ5:BZ319)*HLOOKUP(CB322,Verteil_rwst,25,FALSE)+SUMIF($D$5:$D$319,"=sam",BZ5:BZ319)*HLOOKUP(CB322,Verteil_rwst,26,FALSE)+SUMIF($D$5:$D$319,"=sar",BZ5:BZ319)*HLOOKUP(CB322,Verteil_rwst,27,FALSE)</f>
        <v>0</v>
      </c>
      <c r="CB470" s="669">
        <f t="shared" ref="CB470" si="3362">IF(BZ469&lt;&gt;0,ROUND(BZ470/BZ467,5),0)</f>
        <v>0</v>
      </c>
      <c r="CD470" s="659" t="s">
        <v>303</v>
      </c>
      <c r="CL470" s="217"/>
      <c r="CQ470" s="179">
        <f>SUMIF($D$5:$D$319,"=sas",CQ5:CQ319)*HLOOKUP(CS322,Verteil_rwst,25,FALSE)+SUMIF($D$5:$D$319,"=sam",CQ5:CQ319)*HLOOKUP(CS322,Verteil_rwst,26,FALSE)+SUMIF($D$5:$D$319,"=sar",CQ5:CQ319)*HLOOKUP(CS322,Verteil_rwst,27,FALSE)</f>
        <v>0</v>
      </c>
      <c r="CS470" s="669">
        <f t="shared" ref="CS470" si="3363">IF(CQ469&lt;&gt;0,ROUND(CQ470/CQ467,5),0)</f>
        <v>0</v>
      </c>
      <c r="CU470" s="659" t="s">
        <v>303</v>
      </c>
      <c r="DC470" s="217"/>
      <c r="DH470" s="179">
        <f>SUMIF($D$5:$D$319,"=sas",DH5:DH319)*HLOOKUP(DJ322,Verteil_rwst,25,FALSE)+SUMIF($D$5:$D$319,"=sam",DH5:DH319)*HLOOKUP(DJ322,Verteil_rwst,26,FALSE)+SUMIF($D$5:$D$319,"=sar",DH5:DH319)*HLOOKUP(DJ322,Verteil_rwst,27,FALSE)</f>
        <v>0</v>
      </c>
      <c r="DJ470" s="669">
        <f t="shared" ref="DJ470" si="3364">IF(DH469&lt;&gt;0,ROUND(DH470/DH467,5),0)</f>
        <v>0</v>
      </c>
      <c r="DL470" s="659" t="s">
        <v>303</v>
      </c>
      <c r="DT470" s="217"/>
      <c r="DY470" s="179">
        <f>SUMIF($D$5:$D$319,"=sas",DY5:DY319)*HLOOKUP(EA322,Verteil_rwst,25,FALSE)+SUMIF($D$5:$D$319,"=sam",DY5:DY319)*HLOOKUP(EA322,Verteil_rwst,26,FALSE)+SUMIF($D$5:$D$319,"=sar",DY5:DY319)*HLOOKUP(EA322,Verteil_rwst,27,FALSE)</f>
        <v>0</v>
      </c>
      <c r="EA470" s="669">
        <f t="shared" ref="EA470" si="3365">IF(DY469&lt;&gt;0,ROUND(DY470/DY467,5),0)</f>
        <v>0</v>
      </c>
      <c r="EC470" s="659" t="s">
        <v>303</v>
      </c>
      <c r="EK470" s="217"/>
      <c r="EP470" s="179">
        <f>SUMIF($D$5:$D$319,"=sas",EP5:EP319)*HLOOKUP(ER322,Verteil_rwst,25,FALSE)+SUMIF($D$5:$D$319,"=sam",EP5:EP319)*HLOOKUP(ER322,Verteil_rwst,26,FALSE)+SUMIF($D$5:$D$319,"=sar",EP5:EP319)*HLOOKUP(ER322,Verteil_rwst,27,FALSE)</f>
        <v>0</v>
      </c>
      <c r="ER470" s="669">
        <f t="shared" ref="ER470" si="3366">IF(EP469&lt;&gt;0,ROUND(EP470/EP467,5),0)</f>
        <v>0</v>
      </c>
      <c r="ET470" s="659" t="s">
        <v>303</v>
      </c>
      <c r="FB470" s="217"/>
      <c r="FG470" s="179">
        <f>SUMIF($D$5:$D$319,"=sas",FG5:FG319)*HLOOKUP(FI322,Verteil_rwst,25,FALSE)+SUMIF($D$5:$D$319,"=sam",FG5:FG319)*HLOOKUP(FI322,Verteil_rwst,26,FALSE)+SUMIF($D$5:$D$319,"=sar",FG5:FG319)*HLOOKUP(FI322,Verteil_rwst,27,FALSE)</f>
        <v>0</v>
      </c>
      <c r="FI470" s="669">
        <f t="shared" ref="FI470" si="3367">IF(FG469&lt;&gt;0,ROUND(FG470/FG467,5),0)</f>
        <v>0</v>
      </c>
      <c r="FK470" s="659" t="s">
        <v>303</v>
      </c>
      <c r="FS470" s="217"/>
    </row>
    <row r="471" spans="1:175" s="10" customFormat="1" hidden="1" x14ac:dyDescent="0.3">
      <c r="A471" s="657" t="s">
        <v>319</v>
      </c>
      <c r="V471" s="217">
        <v>150</v>
      </c>
      <c r="AA471" s="179"/>
      <c r="AE471" s="657" t="s">
        <v>319</v>
      </c>
      <c r="AM471" s="217"/>
      <c r="AR471" s="179"/>
      <c r="AV471" s="658" t="s">
        <v>319</v>
      </c>
      <c r="BD471" s="217"/>
      <c r="BI471" s="179"/>
      <c r="BM471" s="658" t="s">
        <v>319</v>
      </c>
      <c r="BU471" s="217"/>
      <c r="BZ471" s="179"/>
      <c r="CD471" s="658" t="s">
        <v>319</v>
      </c>
      <c r="CL471" s="217"/>
      <c r="CQ471" s="179"/>
      <c r="CU471" s="658" t="s">
        <v>319</v>
      </c>
      <c r="DC471" s="217"/>
      <c r="DH471" s="179"/>
      <c r="DL471" s="658" t="s">
        <v>319</v>
      </c>
      <c r="DT471" s="217"/>
      <c r="DY471" s="179"/>
      <c r="EC471" s="658" t="s">
        <v>319</v>
      </c>
      <c r="EK471" s="217"/>
      <c r="EP471" s="179"/>
      <c r="ET471" s="658" t="s">
        <v>319</v>
      </c>
      <c r="FB471" s="217"/>
      <c r="FG471" s="179"/>
      <c r="FK471" s="658" t="s">
        <v>319</v>
      </c>
      <c r="FS471" s="217"/>
    </row>
    <row r="472" spans="1:175" s="10" customFormat="1" hidden="1" x14ac:dyDescent="0.3">
      <c r="A472" s="223" t="s">
        <v>308</v>
      </c>
      <c r="V472" s="217">
        <v>151</v>
      </c>
      <c r="AA472" s="179">
        <f>AA452</f>
        <v>0</v>
      </c>
      <c r="AE472" s="223" t="s">
        <v>308</v>
      </c>
      <c r="AM472" s="217"/>
      <c r="AR472" s="179">
        <f t="shared" ref="AR472" si="3368">AR452</f>
        <v>0</v>
      </c>
      <c r="AV472" s="223" t="s">
        <v>308</v>
      </c>
      <c r="BD472" s="217"/>
      <c r="BI472" s="179">
        <f t="shared" ref="BI472" si="3369">BI452</f>
        <v>0</v>
      </c>
      <c r="BM472" s="223" t="s">
        <v>308</v>
      </c>
      <c r="BU472" s="217"/>
      <c r="BZ472" s="179">
        <f t="shared" ref="BZ472" si="3370">BZ452</f>
        <v>0</v>
      </c>
      <c r="CD472" s="223" t="s">
        <v>308</v>
      </c>
      <c r="CL472" s="217"/>
      <c r="CQ472" s="179">
        <f t="shared" ref="CQ472" si="3371">CQ452</f>
        <v>0</v>
      </c>
      <c r="CU472" s="223" t="s">
        <v>308</v>
      </c>
      <c r="DC472" s="217"/>
      <c r="DH472" s="179">
        <f t="shared" ref="DH472" si="3372">DH452</f>
        <v>0</v>
      </c>
      <c r="DL472" s="223" t="s">
        <v>308</v>
      </c>
      <c r="DT472" s="217"/>
      <c r="DY472" s="179">
        <f t="shared" ref="DY472" si="3373">DY452</f>
        <v>0</v>
      </c>
      <c r="EC472" s="223" t="s">
        <v>308</v>
      </c>
      <c r="EK472" s="217"/>
      <c r="EP472" s="179">
        <f t="shared" ref="EP472" si="3374">EP452</f>
        <v>0</v>
      </c>
      <c r="ET472" s="223" t="s">
        <v>308</v>
      </c>
      <c r="FB472" s="217"/>
      <c r="FG472" s="179">
        <f t="shared" ref="FG472" si="3375">FG452</f>
        <v>0</v>
      </c>
      <c r="FK472" s="223" t="s">
        <v>308</v>
      </c>
      <c r="FS472" s="217"/>
    </row>
    <row r="473" spans="1:175" s="10" customFormat="1" hidden="1" x14ac:dyDescent="0.3">
      <c r="A473" s="656" t="s">
        <v>309</v>
      </c>
      <c r="V473" s="217">
        <v>152</v>
      </c>
      <c r="AA473" s="179">
        <f>-AA455</f>
        <v>0</v>
      </c>
      <c r="AE473" s="656" t="s">
        <v>309</v>
      </c>
      <c r="AM473" s="217"/>
      <c r="AR473" s="179">
        <f t="shared" ref="AR473" si="3376">-AR455</f>
        <v>0</v>
      </c>
      <c r="AV473" s="659" t="s">
        <v>309</v>
      </c>
      <c r="BD473" s="217"/>
      <c r="BI473" s="179">
        <f t="shared" ref="BI473" si="3377">-BI455</f>
        <v>0</v>
      </c>
      <c r="BM473" s="659" t="s">
        <v>309</v>
      </c>
      <c r="BU473" s="217"/>
      <c r="BZ473" s="179">
        <f t="shared" ref="BZ473" si="3378">-BZ455</f>
        <v>0</v>
      </c>
      <c r="CD473" s="659" t="s">
        <v>309</v>
      </c>
      <c r="CL473" s="217"/>
      <c r="CQ473" s="179">
        <f t="shared" ref="CQ473" si="3379">-CQ455</f>
        <v>0</v>
      </c>
      <c r="CU473" s="659" t="s">
        <v>309</v>
      </c>
      <c r="DC473" s="217"/>
      <c r="DH473" s="179">
        <f t="shared" ref="DH473" si="3380">-DH455</f>
        <v>0</v>
      </c>
      <c r="DL473" s="659" t="s">
        <v>309</v>
      </c>
      <c r="DT473" s="217"/>
      <c r="DY473" s="179">
        <f t="shared" ref="DY473" si="3381">-DY455</f>
        <v>0</v>
      </c>
      <c r="EC473" s="659" t="s">
        <v>309</v>
      </c>
      <c r="EK473" s="217"/>
      <c r="EP473" s="179">
        <f t="shared" ref="EP473" si="3382">-EP455</f>
        <v>0</v>
      </c>
      <c r="ET473" s="659" t="s">
        <v>309</v>
      </c>
      <c r="FB473" s="217"/>
      <c r="FG473" s="179">
        <f t="shared" ref="FG473" si="3383">-FG455</f>
        <v>0</v>
      </c>
      <c r="FK473" s="659" t="s">
        <v>309</v>
      </c>
      <c r="FS473" s="217"/>
    </row>
    <row r="474" spans="1:175" s="10" customFormat="1" hidden="1" x14ac:dyDescent="0.3">
      <c r="A474" s="112" t="s">
        <v>310</v>
      </c>
      <c r="V474" s="217">
        <v>153</v>
      </c>
      <c r="AA474" s="179">
        <f>AA472+AA473</f>
        <v>0</v>
      </c>
      <c r="AC474" s="668">
        <f>SUM(AC475:AC476)</f>
        <v>0</v>
      </c>
      <c r="AE474" s="112" t="s">
        <v>310</v>
      </c>
      <c r="AM474" s="217"/>
      <c r="AR474" s="179">
        <f t="shared" ref="AR474" si="3384">AR472+AR473</f>
        <v>0</v>
      </c>
      <c r="AT474" s="668">
        <f t="shared" ref="AT474" si="3385">SUM(AT475:AT476)</f>
        <v>0</v>
      </c>
      <c r="AV474" s="112" t="s">
        <v>310</v>
      </c>
      <c r="BD474" s="217"/>
      <c r="BI474" s="179">
        <f t="shared" ref="BI474" si="3386">BI472+BI473</f>
        <v>0</v>
      </c>
      <c r="BK474" s="668">
        <f t="shared" ref="BK474" si="3387">SUM(BK475:BK476)</f>
        <v>0</v>
      </c>
      <c r="BM474" s="112" t="s">
        <v>310</v>
      </c>
      <c r="BU474" s="217"/>
      <c r="BZ474" s="179">
        <f t="shared" ref="BZ474" si="3388">BZ472+BZ473</f>
        <v>0</v>
      </c>
      <c r="CB474" s="668">
        <f t="shared" ref="CB474" si="3389">SUM(CB475:CB476)</f>
        <v>0</v>
      </c>
      <c r="CD474" s="112" t="s">
        <v>310</v>
      </c>
      <c r="CL474" s="217"/>
      <c r="CQ474" s="179">
        <f t="shared" ref="CQ474" si="3390">CQ472+CQ473</f>
        <v>0</v>
      </c>
      <c r="CS474" s="668">
        <f t="shared" ref="CS474" si="3391">SUM(CS475:CS476)</f>
        <v>0</v>
      </c>
      <c r="CU474" s="112" t="s">
        <v>310</v>
      </c>
      <c r="DC474" s="217"/>
      <c r="DH474" s="179">
        <f t="shared" ref="DH474" si="3392">DH472+DH473</f>
        <v>0</v>
      </c>
      <c r="DJ474" s="668">
        <f t="shared" ref="DJ474" si="3393">SUM(DJ475:DJ476)</f>
        <v>0</v>
      </c>
      <c r="DL474" s="112" t="s">
        <v>310</v>
      </c>
      <c r="DT474" s="217"/>
      <c r="DY474" s="179">
        <f t="shared" ref="DY474" si="3394">DY472+DY473</f>
        <v>0</v>
      </c>
      <c r="EA474" s="668">
        <f t="shared" ref="EA474" si="3395">SUM(EA475:EA476)</f>
        <v>0</v>
      </c>
      <c r="EC474" s="112" t="s">
        <v>310</v>
      </c>
      <c r="EK474" s="217"/>
      <c r="EP474" s="179">
        <f t="shared" ref="EP474" si="3396">EP472+EP473</f>
        <v>0</v>
      </c>
      <c r="ER474" s="668">
        <f t="shared" ref="ER474" si="3397">SUM(ER475:ER476)</f>
        <v>0</v>
      </c>
      <c r="ET474" s="112" t="s">
        <v>310</v>
      </c>
      <c r="FB474" s="217"/>
      <c r="FG474" s="179">
        <f t="shared" ref="FG474" si="3398">FG472+FG473</f>
        <v>0</v>
      </c>
      <c r="FI474" s="668">
        <f t="shared" ref="FI474" si="3399">SUM(FI475:FI476)</f>
        <v>0</v>
      </c>
      <c r="FK474" s="112" t="s">
        <v>310</v>
      </c>
      <c r="FS474" s="217"/>
    </row>
    <row r="475" spans="1:175" s="10" customFormat="1" hidden="1" x14ac:dyDescent="0.3">
      <c r="A475" s="656" t="s">
        <v>301</v>
      </c>
      <c r="V475" s="217">
        <v>154</v>
      </c>
      <c r="AA475" s="179">
        <f>AA453</f>
        <v>0</v>
      </c>
      <c r="AC475" s="669">
        <f>IF(AA474&lt;&gt;0,ROUND(AA475/AA474,5),0)</f>
        <v>0</v>
      </c>
      <c r="AE475" s="656" t="s">
        <v>301</v>
      </c>
      <c r="AM475" s="217"/>
      <c r="AR475" s="179">
        <f t="shared" ref="AR475" si="3400">AR453</f>
        <v>0</v>
      </c>
      <c r="AT475" s="669">
        <f t="shared" ref="AT475" si="3401">IF(AR474&lt;&gt;0,ROUND(AR475/AR474,5),0)</f>
        <v>0</v>
      </c>
      <c r="AV475" s="659" t="s">
        <v>301</v>
      </c>
      <c r="BD475" s="217"/>
      <c r="BI475" s="179">
        <f t="shared" ref="BI475" si="3402">BI453</f>
        <v>0</v>
      </c>
      <c r="BK475" s="669">
        <f t="shared" ref="BK475" si="3403">IF(BI474&lt;&gt;0,ROUND(BI475/BI474,5),0)</f>
        <v>0</v>
      </c>
      <c r="BM475" s="659" t="s">
        <v>301</v>
      </c>
      <c r="BU475" s="217"/>
      <c r="BZ475" s="179">
        <f t="shared" ref="BZ475" si="3404">BZ453</f>
        <v>0</v>
      </c>
      <c r="CB475" s="669">
        <f t="shared" ref="CB475" si="3405">IF(BZ474&lt;&gt;0,ROUND(BZ475/BZ474,5),0)</f>
        <v>0</v>
      </c>
      <c r="CD475" s="659" t="s">
        <v>301</v>
      </c>
      <c r="CL475" s="217"/>
      <c r="CQ475" s="179">
        <f t="shared" ref="CQ475" si="3406">CQ453</f>
        <v>0</v>
      </c>
      <c r="CS475" s="669">
        <f t="shared" ref="CS475" si="3407">IF(CQ474&lt;&gt;0,ROUND(CQ475/CQ474,5),0)</f>
        <v>0</v>
      </c>
      <c r="CU475" s="659" t="s">
        <v>301</v>
      </c>
      <c r="DC475" s="217"/>
      <c r="DH475" s="179">
        <f t="shared" ref="DH475" si="3408">DH453</f>
        <v>0</v>
      </c>
      <c r="DJ475" s="669">
        <f t="shared" ref="DJ475" si="3409">IF(DH474&lt;&gt;0,ROUND(DH475/DH474,5),0)</f>
        <v>0</v>
      </c>
      <c r="DL475" s="659" t="s">
        <v>301</v>
      </c>
      <c r="DT475" s="217"/>
      <c r="DY475" s="179">
        <f t="shared" ref="DY475" si="3410">DY453</f>
        <v>0</v>
      </c>
      <c r="EA475" s="669">
        <f t="shared" ref="EA475" si="3411">IF(DY474&lt;&gt;0,ROUND(DY475/DY474,5),0)</f>
        <v>0</v>
      </c>
      <c r="EC475" s="659" t="s">
        <v>301</v>
      </c>
      <c r="EK475" s="217"/>
      <c r="EP475" s="179">
        <f t="shared" ref="EP475" si="3412">EP453</f>
        <v>0</v>
      </c>
      <c r="ER475" s="669">
        <f t="shared" ref="ER475" si="3413">IF(EP474&lt;&gt;0,ROUND(EP475/EP474,5),0)</f>
        <v>0</v>
      </c>
      <c r="ET475" s="659" t="s">
        <v>301</v>
      </c>
      <c r="FB475" s="217"/>
      <c r="FG475" s="179">
        <f t="shared" ref="FG475" si="3414">FG453</f>
        <v>0</v>
      </c>
      <c r="FI475" s="669">
        <f t="shared" ref="FI475" si="3415">IF(FG474&lt;&gt;0,ROUND(FG475/FG474,5),0)</f>
        <v>0</v>
      </c>
      <c r="FK475" s="659" t="s">
        <v>301</v>
      </c>
      <c r="FS475" s="217"/>
    </row>
    <row r="476" spans="1:175" s="10" customFormat="1" hidden="1" x14ac:dyDescent="0.3">
      <c r="A476" s="656" t="s">
        <v>302</v>
      </c>
      <c r="V476" s="217">
        <v>155</v>
      </c>
      <c r="AA476" s="179">
        <f>AA454</f>
        <v>0</v>
      </c>
      <c r="AC476" s="669">
        <f>IF(AA475&lt;&gt;0,ROUND(AA476/AA474,5),0)</f>
        <v>0</v>
      </c>
      <c r="AE476" s="656" t="s">
        <v>302</v>
      </c>
      <c r="AM476" s="217"/>
      <c r="AR476" s="179">
        <f t="shared" ref="AR476" si="3416">AR454</f>
        <v>0</v>
      </c>
      <c r="AT476" s="669">
        <f t="shared" ref="AT476" si="3417">IF(AR475&lt;&gt;0,ROUND(AR476/AR474,5),0)</f>
        <v>0</v>
      </c>
      <c r="AV476" s="659" t="s">
        <v>302</v>
      </c>
      <c r="BD476" s="217"/>
      <c r="BI476" s="179">
        <f t="shared" ref="BI476" si="3418">BI454</f>
        <v>0</v>
      </c>
      <c r="BK476" s="669">
        <f t="shared" ref="BK476" si="3419">IF(BI475&lt;&gt;0,ROUND(BI476/BI474,5),0)</f>
        <v>0</v>
      </c>
      <c r="BM476" s="659" t="s">
        <v>302</v>
      </c>
      <c r="BU476" s="217"/>
      <c r="BZ476" s="179">
        <f t="shared" ref="BZ476" si="3420">BZ454</f>
        <v>0</v>
      </c>
      <c r="CB476" s="669">
        <f t="shared" ref="CB476" si="3421">IF(BZ475&lt;&gt;0,ROUND(BZ476/BZ474,5),0)</f>
        <v>0</v>
      </c>
      <c r="CD476" s="659" t="s">
        <v>302</v>
      </c>
      <c r="CL476" s="217"/>
      <c r="CQ476" s="179">
        <f t="shared" ref="CQ476" si="3422">CQ454</f>
        <v>0</v>
      </c>
      <c r="CS476" s="669">
        <f t="shared" ref="CS476" si="3423">IF(CQ475&lt;&gt;0,ROUND(CQ476/CQ474,5),0)</f>
        <v>0</v>
      </c>
      <c r="CU476" s="659" t="s">
        <v>302</v>
      </c>
      <c r="DC476" s="217"/>
      <c r="DH476" s="179">
        <f t="shared" ref="DH476" si="3424">DH454</f>
        <v>0</v>
      </c>
      <c r="DJ476" s="669">
        <f t="shared" ref="DJ476" si="3425">IF(DH475&lt;&gt;0,ROUND(DH476/DH474,5),0)</f>
        <v>0</v>
      </c>
      <c r="DL476" s="659" t="s">
        <v>302</v>
      </c>
      <c r="DT476" s="217"/>
      <c r="DY476" s="179">
        <f t="shared" ref="DY476" si="3426">DY454</f>
        <v>0</v>
      </c>
      <c r="EA476" s="669">
        <f t="shared" ref="EA476" si="3427">IF(DY475&lt;&gt;0,ROUND(DY476/DY474,5),0)</f>
        <v>0</v>
      </c>
      <c r="EC476" s="659" t="s">
        <v>302</v>
      </c>
      <c r="EK476" s="217"/>
      <c r="EP476" s="179">
        <f t="shared" ref="EP476" si="3428">EP454</f>
        <v>0</v>
      </c>
      <c r="ER476" s="669">
        <f t="shared" ref="ER476" si="3429">IF(EP475&lt;&gt;0,ROUND(EP476/EP474,5),0)</f>
        <v>0</v>
      </c>
      <c r="ET476" s="659" t="s">
        <v>302</v>
      </c>
      <c r="FB476" s="217"/>
      <c r="FG476" s="179">
        <f t="shared" ref="FG476" si="3430">FG454</f>
        <v>0</v>
      </c>
      <c r="FI476" s="669">
        <f t="shared" ref="FI476" si="3431">IF(FG475&lt;&gt;0,ROUND(FG476/FG474,5),0)</f>
        <v>0</v>
      </c>
      <c r="FK476" s="659" t="s">
        <v>302</v>
      </c>
      <c r="FS476" s="217"/>
    </row>
    <row r="477" spans="1:175" s="10" customFormat="1" hidden="1" x14ac:dyDescent="0.3">
      <c r="A477" s="657" t="s">
        <v>322</v>
      </c>
      <c r="V477" s="217">
        <v>156</v>
      </c>
      <c r="AC477" s="668"/>
      <c r="AE477" s="657" t="s">
        <v>322</v>
      </c>
      <c r="AM477" s="217"/>
      <c r="AT477" s="668"/>
      <c r="AV477" s="658" t="s">
        <v>322</v>
      </c>
      <c r="BD477" s="217"/>
      <c r="BK477" s="668"/>
      <c r="BM477" s="658" t="s">
        <v>322</v>
      </c>
      <c r="BU477" s="217"/>
      <c r="CB477" s="668"/>
      <c r="CD477" s="658" t="s">
        <v>322</v>
      </c>
      <c r="CL477" s="217"/>
      <c r="CS477" s="668"/>
      <c r="CU477" s="658" t="s">
        <v>322</v>
      </c>
      <c r="DC477" s="217"/>
      <c r="DJ477" s="668"/>
      <c r="DL477" s="658" t="s">
        <v>322</v>
      </c>
      <c r="DT477" s="217"/>
      <c r="EA477" s="668"/>
      <c r="EC477" s="658" t="s">
        <v>322</v>
      </c>
      <c r="EK477" s="217"/>
      <c r="ER477" s="668"/>
      <c r="ET477" s="658" t="s">
        <v>322</v>
      </c>
      <c r="FB477" s="217"/>
      <c r="FI477" s="668"/>
      <c r="FK477" s="658" t="s">
        <v>322</v>
      </c>
      <c r="FS477" s="217"/>
    </row>
    <row r="478" spans="1:175" s="10" customFormat="1" hidden="1" x14ac:dyDescent="0.3">
      <c r="A478" s="223" t="s">
        <v>311</v>
      </c>
      <c r="V478" s="217">
        <v>157</v>
      </c>
      <c r="AA478" s="179">
        <f>AC348</f>
        <v>354140</v>
      </c>
      <c r="AE478" s="223" t="s">
        <v>311</v>
      </c>
      <c r="AM478" s="217"/>
      <c r="AR478" s="179">
        <f t="shared" ref="AR478" si="3432">AT348</f>
        <v>354140</v>
      </c>
      <c r="AV478" s="223" t="s">
        <v>311</v>
      </c>
      <c r="BD478" s="217"/>
      <c r="BI478" s="179">
        <f t="shared" ref="BI478" si="3433">BK348</f>
        <v>354140</v>
      </c>
      <c r="BM478" s="223" t="s">
        <v>311</v>
      </c>
      <c r="BU478" s="217"/>
      <c r="BZ478" s="179">
        <f t="shared" ref="BZ478" si="3434">CB348</f>
        <v>354140</v>
      </c>
      <c r="CD478" s="223" t="s">
        <v>311</v>
      </c>
      <c r="CL478" s="217"/>
      <c r="CQ478" s="179">
        <f t="shared" ref="CQ478" si="3435">CS348</f>
        <v>354140</v>
      </c>
      <c r="CU478" s="223" t="s">
        <v>311</v>
      </c>
      <c r="DC478" s="217"/>
      <c r="DH478" s="179">
        <f t="shared" ref="DH478" si="3436">DJ348</f>
        <v>354140</v>
      </c>
      <c r="DL478" s="223" t="s">
        <v>311</v>
      </c>
      <c r="DT478" s="217"/>
      <c r="DY478" s="179">
        <f t="shared" ref="DY478" si="3437">EA348</f>
        <v>354140</v>
      </c>
      <c r="EC478" s="223" t="s">
        <v>311</v>
      </c>
      <c r="EK478" s="217"/>
      <c r="EP478" s="179">
        <f t="shared" ref="EP478" si="3438">ER348</f>
        <v>354140</v>
      </c>
      <c r="ET478" s="223" t="s">
        <v>311</v>
      </c>
      <c r="FB478" s="217"/>
      <c r="FG478" s="179">
        <f t="shared" ref="FG478" si="3439">FI348</f>
        <v>306890</v>
      </c>
      <c r="FK478" s="223" t="s">
        <v>311</v>
      </c>
      <c r="FS478" s="217"/>
    </row>
    <row r="479" spans="1:175" s="10" customFormat="1" hidden="1" x14ac:dyDescent="0.3">
      <c r="A479" s="656" t="s">
        <v>309</v>
      </c>
      <c r="V479" s="217">
        <v>158</v>
      </c>
      <c r="AA479" s="179">
        <f>-AC351</f>
        <v>-66300</v>
      </c>
      <c r="AE479" s="656" t="s">
        <v>309</v>
      </c>
      <c r="AM479" s="217"/>
      <c r="AR479" s="179">
        <f t="shared" ref="AR479" si="3440">-AT351</f>
        <v>-66300</v>
      </c>
      <c r="AV479" s="659" t="s">
        <v>309</v>
      </c>
      <c r="BD479" s="217"/>
      <c r="BI479" s="179">
        <f t="shared" ref="BI479" si="3441">-BK351</f>
        <v>-66300</v>
      </c>
      <c r="BM479" s="659" t="s">
        <v>309</v>
      </c>
      <c r="BU479" s="217"/>
      <c r="BZ479" s="179">
        <f t="shared" ref="BZ479" si="3442">-CB351</f>
        <v>-66300</v>
      </c>
      <c r="CD479" s="659" t="s">
        <v>309</v>
      </c>
      <c r="CL479" s="217"/>
      <c r="CQ479" s="179">
        <f t="shared" ref="CQ479" si="3443">-CS351</f>
        <v>-66300</v>
      </c>
      <c r="CU479" s="659" t="s">
        <v>309</v>
      </c>
      <c r="DC479" s="217"/>
      <c r="DH479" s="179">
        <f t="shared" ref="DH479" si="3444">-DJ351</f>
        <v>-66300</v>
      </c>
      <c r="DL479" s="659" t="s">
        <v>309</v>
      </c>
      <c r="DT479" s="217"/>
      <c r="DY479" s="179">
        <f t="shared" ref="DY479" si="3445">-EA351</f>
        <v>-66300</v>
      </c>
      <c r="EC479" s="659" t="s">
        <v>309</v>
      </c>
      <c r="EK479" s="217"/>
      <c r="EP479" s="179">
        <f t="shared" ref="EP479" si="3446">-ER351</f>
        <v>-66300</v>
      </c>
      <c r="ET479" s="659" t="s">
        <v>309</v>
      </c>
      <c r="FB479" s="217"/>
      <c r="FG479" s="179">
        <f t="shared" ref="FG479" si="3447">-FI351</f>
        <v>-54487.5</v>
      </c>
      <c r="FK479" s="659" t="s">
        <v>309</v>
      </c>
      <c r="FS479" s="217"/>
    </row>
    <row r="480" spans="1:175" s="10" customFormat="1" hidden="1" x14ac:dyDescent="0.3">
      <c r="A480" s="656" t="s">
        <v>312</v>
      </c>
      <c r="V480" s="217">
        <v>159</v>
      </c>
      <c r="AA480" s="179">
        <f>AA478+AA479</f>
        <v>287840</v>
      </c>
      <c r="AC480" s="668">
        <f>SUM(AC481:AC482)</f>
        <v>1</v>
      </c>
      <c r="AE480" s="656" t="s">
        <v>312</v>
      </c>
      <c r="AM480" s="217"/>
      <c r="AR480" s="179">
        <f t="shared" ref="AR480" si="3448">AR478+AR479</f>
        <v>287840</v>
      </c>
      <c r="AT480" s="668">
        <f t="shared" ref="AT480" si="3449">SUM(AT481:AT482)</f>
        <v>1</v>
      </c>
      <c r="AV480" s="659" t="s">
        <v>312</v>
      </c>
      <c r="BD480" s="217"/>
      <c r="BI480" s="179">
        <f t="shared" ref="BI480" si="3450">BI478+BI479</f>
        <v>287840</v>
      </c>
      <c r="BK480" s="668">
        <f t="shared" ref="BK480" si="3451">SUM(BK481:BK482)</f>
        <v>1</v>
      </c>
      <c r="BM480" s="659" t="s">
        <v>312</v>
      </c>
      <c r="BU480" s="217"/>
      <c r="BZ480" s="179">
        <f t="shared" ref="BZ480" si="3452">BZ478+BZ479</f>
        <v>287840</v>
      </c>
      <c r="CB480" s="668">
        <f t="shared" ref="CB480" si="3453">SUM(CB481:CB482)</f>
        <v>1</v>
      </c>
      <c r="CD480" s="659" t="s">
        <v>312</v>
      </c>
      <c r="CL480" s="217"/>
      <c r="CQ480" s="179">
        <f t="shared" ref="CQ480" si="3454">CQ478+CQ479</f>
        <v>287840</v>
      </c>
      <c r="CS480" s="668">
        <f t="shared" ref="CS480" si="3455">SUM(CS481:CS482)</f>
        <v>1</v>
      </c>
      <c r="CU480" s="659" t="s">
        <v>312</v>
      </c>
      <c r="DC480" s="217"/>
      <c r="DH480" s="179">
        <f t="shared" ref="DH480" si="3456">DH478+DH479</f>
        <v>287840</v>
      </c>
      <c r="DJ480" s="668">
        <f t="shared" ref="DJ480" si="3457">SUM(DJ481:DJ482)</f>
        <v>1</v>
      </c>
      <c r="DL480" s="659" t="s">
        <v>312</v>
      </c>
      <c r="DT480" s="217"/>
      <c r="DY480" s="179">
        <f t="shared" ref="DY480" si="3458">DY478+DY479</f>
        <v>287840</v>
      </c>
      <c r="EA480" s="668">
        <f t="shared" ref="EA480" si="3459">SUM(EA481:EA482)</f>
        <v>1</v>
      </c>
      <c r="EC480" s="659" t="s">
        <v>312</v>
      </c>
      <c r="EK480" s="217"/>
      <c r="EP480" s="179">
        <f t="shared" ref="EP480" si="3460">EP478+EP479</f>
        <v>287840</v>
      </c>
      <c r="ER480" s="668">
        <f t="shared" ref="ER480" si="3461">SUM(ER481:ER482)</f>
        <v>1</v>
      </c>
      <c r="ET480" s="659" t="s">
        <v>312</v>
      </c>
      <c r="FB480" s="217"/>
      <c r="FG480" s="179">
        <f t="shared" ref="FG480" si="3462">FG478+FG479</f>
        <v>252402.5</v>
      </c>
      <c r="FI480" s="668">
        <f t="shared" ref="FI480" si="3463">SUM(FI481:FI482)</f>
        <v>1</v>
      </c>
      <c r="FK480" s="659" t="s">
        <v>312</v>
      </c>
      <c r="FS480" s="217"/>
    </row>
    <row r="481" spans="1:175" s="10" customFormat="1" hidden="1" x14ac:dyDescent="0.3">
      <c r="A481" s="656" t="s">
        <v>301</v>
      </c>
      <c r="V481" s="217">
        <v>160</v>
      </c>
      <c r="AA481" s="179">
        <f>AC349</f>
        <v>211100</v>
      </c>
      <c r="AC481" s="669">
        <f>IF(AA480&lt;&gt;0,ROUND(AA481/AA480,5),0)</f>
        <v>0.73338999999999999</v>
      </c>
      <c r="AE481" s="656" t="s">
        <v>301</v>
      </c>
      <c r="AM481" s="217"/>
      <c r="AR481" s="179">
        <f t="shared" ref="AR481:AR482" si="3464">AT349</f>
        <v>211100</v>
      </c>
      <c r="AT481" s="669">
        <f t="shared" ref="AT481" si="3465">IF(AR480&lt;&gt;0,ROUND(AR481/AR480,5),0)</f>
        <v>0.73338999999999999</v>
      </c>
      <c r="AV481" s="659" t="s">
        <v>301</v>
      </c>
      <c r="BD481" s="217"/>
      <c r="BI481" s="179">
        <f t="shared" ref="BI481:BI482" si="3466">BK349</f>
        <v>211100</v>
      </c>
      <c r="BK481" s="669">
        <f t="shared" ref="BK481" si="3467">IF(BI480&lt;&gt;0,ROUND(BI481/BI480,5),0)</f>
        <v>0.73338999999999999</v>
      </c>
      <c r="BM481" s="659" t="s">
        <v>301</v>
      </c>
      <c r="BU481" s="217"/>
      <c r="BZ481" s="179">
        <f t="shared" ref="BZ481:BZ482" si="3468">CB349</f>
        <v>211100</v>
      </c>
      <c r="CB481" s="669">
        <f t="shared" ref="CB481" si="3469">IF(BZ480&lt;&gt;0,ROUND(BZ481/BZ480,5),0)</f>
        <v>0.73338999999999999</v>
      </c>
      <c r="CD481" s="659" t="s">
        <v>301</v>
      </c>
      <c r="CL481" s="217"/>
      <c r="CQ481" s="179">
        <f t="shared" ref="CQ481:CQ482" si="3470">CS349</f>
        <v>211100</v>
      </c>
      <c r="CS481" s="669">
        <f t="shared" ref="CS481" si="3471">IF(CQ480&lt;&gt;0,ROUND(CQ481/CQ480,5),0)</f>
        <v>0.73338999999999999</v>
      </c>
      <c r="CU481" s="659" t="s">
        <v>301</v>
      </c>
      <c r="DC481" s="217"/>
      <c r="DH481" s="179">
        <f t="shared" ref="DH481:DH482" si="3472">DJ349</f>
        <v>211100</v>
      </c>
      <c r="DJ481" s="669">
        <f t="shared" ref="DJ481" si="3473">IF(DH480&lt;&gt;0,ROUND(DH481/DH480,5),0)</f>
        <v>0.73338999999999999</v>
      </c>
      <c r="DL481" s="659" t="s">
        <v>301</v>
      </c>
      <c r="DT481" s="217"/>
      <c r="DY481" s="179">
        <f t="shared" ref="DY481:DY482" si="3474">EA349</f>
        <v>211100</v>
      </c>
      <c r="EA481" s="669">
        <f t="shared" ref="EA481" si="3475">IF(DY480&lt;&gt;0,ROUND(DY481/DY480,5),0)</f>
        <v>0.73338999999999999</v>
      </c>
      <c r="EC481" s="659" t="s">
        <v>301</v>
      </c>
      <c r="EK481" s="217"/>
      <c r="EP481" s="179">
        <f t="shared" ref="EP481:EP482" si="3476">ER349</f>
        <v>211100</v>
      </c>
      <c r="ER481" s="669">
        <f t="shared" ref="ER481" si="3477">IF(EP480&lt;&gt;0,ROUND(EP481/EP480,5),0)</f>
        <v>0.73338999999999999</v>
      </c>
      <c r="ET481" s="659" t="s">
        <v>301</v>
      </c>
      <c r="FB481" s="217"/>
      <c r="FG481" s="179">
        <f t="shared" ref="FG481:FG482" si="3478">FI349</f>
        <v>187475</v>
      </c>
      <c r="FI481" s="669">
        <f t="shared" ref="FI481" si="3479">IF(FG480&lt;&gt;0,ROUND(FG481/FG480,5),0)</f>
        <v>0.74275999999999998</v>
      </c>
      <c r="FK481" s="659" t="s">
        <v>301</v>
      </c>
      <c r="FS481" s="217"/>
    </row>
    <row r="482" spans="1:175" s="10" customFormat="1" hidden="1" x14ac:dyDescent="0.3">
      <c r="A482" s="656" t="s">
        <v>302</v>
      </c>
      <c r="V482" s="217">
        <v>161</v>
      </c>
      <c r="AA482" s="179">
        <f>AC350</f>
        <v>76740</v>
      </c>
      <c r="AC482" s="669">
        <f>IF(AA481&lt;&gt;0,ROUND(AA482/AA480,5),0)</f>
        <v>0.26661000000000001</v>
      </c>
      <c r="AE482" s="656" t="s">
        <v>302</v>
      </c>
      <c r="AM482" s="217"/>
      <c r="AR482" s="179">
        <f t="shared" si="3464"/>
        <v>76740</v>
      </c>
      <c r="AT482" s="669">
        <f t="shared" ref="AT482" si="3480">IF(AR481&lt;&gt;0,ROUND(AR482/AR480,5),0)</f>
        <v>0.26661000000000001</v>
      </c>
      <c r="AV482" s="659" t="s">
        <v>302</v>
      </c>
      <c r="BD482" s="217"/>
      <c r="BI482" s="179">
        <f t="shared" si="3466"/>
        <v>76740</v>
      </c>
      <c r="BK482" s="669">
        <f t="shared" ref="BK482" si="3481">IF(BI481&lt;&gt;0,ROUND(BI482/BI480,5),0)</f>
        <v>0.26661000000000001</v>
      </c>
      <c r="BM482" s="659" t="s">
        <v>302</v>
      </c>
      <c r="BU482" s="217"/>
      <c r="BZ482" s="179">
        <f t="shared" si="3468"/>
        <v>76740</v>
      </c>
      <c r="CB482" s="669">
        <f t="shared" ref="CB482" si="3482">IF(BZ481&lt;&gt;0,ROUND(BZ482/BZ480,5),0)</f>
        <v>0.26661000000000001</v>
      </c>
      <c r="CD482" s="659" t="s">
        <v>302</v>
      </c>
      <c r="CL482" s="217"/>
      <c r="CQ482" s="179">
        <f t="shared" si="3470"/>
        <v>76740</v>
      </c>
      <c r="CS482" s="669">
        <f t="shared" ref="CS482" si="3483">IF(CQ481&lt;&gt;0,ROUND(CQ482/CQ480,5),0)</f>
        <v>0.26661000000000001</v>
      </c>
      <c r="CU482" s="659" t="s">
        <v>302</v>
      </c>
      <c r="DC482" s="217"/>
      <c r="DH482" s="179">
        <f t="shared" si="3472"/>
        <v>76740</v>
      </c>
      <c r="DJ482" s="669">
        <f t="shared" ref="DJ482" si="3484">IF(DH481&lt;&gt;0,ROUND(DH482/DH480,5),0)</f>
        <v>0.26661000000000001</v>
      </c>
      <c r="DL482" s="659" t="s">
        <v>302</v>
      </c>
      <c r="DT482" s="217"/>
      <c r="DY482" s="179">
        <f t="shared" si="3474"/>
        <v>76740</v>
      </c>
      <c r="EA482" s="669">
        <f t="shared" ref="EA482" si="3485">IF(DY481&lt;&gt;0,ROUND(DY482/DY480,5),0)</f>
        <v>0.26661000000000001</v>
      </c>
      <c r="EC482" s="659" t="s">
        <v>302</v>
      </c>
      <c r="EK482" s="217"/>
      <c r="EP482" s="179">
        <f t="shared" si="3476"/>
        <v>76740</v>
      </c>
      <c r="ER482" s="669">
        <f t="shared" ref="ER482" si="3486">IF(EP481&lt;&gt;0,ROUND(EP482/EP480,5),0)</f>
        <v>0.26661000000000001</v>
      </c>
      <c r="ET482" s="659" t="s">
        <v>302</v>
      </c>
      <c r="FB482" s="217"/>
      <c r="FG482" s="179">
        <f t="shared" si="3478"/>
        <v>64927.5</v>
      </c>
      <c r="FI482" s="669">
        <f t="shared" ref="FI482" si="3487">IF(FG481&lt;&gt;0,ROUND(FG482/FG480,5),0)</f>
        <v>0.25724000000000002</v>
      </c>
      <c r="FK482" s="659" t="s">
        <v>302</v>
      </c>
      <c r="FS482" s="217"/>
    </row>
    <row r="483" spans="1:175" s="10" customFormat="1" hidden="1" x14ac:dyDescent="0.3">
      <c r="A483" s="657" t="s">
        <v>320</v>
      </c>
      <c r="V483" s="217">
        <v>162</v>
      </c>
      <c r="AE483" s="657" t="s">
        <v>320</v>
      </c>
      <c r="AM483" s="217"/>
      <c r="AV483" s="658" t="s">
        <v>320</v>
      </c>
      <c r="BD483" s="217"/>
      <c r="BM483" s="658" t="s">
        <v>320</v>
      </c>
      <c r="BU483" s="217"/>
      <c r="CD483" s="658" t="s">
        <v>320</v>
      </c>
      <c r="CL483" s="217"/>
      <c r="CU483" s="658" t="s">
        <v>320</v>
      </c>
      <c r="DC483" s="217"/>
      <c r="DL483" s="658" t="s">
        <v>320</v>
      </c>
      <c r="DT483" s="217"/>
      <c r="EC483" s="658" t="s">
        <v>320</v>
      </c>
      <c r="EK483" s="217"/>
      <c r="ET483" s="658" t="s">
        <v>320</v>
      </c>
      <c r="FB483" s="217"/>
      <c r="FK483" s="658" t="s">
        <v>320</v>
      </c>
      <c r="FS483" s="217"/>
    </row>
    <row r="484" spans="1:175" s="10" customFormat="1" hidden="1" x14ac:dyDescent="0.3">
      <c r="A484" s="223" t="s">
        <v>313</v>
      </c>
      <c r="V484" s="217">
        <v>163</v>
      </c>
      <c r="AA484" s="10">
        <f>AC428</f>
        <v>339512.95</v>
      </c>
      <c r="AE484" s="223" t="s">
        <v>313</v>
      </c>
      <c r="AM484" s="217"/>
      <c r="AR484" s="10">
        <f t="shared" ref="AR484" si="3488">AT428</f>
        <v>327118.05</v>
      </c>
      <c r="AV484" s="223" t="s">
        <v>313</v>
      </c>
      <c r="BD484" s="217"/>
      <c r="BI484" s="10">
        <f t="shared" ref="BI484" si="3489">BK428</f>
        <v>314723.15000000002</v>
      </c>
      <c r="BM484" s="223" t="s">
        <v>313</v>
      </c>
      <c r="BU484" s="217"/>
      <c r="BZ484" s="10">
        <f t="shared" ref="BZ484" si="3490">CB428</f>
        <v>302328.25</v>
      </c>
      <c r="CD484" s="223" t="s">
        <v>313</v>
      </c>
      <c r="CL484" s="217"/>
      <c r="CQ484" s="10">
        <f t="shared" ref="CQ484" si="3491">CS428</f>
        <v>289933.34999999998</v>
      </c>
      <c r="CU484" s="223" t="s">
        <v>313</v>
      </c>
      <c r="DC484" s="217"/>
      <c r="DH484" s="10">
        <f t="shared" ref="DH484" si="3492">DJ428</f>
        <v>237890.1</v>
      </c>
      <c r="DL484" s="223" t="s">
        <v>313</v>
      </c>
      <c r="DT484" s="217"/>
      <c r="DY484" s="10">
        <f t="shared" ref="DY484" si="3493">EA428</f>
        <v>227265.9</v>
      </c>
      <c r="EC484" s="223" t="s">
        <v>313</v>
      </c>
      <c r="EK484" s="217"/>
      <c r="EP484" s="10">
        <f t="shared" ref="EP484" si="3494">ER428</f>
        <v>216641.7</v>
      </c>
      <c r="ET484" s="223" t="s">
        <v>313</v>
      </c>
      <c r="FB484" s="217"/>
      <c r="FG484" s="10">
        <f t="shared" ref="FG484" si="3495">FI428</f>
        <v>206726.25</v>
      </c>
      <c r="FK484" s="223" t="s">
        <v>313</v>
      </c>
      <c r="FS484" s="217"/>
    </row>
    <row r="485" spans="1:175" s="10" customFormat="1" hidden="1" x14ac:dyDescent="0.3">
      <c r="A485" s="656" t="s">
        <v>309</v>
      </c>
      <c r="V485" s="217">
        <v>164</v>
      </c>
      <c r="AA485" s="10">
        <f>-AC431</f>
        <v>-54947.81</v>
      </c>
      <c r="AE485" s="656" t="s">
        <v>309</v>
      </c>
      <c r="AM485" s="217"/>
      <c r="AR485" s="10">
        <f t="shared" ref="AR485" si="3496">-AT431</f>
        <v>-52627.31</v>
      </c>
      <c r="AV485" s="659" t="s">
        <v>309</v>
      </c>
      <c r="BD485" s="217"/>
      <c r="BI485" s="10">
        <f t="shared" ref="BI485" si="3497">-BK431</f>
        <v>-50306.81</v>
      </c>
      <c r="BM485" s="659" t="s">
        <v>309</v>
      </c>
      <c r="BU485" s="217"/>
      <c r="BZ485" s="10">
        <f t="shared" ref="BZ485" si="3498">-CB431</f>
        <v>-47986.31</v>
      </c>
      <c r="CD485" s="659" t="s">
        <v>309</v>
      </c>
      <c r="CL485" s="217"/>
      <c r="CQ485" s="10">
        <f t="shared" ref="CQ485" si="3499">-CS431</f>
        <v>-45665.81</v>
      </c>
      <c r="CU485" s="659" t="s">
        <v>309</v>
      </c>
      <c r="DC485" s="217"/>
      <c r="DH485" s="10">
        <f t="shared" ref="DH485" si="3500">-DJ431</f>
        <v>-37153.129999999997</v>
      </c>
      <c r="DL485" s="659" t="s">
        <v>309</v>
      </c>
      <c r="DT485" s="217"/>
      <c r="DY485" s="10">
        <f t="shared" ref="DY485" si="3501">-EA431</f>
        <v>-35164.129999999997</v>
      </c>
      <c r="EC485" s="659" t="s">
        <v>309</v>
      </c>
      <c r="EK485" s="217"/>
      <c r="EP485" s="10">
        <f t="shared" ref="EP485" si="3502">-ER431</f>
        <v>-33175.129999999997</v>
      </c>
      <c r="ET485" s="659" t="s">
        <v>309</v>
      </c>
      <c r="FB485" s="217"/>
      <c r="FG485" s="10">
        <f t="shared" ref="FG485" si="3503">-FI431</f>
        <v>-31363.31</v>
      </c>
      <c r="FK485" s="659" t="s">
        <v>309</v>
      </c>
      <c r="FS485" s="217"/>
    </row>
    <row r="486" spans="1:175" s="10" customFormat="1" hidden="1" x14ac:dyDescent="0.3">
      <c r="A486" s="656" t="s">
        <v>312</v>
      </c>
      <c r="V486" s="217">
        <v>165</v>
      </c>
      <c r="AA486" s="10">
        <f>AA484+AA485</f>
        <v>284565.14</v>
      </c>
      <c r="AC486" s="668">
        <f>SUM(AC487:AC488)</f>
        <v>1</v>
      </c>
      <c r="AE486" s="656" t="s">
        <v>312</v>
      </c>
      <c r="AM486" s="217"/>
      <c r="AR486" s="10">
        <f t="shared" ref="AR486" si="3504">AR484+AR485</f>
        <v>274490.74</v>
      </c>
      <c r="AT486" s="668">
        <f t="shared" ref="AT486" si="3505">SUM(AT487:AT488)</f>
        <v>1</v>
      </c>
      <c r="AV486" s="659" t="s">
        <v>312</v>
      </c>
      <c r="BD486" s="217"/>
      <c r="BI486" s="10">
        <f t="shared" ref="BI486" si="3506">BI484+BI485</f>
        <v>264416.34000000003</v>
      </c>
      <c r="BK486" s="668">
        <f t="shared" ref="BK486" si="3507">SUM(BK487:BK488)</f>
        <v>1</v>
      </c>
      <c r="BM486" s="659" t="s">
        <v>312</v>
      </c>
      <c r="BU486" s="217"/>
      <c r="BZ486" s="10">
        <f t="shared" ref="BZ486" si="3508">BZ484+BZ485</f>
        <v>254341.94</v>
      </c>
      <c r="CB486" s="668">
        <f t="shared" ref="CB486" si="3509">SUM(CB487:CB488)</f>
        <v>1</v>
      </c>
      <c r="CD486" s="659" t="s">
        <v>312</v>
      </c>
      <c r="CL486" s="217"/>
      <c r="CQ486" s="10">
        <f t="shared" ref="CQ486" si="3510">CQ484+CQ485</f>
        <v>244267.53999999998</v>
      </c>
      <c r="CS486" s="668">
        <f t="shared" ref="CS486" si="3511">SUM(CS487:CS488)</f>
        <v>1</v>
      </c>
      <c r="CU486" s="659" t="s">
        <v>312</v>
      </c>
      <c r="DC486" s="217"/>
      <c r="DH486" s="10">
        <f t="shared" ref="DH486" si="3512">DH484+DH485</f>
        <v>200736.97</v>
      </c>
      <c r="DJ486" s="668">
        <f t="shared" ref="DJ486" si="3513">SUM(DJ487:DJ488)</f>
        <v>1</v>
      </c>
      <c r="DL486" s="659" t="s">
        <v>312</v>
      </c>
      <c r="DT486" s="217"/>
      <c r="DY486" s="10">
        <f t="shared" ref="DY486" si="3514">DY484+DY485</f>
        <v>192101.77</v>
      </c>
      <c r="EA486" s="668">
        <f t="shared" ref="EA486" si="3515">SUM(EA487:EA488)</f>
        <v>1</v>
      </c>
      <c r="EC486" s="659" t="s">
        <v>312</v>
      </c>
      <c r="EK486" s="217"/>
      <c r="EP486" s="10">
        <f t="shared" ref="EP486" si="3516">EP484+EP485</f>
        <v>183466.57</v>
      </c>
      <c r="ER486" s="668">
        <f t="shared" ref="ER486" si="3517">SUM(ER487:ER488)</f>
        <v>1</v>
      </c>
      <c r="ET486" s="659" t="s">
        <v>312</v>
      </c>
      <c r="FB486" s="217"/>
      <c r="FG486" s="10">
        <f t="shared" ref="FG486" si="3518">FG484+FG485</f>
        <v>175362.94</v>
      </c>
      <c r="FI486" s="668">
        <f t="shared" ref="FI486" si="3519">SUM(FI487:FI488)</f>
        <v>1</v>
      </c>
      <c r="FK486" s="659" t="s">
        <v>312</v>
      </c>
      <c r="FS486" s="217"/>
    </row>
    <row r="487" spans="1:175" s="10" customFormat="1" hidden="1" x14ac:dyDescent="0.3">
      <c r="A487" s="656" t="s">
        <v>301</v>
      </c>
      <c r="V487" s="217">
        <v>166</v>
      </c>
      <c r="AA487" s="10">
        <f>AC429</f>
        <v>216109.08</v>
      </c>
      <c r="AC487" s="669">
        <f>IF(AA486&lt;&gt;0,ROUND(AA487/AA486,5),0)</f>
        <v>0.75944</v>
      </c>
      <c r="AE487" s="656" t="s">
        <v>301</v>
      </c>
      <c r="AM487" s="217"/>
      <c r="AR487" s="10">
        <f t="shared" ref="AR487:AR488" si="3520">AT429</f>
        <v>208720.58</v>
      </c>
      <c r="AT487" s="669">
        <f t="shared" ref="AT487" si="3521">IF(AR486&lt;&gt;0,ROUND(AR487/AR486,5),0)</f>
        <v>0.76039000000000001</v>
      </c>
      <c r="AV487" s="659" t="s">
        <v>301</v>
      </c>
      <c r="BD487" s="217"/>
      <c r="BI487" s="10">
        <f t="shared" ref="BI487:BI488" si="3522">BK429</f>
        <v>201332.08</v>
      </c>
      <c r="BK487" s="669">
        <f t="shared" ref="BK487" si="3523">IF(BI486&lt;&gt;0,ROUND(BI487/BI486,5),0)</f>
        <v>0.76141999999999999</v>
      </c>
      <c r="BM487" s="659" t="s">
        <v>301</v>
      </c>
      <c r="BU487" s="217"/>
      <c r="BZ487" s="10">
        <f t="shared" ref="BZ487:BZ488" si="3524">CB429</f>
        <v>193943.58</v>
      </c>
      <c r="CB487" s="669">
        <f t="shared" ref="CB487" si="3525">IF(BZ486&lt;&gt;0,ROUND(BZ487/BZ486,5),0)</f>
        <v>0.76253000000000004</v>
      </c>
      <c r="CD487" s="659" t="s">
        <v>301</v>
      </c>
      <c r="CL487" s="217"/>
      <c r="CQ487" s="10">
        <f t="shared" ref="CQ487:CQ488" si="3526">CS429</f>
        <v>186555.08</v>
      </c>
      <c r="CS487" s="669">
        <f t="shared" ref="CS487" si="3527">IF(CQ486&lt;&gt;0,ROUND(CQ487/CQ486,5),0)</f>
        <v>0.76373000000000002</v>
      </c>
      <c r="CU487" s="659" t="s">
        <v>301</v>
      </c>
      <c r="DC487" s="217"/>
      <c r="DH487" s="10">
        <f t="shared" ref="DH487:DH488" si="3528">DJ429</f>
        <v>153571.35</v>
      </c>
      <c r="DJ487" s="669">
        <f t="shared" ref="DJ487" si="3529">IF(DH486&lt;&gt;0,ROUND(DH487/DH486,5),0)</f>
        <v>0.76504000000000005</v>
      </c>
      <c r="DL487" s="659" t="s">
        <v>301</v>
      </c>
      <c r="DT487" s="217"/>
      <c r="DY487" s="10">
        <f t="shared" ref="DY487:DY488" si="3530">EA429</f>
        <v>147238.35</v>
      </c>
      <c r="EA487" s="669">
        <f t="shared" ref="EA487" si="3531">IF(DY486&lt;&gt;0,ROUND(DY487/DY486,5),0)</f>
        <v>0.76646000000000003</v>
      </c>
      <c r="EC487" s="659" t="s">
        <v>301</v>
      </c>
      <c r="EK487" s="217"/>
      <c r="EP487" s="10">
        <f t="shared" ref="EP487:EP488" si="3532">ER429</f>
        <v>140905.35</v>
      </c>
      <c r="ER487" s="669">
        <f t="shared" ref="ER487" si="3533">IF(EP486&lt;&gt;0,ROUND(EP487/EP486,5),0)</f>
        <v>0.76802000000000004</v>
      </c>
      <c r="ET487" s="659" t="s">
        <v>301</v>
      </c>
      <c r="FB487" s="217"/>
      <c r="FG487" s="10">
        <f t="shared" ref="FG487:FG488" si="3534">FI429</f>
        <v>134926.73000000001</v>
      </c>
      <c r="FI487" s="669">
        <f t="shared" ref="FI487" si="3535">IF(FG486&lt;&gt;0,ROUND(FG487/FG486,5),0)</f>
        <v>0.76941000000000004</v>
      </c>
      <c r="FK487" s="659" t="s">
        <v>301</v>
      </c>
      <c r="FS487" s="217"/>
    </row>
    <row r="488" spans="1:175" s="10" customFormat="1" hidden="1" x14ac:dyDescent="0.3">
      <c r="A488" s="656" t="s">
        <v>302</v>
      </c>
      <c r="V488" s="217">
        <v>167</v>
      </c>
      <c r="AA488" s="10">
        <f>AC430</f>
        <v>68456.06</v>
      </c>
      <c r="AC488" s="669">
        <f>IF(AA487&lt;&gt;0,ROUND(AA488/AA486,5),0)</f>
        <v>0.24056</v>
      </c>
      <c r="AE488" s="656" t="s">
        <v>302</v>
      </c>
      <c r="AM488" s="217"/>
      <c r="AR488" s="10">
        <f t="shared" si="3520"/>
        <v>65770.16</v>
      </c>
      <c r="AT488" s="669">
        <f t="shared" ref="AT488" si="3536">IF(AR487&lt;&gt;0,ROUND(AR488/AR486,5),0)</f>
        <v>0.23960999999999999</v>
      </c>
      <c r="AV488" s="659" t="s">
        <v>302</v>
      </c>
      <c r="BD488" s="217"/>
      <c r="BI488" s="10">
        <f t="shared" si="3522"/>
        <v>63084.26</v>
      </c>
      <c r="BK488" s="669">
        <f t="shared" ref="BK488" si="3537">IF(BI487&lt;&gt;0,ROUND(BI488/BI486,5),0)</f>
        <v>0.23857999999999999</v>
      </c>
      <c r="BM488" s="659" t="s">
        <v>302</v>
      </c>
      <c r="BU488" s="217"/>
      <c r="BZ488" s="10">
        <f t="shared" si="3524"/>
        <v>60398.36</v>
      </c>
      <c r="CB488" s="669">
        <f t="shared" ref="CB488" si="3538">IF(BZ487&lt;&gt;0,ROUND(BZ488/BZ486,5),0)</f>
        <v>0.23746999999999999</v>
      </c>
      <c r="CD488" s="659" t="s">
        <v>302</v>
      </c>
      <c r="CL488" s="217"/>
      <c r="CQ488" s="10">
        <f t="shared" si="3526"/>
        <v>57712.46</v>
      </c>
      <c r="CS488" s="669">
        <f t="shared" ref="CS488" si="3539">IF(CQ487&lt;&gt;0,ROUND(CQ488/CQ486,5),0)</f>
        <v>0.23627000000000001</v>
      </c>
      <c r="CU488" s="659" t="s">
        <v>302</v>
      </c>
      <c r="DC488" s="217"/>
      <c r="DH488" s="10">
        <f t="shared" si="3528"/>
        <v>47165.63</v>
      </c>
      <c r="DJ488" s="669">
        <f t="shared" ref="DJ488" si="3540">IF(DH487&lt;&gt;0,ROUND(DH488/DH486,5),0)</f>
        <v>0.23496</v>
      </c>
      <c r="DL488" s="659" t="s">
        <v>302</v>
      </c>
      <c r="DT488" s="217"/>
      <c r="DY488" s="10">
        <f t="shared" si="3530"/>
        <v>44863.43</v>
      </c>
      <c r="EA488" s="669">
        <f t="shared" ref="EA488" si="3541">IF(DY487&lt;&gt;0,ROUND(DY488/DY486,5),0)</f>
        <v>0.23354</v>
      </c>
      <c r="EC488" s="659" t="s">
        <v>302</v>
      </c>
      <c r="EK488" s="217"/>
      <c r="EP488" s="10">
        <f t="shared" si="3532"/>
        <v>42561.23</v>
      </c>
      <c r="ER488" s="669">
        <f t="shared" ref="ER488" si="3542">IF(EP487&lt;&gt;0,ROUND(EP488/EP486,5),0)</f>
        <v>0.23197999999999999</v>
      </c>
      <c r="ET488" s="659" t="s">
        <v>302</v>
      </c>
      <c r="FB488" s="217"/>
      <c r="FG488" s="10">
        <f t="shared" si="3534"/>
        <v>40436.21</v>
      </c>
      <c r="FI488" s="669">
        <f t="shared" ref="FI488" si="3543">IF(FG487&lt;&gt;0,ROUND(FG488/FG486,5),0)</f>
        <v>0.23058999999999999</v>
      </c>
      <c r="FK488" s="659" t="s">
        <v>302</v>
      </c>
      <c r="FS488" s="217"/>
    </row>
    <row r="489" spans="1:175" s="10" customFormat="1" hidden="1" x14ac:dyDescent="0.3">
      <c r="A489" s="657" t="s">
        <v>321</v>
      </c>
      <c r="V489" s="217">
        <v>168</v>
      </c>
      <c r="AE489" s="657" t="s">
        <v>321</v>
      </c>
      <c r="AM489" s="217"/>
      <c r="AV489" s="658" t="s">
        <v>321</v>
      </c>
      <c r="BD489" s="217"/>
      <c r="BM489" s="658" t="s">
        <v>321</v>
      </c>
      <c r="BU489" s="217"/>
      <c r="CD489" s="658" t="s">
        <v>321</v>
      </c>
      <c r="CL489" s="217"/>
      <c r="CU489" s="658" t="s">
        <v>321</v>
      </c>
      <c r="DC489" s="217"/>
      <c r="DL489" s="658" t="s">
        <v>321</v>
      </c>
      <c r="DT489" s="217"/>
      <c r="EC489" s="658" t="s">
        <v>321</v>
      </c>
      <c r="EK489" s="217"/>
      <c r="ET489" s="658" t="s">
        <v>321</v>
      </c>
      <c r="FB489" s="217"/>
      <c r="FK489" s="658" t="s">
        <v>321</v>
      </c>
      <c r="FS489" s="217"/>
    </row>
    <row r="490" spans="1:175" s="10" customFormat="1" hidden="1" x14ac:dyDescent="0.3">
      <c r="A490" s="223" t="s">
        <v>323</v>
      </c>
      <c r="V490" s="217">
        <v>169</v>
      </c>
      <c r="AA490" s="179">
        <f>SUM(AC324,AC328,AC332,AC336,AC340,AC370,AC374,AC378,AC382,AC386,AC399,AC403,AC407,AC411,AC415)</f>
        <v>693652.95</v>
      </c>
      <c r="AC490" s="668">
        <f>SUM(AC491:AC493)</f>
        <v>1</v>
      </c>
      <c r="AE490" s="223" t="s">
        <v>323</v>
      </c>
      <c r="AM490" s="217"/>
      <c r="AR490" s="179">
        <f t="shared" ref="AR490:AR493" si="3544">SUM(AT324,AT328,AT332,AT336,AT340,AT370,AT374,AT378,AT382,AT386,AT399,AT403,AT407,AT411,AT415)</f>
        <v>681258.05</v>
      </c>
      <c r="AT490" s="668">
        <f t="shared" ref="AT490" si="3545">SUM(AT491:AT493)</f>
        <v>1</v>
      </c>
      <c r="AV490" s="223" t="s">
        <v>323</v>
      </c>
      <c r="BD490" s="217"/>
      <c r="BI490" s="179">
        <f t="shared" ref="BI490:BI493" si="3546">SUM(BK324,BK328,BK332,BK336,BK340,BK370,BK374,BK378,BK382,BK386,BK399,BK403,BK407,BK411,BK415)</f>
        <v>668863.15</v>
      </c>
      <c r="BK490" s="668">
        <f t="shared" ref="BK490" si="3547">SUM(BK491:BK493)</f>
        <v>1.0000099999999998</v>
      </c>
      <c r="BM490" s="223" t="s">
        <v>323</v>
      </c>
      <c r="BU490" s="217"/>
      <c r="BZ490" s="179">
        <f t="shared" ref="BZ490:BZ493" si="3548">SUM(CB324,CB328,CB332,CB336,CB340,CB370,CB374,CB378,CB382,CB386,CB399,CB403,CB407,CB411,CB415)</f>
        <v>656468.25</v>
      </c>
      <c r="CB490" s="668">
        <f t="shared" ref="CB490" si="3549">SUM(CB491:CB493)</f>
        <v>0.99998999999999993</v>
      </c>
      <c r="CD490" s="223" t="s">
        <v>323</v>
      </c>
      <c r="CL490" s="217"/>
      <c r="CQ490" s="179">
        <f t="shared" ref="CQ490:CQ493" si="3550">SUM(CS324,CS328,CS332,CS336,CS340,CS370,CS374,CS378,CS382,CS386,CS399,CS403,CS407,CS411,CS415)</f>
        <v>644073.35</v>
      </c>
      <c r="CS490" s="668">
        <f t="shared" ref="CS490" si="3551">SUM(CS491:CS493)</f>
        <v>1</v>
      </c>
      <c r="CU490" s="223" t="s">
        <v>323</v>
      </c>
      <c r="DC490" s="217"/>
      <c r="DH490" s="179">
        <f t="shared" ref="DH490:DH493" si="3552">SUM(DJ324,DJ328,DJ332,DJ336,DJ340,DJ370,DJ374,DJ378,DJ382,DJ386,DJ399,DJ403,DJ407,DJ411,DJ415)</f>
        <v>592030.1</v>
      </c>
      <c r="DJ490" s="668">
        <f t="shared" ref="DJ490" si="3553">SUM(DJ491:DJ493)</f>
        <v>1</v>
      </c>
      <c r="DL490" s="223" t="s">
        <v>323</v>
      </c>
      <c r="DT490" s="217"/>
      <c r="DY490" s="179">
        <f t="shared" ref="DY490:DY493" si="3554">SUM(EA324,EA328,EA332,EA336,EA340,EA370,EA374,EA378,EA382,EA386,EA399,EA403,EA407,EA411,EA415)</f>
        <v>581405.9</v>
      </c>
      <c r="EA490" s="668">
        <f t="shared" ref="EA490" si="3555">SUM(EA491:EA493)</f>
        <v>1</v>
      </c>
      <c r="EC490" s="223" t="s">
        <v>323</v>
      </c>
      <c r="EK490" s="217"/>
      <c r="EP490" s="179">
        <f t="shared" ref="EP490:EP493" si="3556">SUM(ER324,ER328,ER332,ER336,ER340,ER370,ER374,ER378,ER382,ER386,ER399,ER403,ER407,ER411,ER415)</f>
        <v>570781.69999999995</v>
      </c>
      <c r="ER490" s="668">
        <f t="shared" ref="ER490" si="3557">SUM(ER491:ER493)</f>
        <v>1</v>
      </c>
      <c r="ET490" s="223" t="s">
        <v>323</v>
      </c>
      <c r="FB490" s="217"/>
      <c r="FG490" s="179">
        <f t="shared" ref="FG490:FG493" si="3558">SUM(FI324,FI328,FI332,FI336,FI340,FI370,FI374,FI378,FI382,FI386,FI399,FI403,FI407,FI411,FI415)</f>
        <v>513616.25</v>
      </c>
      <c r="FI490" s="668">
        <f t="shared" ref="FI490" si="3559">SUM(FI491:FI493)</f>
        <v>1</v>
      </c>
      <c r="FK490" s="223" t="s">
        <v>323</v>
      </c>
      <c r="FS490" s="217"/>
    </row>
    <row r="491" spans="1:175" s="10" customFormat="1" hidden="1" x14ac:dyDescent="0.3">
      <c r="A491" s="656" t="s">
        <v>301</v>
      </c>
      <c r="V491" s="217">
        <v>170</v>
      </c>
      <c r="AA491" s="179">
        <f t="shared" ref="AA491:AA493" si="3560">SUM(AC325,AC329,AC333,AC337,AC341,AC371,AC375,AC379,AC383,AC387,AC400,AC404,AC408,AC412,AC416)</f>
        <v>427209.08</v>
      </c>
      <c r="AC491" s="669">
        <f>IF(AA490&lt;&gt;0,ROUND(AA491/AA490,5),0)</f>
        <v>0.61587999999999998</v>
      </c>
      <c r="AE491" s="656" t="s">
        <v>301</v>
      </c>
      <c r="AM491" s="217"/>
      <c r="AR491" s="179">
        <f t="shared" si="3544"/>
        <v>419820.58</v>
      </c>
      <c r="AT491" s="669">
        <f t="shared" ref="AT491" si="3561">IF(AR490&lt;&gt;0,ROUND(AR491/AR490,5),0)</f>
        <v>0.61624000000000001</v>
      </c>
      <c r="AV491" s="659" t="s">
        <v>301</v>
      </c>
      <c r="BD491" s="217"/>
      <c r="BI491" s="179">
        <f t="shared" si="3546"/>
        <v>412432.08</v>
      </c>
      <c r="BK491" s="669">
        <f t="shared" ref="BK491" si="3562">IF(BI490&lt;&gt;0,ROUND(BI491/BI490,5),0)</f>
        <v>0.61661999999999995</v>
      </c>
      <c r="BM491" s="659" t="s">
        <v>301</v>
      </c>
      <c r="BU491" s="217"/>
      <c r="BZ491" s="179">
        <f t="shared" si="3548"/>
        <v>405043.58</v>
      </c>
      <c r="CB491" s="669">
        <f t="shared" ref="CB491" si="3563">IF(BZ490&lt;&gt;0,ROUND(BZ491/BZ490,5),0)</f>
        <v>0.61699999999999999</v>
      </c>
      <c r="CD491" s="659" t="s">
        <v>301</v>
      </c>
      <c r="CL491" s="217"/>
      <c r="CQ491" s="179">
        <f t="shared" si="3550"/>
        <v>397655.08</v>
      </c>
      <c r="CS491" s="669">
        <f t="shared" ref="CS491" si="3564">IF(CQ490&lt;&gt;0,ROUND(CQ491/CQ490,5),0)</f>
        <v>0.61741000000000001</v>
      </c>
      <c r="CU491" s="659" t="s">
        <v>301</v>
      </c>
      <c r="DC491" s="217"/>
      <c r="DH491" s="179">
        <f t="shared" si="3552"/>
        <v>364671.35</v>
      </c>
      <c r="DJ491" s="669">
        <f t="shared" ref="DJ491" si="3565">IF(DH490&lt;&gt;0,ROUND(DH491/DH490,5),0)</f>
        <v>0.61597000000000002</v>
      </c>
      <c r="DL491" s="659" t="s">
        <v>301</v>
      </c>
      <c r="DT491" s="217"/>
      <c r="DY491" s="179">
        <f t="shared" si="3554"/>
        <v>358338.35</v>
      </c>
      <c r="EA491" s="669">
        <f t="shared" ref="EA491" si="3566">IF(DY490&lt;&gt;0,ROUND(DY491/DY490,5),0)</f>
        <v>0.61633000000000004</v>
      </c>
      <c r="EC491" s="659" t="s">
        <v>301</v>
      </c>
      <c r="EK491" s="217"/>
      <c r="EP491" s="179">
        <f t="shared" si="3556"/>
        <v>352005.35</v>
      </c>
      <c r="ER491" s="669">
        <f t="shared" ref="ER491" si="3567">IF(EP490&lt;&gt;0,ROUND(EP491/EP490,5),0)</f>
        <v>0.61670999999999998</v>
      </c>
      <c r="ET491" s="659" t="s">
        <v>301</v>
      </c>
      <c r="FB491" s="217"/>
      <c r="FG491" s="179">
        <f t="shared" si="3558"/>
        <v>322401.73</v>
      </c>
      <c r="FI491" s="669">
        <f t="shared" ref="FI491" si="3568">IF(FG490&lt;&gt;0,ROUND(FG491/FG490,5),0)</f>
        <v>0.62770999999999999</v>
      </c>
      <c r="FK491" s="659" t="s">
        <v>301</v>
      </c>
      <c r="FS491" s="217"/>
    </row>
    <row r="492" spans="1:175" s="10" customFormat="1" hidden="1" x14ac:dyDescent="0.3">
      <c r="A492" s="656" t="s">
        <v>302</v>
      </c>
      <c r="V492" s="217">
        <v>171</v>
      </c>
      <c r="AA492" s="179">
        <f t="shared" si="3560"/>
        <v>145196.06</v>
      </c>
      <c r="AC492" s="669">
        <f>IF(AA491&lt;&gt;0,ROUND(AA492/AA490,5),0)</f>
        <v>0.20932000000000001</v>
      </c>
      <c r="AE492" s="656" t="s">
        <v>302</v>
      </c>
      <c r="AM492" s="217"/>
      <c r="AR492" s="179">
        <f t="shared" si="3544"/>
        <v>142510.16</v>
      </c>
      <c r="AT492" s="669">
        <f t="shared" ref="AT492" si="3569">IF(AR491&lt;&gt;0,ROUND(AR492/AR490,5),0)</f>
        <v>0.20918999999999999</v>
      </c>
      <c r="AV492" s="659" t="s">
        <v>302</v>
      </c>
      <c r="BD492" s="217"/>
      <c r="BI492" s="179">
        <f t="shared" si="3546"/>
        <v>139824.26</v>
      </c>
      <c r="BK492" s="669">
        <f t="shared" ref="BK492" si="3570">IF(BI491&lt;&gt;0,ROUND(BI492/BI490,5),0)</f>
        <v>0.20905000000000001</v>
      </c>
      <c r="BM492" s="659" t="s">
        <v>302</v>
      </c>
      <c r="BU492" s="217"/>
      <c r="BZ492" s="179">
        <f t="shared" si="3548"/>
        <v>137138.35999999999</v>
      </c>
      <c r="CB492" s="669">
        <f t="shared" ref="CB492" si="3571">IF(BZ491&lt;&gt;0,ROUND(BZ492/BZ490,5),0)</f>
        <v>0.2089</v>
      </c>
      <c r="CD492" s="659" t="s">
        <v>302</v>
      </c>
      <c r="CL492" s="217"/>
      <c r="CQ492" s="179">
        <f t="shared" si="3550"/>
        <v>134452.46</v>
      </c>
      <c r="CS492" s="669">
        <f t="shared" ref="CS492" si="3572">IF(CQ491&lt;&gt;0,ROUND(CQ492/CQ490,5),0)</f>
        <v>0.20874999999999999</v>
      </c>
      <c r="CU492" s="659" t="s">
        <v>302</v>
      </c>
      <c r="DC492" s="217"/>
      <c r="DH492" s="179">
        <f t="shared" si="3552"/>
        <v>123905.63</v>
      </c>
      <c r="DJ492" s="669">
        <f t="shared" ref="DJ492" si="3573">IF(DH491&lt;&gt;0,ROUND(DH492/DH490,5),0)</f>
        <v>0.20929</v>
      </c>
      <c r="DL492" s="659" t="s">
        <v>302</v>
      </c>
      <c r="DT492" s="217"/>
      <c r="DY492" s="179">
        <f t="shared" si="3554"/>
        <v>121603.43000000001</v>
      </c>
      <c r="EA492" s="669">
        <f t="shared" ref="EA492" si="3574">IF(DY491&lt;&gt;0,ROUND(DY492/DY490,5),0)</f>
        <v>0.20915</v>
      </c>
      <c r="EC492" s="659" t="s">
        <v>302</v>
      </c>
      <c r="EK492" s="217"/>
      <c r="EP492" s="179">
        <f t="shared" si="3556"/>
        <v>119301.23000000001</v>
      </c>
      <c r="ER492" s="669">
        <f t="shared" ref="ER492" si="3575">IF(EP491&lt;&gt;0,ROUND(EP492/EP490,5),0)</f>
        <v>0.20901</v>
      </c>
      <c r="ET492" s="659" t="s">
        <v>302</v>
      </c>
      <c r="FB492" s="217"/>
      <c r="FG492" s="179">
        <f t="shared" si="3558"/>
        <v>105363.70999999999</v>
      </c>
      <c r="FI492" s="669">
        <f t="shared" ref="FI492" si="3576">IF(FG491&lt;&gt;0,ROUND(FG492/FG490,5),0)</f>
        <v>0.20513999999999999</v>
      </c>
      <c r="FK492" s="659" t="s">
        <v>302</v>
      </c>
      <c r="FS492" s="217"/>
    </row>
    <row r="493" spans="1:175" s="10" customFormat="1" hidden="1" x14ac:dyDescent="0.3">
      <c r="A493" s="656" t="s">
        <v>303</v>
      </c>
      <c r="V493" s="217">
        <v>172</v>
      </c>
      <c r="AA493" s="179">
        <f t="shared" si="3560"/>
        <v>121247.81</v>
      </c>
      <c r="AC493" s="669">
        <f>IF(AA492&lt;&gt;0,ROUND(AA493/AA490,5),0)</f>
        <v>0.17480000000000001</v>
      </c>
      <c r="AE493" s="656" t="s">
        <v>303</v>
      </c>
      <c r="AM493" s="217"/>
      <c r="AR493" s="179">
        <f t="shared" si="3544"/>
        <v>118927.31</v>
      </c>
      <c r="AT493" s="669">
        <f t="shared" ref="AT493" si="3577">IF(AR492&lt;&gt;0,ROUND(AR493/AR490,5),0)</f>
        <v>0.17457</v>
      </c>
      <c r="AV493" s="659" t="s">
        <v>303</v>
      </c>
      <c r="BD493" s="217"/>
      <c r="BI493" s="179">
        <f t="shared" si="3546"/>
        <v>116606.81</v>
      </c>
      <c r="BK493" s="669">
        <f t="shared" ref="BK493" si="3578">IF(BI492&lt;&gt;0,ROUND(BI493/BI490,5),0)</f>
        <v>0.17433999999999999</v>
      </c>
      <c r="BM493" s="659" t="s">
        <v>303</v>
      </c>
      <c r="BU493" s="217"/>
      <c r="BZ493" s="179">
        <f t="shared" si="3548"/>
        <v>114286.31</v>
      </c>
      <c r="CB493" s="669">
        <f t="shared" ref="CB493" si="3579">IF(BZ492&lt;&gt;0,ROUND(BZ493/BZ490,5),0)</f>
        <v>0.17408999999999999</v>
      </c>
      <c r="CD493" s="659" t="s">
        <v>303</v>
      </c>
      <c r="CL493" s="217"/>
      <c r="CQ493" s="179">
        <f t="shared" si="3550"/>
        <v>111965.81</v>
      </c>
      <c r="CS493" s="669">
        <f t="shared" ref="CS493" si="3580">IF(CQ492&lt;&gt;0,ROUND(CQ493/CQ490,5),0)</f>
        <v>0.17383999999999999</v>
      </c>
      <c r="CU493" s="659" t="s">
        <v>303</v>
      </c>
      <c r="DC493" s="217"/>
      <c r="DH493" s="179">
        <f t="shared" si="3552"/>
        <v>103453.13</v>
      </c>
      <c r="DJ493" s="669">
        <f t="shared" ref="DJ493" si="3581">IF(DH492&lt;&gt;0,ROUND(DH493/DH490,5),0)</f>
        <v>0.17474000000000001</v>
      </c>
      <c r="DL493" s="659" t="s">
        <v>303</v>
      </c>
      <c r="DT493" s="217"/>
      <c r="DY493" s="179">
        <f t="shared" si="3554"/>
        <v>101464.13</v>
      </c>
      <c r="EA493" s="669">
        <f t="shared" ref="EA493" si="3582">IF(DY492&lt;&gt;0,ROUND(DY493/DY490,5),0)</f>
        <v>0.17452000000000001</v>
      </c>
      <c r="EC493" s="659" t="s">
        <v>303</v>
      </c>
      <c r="EK493" s="217"/>
      <c r="EP493" s="179">
        <f t="shared" si="3556"/>
        <v>99475.13</v>
      </c>
      <c r="ER493" s="669">
        <f t="shared" ref="ER493" si="3583">IF(EP492&lt;&gt;0,ROUND(EP493/EP490,5),0)</f>
        <v>0.17427999999999999</v>
      </c>
      <c r="ET493" s="659" t="s">
        <v>303</v>
      </c>
      <c r="FB493" s="217"/>
      <c r="FG493" s="179">
        <f t="shared" si="3558"/>
        <v>85850.81</v>
      </c>
      <c r="FI493" s="669">
        <f t="shared" ref="FI493" si="3584">IF(FG492&lt;&gt;0,ROUND(FG493/FG490,5),0)</f>
        <v>0.16714999999999999</v>
      </c>
      <c r="FK493" s="659" t="s">
        <v>303</v>
      </c>
      <c r="FS493" s="217"/>
    </row>
    <row r="494" spans="1:175" s="10" customFormat="1" hidden="1" x14ac:dyDescent="0.3">
      <c r="V494" s="217">
        <v>173</v>
      </c>
      <c r="AE494" s="656"/>
      <c r="AM494" s="217"/>
      <c r="AV494" s="659"/>
      <c r="BD494" s="217"/>
      <c r="BM494" s="659"/>
      <c r="BU494" s="217"/>
      <c r="CD494" s="659"/>
      <c r="CL494" s="217"/>
      <c r="CU494" s="659"/>
      <c r="DC494" s="217"/>
      <c r="DL494" s="659"/>
      <c r="DT494" s="217"/>
      <c r="EC494" s="659"/>
      <c r="EK494" s="217"/>
      <c r="ET494" s="659"/>
      <c r="FB494" s="217"/>
      <c r="FK494" s="659"/>
      <c r="FS494" s="217"/>
    </row>
    <row r="495" spans="1:175" s="10" customFormat="1" hidden="1" x14ac:dyDescent="0.3">
      <c r="V495" s="217">
        <v>174</v>
      </c>
      <c r="AE495" s="656"/>
      <c r="AM495" s="217"/>
      <c r="AV495" s="659"/>
      <c r="BD495" s="217"/>
      <c r="BM495" s="659"/>
      <c r="BU495" s="217"/>
      <c r="CD495" s="659"/>
      <c r="CL495" s="217"/>
      <c r="CU495" s="659"/>
      <c r="DC495" s="217"/>
      <c r="DL495" s="659"/>
      <c r="DT495" s="217"/>
      <c r="EC495" s="659"/>
      <c r="EK495" s="217"/>
      <c r="ET495" s="659"/>
      <c r="FB495" s="217"/>
      <c r="FK495" s="659"/>
      <c r="FS495" s="217"/>
    </row>
    <row r="496" spans="1:175" s="10" customFormat="1" hidden="1" x14ac:dyDescent="0.3">
      <c r="V496" s="217">
        <v>175</v>
      </c>
      <c r="AM496" s="217"/>
      <c r="BD496" s="217"/>
      <c r="BU496" s="217"/>
      <c r="CL496" s="217"/>
      <c r="DC496" s="217"/>
      <c r="DT496" s="217"/>
      <c r="EK496" s="217"/>
      <c r="FB496" s="217"/>
      <c r="FS496" s="217"/>
    </row>
    <row r="497" spans="22:175" s="10" customFormat="1" hidden="1" x14ac:dyDescent="0.3">
      <c r="V497" s="217">
        <v>176</v>
      </c>
      <c r="AM497" s="217"/>
      <c r="BD497" s="217"/>
      <c r="BU497" s="217"/>
      <c r="CL497" s="217"/>
      <c r="DC497" s="217"/>
      <c r="DT497" s="217"/>
      <c r="EK497" s="217"/>
      <c r="FB497" s="217"/>
      <c r="FS497" s="217"/>
    </row>
    <row r="498" spans="22:175" s="10" customFormat="1" hidden="1" x14ac:dyDescent="0.3">
      <c r="V498" s="217">
        <v>177</v>
      </c>
      <c r="AM498" s="217"/>
      <c r="BD498" s="217"/>
      <c r="BU498" s="217"/>
      <c r="CL498" s="217"/>
      <c r="DC498" s="217"/>
      <c r="DT498" s="217"/>
      <c r="EK498" s="217"/>
      <c r="FB498" s="217"/>
      <c r="FS498" s="217"/>
    </row>
    <row r="499" spans="22:175" s="10" customFormat="1" hidden="1" x14ac:dyDescent="0.3">
      <c r="V499" s="217">
        <v>178</v>
      </c>
      <c r="AM499" s="217"/>
      <c r="BD499" s="217"/>
      <c r="BU499" s="217"/>
      <c r="CL499" s="217"/>
      <c r="DC499" s="217"/>
      <c r="DT499" s="217"/>
      <c r="EK499" s="217"/>
      <c r="FB499" s="217"/>
      <c r="FS499" s="217"/>
    </row>
    <row r="500" spans="22:175" s="10" customFormat="1" hidden="1" x14ac:dyDescent="0.3">
      <c r="V500" s="217">
        <v>179</v>
      </c>
      <c r="AM500" s="217"/>
      <c r="BD500" s="217"/>
      <c r="BU500" s="217"/>
      <c r="CL500" s="217"/>
      <c r="DC500" s="217"/>
      <c r="DT500" s="217"/>
      <c r="EK500" s="217"/>
      <c r="FB500" s="217"/>
      <c r="FS500" s="217"/>
    </row>
    <row r="501" spans="22:175" s="10" customFormat="1" hidden="1" x14ac:dyDescent="0.3">
      <c r="V501" s="217">
        <v>180</v>
      </c>
      <c r="AM501" s="217"/>
      <c r="BD501" s="217"/>
      <c r="BU501" s="217"/>
      <c r="CL501" s="217"/>
      <c r="DC501" s="217"/>
      <c r="DT501" s="217"/>
      <c r="EK501" s="217"/>
      <c r="FB501" s="217"/>
      <c r="FS501" s="217"/>
    </row>
  </sheetData>
  <sheetProtection sheet="1" objects="1" scenarios="1"/>
  <mergeCells count="54">
    <mergeCell ref="A1:J1"/>
    <mergeCell ref="K1:K4"/>
    <mergeCell ref="L1:M1"/>
    <mergeCell ref="N1:V1"/>
    <mergeCell ref="W1:AM1"/>
    <mergeCell ref="A2:J2"/>
    <mergeCell ref="L2:L4"/>
    <mergeCell ref="M2:M4"/>
    <mergeCell ref="N2:N3"/>
    <mergeCell ref="P2:P3"/>
    <mergeCell ref="AJ2:AM2"/>
    <mergeCell ref="A3:A4"/>
    <mergeCell ref="B3:B4"/>
    <mergeCell ref="C3:C4"/>
    <mergeCell ref="D3:D4"/>
    <mergeCell ref="E3:E4"/>
    <mergeCell ref="AH2:AI2"/>
    <mergeCell ref="F3:F4"/>
    <mergeCell ref="I3:I4"/>
    <mergeCell ref="J3:J4"/>
    <mergeCell ref="V2:V3"/>
    <mergeCell ref="W2:AG2"/>
    <mergeCell ref="AN1:BD1"/>
    <mergeCell ref="BE1:BU1"/>
    <mergeCell ref="BV1:CL1"/>
    <mergeCell ref="CM1:DC1"/>
    <mergeCell ref="DD1:DT1"/>
    <mergeCell ref="DU1:EK1"/>
    <mergeCell ref="EL1:FB1"/>
    <mergeCell ref="FC1:FS1"/>
    <mergeCell ref="AN2:AX2"/>
    <mergeCell ref="AY2:AZ2"/>
    <mergeCell ref="BA2:BD2"/>
    <mergeCell ref="BE2:BO2"/>
    <mergeCell ref="BP2:BQ2"/>
    <mergeCell ref="BR2:BU2"/>
    <mergeCell ref="BV2:CF2"/>
    <mergeCell ref="CG2:CH2"/>
    <mergeCell ref="CI2:CL2"/>
    <mergeCell ref="CM2:CW2"/>
    <mergeCell ref="CX2:CY2"/>
    <mergeCell ref="CZ2:DC2"/>
    <mergeCell ref="DD2:DN2"/>
    <mergeCell ref="DO2:DP2"/>
    <mergeCell ref="DQ2:DT2"/>
    <mergeCell ref="DU2:EE2"/>
    <mergeCell ref="EF2:EG2"/>
    <mergeCell ref="EH2:EK2"/>
    <mergeCell ref="FP2:FS2"/>
    <mergeCell ref="EL2:EV2"/>
    <mergeCell ref="EW2:EX2"/>
    <mergeCell ref="EY2:FB2"/>
    <mergeCell ref="FC2:FM2"/>
    <mergeCell ref="FN2:FO2"/>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D192"/>
  <sheetViews>
    <sheetView workbookViewId="0">
      <pane ySplit="4" topLeftCell="A5" activePane="bottomLeft" state="frozen"/>
      <selection pane="bottomLeft" activeCell="A5" sqref="A5"/>
    </sheetView>
  </sheetViews>
  <sheetFormatPr baseColWidth="10" defaultRowHeight="14.4" x14ac:dyDescent="0.3"/>
  <cols>
    <col min="1" max="1" width="6.6640625" style="10" customWidth="1"/>
    <col min="2" max="2" width="38.88671875" style="10" customWidth="1"/>
    <col min="3" max="3" width="16.109375" style="10" customWidth="1"/>
    <col min="4" max="4" width="9.33203125" style="10" customWidth="1"/>
    <col min="5" max="5" width="14.5546875" style="10" customWidth="1"/>
    <col min="6" max="6" width="11.44140625" style="10"/>
    <col min="7" max="7" width="8.44140625" style="10" customWidth="1"/>
    <col min="8" max="8" width="8.33203125" style="10" customWidth="1"/>
    <col min="9" max="9" width="6.44140625" style="10" customWidth="1"/>
    <col min="10" max="10" width="8" style="10" customWidth="1"/>
    <col min="11" max="12" width="11.44140625" style="10" customWidth="1"/>
    <col min="13" max="18" width="13.109375" style="10" customWidth="1"/>
    <col min="19" max="19" width="13.109375" style="10" hidden="1" customWidth="1"/>
    <col min="20" max="20" width="13.109375" style="10" customWidth="1"/>
    <col min="21" max="21" width="13.109375" style="10" hidden="1" customWidth="1"/>
    <col min="22" max="22" width="13.109375" style="10" customWidth="1"/>
    <col min="23" max="23" width="13.109375" style="10" hidden="1" customWidth="1"/>
    <col min="24" max="24" width="13.109375" style="10" customWidth="1"/>
    <col min="25" max="25" width="13.109375" style="10" hidden="1" customWidth="1"/>
    <col min="26" max="26" width="13.109375" style="10" customWidth="1"/>
    <col min="27" max="27" width="13.109375" style="10" hidden="1" customWidth="1"/>
    <col min="28" max="31" width="13.109375" style="10" customWidth="1"/>
    <col min="32" max="32" width="13.109375" style="10" hidden="1" customWidth="1"/>
    <col min="33" max="33" width="13.109375" style="10" customWidth="1"/>
    <col min="34" max="34" width="13.109375" style="10" hidden="1" customWidth="1"/>
    <col min="35" max="35" width="13.109375" style="10" customWidth="1"/>
    <col min="36" max="36" width="13.109375" style="10" hidden="1" customWidth="1"/>
    <col min="37" max="37" width="13.109375" style="10" customWidth="1"/>
    <col min="38" max="38" width="13.109375" style="10" hidden="1" customWidth="1"/>
    <col min="39" max="39" width="13.109375" style="10" customWidth="1"/>
    <col min="40" max="40" width="13.109375" style="10" hidden="1" customWidth="1"/>
    <col min="41" max="44" width="13.109375" style="10" customWidth="1"/>
    <col min="45" max="45" width="13.109375" style="10" hidden="1" customWidth="1"/>
    <col min="46" max="46" width="13.109375" style="10" customWidth="1"/>
    <col min="47" max="47" width="13.109375" style="10" hidden="1" customWidth="1"/>
    <col min="48" max="48" width="13.109375" style="10" customWidth="1"/>
    <col min="49" max="49" width="13.109375" style="10" hidden="1" customWidth="1"/>
    <col min="50" max="50" width="13.109375" style="10" customWidth="1"/>
    <col min="51" max="51" width="13.109375" style="10" hidden="1" customWidth="1"/>
    <col min="52" max="52" width="13.109375" style="10" customWidth="1"/>
    <col min="53" max="53" width="13.109375" style="10" hidden="1" customWidth="1"/>
    <col min="54" max="57" width="13.109375" style="10" customWidth="1"/>
    <col min="58" max="58" width="13.109375" style="10" hidden="1" customWidth="1"/>
    <col min="59" max="59" width="13.109375" style="10" customWidth="1"/>
    <col min="60" max="60" width="13.109375" style="10" hidden="1" customWidth="1"/>
    <col min="61" max="61" width="13.109375" style="10" customWidth="1"/>
    <col min="62" max="62" width="13.109375" style="10" hidden="1" customWidth="1"/>
    <col min="63" max="63" width="13.109375" style="10" customWidth="1"/>
    <col min="64" max="64" width="13.109375" style="10" hidden="1" customWidth="1"/>
    <col min="65" max="65" width="13.109375" style="10" customWidth="1"/>
    <col min="66" max="66" width="13.109375" style="10" hidden="1" customWidth="1"/>
    <col min="67" max="70" width="13.109375" style="10" customWidth="1"/>
    <col min="71" max="71" width="13.109375" style="10" hidden="1" customWidth="1"/>
    <col min="72" max="72" width="13.109375" style="10" customWidth="1"/>
    <col min="73" max="73" width="13.109375" style="10" hidden="1" customWidth="1"/>
    <col min="74" max="74" width="13.109375" style="10" customWidth="1"/>
    <col min="75" max="75" width="13.109375" style="10" hidden="1" customWidth="1"/>
    <col min="76" max="76" width="13.109375" style="10" customWidth="1"/>
    <col min="77" max="77" width="13.109375" style="10" hidden="1" customWidth="1"/>
    <col min="78" max="78" width="13.109375" style="10" customWidth="1"/>
    <col min="79" max="79" width="13.109375" style="10" hidden="1" customWidth="1"/>
    <col min="80" max="83" width="13.109375" style="10" customWidth="1"/>
    <col min="84" max="84" width="13.109375" style="10" hidden="1" customWidth="1"/>
    <col min="85" max="85" width="13.109375" style="10" customWidth="1"/>
    <col min="86" max="86" width="13.109375" style="10" hidden="1" customWidth="1"/>
    <col min="87" max="87" width="13.109375" style="10" customWidth="1"/>
    <col min="88" max="88" width="13.109375" style="10" hidden="1" customWidth="1"/>
    <col min="89" max="89" width="13.109375" style="10" customWidth="1"/>
    <col min="90" max="90" width="13.109375" style="10" hidden="1" customWidth="1"/>
    <col min="91" max="91" width="13.109375" style="10" customWidth="1"/>
    <col min="92" max="92" width="13.109375" style="10" hidden="1" customWidth="1"/>
    <col min="93" max="96" width="13.109375" style="10" customWidth="1"/>
    <col min="97" max="97" width="13.109375" style="10" hidden="1" customWidth="1"/>
    <col min="98" max="98" width="13.109375" style="10" customWidth="1"/>
    <col min="99" max="99" width="13.109375" style="10" hidden="1" customWidth="1"/>
    <col min="100" max="100" width="13.109375" style="10" customWidth="1"/>
    <col min="101" max="101" width="13.109375" style="10" hidden="1" customWidth="1"/>
    <col min="102" max="102" width="13.109375" style="10" customWidth="1"/>
    <col min="103" max="103" width="13.109375" style="10" hidden="1" customWidth="1"/>
    <col min="104" max="104" width="13.109375" style="10" customWidth="1"/>
    <col min="105" max="105" width="13.109375" style="10" hidden="1" customWidth="1"/>
    <col min="106" max="109" width="13.109375" style="10" customWidth="1"/>
    <col min="110" max="110" width="13.109375" style="10" hidden="1" customWidth="1"/>
    <col min="111" max="111" width="13.109375" style="10" customWidth="1"/>
    <col min="112" max="112" width="13.109375" style="10" hidden="1" customWidth="1"/>
    <col min="113" max="113" width="13.109375" style="10" customWidth="1"/>
    <col min="114" max="114" width="13.109375" style="10" hidden="1" customWidth="1"/>
    <col min="115" max="115" width="13.109375" style="10" customWidth="1"/>
    <col min="116" max="116" width="13.109375" style="10" hidden="1" customWidth="1"/>
    <col min="117" max="117" width="13.109375" style="10" customWidth="1"/>
    <col min="118" max="118" width="13.109375" style="10" hidden="1" customWidth="1"/>
    <col min="119" max="122" width="13.109375" style="10" customWidth="1"/>
    <col min="123" max="123" width="13.109375" style="10" hidden="1" customWidth="1"/>
    <col min="124" max="124" width="13.109375" style="10" customWidth="1"/>
    <col min="125" max="125" width="13.109375" style="10" hidden="1" customWidth="1"/>
    <col min="126" max="126" width="13.109375" style="10" customWidth="1"/>
    <col min="127" max="127" width="13.109375" style="10" hidden="1" customWidth="1"/>
    <col min="128" max="128" width="13.109375" style="10" customWidth="1"/>
    <col min="129" max="129" width="13.109375" style="10" hidden="1" customWidth="1"/>
    <col min="130" max="130" width="13.109375" style="10" customWidth="1"/>
    <col min="131" max="131" width="13.109375" style="10" hidden="1" customWidth="1"/>
    <col min="132" max="134" width="13.109375" style="10" customWidth="1"/>
  </cols>
  <sheetData>
    <row r="1" spans="1:134" ht="32.25" customHeight="1" x14ac:dyDescent="0.3">
      <c r="A1" s="1063" t="str">
        <f>Grunddaten!A1 &amp; "   " &amp; Grunddaten!A2</f>
        <v>Gemeinde A   Abwasserbeseitigungseinrichtung</v>
      </c>
      <c r="B1" s="1063"/>
      <c r="C1" s="1063"/>
      <c r="D1" s="1063"/>
      <c r="E1" s="1063"/>
      <c r="F1" s="1063"/>
      <c r="G1" s="1063"/>
      <c r="H1" s="1063"/>
      <c r="I1" s="1063"/>
      <c r="J1" s="1064"/>
      <c r="K1" s="1090" t="s">
        <v>419</v>
      </c>
      <c r="L1" s="1091"/>
      <c r="M1" s="1092" t="s">
        <v>420</v>
      </c>
      <c r="N1" s="1092"/>
      <c r="O1" s="1093"/>
      <c r="P1" s="1094"/>
      <c r="Q1" s="1094"/>
      <c r="R1" s="1087" t="str">
        <f>"Berechnungen für das Jahr "&amp;U4</f>
        <v>Berechnungen für das Jahr 2012</v>
      </c>
      <c r="S1" s="1088"/>
      <c r="T1" s="1088"/>
      <c r="U1" s="1088"/>
      <c r="V1" s="1088"/>
      <c r="W1" s="1088"/>
      <c r="X1" s="1088"/>
      <c r="Y1" s="1088"/>
      <c r="Z1" s="1088"/>
      <c r="AA1" s="1088"/>
      <c r="AB1" s="1088"/>
      <c r="AC1" s="1088"/>
      <c r="AD1" s="1089"/>
      <c r="AE1" s="1087" t="str">
        <f t="shared" ref="AE1" si="0">"Berechnungen für das Jahr "&amp;AH4</f>
        <v>Berechnungen für das Jahr 2013</v>
      </c>
      <c r="AF1" s="1088"/>
      <c r="AG1" s="1088"/>
      <c r="AH1" s="1088"/>
      <c r="AI1" s="1088"/>
      <c r="AJ1" s="1088"/>
      <c r="AK1" s="1088"/>
      <c r="AL1" s="1088"/>
      <c r="AM1" s="1088"/>
      <c r="AN1" s="1088"/>
      <c r="AO1" s="1088"/>
      <c r="AP1" s="1088"/>
      <c r="AQ1" s="1089"/>
      <c r="AR1" s="1087" t="str">
        <f t="shared" ref="AR1" si="1">"Berechnungen für das Jahr "&amp;AU4</f>
        <v>Berechnungen für das Jahr 2014</v>
      </c>
      <c r="AS1" s="1088"/>
      <c r="AT1" s="1088"/>
      <c r="AU1" s="1088"/>
      <c r="AV1" s="1088"/>
      <c r="AW1" s="1088"/>
      <c r="AX1" s="1088"/>
      <c r="AY1" s="1088"/>
      <c r="AZ1" s="1088"/>
      <c r="BA1" s="1088"/>
      <c r="BB1" s="1088"/>
      <c r="BC1" s="1088"/>
      <c r="BD1" s="1089"/>
      <c r="BE1" s="1087" t="str">
        <f t="shared" ref="BE1" si="2">"Berechnungen für das Jahr "&amp;BH4</f>
        <v>Berechnungen für das Jahr 2015</v>
      </c>
      <c r="BF1" s="1088"/>
      <c r="BG1" s="1088"/>
      <c r="BH1" s="1088"/>
      <c r="BI1" s="1088"/>
      <c r="BJ1" s="1088"/>
      <c r="BK1" s="1088"/>
      <c r="BL1" s="1088"/>
      <c r="BM1" s="1088"/>
      <c r="BN1" s="1088"/>
      <c r="BO1" s="1088"/>
      <c r="BP1" s="1088"/>
      <c r="BQ1" s="1089"/>
      <c r="BR1" s="1087" t="str">
        <f t="shared" ref="BR1" si="3">"Berechnungen für das Jahr "&amp;BU4</f>
        <v>Berechnungen für das Jahr 2016</v>
      </c>
      <c r="BS1" s="1088"/>
      <c r="BT1" s="1088"/>
      <c r="BU1" s="1088"/>
      <c r="BV1" s="1088"/>
      <c r="BW1" s="1088"/>
      <c r="BX1" s="1088"/>
      <c r="BY1" s="1088"/>
      <c r="BZ1" s="1088"/>
      <c r="CA1" s="1088"/>
      <c r="CB1" s="1088"/>
      <c r="CC1" s="1088"/>
      <c r="CD1" s="1089"/>
      <c r="CE1" s="1087" t="str">
        <f t="shared" ref="CE1" si="4">"Berechnungen für das Jahr "&amp;CH4</f>
        <v>Berechnungen für das Jahr 2017</v>
      </c>
      <c r="CF1" s="1088"/>
      <c r="CG1" s="1088"/>
      <c r="CH1" s="1088"/>
      <c r="CI1" s="1088"/>
      <c r="CJ1" s="1088"/>
      <c r="CK1" s="1088"/>
      <c r="CL1" s="1088"/>
      <c r="CM1" s="1088"/>
      <c r="CN1" s="1088"/>
      <c r="CO1" s="1088"/>
      <c r="CP1" s="1088"/>
      <c r="CQ1" s="1089"/>
      <c r="CR1" s="1087" t="str">
        <f t="shared" ref="CR1" si="5">"Berechnungen für das Jahr "&amp;CU4</f>
        <v>Berechnungen für das Jahr 2018</v>
      </c>
      <c r="CS1" s="1088"/>
      <c r="CT1" s="1088"/>
      <c r="CU1" s="1088"/>
      <c r="CV1" s="1088"/>
      <c r="CW1" s="1088"/>
      <c r="CX1" s="1088"/>
      <c r="CY1" s="1088"/>
      <c r="CZ1" s="1088"/>
      <c r="DA1" s="1088"/>
      <c r="DB1" s="1088"/>
      <c r="DC1" s="1088"/>
      <c r="DD1" s="1089"/>
      <c r="DE1" s="1087" t="str">
        <f t="shared" ref="DE1" si="6">"Berechnungen für das Jahr "&amp;DH4</f>
        <v>Berechnungen für das Jahr 2019</v>
      </c>
      <c r="DF1" s="1088"/>
      <c r="DG1" s="1088"/>
      <c r="DH1" s="1088"/>
      <c r="DI1" s="1088"/>
      <c r="DJ1" s="1088"/>
      <c r="DK1" s="1088"/>
      <c r="DL1" s="1088"/>
      <c r="DM1" s="1088"/>
      <c r="DN1" s="1088"/>
      <c r="DO1" s="1088"/>
      <c r="DP1" s="1088"/>
      <c r="DQ1" s="1089"/>
      <c r="DR1" s="1087" t="str">
        <f t="shared" ref="DR1" si="7">"Berechnungen für das Jahr "&amp;DU4</f>
        <v>Berechnungen für das Jahr 2020</v>
      </c>
      <c r="DS1" s="1088"/>
      <c r="DT1" s="1088"/>
      <c r="DU1" s="1088"/>
      <c r="DV1" s="1088"/>
      <c r="DW1" s="1088"/>
      <c r="DX1" s="1088"/>
      <c r="DY1" s="1088"/>
      <c r="DZ1" s="1088"/>
      <c r="EA1" s="1088"/>
      <c r="EB1" s="1088"/>
      <c r="EC1" s="1088"/>
      <c r="ED1" s="1089"/>
    </row>
    <row r="2" spans="1:134" ht="30" customHeight="1" x14ac:dyDescent="0.3">
      <c r="A2" s="1072" t="s">
        <v>921</v>
      </c>
      <c r="B2" s="1072"/>
      <c r="C2" s="1072"/>
      <c r="D2" s="1072"/>
      <c r="E2" s="1072"/>
      <c r="F2" s="1072"/>
      <c r="G2" s="1072"/>
      <c r="H2" s="1072"/>
      <c r="I2" s="1072"/>
      <c r="J2" s="1095"/>
      <c r="K2" s="1096" t="s">
        <v>421</v>
      </c>
      <c r="L2" s="1098" t="s">
        <v>422</v>
      </c>
      <c r="M2" s="1100" t="s">
        <v>423</v>
      </c>
      <c r="N2" s="151"/>
      <c r="O2" s="1102" t="s">
        <v>424</v>
      </c>
      <c r="P2" s="152"/>
      <c r="Q2" s="1103" t="s">
        <v>425</v>
      </c>
      <c r="R2" s="1086" t="s">
        <v>426</v>
      </c>
      <c r="S2" s="1084"/>
      <c r="T2" s="1084"/>
      <c r="U2" s="1084"/>
      <c r="V2" s="1084"/>
      <c r="W2" s="1084"/>
      <c r="X2" s="1084"/>
      <c r="Y2" s="1084"/>
      <c r="Z2" s="1084"/>
      <c r="AA2" s="1084"/>
      <c r="AB2" s="1084"/>
      <c r="AC2" s="1084" t="s">
        <v>151</v>
      </c>
      <c r="AD2" s="1085"/>
      <c r="AE2" s="1086" t="s">
        <v>426</v>
      </c>
      <c r="AF2" s="1084"/>
      <c r="AG2" s="1084"/>
      <c r="AH2" s="1084"/>
      <c r="AI2" s="1084"/>
      <c r="AJ2" s="1084"/>
      <c r="AK2" s="1084"/>
      <c r="AL2" s="1084"/>
      <c r="AM2" s="1084"/>
      <c r="AN2" s="1084"/>
      <c r="AO2" s="1084"/>
      <c r="AP2" s="1084" t="s">
        <v>151</v>
      </c>
      <c r="AQ2" s="1085"/>
      <c r="AR2" s="1086" t="s">
        <v>426</v>
      </c>
      <c r="AS2" s="1084"/>
      <c r="AT2" s="1084"/>
      <c r="AU2" s="1084"/>
      <c r="AV2" s="1084"/>
      <c r="AW2" s="1084"/>
      <c r="AX2" s="1084"/>
      <c r="AY2" s="1084"/>
      <c r="AZ2" s="1084"/>
      <c r="BA2" s="1084"/>
      <c r="BB2" s="1084"/>
      <c r="BC2" s="1084" t="s">
        <v>151</v>
      </c>
      <c r="BD2" s="1085"/>
      <c r="BE2" s="1086" t="s">
        <v>426</v>
      </c>
      <c r="BF2" s="1084"/>
      <c r="BG2" s="1084"/>
      <c r="BH2" s="1084"/>
      <c r="BI2" s="1084"/>
      <c r="BJ2" s="1084"/>
      <c r="BK2" s="1084"/>
      <c r="BL2" s="1084"/>
      <c r="BM2" s="1084"/>
      <c r="BN2" s="1084"/>
      <c r="BO2" s="1084"/>
      <c r="BP2" s="1084" t="s">
        <v>151</v>
      </c>
      <c r="BQ2" s="1085"/>
      <c r="BR2" s="1086" t="s">
        <v>426</v>
      </c>
      <c r="BS2" s="1084"/>
      <c r="BT2" s="1084"/>
      <c r="BU2" s="1084"/>
      <c r="BV2" s="1084"/>
      <c r="BW2" s="1084"/>
      <c r="BX2" s="1084"/>
      <c r="BY2" s="1084"/>
      <c r="BZ2" s="1084"/>
      <c r="CA2" s="1084"/>
      <c r="CB2" s="1084"/>
      <c r="CC2" s="1084" t="s">
        <v>151</v>
      </c>
      <c r="CD2" s="1085"/>
      <c r="CE2" s="1086" t="s">
        <v>426</v>
      </c>
      <c r="CF2" s="1084"/>
      <c r="CG2" s="1084"/>
      <c r="CH2" s="1084"/>
      <c r="CI2" s="1084"/>
      <c r="CJ2" s="1084"/>
      <c r="CK2" s="1084"/>
      <c r="CL2" s="1084"/>
      <c r="CM2" s="1084"/>
      <c r="CN2" s="1084"/>
      <c r="CO2" s="1084"/>
      <c r="CP2" s="1084" t="s">
        <v>151</v>
      </c>
      <c r="CQ2" s="1085"/>
      <c r="CR2" s="1086" t="s">
        <v>426</v>
      </c>
      <c r="CS2" s="1084"/>
      <c r="CT2" s="1084"/>
      <c r="CU2" s="1084"/>
      <c r="CV2" s="1084"/>
      <c r="CW2" s="1084"/>
      <c r="CX2" s="1084"/>
      <c r="CY2" s="1084"/>
      <c r="CZ2" s="1084"/>
      <c r="DA2" s="1084"/>
      <c r="DB2" s="1084"/>
      <c r="DC2" s="1084" t="s">
        <v>151</v>
      </c>
      <c r="DD2" s="1085"/>
      <c r="DE2" s="1086" t="s">
        <v>426</v>
      </c>
      <c r="DF2" s="1084"/>
      <c r="DG2" s="1084"/>
      <c r="DH2" s="1084"/>
      <c r="DI2" s="1084"/>
      <c r="DJ2" s="1084"/>
      <c r="DK2" s="1084"/>
      <c r="DL2" s="1084"/>
      <c r="DM2" s="1084"/>
      <c r="DN2" s="1084"/>
      <c r="DO2" s="1084"/>
      <c r="DP2" s="1084" t="s">
        <v>151</v>
      </c>
      <c r="DQ2" s="1085"/>
      <c r="DR2" s="1086" t="s">
        <v>426</v>
      </c>
      <c r="DS2" s="1084"/>
      <c r="DT2" s="1084"/>
      <c r="DU2" s="1084"/>
      <c r="DV2" s="1084"/>
      <c r="DW2" s="1084"/>
      <c r="DX2" s="1084"/>
      <c r="DY2" s="1084"/>
      <c r="DZ2" s="1084"/>
      <c r="EA2" s="1084"/>
      <c r="EB2" s="1084"/>
      <c r="EC2" s="1084" t="s">
        <v>151</v>
      </c>
      <c r="ED2" s="1085"/>
    </row>
    <row r="3" spans="1:134" ht="90" customHeight="1" x14ac:dyDescent="0.3">
      <c r="A3" s="1101" t="s">
        <v>427</v>
      </c>
      <c r="B3" s="1101" t="s">
        <v>155</v>
      </c>
      <c r="C3" s="1101" t="s">
        <v>428</v>
      </c>
      <c r="D3" s="1106" t="s">
        <v>156</v>
      </c>
      <c r="E3" s="1101" t="s">
        <v>429</v>
      </c>
      <c r="F3" s="1101" t="s">
        <v>430</v>
      </c>
      <c r="G3" s="688" t="s">
        <v>990</v>
      </c>
      <c r="H3" s="688" t="s">
        <v>991</v>
      </c>
      <c r="I3" s="1105" t="s">
        <v>431</v>
      </c>
      <c r="J3" s="1059" t="s">
        <v>989</v>
      </c>
      <c r="K3" s="1097"/>
      <c r="L3" s="1099"/>
      <c r="M3" s="998"/>
      <c r="N3" s="153" t="s">
        <v>432</v>
      </c>
      <c r="O3" s="1033"/>
      <c r="P3" s="153" t="s">
        <v>432</v>
      </c>
      <c r="Q3" s="1104"/>
      <c r="R3" s="154" t="s">
        <v>160</v>
      </c>
      <c r="S3" s="155" t="s">
        <v>433</v>
      </c>
      <c r="T3" s="155" t="s">
        <v>162</v>
      </c>
      <c r="U3" s="155" t="s">
        <v>434</v>
      </c>
      <c r="V3" s="156" t="s">
        <v>435</v>
      </c>
      <c r="W3" s="46" t="s">
        <v>436</v>
      </c>
      <c r="X3" s="155" t="s">
        <v>437</v>
      </c>
      <c r="Y3" s="155" t="s">
        <v>438</v>
      </c>
      <c r="Z3" s="155" t="s">
        <v>439</v>
      </c>
      <c r="AA3" s="155" t="s">
        <v>440</v>
      </c>
      <c r="AB3" s="155" t="s">
        <v>441</v>
      </c>
      <c r="AC3" s="155" t="s">
        <v>442</v>
      </c>
      <c r="AD3" s="157" t="s">
        <v>443</v>
      </c>
      <c r="AE3" s="154" t="s">
        <v>160</v>
      </c>
      <c r="AF3" s="660" t="s">
        <v>433</v>
      </c>
      <c r="AG3" s="660" t="s">
        <v>162</v>
      </c>
      <c r="AH3" s="660" t="s">
        <v>434</v>
      </c>
      <c r="AI3" s="661" t="s">
        <v>435</v>
      </c>
      <c r="AJ3" s="46" t="s">
        <v>436</v>
      </c>
      <c r="AK3" s="660" t="s">
        <v>437</v>
      </c>
      <c r="AL3" s="660" t="s">
        <v>438</v>
      </c>
      <c r="AM3" s="660" t="s">
        <v>439</v>
      </c>
      <c r="AN3" s="660" t="s">
        <v>440</v>
      </c>
      <c r="AO3" s="660" t="s">
        <v>441</v>
      </c>
      <c r="AP3" s="660" t="s">
        <v>442</v>
      </c>
      <c r="AQ3" s="157" t="s">
        <v>443</v>
      </c>
      <c r="AR3" s="154" t="s">
        <v>160</v>
      </c>
      <c r="AS3" s="660" t="s">
        <v>433</v>
      </c>
      <c r="AT3" s="660" t="s">
        <v>162</v>
      </c>
      <c r="AU3" s="660" t="s">
        <v>434</v>
      </c>
      <c r="AV3" s="661" t="s">
        <v>435</v>
      </c>
      <c r="AW3" s="46" t="s">
        <v>436</v>
      </c>
      <c r="AX3" s="660" t="s">
        <v>437</v>
      </c>
      <c r="AY3" s="660" t="s">
        <v>438</v>
      </c>
      <c r="AZ3" s="660" t="s">
        <v>439</v>
      </c>
      <c r="BA3" s="660" t="s">
        <v>440</v>
      </c>
      <c r="BB3" s="660" t="s">
        <v>441</v>
      </c>
      <c r="BC3" s="660" t="s">
        <v>442</v>
      </c>
      <c r="BD3" s="157" t="s">
        <v>443</v>
      </c>
      <c r="BE3" s="154" t="s">
        <v>160</v>
      </c>
      <c r="BF3" s="660" t="s">
        <v>433</v>
      </c>
      <c r="BG3" s="660" t="s">
        <v>162</v>
      </c>
      <c r="BH3" s="660" t="s">
        <v>434</v>
      </c>
      <c r="BI3" s="661" t="s">
        <v>435</v>
      </c>
      <c r="BJ3" s="46" t="s">
        <v>436</v>
      </c>
      <c r="BK3" s="660" t="s">
        <v>437</v>
      </c>
      <c r="BL3" s="660" t="s">
        <v>438</v>
      </c>
      <c r="BM3" s="660" t="s">
        <v>439</v>
      </c>
      <c r="BN3" s="660" t="s">
        <v>440</v>
      </c>
      <c r="BO3" s="660" t="s">
        <v>441</v>
      </c>
      <c r="BP3" s="660" t="s">
        <v>442</v>
      </c>
      <c r="BQ3" s="157" t="s">
        <v>443</v>
      </c>
      <c r="BR3" s="154" t="s">
        <v>160</v>
      </c>
      <c r="BS3" s="660" t="s">
        <v>433</v>
      </c>
      <c r="BT3" s="660" t="s">
        <v>162</v>
      </c>
      <c r="BU3" s="660" t="s">
        <v>434</v>
      </c>
      <c r="BV3" s="661" t="s">
        <v>435</v>
      </c>
      <c r="BW3" s="46" t="s">
        <v>436</v>
      </c>
      <c r="BX3" s="660" t="s">
        <v>437</v>
      </c>
      <c r="BY3" s="660" t="s">
        <v>438</v>
      </c>
      <c r="BZ3" s="660" t="s">
        <v>439</v>
      </c>
      <c r="CA3" s="660" t="s">
        <v>440</v>
      </c>
      <c r="CB3" s="660" t="s">
        <v>441</v>
      </c>
      <c r="CC3" s="660" t="s">
        <v>442</v>
      </c>
      <c r="CD3" s="157" t="s">
        <v>443</v>
      </c>
      <c r="CE3" s="154" t="s">
        <v>160</v>
      </c>
      <c r="CF3" s="660" t="s">
        <v>433</v>
      </c>
      <c r="CG3" s="660" t="s">
        <v>162</v>
      </c>
      <c r="CH3" s="660" t="s">
        <v>434</v>
      </c>
      <c r="CI3" s="661" t="s">
        <v>435</v>
      </c>
      <c r="CJ3" s="46" t="s">
        <v>436</v>
      </c>
      <c r="CK3" s="660" t="s">
        <v>437</v>
      </c>
      <c r="CL3" s="660" t="s">
        <v>438</v>
      </c>
      <c r="CM3" s="660" t="s">
        <v>439</v>
      </c>
      <c r="CN3" s="660" t="s">
        <v>440</v>
      </c>
      <c r="CO3" s="660" t="s">
        <v>441</v>
      </c>
      <c r="CP3" s="660" t="s">
        <v>442</v>
      </c>
      <c r="CQ3" s="157" t="s">
        <v>443</v>
      </c>
      <c r="CR3" s="154" t="s">
        <v>160</v>
      </c>
      <c r="CS3" s="660" t="s">
        <v>433</v>
      </c>
      <c r="CT3" s="660" t="s">
        <v>162</v>
      </c>
      <c r="CU3" s="660" t="s">
        <v>434</v>
      </c>
      <c r="CV3" s="661" t="s">
        <v>435</v>
      </c>
      <c r="CW3" s="46" t="s">
        <v>436</v>
      </c>
      <c r="CX3" s="660" t="s">
        <v>437</v>
      </c>
      <c r="CY3" s="660" t="s">
        <v>438</v>
      </c>
      <c r="CZ3" s="660" t="s">
        <v>439</v>
      </c>
      <c r="DA3" s="660" t="s">
        <v>440</v>
      </c>
      <c r="DB3" s="660" t="s">
        <v>441</v>
      </c>
      <c r="DC3" s="660" t="s">
        <v>442</v>
      </c>
      <c r="DD3" s="157" t="s">
        <v>443</v>
      </c>
      <c r="DE3" s="154" t="s">
        <v>160</v>
      </c>
      <c r="DF3" s="660" t="s">
        <v>433</v>
      </c>
      <c r="DG3" s="660" t="s">
        <v>162</v>
      </c>
      <c r="DH3" s="660" t="s">
        <v>434</v>
      </c>
      <c r="DI3" s="661" t="s">
        <v>435</v>
      </c>
      <c r="DJ3" s="46" t="s">
        <v>436</v>
      </c>
      <c r="DK3" s="660" t="s">
        <v>437</v>
      </c>
      <c r="DL3" s="660" t="s">
        <v>438</v>
      </c>
      <c r="DM3" s="660" t="s">
        <v>439</v>
      </c>
      <c r="DN3" s="660" t="s">
        <v>440</v>
      </c>
      <c r="DO3" s="660" t="s">
        <v>441</v>
      </c>
      <c r="DP3" s="660" t="s">
        <v>442</v>
      </c>
      <c r="DQ3" s="157" t="s">
        <v>443</v>
      </c>
      <c r="DR3" s="154" t="s">
        <v>160</v>
      </c>
      <c r="DS3" s="660" t="s">
        <v>433</v>
      </c>
      <c r="DT3" s="660" t="s">
        <v>162</v>
      </c>
      <c r="DU3" s="660" t="s">
        <v>434</v>
      </c>
      <c r="DV3" s="661" t="s">
        <v>435</v>
      </c>
      <c r="DW3" s="46" t="s">
        <v>436</v>
      </c>
      <c r="DX3" s="660" t="s">
        <v>437</v>
      </c>
      <c r="DY3" s="660" t="s">
        <v>438</v>
      </c>
      <c r="DZ3" s="660" t="s">
        <v>439</v>
      </c>
      <c r="EA3" s="660" t="s">
        <v>440</v>
      </c>
      <c r="EB3" s="660" t="s">
        <v>441</v>
      </c>
      <c r="EC3" s="660" t="s">
        <v>442</v>
      </c>
      <c r="ED3" s="157" t="s">
        <v>443</v>
      </c>
    </row>
    <row r="4" spans="1:134" x14ac:dyDescent="0.3">
      <c r="A4" s="1101"/>
      <c r="B4" s="1101"/>
      <c r="C4" s="1101"/>
      <c r="D4" s="1106"/>
      <c r="E4" s="1101"/>
      <c r="F4" s="1101"/>
      <c r="G4" s="690" t="s">
        <v>175</v>
      </c>
      <c r="H4" s="690" t="s">
        <v>176</v>
      </c>
      <c r="I4" s="1105"/>
      <c r="J4" s="1060"/>
      <c r="K4" s="1097"/>
      <c r="L4" s="1099"/>
      <c r="M4" s="158">
        <f>EOMONTH(Grunddaten!$H$6,-1)</f>
        <v>40908</v>
      </c>
      <c r="N4" s="158"/>
      <c r="O4" s="159">
        <f>M4</f>
        <v>40908</v>
      </c>
      <c r="P4" s="152"/>
      <c r="Q4" s="160">
        <f>M4</f>
        <v>40908</v>
      </c>
      <c r="R4" s="161">
        <f>X4</f>
        <v>2012</v>
      </c>
      <c r="S4" s="162">
        <f>X4</f>
        <v>2012</v>
      </c>
      <c r="T4" s="163">
        <f>X4</f>
        <v>2012</v>
      </c>
      <c r="U4" s="162">
        <f>X4</f>
        <v>2012</v>
      </c>
      <c r="V4" s="159">
        <f>Z4</f>
        <v>41274</v>
      </c>
      <c r="W4" s="159">
        <f>V4</f>
        <v>41274</v>
      </c>
      <c r="X4" s="163">
        <f>YEAR(Z4)</f>
        <v>2012</v>
      </c>
      <c r="Y4" s="162">
        <f>X4</f>
        <v>2012</v>
      </c>
      <c r="Z4" s="159">
        <f>EOMONTH(M4,12)</f>
        <v>41274</v>
      </c>
      <c r="AA4" s="159">
        <f>Z4</f>
        <v>41274</v>
      </c>
      <c r="AB4" s="159">
        <f>Z4</f>
        <v>41274</v>
      </c>
      <c r="AC4" s="48">
        <f>Z4</f>
        <v>41274</v>
      </c>
      <c r="AD4" s="164">
        <f>Z4</f>
        <v>41274</v>
      </c>
      <c r="AE4" s="161">
        <f t="shared" ref="AE4" si="8">AK4</f>
        <v>2013</v>
      </c>
      <c r="AF4" s="162">
        <f t="shared" ref="AF4" si="9">AK4</f>
        <v>2013</v>
      </c>
      <c r="AG4" s="163">
        <f t="shared" ref="AG4" si="10">AK4</f>
        <v>2013</v>
      </c>
      <c r="AH4" s="162">
        <f t="shared" ref="AH4" si="11">AK4</f>
        <v>2013</v>
      </c>
      <c r="AI4" s="159">
        <f t="shared" ref="AI4" si="12">AM4</f>
        <v>41639</v>
      </c>
      <c r="AJ4" s="159">
        <f t="shared" ref="AJ4" si="13">AI4</f>
        <v>41639</v>
      </c>
      <c r="AK4" s="163">
        <f t="shared" ref="AK4" si="14">YEAR(AM4)</f>
        <v>2013</v>
      </c>
      <c r="AL4" s="162">
        <f t="shared" ref="AL4" si="15">AK4</f>
        <v>2013</v>
      </c>
      <c r="AM4" s="159">
        <f t="shared" ref="AM4" si="16">EOMONTH(Z4,12)</f>
        <v>41639</v>
      </c>
      <c r="AN4" s="159">
        <f t="shared" ref="AN4" si="17">AM4</f>
        <v>41639</v>
      </c>
      <c r="AO4" s="159">
        <f t="shared" ref="AO4" si="18">AM4</f>
        <v>41639</v>
      </c>
      <c r="AP4" s="48">
        <f t="shared" ref="AP4" si="19">AM4</f>
        <v>41639</v>
      </c>
      <c r="AQ4" s="164">
        <f t="shared" ref="AQ4" si="20">AM4</f>
        <v>41639</v>
      </c>
      <c r="AR4" s="161">
        <f t="shared" ref="AR4" si="21">AX4</f>
        <v>2014</v>
      </c>
      <c r="AS4" s="162">
        <f t="shared" ref="AS4" si="22">AX4</f>
        <v>2014</v>
      </c>
      <c r="AT4" s="163">
        <f t="shared" ref="AT4" si="23">AX4</f>
        <v>2014</v>
      </c>
      <c r="AU4" s="162">
        <f t="shared" ref="AU4" si="24">AX4</f>
        <v>2014</v>
      </c>
      <c r="AV4" s="159">
        <f t="shared" ref="AV4" si="25">AZ4</f>
        <v>42004</v>
      </c>
      <c r="AW4" s="159">
        <f t="shared" ref="AW4" si="26">AV4</f>
        <v>42004</v>
      </c>
      <c r="AX4" s="163">
        <f t="shared" ref="AX4" si="27">YEAR(AZ4)</f>
        <v>2014</v>
      </c>
      <c r="AY4" s="162">
        <f t="shared" ref="AY4" si="28">AX4</f>
        <v>2014</v>
      </c>
      <c r="AZ4" s="159">
        <f t="shared" ref="AZ4" si="29">EOMONTH(AM4,12)</f>
        <v>42004</v>
      </c>
      <c r="BA4" s="159">
        <f t="shared" ref="BA4" si="30">AZ4</f>
        <v>42004</v>
      </c>
      <c r="BB4" s="159">
        <f t="shared" ref="BB4" si="31">AZ4</f>
        <v>42004</v>
      </c>
      <c r="BC4" s="48">
        <f t="shared" ref="BC4" si="32">AZ4</f>
        <v>42004</v>
      </c>
      <c r="BD4" s="164">
        <f t="shared" ref="BD4" si="33">AZ4</f>
        <v>42004</v>
      </c>
      <c r="BE4" s="161">
        <f t="shared" ref="BE4" si="34">BK4</f>
        <v>2015</v>
      </c>
      <c r="BF4" s="162">
        <f t="shared" ref="BF4" si="35">BK4</f>
        <v>2015</v>
      </c>
      <c r="BG4" s="163">
        <f t="shared" ref="BG4" si="36">BK4</f>
        <v>2015</v>
      </c>
      <c r="BH4" s="162">
        <f t="shared" ref="BH4" si="37">BK4</f>
        <v>2015</v>
      </c>
      <c r="BI4" s="159">
        <f t="shared" ref="BI4" si="38">BM4</f>
        <v>42369</v>
      </c>
      <c r="BJ4" s="159">
        <f t="shared" ref="BJ4" si="39">BI4</f>
        <v>42369</v>
      </c>
      <c r="BK4" s="163">
        <f t="shared" ref="BK4" si="40">YEAR(BM4)</f>
        <v>2015</v>
      </c>
      <c r="BL4" s="162">
        <f t="shared" ref="BL4" si="41">BK4</f>
        <v>2015</v>
      </c>
      <c r="BM4" s="159">
        <f t="shared" ref="BM4" si="42">EOMONTH(AZ4,12)</f>
        <v>42369</v>
      </c>
      <c r="BN4" s="159">
        <f t="shared" ref="BN4" si="43">BM4</f>
        <v>42369</v>
      </c>
      <c r="BO4" s="159">
        <f t="shared" ref="BO4" si="44">BM4</f>
        <v>42369</v>
      </c>
      <c r="BP4" s="48">
        <f t="shared" ref="BP4" si="45">BM4</f>
        <v>42369</v>
      </c>
      <c r="BQ4" s="164">
        <f t="shared" ref="BQ4" si="46">BM4</f>
        <v>42369</v>
      </c>
      <c r="BR4" s="161">
        <f t="shared" ref="BR4" si="47">BX4</f>
        <v>2016</v>
      </c>
      <c r="BS4" s="162">
        <f t="shared" ref="BS4" si="48">BX4</f>
        <v>2016</v>
      </c>
      <c r="BT4" s="163">
        <f t="shared" ref="BT4" si="49">BX4</f>
        <v>2016</v>
      </c>
      <c r="BU4" s="162">
        <f t="shared" ref="BU4" si="50">BX4</f>
        <v>2016</v>
      </c>
      <c r="BV4" s="159">
        <f t="shared" ref="BV4" si="51">BZ4</f>
        <v>42735</v>
      </c>
      <c r="BW4" s="159">
        <f t="shared" ref="BW4" si="52">BV4</f>
        <v>42735</v>
      </c>
      <c r="BX4" s="163">
        <f t="shared" ref="BX4" si="53">YEAR(BZ4)</f>
        <v>2016</v>
      </c>
      <c r="BY4" s="162">
        <f t="shared" ref="BY4" si="54">BX4</f>
        <v>2016</v>
      </c>
      <c r="BZ4" s="159">
        <f t="shared" ref="BZ4" si="55">EOMONTH(BM4,12)</f>
        <v>42735</v>
      </c>
      <c r="CA4" s="159">
        <f t="shared" ref="CA4" si="56">BZ4</f>
        <v>42735</v>
      </c>
      <c r="CB4" s="159">
        <f t="shared" ref="CB4" si="57">BZ4</f>
        <v>42735</v>
      </c>
      <c r="CC4" s="48">
        <f t="shared" ref="CC4" si="58">BZ4</f>
        <v>42735</v>
      </c>
      <c r="CD4" s="164">
        <f t="shared" ref="CD4" si="59">BZ4</f>
        <v>42735</v>
      </c>
      <c r="CE4" s="161">
        <f t="shared" ref="CE4" si="60">CK4</f>
        <v>2017</v>
      </c>
      <c r="CF4" s="162">
        <f t="shared" ref="CF4" si="61">CK4</f>
        <v>2017</v>
      </c>
      <c r="CG4" s="163">
        <f t="shared" ref="CG4" si="62">CK4</f>
        <v>2017</v>
      </c>
      <c r="CH4" s="162">
        <f t="shared" ref="CH4" si="63">CK4</f>
        <v>2017</v>
      </c>
      <c r="CI4" s="159">
        <f t="shared" ref="CI4" si="64">CM4</f>
        <v>43100</v>
      </c>
      <c r="CJ4" s="159">
        <f t="shared" ref="CJ4" si="65">CI4</f>
        <v>43100</v>
      </c>
      <c r="CK4" s="163">
        <f t="shared" ref="CK4" si="66">YEAR(CM4)</f>
        <v>2017</v>
      </c>
      <c r="CL4" s="162">
        <f t="shared" ref="CL4" si="67">CK4</f>
        <v>2017</v>
      </c>
      <c r="CM4" s="159">
        <f t="shared" ref="CM4" si="68">EOMONTH(BZ4,12)</f>
        <v>43100</v>
      </c>
      <c r="CN4" s="159">
        <f t="shared" ref="CN4" si="69">CM4</f>
        <v>43100</v>
      </c>
      <c r="CO4" s="159">
        <f t="shared" ref="CO4" si="70">CM4</f>
        <v>43100</v>
      </c>
      <c r="CP4" s="48">
        <f t="shared" ref="CP4" si="71">CM4</f>
        <v>43100</v>
      </c>
      <c r="CQ4" s="164">
        <f t="shared" ref="CQ4" si="72">CM4</f>
        <v>43100</v>
      </c>
      <c r="CR4" s="161">
        <f t="shared" ref="CR4" si="73">CX4</f>
        <v>2018</v>
      </c>
      <c r="CS4" s="162">
        <f t="shared" ref="CS4" si="74">CX4</f>
        <v>2018</v>
      </c>
      <c r="CT4" s="163">
        <f t="shared" ref="CT4" si="75">CX4</f>
        <v>2018</v>
      </c>
      <c r="CU4" s="162">
        <f t="shared" ref="CU4" si="76">CX4</f>
        <v>2018</v>
      </c>
      <c r="CV4" s="159">
        <f t="shared" ref="CV4" si="77">CZ4</f>
        <v>43465</v>
      </c>
      <c r="CW4" s="159">
        <f t="shared" ref="CW4" si="78">CV4</f>
        <v>43465</v>
      </c>
      <c r="CX4" s="163">
        <f t="shared" ref="CX4" si="79">YEAR(CZ4)</f>
        <v>2018</v>
      </c>
      <c r="CY4" s="162">
        <f t="shared" ref="CY4" si="80">CX4</f>
        <v>2018</v>
      </c>
      <c r="CZ4" s="159">
        <f t="shared" ref="CZ4" si="81">EOMONTH(CM4,12)</f>
        <v>43465</v>
      </c>
      <c r="DA4" s="159">
        <f t="shared" ref="DA4" si="82">CZ4</f>
        <v>43465</v>
      </c>
      <c r="DB4" s="159">
        <f t="shared" ref="DB4" si="83">CZ4</f>
        <v>43465</v>
      </c>
      <c r="DC4" s="48">
        <f t="shared" ref="DC4" si="84">CZ4</f>
        <v>43465</v>
      </c>
      <c r="DD4" s="164">
        <f t="shared" ref="DD4" si="85">CZ4</f>
        <v>43465</v>
      </c>
      <c r="DE4" s="161">
        <f t="shared" ref="DE4" si="86">DK4</f>
        <v>2019</v>
      </c>
      <c r="DF4" s="162">
        <f t="shared" ref="DF4" si="87">DK4</f>
        <v>2019</v>
      </c>
      <c r="DG4" s="163">
        <f t="shared" ref="DG4" si="88">DK4</f>
        <v>2019</v>
      </c>
      <c r="DH4" s="162">
        <f t="shared" ref="DH4" si="89">DK4</f>
        <v>2019</v>
      </c>
      <c r="DI4" s="159">
        <f t="shared" ref="DI4" si="90">DM4</f>
        <v>43830</v>
      </c>
      <c r="DJ4" s="159">
        <f t="shared" ref="DJ4" si="91">DI4</f>
        <v>43830</v>
      </c>
      <c r="DK4" s="163">
        <f t="shared" ref="DK4" si="92">YEAR(DM4)</f>
        <v>2019</v>
      </c>
      <c r="DL4" s="162">
        <f t="shared" ref="DL4" si="93">DK4</f>
        <v>2019</v>
      </c>
      <c r="DM4" s="159">
        <f t="shared" ref="DM4" si="94">EOMONTH(CZ4,12)</f>
        <v>43830</v>
      </c>
      <c r="DN4" s="159">
        <f t="shared" ref="DN4" si="95">DM4</f>
        <v>43830</v>
      </c>
      <c r="DO4" s="159">
        <f t="shared" ref="DO4" si="96">DM4</f>
        <v>43830</v>
      </c>
      <c r="DP4" s="48">
        <f t="shared" ref="DP4" si="97">DM4</f>
        <v>43830</v>
      </c>
      <c r="DQ4" s="164">
        <f t="shared" ref="DQ4" si="98">DM4</f>
        <v>43830</v>
      </c>
      <c r="DR4" s="161">
        <f t="shared" ref="DR4" si="99">DX4</f>
        <v>2020</v>
      </c>
      <c r="DS4" s="162">
        <f t="shared" ref="DS4" si="100">DX4</f>
        <v>2020</v>
      </c>
      <c r="DT4" s="163">
        <f t="shared" ref="DT4" si="101">DX4</f>
        <v>2020</v>
      </c>
      <c r="DU4" s="162">
        <f t="shared" ref="DU4" si="102">DX4</f>
        <v>2020</v>
      </c>
      <c r="DV4" s="159">
        <f t="shared" ref="DV4" si="103">DZ4</f>
        <v>44196</v>
      </c>
      <c r="DW4" s="159">
        <f t="shared" ref="DW4" si="104">DV4</f>
        <v>44196</v>
      </c>
      <c r="DX4" s="163">
        <f t="shared" ref="DX4" si="105">YEAR(DZ4)</f>
        <v>2020</v>
      </c>
      <c r="DY4" s="162">
        <f t="shared" ref="DY4" si="106">DX4</f>
        <v>2020</v>
      </c>
      <c r="DZ4" s="159">
        <f t="shared" ref="DZ4" si="107">EOMONTH(DM4,12)</f>
        <v>44196</v>
      </c>
      <c r="EA4" s="159">
        <f t="shared" ref="EA4" si="108">DZ4</f>
        <v>44196</v>
      </c>
      <c r="EB4" s="159">
        <f t="shared" ref="EB4" si="109">DZ4</f>
        <v>44196</v>
      </c>
      <c r="EC4" s="48">
        <f t="shared" ref="EC4" si="110">DZ4</f>
        <v>44196</v>
      </c>
      <c r="ED4" s="164">
        <f t="shared" ref="ED4" si="111">DZ4</f>
        <v>44196</v>
      </c>
    </row>
    <row r="5" spans="1:134" x14ac:dyDescent="0.3">
      <c r="A5" s="185"/>
      <c r="B5" s="186" t="s">
        <v>451</v>
      </c>
      <c r="C5" s="187"/>
      <c r="D5" s="188"/>
      <c r="E5" s="189"/>
      <c r="F5" s="190"/>
      <c r="G5" s="191"/>
      <c r="H5" s="192"/>
      <c r="I5" s="193"/>
      <c r="J5" s="194"/>
      <c r="K5" s="165">
        <f>IF(AND(G5&gt;0,G5&lt;=1,H5=0),1,IF(H5&gt;=1,1,IF(AND(H5&gt;0,H5&lt;1),H5,IF(AND(G5&gt;1,OR(H5=0,H5="")),ROUND(1/G5,4),0))))</f>
        <v>0</v>
      </c>
      <c r="L5" s="166">
        <f>IF(AND(E5&gt;0,F5&gt;0,OR(G5&gt;0,H5&gt;0)),ROUND((E5-I5)*K5,2),IF(AND(E5&lt;0,F5&gt;0,OR(G5&gt;0,H5&gt;0)),ROUND(E5*K5,2),0))</f>
        <v>0</v>
      </c>
      <c r="M5" s="167">
        <f>IF(AND(E5-O5&gt;=0,F5&gt;0,YEAR(M$4)&gt;=YEAR(F5)),E5-O5,IF(AND(E5-O5&lt;0,F5&gt;0,YEAR(M$4)&gt;=YEAR(F5)),E5-O5,0))</f>
        <v>0</v>
      </c>
      <c r="N5" s="167"/>
      <c r="O5" s="167">
        <f>IF(AND(YEAR(F5)&lt;=YEAR(M$4),E5&lt;1000,E5&gt;-1000,F5&gt;0,K5=1),E5-I5,IF(AND(YEAR(F5)&lt;=YEAR(M$4),E5&gt;0,F5&gt;0,K5&gt;0,E5&gt;L5*(YEAR(M$4)-YEAR(F5))+ROUND((L5/12)*(13-MONTH(F5)),2)+I5),L5*(YEAR(M$4)-YEAR(F5))+ROUND((L5/12)*(13-MONTH(F5)),2),IF(AND(YEAR(F5)&lt;=YEAR(M$4),E5&gt;0,F5&gt;0,K5&gt;0,E5&lt;=(L5*(YEAR(M$4)-YEAR(F5)+ROUND((L5/12)*(13-MONTH(F5)),2)))+I5),E5-I5,IF(AND(YEAR(F5)&lt;=YEAR(M$4),E5&lt;0,F5&gt;0,K5&gt;0,E5&lt;L5*(YEAR(M$4)-YEAR(F5))+ROUND((L5/12)*(13-MONTH(F5)),2)+I5),L5*(YEAR(M$4)-YEAR(F5))+ROUND((L5/12)*(13-MONTH(F5)),2),IF(AND(YEAR(F5)&lt;=YEAR(M$4),E5&lt;0,F5&gt;0,K5&gt;0,E5&lt;=(L5*(YEAR(M$4)-YEAR(F5)+ROUND((L5/12)*(13-MONTH(F5)),2)))),E5,0)))))</f>
        <v>0</v>
      </c>
      <c r="P5" s="168"/>
      <c r="Q5" s="167">
        <f>IF(AND($F5&gt;0,$F5&lt;=O$4),$E5,0)</f>
        <v>0</v>
      </c>
      <c r="R5" s="169">
        <f>IF(YEAR($F5)=R$4,$E5,0)</f>
        <v>0</v>
      </c>
      <c r="S5" s="167">
        <f>IF($J5&lt;&gt;"H",R5,0)</f>
        <v>0</v>
      </c>
      <c r="T5" s="167">
        <f>IF(R5&lt;&gt;0,ROUND(R5*(DAYS360($F5,Z$4)/DAYS360(M$4,Z$4)),2),0)</f>
        <v>0</v>
      </c>
      <c r="U5" s="167">
        <f>IF($J5&lt;&gt;"H",T5,0)</f>
        <v>0</v>
      </c>
      <c r="V5" s="167">
        <f>IF(AND($F5&gt;0,$F5&lt;=Z$4),$E5,0)</f>
        <v>0</v>
      </c>
      <c r="W5" s="167">
        <f>IF(X5&lt;&gt;0,ROUND(X5/$L5*V5,2),0)</f>
        <v>0</v>
      </c>
      <c r="X5" s="167">
        <f>IF(AND(YEAR($F5)=YEAR(Z$4),$E5&lt;1000,$E5&gt;-1000,$F5&gt;0,$K5=1),$E5-$I5,IF(AND(YEAR($F5)=YEAR(Z$4),$F5&gt;0,$K5&gt;0),ROUND(($L5/12)*(13-MONTH($F5)),2),IF(AND(YEAR($F5)&lt;YEAR(Z$4),$E5&gt;0,$F5&gt;0,$K5&gt;0,M5&gt;$L5+$I5),$L5,IF(AND(YEAR($F5)&lt;YEAR(Z$4),$E5&gt;0,$F5&gt;0,$K5&gt;0,M5&gt;0,M5&lt;=$L5+$I5),M5-$I5,IF(AND(YEAR($F5)&lt;YEAR(Z$4),$E5&lt;0,$F5&gt;0,$K5&gt;0,M5&lt;0,M5&lt;=$L5),$L5,IF(AND(YEAR($F5)&lt;YEAR(Z$4),$E5&lt;0,$F5&gt;0,$K5&gt;0,M5&lt;0,M5&gt;$L5),M5,0))))))</f>
        <v>0</v>
      </c>
      <c r="Y5" s="167">
        <f>IF($J5&lt;&gt;"H",X5,0)</f>
        <v>0</v>
      </c>
      <c r="Z5" s="167">
        <f>IF(AND(YEAR(Z$4)=YEAR($F5),$E5&gt;0,$F5&gt;0,$E5-X5&gt;=0),$E5-X5,IF(AND(YEAR(Z$4)&gt;YEAR($F5),$E5&gt;0,$F5&gt;0,M5-X5&gt;=0),M5-X5,IF(AND(YEAR(Z$4)=YEAR($F5),$E5&lt;0,$F5&gt;0,$E5-X5&lt;0),$E5-X5,IF(AND(YEAR(Z$4)&gt;YEAR($F5),$E5&lt;0,$F5&gt;0,M5-X5&lt;=0),M5-X5,0))))</f>
        <v>0</v>
      </c>
      <c r="AA5" s="167">
        <f>IF($J5&lt;&gt;"H",Z5,0)</f>
        <v>0</v>
      </c>
      <c r="AB5" s="170">
        <f>O5+X5</f>
        <v>0</v>
      </c>
      <c r="AC5" s="167">
        <f>IF(AND(R5&lt;&gt;0,$J5="H",$L5=0),T5,IF(AND(YEAR(Z$4)&gt;YEAR($F5),$J5="H",$F5&gt;0,$L5=0),$E5,0))</f>
        <v>0</v>
      </c>
      <c r="AD5" s="171">
        <f>IF(AND(YEAR(Z$4)&gt;=YEAR($F5),$E5&gt;0,$F5&gt;0,X5&gt;0,$J5="H"),ROUND(X5/$L5*$E5,2),IF(AND(YEAR(Z$4)&gt;=YEAR($F5),$E5&lt;0,$F5&gt;0,X5&lt;0,$J5="H"),ROUND(X5/$L5*$E5,2),0))</f>
        <v>0</v>
      </c>
      <c r="AE5" s="169">
        <f t="shared" ref="AE5:BE20" si="112">IF(YEAR($F5)=AE$4,$E5,0)</f>
        <v>0</v>
      </c>
      <c r="AF5" s="167">
        <f t="shared" ref="AF5:AF20" si="113">IF($J5&lt;&gt;"H",AE5,0)</f>
        <v>0</v>
      </c>
      <c r="AG5" s="167">
        <f t="shared" ref="AG5:AG68" si="114">IF(AE5&lt;&gt;0,ROUND(AE5*(DAYS360($F5,AM$4)/DAYS360(Z$4,AM$4)),2),0)</f>
        <v>0</v>
      </c>
      <c r="AH5" s="167">
        <f t="shared" ref="AH5:AH20" si="115">IF($J5&lt;&gt;"H",AG5,0)</f>
        <v>0</v>
      </c>
      <c r="AI5" s="167">
        <f t="shared" ref="AI5:AI68" si="116">IF(AND($F5&gt;0,$F5&lt;=AM$4),$E5,0)</f>
        <v>0</v>
      </c>
      <c r="AJ5" s="167">
        <f t="shared" ref="AJ5:AJ20" si="117">IF(AK5&lt;&gt;0,ROUND(AK5/$L5*AI5,2),0)</f>
        <v>0</v>
      </c>
      <c r="AK5" s="167">
        <f t="shared" ref="AK5:AK68" si="118">IF(AND(YEAR($F5)=YEAR(AM$4),$E5&lt;1000,$E5&gt;-1000,$F5&gt;0,$K5=1),$E5-$I5,IF(AND(YEAR($F5)=YEAR(AM$4),$F5&gt;0,$K5&gt;0),ROUND(($L5/12)*(13-MONTH($F5)),2),IF(AND(YEAR($F5)&lt;YEAR(AM$4),$E5&gt;0,$F5&gt;0,$K5&gt;0,Z5&gt;$L5+$I5),$L5,IF(AND(YEAR($F5)&lt;YEAR(AM$4),$E5&gt;0,$F5&gt;0,$K5&gt;0,Z5&gt;0,Z5&lt;=$L5+$I5),Z5-$I5,IF(AND(YEAR($F5)&lt;YEAR(AM$4),$E5&lt;0,$F5&gt;0,$K5&gt;0,Z5&lt;0,Z5&lt;=$L5),$L5,IF(AND(YEAR($F5)&lt;YEAR(AM$4),$E5&lt;0,$F5&gt;0,$K5&gt;0,Z5&lt;0,Z5&gt;$L5),Z5,0))))))</f>
        <v>0</v>
      </c>
      <c r="AL5" s="167">
        <f t="shared" ref="AL5:AL20" si="119">IF($J5&lt;&gt;"H",AK5,0)</f>
        <v>0</v>
      </c>
      <c r="AM5" s="167">
        <f t="shared" ref="AM5:AM68" si="120">IF(AND(YEAR(AM$4)=YEAR($F5),$E5&gt;0,$F5&gt;0,$E5-AK5&gt;=0),$E5-AK5,IF(AND(YEAR(AM$4)&gt;YEAR($F5),$E5&gt;0,$F5&gt;0,Z5-AK5&gt;=0),Z5-AK5,IF(AND(YEAR(AM$4)=YEAR($F5),$E5&lt;0,$F5&gt;0,$E5-AK5&lt;0),$E5-AK5,IF(AND(YEAR(AM$4)&gt;YEAR($F5),$E5&lt;0,$F5&gt;0,Z5-AK5&lt;=0),Z5-AK5,0))))</f>
        <v>0</v>
      </c>
      <c r="AN5" s="167">
        <f t="shared" ref="AN5:AN20" si="121">IF($J5&lt;&gt;"H",AM5,0)</f>
        <v>0</v>
      </c>
      <c r="AO5" s="170">
        <f t="shared" ref="AO5:AO68" si="122">AB5+AK5</f>
        <v>0</v>
      </c>
      <c r="AP5" s="167">
        <f t="shared" ref="AP5:AP68" si="123">IF(AND(AE5&lt;&gt;0,$J5="H",$L5=0),AG5,IF(AND(YEAR(AM$4)&gt;YEAR($F5),$J5="H",$F5&gt;0,$L5=0),$E5,0))</f>
        <v>0</v>
      </c>
      <c r="AQ5" s="171">
        <f t="shared" ref="AQ5:AQ68" si="124">IF(AND(YEAR(AM$4)&gt;=YEAR($F5),$E5&gt;0,$F5&gt;0,AK5&gt;0,$J5="H"),ROUND(AK5/$L5*$E5,2),IF(AND(YEAR(AM$4)&gt;=YEAR($F5),$E5&lt;0,$F5&gt;0,AK5&lt;0,$J5="H"),ROUND(AK5/$L5*$E5,2),0))</f>
        <v>0</v>
      </c>
      <c r="AR5" s="169">
        <f t="shared" ref="AR5" si="125">IF(YEAR($F5)=AR$4,$E5,0)</f>
        <v>0</v>
      </c>
      <c r="AS5" s="167">
        <f t="shared" ref="AS5:AS20" si="126">IF($J5&lt;&gt;"H",AR5,0)</f>
        <v>0</v>
      </c>
      <c r="AT5" s="167">
        <f t="shared" ref="AT5:AT68" si="127">IF(AR5&lt;&gt;0,ROUND(AR5*(DAYS360($F5,AZ$4)/DAYS360(AM$4,AZ$4)),2),0)</f>
        <v>0</v>
      </c>
      <c r="AU5" s="167">
        <f t="shared" ref="AU5:AU20" si="128">IF($J5&lt;&gt;"H",AT5,0)</f>
        <v>0</v>
      </c>
      <c r="AV5" s="167">
        <f t="shared" ref="AV5:AV68" si="129">IF(AND($F5&gt;0,$F5&lt;=AZ$4),$E5,0)</f>
        <v>0</v>
      </c>
      <c r="AW5" s="167">
        <f t="shared" ref="AW5:AW20" si="130">IF(AX5&lt;&gt;0,ROUND(AX5/$L5*AV5,2),0)</f>
        <v>0</v>
      </c>
      <c r="AX5" s="167">
        <f t="shared" ref="AX5:AX68" si="131">IF(AND(YEAR($F5)=YEAR(AZ$4),$E5&lt;1000,$E5&gt;-1000,$F5&gt;0,$K5=1),$E5-$I5,IF(AND(YEAR($F5)=YEAR(AZ$4),$F5&gt;0,$K5&gt;0),ROUND(($L5/12)*(13-MONTH($F5)),2),IF(AND(YEAR($F5)&lt;YEAR(AZ$4),$E5&gt;0,$F5&gt;0,$K5&gt;0,AM5&gt;$L5+$I5),$L5,IF(AND(YEAR($F5)&lt;YEAR(AZ$4),$E5&gt;0,$F5&gt;0,$K5&gt;0,AM5&gt;0,AM5&lt;=$L5+$I5),AM5-$I5,IF(AND(YEAR($F5)&lt;YEAR(AZ$4),$E5&lt;0,$F5&gt;0,$K5&gt;0,AM5&lt;0,AM5&lt;=$L5),$L5,IF(AND(YEAR($F5)&lt;YEAR(AZ$4),$E5&lt;0,$F5&gt;0,$K5&gt;0,AM5&lt;0,AM5&gt;$L5),AM5,0))))))</f>
        <v>0</v>
      </c>
      <c r="AY5" s="167">
        <f t="shared" ref="AY5:AY20" si="132">IF($J5&lt;&gt;"H",AX5,0)</f>
        <v>0</v>
      </c>
      <c r="AZ5" s="167">
        <f t="shared" ref="AZ5:AZ68" si="133">IF(AND(YEAR(AZ$4)=YEAR($F5),$E5&gt;0,$F5&gt;0,$E5-AX5&gt;=0),$E5-AX5,IF(AND(YEAR(AZ$4)&gt;YEAR($F5),$E5&gt;0,$F5&gt;0,AM5-AX5&gt;=0),AM5-AX5,IF(AND(YEAR(AZ$4)=YEAR($F5),$E5&lt;0,$F5&gt;0,$E5-AX5&lt;0),$E5-AX5,IF(AND(YEAR(AZ$4)&gt;YEAR($F5),$E5&lt;0,$F5&gt;0,AM5-AX5&lt;=0),AM5-AX5,0))))</f>
        <v>0</v>
      </c>
      <c r="BA5" s="167">
        <f t="shared" ref="BA5:BA20" si="134">IF($J5&lt;&gt;"H",AZ5,0)</f>
        <v>0</v>
      </c>
      <c r="BB5" s="170">
        <f t="shared" ref="BB5:BB68" si="135">AO5+AX5</f>
        <v>0</v>
      </c>
      <c r="BC5" s="167">
        <f t="shared" ref="BC5:BC68" si="136">IF(AND(AR5&lt;&gt;0,$J5="H",$L5=0),AT5,IF(AND(YEAR(AZ$4)&gt;YEAR($F5),$J5="H",$F5&gt;0,$L5=0),$E5,0))</f>
        <v>0</v>
      </c>
      <c r="BD5" s="171">
        <f t="shared" ref="BD5:BD68" si="137">IF(AND(YEAR(AZ$4)&gt;=YEAR($F5),$E5&gt;0,$F5&gt;0,AX5&gt;0,$J5="H"),ROUND(AX5/$L5*$E5,2),IF(AND(YEAR(AZ$4)&gt;=YEAR($F5),$E5&lt;0,$F5&gt;0,AX5&lt;0,$J5="H"),ROUND(AX5/$L5*$E5,2),0))</f>
        <v>0</v>
      </c>
      <c r="BE5" s="169">
        <f t="shared" ref="BE5" si="138">IF(YEAR($F5)=BE$4,$E5,0)</f>
        <v>0</v>
      </c>
      <c r="BF5" s="167">
        <f t="shared" ref="BF5:BF20" si="139">IF($J5&lt;&gt;"H",BE5,0)</f>
        <v>0</v>
      </c>
      <c r="BG5" s="167">
        <f t="shared" ref="BG5:BG68" si="140">IF(BE5&lt;&gt;0,ROUND(BE5*(DAYS360($F5,BM$4)/DAYS360(AZ$4,BM$4)),2),0)</f>
        <v>0</v>
      </c>
      <c r="BH5" s="167">
        <f t="shared" ref="BH5:BH20" si="141">IF($J5&lt;&gt;"H",BG5,0)</f>
        <v>0</v>
      </c>
      <c r="BI5" s="167">
        <f t="shared" ref="BI5:BI68" si="142">IF(AND($F5&gt;0,$F5&lt;=BM$4),$E5,0)</f>
        <v>0</v>
      </c>
      <c r="BJ5" s="167">
        <f t="shared" ref="BJ5:BJ20" si="143">IF(BK5&lt;&gt;0,ROUND(BK5/$L5*BI5,2),0)</f>
        <v>0</v>
      </c>
      <c r="BK5" s="167">
        <f t="shared" ref="BK5:BK68" si="144">IF(AND(YEAR($F5)=YEAR(BM$4),$E5&lt;1000,$E5&gt;-1000,$F5&gt;0,$K5=1),$E5-$I5,IF(AND(YEAR($F5)=YEAR(BM$4),$F5&gt;0,$K5&gt;0),ROUND(($L5/12)*(13-MONTH($F5)),2),IF(AND(YEAR($F5)&lt;YEAR(BM$4),$E5&gt;0,$F5&gt;0,$K5&gt;0,AZ5&gt;$L5+$I5),$L5,IF(AND(YEAR($F5)&lt;YEAR(BM$4),$E5&gt;0,$F5&gt;0,$K5&gt;0,AZ5&gt;0,AZ5&lt;=$L5+$I5),AZ5-$I5,IF(AND(YEAR($F5)&lt;YEAR(BM$4),$E5&lt;0,$F5&gt;0,$K5&gt;0,AZ5&lt;0,AZ5&lt;=$L5),$L5,IF(AND(YEAR($F5)&lt;YEAR(BM$4),$E5&lt;0,$F5&gt;0,$K5&gt;0,AZ5&lt;0,AZ5&gt;$L5),AZ5,0))))))</f>
        <v>0</v>
      </c>
      <c r="BL5" s="167">
        <f t="shared" ref="BL5:BL20" si="145">IF($J5&lt;&gt;"H",BK5,0)</f>
        <v>0</v>
      </c>
      <c r="BM5" s="167">
        <f t="shared" ref="BM5:BM68" si="146">IF(AND(YEAR(BM$4)=YEAR($F5),$E5&gt;0,$F5&gt;0,$E5-BK5&gt;=0),$E5-BK5,IF(AND(YEAR(BM$4)&gt;YEAR($F5),$E5&gt;0,$F5&gt;0,AZ5-BK5&gt;=0),AZ5-BK5,IF(AND(YEAR(BM$4)=YEAR($F5),$E5&lt;0,$F5&gt;0,$E5-BK5&lt;0),$E5-BK5,IF(AND(YEAR(BM$4)&gt;YEAR($F5),$E5&lt;0,$F5&gt;0,AZ5-BK5&lt;=0),AZ5-BK5,0))))</f>
        <v>0</v>
      </c>
      <c r="BN5" s="167">
        <f t="shared" ref="BN5:BN20" si="147">IF($J5&lt;&gt;"H",BM5,0)</f>
        <v>0</v>
      </c>
      <c r="BO5" s="170">
        <f t="shared" ref="BO5:BO68" si="148">BB5+BK5</f>
        <v>0</v>
      </c>
      <c r="BP5" s="167">
        <f t="shared" ref="BP5:BP68" si="149">IF(AND(BE5&lt;&gt;0,$J5="H",$L5=0),BG5,IF(AND(YEAR(BM$4)&gt;YEAR($F5),$J5="H",$F5&gt;0,$L5=0),$E5,0))</f>
        <v>0</v>
      </c>
      <c r="BQ5" s="171">
        <f t="shared" ref="BQ5:BQ68" si="150">IF(AND(YEAR(BM$4)&gt;=YEAR($F5),$E5&gt;0,$F5&gt;0,BK5&gt;0,$J5="H"),ROUND(BK5/$L5*$E5,2),IF(AND(YEAR(BM$4)&gt;=YEAR($F5),$E5&lt;0,$F5&gt;0,BK5&lt;0,$J5="H"),ROUND(BK5/$L5*$E5,2),0))</f>
        <v>0</v>
      </c>
      <c r="BR5" s="169">
        <f t="shared" ref="BR5:CR20" si="151">IF(YEAR($F5)=BR$4,$E5,0)</f>
        <v>0</v>
      </c>
      <c r="BS5" s="167">
        <f t="shared" ref="BS5:BS20" si="152">IF($J5&lt;&gt;"H",BR5,0)</f>
        <v>0</v>
      </c>
      <c r="BT5" s="167">
        <f t="shared" ref="BT5:BT68" si="153">IF(BR5&lt;&gt;0,ROUND(BR5*(DAYS360($F5,BZ$4)/DAYS360(BM$4,BZ$4)),2),0)</f>
        <v>0</v>
      </c>
      <c r="BU5" s="167">
        <f t="shared" ref="BU5:BU20" si="154">IF($J5&lt;&gt;"H",BT5,0)</f>
        <v>0</v>
      </c>
      <c r="BV5" s="167">
        <f t="shared" ref="BV5:BV68" si="155">IF(AND($F5&gt;0,$F5&lt;=BZ$4),$E5,0)</f>
        <v>0</v>
      </c>
      <c r="BW5" s="167">
        <f t="shared" ref="BW5:BW20" si="156">IF(BX5&lt;&gt;0,ROUND(BX5/$L5*BV5,2),0)</f>
        <v>0</v>
      </c>
      <c r="BX5" s="167">
        <f t="shared" ref="BX5:BX68" si="157">IF(AND(YEAR($F5)=YEAR(BZ$4),$E5&lt;1000,$E5&gt;-1000,$F5&gt;0,$K5=1),$E5-$I5,IF(AND(YEAR($F5)=YEAR(BZ$4),$F5&gt;0,$K5&gt;0),ROUND(($L5/12)*(13-MONTH($F5)),2),IF(AND(YEAR($F5)&lt;YEAR(BZ$4),$E5&gt;0,$F5&gt;0,$K5&gt;0,BM5&gt;$L5+$I5),$L5,IF(AND(YEAR($F5)&lt;YEAR(BZ$4),$E5&gt;0,$F5&gt;0,$K5&gt;0,BM5&gt;0,BM5&lt;=$L5+$I5),BM5-$I5,IF(AND(YEAR($F5)&lt;YEAR(BZ$4),$E5&lt;0,$F5&gt;0,$K5&gt;0,BM5&lt;0,BM5&lt;=$L5),$L5,IF(AND(YEAR($F5)&lt;YEAR(BZ$4),$E5&lt;0,$F5&gt;0,$K5&gt;0,BM5&lt;0,BM5&gt;$L5),BM5,0))))))</f>
        <v>0</v>
      </c>
      <c r="BY5" s="167">
        <f t="shared" ref="BY5:BY20" si="158">IF($J5&lt;&gt;"H",BX5,0)</f>
        <v>0</v>
      </c>
      <c r="BZ5" s="167">
        <f t="shared" ref="BZ5:BZ68" si="159">IF(AND(YEAR(BZ$4)=YEAR($F5),$E5&gt;0,$F5&gt;0,$E5-BX5&gt;=0),$E5-BX5,IF(AND(YEAR(BZ$4)&gt;YEAR($F5),$E5&gt;0,$F5&gt;0,BM5-BX5&gt;=0),BM5-BX5,IF(AND(YEAR(BZ$4)=YEAR($F5),$E5&lt;0,$F5&gt;0,$E5-BX5&lt;0),$E5-BX5,IF(AND(YEAR(BZ$4)&gt;YEAR($F5),$E5&lt;0,$F5&gt;0,BM5-BX5&lt;=0),BM5-BX5,0))))</f>
        <v>0</v>
      </c>
      <c r="CA5" s="167">
        <f t="shared" ref="CA5:CA20" si="160">IF($J5&lt;&gt;"H",BZ5,0)</f>
        <v>0</v>
      </c>
      <c r="CB5" s="170">
        <f t="shared" ref="CB5:CB68" si="161">BO5+BX5</f>
        <v>0</v>
      </c>
      <c r="CC5" s="167">
        <f t="shared" ref="CC5:CC68" si="162">IF(AND(BR5&lt;&gt;0,$J5="H",$L5=0),BT5,IF(AND(YEAR(BZ$4)&gt;YEAR($F5),$J5="H",$F5&gt;0,$L5=0),$E5,0))</f>
        <v>0</v>
      </c>
      <c r="CD5" s="171">
        <f t="shared" ref="CD5:CD68" si="163">IF(AND(YEAR(BZ$4)&gt;=YEAR($F5),$E5&gt;0,$F5&gt;0,BX5&gt;0,$J5="H"),ROUND(BX5/$L5*$E5,2),IF(AND(YEAR(BZ$4)&gt;=YEAR($F5),$E5&lt;0,$F5&gt;0,BX5&lt;0,$J5="H"),ROUND(BX5/$L5*$E5,2),0))</f>
        <v>0</v>
      </c>
      <c r="CE5" s="169">
        <f t="shared" ref="CE5" si="164">IF(YEAR($F5)=CE$4,$E5,0)</f>
        <v>0</v>
      </c>
      <c r="CF5" s="167">
        <f t="shared" ref="CF5:CF20" si="165">IF($J5&lt;&gt;"H",CE5,0)</f>
        <v>0</v>
      </c>
      <c r="CG5" s="167">
        <f t="shared" ref="CG5:CG68" si="166">IF(CE5&lt;&gt;0,ROUND(CE5*(DAYS360($F5,CM$4)/DAYS360(BZ$4,CM$4)),2),0)</f>
        <v>0</v>
      </c>
      <c r="CH5" s="167">
        <f t="shared" ref="CH5:CH20" si="167">IF($J5&lt;&gt;"H",CG5,0)</f>
        <v>0</v>
      </c>
      <c r="CI5" s="167">
        <f t="shared" ref="CI5:CI68" si="168">IF(AND($F5&gt;0,$F5&lt;=CM$4),$E5,0)</f>
        <v>0</v>
      </c>
      <c r="CJ5" s="167">
        <f t="shared" ref="CJ5:CJ20" si="169">IF(CK5&lt;&gt;0,ROUND(CK5/$L5*CI5,2),0)</f>
        <v>0</v>
      </c>
      <c r="CK5" s="167">
        <f t="shared" ref="CK5:CK68" si="170">IF(AND(YEAR($F5)=YEAR(CM$4),$E5&lt;1000,$E5&gt;-1000,$F5&gt;0,$K5=1),$E5-$I5,IF(AND(YEAR($F5)=YEAR(CM$4),$F5&gt;0,$K5&gt;0),ROUND(($L5/12)*(13-MONTH($F5)),2),IF(AND(YEAR($F5)&lt;YEAR(CM$4),$E5&gt;0,$F5&gt;0,$K5&gt;0,BZ5&gt;$L5+$I5),$L5,IF(AND(YEAR($F5)&lt;YEAR(CM$4),$E5&gt;0,$F5&gt;0,$K5&gt;0,BZ5&gt;0,BZ5&lt;=$L5+$I5),BZ5-$I5,IF(AND(YEAR($F5)&lt;YEAR(CM$4),$E5&lt;0,$F5&gt;0,$K5&gt;0,BZ5&lt;0,BZ5&lt;=$L5),$L5,IF(AND(YEAR($F5)&lt;YEAR(CM$4),$E5&lt;0,$F5&gt;0,$K5&gt;0,BZ5&lt;0,BZ5&gt;$L5),BZ5,0))))))</f>
        <v>0</v>
      </c>
      <c r="CL5" s="167">
        <f t="shared" ref="CL5:CL20" si="171">IF($J5&lt;&gt;"H",CK5,0)</f>
        <v>0</v>
      </c>
      <c r="CM5" s="167">
        <f t="shared" ref="CM5:CM68" si="172">IF(AND(YEAR(CM$4)=YEAR($F5),$E5&gt;0,$F5&gt;0,$E5-CK5&gt;=0),$E5-CK5,IF(AND(YEAR(CM$4)&gt;YEAR($F5),$E5&gt;0,$F5&gt;0,BZ5-CK5&gt;=0),BZ5-CK5,IF(AND(YEAR(CM$4)=YEAR($F5),$E5&lt;0,$F5&gt;0,$E5-CK5&lt;0),$E5-CK5,IF(AND(YEAR(CM$4)&gt;YEAR($F5),$E5&lt;0,$F5&gt;0,BZ5-CK5&lt;=0),BZ5-CK5,0))))</f>
        <v>0</v>
      </c>
      <c r="CN5" s="167">
        <f t="shared" ref="CN5:CN20" si="173">IF($J5&lt;&gt;"H",CM5,0)</f>
        <v>0</v>
      </c>
      <c r="CO5" s="170">
        <f t="shared" ref="CO5:CO68" si="174">CB5+CK5</f>
        <v>0</v>
      </c>
      <c r="CP5" s="167">
        <f t="shared" ref="CP5:CP68" si="175">IF(AND(CE5&lt;&gt;0,$J5="H",$L5=0),CG5,IF(AND(YEAR(CM$4)&gt;YEAR($F5),$J5="H",$F5&gt;0,$L5=0),$E5,0))</f>
        <v>0</v>
      </c>
      <c r="CQ5" s="171">
        <f t="shared" ref="CQ5:CQ68" si="176">IF(AND(YEAR(CM$4)&gt;=YEAR($F5),$E5&gt;0,$F5&gt;0,CK5&gt;0,$J5="H"),ROUND(CK5/$L5*$E5,2),IF(AND(YEAR(CM$4)&gt;=YEAR($F5),$E5&lt;0,$F5&gt;0,CK5&lt;0,$J5="H"),ROUND(CK5/$L5*$E5,2),0))</f>
        <v>0</v>
      </c>
      <c r="CR5" s="169">
        <f t="shared" ref="CR5" si="177">IF(YEAR($F5)=CR$4,$E5,0)</f>
        <v>0</v>
      </c>
      <c r="CS5" s="167">
        <f t="shared" ref="CS5:CS20" si="178">IF($J5&lt;&gt;"H",CR5,0)</f>
        <v>0</v>
      </c>
      <c r="CT5" s="167">
        <f t="shared" ref="CT5:CT68" si="179">IF(CR5&lt;&gt;0,ROUND(CR5*(DAYS360($F5,CZ$4)/DAYS360(CM$4,CZ$4)),2),0)</f>
        <v>0</v>
      </c>
      <c r="CU5" s="167">
        <f t="shared" ref="CU5:CU20" si="180">IF($J5&lt;&gt;"H",CT5,0)</f>
        <v>0</v>
      </c>
      <c r="CV5" s="167">
        <f t="shared" ref="CV5:CV68" si="181">IF(AND($F5&gt;0,$F5&lt;=CZ$4),$E5,0)</f>
        <v>0</v>
      </c>
      <c r="CW5" s="167">
        <f t="shared" ref="CW5:CW20" si="182">IF(CX5&lt;&gt;0,ROUND(CX5/$L5*CV5,2),0)</f>
        <v>0</v>
      </c>
      <c r="CX5" s="167">
        <f t="shared" ref="CX5:CX68" si="183">IF(AND(YEAR($F5)=YEAR(CZ$4),$E5&lt;1000,$E5&gt;-1000,$F5&gt;0,$K5=1),$E5-$I5,IF(AND(YEAR($F5)=YEAR(CZ$4),$F5&gt;0,$K5&gt;0),ROUND(($L5/12)*(13-MONTH($F5)),2),IF(AND(YEAR($F5)&lt;YEAR(CZ$4),$E5&gt;0,$F5&gt;0,$K5&gt;0,CM5&gt;$L5+$I5),$L5,IF(AND(YEAR($F5)&lt;YEAR(CZ$4),$E5&gt;0,$F5&gt;0,$K5&gt;0,CM5&gt;0,CM5&lt;=$L5+$I5),CM5-$I5,IF(AND(YEAR($F5)&lt;YEAR(CZ$4),$E5&lt;0,$F5&gt;0,$K5&gt;0,CM5&lt;0,CM5&lt;=$L5),$L5,IF(AND(YEAR($F5)&lt;YEAR(CZ$4),$E5&lt;0,$F5&gt;0,$K5&gt;0,CM5&lt;0,CM5&gt;$L5),CM5,0))))))</f>
        <v>0</v>
      </c>
      <c r="CY5" s="167">
        <f t="shared" ref="CY5:CY20" si="184">IF($J5&lt;&gt;"H",CX5,0)</f>
        <v>0</v>
      </c>
      <c r="CZ5" s="167">
        <f t="shared" ref="CZ5:CZ68" si="185">IF(AND(YEAR(CZ$4)=YEAR($F5),$E5&gt;0,$F5&gt;0,$E5-CX5&gt;=0),$E5-CX5,IF(AND(YEAR(CZ$4)&gt;YEAR($F5),$E5&gt;0,$F5&gt;0,CM5-CX5&gt;=0),CM5-CX5,IF(AND(YEAR(CZ$4)=YEAR($F5),$E5&lt;0,$F5&gt;0,$E5-CX5&lt;0),$E5-CX5,IF(AND(YEAR(CZ$4)&gt;YEAR($F5),$E5&lt;0,$F5&gt;0,CM5-CX5&lt;=0),CM5-CX5,0))))</f>
        <v>0</v>
      </c>
      <c r="DA5" s="167">
        <f t="shared" ref="DA5:DA20" si="186">IF($J5&lt;&gt;"H",CZ5,0)</f>
        <v>0</v>
      </c>
      <c r="DB5" s="170">
        <f t="shared" ref="DB5:DB68" si="187">CO5+CX5</f>
        <v>0</v>
      </c>
      <c r="DC5" s="167">
        <f t="shared" ref="DC5:DC68" si="188">IF(AND(CR5&lt;&gt;0,$J5="H",$L5=0),CT5,IF(AND(YEAR(CZ$4)&gt;YEAR($F5),$J5="H",$F5&gt;0,$L5=0),$E5,0))</f>
        <v>0</v>
      </c>
      <c r="DD5" s="171">
        <f t="shared" ref="DD5:DD68" si="189">IF(AND(YEAR(CZ$4)&gt;=YEAR($F5),$E5&gt;0,$F5&gt;0,CX5&gt;0,$J5="H"),ROUND(CX5/$L5*$E5,2),IF(AND(YEAR(CZ$4)&gt;=YEAR($F5),$E5&lt;0,$F5&gt;0,CX5&lt;0,$J5="H"),ROUND(CX5/$L5*$E5,2),0))</f>
        <v>0</v>
      </c>
      <c r="DE5" s="169">
        <f t="shared" ref="DE5:DR20" si="190">IF(YEAR($F5)=DE$4,$E5,0)</f>
        <v>0</v>
      </c>
      <c r="DF5" s="167">
        <f t="shared" ref="DF5:DF20" si="191">IF($J5&lt;&gt;"H",DE5,0)</f>
        <v>0</v>
      </c>
      <c r="DG5" s="167">
        <f t="shared" ref="DG5:DG68" si="192">IF(DE5&lt;&gt;0,ROUND(DE5*(DAYS360($F5,DM$4)/DAYS360(CZ$4,DM$4)),2),0)</f>
        <v>0</v>
      </c>
      <c r="DH5" s="167">
        <f t="shared" ref="DH5:DH20" si="193">IF($J5&lt;&gt;"H",DG5,0)</f>
        <v>0</v>
      </c>
      <c r="DI5" s="167">
        <f t="shared" ref="DI5:DI68" si="194">IF(AND($F5&gt;0,$F5&lt;=DM$4),$E5,0)</f>
        <v>0</v>
      </c>
      <c r="DJ5" s="167">
        <f t="shared" ref="DJ5:DJ20" si="195">IF(DK5&lt;&gt;0,ROUND(DK5/$L5*DI5,2),0)</f>
        <v>0</v>
      </c>
      <c r="DK5" s="167">
        <f t="shared" ref="DK5:DK68" si="196">IF(AND(YEAR($F5)=YEAR(DM$4),$E5&lt;1000,$E5&gt;-1000,$F5&gt;0,$K5=1),$E5-$I5,IF(AND(YEAR($F5)=YEAR(DM$4),$F5&gt;0,$K5&gt;0),ROUND(($L5/12)*(13-MONTH($F5)),2),IF(AND(YEAR($F5)&lt;YEAR(DM$4),$E5&gt;0,$F5&gt;0,$K5&gt;0,CZ5&gt;$L5+$I5),$L5,IF(AND(YEAR($F5)&lt;YEAR(DM$4),$E5&gt;0,$F5&gt;0,$K5&gt;0,CZ5&gt;0,CZ5&lt;=$L5+$I5),CZ5-$I5,IF(AND(YEAR($F5)&lt;YEAR(DM$4),$E5&lt;0,$F5&gt;0,$K5&gt;0,CZ5&lt;0,CZ5&lt;=$L5),$L5,IF(AND(YEAR($F5)&lt;YEAR(DM$4),$E5&lt;0,$F5&gt;0,$K5&gt;0,CZ5&lt;0,CZ5&gt;$L5),CZ5,0))))))</f>
        <v>0</v>
      </c>
      <c r="DL5" s="167">
        <f t="shared" ref="DL5:DL20" si="197">IF($J5&lt;&gt;"H",DK5,0)</f>
        <v>0</v>
      </c>
      <c r="DM5" s="167">
        <f t="shared" ref="DM5:DM68" si="198">IF(AND(YEAR(DM$4)=YEAR($F5),$E5&gt;0,$F5&gt;0,$E5-DK5&gt;=0),$E5-DK5,IF(AND(YEAR(DM$4)&gt;YEAR($F5),$E5&gt;0,$F5&gt;0,CZ5-DK5&gt;=0),CZ5-DK5,IF(AND(YEAR(DM$4)=YEAR($F5),$E5&lt;0,$F5&gt;0,$E5-DK5&lt;0),$E5-DK5,IF(AND(YEAR(DM$4)&gt;YEAR($F5),$E5&lt;0,$F5&gt;0,CZ5-DK5&lt;=0),CZ5-DK5,0))))</f>
        <v>0</v>
      </c>
      <c r="DN5" s="167">
        <f t="shared" ref="DN5:DN20" si="199">IF($J5&lt;&gt;"H",DM5,0)</f>
        <v>0</v>
      </c>
      <c r="DO5" s="170">
        <f t="shared" ref="DO5:DO68" si="200">DB5+DK5</f>
        <v>0</v>
      </c>
      <c r="DP5" s="167">
        <f t="shared" ref="DP5:DP68" si="201">IF(AND(DE5&lt;&gt;0,$J5="H",$L5=0),DG5,IF(AND(YEAR(DM$4)&gt;YEAR($F5),$J5="H",$F5&gt;0,$L5=0),$E5,0))</f>
        <v>0</v>
      </c>
      <c r="DQ5" s="171">
        <f t="shared" ref="DQ5:DQ68" si="202">IF(AND(YEAR(DM$4)&gt;=YEAR($F5),$E5&gt;0,$F5&gt;0,DK5&gt;0,$J5="H"),ROUND(DK5/$L5*$E5,2),IF(AND(YEAR(DM$4)&gt;=YEAR($F5),$E5&lt;0,$F5&gt;0,DK5&lt;0,$J5="H"),ROUND(DK5/$L5*$E5,2),0))</f>
        <v>0</v>
      </c>
      <c r="DR5" s="169">
        <f t="shared" ref="DR5" si="203">IF(YEAR($F5)=DR$4,$E5,0)</f>
        <v>0</v>
      </c>
      <c r="DS5" s="167">
        <f t="shared" ref="DS5:DS20" si="204">IF($J5&lt;&gt;"H",DR5,0)</f>
        <v>0</v>
      </c>
      <c r="DT5" s="167">
        <f t="shared" ref="DT5:DT68" si="205">IF(DR5&lt;&gt;0,ROUND(DR5*(DAYS360($F5,DZ$4)/DAYS360(DM$4,DZ$4)),2),0)</f>
        <v>0</v>
      </c>
      <c r="DU5" s="167">
        <f t="shared" ref="DU5:DU20" si="206">IF($J5&lt;&gt;"H",DT5,0)</f>
        <v>0</v>
      </c>
      <c r="DV5" s="167">
        <f t="shared" ref="DV5:DV68" si="207">IF(AND($F5&gt;0,$F5&lt;=DZ$4),$E5,0)</f>
        <v>0</v>
      </c>
      <c r="DW5" s="167">
        <f t="shared" ref="DW5:DW20" si="208">IF(DX5&lt;&gt;0,ROUND(DX5/$L5*DV5,2),0)</f>
        <v>0</v>
      </c>
      <c r="DX5" s="167">
        <f t="shared" ref="DX5:DX68" si="209">IF(AND(YEAR($F5)=YEAR(DZ$4),$E5&lt;1000,$E5&gt;-1000,$F5&gt;0,$K5=1),$E5-$I5,IF(AND(YEAR($F5)=YEAR(DZ$4),$F5&gt;0,$K5&gt;0),ROUND(($L5/12)*(13-MONTH($F5)),2),IF(AND(YEAR($F5)&lt;YEAR(DZ$4),$E5&gt;0,$F5&gt;0,$K5&gt;0,DM5&gt;$L5+$I5),$L5,IF(AND(YEAR($F5)&lt;YEAR(DZ$4),$E5&gt;0,$F5&gt;0,$K5&gt;0,DM5&gt;0,DM5&lt;=$L5+$I5),DM5-$I5,IF(AND(YEAR($F5)&lt;YEAR(DZ$4),$E5&lt;0,$F5&gt;0,$K5&gt;0,DM5&lt;0,DM5&lt;=$L5),$L5,IF(AND(YEAR($F5)&lt;YEAR(DZ$4),$E5&lt;0,$F5&gt;0,$K5&gt;0,DM5&lt;0,DM5&gt;$L5),DM5,0))))))</f>
        <v>0</v>
      </c>
      <c r="DY5" s="167">
        <f t="shared" ref="DY5:DY20" si="210">IF($J5&lt;&gt;"H",DX5,0)</f>
        <v>0</v>
      </c>
      <c r="DZ5" s="167">
        <f t="shared" ref="DZ5:DZ68" si="211">IF(AND(YEAR(DZ$4)=YEAR($F5),$E5&gt;0,$F5&gt;0,$E5-DX5&gt;=0),$E5-DX5,IF(AND(YEAR(DZ$4)&gt;YEAR($F5),$E5&gt;0,$F5&gt;0,DM5-DX5&gt;=0),DM5-DX5,IF(AND(YEAR(DZ$4)=YEAR($F5),$E5&lt;0,$F5&gt;0,$E5-DX5&lt;0),$E5-DX5,IF(AND(YEAR(DZ$4)&gt;YEAR($F5),$E5&lt;0,$F5&gt;0,DM5-DX5&lt;=0),DM5-DX5,0))))</f>
        <v>0</v>
      </c>
      <c r="EA5" s="167">
        <f t="shared" ref="EA5:EA20" si="212">IF($J5&lt;&gt;"H",DZ5,0)</f>
        <v>0</v>
      </c>
      <c r="EB5" s="170">
        <f t="shared" ref="EB5:EB68" si="213">DO5+DX5</f>
        <v>0</v>
      </c>
      <c r="EC5" s="167">
        <f t="shared" ref="EC5:EC68" si="214">IF(AND(DR5&lt;&gt;0,$J5="H",$L5=0),DT5,IF(AND(YEAR(DZ$4)&gt;YEAR($F5),$J5="H",$F5&gt;0,$L5=0),$E5,0))</f>
        <v>0</v>
      </c>
      <c r="ED5" s="171">
        <f t="shared" ref="ED5:ED68" si="215">IF(AND(YEAR(DZ$4)&gt;=YEAR($F5),$E5&gt;0,$F5&gt;0,DX5&gt;0,$J5="H"),ROUND(DX5/$L5*$E5,2),IF(AND(YEAR(DZ$4)&gt;=YEAR($F5),$E5&lt;0,$F5&gt;0,DX5&lt;0,$J5="H"),ROUND(DX5/$L5*$E5,2),0))</f>
        <v>0</v>
      </c>
    </row>
    <row r="6" spans="1:134" x14ac:dyDescent="0.3">
      <c r="A6" s="185"/>
      <c r="B6" s="186"/>
      <c r="C6" s="187"/>
      <c r="D6" s="188"/>
      <c r="E6" s="189"/>
      <c r="F6" s="190"/>
      <c r="G6" s="191"/>
      <c r="H6" s="192"/>
      <c r="I6" s="193"/>
      <c r="J6" s="194"/>
      <c r="K6" s="165">
        <f t="shared" ref="K6:K69" si="216">IF(AND(G6&gt;0,G6&lt;=1,H6=0),1,IF(H6&gt;=1,1,IF(AND(H6&gt;0,H6&lt;1),H6,IF(AND(G6&gt;1,OR(H6=0,H6="")),ROUND(1/G6,4),0))))</f>
        <v>0</v>
      </c>
      <c r="L6" s="166">
        <f t="shared" ref="L6:L69" si="217">IF(AND(E6&gt;0,F6&gt;0,OR(G6&gt;0,H6&gt;0)),ROUND((E6-I6)*K6,2),IF(AND(E6&lt;0,F6&gt;0,OR(G6&gt;0,H6&gt;0)),ROUND(E6*K6,2),0))</f>
        <v>0</v>
      </c>
      <c r="M6" s="167">
        <f t="shared" ref="M6:M69" si="218">IF(AND(E6-O6&gt;=0,F6&gt;0,YEAR(M$4)&gt;=YEAR(F6)),E6-O6,IF(AND(E6-O6&lt;0,F6&gt;0,YEAR(M$4)&gt;=YEAR(F6)),E6-O6,0))</f>
        <v>0</v>
      </c>
      <c r="N6" s="167"/>
      <c r="O6" s="167">
        <f t="shared" ref="O6:O69" si="219">IF(AND(YEAR(F6)&lt;=YEAR(M$4),E6&lt;1000,E6&gt;-1000,F6&gt;0,K6=1),E6-I6,IF(AND(YEAR(F6)&lt;=YEAR(M$4),E6&gt;0,F6&gt;0,K6&gt;0,E6&gt;L6*(YEAR(M$4)-YEAR(F6))+ROUND((L6/12)*(13-MONTH(F6)),2)+I6),L6*(YEAR(M$4)-YEAR(F6))+ROUND((L6/12)*(13-MONTH(F6)),2),IF(AND(YEAR(F6)&lt;=YEAR(M$4),E6&gt;0,F6&gt;0,K6&gt;0,E6&lt;=(L6*(YEAR(M$4)-YEAR(F6)+ROUND((L6/12)*(13-MONTH(F6)),2)))+I6),E6-I6,IF(AND(YEAR(F6)&lt;=YEAR(M$4),E6&lt;0,F6&gt;0,K6&gt;0,E6&lt;L6*(YEAR(M$4)-YEAR(F6))+ROUND((L6/12)*(13-MONTH(F6)),2)+I6),L6*(YEAR(M$4)-YEAR(F6))+ROUND((L6/12)*(13-MONTH(F6)),2),IF(AND(YEAR(F6)&lt;=YEAR(M$4),E6&lt;0,F6&gt;0,K6&gt;0,E6&lt;=(L6*(YEAR(M$4)-YEAR(F6)+ROUND((L6/12)*(13-MONTH(F6)),2)))),E6,0)))))</f>
        <v>0</v>
      </c>
      <c r="P6" s="168"/>
      <c r="Q6" s="167">
        <f t="shared" ref="Q6:Q69" si="220">IF(AND($F6&gt;0,$F6&lt;=O$4),$E6,0)</f>
        <v>0</v>
      </c>
      <c r="R6" s="169">
        <f t="shared" ref="R6:R69" si="221">IF(YEAR($F6)=R$4,$E6,0)</f>
        <v>0</v>
      </c>
      <c r="S6" s="167">
        <f t="shared" ref="S6:S69" si="222">IF($J6&lt;&gt;"H",R6,0)</f>
        <v>0</v>
      </c>
      <c r="T6" s="167">
        <f t="shared" ref="T6:T69" si="223">IF(R6&lt;&gt;0,ROUND(R6*(DAYS360($F6,Z$4)/DAYS360(M$4,Z$4)),2),0)</f>
        <v>0</v>
      </c>
      <c r="U6" s="167">
        <f t="shared" ref="U6:U69" si="224">IF($J6&lt;&gt;"H",T6,0)</f>
        <v>0</v>
      </c>
      <c r="V6" s="167">
        <f t="shared" ref="V6:V69" si="225">IF(AND($F6&gt;0,$F6&lt;=Z$4),$E6,0)</f>
        <v>0</v>
      </c>
      <c r="W6" s="167">
        <f t="shared" ref="W6:W69" si="226">IF(X6&lt;&gt;0,ROUND(X6/$L6*V6,2),0)</f>
        <v>0</v>
      </c>
      <c r="X6" s="167">
        <f t="shared" ref="X6:X69" si="227">IF(AND(YEAR($F6)=YEAR(Z$4),$E6&lt;1000,$E6&gt;-1000,$F6&gt;0,$K6=1),$E6-$I6,IF(AND(YEAR($F6)=YEAR(Z$4),$F6&gt;0,$K6&gt;0),ROUND(($L6/12)*(13-MONTH($F6)),2),IF(AND(YEAR($F6)&lt;YEAR(Z$4),$E6&gt;0,$F6&gt;0,$K6&gt;0,M6&gt;$L6+$I6),$L6,IF(AND(YEAR($F6)&lt;YEAR(Z$4),$E6&gt;0,$F6&gt;0,$K6&gt;0,M6&gt;0,M6&lt;=$L6+$I6),M6-$I6,IF(AND(YEAR($F6)&lt;YEAR(Z$4),$E6&lt;0,$F6&gt;0,$K6&gt;0,M6&lt;0,M6&lt;=$L6),$L6,IF(AND(YEAR($F6)&lt;YEAR(Z$4),$E6&lt;0,$F6&gt;0,$K6&gt;0,M6&lt;0,M6&gt;$L6),M6,0))))))</f>
        <v>0</v>
      </c>
      <c r="Y6" s="167">
        <f t="shared" ref="Y6:Y69" si="228">IF($J6&lt;&gt;"H",X6,0)</f>
        <v>0</v>
      </c>
      <c r="Z6" s="167">
        <f t="shared" ref="Z6:Z69" si="229">IF(AND(YEAR(Z$4)=YEAR($F6),$E6&gt;0,$F6&gt;0,$E6-X6&gt;=0),$E6-X6,IF(AND(YEAR(Z$4)&gt;YEAR($F6),$E6&gt;0,$F6&gt;0,M6-X6&gt;=0),M6-X6,IF(AND(YEAR(Z$4)=YEAR($F6),$E6&lt;0,$F6&gt;0,$E6-X6&lt;0),$E6-X6,IF(AND(YEAR(Z$4)&gt;YEAR($F6),$E6&lt;0,$F6&gt;0,M6-X6&lt;=0),M6-X6,0))))</f>
        <v>0</v>
      </c>
      <c r="AA6" s="167">
        <f t="shared" ref="AA6:AA69" si="230">IF($J6&lt;&gt;"H",Z6,0)</f>
        <v>0</v>
      </c>
      <c r="AB6" s="170">
        <f t="shared" ref="AB6:AB69" si="231">O6+X6</f>
        <v>0</v>
      </c>
      <c r="AC6" s="167">
        <f t="shared" ref="AC6:AC69" si="232">IF(AND(R6&lt;&gt;0,$J6="H",$L6=0),T6,IF(AND(YEAR(Z$4)&gt;YEAR($F6),$J6="H",$F6&gt;0,$L6=0),$E6,0))</f>
        <v>0</v>
      </c>
      <c r="AD6" s="171">
        <f t="shared" ref="AD6:AD69" si="233">IF(AND(YEAR(Z$4)&gt;=YEAR($F6),$E6&gt;0,$F6&gt;0,X6&gt;0,$J6="H"),ROUND(X6/$L6*$E6,2),IF(AND(YEAR(Z$4)&gt;=YEAR($F6),$E6&lt;0,$F6&gt;0,X6&lt;0,$J6="H"),ROUND(X6/$L6*$E6,2),0))</f>
        <v>0</v>
      </c>
      <c r="AE6" s="169">
        <f t="shared" si="112"/>
        <v>0</v>
      </c>
      <c r="AF6" s="167">
        <f t="shared" si="113"/>
        <v>0</v>
      </c>
      <c r="AG6" s="167">
        <f t="shared" si="114"/>
        <v>0</v>
      </c>
      <c r="AH6" s="167">
        <f t="shared" si="115"/>
        <v>0</v>
      </c>
      <c r="AI6" s="167">
        <f t="shared" si="116"/>
        <v>0</v>
      </c>
      <c r="AJ6" s="167">
        <f t="shared" si="117"/>
        <v>0</v>
      </c>
      <c r="AK6" s="167">
        <f t="shared" si="118"/>
        <v>0</v>
      </c>
      <c r="AL6" s="167">
        <f t="shared" si="119"/>
        <v>0</v>
      </c>
      <c r="AM6" s="167">
        <f t="shared" si="120"/>
        <v>0</v>
      </c>
      <c r="AN6" s="167">
        <f t="shared" si="121"/>
        <v>0</v>
      </c>
      <c r="AO6" s="170">
        <f t="shared" si="122"/>
        <v>0</v>
      </c>
      <c r="AP6" s="167">
        <f t="shared" si="123"/>
        <v>0</v>
      </c>
      <c r="AQ6" s="171">
        <f t="shared" si="124"/>
        <v>0</v>
      </c>
      <c r="AR6" s="169">
        <f t="shared" si="112"/>
        <v>0</v>
      </c>
      <c r="AS6" s="167">
        <f t="shared" si="126"/>
        <v>0</v>
      </c>
      <c r="AT6" s="167">
        <f t="shared" si="127"/>
        <v>0</v>
      </c>
      <c r="AU6" s="167">
        <f t="shared" si="128"/>
        <v>0</v>
      </c>
      <c r="AV6" s="167">
        <f t="shared" si="129"/>
        <v>0</v>
      </c>
      <c r="AW6" s="167">
        <f t="shared" si="130"/>
        <v>0</v>
      </c>
      <c r="AX6" s="167">
        <f t="shared" si="131"/>
        <v>0</v>
      </c>
      <c r="AY6" s="167">
        <f t="shared" si="132"/>
        <v>0</v>
      </c>
      <c r="AZ6" s="167">
        <f t="shared" si="133"/>
        <v>0</v>
      </c>
      <c r="BA6" s="167">
        <f t="shared" si="134"/>
        <v>0</v>
      </c>
      <c r="BB6" s="170">
        <f t="shared" si="135"/>
        <v>0</v>
      </c>
      <c r="BC6" s="167">
        <f t="shared" si="136"/>
        <v>0</v>
      </c>
      <c r="BD6" s="171">
        <f t="shared" si="137"/>
        <v>0</v>
      </c>
      <c r="BE6" s="169">
        <f t="shared" si="112"/>
        <v>0</v>
      </c>
      <c r="BF6" s="167">
        <f t="shared" si="139"/>
        <v>0</v>
      </c>
      <c r="BG6" s="167">
        <f t="shared" si="140"/>
        <v>0</v>
      </c>
      <c r="BH6" s="167">
        <f t="shared" si="141"/>
        <v>0</v>
      </c>
      <c r="BI6" s="167">
        <f t="shared" si="142"/>
        <v>0</v>
      </c>
      <c r="BJ6" s="167">
        <f t="shared" si="143"/>
        <v>0</v>
      </c>
      <c r="BK6" s="167">
        <f t="shared" si="144"/>
        <v>0</v>
      </c>
      <c r="BL6" s="167">
        <f t="shared" si="145"/>
        <v>0</v>
      </c>
      <c r="BM6" s="167">
        <f t="shared" si="146"/>
        <v>0</v>
      </c>
      <c r="BN6" s="167">
        <f t="shared" si="147"/>
        <v>0</v>
      </c>
      <c r="BO6" s="170">
        <f t="shared" si="148"/>
        <v>0</v>
      </c>
      <c r="BP6" s="167">
        <f t="shared" si="149"/>
        <v>0</v>
      </c>
      <c r="BQ6" s="171">
        <f t="shared" si="150"/>
        <v>0</v>
      </c>
      <c r="BR6" s="169">
        <f t="shared" si="151"/>
        <v>0</v>
      </c>
      <c r="BS6" s="167">
        <f t="shared" si="152"/>
        <v>0</v>
      </c>
      <c r="BT6" s="167">
        <f t="shared" si="153"/>
        <v>0</v>
      </c>
      <c r="BU6" s="167">
        <f t="shared" si="154"/>
        <v>0</v>
      </c>
      <c r="BV6" s="167">
        <f t="shared" si="155"/>
        <v>0</v>
      </c>
      <c r="BW6" s="167">
        <f t="shared" si="156"/>
        <v>0</v>
      </c>
      <c r="BX6" s="167">
        <f t="shared" si="157"/>
        <v>0</v>
      </c>
      <c r="BY6" s="167">
        <f t="shared" si="158"/>
        <v>0</v>
      </c>
      <c r="BZ6" s="167">
        <f t="shared" si="159"/>
        <v>0</v>
      </c>
      <c r="CA6" s="167">
        <f t="shared" si="160"/>
        <v>0</v>
      </c>
      <c r="CB6" s="170">
        <f t="shared" si="161"/>
        <v>0</v>
      </c>
      <c r="CC6" s="167">
        <f t="shared" si="162"/>
        <v>0</v>
      </c>
      <c r="CD6" s="171">
        <f t="shared" si="163"/>
        <v>0</v>
      </c>
      <c r="CE6" s="169">
        <f t="shared" si="151"/>
        <v>0</v>
      </c>
      <c r="CF6" s="167">
        <f t="shared" si="165"/>
        <v>0</v>
      </c>
      <c r="CG6" s="167">
        <f t="shared" si="166"/>
        <v>0</v>
      </c>
      <c r="CH6" s="167">
        <f t="shared" si="167"/>
        <v>0</v>
      </c>
      <c r="CI6" s="167">
        <f t="shared" si="168"/>
        <v>0</v>
      </c>
      <c r="CJ6" s="167">
        <f t="shared" si="169"/>
        <v>0</v>
      </c>
      <c r="CK6" s="167">
        <f t="shared" si="170"/>
        <v>0</v>
      </c>
      <c r="CL6" s="167">
        <f t="shared" si="171"/>
        <v>0</v>
      </c>
      <c r="CM6" s="167">
        <f t="shared" si="172"/>
        <v>0</v>
      </c>
      <c r="CN6" s="167">
        <f t="shared" si="173"/>
        <v>0</v>
      </c>
      <c r="CO6" s="170">
        <f t="shared" si="174"/>
        <v>0</v>
      </c>
      <c r="CP6" s="167">
        <f t="shared" si="175"/>
        <v>0</v>
      </c>
      <c r="CQ6" s="171">
        <f t="shared" si="176"/>
        <v>0</v>
      </c>
      <c r="CR6" s="169">
        <f t="shared" si="151"/>
        <v>0</v>
      </c>
      <c r="CS6" s="167">
        <f t="shared" si="178"/>
        <v>0</v>
      </c>
      <c r="CT6" s="167">
        <f t="shared" si="179"/>
        <v>0</v>
      </c>
      <c r="CU6" s="167">
        <f t="shared" si="180"/>
        <v>0</v>
      </c>
      <c r="CV6" s="167">
        <f t="shared" si="181"/>
        <v>0</v>
      </c>
      <c r="CW6" s="167">
        <f t="shared" si="182"/>
        <v>0</v>
      </c>
      <c r="CX6" s="167">
        <f t="shared" si="183"/>
        <v>0</v>
      </c>
      <c r="CY6" s="167">
        <f t="shared" si="184"/>
        <v>0</v>
      </c>
      <c r="CZ6" s="167">
        <f t="shared" si="185"/>
        <v>0</v>
      </c>
      <c r="DA6" s="167">
        <f t="shared" si="186"/>
        <v>0</v>
      </c>
      <c r="DB6" s="170">
        <f t="shared" si="187"/>
        <v>0</v>
      </c>
      <c r="DC6" s="167">
        <f t="shared" si="188"/>
        <v>0</v>
      </c>
      <c r="DD6" s="171">
        <f t="shared" si="189"/>
        <v>0</v>
      </c>
      <c r="DE6" s="169">
        <f t="shared" si="190"/>
        <v>0</v>
      </c>
      <c r="DF6" s="167">
        <f t="shared" si="191"/>
        <v>0</v>
      </c>
      <c r="DG6" s="167">
        <f t="shared" si="192"/>
        <v>0</v>
      </c>
      <c r="DH6" s="167">
        <f t="shared" si="193"/>
        <v>0</v>
      </c>
      <c r="DI6" s="167">
        <f t="shared" si="194"/>
        <v>0</v>
      </c>
      <c r="DJ6" s="167">
        <f t="shared" si="195"/>
        <v>0</v>
      </c>
      <c r="DK6" s="167">
        <f t="shared" si="196"/>
        <v>0</v>
      </c>
      <c r="DL6" s="167">
        <f t="shared" si="197"/>
        <v>0</v>
      </c>
      <c r="DM6" s="167">
        <f t="shared" si="198"/>
        <v>0</v>
      </c>
      <c r="DN6" s="167">
        <f t="shared" si="199"/>
        <v>0</v>
      </c>
      <c r="DO6" s="170">
        <f t="shared" si="200"/>
        <v>0</v>
      </c>
      <c r="DP6" s="167">
        <f t="shared" si="201"/>
        <v>0</v>
      </c>
      <c r="DQ6" s="171">
        <f t="shared" si="202"/>
        <v>0</v>
      </c>
      <c r="DR6" s="169">
        <f t="shared" si="190"/>
        <v>0</v>
      </c>
      <c r="DS6" s="167">
        <f t="shared" si="204"/>
        <v>0</v>
      </c>
      <c r="DT6" s="167">
        <f t="shared" si="205"/>
        <v>0</v>
      </c>
      <c r="DU6" s="167">
        <f t="shared" si="206"/>
        <v>0</v>
      </c>
      <c r="DV6" s="167">
        <f t="shared" si="207"/>
        <v>0</v>
      </c>
      <c r="DW6" s="167">
        <f t="shared" si="208"/>
        <v>0</v>
      </c>
      <c r="DX6" s="167">
        <f t="shared" si="209"/>
        <v>0</v>
      </c>
      <c r="DY6" s="167">
        <f t="shared" si="210"/>
        <v>0</v>
      </c>
      <c r="DZ6" s="167">
        <f t="shared" si="211"/>
        <v>0</v>
      </c>
      <c r="EA6" s="167">
        <f t="shared" si="212"/>
        <v>0</v>
      </c>
      <c r="EB6" s="170">
        <f t="shared" si="213"/>
        <v>0</v>
      </c>
      <c r="EC6" s="167">
        <f t="shared" si="214"/>
        <v>0</v>
      </c>
      <c r="ED6" s="171">
        <f t="shared" si="215"/>
        <v>0</v>
      </c>
    </row>
    <row r="7" spans="1:134" x14ac:dyDescent="0.3">
      <c r="A7" s="185">
        <v>1960</v>
      </c>
      <c r="B7" s="186" t="s">
        <v>452</v>
      </c>
      <c r="C7" s="187"/>
      <c r="D7" s="188" t="s">
        <v>100</v>
      </c>
      <c r="E7" s="189">
        <v>800000</v>
      </c>
      <c r="F7" s="190">
        <v>29403</v>
      </c>
      <c r="G7" s="191">
        <v>33.700000000000003</v>
      </c>
      <c r="H7" s="192"/>
      <c r="I7" s="193"/>
      <c r="J7" s="194"/>
      <c r="K7" s="165">
        <f t="shared" si="216"/>
        <v>2.9700000000000001E-2</v>
      </c>
      <c r="L7" s="166">
        <f t="shared" si="217"/>
        <v>23760</v>
      </c>
      <c r="M7" s="167">
        <f t="shared" si="218"/>
        <v>51560</v>
      </c>
      <c r="N7" s="167"/>
      <c r="O7" s="167">
        <f t="shared" si="219"/>
        <v>748440</v>
      </c>
      <c r="P7" s="168"/>
      <c r="Q7" s="167">
        <f t="shared" si="220"/>
        <v>800000</v>
      </c>
      <c r="R7" s="169">
        <f t="shared" si="221"/>
        <v>0</v>
      </c>
      <c r="S7" s="167">
        <f t="shared" si="222"/>
        <v>0</v>
      </c>
      <c r="T7" s="167">
        <f t="shared" si="223"/>
        <v>0</v>
      </c>
      <c r="U7" s="167">
        <f t="shared" si="224"/>
        <v>0</v>
      </c>
      <c r="V7" s="167">
        <f t="shared" si="225"/>
        <v>800000</v>
      </c>
      <c r="W7" s="167">
        <f t="shared" si="226"/>
        <v>800000</v>
      </c>
      <c r="X7" s="167">
        <f t="shared" si="227"/>
        <v>23760</v>
      </c>
      <c r="Y7" s="167">
        <f t="shared" si="228"/>
        <v>23760</v>
      </c>
      <c r="Z7" s="167">
        <f t="shared" si="229"/>
        <v>27800</v>
      </c>
      <c r="AA7" s="167">
        <f t="shared" si="230"/>
        <v>27800</v>
      </c>
      <c r="AB7" s="170">
        <f t="shared" si="231"/>
        <v>772200</v>
      </c>
      <c r="AC7" s="167">
        <f t="shared" si="232"/>
        <v>0</v>
      </c>
      <c r="AD7" s="171">
        <f t="shared" si="233"/>
        <v>0</v>
      </c>
      <c r="AE7" s="169">
        <f t="shared" si="112"/>
        <v>0</v>
      </c>
      <c r="AF7" s="167">
        <f t="shared" si="113"/>
        <v>0</v>
      </c>
      <c r="AG7" s="167">
        <f t="shared" si="114"/>
        <v>0</v>
      </c>
      <c r="AH7" s="167">
        <f t="shared" si="115"/>
        <v>0</v>
      </c>
      <c r="AI7" s="167">
        <f t="shared" si="116"/>
        <v>800000</v>
      </c>
      <c r="AJ7" s="167">
        <f t="shared" si="117"/>
        <v>800000</v>
      </c>
      <c r="AK7" s="167">
        <f t="shared" si="118"/>
        <v>23760</v>
      </c>
      <c r="AL7" s="167">
        <f t="shared" si="119"/>
        <v>23760</v>
      </c>
      <c r="AM7" s="167">
        <f t="shared" si="120"/>
        <v>4040</v>
      </c>
      <c r="AN7" s="167">
        <f t="shared" si="121"/>
        <v>4040</v>
      </c>
      <c r="AO7" s="170">
        <f t="shared" si="122"/>
        <v>795960</v>
      </c>
      <c r="AP7" s="167">
        <f t="shared" si="123"/>
        <v>0</v>
      </c>
      <c r="AQ7" s="171">
        <f t="shared" si="124"/>
        <v>0</v>
      </c>
      <c r="AR7" s="169">
        <f t="shared" si="112"/>
        <v>0</v>
      </c>
      <c r="AS7" s="167">
        <f t="shared" si="126"/>
        <v>0</v>
      </c>
      <c r="AT7" s="167">
        <f t="shared" si="127"/>
        <v>0</v>
      </c>
      <c r="AU7" s="167">
        <f t="shared" si="128"/>
        <v>0</v>
      </c>
      <c r="AV7" s="167">
        <f t="shared" si="129"/>
        <v>800000</v>
      </c>
      <c r="AW7" s="167">
        <f t="shared" si="130"/>
        <v>136026.94</v>
      </c>
      <c r="AX7" s="167">
        <f t="shared" si="131"/>
        <v>4040</v>
      </c>
      <c r="AY7" s="167">
        <f t="shared" si="132"/>
        <v>4040</v>
      </c>
      <c r="AZ7" s="167">
        <f t="shared" si="133"/>
        <v>0</v>
      </c>
      <c r="BA7" s="167">
        <f t="shared" si="134"/>
        <v>0</v>
      </c>
      <c r="BB7" s="170">
        <f t="shared" si="135"/>
        <v>800000</v>
      </c>
      <c r="BC7" s="167">
        <f t="shared" si="136"/>
        <v>0</v>
      </c>
      <c r="BD7" s="171">
        <f t="shared" si="137"/>
        <v>0</v>
      </c>
      <c r="BE7" s="169">
        <f t="shared" si="112"/>
        <v>0</v>
      </c>
      <c r="BF7" s="167">
        <f t="shared" si="139"/>
        <v>0</v>
      </c>
      <c r="BG7" s="167">
        <f t="shared" si="140"/>
        <v>0</v>
      </c>
      <c r="BH7" s="167">
        <f t="shared" si="141"/>
        <v>0</v>
      </c>
      <c r="BI7" s="167">
        <f t="shared" si="142"/>
        <v>800000</v>
      </c>
      <c r="BJ7" s="167">
        <f t="shared" si="143"/>
        <v>0</v>
      </c>
      <c r="BK7" s="167">
        <f t="shared" si="144"/>
        <v>0</v>
      </c>
      <c r="BL7" s="167">
        <f t="shared" si="145"/>
        <v>0</v>
      </c>
      <c r="BM7" s="167">
        <f t="shared" si="146"/>
        <v>0</v>
      </c>
      <c r="BN7" s="167">
        <f t="shared" si="147"/>
        <v>0</v>
      </c>
      <c r="BO7" s="170">
        <f t="shared" si="148"/>
        <v>800000</v>
      </c>
      <c r="BP7" s="167">
        <f t="shared" si="149"/>
        <v>0</v>
      </c>
      <c r="BQ7" s="171">
        <f t="shared" si="150"/>
        <v>0</v>
      </c>
      <c r="BR7" s="169">
        <f t="shared" si="151"/>
        <v>0</v>
      </c>
      <c r="BS7" s="167">
        <f t="shared" si="152"/>
        <v>0</v>
      </c>
      <c r="BT7" s="167">
        <f t="shared" si="153"/>
        <v>0</v>
      </c>
      <c r="BU7" s="167">
        <f t="shared" si="154"/>
        <v>0</v>
      </c>
      <c r="BV7" s="167">
        <f t="shared" si="155"/>
        <v>800000</v>
      </c>
      <c r="BW7" s="167">
        <f t="shared" si="156"/>
        <v>0</v>
      </c>
      <c r="BX7" s="167">
        <f t="shared" si="157"/>
        <v>0</v>
      </c>
      <c r="BY7" s="167">
        <f t="shared" si="158"/>
        <v>0</v>
      </c>
      <c r="BZ7" s="167">
        <f t="shared" si="159"/>
        <v>0</v>
      </c>
      <c r="CA7" s="167">
        <f t="shared" si="160"/>
        <v>0</v>
      </c>
      <c r="CB7" s="170">
        <f t="shared" si="161"/>
        <v>800000</v>
      </c>
      <c r="CC7" s="167">
        <f t="shared" si="162"/>
        <v>0</v>
      </c>
      <c r="CD7" s="171">
        <f t="shared" si="163"/>
        <v>0</v>
      </c>
      <c r="CE7" s="169">
        <f t="shared" si="151"/>
        <v>0</v>
      </c>
      <c r="CF7" s="167">
        <f t="shared" si="165"/>
        <v>0</v>
      </c>
      <c r="CG7" s="167">
        <f t="shared" si="166"/>
        <v>0</v>
      </c>
      <c r="CH7" s="167">
        <f t="shared" si="167"/>
        <v>0</v>
      </c>
      <c r="CI7" s="167">
        <f t="shared" si="168"/>
        <v>800000</v>
      </c>
      <c r="CJ7" s="167">
        <f t="shared" si="169"/>
        <v>0</v>
      </c>
      <c r="CK7" s="167">
        <f t="shared" si="170"/>
        <v>0</v>
      </c>
      <c r="CL7" s="167">
        <f t="shared" si="171"/>
        <v>0</v>
      </c>
      <c r="CM7" s="167">
        <f t="shared" si="172"/>
        <v>0</v>
      </c>
      <c r="CN7" s="167">
        <f t="shared" si="173"/>
        <v>0</v>
      </c>
      <c r="CO7" s="170">
        <f t="shared" si="174"/>
        <v>800000</v>
      </c>
      <c r="CP7" s="167">
        <f t="shared" si="175"/>
        <v>0</v>
      </c>
      <c r="CQ7" s="171">
        <f t="shared" si="176"/>
        <v>0</v>
      </c>
      <c r="CR7" s="169">
        <f t="shared" si="151"/>
        <v>0</v>
      </c>
      <c r="CS7" s="167">
        <f t="shared" si="178"/>
        <v>0</v>
      </c>
      <c r="CT7" s="167">
        <f t="shared" si="179"/>
        <v>0</v>
      </c>
      <c r="CU7" s="167">
        <f t="shared" si="180"/>
        <v>0</v>
      </c>
      <c r="CV7" s="167">
        <f t="shared" si="181"/>
        <v>800000</v>
      </c>
      <c r="CW7" s="167">
        <f t="shared" si="182"/>
        <v>0</v>
      </c>
      <c r="CX7" s="167">
        <f t="shared" si="183"/>
        <v>0</v>
      </c>
      <c r="CY7" s="167">
        <f t="shared" si="184"/>
        <v>0</v>
      </c>
      <c r="CZ7" s="167">
        <f t="shared" si="185"/>
        <v>0</v>
      </c>
      <c r="DA7" s="167">
        <f t="shared" si="186"/>
        <v>0</v>
      </c>
      <c r="DB7" s="170">
        <f t="shared" si="187"/>
        <v>800000</v>
      </c>
      <c r="DC7" s="167">
        <f t="shared" si="188"/>
        <v>0</v>
      </c>
      <c r="DD7" s="171">
        <f t="shared" si="189"/>
        <v>0</v>
      </c>
      <c r="DE7" s="169">
        <f t="shared" si="190"/>
        <v>0</v>
      </c>
      <c r="DF7" s="167">
        <f t="shared" si="191"/>
        <v>0</v>
      </c>
      <c r="DG7" s="167">
        <f t="shared" si="192"/>
        <v>0</v>
      </c>
      <c r="DH7" s="167">
        <f t="shared" si="193"/>
        <v>0</v>
      </c>
      <c r="DI7" s="167">
        <f t="shared" si="194"/>
        <v>800000</v>
      </c>
      <c r="DJ7" s="167">
        <f t="shared" si="195"/>
        <v>0</v>
      </c>
      <c r="DK7" s="167">
        <f t="shared" si="196"/>
        <v>0</v>
      </c>
      <c r="DL7" s="167">
        <f t="shared" si="197"/>
        <v>0</v>
      </c>
      <c r="DM7" s="167">
        <f t="shared" si="198"/>
        <v>0</v>
      </c>
      <c r="DN7" s="167">
        <f t="shared" si="199"/>
        <v>0</v>
      </c>
      <c r="DO7" s="170">
        <f t="shared" si="200"/>
        <v>800000</v>
      </c>
      <c r="DP7" s="167">
        <f t="shared" si="201"/>
        <v>0</v>
      </c>
      <c r="DQ7" s="171">
        <f t="shared" si="202"/>
        <v>0</v>
      </c>
      <c r="DR7" s="169">
        <f t="shared" si="190"/>
        <v>0</v>
      </c>
      <c r="DS7" s="167">
        <f t="shared" si="204"/>
        <v>0</v>
      </c>
      <c r="DT7" s="167">
        <f t="shared" si="205"/>
        <v>0</v>
      </c>
      <c r="DU7" s="167">
        <f t="shared" si="206"/>
        <v>0</v>
      </c>
      <c r="DV7" s="167">
        <f t="shared" si="207"/>
        <v>800000</v>
      </c>
      <c r="DW7" s="167">
        <f t="shared" si="208"/>
        <v>0</v>
      </c>
      <c r="DX7" s="167">
        <f t="shared" si="209"/>
        <v>0</v>
      </c>
      <c r="DY7" s="167">
        <f t="shared" si="210"/>
        <v>0</v>
      </c>
      <c r="DZ7" s="167">
        <f t="shared" si="211"/>
        <v>0</v>
      </c>
      <c r="EA7" s="167">
        <f t="shared" si="212"/>
        <v>0</v>
      </c>
      <c r="EB7" s="170">
        <f t="shared" si="213"/>
        <v>800000</v>
      </c>
      <c r="EC7" s="167">
        <f t="shared" si="214"/>
        <v>0</v>
      </c>
      <c r="ED7" s="171">
        <f t="shared" si="215"/>
        <v>0</v>
      </c>
    </row>
    <row r="8" spans="1:134" x14ac:dyDescent="0.3">
      <c r="A8" s="196">
        <v>1978</v>
      </c>
      <c r="B8" s="186" t="s">
        <v>452</v>
      </c>
      <c r="C8" s="187"/>
      <c r="D8" s="188" t="s">
        <v>100</v>
      </c>
      <c r="E8" s="189">
        <v>850000</v>
      </c>
      <c r="F8" s="190">
        <v>29952</v>
      </c>
      <c r="G8" s="191">
        <v>33.700000000000003</v>
      </c>
      <c r="H8" s="192"/>
      <c r="I8" s="193"/>
      <c r="J8" s="194"/>
      <c r="K8" s="165">
        <f t="shared" si="216"/>
        <v>2.9700000000000001E-2</v>
      </c>
      <c r="L8" s="166">
        <f t="shared" si="217"/>
        <v>25245</v>
      </c>
      <c r="M8" s="167">
        <f t="shared" si="218"/>
        <v>92650</v>
      </c>
      <c r="N8" s="167"/>
      <c r="O8" s="167">
        <f t="shared" si="219"/>
        <v>757350</v>
      </c>
      <c r="P8" s="168"/>
      <c r="Q8" s="167">
        <f t="shared" si="220"/>
        <v>850000</v>
      </c>
      <c r="R8" s="169">
        <f t="shared" si="221"/>
        <v>0</v>
      </c>
      <c r="S8" s="167">
        <f t="shared" si="222"/>
        <v>0</v>
      </c>
      <c r="T8" s="167">
        <f t="shared" si="223"/>
        <v>0</v>
      </c>
      <c r="U8" s="167">
        <f t="shared" si="224"/>
        <v>0</v>
      </c>
      <c r="V8" s="167">
        <f t="shared" si="225"/>
        <v>850000</v>
      </c>
      <c r="W8" s="167">
        <f t="shared" si="226"/>
        <v>850000</v>
      </c>
      <c r="X8" s="167">
        <f t="shared" si="227"/>
        <v>25245</v>
      </c>
      <c r="Y8" s="167">
        <f t="shared" si="228"/>
        <v>25245</v>
      </c>
      <c r="Z8" s="167">
        <f t="shared" si="229"/>
        <v>67405</v>
      </c>
      <c r="AA8" s="167">
        <f t="shared" si="230"/>
        <v>67405</v>
      </c>
      <c r="AB8" s="170">
        <f t="shared" si="231"/>
        <v>782595</v>
      </c>
      <c r="AC8" s="167">
        <f t="shared" si="232"/>
        <v>0</v>
      </c>
      <c r="AD8" s="171">
        <f t="shared" si="233"/>
        <v>0</v>
      </c>
      <c r="AE8" s="169">
        <f t="shared" si="112"/>
        <v>0</v>
      </c>
      <c r="AF8" s="167">
        <f t="shared" si="113"/>
        <v>0</v>
      </c>
      <c r="AG8" s="167">
        <f t="shared" si="114"/>
        <v>0</v>
      </c>
      <c r="AH8" s="167">
        <f t="shared" si="115"/>
        <v>0</v>
      </c>
      <c r="AI8" s="167">
        <f t="shared" si="116"/>
        <v>850000</v>
      </c>
      <c r="AJ8" s="167">
        <f t="shared" si="117"/>
        <v>850000</v>
      </c>
      <c r="AK8" s="167">
        <f t="shared" si="118"/>
        <v>25245</v>
      </c>
      <c r="AL8" s="167">
        <f t="shared" si="119"/>
        <v>25245</v>
      </c>
      <c r="AM8" s="167">
        <f t="shared" si="120"/>
        <v>42160</v>
      </c>
      <c r="AN8" s="167">
        <f t="shared" si="121"/>
        <v>42160</v>
      </c>
      <c r="AO8" s="170">
        <f t="shared" si="122"/>
        <v>807840</v>
      </c>
      <c r="AP8" s="167">
        <f t="shared" si="123"/>
        <v>0</v>
      </c>
      <c r="AQ8" s="171">
        <f t="shared" si="124"/>
        <v>0</v>
      </c>
      <c r="AR8" s="169">
        <f t="shared" si="112"/>
        <v>0</v>
      </c>
      <c r="AS8" s="167">
        <f t="shared" si="126"/>
        <v>0</v>
      </c>
      <c r="AT8" s="167">
        <f t="shared" si="127"/>
        <v>0</v>
      </c>
      <c r="AU8" s="167">
        <f t="shared" si="128"/>
        <v>0</v>
      </c>
      <c r="AV8" s="167">
        <f t="shared" si="129"/>
        <v>850000</v>
      </c>
      <c r="AW8" s="167">
        <f t="shared" si="130"/>
        <v>850000</v>
      </c>
      <c r="AX8" s="167">
        <f t="shared" si="131"/>
        <v>25245</v>
      </c>
      <c r="AY8" s="167">
        <f t="shared" si="132"/>
        <v>25245</v>
      </c>
      <c r="AZ8" s="167">
        <f t="shared" si="133"/>
        <v>16915</v>
      </c>
      <c r="BA8" s="167">
        <f t="shared" si="134"/>
        <v>16915</v>
      </c>
      <c r="BB8" s="170">
        <f t="shared" si="135"/>
        <v>833085</v>
      </c>
      <c r="BC8" s="167">
        <f t="shared" si="136"/>
        <v>0</v>
      </c>
      <c r="BD8" s="171">
        <f t="shared" si="137"/>
        <v>0</v>
      </c>
      <c r="BE8" s="169">
        <f t="shared" si="112"/>
        <v>0</v>
      </c>
      <c r="BF8" s="167">
        <f t="shared" si="139"/>
        <v>0</v>
      </c>
      <c r="BG8" s="167">
        <f t="shared" si="140"/>
        <v>0</v>
      </c>
      <c r="BH8" s="167">
        <f t="shared" si="141"/>
        <v>0</v>
      </c>
      <c r="BI8" s="167">
        <f t="shared" si="142"/>
        <v>850000</v>
      </c>
      <c r="BJ8" s="167">
        <f t="shared" si="143"/>
        <v>569528.62</v>
      </c>
      <c r="BK8" s="167">
        <f t="shared" si="144"/>
        <v>16915</v>
      </c>
      <c r="BL8" s="167">
        <f t="shared" si="145"/>
        <v>16915</v>
      </c>
      <c r="BM8" s="167">
        <f t="shared" si="146"/>
        <v>0</v>
      </c>
      <c r="BN8" s="167">
        <f t="shared" si="147"/>
        <v>0</v>
      </c>
      <c r="BO8" s="170">
        <f t="shared" si="148"/>
        <v>850000</v>
      </c>
      <c r="BP8" s="167">
        <f t="shared" si="149"/>
        <v>0</v>
      </c>
      <c r="BQ8" s="171">
        <f t="shared" si="150"/>
        <v>0</v>
      </c>
      <c r="BR8" s="169">
        <f t="shared" si="151"/>
        <v>0</v>
      </c>
      <c r="BS8" s="167">
        <f t="shared" si="152"/>
        <v>0</v>
      </c>
      <c r="BT8" s="167">
        <f t="shared" si="153"/>
        <v>0</v>
      </c>
      <c r="BU8" s="167">
        <f t="shared" si="154"/>
        <v>0</v>
      </c>
      <c r="BV8" s="167">
        <f t="shared" si="155"/>
        <v>850000</v>
      </c>
      <c r="BW8" s="167">
        <f t="shared" si="156"/>
        <v>0</v>
      </c>
      <c r="BX8" s="167">
        <f t="shared" si="157"/>
        <v>0</v>
      </c>
      <c r="BY8" s="167">
        <f t="shared" si="158"/>
        <v>0</v>
      </c>
      <c r="BZ8" s="167">
        <f t="shared" si="159"/>
        <v>0</v>
      </c>
      <c r="CA8" s="167">
        <f t="shared" si="160"/>
        <v>0</v>
      </c>
      <c r="CB8" s="170">
        <f t="shared" si="161"/>
        <v>850000</v>
      </c>
      <c r="CC8" s="167">
        <f t="shared" si="162"/>
        <v>0</v>
      </c>
      <c r="CD8" s="171">
        <f t="shared" si="163"/>
        <v>0</v>
      </c>
      <c r="CE8" s="169">
        <f t="shared" si="151"/>
        <v>0</v>
      </c>
      <c r="CF8" s="167">
        <f t="shared" si="165"/>
        <v>0</v>
      </c>
      <c r="CG8" s="167">
        <f t="shared" si="166"/>
        <v>0</v>
      </c>
      <c r="CH8" s="167">
        <f t="shared" si="167"/>
        <v>0</v>
      </c>
      <c r="CI8" s="167">
        <f t="shared" si="168"/>
        <v>850000</v>
      </c>
      <c r="CJ8" s="167">
        <f t="shared" si="169"/>
        <v>0</v>
      </c>
      <c r="CK8" s="167">
        <f t="shared" si="170"/>
        <v>0</v>
      </c>
      <c r="CL8" s="167">
        <f t="shared" si="171"/>
        <v>0</v>
      </c>
      <c r="CM8" s="167">
        <f t="shared" si="172"/>
        <v>0</v>
      </c>
      <c r="CN8" s="167">
        <f t="shared" si="173"/>
        <v>0</v>
      </c>
      <c r="CO8" s="170">
        <f t="shared" si="174"/>
        <v>850000</v>
      </c>
      <c r="CP8" s="167">
        <f t="shared" si="175"/>
        <v>0</v>
      </c>
      <c r="CQ8" s="171">
        <f t="shared" si="176"/>
        <v>0</v>
      </c>
      <c r="CR8" s="169">
        <f t="shared" si="151"/>
        <v>0</v>
      </c>
      <c r="CS8" s="167">
        <f t="shared" si="178"/>
        <v>0</v>
      </c>
      <c r="CT8" s="167">
        <f t="shared" si="179"/>
        <v>0</v>
      </c>
      <c r="CU8" s="167">
        <f t="shared" si="180"/>
        <v>0</v>
      </c>
      <c r="CV8" s="167">
        <f t="shared" si="181"/>
        <v>850000</v>
      </c>
      <c r="CW8" s="167">
        <f t="shared" si="182"/>
        <v>0</v>
      </c>
      <c r="CX8" s="167">
        <f t="shared" si="183"/>
        <v>0</v>
      </c>
      <c r="CY8" s="167">
        <f t="shared" si="184"/>
        <v>0</v>
      </c>
      <c r="CZ8" s="167">
        <f t="shared" si="185"/>
        <v>0</v>
      </c>
      <c r="DA8" s="167">
        <f t="shared" si="186"/>
        <v>0</v>
      </c>
      <c r="DB8" s="170">
        <f t="shared" si="187"/>
        <v>850000</v>
      </c>
      <c r="DC8" s="167">
        <f t="shared" si="188"/>
        <v>0</v>
      </c>
      <c r="DD8" s="171">
        <f t="shared" si="189"/>
        <v>0</v>
      </c>
      <c r="DE8" s="169">
        <f t="shared" si="190"/>
        <v>0</v>
      </c>
      <c r="DF8" s="167">
        <f t="shared" si="191"/>
        <v>0</v>
      </c>
      <c r="DG8" s="167">
        <f t="shared" si="192"/>
        <v>0</v>
      </c>
      <c r="DH8" s="167">
        <f t="shared" si="193"/>
        <v>0</v>
      </c>
      <c r="DI8" s="167">
        <f t="shared" si="194"/>
        <v>850000</v>
      </c>
      <c r="DJ8" s="167">
        <f t="shared" si="195"/>
        <v>0</v>
      </c>
      <c r="DK8" s="167">
        <f t="shared" si="196"/>
        <v>0</v>
      </c>
      <c r="DL8" s="167">
        <f t="shared" si="197"/>
        <v>0</v>
      </c>
      <c r="DM8" s="167">
        <f t="shared" si="198"/>
        <v>0</v>
      </c>
      <c r="DN8" s="167">
        <f t="shared" si="199"/>
        <v>0</v>
      </c>
      <c r="DO8" s="170">
        <f t="shared" si="200"/>
        <v>850000</v>
      </c>
      <c r="DP8" s="167">
        <f t="shared" si="201"/>
        <v>0</v>
      </c>
      <c r="DQ8" s="171">
        <f t="shared" si="202"/>
        <v>0</v>
      </c>
      <c r="DR8" s="169">
        <f t="shared" si="190"/>
        <v>0</v>
      </c>
      <c r="DS8" s="167">
        <f t="shared" si="204"/>
        <v>0</v>
      </c>
      <c r="DT8" s="167">
        <f t="shared" si="205"/>
        <v>0</v>
      </c>
      <c r="DU8" s="167">
        <f t="shared" si="206"/>
        <v>0</v>
      </c>
      <c r="DV8" s="167">
        <f t="shared" si="207"/>
        <v>850000</v>
      </c>
      <c r="DW8" s="167">
        <f t="shared" si="208"/>
        <v>0</v>
      </c>
      <c r="DX8" s="167">
        <f t="shared" si="209"/>
        <v>0</v>
      </c>
      <c r="DY8" s="167">
        <f t="shared" si="210"/>
        <v>0</v>
      </c>
      <c r="DZ8" s="167">
        <f t="shared" si="211"/>
        <v>0</v>
      </c>
      <c r="EA8" s="167">
        <f t="shared" si="212"/>
        <v>0</v>
      </c>
      <c r="EB8" s="170">
        <f t="shared" si="213"/>
        <v>850000</v>
      </c>
      <c r="EC8" s="167">
        <f t="shared" si="214"/>
        <v>0</v>
      </c>
      <c r="ED8" s="171">
        <f t="shared" si="215"/>
        <v>0</v>
      </c>
    </row>
    <row r="9" spans="1:134" x14ac:dyDescent="0.3">
      <c r="A9" s="196">
        <v>1980</v>
      </c>
      <c r="B9" s="186" t="s">
        <v>452</v>
      </c>
      <c r="C9" s="187"/>
      <c r="D9" s="188" t="s">
        <v>100</v>
      </c>
      <c r="E9" s="189">
        <v>570000</v>
      </c>
      <c r="F9" s="190">
        <v>30560</v>
      </c>
      <c r="G9" s="191">
        <v>33.700000000000003</v>
      </c>
      <c r="H9" s="192"/>
      <c r="I9" s="193"/>
      <c r="J9" s="194"/>
      <c r="K9" s="165">
        <f t="shared" si="216"/>
        <v>2.9700000000000001E-2</v>
      </c>
      <c r="L9" s="166">
        <f t="shared" si="217"/>
        <v>16929</v>
      </c>
      <c r="M9" s="167">
        <f t="shared" si="218"/>
        <v>90345</v>
      </c>
      <c r="N9" s="167"/>
      <c r="O9" s="167">
        <f t="shared" si="219"/>
        <v>479655</v>
      </c>
      <c r="P9" s="168"/>
      <c r="Q9" s="167">
        <f t="shared" si="220"/>
        <v>570000</v>
      </c>
      <c r="R9" s="169">
        <f t="shared" si="221"/>
        <v>0</v>
      </c>
      <c r="S9" s="167">
        <f t="shared" si="222"/>
        <v>0</v>
      </c>
      <c r="T9" s="167">
        <f t="shared" si="223"/>
        <v>0</v>
      </c>
      <c r="U9" s="167">
        <f t="shared" si="224"/>
        <v>0</v>
      </c>
      <c r="V9" s="167">
        <f t="shared" si="225"/>
        <v>570000</v>
      </c>
      <c r="W9" s="167">
        <f t="shared" si="226"/>
        <v>570000</v>
      </c>
      <c r="X9" s="167">
        <f t="shared" si="227"/>
        <v>16929</v>
      </c>
      <c r="Y9" s="167">
        <f t="shared" si="228"/>
        <v>16929</v>
      </c>
      <c r="Z9" s="167">
        <f t="shared" si="229"/>
        <v>73416</v>
      </c>
      <c r="AA9" s="167">
        <f t="shared" si="230"/>
        <v>73416</v>
      </c>
      <c r="AB9" s="170">
        <f t="shared" si="231"/>
        <v>496584</v>
      </c>
      <c r="AC9" s="167">
        <f t="shared" si="232"/>
        <v>0</v>
      </c>
      <c r="AD9" s="171">
        <f t="shared" si="233"/>
        <v>0</v>
      </c>
      <c r="AE9" s="169">
        <f t="shared" si="112"/>
        <v>0</v>
      </c>
      <c r="AF9" s="167">
        <f t="shared" si="113"/>
        <v>0</v>
      </c>
      <c r="AG9" s="167">
        <f t="shared" si="114"/>
        <v>0</v>
      </c>
      <c r="AH9" s="167">
        <f t="shared" si="115"/>
        <v>0</v>
      </c>
      <c r="AI9" s="167">
        <f t="shared" si="116"/>
        <v>570000</v>
      </c>
      <c r="AJ9" s="167">
        <f t="shared" si="117"/>
        <v>570000</v>
      </c>
      <c r="AK9" s="167">
        <f t="shared" si="118"/>
        <v>16929</v>
      </c>
      <c r="AL9" s="167">
        <f t="shared" si="119"/>
        <v>16929</v>
      </c>
      <c r="AM9" s="167">
        <f t="shared" si="120"/>
        <v>56487</v>
      </c>
      <c r="AN9" s="167">
        <f t="shared" si="121"/>
        <v>56487</v>
      </c>
      <c r="AO9" s="170">
        <f t="shared" si="122"/>
        <v>513513</v>
      </c>
      <c r="AP9" s="167">
        <f t="shared" si="123"/>
        <v>0</v>
      </c>
      <c r="AQ9" s="171">
        <f t="shared" si="124"/>
        <v>0</v>
      </c>
      <c r="AR9" s="169">
        <f t="shared" si="112"/>
        <v>0</v>
      </c>
      <c r="AS9" s="167">
        <f t="shared" si="126"/>
        <v>0</v>
      </c>
      <c r="AT9" s="167">
        <f t="shared" si="127"/>
        <v>0</v>
      </c>
      <c r="AU9" s="167">
        <f t="shared" si="128"/>
        <v>0</v>
      </c>
      <c r="AV9" s="167">
        <f t="shared" si="129"/>
        <v>570000</v>
      </c>
      <c r="AW9" s="167">
        <f t="shared" si="130"/>
        <v>570000</v>
      </c>
      <c r="AX9" s="167">
        <f t="shared" si="131"/>
        <v>16929</v>
      </c>
      <c r="AY9" s="167">
        <f t="shared" si="132"/>
        <v>16929</v>
      </c>
      <c r="AZ9" s="167">
        <f t="shared" si="133"/>
        <v>39558</v>
      </c>
      <c r="BA9" s="167">
        <f t="shared" si="134"/>
        <v>39558</v>
      </c>
      <c r="BB9" s="170">
        <f t="shared" si="135"/>
        <v>530442</v>
      </c>
      <c r="BC9" s="167">
        <f t="shared" si="136"/>
        <v>0</v>
      </c>
      <c r="BD9" s="171">
        <f t="shared" si="137"/>
        <v>0</v>
      </c>
      <c r="BE9" s="169">
        <f t="shared" si="112"/>
        <v>0</v>
      </c>
      <c r="BF9" s="167">
        <f t="shared" si="139"/>
        <v>0</v>
      </c>
      <c r="BG9" s="167">
        <f t="shared" si="140"/>
        <v>0</v>
      </c>
      <c r="BH9" s="167">
        <f t="shared" si="141"/>
        <v>0</v>
      </c>
      <c r="BI9" s="167">
        <f t="shared" si="142"/>
        <v>570000</v>
      </c>
      <c r="BJ9" s="167">
        <f t="shared" si="143"/>
        <v>570000</v>
      </c>
      <c r="BK9" s="167">
        <f t="shared" si="144"/>
        <v>16929</v>
      </c>
      <c r="BL9" s="167">
        <f t="shared" si="145"/>
        <v>16929</v>
      </c>
      <c r="BM9" s="167">
        <f t="shared" si="146"/>
        <v>22629</v>
      </c>
      <c r="BN9" s="167">
        <f t="shared" si="147"/>
        <v>22629</v>
      </c>
      <c r="BO9" s="170">
        <f t="shared" si="148"/>
        <v>547371</v>
      </c>
      <c r="BP9" s="167">
        <f t="shared" si="149"/>
        <v>0</v>
      </c>
      <c r="BQ9" s="171">
        <f t="shared" si="150"/>
        <v>0</v>
      </c>
      <c r="BR9" s="169">
        <f t="shared" si="151"/>
        <v>0</v>
      </c>
      <c r="BS9" s="167">
        <f t="shared" si="152"/>
        <v>0</v>
      </c>
      <c r="BT9" s="167">
        <f t="shared" si="153"/>
        <v>0</v>
      </c>
      <c r="BU9" s="167">
        <f t="shared" si="154"/>
        <v>0</v>
      </c>
      <c r="BV9" s="167">
        <f t="shared" si="155"/>
        <v>570000</v>
      </c>
      <c r="BW9" s="167">
        <f t="shared" si="156"/>
        <v>570000</v>
      </c>
      <c r="BX9" s="167">
        <f t="shared" si="157"/>
        <v>16929</v>
      </c>
      <c r="BY9" s="167">
        <f t="shared" si="158"/>
        <v>16929</v>
      </c>
      <c r="BZ9" s="167">
        <f t="shared" si="159"/>
        <v>5700</v>
      </c>
      <c r="CA9" s="167">
        <f t="shared" si="160"/>
        <v>5700</v>
      </c>
      <c r="CB9" s="170">
        <f t="shared" si="161"/>
        <v>564300</v>
      </c>
      <c r="CC9" s="167">
        <f t="shared" si="162"/>
        <v>0</v>
      </c>
      <c r="CD9" s="171">
        <f t="shared" si="163"/>
        <v>0</v>
      </c>
      <c r="CE9" s="169">
        <f t="shared" si="151"/>
        <v>0</v>
      </c>
      <c r="CF9" s="167">
        <f t="shared" si="165"/>
        <v>0</v>
      </c>
      <c r="CG9" s="167">
        <f t="shared" si="166"/>
        <v>0</v>
      </c>
      <c r="CH9" s="167">
        <f t="shared" si="167"/>
        <v>0</v>
      </c>
      <c r="CI9" s="167">
        <f t="shared" si="168"/>
        <v>570000</v>
      </c>
      <c r="CJ9" s="167">
        <f t="shared" si="169"/>
        <v>191919.19</v>
      </c>
      <c r="CK9" s="167">
        <f t="shared" si="170"/>
        <v>5700</v>
      </c>
      <c r="CL9" s="167">
        <f t="shared" si="171"/>
        <v>5700</v>
      </c>
      <c r="CM9" s="167">
        <f t="shared" si="172"/>
        <v>0</v>
      </c>
      <c r="CN9" s="167">
        <f t="shared" si="173"/>
        <v>0</v>
      </c>
      <c r="CO9" s="170">
        <f t="shared" si="174"/>
        <v>570000</v>
      </c>
      <c r="CP9" s="167">
        <f t="shared" si="175"/>
        <v>0</v>
      </c>
      <c r="CQ9" s="171">
        <f t="shared" si="176"/>
        <v>0</v>
      </c>
      <c r="CR9" s="169">
        <f t="shared" si="151"/>
        <v>0</v>
      </c>
      <c r="CS9" s="167">
        <f t="shared" si="178"/>
        <v>0</v>
      </c>
      <c r="CT9" s="167">
        <f t="shared" si="179"/>
        <v>0</v>
      </c>
      <c r="CU9" s="167">
        <f t="shared" si="180"/>
        <v>0</v>
      </c>
      <c r="CV9" s="167">
        <f t="shared" si="181"/>
        <v>570000</v>
      </c>
      <c r="CW9" s="167">
        <f t="shared" si="182"/>
        <v>0</v>
      </c>
      <c r="CX9" s="167">
        <f t="shared" si="183"/>
        <v>0</v>
      </c>
      <c r="CY9" s="167">
        <f t="shared" si="184"/>
        <v>0</v>
      </c>
      <c r="CZ9" s="167">
        <f t="shared" si="185"/>
        <v>0</v>
      </c>
      <c r="DA9" s="167">
        <f t="shared" si="186"/>
        <v>0</v>
      </c>
      <c r="DB9" s="170">
        <f t="shared" si="187"/>
        <v>570000</v>
      </c>
      <c r="DC9" s="167">
        <f t="shared" si="188"/>
        <v>0</v>
      </c>
      <c r="DD9" s="171">
        <f t="shared" si="189"/>
        <v>0</v>
      </c>
      <c r="DE9" s="169">
        <f t="shared" si="190"/>
        <v>0</v>
      </c>
      <c r="DF9" s="167">
        <f t="shared" si="191"/>
        <v>0</v>
      </c>
      <c r="DG9" s="167">
        <f t="shared" si="192"/>
        <v>0</v>
      </c>
      <c r="DH9" s="167">
        <f t="shared" si="193"/>
        <v>0</v>
      </c>
      <c r="DI9" s="167">
        <f t="shared" si="194"/>
        <v>570000</v>
      </c>
      <c r="DJ9" s="167">
        <f t="shared" si="195"/>
        <v>0</v>
      </c>
      <c r="DK9" s="167">
        <f t="shared" si="196"/>
        <v>0</v>
      </c>
      <c r="DL9" s="167">
        <f t="shared" si="197"/>
        <v>0</v>
      </c>
      <c r="DM9" s="167">
        <f t="shared" si="198"/>
        <v>0</v>
      </c>
      <c r="DN9" s="167">
        <f t="shared" si="199"/>
        <v>0</v>
      </c>
      <c r="DO9" s="170">
        <f t="shared" si="200"/>
        <v>570000</v>
      </c>
      <c r="DP9" s="167">
        <f t="shared" si="201"/>
        <v>0</v>
      </c>
      <c r="DQ9" s="171">
        <f t="shared" si="202"/>
        <v>0</v>
      </c>
      <c r="DR9" s="169">
        <f t="shared" si="190"/>
        <v>0</v>
      </c>
      <c r="DS9" s="167">
        <f t="shared" si="204"/>
        <v>0</v>
      </c>
      <c r="DT9" s="167">
        <f t="shared" si="205"/>
        <v>0</v>
      </c>
      <c r="DU9" s="167">
        <f t="shared" si="206"/>
        <v>0</v>
      </c>
      <c r="DV9" s="167">
        <f t="shared" si="207"/>
        <v>570000</v>
      </c>
      <c r="DW9" s="167">
        <f t="shared" si="208"/>
        <v>0</v>
      </c>
      <c r="DX9" s="167">
        <f t="shared" si="209"/>
        <v>0</v>
      </c>
      <c r="DY9" s="167">
        <f t="shared" si="210"/>
        <v>0</v>
      </c>
      <c r="DZ9" s="167">
        <f t="shared" si="211"/>
        <v>0</v>
      </c>
      <c r="EA9" s="167">
        <f t="shared" si="212"/>
        <v>0</v>
      </c>
      <c r="EB9" s="170">
        <f t="shared" si="213"/>
        <v>570000</v>
      </c>
      <c r="EC9" s="167">
        <f t="shared" si="214"/>
        <v>0</v>
      </c>
      <c r="ED9" s="171">
        <f t="shared" si="215"/>
        <v>0</v>
      </c>
    </row>
    <row r="10" spans="1:134" x14ac:dyDescent="0.3">
      <c r="A10" s="196">
        <v>1985</v>
      </c>
      <c r="B10" s="186" t="s">
        <v>452</v>
      </c>
      <c r="C10" s="187"/>
      <c r="D10" s="188" t="s">
        <v>100</v>
      </c>
      <c r="E10" s="189">
        <v>340000</v>
      </c>
      <c r="F10" s="190">
        <v>32112</v>
      </c>
      <c r="G10" s="191">
        <v>33.700000000000003</v>
      </c>
      <c r="H10" s="192"/>
      <c r="I10" s="193"/>
      <c r="J10" s="194"/>
      <c r="K10" s="165">
        <f t="shared" si="216"/>
        <v>2.9700000000000001E-2</v>
      </c>
      <c r="L10" s="166">
        <f t="shared" si="217"/>
        <v>10098</v>
      </c>
      <c r="M10" s="167">
        <f t="shared" si="218"/>
        <v>96806.5</v>
      </c>
      <c r="N10" s="167"/>
      <c r="O10" s="167">
        <f t="shared" si="219"/>
        <v>243193.5</v>
      </c>
      <c r="P10" s="168"/>
      <c r="Q10" s="167">
        <f t="shared" si="220"/>
        <v>340000</v>
      </c>
      <c r="R10" s="169">
        <f t="shared" si="221"/>
        <v>0</v>
      </c>
      <c r="S10" s="167">
        <f t="shared" si="222"/>
        <v>0</v>
      </c>
      <c r="T10" s="167">
        <f t="shared" si="223"/>
        <v>0</v>
      </c>
      <c r="U10" s="167">
        <f t="shared" si="224"/>
        <v>0</v>
      </c>
      <c r="V10" s="167">
        <f t="shared" si="225"/>
        <v>340000</v>
      </c>
      <c r="W10" s="167">
        <f t="shared" si="226"/>
        <v>340000</v>
      </c>
      <c r="X10" s="167">
        <f t="shared" si="227"/>
        <v>10098</v>
      </c>
      <c r="Y10" s="167">
        <f t="shared" si="228"/>
        <v>10098</v>
      </c>
      <c r="Z10" s="167">
        <f t="shared" si="229"/>
        <v>86708.5</v>
      </c>
      <c r="AA10" s="167">
        <f t="shared" si="230"/>
        <v>86708.5</v>
      </c>
      <c r="AB10" s="170">
        <f t="shared" si="231"/>
        <v>253291.5</v>
      </c>
      <c r="AC10" s="167">
        <f t="shared" si="232"/>
        <v>0</v>
      </c>
      <c r="AD10" s="171">
        <f t="shared" si="233"/>
        <v>0</v>
      </c>
      <c r="AE10" s="169">
        <f t="shared" si="112"/>
        <v>0</v>
      </c>
      <c r="AF10" s="167">
        <f t="shared" si="113"/>
        <v>0</v>
      </c>
      <c r="AG10" s="167">
        <f t="shared" si="114"/>
        <v>0</v>
      </c>
      <c r="AH10" s="167">
        <f t="shared" si="115"/>
        <v>0</v>
      </c>
      <c r="AI10" s="167">
        <f t="shared" si="116"/>
        <v>340000</v>
      </c>
      <c r="AJ10" s="167">
        <f t="shared" si="117"/>
        <v>340000</v>
      </c>
      <c r="AK10" s="167">
        <f t="shared" si="118"/>
        <v>10098</v>
      </c>
      <c r="AL10" s="167">
        <f t="shared" si="119"/>
        <v>10098</v>
      </c>
      <c r="AM10" s="167">
        <f t="shared" si="120"/>
        <v>76610.5</v>
      </c>
      <c r="AN10" s="167">
        <f t="shared" si="121"/>
        <v>76610.5</v>
      </c>
      <c r="AO10" s="170">
        <f t="shared" si="122"/>
        <v>263389.5</v>
      </c>
      <c r="AP10" s="167">
        <f t="shared" si="123"/>
        <v>0</v>
      </c>
      <c r="AQ10" s="171">
        <f t="shared" si="124"/>
        <v>0</v>
      </c>
      <c r="AR10" s="169">
        <f t="shared" si="112"/>
        <v>0</v>
      </c>
      <c r="AS10" s="167">
        <f t="shared" si="126"/>
        <v>0</v>
      </c>
      <c r="AT10" s="167">
        <f t="shared" si="127"/>
        <v>0</v>
      </c>
      <c r="AU10" s="167">
        <f t="shared" si="128"/>
        <v>0</v>
      </c>
      <c r="AV10" s="167">
        <f t="shared" si="129"/>
        <v>340000</v>
      </c>
      <c r="AW10" s="167">
        <f t="shared" si="130"/>
        <v>340000</v>
      </c>
      <c r="AX10" s="167">
        <f t="shared" si="131"/>
        <v>10098</v>
      </c>
      <c r="AY10" s="167">
        <f t="shared" si="132"/>
        <v>10098</v>
      </c>
      <c r="AZ10" s="167">
        <f t="shared" si="133"/>
        <v>66512.5</v>
      </c>
      <c r="BA10" s="167">
        <f t="shared" si="134"/>
        <v>66512.5</v>
      </c>
      <c r="BB10" s="170">
        <f t="shared" si="135"/>
        <v>273487.5</v>
      </c>
      <c r="BC10" s="167">
        <f t="shared" si="136"/>
        <v>0</v>
      </c>
      <c r="BD10" s="171">
        <f t="shared" si="137"/>
        <v>0</v>
      </c>
      <c r="BE10" s="169">
        <f t="shared" si="112"/>
        <v>0</v>
      </c>
      <c r="BF10" s="167">
        <f t="shared" si="139"/>
        <v>0</v>
      </c>
      <c r="BG10" s="167">
        <f t="shared" si="140"/>
        <v>0</v>
      </c>
      <c r="BH10" s="167">
        <f t="shared" si="141"/>
        <v>0</v>
      </c>
      <c r="BI10" s="167">
        <f t="shared" si="142"/>
        <v>340000</v>
      </c>
      <c r="BJ10" s="167">
        <f t="shared" si="143"/>
        <v>340000</v>
      </c>
      <c r="BK10" s="167">
        <f t="shared" si="144"/>
        <v>10098</v>
      </c>
      <c r="BL10" s="167">
        <f t="shared" si="145"/>
        <v>10098</v>
      </c>
      <c r="BM10" s="167">
        <f t="shared" si="146"/>
        <v>56414.5</v>
      </c>
      <c r="BN10" s="167">
        <f t="shared" si="147"/>
        <v>56414.5</v>
      </c>
      <c r="BO10" s="170">
        <f t="shared" si="148"/>
        <v>283585.5</v>
      </c>
      <c r="BP10" s="167">
        <f t="shared" si="149"/>
        <v>0</v>
      </c>
      <c r="BQ10" s="171">
        <f t="shared" si="150"/>
        <v>0</v>
      </c>
      <c r="BR10" s="169">
        <f t="shared" si="151"/>
        <v>0</v>
      </c>
      <c r="BS10" s="167">
        <f t="shared" si="152"/>
        <v>0</v>
      </c>
      <c r="BT10" s="167">
        <f t="shared" si="153"/>
        <v>0</v>
      </c>
      <c r="BU10" s="167">
        <f t="shared" si="154"/>
        <v>0</v>
      </c>
      <c r="BV10" s="167">
        <f t="shared" si="155"/>
        <v>340000</v>
      </c>
      <c r="BW10" s="167">
        <f t="shared" si="156"/>
        <v>340000</v>
      </c>
      <c r="BX10" s="167">
        <f t="shared" si="157"/>
        <v>10098</v>
      </c>
      <c r="BY10" s="167">
        <f t="shared" si="158"/>
        <v>10098</v>
      </c>
      <c r="BZ10" s="167">
        <f t="shared" si="159"/>
        <v>46316.5</v>
      </c>
      <c r="CA10" s="167">
        <f t="shared" si="160"/>
        <v>46316.5</v>
      </c>
      <c r="CB10" s="170">
        <f t="shared" si="161"/>
        <v>293683.5</v>
      </c>
      <c r="CC10" s="167">
        <f t="shared" si="162"/>
        <v>0</v>
      </c>
      <c r="CD10" s="171">
        <f t="shared" si="163"/>
        <v>0</v>
      </c>
      <c r="CE10" s="169">
        <f t="shared" si="151"/>
        <v>0</v>
      </c>
      <c r="CF10" s="167">
        <f t="shared" si="165"/>
        <v>0</v>
      </c>
      <c r="CG10" s="167">
        <f t="shared" si="166"/>
        <v>0</v>
      </c>
      <c r="CH10" s="167">
        <f t="shared" si="167"/>
        <v>0</v>
      </c>
      <c r="CI10" s="167">
        <f t="shared" si="168"/>
        <v>340000</v>
      </c>
      <c r="CJ10" s="167">
        <f t="shared" si="169"/>
        <v>340000</v>
      </c>
      <c r="CK10" s="167">
        <f t="shared" si="170"/>
        <v>10098</v>
      </c>
      <c r="CL10" s="167">
        <f t="shared" si="171"/>
        <v>10098</v>
      </c>
      <c r="CM10" s="167">
        <f t="shared" si="172"/>
        <v>36218.5</v>
      </c>
      <c r="CN10" s="167">
        <f t="shared" si="173"/>
        <v>36218.5</v>
      </c>
      <c r="CO10" s="170">
        <f t="shared" si="174"/>
        <v>303781.5</v>
      </c>
      <c r="CP10" s="167">
        <f t="shared" si="175"/>
        <v>0</v>
      </c>
      <c r="CQ10" s="171">
        <f t="shared" si="176"/>
        <v>0</v>
      </c>
      <c r="CR10" s="169">
        <f t="shared" si="151"/>
        <v>0</v>
      </c>
      <c r="CS10" s="167">
        <f t="shared" si="178"/>
        <v>0</v>
      </c>
      <c r="CT10" s="167">
        <f t="shared" si="179"/>
        <v>0</v>
      </c>
      <c r="CU10" s="167">
        <f t="shared" si="180"/>
        <v>0</v>
      </c>
      <c r="CV10" s="167">
        <f t="shared" si="181"/>
        <v>340000</v>
      </c>
      <c r="CW10" s="167">
        <f t="shared" si="182"/>
        <v>340000</v>
      </c>
      <c r="CX10" s="167">
        <f t="shared" si="183"/>
        <v>10098</v>
      </c>
      <c r="CY10" s="167">
        <f t="shared" si="184"/>
        <v>10098</v>
      </c>
      <c r="CZ10" s="167">
        <f t="shared" si="185"/>
        <v>26120.5</v>
      </c>
      <c r="DA10" s="167">
        <f t="shared" si="186"/>
        <v>26120.5</v>
      </c>
      <c r="DB10" s="170">
        <f t="shared" si="187"/>
        <v>313879.5</v>
      </c>
      <c r="DC10" s="167">
        <f t="shared" si="188"/>
        <v>0</v>
      </c>
      <c r="DD10" s="171">
        <f t="shared" si="189"/>
        <v>0</v>
      </c>
      <c r="DE10" s="169">
        <f t="shared" si="190"/>
        <v>0</v>
      </c>
      <c r="DF10" s="167">
        <f t="shared" si="191"/>
        <v>0</v>
      </c>
      <c r="DG10" s="167">
        <f t="shared" si="192"/>
        <v>0</v>
      </c>
      <c r="DH10" s="167">
        <f t="shared" si="193"/>
        <v>0</v>
      </c>
      <c r="DI10" s="167">
        <f t="shared" si="194"/>
        <v>340000</v>
      </c>
      <c r="DJ10" s="167">
        <f t="shared" si="195"/>
        <v>340000</v>
      </c>
      <c r="DK10" s="167">
        <f t="shared" si="196"/>
        <v>10098</v>
      </c>
      <c r="DL10" s="167">
        <f t="shared" si="197"/>
        <v>10098</v>
      </c>
      <c r="DM10" s="167">
        <f t="shared" si="198"/>
        <v>16022.5</v>
      </c>
      <c r="DN10" s="167">
        <f t="shared" si="199"/>
        <v>16022.5</v>
      </c>
      <c r="DO10" s="170">
        <f t="shared" si="200"/>
        <v>323977.5</v>
      </c>
      <c r="DP10" s="167">
        <f t="shared" si="201"/>
        <v>0</v>
      </c>
      <c r="DQ10" s="171">
        <f t="shared" si="202"/>
        <v>0</v>
      </c>
      <c r="DR10" s="169">
        <f t="shared" si="190"/>
        <v>0</v>
      </c>
      <c r="DS10" s="167">
        <f t="shared" si="204"/>
        <v>0</v>
      </c>
      <c r="DT10" s="167">
        <f t="shared" si="205"/>
        <v>0</v>
      </c>
      <c r="DU10" s="167">
        <f t="shared" si="206"/>
        <v>0</v>
      </c>
      <c r="DV10" s="167">
        <f t="shared" si="207"/>
        <v>340000</v>
      </c>
      <c r="DW10" s="167">
        <f t="shared" si="208"/>
        <v>340000</v>
      </c>
      <c r="DX10" s="167">
        <f t="shared" si="209"/>
        <v>10098</v>
      </c>
      <c r="DY10" s="167">
        <f t="shared" si="210"/>
        <v>10098</v>
      </c>
      <c r="DZ10" s="167">
        <f t="shared" si="211"/>
        <v>5924.5</v>
      </c>
      <c r="EA10" s="167">
        <f t="shared" si="212"/>
        <v>5924.5</v>
      </c>
      <c r="EB10" s="170">
        <f t="shared" si="213"/>
        <v>334075.5</v>
      </c>
      <c r="EC10" s="167">
        <f t="shared" si="214"/>
        <v>0</v>
      </c>
      <c r="ED10" s="171">
        <f t="shared" si="215"/>
        <v>0</v>
      </c>
    </row>
    <row r="11" spans="1:134" x14ac:dyDescent="0.3">
      <c r="A11" s="196">
        <v>1989</v>
      </c>
      <c r="B11" s="186" t="s">
        <v>452</v>
      </c>
      <c r="C11" s="187"/>
      <c r="D11" s="188" t="s">
        <v>100</v>
      </c>
      <c r="E11" s="189">
        <v>210000</v>
      </c>
      <c r="F11" s="190">
        <v>33359</v>
      </c>
      <c r="G11" s="191">
        <v>33.700000000000003</v>
      </c>
      <c r="H11" s="192"/>
      <c r="I11" s="193"/>
      <c r="J11" s="194"/>
      <c r="K11" s="165">
        <f t="shared" si="216"/>
        <v>2.9700000000000001E-2</v>
      </c>
      <c r="L11" s="166">
        <f t="shared" si="217"/>
        <v>6237</v>
      </c>
      <c r="M11" s="167">
        <f t="shared" si="218"/>
        <v>81102</v>
      </c>
      <c r="N11" s="167"/>
      <c r="O11" s="167">
        <f t="shared" si="219"/>
        <v>128898</v>
      </c>
      <c r="P11" s="168"/>
      <c r="Q11" s="167">
        <f t="shared" si="220"/>
        <v>210000</v>
      </c>
      <c r="R11" s="169">
        <f t="shared" si="221"/>
        <v>0</v>
      </c>
      <c r="S11" s="167">
        <f t="shared" si="222"/>
        <v>0</v>
      </c>
      <c r="T11" s="167">
        <f t="shared" si="223"/>
        <v>0</v>
      </c>
      <c r="U11" s="167">
        <f t="shared" si="224"/>
        <v>0</v>
      </c>
      <c r="V11" s="167">
        <f t="shared" si="225"/>
        <v>210000</v>
      </c>
      <c r="W11" s="167">
        <f t="shared" si="226"/>
        <v>210000</v>
      </c>
      <c r="X11" s="167">
        <f t="shared" si="227"/>
        <v>6237</v>
      </c>
      <c r="Y11" s="167">
        <f t="shared" si="228"/>
        <v>6237</v>
      </c>
      <c r="Z11" s="167">
        <f t="shared" si="229"/>
        <v>74865</v>
      </c>
      <c r="AA11" s="167">
        <f t="shared" si="230"/>
        <v>74865</v>
      </c>
      <c r="AB11" s="170">
        <f t="shared" si="231"/>
        <v>135135</v>
      </c>
      <c r="AC11" s="167">
        <f t="shared" si="232"/>
        <v>0</v>
      </c>
      <c r="AD11" s="171">
        <f t="shared" si="233"/>
        <v>0</v>
      </c>
      <c r="AE11" s="169">
        <f t="shared" si="112"/>
        <v>0</v>
      </c>
      <c r="AF11" s="167">
        <f t="shared" si="113"/>
        <v>0</v>
      </c>
      <c r="AG11" s="167">
        <f t="shared" si="114"/>
        <v>0</v>
      </c>
      <c r="AH11" s="167">
        <f t="shared" si="115"/>
        <v>0</v>
      </c>
      <c r="AI11" s="167">
        <f t="shared" si="116"/>
        <v>210000</v>
      </c>
      <c r="AJ11" s="167">
        <f t="shared" si="117"/>
        <v>210000</v>
      </c>
      <c r="AK11" s="167">
        <f t="shared" si="118"/>
        <v>6237</v>
      </c>
      <c r="AL11" s="167">
        <f t="shared" si="119"/>
        <v>6237</v>
      </c>
      <c r="AM11" s="167">
        <f t="shared" si="120"/>
        <v>68628</v>
      </c>
      <c r="AN11" s="167">
        <f t="shared" si="121"/>
        <v>68628</v>
      </c>
      <c r="AO11" s="170">
        <f t="shared" si="122"/>
        <v>141372</v>
      </c>
      <c r="AP11" s="167">
        <f t="shared" si="123"/>
        <v>0</v>
      </c>
      <c r="AQ11" s="171">
        <f t="shared" si="124"/>
        <v>0</v>
      </c>
      <c r="AR11" s="169">
        <f t="shared" si="112"/>
        <v>0</v>
      </c>
      <c r="AS11" s="167">
        <f t="shared" si="126"/>
        <v>0</v>
      </c>
      <c r="AT11" s="167">
        <f t="shared" si="127"/>
        <v>0</v>
      </c>
      <c r="AU11" s="167">
        <f t="shared" si="128"/>
        <v>0</v>
      </c>
      <c r="AV11" s="167">
        <f t="shared" si="129"/>
        <v>210000</v>
      </c>
      <c r="AW11" s="167">
        <f t="shared" si="130"/>
        <v>210000</v>
      </c>
      <c r="AX11" s="167">
        <f t="shared" si="131"/>
        <v>6237</v>
      </c>
      <c r="AY11" s="167">
        <f t="shared" si="132"/>
        <v>6237</v>
      </c>
      <c r="AZ11" s="167">
        <f t="shared" si="133"/>
        <v>62391</v>
      </c>
      <c r="BA11" s="167">
        <f t="shared" si="134"/>
        <v>62391</v>
      </c>
      <c r="BB11" s="170">
        <f t="shared" si="135"/>
        <v>147609</v>
      </c>
      <c r="BC11" s="167">
        <f t="shared" si="136"/>
        <v>0</v>
      </c>
      <c r="BD11" s="171">
        <f t="shared" si="137"/>
        <v>0</v>
      </c>
      <c r="BE11" s="169">
        <f t="shared" si="112"/>
        <v>0</v>
      </c>
      <c r="BF11" s="167">
        <f t="shared" si="139"/>
        <v>0</v>
      </c>
      <c r="BG11" s="167">
        <f t="shared" si="140"/>
        <v>0</v>
      </c>
      <c r="BH11" s="167">
        <f t="shared" si="141"/>
        <v>0</v>
      </c>
      <c r="BI11" s="167">
        <f t="shared" si="142"/>
        <v>210000</v>
      </c>
      <c r="BJ11" s="167">
        <f t="shared" si="143"/>
        <v>210000</v>
      </c>
      <c r="BK11" s="167">
        <f t="shared" si="144"/>
        <v>6237</v>
      </c>
      <c r="BL11" s="167">
        <f t="shared" si="145"/>
        <v>6237</v>
      </c>
      <c r="BM11" s="167">
        <f t="shared" si="146"/>
        <v>56154</v>
      </c>
      <c r="BN11" s="167">
        <f t="shared" si="147"/>
        <v>56154</v>
      </c>
      <c r="BO11" s="170">
        <f t="shared" si="148"/>
        <v>153846</v>
      </c>
      <c r="BP11" s="167">
        <f t="shared" si="149"/>
        <v>0</v>
      </c>
      <c r="BQ11" s="171">
        <f t="shared" si="150"/>
        <v>0</v>
      </c>
      <c r="BR11" s="169">
        <f t="shared" si="151"/>
        <v>0</v>
      </c>
      <c r="BS11" s="167">
        <f t="shared" si="152"/>
        <v>0</v>
      </c>
      <c r="BT11" s="167">
        <f t="shared" si="153"/>
        <v>0</v>
      </c>
      <c r="BU11" s="167">
        <f t="shared" si="154"/>
        <v>0</v>
      </c>
      <c r="BV11" s="167">
        <f t="shared" si="155"/>
        <v>210000</v>
      </c>
      <c r="BW11" s="167">
        <f t="shared" si="156"/>
        <v>210000</v>
      </c>
      <c r="BX11" s="167">
        <f t="shared" si="157"/>
        <v>6237</v>
      </c>
      <c r="BY11" s="167">
        <f t="shared" si="158"/>
        <v>6237</v>
      </c>
      <c r="BZ11" s="167">
        <f t="shared" si="159"/>
        <v>49917</v>
      </c>
      <c r="CA11" s="167">
        <f t="shared" si="160"/>
        <v>49917</v>
      </c>
      <c r="CB11" s="170">
        <f t="shared" si="161"/>
        <v>160083</v>
      </c>
      <c r="CC11" s="167">
        <f t="shared" si="162"/>
        <v>0</v>
      </c>
      <c r="CD11" s="171">
        <f t="shared" si="163"/>
        <v>0</v>
      </c>
      <c r="CE11" s="169">
        <f t="shared" si="151"/>
        <v>0</v>
      </c>
      <c r="CF11" s="167">
        <f t="shared" si="165"/>
        <v>0</v>
      </c>
      <c r="CG11" s="167">
        <f t="shared" si="166"/>
        <v>0</v>
      </c>
      <c r="CH11" s="167">
        <f t="shared" si="167"/>
        <v>0</v>
      </c>
      <c r="CI11" s="167">
        <f t="shared" si="168"/>
        <v>210000</v>
      </c>
      <c r="CJ11" s="167">
        <f t="shared" si="169"/>
        <v>210000</v>
      </c>
      <c r="CK11" s="167">
        <f t="shared" si="170"/>
        <v>6237</v>
      </c>
      <c r="CL11" s="167">
        <f t="shared" si="171"/>
        <v>6237</v>
      </c>
      <c r="CM11" s="167">
        <f t="shared" si="172"/>
        <v>43680</v>
      </c>
      <c r="CN11" s="167">
        <f t="shared" si="173"/>
        <v>43680</v>
      </c>
      <c r="CO11" s="170">
        <f t="shared" si="174"/>
        <v>166320</v>
      </c>
      <c r="CP11" s="167">
        <f t="shared" si="175"/>
        <v>0</v>
      </c>
      <c r="CQ11" s="171">
        <f t="shared" si="176"/>
        <v>0</v>
      </c>
      <c r="CR11" s="169">
        <f t="shared" si="151"/>
        <v>0</v>
      </c>
      <c r="CS11" s="167">
        <f t="shared" si="178"/>
        <v>0</v>
      </c>
      <c r="CT11" s="167">
        <f t="shared" si="179"/>
        <v>0</v>
      </c>
      <c r="CU11" s="167">
        <f t="shared" si="180"/>
        <v>0</v>
      </c>
      <c r="CV11" s="167">
        <f t="shared" si="181"/>
        <v>210000</v>
      </c>
      <c r="CW11" s="167">
        <f t="shared" si="182"/>
        <v>210000</v>
      </c>
      <c r="CX11" s="167">
        <f t="shared" si="183"/>
        <v>6237</v>
      </c>
      <c r="CY11" s="167">
        <f t="shared" si="184"/>
        <v>6237</v>
      </c>
      <c r="CZ11" s="167">
        <f t="shared" si="185"/>
        <v>37443</v>
      </c>
      <c r="DA11" s="167">
        <f t="shared" si="186"/>
        <v>37443</v>
      </c>
      <c r="DB11" s="170">
        <f t="shared" si="187"/>
        <v>172557</v>
      </c>
      <c r="DC11" s="167">
        <f t="shared" si="188"/>
        <v>0</v>
      </c>
      <c r="DD11" s="171">
        <f t="shared" si="189"/>
        <v>0</v>
      </c>
      <c r="DE11" s="169">
        <f t="shared" si="190"/>
        <v>0</v>
      </c>
      <c r="DF11" s="167">
        <f t="shared" si="191"/>
        <v>0</v>
      </c>
      <c r="DG11" s="167">
        <f t="shared" si="192"/>
        <v>0</v>
      </c>
      <c r="DH11" s="167">
        <f t="shared" si="193"/>
        <v>0</v>
      </c>
      <c r="DI11" s="167">
        <f t="shared" si="194"/>
        <v>210000</v>
      </c>
      <c r="DJ11" s="167">
        <f t="shared" si="195"/>
        <v>210000</v>
      </c>
      <c r="DK11" s="167">
        <f t="shared" si="196"/>
        <v>6237</v>
      </c>
      <c r="DL11" s="167">
        <f t="shared" si="197"/>
        <v>6237</v>
      </c>
      <c r="DM11" s="167">
        <f t="shared" si="198"/>
        <v>31206</v>
      </c>
      <c r="DN11" s="167">
        <f t="shared" si="199"/>
        <v>31206</v>
      </c>
      <c r="DO11" s="170">
        <f t="shared" si="200"/>
        <v>178794</v>
      </c>
      <c r="DP11" s="167">
        <f t="shared" si="201"/>
        <v>0</v>
      </c>
      <c r="DQ11" s="171">
        <f t="shared" si="202"/>
        <v>0</v>
      </c>
      <c r="DR11" s="169">
        <f t="shared" si="190"/>
        <v>0</v>
      </c>
      <c r="DS11" s="167">
        <f t="shared" si="204"/>
        <v>0</v>
      </c>
      <c r="DT11" s="167">
        <f t="shared" si="205"/>
        <v>0</v>
      </c>
      <c r="DU11" s="167">
        <f t="shared" si="206"/>
        <v>0</v>
      </c>
      <c r="DV11" s="167">
        <f t="shared" si="207"/>
        <v>210000</v>
      </c>
      <c r="DW11" s="167">
        <f t="shared" si="208"/>
        <v>210000</v>
      </c>
      <c r="DX11" s="167">
        <f t="shared" si="209"/>
        <v>6237</v>
      </c>
      <c r="DY11" s="167">
        <f t="shared" si="210"/>
        <v>6237</v>
      </c>
      <c r="DZ11" s="167">
        <f t="shared" si="211"/>
        <v>24969</v>
      </c>
      <c r="EA11" s="167">
        <f t="shared" si="212"/>
        <v>24969</v>
      </c>
      <c r="EB11" s="170">
        <f t="shared" si="213"/>
        <v>185031</v>
      </c>
      <c r="EC11" s="167">
        <f t="shared" si="214"/>
        <v>0</v>
      </c>
      <c r="ED11" s="171">
        <f t="shared" si="215"/>
        <v>0</v>
      </c>
    </row>
    <row r="12" spans="1:134" x14ac:dyDescent="0.3">
      <c r="A12" s="196">
        <v>1990</v>
      </c>
      <c r="B12" s="186" t="s">
        <v>452</v>
      </c>
      <c r="C12" s="187"/>
      <c r="D12" s="188" t="s">
        <v>100</v>
      </c>
      <c r="E12" s="189">
        <v>230000</v>
      </c>
      <c r="F12" s="190">
        <v>33664</v>
      </c>
      <c r="G12" s="191">
        <v>33.700000000000003</v>
      </c>
      <c r="H12" s="192"/>
      <c r="I12" s="193"/>
      <c r="J12" s="194"/>
      <c r="K12" s="165">
        <f t="shared" si="216"/>
        <v>2.9700000000000001E-2</v>
      </c>
      <c r="L12" s="166">
        <f t="shared" si="217"/>
        <v>6831</v>
      </c>
      <c r="M12" s="167">
        <f t="shared" si="218"/>
        <v>94518.5</v>
      </c>
      <c r="N12" s="167"/>
      <c r="O12" s="167">
        <f t="shared" si="219"/>
        <v>135481.5</v>
      </c>
      <c r="P12" s="168"/>
      <c r="Q12" s="167">
        <f t="shared" si="220"/>
        <v>230000</v>
      </c>
      <c r="R12" s="169">
        <f t="shared" si="221"/>
        <v>0</v>
      </c>
      <c r="S12" s="167">
        <f t="shared" si="222"/>
        <v>0</v>
      </c>
      <c r="T12" s="167">
        <f t="shared" si="223"/>
        <v>0</v>
      </c>
      <c r="U12" s="167">
        <f t="shared" si="224"/>
        <v>0</v>
      </c>
      <c r="V12" s="167">
        <f t="shared" si="225"/>
        <v>230000</v>
      </c>
      <c r="W12" s="167">
        <f t="shared" si="226"/>
        <v>230000</v>
      </c>
      <c r="X12" s="167">
        <f t="shared" si="227"/>
        <v>6831</v>
      </c>
      <c r="Y12" s="167">
        <f t="shared" si="228"/>
        <v>6831</v>
      </c>
      <c r="Z12" s="167">
        <f t="shared" si="229"/>
        <v>87687.5</v>
      </c>
      <c r="AA12" s="167">
        <f t="shared" si="230"/>
        <v>87687.5</v>
      </c>
      <c r="AB12" s="170">
        <f t="shared" si="231"/>
        <v>142312.5</v>
      </c>
      <c r="AC12" s="167">
        <f t="shared" si="232"/>
        <v>0</v>
      </c>
      <c r="AD12" s="171">
        <f t="shared" si="233"/>
        <v>0</v>
      </c>
      <c r="AE12" s="169">
        <f t="shared" si="112"/>
        <v>0</v>
      </c>
      <c r="AF12" s="167">
        <f t="shared" si="113"/>
        <v>0</v>
      </c>
      <c r="AG12" s="167">
        <f t="shared" si="114"/>
        <v>0</v>
      </c>
      <c r="AH12" s="167">
        <f t="shared" si="115"/>
        <v>0</v>
      </c>
      <c r="AI12" s="167">
        <f t="shared" si="116"/>
        <v>230000</v>
      </c>
      <c r="AJ12" s="167">
        <f t="shared" si="117"/>
        <v>230000</v>
      </c>
      <c r="AK12" s="167">
        <f t="shared" si="118"/>
        <v>6831</v>
      </c>
      <c r="AL12" s="167">
        <f t="shared" si="119"/>
        <v>6831</v>
      </c>
      <c r="AM12" s="167">
        <f t="shared" si="120"/>
        <v>80856.5</v>
      </c>
      <c r="AN12" s="167">
        <f t="shared" si="121"/>
        <v>80856.5</v>
      </c>
      <c r="AO12" s="170">
        <f t="shared" si="122"/>
        <v>149143.5</v>
      </c>
      <c r="AP12" s="167">
        <f t="shared" si="123"/>
        <v>0</v>
      </c>
      <c r="AQ12" s="171">
        <f t="shared" si="124"/>
        <v>0</v>
      </c>
      <c r="AR12" s="169">
        <f t="shared" si="112"/>
        <v>0</v>
      </c>
      <c r="AS12" s="167">
        <f t="shared" si="126"/>
        <v>0</v>
      </c>
      <c r="AT12" s="167">
        <f t="shared" si="127"/>
        <v>0</v>
      </c>
      <c r="AU12" s="167">
        <f t="shared" si="128"/>
        <v>0</v>
      </c>
      <c r="AV12" s="167">
        <f t="shared" si="129"/>
        <v>230000</v>
      </c>
      <c r="AW12" s="167">
        <f t="shared" si="130"/>
        <v>230000</v>
      </c>
      <c r="AX12" s="167">
        <f t="shared" si="131"/>
        <v>6831</v>
      </c>
      <c r="AY12" s="167">
        <f t="shared" si="132"/>
        <v>6831</v>
      </c>
      <c r="AZ12" s="167">
        <f t="shared" si="133"/>
        <v>74025.5</v>
      </c>
      <c r="BA12" s="167">
        <f t="shared" si="134"/>
        <v>74025.5</v>
      </c>
      <c r="BB12" s="170">
        <f t="shared" si="135"/>
        <v>155974.5</v>
      </c>
      <c r="BC12" s="167">
        <f t="shared" si="136"/>
        <v>0</v>
      </c>
      <c r="BD12" s="171">
        <f t="shared" si="137"/>
        <v>0</v>
      </c>
      <c r="BE12" s="169">
        <f t="shared" si="112"/>
        <v>0</v>
      </c>
      <c r="BF12" s="167">
        <f t="shared" si="139"/>
        <v>0</v>
      </c>
      <c r="BG12" s="167">
        <f t="shared" si="140"/>
        <v>0</v>
      </c>
      <c r="BH12" s="167">
        <f t="shared" si="141"/>
        <v>0</v>
      </c>
      <c r="BI12" s="167">
        <f t="shared" si="142"/>
        <v>230000</v>
      </c>
      <c r="BJ12" s="167">
        <f t="shared" si="143"/>
        <v>230000</v>
      </c>
      <c r="BK12" s="167">
        <f t="shared" si="144"/>
        <v>6831</v>
      </c>
      <c r="BL12" s="167">
        <f t="shared" si="145"/>
        <v>6831</v>
      </c>
      <c r="BM12" s="167">
        <f t="shared" si="146"/>
        <v>67194.5</v>
      </c>
      <c r="BN12" s="167">
        <f t="shared" si="147"/>
        <v>67194.5</v>
      </c>
      <c r="BO12" s="170">
        <f t="shared" si="148"/>
        <v>162805.5</v>
      </c>
      <c r="BP12" s="167">
        <f t="shared" si="149"/>
        <v>0</v>
      </c>
      <c r="BQ12" s="171">
        <f t="shared" si="150"/>
        <v>0</v>
      </c>
      <c r="BR12" s="169">
        <f t="shared" si="151"/>
        <v>0</v>
      </c>
      <c r="BS12" s="167">
        <f t="shared" si="152"/>
        <v>0</v>
      </c>
      <c r="BT12" s="167">
        <f t="shared" si="153"/>
        <v>0</v>
      </c>
      <c r="BU12" s="167">
        <f t="shared" si="154"/>
        <v>0</v>
      </c>
      <c r="BV12" s="167">
        <f t="shared" si="155"/>
        <v>230000</v>
      </c>
      <c r="BW12" s="167">
        <f t="shared" si="156"/>
        <v>230000</v>
      </c>
      <c r="BX12" s="167">
        <f t="shared" si="157"/>
        <v>6831</v>
      </c>
      <c r="BY12" s="167">
        <f t="shared" si="158"/>
        <v>6831</v>
      </c>
      <c r="BZ12" s="167">
        <f t="shared" si="159"/>
        <v>60363.5</v>
      </c>
      <c r="CA12" s="167">
        <f t="shared" si="160"/>
        <v>60363.5</v>
      </c>
      <c r="CB12" s="170">
        <f t="shared" si="161"/>
        <v>169636.5</v>
      </c>
      <c r="CC12" s="167">
        <f t="shared" si="162"/>
        <v>0</v>
      </c>
      <c r="CD12" s="171">
        <f t="shared" si="163"/>
        <v>0</v>
      </c>
      <c r="CE12" s="169">
        <f t="shared" si="151"/>
        <v>0</v>
      </c>
      <c r="CF12" s="167">
        <f t="shared" si="165"/>
        <v>0</v>
      </c>
      <c r="CG12" s="167">
        <f t="shared" si="166"/>
        <v>0</v>
      </c>
      <c r="CH12" s="167">
        <f t="shared" si="167"/>
        <v>0</v>
      </c>
      <c r="CI12" s="167">
        <f t="shared" si="168"/>
        <v>230000</v>
      </c>
      <c r="CJ12" s="167">
        <f t="shared" si="169"/>
        <v>230000</v>
      </c>
      <c r="CK12" s="167">
        <f t="shared" si="170"/>
        <v>6831</v>
      </c>
      <c r="CL12" s="167">
        <f t="shared" si="171"/>
        <v>6831</v>
      </c>
      <c r="CM12" s="167">
        <f t="shared" si="172"/>
        <v>53532.5</v>
      </c>
      <c r="CN12" s="167">
        <f t="shared" si="173"/>
        <v>53532.5</v>
      </c>
      <c r="CO12" s="170">
        <f t="shared" si="174"/>
        <v>176467.5</v>
      </c>
      <c r="CP12" s="167">
        <f t="shared" si="175"/>
        <v>0</v>
      </c>
      <c r="CQ12" s="171">
        <f t="shared" si="176"/>
        <v>0</v>
      </c>
      <c r="CR12" s="169">
        <f t="shared" si="151"/>
        <v>0</v>
      </c>
      <c r="CS12" s="167">
        <f t="shared" si="178"/>
        <v>0</v>
      </c>
      <c r="CT12" s="167">
        <f t="shared" si="179"/>
        <v>0</v>
      </c>
      <c r="CU12" s="167">
        <f t="shared" si="180"/>
        <v>0</v>
      </c>
      <c r="CV12" s="167">
        <f t="shared" si="181"/>
        <v>230000</v>
      </c>
      <c r="CW12" s="167">
        <f t="shared" si="182"/>
        <v>230000</v>
      </c>
      <c r="CX12" s="167">
        <f t="shared" si="183"/>
        <v>6831</v>
      </c>
      <c r="CY12" s="167">
        <f t="shared" si="184"/>
        <v>6831</v>
      </c>
      <c r="CZ12" s="167">
        <f t="shared" si="185"/>
        <v>46701.5</v>
      </c>
      <c r="DA12" s="167">
        <f t="shared" si="186"/>
        <v>46701.5</v>
      </c>
      <c r="DB12" s="170">
        <f t="shared" si="187"/>
        <v>183298.5</v>
      </c>
      <c r="DC12" s="167">
        <f t="shared" si="188"/>
        <v>0</v>
      </c>
      <c r="DD12" s="171">
        <f t="shared" si="189"/>
        <v>0</v>
      </c>
      <c r="DE12" s="169">
        <f t="shared" si="190"/>
        <v>0</v>
      </c>
      <c r="DF12" s="167">
        <f t="shared" si="191"/>
        <v>0</v>
      </c>
      <c r="DG12" s="167">
        <f t="shared" si="192"/>
        <v>0</v>
      </c>
      <c r="DH12" s="167">
        <f t="shared" si="193"/>
        <v>0</v>
      </c>
      <c r="DI12" s="167">
        <f t="shared" si="194"/>
        <v>230000</v>
      </c>
      <c r="DJ12" s="167">
        <f t="shared" si="195"/>
        <v>230000</v>
      </c>
      <c r="DK12" s="167">
        <f t="shared" si="196"/>
        <v>6831</v>
      </c>
      <c r="DL12" s="167">
        <f t="shared" si="197"/>
        <v>6831</v>
      </c>
      <c r="DM12" s="167">
        <f t="shared" si="198"/>
        <v>39870.5</v>
      </c>
      <c r="DN12" s="167">
        <f t="shared" si="199"/>
        <v>39870.5</v>
      </c>
      <c r="DO12" s="170">
        <f t="shared" si="200"/>
        <v>190129.5</v>
      </c>
      <c r="DP12" s="167">
        <f t="shared" si="201"/>
        <v>0</v>
      </c>
      <c r="DQ12" s="171">
        <f t="shared" si="202"/>
        <v>0</v>
      </c>
      <c r="DR12" s="169">
        <f t="shared" si="190"/>
        <v>0</v>
      </c>
      <c r="DS12" s="167">
        <f t="shared" si="204"/>
        <v>0</v>
      </c>
      <c r="DT12" s="167">
        <f t="shared" si="205"/>
        <v>0</v>
      </c>
      <c r="DU12" s="167">
        <f t="shared" si="206"/>
        <v>0</v>
      </c>
      <c r="DV12" s="167">
        <f t="shared" si="207"/>
        <v>230000</v>
      </c>
      <c r="DW12" s="167">
        <f t="shared" si="208"/>
        <v>230000</v>
      </c>
      <c r="DX12" s="167">
        <f t="shared" si="209"/>
        <v>6831</v>
      </c>
      <c r="DY12" s="167">
        <f t="shared" si="210"/>
        <v>6831</v>
      </c>
      <c r="DZ12" s="167">
        <f t="shared" si="211"/>
        <v>33039.5</v>
      </c>
      <c r="EA12" s="167">
        <f t="shared" si="212"/>
        <v>33039.5</v>
      </c>
      <c r="EB12" s="170">
        <f t="shared" si="213"/>
        <v>196960.5</v>
      </c>
      <c r="EC12" s="167">
        <f t="shared" si="214"/>
        <v>0</v>
      </c>
      <c r="ED12" s="171">
        <f t="shared" si="215"/>
        <v>0</v>
      </c>
    </row>
    <row r="13" spans="1:134" x14ac:dyDescent="0.3">
      <c r="A13" s="196">
        <v>1991</v>
      </c>
      <c r="B13" s="186" t="s">
        <v>452</v>
      </c>
      <c r="C13" s="187"/>
      <c r="D13" s="188" t="s">
        <v>100</v>
      </c>
      <c r="E13" s="189">
        <v>120000</v>
      </c>
      <c r="F13" s="190">
        <v>33970</v>
      </c>
      <c r="G13" s="191">
        <v>33.700000000000003</v>
      </c>
      <c r="H13" s="192"/>
      <c r="I13" s="193"/>
      <c r="J13" s="194"/>
      <c r="K13" s="165">
        <f t="shared" si="216"/>
        <v>2.9700000000000001E-2</v>
      </c>
      <c r="L13" s="166">
        <f t="shared" si="217"/>
        <v>3564</v>
      </c>
      <c r="M13" s="167">
        <f t="shared" si="218"/>
        <v>52284</v>
      </c>
      <c r="N13" s="167"/>
      <c r="O13" s="167">
        <f t="shared" si="219"/>
        <v>67716</v>
      </c>
      <c r="P13" s="168"/>
      <c r="Q13" s="167">
        <f t="shared" si="220"/>
        <v>120000</v>
      </c>
      <c r="R13" s="169">
        <f t="shared" si="221"/>
        <v>0</v>
      </c>
      <c r="S13" s="167">
        <f t="shared" si="222"/>
        <v>0</v>
      </c>
      <c r="T13" s="167">
        <f t="shared" si="223"/>
        <v>0</v>
      </c>
      <c r="U13" s="167">
        <f t="shared" si="224"/>
        <v>0</v>
      </c>
      <c r="V13" s="167">
        <f t="shared" si="225"/>
        <v>120000</v>
      </c>
      <c r="W13" s="167">
        <f t="shared" si="226"/>
        <v>120000</v>
      </c>
      <c r="X13" s="167">
        <f t="shared" si="227"/>
        <v>3564</v>
      </c>
      <c r="Y13" s="167">
        <f t="shared" si="228"/>
        <v>3564</v>
      </c>
      <c r="Z13" s="167">
        <f t="shared" si="229"/>
        <v>48720</v>
      </c>
      <c r="AA13" s="167">
        <f t="shared" si="230"/>
        <v>48720</v>
      </c>
      <c r="AB13" s="170">
        <f t="shared" si="231"/>
        <v>71280</v>
      </c>
      <c r="AC13" s="167">
        <f t="shared" si="232"/>
        <v>0</v>
      </c>
      <c r="AD13" s="171">
        <f t="shared" si="233"/>
        <v>0</v>
      </c>
      <c r="AE13" s="169">
        <f t="shared" si="112"/>
        <v>0</v>
      </c>
      <c r="AF13" s="167">
        <f t="shared" si="113"/>
        <v>0</v>
      </c>
      <c r="AG13" s="167">
        <f t="shared" si="114"/>
        <v>0</v>
      </c>
      <c r="AH13" s="167">
        <f t="shared" si="115"/>
        <v>0</v>
      </c>
      <c r="AI13" s="167">
        <f t="shared" si="116"/>
        <v>120000</v>
      </c>
      <c r="AJ13" s="167">
        <f t="shared" si="117"/>
        <v>120000</v>
      </c>
      <c r="AK13" s="167">
        <f t="shared" si="118"/>
        <v>3564</v>
      </c>
      <c r="AL13" s="167">
        <f t="shared" si="119"/>
        <v>3564</v>
      </c>
      <c r="AM13" s="167">
        <f t="shared" si="120"/>
        <v>45156</v>
      </c>
      <c r="AN13" s="167">
        <f t="shared" si="121"/>
        <v>45156</v>
      </c>
      <c r="AO13" s="170">
        <f t="shared" si="122"/>
        <v>74844</v>
      </c>
      <c r="AP13" s="167">
        <f t="shared" si="123"/>
        <v>0</v>
      </c>
      <c r="AQ13" s="171">
        <f t="shared" si="124"/>
        <v>0</v>
      </c>
      <c r="AR13" s="169">
        <f t="shared" si="112"/>
        <v>0</v>
      </c>
      <c r="AS13" s="167">
        <f t="shared" si="126"/>
        <v>0</v>
      </c>
      <c r="AT13" s="167">
        <f t="shared" si="127"/>
        <v>0</v>
      </c>
      <c r="AU13" s="167">
        <f t="shared" si="128"/>
        <v>0</v>
      </c>
      <c r="AV13" s="167">
        <f t="shared" si="129"/>
        <v>120000</v>
      </c>
      <c r="AW13" s="167">
        <f t="shared" si="130"/>
        <v>120000</v>
      </c>
      <c r="AX13" s="167">
        <f t="shared" si="131"/>
        <v>3564</v>
      </c>
      <c r="AY13" s="167">
        <f t="shared" si="132"/>
        <v>3564</v>
      </c>
      <c r="AZ13" s="167">
        <f t="shared" si="133"/>
        <v>41592</v>
      </c>
      <c r="BA13" s="167">
        <f t="shared" si="134"/>
        <v>41592</v>
      </c>
      <c r="BB13" s="170">
        <f t="shared" si="135"/>
        <v>78408</v>
      </c>
      <c r="BC13" s="167">
        <f t="shared" si="136"/>
        <v>0</v>
      </c>
      <c r="BD13" s="171">
        <f t="shared" si="137"/>
        <v>0</v>
      </c>
      <c r="BE13" s="169">
        <f t="shared" si="112"/>
        <v>0</v>
      </c>
      <c r="BF13" s="167">
        <f t="shared" si="139"/>
        <v>0</v>
      </c>
      <c r="BG13" s="167">
        <f t="shared" si="140"/>
        <v>0</v>
      </c>
      <c r="BH13" s="167">
        <f t="shared" si="141"/>
        <v>0</v>
      </c>
      <c r="BI13" s="167">
        <f t="shared" si="142"/>
        <v>120000</v>
      </c>
      <c r="BJ13" s="167">
        <f t="shared" si="143"/>
        <v>120000</v>
      </c>
      <c r="BK13" s="167">
        <f t="shared" si="144"/>
        <v>3564</v>
      </c>
      <c r="BL13" s="167">
        <f t="shared" si="145"/>
        <v>3564</v>
      </c>
      <c r="BM13" s="167">
        <f t="shared" si="146"/>
        <v>38028</v>
      </c>
      <c r="BN13" s="167">
        <f t="shared" si="147"/>
        <v>38028</v>
      </c>
      <c r="BO13" s="170">
        <f t="shared" si="148"/>
        <v>81972</v>
      </c>
      <c r="BP13" s="167">
        <f t="shared" si="149"/>
        <v>0</v>
      </c>
      <c r="BQ13" s="171">
        <f t="shared" si="150"/>
        <v>0</v>
      </c>
      <c r="BR13" s="169">
        <f t="shared" si="151"/>
        <v>0</v>
      </c>
      <c r="BS13" s="167">
        <f t="shared" si="152"/>
        <v>0</v>
      </c>
      <c r="BT13" s="167">
        <f t="shared" si="153"/>
        <v>0</v>
      </c>
      <c r="BU13" s="167">
        <f t="shared" si="154"/>
        <v>0</v>
      </c>
      <c r="BV13" s="167">
        <f t="shared" si="155"/>
        <v>120000</v>
      </c>
      <c r="BW13" s="167">
        <f t="shared" si="156"/>
        <v>120000</v>
      </c>
      <c r="BX13" s="167">
        <f t="shared" si="157"/>
        <v>3564</v>
      </c>
      <c r="BY13" s="167">
        <f t="shared" si="158"/>
        <v>3564</v>
      </c>
      <c r="BZ13" s="167">
        <f t="shared" si="159"/>
        <v>34464</v>
      </c>
      <c r="CA13" s="167">
        <f t="shared" si="160"/>
        <v>34464</v>
      </c>
      <c r="CB13" s="170">
        <f t="shared" si="161"/>
        <v>85536</v>
      </c>
      <c r="CC13" s="167">
        <f t="shared" si="162"/>
        <v>0</v>
      </c>
      <c r="CD13" s="171">
        <f t="shared" si="163"/>
        <v>0</v>
      </c>
      <c r="CE13" s="169">
        <f t="shared" si="151"/>
        <v>0</v>
      </c>
      <c r="CF13" s="167">
        <f t="shared" si="165"/>
        <v>0</v>
      </c>
      <c r="CG13" s="167">
        <f t="shared" si="166"/>
        <v>0</v>
      </c>
      <c r="CH13" s="167">
        <f t="shared" si="167"/>
        <v>0</v>
      </c>
      <c r="CI13" s="167">
        <f t="shared" si="168"/>
        <v>120000</v>
      </c>
      <c r="CJ13" s="167">
        <f t="shared" si="169"/>
        <v>120000</v>
      </c>
      <c r="CK13" s="167">
        <f t="shared" si="170"/>
        <v>3564</v>
      </c>
      <c r="CL13" s="167">
        <f t="shared" si="171"/>
        <v>3564</v>
      </c>
      <c r="CM13" s="167">
        <f t="shared" si="172"/>
        <v>30900</v>
      </c>
      <c r="CN13" s="167">
        <f t="shared" si="173"/>
        <v>30900</v>
      </c>
      <c r="CO13" s="170">
        <f t="shared" si="174"/>
        <v>89100</v>
      </c>
      <c r="CP13" s="167">
        <f t="shared" si="175"/>
        <v>0</v>
      </c>
      <c r="CQ13" s="171">
        <f t="shared" si="176"/>
        <v>0</v>
      </c>
      <c r="CR13" s="169">
        <f t="shared" si="151"/>
        <v>0</v>
      </c>
      <c r="CS13" s="167">
        <f t="shared" si="178"/>
        <v>0</v>
      </c>
      <c r="CT13" s="167">
        <f t="shared" si="179"/>
        <v>0</v>
      </c>
      <c r="CU13" s="167">
        <f t="shared" si="180"/>
        <v>0</v>
      </c>
      <c r="CV13" s="167">
        <f t="shared" si="181"/>
        <v>120000</v>
      </c>
      <c r="CW13" s="167">
        <f t="shared" si="182"/>
        <v>120000</v>
      </c>
      <c r="CX13" s="167">
        <f t="shared" si="183"/>
        <v>3564</v>
      </c>
      <c r="CY13" s="167">
        <f t="shared" si="184"/>
        <v>3564</v>
      </c>
      <c r="CZ13" s="167">
        <f t="shared" si="185"/>
        <v>27336</v>
      </c>
      <c r="DA13" s="167">
        <f t="shared" si="186"/>
        <v>27336</v>
      </c>
      <c r="DB13" s="170">
        <f t="shared" si="187"/>
        <v>92664</v>
      </c>
      <c r="DC13" s="167">
        <f t="shared" si="188"/>
        <v>0</v>
      </c>
      <c r="DD13" s="171">
        <f t="shared" si="189"/>
        <v>0</v>
      </c>
      <c r="DE13" s="169">
        <f t="shared" si="190"/>
        <v>0</v>
      </c>
      <c r="DF13" s="167">
        <f t="shared" si="191"/>
        <v>0</v>
      </c>
      <c r="DG13" s="167">
        <f t="shared" si="192"/>
        <v>0</v>
      </c>
      <c r="DH13" s="167">
        <f t="shared" si="193"/>
        <v>0</v>
      </c>
      <c r="DI13" s="167">
        <f t="shared" si="194"/>
        <v>120000</v>
      </c>
      <c r="DJ13" s="167">
        <f t="shared" si="195"/>
        <v>120000</v>
      </c>
      <c r="DK13" s="167">
        <f t="shared" si="196"/>
        <v>3564</v>
      </c>
      <c r="DL13" s="167">
        <f t="shared" si="197"/>
        <v>3564</v>
      </c>
      <c r="DM13" s="167">
        <f t="shared" si="198"/>
        <v>23772</v>
      </c>
      <c r="DN13" s="167">
        <f t="shared" si="199"/>
        <v>23772</v>
      </c>
      <c r="DO13" s="170">
        <f t="shared" si="200"/>
        <v>96228</v>
      </c>
      <c r="DP13" s="167">
        <f t="shared" si="201"/>
        <v>0</v>
      </c>
      <c r="DQ13" s="171">
        <f t="shared" si="202"/>
        <v>0</v>
      </c>
      <c r="DR13" s="169">
        <f t="shared" si="190"/>
        <v>0</v>
      </c>
      <c r="DS13" s="167">
        <f t="shared" si="204"/>
        <v>0</v>
      </c>
      <c r="DT13" s="167">
        <f t="shared" si="205"/>
        <v>0</v>
      </c>
      <c r="DU13" s="167">
        <f t="shared" si="206"/>
        <v>0</v>
      </c>
      <c r="DV13" s="167">
        <f t="shared" si="207"/>
        <v>120000</v>
      </c>
      <c r="DW13" s="167">
        <f t="shared" si="208"/>
        <v>120000</v>
      </c>
      <c r="DX13" s="167">
        <f t="shared" si="209"/>
        <v>3564</v>
      </c>
      <c r="DY13" s="167">
        <f t="shared" si="210"/>
        <v>3564</v>
      </c>
      <c r="DZ13" s="167">
        <f t="shared" si="211"/>
        <v>20208</v>
      </c>
      <c r="EA13" s="167">
        <f t="shared" si="212"/>
        <v>20208</v>
      </c>
      <c r="EB13" s="170">
        <f t="shared" si="213"/>
        <v>99792</v>
      </c>
      <c r="EC13" s="167">
        <f t="shared" si="214"/>
        <v>0</v>
      </c>
      <c r="ED13" s="171">
        <f t="shared" si="215"/>
        <v>0</v>
      </c>
    </row>
    <row r="14" spans="1:134" x14ac:dyDescent="0.3">
      <c r="A14" s="196">
        <v>1992</v>
      </c>
      <c r="B14" s="186" t="s">
        <v>452</v>
      </c>
      <c r="C14" s="187"/>
      <c r="D14" s="188" t="s">
        <v>100</v>
      </c>
      <c r="E14" s="189">
        <v>230000</v>
      </c>
      <c r="F14" s="190">
        <v>34274</v>
      </c>
      <c r="G14" s="191">
        <v>33.700000000000003</v>
      </c>
      <c r="H14" s="192"/>
      <c r="I14" s="193"/>
      <c r="J14" s="194"/>
      <c r="K14" s="165">
        <f t="shared" si="216"/>
        <v>2.9700000000000001E-2</v>
      </c>
      <c r="L14" s="166">
        <f t="shared" si="217"/>
        <v>6831</v>
      </c>
      <c r="M14" s="167">
        <f t="shared" si="218"/>
        <v>105903.5</v>
      </c>
      <c r="N14" s="167"/>
      <c r="O14" s="167">
        <f t="shared" si="219"/>
        <v>124096.5</v>
      </c>
      <c r="P14" s="168"/>
      <c r="Q14" s="167">
        <f t="shared" si="220"/>
        <v>230000</v>
      </c>
      <c r="R14" s="169">
        <f t="shared" si="221"/>
        <v>0</v>
      </c>
      <c r="S14" s="167">
        <f t="shared" si="222"/>
        <v>0</v>
      </c>
      <c r="T14" s="167">
        <f t="shared" si="223"/>
        <v>0</v>
      </c>
      <c r="U14" s="167">
        <f t="shared" si="224"/>
        <v>0</v>
      </c>
      <c r="V14" s="167">
        <f t="shared" si="225"/>
        <v>230000</v>
      </c>
      <c r="W14" s="167">
        <f t="shared" si="226"/>
        <v>230000</v>
      </c>
      <c r="X14" s="167">
        <f t="shared" si="227"/>
        <v>6831</v>
      </c>
      <c r="Y14" s="167">
        <f t="shared" si="228"/>
        <v>6831</v>
      </c>
      <c r="Z14" s="167">
        <f t="shared" si="229"/>
        <v>99072.5</v>
      </c>
      <c r="AA14" s="167">
        <f t="shared" si="230"/>
        <v>99072.5</v>
      </c>
      <c r="AB14" s="170">
        <f t="shared" si="231"/>
        <v>130927.5</v>
      </c>
      <c r="AC14" s="167">
        <f t="shared" si="232"/>
        <v>0</v>
      </c>
      <c r="AD14" s="171">
        <f t="shared" si="233"/>
        <v>0</v>
      </c>
      <c r="AE14" s="169">
        <f t="shared" si="112"/>
        <v>0</v>
      </c>
      <c r="AF14" s="167">
        <f t="shared" si="113"/>
        <v>0</v>
      </c>
      <c r="AG14" s="167">
        <f t="shared" si="114"/>
        <v>0</v>
      </c>
      <c r="AH14" s="167">
        <f t="shared" si="115"/>
        <v>0</v>
      </c>
      <c r="AI14" s="167">
        <f t="shared" si="116"/>
        <v>230000</v>
      </c>
      <c r="AJ14" s="167">
        <f t="shared" si="117"/>
        <v>230000</v>
      </c>
      <c r="AK14" s="167">
        <f t="shared" si="118"/>
        <v>6831</v>
      </c>
      <c r="AL14" s="167">
        <f t="shared" si="119"/>
        <v>6831</v>
      </c>
      <c r="AM14" s="167">
        <f t="shared" si="120"/>
        <v>92241.5</v>
      </c>
      <c r="AN14" s="167">
        <f t="shared" si="121"/>
        <v>92241.5</v>
      </c>
      <c r="AO14" s="170">
        <f t="shared" si="122"/>
        <v>137758.5</v>
      </c>
      <c r="AP14" s="167">
        <f t="shared" si="123"/>
        <v>0</v>
      </c>
      <c r="AQ14" s="171">
        <f t="shared" si="124"/>
        <v>0</v>
      </c>
      <c r="AR14" s="169">
        <f t="shared" si="112"/>
        <v>0</v>
      </c>
      <c r="AS14" s="167">
        <f t="shared" si="126"/>
        <v>0</v>
      </c>
      <c r="AT14" s="167">
        <f t="shared" si="127"/>
        <v>0</v>
      </c>
      <c r="AU14" s="167">
        <f t="shared" si="128"/>
        <v>0</v>
      </c>
      <c r="AV14" s="167">
        <f t="shared" si="129"/>
        <v>230000</v>
      </c>
      <c r="AW14" s="167">
        <f t="shared" si="130"/>
        <v>230000</v>
      </c>
      <c r="AX14" s="167">
        <f t="shared" si="131"/>
        <v>6831</v>
      </c>
      <c r="AY14" s="167">
        <f t="shared" si="132"/>
        <v>6831</v>
      </c>
      <c r="AZ14" s="167">
        <f t="shared" si="133"/>
        <v>85410.5</v>
      </c>
      <c r="BA14" s="167">
        <f t="shared" si="134"/>
        <v>85410.5</v>
      </c>
      <c r="BB14" s="170">
        <f t="shared" si="135"/>
        <v>144589.5</v>
      </c>
      <c r="BC14" s="167">
        <f t="shared" si="136"/>
        <v>0</v>
      </c>
      <c r="BD14" s="171">
        <f t="shared" si="137"/>
        <v>0</v>
      </c>
      <c r="BE14" s="169">
        <f t="shared" si="112"/>
        <v>0</v>
      </c>
      <c r="BF14" s="167">
        <f t="shared" si="139"/>
        <v>0</v>
      </c>
      <c r="BG14" s="167">
        <f t="shared" si="140"/>
        <v>0</v>
      </c>
      <c r="BH14" s="167">
        <f t="shared" si="141"/>
        <v>0</v>
      </c>
      <c r="BI14" s="167">
        <f t="shared" si="142"/>
        <v>230000</v>
      </c>
      <c r="BJ14" s="167">
        <f t="shared" si="143"/>
        <v>230000</v>
      </c>
      <c r="BK14" s="167">
        <f t="shared" si="144"/>
        <v>6831</v>
      </c>
      <c r="BL14" s="167">
        <f t="shared" si="145"/>
        <v>6831</v>
      </c>
      <c r="BM14" s="167">
        <f t="shared" si="146"/>
        <v>78579.5</v>
      </c>
      <c r="BN14" s="167">
        <f t="shared" si="147"/>
        <v>78579.5</v>
      </c>
      <c r="BO14" s="170">
        <f t="shared" si="148"/>
        <v>151420.5</v>
      </c>
      <c r="BP14" s="167">
        <f t="shared" si="149"/>
        <v>0</v>
      </c>
      <c r="BQ14" s="171">
        <f t="shared" si="150"/>
        <v>0</v>
      </c>
      <c r="BR14" s="169">
        <f t="shared" si="151"/>
        <v>0</v>
      </c>
      <c r="BS14" s="167">
        <f t="shared" si="152"/>
        <v>0</v>
      </c>
      <c r="BT14" s="167">
        <f t="shared" si="153"/>
        <v>0</v>
      </c>
      <c r="BU14" s="167">
        <f t="shared" si="154"/>
        <v>0</v>
      </c>
      <c r="BV14" s="167">
        <f t="shared" si="155"/>
        <v>230000</v>
      </c>
      <c r="BW14" s="167">
        <f t="shared" si="156"/>
        <v>230000</v>
      </c>
      <c r="BX14" s="167">
        <f t="shared" si="157"/>
        <v>6831</v>
      </c>
      <c r="BY14" s="167">
        <f t="shared" si="158"/>
        <v>6831</v>
      </c>
      <c r="BZ14" s="167">
        <f t="shared" si="159"/>
        <v>71748.5</v>
      </c>
      <c r="CA14" s="167">
        <f t="shared" si="160"/>
        <v>71748.5</v>
      </c>
      <c r="CB14" s="170">
        <f t="shared" si="161"/>
        <v>158251.5</v>
      </c>
      <c r="CC14" s="167">
        <f t="shared" si="162"/>
        <v>0</v>
      </c>
      <c r="CD14" s="171">
        <f t="shared" si="163"/>
        <v>0</v>
      </c>
      <c r="CE14" s="169">
        <f t="shared" si="151"/>
        <v>0</v>
      </c>
      <c r="CF14" s="167">
        <f t="shared" si="165"/>
        <v>0</v>
      </c>
      <c r="CG14" s="167">
        <f t="shared" si="166"/>
        <v>0</v>
      </c>
      <c r="CH14" s="167">
        <f t="shared" si="167"/>
        <v>0</v>
      </c>
      <c r="CI14" s="167">
        <f t="shared" si="168"/>
        <v>230000</v>
      </c>
      <c r="CJ14" s="167">
        <f t="shared" si="169"/>
        <v>230000</v>
      </c>
      <c r="CK14" s="167">
        <f t="shared" si="170"/>
        <v>6831</v>
      </c>
      <c r="CL14" s="167">
        <f t="shared" si="171"/>
        <v>6831</v>
      </c>
      <c r="CM14" s="167">
        <f t="shared" si="172"/>
        <v>64917.5</v>
      </c>
      <c r="CN14" s="167">
        <f t="shared" si="173"/>
        <v>64917.5</v>
      </c>
      <c r="CO14" s="170">
        <f t="shared" si="174"/>
        <v>165082.5</v>
      </c>
      <c r="CP14" s="167">
        <f t="shared" si="175"/>
        <v>0</v>
      </c>
      <c r="CQ14" s="171">
        <f t="shared" si="176"/>
        <v>0</v>
      </c>
      <c r="CR14" s="169">
        <f t="shared" si="151"/>
        <v>0</v>
      </c>
      <c r="CS14" s="167">
        <f t="shared" si="178"/>
        <v>0</v>
      </c>
      <c r="CT14" s="167">
        <f t="shared" si="179"/>
        <v>0</v>
      </c>
      <c r="CU14" s="167">
        <f t="shared" si="180"/>
        <v>0</v>
      </c>
      <c r="CV14" s="167">
        <f t="shared" si="181"/>
        <v>230000</v>
      </c>
      <c r="CW14" s="167">
        <f t="shared" si="182"/>
        <v>230000</v>
      </c>
      <c r="CX14" s="167">
        <f t="shared" si="183"/>
        <v>6831</v>
      </c>
      <c r="CY14" s="167">
        <f t="shared" si="184"/>
        <v>6831</v>
      </c>
      <c r="CZ14" s="167">
        <f t="shared" si="185"/>
        <v>58086.5</v>
      </c>
      <c r="DA14" s="167">
        <f t="shared" si="186"/>
        <v>58086.5</v>
      </c>
      <c r="DB14" s="170">
        <f t="shared" si="187"/>
        <v>171913.5</v>
      </c>
      <c r="DC14" s="167">
        <f t="shared" si="188"/>
        <v>0</v>
      </c>
      <c r="DD14" s="171">
        <f t="shared" si="189"/>
        <v>0</v>
      </c>
      <c r="DE14" s="169">
        <f t="shared" si="190"/>
        <v>0</v>
      </c>
      <c r="DF14" s="167">
        <f t="shared" si="191"/>
        <v>0</v>
      </c>
      <c r="DG14" s="167">
        <f t="shared" si="192"/>
        <v>0</v>
      </c>
      <c r="DH14" s="167">
        <f t="shared" si="193"/>
        <v>0</v>
      </c>
      <c r="DI14" s="167">
        <f t="shared" si="194"/>
        <v>230000</v>
      </c>
      <c r="DJ14" s="167">
        <f t="shared" si="195"/>
        <v>230000</v>
      </c>
      <c r="DK14" s="167">
        <f t="shared" si="196"/>
        <v>6831</v>
      </c>
      <c r="DL14" s="167">
        <f t="shared" si="197"/>
        <v>6831</v>
      </c>
      <c r="DM14" s="167">
        <f t="shared" si="198"/>
        <v>51255.5</v>
      </c>
      <c r="DN14" s="167">
        <f t="shared" si="199"/>
        <v>51255.5</v>
      </c>
      <c r="DO14" s="170">
        <f t="shared" si="200"/>
        <v>178744.5</v>
      </c>
      <c r="DP14" s="167">
        <f t="shared" si="201"/>
        <v>0</v>
      </c>
      <c r="DQ14" s="171">
        <f t="shared" si="202"/>
        <v>0</v>
      </c>
      <c r="DR14" s="169">
        <f t="shared" si="190"/>
        <v>0</v>
      </c>
      <c r="DS14" s="167">
        <f t="shared" si="204"/>
        <v>0</v>
      </c>
      <c r="DT14" s="167">
        <f t="shared" si="205"/>
        <v>0</v>
      </c>
      <c r="DU14" s="167">
        <f t="shared" si="206"/>
        <v>0</v>
      </c>
      <c r="DV14" s="167">
        <f t="shared" si="207"/>
        <v>230000</v>
      </c>
      <c r="DW14" s="167">
        <f t="shared" si="208"/>
        <v>230000</v>
      </c>
      <c r="DX14" s="167">
        <f t="shared" si="209"/>
        <v>6831</v>
      </c>
      <c r="DY14" s="167">
        <f t="shared" si="210"/>
        <v>6831</v>
      </c>
      <c r="DZ14" s="167">
        <f t="shared" si="211"/>
        <v>44424.5</v>
      </c>
      <c r="EA14" s="167">
        <f t="shared" si="212"/>
        <v>44424.5</v>
      </c>
      <c r="EB14" s="170">
        <f t="shared" si="213"/>
        <v>185575.5</v>
      </c>
      <c r="EC14" s="167">
        <f t="shared" si="214"/>
        <v>0</v>
      </c>
      <c r="ED14" s="171">
        <f t="shared" si="215"/>
        <v>0</v>
      </c>
    </row>
    <row r="15" spans="1:134" x14ac:dyDescent="0.3">
      <c r="A15" s="196">
        <v>1993</v>
      </c>
      <c r="B15" s="186" t="s">
        <v>452</v>
      </c>
      <c r="C15" s="187"/>
      <c r="D15" s="188" t="s">
        <v>100</v>
      </c>
      <c r="E15" s="189">
        <v>280000</v>
      </c>
      <c r="F15" s="190">
        <v>34578</v>
      </c>
      <c r="G15" s="191">
        <v>33.700000000000003</v>
      </c>
      <c r="H15" s="192"/>
      <c r="I15" s="193"/>
      <c r="J15" s="194"/>
      <c r="K15" s="165">
        <f t="shared" si="216"/>
        <v>2.9700000000000001E-2</v>
      </c>
      <c r="L15" s="166">
        <f t="shared" si="217"/>
        <v>8316</v>
      </c>
      <c r="M15" s="167">
        <f t="shared" si="218"/>
        <v>135856</v>
      </c>
      <c r="N15" s="167"/>
      <c r="O15" s="167">
        <f t="shared" si="219"/>
        <v>144144</v>
      </c>
      <c r="P15" s="168"/>
      <c r="Q15" s="167">
        <f t="shared" si="220"/>
        <v>280000</v>
      </c>
      <c r="R15" s="169">
        <f t="shared" si="221"/>
        <v>0</v>
      </c>
      <c r="S15" s="167">
        <f t="shared" si="222"/>
        <v>0</v>
      </c>
      <c r="T15" s="167">
        <f t="shared" si="223"/>
        <v>0</v>
      </c>
      <c r="U15" s="167">
        <f t="shared" si="224"/>
        <v>0</v>
      </c>
      <c r="V15" s="167">
        <f t="shared" si="225"/>
        <v>280000</v>
      </c>
      <c r="W15" s="167">
        <f t="shared" si="226"/>
        <v>280000</v>
      </c>
      <c r="X15" s="167">
        <f t="shared" si="227"/>
        <v>8316</v>
      </c>
      <c r="Y15" s="167">
        <f t="shared" si="228"/>
        <v>8316</v>
      </c>
      <c r="Z15" s="167">
        <f t="shared" si="229"/>
        <v>127540</v>
      </c>
      <c r="AA15" s="167">
        <f t="shared" si="230"/>
        <v>127540</v>
      </c>
      <c r="AB15" s="170">
        <f t="shared" si="231"/>
        <v>152460</v>
      </c>
      <c r="AC15" s="167">
        <f t="shared" si="232"/>
        <v>0</v>
      </c>
      <c r="AD15" s="171">
        <f t="shared" si="233"/>
        <v>0</v>
      </c>
      <c r="AE15" s="169">
        <f t="shared" si="112"/>
        <v>0</v>
      </c>
      <c r="AF15" s="167">
        <f t="shared" si="113"/>
        <v>0</v>
      </c>
      <c r="AG15" s="167">
        <f t="shared" si="114"/>
        <v>0</v>
      </c>
      <c r="AH15" s="167">
        <f t="shared" si="115"/>
        <v>0</v>
      </c>
      <c r="AI15" s="167">
        <f t="shared" si="116"/>
        <v>280000</v>
      </c>
      <c r="AJ15" s="167">
        <f t="shared" si="117"/>
        <v>280000</v>
      </c>
      <c r="AK15" s="167">
        <f t="shared" si="118"/>
        <v>8316</v>
      </c>
      <c r="AL15" s="167">
        <f t="shared" si="119"/>
        <v>8316</v>
      </c>
      <c r="AM15" s="167">
        <f t="shared" si="120"/>
        <v>119224</v>
      </c>
      <c r="AN15" s="167">
        <f t="shared" si="121"/>
        <v>119224</v>
      </c>
      <c r="AO15" s="170">
        <f t="shared" si="122"/>
        <v>160776</v>
      </c>
      <c r="AP15" s="167">
        <f t="shared" si="123"/>
        <v>0</v>
      </c>
      <c r="AQ15" s="171">
        <f t="shared" si="124"/>
        <v>0</v>
      </c>
      <c r="AR15" s="169">
        <f t="shared" si="112"/>
        <v>0</v>
      </c>
      <c r="AS15" s="167">
        <f t="shared" si="126"/>
        <v>0</v>
      </c>
      <c r="AT15" s="167">
        <f t="shared" si="127"/>
        <v>0</v>
      </c>
      <c r="AU15" s="167">
        <f t="shared" si="128"/>
        <v>0</v>
      </c>
      <c r="AV15" s="167">
        <f t="shared" si="129"/>
        <v>280000</v>
      </c>
      <c r="AW15" s="167">
        <f t="shared" si="130"/>
        <v>280000</v>
      </c>
      <c r="AX15" s="167">
        <f t="shared" si="131"/>
        <v>8316</v>
      </c>
      <c r="AY15" s="167">
        <f t="shared" si="132"/>
        <v>8316</v>
      </c>
      <c r="AZ15" s="167">
        <f t="shared" si="133"/>
        <v>110908</v>
      </c>
      <c r="BA15" s="167">
        <f t="shared" si="134"/>
        <v>110908</v>
      </c>
      <c r="BB15" s="170">
        <f t="shared" si="135"/>
        <v>169092</v>
      </c>
      <c r="BC15" s="167">
        <f t="shared" si="136"/>
        <v>0</v>
      </c>
      <c r="BD15" s="171">
        <f t="shared" si="137"/>
        <v>0</v>
      </c>
      <c r="BE15" s="169">
        <f t="shared" si="112"/>
        <v>0</v>
      </c>
      <c r="BF15" s="167">
        <f t="shared" si="139"/>
        <v>0</v>
      </c>
      <c r="BG15" s="167">
        <f t="shared" si="140"/>
        <v>0</v>
      </c>
      <c r="BH15" s="167">
        <f t="shared" si="141"/>
        <v>0</v>
      </c>
      <c r="BI15" s="167">
        <f t="shared" si="142"/>
        <v>280000</v>
      </c>
      <c r="BJ15" s="167">
        <f t="shared" si="143"/>
        <v>280000</v>
      </c>
      <c r="BK15" s="167">
        <f t="shared" si="144"/>
        <v>8316</v>
      </c>
      <c r="BL15" s="167">
        <f t="shared" si="145"/>
        <v>8316</v>
      </c>
      <c r="BM15" s="167">
        <f t="shared" si="146"/>
        <v>102592</v>
      </c>
      <c r="BN15" s="167">
        <f t="shared" si="147"/>
        <v>102592</v>
      </c>
      <c r="BO15" s="170">
        <f t="shared" si="148"/>
        <v>177408</v>
      </c>
      <c r="BP15" s="167">
        <f t="shared" si="149"/>
        <v>0</v>
      </c>
      <c r="BQ15" s="171">
        <f t="shared" si="150"/>
        <v>0</v>
      </c>
      <c r="BR15" s="169">
        <f t="shared" si="151"/>
        <v>0</v>
      </c>
      <c r="BS15" s="167">
        <f t="shared" si="152"/>
        <v>0</v>
      </c>
      <c r="BT15" s="167">
        <f t="shared" si="153"/>
        <v>0</v>
      </c>
      <c r="BU15" s="167">
        <f t="shared" si="154"/>
        <v>0</v>
      </c>
      <c r="BV15" s="167">
        <f t="shared" si="155"/>
        <v>280000</v>
      </c>
      <c r="BW15" s="167">
        <f t="shared" si="156"/>
        <v>280000</v>
      </c>
      <c r="BX15" s="167">
        <f t="shared" si="157"/>
        <v>8316</v>
      </c>
      <c r="BY15" s="167">
        <f t="shared" si="158"/>
        <v>8316</v>
      </c>
      <c r="BZ15" s="167">
        <f t="shared" si="159"/>
        <v>94276</v>
      </c>
      <c r="CA15" s="167">
        <f t="shared" si="160"/>
        <v>94276</v>
      </c>
      <c r="CB15" s="170">
        <f t="shared" si="161"/>
        <v>185724</v>
      </c>
      <c r="CC15" s="167">
        <f t="shared" si="162"/>
        <v>0</v>
      </c>
      <c r="CD15" s="171">
        <f t="shared" si="163"/>
        <v>0</v>
      </c>
      <c r="CE15" s="169">
        <f t="shared" si="151"/>
        <v>0</v>
      </c>
      <c r="CF15" s="167">
        <f t="shared" si="165"/>
        <v>0</v>
      </c>
      <c r="CG15" s="167">
        <f t="shared" si="166"/>
        <v>0</v>
      </c>
      <c r="CH15" s="167">
        <f t="shared" si="167"/>
        <v>0</v>
      </c>
      <c r="CI15" s="167">
        <f t="shared" si="168"/>
        <v>280000</v>
      </c>
      <c r="CJ15" s="167">
        <f t="shared" si="169"/>
        <v>280000</v>
      </c>
      <c r="CK15" s="167">
        <f t="shared" si="170"/>
        <v>8316</v>
      </c>
      <c r="CL15" s="167">
        <f t="shared" si="171"/>
        <v>8316</v>
      </c>
      <c r="CM15" s="167">
        <f t="shared" si="172"/>
        <v>85960</v>
      </c>
      <c r="CN15" s="167">
        <f t="shared" si="173"/>
        <v>85960</v>
      </c>
      <c r="CO15" s="170">
        <f t="shared" si="174"/>
        <v>194040</v>
      </c>
      <c r="CP15" s="167">
        <f t="shared" si="175"/>
        <v>0</v>
      </c>
      <c r="CQ15" s="171">
        <f t="shared" si="176"/>
        <v>0</v>
      </c>
      <c r="CR15" s="169">
        <f t="shared" si="151"/>
        <v>0</v>
      </c>
      <c r="CS15" s="167">
        <f t="shared" si="178"/>
        <v>0</v>
      </c>
      <c r="CT15" s="167">
        <f t="shared" si="179"/>
        <v>0</v>
      </c>
      <c r="CU15" s="167">
        <f t="shared" si="180"/>
        <v>0</v>
      </c>
      <c r="CV15" s="167">
        <f t="shared" si="181"/>
        <v>280000</v>
      </c>
      <c r="CW15" s="167">
        <f t="shared" si="182"/>
        <v>280000</v>
      </c>
      <c r="CX15" s="167">
        <f t="shared" si="183"/>
        <v>8316</v>
      </c>
      <c r="CY15" s="167">
        <f t="shared" si="184"/>
        <v>8316</v>
      </c>
      <c r="CZ15" s="167">
        <f t="shared" si="185"/>
        <v>77644</v>
      </c>
      <c r="DA15" s="167">
        <f t="shared" si="186"/>
        <v>77644</v>
      </c>
      <c r="DB15" s="170">
        <f t="shared" si="187"/>
        <v>202356</v>
      </c>
      <c r="DC15" s="167">
        <f t="shared" si="188"/>
        <v>0</v>
      </c>
      <c r="DD15" s="171">
        <f t="shared" si="189"/>
        <v>0</v>
      </c>
      <c r="DE15" s="169">
        <f t="shared" si="190"/>
        <v>0</v>
      </c>
      <c r="DF15" s="167">
        <f t="shared" si="191"/>
        <v>0</v>
      </c>
      <c r="DG15" s="167">
        <f t="shared" si="192"/>
        <v>0</v>
      </c>
      <c r="DH15" s="167">
        <f t="shared" si="193"/>
        <v>0</v>
      </c>
      <c r="DI15" s="167">
        <f t="shared" si="194"/>
        <v>280000</v>
      </c>
      <c r="DJ15" s="167">
        <f t="shared" si="195"/>
        <v>280000</v>
      </c>
      <c r="DK15" s="167">
        <f t="shared" si="196"/>
        <v>8316</v>
      </c>
      <c r="DL15" s="167">
        <f t="shared" si="197"/>
        <v>8316</v>
      </c>
      <c r="DM15" s="167">
        <f t="shared" si="198"/>
        <v>69328</v>
      </c>
      <c r="DN15" s="167">
        <f t="shared" si="199"/>
        <v>69328</v>
      </c>
      <c r="DO15" s="170">
        <f t="shared" si="200"/>
        <v>210672</v>
      </c>
      <c r="DP15" s="167">
        <f t="shared" si="201"/>
        <v>0</v>
      </c>
      <c r="DQ15" s="171">
        <f t="shared" si="202"/>
        <v>0</v>
      </c>
      <c r="DR15" s="169">
        <f t="shared" si="190"/>
        <v>0</v>
      </c>
      <c r="DS15" s="167">
        <f t="shared" si="204"/>
        <v>0</v>
      </c>
      <c r="DT15" s="167">
        <f t="shared" si="205"/>
        <v>0</v>
      </c>
      <c r="DU15" s="167">
        <f t="shared" si="206"/>
        <v>0</v>
      </c>
      <c r="DV15" s="167">
        <f t="shared" si="207"/>
        <v>280000</v>
      </c>
      <c r="DW15" s="167">
        <f t="shared" si="208"/>
        <v>280000</v>
      </c>
      <c r="DX15" s="167">
        <f t="shared" si="209"/>
        <v>8316</v>
      </c>
      <c r="DY15" s="167">
        <f t="shared" si="210"/>
        <v>8316</v>
      </c>
      <c r="DZ15" s="167">
        <f t="shared" si="211"/>
        <v>61012</v>
      </c>
      <c r="EA15" s="167">
        <f t="shared" si="212"/>
        <v>61012</v>
      </c>
      <c r="EB15" s="170">
        <f t="shared" si="213"/>
        <v>218988</v>
      </c>
      <c r="EC15" s="167">
        <f t="shared" si="214"/>
        <v>0</v>
      </c>
      <c r="ED15" s="171">
        <f t="shared" si="215"/>
        <v>0</v>
      </c>
    </row>
    <row r="16" spans="1:134" x14ac:dyDescent="0.3">
      <c r="A16" s="196">
        <v>1994</v>
      </c>
      <c r="B16" s="186" t="s">
        <v>452</v>
      </c>
      <c r="C16" s="187"/>
      <c r="D16" s="188" t="s">
        <v>100</v>
      </c>
      <c r="E16" s="189">
        <v>210000</v>
      </c>
      <c r="F16" s="190">
        <v>34881</v>
      </c>
      <c r="G16" s="191">
        <v>33.700000000000003</v>
      </c>
      <c r="H16" s="192"/>
      <c r="I16" s="193"/>
      <c r="J16" s="194"/>
      <c r="K16" s="165">
        <f t="shared" si="216"/>
        <v>2.9700000000000001E-2</v>
      </c>
      <c r="L16" s="166">
        <f t="shared" si="217"/>
        <v>6237</v>
      </c>
      <c r="M16" s="167">
        <f t="shared" si="218"/>
        <v>107089.5</v>
      </c>
      <c r="N16" s="167"/>
      <c r="O16" s="167">
        <f t="shared" si="219"/>
        <v>102910.5</v>
      </c>
      <c r="P16" s="168"/>
      <c r="Q16" s="167">
        <f t="shared" si="220"/>
        <v>210000</v>
      </c>
      <c r="R16" s="169">
        <f t="shared" si="221"/>
        <v>0</v>
      </c>
      <c r="S16" s="167">
        <f t="shared" si="222"/>
        <v>0</v>
      </c>
      <c r="T16" s="167">
        <f t="shared" si="223"/>
        <v>0</v>
      </c>
      <c r="U16" s="167">
        <f t="shared" si="224"/>
        <v>0</v>
      </c>
      <c r="V16" s="167">
        <f t="shared" si="225"/>
        <v>210000</v>
      </c>
      <c r="W16" s="167">
        <f t="shared" si="226"/>
        <v>210000</v>
      </c>
      <c r="X16" s="167">
        <f t="shared" si="227"/>
        <v>6237</v>
      </c>
      <c r="Y16" s="167">
        <f t="shared" si="228"/>
        <v>6237</v>
      </c>
      <c r="Z16" s="167">
        <f t="shared" si="229"/>
        <v>100852.5</v>
      </c>
      <c r="AA16" s="167">
        <f t="shared" si="230"/>
        <v>100852.5</v>
      </c>
      <c r="AB16" s="170">
        <f t="shared" si="231"/>
        <v>109147.5</v>
      </c>
      <c r="AC16" s="167">
        <f t="shared" si="232"/>
        <v>0</v>
      </c>
      <c r="AD16" s="171">
        <f t="shared" si="233"/>
        <v>0</v>
      </c>
      <c r="AE16" s="169">
        <f t="shared" si="112"/>
        <v>0</v>
      </c>
      <c r="AF16" s="167">
        <f t="shared" si="113"/>
        <v>0</v>
      </c>
      <c r="AG16" s="167">
        <f t="shared" si="114"/>
        <v>0</v>
      </c>
      <c r="AH16" s="167">
        <f t="shared" si="115"/>
        <v>0</v>
      </c>
      <c r="AI16" s="167">
        <f t="shared" si="116"/>
        <v>210000</v>
      </c>
      <c r="AJ16" s="167">
        <f t="shared" si="117"/>
        <v>210000</v>
      </c>
      <c r="AK16" s="167">
        <f t="shared" si="118"/>
        <v>6237</v>
      </c>
      <c r="AL16" s="167">
        <f t="shared" si="119"/>
        <v>6237</v>
      </c>
      <c r="AM16" s="167">
        <f t="shared" si="120"/>
        <v>94615.5</v>
      </c>
      <c r="AN16" s="167">
        <f t="shared" si="121"/>
        <v>94615.5</v>
      </c>
      <c r="AO16" s="170">
        <f t="shared" si="122"/>
        <v>115384.5</v>
      </c>
      <c r="AP16" s="167">
        <f t="shared" si="123"/>
        <v>0</v>
      </c>
      <c r="AQ16" s="171">
        <f t="shared" si="124"/>
        <v>0</v>
      </c>
      <c r="AR16" s="169">
        <f t="shared" si="112"/>
        <v>0</v>
      </c>
      <c r="AS16" s="167">
        <f t="shared" si="126"/>
        <v>0</v>
      </c>
      <c r="AT16" s="167">
        <f t="shared" si="127"/>
        <v>0</v>
      </c>
      <c r="AU16" s="167">
        <f t="shared" si="128"/>
        <v>0</v>
      </c>
      <c r="AV16" s="167">
        <f t="shared" si="129"/>
        <v>210000</v>
      </c>
      <c r="AW16" s="167">
        <f t="shared" si="130"/>
        <v>210000</v>
      </c>
      <c r="AX16" s="167">
        <f t="shared" si="131"/>
        <v>6237</v>
      </c>
      <c r="AY16" s="167">
        <f t="shared" si="132"/>
        <v>6237</v>
      </c>
      <c r="AZ16" s="167">
        <f t="shared" si="133"/>
        <v>88378.5</v>
      </c>
      <c r="BA16" s="167">
        <f t="shared" si="134"/>
        <v>88378.5</v>
      </c>
      <c r="BB16" s="170">
        <f t="shared" si="135"/>
        <v>121621.5</v>
      </c>
      <c r="BC16" s="167">
        <f t="shared" si="136"/>
        <v>0</v>
      </c>
      <c r="BD16" s="171">
        <f t="shared" si="137"/>
        <v>0</v>
      </c>
      <c r="BE16" s="169">
        <f t="shared" si="112"/>
        <v>0</v>
      </c>
      <c r="BF16" s="167">
        <f t="shared" si="139"/>
        <v>0</v>
      </c>
      <c r="BG16" s="167">
        <f t="shared" si="140"/>
        <v>0</v>
      </c>
      <c r="BH16" s="167">
        <f t="shared" si="141"/>
        <v>0</v>
      </c>
      <c r="BI16" s="167">
        <f t="shared" si="142"/>
        <v>210000</v>
      </c>
      <c r="BJ16" s="167">
        <f t="shared" si="143"/>
        <v>210000</v>
      </c>
      <c r="BK16" s="167">
        <f t="shared" si="144"/>
        <v>6237</v>
      </c>
      <c r="BL16" s="167">
        <f t="shared" si="145"/>
        <v>6237</v>
      </c>
      <c r="BM16" s="167">
        <f t="shared" si="146"/>
        <v>82141.5</v>
      </c>
      <c r="BN16" s="167">
        <f t="shared" si="147"/>
        <v>82141.5</v>
      </c>
      <c r="BO16" s="170">
        <f t="shared" si="148"/>
        <v>127858.5</v>
      </c>
      <c r="BP16" s="167">
        <f t="shared" si="149"/>
        <v>0</v>
      </c>
      <c r="BQ16" s="171">
        <f t="shared" si="150"/>
        <v>0</v>
      </c>
      <c r="BR16" s="169">
        <f t="shared" si="151"/>
        <v>0</v>
      </c>
      <c r="BS16" s="167">
        <f t="shared" si="152"/>
        <v>0</v>
      </c>
      <c r="BT16" s="167">
        <f t="shared" si="153"/>
        <v>0</v>
      </c>
      <c r="BU16" s="167">
        <f t="shared" si="154"/>
        <v>0</v>
      </c>
      <c r="BV16" s="167">
        <f t="shared" si="155"/>
        <v>210000</v>
      </c>
      <c r="BW16" s="167">
        <f t="shared" si="156"/>
        <v>210000</v>
      </c>
      <c r="BX16" s="167">
        <f t="shared" si="157"/>
        <v>6237</v>
      </c>
      <c r="BY16" s="167">
        <f t="shared" si="158"/>
        <v>6237</v>
      </c>
      <c r="BZ16" s="167">
        <f t="shared" si="159"/>
        <v>75904.5</v>
      </c>
      <c r="CA16" s="167">
        <f t="shared" si="160"/>
        <v>75904.5</v>
      </c>
      <c r="CB16" s="170">
        <f t="shared" si="161"/>
        <v>134095.5</v>
      </c>
      <c r="CC16" s="167">
        <f t="shared" si="162"/>
        <v>0</v>
      </c>
      <c r="CD16" s="171">
        <f t="shared" si="163"/>
        <v>0</v>
      </c>
      <c r="CE16" s="169">
        <f t="shared" si="151"/>
        <v>0</v>
      </c>
      <c r="CF16" s="167">
        <f t="shared" si="165"/>
        <v>0</v>
      </c>
      <c r="CG16" s="167">
        <f t="shared" si="166"/>
        <v>0</v>
      </c>
      <c r="CH16" s="167">
        <f t="shared" si="167"/>
        <v>0</v>
      </c>
      <c r="CI16" s="167">
        <f t="shared" si="168"/>
        <v>210000</v>
      </c>
      <c r="CJ16" s="167">
        <f t="shared" si="169"/>
        <v>210000</v>
      </c>
      <c r="CK16" s="167">
        <f t="shared" si="170"/>
        <v>6237</v>
      </c>
      <c r="CL16" s="167">
        <f t="shared" si="171"/>
        <v>6237</v>
      </c>
      <c r="CM16" s="167">
        <f t="shared" si="172"/>
        <v>69667.5</v>
      </c>
      <c r="CN16" s="167">
        <f t="shared" si="173"/>
        <v>69667.5</v>
      </c>
      <c r="CO16" s="170">
        <f t="shared" si="174"/>
        <v>140332.5</v>
      </c>
      <c r="CP16" s="167">
        <f t="shared" si="175"/>
        <v>0</v>
      </c>
      <c r="CQ16" s="171">
        <f t="shared" si="176"/>
        <v>0</v>
      </c>
      <c r="CR16" s="169">
        <f t="shared" si="151"/>
        <v>0</v>
      </c>
      <c r="CS16" s="167">
        <f t="shared" si="178"/>
        <v>0</v>
      </c>
      <c r="CT16" s="167">
        <f t="shared" si="179"/>
        <v>0</v>
      </c>
      <c r="CU16" s="167">
        <f t="shared" si="180"/>
        <v>0</v>
      </c>
      <c r="CV16" s="167">
        <f t="shared" si="181"/>
        <v>210000</v>
      </c>
      <c r="CW16" s="167">
        <f t="shared" si="182"/>
        <v>210000</v>
      </c>
      <c r="CX16" s="167">
        <f t="shared" si="183"/>
        <v>6237</v>
      </c>
      <c r="CY16" s="167">
        <f t="shared" si="184"/>
        <v>6237</v>
      </c>
      <c r="CZ16" s="167">
        <f t="shared" si="185"/>
        <v>63430.5</v>
      </c>
      <c r="DA16" s="167">
        <f t="shared" si="186"/>
        <v>63430.5</v>
      </c>
      <c r="DB16" s="170">
        <f t="shared" si="187"/>
        <v>146569.5</v>
      </c>
      <c r="DC16" s="167">
        <f t="shared" si="188"/>
        <v>0</v>
      </c>
      <c r="DD16" s="171">
        <f t="shared" si="189"/>
        <v>0</v>
      </c>
      <c r="DE16" s="169">
        <f t="shared" si="190"/>
        <v>0</v>
      </c>
      <c r="DF16" s="167">
        <f t="shared" si="191"/>
        <v>0</v>
      </c>
      <c r="DG16" s="167">
        <f t="shared" si="192"/>
        <v>0</v>
      </c>
      <c r="DH16" s="167">
        <f t="shared" si="193"/>
        <v>0</v>
      </c>
      <c r="DI16" s="167">
        <f t="shared" si="194"/>
        <v>210000</v>
      </c>
      <c r="DJ16" s="167">
        <f t="shared" si="195"/>
        <v>210000</v>
      </c>
      <c r="DK16" s="167">
        <f t="shared" si="196"/>
        <v>6237</v>
      </c>
      <c r="DL16" s="167">
        <f t="shared" si="197"/>
        <v>6237</v>
      </c>
      <c r="DM16" s="167">
        <f t="shared" si="198"/>
        <v>57193.5</v>
      </c>
      <c r="DN16" s="167">
        <f t="shared" si="199"/>
        <v>57193.5</v>
      </c>
      <c r="DO16" s="170">
        <f t="shared" si="200"/>
        <v>152806.5</v>
      </c>
      <c r="DP16" s="167">
        <f t="shared" si="201"/>
        <v>0</v>
      </c>
      <c r="DQ16" s="171">
        <f t="shared" si="202"/>
        <v>0</v>
      </c>
      <c r="DR16" s="169">
        <f t="shared" si="190"/>
        <v>0</v>
      </c>
      <c r="DS16" s="167">
        <f t="shared" si="204"/>
        <v>0</v>
      </c>
      <c r="DT16" s="167">
        <f t="shared" si="205"/>
        <v>0</v>
      </c>
      <c r="DU16" s="167">
        <f t="shared" si="206"/>
        <v>0</v>
      </c>
      <c r="DV16" s="167">
        <f t="shared" si="207"/>
        <v>210000</v>
      </c>
      <c r="DW16" s="167">
        <f t="shared" si="208"/>
        <v>210000</v>
      </c>
      <c r="DX16" s="167">
        <f t="shared" si="209"/>
        <v>6237</v>
      </c>
      <c r="DY16" s="167">
        <f t="shared" si="210"/>
        <v>6237</v>
      </c>
      <c r="DZ16" s="167">
        <f t="shared" si="211"/>
        <v>50956.5</v>
      </c>
      <c r="EA16" s="167">
        <f t="shared" si="212"/>
        <v>50956.5</v>
      </c>
      <c r="EB16" s="170">
        <f t="shared" si="213"/>
        <v>159043.5</v>
      </c>
      <c r="EC16" s="167">
        <f t="shared" si="214"/>
        <v>0</v>
      </c>
      <c r="ED16" s="171">
        <f t="shared" si="215"/>
        <v>0</v>
      </c>
    </row>
    <row r="17" spans="1:134" x14ac:dyDescent="0.3">
      <c r="A17" s="196">
        <v>1995</v>
      </c>
      <c r="B17" s="186" t="s">
        <v>452</v>
      </c>
      <c r="C17" s="187"/>
      <c r="D17" s="188" t="s">
        <v>100</v>
      </c>
      <c r="E17" s="189">
        <v>250000</v>
      </c>
      <c r="F17" s="190">
        <v>35186</v>
      </c>
      <c r="G17" s="191">
        <v>33.700000000000003</v>
      </c>
      <c r="H17" s="192"/>
      <c r="I17" s="193"/>
      <c r="J17" s="194"/>
      <c r="K17" s="165">
        <f t="shared" si="216"/>
        <v>2.9700000000000001E-2</v>
      </c>
      <c r="L17" s="166">
        <f t="shared" si="217"/>
        <v>7425</v>
      </c>
      <c r="M17" s="167">
        <f t="shared" si="218"/>
        <v>133675</v>
      </c>
      <c r="N17" s="167"/>
      <c r="O17" s="167">
        <f t="shared" si="219"/>
        <v>116325</v>
      </c>
      <c r="P17" s="168"/>
      <c r="Q17" s="167">
        <f t="shared" si="220"/>
        <v>250000</v>
      </c>
      <c r="R17" s="169">
        <f t="shared" si="221"/>
        <v>0</v>
      </c>
      <c r="S17" s="167">
        <f t="shared" si="222"/>
        <v>0</v>
      </c>
      <c r="T17" s="167">
        <f t="shared" si="223"/>
        <v>0</v>
      </c>
      <c r="U17" s="167">
        <f t="shared" si="224"/>
        <v>0</v>
      </c>
      <c r="V17" s="167">
        <f t="shared" si="225"/>
        <v>250000</v>
      </c>
      <c r="W17" s="167">
        <f t="shared" si="226"/>
        <v>250000</v>
      </c>
      <c r="X17" s="167">
        <f t="shared" si="227"/>
        <v>7425</v>
      </c>
      <c r="Y17" s="167">
        <f t="shared" si="228"/>
        <v>7425</v>
      </c>
      <c r="Z17" s="167">
        <f t="shared" si="229"/>
        <v>126250</v>
      </c>
      <c r="AA17" s="167">
        <f t="shared" si="230"/>
        <v>126250</v>
      </c>
      <c r="AB17" s="170">
        <f t="shared" si="231"/>
        <v>123750</v>
      </c>
      <c r="AC17" s="167">
        <f t="shared" si="232"/>
        <v>0</v>
      </c>
      <c r="AD17" s="171">
        <f t="shared" si="233"/>
        <v>0</v>
      </c>
      <c r="AE17" s="169">
        <f t="shared" si="112"/>
        <v>0</v>
      </c>
      <c r="AF17" s="167">
        <f t="shared" si="113"/>
        <v>0</v>
      </c>
      <c r="AG17" s="167">
        <f t="shared" si="114"/>
        <v>0</v>
      </c>
      <c r="AH17" s="167">
        <f t="shared" si="115"/>
        <v>0</v>
      </c>
      <c r="AI17" s="167">
        <f t="shared" si="116"/>
        <v>250000</v>
      </c>
      <c r="AJ17" s="167">
        <f t="shared" si="117"/>
        <v>250000</v>
      </c>
      <c r="AK17" s="167">
        <f t="shared" si="118"/>
        <v>7425</v>
      </c>
      <c r="AL17" s="167">
        <f t="shared" si="119"/>
        <v>7425</v>
      </c>
      <c r="AM17" s="167">
        <f t="shared" si="120"/>
        <v>118825</v>
      </c>
      <c r="AN17" s="167">
        <f t="shared" si="121"/>
        <v>118825</v>
      </c>
      <c r="AO17" s="170">
        <f t="shared" si="122"/>
        <v>131175</v>
      </c>
      <c r="AP17" s="167">
        <f t="shared" si="123"/>
        <v>0</v>
      </c>
      <c r="AQ17" s="171">
        <f t="shared" si="124"/>
        <v>0</v>
      </c>
      <c r="AR17" s="169">
        <f t="shared" si="112"/>
        <v>0</v>
      </c>
      <c r="AS17" s="167">
        <f t="shared" si="126"/>
        <v>0</v>
      </c>
      <c r="AT17" s="167">
        <f t="shared" si="127"/>
        <v>0</v>
      </c>
      <c r="AU17" s="167">
        <f t="shared" si="128"/>
        <v>0</v>
      </c>
      <c r="AV17" s="167">
        <f t="shared" si="129"/>
        <v>250000</v>
      </c>
      <c r="AW17" s="167">
        <f t="shared" si="130"/>
        <v>250000</v>
      </c>
      <c r="AX17" s="167">
        <f t="shared" si="131"/>
        <v>7425</v>
      </c>
      <c r="AY17" s="167">
        <f t="shared" si="132"/>
        <v>7425</v>
      </c>
      <c r="AZ17" s="167">
        <f t="shared" si="133"/>
        <v>111400</v>
      </c>
      <c r="BA17" s="167">
        <f t="shared" si="134"/>
        <v>111400</v>
      </c>
      <c r="BB17" s="170">
        <f t="shared" si="135"/>
        <v>138600</v>
      </c>
      <c r="BC17" s="167">
        <f t="shared" si="136"/>
        <v>0</v>
      </c>
      <c r="BD17" s="171">
        <f t="shared" si="137"/>
        <v>0</v>
      </c>
      <c r="BE17" s="169">
        <f t="shared" si="112"/>
        <v>0</v>
      </c>
      <c r="BF17" s="167">
        <f t="shared" si="139"/>
        <v>0</v>
      </c>
      <c r="BG17" s="167">
        <f t="shared" si="140"/>
        <v>0</v>
      </c>
      <c r="BH17" s="167">
        <f t="shared" si="141"/>
        <v>0</v>
      </c>
      <c r="BI17" s="167">
        <f t="shared" si="142"/>
        <v>250000</v>
      </c>
      <c r="BJ17" s="167">
        <f t="shared" si="143"/>
        <v>250000</v>
      </c>
      <c r="BK17" s="167">
        <f t="shared" si="144"/>
        <v>7425</v>
      </c>
      <c r="BL17" s="167">
        <f t="shared" si="145"/>
        <v>7425</v>
      </c>
      <c r="BM17" s="167">
        <f t="shared" si="146"/>
        <v>103975</v>
      </c>
      <c r="BN17" s="167">
        <f t="shared" si="147"/>
        <v>103975</v>
      </c>
      <c r="BO17" s="170">
        <f t="shared" si="148"/>
        <v>146025</v>
      </c>
      <c r="BP17" s="167">
        <f t="shared" si="149"/>
        <v>0</v>
      </c>
      <c r="BQ17" s="171">
        <f t="shared" si="150"/>
        <v>0</v>
      </c>
      <c r="BR17" s="169">
        <f t="shared" si="151"/>
        <v>0</v>
      </c>
      <c r="BS17" s="167">
        <f t="shared" si="152"/>
        <v>0</v>
      </c>
      <c r="BT17" s="167">
        <f t="shared" si="153"/>
        <v>0</v>
      </c>
      <c r="BU17" s="167">
        <f t="shared" si="154"/>
        <v>0</v>
      </c>
      <c r="BV17" s="167">
        <f t="shared" si="155"/>
        <v>250000</v>
      </c>
      <c r="BW17" s="167">
        <f t="shared" si="156"/>
        <v>250000</v>
      </c>
      <c r="BX17" s="167">
        <f t="shared" si="157"/>
        <v>7425</v>
      </c>
      <c r="BY17" s="167">
        <f t="shared" si="158"/>
        <v>7425</v>
      </c>
      <c r="BZ17" s="167">
        <f t="shared" si="159"/>
        <v>96550</v>
      </c>
      <c r="CA17" s="167">
        <f t="shared" si="160"/>
        <v>96550</v>
      </c>
      <c r="CB17" s="170">
        <f t="shared" si="161"/>
        <v>153450</v>
      </c>
      <c r="CC17" s="167">
        <f t="shared" si="162"/>
        <v>0</v>
      </c>
      <c r="CD17" s="171">
        <f t="shared" si="163"/>
        <v>0</v>
      </c>
      <c r="CE17" s="169">
        <f t="shared" si="151"/>
        <v>0</v>
      </c>
      <c r="CF17" s="167">
        <f t="shared" si="165"/>
        <v>0</v>
      </c>
      <c r="CG17" s="167">
        <f t="shared" si="166"/>
        <v>0</v>
      </c>
      <c r="CH17" s="167">
        <f t="shared" si="167"/>
        <v>0</v>
      </c>
      <c r="CI17" s="167">
        <f t="shared" si="168"/>
        <v>250000</v>
      </c>
      <c r="CJ17" s="167">
        <f t="shared" si="169"/>
        <v>250000</v>
      </c>
      <c r="CK17" s="167">
        <f t="shared" si="170"/>
        <v>7425</v>
      </c>
      <c r="CL17" s="167">
        <f t="shared" si="171"/>
        <v>7425</v>
      </c>
      <c r="CM17" s="167">
        <f t="shared" si="172"/>
        <v>89125</v>
      </c>
      <c r="CN17" s="167">
        <f t="shared" si="173"/>
        <v>89125</v>
      </c>
      <c r="CO17" s="170">
        <f t="shared" si="174"/>
        <v>160875</v>
      </c>
      <c r="CP17" s="167">
        <f t="shared" si="175"/>
        <v>0</v>
      </c>
      <c r="CQ17" s="171">
        <f t="shared" si="176"/>
        <v>0</v>
      </c>
      <c r="CR17" s="169">
        <f t="shared" si="151"/>
        <v>0</v>
      </c>
      <c r="CS17" s="167">
        <f t="shared" si="178"/>
        <v>0</v>
      </c>
      <c r="CT17" s="167">
        <f t="shared" si="179"/>
        <v>0</v>
      </c>
      <c r="CU17" s="167">
        <f t="shared" si="180"/>
        <v>0</v>
      </c>
      <c r="CV17" s="167">
        <f t="shared" si="181"/>
        <v>250000</v>
      </c>
      <c r="CW17" s="167">
        <f t="shared" si="182"/>
        <v>250000</v>
      </c>
      <c r="CX17" s="167">
        <f t="shared" si="183"/>
        <v>7425</v>
      </c>
      <c r="CY17" s="167">
        <f t="shared" si="184"/>
        <v>7425</v>
      </c>
      <c r="CZ17" s="167">
        <f t="shared" si="185"/>
        <v>81700</v>
      </c>
      <c r="DA17" s="167">
        <f t="shared" si="186"/>
        <v>81700</v>
      </c>
      <c r="DB17" s="170">
        <f t="shared" si="187"/>
        <v>168300</v>
      </c>
      <c r="DC17" s="167">
        <f t="shared" si="188"/>
        <v>0</v>
      </c>
      <c r="DD17" s="171">
        <f t="shared" si="189"/>
        <v>0</v>
      </c>
      <c r="DE17" s="169">
        <f t="shared" si="190"/>
        <v>0</v>
      </c>
      <c r="DF17" s="167">
        <f t="shared" si="191"/>
        <v>0</v>
      </c>
      <c r="DG17" s="167">
        <f t="shared" si="192"/>
        <v>0</v>
      </c>
      <c r="DH17" s="167">
        <f t="shared" si="193"/>
        <v>0</v>
      </c>
      <c r="DI17" s="167">
        <f t="shared" si="194"/>
        <v>250000</v>
      </c>
      <c r="DJ17" s="167">
        <f t="shared" si="195"/>
        <v>250000</v>
      </c>
      <c r="DK17" s="167">
        <f t="shared" si="196"/>
        <v>7425</v>
      </c>
      <c r="DL17" s="167">
        <f t="shared" si="197"/>
        <v>7425</v>
      </c>
      <c r="DM17" s="167">
        <f t="shared" si="198"/>
        <v>74275</v>
      </c>
      <c r="DN17" s="167">
        <f t="shared" si="199"/>
        <v>74275</v>
      </c>
      <c r="DO17" s="170">
        <f t="shared" si="200"/>
        <v>175725</v>
      </c>
      <c r="DP17" s="167">
        <f t="shared" si="201"/>
        <v>0</v>
      </c>
      <c r="DQ17" s="171">
        <f t="shared" si="202"/>
        <v>0</v>
      </c>
      <c r="DR17" s="169">
        <f t="shared" si="190"/>
        <v>0</v>
      </c>
      <c r="DS17" s="167">
        <f t="shared" si="204"/>
        <v>0</v>
      </c>
      <c r="DT17" s="167">
        <f t="shared" si="205"/>
        <v>0</v>
      </c>
      <c r="DU17" s="167">
        <f t="shared" si="206"/>
        <v>0</v>
      </c>
      <c r="DV17" s="167">
        <f t="shared" si="207"/>
        <v>250000</v>
      </c>
      <c r="DW17" s="167">
        <f t="shared" si="208"/>
        <v>250000</v>
      </c>
      <c r="DX17" s="167">
        <f t="shared" si="209"/>
        <v>7425</v>
      </c>
      <c r="DY17" s="167">
        <f t="shared" si="210"/>
        <v>7425</v>
      </c>
      <c r="DZ17" s="167">
        <f t="shared" si="211"/>
        <v>66850</v>
      </c>
      <c r="EA17" s="167">
        <f t="shared" si="212"/>
        <v>66850</v>
      </c>
      <c r="EB17" s="170">
        <f t="shared" si="213"/>
        <v>183150</v>
      </c>
      <c r="EC17" s="167">
        <f t="shared" si="214"/>
        <v>0</v>
      </c>
      <c r="ED17" s="171">
        <f t="shared" si="215"/>
        <v>0</v>
      </c>
    </row>
    <row r="18" spans="1:134" x14ac:dyDescent="0.3">
      <c r="A18" s="196">
        <v>1996</v>
      </c>
      <c r="B18" s="186" t="s">
        <v>452</v>
      </c>
      <c r="C18" s="187"/>
      <c r="D18" s="188" t="s">
        <v>100</v>
      </c>
      <c r="E18" s="189">
        <v>300000</v>
      </c>
      <c r="F18" s="190">
        <v>35490</v>
      </c>
      <c r="G18" s="191">
        <v>33.700000000000003</v>
      </c>
      <c r="H18" s="192"/>
      <c r="I18" s="193"/>
      <c r="J18" s="194"/>
      <c r="K18" s="165">
        <f t="shared" si="216"/>
        <v>2.9700000000000001E-2</v>
      </c>
      <c r="L18" s="166">
        <f t="shared" si="217"/>
        <v>8910</v>
      </c>
      <c r="M18" s="167">
        <f t="shared" si="218"/>
        <v>167835</v>
      </c>
      <c r="N18" s="167"/>
      <c r="O18" s="167">
        <f t="shared" si="219"/>
        <v>132165</v>
      </c>
      <c r="P18" s="168"/>
      <c r="Q18" s="167">
        <f t="shared" si="220"/>
        <v>300000</v>
      </c>
      <c r="R18" s="169">
        <f t="shared" si="221"/>
        <v>0</v>
      </c>
      <c r="S18" s="167">
        <f t="shared" si="222"/>
        <v>0</v>
      </c>
      <c r="T18" s="167">
        <f t="shared" si="223"/>
        <v>0</v>
      </c>
      <c r="U18" s="167">
        <f t="shared" si="224"/>
        <v>0</v>
      </c>
      <c r="V18" s="167">
        <f t="shared" si="225"/>
        <v>300000</v>
      </c>
      <c r="W18" s="167">
        <f t="shared" si="226"/>
        <v>300000</v>
      </c>
      <c r="X18" s="167">
        <f t="shared" si="227"/>
        <v>8910</v>
      </c>
      <c r="Y18" s="167">
        <f t="shared" si="228"/>
        <v>8910</v>
      </c>
      <c r="Z18" s="167">
        <f t="shared" si="229"/>
        <v>158925</v>
      </c>
      <c r="AA18" s="167">
        <f t="shared" si="230"/>
        <v>158925</v>
      </c>
      <c r="AB18" s="170">
        <f t="shared" si="231"/>
        <v>141075</v>
      </c>
      <c r="AC18" s="167">
        <f t="shared" si="232"/>
        <v>0</v>
      </c>
      <c r="AD18" s="171">
        <f t="shared" si="233"/>
        <v>0</v>
      </c>
      <c r="AE18" s="169">
        <f t="shared" si="112"/>
        <v>0</v>
      </c>
      <c r="AF18" s="167">
        <f t="shared" si="113"/>
        <v>0</v>
      </c>
      <c r="AG18" s="167">
        <f t="shared" si="114"/>
        <v>0</v>
      </c>
      <c r="AH18" s="167">
        <f t="shared" si="115"/>
        <v>0</v>
      </c>
      <c r="AI18" s="167">
        <f t="shared" si="116"/>
        <v>300000</v>
      </c>
      <c r="AJ18" s="167">
        <f t="shared" si="117"/>
        <v>300000</v>
      </c>
      <c r="AK18" s="167">
        <f t="shared" si="118"/>
        <v>8910</v>
      </c>
      <c r="AL18" s="167">
        <f t="shared" si="119"/>
        <v>8910</v>
      </c>
      <c r="AM18" s="167">
        <f t="shared" si="120"/>
        <v>150015</v>
      </c>
      <c r="AN18" s="167">
        <f t="shared" si="121"/>
        <v>150015</v>
      </c>
      <c r="AO18" s="170">
        <f t="shared" si="122"/>
        <v>149985</v>
      </c>
      <c r="AP18" s="167">
        <f t="shared" si="123"/>
        <v>0</v>
      </c>
      <c r="AQ18" s="171">
        <f t="shared" si="124"/>
        <v>0</v>
      </c>
      <c r="AR18" s="169">
        <f t="shared" si="112"/>
        <v>0</v>
      </c>
      <c r="AS18" s="167">
        <f t="shared" si="126"/>
        <v>0</v>
      </c>
      <c r="AT18" s="167">
        <f t="shared" si="127"/>
        <v>0</v>
      </c>
      <c r="AU18" s="167">
        <f t="shared" si="128"/>
        <v>0</v>
      </c>
      <c r="AV18" s="167">
        <f t="shared" si="129"/>
        <v>300000</v>
      </c>
      <c r="AW18" s="167">
        <f t="shared" si="130"/>
        <v>300000</v>
      </c>
      <c r="AX18" s="167">
        <f t="shared" si="131"/>
        <v>8910</v>
      </c>
      <c r="AY18" s="167">
        <f t="shared" si="132"/>
        <v>8910</v>
      </c>
      <c r="AZ18" s="167">
        <f t="shared" si="133"/>
        <v>141105</v>
      </c>
      <c r="BA18" s="167">
        <f t="shared" si="134"/>
        <v>141105</v>
      </c>
      <c r="BB18" s="170">
        <f t="shared" si="135"/>
        <v>158895</v>
      </c>
      <c r="BC18" s="167">
        <f t="shared" si="136"/>
        <v>0</v>
      </c>
      <c r="BD18" s="171">
        <f t="shared" si="137"/>
        <v>0</v>
      </c>
      <c r="BE18" s="169">
        <f t="shared" si="112"/>
        <v>0</v>
      </c>
      <c r="BF18" s="167">
        <f t="shared" si="139"/>
        <v>0</v>
      </c>
      <c r="BG18" s="167">
        <f t="shared" si="140"/>
        <v>0</v>
      </c>
      <c r="BH18" s="167">
        <f t="shared" si="141"/>
        <v>0</v>
      </c>
      <c r="BI18" s="167">
        <f t="shared" si="142"/>
        <v>300000</v>
      </c>
      <c r="BJ18" s="167">
        <f t="shared" si="143"/>
        <v>300000</v>
      </c>
      <c r="BK18" s="167">
        <f t="shared" si="144"/>
        <v>8910</v>
      </c>
      <c r="BL18" s="167">
        <f t="shared" si="145"/>
        <v>8910</v>
      </c>
      <c r="BM18" s="167">
        <f t="shared" si="146"/>
        <v>132195</v>
      </c>
      <c r="BN18" s="167">
        <f t="shared" si="147"/>
        <v>132195</v>
      </c>
      <c r="BO18" s="170">
        <f t="shared" si="148"/>
        <v>167805</v>
      </c>
      <c r="BP18" s="167">
        <f t="shared" si="149"/>
        <v>0</v>
      </c>
      <c r="BQ18" s="171">
        <f t="shared" si="150"/>
        <v>0</v>
      </c>
      <c r="BR18" s="169">
        <f t="shared" si="151"/>
        <v>0</v>
      </c>
      <c r="BS18" s="167">
        <f t="shared" si="152"/>
        <v>0</v>
      </c>
      <c r="BT18" s="167">
        <f t="shared" si="153"/>
        <v>0</v>
      </c>
      <c r="BU18" s="167">
        <f t="shared" si="154"/>
        <v>0</v>
      </c>
      <c r="BV18" s="167">
        <f t="shared" si="155"/>
        <v>300000</v>
      </c>
      <c r="BW18" s="167">
        <f t="shared" si="156"/>
        <v>300000</v>
      </c>
      <c r="BX18" s="167">
        <f t="shared" si="157"/>
        <v>8910</v>
      </c>
      <c r="BY18" s="167">
        <f t="shared" si="158"/>
        <v>8910</v>
      </c>
      <c r="BZ18" s="167">
        <f t="shared" si="159"/>
        <v>123285</v>
      </c>
      <c r="CA18" s="167">
        <f t="shared" si="160"/>
        <v>123285</v>
      </c>
      <c r="CB18" s="170">
        <f t="shared" si="161"/>
        <v>176715</v>
      </c>
      <c r="CC18" s="167">
        <f t="shared" si="162"/>
        <v>0</v>
      </c>
      <c r="CD18" s="171">
        <f t="shared" si="163"/>
        <v>0</v>
      </c>
      <c r="CE18" s="169">
        <f t="shared" si="151"/>
        <v>0</v>
      </c>
      <c r="CF18" s="167">
        <f t="shared" si="165"/>
        <v>0</v>
      </c>
      <c r="CG18" s="167">
        <f t="shared" si="166"/>
        <v>0</v>
      </c>
      <c r="CH18" s="167">
        <f t="shared" si="167"/>
        <v>0</v>
      </c>
      <c r="CI18" s="167">
        <f t="shared" si="168"/>
        <v>300000</v>
      </c>
      <c r="CJ18" s="167">
        <f t="shared" si="169"/>
        <v>300000</v>
      </c>
      <c r="CK18" s="167">
        <f t="shared" si="170"/>
        <v>8910</v>
      </c>
      <c r="CL18" s="167">
        <f t="shared" si="171"/>
        <v>8910</v>
      </c>
      <c r="CM18" s="167">
        <f t="shared" si="172"/>
        <v>114375</v>
      </c>
      <c r="CN18" s="167">
        <f t="shared" si="173"/>
        <v>114375</v>
      </c>
      <c r="CO18" s="170">
        <f t="shared" si="174"/>
        <v>185625</v>
      </c>
      <c r="CP18" s="167">
        <f t="shared" si="175"/>
        <v>0</v>
      </c>
      <c r="CQ18" s="171">
        <f t="shared" si="176"/>
        <v>0</v>
      </c>
      <c r="CR18" s="169">
        <f t="shared" si="151"/>
        <v>0</v>
      </c>
      <c r="CS18" s="167">
        <f t="shared" si="178"/>
        <v>0</v>
      </c>
      <c r="CT18" s="167">
        <f t="shared" si="179"/>
        <v>0</v>
      </c>
      <c r="CU18" s="167">
        <f t="shared" si="180"/>
        <v>0</v>
      </c>
      <c r="CV18" s="167">
        <f t="shared" si="181"/>
        <v>300000</v>
      </c>
      <c r="CW18" s="167">
        <f t="shared" si="182"/>
        <v>300000</v>
      </c>
      <c r="CX18" s="167">
        <f t="shared" si="183"/>
        <v>8910</v>
      </c>
      <c r="CY18" s="167">
        <f t="shared" si="184"/>
        <v>8910</v>
      </c>
      <c r="CZ18" s="167">
        <f t="shared" si="185"/>
        <v>105465</v>
      </c>
      <c r="DA18" s="167">
        <f t="shared" si="186"/>
        <v>105465</v>
      </c>
      <c r="DB18" s="170">
        <f t="shared" si="187"/>
        <v>194535</v>
      </c>
      <c r="DC18" s="167">
        <f t="shared" si="188"/>
        <v>0</v>
      </c>
      <c r="DD18" s="171">
        <f t="shared" si="189"/>
        <v>0</v>
      </c>
      <c r="DE18" s="169">
        <f t="shared" si="190"/>
        <v>0</v>
      </c>
      <c r="DF18" s="167">
        <f t="shared" si="191"/>
        <v>0</v>
      </c>
      <c r="DG18" s="167">
        <f t="shared" si="192"/>
        <v>0</v>
      </c>
      <c r="DH18" s="167">
        <f t="shared" si="193"/>
        <v>0</v>
      </c>
      <c r="DI18" s="167">
        <f t="shared" si="194"/>
        <v>300000</v>
      </c>
      <c r="DJ18" s="167">
        <f t="shared" si="195"/>
        <v>300000</v>
      </c>
      <c r="DK18" s="167">
        <f t="shared" si="196"/>
        <v>8910</v>
      </c>
      <c r="DL18" s="167">
        <f t="shared" si="197"/>
        <v>8910</v>
      </c>
      <c r="DM18" s="167">
        <f t="shared" si="198"/>
        <v>96555</v>
      </c>
      <c r="DN18" s="167">
        <f t="shared" si="199"/>
        <v>96555</v>
      </c>
      <c r="DO18" s="170">
        <f t="shared" si="200"/>
        <v>203445</v>
      </c>
      <c r="DP18" s="167">
        <f t="shared" si="201"/>
        <v>0</v>
      </c>
      <c r="DQ18" s="171">
        <f t="shared" si="202"/>
        <v>0</v>
      </c>
      <c r="DR18" s="169">
        <f t="shared" si="190"/>
        <v>0</v>
      </c>
      <c r="DS18" s="167">
        <f t="shared" si="204"/>
        <v>0</v>
      </c>
      <c r="DT18" s="167">
        <f t="shared" si="205"/>
        <v>0</v>
      </c>
      <c r="DU18" s="167">
        <f t="shared" si="206"/>
        <v>0</v>
      </c>
      <c r="DV18" s="167">
        <f t="shared" si="207"/>
        <v>300000</v>
      </c>
      <c r="DW18" s="167">
        <f t="shared" si="208"/>
        <v>300000</v>
      </c>
      <c r="DX18" s="167">
        <f t="shared" si="209"/>
        <v>8910</v>
      </c>
      <c r="DY18" s="167">
        <f t="shared" si="210"/>
        <v>8910</v>
      </c>
      <c r="DZ18" s="167">
        <f t="shared" si="211"/>
        <v>87645</v>
      </c>
      <c r="EA18" s="167">
        <f t="shared" si="212"/>
        <v>87645</v>
      </c>
      <c r="EB18" s="170">
        <f t="shared" si="213"/>
        <v>212355</v>
      </c>
      <c r="EC18" s="167">
        <f t="shared" si="214"/>
        <v>0</v>
      </c>
      <c r="ED18" s="171">
        <f t="shared" si="215"/>
        <v>0</v>
      </c>
    </row>
    <row r="19" spans="1:134" x14ac:dyDescent="0.3">
      <c r="A19" s="196">
        <v>1997</v>
      </c>
      <c r="B19" s="186" t="s">
        <v>452</v>
      </c>
      <c r="C19" s="187"/>
      <c r="D19" s="188" t="s">
        <v>100</v>
      </c>
      <c r="E19" s="189">
        <v>140000</v>
      </c>
      <c r="F19" s="190">
        <v>35796</v>
      </c>
      <c r="G19" s="191">
        <v>33.700000000000003</v>
      </c>
      <c r="H19" s="192"/>
      <c r="I19" s="193"/>
      <c r="J19" s="194"/>
      <c r="K19" s="165">
        <f t="shared" si="216"/>
        <v>2.9700000000000001E-2</v>
      </c>
      <c r="L19" s="166">
        <f t="shared" si="217"/>
        <v>4158</v>
      </c>
      <c r="M19" s="167">
        <f t="shared" si="218"/>
        <v>81788</v>
      </c>
      <c r="N19" s="167"/>
      <c r="O19" s="167">
        <f t="shared" si="219"/>
        <v>58212</v>
      </c>
      <c r="P19" s="168"/>
      <c r="Q19" s="167">
        <f t="shared" si="220"/>
        <v>140000</v>
      </c>
      <c r="R19" s="169">
        <f t="shared" si="221"/>
        <v>0</v>
      </c>
      <c r="S19" s="167">
        <f t="shared" si="222"/>
        <v>0</v>
      </c>
      <c r="T19" s="167">
        <f t="shared" si="223"/>
        <v>0</v>
      </c>
      <c r="U19" s="167">
        <f t="shared" si="224"/>
        <v>0</v>
      </c>
      <c r="V19" s="167">
        <f t="shared" si="225"/>
        <v>140000</v>
      </c>
      <c r="W19" s="167">
        <f t="shared" si="226"/>
        <v>140000</v>
      </c>
      <c r="X19" s="167">
        <f t="shared" si="227"/>
        <v>4158</v>
      </c>
      <c r="Y19" s="167">
        <f t="shared" si="228"/>
        <v>4158</v>
      </c>
      <c r="Z19" s="167">
        <f t="shared" si="229"/>
        <v>77630</v>
      </c>
      <c r="AA19" s="167">
        <f t="shared" si="230"/>
        <v>77630</v>
      </c>
      <c r="AB19" s="170">
        <f t="shared" si="231"/>
        <v>62370</v>
      </c>
      <c r="AC19" s="167">
        <f t="shared" si="232"/>
        <v>0</v>
      </c>
      <c r="AD19" s="171">
        <f t="shared" si="233"/>
        <v>0</v>
      </c>
      <c r="AE19" s="169">
        <f t="shared" si="112"/>
        <v>0</v>
      </c>
      <c r="AF19" s="167">
        <f t="shared" si="113"/>
        <v>0</v>
      </c>
      <c r="AG19" s="167">
        <f t="shared" si="114"/>
        <v>0</v>
      </c>
      <c r="AH19" s="167">
        <f t="shared" si="115"/>
        <v>0</v>
      </c>
      <c r="AI19" s="167">
        <f t="shared" si="116"/>
        <v>140000</v>
      </c>
      <c r="AJ19" s="167">
        <f t="shared" si="117"/>
        <v>140000</v>
      </c>
      <c r="AK19" s="167">
        <f t="shared" si="118"/>
        <v>4158</v>
      </c>
      <c r="AL19" s="167">
        <f t="shared" si="119"/>
        <v>4158</v>
      </c>
      <c r="AM19" s="167">
        <f t="shared" si="120"/>
        <v>73472</v>
      </c>
      <c r="AN19" s="167">
        <f t="shared" si="121"/>
        <v>73472</v>
      </c>
      <c r="AO19" s="170">
        <f t="shared" si="122"/>
        <v>66528</v>
      </c>
      <c r="AP19" s="167">
        <f t="shared" si="123"/>
        <v>0</v>
      </c>
      <c r="AQ19" s="171">
        <f t="shared" si="124"/>
        <v>0</v>
      </c>
      <c r="AR19" s="169">
        <f t="shared" si="112"/>
        <v>0</v>
      </c>
      <c r="AS19" s="167">
        <f t="shared" si="126"/>
        <v>0</v>
      </c>
      <c r="AT19" s="167">
        <f t="shared" si="127"/>
        <v>0</v>
      </c>
      <c r="AU19" s="167">
        <f t="shared" si="128"/>
        <v>0</v>
      </c>
      <c r="AV19" s="167">
        <f t="shared" si="129"/>
        <v>140000</v>
      </c>
      <c r="AW19" s="167">
        <f t="shared" si="130"/>
        <v>140000</v>
      </c>
      <c r="AX19" s="167">
        <f t="shared" si="131"/>
        <v>4158</v>
      </c>
      <c r="AY19" s="167">
        <f t="shared" si="132"/>
        <v>4158</v>
      </c>
      <c r="AZ19" s="167">
        <f t="shared" si="133"/>
        <v>69314</v>
      </c>
      <c r="BA19" s="167">
        <f t="shared" si="134"/>
        <v>69314</v>
      </c>
      <c r="BB19" s="170">
        <f t="shared" si="135"/>
        <v>70686</v>
      </c>
      <c r="BC19" s="167">
        <f t="shared" si="136"/>
        <v>0</v>
      </c>
      <c r="BD19" s="171">
        <f t="shared" si="137"/>
        <v>0</v>
      </c>
      <c r="BE19" s="169">
        <f t="shared" si="112"/>
        <v>0</v>
      </c>
      <c r="BF19" s="167">
        <f t="shared" si="139"/>
        <v>0</v>
      </c>
      <c r="BG19" s="167">
        <f t="shared" si="140"/>
        <v>0</v>
      </c>
      <c r="BH19" s="167">
        <f t="shared" si="141"/>
        <v>0</v>
      </c>
      <c r="BI19" s="167">
        <f t="shared" si="142"/>
        <v>140000</v>
      </c>
      <c r="BJ19" s="167">
        <f t="shared" si="143"/>
        <v>140000</v>
      </c>
      <c r="BK19" s="167">
        <f t="shared" si="144"/>
        <v>4158</v>
      </c>
      <c r="BL19" s="167">
        <f t="shared" si="145"/>
        <v>4158</v>
      </c>
      <c r="BM19" s="167">
        <f t="shared" si="146"/>
        <v>65156</v>
      </c>
      <c r="BN19" s="167">
        <f t="shared" si="147"/>
        <v>65156</v>
      </c>
      <c r="BO19" s="170">
        <f t="shared" si="148"/>
        <v>74844</v>
      </c>
      <c r="BP19" s="167">
        <f t="shared" si="149"/>
        <v>0</v>
      </c>
      <c r="BQ19" s="171">
        <f t="shared" si="150"/>
        <v>0</v>
      </c>
      <c r="BR19" s="169">
        <f t="shared" si="151"/>
        <v>0</v>
      </c>
      <c r="BS19" s="167">
        <f t="shared" si="152"/>
        <v>0</v>
      </c>
      <c r="BT19" s="167">
        <f t="shared" si="153"/>
        <v>0</v>
      </c>
      <c r="BU19" s="167">
        <f t="shared" si="154"/>
        <v>0</v>
      </c>
      <c r="BV19" s="167">
        <f t="shared" si="155"/>
        <v>140000</v>
      </c>
      <c r="BW19" s="167">
        <f t="shared" si="156"/>
        <v>140000</v>
      </c>
      <c r="BX19" s="167">
        <f t="shared" si="157"/>
        <v>4158</v>
      </c>
      <c r="BY19" s="167">
        <f t="shared" si="158"/>
        <v>4158</v>
      </c>
      <c r="BZ19" s="167">
        <f t="shared" si="159"/>
        <v>60998</v>
      </c>
      <c r="CA19" s="167">
        <f t="shared" si="160"/>
        <v>60998</v>
      </c>
      <c r="CB19" s="170">
        <f t="shared" si="161"/>
        <v>79002</v>
      </c>
      <c r="CC19" s="167">
        <f t="shared" si="162"/>
        <v>0</v>
      </c>
      <c r="CD19" s="171">
        <f t="shared" si="163"/>
        <v>0</v>
      </c>
      <c r="CE19" s="169">
        <f t="shared" si="151"/>
        <v>0</v>
      </c>
      <c r="CF19" s="167">
        <f t="shared" si="165"/>
        <v>0</v>
      </c>
      <c r="CG19" s="167">
        <f t="shared" si="166"/>
        <v>0</v>
      </c>
      <c r="CH19" s="167">
        <f t="shared" si="167"/>
        <v>0</v>
      </c>
      <c r="CI19" s="167">
        <f t="shared" si="168"/>
        <v>140000</v>
      </c>
      <c r="CJ19" s="167">
        <f t="shared" si="169"/>
        <v>140000</v>
      </c>
      <c r="CK19" s="167">
        <f t="shared" si="170"/>
        <v>4158</v>
      </c>
      <c r="CL19" s="167">
        <f t="shared" si="171"/>
        <v>4158</v>
      </c>
      <c r="CM19" s="167">
        <f t="shared" si="172"/>
        <v>56840</v>
      </c>
      <c r="CN19" s="167">
        <f t="shared" si="173"/>
        <v>56840</v>
      </c>
      <c r="CO19" s="170">
        <f t="shared" si="174"/>
        <v>83160</v>
      </c>
      <c r="CP19" s="167">
        <f t="shared" si="175"/>
        <v>0</v>
      </c>
      <c r="CQ19" s="171">
        <f t="shared" si="176"/>
        <v>0</v>
      </c>
      <c r="CR19" s="169">
        <f t="shared" si="151"/>
        <v>0</v>
      </c>
      <c r="CS19" s="167">
        <f t="shared" si="178"/>
        <v>0</v>
      </c>
      <c r="CT19" s="167">
        <f t="shared" si="179"/>
        <v>0</v>
      </c>
      <c r="CU19" s="167">
        <f t="shared" si="180"/>
        <v>0</v>
      </c>
      <c r="CV19" s="167">
        <f t="shared" si="181"/>
        <v>140000</v>
      </c>
      <c r="CW19" s="167">
        <f t="shared" si="182"/>
        <v>140000</v>
      </c>
      <c r="CX19" s="167">
        <f t="shared" si="183"/>
        <v>4158</v>
      </c>
      <c r="CY19" s="167">
        <f t="shared" si="184"/>
        <v>4158</v>
      </c>
      <c r="CZ19" s="167">
        <f t="shared" si="185"/>
        <v>52682</v>
      </c>
      <c r="DA19" s="167">
        <f t="shared" si="186"/>
        <v>52682</v>
      </c>
      <c r="DB19" s="170">
        <f t="shared" si="187"/>
        <v>87318</v>
      </c>
      <c r="DC19" s="167">
        <f t="shared" si="188"/>
        <v>0</v>
      </c>
      <c r="DD19" s="171">
        <f t="shared" si="189"/>
        <v>0</v>
      </c>
      <c r="DE19" s="169">
        <f t="shared" si="190"/>
        <v>0</v>
      </c>
      <c r="DF19" s="167">
        <f t="shared" si="191"/>
        <v>0</v>
      </c>
      <c r="DG19" s="167">
        <f t="shared" si="192"/>
        <v>0</v>
      </c>
      <c r="DH19" s="167">
        <f t="shared" si="193"/>
        <v>0</v>
      </c>
      <c r="DI19" s="167">
        <f t="shared" si="194"/>
        <v>140000</v>
      </c>
      <c r="DJ19" s="167">
        <f t="shared" si="195"/>
        <v>140000</v>
      </c>
      <c r="DK19" s="167">
        <f t="shared" si="196"/>
        <v>4158</v>
      </c>
      <c r="DL19" s="167">
        <f t="shared" si="197"/>
        <v>4158</v>
      </c>
      <c r="DM19" s="167">
        <f t="shared" si="198"/>
        <v>48524</v>
      </c>
      <c r="DN19" s="167">
        <f t="shared" si="199"/>
        <v>48524</v>
      </c>
      <c r="DO19" s="170">
        <f t="shared" si="200"/>
        <v>91476</v>
      </c>
      <c r="DP19" s="167">
        <f t="shared" si="201"/>
        <v>0</v>
      </c>
      <c r="DQ19" s="171">
        <f t="shared" si="202"/>
        <v>0</v>
      </c>
      <c r="DR19" s="169">
        <f t="shared" si="190"/>
        <v>0</v>
      </c>
      <c r="DS19" s="167">
        <f t="shared" si="204"/>
        <v>0</v>
      </c>
      <c r="DT19" s="167">
        <f t="shared" si="205"/>
        <v>0</v>
      </c>
      <c r="DU19" s="167">
        <f t="shared" si="206"/>
        <v>0</v>
      </c>
      <c r="DV19" s="167">
        <f t="shared" si="207"/>
        <v>140000</v>
      </c>
      <c r="DW19" s="167">
        <f t="shared" si="208"/>
        <v>140000</v>
      </c>
      <c r="DX19" s="167">
        <f t="shared" si="209"/>
        <v>4158</v>
      </c>
      <c r="DY19" s="167">
        <f t="shared" si="210"/>
        <v>4158</v>
      </c>
      <c r="DZ19" s="167">
        <f t="shared" si="211"/>
        <v>44366</v>
      </c>
      <c r="EA19" s="167">
        <f t="shared" si="212"/>
        <v>44366</v>
      </c>
      <c r="EB19" s="170">
        <f t="shared" si="213"/>
        <v>95634</v>
      </c>
      <c r="EC19" s="167">
        <f t="shared" si="214"/>
        <v>0</v>
      </c>
      <c r="ED19" s="171">
        <f t="shared" si="215"/>
        <v>0</v>
      </c>
    </row>
    <row r="20" spans="1:134" x14ac:dyDescent="0.3">
      <c r="A20" s="196">
        <v>1998</v>
      </c>
      <c r="B20" s="186" t="s">
        <v>452</v>
      </c>
      <c r="C20" s="187"/>
      <c r="D20" s="188" t="s">
        <v>100</v>
      </c>
      <c r="E20" s="189">
        <v>290000</v>
      </c>
      <c r="F20" s="190">
        <v>36130</v>
      </c>
      <c r="G20" s="191">
        <v>33.700000000000003</v>
      </c>
      <c r="H20" s="192"/>
      <c r="I20" s="193"/>
      <c r="J20" s="194"/>
      <c r="K20" s="165">
        <f t="shared" si="216"/>
        <v>2.9700000000000001E-2</v>
      </c>
      <c r="L20" s="166">
        <f t="shared" si="217"/>
        <v>8613</v>
      </c>
      <c r="M20" s="167">
        <f t="shared" si="218"/>
        <v>177313.25</v>
      </c>
      <c r="N20" s="167"/>
      <c r="O20" s="167">
        <f t="shared" si="219"/>
        <v>112686.75</v>
      </c>
      <c r="P20" s="168"/>
      <c r="Q20" s="167">
        <f t="shared" si="220"/>
        <v>290000</v>
      </c>
      <c r="R20" s="169">
        <f t="shared" si="221"/>
        <v>0</v>
      </c>
      <c r="S20" s="167">
        <f t="shared" si="222"/>
        <v>0</v>
      </c>
      <c r="T20" s="167">
        <f t="shared" si="223"/>
        <v>0</v>
      </c>
      <c r="U20" s="167">
        <f t="shared" si="224"/>
        <v>0</v>
      </c>
      <c r="V20" s="167">
        <f t="shared" si="225"/>
        <v>290000</v>
      </c>
      <c r="W20" s="167">
        <f t="shared" si="226"/>
        <v>290000</v>
      </c>
      <c r="X20" s="167">
        <f t="shared" si="227"/>
        <v>8613</v>
      </c>
      <c r="Y20" s="167">
        <f t="shared" si="228"/>
        <v>8613</v>
      </c>
      <c r="Z20" s="167">
        <f t="shared" si="229"/>
        <v>168700.25</v>
      </c>
      <c r="AA20" s="167">
        <f t="shared" si="230"/>
        <v>168700.25</v>
      </c>
      <c r="AB20" s="170">
        <f t="shared" si="231"/>
        <v>121299.75</v>
      </c>
      <c r="AC20" s="167">
        <f t="shared" si="232"/>
        <v>0</v>
      </c>
      <c r="AD20" s="171">
        <f t="shared" si="233"/>
        <v>0</v>
      </c>
      <c r="AE20" s="169">
        <f t="shared" si="112"/>
        <v>0</v>
      </c>
      <c r="AF20" s="167">
        <f t="shared" si="113"/>
        <v>0</v>
      </c>
      <c r="AG20" s="167">
        <f t="shared" si="114"/>
        <v>0</v>
      </c>
      <c r="AH20" s="167">
        <f t="shared" si="115"/>
        <v>0</v>
      </c>
      <c r="AI20" s="167">
        <f t="shared" si="116"/>
        <v>290000</v>
      </c>
      <c r="AJ20" s="167">
        <f t="shared" si="117"/>
        <v>290000</v>
      </c>
      <c r="AK20" s="167">
        <f t="shared" si="118"/>
        <v>8613</v>
      </c>
      <c r="AL20" s="167">
        <f t="shared" si="119"/>
        <v>8613</v>
      </c>
      <c r="AM20" s="167">
        <f t="shared" si="120"/>
        <v>160087.25</v>
      </c>
      <c r="AN20" s="167">
        <f t="shared" si="121"/>
        <v>160087.25</v>
      </c>
      <c r="AO20" s="170">
        <f t="shared" si="122"/>
        <v>129912.75</v>
      </c>
      <c r="AP20" s="167">
        <f t="shared" si="123"/>
        <v>0</v>
      </c>
      <c r="AQ20" s="171">
        <f t="shared" si="124"/>
        <v>0</v>
      </c>
      <c r="AR20" s="169">
        <f t="shared" si="112"/>
        <v>0</v>
      </c>
      <c r="AS20" s="167">
        <f t="shared" si="126"/>
        <v>0</v>
      </c>
      <c r="AT20" s="167">
        <f t="shared" si="127"/>
        <v>0</v>
      </c>
      <c r="AU20" s="167">
        <f t="shared" si="128"/>
        <v>0</v>
      </c>
      <c r="AV20" s="167">
        <f t="shared" si="129"/>
        <v>290000</v>
      </c>
      <c r="AW20" s="167">
        <f t="shared" si="130"/>
        <v>290000</v>
      </c>
      <c r="AX20" s="167">
        <f t="shared" si="131"/>
        <v>8613</v>
      </c>
      <c r="AY20" s="167">
        <f t="shared" si="132"/>
        <v>8613</v>
      </c>
      <c r="AZ20" s="167">
        <f t="shared" si="133"/>
        <v>151474.25</v>
      </c>
      <c r="BA20" s="167">
        <f t="shared" si="134"/>
        <v>151474.25</v>
      </c>
      <c r="BB20" s="170">
        <f t="shared" si="135"/>
        <v>138525.75</v>
      </c>
      <c r="BC20" s="167">
        <f t="shared" si="136"/>
        <v>0</v>
      </c>
      <c r="BD20" s="171">
        <f t="shared" si="137"/>
        <v>0</v>
      </c>
      <c r="BE20" s="169">
        <f t="shared" si="112"/>
        <v>0</v>
      </c>
      <c r="BF20" s="167">
        <f t="shared" si="139"/>
        <v>0</v>
      </c>
      <c r="BG20" s="167">
        <f t="shared" si="140"/>
        <v>0</v>
      </c>
      <c r="BH20" s="167">
        <f t="shared" si="141"/>
        <v>0</v>
      </c>
      <c r="BI20" s="167">
        <f t="shared" si="142"/>
        <v>290000</v>
      </c>
      <c r="BJ20" s="167">
        <f t="shared" si="143"/>
        <v>290000</v>
      </c>
      <c r="BK20" s="167">
        <f t="shared" si="144"/>
        <v>8613</v>
      </c>
      <c r="BL20" s="167">
        <f t="shared" si="145"/>
        <v>8613</v>
      </c>
      <c r="BM20" s="167">
        <f t="shared" si="146"/>
        <v>142861.25</v>
      </c>
      <c r="BN20" s="167">
        <f t="shared" si="147"/>
        <v>142861.25</v>
      </c>
      <c r="BO20" s="170">
        <f t="shared" si="148"/>
        <v>147138.75</v>
      </c>
      <c r="BP20" s="167">
        <f t="shared" si="149"/>
        <v>0</v>
      </c>
      <c r="BQ20" s="171">
        <f t="shared" si="150"/>
        <v>0</v>
      </c>
      <c r="BR20" s="169">
        <f t="shared" si="151"/>
        <v>0</v>
      </c>
      <c r="BS20" s="167">
        <f t="shared" si="152"/>
        <v>0</v>
      </c>
      <c r="BT20" s="167">
        <f t="shared" si="153"/>
        <v>0</v>
      </c>
      <c r="BU20" s="167">
        <f t="shared" si="154"/>
        <v>0</v>
      </c>
      <c r="BV20" s="167">
        <f t="shared" si="155"/>
        <v>290000</v>
      </c>
      <c r="BW20" s="167">
        <f t="shared" si="156"/>
        <v>290000</v>
      </c>
      <c r="BX20" s="167">
        <f t="shared" si="157"/>
        <v>8613</v>
      </c>
      <c r="BY20" s="167">
        <f t="shared" si="158"/>
        <v>8613</v>
      </c>
      <c r="BZ20" s="167">
        <f t="shared" si="159"/>
        <v>134248.25</v>
      </c>
      <c r="CA20" s="167">
        <f t="shared" si="160"/>
        <v>134248.25</v>
      </c>
      <c r="CB20" s="170">
        <f t="shared" si="161"/>
        <v>155751.75</v>
      </c>
      <c r="CC20" s="167">
        <f t="shared" si="162"/>
        <v>0</v>
      </c>
      <c r="CD20" s="171">
        <f t="shared" si="163"/>
        <v>0</v>
      </c>
      <c r="CE20" s="169">
        <f t="shared" si="151"/>
        <v>0</v>
      </c>
      <c r="CF20" s="167">
        <f t="shared" si="165"/>
        <v>0</v>
      </c>
      <c r="CG20" s="167">
        <f t="shared" si="166"/>
        <v>0</v>
      </c>
      <c r="CH20" s="167">
        <f t="shared" si="167"/>
        <v>0</v>
      </c>
      <c r="CI20" s="167">
        <f t="shared" si="168"/>
        <v>290000</v>
      </c>
      <c r="CJ20" s="167">
        <f t="shared" si="169"/>
        <v>290000</v>
      </c>
      <c r="CK20" s="167">
        <f t="shared" si="170"/>
        <v>8613</v>
      </c>
      <c r="CL20" s="167">
        <f t="shared" si="171"/>
        <v>8613</v>
      </c>
      <c r="CM20" s="167">
        <f t="shared" si="172"/>
        <v>125635.25</v>
      </c>
      <c r="CN20" s="167">
        <f t="shared" si="173"/>
        <v>125635.25</v>
      </c>
      <c r="CO20" s="170">
        <f t="shared" si="174"/>
        <v>164364.75</v>
      </c>
      <c r="CP20" s="167">
        <f t="shared" si="175"/>
        <v>0</v>
      </c>
      <c r="CQ20" s="171">
        <f t="shared" si="176"/>
        <v>0</v>
      </c>
      <c r="CR20" s="169">
        <f t="shared" si="151"/>
        <v>0</v>
      </c>
      <c r="CS20" s="167">
        <f t="shared" si="178"/>
        <v>0</v>
      </c>
      <c r="CT20" s="167">
        <f t="shared" si="179"/>
        <v>0</v>
      </c>
      <c r="CU20" s="167">
        <f t="shared" si="180"/>
        <v>0</v>
      </c>
      <c r="CV20" s="167">
        <f t="shared" si="181"/>
        <v>290000</v>
      </c>
      <c r="CW20" s="167">
        <f t="shared" si="182"/>
        <v>290000</v>
      </c>
      <c r="CX20" s="167">
        <f t="shared" si="183"/>
        <v>8613</v>
      </c>
      <c r="CY20" s="167">
        <f t="shared" si="184"/>
        <v>8613</v>
      </c>
      <c r="CZ20" s="167">
        <f t="shared" si="185"/>
        <v>117022.25</v>
      </c>
      <c r="DA20" s="167">
        <f t="shared" si="186"/>
        <v>117022.25</v>
      </c>
      <c r="DB20" s="170">
        <f t="shared" si="187"/>
        <v>172977.75</v>
      </c>
      <c r="DC20" s="167">
        <f t="shared" si="188"/>
        <v>0</v>
      </c>
      <c r="DD20" s="171">
        <f t="shared" si="189"/>
        <v>0</v>
      </c>
      <c r="DE20" s="169">
        <f t="shared" si="190"/>
        <v>0</v>
      </c>
      <c r="DF20" s="167">
        <f t="shared" si="191"/>
        <v>0</v>
      </c>
      <c r="DG20" s="167">
        <f t="shared" si="192"/>
        <v>0</v>
      </c>
      <c r="DH20" s="167">
        <f t="shared" si="193"/>
        <v>0</v>
      </c>
      <c r="DI20" s="167">
        <f t="shared" si="194"/>
        <v>290000</v>
      </c>
      <c r="DJ20" s="167">
        <f t="shared" si="195"/>
        <v>290000</v>
      </c>
      <c r="DK20" s="167">
        <f t="shared" si="196"/>
        <v>8613</v>
      </c>
      <c r="DL20" s="167">
        <f t="shared" si="197"/>
        <v>8613</v>
      </c>
      <c r="DM20" s="167">
        <f t="shared" si="198"/>
        <v>108409.25</v>
      </c>
      <c r="DN20" s="167">
        <f t="shared" si="199"/>
        <v>108409.25</v>
      </c>
      <c r="DO20" s="170">
        <f t="shared" si="200"/>
        <v>181590.75</v>
      </c>
      <c r="DP20" s="167">
        <f t="shared" si="201"/>
        <v>0</v>
      </c>
      <c r="DQ20" s="171">
        <f t="shared" si="202"/>
        <v>0</v>
      </c>
      <c r="DR20" s="169">
        <f t="shared" si="190"/>
        <v>0</v>
      </c>
      <c r="DS20" s="167">
        <f t="shared" si="204"/>
        <v>0</v>
      </c>
      <c r="DT20" s="167">
        <f t="shared" si="205"/>
        <v>0</v>
      </c>
      <c r="DU20" s="167">
        <f t="shared" si="206"/>
        <v>0</v>
      </c>
      <c r="DV20" s="167">
        <f t="shared" si="207"/>
        <v>290000</v>
      </c>
      <c r="DW20" s="167">
        <f t="shared" si="208"/>
        <v>290000</v>
      </c>
      <c r="DX20" s="167">
        <f t="shared" si="209"/>
        <v>8613</v>
      </c>
      <c r="DY20" s="167">
        <f t="shared" si="210"/>
        <v>8613</v>
      </c>
      <c r="DZ20" s="167">
        <f t="shared" si="211"/>
        <v>99796.25</v>
      </c>
      <c r="EA20" s="167">
        <f t="shared" si="212"/>
        <v>99796.25</v>
      </c>
      <c r="EB20" s="170">
        <f t="shared" si="213"/>
        <v>190203.75</v>
      </c>
      <c r="EC20" s="167">
        <f t="shared" si="214"/>
        <v>0</v>
      </c>
      <c r="ED20" s="171">
        <f t="shared" si="215"/>
        <v>0</v>
      </c>
    </row>
    <row r="21" spans="1:134" x14ac:dyDescent="0.3">
      <c r="A21" s="196">
        <v>1999</v>
      </c>
      <c r="B21" s="186" t="s">
        <v>452</v>
      </c>
      <c r="C21" s="187"/>
      <c r="D21" s="188" t="s">
        <v>100</v>
      </c>
      <c r="E21" s="189">
        <v>220000</v>
      </c>
      <c r="F21" s="190">
        <v>36404</v>
      </c>
      <c r="G21" s="191">
        <v>33.700000000000003</v>
      </c>
      <c r="H21" s="192"/>
      <c r="I21" s="193"/>
      <c r="J21" s="194"/>
      <c r="K21" s="165">
        <f t="shared" si="216"/>
        <v>2.9700000000000001E-2</v>
      </c>
      <c r="L21" s="166">
        <f t="shared" si="217"/>
        <v>6534</v>
      </c>
      <c r="M21" s="167">
        <f t="shared" si="218"/>
        <v>139414</v>
      </c>
      <c r="N21" s="167"/>
      <c r="O21" s="167">
        <f t="shared" si="219"/>
        <v>80586</v>
      </c>
      <c r="P21" s="168"/>
      <c r="Q21" s="167">
        <f t="shared" si="220"/>
        <v>220000</v>
      </c>
      <c r="R21" s="169">
        <f t="shared" si="221"/>
        <v>0</v>
      </c>
      <c r="S21" s="167">
        <f t="shared" si="222"/>
        <v>0</v>
      </c>
      <c r="T21" s="167">
        <f t="shared" si="223"/>
        <v>0</v>
      </c>
      <c r="U21" s="167">
        <f t="shared" si="224"/>
        <v>0</v>
      </c>
      <c r="V21" s="167">
        <f t="shared" si="225"/>
        <v>220000</v>
      </c>
      <c r="W21" s="167">
        <f t="shared" si="226"/>
        <v>220000</v>
      </c>
      <c r="X21" s="167">
        <f t="shared" si="227"/>
        <v>6534</v>
      </c>
      <c r="Y21" s="167">
        <f t="shared" si="228"/>
        <v>6534</v>
      </c>
      <c r="Z21" s="167">
        <f t="shared" si="229"/>
        <v>132880</v>
      </c>
      <c r="AA21" s="167">
        <f t="shared" si="230"/>
        <v>132880</v>
      </c>
      <c r="AB21" s="170">
        <f t="shared" si="231"/>
        <v>87120</v>
      </c>
      <c r="AC21" s="167">
        <f t="shared" si="232"/>
        <v>0</v>
      </c>
      <c r="AD21" s="171">
        <f t="shared" si="233"/>
        <v>0</v>
      </c>
      <c r="AE21" s="169">
        <f t="shared" ref="AE21:CE36" si="234">IF(YEAR($F21)=AE$4,$E21,0)</f>
        <v>0</v>
      </c>
      <c r="AF21" s="167">
        <f t="shared" ref="AF21:AF84" si="235">IF($J21&lt;&gt;"H",AE21,0)</f>
        <v>0</v>
      </c>
      <c r="AG21" s="167">
        <f t="shared" si="114"/>
        <v>0</v>
      </c>
      <c r="AH21" s="167">
        <f t="shared" ref="AH21:AH84" si="236">IF($J21&lt;&gt;"H",AG21,0)</f>
        <v>0</v>
      </c>
      <c r="AI21" s="167">
        <f t="shared" si="116"/>
        <v>220000</v>
      </c>
      <c r="AJ21" s="167">
        <f t="shared" ref="AJ21:AJ84" si="237">IF(AK21&lt;&gt;0,ROUND(AK21/$L21*AI21,2),0)</f>
        <v>220000</v>
      </c>
      <c r="AK21" s="167">
        <f t="shared" si="118"/>
        <v>6534</v>
      </c>
      <c r="AL21" s="167">
        <f t="shared" ref="AL21:AL84" si="238">IF($J21&lt;&gt;"H",AK21,0)</f>
        <v>6534</v>
      </c>
      <c r="AM21" s="167">
        <f t="shared" si="120"/>
        <v>126346</v>
      </c>
      <c r="AN21" s="167">
        <f t="shared" ref="AN21:AN84" si="239">IF($J21&lt;&gt;"H",AM21,0)</f>
        <v>126346</v>
      </c>
      <c r="AO21" s="170">
        <f t="shared" si="122"/>
        <v>93654</v>
      </c>
      <c r="AP21" s="167">
        <f t="shared" si="123"/>
        <v>0</v>
      </c>
      <c r="AQ21" s="171">
        <f t="shared" si="124"/>
        <v>0</v>
      </c>
      <c r="AR21" s="169">
        <f t="shared" si="234"/>
        <v>0</v>
      </c>
      <c r="AS21" s="167">
        <f t="shared" ref="AS21:AS84" si="240">IF($J21&lt;&gt;"H",AR21,0)</f>
        <v>0</v>
      </c>
      <c r="AT21" s="167">
        <f t="shared" si="127"/>
        <v>0</v>
      </c>
      <c r="AU21" s="167">
        <f t="shared" ref="AU21:AU84" si="241">IF($J21&lt;&gt;"H",AT21,0)</f>
        <v>0</v>
      </c>
      <c r="AV21" s="167">
        <f t="shared" si="129"/>
        <v>220000</v>
      </c>
      <c r="AW21" s="167">
        <f t="shared" ref="AW21:AW84" si="242">IF(AX21&lt;&gt;0,ROUND(AX21/$L21*AV21,2),0)</f>
        <v>220000</v>
      </c>
      <c r="AX21" s="167">
        <f t="shared" si="131"/>
        <v>6534</v>
      </c>
      <c r="AY21" s="167">
        <f t="shared" ref="AY21:AY84" si="243">IF($J21&lt;&gt;"H",AX21,0)</f>
        <v>6534</v>
      </c>
      <c r="AZ21" s="167">
        <f t="shared" si="133"/>
        <v>119812</v>
      </c>
      <c r="BA21" s="167">
        <f t="shared" ref="BA21:BA84" si="244">IF($J21&lt;&gt;"H",AZ21,0)</f>
        <v>119812</v>
      </c>
      <c r="BB21" s="170">
        <f t="shared" si="135"/>
        <v>100188</v>
      </c>
      <c r="BC21" s="167">
        <f t="shared" si="136"/>
        <v>0</v>
      </c>
      <c r="BD21" s="171">
        <f t="shared" si="137"/>
        <v>0</v>
      </c>
      <c r="BE21" s="169">
        <f t="shared" si="234"/>
        <v>0</v>
      </c>
      <c r="BF21" s="167">
        <f t="shared" ref="BF21:BF84" si="245">IF($J21&lt;&gt;"H",BE21,0)</f>
        <v>0</v>
      </c>
      <c r="BG21" s="167">
        <f t="shared" si="140"/>
        <v>0</v>
      </c>
      <c r="BH21" s="167">
        <f t="shared" ref="BH21:BH84" si="246">IF($J21&lt;&gt;"H",BG21,0)</f>
        <v>0</v>
      </c>
      <c r="BI21" s="167">
        <f t="shared" si="142"/>
        <v>220000</v>
      </c>
      <c r="BJ21" s="167">
        <f t="shared" ref="BJ21:BJ84" si="247">IF(BK21&lt;&gt;0,ROUND(BK21/$L21*BI21,2),0)</f>
        <v>220000</v>
      </c>
      <c r="BK21" s="167">
        <f t="shared" si="144"/>
        <v>6534</v>
      </c>
      <c r="BL21" s="167">
        <f t="shared" ref="BL21:BL84" si="248">IF($J21&lt;&gt;"H",BK21,0)</f>
        <v>6534</v>
      </c>
      <c r="BM21" s="167">
        <f t="shared" si="146"/>
        <v>113278</v>
      </c>
      <c r="BN21" s="167">
        <f t="shared" ref="BN21:BN84" si="249">IF($J21&lt;&gt;"H",BM21,0)</f>
        <v>113278</v>
      </c>
      <c r="BO21" s="170">
        <f t="shared" si="148"/>
        <v>106722</v>
      </c>
      <c r="BP21" s="167">
        <f t="shared" si="149"/>
        <v>0</v>
      </c>
      <c r="BQ21" s="171">
        <f t="shared" si="150"/>
        <v>0</v>
      </c>
      <c r="BR21" s="169">
        <f t="shared" si="234"/>
        <v>0</v>
      </c>
      <c r="BS21" s="167">
        <f t="shared" ref="BS21:BS84" si="250">IF($J21&lt;&gt;"H",BR21,0)</f>
        <v>0</v>
      </c>
      <c r="BT21" s="167">
        <f t="shared" si="153"/>
        <v>0</v>
      </c>
      <c r="BU21" s="167">
        <f t="shared" ref="BU21:BU84" si="251">IF($J21&lt;&gt;"H",BT21,0)</f>
        <v>0</v>
      </c>
      <c r="BV21" s="167">
        <f t="shared" si="155"/>
        <v>220000</v>
      </c>
      <c r="BW21" s="167">
        <f t="shared" ref="BW21:BW84" si="252">IF(BX21&lt;&gt;0,ROUND(BX21/$L21*BV21,2),0)</f>
        <v>220000</v>
      </c>
      <c r="BX21" s="167">
        <f t="shared" si="157"/>
        <v>6534</v>
      </c>
      <c r="BY21" s="167">
        <f t="shared" ref="BY21:BY84" si="253">IF($J21&lt;&gt;"H",BX21,0)</f>
        <v>6534</v>
      </c>
      <c r="BZ21" s="167">
        <f t="shared" si="159"/>
        <v>106744</v>
      </c>
      <c r="CA21" s="167">
        <f t="shared" ref="CA21:CA84" si="254">IF($J21&lt;&gt;"H",BZ21,0)</f>
        <v>106744</v>
      </c>
      <c r="CB21" s="170">
        <f t="shared" si="161"/>
        <v>113256</v>
      </c>
      <c r="CC21" s="167">
        <f t="shared" si="162"/>
        <v>0</v>
      </c>
      <c r="CD21" s="171">
        <f t="shared" si="163"/>
        <v>0</v>
      </c>
      <c r="CE21" s="169">
        <f t="shared" si="234"/>
        <v>0</v>
      </c>
      <c r="CF21" s="167">
        <f t="shared" ref="CF21:CF84" si="255">IF($J21&lt;&gt;"H",CE21,0)</f>
        <v>0</v>
      </c>
      <c r="CG21" s="167">
        <f t="shared" si="166"/>
        <v>0</v>
      </c>
      <c r="CH21" s="167">
        <f t="shared" ref="CH21:CH84" si="256">IF($J21&lt;&gt;"H",CG21,0)</f>
        <v>0</v>
      </c>
      <c r="CI21" s="167">
        <f t="shared" si="168"/>
        <v>220000</v>
      </c>
      <c r="CJ21" s="167">
        <f t="shared" ref="CJ21:CJ84" si="257">IF(CK21&lt;&gt;0,ROUND(CK21/$L21*CI21,2),0)</f>
        <v>220000</v>
      </c>
      <c r="CK21" s="167">
        <f t="shared" si="170"/>
        <v>6534</v>
      </c>
      <c r="CL21" s="167">
        <f t="shared" ref="CL21:CL84" si="258">IF($J21&lt;&gt;"H",CK21,0)</f>
        <v>6534</v>
      </c>
      <c r="CM21" s="167">
        <f t="shared" si="172"/>
        <v>100210</v>
      </c>
      <c r="CN21" s="167">
        <f t="shared" ref="CN21:CN84" si="259">IF($J21&lt;&gt;"H",CM21,0)</f>
        <v>100210</v>
      </c>
      <c r="CO21" s="170">
        <f t="shared" si="174"/>
        <v>119790</v>
      </c>
      <c r="CP21" s="167">
        <f t="shared" si="175"/>
        <v>0</v>
      </c>
      <c r="CQ21" s="171">
        <f t="shared" si="176"/>
        <v>0</v>
      </c>
      <c r="CR21" s="169">
        <f t="shared" ref="CR21:DR36" si="260">IF(YEAR($F21)=CR$4,$E21,0)</f>
        <v>0</v>
      </c>
      <c r="CS21" s="167">
        <f t="shared" ref="CS21:CS84" si="261">IF($J21&lt;&gt;"H",CR21,0)</f>
        <v>0</v>
      </c>
      <c r="CT21" s="167">
        <f t="shared" si="179"/>
        <v>0</v>
      </c>
      <c r="CU21" s="167">
        <f t="shared" ref="CU21:CU84" si="262">IF($J21&lt;&gt;"H",CT21,0)</f>
        <v>0</v>
      </c>
      <c r="CV21" s="167">
        <f t="shared" si="181"/>
        <v>220000</v>
      </c>
      <c r="CW21" s="167">
        <f t="shared" ref="CW21:CW84" si="263">IF(CX21&lt;&gt;0,ROUND(CX21/$L21*CV21,2),0)</f>
        <v>220000</v>
      </c>
      <c r="CX21" s="167">
        <f t="shared" si="183"/>
        <v>6534</v>
      </c>
      <c r="CY21" s="167">
        <f t="shared" ref="CY21:CY84" si="264">IF($J21&lt;&gt;"H",CX21,0)</f>
        <v>6534</v>
      </c>
      <c r="CZ21" s="167">
        <f t="shared" si="185"/>
        <v>93676</v>
      </c>
      <c r="DA21" s="167">
        <f t="shared" ref="DA21:DA84" si="265">IF($J21&lt;&gt;"H",CZ21,0)</f>
        <v>93676</v>
      </c>
      <c r="DB21" s="170">
        <f t="shared" si="187"/>
        <v>126324</v>
      </c>
      <c r="DC21" s="167">
        <f t="shared" si="188"/>
        <v>0</v>
      </c>
      <c r="DD21" s="171">
        <f t="shared" si="189"/>
        <v>0</v>
      </c>
      <c r="DE21" s="169">
        <f t="shared" si="260"/>
        <v>0</v>
      </c>
      <c r="DF21" s="167">
        <f t="shared" ref="DF21:DF84" si="266">IF($J21&lt;&gt;"H",DE21,0)</f>
        <v>0</v>
      </c>
      <c r="DG21" s="167">
        <f t="shared" si="192"/>
        <v>0</v>
      </c>
      <c r="DH21" s="167">
        <f t="shared" ref="DH21:DH84" si="267">IF($J21&lt;&gt;"H",DG21,0)</f>
        <v>0</v>
      </c>
      <c r="DI21" s="167">
        <f t="shared" si="194"/>
        <v>220000</v>
      </c>
      <c r="DJ21" s="167">
        <f t="shared" ref="DJ21:DJ84" si="268">IF(DK21&lt;&gt;0,ROUND(DK21/$L21*DI21,2),0)</f>
        <v>220000</v>
      </c>
      <c r="DK21" s="167">
        <f t="shared" si="196"/>
        <v>6534</v>
      </c>
      <c r="DL21" s="167">
        <f t="shared" ref="DL21:DL84" si="269">IF($J21&lt;&gt;"H",DK21,0)</f>
        <v>6534</v>
      </c>
      <c r="DM21" s="167">
        <f t="shared" si="198"/>
        <v>87142</v>
      </c>
      <c r="DN21" s="167">
        <f t="shared" ref="DN21:DN84" si="270">IF($J21&lt;&gt;"H",DM21,0)</f>
        <v>87142</v>
      </c>
      <c r="DO21" s="170">
        <f t="shared" si="200"/>
        <v>132858</v>
      </c>
      <c r="DP21" s="167">
        <f t="shared" si="201"/>
        <v>0</v>
      </c>
      <c r="DQ21" s="171">
        <f t="shared" si="202"/>
        <v>0</v>
      </c>
      <c r="DR21" s="169">
        <f t="shared" si="260"/>
        <v>0</v>
      </c>
      <c r="DS21" s="167">
        <f t="shared" ref="DS21:DS84" si="271">IF($J21&lt;&gt;"H",DR21,0)</f>
        <v>0</v>
      </c>
      <c r="DT21" s="167">
        <f t="shared" si="205"/>
        <v>0</v>
      </c>
      <c r="DU21" s="167">
        <f t="shared" ref="DU21:DU84" si="272">IF($J21&lt;&gt;"H",DT21,0)</f>
        <v>0</v>
      </c>
      <c r="DV21" s="167">
        <f t="shared" si="207"/>
        <v>220000</v>
      </c>
      <c r="DW21" s="167">
        <f t="shared" ref="DW21:DW84" si="273">IF(DX21&lt;&gt;0,ROUND(DX21/$L21*DV21,2),0)</f>
        <v>220000</v>
      </c>
      <c r="DX21" s="167">
        <f t="shared" si="209"/>
        <v>6534</v>
      </c>
      <c r="DY21" s="167">
        <f t="shared" ref="DY21:DY84" si="274">IF($J21&lt;&gt;"H",DX21,0)</f>
        <v>6534</v>
      </c>
      <c r="DZ21" s="167">
        <f t="shared" si="211"/>
        <v>80608</v>
      </c>
      <c r="EA21" s="167">
        <f t="shared" ref="EA21:EA84" si="275">IF($J21&lt;&gt;"H",DZ21,0)</f>
        <v>80608</v>
      </c>
      <c r="EB21" s="170">
        <f t="shared" si="213"/>
        <v>139392</v>
      </c>
      <c r="EC21" s="167">
        <f t="shared" si="214"/>
        <v>0</v>
      </c>
      <c r="ED21" s="171">
        <f t="shared" si="215"/>
        <v>0</v>
      </c>
    </row>
    <row r="22" spans="1:134" x14ac:dyDescent="0.3">
      <c r="A22" s="196">
        <v>2000</v>
      </c>
      <c r="B22" s="186" t="s">
        <v>452</v>
      </c>
      <c r="C22" s="187"/>
      <c r="D22" s="188" t="s">
        <v>100</v>
      </c>
      <c r="E22" s="189">
        <v>100000</v>
      </c>
      <c r="F22" s="190">
        <v>36739</v>
      </c>
      <c r="G22" s="191">
        <v>33.700000000000003</v>
      </c>
      <c r="H22" s="192"/>
      <c r="I22" s="193"/>
      <c r="J22" s="194"/>
      <c r="K22" s="165">
        <f t="shared" si="216"/>
        <v>2.9700000000000001E-2</v>
      </c>
      <c r="L22" s="166">
        <f t="shared" si="217"/>
        <v>2970</v>
      </c>
      <c r="M22" s="167">
        <f t="shared" si="218"/>
        <v>66092.5</v>
      </c>
      <c r="N22" s="167"/>
      <c r="O22" s="167">
        <f t="shared" si="219"/>
        <v>33907.5</v>
      </c>
      <c r="P22" s="168"/>
      <c r="Q22" s="167">
        <f t="shared" si="220"/>
        <v>100000</v>
      </c>
      <c r="R22" s="169">
        <f t="shared" si="221"/>
        <v>0</v>
      </c>
      <c r="S22" s="167">
        <f t="shared" si="222"/>
        <v>0</v>
      </c>
      <c r="T22" s="167">
        <f t="shared" si="223"/>
        <v>0</v>
      </c>
      <c r="U22" s="167">
        <f t="shared" si="224"/>
        <v>0</v>
      </c>
      <c r="V22" s="167">
        <f t="shared" si="225"/>
        <v>100000</v>
      </c>
      <c r="W22" s="167">
        <f t="shared" si="226"/>
        <v>100000</v>
      </c>
      <c r="X22" s="167">
        <f t="shared" si="227"/>
        <v>2970</v>
      </c>
      <c r="Y22" s="167">
        <f t="shared" si="228"/>
        <v>2970</v>
      </c>
      <c r="Z22" s="167">
        <f t="shared" si="229"/>
        <v>63122.5</v>
      </c>
      <c r="AA22" s="167">
        <f t="shared" si="230"/>
        <v>63122.5</v>
      </c>
      <c r="AB22" s="170">
        <f t="shared" si="231"/>
        <v>36877.5</v>
      </c>
      <c r="AC22" s="167">
        <f t="shared" si="232"/>
        <v>0</v>
      </c>
      <c r="AD22" s="171">
        <f t="shared" si="233"/>
        <v>0</v>
      </c>
      <c r="AE22" s="169">
        <f t="shared" si="234"/>
        <v>0</v>
      </c>
      <c r="AF22" s="167">
        <f t="shared" si="235"/>
        <v>0</v>
      </c>
      <c r="AG22" s="167">
        <f t="shared" si="114"/>
        <v>0</v>
      </c>
      <c r="AH22" s="167">
        <f t="shared" si="236"/>
        <v>0</v>
      </c>
      <c r="AI22" s="167">
        <f t="shared" si="116"/>
        <v>100000</v>
      </c>
      <c r="AJ22" s="167">
        <f t="shared" si="237"/>
        <v>100000</v>
      </c>
      <c r="AK22" s="167">
        <f t="shared" si="118"/>
        <v>2970</v>
      </c>
      <c r="AL22" s="167">
        <f t="shared" si="238"/>
        <v>2970</v>
      </c>
      <c r="AM22" s="167">
        <f t="shared" si="120"/>
        <v>60152.5</v>
      </c>
      <c r="AN22" s="167">
        <f t="shared" si="239"/>
        <v>60152.5</v>
      </c>
      <c r="AO22" s="170">
        <f t="shared" si="122"/>
        <v>39847.5</v>
      </c>
      <c r="AP22" s="167">
        <f t="shared" si="123"/>
        <v>0</v>
      </c>
      <c r="AQ22" s="171">
        <f t="shared" si="124"/>
        <v>0</v>
      </c>
      <c r="AR22" s="169">
        <f t="shared" si="234"/>
        <v>0</v>
      </c>
      <c r="AS22" s="167">
        <f t="shared" si="240"/>
        <v>0</v>
      </c>
      <c r="AT22" s="167">
        <f t="shared" si="127"/>
        <v>0</v>
      </c>
      <c r="AU22" s="167">
        <f t="shared" si="241"/>
        <v>0</v>
      </c>
      <c r="AV22" s="167">
        <f t="shared" si="129"/>
        <v>100000</v>
      </c>
      <c r="AW22" s="167">
        <f t="shared" si="242"/>
        <v>100000</v>
      </c>
      <c r="AX22" s="167">
        <f t="shared" si="131"/>
        <v>2970</v>
      </c>
      <c r="AY22" s="167">
        <f t="shared" si="243"/>
        <v>2970</v>
      </c>
      <c r="AZ22" s="167">
        <f t="shared" si="133"/>
        <v>57182.5</v>
      </c>
      <c r="BA22" s="167">
        <f t="shared" si="244"/>
        <v>57182.5</v>
      </c>
      <c r="BB22" s="170">
        <f t="shared" si="135"/>
        <v>42817.5</v>
      </c>
      <c r="BC22" s="167">
        <f t="shared" si="136"/>
        <v>0</v>
      </c>
      <c r="BD22" s="171">
        <f t="shared" si="137"/>
        <v>0</v>
      </c>
      <c r="BE22" s="169">
        <f t="shared" si="234"/>
        <v>0</v>
      </c>
      <c r="BF22" s="167">
        <f t="shared" si="245"/>
        <v>0</v>
      </c>
      <c r="BG22" s="167">
        <f t="shared" si="140"/>
        <v>0</v>
      </c>
      <c r="BH22" s="167">
        <f t="shared" si="246"/>
        <v>0</v>
      </c>
      <c r="BI22" s="167">
        <f t="shared" si="142"/>
        <v>100000</v>
      </c>
      <c r="BJ22" s="167">
        <f t="shared" si="247"/>
        <v>100000</v>
      </c>
      <c r="BK22" s="167">
        <f t="shared" si="144"/>
        <v>2970</v>
      </c>
      <c r="BL22" s="167">
        <f t="shared" si="248"/>
        <v>2970</v>
      </c>
      <c r="BM22" s="167">
        <f t="shared" si="146"/>
        <v>54212.5</v>
      </c>
      <c r="BN22" s="167">
        <f t="shared" si="249"/>
        <v>54212.5</v>
      </c>
      <c r="BO22" s="170">
        <f t="shared" si="148"/>
        <v>45787.5</v>
      </c>
      <c r="BP22" s="167">
        <f t="shared" si="149"/>
        <v>0</v>
      </c>
      <c r="BQ22" s="171">
        <f t="shared" si="150"/>
        <v>0</v>
      </c>
      <c r="BR22" s="169">
        <f t="shared" si="234"/>
        <v>0</v>
      </c>
      <c r="BS22" s="167">
        <f t="shared" si="250"/>
        <v>0</v>
      </c>
      <c r="BT22" s="167">
        <f t="shared" si="153"/>
        <v>0</v>
      </c>
      <c r="BU22" s="167">
        <f t="shared" si="251"/>
        <v>0</v>
      </c>
      <c r="BV22" s="167">
        <f t="shared" si="155"/>
        <v>100000</v>
      </c>
      <c r="BW22" s="167">
        <f t="shared" si="252"/>
        <v>100000</v>
      </c>
      <c r="BX22" s="167">
        <f t="shared" si="157"/>
        <v>2970</v>
      </c>
      <c r="BY22" s="167">
        <f t="shared" si="253"/>
        <v>2970</v>
      </c>
      <c r="BZ22" s="167">
        <f t="shared" si="159"/>
        <v>51242.5</v>
      </c>
      <c r="CA22" s="167">
        <f t="shared" si="254"/>
        <v>51242.5</v>
      </c>
      <c r="CB22" s="170">
        <f t="shared" si="161"/>
        <v>48757.5</v>
      </c>
      <c r="CC22" s="167">
        <f t="shared" si="162"/>
        <v>0</v>
      </c>
      <c r="CD22" s="171">
        <f t="shared" si="163"/>
        <v>0</v>
      </c>
      <c r="CE22" s="169">
        <f t="shared" si="234"/>
        <v>0</v>
      </c>
      <c r="CF22" s="167">
        <f t="shared" si="255"/>
        <v>0</v>
      </c>
      <c r="CG22" s="167">
        <f t="shared" si="166"/>
        <v>0</v>
      </c>
      <c r="CH22" s="167">
        <f t="shared" si="256"/>
        <v>0</v>
      </c>
      <c r="CI22" s="167">
        <f t="shared" si="168"/>
        <v>100000</v>
      </c>
      <c r="CJ22" s="167">
        <f t="shared" si="257"/>
        <v>100000</v>
      </c>
      <c r="CK22" s="167">
        <f t="shared" si="170"/>
        <v>2970</v>
      </c>
      <c r="CL22" s="167">
        <f t="shared" si="258"/>
        <v>2970</v>
      </c>
      <c r="CM22" s="167">
        <f t="shared" si="172"/>
        <v>48272.5</v>
      </c>
      <c r="CN22" s="167">
        <f t="shared" si="259"/>
        <v>48272.5</v>
      </c>
      <c r="CO22" s="170">
        <f t="shared" si="174"/>
        <v>51727.5</v>
      </c>
      <c r="CP22" s="167">
        <f t="shared" si="175"/>
        <v>0</v>
      </c>
      <c r="CQ22" s="171">
        <f t="shared" si="176"/>
        <v>0</v>
      </c>
      <c r="CR22" s="169">
        <f t="shared" si="260"/>
        <v>0</v>
      </c>
      <c r="CS22" s="167">
        <f t="shared" si="261"/>
        <v>0</v>
      </c>
      <c r="CT22" s="167">
        <f t="shared" si="179"/>
        <v>0</v>
      </c>
      <c r="CU22" s="167">
        <f t="shared" si="262"/>
        <v>0</v>
      </c>
      <c r="CV22" s="167">
        <f t="shared" si="181"/>
        <v>100000</v>
      </c>
      <c r="CW22" s="167">
        <f t="shared" si="263"/>
        <v>100000</v>
      </c>
      <c r="CX22" s="167">
        <f t="shared" si="183"/>
        <v>2970</v>
      </c>
      <c r="CY22" s="167">
        <f t="shared" si="264"/>
        <v>2970</v>
      </c>
      <c r="CZ22" s="167">
        <f t="shared" si="185"/>
        <v>45302.5</v>
      </c>
      <c r="DA22" s="167">
        <f t="shared" si="265"/>
        <v>45302.5</v>
      </c>
      <c r="DB22" s="170">
        <f t="shared" si="187"/>
        <v>54697.5</v>
      </c>
      <c r="DC22" s="167">
        <f t="shared" si="188"/>
        <v>0</v>
      </c>
      <c r="DD22" s="171">
        <f t="shared" si="189"/>
        <v>0</v>
      </c>
      <c r="DE22" s="169">
        <f t="shared" si="260"/>
        <v>0</v>
      </c>
      <c r="DF22" s="167">
        <f t="shared" si="266"/>
        <v>0</v>
      </c>
      <c r="DG22" s="167">
        <f t="shared" si="192"/>
        <v>0</v>
      </c>
      <c r="DH22" s="167">
        <f t="shared" si="267"/>
        <v>0</v>
      </c>
      <c r="DI22" s="167">
        <f t="shared" si="194"/>
        <v>100000</v>
      </c>
      <c r="DJ22" s="167">
        <f t="shared" si="268"/>
        <v>100000</v>
      </c>
      <c r="DK22" s="167">
        <f t="shared" si="196"/>
        <v>2970</v>
      </c>
      <c r="DL22" s="167">
        <f t="shared" si="269"/>
        <v>2970</v>
      </c>
      <c r="DM22" s="167">
        <f t="shared" si="198"/>
        <v>42332.5</v>
      </c>
      <c r="DN22" s="167">
        <f t="shared" si="270"/>
        <v>42332.5</v>
      </c>
      <c r="DO22" s="170">
        <f t="shared" si="200"/>
        <v>57667.5</v>
      </c>
      <c r="DP22" s="167">
        <f t="shared" si="201"/>
        <v>0</v>
      </c>
      <c r="DQ22" s="171">
        <f t="shared" si="202"/>
        <v>0</v>
      </c>
      <c r="DR22" s="169">
        <f t="shared" si="260"/>
        <v>0</v>
      </c>
      <c r="DS22" s="167">
        <f t="shared" si="271"/>
        <v>0</v>
      </c>
      <c r="DT22" s="167">
        <f t="shared" si="205"/>
        <v>0</v>
      </c>
      <c r="DU22" s="167">
        <f t="shared" si="272"/>
        <v>0</v>
      </c>
      <c r="DV22" s="167">
        <f t="shared" si="207"/>
        <v>100000</v>
      </c>
      <c r="DW22" s="167">
        <f t="shared" si="273"/>
        <v>100000</v>
      </c>
      <c r="DX22" s="167">
        <f t="shared" si="209"/>
        <v>2970</v>
      </c>
      <c r="DY22" s="167">
        <f t="shared" si="274"/>
        <v>2970</v>
      </c>
      <c r="DZ22" s="167">
        <f t="shared" si="211"/>
        <v>39362.5</v>
      </c>
      <c r="EA22" s="167">
        <f t="shared" si="275"/>
        <v>39362.5</v>
      </c>
      <c r="EB22" s="170">
        <f t="shared" si="213"/>
        <v>60637.5</v>
      </c>
      <c r="EC22" s="167">
        <f t="shared" si="214"/>
        <v>0</v>
      </c>
      <c r="ED22" s="171">
        <f t="shared" si="215"/>
        <v>0</v>
      </c>
    </row>
    <row r="23" spans="1:134" x14ac:dyDescent="0.3">
      <c r="A23" s="196">
        <v>2001</v>
      </c>
      <c r="B23" s="186" t="s">
        <v>452</v>
      </c>
      <c r="C23" s="187"/>
      <c r="D23" s="188" t="s">
        <v>100</v>
      </c>
      <c r="E23" s="189">
        <v>130000</v>
      </c>
      <c r="F23" s="190">
        <v>37073</v>
      </c>
      <c r="G23" s="191">
        <v>33.700000000000003</v>
      </c>
      <c r="H23" s="192"/>
      <c r="I23" s="193"/>
      <c r="J23" s="194"/>
      <c r="K23" s="165">
        <f t="shared" si="216"/>
        <v>2.9700000000000001E-2</v>
      </c>
      <c r="L23" s="166">
        <f t="shared" si="217"/>
        <v>3861</v>
      </c>
      <c r="M23" s="167">
        <f t="shared" si="218"/>
        <v>89459.5</v>
      </c>
      <c r="N23" s="167"/>
      <c r="O23" s="167">
        <f t="shared" si="219"/>
        <v>40540.5</v>
      </c>
      <c r="P23" s="168"/>
      <c r="Q23" s="167">
        <f t="shared" si="220"/>
        <v>130000</v>
      </c>
      <c r="R23" s="169">
        <f t="shared" si="221"/>
        <v>0</v>
      </c>
      <c r="S23" s="167">
        <f t="shared" si="222"/>
        <v>0</v>
      </c>
      <c r="T23" s="167">
        <f t="shared" si="223"/>
        <v>0</v>
      </c>
      <c r="U23" s="167">
        <f t="shared" si="224"/>
        <v>0</v>
      </c>
      <c r="V23" s="167">
        <f t="shared" si="225"/>
        <v>130000</v>
      </c>
      <c r="W23" s="167">
        <f t="shared" si="226"/>
        <v>130000</v>
      </c>
      <c r="X23" s="167">
        <f t="shared" si="227"/>
        <v>3861</v>
      </c>
      <c r="Y23" s="167">
        <f t="shared" si="228"/>
        <v>3861</v>
      </c>
      <c r="Z23" s="167">
        <f t="shared" si="229"/>
        <v>85598.5</v>
      </c>
      <c r="AA23" s="167">
        <f t="shared" si="230"/>
        <v>85598.5</v>
      </c>
      <c r="AB23" s="170">
        <f t="shared" si="231"/>
        <v>44401.5</v>
      </c>
      <c r="AC23" s="167">
        <f t="shared" si="232"/>
        <v>0</v>
      </c>
      <c r="AD23" s="171">
        <f t="shared" si="233"/>
        <v>0</v>
      </c>
      <c r="AE23" s="169">
        <f t="shared" si="234"/>
        <v>0</v>
      </c>
      <c r="AF23" s="167">
        <f t="shared" si="235"/>
        <v>0</v>
      </c>
      <c r="AG23" s="167">
        <f t="shared" si="114"/>
        <v>0</v>
      </c>
      <c r="AH23" s="167">
        <f t="shared" si="236"/>
        <v>0</v>
      </c>
      <c r="AI23" s="167">
        <f t="shared" si="116"/>
        <v>130000</v>
      </c>
      <c r="AJ23" s="167">
        <f t="shared" si="237"/>
        <v>130000</v>
      </c>
      <c r="AK23" s="167">
        <f t="shared" si="118"/>
        <v>3861</v>
      </c>
      <c r="AL23" s="167">
        <f t="shared" si="238"/>
        <v>3861</v>
      </c>
      <c r="AM23" s="167">
        <f t="shared" si="120"/>
        <v>81737.5</v>
      </c>
      <c r="AN23" s="167">
        <f t="shared" si="239"/>
        <v>81737.5</v>
      </c>
      <c r="AO23" s="170">
        <f t="shared" si="122"/>
        <v>48262.5</v>
      </c>
      <c r="AP23" s="167">
        <f t="shared" si="123"/>
        <v>0</v>
      </c>
      <c r="AQ23" s="171">
        <f t="shared" si="124"/>
        <v>0</v>
      </c>
      <c r="AR23" s="169">
        <f t="shared" si="234"/>
        <v>0</v>
      </c>
      <c r="AS23" s="167">
        <f t="shared" si="240"/>
        <v>0</v>
      </c>
      <c r="AT23" s="167">
        <f t="shared" si="127"/>
        <v>0</v>
      </c>
      <c r="AU23" s="167">
        <f t="shared" si="241"/>
        <v>0</v>
      </c>
      <c r="AV23" s="167">
        <f t="shared" si="129"/>
        <v>130000</v>
      </c>
      <c r="AW23" s="167">
        <f t="shared" si="242"/>
        <v>130000</v>
      </c>
      <c r="AX23" s="167">
        <f t="shared" si="131"/>
        <v>3861</v>
      </c>
      <c r="AY23" s="167">
        <f t="shared" si="243"/>
        <v>3861</v>
      </c>
      <c r="AZ23" s="167">
        <f t="shared" si="133"/>
        <v>77876.5</v>
      </c>
      <c r="BA23" s="167">
        <f t="shared" si="244"/>
        <v>77876.5</v>
      </c>
      <c r="BB23" s="170">
        <f t="shared" si="135"/>
        <v>52123.5</v>
      </c>
      <c r="BC23" s="167">
        <f t="shared" si="136"/>
        <v>0</v>
      </c>
      <c r="BD23" s="171">
        <f t="shared" si="137"/>
        <v>0</v>
      </c>
      <c r="BE23" s="169">
        <f t="shared" si="234"/>
        <v>0</v>
      </c>
      <c r="BF23" s="167">
        <f t="shared" si="245"/>
        <v>0</v>
      </c>
      <c r="BG23" s="167">
        <f t="shared" si="140"/>
        <v>0</v>
      </c>
      <c r="BH23" s="167">
        <f t="shared" si="246"/>
        <v>0</v>
      </c>
      <c r="BI23" s="167">
        <f t="shared" si="142"/>
        <v>130000</v>
      </c>
      <c r="BJ23" s="167">
        <f t="shared" si="247"/>
        <v>130000</v>
      </c>
      <c r="BK23" s="167">
        <f t="shared" si="144"/>
        <v>3861</v>
      </c>
      <c r="BL23" s="167">
        <f t="shared" si="248"/>
        <v>3861</v>
      </c>
      <c r="BM23" s="167">
        <f t="shared" si="146"/>
        <v>74015.5</v>
      </c>
      <c r="BN23" s="167">
        <f t="shared" si="249"/>
        <v>74015.5</v>
      </c>
      <c r="BO23" s="170">
        <f t="shared" si="148"/>
        <v>55984.5</v>
      </c>
      <c r="BP23" s="167">
        <f t="shared" si="149"/>
        <v>0</v>
      </c>
      <c r="BQ23" s="171">
        <f t="shared" si="150"/>
        <v>0</v>
      </c>
      <c r="BR23" s="169">
        <f t="shared" si="234"/>
        <v>0</v>
      </c>
      <c r="BS23" s="167">
        <f t="shared" si="250"/>
        <v>0</v>
      </c>
      <c r="BT23" s="167">
        <f t="shared" si="153"/>
        <v>0</v>
      </c>
      <c r="BU23" s="167">
        <f t="shared" si="251"/>
        <v>0</v>
      </c>
      <c r="BV23" s="167">
        <f t="shared" si="155"/>
        <v>130000</v>
      </c>
      <c r="BW23" s="167">
        <f t="shared" si="252"/>
        <v>130000</v>
      </c>
      <c r="BX23" s="167">
        <f t="shared" si="157"/>
        <v>3861</v>
      </c>
      <c r="BY23" s="167">
        <f t="shared" si="253"/>
        <v>3861</v>
      </c>
      <c r="BZ23" s="167">
        <f t="shared" si="159"/>
        <v>70154.5</v>
      </c>
      <c r="CA23" s="167">
        <f t="shared" si="254"/>
        <v>70154.5</v>
      </c>
      <c r="CB23" s="170">
        <f t="shared" si="161"/>
        <v>59845.5</v>
      </c>
      <c r="CC23" s="167">
        <f t="shared" si="162"/>
        <v>0</v>
      </c>
      <c r="CD23" s="171">
        <f t="shared" si="163"/>
        <v>0</v>
      </c>
      <c r="CE23" s="169">
        <f t="shared" si="234"/>
        <v>0</v>
      </c>
      <c r="CF23" s="167">
        <f t="shared" si="255"/>
        <v>0</v>
      </c>
      <c r="CG23" s="167">
        <f t="shared" si="166"/>
        <v>0</v>
      </c>
      <c r="CH23" s="167">
        <f t="shared" si="256"/>
        <v>0</v>
      </c>
      <c r="CI23" s="167">
        <f t="shared" si="168"/>
        <v>130000</v>
      </c>
      <c r="CJ23" s="167">
        <f t="shared" si="257"/>
        <v>130000</v>
      </c>
      <c r="CK23" s="167">
        <f t="shared" si="170"/>
        <v>3861</v>
      </c>
      <c r="CL23" s="167">
        <f t="shared" si="258"/>
        <v>3861</v>
      </c>
      <c r="CM23" s="167">
        <f t="shared" si="172"/>
        <v>66293.5</v>
      </c>
      <c r="CN23" s="167">
        <f t="shared" si="259"/>
        <v>66293.5</v>
      </c>
      <c r="CO23" s="170">
        <f t="shared" si="174"/>
        <v>63706.5</v>
      </c>
      <c r="CP23" s="167">
        <f t="shared" si="175"/>
        <v>0</v>
      </c>
      <c r="CQ23" s="171">
        <f t="shared" si="176"/>
        <v>0</v>
      </c>
      <c r="CR23" s="169">
        <f t="shared" si="260"/>
        <v>0</v>
      </c>
      <c r="CS23" s="167">
        <f t="shared" si="261"/>
        <v>0</v>
      </c>
      <c r="CT23" s="167">
        <f t="shared" si="179"/>
        <v>0</v>
      </c>
      <c r="CU23" s="167">
        <f t="shared" si="262"/>
        <v>0</v>
      </c>
      <c r="CV23" s="167">
        <f t="shared" si="181"/>
        <v>130000</v>
      </c>
      <c r="CW23" s="167">
        <f t="shared" si="263"/>
        <v>130000</v>
      </c>
      <c r="CX23" s="167">
        <f t="shared" si="183"/>
        <v>3861</v>
      </c>
      <c r="CY23" s="167">
        <f t="shared" si="264"/>
        <v>3861</v>
      </c>
      <c r="CZ23" s="167">
        <f t="shared" si="185"/>
        <v>62432.5</v>
      </c>
      <c r="DA23" s="167">
        <f t="shared" si="265"/>
        <v>62432.5</v>
      </c>
      <c r="DB23" s="170">
        <f t="shared" si="187"/>
        <v>67567.5</v>
      </c>
      <c r="DC23" s="167">
        <f t="shared" si="188"/>
        <v>0</v>
      </c>
      <c r="DD23" s="171">
        <f t="shared" si="189"/>
        <v>0</v>
      </c>
      <c r="DE23" s="169">
        <f t="shared" si="260"/>
        <v>0</v>
      </c>
      <c r="DF23" s="167">
        <f t="shared" si="266"/>
        <v>0</v>
      </c>
      <c r="DG23" s="167">
        <f t="shared" si="192"/>
        <v>0</v>
      </c>
      <c r="DH23" s="167">
        <f t="shared" si="267"/>
        <v>0</v>
      </c>
      <c r="DI23" s="167">
        <f t="shared" si="194"/>
        <v>130000</v>
      </c>
      <c r="DJ23" s="167">
        <f t="shared" si="268"/>
        <v>130000</v>
      </c>
      <c r="DK23" s="167">
        <f t="shared" si="196"/>
        <v>3861</v>
      </c>
      <c r="DL23" s="167">
        <f t="shared" si="269"/>
        <v>3861</v>
      </c>
      <c r="DM23" s="167">
        <f t="shared" si="198"/>
        <v>58571.5</v>
      </c>
      <c r="DN23" s="167">
        <f t="shared" si="270"/>
        <v>58571.5</v>
      </c>
      <c r="DO23" s="170">
        <f t="shared" si="200"/>
        <v>71428.5</v>
      </c>
      <c r="DP23" s="167">
        <f t="shared" si="201"/>
        <v>0</v>
      </c>
      <c r="DQ23" s="171">
        <f t="shared" si="202"/>
        <v>0</v>
      </c>
      <c r="DR23" s="169">
        <f t="shared" si="260"/>
        <v>0</v>
      </c>
      <c r="DS23" s="167">
        <f t="shared" si="271"/>
        <v>0</v>
      </c>
      <c r="DT23" s="167">
        <f t="shared" si="205"/>
        <v>0</v>
      </c>
      <c r="DU23" s="167">
        <f t="shared" si="272"/>
        <v>0</v>
      </c>
      <c r="DV23" s="167">
        <f t="shared" si="207"/>
        <v>130000</v>
      </c>
      <c r="DW23" s="167">
        <f t="shared" si="273"/>
        <v>130000</v>
      </c>
      <c r="DX23" s="167">
        <f t="shared" si="209"/>
        <v>3861</v>
      </c>
      <c r="DY23" s="167">
        <f t="shared" si="274"/>
        <v>3861</v>
      </c>
      <c r="DZ23" s="167">
        <f t="shared" si="211"/>
        <v>54710.5</v>
      </c>
      <c r="EA23" s="167">
        <f t="shared" si="275"/>
        <v>54710.5</v>
      </c>
      <c r="EB23" s="170">
        <f t="shared" si="213"/>
        <v>75289.5</v>
      </c>
      <c r="EC23" s="167">
        <f t="shared" si="214"/>
        <v>0</v>
      </c>
      <c r="ED23" s="171">
        <f t="shared" si="215"/>
        <v>0</v>
      </c>
    </row>
    <row r="24" spans="1:134" x14ac:dyDescent="0.3">
      <c r="A24" s="196">
        <v>2002</v>
      </c>
      <c r="B24" s="186" t="s">
        <v>452</v>
      </c>
      <c r="C24" s="187"/>
      <c r="D24" s="188" t="s">
        <v>100</v>
      </c>
      <c r="E24" s="189">
        <v>300000</v>
      </c>
      <c r="F24" s="190">
        <v>37438</v>
      </c>
      <c r="G24" s="191">
        <v>33.700000000000003</v>
      </c>
      <c r="H24" s="192"/>
      <c r="I24" s="193"/>
      <c r="J24" s="194"/>
      <c r="K24" s="165">
        <f t="shared" si="216"/>
        <v>2.9700000000000001E-2</v>
      </c>
      <c r="L24" s="166">
        <f t="shared" si="217"/>
        <v>8910</v>
      </c>
      <c r="M24" s="167">
        <f t="shared" si="218"/>
        <v>215355</v>
      </c>
      <c r="N24" s="167"/>
      <c r="O24" s="167">
        <f t="shared" si="219"/>
        <v>84645</v>
      </c>
      <c r="P24" s="168"/>
      <c r="Q24" s="167">
        <f t="shared" si="220"/>
        <v>300000</v>
      </c>
      <c r="R24" s="169">
        <f t="shared" si="221"/>
        <v>0</v>
      </c>
      <c r="S24" s="167">
        <f t="shared" si="222"/>
        <v>0</v>
      </c>
      <c r="T24" s="167">
        <f t="shared" si="223"/>
        <v>0</v>
      </c>
      <c r="U24" s="167">
        <f t="shared" si="224"/>
        <v>0</v>
      </c>
      <c r="V24" s="167">
        <f t="shared" si="225"/>
        <v>300000</v>
      </c>
      <c r="W24" s="167">
        <f t="shared" si="226"/>
        <v>300000</v>
      </c>
      <c r="X24" s="167">
        <f t="shared" si="227"/>
        <v>8910</v>
      </c>
      <c r="Y24" s="167">
        <f t="shared" si="228"/>
        <v>8910</v>
      </c>
      <c r="Z24" s="167">
        <f t="shared" si="229"/>
        <v>206445</v>
      </c>
      <c r="AA24" s="167">
        <f t="shared" si="230"/>
        <v>206445</v>
      </c>
      <c r="AB24" s="170">
        <f t="shared" si="231"/>
        <v>93555</v>
      </c>
      <c r="AC24" s="167">
        <f t="shared" si="232"/>
        <v>0</v>
      </c>
      <c r="AD24" s="171">
        <f t="shared" si="233"/>
        <v>0</v>
      </c>
      <c r="AE24" s="169">
        <f t="shared" si="234"/>
        <v>0</v>
      </c>
      <c r="AF24" s="167">
        <f t="shared" si="235"/>
        <v>0</v>
      </c>
      <c r="AG24" s="167">
        <f t="shared" si="114"/>
        <v>0</v>
      </c>
      <c r="AH24" s="167">
        <f t="shared" si="236"/>
        <v>0</v>
      </c>
      <c r="AI24" s="167">
        <f t="shared" si="116"/>
        <v>300000</v>
      </c>
      <c r="AJ24" s="167">
        <f t="shared" si="237"/>
        <v>300000</v>
      </c>
      <c r="AK24" s="167">
        <f t="shared" si="118"/>
        <v>8910</v>
      </c>
      <c r="AL24" s="167">
        <f t="shared" si="238"/>
        <v>8910</v>
      </c>
      <c r="AM24" s="167">
        <f t="shared" si="120"/>
        <v>197535</v>
      </c>
      <c r="AN24" s="167">
        <f t="shared" si="239"/>
        <v>197535</v>
      </c>
      <c r="AO24" s="170">
        <f t="shared" si="122"/>
        <v>102465</v>
      </c>
      <c r="AP24" s="167">
        <f t="shared" si="123"/>
        <v>0</v>
      </c>
      <c r="AQ24" s="171">
        <f t="shared" si="124"/>
        <v>0</v>
      </c>
      <c r="AR24" s="169">
        <f t="shared" si="234"/>
        <v>0</v>
      </c>
      <c r="AS24" s="167">
        <f t="shared" si="240"/>
        <v>0</v>
      </c>
      <c r="AT24" s="167">
        <f t="shared" si="127"/>
        <v>0</v>
      </c>
      <c r="AU24" s="167">
        <f t="shared" si="241"/>
        <v>0</v>
      </c>
      <c r="AV24" s="167">
        <f t="shared" si="129"/>
        <v>300000</v>
      </c>
      <c r="AW24" s="167">
        <f t="shared" si="242"/>
        <v>300000</v>
      </c>
      <c r="AX24" s="167">
        <f t="shared" si="131"/>
        <v>8910</v>
      </c>
      <c r="AY24" s="167">
        <f t="shared" si="243"/>
        <v>8910</v>
      </c>
      <c r="AZ24" s="167">
        <f t="shared" si="133"/>
        <v>188625</v>
      </c>
      <c r="BA24" s="167">
        <f t="shared" si="244"/>
        <v>188625</v>
      </c>
      <c r="BB24" s="170">
        <f t="shared" si="135"/>
        <v>111375</v>
      </c>
      <c r="BC24" s="167">
        <f t="shared" si="136"/>
        <v>0</v>
      </c>
      <c r="BD24" s="171">
        <f t="shared" si="137"/>
        <v>0</v>
      </c>
      <c r="BE24" s="169">
        <f t="shared" si="234"/>
        <v>0</v>
      </c>
      <c r="BF24" s="167">
        <f t="shared" si="245"/>
        <v>0</v>
      </c>
      <c r="BG24" s="167">
        <f t="shared" si="140"/>
        <v>0</v>
      </c>
      <c r="BH24" s="167">
        <f t="shared" si="246"/>
        <v>0</v>
      </c>
      <c r="BI24" s="167">
        <f t="shared" si="142"/>
        <v>300000</v>
      </c>
      <c r="BJ24" s="167">
        <f t="shared" si="247"/>
        <v>300000</v>
      </c>
      <c r="BK24" s="167">
        <f t="shared" si="144"/>
        <v>8910</v>
      </c>
      <c r="BL24" s="167">
        <f t="shared" si="248"/>
        <v>8910</v>
      </c>
      <c r="BM24" s="167">
        <f t="shared" si="146"/>
        <v>179715</v>
      </c>
      <c r="BN24" s="167">
        <f t="shared" si="249"/>
        <v>179715</v>
      </c>
      <c r="BO24" s="170">
        <f t="shared" si="148"/>
        <v>120285</v>
      </c>
      <c r="BP24" s="167">
        <f t="shared" si="149"/>
        <v>0</v>
      </c>
      <c r="BQ24" s="171">
        <f t="shared" si="150"/>
        <v>0</v>
      </c>
      <c r="BR24" s="169">
        <f t="shared" si="234"/>
        <v>0</v>
      </c>
      <c r="BS24" s="167">
        <f t="shared" si="250"/>
        <v>0</v>
      </c>
      <c r="BT24" s="167">
        <f t="shared" si="153"/>
        <v>0</v>
      </c>
      <c r="BU24" s="167">
        <f t="shared" si="251"/>
        <v>0</v>
      </c>
      <c r="BV24" s="167">
        <f t="shared" si="155"/>
        <v>300000</v>
      </c>
      <c r="BW24" s="167">
        <f t="shared" si="252"/>
        <v>300000</v>
      </c>
      <c r="BX24" s="167">
        <f t="shared" si="157"/>
        <v>8910</v>
      </c>
      <c r="BY24" s="167">
        <f t="shared" si="253"/>
        <v>8910</v>
      </c>
      <c r="BZ24" s="167">
        <f t="shared" si="159"/>
        <v>170805</v>
      </c>
      <c r="CA24" s="167">
        <f t="shared" si="254"/>
        <v>170805</v>
      </c>
      <c r="CB24" s="170">
        <f t="shared" si="161"/>
        <v>129195</v>
      </c>
      <c r="CC24" s="167">
        <f t="shared" si="162"/>
        <v>0</v>
      </c>
      <c r="CD24" s="171">
        <f t="shared" si="163"/>
        <v>0</v>
      </c>
      <c r="CE24" s="169">
        <f t="shared" si="234"/>
        <v>0</v>
      </c>
      <c r="CF24" s="167">
        <f t="shared" si="255"/>
        <v>0</v>
      </c>
      <c r="CG24" s="167">
        <f t="shared" si="166"/>
        <v>0</v>
      </c>
      <c r="CH24" s="167">
        <f t="shared" si="256"/>
        <v>0</v>
      </c>
      <c r="CI24" s="167">
        <f t="shared" si="168"/>
        <v>300000</v>
      </c>
      <c r="CJ24" s="167">
        <f t="shared" si="257"/>
        <v>300000</v>
      </c>
      <c r="CK24" s="167">
        <f t="shared" si="170"/>
        <v>8910</v>
      </c>
      <c r="CL24" s="167">
        <f t="shared" si="258"/>
        <v>8910</v>
      </c>
      <c r="CM24" s="167">
        <f t="shared" si="172"/>
        <v>161895</v>
      </c>
      <c r="CN24" s="167">
        <f t="shared" si="259"/>
        <v>161895</v>
      </c>
      <c r="CO24" s="170">
        <f t="shared" si="174"/>
        <v>138105</v>
      </c>
      <c r="CP24" s="167">
        <f t="shared" si="175"/>
        <v>0</v>
      </c>
      <c r="CQ24" s="171">
        <f t="shared" si="176"/>
        <v>0</v>
      </c>
      <c r="CR24" s="169">
        <f t="shared" si="260"/>
        <v>0</v>
      </c>
      <c r="CS24" s="167">
        <f t="shared" si="261"/>
        <v>0</v>
      </c>
      <c r="CT24" s="167">
        <f t="shared" si="179"/>
        <v>0</v>
      </c>
      <c r="CU24" s="167">
        <f t="shared" si="262"/>
        <v>0</v>
      </c>
      <c r="CV24" s="167">
        <f t="shared" si="181"/>
        <v>300000</v>
      </c>
      <c r="CW24" s="167">
        <f t="shared" si="263"/>
        <v>300000</v>
      </c>
      <c r="CX24" s="167">
        <f t="shared" si="183"/>
        <v>8910</v>
      </c>
      <c r="CY24" s="167">
        <f t="shared" si="264"/>
        <v>8910</v>
      </c>
      <c r="CZ24" s="167">
        <f t="shared" si="185"/>
        <v>152985</v>
      </c>
      <c r="DA24" s="167">
        <f t="shared" si="265"/>
        <v>152985</v>
      </c>
      <c r="DB24" s="170">
        <f t="shared" si="187"/>
        <v>147015</v>
      </c>
      <c r="DC24" s="167">
        <f t="shared" si="188"/>
        <v>0</v>
      </c>
      <c r="DD24" s="171">
        <f t="shared" si="189"/>
        <v>0</v>
      </c>
      <c r="DE24" s="169">
        <f t="shared" si="260"/>
        <v>0</v>
      </c>
      <c r="DF24" s="167">
        <f t="shared" si="266"/>
        <v>0</v>
      </c>
      <c r="DG24" s="167">
        <f t="shared" si="192"/>
        <v>0</v>
      </c>
      <c r="DH24" s="167">
        <f t="shared" si="267"/>
        <v>0</v>
      </c>
      <c r="DI24" s="167">
        <f t="shared" si="194"/>
        <v>300000</v>
      </c>
      <c r="DJ24" s="167">
        <f t="shared" si="268"/>
        <v>300000</v>
      </c>
      <c r="DK24" s="167">
        <f t="shared" si="196"/>
        <v>8910</v>
      </c>
      <c r="DL24" s="167">
        <f t="shared" si="269"/>
        <v>8910</v>
      </c>
      <c r="DM24" s="167">
        <f t="shared" si="198"/>
        <v>144075</v>
      </c>
      <c r="DN24" s="167">
        <f t="shared" si="270"/>
        <v>144075</v>
      </c>
      <c r="DO24" s="170">
        <f t="shared" si="200"/>
        <v>155925</v>
      </c>
      <c r="DP24" s="167">
        <f t="shared" si="201"/>
        <v>0</v>
      </c>
      <c r="DQ24" s="171">
        <f t="shared" si="202"/>
        <v>0</v>
      </c>
      <c r="DR24" s="169">
        <f t="shared" si="260"/>
        <v>0</v>
      </c>
      <c r="DS24" s="167">
        <f t="shared" si="271"/>
        <v>0</v>
      </c>
      <c r="DT24" s="167">
        <f t="shared" si="205"/>
        <v>0</v>
      </c>
      <c r="DU24" s="167">
        <f t="shared" si="272"/>
        <v>0</v>
      </c>
      <c r="DV24" s="167">
        <f t="shared" si="207"/>
        <v>300000</v>
      </c>
      <c r="DW24" s="167">
        <f t="shared" si="273"/>
        <v>300000</v>
      </c>
      <c r="DX24" s="167">
        <f t="shared" si="209"/>
        <v>8910</v>
      </c>
      <c r="DY24" s="167">
        <f t="shared" si="274"/>
        <v>8910</v>
      </c>
      <c r="DZ24" s="167">
        <f t="shared" si="211"/>
        <v>135165</v>
      </c>
      <c r="EA24" s="167">
        <f t="shared" si="275"/>
        <v>135165</v>
      </c>
      <c r="EB24" s="170">
        <f t="shared" si="213"/>
        <v>164835</v>
      </c>
      <c r="EC24" s="167">
        <f t="shared" si="214"/>
        <v>0</v>
      </c>
      <c r="ED24" s="171">
        <f t="shared" si="215"/>
        <v>0</v>
      </c>
    </row>
    <row r="25" spans="1:134" x14ac:dyDescent="0.3">
      <c r="A25" s="196">
        <v>2003</v>
      </c>
      <c r="B25" s="186" t="s">
        <v>452</v>
      </c>
      <c r="C25" s="187"/>
      <c r="D25" s="188" t="s">
        <v>100</v>
      </c>
      <c r="E25" s="189">
        <v>230000</v>
      </c>
      <c r="F25" s="190">
        <v>37803</v>
      </c>
      <c r="G25" s="191">
        <v>33.700000000000003</v>
      </c>
      <c r="H25" s="192"/>
      <c r="I25" s="193"/>
      <c r="J25" s="194"/>
      <c r="K25" s="165">
        <f t="shared" si="216"/>
        <v>2.9700000000000001E-2</v>
      </c>
      <c r="L25" s="166">
        <f t="shared" si="217"/>
        <v>6831</v>
      </c>
      <c r="M25" s="167">
        <f t="shared" si="218"/>
        <v>171936.5</v>
      </c>
      <c r="N25" s="167"/>
      <c r="O25" s="167">
        <f t="shared" si="219"/>
        <v>58063.5</v>
      </c>
      <c r="P25" s="168"/>
      <c r="Q25" s="167">
        <f t="shared" si="220"/>
        <v>230000</v>
      </c>
      <c r="R25" s="169">
        <f t="shared" si="221"/>
        <v>0</v>
      </c>
      <c r="S25" s="167">
        <f t="shared" si="222"/>
        <v>0</v>
      </c>
      <c r="T25" s="167">
        <f t="shared" si="223"/>
        <v>0</v>
      </c>
      <c r="U25" s="167">
        <f t="shared" si="224"/>
        <v>0</v>
      </c>
      <c r="V25" s="167">
        <f t="shared" si="225"/>
        <v>230000</v>
      </c>
      <c r="W25" s="167">
        <f t="shared" si="226"/>
        <v>230000</v>
      </c>
      <c r="X25" s="167">
        <f t="shared" si="227"/>
        <v>6831</v>
      </c>
      <c r="Y25" s="167">
        <f t="shared" si="228"/>
        <v>6831</v>
      </c>
      <c r="Z25" s="167">
        <f t="shared" si="229"/>
        <v>165105.5</v>
      </c>
      <c r="AA25" s="167">
        <f t="shared" si="230"/>
        <v>165105.5</v>
      </c>
      <c r="AB25" s="170">
        <f t="shared" si="231"/>
        <v>64894.5</v>
      </c>
      <c r="AC25" s="167">
        <f t="shared" si="232"/>
        <v>0</v>
      </c>
      <c r="AD25" s="171">
        <f t="shared" si="233"/>
        <v>0</v>
      </c>
      <c r="AE25" s="169">
        <f t="shared" si="234"/>
        <v>0</v>
      </c>
      <c r="AF25" s="167">
        <f t="shared" si="235"/>
        <v>0</v>
      </c>
      <c r="AG25" s="167">
        <f t="shared" si="114"/>
        <v>0</v>
      </c>
      <c r="AH25" s="167">
        <f t="shared" si="236"/>
        <v>0</v>
      </c>
      <c r="AI25" s="167">
        <f t="shared" si="116"/>
        <v>230000</v>
      </c>
      <c r="AJ25" s="167">
        <f t="shared" si="237"/>
        <v>230000</v>
      </c>
      <c r="AK25" s="167">
        <f t="shared" si="118"/>
        <v>6831</v>
      </c>
      <c r="AL25" s="167">
        <f t="shared" si="238"/>
        <v>6831</v>
      </c>
      <c r="AM25" s="167">
        <f t="shared" si="120"/>
        <v>158274.5</v>
      </c>
      <c r="AN25" s="167">
        <f t="shared" si="239"/>
        <v>158274.5</v>
      </c>
      <c r="AO25" s="170">
        <f t="shared" si="122"/>
        <v>71725.5</v>
      </c>
      <c r="AP25" s="167">
        <f t="shared" si="123"/>
        <v>0</v>
      </c>
      <c r="AQ25" s="171">
        <f t="shared" si="124"/>
        <v>0</v>
      </c>
      <c r="AR25" s="169">
        <f t="shared" si="234"/>
        <v>0</v>
      </c>
      <c r="AS25" s="167">
        <f t="shared" si="240"/>
        <v>0</v>
      </c>
      <c r="AT25" s="167">
        <f t="shared" si="127"/>
        <v>0</v>
      </c>
      <c r="AU25" s="167">
        <f t="shared" si="241"/>
        <v>0</v>
      </c>
      <c r="AV25" s="167">
        <f t="shared" si="129"/>
        <v>230000</v>
      </c>
      <c r="AW25" s="167">
        <f t="shared" si="242"/>
        <v>230000</v>
      </c>
      <c r="AX25" s="167">
        <f t="shared" si="131"/>
        <v>6831</v>
      </c>
      <c r="AY25" s="167">
        <f t="shared" si="243"/>
        <v>6831</v>
      </c>
      <c r="AZ25" s="167">
        <f t="shared" si="133"/>
        <v>151443.5</v>
      </c>
      <c r="BA25" s="167">
        <f t="shared" si="244"/>
        <v>151443.5</v>
      </c>
      <c r="BB25" s="170">
        <f t="shared" si="135"/>
        <v>78556.5</v>
      </c>
      <c r="BC25" s="167">
        <f t="shared" si="136"/>
        <v>0</v>
      </c>
      <c r="BD25" s="171">
        <f t="shared" si="137"/>
        <v>0</v>
      </c>
      <c r="BE25" s="169">
        <f t="shared" si="234"/>
        <v>0</v>
      </c>
      <c r="BF25" s="167">
        <f t="shared" si="245"/>
        <v>0</v>
      </c>
      <c r="BG25" s="167">
        <f t="shared" si="140"/>
        <v>0</v>
      </c>
      <c r="BH25" s="167">
        <f t="shared" si="246"/>
        <v>0</v>
      </c>
      <c r="BI25" s="167">
        <f t="shared" si="142"/>
        <v>230000</v>
      </c>
      <c r="BJ25" s="167">
        <f t="shared" si="247"/>
        <v>230000</v>
      </c>
      <c r="BK25" s="167">
        <f t="shared" si="144"/>
        <v>6831</v>
      </c>
      <c r="BL25" s="167">
        <f t="shared" si="248"/>
        <v>6831</v>
      </c>
      <c r="BM25" s="167">
        <f t="shared" si="146"/>
        <v>144612.5</v>
      </c>
      <c r="BN25" s="167">
        <f t="shared" si="249"/>
        <v>144612.5</v>
      </c>
      <c r="BO25" s="170">
        <f t="shared" si="148"/>
        <v>85387.5</v>
      </c>
      <c r="BP25" s="167">
        <f t="shared" si="149"/>
        <v>0</v>
      </c>
      <c r="BQ25" s="171">
        <f t="shared" si="150"/>
        <v>0</v>
      </c>
      <c r="BR25" s="169">
        <f t="shared" si="234"/>
        <v>0</v>
      </c>
      <c r="BS25" s="167">
        <f t="shared" si="250"/>
        <v>0</v>
      </c>
      <c r="BT25" s="167">
        <f t="shared" si="153"/>
        <v>0</v>
      </c>
      <c r="BU25" s="167">
        <f t="shared" si="251"/>
        <v>0</v>
      </c>
      <c r="BV25" s="167">
        <f t="shared" si="155"/>
        <v>230000</v>
      </c>
      <c r="BW25" s="167">
        <f t="shared" si="252"/>
        <v>230000</v>
      </c>
      <c r="BX25" s="167">
        <f t="shared" si="157"/>
        <v>6831</v>
      </c>
      <c r="BY25" s="167">
        <f t="shared" si="253"/>
        <v>6831</v>
      </c>
      <c r="BZ25" s="167">
        <f t="shared" si="159"/>
        <v>137781.5</v>
      </c>
      <c r="CA25" s="167">
        <f t="shared" si="254"/>
        <v>137781.5</v>
      </c>
      <c r="CB25" s="170">
        <f t="shared" si="161"/>
        <v>92218.5</v>
      </c>
      <c r="CC25" s="167">
        <f t="shared" si="162"/>
        <v>0</v>
      </c>
      <c r="CD25" s="171">
        <f t="shared" si="163"/>
        <v>0</v>
      </c>
      <c r="CE25" s="169">
        <f t="shared" si="234"/>
        <v>0</v>
      </c>
      <c r="CF25" s="167">
        <f t="shared" si="255"/>
        <v>0</v>
      </c>
      <c r="CG25" s="167">
        <f t="shared" si="166"/>
        <v>0</v>
      </c>
      <c r="CH25" s="167">
        <f t="shared" si="256"/>
        <v>0</v>
      </c>
      <c r="CI25" s="167">
        <f t="shared" si="168"/>
        <v>230000</v>
      </c>
      <c r="CJ25" s="167">
        <f t="shared" si="257"/>
        <v>230000</v>
      </c>
      <c r="CK25" s="167">
        <f t="shared" si="170"/>
        <v>6831</v>
      </c>
      <c r="CL25" s="167">
        <f t="shared" si="258"/>
        <v>6831</v>
      </c>
      <c r="CM25" s="167">
        <f t="shared" si="172"/>
        <v>130950.5</v>
      </c>
      <c r="CN25" s="167">
        <f t="shared" si="259"/>
        <v>130950.5</v>
      </c>
      <c r="CO25" s="170">
        <f t="shared" si="174"/>
        <v>99049.5</v>
      </c>
      <c r="CP25" s="167">
        <f t="shared" si="175"/>
        <v>0</v>
      </c>
      <c r="CQ25" s="171">
        <f t="shared" si="176"/>
        <v>0</v>
      </c>
      <c r="CR25" s="169">
        <f t="shared" si="260"/>
        <v>0</v>
      </c>
      <c r="CS25" s="167">
        <f t="shared" si="261"/>
        <v>0</v>
      </c>
      <c r="CT25" s="167">
        <f t="shared" si="179"/>
        <v>0</v>
      </c>
      <c r="CU25" s="167">
        <f t="shared" si="262"/>
        <v>0</v>
      </c>
      <c r="CV25" s="167">
        <f t="shared" si="181"/>
        <v>230000</v>
      </c>
      <c r="CW25" s="167">
        <f t="shared" si="263"/>
        <v>230000</v>
      </c>
      <c r="CX25" s="167">
        <f t="shared" si="183"/>
        <v>6831</v>
      </c>
      <c r="CY25" s="167">
        <f t="shared" si="264"/>
        <v>6831</v>
      </c>
      <c r="CZ25" s="167">
        <f t="shared" si="185"/>
        <v>124119.5</v>
      </c>
      <c r="DA25" s="167">
        <f t="shared" si="265"/>
        <v>124119.5</v>
      </c>
      <c r="DB25" s="170">
        <f t="shared" si="187"/>
        <v>105880.5</v>
      </c>
      <c r="DC25" s="167">
        <f t="shared" si="188"/>
        <v>0</v>
      </c>
      <c r="DD25" s="171">
        <f t="shared" si="189"/>
        <v>0</v>
      </c>
      <c r="DE25" s="169">
        <f t="shared" si="260"/>
        <v>0</v>
      </c>
      <c r="DF25" s="167">
        <f t="shared" si="266"/>
        <v>0</v>
      </c>
      <c r="DG25" s="167">
        <f t="shared" si="192"/>
        <v>0</v>
      </c>
      <c r="DH25" s="167">
        <f t="shared" si="267"/>
        <v>0</v>
      </c>
      <c r="DI25" s="167">
        <f t="shared" si="194"/>
        <v>230000</v>
      </c>
      <c r="DJ25" s="167">
        <f t="shared" si="268"/>
        <v>230000</v>
      </c>
      <c r="DK25" s="167">
        <f t="shared" si="196"/>
        <v>6831</v>
      </c>
      <c r="DL25" s="167">
        <f t="shared" si="269"/>
        <v>6831</v>
      </c>
      <c r="DM25" s="167">
        <f t="shared" si="198"/>
        <v>117288.5</v>
      </c>
      <c r="DN25" s="167">
        <f t="shared" si="270"/>
        <v>117288.5</v>
      </c>
      <c r="DO25" s="170">
        <f t="shared" si="200"/>
        <v>112711.5</v>
      </c>
      <c r="DP25" s="167">
        <f t="shared" si="201"/>
        <v>0</v>
      </c>
      <c r="DQ25" s="171">
        <f t="shared" si="202"/>
        <v>0</v>
      </c>
      <c r="DR25" s="169">
        <f t="shared" si="260"/>
        <v>0</v>
      </c>
      <c r="DS25" s="167">
        <f t="shared" si="271"/>
        <v>0</v>
      </c>
      <c r="DT25" s="167">
        <f t="shared" si="205"/>
        <v>0</v>
      </c>
      <c r="DU25" s="167">
        <f t="shared" si="272"/>
        <v>0</v>
      </c>
      <c r="DV25" s="167">
        <f t="shared" si="207"/>
        <v>230000</v>
      </c>
      <c r="DW25" s="167">
        <f t="shared" si="273"/>
        <v>230000</v>
      </c>
      <c r="DX25" s="167">
        <f t="shared" si="209"/>
        <v>6831</v>
      </c>
      <c r="DY25" s="167">
        <f t="shared" si="274"/>
        <v>6831</v>
      </c>
      <c r="DZ25" s="167">
        <f t="shared" si="211"/>
        <v>110457.5</v>
      </c>
      <c r="EA25" s="167">
        <f t="shared" si="275"/>
        <v>110457.5</v>
      </c>
      <c r="EB25" s="170">
        <f t="shared" si="213"/>
        <v>119542.5</v>
      </c>
      <c r="EC25" s="167">
        <f t="shared" si="214"/>
        <v>0</v>
      </c>
      <c r="ED25" s="171">
        <f t="shared" si="215"/>
        <v>0</v>
      </c>
    </row>
    <row r="26" spans="1:134" x14ac:dyDescent="0.3">
      <c r="A26" s="196">
        <v>2004</v>
      </c>
      <c r="B26" s="186" t="s">
        <v>452</v>
      </c>
      <c r="C26" s="187"/>
      <c r="D26" s="188" t="s">
        <v>100</v>
      </c>
      <c r="E26" s="189">
        <v>180000</v>
      </c>
      <c r="F26" s="190">
        <v>38169</v>
      </c>
      <c r="G26" s="191">
        <v>33.700000000000003</v>
      </c>
      <c r="H26" s="192"/>
      <c r="I26" s="193"/>
      <c r="J26" s="194"/>
      <c r="K26" s="165">
        <f t="shared" si="216"/>
        <v>2.9700000000000001E-2</v>
      </c>
      <c r="L26" s="166">
        <f t="shared" si="217"/>
        <v>5346</v>
      </c>
      <c r="M26" s="167">
        <f t="shared" si="218"/>
        <v>139905</v>
      </c>
      <c r="N26" s="167"/>
      <c r="O26" s="167">
        <f t="shared" si="219"/>
        <v>40095</v>
      </c>
      <c r="P26" s="168"/>
      <c r="Q26" s="167">
        <f t="shared" si="220"/>
        <v>180000</v>
      </c>
      <c r="R26" s="169">
        <f t="shared" si="221"/>
        <v>0</v>
      </c>
      <c r="S26" s="167">
        <f t="shared" si="222"/>
        <v>0</v>
      </c>
      <c r="T26" s="167">
        <f t="shared" si="223"/>
        <v>0</v>
      </c>
      <c r="U26" s="167">
        <f t="shared" si="224"/>
        <v>0</v>
      </c>
      <c r="V26" s="167">
        <f t="shared" si="225"/>
        <v>180000</v>
      </c>
      <c r="W26" s="167">
        <f t="shared" si="226"/>
        <v>180000</v>
      </c>
      <c r="X26" s="167">
        <f t="shared" si="227"/>
        <v>5346</v>
      </c>
      <c r="Y26" s="167">
        <f t="shared" si="228"/>
        <v>5346</v>
      </c>
      <c r="Z26" s="167">
        <f t="shared" si="229"/>
        <v>134559</v>
      </c>
      <c r="AA26" s="167">
        <f t="shared" si="230"/>
        <v>134559</v>
      </c>
      <c r="AB26" s="170">
        <f t="shared" si="231"/>
        <v>45441</v>
      </c>
      <c r="AC26" s="167">
        <f t="shared" si="232"/>
        <v>0</v>
      </c>
      <c r="AD26" s="171">
        <f t="shared" si="233"/>
        <v>0</v>
      </c>
      <c r="AE26" s="169">
        <f t="shared" si="234"/>
        <v>0</v>
      </c>
      <c r="AF26" s="167">
        <f t="shared" si="235"/>
        <v>0</v>
      </c>
      <c r="AG26" s="167">
        <f t="shared" si="114"/>
        <v>0</v>
      </c>
      <c r="AH26" s="167">
        <f t="shared" si="236"/>
        <v>0</v>
      </c>
      <c r="AI26" s="167">
        <f t="shared" si="116"/>
        <v>180000</v>
      </c>
      <c r="AJ26" s="167">
        <f t="shared" si="237"/>
        <v>180000</v>
      </c>
      <c r="AK26" s="167">
        <f t="shared" si="118"/>
        <v>5346</v>
      </c>
      <c r="AL26" s="167">
        <f t="shared" si="238"/>
        <v>5346</v>
      </c>
      <c r="AM26" s="167">
        <f t="shared" si="120"/>
        <v>129213</v>
      </c>
      <c r="AN26" s="167">
        <f t="shared" si="239"/>
        <v>129213</v>
      </c>
      <c r="AO26" s="170">
        <f t="shared" si="122"/>
        <v>50787</v>
      </c>
      <c r="AP26" s="167">
        <f t="shared" si="123"/>
        <v>0</v>
      </c>
      <c r="AQ26" s="171">
        <f t="shared" si="124"/>
        <v>0</v>
      </c>
      <c r="AR26" s="169">
        <f t="shared" si="234"/>
        <v>0</v>
      </c>
      <c r="AS26" s="167">
        <f t="shared" si="240"/>
        <v>0</v>
      </c>
      <c r="AT26" s="167">
        <f t="shared" si="127"/>
        <v>0</v>
      </c>
      <c r="AU26" s="167">
        <f t="shared" si="241"/>
        <v>0</v>
      </c>
      <c r="AV26" s="167">
        <f t="shared" si="129"/>
        <v>180000</v>
      </c>
      <c r="AW26" s="167">
        <f t="shared" si="242"/>
        <v>180000</v>
      </c>
      <c r="AX26" s="167">
        <f t="shared" si="131"/>
        <v>5346</v>
      </c>
      <c r="AY26" s="167">
        <f t="shared" si="243"/>
        <v>5346</v>
      </c>
      <c r="AZ26" s="167">
        <f t="shared" si="133"/>
        <v>123867</v>
      </c>
      <c r="BA26" s="167">
        <f t="shared" si="244"/>
        <v>123867</v>
      </c>
      <c r="BB26" s="170">
        <f t="shared" si="135"/>
        <v>56133</v>
      </c>
      <c r="BC26" s="167">
        <f t="shared" si="136"/>
        <v>0</v>
      </c>
      <c r="BD26" s="171">
        <f t="shared" si="137"/>
        <v>0</v>
      </c>
      <c r="BE26" s="169">
        <f t="shared" si="234"/>
        <v>0</v>
      </c>
      <c r="BF26" s="167">
        <f t="shared" si="245"/>
        <v>0</v>
      </c>
      <c r="BG26" s="167">
        <f t="shared" si="140"/>
        <v>0</v>
      </c>
      <c r="BH26" s="167">
        <f t="shared" si="246"/>
        <v>0</v>
      </c>
      <c r="BI26" s="167">
        <f t="shared" si="142"/>
        <v>180000</v>
      </c>
      <c r="BJ26" s="167">
        <f t="shared" si="247"/>
        <v>180000</v>
      </c>
      <c r="BK26" s="167">
        <f t="shared" si="144"/>
        <v>5346</v>
      </c>
      <c r="BL26" s="167">
        <f t="shared" si="248"/>
        <v>5346</v>
      </c>
      <c r="BM26" s="167">
        <f t="shared" si="146"/>
        <v>118521</v>
      </c>
      <c r="BN26" s="167">
        <f t="shared" si="249"/>
        <v>118521</v>
      </c>
      <c r="BO26" s="170">
        <f t="shared" si="148"/>
        <v>61479</v>
      </c>
      <c r="BP26" s="167">
        <f t="shared" si="149"/>
        <v>0</v>
      </c>
      <c r="BQ26" s="171">
        <f t="shared" si="150"/>
        <v>0</v>
      </c>
      <c r="BR26" s="169">
        <f t="shared" si="234"/>
        <v>0</v>
      </c>
      <c r="BS26" s="167">
        <f t="shared" si="250"/>
        <v>0</v>
      </c>
      <c r="BT26" s="167">
        <f t="shared" si="153"/>
        <v>0</v>
      </c>
      <c r="BU26" s="167">
        <f t="shared" si="251"/>
        <v>0</v>
      </c>
      <c r="BV26" s="167">
        <f t="shared" si="155"/>
        <v>180000</v>
      </c>
      <c r="BW26" s="167">
        <f t="shared" si="252"/>
        <v>180000</v>
      </c>
      <c r="BX26" s="167">
        <f t="shared" si="157"/>
        <v>5346</v>
      </c>
      <c r="BY26" s="167">
        <f t="shared" si="253"/>
        <v>5346</v>
      </c>
      <c r="BZ26" s="167">
        <f t="shared" si="159"/>
        <v>113175</v>
      </c>
      <c r="CA26" s="167">
        <f t="shared" si="254"/>
        <v>113175</v>
      </c>
      <c r="CB26" s="170">
        <f t="shared" si="161"/>
        <v>66825</v>
      </c>
      <c r="CC26" s="167">
        <f t="shared" si="162"/>
        <v>0</v>
      </c>
      <c r="CD26" s="171">
        <f t="shared" si="163"/>
        <v>0</v>
      </c>
      <c r="CE26" s="169">
        <f t="shared" si="234"/>
        <v>0</v>
      </c>
      <c r="CF26" s="167">
        <f t="shared" si="255"/>
        <v>0</v>
      </c>
      <c r="CG26" s="167">
        <f t="shared" si="166"/>
        <v>0</v>
      </c>
      <c r="CH26" s="167">
        <f t="shared" si="256"/>
        <v>0</v>
      </c>
      <c r="CI26" s="167">
        <f t="shared" si="168"/>
        <v>180000</v>
      </c>
      <c r="CJ26" s="167">
        <f t="shared" si="257"/>
        <v>180000</v>
      </c>
      <c r="CK26" s="167">
        <f t="shared" si="170"/>
        <v>5346</v>
      </c>
      <c r="CL26" s="167">
        <f t="shared" si="258"/>
        <v>5346</v>
      </c>
      <c r="CM26" s="167">
        <f t="shared" si="172"/>
        <v>107829</v>
      </c>
      <c r="CN26" s="167">
        <f t="shared" si="259"/>
        <v>107829</v>
      </c>
      <c r="CO26" s="170">
        <f t="shared" si="174"/>
        <v>72171</v>
      </c>
      <c r="CP26" s="167">
        <f t="shared" si="175"/>
        <v>0</v>
      </c>
      <c r="CQ26" s="171">
        <f t="shared" si="176"/>
        <v>0</v>
      </c>
      <c r="CR26" s="169">
        <f t="shared" si="260"/>
        <v>0</v>
      </c>
      <c r="CS26" s="167">
        <f t="shared" si="261"/>
        <v>0</v>
      </c>
      <c r="CT26" s="167">
        <f t="shared" si="179"/>
        <v>0</v>
      </c>
      <c r="CU26" s="167">
        <f t="shared" si="262"/>
        <v>0</v>
      </c>
      <c r="CV26" s="167">
        <f t="shared" si="181"/>
        <v>180000</v>
      </c>
      <c r="CW26" s="167">
        <f t="shared" si="263"/>
        <v>180000</v>
      </c>
      <c r="CX26" s="167">
        <f t="shared" si="183"/>
        <v>5346</v>
      </c>
      <c r="CY26" s="167">
        <f t="shared" si="264"/>
        <v>5346</v>
      </c>
      <c r="CZ26" s="167">
        <f t="shared" si="185"/>
        <v>102483</v>
      </c>
      <c r="DA26" s="167">
        <f t="shared" si="265"/>
        <v>102483</v>
      </c>
      <c r="DB26" s="170">
        <f t="shared" si="187"/>
        <v>77517</v>
      </c>
      <c r="DC26" s="167">
        <f t="shared" si="188"/>
        <v>0</v>
      </c>
      <c r="DD26" s="171">
        <f t="shared" si="189"/>
        <v>0</v>
      </c>
      <c r="DE26" s="169">
        <f t="shared" si="260"/>
        <v>0</v>
      </c>
      <c r="DF26" s="167">
        <f t="shared" si="266"/>
        <v>0</v>
      </c>
      <c r="DG26" s="167">
        <f t="shared" si="192"/>
        <v>0</v>
      </c>
      <c r="DH26" s="167">
        <f t="shared" si="267"/>
        <v>0</v>
      </c>
      <c r="DI26" s="167">
        <f t="shared" si="194"/>
        <v>180000</v>
      </c>
      <c r="DJ26" s="167">
        <f t="shared" si="268"/>
        <v>180000</v>
      </c>
      <c r="DK26" s="167">
        <f t="shared" si="196"/>
        <v>5346</v>
      </c>
      <c r="DL26" s="167">
        <f t="shared" si="269"/>
        <v>5346</v>
      </c>
      <c r="DM26" s="167">
        <f t="shared" si="198"/>
        <v>97137</v>
      </c>
      <c r="DN26" s="167">
        <f t="shared" si="270"/>
        <v>97137</v>
      </c>
      <c r="DO26" s="170">
        <f t="shared" si="200"/>
        <v>82863</v>
      </c>
      <c r="DP26" s="167">
        <f t="shared" si="201"/>
        <v>0</v>
      </c>
      <c r="DQ26" s="171">
        <f t="shared" si="202"/>
        <v>0</v>
      </c>
      <c r="DR26" s="169">
        <f t="shared" si="260"/>
        <v>0</v>
      </c>
      <c r="DS26" s="167">
        <f t="shared" si="271"/>
        <v>0</v>
      </c>
      <c r="DT26" s="167">
        <f t="shared" si="205"/>
        <v>0</v>
      </c>
      <c r="DU26" s="167">
        <f t="shared" si="272"/>
        <v>0</v>
      </c>
      <c r="DV26" s="167">
        <f t="shared" si="207"/>
        <v>180000</v>
      </c>
      <c r="DW26" s="167">
        <f t="shared" si="273"/>
        <v>180000</v>
      </c>
      <c r="DX26" s="167">
        <f t="shared" si="209"/>
        <v>5346</v>
      </c>
      <c r="DY26" s="167">
        <f t="shared" si="274"/>
        <v>5346</v>
      </c>
      <c r="DZ26" s="167">
        <f t="shared" si="211"/>
        <v>91791</v>
      </c>
      <c r="EA26" s="167">
        <f t="shared" si="275"/>
        <v>91791</v>
      </c>
      <c r="EB26" s="170">
        <f t="shared" si="213"/>
        <v>88209</v>
      </c>
      <c r="EC26" s="167">
        <f t="shared" si="214"/>
        <v>0</v>
      </c>
      <c r="ED26" s="171">
        <f t="shared" si="215"/>
        <v>0</v>
      </c>
    </row>
    <row r="27" spans="1:134" x14ac:dyDescent="0.3">
      <c r="A27" s="196">
        <v>2005</v>
      </c>
      <c r="B27" s="186" t="s">
        <v>452</v>
      </c>
      <c r="C27" s="187"/>
      <c r="D27" s="188" t="s">
        <v>100</v>
      </c>
      <c r="E27" s="189">
        <v>400000</v>
      </c>
      <c r="F27" s="190">
        <v>38534</v>
      </c>
      <c r="G27" s="191">
        <v>33.700000000000003</v>
      </c>
      <c r="H27" s="192"/>
      <c r="I27" s="193"/>
      <c r="J27" s="194"/>
      <c r="K27" s="165">
        <f t="shared" si="216"/>
        <v>2.9700000000000001E-2</v>
      </c>
      <c r="L27" s="166">
        <f t="shared" si="217"/>
        <v>11880</v>
      </c>
      <c r="M27" s="167">
        <f t="shared" si="218"/>
        <v>322780</v>
      </c>
      <c r="N27" s="167"/>
      <c r="O27" s="167">
        <f t="shared" si="219"/>
        <v>77220</v>
      </c>
      <c r="P27" s="168"/>
      <c r="Q27" s="167">
        <f t="shared" si="220"/>
        <v>400000</v>
      </c>
      <c r="R27" s="169">
        <f t="shared" si="221"/>
        <v>0</v>
      </c>
      <c r="S27" s="167">
        <f t="shared" si="222"/>
        <v>0</v>
      </c>
      <c r="T27" s="167">
        <f t="shared" si="223"/>
        <v>0</v>
      </c>
      <c r="U27" s="167">
        <f t="shared" si="224"/>
        <v>0</v>
      </c>
      <c r="V27" s="167">
        <f t="shared" si="225"/>
        <v>400000</v>
      </c>
      <c r="W27" s="167">
        <f t="shared" si="226"/>
        <v>400000</v>
      </c>
      <c r="X27" s="167">
        <f t="shared" si="227"/>
        <v>11880</v>
      </c>
      <c r="Y27" s="167">
        <f t="shared" si="228"/>
        <v>11880</v>
      </c>
      <c r="Z27" s="167">
        <f t="shared" si="229"/>
        <v>310900</v>
      </c>
      <c r="AA27" s="167">
        <f t="shared" si="230"/>
        <v>310900</v>
      </c>
      <c r="AB27" s="170">
        <f t="shared" si="231"/>
        <v>89100</v>
      </c>
      <c r="AC27" s="167">
        <f t="shared" si="232"/>
        <v>0</v>
      </c>
      <c r="AD27" s="171">
        <f t="shared" si="233"/>
        <v>0</v>
      </c>
      <c r="AE27" s="169">
        <f t="shared" si="234"/>
        <v>0</v>
      </c>
      <c r="AF27" s="167">
        <f t="shared" si="235"/>
        <v>0</v>
      </c>
      <c r="AG27" s="167">
        <f t="shared" si="114"/>
        <v>0</v>
      </c>
      <c r="AH27" s="167">
        <f t="shared" si="236"/>
        <v>0</v>
      </c>
      <c r="AI27" s="167">
        <f t="shared" si="116"/>
        <v>400000</v>
      </c>
      <c r="AJ27" s="167">
        <f t="shared" si="237"/>
        <v>400000</v>
      </c>
      <c r="AK27" s="167">
        <f t="shared" si="118"/>
        <v>11880</v>
      </c>
      <c r="AL27" s="167">
        <f t="shared" si="238"/>
        <v>11880</v>
      </c>
      <c r="AM27" s="167">
        <f t="shared" si="120"/>
        <v>299020</v>
      </c>
      <c r="AN27" s="167">
        <f t="shared" si="239"/>
        <v>299020</v>
      </c>
      <c r="AO27" s="170">
        <f t="shared" si="122"/>
        <v>100980</v>
      </c>
      <c r="AP27" s="167">
        <f t="shared" si="123"/>
        <v>0</v>
      </c>
      <c r="AQ27" s="171">
        <f t="shared" si="124"/>
        <v>0</v>
      </c>
      <c r="AR27" s="169">
        <f t="shared" si="234"/>
        <v>0</v>
      </c>
      <c r="AS27" s="167">
        <f t="shared" si="240"/>
        <v>0</v>
      </c>
      <c r="AT27" s="167">
        <f t="shared" si="127"/>
        <v>0</v>
      </c>
      <c r="AU27" s="167">
        <f t="shared" si="241"/>
        <v>0</v>
      </c>
      <c r="AV27" s="167">
        <f t="shared" si="129"/>
        <v>400000</v>
      </c>
      <c r="AW27" s="167">
        <f t="shared" si="242"/>
        <v>400000</v>
      </c>
      <c r="AX27" s="167">
        <f t="shared" si="131"/>
        <v>11880</v>
      </c>
      <c r="AY27" s="167">
        <f t="shared" si="243"/>
        <v>11880</v>
      </c>
      <c r="AZ27" s="167">
        <f t="shared" si="133"/>
        <v>287140</v>
      </c>
      <c r="BA27" s="167">
        <f t="shared" si="244"/>
        <v>287140</v>
      </c>
      <c r="BB27" s="170">
        <f t="shared" si="135"/>
        <v>112860</v>
      </c>
      <c r="BC27" s="167">
        <f t="shared" si="136"/>
        <v>0</v>
      </c>
      <c r="BD27" s="171">
        <f t="shared" si="137"/>
        <v>0</v>
      </c>
      <c r="BE27" s="169">
        <f t="shared" si="234"/>
        <v>0</v>
      </c>
      <c r="BF27" s="167">
        <f t="shared" si="245"/>
        <v>0</v>
      </c>
      <c r="BG27" s="167">
        <f t="shared" si="140"/>
        <v>0</v>
      </c>
      <c r="BH27" s="167">
        <f t="shared" si="246"/>
        <v>0</v>
      </c>
      <c r="BI27" s="167">
        <f t="shared" si="142"/>
        <v>400000</v>
      </c>
      <c r="BJ27" s="167">
        <f t="shared" si="247"/>
        <v>400000</v>
      </c>
      <c r="BK27" s="167">
        <f t="shared" si="144"/>
        <v>11880</v>
      </c>
      <c r="BL27" s="167">
        <f t="shared" si="248"/>
        <v>11880</v>
      </c>
      <c r="BM27" s="167">
        <f t="shared" si="146"/>
        <v>275260</v>
      </c>
      <c r="BN27" s="167">
        <f t="shared" si="249"/>
        <v>275260</v>
      </c>
      <c r="BO27" s="170">
        <f t="shared" si="148"/>
        <v>124740</v>
      </c>
      <c r="BP27" s="167">
        <f t="shared" si="149"/>
        <v>0</v>
      </c>
      <c r="BQ27" s="171">
        <f t="shared" si="150"/>
        <v>0</v>
      </c>
      <c r="BR27" s="169">
        <f t="shared" si="234"/>
        <v>0</v>
      </c>
      <c r="BS27" s="167">
        <f t="shared" si="250"/>
        <v>0</v>
      </c>
      <c r="BT27" s="167">
        <f t="shared" si="153"/>
        <v>0</v>
      </c>
      <c r="BU27" s="167">
        <f t="shared" si="251"/>
        <v>0</v>
      </c>
      <c r="BV27" s="167">
        <f t="shared" si="155"/>
        <v>400000</v>
      </c>
      <c r="BW27" s="167">
        <f t="shared" si="252"/>
        <v>400000</v>
      </c>
      <c r="BX27" s="167">
        <f t="shared" si="157"/>
        <v>11880</v>
      </c>
      <c r="BY27" s="167">
        <f t="shared" si="253"/>
        <v>11880</v>
      </c>
      <c r="BZ27" s="167">
        <f t="shared" si="159"/>
        <v>263380</v>
      </c>
      <c r="CA27" s="167">
        <f t="shared" si="254"/>
        <v>263380</v>
      </c>
      <c r="CB27" s="170">
        <f t="shared" si="161"/>
        <v>136620</v>
      </c>
      <c r="CC27" s="167">
        <f t="shared" si="162"/>
        <v>0</v>
      </c>
      <c r="CD27" s="171">
        <f t="shared" si="163"/>
        <v>0</v>
      </c>
      <c r="CE27" s="169">
        <f t="shared" si="234"/>
        <v>0</v>
      </c>
      <c r="CF27" s="167">
        <f t="shared" si="255"/>
        <v>0</v>
      </c>
      <c r="CG27" s="167">
        <f t="shared" si="166"/>
        <v>0</v>
      </c>
      <c r="CH27" s="167">
        <f t="shared" si="256"/>
        <v>0</v>
      </c>
      <c r="CI27" s="167">
        <f t="shared" si="168"/>
        <v>400000</v>
      </c>
      <c r="CJ27" s="167">
        <f t="shared" si="257"/>
        <v>400000</v>
      </c>
      <c r="CK27" s="167">
        <f t="shared" si="170"/>
        <v>11880</v>
      </c>
      <c r="CL27" s="167">
        <f t="shared" si="258"/>
        <v>11880</v>
      </c>
      <c r="CM27" s="167">
        <f t="shared" si="172"/>
        <v>251500</v>
      </c>
      <c r="CN27" s="167">
        <f t="shared" si="259"/>
        <v>251500</v>
      </c>
      <c r="CO27" s="170">
        <f t="shared" si="174"/>
        <v>148500</v>
      </c>
      <c r="CP27" s="167">
        <f t="shared" si="175"/>
        <v>0</v>
      </c>
      <c r="CQ27" s="171">
        <f t="shared" si="176"/>
        <v>0</v>
      </c>
      <c r="CR27" s="169">
        <f t="shared" si="260"/>
        <v>0</v>
      </c>
      <c r="CS27" s="167">
        <f t="shared" si="261"/>
        <v>0</v>
      </c>
      <c r="CT27" s="167">
        <f t="shared" si="179"/>
        <v>0</v>
      </c>
      <c r="CU27" s="167">
        <f t="shared" si="262"/>
        <v>0</v>
      </c>
      <c r="CV27" s="167">
        <f t="shared" si="181"/>
        <v>400000</v>
      </c>
      <c r="CW27" s="167">
        <f t="shared" si="263"/>
        <v>400000</v>
      </c>
      <c r="CX27" s="167">
        <f t="shared" si="183"/>
        <v>11880</v>
      </c>
      <c r="CY27" s="167">
        <f t="shared" si="264"/>
        <v>11880</v>
      </c>
      <c r="CZ27" s="167">
        <f t="shared" si="185"/>
        <v>239620</v>
      </c>
      <c r="DA27" s="167">
        <f t="shared" si="265"/>
        <v>239620</v>
      </c>
      <c r="DB27" s="170">
        <f t="shared" si="187"/>
        <v>160380</v>
      </c>
      <c r="DC27" s="167">
        <f t="shared" si="188"/>
        <v>0</v>
      </c>
      <c r="DD27" s="171">
        <f t="shared" si="189"/>
        <v>0</v>
      </c>
      <c r="DE27" s="169">
        <f t="shared" si="260"/>
        <v>0</v>
      </c>
      <c r="DF27" s="167">
        <f t="shared" si="266"/>
        <v>0</v>
      </c>
      <c r="DG27" s="167">
        <f t="shared" si="192"/>
        <v>0</v>
      </c>
      <c r="DH27" s="167">
        <f t="shared" si="267"/>
        <v>0</v>
      </c>
      <c r="DI27" s="167">
        <f t="shared" si="194"/>
        <v>400000</v>
      </c>
      <c r="DJ27" s="167">
        <f t="shared" si="268"/>
        <v>400000</v>
      </c>
      <c r="DK27" s="167">
        <f t="shared" si="196"/>
        <v>11880</v>
      </c>
      <c r="DL27" s="167">
        <f t="shared" si="269"/>
        <v>11880</v>
      </c>
      <c r="DM27" s="167">
        <f t="shared" si="198"/>
        <v>227740</v>
      </c>
      <c r="DN27" s="167">
        <f t="shared" si="270"/>
        <v>227740</v>
      </c>
      <c r="DO27" s="170">
        <f t="shared" si="200"/>
        <v>172260</v>
      </c>
      <c r="DP27" s="167">
        <f t="shared" si="201"/>
        <v>0</v>
      </c>
      <c r="DQ27" s="171">
        <f t="shared" si="202"/>
        <v>0</v>
      </c>
      <c r="DR27" s="169">
        <f t="shared" si="260"/>
        <v>0</v>
      </c>
      <c r="DS27" s="167">
        <f t="shared" si="271"/>
        <v>0</v>
      </c>
      <c r="DT27" s="167">
        <f t="shared" si="205"/>
        <v>0</v>
      </c>
      <c r="DU27" s="167">
        <f t="shared" si="272"/>
        <v>0</v>
      </c>
      <c r="DV27" s="167">
        <f t="shared" si="207"/>
        <v>400000</v>
      </c>
      <c r="DW27" s="167">
        <f t="shared" si="273"/>
        <v>400000</v>
      </c>
      <c r="DX27" s="167">
        <f t="shared" si="209"/>
        <v>11880</v>
      </c>
      <c r="DY27" s="167">
        <f t="shared" si="274"/>
        <v>11880</v>
      </c>
      <c r="DZ27" s="167">
        <f t="shared" si="211"/>
        <v>215860</v>
      </c>
      <c r="EA27" s="167">
        <f t="shared" si="275"/>
        <v>215860</v>
      </c>
      <c r="EB27" s="170">
        <f t="shared" si="213"/>
        <v>184140</v>
      </c>
      <c r="EC27" s="167">
        <f t="shared" si="214"/>
        <v>0</v>
      </c>
      <c r="ED27" s="171">
        <f t="shared" si="215"/>
        <v>0</v>
      </c>
    </row>
    <row r="28" spans="1:134" x14ac:dyDescent="0.3">
      <c r="A28" s="196">
        <v>2006</v>
      </c>
      <c r="B28" s="186" t="s">
        <v>452</v>
      </c>
      <c r="C28" s="187"/>
      <c r="D28" s="188" t="s">
        <v>100</v>
      </c>
      <c r="E28" s="189">
        <v>334699</v>
      </c>
      <c r="F28" s="190">
        <v>38899</v>
      </c>
      <c r="G28" s="191">
        <v>33.700000000000003</v>
      </c>
      <c r="H28" s="192"/>
      <c r="I28" s="193"/>
      <c r="J28" s="194"/>
      <c r="K28" s="165">
        <f t="shared" si="216"/>
        <v>2.9700000000000001E-2</v>
      </c>
      <c r="L28" s="166">
        <f t="shared" si="217"/>
        <v>9940.56</v>
      </c>
      <c r="M28" s="167">
        <f t="shared" si="218"/>
        <v>280025.92</v>
      </c>
      <c r="N28" s="167"/>
      <c r="O28" s="167">
        <f t="shared" si="219"/>
        <v>54673.079999999994</v>
      </c>
      <c r="P28" s="168"/>
      <c r="Q28" s="167">
        <f t="shared" si="220"/>
        <v>334699</v>
      </c>
      <c r="R28" s="169">
        <f t="shared" si="221"/>
        <v>0</v>
      </c>
      <c r="S28" s="167">
        <f t="shared" si="222"/>
        <v>0</v>
      </c>
      <c r="T28" s="167">
        <f t="shared" si="223"/>
        <v>0</v>
      </c>
      <c r="U28" s="167">
        <f t="shared" si="224"/>
        <v>0</v>
      </c>
      <c r="V28" s="167">
        <f t="shared" si="225"/>
        <v>334699</v>
      </c>
      <c r="W28" s="167">
        <f t="shared" si="226"/>
        <v>334699</v>
      </c>
      <c r="X28" s="167">
        <f t="shared" si="227"/>
        <v>9940.56</v>
      </c>
      <c r="Y28" s="167">
        <f t="shared" si="228"/>
        <v>9940.56</v>
      </c>
      <c r="Z28" s="167">
        <f t="shared" si="229"/>
        <v>270085.36</v>
      </c>
      <c r="AA28" s="167">
        <f t="shared" si="230"/>
        <v>270085.36</v>
      </c>
      <c r="AB28" s="170">
        <f t="shared" si="231"/>
        <v>64613.639999999992</v>
      </c>
      <c r="AC28" s="167">
        <f t="shared" si="232"/>
        <v>0</v>
      </c>
      <c r="AD28" s="171">
        <f t="shared" si="233"/>
        <v>0</v>
      </c>
      <c r="AE28" s="169">
        <f t="shared" si="234"/>
        <v>0</v>
      </c>
      <c r="AF28" s="167">
        <f t="shared" si="235"/>
        <v>0</v>
      </c>
      <c r="AG28" s="167">
        <f t="shared" si="114"/>
        <v>0</v>
      </c>
      <c r="AH28" s="167">
        <f t="shared" si="236"/>
        <v>0</v>
      </c>
      <c r="AI28" s="167">
        <f t="shared" si="116"/>
        <v>334699</v>
      </c>
      <c r="AJ28" s="167">
        <f t="shared" si="237"/>
        <v>334699</v>
      </c>
      <c r="AK28" s="167">
        <f t="shared" si="118"/>
        <v>9940.56</v>
      </c>
      <c r="AL28" s="167">
        <f t="shared" si="238"/>
        <v>9940.56</v>
      </c>
      <c r="AM28" s="167">
        <f t="shared" si="120"/>
        <v>260144.8</v>
      </c>
      <c r="AN28" s="167">
        <f t="shared" si="239"/>
        <v>260144.8</v>
      </c>
      <c r="AO28" s="170">
        <f t="shared" si="122"/>
        <v>74554.2</v>
      </c>
      <c r="AP28" s="167">
        <f t="shared" si="123"/>
        <v>0</v>
      </c>
      <c r="AQ28" s="171">
        <f t="shared" si="124"/>
        <v>0</v>
      </c>
      <c r="AR28" s="169">
        <f t="shared" si="234"/>
        <v>0</v>
      </c>
      <c r="AS28" s="167">
        <f t="shared" si="240"/>
        <v>0</v>
      </c>
      <c r="AT28" s="167">
        <f t="shared" si="127"/>
        <v>0</v>
      </c>
      <c r="AU28" s="167">
        <f t="shared" si="241"/>
        <v>0</v>
      </c>
      <c r="AV28" s="167">
        <f t="shared" si="129"/>
        <v>334699</v>
      </c>
      <c r="AW28" s="167">
        <f t="shared" si="242"/>
        <v>334699</v>
      </c>
      <c r="AX28" s="167">
        <f t="shared" si="131"/>
        <v>9940.56</v>
      </c>
      <c r="AY28" s="167">
        <f t="shared" si="243"/>
        <v>9940.56</v>
      </c>
      <c r="AZ28" s="167">
        <f t="shared" si="133"/>
        <v>250204.24</v>
      </c>
      <c r="BA28" s="167">
        <f t="shared" si="244"/>
        <v>250204.24</v>
      </c>
      <c r="BB28" s="170">
        <f t="shared" si="135"/>
        <v>84494.76</v>
      </c>
      <c r="BC28" s="167">
        <f t="shared" si="136"/>
        <v>0</v>
      </c>
      <c r="BD28" s="171">
        <f t="shared" si="137"/>
        <v>0</v>
      </c>
      <c r="BE28" s="169">
        <f t="shared" si="234"/>
        <v>0</v>
      </c>
      <c r="BF28" s="167">
        <f t="shared" si="245"/>
        <v>0</v>
      </c>
      <c r="BG28" s="167">
        <f t="shared" si="140"/>
        <v>0</v>
      </c>
      <c r="BH28" s="167">
        <f t="shared" si="246"/>
        <v>0</v>
      </c>
      <c r="BI28" s="167">
        <f t="shared" si="142"/>
        <v>334699</v>
      </c>
      <c r="BJ28" s="167">
        <f t="shared" si="247"/>
        <v>334699</v>
      </c>
      <c r="BK28" s="167">
        <f t="shared" si="144"/>
        <v>9940.56</v>
      </c>
      <c r="BL28" s="167">
        <f t="shared" si="248"/>
        <v>9940.56</v>
      </c>
      <c r="BM28" s="167">
        <f t="shared" si="146"/>
        <v>240263.67999999999</v>
      </c>
      <c r="BN28" s="167">
        <f t="shared" si="249"/>
        <v>240263.67999999999</v>
      </c>
      <c r="BO28" s="170">
        <f t="shared" si="148"/>
        <v>94435.319999999992</v>
      </c>
      <c r="BP28" s="167">
        <f t="shared" si="149"/>
        <v>0</v>
      </c>
      <c r="BQ28" s="171">
        <f t="shared" si="150"/>
        <v>0</v>
      </c>
      <c r="BR28" s="169">
        <f t="shared" si="234"/>
        <v>0</v>
      </c>
      <c r="BS28" s="167">
        <f t="shared" si="250"/>
        <v>0</v>
      </c>
      <c r="BT28" s="167">
        <f t="shared" si="153"/>
        <v>0</v>
      </c>
      <c r="BU28" s="167">
        <f t="shared" si="251"/>
        <v>0</v>
      </c>
      <c r="BV28" s="167">
        <f t="shared" si="155"/>
        <v>334699</v>
      </c>
      <c r="BW28" s="167">
        <f t="shared" si="252"/>
        <v>334699</v>
      </c>
      <c r="BX28" s="167">
        <f t="shared" si="157"/>
        <v>9940.56</v>
      </c>
      <c r="BY28" s="167">
        <f t="shared" si="253"/>
        <v>9940.56</v>
      </c>
      <c r="BZ28" s="167">
        <f t="shared" si="159"/>
        <v>230323.12</v>
      </c>
      <c r="CA28" s="167">
        <f t="shared" si="254"/>
        <v>230323.12</v>
      </c>
      <c r="CB28" s="170">
        <f t="shared" si="161"/>
        <v>104375.87999999999</v>
      </c>
      <c r="CC28" s="167">
        <f t="shared" si="162"/>
        <v>0</v>
      </c>
      <c r="CD28" s="171">
        <f t="shared" si="163"/>
        <v>0</v>
      </c>
      <c r="CE28" s="169">
        <f t="shared" si="234"/>
        <v>0</v>
      </c>
      <c r="CF28" s="167">
        <f t="shared" si="255"/>
        <v>0</v>
      </c>
      <c r="CG28" s="167">
        <f t="shared" si="166"/>
        <v>0</v>
      </c>
      <c r="CH28" s="167">
        <f t="shared" si="256"/>
        <v>0</v>
      </c>
      <c r="CI28" s="167">
        <f t="shared" si="168"/>
        <v>334699</v>
      </c>
      <c r="CJ28" s="167">
        <f t="shared" si="257"/>
        <v>334699</v>
      </c>
      <c r="CK28" s="167">
        <f t="shared" si="170"/>
        <v>9940.56</v>
      </c>
      <c r="CL28" s="167">
        <f t="shared" si="258"/>
        <v>9940.56</v>
      </c>
      <c r="CM28" s="167">
        <f t="shared" si="172"/>
        <v>220382.56</v>
      </c>
      <c r="CN28" s="167">
        <f t="shared" si="259"/>
        <v>220382.56</v>
      </c>
      <c r="CO28" s="170">
        <f t="shared" si="174"/>
        <v>114316.43999999999</v>
      </c>
      <c r="CP28" s="167">
        <f t="shared" si="175"/>
        <v>0</v>
      </c>
      <c r="CQ28" s="171">
        <f t="shared" si="176"/>
        <v>0</v>
      </c>
      <c r="CR28" s="169">
        <f t="shared" si="260"/>
        <v>0</v>
      </c>
      <c r="CS28" s="167">
        <f t="shared" si="261"/>
        <v>0</v>
      </c>
      <c r="CT28" s="167">
        <f t="shared" si="179"/>
        <v>0</v>
      </c>
      <c r="CU28" s="167">
        <f t="shared" si="262"/>
        <v>0</v>
      </c>
      <c r="CV28" s="167">
        <f t="shared" si="181"/>
        <v>334699</v>
      </c>
      <c r="CW28" s="167">
        <f t="shared" si="263"/>
        <v>334699</v>
      </c>
      <c r="CX28" s="167">
        <f t="shared" si="183"/>
        <v>9940.56</v>
      </c>
      <c r="CY28" s="167">
        <f t="shared" si="264"/>
        <v>9940.56</v>
      </c>
      <c r="CZ28" s="167">
        <f t="shared" si="185"/>
        <v>210442</v>
      </c>
      <c r="DA28" s="167">
        <f t="shared" si="265"/>
        <v>210442</v>
      </c>
      <c r="DB28" s="170">
        <f t="shared" si="187"/>
        <v>124256.99999999999</v>
      </c>
      <c r="DC28" s="167">
        <f t="shared" si="188"/>
        <v>0</v>
      </c>
      <c r="DD28" s="171">
        <f t="shared" si="189"/>
        <v>0</v>
      </c>
      <c r="DE28" s="169">
        <f t="shared" si="260"/>
        <v>0</v>
      </c>
      <c r="DF28" s="167">
        <f t="shared" si="266"/>
        <v>0</v>
      </c>
      <c r="DG28" s="167">
        <f t="shared" si="192"/>
        <v>0</v>
      </c>
      <c r="DH28" s="167">
        <f t="shared" si="267"/>
        <v>0</v>
      </c>
      <c r="DI28" s="167">
        <f t="shared" si="194"/>
        <v>334699</v>
      </c>
      <c r="DJ28" s="167">
        <f t="shared" si="268"/>
        <v>334699</v>
      </c>
      <c r="DK28" s="167">
        <f t="shared" si="196"/>
        <v>9940.56</v>
      </c>
      <c r="DL28" s="167">
        <f t="shared" si="269"/>
        <v>9940.56</v>
      </c>
      <c r="DM28" s="167">
        <f t="shared" si="198"/>
        <v>200501.44</v>
      </c>
      <c r="DN28" s="167">
        <f t="shared" si="270"/>
        <v>200501.44</v>
      </c>
      <c r="DO28" s="170">
        <f t="shared" si="200"/>
        <v>134197.56</v>
      </c>
      <c r="DP28" s="167">
        <f t="shared" si="201"/>
        <v>0</v>
      </c>
      <c r="DQ28" s="171">
        <f t="shared" si="202"/>
        <v>0</v>
      </c>
      <c r="DR28" s="169">
        <f t="shared" si="260"/>
        <v>0</v>
      </c>
      <c r="DS28" s="167">
        <f t="shared" si="271"/>
        <v>0</v>
      </c>
      <c r="DT28" s="167">
        <f t="shared" si="205"/>
        <v>0</v>
      </c>
      <c r="DU28" s="167">
        <f t="shared" si="272"/>
        <v>0</v>
      </c>
      <c r="DV28" s="167">
        <f t="shared" si="207"/>
        <v>334699</v>
      </c>
      <c r="DW28" s="167">
        <f t="shared" si="273"/>
        <v>334699</v>
      </c>
      <c r="DX28" s="167">
        <f t="shared" si="209"/>
        <v>9940.56</v>
      </c>
      <c r="DY28" s="167">
        <f t="shared" si="274"/>
        <v>9940.56</v>
      </c>
      <c r="DZ28" s="167">
        <f t="shared" si="211"/>
        <v>190560.88</v>
      </c>
      <c r="EA28" s="167">
        <f t="shared" si="275"/>
        <v>190560.88</v>
      </c>
      <c r="EB28" s="170">
        <f t="shared" si="213"/>
        <v>144138.12</v>
      </c>
      <c r="EC28" s="167">
        <f t="shared" si="214"/>
        <v>0</v>
      </c>
      <c r="ED28" s="171">
        <f t="shared" si="215"/>
        <v>0</v>
      </c>
    </row>
    <row r="29" spans="1:134" x14ac:dyDescent="0.3">
      <c r="A29" s="196">
        <v>2007</v>
      </c>
      <c r="B29" s="186" t="s">
        <v>452</v>
      </c>
      <c r="C29" s="187"/>
      <c r="D29" s="188" t="s">
        <v>100</v>
      </c>
      <c r="E29" s="189">
        <v>213101</v>
      </c>
      <c r="F29" s="190">
        <v>39264</v>
      </c>
      <c r="G29" s="191">
        <v>33.700000000000003</v>
      </c>
      <c r="H29" s="192"/>
      <c r="I29" s="193"/>
      <c r="J29" s="194"/>
      <c r="K29" s="165">
        <f t="shared" si="216"/>
        <v>2.9700000000000001E-2</v>
      </c>
      <c r="L29" s="166">
        <f t="shared" si="217"/>
        <v>6329.1</v>
      </c>
      <c r="M29" s="167">
        <f t="shared" si="218"/>
        <v>184620.05</v>
      </c>
      <c r="N29" s="167"/>
      <c r="O29" s="167">
        <f t="shared" si="219"/>
        <v>28480.95</v>
      </c>
      <c r="P29" s="168"/>
      <c r="Q29" s="167">
        <f t="shared" si="220"/>
        <v>213101</v>
      </c>
      <c r="R29" s="169">
        <f t="shared" si="221"/>
        <v>0</v>
      </c>
      <c r="S29" s="167">
        <f t="shared" si="222"/>
        <v>0</v>
      </c>
      <c r="T29" s="167">
        <f t="shared" si="223"/>
        <v>0</v>
      </c>
      <c r="U29" s="167">
        <f t="shared" si="224"/>
        <v>0</v>
      </c>
      <c r="V29" s="167">
        <f t="shared" si="225"/>
        <v>213101</v>
      </c>
      <c r="W29" s="167">
        <f t="shared" si="226"/>
        <v>213101</v>
      </c>
      <c r="X29" s="167">
        <f t="shared" si="227"/>
        <v>6329.1</v>
      </c>
      <c r="Y29" s="167">
        <f t="shared" si="228"/>
        <v>6329.1</v>
      </c>
      <c r="Z29" s="167">
        <f t="shared" si="229"/>
        <v>178290.94999999998</v>
      </c>
      <c r="AA29" s="167">
        <f t="shared" si="230"/>
        <v>178290.94999999998</v>
      </c>
      <c r="AB29" s="170">
        <f t="shared" si="231"/>
        <v>34810.050000000003</v>
      </c>
      <c r="AC29" s="167">
        <f t="shared" si="232"/>
        <v>0</v>
      </c>
      <c r="AD29" s="171">
        <f t="shared" si="233"/>
        <v>0</v>
      </c>
      <c r="AE29" s="169">
        <f t="shared" si="234"/>
        <v>0</v>
      </c>
      <c r="AF29" s="167">
        <f t="shared" si="235"/>
        <v>0</v>
      </c>
      <c r="AG29" s="167">
        <f t="shared" si="114"/>
        <v>0</v>
      </c>
      <c r="AH29" s="167">
        <f t="shared" si="236"/>
        <v>0</v>
      </c>
      <c r="AI29" s="167">
        <f t="shared" si="116"/>
        <v>213101</v>
      </c>
      <c r="AJ29" s="167">
        <f t="shared" si="237"/>
        <v>213101</v>
      </c>
      <c r="AK29" s="167">
        <f t="shared" si="118"/>
        <v>6329.1</v>
      </c>
      <c r="AL29" s="167">
        <f t="shared" si="238"/>
        <v>6329.1</v>
      </c>
      <c r="AM29" s="167">
        <f t="shared" si="120"/>
        <v>171961.84999999998</v>
      </c>
      <c r="AN29" s="167">
        <f t="shared" si="239"/>
        <v>171961.84999999998</v>
      </c>
      <c r="AO29" s="170">
        <f t="shared" si="122"/>
        <v>41139.15</v>
      </c>
      <c r="AP29" s="167">
        <f t="shared" si="123"/>
        <v>0</v>
      </c>
      <c r="AQ29" s="171">
        <f t="shared" si="124"/>
        <v>0</v>
      </c>
      <c r="AR29" s="169">
        <f t="shared" si="234"/>
        <v>0</v>
      </c>
      <c r="AS29" s="167">
        <f t="shared" si="240"/>
        <v>0</v>
      </c>
      <c r="AT29" s="167">
        <f t="shared" si="127"/>
        <v>0</v>
      </c>
      <c r="AU29" s="167">
        <f t="shared" si="241"/>
        <v>0</v>
      </c>
      <c r="AV29" s="167">
        <f t="shared" si="129"/>
        <v>213101</v>
      </c>
      <c r="AW29" s="167">
        <f t="shared" si="242"/>
        <v>213101</v>
      </c>
      <c r="AX29" s="167">
        <f t="shared" si="131"/>
        <v>6329.1</v>
      </c>
      <c r="AY29" s="167">
        <f t="shared" si="243"/>
        <v>6329.1</v>
      </c>
      <c r="AZ29" s="167">
        <f t="shared" si="133"/>
        <v>165632.74999999997</v>
      </c>
      <c r="BA29" s="167">
        <f t="shared" si="244"/>
        <v>165632.74999999997</v>
      </c>
      <c r="BB29" s="170">
        <f t="shared" si="135"/>
        <v>47468.25</v>
      </c>
      <c r="BC29" s="167">
        <f t="shared" si="136"/>
        <v>0</v>
      </c>
      <c r="BD29" s="171">
        <f t="shared" si="137"/>
        <v>0</v>
      </c>
      <c r="BE29" s="169">
        <f t="shared" si="234"/>
        <v>0</v>
      </c>
      <c r="BF29" s="167">
        <f t="shared" si="245"/>
        <v>0</v>
      </c>
      <c r="BG29" s="167">
        <f t="shared" si="140"/>
        <v>0</v>
      </c>
      <c r="BH29" s="167">
        <f t="shared" si="246"/>
        <v>0</v>
      </c>
      <c r="BI29" s="167">
        <f t="shared" si="142"/>
        <v>213101</v>
      </c>
      <c r="BJ29" s="167">
        <f t="shared" si="247"/>
        <v>213101</v>
      </c>
      <c r="BK29" s="167">
        <f t="shared" si="144"/>
        <v>6329.1</v>
      </c>
      <c r="BL29" s="167">
        <f t="shared" si="248"/>
        <v>6329.1</v>
      </c>
      <c r="BM29" s="167">
        <f t="shared" si="146"/>
        <v>159303.64999999997</v>
      </c>
      <c r="BN29" s="167">
        <f t="shared" si="249"/>
        <v>159303.64999999997</v>
      </c>
      <c r="BO29" s="170">
        <f t="shared" si="148"/>
        <v>53797.35</v>
      </c>
      <c r="BP29" s="167">
        <f t="shared" si="149"/>
        <v>0</v>
      </c>
      <c r="BQ29" s="171">
        <f t="shared" si="150"/>
        <v>0</v>
      </c>
      <c r="BR29" s="169">
        <f t="shared" si="234"/>
        <v>0</v>
      </c>
      <c r="BS29" s="167">
        <f t="shared" si="250"/>
        <v>0</v>
      </c>
      <c r="BT29" s="167">
        <f t="shared" si="153"/>
        <v>0</v>
      </c>
      <c r="BU29" s="167">
        <f t="shared" si="251"/>
        <v>0</v>
      </c>
      <c r="BV29" s="167">
        <f t="shared" si="155"/>
        <v>213101</v>
      </c>
      <c r="BW29" s="167">
        <f t="shared" si="252"/>
        <v>213101</v>
      </c>
      <c r="BX29" s="167">
        <f t="shared" si="157"/>
        <v>6329.1</v>
      </c>
      <c r="BY29" s="167">
        <f t="shared" si="253"/>
        <v>6329.1</v>
      </c>
      <c r="BZ29" s="167">
        <f t="shared" si="159"/>
        <v>152974.54999999996</v>
      </c>
      <c r="CA29" s="167">
        <f t="shared" si="254"/>
        <v>152974.54999999996</v>
      </c>
      <c r="CB29" s="170">
        <f t="shared" si="161"/>
        <v>60126.45</v>
      </c>
      <c r="CC29" s="167">
        <f t="shared" si="162"/>
        <v>0</v>
      </c>
      <c r="CD29" s="171">
        <f t="shared" si="163"/>
        <v>0</v>
      </c>
      <c r="CE29" s="169">
        <f t="shared" si="234"/>
        <v>0</v>
      </c>
      <c r="CF29" s="167">
        <f t="shared" si="255"/>
        <v>0</v>
      </c>
      <c r="CG29" s="167">
        <f t="shared" si="166"/>
        <v>0</v>
      </c>
      <c r="CH29" s="167">
        <f t="shared" si="256"/>
        <v>0</v>
      </c>
      <c r="CI29" s="167">
        <f t="shared" si="168"/>
        <v>213101</v>
      </c>
      <c r="CJ29" s="167">
        <f t="shared" si="257"/>
        <v>213101</v>
      </c>
      <c r="CK29" s="167">
        <f t="shared" si="170"/>
        <v>6329.1</v>
      </c>
      <c r="CL29" s="167">
        <f t="shared" si="258"/>
        <v>6329.1</v>
      </c>
      <c r="CM29" s="167">
        <f t="shared" si="172"/>
        <v>146645.44999999995</v>
      </c>
      <c r="CN29" s="167">
        <f t="shared" si="259"/>
        <v>146645.44999999995</v>
      </c>
      <c r="CO29" s="170">
        <f t="shared" si="174"/>
        <v>66455.55</v>
      </c>
      <c r="CP29" s="167">
        <f t="shared" si="175"/>
        <v>0</v>
      </c>
      <c r="CQ29" s="171">
        <f t="shared" si="176"/>
        <v>0</v>
      </c>
      <c r="CR29" s="169">
        <f t="shared" si="260"/>
        <v>0</v>
      </c>
      <c r="CS29" s="167">
        <f t="shared" si="261"/>
        <v>0</v>
      </c>
      <c r="CT29" s="167">
        <f t="shared" si="179"/>
        <v>0</v>
      </c>
      <c r="CU29" s="167">
        <f t="shared" si="262"/>
        <v>0</v>
      </c>
      <c r="CV29" s="167">
        <f t="shared" si="181"/>
        <v>213101</v>
      </c>
      <c r="CW29" s="167">
        <f t="shared" si="263"/>
        <v>213101</v>
      </c>
      <c r="CX29" s="167">
        <f t="shared" si="183"/>
        <v>6329.1</v>
      </c>
      <c r="CY29" s="167">
        <f t="shared" si="264"/>
        <v>6329.1</v>
      </c>
      <c r="CZ29" s="167">
        <f t="shared" si="185"/>
        <v>140316.34999999995</v>
      </c>
      <c r="DA29" s="167">
        <f t="shared" si="265"/>
        <v>140316.34999999995</v>
      </c>
      <c r="DB29" s="170">
        <f t="shared" si="187"/>
        <v>72784.650000000009</v>
      </c>
      <c r="DC29" s="167">
        <f t="shared" si="188"/>
        <v>0</v>
      </c>
      <c r="DD29" s="171">
        <f t="shared" si="189"/>
        <v>0</v>
      </c>
      <c r="DE29" s="169">
        <f t="shared" si="260"/>
        <v>0</v>
      </c>
      <c r="DF29" s="167">
        <f t="shared" si="266"/>
        <v>0</v>
      </c>
      <c r="DG29" s="167">
        <f t="shared" si="192"/>
        <v>0</v>
      </c>
      <c r="DH29" s="167">
        <f t="shared" si="267"/>
        <v>0</v>
      </c>
      <c r="DI29" s="167">
        <f t="shared" si="194"/>
        <v>213101</v>
      </c>
      <c r="DJ29" s="167">
        <f t="shared" si="268"/>
        <v>213101</v>
      </c>
      <c r="DK29" s="167">
        <f t="shared" si="196"/>
        <v>6329.1</v>
      </c>
      <c r="DL29" s="167">
        <f t="shared" si="269"/>
        <v>6329.1</v>
      </c>
      <c r="DM29" s="167">
        <f t="shared" si="198"/>
        <v>133987.24999999994</v>
      </c>
      <c r="DN29" s="167">
        <f t="shared" si="270"/>
        <v>133987.24999999994</v>
      </c>
      <c r="DO29" s="170">
        <f t="shared" si="200"/>
        <v>79113.750000000015</v>
      </c>
      <c r="DP29" s="167">
        <f t="shared" si="201"/>
        <v>0</v>
      </c>
      <c r="DQ29" s="171">
        <f t="shared" si="202"/>
        <v>0</v>
      </c>
      <c r="DR29" s="169">
        <f t="shared" si="260"/>
        <v>0</v>
      </c>
      <c r="DS29" s="167">
        <f t="shared" si="271"/>
        <v>0</v>
      </c>
      <c r="DT29" s="167">
        <f t="shared" si="205"/>
        <v>0</v>
      </c>
      <c r="DU29" s="167">
        <f t="shared" si="272"/>
        <v>0</v>
      </c>
      <c r="DV29" s="167">
        <f t="shared" si="207"/>
        <v>213101</v>
      </c>
      <c r="DW29" s="167">
        <f t="shared" si="273"/>
        <v>213101</v>
      </c>
      <c r="DX29" s="167">
        <f t="shared" si="209"/>
        <v>6329.1</v>
      </c>
      <c r="DY29" s="167">
        <f t="shared" si="274"/>
        <v>6329.1</v>
      </c>
      <c r="DZ29" s="167">
        <f t="shared" si="211"/>
        <v>127658.14999999994</v>
      </c>
      <c r="EA29" s="167">
        <f t="shared" si="275"/>
        <v>127658.14999999994</v>
      </c>
      <c r="EB29" s="170">
        <f t="shared" si="213"/>
        <v>85442.85000000002</v>
      </c>
      <c r="EC29" s="167">
        <f t="shared" si="214"/>
        <v>0</v>
      </c>
      <c r="ED29" s="171">
        <f t="shared" si="215"/>
        <v>0</v>
      </c>
    </row>
    <row r="30" spans="1:134" x14ac:dyDescent="0.3">
      <c r="A30" s="196">
        <v>2008</v>
      </c>
      <c r="B30" s="186" t="s">
        <v>452</v>
      </c>
      <c r="C30" s="187"/>
      <c r="D30" s="188" t="s">
        <v>100</v>
      </c>
      <c r="E30" s="189">
        <v>59461</v>
      </c>
      <c r="F30" s="190">
        <v>39630</v>
      </c>
      <c r="G30" s="191">
        <v>33.700000000000003</v>
      </c>
      <c r="H30" s="192"/>
      <c r="I30" s="193"/>
      <c r="J30" s="194"/>
      <c r="K30" s="165">
        <f t="shared" si="216"/>
        <v>2.9700000000000001E-2</v>
      </c>
      <c r="L30" s="166">
        <f t="shared" si="217"/>
        <v>1765.99</v>
      </c>
      <c r="M30" s="167">
        <f t="shared" si="218"/>
        <v>53280.03</v>
      </c>
      <c r="N30" s="167"/>
      <c r="O30" s="167">
        <f t="shared" si="219"/>
        <v>6180.97</v>
      </c>
      <c r="P30" s="168"/>
      <c r="Q30" s="167">
        <f t="shared" si="220"/>
        <v>59461</v>
      </c>
      <c r="R30" s="169">
        <f t="shared" si="221"/>
        <v>0</v>
      </c>
      <c r="S30" s="167">
        <f t="shared" si="222"/>
        <v>0</v>
      </c>
      <c r="T30" s="167">
        <f t="shared" si="223"/>
        <v>0</v>
      </c>
      <c r="U30" s="167">
        <f t="shared" si="224"/>
        <v>0</v>
      </c>
      <c r="V30" s="167">
        <f t="shared" si="225"/>
        <v>59461</v>
      </c>
      <c r="W30" s="167">
        <f t="shared" si="226"/>
        <v>59461</v>
      </c>
      <c r="X30" s="167">
        <f t="shared" si="227"/>
        <v>1765.99</v>
      </c>
      <c r="Y30" s="167">
        <f t="shared" si="228"/>
        <v>1765.99</v>
      </c>
      <c r="Z30" s="167">
        <f t="shared" si="229"/>
        <v>51514.04</v>
      </c>
      <c r="AA30" s="167">
        <f t="shared" si="230"/>
        <v>51514.04</v>
      </c>
      <c r="AB30" s="170">
        <f t="shared" si="231"/>
        <v>7946.96</v>
      </c>
      <c r="AC30" s="167">
        <f t="shared" si="232"/>
        <v>0</v>
      </c>
      <c r="AD30" s="171">
        <f t="shared" si="233"/>
        <v>0</v>
      </c>
      <c r="AE30" s="169">
        <f t="shared" si="234"/>
        <v>0</v>
      </c>
      <c r="AF30" s="167">
        <f t="shared" si="235"/>
        <v>0</v>
      </c>
      <c r="AG30" s="167">
        <f t="shared" si="114"/>
        <v>0</v>
      </c>
      <c r="AH30" s="167">
        <f t="shared" si="236"/>
        <v>0</v>
      </c>
      <c r="AI30" s="167">
        <f t="shared" si="116"/>
        <v>59461</v>
      </c>
      <c r="AJ30" s="167">
        <f t="shared" si="237"/>
        <v>59461</v>
      </c>
      <c r="AK30" s="167">
        <f t="shared" si="118"/>
        <v>1765.99</v>
      </c>
      <c r="AL30" s="167">
        <f t="shared" si="238"/>
        <v>1765.99</v>
      </c>
      <c r="AM30" s="167">
        <f t="shared" si="120"/>
        <v>49748.05</v>
      </c>
      <c r="AN30" s="167">
        <f t="shared" si="239"/>
        <v>49748.05</v>
      </c>
      <c r="AO30" s="170">
        <f t="shared" si="122"/>
        <v>9712.9500000000007</v>
      </c>
      <c r="AP30" s="167">
        <f t="shared" si="123"/>
        <v>0</v>
      </c>
      <c r="AQ30" s="171">
        <f t="shared" si="124"/>
        <v>0</v>
      </c>
      <c r="AR30" s="169">
        <f t="shared" si="234"/>
        <v>0</v>
      </c>
      <c r="AS30" s="167">
        <f t="shared" si="240"/>
        <v>0</v>
      </c>
      <c r="AT30" s="167">
        <f t="shared" si="127"/>
        <v>0</v>
      </c>
      <c r="AU30" s="167">
        <f t="shared" si="241"/>
        <v>0</v>
      </c>
      <c r="AV30" s="167">
        <f t="shared" si="129"/>
        <v>59461</v>
      </c>
      <c r="AW30" s="167">
        <f t="shared" si="242"/>
        <v>59461</v>
      </c>
      <c r="AX30" s="167">
        <f t="shared" si="131"/>
        <v>1765.99</v>
      </c>
      <c r="AY30" s="167">
        <f t="shared" si="243"/>
        <v>1765.99</v>
      </c>
      <c r="AZ30" s="167">
        <f t="shared" si="133"/>
        <v>47982.060000000005</v>
      </c>
      <c r="BA30" s="167">
        <f t="shared" si="244"/>
        <v>47982.060000000005</v>
      </c>
      <c r="BB30" s="170">
        <f t="shared" si="135"/>
        <v>11478.94</v>
      </c>
      <c r="BC30" s="167">
        <f t="shared" si="136"/>
        <v>0</v>
      </c>
      <c r="BD30" s="171">
        <f t="shared" si="137"/>
        <v>0</v>
      </c>
      <c r="BE30" s="169">
        <f t="shared" si="234"/>
        <v>0</v>
      </c>
      <c r="BF30" s="167">
        <f t="shared" si="245"/>
        <v>0</v>
      </c>
      <c r="BG30" s="167">
        <f t="shared" si="140"/>
        <v>0</v>
      </c>
      <c r="BH30" s="167">
        <f t="shared" si="246"/>
        <v>0</v>
      </c>
      <c r="BI30" s="167">
        <f t="shared" si="142"/>
        <v>59461</v>
      </c>
      <c r="BJ30" s="167">
        <f t="shared" si="247"/>
        <v>59461</v>
      </c>
      <c r="BK30" s="167">
        <f t="shared" si="144"/>
        <v>1765.99</v>
      </c>
      <c r="BL30" s="167">
        <f t="shared" si="248"/>
        <v>1765.99</v>
      </c>
      <c r="BM30" s="167">
        <f t="shared" si="146"/>
        <v>46216.070000000007</v>
      </c>
      <c r="BN30" s="167">
        <f t="shared" si="249"/>
        <v>46216.070000000007</v>
      </c>
      <c r="BO30" s="170">
        <f t="shared" si="148"/>
        <v>13244.93</v>
      </c>
      <c r="BP30" s="167">
        <f t="shared" si="149"/>
        <v>0</v>
      </c>
      <c r="BQ30" s="171">
        <f t="shared" si="150"/>
        <v>0</v>
      </c>
      <c r="BR30" s="169">
        <f t="shared" si="234"/>
        <v>0</v>
      </c>
      <c r="BS30" s="167">
        <f t="shared" si="250"/>
        <v>0</v>
      </c>
      <c r="BT30" s="167">
        <f t="shared" si="153"/>
        <v>0</v>
      </c>
      <c r="BU30" s="167">
        <f t="shared" si="251"/>
        <v>0</v>
      </c>
      <c r="BV30" s="167">
        <f t="shared" si="155"/>
        <v>59461</v>
      </c>
      <c r="BW30" s="167">
        <f t="shared" si="252"/>
        <v>59461</v>
      </c>
      <c r="BX30" s="167">
        <f t="shared" si="157"/>
        <v>1765.99</v>
      </c>
      <c r="BY30" s="167">
        <f t="shared" si="253"/>
        <v>1765.99</v>
      </c>
      <c r="BZ30" s="167">
        <f t="shared" si="159"/>
        <v>44450.080000000009</v>
      </c>
      <c r="CA30" s="167">
        <f t="shared" si="254"/>
        <v>44450.080000000009</v>
      </c>
      <c r="CB30" s="170">
        <f t="shared" si="161"/>
        <v>15010.92</v>
      </c>
      <c r="CC30" s="167">
        <f t="shared" si="162"/>
        <v>0</v>
      </c>
      <c r="CD30" s="171">
        <f t="shared" si="163"/>
        <v>0</v>
      </c>
      <c r="CE30" s="169">
        <f t="shared" si="234"/>
        <v>0</v>
      </c>
      <c r="CF30" s="167">
        <f t="shared" si="255"/>
        <v>0</v>
      </c>
      <c r="CG30" s="167">
        <f t="shared" si="166"/>
        <v>0</v>
      </c>
      <c r="CH30" s="167">
        <f t="shared" si="256"/>
        <v>0</v>
      </c>
      <c r="CI30" s="167">
        <f t="shared" si="168"/>
        <v>59461</v>
      </c>
      <c r="CJ30" s="167">
        <f t="shared" si="257"/>
        <v>59461</v>
      </c>
      <c r="CK30" s="167">
        <f t="shared" si="170"/>
        <v>1765.99</v>
      </c>
      <c r="CL30" s="167">
        <f t="shared" si="258"/>
        <v>1765.99</v>
      </c>
      <c r="CM30" s="167">
        <f t="shared" si="172"/>
        <v>42684.090000000011</v>
      </c>
      <c r="CN30" s="167">
        <f t="shared" si="259"/>
        <v>42684.090000000011</v>
      </c>
      <c r="CO30" s="170">
        <f t="shared" si="174"/>
        <v>16776.91</v>
      </c>
      <c r="CP30" s="167">
        <f t="shared" si="175"/>
        <v>0</v>
      </c>
      <c r="CQ30" s="171">
        <f t="shared" si="176"/>
        <v>0</v>
      </c>
      <c r="CR30" s="169">
        <f t="shared" si="260"/>
        <v>0</v>
      </c>
      <c r="CS30" s="167">
        <f t="shared" si="261"/>
        <v>0</v>
      </c>
      <c r="CT30" s="167">
        <f t="shared" si="179"/>
        <v>0</v>
      </c>
      <c r="CU30" s="167">
        <f t="shared" si="262"/>
        <v>0</v>
      </c>
      <c r="CV30" s="167">
        <f t="shared" si="181"/>
        <v>59461</v>
      </c>
      <c r="CW30" s="167">
        <f t="shared" si="263"/>
        <v>59461</v>
      </c>
      <c r="CX30" s="167">
        <f t="shared" si="183"/>
        <v>1765.99</v>
      </c>
      <c r="CY30" s="167">
        <f t="shared" si="264"/>
        <v>1765.99</v>
      </c>
      <c r="CZ30" s="167">
        <f t="shared" si="185"/>
        <v>40918.100000000013</v>
      </c>
      <c r="DA30" s="167">
        <f t="shared" si="265"/>
        <v>40918.100000000013</v>
      </c>
      <c r="DB30" s="170">
        <f t="shared" si="187"/>
        <v>18542.900000000001</v>
      </c>
      <c r="DC30" s="167">
        <f t="shared" si="188"/>
        <v>0</v>
      </c>
      <c r="DD30" s="171">
        <f t="shared" si="189"/>
        <v>0</v>
      </c>
      <c r="DE30" s="169">
        <f t="shared" si="260"/>
        <v>0</v>
      </c>
      <c r="DF30" s="167">
        <f t="shared" si="266"/>
        <v>0</v>
      </c>
      <c r="DG30" s="167">
        <f t="shared" si="192"/>
        <v>0</v>
      </c>
      <c r="DH30" s="167">
        <f t="shared" si="267"/>
        <v>0</v>
      </c>
      <c r="DI30" s="167">
        <f t="shared" si="194"/>
        <v>59461</v>
      </c>
      <c r="DJ30" s="167">
        <f t="shared" si="268"/>
        <v>59461</v>
      </c>
      <c r="DK30" s="167">
        <f t="shared" si="196"/>
        <v>1765.99</v>
      </c>
      <c r="DL30" s="167">
        <f t="shared" si="269"/>
        <v>1765.99</v>
      </c>
      <c r="DM30" s="167">
        <f t="shared" si="198"/>
        <v>39152.110000000015</v>
      </c>
      <c r="DN30" s="167">
        <f t="shared" si="270"/>
        <v>39152.110000000015</v>
      </c>
      <c r="DO30" s="170">
        <f t="shared" si="200"/>
        <v>20308.890000000003</v>
      </c>
      <c r="DP30" s="167">
        <f t="shared" si="201"/>
        <v>0</v>
      </c>
      <c r="DQ30" s="171">
        <f t="shared" si="202"/>
        <v>0</v>
      </c>
      <c r="DR30" s="169">
        <f t="shared" si="260"/>
        <v>0</v>
      </c>
      <c r="DS30" s="167">
        <f t="shared" si="271"/>
        <v>0</v>
      </c>
      <c r="DT30" s="167">
        <f t="shared" si="205"/>
        <v>0</v>
      </c>
      <c r="DU30" s="167">
        <f t="shared" si="272"/>
        <v>0</v>
      </c>
      <c r="DV30" s="167">
        <f t="shared" si="207"/>
        <v>59461</v>
      </c>
      <c r="DW30" s="167">
        <f t="shared" si="273"/>
        <v>59461</v>
      </c>
      <c r="DX30" s="167">
        <f t="shared" si="209"/>
        <v>1765.99</v>
      </c>
      <c r="DY30" s="167">
        <f t="shared" si="274"/>
        <v>1765.99</v>
      </c>
      <c r="DZ30" s="167">
        <f t="shared" si="211"/>
        <v>37386.120000000017</v>
      </c>
      <c r="EA30" s="167">
        <f t="shared" si="275"/>
        <v>37386.120000000017</v>
      </c>
      <c r="EB30" s="170">
        <f t="shared" si="213"/>
        <v>22074.880000000005</v>
      </c>
      <c r="EC30" s="167">
        <f t="shared" si="214"/>
        <v>0</v>
      </c>
      <c r="ED30" s="171">
        <f t="shared" si="215"/>
        <v>0</v>
      </c>
    </row>
    <row r="31" spans="1:134" x14ac:dyDescent="0.3">
      <c r="A31" s="196">
        <v>2009</v>
      </c>
      <c r="B31" s="186" t="s">
        <v>452</v>
      </c>
      <c r="C31" s="187"/>
      <c r="D31" s="188" t="s">
        <v>100</v>
      </c>
      <c r="E31" s="189">
        <v>117942</v>
      </c>
      <c r="F31" s="190">
        <v>39995</v>
      </c>
      <c r="G31" s="191">
        <v>33.700000000000003</v>
      </c>
      <c r="H31" s="192"/>
      <c r="I31" s="193"/>
      <c r="J31" s="194"/>
      <c r="K31" s="165">
        <f t="shared" si="216"/>
        <v>2.9700000000000001E-2</v>
      </c>
      <c r="L31" s="166">
        <f t="shared" si="217"/>
        <v>3502.88</v>
      </c>
      <c r="M31" s="167">
        <f t="shared" si="218"/>
        <v>109184.8</v>
      </c>
      <c r="N31" s="167"/>
      <c r="O31" s="167">
        <f t="shared" si="219"/>
        <v>8757.2000000000007</v>
      </c>
      <c r="P31" s="168"/>
      <c r="Q31" s="167">
        <f t="shared" si="220"/>
        <v>117942</v>
      </c>
      <c r="R31" s="169">
        <f t="shared" si="221"/>
        <v>0</v>
      </c>
      <c r="S31" s="167">
        <f t="shared" si="222"/>
        <v>0</v>
      </c>
      <c r="T31" s="167">
        <f t="shared" si="223"/>
        <v>0</v>
      </c>
      <c r="U31" s="167">
        <f t="shared" si="224"/>
        <v>0</v>
      </c>
      <c r="V31" s="167">
        <f t="shared" si="225"/>
        <v>117942</v>
      </c>
      <c r="W31" s="167">
        <f t="shared" si="226"/>
        <v>117942</v>
      </c>
      <c r="X31" s="167">
        <f t="shared" si="227"/>
        <v>3502.88</v>
      </c>
      <c r="Y31" s="167">
        <f t="shared" si="228"/>
        <v>3502.88</v>
      </c>
      <c r="Z31" s="167">
        <f t="shared" si="229"/>
        <v>105681.92</v>
      </c>
      <c r="AA31" s="167">
        <f t="shared" si="230"/>
        <v>105681.92</v>
      </c>
      <c r="AB31" s="170">
        <f t="shared" si="231"/>
        <v>12260.080000000002</v>
      </c>
      <c r="AC31" s="167">
        <f t="shared" si="232"/>
        <v>0</v>
      </c>
      <c r="AD31" s="171">
        <f t="shared" si="233"/>
        <v>0</v>
      </c>
      <c r="AE31" s="169">
        <f t="shared" si="234"/>
        <v>0</v>
      </c>
      <c r="AF31" s="167">
        <f t="shared" si="235"/>
        <v>0</v>
      </c>
      <c r="AG31" s="167">
        <f t="shared" si="114"/>
        <v>0</v>
      </c>
      <c r="AH31" s="167">
        <f t="shared" si="236"/>
        <v>0</v>
      </c>
      <c r="AI31" s="167">
        <f t="shared" si="116"/>
        <v>117942</v>
      </c>
      <c r="AJ31" s="167">
        <f t="shared" si="237"/>
        <v>117942</v>
      </c>
      <c r="AK31" s="167">
        <f t="shared" si="118"/>
        <v>3502.88</v>
      </c>
      <c r="AL31" s="167">
        <f t="shared" si="238"/>
        <v>3502.88</v>
      </c>
      <c r="AM31" s="167">
        <f t="shared" si="120"/>
        <v>102179.04</v>
      </c>
      <c r="AN31" s="167">
        <f t="shared" si="239"/>
        <v>102179.04</v>
      </c>
      <c r="AO31" s="170">
        <f t="shared" si="122"/>
        <v>15762.960000000003</v>
      </c>
      <c r="AP31" s="167">
        <f t="shared" si="123"/>
        <v>0</v>
      </c>
      <c r="AQ31" s="171">
        <f t="shared" si="124"/>
        <v>0</v>
      </c>
      <c r="AR31" s="169">
        <f t="shared" si="234"/>
        <v>0</v>
      </c>
      <c r="AS31" s="167">
        <f t="shared" si="240"/>
        <v>0</v>
      </c>
      <c r="AT31" s="167">
        <f t="shared" si="127"/>
        <v>0</v>
      </c>
      <c r="AU31" s="167">
        <f t="shared" si="241"/>
        <v>0</v>
      </c>
      <c r="AV31" s="167">
        <f t="shared" si="129"/>
        <v>117942</v>
      </c>
      <c r="AW31" s="167">
        <f t="shared" si="242"/>
        <v>117942</v>
      </c>
      <c r="AX31" s="167">
        <f t="shared" si="131"/>
        <v>3502.88</v>
      </c>
      <c r="AY31" s="167">
        <f t="shared" si="243"/>
        <v>3502.88</v>
      </c>
      <c r="AZ31" s="167">
        <f t="shared" si="133"/>
        <v>98676.159999999989</v>
      </c>
      <c r="BA31" s="167">
        <f t="shared" si="244"/>
        <v>98676.159999999989</v>
      </c>
      <c r="BB31" s="170">
        <f t="shared" si="135"/>
        <v>19265.840000000004</v>
      </c>
      <c r="BC31" s="167">
        <f t="shared" si="136"/>
        <v>0</v>
      </c>
      <c r="BD31" s="171">
        <f t="shared" si="137"/>
        <v>0</v>
      </c>
      <c r="BE31" s="169">
        <f t="shared" si="234"/>
        <v>0</v>
      </c>
      <c r="BF31" s="167">
        <f t="shared" si="245"/>
        <v>0</v>
      </c>
      <c r="BG31" s="167">
        <f t="shared" si="140"/>
        <v>0</v>
      </c>
      <c r="BH31" s="167">
        <f t="shared" si="246"/>
        <v>0</v>
      </c>
      <c r="BI31" s="167">
        <f t="shared" si="142"/>
        <v>117942</v>
      </c>
      <c r="BJ31" s="167">
        <f t="shared" si="247"/>
        <v>117942</v>
      </c>
      <c r="BK31" s="167">
        <f t="shared" si="144"/>
        <v>3502.88</v>
      </c>
      <c r="BL31" s="167">
        <f t="shared" si="248"/>
        <v>3502.88</v>
      </c>
      <c r="BM31" s="167">
        <f t="shared" si="146"/>
        <v>95173.279999999984</v>
      </c>
      <c r="BN31" s="167">
        <f t="shared" si="249"/>
        <v>95173.279999999984</v>
      </c>
      <c r="BO31" s="170">
        <f t="shared" si="148"/>
        <v>22768.720000000005</v>
      </c>
      <c r="BP31" s="167">
        <f t="shared" si="149"/>
        <v>0</v>
      </c>
      <c r="BQ31" s="171">
        <f t="shared" si="150"/>
        <v>0</v>
      </c>
      <c r="BR31" s="169">
        <f t="shared" si="234"/>
        <v>0</v>
      </c>
      <c r="BS31" s="167">
        <f t="shared" si="250"/>
        <v>0</v>
      </c>
      <c r="BT31" s="167">
        <f t="shared" si="153"/>
        <v>0</v>
      </c>
      <c r="BU31" s="167">
        <f t="shared" si="251"/>
        <v>0</v>
      </c>
      <c r="BV31" s="167">
        <f t="shared" si="155"/>
        <v>117942</v>
      </c>
      <c r="BW31" s="167">
        <f t="shared" si="252"/>
        <v>117942</v>
      </c>
      <c r="BX31" s="167">
        <f t="shared" si="157"/>
        <v>3502.88</v>
      </c>
      <c r="BY31" s="167">
        <f t="shared" si="253"/>
        <v>3502.88</v>
      </c>
      <c r="BZ31" s="167">
        <f t="shared" si="159"/>
        <v>91670.39999999998</v>
      </c>
      <c r="CA31" s="167">
        <f t="shared" si="254"/>
        <v>91670.39999999998</v>
      </c>
      <c r="CB31" s="170">
        <f t="shared" si="161"/>
        <v>26271.600000000006</v>
      </c>
      <c r="CC31" s="167">
        <f t="shared" si="162"/>
        <v>0</v>
      </c>
      <c r="CD31" s="171">
        <f t="shared" si="163"/>
        <v>0</v>
      </c>
      <c r="CE31" s="169">
        <f t="shared" si="234"/>
        <v>0</v>
      </c>
      <c r="CF31" s="167">
        <f t="shared" si="255"/>
        <v>0</v>
      </c>
      <c r="CG31" s="167">
        <f t="shared" si="166"/>
        <v>0</v>
      </c>
      <c r="CH31" s="167">
        <f t="shared" si="256"/>
        <v>0</v>
      </c>
      <c r="CI31" s="167">
        <f t="shared" si="168"/>
        <v>117942</v>
      </c>
      <c r="CJ31" s="167">
        <f t="shared" si="257"/>
        <v>117942</v>
      </c>
      <c r="CK31" s="167">
        <f t="shared" si="170"/>
        <v>3502.88</v>
      </c>
      <c r="CL31" s="167">
        <f t="shared" si="258"/>
        <v>3502.88</v>
      </c>
      <c r="CM31" s="167">
        <f t="shared" si="172"/>
        <v>88167.519999999975</v>
      </c>
      <c r="CN31" s="167">
        <f t="shared" si="259"/>
        <v>88167.519999999975</v>
      </c>
      <c r="CO31" s="170">
        <f t="shared" si="174"/>
        <v>29774.480000000007</v>
      </c>
      <c r="CP31" s="167">
        <f t="shared" si="175"/>
        <v>0</v>
      </c>
      <c r="CQ31" s="171">
        <f t="shared" si="176"/>
        <v>0</v>
      </c>
      <c r="CR31" s="169">
        <f t="shared" si="260"/>
        <v>0</v>
      </c>
      <c r="CS31" s="167">
        <f t="shared" si="261"/>
        <v>0</v>
      </c>
      <c r="CT31" s="167">
        <f t="shared" si="179"/>
        <v>0</v>
      </c>
      <c r="CU31" s="167">
        <f t="shared" si="262"/>
        <v>0</v>
      </c>
      <c r="CV31" s="167">
        <f t="shared" si="181"/>
        <v>117942</v>
      </c>
      <c r="CW31" s="167">
        <f t="shared" si="263"/>
        <v>117942</v>
      </c>
      <c r="CX31" s="167">
        <f t="shared" si="183"/>
        <v>3502.88</v>
      </c>
      <c r="CY31" s="167">
        <f t="shared" si="264"/>
        <v>3502.88</v>
      </c>
      <c r="CZ31" s="167">
        <f t="shared" si="185"/>
        <v>84664.63999999997</v>
      </c>
      <c r="DA31" s="167">
        <f t="shared" si="265"/>
        <v>84664.63999999997</v>
      </c>
      <c r="DB31" s="170">
        <f t="shared" si="187"/>
        <v>33277.360000000008</v>
      </c>
      <c r="DC31" s="167">
        <f t="shared" si="188"/>
        <v>0</v>
      </c>
      <c r="DD31" s="171">
        <f t="shared" si="189"/>
        <v>0</v>
      </c>
      <c r="DE31" s="169">
        <f t="shared" si="260"/>
        <v>0</v>
      </c>
      <c r="DF31" s="167">
        <f t="shared" si="266"/>
        <v>0</v>
      </c>
      <c r="DG31" s="167">
        <f t="shared" si="192"/>
        <v>0</v>
      </c>
      <c r="DH31" s="167">
        <f t="shared" si="267"/>
        <v>0</v>
      </c>
      <c r="DI31" s="167">
        <f t="shared" si="194"/>
        <v>117942</v>
      </c>
      <c r="DJ31" s="167">
        <f t="shared" si="268"/>
        <v>117942</v>
      </c>
      <c r="DK31" s="167">
        <f t="shared" si="196"/>
        <v>3502.88</v>
      </c>
      <c r="DL31" s="167">
        <f t="shared" si="269"/>
        <v>3502.88</v>
      </c>
      <c r="DM31" s="167">
        <f t="shared" si="198"/>
        <v>81161.759999999966</v>
      </c>
      <c r="DN31" s="167">
        <f t="shared" si="270"/>
        <v>81161.759999999966</v>
      </c>
      <c r="DO31" s="170">
        <f t="shared" si="200"/>
        <v>36780.240000000005</v>
      </c>
      <c r="DP31" s="167">
        <f t="shared" si="201"/>
        <v>0</v>
      </c>
      <c r="DQ31" s="171">
        <f t="shared" si="202"/>
        <v>0</v>
      </c>
      <c r="DR31" s="169">
        <f t="shared" si="260"/>
        <v>0</v>
      </c>
      <c r="DS31" s="167">
        <f t="shared" si="271"/>
        <v>0</v>
      </c>
      <c r="DT31" s="167">
        <f t="shared" si="205"/>
        <v>0</v>
      </c>
      <c r="DU31" s="167">
        <f t="shared" si="272"/>
        <v>0</v>
      </c>
      <c r="DV31" s="167">
        <f t="shared" si="207"/>
        <v>117942</v>
      </c>
      <c r="DW31" s="167">
        <f t="shared" si="273"/>
        <v>117942</v>
      </c>
      <c r="DX31" s="167">
        <f t="shared" si="209"/>
        <v>3502.88</v>
      </c>
      <c r="DY31" s="167">
        <f t="shared" si="274"/>
        <v>3502.88</v>
      </c>
      <c r="DZ31" s="167">
        <f t="shared" si="211"/>
        <v>77658.879999999961</v>
      </c>
      <c r="EA31" s="167">
        <f t="shared" si="275"/>
        <v>77658.879999999961</v>
      </c>
      <c r="EB31" s="170">
        <f t="shared" si="213"/>
        <v>40283.120000000003</v>
      </c>
      <c r="EC31" s="167">
        <f t="shared" si="214"/>
        <v>0</v>
      </c>
      <c r="ED31" s="171">
        <f t="shared" si="215"/>
        <v>0</v>
      </c>
    </row>
    <row r="32" spans="1:134" x14ac:dyDescent="0.3">
      <c r="A32" s="196"/>
      <c r="B32" s="186"/>
      <c r="C32" s="189"/>
      <c r="D32" s="188"/>
      <c r="E32" s="189">
        <f>SUM(E7:E31)</f>
        <v>7105203</v>
      </c>
      <c r="F32" s="190"/>
      <c r="G32" s="191"/>
      <c r="H32" s="192"/>
      <c r="I32" s="193"/>
      <c r="J32" s="194"/>
      <c r="K32" s="165">
        <f t="shared" si="216"/>
        <v>0</v>
      </c>
      <c r="L32" s="166">
        <f t="shared" si="217"/>
        <v>0</v>
      </c>
      <c r="M32" s="167">
        <f t="shared" si="218"/>
        <v>0</v>
      </c>
      <c r="N32" s="167"/>
      <c r="O32" s="167">
        <f t="shared" si="219"/>
        <v>0</v>
      </c>
      <c r="P32" s="168"/>
      <c r="Q32" s="167">
        <f t="shared" si="220"/>
        <v>0</v>
      </c>
      <c r="R32" s="169">
        <f t="shared" si="221"/>
        <v>0</v>
      </c>
      <c r="S32" s="167">
        <f t="shared" si="222"/>
        <v>0</v>
      </c>
      <c r="T32" s="167">
        <f t="shared" si="223"/>
        <v>0</v>
      </c>
      <c r="U32" s="167">
        <f t="shared" si="224"/>
        <v>0</v>
      </c>
      <c r="V32" s="167">
        <f t="shared" si="225"/>
        <v>0</v>
      </c>
      <c r="W32" s="167">
        <f t="shared" si="226"/>
        <v>0</v>
      </c>
      <c r="X32" s="167">
        <f t="shared" si="227"/>
        <v>0</v>
      </c>
      <c r="Y32" s="167">
        <f t="shared" si="228"/>
        <v>0</v>
      </c>
      <c r="Z32" s="167">
        <f t="shared" si="229"/>
        <v>0</v>
      </c>
      <c r="AA32" s="167">
        <f t="shared" si="230"/>
        <v>0</v>
      </c>
      <c r="AB32" s="170">
        <f t="shared" si="231"/>
        <v>0</v>
      </c>
      <c r="AC32" s="167">
        <f t="shared" si="232"/>
        <v>0</v>
      </c>
      <c r="AD32" s="171">
        <f t="shared" si="233"/>
        <v>0</v>
      </c>
      <c r="AE32" s="169">
        <f t="shared" si="234"/>
        <v>0</v>
      </c>
      <c r="AF32" s="167">
        <f t="shared" si="235"/>
        <v>0</v>
      </c>
      <c r="AG32" s="167">
        <f t="shared" si="114"/>
        <v>0</v>
      </c>
      <c r="AH32" s="167">
        <f t="shared" si="236"/>
        <v>0</v>
      </c>
      <c r="AI32" s="167">
        <f t="shared" si="116"/>
        <v>0</v>
      </c>
      <c r="AJ32" s="167">
        <f t="shared" si="237"/>
        <v>0</v>
      </c>
      <c r="AK32" s="167">
        <f t="shared" si="118"/>
        <v>0</v>
      </c>
      <c r="AL32" s="167">
        <f t="shared" si="238"/>
        <v>0</v>
      </c>
      <c r="AM32" s="167">
        <f t="shared" si="120"/>
        <v>0</v>
      </c>
      <c r="AN32" s="167">
        <f t="shared" si="239"/>
        <v>0</v>
      </c>
      <c r="AO32" s="170">
        <f t="shared" si="122"/>
        <v>0</v>
      </c>
      <c r="AP32" s="167">
        <f t="shared" si="123"/>
        <v>0</v>
      </c>
      <c r="AQ32" s="171">
        <f t="shared" si="124"/>
        <v>0</v>
      </c>
      <c r="AR32" s="169">
        <f t="shared" si="234"/>
        <v>0</v>
      </c>
      <c r="AS32" s="167">
        <f t="shared" si="240"/>
        <v>0</v>
      </c>
      <c r="AT32" s="167">
        <f t="shared" si="127"/>
        <v>0</v>
      </c>
      <c r="AU32" s="167">
        <f t="shared" si="241"/>
        <v>0</v>
      </c>
      <c r="AV32" s="167">
        <f t="shared" si="129"/>
        <v>0</v>
      </c>
      <c r="AW32" s="167">
        <f t="shared" si="242"/>
        <v>0</v>
      </c>
      <c r="AX32" s="167">
        <f t="shared" si="131"/>
        <v>0</v>
      </c>
      <c r="AY32" s="167">
        <f t="shared" si="243"/>
        <v>0</v>
      </c>
      <c r="AZ32" s="167">
        <f t="shared" si="133"/>
        <v>0</v>
      </c>
      <c r="BA32" s="167">
        <f t="shared" si="244"/>
        <v>0</v>
      </c>
      <c r="BB32" s="170">
        <f t="shared" si="135"/>
        <v>0</v>
      </c>
      <c r="BC32" s="167">
        <f t="shared" si="136"/>
        <v>0</v>
      </c>
      <c r="BD32" s="171">
        <f t="shared" si="137"/>
        <v>0</v>
      </c>
      <c r="BE32" s="169">
        <f t="shared" si="234"/>
        <v>0</v>
      </c>
      <c r="BF32" s="167">
        <f t="shared" si="245"/>
        <v>0</v>
      </c>
      <c r="BG32" s="167">
        <f t="shared" si="140"/>
        <v>0</v>
      </c>
      <c r="BH32" s="167">
        <f t="shared" si="246"/>
        <v>0</v>
      </c>
      <c r="BI32" s="167">
        <f t="shared" si="142"/>
        <v>0</v>
      </c>
      <c r="BJ32" s="167">
        <f t="shared" si="247"/>
        <v>0</v>
      </c>
      <c r="BK32" s="167">
        <f t="shared" si="144"/>
        <v>0</v>
      </c>
      <c r="BL32" s="167">
        <f t="shared" si="248"/>
        <v>0</v>
      </c>
      <c r="BM32" s="167">
        <f t="shared" si="146"/>
        <v>0</v>
      </c>
      <c r="BN32" s="167">
        <f t="shared" si="249"/>
        <v>0</v>
      </c>
      <c r="BO32" s="170">
        <f t="shared" si="148"/>
        <v>0</v>
      </c>
      <c r="BP32" s="167">
        <f t="shared" si="149"/>
        <v>0</v>
      </c>
      <c r="BQ32" s="171">
        <f t="shared" si="150"/>
        <v>0</v>
      </c>
      <c r="BR32" s="169">
        <f t="shared" si="234"/>
        <v>0</v>
      </c>
      <c r="BS32" s="167">
        <f t="shared" si="250"/>
        <v>0</v>
      </c>
      <c r="BT32" s="167">
        <f t="shared" si="153"/>
        <v>0</v>
      </c>
      <c r="BU32" s="167">
        <f t="shared" si="251"/>
        <v>0</v>
      </c>
      <c r="BV32" s="167">
        <f t="shared" si="155"/>
        <v>0</v>
      </c>
      <c r="BW32" s="167">
        <f t="shared" si="252"/>
        <v>0</v>
      </c>
      <c r="BX32" s="167">
        <f t="shared" si="157"/>
        <v>0</v>
      </c>
      <c r="BY32" s="167">
        <f t="shared" si="253"/>
        <v>0</v>
      </c>
      <c r="BZ32" s="167">
        <f t="shared" si="159"/>
        <v>0</v>
      </c>
      <c r="CA32" s="167">
        <f t="shared" si="254"/>
        <v>0</v>
      </c>
      <c r="CB32" s="170">
        <f t="shared" si="161"/>
        <v>0</v>
      </c>
      <c r="CC32" s="167">
        <f t="shared" si="162"/>
        <v>0</v>
      </c>
      <c r="CD32" s="171">
        <f t="shared" si="163"/>
        <v>0</v>
      </c>
      <c r="CE32" s="169">
        <f t="shared" si="234"/>
        <v>0</v>
      </c>
      <c r="CF32" s="167">
        <f t="shared" si="255"/>
        <v>0</v>
      </c>
      <c r="CG32" s="167">
        <f t="shared" si="166"/>
        <v>0</v>
      </c>
      <c r="CH32" s="167">
        <f t="shared" si="256"/>
        <v>0</v>
      </c>
      <c r="CI32" s="167">
        <f t="shared" si="168"/>
        <v>0</v>
      </c>
      <c r="CJ32" s="167">
        <f t="shared" si="257"/>
        <v>0</v>
      </c>
      <c r="CK32" s="167">
        <f t="shared" si="170"/>
        <v>0</v>
      </c>
      <c r="CL32" s="167">
        <f t="shared" si="258"/>
        <v>0</v>
      </c>
      <c r="CM32" s="167">
        <f t="shared" si="172"/>
        <v>0</v>
      </c>
      <c r="CN32" s="167">
        <f t="shared" si="259"/>
        <v>0</v>
      </c>
      <c r="CO32" s="170">
        <f t="shared" si="174"/>
        <v>0</v>
      </c>
      <c r="CP32" s="167">
        <f t="shared" si="175"/>
        <v>0</v>
      </c>
      <c r="CQ32" s="171">
        <f t="shared" si="176"/>
        <v>0</v>
      </c>
      <c r="CR32" s="169">
        <f t="shared" si="260"/>
        <v>0</v>
      </c>
      <c r="CS32" s="167">
        <f t="shared" si="261"/>
        <v>0</v>
      </c>
      <c r="CT32" s="167">
        <f t="shared" si="179"/>
        <v>0</v>
      </c>
      <c r="CU32" s="167">
        <f t="shared" si="262"/>
        <v>0</v>
      </c>
      <c r="CV32" s="167">
        <f t="shared" si="181"/>
        <v>0</v>
      </c>
      <c r="CW32" s="167">
        <f t="shared" si="263"/>
        <v>0</v>
      </c>
      <c r="CX32" s="167">
        <f t="shared" si="183"/>
        <v>0</v>
      </c>
      <c r="CY32" s="167">
        <f t="shared" si="264"/>
        <v>0</v>
      </c>
      <c r="CZ32" s="167">
        <f t="shared" si="185"/>
        <v>0</v>
      </c>
      <c r="DA32" s="167">
        <f t="shared" si="265"/>
        <v>0</v>
      </c>
      <c r="DB32" s="170">
        <f t="shared" si="187"/>
        <v>0</v>
      </c>
      <c r="DC32" s="167">
        <f t="shared" si="188"/>
        <v>0</v>
      </c>
      <c r="DD32" s="171">
        <f t="shared" si="189"/>
        <v>0</v>
      </c>
      <c r="DE32" s="169">
        <f t="shared" si="260"/>
        <v>0</v>
      </c>
      <c r="DF32" s="167">
        <f t="shared" si="266"/>
        <v>0</v>
      </c>
      <c r="DG32" s="167">
        <f t="shared" si="192"/>
        <v>0</v>
      </c>
      <c r="DH32" s="167">
        <f t="shared" si="267"/>
        <v>0</v>
      </c>
      <c r="DI32" s="167">
        <f t="shared" si="194"/>
        <v>0</v>
      </c>
      <c r="DJ32" s="167">
        <f t="shared" si="268"/>
        <v>0</v>
      </c>
      <c r="DK32" s="167">
        <f t="shared" si="196"/>
        <v>0</v>
      </c>
      <c r="DL32" s="167">
        <f t="shared" si="269"/>
        <v>0</v>
      </c>
      <c r="DM32" s="167">
        <f t="shared" si="198"/>
        <v>0</v>
      </c>
      <c r="DN32" s="167">
        <f t="shared" si="270"/>
        <v>0</v>
      </c>
      <c r="DO32" s="170">
        <f t="shared" si="200"/>
        <v>0</v>
      </c>
      <c r="DP32" s="167">
        <f t="shared" si="201"/>
        <v>0</v>
      </c>
      <c r="DQ32" s="171">
        <f t="shared" si="202"/>
        <v>0</v>
      </c>
      <c r="DR32" s="169">
        <f t="shared" si="260"/>
        <v>0</v>
      </c>
      <c r="DS32" s="167">
        <f t="shared" si="271"/>
        <v>0</v>
      </c>
      <c r="DT32" s="167">
        <f t="shared" si="205"/>
        <v>0</v>
      </c>
      <c r="DU32" s="167">
        <f t="shared" si="272"/>
        <v>0</v>
      </c>
      <c r="DV32" s="167">
        <f t="shared" si="207"/>
        <v>0</v>
      </c>
      <c r="DW32" s="167">
        <f t="shared" si="273"/>
        <v>0</v>
      </c>
      <c r="DX32" s="167">
        <f t="shared" si="209"/>
        <v>0</v>
      </c>
      <c r="DY32" s="167">
        <f t="shared" si="274"/>
        <v>0</v>
      </c>
      <c r="DZ32" s="167">
        <f t="shared" si="211"/>
        <v>0</v>
      </c>
      <c r="EA32" s="167">
        <f t="shared" si="275"/>
        <v>0</v>
      </c>
      <c r="EB32" s="170">
        <f t="shared" si="213"/>
        <v>0</v>
      </c>
      <c r="EC32" s="167">
        <f t="shared" si="214"/>
        <v>0</v>
      </c>
      <c r="ED32" s="171">
        <f t="shared" si="215"/>
        <v>0</v>
      </c>
    </row>
    <row r="33" spans="1:134" x14ac:dyDescent="0.3">
      <c r="A33" s="196"/>
      <c r="B33" s="186"/>
      <c r="C33" s="189"/>
      <c r="D33" s="188"/>
      <c r="E33" s="616"/>
      <c r="F33" s="190"/>
      <c r="G33" s="191"/>
      <c r="H33" s="192"/>
      <c r="I33" s="193"/>
      <c r="J33" s="194"/>
      <c r="K33" s="165">
        <f t="shared" si="216"/>
        <v>0</v>
      </c>
      <c r="L33" s="166">
        <f t="shared" si="217"/>
        <v>0</v>
      </c>
      <c r="M33" s="167">
        <f t="shared" si="218"/>
        <v>0</v>
      </c>
      <c r="N33" s="167"/>
      <c r="O33" s="167">
        <f t="shared" si="219"/>
        <v>0</v>
      </c>
      <c r="P33" s="168"/>
      <c r="Q33" s="167">
        <f t="shared" si="220"/>
        <v>0</v>
      </c>
      <c r="R33" s="169">
        <f t="shared" si="221"/>
        <v>0</v>
      </c>
      <c r="S33" s="167">
        <f t="shared" si="222"/>
        <v>0</v>
      </c>
      <c r="T33" s="167">
        <f t="shared" si="223"/>
        <v>0</v>
      </c>
      <c r="U33" s="167">
        <f t="shared" si="224"/>
        <v>0</v>
      </c>
      <c r="V33" s="167">
        <f t="shared" si="225"/>
        <v>0</v>
      </c>
      <c r="W33" s="167">
        <f t="shared" si="226"/>
        <v>0</v>
      </c>
      <c r="X33" s="167">
        <f t="shared" si="227"/>
        <v>0</v>
      </c>
      <c r="Y33" s="167">
        <f t="shared" si="228"/>
        <v>0</v>
      </c>
      <c r="Z33" s="167">
        <f t="shared" si="229"/>
        <v>0</v>
      </c>
      <c r="AA33" s="167">
        <f t="shared" si="230"/>
        <v>0</v>
      </c>
      <c r="AB33" s="170">
        <f t="shared" si="231"/>
        <v>0</v>
      </c>
      <c r="AC33" s="167">
        <f t="shared" si="232"/>
        <v>0</v>
      </c>
      <c r="AD33" s="171">
        <f t="shared" si="233"/>
        <v>0</v>
      </c>
      <c r="AE33" s="169">
        <f t="shared" si="234"/>
        <v>0</v>
      </c>
      <c r="AF33" s="167">
        <f t="shared" si="235"/>
        <v>0</v>
      </c>
      <c r="AG33" s="167">
        <f t="shared" si="114"/>
        <v>0</v>
      </c>
      <c r="AH33" s="167">
        <f t="shared" si="236"/>
        <v>0</v>
      </c>
      <c r="AI33" s="167">
        <f t="shared" si="116"/>
        <v>0</v>
      </c>
      <c r="AJ33" s="167">
        <f t="shared" si="237"/>
        <v>0</v>
      </c>
      <c r="AK33" s="167">
        <f t="shared" si="118"/>
        <v>0</v>
      </c>
      <c r="AL33" s="167">
        <f t="shared" si="238"/>
        <v>0</v>
      </c>
      <c r="AM33" s="167">
        <f t="shared" si="120"/>
        <v>0</v>
      </c>
      <c r="AN33" s="167">
        <f t="shared" si="239"/>
        <v>0</v>
      </c>
      <c r="AO33" s="170">
        <f t="shared" si="122"/>
        <v>0</v>
      </c>
      <c r="AP33" s="167">
        <f t="shared" si="123"/>
        <v>0</v>
      </c>
      <c r="AQ33" s="171">
        <f t="shared" si="124"/>
        <v>0</v>
      </c>
      <c r="AR33" s="169">
        <f t="shared" si="234"/>
        <v>0</v>
      </c>
      <c r="AS33" s="167">
        <f t="shared" si="240"/>
        <v>0</v>
      </c>
      <c r="AT33" s="167">
        <f t="shared" si="127"/>
        <v>0</v>
      </c>
      <c r="AU33" s="167">
        <f t="shared" si="241"/>
        <v>0</v>
      </c>
      <c r="AV33" s="167">
        <f t="shared" si="129"/>
        <v>0</v>
      </c>
      <c r="AW33" s="167">
        <f t="shared" si="242"/>
        <v>0</v>
      </c>
      <c r="AX33" s="167">
        <f t="shared" si="131"/>
        <v>0</v>
      </c>
      <c r="AY33" s="167">
        <f t="shared" si="243"/>
        <v>0</v>
      </c>
      <c r="AZ33" s="167">
        <f t="shared" si="133"/>
        <v>0</v>
      </c>
      <c r="BA33" s="167">
        <f t="shared" si="244"/>
        <v>0</v>
      </c>
      <c r="BB33" s="170">
        <f t="shared" si="135"/>
        <v>0</v>
      </c>
      <c r="BC33" s="167">
        <f t="shared" si="136"/>
        <v>0</v>
      </c>
      <c r="BD33" s="171">
        <f t="shared" si="137"/>
        <v>0</v>
      </c>
      <c r="BE33" s="169">
        <f t="shared" si="234"/>
        <v>0</v>
      </c>
      <c r="BF33" s="167">
        <f t="shared" si="245"/>
        <v>0</v>
      </c>
      <c r="BG33" s="167">
        <f t="shared" si="140"/>
        <v>0</v>
      </c>
      <c r="BH33" s="167">
        <f t="shared" si="246"/>
        <v>0</v>
      </c>
      <c r="BI33" s="167">
        <f t="shared" si="142"/>
        <v>0</v>
      </c>
      <c r="BJ33" s="167">
        <f t="shared" si="247"/>
        <v>0</v>
      </c>
      <c r="BK33" s="167">
        <f t="shared" si="144"/>
        <v>0</v>
      </c>
      <c r="BL33" s="167">
        <f t="shared" si="248"/>
        <v>0</v>
      </c>
      <c r="BM33" s="167">
        <f t="shared" si="146"/>
        <v>0</v>
      </c>
      <c r="BN33" s="167">
        <f t="shared" si="249"/>
        <v>0</v>
      </c>
      <c r="BO33" s="170">
        <f t="shared" si="148"/>
        <v>0</v>
      </c>
      <c r="BP33" s="167">
        <f t="shared" si="149"/>
        <v>0</v>
      </c>
      <c r="BQ33" s="171">
        <f t="shared" si="150"/>
        <v>0</v>
      </c>
      <c r="BR33" s="169">
        <f t="shared" si="234"/>
        <v>0</v>
      </c>
      <c r="BS33" s="167">
        <f t="shared" si="250"/>
        <v>0</v>
      </c>
      <c r="BT33" s="167">
        <f t="shared" si="153"/>
        <v>0</v>
      </c>
      <c r="BU33" s="167">
        <f t="shared" si="251"/>
        <v>0</v>
      </c>
      <c r="BV33" s="167">
        <f t="shared" si="155"/>
        <v>0</v>
      </c>
      <c r="BW33" s="167">
        <f t="shared" si="252"/>
        <v>0</v>
      </c>
      <c r="BX33" s="167">
        <f t="shared" si="157"/>
        <v>0</v>
      </c>
      <c r="BY33" s="167">
        <f t="shared" si="253"/>
        <v>0</v>
      </c>
      <c r="BZ33" s="167">
        <f t="shared" si="159"/>
        <v>0</v>
      </c>
      <c r="CA33" s="167">
        <f t="shared" si="254"/>
        <v>0</v>
      </c>
      <c r="CB33" s="170">
        <f t="shared" si="161"/>
        <v>0</v>
      </c>
      <c r="CC33" s="167">
        <f t="shared" si="162"/>
        <v>0</v>
      </c>
      <c r="CD33" s="171">
        <f t="shared" si="163"/>
        <v>0</v>
      </c>
      <c r="CE33" s="169">
        <f t="shared" si="234"/>
        <v>0</v>
      </c>
      <c r="CF33" s="167">
        <f t="shared" si="255"/>
        <v>0</v>
      </c>
      <c r="CG33" s="167">
        <f t="shared" si="166"/>
        <v>0</v>
      </c>
      <c r="CH33" s="167">
        <f t="shared" si="256"/>
        <v>0</v>
      </c>
      <c r="CI33" s="167">
        <f t="shared" si="168"/>
        <v>0</v>
      </c>
      <c r="CJ33" s="167">
        <f t="shared" si="257"/>
        <v>0</v>
      </c>
      <c r="CK33" s="167">
        <f t="shared" si="170"/>
        <v>0</v>
      </c>
      <c r="CL33" s="167">
        <f t="shared" si="258"/>
        <v>0</v>
      </c>
      <c r="CM33" s="167">
        <f t="shared" si="172"/>
        <v>0</v>
      </c>
      <c r="CN33" s="167">
        <f t="shared" si="259"/>
        <v>0</v>
      </c>
      <c r="CO33" s="170">
        <f t="shared" si="174"/>
        <v>0</v>
      </c>
      <c r="CP33" s="167">
        <f t="shared" si="175"/>
        <v>0</v>
      </c>
      <c r="CQ33" s="171">
        <f t="shared" si="176"/>
        <v>0</v>
      </c>
      <c r="CR33" s="169">
        <f t="shared" si="260"/>
        <v>0</v>
      </c>
      <c r="CS33" s="167">
        <f t="shared" si="261"/>
        <v>0</v>
      </c>
      <c r="CT33" s="167">
        <f t="shared" si="179"/>
        <v>0</v>
      </c>
      <c r="CU33" s="167">
        <f t="shared" si="262"/>
        <v>0</v>
      </c>
      <c r="CV33" s="167">
        <f t="shared" si="181"/>
        <v>0</v>
      </c>
      <c r="CW33" s="167">
        <f t="shared" si="263"/>
        <v>0</v>
      </c>
      <c r="CX33" s="167">
        <f t="shared" si="183"/>
        <v>0</v>
      </c>
      <c r="CY33" s="167">
        <f t="shared" si="264"/>
        <v>0</v>
      </c>
      <c r="CZ33" s="167">
        <f t="shared" si="185"/>
        <v>0</v>
      </c>
      <c r="DA33" s="167">
        <f t="shared" si="265"/>
        <v>0</v>
      </c>
      <c r="DB33" s="170">
        <f t="shared" si="187"/>
        <v>0</v>
      </c>
      <c r="DC33" s="167">
        <f t="shared" si="188"/>
        <v>0</v>
      </c>
      <c r="DD33" s="171">
        <f t="shared" si="189"/>
        <v>0</v>
      </c>
      <c r="DE33" s="169">
        <f t="shared" si="260"/>
        <v>0</v>
      </c>
      <c r="DF33" s="167">
        <f t="shared" si="266"/>
        <v>0</v>
      </c>
      <c r="DG33" s="167">
        <f t="shared" si="192"/>
        <v>0</v>
      </c>
      <c r="DH33" s="167">
        <f t="shared" si="267"/>
        <v>0</v>
      </c>
      <c r="DI33" s="167">
        <f t="shared" si="194"/>
        <v>0</v>
      </c>
      <c r="DJ33" s="167">
        <f t="shared" si="268"/>
        <v>0</v>
      </c>
      <c r="DK33" s="167">
        <f t="shared" si="196"/>
        <v>0</v>
      </c>
      <c r="DL33" s="167">
        <f t="shared" si="269"/>
        <v>0</v>
      </c>
      <c r="DM33" s="167">
        <f t="shared" si="198"/>
        <v>0</v>
      </c>
      <c r="DN33" s="167">
        <f t="shared" si="270"/>
        <v>0</v>
      </c>
      <c r="DO33" s="170">
        <f t="shared" si="200"/>
        <v>0</v>
      </c>
      <c r="DP33" s="167">
        <f t="shared" si="201"/>
        <v>0</v>
      </c>
      <c r="DQ33" s="171">
        <f t="shared" si="202"/>
        <v>0</v>
      </c>
      <c r="DR33" s="169">
        <f t="shared" si="260"/>
        <v>0</v>
      </c>
      <c r="DS33" s="167">
        <f t="shared" si="271"/>
        <v>0</v>
      </c>
      <c r="DT33" s="167">
        <f t="shared" si="205"/>
        <v>0</v>
      </c>
      <c r="DU33" s="167">
        <f t="shared" si="272"/>
        <v>0</v>
      </c>
      <c r="DV33" s="167">
        <f t="shared" si="207"/>
        <v>0</v>
      </c>
      <c r="DW33" s="167">
        <f t="shared" si="273"/>
        <v>0</v>
      </c>
      <c r="DX33" s="167">
        <f t="shared" si="209"/>
        <v>0</v>
      </c>
      <c r="DY33" s="167">
        <f t="shared" si="274"/>
        <v>0</v>
      </c>
      <c r="DZ33" s="167">
        <f t="shared" si="211"/>
        <v>0</v>
      </c>
      <c r="EA33" s="167">
        <f t="shared" si="275"/>
        <v>0</v>
      </c>
      <c r="EB33" s="170">
        <f t="shared" si="213"/>
        <v>0</v>
      </c>
      <c r="EC33" s="167">
        <f t="shared" si="214"/>
        <v>0</v>
      </c>
      <c r="ED33" s="171">
        <f t="shared" si="215"/>
        <v>0</v>
      </c>
    </row>
    <row r="34" spans="1:134" x14ac:dyDescent="0.3">
      <c r="A34" s="196"/>
      <c r="B34" s="196"/>
      <c r="C34" s="616"/>
      <c r="D34" s="188"/>
      <c r="E34" s="189"/>
      <c r="F34" s="190"/>
      <c r="G34" s="191"/>
      <c r="H34" s="192"/>
      <c r="I34" s="193"/>
      <c r="J34" s="194"/>
      <c r="K34" s="165">
        <f t="shared" si="216"/>
        <v>0</v>
      </c>
      <c r="L34" s="166">
        <f t="shared" si="217"/>
        <v>0</v>
      </c>
      <c r="M34" s="167">
        <f t="shared" si="218"/>
        <v>0</v>
      </c>
      <c r="N34" s="167"/>
      <c r="O34" s="167">
        <f t="shared" si="219"/>
        <v>0</v>
      </c>
      <c r="P34" s="168"/>
      <c r="Q34" s="167">
        <f t="shared" si="220"/>
        <v>0</v>
      </c>
      <c r="R34" s="169">
        <f t="shared" si="221"/>
        <v>0</v>
      </c>
      <c r="S34" s="167">
        <f t="shared" si="222"/>
        <v>0</v>
      </c>
      <c r="T34" s="167">
        <f t="shared" si="223"/>
        <v>0</v>
      </c>
      <c r="U34" s="167">
        <f t="shared" si="224"/>
        <v>0</v>
      </c>
      <c r="V34" s="167">
        <f t="shared" si="225"/>
        <v>0</v>
      </c>
      <c r="W34" s="167">
        <f t="shared" si="226"/>
        <v>0</v>
      </c>
      <c r="X34" s="167">
        <f t="shared" si="227"/>
        <v>0</v>
      </c>
      <c r="Y34" s="167">
        <f t="shared" si="228"/>
        <v>0</v>
      </c>
      <c r="Z34" s="167">
        <f t="shared" si="229"/>
        <v>0</v>
      </c>
      <c r="AA34" s="167">
        <f t="shared" si="230"/>
        <v>0</v>
      </c>
      <c r="AB34" s="170">
        <f t="shared" si="231"/>
        <v>0</v>
      </c>
      <c r="AC34" s="167">
        <f t="shared" si="232"/>
        <v>0</v>
      </c>
      <c r="AD34" s="171">
        <f t="shared" si="233"/>
        <v>0</v>
      </c>
      <c r="AE34" s="169">
        <f t="shared" si="234"/>
        <v>0</v>
      </c>
      <c r="AF34" s="167">
        <f t="shared" si="235"/>
        <v>0</v>
      </c>
      <c r="AG34" s="167">
        <f t="shared" si="114"/>
        <v>0</v>
      </c>
      <c r="AH34" s="167">
        <f t="shared" si="236"/>
        <v>0</v>
      </c>
      <c r="AI34" s="167">
        <f t="shared" si="116"/>
        <v>0</v>
      </c>
      <c r="AJ34" s="167">
        <f t="shared" si="237"/>
        <v>0</v>
      </c>
      <c r="AK34" s="167">
        <f t="shared" si="118"/>
        <v>0</v>
      </c>
      <c r="AL34" s="167">
        <f t="shared" si="238"/>
        <v>0</v>
      </c>
      <c r="AM34" s="167">
        <f t="shared" si="120"/>
        <v>0</v>
      </c>
      <c r="AN34" s="167">
        <f t="shared" si="239"/>
        <v>0</v>
      </c>
      <c r="AO34" s="170">
        <f t="shared" si="122"/>
        <v>0</v>
      </c>
      <c r="AP34" s="167">
        <f t="shared" si="123"/>
        <v>0</v>
      </c>
      <c r="AQ34" s="171">
        <f t="shared" si="124"/>
        <v>0</v>
      </c>
      <c r="AR34" s="169">
        <f t="shared" si="234"/>
        <v>0</v>
      </c>
      <c r="AS34" s="167">
        <f t="shared" si="240"/>
        <v>0</v>
      </c>
      <c r="AT34" s="167">
        <f t="shared" si="127"/>
        <v>0</v>
      </c>
      <c r="AU34" s="167">
        <f t="shared" si="241"/>
        <v>0</v>
      </c>
      <c r="AV34" s="167">
        <f t="shared" si="129"/>
        <v>0</v>
      </c>
      <c r="AW34" s="167">
        <f t="shared" si="242"/>
        <v>0</v>
      </c>
      <c r="AX34" s="167">
        <f t="shared" si="131"/>
        <v>0</v>
      </c>
      <c r="AY34" s="167">
        <f t="shared" si="243"/>
        <v>0</v>
      </c>
      <c r="AZ34" s="167">
        <f t="shared" si="133"/>
        <v>0</v>
      </c>
      <c r="BA34" s="167">
        <f t="shared" si="244"/>
        <v>0</v>
      </c>
      <c r="BB34" s="170">
        <f t="shared" si="135"/>
        <v>0</v>
      </c>
      <c r="BC34" s="167">
        <f t="shared" si="136"/>
        <v>0</v>
      </c>
      <c r="BD34" s="171">
        <f t="shared" si="137"/>
        <v>0</v>
      </c>
      <c r="BE34" s="169">
        <f t="shared" si="234"/>
        <v>0</v>
      </c>
      <c r="BF34" s="167">
        <f t="shared" si="245"/>
        <v>0</v>
      </c>
      <c r="BG34" s="167">
        <f t="shared" si="140"/>
        <v>0</v>
      </c>
      <c r="BH34" s="167">
        <f t="shared" si="246"/>
        <v>0</v>
      </c>
      <c r="BI34" s="167">
        <f t="shared" si="142"/>
        <v>0</v>
      </c>
      <c r="BJ34" s="167">
        <f t="shared" si="247"/>
        <v>0</v>
      </c>
      <c r="BK34" s="167">
        <f t="shared" si="144"/>
        <v>0</v>
      </c>
      <c r="BL34" s="167">
        <f t="shared" si="248"/>
        <v>0</v>
      </c>
      <c r="BM34" s="167">
        <f t="shared" si="146"/>
        <v>0</v>
      </c>
      <c r="BN34" s="167">
        <f t="shared" si="249"/>
        <v>0</v>
      </c>
      <c r="BO34" s="170">
        <f t="shared" si="148"/>
        <v>0</v>
      </c>
      <c r="BP34" s="167">
        <f t="shared" si="149"/>
        <v>0</v>
      </c>
      <c r="BQ34" s="171">
        <f t="shared" si="150"/>
        <v>0</v>
      </c>
      <c r="BR34" s="169">
        <f t="shared" si="234"/>
        <v>0</v>
      </c>
      <c r="BS34" s="167">
        <f t="shared" si="250"/>
        <v>0</v>
      </c>
      <c r="BT34" s="167">
        <f t="shared" si="153"/>
        <v>0</v>
      </c>
      <c r="BU34" s="167">
        <f t="shared" si="251"/>
        <v>0</v>
      </c>
      <c r="BV34" s="167">
        <f t="shared" si="155"/>
        <v>0</v>
      </c>
      <c r="BW34" s="167">
        <f t="shared" si="252"/>
        <v>0</v>
      </c>
      <c r="BX34" s="167">
        <f t="shared" si="157"/>
        <v>0</v>
      </c>
      <c r="BY34" s="167">
        <f t="shared" si="253"/>
        <v>0</v>
      </c>
      <c r="BZ34" s="167">
        <f t="shared" si="159"/>
        <v>0</v>
      </c>
      <c r="CA34" s="167">
        <f t="shared" si="254"/>
        <v>0</v>
      </c>
      <c r="CB34" s="170">
        <f t="shared" si="161"/>
        <v>0</v>
      </c>
      <c r="CC34" s="167">
        <f t="shared" si="162"/>
        <v>0</v>
      </c>
      <c r="CD34" s="171">
        <f t="shared" si="163"/>
        <v>0</v>
      </c>
      <c r="CE34" s="169">
        <f t="shared" si="234"/>
        <v>0</v>
      </c>
      <c r="CF34" s="167">
        <f t="shared" si="255"/>
        <v>0</v>
      </c>
      <c r="CG34" s="167">
        <f t="shared" si="166"/>
        <v>0</v>
      </c>
      <c r="CH34" s="167">
        <f t="shared" si="256"/>
        <v>0</v>
      </c>
      <c r="CI34" s="167">
        <f t="shared" si="168"/>
        <v>0</v>
      </c>
      <c r="CJ34" s="167">
        <f t="shared" si="257"/>
        <v>0</v>
      </c>
      <c r="CK34" s="167">
        <f t="shared" si="170"/>
        <v>0</v>
      </c>
      <c r="CL34" s="167">
        <f t="shared" si="258"/>
        <v>0</v>
      </c>
      <c r="CM34" s="167">
        <f t="shared" si="172"/>
        <v>0</v>
      </c>
      <c r="CN34" s="167">
        <f t="shared" si="259"/>
        <v>0</v>
      </c>
      <c r="CO34" s="170">
        <f t="shared" si="174"/>
        <v>0</v>
      </c>
      <c r="CP34" s="167">
        <f t="shared" si="175"/>
        <v>0</v>
      </c>
      <c r="CQ34" s="171">
        <f t="shared" si="176"/>
        <v>0</v>
      </c>
      <c r="CR34" s="169">
        <f t="shared" si="260"/>
        <v>0</v>
      </c>
      <c r="CS34" s="167">
        <f t="shared" si="261"/>
        <v>0</v>
      </c>
      <c r="CT34" s="167">
        <f t="shared" si="179"/>
        <v>0</v>
      </c>
      <c r="CU34" s="167">
        <f t="shared" si="262"/>
        <v>0</v>
      </c>
      <c r="CV34" s="167">
        <f t="shared" si="181"/>
        <v>0</v>
      </c>
      <c r="CW34" s="167">
        <f t="shared" si="263"/>
        <v>0</v>
      </c>
      <c r="CX34" s="167">
        <f t="shared" si="183"/>
        <v>0</v>
      </c>
      <c r="CY34" s="167">
        <f t="shared" si="264"/>
        <v>0</v>
      </c>
      <c r="CZ34" s="167">
        <f t="shared" si="185"/>
        <v>0</v>
      </c>
      <c r="DA34" s="167">
        <f t="shared" si="265"/>
        <v>0</v>
      </c>
      <c r="DB34" s="170">
        <f t="shared" si="187"/>
        <v>0</v>
      </c>
      <c r="DC34" s="167">
        <f t="shared" si="188"/>
        <v>0</v>
      </c>
      <c r="DD34" s="171">
        <f t="shared" si="189"/>
        <v>0</v>
      </c>
      <c r="DE34" s="169">
        <f t="shared" si="260"/>
        <v>0</v>
      </c>
      <c r="DF34" s="167">
        <f t="shared" si="266"/>
        <v>0</v>
      </c>
      <c r="DG34" s="167">
        <f t="shared" si="192"/>
        <v>0</v>
      </c>
      <c r="DH34" s="167">
        <f t="shared" si="267"/>
        <v>0</v>
      </c>
      <c r="DI34" s="167">
        <f t="shared" si="194"/>
        <v>0</v>
      </c>
      <c r="DJ34" s="167">
        <f t="shared" si="268"/>
        <v>0</v>
      </c>
      <c r="DK34" s="167">
        <f t="shared" si="196"/>
        <v>0</v>
      </c>
      <c r="DL34" s="167">
        <f t="shared" si="269"/>
        <v>0</v>
      </c>
      <c r="DM34" s="167">
        <f t="shared" si="198"/>
        <v>0</v>
      </c>
      <c r="DN34" s="167">
        <f t="shared" si="270"/>
        <v>0</v>
      </c>
      <c r="DO34" s="170">
        <f t="shared" si="200"/>
        <v>0</v>
      </c>
      <c r="DP34" s="167">
        <f t="shared" si="201"/>
        <v>0</v>
      </c>
      <c r="DQ34" s="171">
        <f t="shared" si="202"/>
        <v>0</v>
      </c>
      <c r="DR34" s="169">
        <f t="shared" si="260"/>
        <v>0</v>
      </c>
      <c r="DS34" s="167">
        <f t="shared" si="271"/>
        <v>0</v>
      </c>
      <c r="DT34" s="167">
        <f t="shared" si="205"/>
        <v>0</v>
      </c>
      <c r="DU34" s="167">
        <f t="shared" si="272"/>
        <v>0</v>
      </c>
      <c r="DV34" s="167">
        <f t="shared" si="207"/>
        <v>0</v>
      </c>
      <c r="DW34" s="167">
        <f t="shared" si="273"/>
        <v>0</v>
      </c>
      <c r="DX34" s="167">
        <f t="shared" si="209"/>
        <v>0</v>
      </c>
      <c r="DY34" s="167">
        <f t="shared" si="274"/>
        <v>0</v>
      </c>
      <c r="DZ34" s="167">
        <f t="shared" si="211"/>
        <v>0</v>
      </c>
      <c r="EA34" s="167">
        <f t="shared" si="275"/>
        <v>0</v>
      </c>
      <c r="EB34" s="170">
        <f t="shared" si="213"/>
        <v>0</v>
      </c>
      <c r="EC34" s="167">
        <f t="shared" si="214"/>
        <v>0</v>
      </c>
      <c r="ED34" s="171">
        <f t="shared" si="215"/>
        <v>0</v>
      </c>
    </row>
    <row r="35" spans="1:134" x14ac:dyDescent="0.3">
      <c r="A35" s="196"/>
      <c r="B35" s="196"/>
      <c r="C35" s="196"/>
      <c r="D35" s="188"/>
      <c r="E35" s="189"/>
      <c r="F35" s="190"/>
      <c r="G35" s="191"/>
      <c r="H35" s="192"/>
      <c r="I35" s="193"/>
      <c r="J35" s="194"/>
      <c r="K35" s="165">
        <f t="shared" si="216"/>
        <v>0</v>
      </c>
      <c r="L35" s="166">
        <f t="shared" si="217"/>
        <v>0</v>
      </c>
      <c r="M35" s="167">
        <f t="shared" si="218"/>
        <v>0</v>
      </c>
      <c r="N35" s="167"/>
      <c r="O35" s="167">
        <f t="shared" si="219"/>
        <v>0</v>
      </c>
      <c r="P35" s="168"/>
      <c r="Q35" s="167">
        <f t="shared" si="220"/>
        <v>0</v>
      </c>
      <c r="R35" s="169">
        <f t="shared" si="221"/>
        <v>0</v>
      </c>
      <c r="S35" s="167">
        <f t="shared" si="222"/>
        <v>0</v>
      </c>
      <c r="T35" s="167">
        <f t="shared" si="223"/>
        <v>0</v>
      </c>
      <c r="U35" s="167">
        <f t="shared" si="224"/>
        <v>0</v>
      </c>
      <c r="V35" s="167">
        <f t="shared" si="225"/>
        <v>0</v>
      </c>
      <c r="W35" s="167">
        <f t="shared" si="226"/>
        <v>0</v>
      </c>
      <c r="X35" s="167">
        <f t="shared" si="227"/>
        <v>0</v>
      </c>
      <c r="Y35" s="167">
        <f t="shared" si="228"/>
        <v>0</v>
      </c>
      <c r="Z35" s="167">
        <f t="shared" si="229"/>
        <v>0</v>
      </c>
      <c r="AA35" s="167">
        <f t="shared" si="230"/>
        <v>0</v>
      </c>
      <c r="AB35" s="170">
        <f t="shared" si="231"/>
        <v>0</v>
      </c>
      <c r="AC35" s="167">
        <f t="shared" si="232"/>
        <v>0</v>
      </c>
      <c r="AD35" s="171">
        <f t="shared" si="233"/>
        <v>0</v>
      </c>
      <c r="AE35" s="169">
        <f t="shared" si="234"/>
        <v>0</v>
      </c>
      <c r="AF35" s="167">
        <f t="shared" si="235"/>
        <v>0</v>
      </c>
      <c r="AG35" s="167">
        <f t="shared" si="114"/>
        <v>0</v>
      </c>
      <c r="AH35" s="167">
        <f t="shared" si="236"/>
        <v>0</v>
      </c>
      <c r="AI35" s="167">
        <f t="shared" si="116"/>
        <v>0</v>
      </c>
      <c r="AJ35" s="167">
        <f t="shared" si="237"/>
        <v>0</v>
      </c>
      <c r="AK35" s="167">
        <f t="shared" si="118"/>
        <v>0</v>
      </c>
      <c r="AL35" s="167">
        <f t="shared" si="238"/>
        <v>0</v>
      </c>
      <c r="AM35" s="167">
        <f t="shared" si="120"/>
        <v>0</v>
      </c>
      <c r="AN35" s="167">
        <f t="shared" si="239"/>
        <v>0</v>
      </c>
      <c r="AO35" s="170">
        <f t="shared" si="122"/>
        <v>0</v>
      </c>
      <c r="AP35" s="167">
        <f t="shared" si="123"/>
        <v>0</v>
      </c>
      <c r="AQ35" s="171">
        <f t="shared" si="124"/>
        <v>0</v>
      </c>
      <c r="AR35" s="169">
        <f t="shared" si="234"/>
        <v>0</v>
      </c>
      <c r="AS35" s="167">
        <f t="shared" si="240"/>
        <v>0</v>
      </c>
      <c r="AT35" s="167">
        <f t="shared" si="127"/>
        <v>0</v>
      </c>
      <c r="AU35" s="167">
        <f t="shared" si="241"/>
        <v>0</v>
      </c>
      <c r="AV35" s="167">
        <f t="shared" si="129"/>
        <v>0</v>
      </c>
      <c r="AW35" s="167">
        <f t="shared" si="242"/>
        <v>0</v>
      </c>
      <c r="AX35" s="167">
        <f t="shared" si="131"/>
        <v>0</v>
      </c>
      <c r="AY35" s="167">
        <f t="shared" si="243"/>
        <v>0</v>
      </c>
      <c r="AZ35" s="167">
        <f t="shared" si="133"/>
        <v>0</v>
      </c>
      <c r="BA35" s="167">
        <f t="shared" si="244"/>
        <v>0</v>
      </c>
      <c r="BB35" s="170">
        <f t="shared" si="135"/>
        <v>0</v>
      </c>
      <c r="BC35" s="167">
        <f t="shared" si="136"/>
        <v>0</v>
      </c>
      <c r="BD35" s="171">
        <f t="shared" si="137"/>
        <v>0</v>
      </c>
      <c r="BE35" s="169">
        <f t="shared" si="234"/>
        <v>0</v>
      </c>
      <c r="BF35" s="167">
        <f t="shared" si="245"/>
        <v>0</v>
      </c>
      <c r="BG35" s="167">
        <f t="shared" si="140"/>
        <v>0</v>
      </c>
      <c r="BH35" s="167">
        <f t="shared" si="246"/>
        <v>0</v>
      </c>
      <c r="BI35" s="167">
        <f t="shared" si="142"/>
        <v>0</v>
      </c>
      <c r="BJ35" s="167">
        <f t="shared" si="247"/>
        <v>0</v>
      </c>
      <c r="BK35" s="167">
        <f t="shared" si="144"/>
        <v>0</v>
      </c>
      <c r="BL35" s="167">
        <f t="shared" si="248"/>
        <v>0</v>
      </c>
      <c r="BM35" s="167">
        <f t="shared" si="146"/>
        <v>0</v>
      </c>
      <c r="BN35" s="167">
        <f t="shared" si="249"/>
        <v>0</v>
      </c>
      <c r="BO35" s="170">
        <f t="shared" si="148"/>
        <v>0</v>
      </c>
      <c r="BP35" s="167">
        <f t="shared" si="149"/>
        <v>0</v>
      </c>
      <c r="BQ35" s="171">
        <f t="shared" si="150"/>
        <v>0</v>
      </c>
      <c r="BR35" s="169">
        <f t="shared" si="234"/>
        <v>0</v>
      </c>
      <c r="BS35" s="167">
        <f t="shared" si="250"/>
        <v>0</v>
      </c>
      <c r="BT35" s="167">
        <f t="shared" si="153"/>
        <v>0</v>
      </c>
      <c r="BU35" s="167">
        <f t="shared" si="251"/>
        <v>0</v>
      </c>
      <c r="BV35" s="167">
        <f t="shared" si="155"/>
        <v>0</v>
      </c>
      <c r="BW35" s="167">
        <f t="shared" si="252"/>
        <v>0</v>
      </c>
      <c r="BX35" s="167">
        <f t="shared" si="157"/>
        <v>0</v>
      </c>
      <c r="BY35" s="167">
        <f t="shared" si="253"/>
        <v>0</v>
      </c>
      <c r="BZ35" s="167">
        <f t="shared" si="159"/>
        <v>0</v>
      </c>
      <c r="CA35" s="167">
        <f t="shared" si="254"/>
        <v>0</v>
      </c>
      <c r="CB35" s="170">
        <f t="shared" si="161"/>
        <v>0</v>
      </c>
      <c r="CC35" s="167">
        <f t="shared" si="162"/>
        <v>0</v>
      </c>
      <c r="CD35" s="171">
        <f t="shared" si="163"/>
        <v>0</v>
      </c>
      <c r="CE35" s="169">
        <f t="shared" si="234"/>
        <v>0</v>
      </c>
      <c r="CF35" s="167">
        <f t="shared" si="255"/>
        <v>0</v>
      </c>
      <c r="CG35" s="167">
        <f t="shared" si="166"/>
        <v>0</v>
      </c>
      <c r="CH35" s="167">
        <f t="shared" si="256"/>
        <v>0</v>
      </c>
      <c r="CI35" s="167">
        <f t="shared" si="168"/>
        <v>0</v>
      </c>
      <c r="CJ35" s="167">
        <f t="shared" si="257"/>
        <v>0</v>
      </c>
      <c r="CK35" s="167">
        <f t="shared" si="170"/>
        <v>0</v>
      </c>
      <c r="CL35" s="167">
        <f t="shared" si="258"/>
        <v>0</v>
      </c>
      <c r="CM35" s="167">
        <f t="shared" si="172"/>
        <v>0</v>
      </c>
      <c r="CN35" s="167">
        <f t="shared" si="259"/>
        <v>0</v>
      </c>
      <c r="CO35" s="170">
        <f t="shared" si="174"/>
        <v>0</v>
      </c>
      <c r="CP35" s="167">
        <f t="shared" si="175"/>
        <v>0</v>
      </c>
      <c r="CQ35" s="171">
        <f t="shared" si="176"/>
        <v>0</v>
      </c>
      <c r="CR35" s="169">
        <f t="shared" si="260"/>
        <v>0</v>
      </c>
      <c r="CS35" s="167">
        <f t="shared" si="261"/>
        <v>0</v>
      </c>
      <c r="CT35" s="167">
        <f t="shared" si="179"/>
        <v>0</v>
      </c>
      <c r="CU35" s="167">
        <f t="shared" si="262"/>
        <v>0</v>
      </c>
      <c r="CV35" s="167">
        <f t="shared" si="181"/>
        <v>0</v>
      </c>
      <c r="CW35" s="167">
        <f t="shared" si="263"/>
        <v>0</v>
      </c>
      <c r="CX35" s="167">
        <f t="shared" si="183"/>
        <v>0</v>
      </c>
      <c r="CY35" s="167">
        <f t="shared" si="264"/>
        <v>0</v>
      </c>
      <c r="CZ35" s="167">
        <f t="shared" si="185"/>
        <v>0</v>
      </c>
      <c r="DA35" s="167">
        <f t="shared" si="265"/>
        <v>0</v>
      </c>
      <c r="DB35" s="170">
        <f t="shared" si="187"/>
        <v>0</v>
      </c>
      <c r="DC35" s="167">
        <f t="shared" si="188"/>
        <v>0</v>
      </c>
      <c r="DD35" s="171">
        <f t="shared" si="189"/>
        <v>0</v>
      </c>
      <c r="DE35" s="169">
        <f t="shared" si="260"/>
        <v>0</v>
      </c>
      <c r="DF35" s="167">
        <f t="shared" si="266"/>
        <v>0</v>
      </c>
      <c r="DG35" s="167">
        <f t="shared" si="192"/>
        <v>0</v>
      </c>
      <c r="DH35" s="167">
        <f t="shared" si="267"/>
        <v>0</v>
      </c>
      <c r="DI35" s="167">
        <f t="shared" si="194"/>
        <v>0</v>
      </c>
      <c r="DJ35" s="167">
        <f t="shared" si="268"/>
        <v>0</v>
      </c>
      <c r="DK35" s="167">
        <f t="shared" si="196"/>
        <v>0</v>
      </c>
      <c r="DL35" s="167">
        <f t="shared" si="269"/>
        <v>0</v>
      </c>
      <c r="DM35" s="167">
        <f t="shared" si="198"/>
        <v>0</v>
      </c>
      <c r="DN35" s="167">
        <f t="shared" si="270"/>
        <v>0</v>
      </c>
      <c r="DO35" s="170">
        <f t="shared" si="200"/>
        <v>0</v>
      </c>
      <c r="DP35" s="167">
        <f t="shared" si="201"/>
        <v>0</v>
      </c>
      <c r="DQ35" s="171">
        <f t="shared" si="202"/>
        <v>0</v>
      </c>
      <c r="DR35" s="169">
        <f t="shared" si="260"/>
        <v>0</v>
      </c>
      <c r="DS35" s="167">
        <f t="shared" si="271"/>
        <v>0</v>
      </c>
      <c r="DT35" s="167">
        <f t="shared" si="205"/>
        <v>0</v>
      </c>
      <c r="DU35" s="167">
        <f t="shared" si="272"/>
        <v>0</v>
      </c>
      <c r="DV35" s="167">
        <f t="shared" si="207"/>
        <v>0</v>
      </c>
      <c r="DW35" s="167">
        <f t="shared" si="273"/>
        <v>0</v>
      </c>
      <c r="DX35" s="167">
        <f t="shared" si="209"/>
        <v>0</v>
      </c>
      <c r="DY35" s="167">
        <f t="shared" si="274"/>
        <v>0</v>
      </c>
      <c r="DZ35" s="167">
        <f t="shared" si="211"/>
        <v>0</v>
      </c>
      <c r="EA35" s="167">
        <f t="shared" si="275"/>
        <v>0</v>
      </c>
      <c r="EB35" s="170">
        <f t="shared" si="213"/>
        <v>0</v>
      </c>
      <c r="EC35" s="167">
        <f t="shared" si="214"/>
        <v>0</v>
      </c>
      <c r="ED35" s="171">
        <f t="shared" si="215"/>
        <v>0</v>
      </c>
    </row>
    <row r="36" spans="1:134" x14ac:dyDescent="0.3">
      <c r="A36" s="196"/>
      <c r="B36" s="196"/>
      <c r="C36" s="616"/>
      <c r="D36" s="188"/>
      <c r="E36" s="189"/>
      <c r="F36" s="190"/>
      <c r="G36" s="191"/>
      <c r="H36" s="192"/>
      <c r="I36" s="193"/>
      <c r="J36" s="194"/>
      <c r="K36" s="165">
        <f t="shared" si="216"/>
        <v>0</v>
      </c>
      <c r="L36" s="166">
        <f t="shared" si="217"/>
        <v>0</v>
      </c>
      <c r="M36" s="167">
        <f t="shared" si="218"/>
        <v>0</v>
      </c>
      <c r="N36" s="167"/>
      <c r="O36" s="167">
        <f t="shared" si="219"/>
        <v>0</v>
      </c>
      <c r="P36" s="168"/>
      <c r="Q36" s="167">
        <f t="shared" si="220"/>
        <v>0</v>
      </c>
      <c r="R36" s="169">
        <f t="shared" si="221"/>
        <v>0</v>
      </c>
      <c r="S36" s="167">
        <f t="shared" si="222"/>
        <v>0</v>
      </c>
      <c r="T36" s="167">
        <f t="shared" si="223"/>
        <v>0</v>
      </c>
      <c r="U36" s="167">
        <f t="shared" si="224"/>
        <v>0</v>
      </c>
      <c r="V36" s="167">
        <f t="shared" si="225"/>
        <v>0</v>
      </c>
      <c r="W36" s="167">
        <f t="shared" si="226"/>
        <v>0</v>
      </c>
      <c r="X36" s="167">
        <f t="shared" si="227"/>
        <v>0</v>
      </c>
      <c r="Y36" s="167">
        <f t="shared" si="228"/>
        <v>0</v>
      </c>
      <c r="Z36" s="167">
        <f t="shared" si="229"/>
        <v>0</v>
      </c>
      <c r="AA36" s="167">
        <f t="shared" si="230"/>
        <v>0</v>
      </c>
      <c r="AB36" s="170">
        <f t="shared" si="231"/>
        <v>0</v>
      </c>
      <c r="AC36" s="167">
        <f t="shared" si="232"/>
        <v>0</v>
      </c>
      <c r="AD36" s="171">
        <f t="shared" si="233"/>
        <v>0</v>
      </c>
      <c r="AE36" s="169">
        <f t="shared" si="234"/>
        <v>0</v>
      </c>
      <c r="AF36" s="167">
        <f t="shared" si="235"/>
        <v>0</v>
      </c>
      <c r="AG36" s="167">
        <f t="shared" si="114"/>
        <v>0</v>
      </c>
      <c r="AH36" s="167">
        <f t="shared" si="236"/>
        <v>0</v>
      </c>
      <c r="AI36" s="167">
        <f t="shared" si="116"/>
        <v>0</v>
      </c>
      <c r="AJ36" s="167">
        <f t="shared" si="237"/>
        <v>0</v>
      </c>
      <c r="AK36" s="167">
        <f t="shared" si="118"/>
        <v>0</v>
      </c>
      <c r="AL36" s="167">
        <f t="shared" si="238"/>
        <v>0</v>
      </c>
      <c r="AM36" s="167">
        <f t="shared" si="120"/>
        <v>0</v>
      </c>
      <c r="AN36" s="167">
        <f t="shared" si="239"/>
        <v>0</v>
      </c>
      <c r="AO36" s="170">
        <f t="shared" si="122"/>
        <v>0</v>
      </c>
      <c r="AP36" s="167">
        <f t="shared" si="123"/>
        <v>0</v>
      </c>
      <c r="AQ36" s="171">
        <f t="shared" si="124"/>
        <v>0</v>
      </c>
      <c r="AR36" s="169">
        <f t="shared" si="234"/>
        <v>0</v>
      </c>
      <c r="AS36" s="167">
        <f t="shared" si="240"/>
        <v>0</v>
      </c>
      <c r="AT36" s="167">
        <f t="shared" si="127"/>
        <v>0</v>
      </c>
      <c r="AU36" s="167">
        <f t="shared" si="241"/>
        <v>0</v>
      </c>
      <c r="AV36" s="167">
        <f t="shared" si="129"/>
        <v>0</v>
      </c>
      <c r="AW36" s="167">
        <f t="shared" si="242"/>
        <v>0</v>
      </c>
      <c r="AX36" s="167">
        <f t="shared" si="131"/>
        <v>0</v>
      </c>
      <c r="AY36" s="167">
        <f t="shared" si="243"/>
        <v>0</v>
      </c>
      <c r="AZ36" s="167">
        <f t="shared" si="133"/>
        <v>0</v>
      </c>
      <c r="BA36" s="167">
        <f t="shared" si="244"/>
        <v>0</v>
      </c>
      <c r="BB36" s="170">
        <f t="shared" si="135"/>
        <v>0</v>
      </c>
      <c r="BC36" s="167">
        <f t="shared" si="136"/>
        <v>0</v>
      </c>
      <c r="BD36" s="171">
        <f t="shared" si="137"/>
        <v>0</v>
      </c>
      <c r="BE36" s="169">
        <f t="shared" si="234"/>
        <v>0</v>
      </c>
      <c r="BF36" s="167">
        <f t="shared" si="245"/>
        <v>0</v>
      </c>
      <c r="BG36" s="167">
        <f t="shared" si="140"/>
        <v>0</v>
      </c>
      <c r="BH36" s="167">
        <f t="shared" si="246"/>
        <v>0</v>
      </c>
      <c r="BI36" s="167">
        <f t="shared" si="142"/>
        <v>0</v>
      </c>
      <c r="BJ36" s="167">
        <f t="shared" si="247"/>
        <v>0</v>
      </c>
      <c r="BK36" s="167">
        <f t="shared" si="144"/>
        <v>0</v>
      </c>
      <c r="BL36" s="167">
        <f t="shared" si="248"/>
        <v>0</v>
      </c>
      <c r="BM36" s="167">
        <f t="shared" si="146"/>
        <v>0</v>
      </c>
      <c r="BN36" s="167">
        <f t="shared" si="249"/>
        <v>0</v>
      </c>
      <c r="BO36" s="170">
        <f t="shared" si="148"/>
        <v>0</v>
      </c>
      <c r="BP36" s="167">
        <f t="shared" si="149"/>
        <v>0</v>
      </c>
      <c r="BQ36" s="171">
        <f t="shared" si="150"/>
        <v>0</v>
      </c>
      <c r="BR36" s="169">
        <f t="shared" si="234"/>
        <v>0</v>
      </c>
      <c r="BS36" s="167">
        <f t="shared" si="250"/>
        <v>0</v>
      </c>
      <c r="BT36" s="167">
        <f t="shared" si="153"/>
        <v>0</v>
      </c>
      <c r="BU36" s="167">
        <f t="shared" si="251"/>
        <v>0</v>
      </c>
      <c r="BV36" s="167">
        <f t="shared" si="155"/>
        <v>0</v>
      </c>
      <c r="BW36" s="167">
        <f t="shared" si="252"/>
        <v>0</v>
      </c>
      <c r="BX36" s="167">
        <f t="shared" si="157"/>
        <v>0</v>
      </c>
      <c r="BY36" s="167">
        <f t="shared" si="253"/>
        <v>0</v>
      </c>
      <c r="BZ36" s="167">
        <f t="shared" si="159"/>
        <v>0</v>
      </c>
      <c r="CA36" s="167">
        <f t="shared" si="254"/>
        <v>0</v>
      </c>
      <c r="CB36" s="170">
        <f t="shared" si="161"/>
        <v>0</v>
      </c>
      <c r="CC36" s="167">
        <f t="shared" si="162"/>
        <v>0</v>
      </c>
      <c r="CD36" s="171">
        <f t="shared" si="163"/>
        <v>0</v>
      </c>
      <c r="CE36" s="169">
        <f t="shared" si="234"/>
        <v>0</v>
      </c>
      <c r="CF36" s="167">
        <f t="shared" si="255"/>
        <v>0</v>
      </c>
      <c r="CG36" s="167">
        <f t="shared" si="166"/>
        <v>0</v>
      </c>
      <c r="CH36" s="167">
        <f t="shared" si="256"/>
        <v>0</v>
      </c>
      <c r="CI36" s="167">
        <f t="shared" si="168"/>
        <v>0</v>
      </c>
      <c r="CJ36" s="167">
        <f t="shared" si="257"/>
        <v>0</v>
      </c>
      <c r="CK36" s="167">
        <f t="shared" si="170"/>
        <v>0</v>
      </c>
      <c r="CL36" s="167">
        <f t="shared" si="258"/>
        <v>0</v>
      </c>
      <c r="CM36" s="167">
        <f t="shared" si="172"/>
        <v>0</v>
      </c>
      <c r="CN36" s="167">
        <f t="shared" si="259"/>
        <v>0</v>
      </c>
      <c r="CO36" s="170">
        <f t="shared" si="174"/>
        <v>0</v>
      </c>
      <c r="CP36" s="167">
        <f t="shared" si="175"/>
        <v>0</v>
      </c>
      <c r="CQ36" s="171">
        <f t="shared" si="176"/>
        <v>0</v>
      </c>
      <c r="CR36" s="169">
        <f t="shared" si="260"/>
        <v>0</v>
      </c>
      <c r="CS36" s="167">
        <f t="shared" si="261"/>
        <v>0</v>
      </c>
      <c r="CT36" s="167">
        <f t="shared" si="179"/>
        <v>0</v>
      </c>
      <c r="CU36" s="167">
        <f t="shared" si="262"/>
        <v>0</v>
      </c>
      <c r="CV36" s="167">
        <f t="shared" si="181"/>
        <v>0</v>
      </c>
      <c r="CW36" s="167">
        <f t="shared" si="263"/>
        <v>0</v>
      </c>
      <c r="CX36" s="167">
        <f t="shared" si="183"/>
        <v>0</v>
      </c>
      <c r="CY36" s="167">
        <f t="shared" si="264"/>
        <v>0</v>
      </c>
      <c r="CZ36" s="167">
        <f t="shared" si="185"/>
        <v>0</v>
      </c>
      <c r="DA36" s="167">
        <f t="shared" si="265"/>
        <v>0</v>
      </c>
      <c r="DB36" s="170">
        <f t="shared" si="187"/>
        <v>0</v>
      </c>
      <c r="DC36" s="167">
        <f t="shared" si="188"/>
        <v>0</v>
      </c>
      <c r="DD36" s="171">
        <f t="shared" si="189"/>
        <v>0</v>
      </c>
      <c r="DE36" s="169">
        <f t="shared" si="260"/>
        <v>0</v>
      </c>
      <c r="DF36" s="167">
        <f t="shared" si="266"/>
        <v>0</v>
      </c>
      <c r="DG36" s="167">
        <f t="shared" si="192"/>
        <v>0</v>
      </c>
      <c r="DH36" s="167">
        <f t="shared" si="267"/>
        <v>0</v>
      </c>
      <c r="DI36" s="167">
        <f t="shared" si="194"/>
        <v>0</v>
      </c>
      <c r="DJ36" s="167">
        <f t="shared" si="268"/>
        <v>0</v>
      </c>
      <c r="DK36" s="167">
        <f t="shared" si="196"/>
        <v>0</v>
      </c>
      <c r="DL36" s="167">
        <f t="shared" si="269"/>
        <v>0</v>
      </c>
      <c r="DM36" s="167">
        <f t="shared" si="198"/>
        <v>0</v>
      </c>
      <c r="DN36" s="167">
        <f t="shared" si="270"/>
        <v>0</v>
      </c>
      <c r="DO36" s="170">
        <f t="shared" si="200"/>
        <v>0</v>
      </c>
      <c r="DP36" s="167">
        <f t="shared" si="201"/>
        <v>0</v>
      </c>
      <c r="DQ36" s="171">
        <f t="shared" si="202"/>
        <v>0</v>
      </c>
      <c r="DR36" s="169">
        <f t="shared" si="260"/>
        <v>0</v>
      </c>
      <c r="DS36" s="167">
        <f t="shared" si="271"/>
        <v>0</v>
      </c>
      <c r="DT36" s="167">
        <f t="shared" si="205"/>
        <v>0</v>
      </c>
      <c r="DU36" s="167">
        <f t="shared" si="272"/>
        <v>0</v>
      </c>
      <c r="DV36" s="167">
        <f t="shared" si="207"/>
        <v>0</v>
      </c>
      <c r="DW36" s="167">
        <f t="shared" si="273"/>
        <v>0</v>
      </c>
      <c r="DX36" s="167">
        <f t="shared" si="209"/>
        <v>0</v>
      </c>
      <c r="DY36" s="167">
        <f t="shared" si="274"/>
        <v>0</v>
      </c>
      <c r="DZ36" s="167">
        <f t="shared" si="211"/>
        <v>0</v>
      </c>
      <c r="EA36" s="167">
        <f t="shared" si="275"/>
        <v>0</v>
      </c>
      <c r="EB36" s="170">
        <f t="shared" si="213"/>
        <v>0</v>
      </c>
      <c r="EC36" s="167">
        <f t="shared" si="214"/>
        <v>0</v>
      </c>
      <c r="ED36" s="171">
        <f t="shared" si="215"/>
        <v>0</v>
      </c>
    </row>
    <row r="37" spans="1:134" x14ac:dyDescent="0.3">
      <c r="A37" s="196"/>
      <c r="B37" s="196"/>
      <c r="C37" s="616"/>
      <c r="D37" s="188"/>
      <c r="E37" s="189"/>
      <c r="F37" s="190"/>
      <c r="G37" s="191"/>
      <c r="H37" s="192"/>
      <c r="I37" s="193"/>
      <c r="J37" s="194"/>
      <c r="K37" s="165">
        <f t="shared" si="216"/>
        <v>0</v>
      </c>
      <c r="L37" s="166">
        <f t="shared" si="217"/>
        <v>0</v>
      </c>
      <c r="M37" s="167">
        <f t="shared" si="218"/>
        <v>0</v>
      </c>
      <c r="N37" s="167"/>
      <c r="O37" s="167">
        <f t="shared" si="219"/>
        <v>0</v>
      </c>
      <c r="P37" s="168"/>
      <c r="Q37" s="167">
        <f t="shared" si="220"/>
        <v>0</v>
      </c>
      <c r="R37" s="169">
        <f t="shared" si="221"/>
        <v>0</v>
      </c>
      <c r="S37" s="167">
        <f t="shared" si="222"/>
        <v>0</v>
      </c>
      <c r="T37" s="167">
        <f t="shared" si="223"/>
        <v>0</v>
      </c>
      <c r="U37" s="167">
        <f t="shared" si="224"/>
        <v>0</v>
      </c>
      <c r="V37" s="167">
        <f t="shared" si="225"/>
        <v>0</v>
      </c>
      <c r="W37" s="167">
        <f t="shared" si="226"/>
        <v>0</v>
      </c>
      <c r="X37" s="167">
        <f t="shared" si="227"/>
        <v>0</v>
      </c>
      <c r="Y37" s="167">
        <f t="shared" si="228"/>
        <v>0</v>
      </c>
      <c r="Z37" s="167">
        <f t="shared" si="229"/>
        <v>0</v>
      </c>
      <c r="AA37" s="167">
        <f t="shared" si="230"/>
        <v>0</v>
      </c>
      <c r="AB37" s="170">
        <f t="shared" si="231"/>
        <v>0</v>
      </c>
      <c r="AC37" s="167">
        <f t="shared" si="232"/>
        <v>0</v>
      </c>
      <c r="AD37" s="171">
        <f t="shared" si="233"/>
        <v>0</v>
      </c>
      <c r="AE37" s="169">
        <f t="shared" ref="AE37:CE52" si="276">IF(YEAR($F37)=AE$4,$E37,0)</f>
        <v>0</v>
      </c>
      <c r="AF37" s="167">
        <f t="shared" si="235"/>
        <v>0</v>
      </c>
      <c r="AG37" s="167">
        <f t="shared" si="114"/>
        <v>0</v>
      </c>
      <c r="AH37" s="167">
        <f t="shared" si="236"/>
        <v>0</v>
      </c>
      <c r="AI37" s="167">
        <f t="shared" si="116"/>
        <v>0</v>
      </c>
      <c r="AJ37" s="167">
        <f t="shared" si="237"/>
        <v>0</v>
      </c>
      <c r="AK37" s="167">
        <f t="shared" si="118"/>
        <v>0</v>
      </c>
      <c r="AL37" s="167">
        <f t="shared" si="238"/>
        <v>0</v>
      </c>
      <c r="AM37" s="167">
        <f t="shared" si="120"/>
        <v>0</v>
      </c>
      <c r="AN37" s="167">
        <f t="shared" si="239"/>
        <v>0</v>
      </c>
      <c r="AO37" s="170">
        <f t="shared" si="122"/>
        <v>0</v>
      </c>
      <c r="AP37" s="167">
        <f t="shared" si="123"/>
        <v>0</v>
      </c>
      <c r="AQ37" s="171">
        <f t="shared" si="124"/>
        <v>0</v>
      </c>
      <c r="AR37" s="169">
        <f t="shared" si="276"/>
        <v>0</v>
      </c>
      <c r="AS37" s="167">
        <f t="shared" si="240"/>
        <v>0</v>
      </c>
      <c r="AT37" s="167">
        <f t="shared" si="127"/>
        <v>0</v>
      </c>
      <c r="AU37" s="167">
        <f t="shared" si="241"/>
        <v>0</v>
      </c>
      <c r="AV37" s="167">
        <f t="shared" si="129"/>
        <v>0</v>
      </c>
      <c r="AW37" s="167">
        <f t="shared" si="242"/>
        <v>0</v>
      </c>
      <c r="AX37" s="167">
        <f t="shared" si="131"/>
        <v>0</v>
      </c>
      <c r="AY37" s="167">
        <f t="shared" si="243"/>
        <v>0</v>
      </c>
      <c r="AZ37" s="167">
        <f t="shared" si="133"/>
        <v>0</v>
      </c>
      <c r="BA37" s="167">
        <f t="shared" si="244"/>
        <v>0</v>
      </c>
      <c r="BB37" s="170">
        <f t="shared" si="135"/>
        <v>0</v>
      </c>
      <c r="BC37" s="167">
        <f t="shared" si="136"/>
        <v>0</v>
      </c>
      <c r="BD37" s="171">
        <f t="shared" si="137"/>
        <v>0</v>
      </c>
      <c r="BE37" s="169">
        <f t="shared" si="276"/>
        <v>0</v>
      </c>
      <c r="BF37" s="167">
        <f t="shared" si="245"/>
        <v>0</v>
      </c>
      <c r="BG37" s="167">
        <f t="shared" si="140"/>
        <v>0</v>
      </c>
      <c r="BH37" s="167">
        <f t="shared" si="246"/>
        <v>0</v>
      </c>
      <c r="BI37" s="167">
        <f t="shared" si="142"/>
        <v>0</v>
      </c>
      <c r="BJ37" s="167">
        <f t="shared" si="247"/>
        <v>0</v>
      </c>
      <c r="BK37" s="167">
        <f t="shared" si="144"/>
        <v>0</v>
      </c>
      <c r="BL37" s="167">
        <f t="shared" si="248"/>
        <v>0</v>
      </c>
      <c r="BM37" s="167">
        <f t="shared" si="146"/>
        <v>0</v>
      </c>
      <c r="BN37" s="167">
        <f t="shared" si="249"/>
        <v>0</v>
      </c>
      <c r="BO37" s="170">
        <f t="shared" si="148"/>
        <v>0</v>
      </c>
      <c r="BP37" s="167">
        <f t="shared" si="149"/>
        <v>0</v>
      </c>
      <c r="BQ37" s="171">
        <f t="shared" si="150"/>
        <v>0</v>
      </c>
      <c r="BR37" s="169">
        <f t="shared" si="276"/>
        <v>0</v>
      </c>
      <c r="BS37" s="167">
        <f t="shared" si="250"/>
        <v>0</v>
      </c>
      <c r="BT37" s="167">
        <f t="shared" si="153"/>
        <v>0</v>
      </c>
      <c r="BU37" s="167">
        <f t="shared" si="251"/>
        <v>0</v>
      </c>
      <c r="BV37" s="167">
        <f t="shared" si="155"/>
        <v>0</v>
      </c>
      <c r="BW37" s="167">
        <f t="shared" si="252"/>
        <v>0</v>
      </c>
      <c r="BX37" s="167">
        <f t="shared" si="157"/>
        <v>0</v>
      </c>
      <c r="BY37" s="167">
        <f t="shared" si="253"/>
        <v>0</v>
      </c>
      <c r="BZ37" s="167">
        <f t="shared" si="159"/>
        <v>0</v>
      </c>
      <c r="CA37" s="167">
        <f t="shared" si="254"/>
        <v>0</v>
      </c>
      <c r="CB37" s="170">
        <f t="shared" si="161"/>
        <v>0</v>
      </c>
      <c r="CC37" s="167">
        <f t="shared" si="162"/>
        <v>0</v>
      </c>
      <c r="CD37" s="171">
        <f t="shared" si="163"/>
        <v>0</v>
      </c>
      <c r="CE37" s="169">
        <f t="shared" si="276"/>
        <v>0</v>
      </c>
      <c r="CF37" s="167">
        <f t="shared" si="255"/>
        <v>0</v>
      </c>
      <c r="CG37" s="167">
        <f t="shared" si="166"/>
        <v>0</v>
      </c>
      <c r="CH37" s="167">
        <f t="shared" si="256"/>
        <v>0</v>
      </c>
      <c r="CI37" s="167">
        <f t="shared" si="168"/>
        <v>0</v>
      </c>
      <c r="CJ37" s="167">
        <f t="shared" si="257"/>
        <v>0</v>
      </c>
      <c r="CK37" s="167">
        <f t="shared" si="170"/>
        <v>0</v>
      </c>
      <c r="CL37" s="167">
        <f t="shared" si="258"/>
        <v>0</v>
      </c>
      <c r="CM37" s="167">
        <f t="shared" si="172"/>
        <v>0</v>
      </c>
      <c r="CN37" s="167">
        <f t="shared" si="259"/>
        <v>0</v>
      </c>
      <c r="CO37" s="170">
        <f t="shared" si="174"/>
        <v>0</v>
      </c>
      <c r="CP37" s="167">
        <f t="shared" si="175"/>
        <v>0</v>
      </c>
      <c r="CQ37" s="171">
        <f t="shared" si="176"/>
        <v>0</v>
      </c>
      <c r="CR37" s="169">
        <f t="shared" ref="CR37:DR52" si="277">IF(YEAR($F37)=CR$4,$E37,0)</f>
        <v>0</v>
      </c>
      <c r="CS37" s="167">
        <f t="shared" si="261"/>
        <v>0</v>
      </c>
      <c r="CT37" s="167">
        <f t="shared" si="179"/>
        <v>0</v>
      </c>
      <c r="CU37" s="167">
        <f t="shared" si="262"/>
        <v>0</v>
      </c>
      <c r="CV37" s="167">
        <f t="shared" si="181"/>
        <v>0</v>
      </c>
      <c r="CW37" s="167">
        <f t="shared" si="263"/>
        <v>0</v>
      </c>
      <c r="CX37" s="167">
        <f t="shared" si="183"/>
        <v>0</v>
      </c>
      <c r="CY37" s="167">
        <f t="shared" si="264"/>
        <v>0</v>
      </c>
      <c r="CZ37" s="167">
        <f t="shared" si="185"/>
        <v>0</v>
      </c>
      <c r="DA37" s="167">
        <f t="shared" si="265"/>
        <v>0</v>
      </c>
      <c r="DB37" s="170">
        <f t="shared" si="187"/>
        <v>0</v>
      </c>
      <c r="DC37" s="167">
        <f t="shared" si="188"/>
        <v>0</v>
      </c>
      <c r="DD37" s="171">
        <f t="shared" si="189"/>
        <v>0</v>
      </c>
      <c r="DE37" s="169">
        <f t="shared" si="277"/>
        <v>0</v>
      </c>
      <c r="DF37" s="167">
        <f t="shared" si="266"/>
        <v>0</v>
      </c>
      <c r="DG37" s="167">
        <f t="shared" si="192"/>
        <v>0</v>
      </c>
      <c r="DH37" s="167">
        <f t="shared" si="267"/>
        <v>0</v>
      </c>
      <c r="DI37" s="167">
        <f t="shared" si="194"/>
        <v>0</v>
      </c>
      <c r="DJ37" s="167">
        <f t="shared" si="268"/>
        <v>0</v>
      </c>
      <c r="DK37" s="167">
        <f t="shared" si="196"/>
        <v>0</v>
      </c>
      <c r="DL37" s="167">
        <f t="shared" si="269"/>
        <v>0</v>
      </c>
      <c r="DM37" s="167">
        <f t="shared" si="198"/>
        <v>0</v>
      </c>
      <c r="DN37" s="167">
        <f t="shared" si="270"/>
        <v>0</v>
      </c>
      <c r="DO37" s="170">
        <f t="shared" si="200"/>
        <v>0</v>
      </c>
      <c r="DP37" s="167">
        <f t="shared" si="201"/>
        <v>0</v>
      </c>
      <c r="DQ37" s="171">
        <f t="shared" si="202"/>
        <v>0</v>
      </c>
      <c r="DR37" s="169">
        <f t="shared" si="277"/>
        <v>0</v>
      </c>
      <c r="DS37" s="167">
        <f t="shared" si="271"/>
        <v>0</v>
      </c>
      <c r="DT37" s="167">
        <f t="shared" si="205"/>
        <v>0</v>
      </c>
      <c r="DU37" s="167">
        <f t="shared" si="272"/>
        <v>0</v>
      </c>
      <c r="DV37" s="167">
        <f t="shared" si="207"/>
        <v>0</v>
      </c>
      <c r="DW37" s="167">
        <f t="shared" si="273"/>
        <v>0</v>
      </c>
      <c r="DX37" s="167">
        <f t="shared" si="209"/>
        <v>0</v>
      </c>
      <c r="DY37" s="167">
        <f t="shared" si="274"/>
        <v>0</v>
      </c>
      <c r="DZ37" s="167">
        <f t="shared" si="211"/>
        <v>0</v>
      </c>
      <c r="EA37" s="167">
        <f t="shared" si="275"/>
        <v>0</v>
      </c>
      <c r="EB37" s="170">
        <f t="shared" si="213"/>
        <v>0</v>
      </c>
      <c r="EC37" s="167">
        <f t="shared" si="214"/>
        <v>0</v>
      </c>
      <c r="ED37" s="171">
        <f t="shared" si="215"/>
        <v>0</v>
      </c>
    </row>
    <row r="38" spans="1:134" x14ac:dyDescent="0.3">
      <c r="A38" s="196"/>
      <c r="B38" s="196"/>
      <c r="C38" s="196"/>
      <c r="D38" s="188"/>
      <c r="E38" s="189"/>
      <c r="F38" s="190"/>
      <c r="G38" s="191"/>
      <c r="H38" s="192"/>
      <c r="I38" s="193"/>
      <c r="J38" s="194"/>
      <c r="K38" s="165">
        <f t="shared" si="216"/>
        <v>0</v>
      </c>
      <c r="L38" s="166">
        <f t="shared" si="217"/>
        <v>0</v>
      </c>
      <c r="M38" s="167">
        <f t="shared" si="218"/>
        <v>0</v>
      </c>
      <c r="N38" s="167"/>
      <c r="O38" s="167">
        <f t="shared" si="219"/>
        <v>0</v>
      </c>
      <c r="P38" s="168"/>
      <c r="Q38" s="167">
        <f t="shared" si="220"/>
        <v>0</v>
      </c>
      <c r="R38" s="169">
        <f t="shared" si="221"/>
        <v>0</v>
      </c>
      <c r="S38" s="167">
        <f t="shared" si="222"/>
        <v>0</v>
      </c>
      <c r="T38" s="167">
        <f t="shared" si="223"/>
        <v>0</v>
      </c>
      <c r="U38" s="167">
        <f t="shared" si="224"/>
        <v>0</v>
      </c>
      <c r="V38" s="167">
        <f t="shared" si="225"/>
        <v>0</v>
      </c>
      <c r="W38" s="167">
        <f t="shared" si="226"/>
        <v>0</v>
      </c>
      <c r="X38" s="167">
        <f t="shared" si="227"/>
        <v>0</v>
      </c>
      <c r="Y38" s="167">
        <f t="shared" si="228"/>
        <v>0</v>
      </c>
      <c r="Z38" s="167">
        <f t="shared" si="229"/>
        <v>0</v>
      </c>
      <c r="AA38" s="167">
        <f t="shared" si="230"/>
        <v>0</v>
      </c>
      <c r="AB38" s="170">
        <f t="shared" si="231"/>
        <v>0</v>
      </c>
      <c r="AC38" s="167">
        <f t="shared" si="232"/>
        <v>0</v>
      </c>
      <c r="AD38" s="171">
        <f t="shared" si="233"/>
        <v>0</v>
      </c>
      <c r="AE38" s="169">
        <f t="shared" si="276"/>
        <v>0</v>
      </c>
      <c r="AF38" s="167">
        <f t="shared" si="235"/>
        <v>0</v>
      </c>
      <c r="AG38" s="167">
        <f t="shared" si="114"/>
        <v>0</v>
      </c>
      <c r="AH38" s="167">
        <f t="shared" si="236"/>
        <v>0</v>
      </c>
      <c r="AI38" s="167">
        <f t="shared" si="116"/>
        <v>0</v>
      </c>
      <c r="AJ38" s="167">
        <f t="shared" si="237"/>
        <v>0</v>
      </c>
      <c r="AK38" s="167">
        <f t="shared" si="118"/>
        <v>0</v>
      </c>
      <c r="AL38" s="167">
        <f t="shared" si="238"/>
        <v>0</v>
      </c>
      <c r="AM38" s="167">
        <f t="shared" si="120"/>
        <v>0</v>
      </c>
      <c r="AN38" s="167">
        <f t="shared" si="239"/>
        <v>0</v>
      </c>
      <c r="AO38" s="170">
        <f t="shared" si="122"/>
        <v>0</v>
      </c>
      <c r="AP38" s="167">
        <f t="shared" si="123"/>
        <v>0</v>
      </c>
      <c r="AQ38" s="171">
        <f t="shared" si="124"/>
        <v>0</v>
      </c>
      <c r="AR38" s="169">
        <f t="shared" si="276"/>
        <v>0</v>
      </c>
      <c r="AS38" s="167">
        <f t="shared" si="240"/>
        <v>0</v>
      </c>
      <c r="AT38" s="167">
        <f t="shared" si="127"/>
        <v>0</v>
      </c>
      <c r="AU38" s="167">
        <f t="shared" si="241"/>
        <v>0</v>
      </c>
      <c r="AV38" s="167">
        <f t="shared" si="129"/>
        <v>0</v>
      </c>
      <c r="AW38" s="167">
        <f t="shared" si="242"/>
        <v>0</v>
      </c>
      <c r="AX38" s="167">
        <f t="shared" si="131"/>
        <v>0</v>
      </c>
      <c r="AY38" s="167">
        <f t="shared" si="243"/>
        <v>0</v>
      </c>
      <c r="AZ38" s="167">
        <f t="shared" si="133"/>
        <v>0</v>
      </c>
      <c r="BA38" s="167">
        <f t="shared" si="244"/>
        <v>0</v>
      </c>
      <c r="BB38" s="170">
        <f t="shared" si="135"/>
        <v>0</v>
      </c>
      <c r="BC38" s="167">
        <f t="shared" si="136"/>
        <v>0</v>
      </c>
      <c r="BD38" s="171">
        <f t="shared" si="137"/>
        <v>0</v>
      </c>
      <c r="BE38" s="169">
        <f t="shared" si="276"/>
        <v>0</v>
      </c>
      <c r="BF38" s="167">
        <f t="shared" si="245"/>
        <v>0</v>
      </c>
      <c r="BG38" s="167">
        <f t="shared" si="140"/>
        <v>0</v>
      </c>
      <c r="BH38" s="167">
        <f t="shared" si="246"/>
        <v>0</v>
      </c>
      <c r="BI38" s="167">
        <f t="shared" si="142"/>
        <v>0</v>
      </c>
      <c r="BJ38" s="167">
        <f t="shared" si="247"/>
        <v>0</v>
      </c>
      <c r="BK38" s="167">
        <f t="shared" si="144"/>
        <v>0</v>
      </c>
      <c r="BL38" s="167">
        <f t="shared" si="248"/>
        <v>0</v>
      </c>
      <c r="BM38" s="167">
        <f t="shared" si="146"/>
        <v>0</v>
      </c>
      <c r="BN38" s="167">
        <f t="shared" si="249"/>
        <v>0</v>
      </c>
      <c r="BO38" s="170">
        <f t="shared" si="148"/>
        <v>0</v>
      </c>
      <c r="BP38" s="167">
        <f t="shared" si="149"/>
        <v>0</v>
      </c>
      <c r="BQ38" s="171">
        <f t="shared" si="150"/>
        <v>0</v>
      </c>
      <c r="BR38" s="169">
        <f t="shared" si="276"/>
        <v>0</v>
      </c>
      <c r="BS38" s="167">
        <f t="shared" si="250"/>
        <v>0</v>
      </c>
      <c r="BT38" s="167">
        <f t="shared" si="153"/>
        <v>0</v>
      </c>
      <c r="BU38" s="167">
        <f t="shared" si="251"/>
        <v>0</v>
      </c>
      <c r="BV38" s="167">
        <f t="shared" si="155"/>
        <v>0</v>
      </c>
      <c r="BW38" s="167">
        <f t="shared" si="252"/>
        <v>0</v>
      </c>
      <c r="BX38" s="167">
        <f t="shared" si="157"/>
        <v>0</v>
      </c>
      <c r="BY38" s="167">
        <f t="shared" si="253"/>
        <v>0</v>
      </c>
      <c r="BZ38" s="167">
        <f t="shared" si="159"/>
        <v>0</v>
      </c>
      <c r="CA38" s="167">
        <f t="shared" si="254"/>
        <v>0</v>
      </c>
      <c r="CB38" s="170">
        <f t="shared" si="161"/>
        <v>0</v>
      </c>
      <c r="CC38" s="167">
        <f t="shared" si="162"/>
        <v>0</v>
      </c>
      <c r="CD38" s="171">
        <f t="shared" si="163"/>
        <v>0</v>
      </c>
      <c r="CE38" s="169">
        <f t="shared" si="276"/>
        <v>0</v>
      </c>
      <c r="CF38" s="167">
        <f t="shared" si="255"/>
        <v>0</v>
      </c>
      <c r="CG38" s="167">
        <f t="shared" si="166"/>
        <v>0</v>
      </c>
      <c r="CH38" s="167">
        <f t="shared" si="256"/>
        <v>0</v>
      </c>
      <c r="CI38" s="167">
        <f t="shared" si="168"/>
        <v>0</v>
      </c>
      <c r="CJ38" s="167">
        <f t="shared" si="257"/>
        <v>0</v>
      </c>
      <c r="CK38" s="167">
        <f t="shared" si="170"/>
        <v>0</v>
      </c>
      <c r="CL38" s="167">
        <f t="shared" si="258"/>
        <v>0</v>
      </c>
      <c r="CM38" s="167">
        <f t="shared" si="172"/>
        <v>0</v>
      </c>
      <c r="CN38" s="167">
        <f t="shared" si="259"/>
        <v>0</v>
      </c>
      <c r="CO38" s="170">
        <f t="shared" si="174"/>
        <v>0</v>
      </c>
      <c r="CP38" s="167">
        <f t="shared" si="175"/>
        <v>0</v>
      </c>
      <c r="CQ38" s="171">
        <f t="shared" si="176"/>
        <v>0</v>
      </c>
      <c r="CR38" s="169">
        <f t="shared" si="277"/>
        <v>0</v>
      </c>
      <c r="CS38" s="167">
        <f t="shared" si="261"/>
        <v>0</v>
      </c>
      <c r="CT38" s="167">
        <f t="shared" si="179"/>
        <v>0</v>
      </c>
      <c r="CU38" s="167">
        <f t="shared" si="262"/>
        <v>0</v>
      </c>
      <c r="CV38" s="167">
        <f t="shared" si="181"/>
        <v>0</v>
      </c>
      <c r="CW38" s="167">
        <f t="shared" si="263"/>
        <v>0</v>
      </c>
      <c r="CX38" s="167">
        <f t="shared" si="183"/>
        <v>0</v>
      </c>
      <c r="CY38" s="167">
        <f t="shared" si="264"/>
        <v>0</v>
      </c>
      <c r="CZ38" s="167">
        <f t="shared" si="185"/>
        <v>0</v>
      </c>
      <c r="DA38" s="167">
        <f t="shared" si="265"/>
        <v>0</v>
      </c>
      <c r="DB38" s="170">
        <f t="shared" si="187"/>
        <v>0</v>
      </c>
      <c r="DC38" s="167">
        <f t="shared" si="188"/>
        <v>0</v>
      </c>
      <c r="DD38" s="171">
        <f t="shared" si="189"/>
        <v>0</v>
      </c>
      <c r="DE38" s="169">
        <f t="shared" si="277"/>
        <v>0</v>
      </c>
      <c r="DF38" s="167">
        <f t="shared" si="266"/>
        <v>0</v>
      </c>
      <c r="DG38" s="167">
        <f t="shared" si="192"/>
        <v>0</v>
      </c>
      <c r="DH38" s="167">
        <f t="shared" si="267"/>
        <v>0</v>
      </c>
      <c r="DI38" s="167">
        <f t="shared" si="194"/>
        <v>0</v>
      </c>
      <c r="DJ38" s="167">
        <f t="shared" si="268"/>
        <v>0</v>
      </c>
      <c r="DK38" s="167">
        <f t="shared" si="196"/>
        <v>0</v>
      </c>
      <c r="DL38" s="167">
        <f t="shared" si="269"/>
        <v>0</v>
      </c>
      <c r="DM38" s="167">
        <f t="shared" si="198"/>
        <v>0</v>
      </c>
      <c r="DN38" s="167">
        <f t="shared" si="270"/>
        <v>0</v>
      </c>
      <c r="DO38" s="170">
        <f t="shared" si="200"/>
        <v>0</v>
      </c>
      <c r="DP38" s="167">
        <f t="shared" si="201"/>
        <v>0</v>
      </c>
      <c r="DQ38" s="171">
        <f t="shared" si="202"/>
        <v>0</v>
      </c>
      <c r="DR38" s="169">
        <f t="shared" si="277"/>
        <v>0</v>
      </c>
      <c r="DS38" s="167">
        <f t="shared" si="271"/>
        <v>0</v>
      </c>
      <c r="DT38" s="167">
        <f t="shared" si="205"/>
        <v>0</v>
      </c>
      <c r="DU38" s="167">
        <f t="shared" si="272"/>
        <v>0</v>
      </c>
      <c r="DV38" s="167">
        <f t="shared" si="207"/>
        <v>0</v>
      </c>
      <c r="DW38" s="167">
        <f t="shared" si="273"/>
        <v>0</v>
      </c>
      <c r="DX38" s="167">
        <f t="shared" si="209"/>
        <v>0</v>
      </c>
      <c r="DY38" s="167">
        <f t="shared" si="274"/>
        <v>0</v>
      </c>
      <c r="DZ38" s="167">
        <f t="shared" si="211"/>
        <v>0</v>
      </c>
      <c r="EA38" s="167">
        <f t="shared" si="275"/>
        <v>0</v>
      </c>
      <c r="EB38" s="170">
        <f t="shared" si="213"/>
        <v>0</v>
      </c>
      <c r="EC38" s="167">
        <f t="shared" si="214"/>
        <v>0</v>
      </c>
      <c r="ED38" s="171">
        <f t="shared" si="215"/>
        <v>0</v>
      </c>
    </row>
    <row r="39" spans="1:134" x14ac:dyDescent="0.3">
      <c r="A39" s="196"/>
      <c r="B39" s="196"/>
      <c r="C39" s="196"/>
      <c r="D39" s="188"/>
      <c r="E39" s="624"/>
      <c r="F39" s="190"/>
      <c r="G39" s="625"/>
      <c r="H39" s="192"/>
      <c r="I39" s="193"/>
      <c r="J39" s="194"/>
      <c r="K39" s="165">
        <f t="shared" si="216"/>
        <v>0</v>
      </c>
      <c r="L39" s="166">
        <f t="shared" si="217"/>
        <v>0</v>
      </c>
      <c r="M39" s="167">
        <f t="shared" si="218"/>
        <v>0</v>
      </c>
      <c r="N39" s="167"/>
      <c r="O39" s="167">
        <f t="shared" si="219"/>
        <v>0</v>
      </c>
      <c r="P39" s="168"/>
      <c r="Q39" s="167">
        <f t="shared" si="220"/>
        <v>0</v>
      </c>
      <c r="R39" s="169">
        <f t="shared" si="221"/>
        <v>0</v>
      </c>
      <c r="S39" s="167">
        <f t="shared" si="222"/>
        <v>0</v>
      </c>
      <c r="T39" s="167">
        <f t="shared" si="223"/>
        <v>0</v>
      </c>
      <c r="U39" s="167">
        <f t="shared" si="224"/>
        <v>0</v>
      </c>
      <c r="V39" s="167">
        <f t="shared" si="225"/>
        <v>0</v>
      </c>
      <c r="W39" s="167">
        <f t="shared" si="226"/>
        <v>0</v>
      </c>
      <c r="X39" s="167">
        <f t="shared" si="227"/>
        <v>0</v>
      </c>
      <c r="Y39" s="167">
        <f t="shared" si="228"/>
        <v>0</v>
      </c>
      <c r="Z39" s="167">
        <f t="shared" si="229"/>
        <v>0</v>
      </c>
      <c r="AA39" s="167">
        <f t="shared" si="230"/>
        <v>0</v>
      </c>
      <c r="AB39" s="170">
        <f t="shared" si="231"/>
        <v>0</v>
      </c>
      <c r="AC39" s="167">
        <f t="shared" si="232"/>
        <v>0</v>
      </c>
      <c r="AD39" s="171">
        <f t="shared" si="233"/>
        <v>0</v>
      </c>
      <c r="AE39" s="169">
        <f t="shared" si="276"/>
        <v>0</v>
      </c>
      <c r="AF39" s="167">
        <f t="shared" si="235"/>
        <v>0</v>
      </c>
      <c r="AG39" s="167">
        <f t="shared" si="114"/>
        <v>0</v>
      </c>
      <c r="AH39" s="167">
        <f t="shared" si="236"/>
        <v>0</v>
      </c>
      <c r="AI39" s="167">
        <f t="shared" si="116"/>
        <v>0</v>
      </c>
      <c r="AJ39" s="167">
        <f t="shared" si="237"/>
        <v>0</v>
      </c>
      <c r="AK39" s="167">
        <f t="shared" si="118"/>
        <v>0</v>
      </c>
      <c r="AL39" s="167">
        <f t="shared" si="238"/>
        <v>0</v>
      </c>
      <c r="AM39" s="167">
        <f t="shared" si="120"/>
        <v>0</v>
      </c>
      <c r="AN39" s="167">
        <f t="shared" si="239"/>
        <v>0</v>
      </c>
      <c r="AO39" s="170">
        <f t="shared" si="122"/>
        <v>0</v>
      </c>
      <c r="AP39" s="167">
        <f t="shared" si="123"/>
        <v>0</v>
      </c>
      <c r="AQ39" s="171">
        <f t="shared" si="124"/>
        <v>0</v>
      </c>
      <c r="AR39" s="169">
        <f t="shared" si="276"/>
        <v>0</v>
      </c>
      <c r="AS39" s="167">
        <f t="shared" si="240"/>
        <v>0</v>
      </c>
      <c r="AT39" s="167">
        <f t="shared" si="127"/>
        <v>0</v>
      </c>
      <c r="AU39" s="167">
        <f t="shared" si="241"/>
        <v>0</v>
      </c>
      <c r="AV39" s="167">
        <f t="shared" si="129"/>
        <v>0</v>
      </c>
      <c r="AW39" s="167">
        <f t="shared" si="242"/>
        <v>0</v>
      </c>
      <c r="AX39" s="167">
        <f t="shared" si="131"/>
        <v>0</v>
      </c>
      <c r="AY39" s="167">
        <f t="shared" si="243"/>
        <v>0</v>
      </c>
      <c r="AZ39" s="167">
        <f t="shared" si="133"/>
        <v>0</v>
      </c>
      <c r="BA39" s="167">
        <f t="shared" si="244"/>
        <v>0</v>
      </c>
      <c r="BB39" s="170">
        <f t="shared" si="135"/>
        <v>0</v>
      </c>
      <c r="BC39" s="167">
        <f t="shared" si="136"/>
        <v>0</v>
      </c>
      <c r="BD39" s="171">
        <f t="shared" si="137"/>
        <v>0</v>
      </c>
      <c r="BE39" s="169">
        <f t="shared" si="276"/>
        <v>0</v>
      </c>
      <c r="BF39" s="167">
        <f t="shared" si="245"/>
        <v>0</v>
      </c>
      <c r="BG39" s="167">
        <f t="shared" si="140"/>
        <v>0</v>
      </c>
      <c r="BH39" s="167">
        <f t="shared" si="246"/>
        <v>0</v>
      </c>
      <c r="BI39" s="167">
        <f t="shared" si="142"/>
        <v>0</v>
      </c>
      <c r="BJ39" s="167">
        <f t="shared" si="247"/>
        <v>0</v>
      </c>
      <c r="BK39" s="167">
        <f t="shared" si="144"/>
        <v>0</v>
      </c>
      <c r="BL39" s="167">
        <f t="shared" si="248"/>
        <v>0</v>
      </c>
      <c r="BM39" s="167">
        <f t="shared" si="146"/>
        <v>0</v>
      </c>
      <c r="BN39" s="167">
        <f t="shared" si="249"/>
        <v>0</v>
      </c>
      <c r="BO39" s="170">
        <f t="shared" si="148"/>
        <v>0</v>
      </c>
      <c r="BP39" s="167">
        <f t="shared" si="149"/>
        <v>0</v>
      </c>
      <c r="BQ39" s="171">
        <f t="shared" si="150"/>
        <v>0</v>
      </c>
      <c r="BR39" s="169">
        <f t="shared" si="276"/>
        <v>0</v>
      </c>
      <c r="BS39" s="167">
        <f t="shared" si="250"/>
        <v>0</v>
      </c>
      <c r="BT39" s="167">
        <f t="shared" si="153"/>
        <v>0</v>
      </c>
      <c r="BU39" s="167">
        <f t="shared" si="251"/>
        <v>0</v>
      </c>
      <c r="BV39" s="167">
        <f t="shared" si="155"/>
        <v>0</v>
      </c>
      <c r="BW39" s="167">
        <f t="shared" si="252"/>
        <v>0</v>
      </c>
      <c r="BX39" s="167">
        <f t="shared" si="157"/>
        <v>0</v>
      </c>
      <c r="BY39" s="167">
        <f t="shared" si="253"/>
        <v>0</v>
      </c>
      <c r="BZ39" s="167">
        <f t="shared" si="159"/>
        <v>0</v>
      </c>
      <c r="CA39" s="167">
        <f t="shared" si="254"/>
        <v>0</v>
      </c>
      <c r="CB39" s="170">
        <f t="shared" si="161"/>
        <v>0</v>
      </c>
      <c r="CC39" s="167">
        <f t="shared" si="162"/>
        <v>0</v>
      </c>
      <c r="CD39" s="171">
        <f t="shared" si="163"/>
        <v>0</v>
      </c>
      <c r="CE39" s="169">
        <f t="shared" si="276"/>
        <v>0</v>
      </c>
      <c r="CF39" s="167">
        <f t="shared" si="255"/>
        <v>0</v>
      </c>
      <c r="CG39" s="167">
        <f t="shared" si="166"/>
        <v>0</v>
      </c>
      <c r="CH39" s="167">
        <f t="shared" si="256"/>
        <v>0</v>
      </c>
      <c r="CI39" s="167">
        <f t="shared" si="168"/>
        <v>0</v>
      </c>
      <c r="CJ39" s="167">
        <f t="shared" si="257"/>
        <v>0</v>
      </c>
      <c r="CK39" s="167">
        <f t="shared" si="170"/>
        <v>0</v>
      </c>
      <c r="CL39" s="167">
        <f t="shared" si="258"/>
        <v>0</v>
      </c>
      <c r="CM39" s="167">
        <f t="shared" si="172"/>
        <v>0</v>
      </c>
      <c r="CN39" s="167">
        <f t="shared" si="259"/>
        <v>0</v>
      </c>
      <c r="CO39" s="170">
        <f t="shared" si="174"/>
        <v>0</v>
      </c>
      <c r="CP39" s="167">
        <f t="shared" si="175"/>
        <v>0</v>
      </c>
      <c r="CQ39" s="171">
        <f t="shared" si="176"/>
        <v>0</v>
      </c>
      <c r="CR39" s="169">
        <f t="shared" si="277"/>
        <v>0</v>
      </c>
      <c r="CS39" s="167">
        <f t="shared" si="261"/>
        <v>0</v>
      </c>
      <c r="CT39" s="167">
        <f t="shared" si="179"/>
        <v>0</v>
      </c>
      <c r="CU39" s="167">
        <f t="shared" si="262"/>
        <v>0</v>
      </c>
      <c r="CV39" s="167">
        <f t="shared" si="181"/>
        <v>0</v>
      </c>
      <c r="CW39" s="167">
        <f t="shared" si="263"/>
        <v>0</v>
      </c>
      <c r="CX39" s="167">
        <f t="shared" si="183"/>
        <v>0</v>
      </c>
      <c r="CY39" s="167">
        <f t="shared" si="264"/>
        <v>0</v>
      </c>
      <c r="CZ39" s="167">
        <f t="shared" si="185"/>
        <v>0</v>
      </c>
      <c r="DA39" s="167">
        <f t="shared" si="265"/>
        <v>0</v>
      </c>
      <c r="DB39" s="170">
        <f t="shared" si="187"/>
        <v>0</v>
      </c>
      <c r="DC39" s="167">
        <f t="shared" si="188"/>
        <v>0</v>
      </c>
      <c r="DD39" s="171">
        <f t="shared" si="189"/>
        <v>0</v>
      </c>
      <c r="DE39" s="169">
        <f t="shared" si="277"/>
        <v>0</v>
      </c>
      <c r="DF39" s="167">
        <f t="shared" si="266"/>
        <v>0</v>
      </c>
      <c r="DG39" s="167">
        <f t="shared" si="192"/>
        <v>0</v>
      </c>
      <c r="DH39" s="167">
        <f t="shared" si="267"/>
        <v>0</v>
      </c>
      <c r="DI39" s="167">
        <f t="shared" si="194"/>
        <v>0</v>
      </c>
      <c r="DJ39" s="167">
        <f t="shared" si="268"/>
        <v>0</v>
      </c>
      <c r="DK39" s="167">
        <f t="shared" si="196"/>
        <v>0</v>
      </c>
      <c r="DL39" s="167">
        <f t="shared" si="269"/>
        <v>0</v>
      </c>
      <c r="DM39" s="167">
        <f t="shared" si="198"/>
        <v>0</v>
      </c>
      <c r="DN39" s="167">
        <f t="shared" si="270"/>
        <v>0</v>
      </c>
      <c r="DO39" s="170">
        <f t="shared" si="200"/>
        <v>0</v>
      </c>
      <c r="DP39" s="167">
        <f t="shared" si="201"/>
        <v>0</v>
      </c>
      <c r="DQ39" s="171">
        <f t="shared" si="202"/>
        <v>0</v>
      </c>
      <c r="DR39" s="169">
        <f t="shared" si="277"/>
        <v>0</v>
      </c>
      <c r="DS39" s="167">
        <f t="shared" si="271"/>
        <v>0</v>
      </c>
      <c r="DT39" s="167">
        <f t="shared" si="205"/>
        <v>0</v>
      </c>
      <c r="DU39" s="167">
        <f t="shared" si="272"/>
        <v>0</v>
      </c>
      <c r="DV39" s="167">
        <f t="shared" si="207"/>
        <v>0</v>
      </c>
      <c r="DW39" s="167">
        <f t="shared" si="273"/>
        <v>0</v>
      </c>
      <c r="DX39" s="167">
        <f t="shared" si="209"/>
        <v>0</v>
      </c>
      <c r="DY39" s="167">
        <f t="shared" si="274"/>
        <v>0</v>
      </c>
      <c r="DZ39" s="167">
        <f t="shared" si="211"/>
        <v>0</v>
      </c>
      <c r="EA39" s="167">
        <f t="shared" si="275"/>
        <v>0</v>
      </c>
      <c r="EB39" s="170">
        <f t="shared" si="213"/>
        <v>0</v>
      </c>
      <c r="EC39" s="167">
        <f t="shared" si="214"/>
        <v>0</v>
      </c>
      <c r="ED39" s="171">
        <f t="shared" si="215"/>
        <v>0</v>
      </c>
    </row>
    <row r="40" spans="1:134" x14ac:dyDescent="0.3">
      <c r="A40" s="196"/>
      <c r="B40" s="196"/>
      <c r="C40" s="616"/>
      <c r="D40" s="188"/>
      <c r="E40" s="189"/>
      <c r="F40" s="190"/>
      <c r="G40" s="191"/>
      <c r="H40" s="192"/>
      <c r="I40" s="193"/>
      <c r="J40" s="194"/>
      <c r="K40" s="165">
        <f t="shared" si="216"/>
        <v>0</v>
      </c>
      <c r="L40" s="166">
        <f t="shared" si="217"/>
        <v>0</v>
      </c>
      <c r="M40" s="167">
        <f t="shared" si="218"/>
        <v>0</v>
      </c>
      <c r="N40" s="167"/>
      <c r="O40" s="167">
        <f t="shared" si="219"/>
        <v>0</v>
      </c>
      <c r="P40" s="168"/>
      <c r="Q40" s="167">
        <f t="shared" si="220"/>
        <v>0</v>
      </c>
      <c r="R40" s="169">
        <f t="shared" si="221"/>
        <v>0</v>
      </c>
      <c r="S40" s="167">
        <f t="shared" si="222"/>
        <v>0</v>
      </c>
      <c r="T40" s="167">
        <f t="shared" si="223"/>
        <v>0</v>
      </c>
      <c r="U40" s="167">
        <f t="shared" si="224"/>
        <v>0</v>
      </c>
      <c r="V40" s="167">
        <f t="shared" si="225"/>
        <v>0</v>
      </c>
      <c r="W40" s="167">
        <f t="shared" si="226"/>
        <v>0</v>
      </c>
      <c r="X40" s="167">
        <f t="shared" si="227"/>
        <v>0</v>
      </c>
      <c r="Y40" s="167">
        <f t="shared" si="228"/>
        <v>0</v>
      </c>
      <c r="Z40" s="167">
        <f t="shared" si="229"/>
        <v>0</v>
      </c>
      <c r="AA40" s="167">
        <f t="shared" si="230"/>
        <v>0</v>
      </c>
      <c r="AB40" s="170">
        <f t="shared" si="231"/>
        <v>0</v>
      </c>
      <c r="AC40" s="167">
        <f t="shared" si="232"/>
        <v>0</v>
      </c>
      <c r="AD40" s="171">
        <f t="shared" si="233"/>
        <v>0</v>
      </c>
      <c r="AE40" s="169">
        <f t="shared" si="276"/>
        <v>0</v>
      </c>
      <c r="AF40" s="167">
        <f t="shared" si="235"/>
        <v>0</v>
      </c>
      <c r="AG40" s="167">
        <f t="shared" si="114"/>
        <v>0</v>
      </c>
      <c r="AH40" s="167">
        <f t="shared" si="236"/>
        <v>0</v>
      </c>
      <c r="AI40" s="167">
        <f t="shared" si="116"/>
        <v>0</v>
      </c>
      <c r="AJ40" s="167">
        <f t="shared" si="237"/>
        <v>0</v>
      </c>
      <c r="AK40" s="167">
        <f t="shared" si="118"/>
        <v>0</v>
      </c>
      <c r="AL40" s="167">
        <f t="shared" si="238"/>
        <v>0</v>
      </c>
      <c r="AM40" s="167">
        <f t="shared" si="120"/>
        <v>0</v>
      </c>
      <c r="AN40" s="167">
        <f t="shared" si="239"/>
        <v>0</v>
      </c>
      <c r="AO40" s="170">
        <f t="shared" si="122"/>
        <v>0</v>
      </c>
      <c r="AP40" s="167">
        <f t="shared" si="123"/>
        <v>0</v>
      </c>
      <c r="AQ40" s="171">
        <f t="shared" si="124"/>
        <v>0</v>
      </c>
      <c r="AR40" s="169">
        <f t="shared" si="276"/>
        <v>0</v>
      </c>
      <c r="AS40" s="167">
        <f t="shared" si="240"/>
        <v>0</v>
      </c>
      <c r="AT40" s="167">
        <f t="shared" si="127"/>
        <v>0</v>
      </c>
      <c r="AU40" s="167">
        <f t="shared" si="241"/>
        <v>0</v>
      </c>
      <c r="AV40" s="167">
        <f t="shared" si="129"/>
        <v>0</v>
      </c>
      <c r="AW40" s="167">
        <f t="shared" si="242"/>
        <v>0</v>
      </c>
      <c r="AX40" s="167">
        <f t="shared" si="131"/>
        <v>0</v>
      </c>
      <c r="AY40" s="167">
        <f t="shared" si="243"/>
        <v>0</v>
      </c>
      <c r="AZ40" s="167">
        <f t="shared" si="133"/>
        <v>0</v>
      </c>
      <c r="BA40" s="167">
        <f t="shared" si="244"/>
        <v>0</v>
      </c>
      <c r="BB40" s="170">
        <f t="shared" si="135"/>
        <v>0</v>
      </c>
      <c r="BC40" s="167">
        <f t="shared" si="136"/>
        <v>0</v>
      </c>
      <c r="BD40" s="171">
        <f t="shared" si="137"/>
        <v>0</v>
      </c>
      <c r="BE40" s="169">
        <f t="shared" si="276"/>
        <v>0</v>
      </c>
      <c r="BF40" s="167">
        <f t="shared" si="245"/>
        <v>0</v>
      </c>
      <c r="BG40" s="167">
        <f t="shared" si="140"/>
        <v>0</v>
      </c>
      <c r="BH40" s="167">
        <f t="shared" si="246"/>
        <v>0</v>
      </c>
      <c r="BI40" s="167">
        <f t="shared" si="142"/>
        <v>0</v>
      </c>
      <c r="BJ40" s="167">
        <f t="shared" si="247"/>
        <v>0</v>
      </c>
      <c r="BK40" s="167">
        <f t="shared" si="144"/>
        <v>0</v>
      </c>
      <c r="BL40" s="167">
        <f t="shared" si="248"/>
        <v>0</v>
      </c>
      <c r="BM40" s="167">
        <f t="shared" si="146"/>
        <v>0</v>
      </c>
      <c r="BN40" s="167">
        <f t="shared" si="249"/>
        <v>0</v>
      </c>
      <c r="BO40" s="170">
        <f t="shared" si="148"/>
        <v>0</v>
      </c>
      <c r="BP40" s="167">
        <f t="shared" si="149"/>
        <v>0</v>
      </c>
      <c r="BQ40" s="171">
        <f t="shared" si="150"/>
        <v>0</v>
      </c>
      <c r="BR40" s="169">
        <f t="shared" si="276"/>
        <v>0</v>
      </c>
      <c r="BS40" s="167">
        <f t="shared" si="250"/>
        <v>0</v>
      </c>
      <c r="BT40" s="167">
        <f t="shared" si="153"/>
        <v>0</v>
      </c>
      <c r="BU40" s="167">
        <f t="shared" si="251"/>
        <v>0</v>
      </c>
      <c r="BV40" s="167">
        <f t="shared" si="155"/>
        <v>0</v>
      </c>
      <c r="BW40" s="167">
        <f t="shared" si="252"/>
        <v>0</v>
      </c>
      <c r="BX40" s="167">
        <f t="shared" si="157"/>
        <v>0</v>
      </c>
      <c r="BY40" s="167">
        <f t="shared" si="253"/>
        <v>0</v>
      </c>
      <c r="BZ40" s="167">
        <f t="shared" si="159"/>
        <v>0</v>
      </c>
      <c r="CA40" s="167">
        <f t="shared" si="254"/>
        <v>0</v>
      </c>
      <c r="CB40" s="170">
        <f t="shared" si="161"/>
        <v>0</v>
      </c>
      <c r="CC40" s="167">
        <f t="shared" si="162"/>
        <v>0</v>
      </c>
      <c r="CD40" s="171">
        <f t="shared" si="163"/>
        <v>0</v>
      </c>
      <c r="CE40" s="169">
        <f t="shared" si="276"/>
        <v>0</v>
      </c>
      <c r="CF40" s="167">
        <f t="shared" si="255"/>
        <v>0</v>
      </c>
      <c r="CG40" s="167">
        <f t="shared" si="166"/>
        <v>0</v>
      </c>
      <c r="CH40" s="167">
        <f t="shared" si="256"/>
        <v>0</v>
      </c>
      <c r="CI40" s="167">
        <f t="shared" si="168"/>
        <v>0</v>
      </c>
      <c r="CJ40" s="167">
        <f t="shared" si="257"/>
        <v>0</v>
      </c>
      <c r="CK40" s="167">
        <f t="shared" si="170"/>
        <v>0</v>
      </c>
      <c r="CL40" s="167">
        <f t="shared" si="258"/>
        <v>0</v>
      </c>
      <c r="CM40" s="167">
        <f t="shared" si="172"/>
        <v>0</v>
      </c>
      <c r="CN40" s="167">
        <f t="shared" si="259"/>
        <v>0</v>
      </c>
      <c r="CO40" s="170">
        <f t="shared" si="174"/>
        <v>0</v>
      </c>
      <c r="CP40" s="167">
        <f t="shared" si="175"/>
        <v>0</v>
      </c>
      <c r="CQ40" s="171">
        <f t="shared" si="176"/>
        <v>0</v>
      </c>
      <c r="CR40" s="169">
        <f t="shared" si="277"/>
        <v>0</v>
      </c>
      <c r="CS40" s="167">
        <f t="shared" si="261"/>
        <v>0</v>
      </c>
      <c r="CT40" s="167">
        <f t="shared" si="179"/>
        <v>0</v>
      </c>
      <c r="CU40" s="167">
        <f t="shared" si="262"/>
        <v>0</v>
      </c>
      <c r="CV40" s="167">
        <f t="shared" si="181"/>
        <v>0</v>
      </c>
      <c r="CW40" s="167">
        <f t="shared" si="263"/>
        <v>0</v>
      </c>
      <c r="CX40" s="167">
        <f t="shared" si="183"/>
        <v>0</v>
      </c>
      <c r="CY40" s="167">
        <f t="shared" si="264"/>
        <v>0</v>
      </c>
      <c r="CZ40" s="167">
        <f t="shared" si="185"/>
        <v>0</v>
      </c>
      <c r="DA40" s="167">
        <f t="shared" si="265"/>
        <v>0</v>
      </c>
      <c r="DB40" s="170">
        <f t="shared" si="187"/>
        <v>0</v>
      </c>
      <c r="DC40" s="167">
        <f t="shared" si="188"/>
        <v>0</v>
      </c>
      <c r="DD40" s="171">
        <f t="shared" si="189"/>
        <v>0</v>
      </c>
      <c r="DE40" s="169">
        <f t="shared" si="277"/>
        <v>0</v>
      </c>
      <c r="DF40" s="167">
        <f t="shared" si="266"/>
        <v>0</v>
      </c>
      <c r="DG40" s="167">
        <f t="shared" si="192"/>
        <v>0</v>
      </c>
      <c r="DH40" s="167">
        <f t="shared" si="267"/>
        <v>0</v>
      </c>
      <c r="DI40" s="167">
        <f t="shared" si="194"/>
        <v>0</v>
      </c>
      <c r="DJ40" s="167">
        <f t="shared" si="268"/>
        <v>0</v>
      </c>
      <c r="DK40" s="167">
        <f t="shared" si="196"/>
        <v>0</v>
      </c>
      <c r="DL40" s="167">
        <f t="shared" si="269"/>
        <v>0</v>
      </c>
      <c r="DM40" s="167">
        <f t="shared" si="198"/>
        <v>0</v>
      </c>
      <c r="DN40" s="167">
        <f t="shared" si="270"/>
        <v>0</v>
      </c>
      <c r="DO40" s="170">
        <f t="shared" si="200"/>
        <v>0</v>
      </c>
      <c r="DP40" s="167">
        <f t="shared" si="201"/>
        <v>0</v>
      </c>
      <c r="DQ40" s="171">
        <f t="shared" si="202"/>
        <v>0</v>
      </c>
      <c r="DR40" s="169">
        <f t="shared" si="277"/>
        <v>0</v>
      </c>
      <c r="DS40" s="167">
        <f t="shared" si="271"/>
        <v>0</v>
      </c>
      <c r="DT40" s="167">
        <f t="shared" si="205"/>
        <v>0</v>
      </c>
      <c r="DU40" s="167">
        <f t="shared" si="272"/>
        <v>0</v>
      </c>
      <c r="DV40" s="167">
        <f t="shared" si="207"/>
        <v>0</v>
      </c>
      <c r="DW40" s="167">
        <f t="shared" si="273"/>
        <v>0</v>
      </c>
      <c r="DX40" s="167">
        <f t="shared" si="209"/>
        <v>0</v>
      </c>
      <c r="DY40" s="167">
        <f t="shared" si="274"/>
        <v>0</v>
      </c>
      <c r="DZ40" s="167">
        <f t="shared" si="211"/>
        <v>0</v>
      </c>
      <c r="EA40" s="167">
        <f t="shared" si="275"/>
        <v>0</v>
      </c>
      <c r="EB40" s="170">
        <f t="shared" si="213"/>
        <v>0</v>
      </c>
      <c r="EC40" s="167">
        <f t="shared" si="214"/>
        <v>0</v>
      </c>
      <c r="ED40" s="171">
        <f t="shared" si="215"/>
        <v>0</v>
      </c>
    </row>
    <row r="41" spans="1:134" x14ac:dyDescent="0.3">
      <c r="A41" s="196"/>
      <c r="B41" s="196"/>
      <c r="C41" s="196"/>
      <c r="D41" s="188"/>
      <c r="E41" s="189"/>
      <c r="F41" s="190"/>
      <c r="G41" s="191"/>
      <c r="H41" s="192"/>
      <c r="I41" s="193"/>
      <c r="J41" s="194"/>
      <c r="K41" s="165">
        <f t="shared" si="216"/>
        <v>0</v>
      </c>
      <c r="L41" s="166">
        <f t="shared" si="217"/>
        <v>0</v>
      </c>
      <c r="M41" s="167">
        <f t="shared" si="218"/>
        <v>0</v>
      </c>
      <c r="N41" s="167"/>
      <c r="O41" s="167">
        <f t="shared" si="219"/>
        <v>0</v>
      </c>
      <c r="P41" s="168"/>
      <c r="Q41" s="167">
        <f t="shared" si="220"/>
        <v>0</v>
      </c>
      <c r="R41" s="169">
        <f t="shared" si="221"/>
        <v>0</v>
      </c>
      <c r="S41" s="167">
        <f t="shared" si="222"/>
        <v>0</v>
      </c>
      <c r="T41" s="167">
        <f t="shared" si="223"/>
        <v>0</v>
      </c>
      <c r="U41" s="167">
        <f t="shared" si="224"/>
        <v>0</v>
      </c>
      <c r="V41" s="167">
        <f t="shared" si="225"/>
        <v>0</v>
      </c>
      <c r="W41" s="167">
        <f t="shared" si="226"/>
        <v>0</v>
      </c>
      <c r="X41" s="167">
        <f t="shared" si="227"/>
        <v>0</v>
      </c>
      <c r="Y41" s="167">
        <f t="shared" si="228"/>
        <v>0</v>
      </c>
      <c r="Z41" s="167">
        <f t="shared" si="229"/>
        <v>0</v>
      </c>
      <c r="AA41" s="167">
        <f t="shared" si="230"/>
        <v>0</v>
      </c>
      <c r="AB41" s="170">
        <f t="shared" si="231"/>
        <v>0</v>
      </c>
      <c r="AC41" s="167">
        <f t="shared" si="232"/>
        <v>0</v>
      </c>
      <c r="AD41" s="171">
        <f t="shared" si="233"/>
        <v>0</v>
      </c>
      <c r="AE41" s="169">
        <f t="shared" si="276"/>
        <v>0</v>
      </c>
      <c r="AF41" s="167">
        <f t="shared" si="235"/>
        <v>0</v>
      </c>
      <c r="AG41" s="167">
        <f t="shared" si="114"/>
        <v>0</v>
      </c>
      <c r="AH41" s="167">
        <f t="shared" si="236"/>
        <v>0</v>
      </c>
      <c r="AI41" s="167">
        <f t="shared" si="116"/>
        <v>0</v>
      </c>
      <c r="AJ41" s="167">
        <f t="shared" si="237"/>
        <v>0</v>
      </c>
      <c r="AK41" s="167">
        <f t="shared" si="118"/>
        <v>0</v>
      </c>
      <c r="AL41" s="167">
        <f t="shared" si="238"/>
        <v>0</v>
      </c>
      <c r="AM41" s="167">
        <f t="shared" si="120"/>
        <v>0</v>
      </c>
      <c r="AN41" s="167">
        <f t="shared" si="239"/>
        <v>0</v>
      </c>
      <c r="AO41" s="170">
        <f t="shared" si="122"/>
        <v>0</v>
      </c>
      <c r="AP41" s="167">
        <f t="shared" si="123"/>
        <v>0</v>
      </c>
      <c r="AQ41" s="171">
        <f t="shared" si="124"/>
        <v>0</v>
      </c>
      <c r="AR41" s="169">
        <f t="shared" si="276"/>
        <v>0</v>
      </c>
      <c r="AS41" s="167">
        <f t="shared" si="240"/>
        <v>0</v>
      </c>
      <c r="AT41" s="167">
        <f t="shared" si="127"/>
        <v>0</v>
      </c>
      <c r="AU41" s="167">
        <f t="shared" si="241"/>
        <v>0</v>
      </c>
      <c r="AV41" s="167">
        <f t="shared" si="129"/>
        <v>0</v>
      </c>
      <c r="AW41" s="167">
        <f t="shared" si="242"/>
        <v>0</v>
      </c>
      <c r="AX41" s="167">
        <f t="shared" si="131"/>
        <v>0</v>
      </c>
      <c r="AY41" s="167">
        <f t="shared" si="243"/>
        <v>0</v>
      </c>
      <c r="AZ41" s="167">
        <f t="shared" si="133"/>
        <v>0</v>
      </c>
      <c r="BA41" s="167">
        <f t="shared" si="244"/>
        <v>0</v>
      </c>
      <c r="BB41" s="170">
        <f t="shared" si="135"/>
        <v>0</v>
      </c>
      <c r="BC41" s="167">
        <f t="shared" si="136"/>
        <v>0</v>
      </c>
      <c r="BD41" s="171">
        <f t="shared" si="137"/>
        <v>0</v>
      </c>
      <c r="BE41" s="169">
        <f t="shared" si="276"/>
        <v>0</v>
      </c>
      <c r="BF41" s="167">
        <f t="shared" si="245"/>
        <v>0</v>
      </c>
      <c r="BG41" s="167">
        <f t="shared" si="140"/>
        <v>0</v>
      </c>
      <c r="BH41" s="167">
        <f t="shared" si="246"/>
        <v>0</v>
      </c>
      <c r="BI41" s="167">
        <f t="shared" si="142"/>
        <v>0</v>
      </c>
      <c r="BJ41" s="167">
        <f t="shared" si="247"/>
        <v>0</v>
      </c>
      <c r="BK41" s="167">
        <f t="shared" si="144"/>
        <v>0</v>
      </c>
      <c r="BL41" s="167">
        <f t="shared" si="248"/>
        <v>0</v>
      </c>
      <c r="BM41" s="167">
        <f t="shared" si="146"/>
        <v>0</v>
      </c>
      <c r="BN41" s="167">
        <f t="shared" si="249"/>
        <v>0</v>
      </c>
      <c r="BO41" s="170">
        <f t="shared" si="148"/>
        <v>0</v>
      </c>
      <c r="BP41" s="167">
        <f t="shared" si="149"/>
        <v>0</v>
      </c>
      <c r="BQ41" s="171">
        <f t="shared" si="150"/>
        <v>0</v>
      </c>
      <c r="BR41" s="169">
        <f t="shared" si="276"/>
        <v>0</v>
      </c>
      <c r="BS41" s="167">
        <f t="shared" si="250"/>
        <v>0</v>
      </c>
      <c r="BT41" s="167">
        <f t="shared" si="153"/>
        <v>0</v>
      </c>
      <c r="BU41" s="167">
        <f t="shared" si="251"/>
        <v>0</v>
      </c>
      <c r="BV41" s="167">
        <f t="shared" si="155"/>
        <v>0</v>
      </c>
      <c r="BW41" s="167">
        <f t="shared" si="252"/>
        <v>0</v>
      </c>
      <c r="BX41" s="167">
        <f t="shared" si="157"/>
        <v>0</v>
      </c>
      <c r="BY41" s="167">
        <f t="shared" si="253"/>
        <v>0</v>
      </c>
      <c r="BZ41" s="167">
        <f t="shared" si="159"/>
        <v>0</v>
      </c>
      <c r="CA41" s="167">
        <f t="shared" si="254"/>
        <v>0</v>
      </c>
      <c r="CB41" s="170">
        <f t="shared" si="161"/>
        <v>0</v>
      </c>
      <c r="CC41" s="167">
        <f t="shared" si="162"/>
        <v>0</v>
      </c>
      <c r="CD41" s="171">
        <f t="shared" si="163"/>
        <v>0</v>
      </c>
      <c r="CE41" s="169">
        <f t="shared" si="276"/>
        <v>0</v>
      </c>
      <c r="CF41" s="167">
        <f t="shared" si="255"/>
        <v>0</v>
      </c>
      <c r="CG41" s="167">
        <f t="shared" si="166"/>
        <v>0</v>
      </c>
      <c r="CH41" s="167">
        <f t="shared" si="256"/>
        <v>0</v>
      </c>
      <c r="CI41" s="167">
        <f t="shared" si="168"/>
        <v>0</v>
      </c>
      <c r="CJ41" s="167">
        <f t="shared" si="257"/>
        <v>0</v>
      </c>
      <c r="CK41" s="167">
        <f t="shared" si="170"/>
        <v>0</v>
      </c>
      <c r="CL41" s="167">
        <f t="shared" si="258"/>
        <v>0</v>
      </c>
      <c r="CM41" s="167">
        <f t="shared" si="172"/>
        <v>0</v>
      </c>
      <c r="CN41" s="167">
        <f t="shared" si="259"/>
        <v>0</v>
      </c>
      <c r="CO41" s="170">
        <f t="shared" si="174"/>
        <v>0</v>
      </c>
      <c r="CP41" s="167">
        <f t="shared" si="175"/>
        <v>0</v>
      </c>
      <c r="CQ41" s="171">
        <f t="shared" si="176"/>
        <v>0</v>
      </c>
      <c r="CR41" s="169">
        <f t="shared" si="277"/>
        <v>0</v>
      </c>
      <c r="CS41" s="167">
        <f t="shared" si="261"/>
        <v>0</v>
      </c>
      <c r="CT41" s="167">
        <f t="shared" si="179"/>
        <v>0</v>
      </c>
      <c r="CU41" s="167">
        <f t="shared" si="262"/>
        <v>0</v>
      </c>
      <c r="CV41" s="167">
        <f t="shared" si="181"/>
        <v>0</v>
      </c>
      <c r="CW41" s="167">
        <f t="shared" si="263"/>
        <v>0</v>
      </c>
      <c r="CX41" s="167">
        <f t="shared" si="183"/>
        <v>0</v>
      </c>
      <c r="CY41" s="167">
        <f t="shared" si="264"/>
        <v>0</v>
      </c>
      <c r="CZ41" s="167">
        <f t="shared" si="185"/>
        <v>0</v>
      </c>
      <c r="DA41" s="167">
        <f t="shared" si="265"/>
        <v>0</v>
      </c>
      <c r="DB41" s="170">
        <f t="shared" si="187"/>
        <v>0</v>
      </c>
      <c r="DC41" s="167">
        <f t="shared" si="188"/>
        <v>0</v>
      </c>
      <c r="DD41" s="171">
        <f t="shared" si="189"/>
        <v>0</v>
      </c>
      <c r="DE41" s="169">
        <f t="shared" si="277"/>
        <v>0</v>
      </c>
      <c r="DF41" s="167">
        <f t="shared" si="266"/>
        <v>0</v>
      </c>
      <c r="DG41" s="167">
        <f t="shared" si="192"/>
        <v>0</v>
      </c>
      <c r="DH41" s="167">
        <f t="shared" si="267"/>
        <v>0</v>
      </c>
      <c r="DI41" s="167">
        <f t="shared" si="194"/>
        <v>0</v>
      </c>
      <c r="DJ41" s="167">
        <f t="shared" si="268"/>
        <v>0</v>
      </c>
      <c r="DK41" s="167">
        <f t="shared" si="196"/>
        <v>0</v>
      </c>
      <c r="DL41" s="167">
        <f t="shared" si="269"/>
        <v>0</v>
      </c>
      <c r="DM41" s="167">
        <f t="shared" si="198"/>
        <v>0</v>
      </c>
      <c r="DN41" s="167">
        <f t="shared" si="270"/>
        <v>0</v>
      </c>
      <c r="DO41" s="170">
        <f t="shared" si="200"/>
        <v>0</v>
      </c>
      <c r="DP41" s="167">
        <f t="shared" si="201"/>
        <v>0</v>
      </c>
      <c r="DQ41" s="171">
        <f t="shared" si="202"/>
        <v>0</v>
      </c>
      <c r="DR41" s="169">
        <f t="shared" si="277"/>
        <v>0</v>
      </c>
      <c r="DS41" s="167">
        <f t="shared" si="271"/>
        <v>0</v>
      </c>
      <c r="DT41" s="167">
        <f t="shared" si="205"/>
        <v>0</v>
      </c>
      <c r="DU41" s="167">
        <f t="shared" si="272"/>
        <v>0</v>
      </c>
      <c r="DV41" s="167">
        <f t="shared" si="207"/>
        <v>0</v>
      </c>
      <c r="DW41" s="167">
        <f t="shared" si="273"/>
        <v>0</v>
      </c>
      <c r="DX41" s="167">
        <f t="shared" si="209"/>
        <v>0</v>
      </c>
      <c r="DY41" s="167">
        <f t="shared" si="274"/>
        <v>0</v>
      </c>
      <c r="DZ41" s="167">
        <f t="shared" si="211"/>
        <v>0</v>
      </c>
      <c r="EA41" s="167">
        <f t="shared" si="275"/>
        <v>0</v>
      </c>
      <c r="EB41" s="170">
        <f t="shared" si="213"/>
        <v>0</v>
      </c>
      <c r="EC41" s="167">
        <f t="shared" si="214"/>
        <v>0</v>
      </c>
      <c r="ED41" s="171">
        <f t="shared" si="215"/>
        <v>0</v>
      </c>
    </row>
    <row r="42" spans="1:134" x14ac:dyDescent="0.3">
      <c r="A42" s="196"/>
      <c r="B42" s="186"/>
      <c r="C42" s="189"/>
      <c r="D42" s="188"/>
      <c r="E42" s="189"/>
      <c r="F42" s="190"/>
      <c r="G42" s="191"/>
      <c r="H42" s="192"/>
      <c r="I42" s="193"/>
      <c r="J42" s="194"/>
      <c r="K42" s="165">
        <f t="shared" si="216"/>
        <v>0</v>
      </c>
      <c r="L42" s="166">
        <f t="shared" si="217"/>
        <v>0</v>
      </c>
      <c r="M42" s="167">
        <f t="shared" si="218"/>
        <v>0</v>
      </c>
      <c r="N42" s="167"/>
      <c r="O42" s="167">
        <f t="shared" si="219"/>
        <v>0</v>
      </c>
      <c r="P42" s="168"/>
      <c r="Q42" s="167">
        <f t="shared" si="220"/>
        <v>0</v>
      </c>
      <c r="R42" s="169">
        <f t="shared" si="221"/>
        <v>0</v>
      </c>
      <c r="S42" s="167">
        <f t="shared" si="222"/>
        <v>0</v>
      </c>
      <c r="T42" s="167">
        <f t="shared" si="223"/>
        <v>0</v>
      </c>
      <c r="U42" s="167">
        <f t="shared" si="224"/>
        <v>0</v>
      </c>
      <c r="V42" s="167">
        <f t="shared" si="225"/>
        <v>0</v>
      </c>
      <c r="W42" s="167">
        <f t="shared" si="226"/>
        <v>0</v>
      </c>
      <c r="X42" s="167">
        <f t="shared" si="227"/>
        <v>0</v>
      </c>
      <c r="Y42" s="167">
        <f t="shared" si="228"/>
        <v>0</v>
      </c>
      <c r="Z42" s="167">
        <f t="shared" si="229"/>
        <v>0</v>
      </c>
      <c r="AA42" s="167">
        <f t="shared" si="230"/>
        <v>0</v>
      </c>
      <c r="AB42" s="170">
        <f t="shared" si="231"/>
        <v>0</v>
      </c>
      <c r="AC42" s="167">
        <f t="shared" si="232"/>
        <v>0</v>
      </c>
      <c r="AD42" s="171">
        <f t="shared" si="233"/>
        <v>0</v>
      </c>
      <c r="AE42" s="169">
        <f t="shared" si="276"/>
        <v>0</v>
      </c>
      <c r="AF42" s="167">
        <f t="shared" si="235"/>
        <v>0</v>
      </c>
      <c r="AG42" s="167">
        <f t="shared" si="114"/>
        <v>0</v>
      </c>
      <c r="AH42" s="167">
        <f t="shared" si="236"/>
        <v>0</v>
      </c>
      <c r="AI42" s="167">
        <f t="shared" si="116"/>
        <v>0</v>
      </c>
      <c r="AJ42" s="167">
        <f t="shared" si="237"/>
        <v>0</v>
      </c>
      <c r="AK42" s="167">
        <f t="shared" si="118"/>
        <v>0</v>
      </c>
      <c r="AL42" s="167">
        <f t="shared" si="238"/>
        <v>0</v>
      </c>
      <c r="AM42" s="167">
        <f t="shared" si="120"/>
        <v>0</v>
      </c>
      <c r="AN42" s="167">
        <f t="shared" si="239"/>
        <v>0</v>
      </c>
      <c r="AO42" s="170">
        <f t="shared" si="122"/>
        <v>0</v>
      </c>
      <c r="AP42" s="167">
        <f t="shared" si="123"/>
        <v>0</v>
      </c>
      <c r="AQ42" s="171">
        <f t="shared" si="124"/>
        <v>0</v>
      </c>
      <c r="AR42" s="169">
        <f t="shared" si="276"/>
        <v>0</v>
      </c>
      <c r="AS42" s="167">
        <f t="shared" si="240"/>
        <v>0</v>
      </c>
      <c r="AT42" s="167">
        <f t="shared" si="127"/>
        <v>0</v>
      </c>
      <c r="AU42" s="167">
        <f t="shared" si="241"/>
        <v>0</v>
      </c>
      <c r="AV42" s="167">
        <f t="shared" si="129"/>
        <v>0</v>
      </c>
      <c r="AW42" s="167">
        <f t="shared" si="242"/>
        <v>0</v>
      </c>
      <c r="AX42" s="167">
        <f t="shared" si="131"/>
        <v>0</v>
      </c>
      <c r="AY42" s="167">
        <f t="shared" si="243"/>
        <v>0</v>
      </c>
      <c r="AZ42" s="167">
        <f t="shared" si="133"/>
        <v>0</v>
      </c>
      <c r="BA42" s="167">
        <f t="shared" si="244"/>
        <v>0</v>
      </c>
      <c r="BB42" s="170">
        <f t="shared" si="135"/>
        <v>0</v>
      </c>
      <c r="BC42" s="167">
        <f t="shared" si="136"/>
        <v>0</v>
      </c>
      <c r="BD42" s="171">
        <f t="shared" si="137"/>
        <v>0</v>
      </c>
      <c r="BE42" s="169">
        <f t="shared" si="276"/>
        <v>0</v>
      </c>
      <c r="BF42" s="167">
        <f t="shared" si="245"/>
        <v>0</v>
      </c>
      <c r="BG42" s="167">
        <f t="shared" si="140"/>
        <v>0</v>
      </c>
      <c r="BH42" s="167">
        <f t="shared" si="246"/>
        <v>0</v>
      </c>
      <c r="BI42" s="167">
        <f t="shared" si="142"/>
        <v>0</v>
      </c>
      <c r="BJ42" s="167">
        <f t="shared" si="247"/>
        <v>0</v>
      </c>
      <c r="BK42" s="167">
        <f t="shared" si="144"/>
        <v>0</v>
      </c>
      <c r="BL42" s="167">
        <f t="shared" si="248"/>
        <v>0</v>
      </c>
      <c r="BM42" s="167">
        <f t="shared" si="146"/>
        <v>0</v>
      </c>
      <c r="BN42" s="167">
        <f t="shared" si="249"/>
        <v>0</v>
      </c>
      <c r="BO42" s="170">
        <f t="shared" si="148"/>
        <v>0</v>
      </c>
      <c r="BP42" s="167">
        <f t="shared" si="149"/>
        <v>0</v>
      </c>
      <c r="BQ42" s="171">
        <f t="shared" si="150"/>
        <v>0</v>
      </c>
      <c r="BR42" s="169">
        <f t="shared" si="276"/>
        <v>0</v>
      </c>
      <c r="BS42" s="167">
        <f t="shared" si="250"/>
        <v>0</v>
      </c>
      <c r="BT42" s="167">
        <f t="shared" si="153"/>
        <v>0</v>
      </c>
      <c r="BU42" s="167">
        <f t="shared" si="251"/>
        <v>0</v>
      </c>
      <c r="BV42" s="167">
        <f t="shared" si="155"/>
        <v>0</v>
      </c>
      <c r="BW42" s="167">
        <f t="shared" si="252"/>
        <v>0</v>
      </c>
      <c r="BX42" s="167">
        <f t="shared" si="157"/>
        <v>0</v>
      </c>
      <c r="BY42" s="167">
        <f t="shared" si="253"/>
        <v>0</v>
      </c>
      <c r="BZ42" s="167">
        <f t="shared" si="159"/>
        <v>0</v>
      </c>
      <c r="CA42" s="167">
        <f t="shared" si="254"/>
        <v>0</v>
      </c>
      <c r="CB42" s="170">
        <f t="shared" si="161"/>
        <v>0</v>
      </c>
      <c r="CC42" s="167">
        <f t="shared" si="162"/>
        <v>0</v>
      </c>
      <c r="CD42" s="171">
        <f t="shared" si="163"/>
        <v>0</v>
      </c>
      <c r="CE42" s="169">
        <f t="shared" si="276"/>
        <v>0</v>
      </c>
      <c r="CF42" s="167">
        <f t="shared" si="255"/>
        <v>0</v>
      </c>
      <c r="CG42" s="167">
        <f t="shared" si="166"/>
        <v>0</v>
      </c>
      <c r="CH42" s="167">
        <f t="shared" si="256"/>
        <v>0</v>
      </c>
      <c r="CI42" s="167">
        <f t="shared" si="168"/>
        <v>0</v>
      </c>
      <c r="CJ42" s="167">
        <f t="shared" si="257"/>
        <v>0</v>
      </c>
      <c r="CK42" s="167">
        <f t="shared" si="170"/>
        <v>0</v>
      </c>
      <c r="CL42" s="167">
        <f t="shared" si="258"/>
        <v>0</v>
      </c>
      <c r="CM42" s="167">
        <f t="shared" si="172"/>
        <v>0</v>
      </c>
      <c r="CN42" s="167">
        <f t="shared" si="259"/>
        <v>0</v>
      </c>
      <c r="CO42" s="170">
        <f t="shared" si="174"/>
        <v>0</v>
      </c>
      <c r="CP42" s="167">
        <f t="shared" si="175"/>
        <v>0</v>
      </c>
      <c r="CQ42" s="171">
        <f t="shared" si="176"/>
        <v>0</v>
      </c>
      <c r="CR42" s="169">
        <f t="shared" si="277"/>
        <v>0</v>
      </c>
      <c r="CS42" s="167">
        <f t="shared" si="261"/>
        <v>0</v>
      </c>
      <c r="CT42" s="167">
        <f t="shared" si="179"/>
        <v>0</v>
      </c>
      <c r="CU42" s="167">
        <f t="shared" si="262"/>
        <v>0</v>
      </c>
      <c r="CV42" s="167">
        <f t="shared" si="181"/>
        <v>0</v>
      </c>
      <c r="CW42" s="167">
        <f t="shared" si="263"/>
        <v>0</v>
      </c>
      <c r="CX42" s="167">
        <f t="shared" si="183"/>
        <v>0</v>
      </c>
      <c r="CY42" s="167">
        <f t="shared" si="264"/>
        <v>0</v>
      </c>
      <c r="CZ42" s="167">
        <f t="shared" si="185"/>
        <v>0</v>
      </c>
      <c r="DA42" s="167">
        <f t="shared" si="265"/>
        <v>0</v>
      </c>
      <c r="DB42" s="170">
        <f t="shared" si="187"/>
        <v>0</v>
      </c>
      <c r="DC42" s="167">
        <f t="shared" si="188"/>
        <v>0</v>
      </c>
      <c r="DD42" s="171">
        <f t="shared" si="189"/>
        <v>0</v>
      </c>
      <c r="DE42" s="169">
        <f t="shared" si="277"/>
        <v>0</v>
      </c>
      <c r="DF42" s="167">
        <f t="shared" si="266"/>
        <v>0</v>
      </c>
      <c r="DG42" s="167">
        <f t="shared" si="192"/>
        <v>0</v>
      </c>
      <c r="DH42" s="167">
        <f t="shared" si="267"/>
        <v>0</v>
      </c>
      <c r="DI42" s="167">
        <f t="shared" si="194"/>
        <v>0</v>
      </c>
      <c r="DJ42" s="167">
        <f t="shared" si="268"/>
        <v>0</v>
      </c>
      <c r="DK42" s="167">
        <f t="shared" si="196"/>
        <v>0</v>
      </c>
      <c r="DL42" s="167">
        <f t="shared" si="269"/>
        <v>0</v>
      </c>
      <c r="DM42" s="167">
        <f t="shared" si="198"/>
        <v>0</v>
      </c>
      <c r="DN42" s="167">
        <f t="shared" si="270"/>
        <v>0</v>
      </c>
      <c r="DO42" s="170">
        <f t="shared" si="200"/>
        <v>0</v>
      </c>
      <c r="DP42" s="167">
        <f t="shared" si="201"/>
        <v>0</v>
      </c>
      <c r="DQ42" s="171">
        <f t="shared" si="202"/>
        <v>0</v>
      </c>
      <c r="DR42" s="169">
        <f t="shared" si="277"/>
        <v>0</v>
      </c>
      <c r="DS42" s="167">
        <f t="shared" si="271"/>
        <v>0</v>
      </c>
      <c r="DT42" s="167">
        <f t="shared" si="205"/>
        <v>0</v>
      </c>
      <c r="DU42" s="167">
        <f t="shared" si="272"/>
        <v>0</v>
      </c>
      <c r="DV42" s="167">
        <f t="shared" si="207"/>
        <v>0</v>
      </c>
      <c r="DW42" s="167">
        <f t="shared" si="273"/>
        <v>0</v>
      </c>
      <c r="DX42" s="167">
        <f t="shared" si="209"/>
        <v>0</v>
      </c>
      <c r="DY42" s="167">
        <f t="shared" si="274"/>
        <v>0</v>
      </c>
      <c r="DZ42" s="167">
        <f t="shared" si="211"/>
        <v>0</v>
      </c>
      <c r="EA42" s="167">
        <f t="shared" si="275"/>
        <v>0</v>
      </c>
      <c r="EB42" s="170">
        <f t="shared" si="213"/>
        <v>0</v>
      </c>
      <c r="EC42" s="167">
        <f t="shared" si="214"/>
        <v>0</v>
      </c>
      <c r="ED42" s="171">
        <f t="shared" si="215"/>
        <v>0</v>
      </c>
    </row>
    <row r="43" spans="1:134" x14ac:dyDescent="0.3">
      <c r="A43" s="196"/>
      <c r="B43" s="196"/>
      <c r="C43" s="616"/>
      <c r="D43" s="188"/>
      <c r="E43" s="189"/>
      <c r="F43" s="190"/>
      <c r="G43" s="191"/>
      <c r="H43" s="192"/>
      <c r="I43" s="193"/>
      <c r="J43" s="194"/>
      <c r="K43" s="165">
        <f t="shared" si="216"/>
        <v>0</v>
      </c>
      <c r="L43" s="166">
        <f t="shared" si="217"/>
        <v>0</v>
      </c>
      <c r="M43" s="167">
        <f t="shared" si="218"/>
        <v>0</v>
      </c>
      <c r="N43" s="167"/>
      <c r="O43" s="167">
        <f t="shared" si="219"/>
        <v>0</v>
      </c>
      <c r="P43" s="168"/>
      <c r="Q43" s="167">
        <f t="shared" si="220"/>
        <v>0</v>
      </c>
      <c r="R43" s="169">
        <f t="shared" si="221"/>
        <v>0</v>
      </c>
      <c r="S43" s="167">
        <f t="shared" si="222"/>
        <v>0</v>
      </c>
      <c r="T43" s="167">
        <f t="shared" si="223"/>
        <v>0</v>
      </c>
      <c r="U43" s="167">
        <f t="shared" si="224"/>
        <v>0</v>
      </c>
      <c r="V43" s="167">
        <f t="shared" si="225"/>
        <v>0</v>
      </c>
      <c r="W43" s="167">
        <f t="shared" si="226"/>
        <v>0</v>
      </c>
      <c r="X43" s="167">
        <f t="shared" si="227"/>
        <v>0</v>
      </c>
      <c r="Y43" s="167">
        <f t="shared" si="228"/>
        <v>0</v>
      </c>
      <c r="Z43" s="167">
        <f t="shared" si="229"/>
        <v>0</v>
      </c>
      <c r="AA43" s="167">
        <f t="shared" si="230"/>
        <v>0</v>
      </c>
      <c r="AB43" s="170">
        <f t="shared" si="231"/>
        <v>0</v>
      </c>
      <c r="AC43" s="167">
        <f t="shared" si="232"/>
        <v>0</v>
      </c>
      <c r="AD43" s="171">
        <f t="shared" si="233"/>
        <v>0</v>
      </c>
      <c r="AE43" s="169">
        <f t="shared" si="276"/>
        <v>0</v>
      </c>
      <c r="AF43" s="167">
        <f t="shared" si="235"/>
        <v>0</v>
      </c>
      <c r="AG43" s="167">
        <f t="shared" si="114"/>
        <v>0</v>
      </c>
      <c r="AH43" s="167">
        <f t="shared" si="236"/>
        <v>0</v>
      </c>
      <c r="AI43" s="167">
        <f t="shared" si="116"/>
        <v>0</v>
      </c>
      <c r="AJ43" s="167">
        <f t="shared" si="237"/>
        <v>0</v>
      </c>
      <c r="AK43" s="167">
        <f t="shared" si="118"/>
        <v>0</v>
      </c>
      <c r="AL43" s="167">
        <f t="shared" si="238"/>
        <v>0</v>
      </c>
      <c r="AM43" s="167">
        <f t="shared" si="120"/>
        <v>0</v>
      </c>
      <c r="AN43" s="167">
        <f t="shared" si="239"/>
        <v>0</v>
      </c>
      <c r="AO43" s="170">
        <f t="shared" si="122"/>
        <v>0</v>
      </c>
      <c r="AP43" s="167">
        <f t="shared" si="123"/>
        <v>0</v>
      </c>
      <c r="AQ43" s="171">
        <f t="shared" si="124"/>
        <v>0</v>
      </c>
      <c r="AR43" s="169">
        <f t="shared" si="276"/>
        <v>0</v>
      </c>
      <c r="AS43" s="167">
        <f t="shared" si="240"/>
        <v>0</v>
      </c>
      <c r="AT43" s="167">
        <f t="shared" si="127"/>
        <v>0</v>
      </c>
      <c r="AU43" s="167">
        <f t="shared" si="241"/>
        <v>0</v>
      </c>
      <c r="AV43" s="167">
        <f t="shared" si="129"/>
        <v>0</v>
      </c>
      <c r="AW43" s="167">
        <f t="shared" si="242"/>
        <v>0</v>
      </c>
      <c r="AX43" s="167">
        <f t="shared" si="131"/>
        <v>0</v>
      </c>
      <c r="AY43" s="167">
        <f t="shared" si="243"/>
        <v>0</v>
      </c>
      <c r="AZ43" s="167">
        <f t="shared" si="133"/>
        <v>0</v>
      </c>
      <c r="BA43" s="167">
        <f t="shared" si="244"/>
        <v>0</v>
      </c>
      <c r="BB43" s="170">
        <f t="shared" si="135"/>
        <v>0</v>
      </c>
      <c r="BC43" s="167">
        <f t="shared" si="136"/>
        <v>0</v>
      </c>
      <c r="BD43" s="171">
        <f t="shared" si="137"/>
        <v>0</v>
      </c>
      <c r="BE43" s="169">
        <f t="shared" si="276"/>
        <v>0</v>
      </c>
      <c r="BF43" s="167">
        <f t="shared" si="245"/>
        <v>0</v>
      </c>
      <c r="BG43" s="167">
        <f t="shared" si="140"/>
        <v>0</v>
      </c>
      <c r="BH43" s="167">
        <f t="shared" si="246"/>
        <v>0</v>
      </c>
      <c r="BI43" s="167">
        <f t="shared" si="142"/>
        <v>0</v>
      </c>
      <c r="BJ43" s="167">
        <f t="shared" si="247"/>
        <v>0</v>
      </c>
      <c r="BK43" s="167">
        <f t="shared" si="144"/>
        <v>0</v>
      </c>
      <c r="BL43" s="167">
        <f t="shared" si="248"/>
        <v>0</v>
      </c>
      <c r="BM43" s="167">
        <f t="shared" si="146"/>
        <v>0</v>
      </c>
      <c r="BN43" s="167">
        <f t="shared" si="249"/>
        <v>0</v>
      </c>
      <c r="BO43" s="170">
        <f t="shared" si="148"/>
        <v>0</v>
      </c>
      <c r="BP43" s="167">
        <f t="shared" si="149"/>
        <v>0</v>
      </c>
      <c r="BQ43" s="171">
        <f t="shared" si="150"/>
        <v>0</v>
      </c>
      <c r="BR43" s="169">
        <f t="shared" si="276"/>
        <v>0</v>
      </c>
      <c r="BS43" s="167">
        <f t="shared" si="250"/>
        <v>0</v>
      </c>
      <c r="BT43" s="167">
        <f t="shared" si="153"/>
        <v>0</v>
      </c>
      <c r="BU43" s="167">
        <f t="shared" si="251"/>
        <v>0</v>
      </c>
      <c r="BV43" s="167">
        <f t="shared" si="155"/>
        <v>0</v>
      </c>
      <c r="BW43" s="167">
        <f t="shared" si="252"/>
        <v>0</v>
      </c>
      <c r="BX43" s="167">
        <f t="shared" si="157"/>
        <v>0</v>
      </c>
      <c r="BY43" s="167">
        <f t="shared" si="253"/>
        <v>0</v>
      </c>
      <c r="BZ43" s="167">
        <f t="shared" si="159"/>
        <v>0</v>
      </c>
      <c r="CA43" s="167">
        <f t="shared" si="254"/>
        <v>0</v>
      </c>
      <c r="CB43" s="170">
        <f t="shared" si="161"/>
        <v>0</v>
      </c>
      <c r="CC43" s="167">
        <f t="shared" si="162"/>
        <v>0</v>
      </c>
      <c r="CD43" s="171">
        <f t="shared" si="163"/>
        <v>0</v>
      </c>
      <c r="CE43" s="169">
        <f t="shared" si="276"/>
        <v>0</v>
      </c>
      <c r="CF43" s="167">
        <f t="shared" si="255"/>
        <v>0</v>
      </c>
      <c r="CG43" s="167">
        <f t="shared" si="166"/>
        <v>0</v>
      </c>
      <c r="CH43" s="167">
        <f t="shared" si="256"/>
        <v>0</v>
      </c>
      <c r="CI43" s="167">
        <f t="shared" si="168"/>
        <v>0</v>
      </c>
      <c r="CJ43" s="167">
        <f t="shared" si="257"/>
        <v>0</v>
      </c>
      <c r="CK43" s="167">
        <f t="shared" si="170"/>
        <v>0</v>
      </c>
      <c r="CL43" s="167">
        <f t="shared" si="258"/>
        <v>0</v>
      </c>
      <c r="CM43" s="167">
        <f t="shared" si="172"/>
        <v>0</v>
      </c>
      <c r="CN43" s="167">
        <f t="shared" si="259"/>
        <v>0</v>
      </c>
      <c r="CO43" s="170">
        <f t="shared" si="174"/>
        <v>0</v>
      </c>
      <c r="CP43" s="167">
        <f t="shared" si="175"/>
        <v>0</v>
      </c>
      <c r="CQ43" s="171">
        <f t="shared" si="176"/>
        <v>0</v>
      </c>
      <c r="CR43" s="169">
        <f t="shared" si="277"/>
        <v>0</v>
      </c>
      <c r="CS43" s="167">
        <f t="shared" si="261"/>
        <v>0</v>
      </c>
      <c r="CT43" s="167">
        <f t="shared" si="179"/>
        <v>0</v>
      </c>
      <c r="CU43" s="167">
        <f t="shared" si="262"/>
        <v>0</v>
      </c>
      <c r="CV43" s="167">
        <f t="shared" si="181"/>
        <v>0</v>
      </c>
      <c r="CW43" s="167">
        <f t="shared" si="263"/>
        <v>0</v>
      </c>
      <c r="CX43" s="167">
        <f t="shared" si="183"/>
        <v>0</v>
      </c>
      <c r="CY43" s="167">
        <f t="shared" si="264"/>
        <v>0</v>
      </c>
      <c r="CZ43" s="167">
        <f t="shared" si="185"/>
        <v>0</v>
      </c>
      <c r="DA43" s="167">
        <f t="shared" si="265"/>
        <v>0</v>
      </c>
      <c r="DB43" s="170">
        <f t="shared" si="187"/>
        <v>0</v>
      </c>
      <c r="DC43" s="167">
        <f t="shared" si="188"/>
        <v>0</v>
      </c>
      <c r="DD43" s="171">
        <f t="shared" si="189"/>
        <v>0</v>
      </c>
      <c r="DE43" s="169">
        <f t="shared" si="277"/>
        <v>0</v>
      </c>
      <c r="DF43" s="167">
        <f t="shared" si="266"/>
        <v>0</v>
      </c>
      <c r="DG43" s="167">
        <f t="shared" si="192"/>
        <v>0</v>
      </c>
      <c r="DH43" s="167">
        <f t="shared" si="267"/>
        <v>0</v>
      </c>
      <c r="DI43" s="167">
        <f t="shared" si="194"/>
        <v>0</v>
      </c>
      <c r="DJ43" s="167">
        <f t="shared" si="268"/>
        <v>0</v>
      </c>
      <c r="DK43" s="167">
        <f t="shared" si="196"/>
        <v>0</v>
      </c>
      <c r="DL43" s="167">
        <f t="shared" si="269"/>
        <v>0</v>
      </c>
      <c r="DM43" s="167">
        <f t="shared" si="198"/>
        <v>0</v>
      </c>
      <c r="DN43" s="167">
        <f t="shared" si="270"/>
        <v>0</v>
      </c>
      <c r="DO43" s="170">
        <f t="shared" si="200"/>
        <v>0</v>
      </c>
      <c r="DP43" s="167">
        <f t="shared" si="201"/>
        <v>0</v>
      </c>
      <c r="DQ43" s="171">
        <f t="shared" si="202"/>
        <v>0</v>
      </c>
      <c r="DR43" s="169">
        <f t="shared" si="277"/>
        <v>0</v>
      </c>
      <c r="DS43" s="167">
        <f t="shared" si="271"/>
        <v>0</v>
      </c>
      <c r="DT43" s="167">
        <f t="shared" si="205"/>
        <v>0</v>
      </c>
      <c r="DU43" s="167">
        <f t="shared" si="272"/>
        <v>0</v>
      </c>
      <c r="DV43" s="167">
        <f t="shared" si="207"/>
        <v>0</v>
      </c>
      <c r="DW43" s="167">
        <f t="shared" si="273"/>
        <v>0</v>
      </c>
      <c r="DX43" s="167">
        <f t="shared" si="209"/>
        <v>0</v>
      </c>
      <c r="DY43" s="167">
        <f t="shared" si="274"/>
        <v>0</v>
      </c>
      <c r="DZ43" s="167">
        <f t="shared" si="211"/>
        <v>0</v>
      </c>
      <c r="EA43" s="167">
        <f t="shared" si="275"/>
        <v>0</v>
      </c>
      <c r="EB43" s="170">
        <f t="shared" si="213"/>
        <v>0</v>
      </c>
      <c r="EC43" s="167">
        <f t="shared" si="214"/>
        <v>0</v>
      </c>
      <c r="ED43" s="171">
        <f t="shared" si="215"/>
        <v>0</v>
      </c>
    </row>
    <row r="44" spans="1:134" x14ac:dyDescent="0.3">
      <c r="A44" s="196"/>
      <c r="B44" s="196"/>
      <c r="C44" s="196"/>
      <c r="D44" s="188"/>
      <c r="E44" s="189"/>
      <c r="F44" s="190"/>
      <c r="G44" s="191"/>
      <c r="H44" s="192"/>
      <c r="I44" s="193"/>
      <c r="J44" s="194"/>
      <c r="K44" s="165">
        <f t="shared" si="216"/>
        <v>0</v>
      </c>
      <c r="L44" s="166">
        <f t="shared" si="217"/>
        <v>0</v>
      </c>
      <c r="M44" s="167">
        <f t="shared" si="218"/>
        <v>0</v>
      </c>
      <c r="N44" s="167"/>
      <c r="O44" s="167">
        <f t="shared" si="219"/>
        <v>0</v>
      </c>
      <c r="P44" s="168"/>
      <c r="Q44" s="167">
        <f t="shared" si="220"/>
        <v>0</v>
      </c>
      <c r="R44" s="169">
        <f t="shared" si="221"/>
        <v>0</v>
      </c>
      <c r="S44" s="167">
        <f t="shared" si="222"/>
        <v>0</v>
      </c>
      <c r="T44" s="167">
        <f t="shared" si="223"/>
        <v>0</v>
      </c>
      <c r="U44" s="167">
        <f t="shared" si="224"/>
        <v>0</v>
      </c>
      <c r="V44" s="167">
        <f t="shared" si="225"/>
        <v>0</v>
      </c>
      <c r="W44" s="167">
        <f t="shared" si="226"/>
        <v>0</v>
      </c>
      <c r="X44" s="167">
        <f t="shared" si="227"/>
        <v>0</v>
      </c>
      <c r="Y44" s="167">
        <f t="shared" si="228"/>
        <v>0</v>
      </c>
      <c r="Z44" s="167">
        <f t="shared" si="229"/>
        <v>0</v>
      </c>
      <c r="AA44" s="167">
        <f t="shared" si="230"/>
        <v>0</v>
      </c>
      <c r="AB44" s="170">
        <f t="shared" si="231"/>
        <v>0</v>
      </c>
      <c r="AC44" s="167">
        <f t="shared" si="232"/>
        <v>0</v>
      </c>
      <c r="AD44" s="171">
        <f t="shared" si="233"/>
        <v>0</v>
      </c>
      <c r="AE44" s="169">
        <f t="shared" si="276"/>
        <v>0</v>
      </c>
      <c r="AF44" s="167">
        <f t="shared" si="235"/>
        <v>0</v>
      </c>
      <c r="AG44" s="167">
        <f t="shared" si="114"/>
        <v>0</v>
      </c>
      <c r="AH44" s="167">
        <f t="shared" si="236"/>
        <v>0</v>
      </c>
      <c r="AI44" s="167">
        <f t="shared" si="116"/>
        <v>0</v>
      </c>
      <c r="AJ44" s="167">
        <f t="shared" si="237"/>
        <v>0</v>
      </c>
      <c r="AK44" s="167">
        <f t="shared" si="118"/>
        <v>0</v>
      </c>
      <c r="AL44" s="167">
        <f t="shared" si="238"/>
        <v>0</v>
      </c>
      <c r="AM44" s="167">
        <f t="shared" si="120"/>
        <v>0</v>
      </c>
      <c r="AN44" s="167">
        <f t="shared" si="239"/>
        <v>0</v>
      </c>
      <c r="AO44" s="170">
        <f t="shared" si="122"/>
        <v>0</v>
      </c>
      <c r="AP44" s="167">
        <f t="shared" si="123"/>
        <v>0</v>
      </c>
      <c r="AQ44" s="171">
        <f t="shared" si="124"/>
        <v>0</v>
      </c>
      <c r="AR44" s="169">
        <f t="shared" si="276"/>
        <v>0</v>
      </c>
      <c r="AS44" s="167">
        <f t="shared" si="240"/>
        <v>0</v>
      </c>
      <c r="AT44" s="167">
        <f t="shared" si="127"/>
        <v>0</v>
      </c>
      <c r="AU44" s="167">
        <f t="shared" si="241"/>
        <v>0</v>
      </c>
      <c r="AV44" s="167">
        <f t="shared" si="129"/>
        <v>0</v>
      </c>
      <c r="AW44" s="167">
        <f t="shared" si="242"/>
        <v>0</v>
      </c>
      <c r="AX44" s="167">
        <f t="shared" si="131"/>
        <v>0</v>
      </c>
      <c r="AY44" s="167">
        <f t="shared" si="243"/>
        <v>0</v>
      </c>
      <c r="AZ44" s="167">
        <f t="shared" si="133"/>
        <v>0</v>
      </c>
      <c r="BA44" s="167">
        <f t="shared" si="244"/>
        <v>0</v>
      </c>
      <c r="BB44" s="170">
        <f t="shared" si="135"/>
        <v>0</v>
      </c>
      <c r="BC44" s="167">
        <f t="shared" si="136"/>
        <v>0</v>
      </c>
      <c r="BD44" s="171">
        <f t="shared" si="137"/>
        <v>0</v>
      </c>
      <c r="BE44" s="169">
        <f t="shared" si="276"/>
        <v>0</v>
      </c>
      <c r="BF44" s="167">
        <f t="shared" si="245"/>
        <v>0</v>
      </c>
      <c r="BG44" s="167">
        <f t="shared" si="140"/>
        <v>0</v>
      </c>
      <c r="BH44" s="167">
        <f t="shared" si="246"/>
        <v>0</v>
      </c>
      <c r="BI44" s="167">
        <f t="shared" si="142"/>
        <v>0</v>
      </c>
      <c r="BJ44" s="167">
        <f t="shared" si="247"/>
        <v>0</v>
      </c>
      <c r="BK44" s="167">
        <f t="shared" si="144"/>
        <v>0</v>
      </c>
      <c r="BL44" s="167">
        <f t="shared" si="248"/>
        <v>0</v>
      </c>
      <c r="BM44" s="167">
        <f t="shared" si="146"/>
        <v>0</v>
      </c>
      <c r="BN44" s="167">
        <f t="shared" si="249"/>
        <v>0</v>
      </c>
      <c r="BO44" s="170">
        <f t="shared" si="148"/>
        <v>0</v>
      </c>
      <c r="BP44" s="167">
        <f t="shared" si="149"/>
        <v>0</v>
      </c>
      <c r="BQ44" s="171">
        <f t="shared" si="150"/>
        <v>0</v>
      </c>
      <c r="BR44" s="169">
        <f t="shared" si="276"/>
        <v>0</v>
      </c>
      <c r="BS44" s="167">
        <f t="shared" si="250"/>
        <v>0</v>
      </c>
      <c r="BT44" s="167">
        <f t="shared" si="153"/>
        <v>0</v>
      </c>
      <c r="BU44" s="167">
        <f t="shared" si="251"/>
        <v>0</v>
      </c>
      <c r="BV44" s="167">
        <f t="shared" si="155"/>
        <v>0</v>
      </c>
      <c r="BW44" s="167">
        <f t="shared" si="252"/>
        <v>0</v>
      </c>
      <c r="BX44" s="167">
        <f t="shared" si="157"/>
        <v>0</v>
      </c>
      <c r="BY44" s="167">
        <f t="shared" si="253"/>
        <v>0</v>
      </c>
      <c r="BZ44" s="167">
        <f t="shared" si="159"/>
        <v>0</v>
      </c>
      <c r="CA44" s="167">
        <f t="shared" si="254"/>
        <v>0</v>
      </c>
      <c r="CB44" s="170">
        <f t="shared" si="161"/>
        <v>0</v>
      </c>
      <c r="CC44" s="167">
        <f t="shared" si="162"/>
        <v>0</v>
      </c>
      <c r="CD44" s="171">
        <f t="shared" si="163"/>
        <v>0</v>
      </c>
      <c r="CE44" s="169">
        <f t="shared" si="276"/>
        <v>0</v>
      </c>
      <c r="CF44" s="167">
        <f t="shared" si="255"/>
        <v>0</v>
      </c>
      <c r="CG44" s="167">
        <f t="shared" si="166"/>
        <v>0</v>
      </c>
      <c r="CH44" s="167">
        <f t="shared" si="256"/>
        <v>0</v>
      </c>
      <c r="CI44" s="167">
        <f t="shared" si="168"/>
        <v>0</v>
      </c>
      <c r="CJ44" s="167">
        <f t="shared" si="257"/>
        <v>0</v>
      </c>
      <c r="CK44" s="167">
        <f t="shared" si="170"/>
        <v>0</v>
      </c>
      <c r="CL44" s="167">
        <f t="shared" si="258"/>
        <v>0</v>
      </c>
      <c r="CM44" s="167">
        <f t="shared" si="172"/>
        <v>0</v>
      </c>
      <c r="CN44" s="167">
        <f t="shared" si="259"/>
        <v>0</v>
      </c>
      <c r="CO44" s="170">
        <f t="shared" si="174"/>
        <v>0</v>
      </c>
      <c r="CP44" s="167">
        <f t="shared" si="175"/>
        <v>0</v>
      </c>
      <c r="CQ44" s="171">
        <f t="shared" si="176"/>
        <v>0</v>
      </c>
      <c r="CR44" s="169">
        <f t="shared" si="277"/>
        <v>0</v>
      </c>
      <c r="CS44" s="167">
        <f t="shared" si="261"/>
        <v>0</v>
      </c>
      <c r="CT44" s="167">
        <f t="shared" si="179"/>
        <v>0</v>
      </c>
      <c r="CU44" s="167">
        <f t="shared" si="262"/>
        <v>0</v>
      </c>
      <c r="CV44" s="167">
        <f t="shared" si="181"/>
        <v>0</v>
      </c>
      <c r="CW44" s="167">
        <f t="shared" si="263"/>
        <v>0</v>
      </c>
      <c r="CX44" s="167">
        <f t="shared" si="183"/>
        <v>0</v>
      </c>
      <c r="CY44" s="167">
        <f t="shared" si="264"/>
        <v>0</v>
      </c>
      <c r="CZ44" s="167">
        <f t="shared" si="185"/>
        <v>0</v>
      </c>
      <c r="DA44" s="167">
        <f t="shared" si="265"/>
        <v>0</v>
      </c>
      <c r="DB44" s="170">
        <f t="shared" si="187"/>
        <v>0</v>
      </c>
      <c r="DC44" s="167">
        <f t="shared" si="188"/>
        <v>0</v>
      </c>
      <c r="DD44" s="171">
        <f t="shared" si="189"/>
        <v>0</v>
      </c>
      <c r="DE44" s="169">
        <f t="shared" si="277"/>
        <v>0</v>
      </c>
      <c r="DF44" s="167">
        <f t="shared" si="266"/>
        <v>0</v>
      </c>
      <c r="DG44" s="167">
        <f t="shared" si="192"/>
        <v>0</v>
      </c>
      <c r="DH44" s="167">
        <f t="shared" si="267"/>
        <v>0</v>
      </c>
      <c r="DI44" s="167">
        <f t="shared" si="194"/>
        <v>0</v>
      </c>
      <c r="DJ44" s="167">
        <f t="shared" si="268"/>
        <v>0</v>
      </c>
      <c r="DK44" s="167">
        <f t="shared" si="196"/>
        <v>0</v>
      </c>
      <c r="DL44" s="167">
        <f t="shared" si="269"/>
        <v>0</v>
      </c>
      <c r="DM44" s="167">
        <f t="shared" si="198"/>
        <v>0</v>
      </c>
      <c r="DN44" s="167">
        <f t="shared" si="270"/>
        <v>0</v>
      </c>
      <c r="DO44" s="170">
        <f t="shared" si="200"/>
        <v>0</v>
      </c>
      <c r="DP44" s="167">
        <f t="shared" si="201"/>
        <v>0</v>
      </c>
      <c r="DQ44" s="171">
        <f t="shared" si="202"/>
        <v>0</v>
      </c>
      <c r="DR44" s="169">
        <f t="shared" si="277"/>
        <v>0</v>
      </c>
      <c r="DS44" s="167">
        <f t="shared" si="271"/>
        <v>0</v>
      </c>
      <c r="DT44" s="167">
        <f t="shared" si="205"/>
        <v>0</v>
      </c>
      <c r="DU44" s="167">
        <f t="shared" si="272"/>
        <v>0</v>
      </c>
      <c r="DV44" s="167">
        <f t="shared" si="207"/>
        <v>0</v>
      </c>
      <c r="DW44" s="167">
        <f t="shared" si="273"/>
        <v>0</v>
      </c>
      <c r="DX44" s="167">
        <f t="shared" si="209"/>
        <v>0</v>
      </c>
      <c r="DY44" s="167">
        <f t="shared" si="274"/>
        <v>0</v>
      </c>
      <c r="DZ44" s="167">
        <f t="shared" si="211"/>
        <v>0</v>
      </c>
      <c r="EA44" s="167">
        <f t="shared" si="275"/>
        <v>0</v>
      </c>
      <c r="EB44" s="170">
        <f t="shared" si="213"/>
        <v>0</v>
      </c>
      <c r="EC44" s="167">
        <f t="shared" si="214"/>
        <v>0</v>
      </c>
      <c r="ED44" s="171">
        <f t="shared" si="215"/>
        <v>0</v>
      </c>
    </row>
    <row r="45" spans="1:134" x14ac:dyDescent="0.3">
      <c r="A45" s="196"/>
      <c r="B45" s="196"/>
      <c r="C45" s="616"/>
      <c r="D45" s="188"/>
      <c r="E45" s="624"/>
      <c r="F45" s="190"/>
      <c r="G45" s="625"/>
      <c r="H45" s="192"/>
      <c r="I45" s="193"/>
      <c r="J45" s="194"/>
      <c r="K45" s="165">
        <f t="shared" si="216"/>
        <v>0</v>
      </c>
      <c r="L45" s="166">
        <f t="shared" si="217"/>
        <v>0</v>
      </c>
      <c r="M45" s="167">
        <f t="shared" si="218"/>
        <v>0</v>
      </c>
      <c r="N45" s="167"/>
      <c r="O45" s="167">
        <f t="shared" si="219"/>
        <v>0</v>
      </c>
      <c r="P45" s="168"/>
      <c r="Q45" s="167">
        <f t="shared" si="220"/>
        <v>0</v>
      </c>
      <c r="R45" s="169">
        <f t="shared" si="221"/>
        <v>0</v>
      </c>
      <c r="S45" s="167">
        <f t="shared" si="222"/>
        <v>0</v>
      </c>
      <c r="T45" s="167">
        <f t="shared" si="223"/>
        <v>0</v>
      </c>
      <c r="U45" s="167">
        <f t="shared" si="224"/>
        <v>0</v>
      </c>
      <c r="V45" s="167">
        <f t="shared" si="225"/>
        <v>0</v>
      </c>
      <c r="W45" s="167">
        <f t="shared" si="226"/>
        <v>0</v>
      </c>
      <c r="X45" s="167">
        <f t="shared" si="227"/>
        <v>0</v>
      </c>
      <c r="Y45" s="167">
        <f t="shared" si="228"/>
        <v>0</v>
      </c>
      <c r="Z45" s="167">
        <f t="shared" si="229"/>
        <v>0</v>
      </c>
      <c r="AA45" s="167">
        <f t="shared" si="230"/>
        <v>0</v>
      </c>
      <c r="AB45" s="170">
        <f t="shared" si="231"/>
        <v>0</v>
      </c>
      <c r="AC45" s="167">
        <f t="shared" si="232"/>
        <v>0</v>
      </c>
      <c r="AD45" s="171">
        <f t="shared" si="233"/>
        <v>0</v>
      </c>
      <c r="AE45" s="169">
        <f t="shared" si="276"/>
        <v>0</v>
      </c>
      <c r="AF45" s="167">
        <f t="shared" si="235"/>
        <v>0</v>
      </c>
      <c r="AG45" s="167">
        <f t="shared" si="114"/>
        <v>0</v>
      </c>
      <c r="AH45" s="167">
        <f t="shared" si="236"/>
        <v>0</v>
      </c>
      <c r="AI45" s="167">
        <f t="shared" si="116"/>
        <v>0</v>
      </c>
      <c r="AJ45" s="167">
        <f t="shared" si="237"/>
        <v>0</v>
      </c>
      <c r="AK45" s="167">
        <f t="shared" si="118"/>
        <v>0</v>
      </c>
      <c r="AL45" s="167">
        <f t="shared" si="238"/>
        <v>0</v>
      </c>
      <c r="AM45" s="167">
        <f t="shared" si="120"/>
        <v>0</v>
      </c>
      <c r="AN45" s="167">
        <f t="shared" si="239"/>
        <v>0</v>
      </c>
      <c r="AO45" s="170">
        <f t="shared" si="122"/>
        <v>0</v>
      </c>
      <c r="AP45" s="167">
        <f t="shared" si="123"/>
        <v>0</v>
      </c>
      <c r="AQ45" s="171">
        <f t="shared" si="124"/>
        <v>0</v>
      </c>
      <c r="AR45" s="169">
        <f t="shared" si="276"/>
        <v>0</v>
      </c>
      <c r="AS45" s="167">
        <f t="shared" si="240"/>
        <v>0</v>
      </c>
      <c r="AT45" s="167">
        <f t="shared" si="127"/>
        <v>0</v>
      </c>
      <c r="AU45" s="167">
        <f t="shared" si="241"/>
        <v>0</v>
      </c>
      <c r="AV45" s="167">
        <f t="shared" si="129"/>
        <v>0</v>
      </c>
      <c r="AW45" s="167">
        <f t="shared" si="242"/>
        <v>0</v>
      </c>
      <c r="AX45" s="167">
        <f t="shared" si="131"/>
        <v>0</v>
      </c>
      <c r="AY45" s="167">
        <f t="shared" si="243"/>
        <v>0</v>
      </c>
      <c r="AZ45" s="167">
        <f t="shared" si="133"/>
        <v>0</v>
      </c>
      <c r="BA45" s="167">
        <f t="shared" si="244"/>
        <v>0</v>
      </c>
      <c r="BB45" s="170">
        <f t="shared" si="135"/>
        <v>0</v>
      </c>
      <c r="BC45" s="167">
        <f t="shared" si="136"/>
        <v>0</v>
      </c>
      <c r="BD45" s="171">
        <f t="shared" si="137"/>
        <v>0</v>
      </c>
      <c r="BE45" s="169">
        <f t="shared" si="276"/>
        <v>0</v>
      </c>
      <c r="BF45" s="167">
        <f t="shared" si="245"/>
        <v>0</v>
      </c>
      <c r="BG45" s="167">
        <f t="shared" si="140"/>
        <v>0</v>
      </c>
      <c r="BH45" s="167">
        <f t="shared" si="246"/>
        <v>0</v>
      </c>
      <c r="BI45" s="167">
        <f t="shared" si="142"/>
        <v>0</v>
      </c>
      <c r="BJ45" s="167">
        <f t="shared" si="247"/>
        <v>0</v>
      </c>
      <c r="BK45" s="167">
        <f t="shared" si="144"/>
        <v>0</v>
      </c>
      <c r="BL45" s="167">
        <f t="shared" si="248"/>
        <v>0</v>
      </c>
      <c r="BM45" s="167">
        <f t="shared" si="146"/>
        <v>0</v>
      </c>
      <c r="BN45" s="167">
        <f t="shared" si="249"/>
        <v>0</v>
      </c>
      <c r="BO45" s="170">
        <f t="shared" si="148"/>
        <v>0</v>
      </c>
      <c r="BP45" s="167">
        <f t="shared" si="149"/>
        <v>0</v>
      </c>
      <c r="BQ45" s="171">
        <f t="shared" si="150"/>
        <v>0</v>
      </c>
      <c r="BR45" s="169">
        <f t="shared" si="276"/>
        <v>0</v>
      </c>
      <c r="BS45" s="167">
        <f t="shared" si="250"/>
        <v>0</v>
      </c>
      <c r="BT45" s="167">
        <f t="shared" si="153"/>
        <v>0</v>
      </c>
      <c r="BU45" s="167">
        <f t="shared" si="251"/>
        <v>0</v>
      </c>
      <c r="BV45" s="167">
        <f t="shared" si="155"/>
        <v>0</v>
      </c>
      <c r="BW45" s="167">
        <f t="shared" si="252"/>
        <v>0</v>
      </c>
      <c r="BX45" s="167">
        <f t="shared" si="157"/>
        <v>0</v>
      </c>
      <c r="BY45" s="167">
        <f t="shared" si="253"/>
        <v>0</v>
      </c>
      <c r="BZ45" s="167">
        <f t="shared" si="159"/>
        <v>0</v>
      </c>
      <c r="CA45" s="167">
        <f t="shared" si="254"/>
        <v>0</v>
      </c>
      <c r="CB45" s="170">
        <f t="shared" si="161"/>
        <v>0</v>
      </c>
      <c r="CC45" s="167">
        <f t="shared" si="162"/>
        <v>0</v>
      </c>
      <c r="CD45" s="171">
        <f t="shared" si="163"/>
        <v>0</v>
      </c>
      <c r="CE45" s="169">
        <f t="shared" si="276"/>
        <v>0</v>
      </c>
      <c r="CF45" s="167">
        <f t="shared" si="255"/>
        <v>0</v>
      </c>
      <c r="CG45" s="167">
        <f t="shared" si="166"/>
        <v>0</v>
      </c>
      <c r="CH45" s="167">
        <f t="shared" si="256"/>
        <v>0</v>
      </c>
      <c r="CI45" s="167">
        <f t="shared" si="168"/>
        <v>0</v>
      </c>
      <c r="CJ45" s="167">
        <f t="shared" si="257"/>
        <v>0</v>
      </c>
      <c r="CK45" s="167">
        <f t="shared" si="170"/>
        <v>0</v>
      </c>
      <c r="CL45" s="167">
        <f t="shared" si="258"/>
        <v>0</v>
      </c>
      <c r="CM45" s="167">
        <f t="shared" si="172"/>
        <v>0</v>
      </c>
      <c r="CN45" s="167">
        <f t="shared" si="259"/>
        <v>0</v>
      </c>
      <c r="CO45" s="170">
        <f t="shared" si="174"/>
        <v>0</v>
      </c>
      <c r="CP45" s="167">
        <f t="shared" si="175"/>
        <v>0</v>
      </c>
      <c r="CQ45" s="171">
        <f t="shared" si="176"/>
        <v>0</v>
      </c>
      <c r="CR45" s="169">
        <f t="shared" si="277"/>
        <v>0</v>
      </c>
      <c r="CS45" s="167">
        <f t="shared" si="261"/>
        <v>0</v>
      </c>
      <c r="CT45" s="167">
        <f t="shared" si="179"/>
        <v>0</v>
      </c>
      <c r="CU45" s="167">
        <f t="shared" si="262"/>
        <v>0</v>
      </c>
      <c r="CV45" s="167">
        <f t="shared" si="181"/>
        <v>0</v>
      </c>
      <c r="CW45" s="167">
        <f t="shared" si="263"/>
        <v>0</v>
      </c>
      <c r="CX45" s="167">
        <f t="shared" si="183"/>
        <v>0</v>
      </c>
      <c r="CY45" s="167">
        <f t="shared" si="264"/>
        <v>0</v>
      </c>
      <c r="CZ45" s="167">
        <f t="shared" si="185"/>
        <v>0</v>
      </c>
      <c r="DA45" s="167">
        <f t="shared" si="265"/>
        <v>0</v>
      </c>
      <c r="DB45" s="170">
        <f t="shared" si="187"/>
        <v>0</v>
      </c>
      <c r="DC45" s="167">
        <f t="shared" si="188"/>
        <v>0</v>
      </c>
      <c r="DD45" s="171">
        <f t="shared" si="189"/>
        <v>0</v>
      </c>
      <c r="DE45" s="169">
        <f t="shared" si="277"/>
        <v>0</v>
      </c>
      <c r="DF45" s="167">
        <f t="shared" si="266"/>
        <v>0</v>
      </c>
      <c r="DG45" s="167">
        <f t="shared" si="192"/>
        <v>0</v>
      </c>
      <c r="DH45" s="167">
        <f t="shared" si="267"/>
        <v>0</v>
      </c>
      <c r="DI45" s="167">
        <f t="shared" si="194"/>
        <v>0</v>
      </c>
      <c r="DJ45" s="167">
        <f t="shared" si="268"/>
        <v>0</v>
      </c>
      <c r="DK45" s="167">
        <f t="shared" si="196"/>
        <v>0</v>
      </c>
      <c r="DL45" s="167">
        <f t="shared" si="269"/>
        <v>0</v>
      </c>
      <c r="DM45" s="167">
        <f t="shared" si="198"/>
        <v>0</v>
      </c>
      <c r="DN45" s="167">
        <f t="shared" si="270"/>
        <v>0</v>
      </c>
      <c r="DO45" s="170">
        <f t="shared" si="200"/>
        <v>0</v>
      </c>
      <c r="DP45" s="167">
        <f t="shared" si="201"/>
        <v>0</v>
      </c>
      <c r="DQ45" s="171">
        <f t="shared" si="202"/>
        <v>0</v>
      </c>
      <c r="DR45" s="169">
        <f t="shared" si="277"/>
        <v>0</v>
      </c>
      <c r="DS45" s="167">
        <f t="shared" si="271"/>
        <v>0</v>
      </c>
      <c r="DT45" s="167">
        <f t="shared" si="205"/>
        <v>0</v>
      </c>
      <c r="DU45" s="167">
        <f t="shared" si="272"/>
        <v>0</v>
      </c>
      <c r="DV45" s="167">
        <f t="shared" si="207"/>
        <v>0</v>
      </c>
      <c r="DW45" s="167">
        <f t="shared" si="273"/>
        <v>0</v>
      </c>
      <c r="DX45" s="167">
        <f t="shared" si="209"/>
        <v>0</v>
      </c>
      <c r="DY45" s="167">
        <f t="shared" si="274"/>
        <v>0</v>
      </c>
      <c r="DZ45" s="167">
        <f t="shared" si="211"/>
        <v>0</v>
      </c>
      <c r="EA45" s="167">
        <f t="shared" si="275"/>
        <v>0</v>
      </c>
      <c r="EB45" s="170">
        <f t="shared" si="213"/>
        <v>0</v>
      </c>
      <c r="EC45" s="167">
        <f t="shared" si="214"/>
        <v>0</v>
      </c>
      <c r="ED45" s="171">
        <f t="shared" si="215"/>
        <v>0</v>
      </c>
    </row>
    <row r="46" spans="1:134" x14ac:dyDescent="0.3">
      <c r="A46" s="196"/>
      <c r="B46" s="196"/>
      <c r="C46" s="616"/>
      <c r="D46" s="188"/>
      <c r="E46" s="624"/>
      <c r="F46" s="190"/>
      <c r="G46" s="625"/>
      <c r="H46" s="192"/>
      <c r="I46" s="193"/>
      <c r="J46" s="194"/>
      <c r="K46" s="165">
        <f t="shared" si="216"/>
        <v>0</v>
      </c>
      <c r="L46" s="166">
        <f t="shared" si="217"/>
        <v>0</v>
      </c>
      <c r="M46" s="167">
        <f t="shared" si="218"/>
        <v>0</v>
      </c>
      <c r="N46" s="167"/>
      <c r="O46" s="167">
        <f t="shared" si="219"/>
        <v>0</v>
      </c>
      <c r="P46" s="168"/>
      <c r="Q46" s="167">
        <f t="shared" si="220"/>
        <v>0</v>
      </c>
      <c r="R46" s="169">
        <f t="shared" si="221"/>
        <v>0</v>
      </c>
      <c r="S46" s="167">
        <f t="shared" si="222"/>
        <v>0</v>
      </c>
      <c r="T46" s="167">
        <f t="shared" si="223"/>
        <v>0</v>
      </c>
      <c r="U46" s="167">
        <f t="shared" si="224"/>
        <v>0</v>
      </c>
      <c r="V46" s="167">
        <f t="shared" si="225"/>
        <v>0</v>
      </c>
      <c r="W46" s="167">
        <f t="shared" si="226"/>
        <v>0</v>
      </c>
      <c r="X46" s="167">
        <f t="shared" si="227"/>
        <v>0</v>
      </c>
      <c r="Y46" s="167">
        <f t="shared" si="228"/>
        <v>0</v>
      </c>
      <c r="Z46" s="167">
        <f t="shared" si="229"/>
        <v>0</v>
      </c>
      <c r="AA46" s="167">
        <f t="shared" si="230"/>
        <v>0</v>
      </c>
      <c r="AB46" s="170">
        <f t="shared" si="231"/>
        <v>0</v>
      </c>
      <c r="AC46" s="167">
        <f t="shared" si="232"/>
        <v>0</v>
      </c>
      <c r="AD46" s="171">
        <f t="shared" si="233"/>
        <v>0</v>
      </c>
      <c r="AE46" s="169">
        <f t="shared" si="276"/>
        <v>0</v>
      </c>
      <c r="AF46" s="167">
        <f t="shared" si="235"/>
        <v>0</v>
      </c>
      <c r="AG46" s="167">
        <f t="shared" si="114"/>
        <v>0</v>
      </c>
      <c r="AH46" s="167">
        <f t="shared" si="236"/>
        <v>0</v>
      </c>
      <c r="AI46" s="167">
        <f t="shared" si="116"/>
        <v>0</v>
      </c>
      <c r="AJ46" s="167">
        <f t="shared" si="237"/>
        <v>0</v>
      </c>
      <c r="AK46" s="167">
        <f t="shared" si="118"/>
        <v>0</v>
      </c>
      <c r="AL46" s="167">
        <f t="shared" si="238"/>
        <v>0</v>
      </c>
      <c r="AM46" s="167">
        <f t="shared" si="120"/>
        <v>0</v>
      </c>
      <c r="AN46" s="167">
        <f t="shared" si="239"/>
        <v>0</v>
      </c>
      <c r="AO46" s="170">
        <f t="shared" si="122"/>
        <v>0</v>
      </c>
      <c r="AP46" s="167">
        <f t="shared" si="123"/>
        <v>0</v>
      </c>
      <c r="AQ46" s="171">
        <f t="shared" si="124"/>
        <v>0</v>
      </c>
      <c r="AR46" s="169">
        <f t="shared" si="276"/>
        <v>0</v>
      </c>
      <c r="AS46" s="167">
        <f t="shared" si="240"/>
        <v>0</v>
      </c>
      <c r="AT46" s="167">
        <f t="shared" si="127"/>
        <v>0</v>
      </c>
      <c r="AU46" s="167">
        <f t="shared" si="241"/>
        <v>0</v>
      </c>
      <c r="AV46" s="167">
        <f t="shared" si="129"/>
        <v>0</v>
      </c>
      <c r="AW46" s="167">
        <f t="shared" si="242"/>
        <v>0</v>
      </c>
      <c r="AX46" s="167">
        <f t="shared" si="131"/>
        <v>0</v>
      </c>
      <c r="AY46" s="167">
        <f t="shared" si="243"/>
        <v>0</v>
      </c>
      <c r="AZ46" s="167">
        <f t="shared" si="133"/>
        <v>0</v>
      </c>
      <c r="BA46" s="167">
        <f t="shared" si="244"/>
        <v>0</v>
      </c>
      <c r="BB46" s="170">
        <f t="shared" si="135"/>
        <v>0</v>
      </c>
      <c r="BC46" s="167">
        <f t="shared" si="136"/>
        <v>0</v>
      </c>
      <c r="BD46" s="171">
        <f t="shared" si="137"/>
        <v>0</v>
      </c>
      <c r="BE46" s="169">
        <f t="shared" si="276"/>
        <v>0</v>
      </c>
      <c r="BF46" s="167">
        <f t="shared" si="245"/>
        <v>0</v>
      </c>
      <c r="BG46" s="167">
        <f t="shared" si="140"/>
        <v>0</v>
      </c>
      <c r="BH46" s="167">
        <f t="shared" si="246"/>
        <v>0</v>
      </c>
      <c r="BI46" s="167">
        <f t="shared" si="142"/>
        <v>0</v>
      </c>
      <c r="BJ46" s="167">
        <f t="shared" si="247"/>
        <v>0</v>
      </c>
      <c r="BK46" s="167">
        <f t="shared" si="144"/>
        <v>0</v>
      </c>
      <c r="BL46" s="167">
        <f t="shared" si="248"/>
        <v>0</v>
      </c>
      <c r="BM46" s="167">
        <f t="shared" si="146"/>
        <v>0</v>
      </c>
      <c r="BN46" s="167">
        <f t="shared" si="249"/>
        <v>0</v>
      </c>
      <c r="BO46" s="170">
        <f t="shared" si="148"/>
        <v>0</v>
      </c>
      <c r="BP46" s="167">
        <f t="shared" si="149"/>
        <v>0</v>
      </c>
      <c r="BQ46" s="171">
        <f t="shared" si="150"/>
        <v>0</v>
      </c>
      <c r="BR46" s="169">
        <f t="shared" si="276"/>
        <v>0</v>
      </c>
      <c r="BS46" s="167">
        <f t="shared" si="250"/>
        <v>0</v>
      </c>
      <c r="BT46" s="167">
        <f t="shared" si="153"/>
        <v>0</v>
      </c>
      <c r="BU46" s="167">
        <f t="shared" si="251"/>
        <v>0</v>
      </c>
      <c r="BV46" s="167">
        <f t="shared" si="155"/>
        <v>0</v>
      </c>
      <c r="BW46" s="167">
        <f t="shared" si="252"/>
        <v>0</v>
      </c>
      <c r="BX46" s="167">
        <f t="shared" si="157"/>
        <v>0</v>
      </c>
      <c r="BY46" s="167">
        <f t="shared" si="253"/>
        <v>0</v>
      </c>
      <c r="BZ46" s="167">
        <f t="shared" si="159"/>
        <v>0</v>
      </c>
      <c r="CA46" s="167">
        <f t="shared" si="254"/>
        <v>0</v>
      </c>
      <c r="CB46" s="170">
        <f t="shared" si="161"/>
        <v>0</v>
      </c>
      <c r="CC46" s="167">
        <f t="shared" si="162"/>
        <v>0</v>
      </c>
      <c r="CD46" s="171">
        <f t="shared" si="163"/>
        <v>0</v>
      </c>
      <c r="CE46" s="169">
        <f t="shared" si="276"/>
        <v>0</v>
      </c>
      <c r="CF46" s="167">
        <f t="shared" si="255"/>
        <v>0</v>
      </c>
      <c r="CG46" s="167">
        <f t="shared" si="166"/>
        <v>0</v>
      </c>
      <c r="CH46" s="167">
        <f t="shared" si="256"/>
        <v>0</v>
      </c>
      <c r="CI46" s="167">
        <f t="shared" si="168"/>
        <v>0</v>
      </c>
      <c r="CJ46" s="167">
        <f t="shared" si="257"/>
        <v>0</v>
      </c>
      <c r="CK46" s="167">
        <f t="shared" si="170"/>
        <v>0</v>
      </c>
      <c r="CL46" s="167">
        <f t="shared" si="258"/>
        <v>0</v>
      </c>
      <c r="CM46" s="167">
        <f t="shared" si="172"/>
        <v>0</v>
      </c>
      <c r="CN46" s="167">
        <f t="shared" si="259"/>
        <v>0</v>
      </c>
      <c r="CO46" s="170">
        <f t="shared" si="174"/>
        <v>0</v>
      </c>
      <c r="CP46" s="167">
        <f t="shared" si="175"/>
        <v>0</v>
      </c>
      <c r="CQ46" s="171">
        <f t="shared" si="176"/>
        <v>0</v>
      </c>
      <c r="CR46" s="169">
        <f t="shared" si="277"/>
        <v>0</v>
      </c>
      <c r="CS46" s="167">
        <f t="shared" si="261"/>
        <v>0</v>
      </c>
      <c r="CT46" s="167">
        <f t="shared" si="179"/>
        <v>0</v>
      </c>
      <c r="CU46" s="167">
        <f t="shared" si="262"/>
        <v>0</v>
      </c>
      <c r="CV46" s="167">
        <f t="shared" si="181"/>
        <v>0</v>
      </c>
      <c r="CW46" s="167">
        <f t="shared" si="263"/>
        <v>0</v>
      </c>
      <c r="CX46" s="167">
        <f t="shared" si="183"/>
        <v>0</v>
      </c>
      <c r="CY46" s="167">
        <f t="shared" si="264"/>
        <v>0</v>
      </c>
      <c r="CZ46" s="167">
        <f t="shared" si="185"/>
        <v>0</v>
      </c>
      <c r="DA46" s="167">
        <f t="shared" si="265"/>
        <v>0</v>
      </c>
      <c r="DB46" s="170">
        <f t="shared" si="187"/>
        <v>0</v>
      </c>
      <c r="DC46" s="167">
        <f t="shared" si="188"/>
        <v>0</v>
      </c>
      <c r="DD46" s="171">
        <f t="shared" si="189"/>
        <v>0</v>
      </c>
      <c r="DE46" s="169">
        <f t="shared" si="277"/>
        <v>0</v>
      </c>
      <c r="DF46" s="167">
        <f t="shared" si="266"/>
        <v>0</v>
      </c>
      <c r="DG46" s="167">
        <f t="shared" si="192"/>
        <v>0</v>
      </c>
      <c r="DH46" s="167">
        <f t="shared" si="267"/>
        <v>0</v>
      </c>
      <c r="DI46" s="167">
        <f t="shared" si="194"/>
        <v>0</v>
      </c>
      <c r="DJ46" s="167">
        <f t="shared" si="268"/>
        <v>0</v>
      </c>
      <c r="DK46" s="167">
        <f t="shared" si="196"/>
        <v>0</v>
      </c>
      <c r="DL46" s="167">
        <f t="shared" si="269"/>
        <v>0</v>
      </c>
      <c r="DM46" s="167">
        <f t="shared" si="198"/>
        <v>0</v>
      </c>
      <c r="DN46" s="167">
        <f t="shared" si="270"/>
        <v>0</v>
      </c>
      <c r="DO46" s="170">
        <f t="shared" si="200"/>
        <v>0</v>
      </c>
      <c r="DP46" s="167">
        <f t="shared" si="201"/>
        <v>0</v>
      </c>
      <c r="DQ46" s="171">
        <f t="shared" si="202"/>
        <v>0</v>
      </c>
      <c r="DR46" s="169">
        <f t="shared" si="277"/>
        <v>0</v>
      </c>
      <c r="DS46" s="167">
        <f t="shared" si="271"/>
        <v>0</v>
      </c>
      <c r="DT46" s="167">
        <f t="shared" si="205"/>
        <v>0</v>
      </c>
      <c r="DU46" s="167">
        <f t="shared" si="272"/>
        <v>0</v>
      </c>
      <c r="DV46" s="167">
        <f t="shared" si="207"/>
        <v>0</v>
      </c>
      <c r="DW46" s="167">
        <f t="shared" si="273"/>
        <v>0</v>
      </c>
      <c r="DX46" s="167">
        <f t="shared" si="209"/>
        <v>0</v>
      </c>
      <c r="DY46" s="167">
        <f t="shared" si="274"/>
        <v>0</v>
      </c>
      <c r="DZ46" s="167">
        <f t="shared" si="211"/>
        <v>0</v>
      </c>
      <c r="EA46" s="167">
        <f t="shared" si="275"/>
        <v>0</v>
      </c>
      <c r="EB46" s="170">
        <f t="shared" si="213"/>
        <v>0</v>
      </c>
      <c r="EC46" s="167">
        <f t="shared" si="214"/>
        <v>0</v>
      </c>
      <c r="ED46" s="171">
        <f t="shared" si="215"/>
        <v>0</v>
      </c>
    </row>
    <row r="47" spans="1:134" x14ac:dyDescent="0.3">
      <c r="A47" s="196"/>
      <c r="B47" s="196"/>
      <c r="C47" s="196"/>
      <c r="D47" s="188"/>
      <c r="E47" s="624"/>
      <c r="F47" s="190"/>
      <c r="G47" s="625"/>
      <c r="H47" s="192"/>
      <c r="I47" s="193"/>
      <c r="J47" s="194"/>
      <c r="K47" s="165">
        <f t="shared" si="216"/>
        <v>0</v>
      </c>
      <c r="L47" s="166">
        <f t="shared" si="217"/>
        <v>0</v>
      </c>
      <c r="M47" s="167">
        <f t="shared" si="218"/>
        <v>0</v>
      </c>
      <c r="N47" s="167"/>
      <c r="O47" s="167">
        <f t="shared" si="219"/>
        <v>0</v>
      </c>
      <c r="P47" s="168"/>
      <c r="Q47" s="167">
        <f t="shared" si="220"/>
        <v>0</v>
      </c>
      <c r="R47" s="169">
        <f t="shared" si="221"/>
        <v>0</v>
      </c>
      <c r="S47" s="167">
        <f t="shared" si="222"/>
        <v>0</v>
      </c>
      <c r="T47" s="167">
        <f t="shared" si="223"/>
        <v>0</v>
      </c>
      <c r="U47" s="167">
        <f t="shared" si="224"/>
        <v>0</v>
      </c>
      <c r="V47" s="167">
        <f t="shared" si="225"/>
        <v>0</v>
      </c>
      <c r="W47" s="167">
        <f t="shared" si="226"/>
        <v>0</v>
      </c>
      <c r="X47" s="167">
        <f t="shared" si="227"/>
        <v>0</v>
      </c>
      <c r="Y47" s="167">
        <f t="shared" si="228"/>
        <v>0</v>
      </c>
      <c r="Z47" s="167">
        <f t="shared" si="229"/>
        <v>0</v>
      </c>
      <c r="AA47" s="167">
        <f t="shared" si="230"/>
        <v>0</v>
      </c>
      <c r="AB47" s="170">
        <f t="shared" si="231"/>
        <v>0</v>
      </c>
      <c r="AC47" s="167">
        <f t="shared" si="232"/>
        <v>0</v>
      </c>
      <c r="AD47" s="171">
        <f t="shared" si="233"/>
        <v>0</v>
      </c>
      <c r="AE47" s="169">
        <f t="shared" si="276"/>
        <v>0</v>
      </c>
      <c r="AF47" s="167">
        <f t="shared" si="235"/>
        <v>0</v>
      </c>
      <c r="AG47" s="167">
        <f t="shared" si="114"/>
        <v>0</v>
      </c>
      <c r="AH47" s="167">
        <f t="shared" si="236"/>
        <v>0</v>
      </c>
      <c r="AI47" s="167">
        <f t="shared" si="116"/>
        <v>0</v>
      </c>
      <c r="AJ47" s="167">
        <f t="shared" si="237"/>
        <v>0</v>
      </c>
      <c r="AK47" s="167">
        <f t="shared" si="118"/>
        <v>0</v>
      </c>
      <c r="AL47" s="167">
        <f t="shared" si="238"/>
        <v>0</v>
      </c>
      <c r="AM47" s="167">
        <f t="shared" si="120"/>
        <v>0</v>
      </c>
      <c r="AN47" s="167">
        <f t="shared" si="239"/>
        <v>0</v>
      </c>
      <c r="AO47" s="170">
        <f t="shared" si="122"/>
        <v>0</v>
      </c>
      <c r="AP47" s="167">
        <f t="shared" si="123"/>
        <v>0</v>
      </c>
      <c r="AQ47" s="171">
        <f t="shared" si="124"/>
        <v>0</v>
      </c>
      <c r="AR47" s="169">
        <f t="shared" si="276"/>
        <v>0</v>
      </c>
      <c r="AS47" s="167">
        <f t="shared" si="240"/>
        <v>0</v>
      </c>
      <c r="AT47" s="167">
        <f t="shared" si="127"/>
        <v>0</v>
      </c>
      <c r="AU47" s="167">
        <f t="shared" si="241"/>
        <v>0</v>
      </c>
      <c r="AV47" s="167">
        <f t="shared" si="129"/>
        <v>0</v>
      </c>
      <c r="AW47" s="167">
        <f t="shared" si="242"/>
        <v>0</v>
      </c>
      <c r="AX47" s="167">
        <f t="shared" si="131"/>
        <v>0</v>
      </c>
      <c r="AY47" s="167">
        <f t="shared" si="243"/>
        <v>0</v>
      </c>
      <c r="AZ47" s="167">
        <f t="shared" si="133"/>
        <v>0</v>
      </c>
      <c r="BA47" s="167">
        <f t="shared" si="244"/>
        <v>0</v>
      </c>
      <c r="BB47" s="170">
        <f t="shared" si="135"/>
        <v>0</v>
      </c>
      <c r="BC47" s="167">
        <f t="shared" si="136"/>
        <v>0</v>
      </c>
      <c r="BD47" s="171">
        <f t="shared" si="137"/>
        <v>0</v>
      </c>
      <c r="BE47" s="169">
        <f t="shared" si="276"/>
        <v>0</v>
      </c>
      <c r="BF47" s="167">
        <f t="shared" si="245"/>
        <v>0</v>
      </c>
      <c r="BG47" s="167">
        <f t="shared" si="140"/>
        <v>0</v>
      </c>
      <c r="BH47" s="167">
        <f t="shared" si="246"/>
        <v>0</v>
      </c>
      <c r="BI47" s="167">
        <f t="shared" si="142"/>
        <v>0</v>
      </c>
      <c r="BJ47" s="167">
        <f t="shared" si="247"/>
        <v>0</v>
      </c>
      <c r="BK47" s="167">
        <f t="shared" si="144"/>
        <v>0</v>
      </c>
      <c r="BL47" s="167">
        <f t="shared" si="248"/>
        <v>0</v>
      </c>
      <c r="BM47" s="167">
        <f t="shared" si="146"/>
        <v>0</v>
      </c>
      <c r="BN47" s="167">
        <f t="shared" si="249"/>
        <v>0</v>
      </c>
      <c r="BO47" s="170">
        <f t="shared" si="148"/>
        <v>0</v>
      </c>
      <c r="BP47" s="167">
        <f t="shared" si="149"/>
        <v>0</v>
      </c>
      <c r="BQ47" s="171">
        <f t="shared" si="150"/>
        <v>0</v>
      </c>
      <c r="BR47" s="169">
        <f t="shared" si="276"/>
        <v>0</v>
      </c>
      <c r="BS47" s="167">
        <f t="shared" si="250"/>
        <v>0</v>
      </c>
      <c r="BT47" s="167">
        <f t="shared" si="153"/>
        <v>0</v>
      </c>
      <c r="BU47" s="167">
        <f t="shared" si="251"/>
        <v>0</v>
      </c>
      <c r="BV47" s="167">
        <f t="shared" si="155"/>
        <v>0</v>
      </c>
      <c r="BW47" s="167">
        <f t="shared" si="252"/>
        <v>0</v>
      </c>
      <c r="BX47" s="167">
        <f t="shared" si="157"/>
        <v>0</v>
      </c>
      <c r="BY47" s="167">
        <f t="shared" si="253"/>
        <v>0</v>
      </c>
      <c r="BZ47" s="167">
        <f t="shared" si="159"/>
        <v>0</v>
      </c>
      <c r="CA47" s="167">
        <f t="shared" si="254"/>
        <v>0</v>
      </c>
      <c r="CB47" s="170">
        <f t="shared" si="161"/>
        <v>0</v>
      </c>
      <c r="CC47" s="167">
        <f t="shared" si="162"/>
        <v>0</v>
      </c>
      <c r="CD47" s="171">
        <f t="shared" si="163"/>
        <v>0</v>
      </c>
      <c r="CE47" s="169">
        <f t="shared" si="276"/>
        <v>0</v>
      </c>
      <c r="CF47" s="167">
        <f t="shared" si="255"/>
        <v>0</v>
      </c>
      <c r="CG47" s="167">
        <f t="shared" si="166"/>
        <v>0</v>
      </c>
      <c r="CH47" s="167">
        <f t="shared" si="256"/>
        <v>0</v>
      </c>
      <c r="CI47" s="167">
        <f t="shared" si="168"/>
        <v>0</v>
      </c>
      <c r="CJ47" s="167">
        <f t="shared" si="257"/>
        <v>0</v>
      </c>
      <c r="CK47" s="167">
        <f t="shared" si="170"/>
        <v>0</v>
      </c>
      <c r="CL47" s="167">
        <f t="shared" si="258"/>
        <v>0</v>
      </c>
      <c r="CM47" s="167">
        <f t="shared" si="172"/>
        <v>0</v>
      </c>
      <c r="CN47" s="167">
        <f t="shared" si="259"/>
        <v>0</v>
      </c>
      <c r="CO47" s="170">
        <f t="shared" si="174"/>
        <v>0</v>
      </c>
      <c r="CP47" s="167">
        <f t="shared" si="175"/>
        <v>0</v>
      </c>
      <c r="CQ47" s="171">
        <f t="shared" si="176"/>
        <v>0</v>
      </c>
      <c r="CR47" s="169">
        <f t="shared" si="277"/>
        <v>0</v>
      </c>
      <c r="CS47" s="167">
        <f t="shared" si="261"/>
        <v>0</v>
      </c>
      <c r="CT47" s="167">
        <f t="shared" si="179"/>
        <v>0</v>
      </c>
      <c r="CU47" s="167">
        <f t="shared" si="262"/>
        <v>0</v>
      </c>
      <c r="CV47" s="167">
        <f t="shared" si="181"/>
        <v>0</v>
      </c>
      <c r="CW47" s="167">
        <f t="shared" si="263"/>
        <v>0</v>
      </c>
      <c r="CX47" s="167">
        <f t="shared" si="183"/>
        <v>0</v>
      </c>
      <c r="CY47" s="167">
        <f t="shared" si="264"/>
        <v>0</v>
      </c>
      <c r="CZ47" s="167">
        <f t="shared" si="185"/>
        <v>0</v>
      </c>
      <c r="DA47" s="167">
        <f t="shared" si="265"/>
        <v>0</v>
      </c>
      <c r="DB47" s="170">
        <f t="shared" si="187"/>
        <v>0</v>
      </c>
      <c r="DC47" s="167">
        <f t="shared" si="188"/>
        <v>0</v>
      </c>
      <c r="DD47" s="171">
        <f t="shared" si="189"/>
        <v>0</v>
      </c>
      <c r="DE47" s="169">
        <f t="shared" si="277"/>
        <v>0</v>
      </c>
      <c r="DF47" s="167">
        <f t="shared" si="266"/>
        <v>0</v>
      </c>
      <c r="DG47" s="167">
        <f t="shared" si="192"/>
        <v>0</v>
      </c>
      <c r="DH47" s="167">
        <f t="shared" si="267"/>
        <v>0</v>
      </c>
      <c r="DI47" s="167">
        <f t="shared" si="194"/>
        <v>0</v>
      </c>
      <c r="DJ47" s="167">
        <f t="shared" si="268"/>
        <v>0</v>
      </c>
      <c r="DK47" s="167">
        <f t="shared" si="196"/>
        <v>0</v>
      </c>
      <c r="DL47" s="167">
        <f t="shared" si="269"/>
        <v>0</v>
      </c>
      <c r="DM47" s="167">
        <f t="shared" si="198"/>
        <v>0</v>
      </c>
      <c r="DN47" s="167">
        <f t="shared" si="270"/>
        <v>0</v>
      </c>
      <c r="DO47" s="170">
        <f t="shared" si="200"/>
        <v>0</v>
      </c>
      <c r="DP47" s="167">
        <f t="shared" si="201"/>
        <v>0</v>
      </c>
      <c r="DQ47" s="171">
        <f t="shared" si="202"/>
        <v>0</v>
      </c>
      <c r="DR47" s="169">
        <f t="shared" si="277"/>
        <v>0</v>
      </c>
      <c r="DS47" s="167">
        <f t="shared" si="271"/>
        <v>0</v>
      </c>
      <c r="DT47" s="167">
        <f t="shared" si="205"/>
        <v>0</v>
      </c>
      <c r="DU47" s="167">
        <f t="shared" si="272"/>
        <v>0</v>
      </c>
      <c r="DV47" s="167">
        <f t="shared" si="207"/>
        <v>0</v>
      </c>
      <c r="DW47" s="167">
        <f t="shared" si="273"/>
        <v>0</v>
      </c>
      <c r="DX47" s="167">
        <f t="shared" si="209"/>
        <v>0</v>
      </c>
      <c r="DY47" s="167">
        <f t="shared" si="274"/>
        <v>0</v>
      </c>
      <c r="DZ47" s="167">
        <f t="shared" si="211"/>
        <v>0</v>
      </c>
      <c r="EA47" s="167">
        <f t="shared" si="275"/>
        <v>0</v>
      </c>
      <c r="EB47" s="170">
        <f t="shared" si="213"/>
        <v>0</v>
      </c>
      <c r="EC47" s="167">
        <f t="shared" si="214"/>
        <v>0</v>
      </c>
      <c r="ED47" s="171">
        <f t="shared" si="215"/>
        <v>0</v>
      </c>
    </row>
    <row r="48" spans="1:134" x14ac:dyDescent="0.3">
      <c r="A48" s="196"/>
      <c r="B48" s="196"/>
      <c r="C48" s="196"/>
      <c r="D48" s="188"/>
      <c r="E48" s="624"/>
      <c r="F48" s="190"/>
      <c r="G48" s="625"/>
      <c r="H48" s="192"/>
      <c r="I48" s="193"/>
      <c r="J48" s="194"/>
      <c r="K48" s="165">
        <f t="shared" si="216"/>
        <v>0</v>
      </c>
      <c r="L48" s="166">
        <f t="shared" si="217"/>
        <v>0</v>
      </c>
      <c r="M48" s="167">
        <f t="shared" si="218"/>
        <v>0</v>
      </c>
      <c r="N48" s="167"/>
      <c r="O48" s="167">
        <f t="shared" si="219"/>
        <v>0</v>
      </c>
      <c r="P48" s="168"/>
      <c r="Q48" s="167">
        <f t="shared" si="220"/>
        <v>0</v>
      </c>
      <c r="R48" s="169">
        <f t="shared" si="221"/>
        <v>0</v>
      </c>
      <c r="S48" s="167">
        <f t="shared" si="222"/>
        <v>0</v>
      </c>
      <c r="T48" s="167">
        <f t="shared" si="223"/>
        <v>0</v>
      </c>
      <c r="U48" s="167">
        <f t="shared" si="224"/>
        <v>0</v>
      </c>
      <c r="V48" s="167">
        <f t="shared" si="225"/>
        <v>0</v>
      </c>
      <c r="W48" s="167">
        <f t="shared" si="226"/>
        <v>0</v>
      </c>
      <c r="X48" s="167">
        <f t="shared" si="227"/>
        <v>0</v>
      </c>
      <c r="Y48" s="167">
        <f t="shared" si="228"/>
        <v>0</v>
      </c>
      <c r="Z48" s="167">
        <f t="shared" si="229"/>
        <v>0</v>
      </c>
      <c r="AA48" s="167">
        <f t="shared" si="230"/>
        <v>0</v>
      </c>
      <c r="AB48" s="170">
        <f t="shared" si="231"/>
        <v>0</v>
      </c>
      <c r="AC48" s="167">
        <f t="shared" si="232"/>
        <v>0</v>
      </c>
      <c r="AD48" s="171">
        <f t="shared" si="233"/>
        <v>0</v>
      </c>
      <c r="AE48" s="169">
        <f t="shared" si="276"/>
        <v>0</v>
      </c>
      <c r="AF48" s="167">
        <f t="shared" si="235"/>
        <v>0</v>
      </c>
      <c r="AG48" s="167">
        <f t="shared" si="114"/>
        <v>0</v>
      </c>
      <c r="AH48" s="167">
        <f t="shared" si="236"/>
        <v>0</v>
      </c>
      <c r="AI48" s="167">
        <f t="shared" si="116"/>
        <v>0</v>
      </c>
      <c r="AJ48" s="167">
        <f t="shared" si="237"/>
        <v>0</v>
      </c>
      <c r="AK48" s="167">
        <f t="shared" si="118"/>
        <v>0</v>
      </c>
      <c r="AL48" s="167">
        <f t="shared" si="238"/>
        <v>0</v>
      </c>
      <c r="AM48" s="167">
        <f t="shared" si="120"/>
        <v>0</v>
      </c>
      <c r="AN48" s="167">
        <f t="shared" si="239"/>
        <v>0</v>
      </c>
      <c r="AO48" s="170">
        <f t="shared" si="122"/>
        <v>0</v>
      </c>
      <c r="AP48" s="167">
        <f t="shared" si="123"/>
        <v>0</v>
      </c>
      <c r="AQ48" s="171">
        <f t="shared" si="124"/>
        <v>0</v>
      </c>
      <c r="AR48" s="169">
        <f t="shared" si="276"/>
        <v>0</v>
      </c>
      <c r="AS48" s="167">
        <f t="shared" si="240"/>
        <v>0</v>
      </c>
      <c r="AT48" s="167">
        <f t="shared" si="127"/>
        <v>0</v>
      </c>
      <c r="AU48" s="167">
        <f t="shared" si="241"/>
        <v>0</v>
      </c>
      <c r="AV48" s="167">
        <f t="shared" si="129"/>
        <v>0</v>
      </c>
      <c r="AW48" s="167">
        <f t="shared" si="242"/>
        <v>0</v>
      </c>
      <c r="AX48" s="167">
        <f t="shared" si="131"/>
        <v>0</v>
      </c>
      <c r="AY48" s="167">
        <f t="shared" si="243"/>
        <v>0</v>
      </c>
      <c r="AZ48" s="167">
        <f t="shared" si="133"/>
        <v>0</v>
      </c>
      <c r="BA48" s="167">
        <f t="shared" si="244"/>
        <v>0</v>
      </c>
      <c r="BB48" s="170">
        <f t="shared" si="135"/>
        <v>0</v>
      </c>
      <c r="BC48" s="167">
        <f t="shared" si="136"/>
        <v>0</v>
      </c>
      <c r="BD48" s="171">
        <f t="shared" si="137"/>
        <v>0</v>
      </c>
      <c r="BE48" s="169">
        <f t="shared" si="276"/>
        <v>0</v>
      </c>
      <c r="BF48" s="167">
        <f t="shared" si="245"/>
        <v>0</v>
      </c>
      <c r="BG48" s="167">
        <f t="shared" si="140"/>
        <v>0</v>
      </c>
      <c r="BH48" s="167">
        <f t="shared" si="246"/>
        <v>0</v>
      </c>
      <c r="BI48" s="167">
        <f t="shared" si="142"/>
        <v>0</v>
      </c>
      <c r="BJ48" s="167">
        <f t="shared" si="247"/>
        <v>0</v>
      </c>
      <c r="BK48" s="167">
        <f t="shared" si="144"/>
        <v>0</v>
      </c>
      <c r="BL48" s="167">
        <f t="shared" si="248"/>
        <v>0</v>
      </c>
      <c r="BM48" s="167">
        <f t="shared" si="146"/>
        <v>0</v>
      </c>
      <c r="BN48" s="167">
        <f t="shared" si="249"/>
        <v>0</v>
      </c>
      <c r="BO48" s="170">
        <f t="shared" si="148"/>
        <v>0</v>
      </c>
      <c r="BP48" s="167">
        <f t="shared" si="149"/>
        <v>0</v>
      </c>
      <c r="BQ48" s="171">
        <f t="shared" si="150"/>
        <v>0</v>
      </c>
      <c r="BR48" s="169">
        <f t="shared" si="276"/>
        <v>0</v>
      </c>
      <c r="BS48" s="167">
        <f t="shared" si="250"/>
        <v>0</v>
      </c>
      <c r="BT48" s="167">
        <f t="shared" si="153"/>
        <v>0</v>
      </c>
      <c r="BU48" s="167">
        <f t="shared" si="251"/>
        <v>0</v>
      </c>
      <c r="BV48" s="167">
        <f t="shared" si="155"/>
        <v>0</v>
      </c>
      <c r="BW48" s="167">
        <f t="shared" si="252"/>
        <v>0</v>
      </c>
      <c r="BX48" s="167">
        <f t="shared" si="157"/>
        <v>0</v>
      </c>
      <c r="BY48" s="167">
        <f t="shared" si="253"/>
        <v>0</v>
      </c>
      <c r="BZ48" s="167">
        <f t="shared" si="159"/>
        <v>0</v>
      </c>
      <c r="CA48" s="167">
        <f t="shared" si="254"/>
        <v>0</v>
      </c>
      <c r="CB48" s="170">
        <f t="shared" si="161"/>
        <v>0</v>
      </c>
      <c r="CC48" s="167">
        <f t="shared" si="162"/>
        <v>0</v>
      </c>
      <c r="CD48" s="171">
        <f t="shared" si="163"/>
        <v>0</v>
      </c>
      <c r="CE48" s="169">
        <f t="shared" si="276"/>
        <v>0</v>
      </c>
      <c r="CF48" s="167">
        <f t="shared" si="255"/>
        <v>0</v>
      </c>
      <c r="CG48" s="167">
        <f t="shared" si="166"/>
        <v>0</v>
      </c>
      <c r="CH48" s="167">
        <f t="shared" si="256"/>
        <v>0</v>
      </c>
      <c r="CI48" s="167">
        <f t="shared" si="168"/>
        <v>0</v>
      </c>
      <c r="CJ48" s="167">
        <f t="shared" si="257"/>
        <v>0</v>
      </c>
      <c r="CK48" s="167">
        <f t="shared" si="170"/>
        <v>0</v>
      </c>
      <c r="CL48" s="167">
        <f t="shared" si="258"/>
        <v>0</v>
      </c>
      <c r="CM48" s="167">
        <f t="shared" si="172"/>
        <v>0</v>
      </c>
      <c r="CN48" s="167">
        <f t="shared" si="259"/>
        <v>0</v>
      </c>
      <c r="CO48" s="170">
        <f t="shared" si="174"/>
        <v>0</v>
      </c>
      <c r="CP48" s="167">
        <f t="shared" si="175"/>
        <v>0</v>
      </c>
      <c r="CQ48" s="171">
        <f t="shared" si="176"/>
        <v>0</v>
      </c>
      <c r="CR48" s="169">
        <f t="shared" si="277"/>
        <v>0</v>
      </c>
      <c r="CS48" s="167">
        <f t="shared" si="261"/>
        <v>0</v>
      </c>
      <c r="CT48" s="167">
        <f t="shared" si="179"/>
        <v>0</v>
      </c>
      <c r="CU48" s="167">
        <f t="shared" si="262"/>
        <v>0</v>
      </c>
      <c r="CV48" s="167">
        <f t="shared" si="181"/>
        <v>0</v>
      </c>
      <c r="CW48" s="167">
        <f t="shared" si="263"/>
        <v>0</v>
      </c>
      <c r="CX48" s="167">
        <f t="shared" si="183"/>
        <v>0</v>
      </c>
      <c r="CY48" s="167">
        <f t="shared" si="264"/>
        <v>0</v>
      </c>
      <c r="CZ48" s="167">
        <f t="shared" si="185"/>
        <v>0</v>
      </c>
      <c r="DA48" s="167">
        <f t="shared" si="265"/>
        <v>0</v>
      </c>
      <c r="DB48" s="170">
        <f t="shared" si="187"/>
        <v>0</v>
      </c>
      <c r="DC48" s="167">
        <f t="shared" si="188"/>
        <v>0</v>
      </c>
      <c r="DD48" s="171">
        <f t="shared" si="189"/>
        <v>0</v>
      </c>
      <c r="DE48" s="169">
        <f t="shared" si="277"/>
        <v>0</v>
      </c>
      <c r="DF48" s="167">
        <f t="shared" si="266"/>
        <v>0</v>
      </c>
      <c r="DG48" s="167">
        <f t="shared" si="192"/>
        <v>0</v>
      </c>
      <c r="DH48" s="167">
        <f t="shared" si="267"/>
        <v>0</v>
      </c>
      <c r="DI48" s="167">
        <f t="shared" si="194"/>
        <v>0</v>
      </c>
      <c r="DJ48" s="167">
        <f t="shared" si="268"/>
        <v>0</v>
      </c>
      <c r="DK48" s="167">
        <f t="shared" si="196"/>
        <v>0</v>
      </c>
      <c r="DL48" s="167">
        <f t="shared" si="269"/>
        <v>0</v>
      </c>
      <c r="DM48" s="167">
        <f t="shared" si="198"/>
        <v>0</v>
      </c>
      <c r="DN48" s="167">
        <f t="shared" si="270"/>
        <v>0</v>
      </c>
      <c r="DO48" s="170">
        <f t="shared" si="200"/>
        <v>0</v>
      </c>
      <c r="DP48" s="167">
        <f t="shared" si="201"/>
        <v>0</v>
      </c>
      <c r="DQ48" s="171">
        <f t="shared" si="202"/>
        <v>0</v>
      </c>
      <c r="DR48" s="169">
        <f t="shared" si="277"/>
        <v>0</v>
      </c>
      <c r="DS48" s="167">
        <f t="shared" si="271"/>
        <v>0</v>
      </c>
      <c r="DT48" s="167">
        <f t="shared" si="205"/>
        <v>0</v>
      </c>
      <c r="DU48" s="167">
        <f t="shared" si="272"/>
        <v>0</v>
      </c>
      <c r="DV48" s="167">
        <f t="shared" si="207"/>
        <v>0</v>
      </c>
      <c r="DW48" s="167">
        <f t="shared" si="273"/>
        <v>0</v>
      </c>
      <c r="DX48" s="167">
        <f t="shared" si="209"/>
        <v>0</v>
      </c>
      <c r="DY48" s="167">
        <f t="shared" si="274"/>
        <v>0</v>
      </c>
      <c r="DZ48" s="167">
        <f t="shared" si="211"/>
        <v>0</v>
      </c>
      <c r="EA48" s="167">
        <f t="shared" si="275"/>
        <v>0</v>
      </c>
      <c r="EB48" s="170">
        <f t="shared" si="213"/>
        <v>0</v>
      </c>
      <c r="EC48" s="167">
        <f t="shared" si="214"/>
        <v>0</v>
      </c>
      <c r="ED48" s="171">
        <f t="shared" si="215"/>
        <v>0</v>
      </c>
    </row>
    <row r="49" spans="1:134" x14ac:dyDescent="0.3">
      <c r="A49" s="196"/>
      <c r="B49" s="196"/>
      <c r="C49" s="616"/>
      <c r="D49" s="95"/>
      <c r="E49" s="624"/>
      <c r="F49" s="190"/>
      <c r="G49" s="625"/>
      <c r="H49" s="192"/>
      <c r="I49" s="193"/>
      <c r="J49" s="194"/>
      <c r="K49" s="165">
        <f t="shared" si="216"/>
        <v>0</v>
      </c>
      <c r="L49" s="166">
        <f t="shared" si="217"/>
        <v>0</v>
      </c>
      <c r="M49" s="167">
        <f t="shared" si="218"/>
        <v>0</v>
      </c>
      <c r="N49" s="167"/>
      <c r="O49" s="167">
        <f t="shared" si="219"/>
        <v>0</v>
      </c>
      <c r="P49" s="168"/>
      <c r="Q49" s="167">
        <f t="shared" si="220"/>
        <v>0</v>
      </c>
      <c r="R49" s="169">
        <f t="shared" si="221"/>
        <v>0</v>
      </c>
      <c r="S49" s="167">
        <f t="shared" si="222"/>
        <v>0</v>
      </c>
      <c r="T49" s="167">
        <f t="shared" si="223"/>
        <v>0</v>
      </c>
      <c r="U49" s="167">
        <f t="shared" si="224"/>
        <v>0</v>
      </c>
      <c r="V49" s="167">
        <f t="shared" si="225"/>
        <v>0</v>
      </c>
      <c r="W49" s="167">
        <f t="shared" si="226"/>
        <v>0</v>
      </c>
      <c r="X49" s="167">
        <f t="shared" si="227"/>
        <v>0</v>
      </c>
      <c r="Y49" s="167">
        <f t="shared" si="228"/>
        <v>0</v>
      </c>
      <c r="Z49" s="167">
        <f t="shared" si="229"/>
        <v>0</v>
      </c>
      <c r="AA49" s="167">
        <f t="shared" si="230"/>
        <v>0</v>
      </c>
      <c r="AB49" s="170">
        <f t="shared" si="231"/>
        <v>0</v>
      </c>
      <c r="AC49" s="167">
        <f t="shared" si="232"/>
        <v>0</v>
      </c>
      <c r="AD49" s="171">
        <f t="shared" si="233"/>
        <v>0</v>
      </c>
      <c r="AE49" s="169">
        <f t="shared" si="276"/>
        <v>0</v>
      </c>
      <c r="AF49" s="167">
        <f t="shared" si="235"/>
        <v>0</v>
      </c>
      <c r="AG49" s="167">
        <f t="shared" si="114"/>
        <v>0</v>
      </c>
      <c r="AH49" s="167">
        <f t="shared" si="236"/>
        <v>0</v>
      </c>
      <c r="AI49" s="167">
        <f t="shared" si="116"/>
        <v>0</v>
      </c>
      <c r="AJ49" s="167">
        <f t="shared" si="237"/>
        <v>0</v>
      </c>
      <c r="AK49" s="167">
        <f t="shared" si="118"/>
        <v>0</v>
      </c>
      <c r="AL49" s="167">
        <f t="shared" si="238"/>
        <v>0</v>
      </c>
      <c r="AM49" s="167">
        <f t="shared" si="120"/>
        <v>0</v>
      </c>
      <c r="AN49" s="167">
        <f t="shared" si="239"/>
        <v>0</v>
      </c>
      <c r="AO49" s="170">
        <f t="shared" si="122"/>
        <v>0</v>
      </c>
      <c r="AP49" s="167">
        <f t="shared" si="123"/>
        <v>0</v>
      </c>
      <c r="AQ49" s="171">
        <f t="shared" si="124"/>
        <v>0</v>
      </c>
      <c r="AR49" s="169">
        <f t="shared" si="276"/>
        <v>0</v>
      </c>
      <c r="AS49" s="167">
        <f t="shared" si="240"/>
        <v>0</v>
      </c>
      <c r="AT49" s="167">
        <f t="shared" si="127"/>
        <v>0</v>
      </c>
      <c r="AU49" s="167">
        <f t="shared" si="241"/>
        <v>0</v>
      </c>
      <c r="AV49" s="167">
        <f t="shared" si="129"/>
        <v>0</v>
      </c>
      <c r="AW49" s="167">
        <f t="shared" si="242"/>
        <v>0</v>
      </c>
      <c r="AX49" s="167">
        <f t="shared" si="131"/>
        <v>0</v>
      </c>
      <c r="AY49" s="167">
        <f t="shared" si="243"/>
        <v>0</v>
      </c>
      <c r="AZ49" s="167">
        <f t="shared" si="133"/>
        <v>0</v>
      </c>
      <c r="BA49" s="167">
        <f t="shared" si="244"/>
        <v>0</v>
      </c>
      <c r="BB49" s="170">
        <f t="shared" si="135"/>
        <v>0</v>
      </c>
      <c r="BC49" s="167">
        <f t="shared" si="136"/>
        <v>0</v>
      </c>
      <c r="BD49" s="171">
        <f t="shared" si="137"/>
        <v>0</v>
      </c>
      <c r="BE49" s="169">
        <f t="shared" si="276"/>
        <v>0</v>
      </c>
      <c r="BF49" s="167">
        <f t="shared" si="245"/>
        <v>0</v>
      </c>
      <c r="BG49" s="167">
        <f t="shared" si="140"/>
        <v>0</v>
      </c>
      <c r="BH49" s="167">
        <f t="shared" si="246"/>
        <v>0</v>
      </c>
      <c r="BI49" s="167">
        <f t="shared" si="142"/>
        <v>0</v>
      </c>
      <c r="BJ49" s="167">
        <f t="shared" si="247"/>
        <v>0</v>
      </c>
      <c r="BK49" s="167">
        <f t="shared" si="144"/>
        <v>0</v>
      </c>
      <c r="BL49" s="167">
        <f t="shared" si="248"/>
        <v>0</v>
      </c>
      <c r="BM49" s="167">
        <f t="shared" si="146"/>
        <v>0</v>
      </c>
      <c r="BN49" s="167">
        <f t="shared" si="249"/>
        <v>0</v>
      </c>
      <c r="BO49" s="170">
        <f t="shared" si="148"/>
        <v>0</v>
      </c>
      <c r="BP49" s="167">
        <f t="shared" si="149"/>
        <v>0</v>
      </c>
      <c r="BQ49" s="171">
        <f t="shared" si="150"/>
        <v>0</v>
      </c>
      <c r="BR49" s="169">
        <f t="shared" si="276"/>
        <v>0</v>
      </c>
      <c r="BS49" s="167">
        <f t="shared" si="250"/>
        <v>0</v>
      </c>
      <c r="BT49" s="167">
        <f t="shared" si="153"/>
        <v>0</v>
      </c>
      <c r="BU49" s="167">
        <f t="shared" si="251"/>
        <v>0</v>
      </c>
      <c r="BV49" s="167">
        <f t="shared" si="155"/>
        <v>0</v>
      </c>
      <c r="BW49" s="167">
        <f t="shared" si="252"/>
        <v>0</v>
      </c>
      <c r="BX49" s="167">
        <f t="shared" si="157"/>
        <v>0</v>
      </c>
      <c r="BY49" s="167">
        <f t="shared" si="253"/>
        <v>0</v>
      </c>
      <c r="BZ49" s="167">
        <f t="shared" si="159"/>
        <v>0</v>
      </c>
      <c r="CA49" s="167">
        <f t="shared" si="254"/>
        <v>0</v>
      </c>
      <c r="CB49" s="170">
        <f t="shared" si="161"/>
        <v>0</v>
      </c>
      <c r="CC49" s="167">
        <f t="shared" si="162"/>
        <v>0</v>
      </c>
      <c r="CD49" s="171">
        <f t="shared" si="163"/>
        <v>0</v>
      </c>
      <c r="CE49" s="169">
        <f t="shared" si="276"/>
        <v>0</v>
      </c>
      <c r="CF49" s="167">
        <f t="shared" si="255"/>
        <v>0</v>
      </c>
      <c r="CG49" s="167">
        <f t="shared" si="166"/>
        <v>0</v>
      </c>
      <c r="CH49" s="167">
        <f t="shared" si="256"/>
        <v>0</v>
      </c>
      <c r="CI49" s="167">
        <f t="shared" si="168"/>
        <v>0</v>
      </c>
      <c r="CJ49" s="167">
        <f t="shared" si="257"/>
        <v>0</v>
      </c>
      <c r="CK49" s="167">
        <f t="shared" si="170"/>
        <v>0</v>
      </c>
      <c r="CL49" s="167">
        <f t="shared" si="258"/>
        <v>0</v>
      </c>
      <c r="CM49" s="167">
        <f t="shared" si="172"/>
        <v>0</v>
      </c>
      <c r="CN49" s="167">
        <f t="shared" si="259"/>
        <v>0</v>
      </c>
      <c r="CO49" s="170">
        <f t="shared" si="174"/>
        <v>0</v>
      </c>
      <c r="CP49" s="167">
        <f t="shared" si="175"/>
        <v>0</v>
      </c>
      <c r="CQ49" s="171">
        <f t="shared" si="176"/>
        <v>0</v>
      </c>
      <c r="CR49" s="169">
        <f t="shared" si="277"/>
        <v>0</v>
      </c>
      <c r="CS49" s="167">
        <f t="shared" si="261"/>
        <v>0</v>
      </c>
      <c r="CT49" s="167">
        <f t="shared" si="179"/>
        <v>0</v>
      </c>
      <c r="CU49" s="167">
        <f t="shared" si="262"/>
        <v>0</v>
      </c>
      <c r="CV49" s="167">
        <f t="shared" si="181"/>
        <v>0</v>
      </c>
      <c r="CW49" s="167">
        <f t="shared" si="263"/>
        <v>0</v>
      </c>
      <c r="CX49" s="167">
        <f t="shared" si="183"/>
        <v>0</v>
      </c>
      <c r="CY49" s="167">
        <f t="shared" si="264"/>
        <v>0</v>
      </c>
      <c r="CZ49" s="167">
        <f t="shared" si="185"/>
        <v>0</v>
      </c>
      <c r="DA49" s="167">
        <f t="shared" si="265"/>
        <v>0</v>
      </c>
      <c r="DB49" s="170">
        <f t="shared" si="187"/>
        <v>0</v>
      </c>
      <c r="DC49" s="167">
        <f t="shared" si="188"/>
        <v>0</v>
      </c>
      <c r="DD49" s="171">
        <f t="shared" si="189"/>
        <v>0</v>
      </c>
      <c r="DE49" s="169">
        <f t="shared" si="277"/>
        <v>0</v>
      </c>
      <c r="DF49" s="167">
        <f t="shared" si="266"/>
        <v>0</v>
      </c>
      <c r="DG49" s="167">
        <f t="shared" si="192"/>
        <v>0</v>
      </c>
      <c r="DH49" s="167">
        <f t="shared" si="267"/>
        <v>0</v>
      </c>
      <c r="DI49" s="167">
        <f t="shared" si="194"/>
        <v>0</v>
      </c>
      <c r="DJ49" s="167">
        <f t="shared" si="268"/>
        <v>0</v>
      </c>
      <c r="DK49" s="167">
        <f t="shared" si="196"/>
        <v>0</v>
      </c>
      <c r="DL49" s="167">
        <f t="shared" si="269"/>
        <v>0</v>
      </c>
      <c r="DM49" s="167">
        <f t="shared" si="198"/>
        <v>0</v>
      </c>
      <c r="DN49" s="167">
        <f t="shared" si="270"/>
        <v>0</v>
      </c>
      <c r="DO49" s="170">
        <f t="shared" si="200"/>
        <v>0</v>
      </c>
      <c r="DP49" s="167">
        <f t="shared" si="201"/>
        <v>0</v>
      </c>
      <c r="DQ49" s="171">
        <f t="shared" si="202"/>
        <v>0</v>
      </c>
      <c r="DR49" s="169">
        <f t="shared" si="277"/>
        <v>0</v>
      </c>
      <c r="DS49" s="167">
        <f t="shared" si="271"/>
        <v>0</v>
      </c>
      <c r="DT49" s="167">
        <f t="shared" si="205"/>
        <v>0</v>
      </c>
      <c r="DU49" s="167">
        <f t="shared" si="272"/>
        <v>0</v>
      </c>
      <c r="DV49" s="167">
        <f t="shared" si="207"/>
        <v>0</v>
      </c>
      <c r="DW49" s="167">
        <f t="shared" si="273"/>
        <v>0</v>
      </c>
      <c r="DX49" s="167">
        <f t="shared" si="209"/>
        <v>0</v>
      </c>
      <c r="DY49" s="167">
        <f t="shared" si="274"/>
        <v>0</v>
      </c>
      <c r="DZ49" s="167">
        <f t="shared" si="211"/>
        <v>0</v>
      </c>
      <c r="EA49" s="167">
        <f t="shared" si="275"/>
        <v>0</v>
      </c>
      <c r="EB49" s="170">
        <f t="shared" si="213"/>
        <v>0</v>
      </c>
      <c r="EC49" s="167">
        <f t="shared" si="214"/>
        <v>0</v>
      </c>
      <c r="ED49" s="171">
        <f t="shared" si="215"/>
        <v>0</v>
      </c>
    </row>
    <row r="50" spans="1:134" x14ac:dyDescent="0.3">
      <c r="A50" s="196"/>
      <c r="B50" s="196"/>
      <c r="C50" s="616"/>
      <c r="D50" s="188"/>
      <c r="E50" s="624"/>
      <c r="F50" s="190"/>
      <c r="G50" s="625"/>
      <c r="H50" s="192"/>
      <c r="I50" s="193"/>
      <c r="J50" s="194"/>
      <c r="K50" s="165">
        <f t="shared" si="216"/>
        <v>0</v>
      </c>
      <c r="L50" s="166">
        <f t="shared" si="217"/>
        <v>0</v>
      </c>
      <c r="M50" s="167">
        <f t="shared" si="218"/>
        <v>0</v>
      </c>
      <c r="N50" s="167"/>
      <c r="O50" s="167">
        <f t="shared" si="219"/>
        <v>0</v>
      </c>
      <c r="P50" s="168"/>
      <c r="Q50" s="167">
        <f t="shared" si="220"/>
        <v>0</v>
      </c>
      <c r="R50" s="169">
        <f t="shared" si="221"/>
        <v>0</v>
      </c>
      <c r="S50" s="167">
        <f t="shared" si="222"/>
        <v>0</v>
      </c>
      <c r="T50" s="167">
        <f t="shared" si="223"/>
        <v>0</v>
      </c>
      <c r="U50" s="167">
        <f t="shared" si="224"/>
        <v>0</v>
      </c>
      <c r="V50" s="167">
        <f t="shared" si="225"/>
        <v>0</v>
      </c>
      <c r="W50" s="167">
        <f t="shared" si="226"/>
        <v>0</v>
      </c>
      <c r="X50" s="167">
        <f t="shared" si="227"/>
        <v>0</v>
      </c>
      <c r="Y50" s="167">
        <f t="shared" si="228"/>
        <v>0</v>
      </c>
      <c r="Z50" s="167">
        <f t="shared" si="229"/>
        <v>0</v>
      </c>
      <c r="AA50" s="167">
        <f t="shared" si="230"/>
        <v>0</v>
      </c>
      <c r="AB50" s="170">
        <f t="shared" si="231"/>
        <v>0</v>
      </c>
      <c r="AC50" s="167">
        <f t="shared" si="232"/>
        <v>0</v>
      </c>
      <c r="AD50" s="171">
        <f t="shared" si="233"/>
        <v>0</v>
      </c>
      <c r="AE50" s="169">
        <f t="shared" si="276"/>
        <v>0</v>
      </c>
      <c r="AF50" s="167">
        <f t="shared" si="235"/>
        <v>0</v>
      </c>
      <c r="AG50" s="167">
        <f t="shared" si="114"/>
        <v>0</v>
      </c>
      <c r="AH50" s="167">
        <f t="shared" si="236"/>
        <v>0</v>
      </c>
      <c r="AI50" s="167">
        <f t="shared" si="116"/>
        <v>0</v>
      </c>
      <c r="AJ50" s="167">
        <f t="shared" si="237"/>
        <v>0</v>
      </c>
      <c r="AK50" s="167">
        <f t="shared" si="118"/>
        <v>0</v>
      </c>
      <c r="AL50" s="167">
        <f t="shared" si="238"/>
        <v>0</v>
      </c>
      <c r="AM50" s="167">
        <f t="shared" si="120"/>
        <v>0</v>
      </c>
      <c r="AN50" s="167">
        <f t="shared" si="239"/>
        <v>0</v>
      </c>
      <c r="AO50" s="170">
        <f t="shared" si="122"/>
        <v>0</v>
      </c>
      <c r="AP50" s="167">
        <f t="shared" si="123"/>
        <v>0</v>
      </c>
      <c r="AQ50" s="171">
        <f t="shared" si="124"/>
        <v>0</v>
      </c>
      <c r="AR50" s="169">
        <f t="shared" si="276"/>
        <v>0</v>
      </c>
      <c r="AS50" s="167">
        <f t="shared" si="240"/>
        <v>0</v>
      </c>
      <c r="AT50" s="167">
        <f t="shared" si="127"/>
        <v>0</v>
      </c>
      <c r="AU50" s="167">
        <f t="shared" si="241"/>
        <v>0</v>
      </c>
      <c r="AV50" s="167">
        <f t="shared" si="129"/>
        <v>0</v>
      </c>
      <c r="AW50" s="167">
        <f t="shared" si="242"/>
        <v>0</v>
      </c>
      <c r="AX50" s="167">
        <f t="shared" si="131"/>
        <v>0</v>
      </c>
      <c r="AY50" s="167">
        <f t="shared" si="243"/>
        <v>0</v>
      </c>
      <c r="AZ50" s="167">
        <f t="shared" si="133"/>
        <v>0</v>
      </c>
      <c r="BA50" s="167">
        <f t="shared" si="244"/>
        <v>0</v>
      </c>
      <c r="BB50" s="170">
        <f t="shared" si="135"/>
        <v>0</v>
      </c>
      <c r="BC50" s="167">
        <f t="shared" si="136"/>
        <v>0</v>
      </c>
      <c r="BD50" s="171">
        <f t="shared" si="137"/>
        <v>0</v>
      </c>
      <c r="BE50" s="169">
        <f t="shared" si="276"/>
        <v>0</v>
      </c>
      <c r="BF50" s="167">
        <f t="shared" si="245"/>
        <v>0</v>
      </c>
      <c r="BG50" s="167">
        <f t="shared" si="140"/>
        <v>0</v>
      </c>
      <c r="BH50" s="167">
        <f t="shared" si="246"/>
        <v>0</v>
      </c>
      <c r="BI50" s="167">
        <f t="shared" si="142"/>
        <v>0</v>
      </c>
      <c r="BJ50" s="167">
        <f t="shared" si="247"/>
        <v>0</v>
      </c>
      <c r="BK50" s="167">
        <f t="shared" si="144"/>
        <v>0</v>
      </c>
      <c r="BL50" s="167">
        <f t="shared" si="248"/>
        <v>0</v>
      </c>
      <c r="BM50" s="167">
        <f t="shared" si="146"/>
        <v>0</v>
      </c>
      <c r="BN50" s="167">
        <f t="shared" si="249"/>
        <v>0</v>
      </c>
      <c r="BO50" s="170">
        <f t="shared" si="148"/>
        <v>0</v>
      </c>
      <c r="BP50" s="167">
        <f t="shared" si="149"/>
        <v>0</v>
      </c>
      <c r="BQ50" s="171">
        <f t="shared" si="150"/>
        <v>0</v>
      </c>
      <c r="BR50" s="169">
        <f t="shared" si="276"/>
        <v>0</v>
      </c>
      <c r="BS50" s="167">
        <f t="shared" si="250"/>
        <v>0</v>
      </c>
      <c r="BT50" s="167">
        <f t="shared" si="153"/>
        <v>0</v>
      </c>
      <c r="BU50" s="167">
        <f t="shared" si="251"/>
        <v>0</v>
      </c>
      <c r="BV50" s="167">
        <f t="shared" si="155"/>
        <v>0</v>
      </c>
      <c r="BW50" s="167">
        <f t="shared" si="252"/>
        <v>0</v>
      </c>
      <c r="BX50" s="167">
        <f t="shared" si="157"/>
        <v>0</v>
      </c>
      <c r="BY50" s="167">
        <f t="shared" si="253"/>
        <v>0</v>
      </c>
      <c r="BZ50" s="167">
        <f t="shared" si="159"/>
        <v>0</v>
      </c>
      <c r="CA50" s="167">
        <f t="shared" si="254"/>
        <v>0</v>
      </c>
      <c r="CB50" s="170">
        <f t="shared" si="161"/>
        <v>0</v>
      </c>
      <c r="CC50" s="167">
        <f t="shared" si="162"/>
        <v>0</v>
      </c>
      <c r="CD50" s="171">
        <f t="shared" si="163"/>
        <v>0</v>
      </c>
      <c r="CE50" s="169">
        <f t="shared" si="276"/>
        <v>0</v>
      </c>
      <c r="CF50" s="167">
        <f t="shared" si="255"/>
        <v>0</v>
      </c>
      <c r="CG50" s="167">
        <f t="shared" si="166"/>
        <v>0</v>
      </c>
      <c r="CH50" s="167">
        <f t="shared" si="256"/>
        <v>0</v>
      </c>
      <c r="CI50" s="167">
        <f t="shared" si="168"/>
        <v>0</v>
      </c>
      <c r="CJ50" s="167">
        <f t="shared" si="257"/>
        <v>0</v>
      </c>
      <c r="CK50" s="167">
        <f t="shared" si="170"/>
        <v>0</v>
      </c>
      <c r="CL50" s="167">
        <f t="shared" si="258"/>
        <v>0</v>
      </c>
      <c r="CM50" s="167">
        <f t="shared" si="172"/>
        <v>0</v>
      </c>
      <c r="CN50" s="167">
        <f t="shared" si="259"/>
        <v>0</v>
      </c>
      <c r="CO50" s="170">
        <f t="shared" si="174"/>
        <v>0</v>
      </c>
      <c r="CP50" s="167">
        <f t="shared" si="175"/>
        <v>0</v>
      </c>
      <c r="CQ50" s="171">
        <f t="shared" si="176"/>
        <v>0</v>
      </c>
      <c r="CR50" s="169">
        <f t="shared" si="277"/>
        <v>0</v>
      </c>
      <c r="CS50" s="167">
        <f t="shared" si="261"/>
        <v>0</v>
      </c>
      <c r="CT50" s="167">
        <f t="shared" si="179"/>
        <v>0</v>
      </c>
      <c r="CU50" s="167">
        <f t="shared" si="262"/>
        <v>0</v>
      </c>
      <c r="CV50" s="167">
        <f t="shared" si="181"/>
        <v>0</v>
      </c>
      <c r="CW50" s="167">
        <f t="shared" si="263"/>
        <v>0</v>
      </c>
      <c r="CX50" s="167">
        <f t="shared" si="183"/>
        <v>0</v>
      </c>
      <c r="CY50" s="167">
        <f t="shared" si="264"/>
        <v>0</v>
      </c>
      <c r="CZ50" s="167">
        <f t="shared" si="185"/>
        <v>0</v>
      </c>
      <c r="DA50" s="167">
        <f t="shared" si="265"/>
        <v>0</v>
      </c>
      <c r="DB50" s="170">
        <f t="shared" si="187"/>
        <v>0</v>
      </c>
      <c r="DC50" s="167">
        <f t="shared" si="188"/>
        <v>0</v>
      </c>
      <c r="DD50" s="171">
        <f t="shared" si="189"/>
        <v>0</v>
      </c>
      <c r="DE50" s="169">
        <f t="shared" si="277"/>
        <v>0</v>
      </c>
      <c r="DF50" s="167">
        <f t="shared" si="266"/>
        <v>0</v>
      </c>
      <c r="DG50" s="167">
        <f t="shared" si="192"/>
        <v>0</v>
      </c>
      <c r="DH50" s="167">
        <f t="shared" si="267"/>
        <v>0</v>
      </c>
      <c r="DI50" s="167">
        <f t="shared" si="194"/>
        <v>0</v>
      </c>
      <c r="DJ50" s="167">
        <f t="shared" si="268"/>
        <v>0</v>
      </c>
      <c r="DK50" s="167">
        <f t="shared" si="196"/>
        <v>0</v>
      </c>
      <c r="DL50" s="167">
        <f t="shared" si="269"/>
        <v>0</v>
      </c>
      <c r="DM50" s="167">
        <f t="shared" si="198"/>
        <v>0</v>
      </c>
      <c r="DN50" s="167">
        <f t="shared" si="270"/>
        <v>0</v>
      </c>
      <c r="DO50" s="170">
        <f t="shared" si="200"/>
        <v>0</v>
      </c>
      <c r="DP50" s="167">
        <f t="shared" si="201"/>
        <v>0</v>
      </c>
      <c r="DQ50" s="171">
        <f t="shared" si="202"/>
        <v>0</v>
      </c>
      <c r="DR50" s="169">
        <f t="shared" si="277"/>
        <v>0</v>
      </c>
      <c r="DS50" s="167">
        <f t="shared" si="271"/>
        <v>0</v>
      </c>
      <c r="DT50" s="167">
        <f t="shared" si="205"/>
        <v>0</v>
      </c>
      <c r="DU50" s="167">
        <f t="shared" si="272"/>
        <v>0</v>
      </c>
      <c r="DV50" s="167">
        <f t="shared" si="207"/>
        <v>0</v>
      </c>
      <c r="DW50" s="167">
        <f t="shared" si="273"/>
        <v>0</v>
      </c>
      <c r="DX50" s="167">
        <f t="shared" si="209"/>
        <v>0</v>
      </c>
      <c r="DY50" s="167">
        <f t="shared" si="274"/>
        <v>0</v>
      </c>
      <c r="DZ50" s="167">
        <f t="shared" si="211"/>
        <v>0</v>
      </c>
      <c r="EA50" s="167">
        <f t="shared" si="275"/>
        <v>0</v>
      </c>
      <c r="EB50" s="170">
        <f t="shared" si="213"/>
        <v>0</v>
      </c>
      <c r="EC50" s="167">
        <f t="shared" si="214"/>
        <v>0</v>
      </c>
      <c r="ED50" s="171">
        <f t="shared" si="215"/>
        <v>0</v>
      </c>
    </row>
    <row r="51" spans="1:134" x14ac:dyDescent="0.3">
      <c r="A51" s="196"/>
      <c r="B51" s="196"/>
      <c r="C51" s="616"/>
      <c r="D51" s="188"/>
      <c r="E51" s="624"/>
      <c r="F51" s="190"/>
      <c r="G51" s="625"/>
      <c r="H51" s="192"/>
      <c r="I51" s="193"/>
      <c r="J51" s="194"/>
      <c r="K51" s="165">
        <f t="shared" si="216"/>
        <v>0</v>
      </c>
      <c r="L51" s="166">
        <f t="shared" si="217"/>
        <v>0</v>
      </c>
      <c r="M51" s="167">
        <f t="shared" si="218"/>
        <v>0</v>
      </c>
      <c r="N51" s="167"/>
      <c r="O51" s="167">
        <f t="shared" si="219"/>
        <v>0</v>
      </c>
      <c r="P51" s="168"/>
      <c r="Q51" s="167">
        <f t="shared" si="220"/>
        <v>0</v>
      </c>
      <c r="R51" s="169">
        <f t="shared" si="221"/>
        <v>0</v>
      </c>
      <c r="S51" s="167">
        <f t="shared" si="222"/>
        <v>0</v>
      </c>
      <c r="T51" s="167">
        <f t="shared" si="223"/>
        <v>0</v>
      </c>
      <c r="U51" s="167">
        <f t="shared" si="224"/>
        <v>0</v>
      </c>
      <c r="V51" s="167">
        <f t="shared" si="225"/>
        <v>0</v>
      </c>
      <c r="W51" s="167">
        <f t="shared" si="226"/>
        <v>0</v>
      </c>
      <c r="X51" s="167">
        <f t="shared" si="227"/>
        <v>0</v>
      </c>
      <c r="Y51" s="167">
        <f t="shared" si="228"/>
        <v>0</v>
      </c>
      <c r="Z51" s="167">
        <f t="shared" si="229"/>
        <v>0</v>
      </c>
      <c r="AA51" s="167">
        <f t="shared" si="230"/>
        <v>0</v>
      </c>
      <c r="AB51" s="170">
        <f t="shared" si="231"/>
        <v>0</v>
      </c>
      <c r="AC51" s="167">
        <f t="shared" si="232"/>
        <v>0</v>
      </c>
      <c r="AD51" s="171">
        <f t="shared" si="233"/>
        <v>0</v>
      </c>
      <c r="AE51" s="169">
        <f t="shared" si="276"/>
        <v>0</v>
      </c>
      <c r="AF51" s="167">
        <f t="shared" si="235"/>
        <v>0</v>
      </c>
      <c r="AG51" s="167">
        <f t="shared" si="114"/>
        <v>0</v>
      </c>
      <c r="AH51" s="167">
        <f t="shared" si="236"/>
        <v>0</v>
      </c>
      <c r="AI51" s="167">
        <f t="shared" si="116"/>
        <v>0</v>
      </c>
      <c r="AJ51" s="167">
        <f t="shared" si="237"/>
        <v>0</v>
      </c>
      <c r="AK51" s="167">
        <f t="shared" si="118"/>
        <v>0</v>
      </c>
      <c r="AL51" s="167">
        <f t="shared" si="238"/>
        <v>0</v>
      </c>
      <c r="AM51" s="167">
        <f t="shared" si="120"/>
        <v>0</v>
      </c>
      <c r="AN51" s="167">
        <f t="shared" si="239"/>
        <v>0</v>
      </c>
      <c r="AO51" s="170">
        <f t="shared" si="122"/>
        <v>0</v>
      </c>
      <c r="AP51" s="167">
        <f t="shared" si="123"/>
        <v>0</v>
      </c>
      <c r="AQ51" s="171">
        <f t="shared" si="124"/>
        <v>0</v>
      </c>
      <c r="AR51" s="169">
        <f t="shared" si="276"/>
        <v>0</v>
      </c>
      <c r="AS51" s="167">
        <f t="shared" si="240"/>
        <v>0</v>
      </c>
      <c r="AT51" s="167">
        <f t="shared" si="127"/>
        <v>0</v>
      </c>
      <c r="AU51" s="167">
        <f t="shared" si="241"/>
        <v>0</v>
      </c>
      <c r="AV51" s="167">
        <f t="shared" si="129"/>
        <v>0</v>
      </c>
      <c r="AW51" s="167">
        <f t="shared" si="242"/>
        <v>0</v>
      </c>
      <c r="AX51" s="167">
        <f t="shared" si="131"/>
        <v>0</v>
      </c>
      <c r="AY51" s="167">
        <f t="shared" si="243"/>
        <v>0</v>
      </c>
      <c r="AZ51" s="167">
        <f t="shared" si="133"/>
        <v>0</v>
      </c>
      <c r="BA51" s="167">
        <f t="shared" si="244"/>
        <v>0</v>
      </c>
      <c r="BB51" s="170">
        <f t="shared" si="135"/>
        <v>0</v>
      </c>
      <c r="BC51" s="167">
        <f t="shared" si="136"/>
        <v>0</v>
      </c>
      <c r="BD51" s="171">
        <f t="shared" si="137"/>
        <v>0</v>
      </c>
      <c r="BE51" s="169">
        <f t="shared" si="276"/>
        <v>0</v>
      </c>
      <c r="BF51" s="167">
        <f t="shared" si="245"/>
        <v>0</v>
      </c>
      <c r="BG51" s="167">
        <f t="shared" si="140"/>
        <v>0</v>
      </c>
      <c r="BH51" s="167">
        <f t="shared" si="246"/>
        <v>0</v>
      </c>
      <c r="BI51" s="167">
        <f t="shared" si="142"/>
        <v>0</v>
      </c>
      <c r="BJ51" s="167">
        <f t="shared" si="247"/>
        <v>0</v>
      </c>
      <c r="BK51" s="167">
        <f t="shared" si="144"/>
        <v>0</v>
      </c>
      <c r="BL51" s="167">
        <f t="shared" si="248"/>
        <v>0</v>
      </c>
      <c r="BM51" s="167">
        <f t="shared" si="146"/>
        <v>0</v>
      </c>
      <c r="BN51" s="167">
        <f t="shared" si="249"/>
        <v>0</v>
      </c>
      <c r="BO51" s="170">
        <f t="shared" si="148"/>
        <v>0</v>
      </c>
      <c r="BP51" s="167">
        <f t="shared" si="149"/>
        <v>0</v>
      </c>
      <c r="BQ51" s="171">
        <f t="shared" si="150"/>
        <v>0</v>
      </c>
      <c r="BR51" s="169">
        <f t="shared" si="276"/>
        <v>0</v>
      </c>
      <c r="BS51" s="167">
        <f t="shared" si="250"/>
        <v>0</v>
      </c>
      <c r="BT51" s="167">
        <f t="shared" si="153"/>
        <v>0</v>
      </c>
      <c r="BU51" s="167">
        <f t="shared" si="251"/>
        <v>0</v>
      </c>
      <c r="BV51" s="167">
        <f t="shared" si="155"/>
        <v>0</v>
      </c>
      <c r="BW51" s="167">
        <f t="shared" si="252"/>
        <v>0</v>
      </c>
      <c r="BX51" s="167">
        <f t="shared" si="157"/>
        <v>0</v>
      </c>
      <c r="BY51" s="167">
        <f t="shared" si="253"/>
        <v>0</v>
      </c>
      <c r="BZ51" s="167">
        <f t="shared" si="159"/>
        <v>0</v>
      </c>
      <c r="CA51" s="167">
        <f t="shared" si="254"/>
        <v>0</v>
      </c>
      <c r="CB51" s="170">
        <f t="shared" si="161"/>
        <v>0</v>
      </c>
      <c r="CC51" s="167">
        <f t="shared" si="162"/>
        <v>0</v>
      </c>
      <c r="CD51" s="171">
        <f t="shared" si="163"/>
        <v>0</v>
      </c>
      <c r="CE51" s="169">
        <f t="shared" si="276"/>
        <v>0</v>
      </c>
      <c r="CF51" s="167">
        <f t="shared" si="255"/>
        <v>0</v>
      </c>
      <c r="CG51" s="167">
        <f t="shared" si="166"/>
        <v>0</v>
      </c>
      <c r="CH51" s="167">
        <f t="shared" si="256"/>
        <v>0</v>
      </c>
      <c r="CI51" s="167">
        <f t="shared" si="168"/>
        <v>0</v>
      </c>
      <c r="CJ51" s="167">
        <f t="shared" si="257"/>
        <v>0</v>
      </c>
      <c r="CK51" s="167">
        <f t="shared" si="170"/>
        <v>0</v>
      </c>
      <c r="CL51" s="167">
        <f t="shared" si="258"/>
        <v>0</v>
      </c>
      <c r="CM51" s="167">
        <f t="shared" si="172"/>
        <v>0</v>
      </c>
      <c r="CN51" s="167">
        <f t="shared" si="259"/>
        <v>0</v>
      </c>
      <c r="CO51" s="170">
        <f t="shared" si="174"/>
        <v>0</v>
      </c>
      <c r="CP51" s="167">
        <f t="shared" si="175"/>
        <v>0</v>
      </c>
      <c r="CQ51" s="171">
        <f t="shared" si="176"/>
        <v>0</v>
      </c>
      <c r="CR51" s="169">
        <f t="shared" si="277"/>
        <v>0</v>
      </c>
      <c r="CS51" s="167">
        <f t="shared" si="261"/>
        <v>0</v>
      </c>
      <c r="CT51" s="167">
        <f t="shared" si="179"/>
        <v>0</v>
      </c>
      <c r="CU51" s="167">
        <f t="shared" si="262"/>
        <v>0</v>
      </c>
      <c r="CV51" s="167">
        <f t="shared" si="181"/>
        <v>0</v>
      </c>
      <c r="CW51" s="167">
        <f t="shared" si="263"/>
        <v>0</v>
      </c>
      <c r="CX51" s="167">
        <f t="shared" si="183"/>
        <v>0</v>
      </c>
      <c r="CY51" s="167">
        <f t="shared" si="264"/>
        <v>0</v>
      </c>
      <c r="CZ51" s="167">
        <f t="shared" si="185"/>
        <v>0</v>
      </c>
      <c r="DA51" s="167">
        <f t="shared" si="265"/>
        <v>0</v>
      </c>
      <c r="DB51" s="170">
        <f t="shared" si="187"/>
        <v>0</v>
      </c>
      <c r="DC51" s="167">
        <f t="shared" si="188"/>
        <v>0</v>
      </c>
      <c r="DD51" s="171">
        <f t="shared" si="189"/>
        <v>0</v>
      </c>
      <c r="DE51" s="169">
        <f t="shared" si="277"/>
        <v>0</v>
      </c>
      <c r="DF51" s="167">
        <f t="shared" si="266"/>
        <v>0</v>
      </c>
      <c r="DG51" s="167">
        <f t="shared" si="192"/>
        <v>0</v>
      </c>
      <c r="DH51" s="167">
        <f t="shared" si="267"/>
        <v>0</v>
      </c>
      <c r="DI51" s="167">
        <f t="shared" si="194"/>
        <v>0</v>
      </c>
      <c r="DJ51" s="167">
        <f t="shared" si="268"/>
        <v>0</v>
      </c>
      <c r="DK51" s="167">
        <f t="shared" si="196"/>
        <v>0</v>
      </c>
      <c r="DL51" s="167">
        <f t="shared" si="269"/>
        <v>0</v>
      </c>
      <c r="DM51" s="167">
        <f t="shared" si="198"/>
        <v>0</v>
      </c>
      <c r="DN51" s="167">
        <f t="shared" si="270"/>
        <v>0</v>
      </c>
      <c r="DO51" s="170">
        <f t="shared" si="200"/>
        <v>0</v>
      </c>
      <c r="DP51" s="167">
        <f t="shared" si="201"/>
        <v>0</v>
      </c>
      <c r="DQ51" s="171">
        <f t="shared" si="202"/>
        <v>0</v>
      </c>
      <c r="DR51" s="169">
        <f t="shared" si="277"/>
        <v>0</v>
      </c>
      <c r="DS51" s="167">
        <f t="shared" si="271"/>
        <v>0</v>
      </c>
      <c r="DT51" s="167">
        <f t="shared" si="205"/>
        <v>0</v>
      </c>
      <c r="DU51" s="167">
        <f t="shared" si="272"/>
        <v>0</v>
      </c>
      <c r="DV51" s="167">
        <f t="shared" si="207"/>
        <v>0</v>
      </c>
      <c r="DW51" s="167">
        <f t="shared" si="273"/>
        <v>0</v>
      </c>
      <c r="DX51" s="167">
        <f t="shared" si="209"/>
        <v>0</v>
      </c>
      <c r="DY51" s="167">
        <f t="shared" si="274"/>
        <v>0</v>
      </c>
      <c r="DZ51" s="167">
        <f t="shared" si="211"/>
        <v>0</v>
      </c>
      <c r="EA51" s="167">
        <f t="shared" si="275"/>
        <v>0</v>
      </c>
      <c r="EB51" s="170">
        <f t="shared" si="213"/>
        <v>0</v>
      </c>
      <c r="EC51" s="167">
        <f t="shared" si="214"/>
        <v>0</v>
      </c>
      <c r="ED51" s="171">
        <f t="shared" si="215"/>
        <v>0</v>
      </c>
    </row>
    <row r="52" spans="1:134" x14ac:dyDescent="0.3">
      <c r="A52" s="196"/>
      <c r="B52" s="186"/>
      <c r="C52" s="189"/>
      <c r="D52" s="188"/>
      <c r="E52" s="624"/>
      <c r="F52" s="190"/>
      <c r="G52" s="625"/>
      <c r="H52" s="192"/>
      <c r="I52" s="193"/>
      <c r="J52" s="194"/>
      <c r="K52" s="165">
        <f t="shared" si="216"/>
        <v>0</v>
      </c>
      <c r="L52" s="166">
        <f t="shared" si="217"/>
        <v>0</v>
      </c>
      <c r="M52" s="167">
        <f t="shared" si="218"/>
        <v>0</v>
      </c>
      <c r="N52" s="167"/>
      <c r="O52" s="167">
        <f t="shared" si="219"/>
        <v>0</v>
      </c>
      <c r="P52" s="168"/>
      <c r="Q52" s="167">
        <f t="shared" si="220"/>
        <v>0</v>
      </c>
      <c r="R52" s="169">
        <f t="shared" si="221"/>
        <v>0</v>
      </c>
      <c r="S52" s="167">
        <f t="shared" si="222"/>
        <v>0</v>
      </c>
      <c r="T52" s="167">
        <f t="shared" si="223"/>
        <v>0</v>
      </c>
      <c r="U52" s="167">
        <f t="shared" si="224"/>
        <v>0</v>
      </c>
      <c r="V52" s="167">
        <f t="shared" si="225"/>
        <v>0</v>
      </c>
      <c r="W52" s="167">
        <f t="shared" si="226"/>
        <v>0</v>
      </c>
      <c r="X52" s="167">
        <f t="shared" si="227"/>
        <v>0</v>
      </c>
      <c r="Y52" s="167">
        <f t="shared" si="228"/>
        <v>0</v>
      </c>
      <c r="Z52" s="167">
        <f t="shared" si="229"/>
        <v>0</v>
      </c>
      <c r="AA52" s="167">
        <f t="shared" si="230"/>
        <v>0</v>
      </c>
      <c r="AB52" s="170">
        <f t="shared" si="231"/>
        <v>0</v>
      </c>
      <c r="AC52" s="167">
        <f t="shared" si="232"/>
        <v>0</v>
      </c>
      <c r="AD52" s="171">
        <f t="shared" si="233"/>
        <v>0</v>
      </c>
      <c r="AE52" s="169">
        <f t="shared" si="276"/>
        <v>0</v>
      </c>
      <c r="AF52" s="167">
        <f t="shared" si="235"/>
        <v>0</v>
      </c>
      <c r="AG52" s="167">
        <f t="shared" si="114"/>
        <v>0</v>
      </c>
      <c r="AH52" s="167">
        <f t="shared" si="236"/>
        <v>0</v>
      </c>
      <c r="AI52" s="167">
        <f t="shared" si="116"/>
        <v>0</v>
      </c>
      <c r="AJ52" s="167">
        <f t="shared" si="237"/>
        <v>0</v>
      </c>
      <c r="AK52" s="167">
        <f t="shared" si="118"/>
        <v>0</v>
      </c>
      <c r="AL52" s="167">
        <f t="shared" si="238"/>
        <v>0</v>
      </c>
      <c r="AM52" s="167">
        <f t="shared" si="120"/>
        <v>0</v>
      </c>
      <c r="AN52" s="167">
        <f t="shared" si="239"/>
        <v>0</v>
      </c>
      <c r="AO52" s="170">
        <f t="shared" si="122"/>
        <v>0</v>
      </c>
      <c r="AP52" s="167">
        <f t="shared" si="123"/>
        <v>0</v>
      </c>
      <c r="AQ52" s="171">
        <f t="shared" si="124"/>
        <v>0</v>
      </c>
      <c r="AR52" s="169">
        <f t="shared" si="276"/>
        <v>0</v>
      </c>
      <c r="AS52" s="167">
        <f t="shared" si="240"/>
        <v>0</v>
      </c>
      <c r="AT52" s="167">
        <f t="shared" si="127"/>
        <v>0</v>
      </c>
      <c r="AU52" s="167">
        <f t="shared" si="241"/>
        <v>0</v>
      </c>
      <c r="AV52" s="167">
        <f t="shared" si="129"/>
        <v>0</v>
      </c>
      <c r="AW52" s="167">
        <f t="shared" si="242"/>
        <v>0</v>
      </c>
      <c r="AX52" s="167">
        <f t="shared" si="131"/>
        <v>0</v>
      </c>
      <c r="AY52" s="167">
        <f t="shared" si="243"/>
        <v>0</v>
      </c>
      <c r="AZ52" s="167">
        <f t="shared" si="133"/>
        <v>0</v>
      </c>
      <c r="BA52" s="167">
        <f t="shared" si="244"/>
        <v>0</v>
      </c>
      <c r="BB52" s="170">
        <f t="shared" si="135"/>
        <v>0</v>
      </c>
      <c r="BC52" s="167">
        <f t="shared" si="136"/>
        <v>0</v>
      </c>
      <c r="BD52" s="171">
        <f t="shared" si="137"/>
        <v>0</v>
      </c>
      <c r="BE52" s="169">
        <f t="shared" si="276"/>
        <v>0</v>
      </c>
      <c r="BF52" s="167">
        <f t="shared" si="245"/>
        <v>0</v>
      </c>
      <c r="BG52" s="167">
        <f t="shared" si="140"/>
        <v>0</v>
      </c>
      <c r="BH52" s="167">
        <f t="shared" si="246"/>
        <v>0</v>
      </c>
      <c r="BI52" s="167">
        <f t="shared" si="142"/>
        <v>0</v>
      </c>
      <c r="BJ52" s="167">
        <f t="shared" si="247"/>
        <v>0</v>
      </c>
      <c r="BK52" s="167">
        <f t="shared" si="144"/>
        <v>0</v>
      </c>
      <c r="BL52" s="167">
        <f t="shared" si="248"/>
        <v>0</v>
      </c>
      <c r="BM52" s="167">
        <f t="shared" si="146"/>
        <v>0</v>
      </c>
      <c r="BN52" s="167">
        <f t="shared" si="249"/>
        <v>0</v>
      </c>
      <c r="BO52" s="170">
        <f t="shared" si="148"/>
        <v>0</v>
      </c>
      <c r="BP52" s="167">
        <f t="shared" si="149"/>
        <v>0</v>
      </c>
      <c r="BQ52" s="171">
        <f t="shared" si="150"/>
        <v>0</v>
      </c>
      <c r="BR52" s="169">
        <f t="shared" si="276"/>
        <v>0</v>
      </c>
      <c r="BS52" s="167">
        <f t="shared" si="250"/>
        <v>0</v>
      </c>
      <c r="BT52" s="167">
        <f t="shared" si="153"/>
        <v>0</v>
      </c>
      <c r="BU52" s="167">
        <f t="shared" si="251"/>
        <v>0</v>
      </c>
      <c r="BV52" s="167">
        <f t="shared" si="155"/>
        <v>0</v>
      </c>
      <c r="BW52" s="167">
        <f t="shared" si="252"/>
        <v>0</v>
      </c>
      <c r="BX52" s="167">
        <f t="shared" si="157"/>
        <v>0</v>
      </c>
      <c r="BY52" s="167">
        <f t="shared" si="253"/>
        <v>0</v>
      </c>
      <c r="BZ52" s="167">
        <f t="shared" si="159"/>
        <v>0</v>
      </c>
      <c r="CA52" s="167">
        <f t="shared" si="254"/>
        <v>0</v>
      </c>
      <c r="CB52" s="170">
        <f t="shared" si="161"/>
        <v>0</v>
      </c>
      <c r="CC52" s="167">
        <f t="shared" si="162"/>
        <v>0</v>
      </c>
      <c r="CD52" s="171">
        <f t="shared" si="163"/>
        <v>0</v>
      </c>
      <c r="CE52" s="169">
        <f t="shared" si="276"/>
        <v>0</v>
      </c>
      <c r="CF52" s="167">
        <f t="shared" si="255"/>
        <v>0</v>
      </c>
      <c r="CG52" s="167">
        <f t="shared" si="166"/>
        <v>0</v>
      </c>
      <c r="CH52" s="167">
        <f t="shared" si="256"/>
        <v>0</v>
      </c>
      <c r="CI52" s="167">
        <f t="shared" si="168"/>
        <v>0</v>
      </c>
      <c r="CJ52" s="167">
        <f t="shared" si="257"/>
        <v>0</v>
      </c>
      <c r="CK52" s="167">
        <f t="shared" si="170"/>
        <v>0</v>
      </c>
      <c r="CL52" s="167">
        <f t="shared" si="258"/>
        <v>0</v>
      </c>
      <c r="CM52" s="167">
        <f t="shared" si="172"/>
        <v>0</v>
      </c>
      <c r="CN52" s="167">
        <f t="shared" si="259"/>
        <v>0</v>
      </c>
      <c r="CO52" s="170">
        <f t="shared" si="174"/>
        <v>0</v>
      </c>
      <c r="CP52" s="167">
        <f t="shared" si="175"/>
        <v>0</v>
      </c>
      <c r="CQ52" s="171">
        <f t="shared" si="176"/>
        <v>0</v>
      </c>
      <c r="CR52" s="169">
        <f t="shared" si="277"/>
        <v>0</v>
      </c>
      <c r="CS52" s="167">
        <f t="shared" si="261"/>
        <v>0</v>
      </c>
      <c r="CT52" s="167">
        <f t="shared" si="179"/>
        <v>0</v>
      </c>
      <c r="CU52" s="167">
        <f t="shared" si="262"/>
        <v>0</v>
      </c>
      <c r="CV52" s="167">
        <f t="shared" si="181"/>
        <v>0</v>
      </c>
      <c r="CW52" s="167">
        <f t="shared" si="263"/>
        <v>0</v>
      </c>
      <c r="CX52" s="167">
        <f t="shared" si="183"/>
        <v>0</v>
      </c>
      <c r="CY52" s="167">
        <f t="shared" si="264"/>
        <v>0</v>
      </c>
      <c r="CZ52" s="167">
        <f t="shared" si="185"/>
        <v>0</v>
      </c>
      <c r="DA52" s="167">
        <f t="shared" si="265"/>
        <v>0</v>
      </c>
      <c r="DB52" s="170">
        <f t="shared" si="187"/>
        <v>0</v>
      </c>
      <c r="DC52" s="167">
        <f t="shared" si="188"/>
        <v>0</v>
      </c>
      <c r="DD52" s="171">
        <f t="shared" si="189"/>
        <v>0</v>
      </c>
      <c r="DE52" s="169">
        <f t="shared" si="277"/>
        <v>0</v>
      </c>
      <c r="DF52" s="167">
        <f t="shared" si="266"/>
        <v>0</v>
      </c>
      <c r="DG52" s="167">
        <f t="shared" si="192"/>
        <v>0</v>
      </c>
      <c r="DH52" s="167">
        <f t="shared" si="267"/>
        <v>0</v>
      </c>
      <c r="DI52" s="167">
        <f t="shared" si="194"/>
        <v>0</v>
      </c>
      <c r="DJ52" s="167">
        <f t="shared" si="268"/>
        <v>0</v>
      </c>
      <c r="DK52" s="167">
        <f t="shared" si="196"/>
        <v>0</v>
      </c>
      <c r="DL52" s="167">
        <f t="shared" si="269"/>
        <v>0</v>
      </c>
      <c r="DM52" s="167">
        <f t="shared" si="198"/>
        <v>0</v>
      </c>
      <c r="DN52" s="167">
        <f t="shared" si="270"/>
        <v>0</v>
      </c>
      <c r="DO52" s="170">
        <f t="shared" si="200"/>
        <v>0</v>
      </c>
      <c r="DP52" s="167">
        <f t="shared" si="201"/>
        <v>0</v>
      </c>
      <c r="DQ52" s="171">
        <f t="shared" si="202"/>
        <v>0</v>
      </c>
      <c r="DR52" s="169">
        <f t="shared" si="277"/>
        <v>0</v>
      </c>
      <c r="DS52" s="167">
        <f t="shared" si="271"/>
        <v>0</v>
      </c>
      <c r="DT52" s="167">
        <f t="shared" si="205"/>
        <v>0</v>
      </c>
      <c r="DU52" s="167">
        <f t="shared" si="272"/>
        <v>0</v>
      </c>
      <c r="DV52" s="167">
        <f t="shared" si="207"/>
        <v>0</v>
      </c>
      <c r="DW52" s="167">
        <f t="shared" si="273"/>
        <v>0</v>
      </c>
      <c r="DX52" s="167">
        <f t="shared" si="209"/>
        <v>0</v>
      </c>
      <c r="DY52" s="167">
        <f t="shared" si="274"/>
        <v>0</v>
      </c>
      <c r="DZ52" s="167">
        <f t="shared" si="211"/>
        <v>0</v>
      </c>
      <c r="EA52" s="167">
        <f t="shared" si="275"/>
        <v>0</v>
      </c>
      <c r="EB52" s="170">
        <f t="shared" si="213"/>
        <v>0</v>
      </c>
      <c r="EC52" s="167">
        <f t="shared" si="214"/>
        <v>0</v>
      </c>
      <c r="ED52" s="171">
        <f t="shared" si="215"/>
        <v>0</v>
      </c>
    </row>
    <row r="53" spans="1:134" x14ac:dyDescent="0.3">
      <c r="A53" s="196"/>
      <c r="B53" s="196"/>
      <c r="C53" s="616"/>
      <c r="D53" s="188"/>
      <c r="E53" s="624"/>
      <c r="F53" s="190"/>
      <c r="G53" s="625"/>
      <c r="H53" s="192"/>
      <c r="I53" s="193"/>
      <c r="J53" s="194"/>
      <c r="K53" s="165">
        <f t="shared" si="216"/>
        <v>0</v>
      </c>
      <c r="L53" s="166">
        <f t="shared" si="217"/>
        <v>0</v>
      </c>
      <c r="M53" s="167">
        <f t="shared" si="218"/>
        <v>0</v>
      </c>
      <c r="N53" s="167"/>
      <c r="O53" s="167">
        <f t="shared" si="219"/>
        <v>0</v>
      </c>
      <c r="P53" s="168"/>
      <c r="Q53" s="167">
        <f t="shared" si="220"/>
        <v>0</v>
      </c>
      <c r="R53" s="169">
        <f t="shared" si="221"/>
        <v>0</v>
      </c>
      <c r="S53" s="167">
        <f t="shared" si="222"/>
        <v>0</v>
      </c>
      <c r="T53" s="167">
        <f t="shared" si="223"/>
        <v>0</v>
      </c>
      <c r="U53" s="167">
        <f t="shared" si="224"/>
        <v>0</v>
      </c>
      <c r="V53" s="167">
        <f t="shared" si="225"/>
        <v>0</v>
      </c>
      <c r="W53" s="167">
        <f t="shared" si="226"/>
        <v>0</v>
      </c>
      <c r="X53" s="167">
        <f t="shared" si="227"/>
        <v>0</v>
      </c>
      <c r="Y53" s="167">
        <f t="shared" si="228"/>
        <v>0</v>
      </c>
      <c r="Z53" s="167">
        <f t="shared" si="229"/>
        <v>0</v>
      </c>
      <c r="AA53" s="167">
        <f t="shared" si="230"/>
        <v>0</v>
      </c>
      <c r="AB53" s="170">
        <f t="shared" si="231"/>
        <v>0</v>
      </c>
      <c r="AC53" s="167">
        <f t="shared" si="232"/>
        <v>0</v>
      </c>
      <c r="AD53" s="171">
        <f t="shared" si="233"/>
        <v>0</v>
      </c>
      <c r="AE53" s="169">
        <f t="shared" ref="AE53:CE68" si="278">IF(YEAR($F53)=AE$4,$E53,0)</f>
        <v>0</v>
      </c>
      <c r="AF53" s="167">
        <f t="shared" si="235"/>
        <v>0</v>
      </c>
      <c r="AG53" s="167">
        <f t="shared" si="114"/>
        <v>0</v>
      </c>
      <c r="AH53" s="167">
        <f t="shared" si="236"/>
        <v>0</v>
      </c>
      <c r="AI53" s="167">
        <f t="shared" si="116"/>
        <v>0</v>
      </c>
      <c r="AJ53" s="167">
        <f t="shared" si="237"/>
        <v>0</v>
      </c>
      <c r="AK53" s="167">
        <f t="shared" si="118"/>
        <v>0</v>
      </c>
      <c r="AL53" s="167">
        <f t="shared" si="238"/>
        <v>0</v>
      </c>
      <c r="AM53" s="167">
        <f t="shared" si="120"/>
        <v>0</v>
      </c>
      <c r="AN53" s="167">
        <f t="shared" si="239"/>
        <v>0</v>
      </c>
      <c r="AO53" s="170">
        <f t="shared" si="122"/>
        <v>0</v>
      </c>
      <c r="AP53" s="167">
        <f t="shared" si="123"/>
        <v>0</v>
      </c>
      <c r="AQ53" s="171">
        <f t="shared" si="124"/>
        <v>0</v>
      </c>
      <c r="AR53" s="169">
        <f t="shared" si="278"/>
        <v>0</v>
      </c>
      <c r="AS53" s="167">
        <f t="shared" si="240"/>
        <v>0</v>
      </c>
      <c r="AT53" s="167">
        <f t="shared" si="127"/>
        <v>0</v>
      </c>
      <c r="AU53" s="167">
        <f t="shared" si="241"/>
        <v>0</v>
      </c>
      <c r="AV53" s="167">
        <f t="shared" si="129"/>
        <v>0</v>
      </c>
      <c r="AW53" s="167">
        <f t="shared" si="242"/>
        <v>0</v>
      </c>
      <c r="AX53" s="167">
        <f t="shared" si="131"/>
        <v>0</v>
      </c>
      <c r="AY53" s="167">
        <f t="shared" si="243"/>
        <v>0</v>
      </c>
      <c r="AZ53" s="167">
        <f t="shared" si="133"/>
        <v>0</v>
      </c>
      <c r="BA53" s="167">
        <f t="shared" si="244"/>
        <v>0</v>
      </c>
      <c r="BB53" s="170">
        <f t="shared" si="135"/>
        <v>0</v>
      </c>
      <c r="BC53" s="167">
        <f t="shared" si="136"/>
        <v>0</v>
      </c>
      <c r="BD53" s="171">
        <f t="shared" si="137"/>
        <v>0</v>
      </c>
      <c r="BE53" s="169">
        <f t="shared" si="278"/>
        <v>0</v>
      </c>
      <c r="BF53" s="167">
        <f t="shared" si="245"/>
        <v>0</v>
      </c>
      <c r="BG53" s="167">
        <f t="shared" si="140"/>
        <v>0</v>
      </c>
      <c r="BH53" s="167">
        <f t="shared" si="246"/>
        <v>0</v>
      </c>
      <c r="BI53" s="167">
        <f t="shared" si="142"/>
        <v>0</v>
      </c>
      <c r="BJ53" s="167">
        <f t="shared" si="247"/>
        <v>0</v>
      </c>
      <c r="BK53" s="167">
        <f t="shared" si="144"/>
        <v>0</v>
      </c>
      <c r="BL53" s="167">
        <f t="shared" si="248"/>
        <v>0</v>
      </c>
      <c r="BM53" s="167">
        <f t="shared" si="146"/>
        <v>0</v>
      </c>
      <c r="BN53" s="167">
        <f t="shared" si="249"/>
        <v>0</v>
      </c>
      <c r="BO53" s="170">
        <f t="shared" si="148"/>
        <v>0</v>
      </c>
      <c r="BP53" s="167">
        <f t="shared" si="149"/>
        <v>0</v>
      </c>
      <c r="BQ53" s="171">
        <f t="shared" si="150"/>
        <v>0</v>
      </c>
      <c r="BR53" s="169">
        <f t="shared" si="278"/>
        <v>0</v>
      </c>
      <c r="BS53" s="167">
        <f t="shared" si="250"/>
        <v>0</v>
      </c>
      <c r="BT53" s="167">
        <f t="shared" si="153"/>
        <v>0</v>
      </c>
      <c r="BU53" s="167">
        <f t="shared" si="251"/>
        <v>0</v>
      </c>
      <c r="BV53" s="167">
        <f t="shared" si="155"/>
        <v>0</v>
      </c>
      <c r="BW53" s="167">
        <f t="shared" si="252"/>
        <v>0</v>
      </c>
      <c r="BX53" s="167">
        <f t="shared" si="157"/>
        <v>0</v>
      </c>
      <c r="BY53" s="167">
        <f t="shared" si="253"/>
        <v>0</v>
      </c>
      <c r="BZ53" s="167">
        <f t="shared" si="159"/>
        <v>0</v>
      </c>
      <c r="CA53" s="167">
        <f t="shared" si="254"/>
        <v>0</v>
      </c>
      <c r="CB53" s="170">
        <f t="shared" si="161"/>
        <v>0</v>
      </c>
      <c r="CC53" s="167">
        <f t="shared" si="162"/>
        <v>0</v>
      </c>
      <c r="CD53" s="171">
        <f t="shared" si="163"/>
        <v>0</v>
      </c>
      <c r="CE53" s="169">
        <f t="shared" si="278"/>
        <v>0</v>
      </c>
      <c r="CF53" s="167">
        <f t="shared" si="255"/>
        <v>0</v>
      </c>
      <c r="CG53" s="167">
        <f t="shared" si="166"/>
        <v>0</v>
      </c>
      <c r="CH53" s="167">
        <f t="shared" si="256"/>
        <v>0</v>
      </c>
      <c r="CI53" s="167">
        <f t="shared" si="168"/>
        <v>0</v>
      </c>
      <c r="CJ53" s="167">
        <f t="shared" si="257"/>
        <v>0</v>
      </c>
      <c r="CK53" s="167">
        <f t="shared" si="170"/>
        <v>0</v>
      </c>
      <c r="CL53" s="167">
        <f t="shared" si="258"/>
        <v>0</v>
      </c>
      <c r="CM53" s="167">
        <f t="shared" si="172"/>
        <v>0</v>
      </c>
      <c r="CN53" s="167">
        <f t="shared" si="259"/>
        <v>0</v>
      </c>
      <c r="CO53" s="170">
        <f t="shared" si="174"/>
        <v>0</v>
      </c>
      <c r="CP53" s="167">
        <f t="shared" si="175"/>
        <v>0</v>
      </c>
      <c r="CQ53" s="171">
        <f t="shared" si="176"/>
        <v>0</v>
      </c>
      <c r="CR53" s="169">
        <f t="shared" ref="CR53:DR68" si="279">IF(YEAR($F53)=CR$4,$E53,0)</f>
        <v>0</v>
      </c>
      <c r="CS53" s="167">
        <f t="shared" si="261"/>
        <v>0</v>
      </c>
      <c r="CT53" s="167">
        <f t="shared" si="179"/>
        <v>0</v>
      </c>
      <c r="CU53" s="167">
        <f t="shared" si="262"/>
        <v>0</v>
      </c>
      <c r="CV53" s="167">
        <f t="shared" si="181"/>
        <v>0</v>
      </c>
      <c r="CW53" s="167">
        <f t="shared" si="263"/>
        <v>0</v>
      </c>
      <c r="CX53" s="167">
        <f t="shared" si="183"/>
        <v>0</v>
      </c>
      <c r="CY53" s="167">
        <f t="shared" si="264"/>
        <v>0</v>
      </c>
      <c r="CZ53" s="167">
        <f t="shared" si="185"/>
        <v>0</v>
      </c>
      <c r="DA53" s="167">
        <f t="shared" si="265"/>
        <v>0</v>
      </c>
      <c r="DB53" s="170">
        <f t="shared" si="187"/>
        <v>0</v>
      </c>
      <c r="DC53" s="167">
        <f t="shared" si="188"/>
        <v>0</v>
      </c>
      <c r="DD53" s="171">
        <f t="shared" si="189"/>
        <v>0</v>
      </c>
      <c r="DE53" s="169">
        <f t="shared" si="279"/>
        <v>0</v>
      </c>
      <c r="DF53" s="167">
        <f t="shared" si="266"/>
        <v>0</v>
      </c>
      <c r="DG53" s="167">
        <f t="shared" si="192"/>
        <v>0</v>
      </c>
      <c r="DH53" s="167">
        <f t="shared" si="267"/>
        <v>0</v>
      </c>
      <c r="DI53" s="167">
        <f t="shared" si="194"/>
        <v>0</v>
      </c>
      <c r="DJ53" s="167">
        <f t="shared" si="268"/>
        <v>0</v>
      </c>
      <c r="DK53" s="167">
        <f t="shared" si="196"/>
        <v>0</v>
      </c>
      <c r="DL53" s="167">
        <f t="shared" si="269"/>
        <v>0</v>
      </c>
      <c r="DM53" s="167">
        <f t="shared" si="198"/>
        <v>0</v>
      </c>
      <c r="DN53" s="167">
        <f t="shared" si="270"/>
        <v>0</v>
      </c>
      <c r="DO53" s="170">
        <f t="shared" si="200"/>
        <v>0</v>
      </c>
      <c r="DP53" s="167">
        <f t="shared" si="201"/>
        <v>0</v>
      </c>
      <c r="DQ53" s="171">
        <f t="shared" si="202"/>
        <v>0</v>
      </c>
      <c r="DR53" s="169">
        <f t="shared" si="279"/>
        <v>0</v>
      </c>
      <c r="DS53" s="167">
        <f t="shared" si="271"/>
        <v>0</v>
      </c>
      <c r="DT53" s="167">
        <f t="shared" si="205"/>
        <v>0</v>
      </c>
      <c r="DU53" s="167">
        <f t="shared" si="272"/>
        <v>0</v>
      </c>
      <c r="DV53" s="167">
        <f t="shared" si="207"/>
        <v>0</v>
      </c>
      <c r="DW53" s="167">
        <f t="shared" si="273"/>
        <v>0</v>
      </c>
      <c r="DX53" s="167">
        <f t="shared" si="209"/>
        <v>0</v>
      </c>
      <c r="DY53" s="167">
        <f t="shared" si="274"/>
        <v>0</v>
      </c>
      <c r="DZ53" s="167">
        <f t="shared" si="211"/>
        <v>0</v>
      </c>
      <c r="EA53" s="167">
        <f t="shared" si="275"/>
        <v>0</v>
      </c>
      <c r="EB53" s="170">
        <f t="shared" si="213"/>
        <v>0</v>
      </c>
      <c r="EC53" s="167">
        <f t="shared" si="214"/>
        <v>0</v>
      </c>
      <c r="ED53" s="171">
        <f t="shared" si="215"/>
        <v>0</v>
      </c>
    </row>
    <row r="54" spans="1:134" x14ac:dyDescent="0.3">
      <c r="A54" s="196"/>
      <c r="B54" s="196"/>
      <c r="C54" s="196"/>
      <c r="D54" s="188"/>
      <c r="E54" s="624"/>
      <c r="F54" s="190"/>
      <c r="G54" s="625"/>
      <c r="H54" s="192"/>
      <c r="I54" s="193"/>
      <c r="J54" s="194"/>
      <c r="K54" s="165">
        <f t="shared" si="216"/>
        <v>0</v>
      </c>
      <c r="L54" s="166">
        <f t="shared" si="217"/>
        <v>0</v>
      </c>
      <c r="M54" s="167">
        <f t="shared" si="218"/>
        <v>0</v>
      </c>
      <c r="N54" s="167"/>
      <c r="O54" s="167">
        <f t="shared" si="219"/>
        <v>0</v>
      </c>
      <c r="P54" s="168"/>
      <c r="Q54" s="167">
        <f t="shared" si="220"/>
        <v>0</v>
      </c>
      <c r="R54" s="169">
        <f t="shared" si="221"/>
        <v>0</v>
      </c>
      <c r="S54" s="167">
        <f t="shared" si="222"/>
        <v>0</v>
      </c>
      <c r="T54" s="167">
        <f t="shared" si="223"/>
        <v>0</v>
      </c>
      <c r="U54" s="167">
        <f t="shared" si="224"/>
        <v>0</v>
      </c>
      <c r="V54" s="167">
        <f t="shared" si="225"/>
        <v>0</v>
      </c>
      <c r="W54" s="167">
        <f t="shared" si="226"/>
        <v>0</v>
      </c>
      <c r="X54" s="167">
        <f t="shared" si="227"/>
        <v>0</v>
      </c>
      <c r="Y54" s="167">
        <f t="shared" si="228"/>
        <v>0</v>
      </c>
      <c r="Z54" s="167">
        <f t="shared" si="229"/>
        <v>0</v>
      </c>
      <c r="AA54" s="167">
        <f t="shared" si="230"/>
        <v>0</v>
      </c>
      <c r="AB54" s="170">
        <f t="shared" si="231"/>
        <v>0</v>
      </c>
      <c r="AC54" s="167">
        <f t="shared" si="232"/>
        <v>0</v>
      </c>
      <c r="AD54" s="171">
        <f t="shared" si="233"/>
        <v>0</v>
      </c>
      <c r="AE54" s="169">
        <f t="shared" si="278"/>
        <v>0</v>
      </c>
      <c r="AF54" s="167">
        <f t="shared" si="235"/>
        <v>0</v>
      </c>
      <c r="AG54" s="167">
        <f t="shared" si="114"/>
        <v>0</v>
      </c>
      <c r="AH54" s="167">
        <f t="shared" si="236"/>
        <v>0</v>
      </c>
      <c r="AI54" s="167">
        <f t="shared" si="116"/>
        <v>0</v>
      </c>
      <c r="AJ54" s="167">
        <f t="shared" si="237"/>
        <v>0</v>
      </c>
      <c r="AK54" s="167">
        <f t="shared" si="118"/>
        <v>0</v>
      </c>
      <c r="AL54" s="167">
        <f t="shared" si="238"/>
        <v>0</v>
      </c>
      <c r="AM54" s="167">
        <f t="shared" si="120"/>
        <v>0</v>
      </c>
      <c r="AN54" s="167">
        <f t="shared" si="239"/>
        <v>0</v>
      </c>
      <c r="AO54" s="170">
        <f t="shared" si="122"/>
        <v>0</v>
      </c>
      <c r="AP54" s="167">
        <f t="shared" si="123"/>
        <v>0</v>
      </c>
      <c r="AQ54" s="171">
        <f t="shared" si="124"/>
        <v>0</v>
      </c>
      <c r="AR54" s="169">
        <f t="shared" si="278"/>
        <v>0</v>
      </c>
      <c r="AS54" s="167">
        <f t="shared" si="240"/>
        <v>0</v>
      </c>
      <c r="AT54" s="167">
        <f t="shared" si="127"/>
        <v>0</v>
      </c>
      <c r="AU54" s="167">
        <f t="shared" si="241"/>
        <v>0</v>
      </c>
      <c r="AV54" s="167">
        <f t="shared" si="129"/>
        <v>0</v>
      </c>
      <c r="AW54" s="167">
        <f t="shared" si="242"/>
        <v>0</v>
      </c>
      <c r="AX54" s="167">
        <f t="shared" si="131"/>
        <v>0</v>
      </c>
      <c r="AY54" s="167">
        <f t="shared" si="243"/>
        <v>0</v>
      </c>
      <c r="AZ54" s="167">
        <f t="shared" si="133"/>
        <v>0</v>
      </c>
      <c r="BA54" s="167">
        <f t="shared" si="244"/>
        <v>0</v>
      </c>
      <c r="BB54" s="170">
        <f t="shared" si="135"/>
        <v>0</v>
      </c>
      <c r="BC54" s="167">
        <f t="shared" si="136"/>
        <v>0</v>
      </c>
      <c r="BD54" s="171">
        <f t="shared" si="137"/>
        <v>0</v>
      </c>
      <c r="BE54" s="169">
        <f t="shared" si="278"/>
        <v>0</v>
      </c>
      <c r="BF54" s="167">
        <f t="shared" si="245"/>
        <v>0</v>
      </c>
      <c r="BG54" s="167">
        <f t="shared" si="140"/>
        <v>0</v>
      </c>
      <c r="BH54" s="167">
        <f t="shared" si="246"/>
        <v>0</v>
      </c>
      <c r="BI54" s="167">
        <f t="shared" si="142"/>
        <v>0</v>
      </c>
      <c r="BJ54" s="167">
        <f t="shared" si="247"/>
        <v>0</v>
      </c>
      <c r="BK54" s="167">
        <f t="shared" si="144"/>
        <v>0</v>
      </c>
      <c r="BL54" s="167">
        <f t="shared" si="248"/>
        <v>0</v>
      </c>
      <c r="BM54" s="167">
        <f t="shared" si="146"/>
        <v>0</v>
      </c>
      <c r="BN54" s="167">
        <f t="shared" si="249"/>
        <v>0</v>
      </c>
      <c r="BO54" s="170">
        <f t="shared" si="148"/>
        <v>0</v>
      </c>
      <c r="BP54" s="167">
        <f t="shared" si="149"/>
        <v>0</v>
      </c>
      <c r="BQ54" s="171">
        <f t="shared" si="150"/>
        <v>0</v>
      </c>
      <c r="BR54" s="169">
        <f t="shared" si="278"/>
        <v>0</v>
      </c>
      <c r="BS54" s="167">
        <f t="shared" si="250"/>
        <v>0</v>
      </c>
      <c r="BT54" s="167">
        <f t="shared" si="153"/>
        <v>0</v>
      </c>
      <c r="BU54" s="167">
        <f t="shared" si="251"/>
        <v>0</v>
      </c>
      <c r="BV54" s="167">
        <f t="shared" si="155"/>
        <v>0</v>
      </c>
      <c r="BW54" s="167">
        <f t="shared" si="252"/>
        <v>0</v>
      </c>
      <c r="BX54" s="167">
        <f t="shared" si="157"/>
        <v>0</v>
      </c>
      <c r="BY54" s="167">
        <f t="shared" si="253"/>
        <v>0</v>
      </c>
      <c r="BZ54" s="167">
        <f t="shared" si="159"/>
        <v>0</v>
      </c>
      <c r="CA54" s="167">
        <f t="shared" si="254"/>
        <v>0</v>
      </c>
      <c r="CB54" s="170">
        <f t="shared" si="161"/>
        <v>0</v>
      </c>
      <c r="CC54" s="167">
        <f t="shared" si="162"/>
        <v>0</v>
      </c>
      <c r="CD54" s="171">
        <f t="shared" si="163"/>
        <v>0</v>
      </c>
      <c r="CE54" s="169">
        <f t="shared" si="278"/>
        <v>0</v>
      </c>
      <c r="CF54" s="167">
        <f t="shared" si="255"/>
        <v>0</v>
      </c>
      <c r="CG54" s="167">
        <f t="shared" si="166"/>
        <v>0</v>
      </c>
      <c r="CH54" s="167">
        <f t="shared" si="256"/>
        <v>0</v>
      </c>
      <c r="CI54" s="167">
        <f t="shared" si="168"/>
        <v>0</v>
      </c>
      <c r="CJ54" s="167">
        <f t="shared" si="257"/>
        <v>0</v>
      </c>
      <c r="CK54" s="167">
        <f t="shared" si="170"/>
        <v>0</v>
      </c>
      <c r="CL54" s="167">
        <f t="shared" si="258"/>
        <v>0</v>
      </c>
      <c r="CM54" s="167">
        <f t="shared" si="172"/>
        <v>0</v>
      </c>
      <c r="CN54" s="167">
        <f t="shared" si="259"/>
        <v>0</v>
      </c>
      <c r="CO54" s="170">
        <f t="shared" si="174"/>
        <v>0</v>
      </c>
      <c r="CP54" s="167">
        <f t="shared" si="175"/>
        <v>0</v>
      </c>
      <c r="CQ54" s="171">
        <f t="shared" si="176"/>
        <v>0</v>
      </c>
      <c r="CR54" s="169">
        <f t="shared" si="279"/>
        <v>0</v>
      </c>
      <c r="CS54" s="167">
        <f t="shared" si="261"/>
        <v>0</v>
      </c>
      <c r="CT54" s="167">
        <f t="shared" si="179"/>
        <v>0</v>
      </c>
      <c r="CU54" s="167">
        <f t="shared" si="262"/>
        <v>0</v>
      </c>
      <c r="CV54" s="167">
        <f t="shared" si="181"/>
        <v>0</v>
      </c>
      <c r="CW54" s="167">
        <f t="shared" si="263"/>
        <v>0</v>
      </c>
      <c r="CX54" s="167">
        <f t="shared" si="183"/>
        <v>0</v>
      </c>
      <c r="CY54" s="167">
        <f t="shared" si="264"/>
        <v>0</v>
      </c>
      <c r="CZ54" s="167">
        <f t="shared" si="185"/>
        <v>0</v>
      </c>
      <c r="DA54" s="167">
        <f t="shared" si="265"/>
        <v>0</v>
      </c>
      <c r="DB54" s="170">
        <f t="shared" si="187"/>
        <v>0</v>
      </c>
      <c r="DC54" s="167">
        <f t="shared" si="188"/>
        <v>0</v>
      </c>
      <c r="DD54" s="171">
        <f t="shared" si="189"/>
        <v>0</v>
      </c>
      <c r="DE54" s="169">
        <f t="shared" si="279"/>
        <v>0</v>
      </c>
      <c r="DF54" s="167">
        <f t="shared" si="266"/>
        <v>0</v>
      </c>
      <c r="DG54" s="167">
        <f t="shared" si="192"/>
        <v>0</v>
      </c>
      <c r="DH54" s="167">
        <f t="shared" si="267"/>
        <v>0</v>
      </c>
      <c r="DI54" s="167">
        <f t="shared" si="194"/>
        <v>0</v>
      </c>
      <c r="DJ54" s="167">
        <f t="shared" si="268"/>
        <v>0</v>
      </c>
      <c r="DK54" s="167">
        <f t="shared" si="196"/>
        <v>0</v>
      </c>
      <c r="DL54" s="167">
        <f t="shared" si="269"/>
        <v>0</v>
      </c>
      <c r="DM54" s="167">
        <f t="shared" si="198"/>
        <v>0</v>
      </c>
      <c r="DN54" s="167">
        <f t="shared" si="270"/>
        <v>0</v>
      </c>
      <c r="DO54" s="170">
        <f t="shared" si="200"/>
        <v>0</v>
      </c>
      <c r="DP54" s="167">
        <f t="shared" si="201"/>
        <v>0</v>
      </c>
      <c r="DQ54" s="171">
        <f t="shared" si="202"/>
        <v>0</v>
      </c>
      <c r="DR54" s="169">
        <f t="shared" si="279"/>
        <v>0</v>
      </c>
      <c r="DS54" s="167">
        <f t="shared" si="271"/>
        <v>0</v>
      </c>
      <c r="DT54" s="167">
        <f t="shared" si="205"/>
        <v>0</v>
      </c>
      <c r="DU54" s="167">
        <f t="shared" si="272"/>
        <v>0</v>
      </c>
      <c r="DV54" s="167">
        <f t="shared" si="207"/>
        <v>0</v>
      </c>
      <c r="DW54" s="167">
        <f t="shared" si="273"/>
        <v>0</v>
      </c>
      <c r="DX54" s="167">
        <f t="shared" si="209"/>
        <v>0</v>
      </c>
      <c r="DY54" s="167">
        <f t="shared" si="274"/>
        <v>0</v>
      </c>
      <c r="DZ54" s="167">
        <f t="shared" si="211"/>
        <v>0</v>
      </c>
      <c r="EA54" s="167">
        <f t="shared" si="275"/>
        <v>0</v>
      </c>
      <c r="EB54" s="170">
        <f t="shared" si="213"/>
        <v>0</v>
      </c>
      <c r="EC54" s="167">
        <f t="shared" si="214"/>
        <v>0</v>
      </c>
      <c r="ED54" s="171">
        <f t="shared" si="215"/>
        <v>0</v>
      </c>
    </row>
    <row r="55" spans="1:134" x14ac:dyDescent="0.3">
      <c r="A55" s="196"/>
      <c r="B55" s="196"/>
      <c r="C55" s="616"/>
      <c r="D55" s="188"/>
      <c r="E55" s="624"/>
      <c r="F55" s="190"/>
      <c r="G55" s="625"/>
      <c r="H55" s="192"/>
      <c r="I55" s="193"/>
      <c r="J55" s="194"/>
      <c r="K55" s="165">
        <f t="shared" si="216"/>
        <v>0</v>
      </c>
      <c r="L55" s="166">
        <f t="shared" si="217"/>
        <v>0</v>
      </c>
      <c r="M55" s="167">
        <f t="shared" si="218"/>
        <v>0</v>
      </c>
      <c r="N55" s="167"/>
      <c r="O55" s="167">
        <f t="shared" si="219"/>
        <v>0</v>
      </c>
      <c r="P55" s="168"/>
      <c r="Q55" s="167">
        <f t="shared" si="220"/>
        <v>0</v>
      </c>
      <c r="R55" s="169">
        <f t="shared" si="221"/>
        <v>0</v>
      </c>
      <c r="S55" s="167">
        <f t="shared" si="222"/>
        <v>0</v>
      </c>
      <c r="T55" s="167">
        <f t="shared" si="223"/>
        <v>0</v>
      </c>
      <c r="U55" s="167">
        <f t="shared" si="224"/>
        <v>0</v>
      </c>
      <c r="V55" s="167">
        <f t="shared" si="225"/>
        <v>0</v>
      </c>
      <c r="W55" s="167">
        <f t="shared" si="226"/>
        <v>0</v>
      </c>
      <c r="X55" s="167">
        <f t="shared" si="227"/>
        <v>0</v>
      </c>
      <c r="Y55" s="167">
        <f t="shared" si="228"/>
        <v>0</v>
      </c>
      <c r="Z55" s="167">
        <f t="shared" si="229"/>
        <v>0</v>
      </c>
      <c r="AA55" s="167">
        <f t="shared" si="230"/>
        <v>0</v>
      </c>
      <c r="AB55" s="170">
        <f t="shared" si="231"/>
        <v>0</v>
      </c>
      <c r="AC55" s="167">
        <f t="shared" si="232"/>
        <v>0</v>
      </c>
      <c r="AD55" s="171">
        <f t="shared" si="233"/>
        <v>0</v>
      </c>
      <c r="AE55" s="169">
        <f t="shared" si="278"/>
        <v>0</v>
      </c>
      <c r="AF55" s="167">
        <f t="shared" si="235"/>
        <v>0</v>
      </c>
      <c r="AG55" s="167">
        <f t="shared" si="114"/>
        <v>0</v>
      </c>
      <c r="AH55" s="167">
        <f t="shared" si="236"/>
        <v>0</v>
      </c>
      <c r="AI55" s="167">
        <f t="shared" si="116"/>
        <v>0</v>
      </c>
      <c r="AJ55" s="167">
        <f t="shared" si="237"/>
        <v>0</v>
      </c>
      <c r="AK55" s="167">
        <f t="shared" si="118"/>
        <v>0</v>
      </c>
      <c r="AL55" s="167">
        <f t="shared" si="238"/>
        <v>0</v>
      </c>
      <c r="AM55" s="167">
        <f t="shared" si="120"/>
        <v>0</v>
      </c>
      <c r="AN55" s="167">
        <f t="shared" si="239"/>
        <v>0</v>
      </c>
      <c r="AO55" s="170">
        <f t="shared" si="122"/>
        <v>0</v>
      </c>
      <c r="AP55" s="167">
        <f t="shared" si="123"/>
        <v>0</v>
      </c>
      <c r="AQ55" s="171">
        <f t="shared" si="124"/>
        <v>0</v>
      </c>
      <c r="AR55" s="169">
        <f t="shared" si="278"/>
        <v>0</v>
      </c>
      <c r="AS55" s="167">
        <f t="shared" si="240"/>
        <v>0</v>
      </c>
      <c r="AT55" s="167">
        <f t="shared" si="127"/>
        <v>0</v>
      </c>
      <c r="AU55" s="167">
        <f t="shared" si="241"/>
        <v>0</v>
      </c>
      <c r="AV55" s="167">
        <f t="shared" si="129"/>
        <v>0</v>
      </c>
      <c r="AW55" s="167">
        <f t="shared" si="242"/>
        <v>0</v>
      </c>
      <c r="AX55" s="167">
        <f t="shared" si="131"/>
        <v>0</v>
      </c>
      <c r="AY55" s="167">
        <f t="shared" si="243"/>
        <v>0</v>
      </c>
      <c r="AZ55" s="167">
        <f t="shared" si="133"/>
        <v>0</v>
      </c>
      <c r="BA55" s="167">
        <f t="shared" si="244"/>
        <v>0</v>
      </c>
      <c r="BB55" s="170">
        <f t="shared" si="135"/>
        <v>0</v>
      </c>
      <c r="BC55" s="167">
        <f t="shared" si="136"/>
        <v>0</v>
      </c>
      <c r="BD55" s="171">
        <f t="shared" si="137"/>
        <v>0</v>
      </c>
      <c r="BE55" s="169">
        <f t="shared" si="278"/>
        <v>0</v>
      </c>
      <c r="BF55" s="167">
        <f t="shared" si="245"/>
        <v>0</v>
      </c>
      <c r="BG55" s="167">
        <f t="shared" si="140"/>
        <v>0</v>
      </c>
      <c r="BH55" s="167">
        <f t="shared" si="246"/>
        <v>0</v>
      </c>
      <c r="BI55" s="167">
        <f t="shared" si="142"/>
        <v>0</v>
      </c>
      <c r="BJ55" s="167">
        <f t="shared" si="247"/>
        <v>0</v>
      </c>
      <c r="BK55" s="167">
        <f t="shared" si="144"/>
        <v>0</v>
      </c>
      <c r="BL55" s="167">
        <f t="shared" si="248"/>
        <v>0</v>
      </c>
      <c r="BM55" s="167">
        <f t="shared" si="146"/>
        <v>0</v>
      </c>
      <c r="BN55" s="167">
        <f t="shared" si="249"/>
        <v>0</v>
      </c>
      <c r="BO55" s="170">
        <f t="shared" si="148"/>
        <v>0</v>
      </c>
      <c r="BP55" s="167">
        <f t="shared" si="149"/>
        <v>0</v>
      </c>
      <c r="BQ55" s="171">
        <f t="shared" si="150"/>
        <v>0</v>
      </c>
      <c r="BR55" s="169">
        <f t="shared" si="278"/>
        <v>0</v>
      </c>
      <c r="BS55" s="167">
        <f t="shared" si="250"/>
        <v>0</v>
      </c>
      <c r="BT55" s="167">
        <f t="shared" si="153"/>
        <v>0</v>
      </c>
      <c r="BU55" s="167">
        <f t="shared" si="251"/>
        <v>0</v>
      </c>
      <c r="BV55" s="167">
        <f t="shared" si="155"/>
        <v>0</v>
      </c>
      <c r="BW55" s="167">
        <f t="shared" si="252"/>
        <v>0</v>
      </c>
      <c r="BX55" s="167">
        <f t="shared" si="157"/>
        <v>0</v>
      </c>
      <c r="BY55" s="167">
        <f t="shared" si="253"/>
        <v>0</v>
      </c>
      <c r="BZ55" s="167">
        <f t="shared" si="159"/>
        <v>0</v>
      </c>
      <c r="CA55" s="167">
        <f t="shared" si="254"/>
        <v>0</v>
      </c>
      <c r="CB55" s="170">
        <f t="shared" si="161"/>
        <v>0</v>
      </c>
      <c r="CC55" s="167">
        <f t="shared" si="162"/>
        <v>0</v>
      </c>
      <c r="CD55" s="171">
        <f t="shared" si="163"/>
        <v>0</v>
      </c>
      <c r="CE55" s="169">
        <f t="shared" si="278"/>
        <v>0</v>
      </c>
      <c r="CF55" s="167">
        <f t="shared" si="255"/>
        <v>0</v>
      </c>
      <c r="CG55" s="167">
        <f t="shared" si="166"/>
        <v>0</v>
      </c>
      <c r="CH55" s="167">
        <f t="shared" si="256"/>
        <v>0</v>
      </c>
      <c r="CI55" s="167">
        <f t="shared" si="168"/>
        <v>0</v>
      </c>
      <c r="CJ55" s="167">
        <f t="shared" si="257"/>
        <v>0</v>
      </c>
      <c r="CK55" s="167">
        <f t="shared" si="170"/>
        <v>0</v>
      </c>
      <c r="CL55" s="167">
        <f t="shared" si="258"/>
        <v>0</v>
      </c>
      <c r="CM55" s="167">
        <f t="shared" si="172"/>
        <v>0</v>
      </c>
      <c r="CN55" s="167">
        <f t="shared" si="259"/>
        <v>0</v>
      </c>
      <c r="CO55" s="170">
        <f t="shared" si="174"/>
        <v>0</v>
      </c>
      <c r="CP55" s="167">
        <f t="shared" si="175"/>
        <v>0</v>
      </c>
      <c r="CQ55" s="171">
        <f t="shared" si="176"/>
        <v>0</v>
      </c>
      <c r="CR55" s="169">
        <f t="shared" si="279"/>
        <v>0</v>
      </c>
      <c r="CS55" s="167">
        <f t="shared" si="261"/>
        <v>0</v>
      </c>
      <c r="CT55" s="167">
        <f t="shared" si="179"/>
        <v>0</v>
      </c>
      <c r="CU55" s="167">
        <f t="shared" si="262"/>
        <v>0</v>
      </c>
      <c r="CV55" s="167">
        <f t="shared" si="181"/>
        <v>0</v>
      </c>
      <c r="CW55" s="167">
        <f t="shared" si="263"/>
        <v>0</v>
      </c>
      <c r="CX55" s="167">
        <f t="shared" si="183"/>
        <v>0</v>
      </c>
      <c r="CY55" s="167">
        <f t="shared" si="264"/>
        <v>0</v>
      </c>
      <c r="CZ55" s="167">
        <f t="shared" si="185"/>
        <v>0</v>
      </c>
      <c r="DA55" s="167">
        <f t="shared" si="265"/>
        <v>0</v>
      </c>
      <c r="DB55" s="170">
        <f t="shared" si="187"/>
        <v>0</v>
      </c>
      <c r="DC55" s="167">
        <f t="shared" si="188"/>
        <v>0</v>
      </c>
      <c r="DD55" s="171">
        <f t="shared" si="189"/>
        <v>0</v>
      </c>
      <c r="DE55" s="169">
        <f t="shared" si="279"/>
        <v>0</v>
      </c>
      <c r="DF55" s="167">
        <f t="shared" si="266"/>
        <v>0</v>
      </c>
      <c r="DG55" s="167">
        <f t="shared" si="192"/>
        <v>0</v>
      </c>
      <c r="DH55" s="167">
        <f t="shared" si="267"/>
        <v>0</v>
      </c>
      <c r="DI55" s="167">
        <f t="shared" si="194"/>
        <v>0</v>
      </c>
      <c r="DJ55" s="167">
        <f t="shared" si="268"/>
        <v>0</v>
      </c>
      <c r="DK55" s="167">
        <f t="shared" si="196"/>
        <v>0</v>
      </c>
      <c r="DL55" s="167">
        <f t="shared" si="269"/>
        <v>0</v>
      </c>
      <c r="DM55" s="167">
        <f t="shared" si="198"/>
        <v>0</v>
      </c>
      <c r="DN55" s="167">
        <f t="shared" si="270"/>
        <v>0</v>
      </c>
      <c r="DO55" s="170">
        <f t="shared" si="200"/>
        <v>0</v>
      </c>
      <c r="DP55" s="167">
        <f t="shared" si="201"/>
        <v>0</v>
      </c>
      <c r="DQ55" s="171">
        <f t="shared" si="202"/>
        <v>0</v>
      </c>
      <c r="DR55" s="169">
        <f t="shared" si="279"/>
        <v>0</v>
      </c>
      <c r="DS55" s="167">
        <f t="shared" si="271"/>
        <v>0</v>
      </c>
      <c r="DT55" s="167">
        <f t="shared" si="205"/>
        <v>0</v>
      </c>
      <c r="DU55" s="167">
        <f t="shared" si="272"/>
        <v>0</v>
      </c>
      <c r="DV55" s="167">
        <f t="shared" si="207"/>
        <v>0</v>
      </c>
      <c r="DW55" s="167">
        <f t="shared" si="273"/>
        <v>0</v>
      </c>
      <c r="DX55" s="167">
        <f t="shared" si="209"/>
        <v>0</v>
      </c>
      <c r="DY55" s="167">
        <f t="shared" si="274"/>
        <v>0</v>
      </c>
      <c r="DZ55" s="167">
        <f t="shared" si="211"/>
        <v>0</v>
      </c>
      <c r="EA55" s="167">
        <f t="shared" si="275"/>
        <v>0</v>
      </c>
      <c r="EB55" s="170">
        <f t="shared" si="213"/>
        <v>0</v>
      </c>
      <c r="EC55" s="167">
        <f t="shared" si="214"/>
        <v>0</v>
      </c>
      <c r="ED55" s="171">
        <f t="shared" si="215"/>
        <v>0</v>
      </c>
    </row>
    <row r="56" spans="1:134" x14ac:dyDescent="0.3">
      <c r="A56" s="196"/>
      <c r="B56" s="196"/>
      <c r="C56" s="616"/>
      <c r="D56" s="188"/>
      <c r="E56" s="624"/>
      <c r="F56" s="190"/>
      <c r="G56" s="625"/>
      <c r="H56" s="192"/>
      <c r="I56" s="193"/>
      <c r="J56" s="194"/>
      <c r="K56" s="165">
        <f t="shared" si="216"/>
        <v>0</v>
      </c>
      <c r="L56" s="166">
        <f t="shared" si="217"/>
        <v>0</v>
      </c>
      <c r="M56" s="167">
        <f t="shared" si="218"/>
        <v>0</v>
      </c>
      <c r="N56" s="167"/>
      <c r="O56" s="167">
        <f t="shared" si="219"/>
        <v>0</v>
      </c>
      <c r="P56" s="168"/>
      <c r="Q56" s="167">
        <f t="shared" si="220"/>
        <v>0</v>
      </c>
      <c r="R56" s="169">
        <f t="shared" si="221"/>
        <v>0</v>
      </c>
      <c r="S56" s="167">
        <f t="shared" si="222"/>
        <v>0</v>
      </c>
      <c r="T56" s="167">
        <f t="shared" si="223"/>
        <v>0</v>
      </c>
      <c r="U56" s="167">
        <f t="shared" si="224"/>
        <v>0</v>
      </c>
      <c r="V56" s="167">
        <f t="shared" si="225"/>
        <v>0</v>
      </c>
      <c r="W56" s="167">
        <f t="shared" si="226"/>
        <v>0</v>
      </c>
      <c r="X56" s="167">
        <f t="shared" si="227"/>
        <v>0</v>
      </c>
      <c r="Y56" s="167">
        <f t="shared" si="228"/>
        <v>0</v>
      </c>
      <c r="Z56" s="167">
        <f t="shared" si="229"/>
        <v>0</v>
      </c>
      <c r="AA56" s="167">
        <f t="shared" si="230"/>
        <v>0</v>
      </c>
      <c r="AB56" s="170">
        <f t="shared" si="231"/>
        <v>0</v>
      </c>
      <c r="AC56" s="167">
        <f t="shared" si="232"/>
        <v>0</v>
      </c>
      <c r="AD56" s="171">
        <f t="shared" si="233"/>
        <v>0</v>
      </c>
      <c r="AE56" s="169">
        <f t="shared" si="278"/>
        <v>0</v>
      </c>
      <c r="AF56" s="167">
        <f t="shared" si="235"/>
        <v>0</v>
      </c>
      <c r="AG56" s="167">
        <f t="shared" si="114"/>
        <v>0</v>
      </c>
      <c r="AH56" s="167">
        <f t="shared" si="236"/>
        <v>0</v>
      </c>
      <c r="AI56" s="167">
        <f t="shared" si="116"/>
        <v>0</v>
      </c>
      <c r="AJ56" s="167">
        <f t="shared" si="237"/>
        <v>0</v>
      </c>
      <c r="AK56" s="167">
        <f t="shared" si="118"/>
        <v>0</v>
      </c>
      <c r="AL56" s="167">
        <f t="shared" si="238"/>
        <v>0</v>
      </c>
      <c r="AM56" s="167">
        <f t="shared" si="120"/>
        <v>0</v>
      </c>
      <c r="AN56" s="167">
        <f t="shared" si="239"/>
        <v>0</v>
      </c>
      <c r="AO56" s="170">
        <f t="shared" si="122"/>
        <v>0</v>
      </c>
      <c r="AP56" s="167">
        <f t="shared" si="123"/>
        <v>0</v>
      </c>
      <c r="AQ56" s="171">
        <f t="shared" si="124"/>
        <v>0</v>
      </c>
      <c r="AR56" s="169">
        <f t="shared" si="278"/>
        <v>0</v>
      </c>
      <c r="AS56" s="167">
        <f t="shared" si="240"/>
        <v>0</v>
      </c>
      <c r="AT56" s="167">
        <f t="shared" si="127"/>
        <v>0</v>
      </c>
      <c r="AU56" s="167">
        <f t="shared" si="241"/>
        <v>0</v>
      </c>
      <c r="AV56" s="167">
        <f t="shared" si="129"/>
        <v>0</v>
      </c>
      <c r="AW56" s="167">
        <f t="shared" si="242"/>
        <v>0</v>
      </c>
      <c r="AX56" s="167">
        <f t="shared" si="131"/>
        <v>0</v>
      </c>
      <c r="AY56" s="167">
        <f t="shared" si="243"/>
        <v>0</v>
      </c>
      <c r="AZ56" s="167">
        <f t="shared" si="133"/>
        <v>0</v>
      </c>
      <c r="BA56" s="167">
        <f t="shared" si="244"/>
        <v>0</v>
      </c>
      <c r="BB56" s="170">
        <f t="shared" si="135"/>
        <v>0</v>
      </c>
      <c r="BC56" s="167">
        <f t="shared" si="136"/>
        <v>0</v>
      </c>
      <c r="BD56" s="171">
        <f t="shared" si="137"/>
        <v>0</v>
      </c>
      <c r="BE56" s="169">
        <f t="shared" si="278"/>
        <v>0</v>
      </c>
      <c r="BF56" s="167">
        <f t="shared" si="245"/>
        <v>0</v>
      </c>
      <c r="BG56" s="167">
        <f t="shared" si="140"/>
        <v>0</v>
      </c>
      <c r="BH56" s="167">
        <f t="shared" si="246"/>
        <v>0</v>
      </c>
      <c r="BI56" s="167">
        <f t="shared" si="142"/>
        <v>0</v>
      </c>
      <c r="BJ56" s="167">
        <f t="shared" si="247"/>
        <v>0</v>
      </c>
      <c r="BK56" s="167">
        <f t="shared" si="144"/>
        <v>0</v>
      </c>
      <c r="BL56" s="167">
        <f t="shared" si="248"/>
        <v>0</v>
      </c>
      <c r="BM56" s="167">
        <f t="shared" si="146"/>
        <v>0</v>
      </c>
      <c r="BN56" s="167">
        <f t="shared" si="249"/>
        <v>0</v>
      </c>
      <c r="BO56" s="170">
        <f t="shared" si="148"/>
        <v>0</v>
      </c>
      <c r="BP56" s="167">
        <f t="shared" si="149"/>
        <v>0</v>
      </c>
      <c r="BQ56" s="171">
        <f t="shared" si="150"/>
        <v>0</v>
      </c>
      <c r="BR56" s="169">
        <f t="shared" si="278"/>
        <v>0</v>
      </c>
      <c r="BS56" s="167">
        <f t="shared" si="250"/>
        <v>0</v>
      </c>
      <c r="BT56" s="167">
        <f t="shared" si="153"/>
        <v>0</v>
      </c>
      <c r="BU56" s="167">
        <f t="shared" si="251"/>
        <v>0</v>
      </c>
      <c r="BV56" s="167">
        <f t="shared" si="155"/>
        <v>0</v>
      </c>
      <c r="BW56" s="167">
        <f t="shared" si="252"/>
        <v>0</v>
      </c>
      <c r="BX56" s="167">
        <f t="shared" si="157"/>
        <v>0</v>
      </c>
      <c r="BY56" s="167">
        <f t="shared" si="253"/>
        <v>0</v>
      </c>
      <c r="BZ56" s="167">
        <f t="shared" si="159"/>
        <v>0</v>
      </c>
      <c r="CA56" s="167">
        <f t="shared" si="254"/>
        <v>0</v>
      </c>
      <c r="CB56" s="170">
        <f t="shared" si="161"/>
        <v>0</v>
      </c>
      <c r="CC56" s="167">
        <f t="shared" si="162"/>
        <v>0</v>
      </c>
      <c r="CD56" s="171">
        <f t="shared" si="163"/>
        <v>0</v>
      </c>
      <c r="CE56" s="169">
        <f t="shared" si="278"/>
        <v>0</v>
      </c>
      <c r="CF56" s="167">
        <f t="shared" si="255"/>
        <v>0</v>
      </c>
      <c r="CG56" s="167">
        <f t="shared" si="166"/>
        <v>0</v>
      </c>
      <c r="CH56" s="167">
        <f t="shared" si="256"/>
        <v>0</v>
      </c>
      <c r="CI56" s="167">
        <f t="shared" si="168"/>
        <v>0</v>
      </c>
      <c r="CJ56" s="167">
        <f t="shared" si="257"/>
        <v>0</v>
      </c>
      <c r="CK56" s="167">
        <f t="shared" si="170"/>
        <v>0</v>
      </c>
      <c r="CL56" s="167">
        <f t="shared" si="258"/>
        <v>0</v>
      </c>
      <c r="CM56" s="167">
        <f t="shared" si="172"/>
        <v>0</v>
      </c>
      <c r="CN56" s="167">
        <f t="shared" si="259"/>
        <v>0</v>
      </c>
      <c r="CO56" s="170">
        <f t="shared" si="174"/>
        <v>0</v>
      </c>
      <c r="CP56" s="167">
        <f t="shared" si="175"/>
        <v>0</v>
      </c>
      <c r="CQ56" s="171">
        <f t="shared" si="176"/>
        <v>0</v>
      </c>
      <c r="CR56" s="169">
        <f t="shared" si="279"/>
        <v>0</v>
      </c>
      <c r="CS56" s="167">
        <f t="shared" si="261"/>
        <v>0</v>
      </c>
      <c r="CT56" s="167">
        <f t="shared" si="179"/>
        <v>0</v>
      </c>
      <c r="CU56" s="167">
        <f t="shared" si="262"/>
        <v>0</v>
      </c>
      <c r="CV56" s="167">
        <f t="shared" si="181"/>
        <v>0</v>
      </c>
      <c r="CW56" s="167">
        <f t="shared" si="263"/>
        <v>0</v>
      </c>
      <c r="CX56" s="167">
        <f t="shared" si="183"/>
        <v>0</v>
      </c>
      <c r="CY56" s="167">
        <f t="shared" si="264"/>
        <v>0</v>
      </c>
      <c r="CZ56" s="167">
        <f t="shared" si="185"/>
        <v>0</v>
      </c>
      <c r="DA56" s="167">
        <f t="shared" si="265"/>
        <v>0</v>
      </c>
      <c r="DB56" s="170">
        <f t="shared" si="187"/>
        <v>0</v>
      </c>
      <c r="DC56" s="167">
        <f t="shared" si="188"/>
        <v>0</v>
      </c>
      <c r="DD56" s="171">
        <f t="shared" si="189"/>
        <v>0</v>
      </c>
      <c r="DE56" s="169">
        <f t="shared" si="279"/>
        <v>0</v>
      </c>
      <c r="DF56" s="167">
        <f t="shared" si="266"/>
        <v>0</v>
      </c>
      <c r="DG56" s="167">
        <f t="shared" si="192"/>
        <v>0</v>
      </c>
      <c r="DH56" s="167">
        <f t="shared" si="267"/>
        <v>0</v>
      </c>
      <c r="DI56" s="167">
        <f t="shared" si="194"/>
        <v>0</v>
      </c>
      <c r="DJ56" s="167">
        <f t="shared" si="268"/>
        <v>0</v>
      </c>
      <c r="DK56" s="167">
        <f t="shared" si="196"/>
        <v>0</v>
      </c>
      <c r="DL56" s="167">
        <f t="shared" si="269"/>
        <v>0</v>
      </c>
      <c r="DM56" s="167">
        <f t="shared" si="198"/>
        <v>0</v>
      </c>
      <c r="DN56" s="167">
        <f t="shared" si="270"/>
        <v>0</v>
      </c>
      <c r="DO56" s="170">
        <f t="shared" si="200"/>
        <v>0</v>
      </c>
      <c r="DP56" s="167">
        <f t="shared" si="201"/>
        <v>0</v>
      </c>
      <c r="DQ56" s="171">
        <f t="shared" si="202"/>
        <v>0</v>
      </c>
      <c r="DR56" s="169">
        <f t="shared" si="279"/>
        <v>0</v>
      </c>
      <c r="DS56" s="167">
        <f t="shared" si="271"/>
        <v>0</v>
      </c>
      <c r="DT56" s="167">
        <f t="shared" si="205"/>
        <v>0</v>
      </c>
      <c r="DU56" s="167">
        <f t="shared" si="272"/>
        <v>0</v>
      </c>
      <c r="DV56" s="167">
        <f t="shared" si="207"/>
        <v>0</v>
      </c>
      <c r="DW56" s="167">
        <f t="shared" si="273"/>
        <v>0</v>
      </c>
      <c r="DX56" s="167">
        <f t="shared" si="209"/>
        <v>0</v>
      </c>
      <c r="DY56" s="167">
        <f t="shared" si="274"/>
        <v>0</v>
      </c>
      <c r="DZ56" s="167">
        <f t="shared" si="211"/>
        <v>0</v>
      </c>
      <c r="EA56" s="167">
        <f t="shared" si="275"/>
        <v>0</v>
      </c>
      <c r="EB56" s="170">
        <f t="shared" si="213"/>
        <v>0</v>
      </c>
      <c r="EC56" s="167">
        <f t="shared" si="214"/>
        <v>0</v>
      </c>
      <c r="ED56" s="171">
        <f t="shared" si="215"/>
        <v>0</v>
      </c>
    </row>
    <row r="57" spans="1:134" x14ac:dyDescent="0.3">
      <c r="A57" s="196"/>
      <c r="B57" s="196"/>
      <c r="C57" s="196"/>
      <c r="D57" s="188"/>
      <c r="E57" s="624"/>
      <c r="F57" s="190"/>
      <c r="G57" s="625"/>
      <c r="H57" s="192"/>
      <c r="I57" s="193"/>
      <c r="J57" s="194"/>
      <c r="K57" s="165">
        <f t="shared" si="216"/>
        <v>0</v>
      </c>
      <c r="L57" s="166">
        <f t="shared" si="217"/>
        <v>0</v>
      </c>
      <c r="M57" s="167">
        <f t="shared" si="218"/>
        <v>0</v>
      </c>
      <c r="N57" s="167"/>
      <c r="O57" s="167">
        <f t="shared" si="219"/>
        <v>0</v>
      </c>
      <c r="P57" s="168"/>
      <c r="Q57" s="167">
        <f t="shared" si="220"/>
        <v>0</v>
      </c>
      <c r="R57" s="169">
        <f t="shared" si="221"/>
        <v>0</v>
      </c>
      <c r="S57" s="167">
        <f t="shared" si="222"/>
        <v>0</v>
      </c>
      <c r="T57" s="167">
        <f t="shared" si="223"/>
        <v>0</v>
      </c>
      <c r="U57" s="167">
        <f t="shared" si="224"/>
        <v>0</v>
      </c>
      <c r="V57" s="167">
        <f t="shared" si="225"/>
        <v>0</v>
      </c>
      <c r="W57" s="167">
        <f t="shared" si="226"/>
        <v>0</v>
      </c>
      <c r="X57" s="167">
        <f t="shared" si="227"/>
        <v>0</v>
      </c>
      <c r="Y57" s="167">
        <f t="shared" si="228"/>
        <v>0</v>
      </c>
      <c r="Z57" s="167">
        <f t="shared" si="229"/>
        <v>0</v>
      </c>
      <c r="AA57" s="167">
        <f t="shared" si="230"/>
        <v>0</v>
      </c>
      <c r="AB57" s="170">
        <f t="shared" si="231"/>
        <v>0</v>
      </c>
      <c r="AC57" s="167">
        <f t="shared" si="232"/>
        <v>0</v>
      </c>
      <c r="AD57" s="171">
        <f t="shared" si="233"/>
        <v>0</v>
      </c>
      <c r="AE57" s="169">
        <f t="shared" si="278"/>
        <v>0</v>
      </c>
      <c r="AF57" s="167">
        <f t="shared" si="235"/>
        <v>0</v>
      </c>
      <c r="AG57" s="167">
        <f t="shared" si="114"/>
        <v>0</v>
      </c>
      <c r="AH57" s="167">
        <f t="shared" si="236"/>
        <v>0</v>
      </c>
      <c r="AI57" s="167">
        <f t="shared" si="116"/>
        <v>0</v>
      </c>
      <c r="AJ57" s="167">
        <f t="shared" si="237"/>
        <v>0</v>
      </c>
      <c r="AK57" s="167">
        <f t="shared" si="118"/>
        <v>0</v>
      </c>
      <c r="AL57" s="167">
        <f t="shared" si="238"/>
        <v>0</v>
      </c>
      <c r="AM57" s="167">
        <f t="shared" si="120"/>
        <v>0</v>
      </c>
      <c r="AN57" s="167">
        <f t="shared" si="239"/>
        <v>0</v>
      </c>
      <c r="AO57" s="170">
        <f t="shared" si="122"/>
        <v>0</v>
      </c>
      <c r="AP57" s="167">
        <f t="shared" si="123"/>
        <v>0</v>
      </c>
      <c r="AQ57" s="171">
        <f t="shared" si="124"/>
        <v>0</v>
      </c>
      <c r="AR57" s="169">
        <f t="shared" si="278"/>
        <v>0</v>
      </c>
      <c r="AS57" s="167">
        <f t="shared" si="240"/>
        <v>0</v>
      </c>
      <c r="AT57" s="167">
        <f t="shared" si="127"/>
        <v>0</v>
      </c>
      <c r="AU57" s="167">
        <f t="shared" si="241"/>
        <v>0</v>
      </c>
      <c r="AV57" s="167">
        <f t="shared" si="129"/>
        <v>0</v>
      </c>
      <c r="AW57" s="167">
        <f t="shared" si="242"/>
        <v>0</v>
      </c>
      <c r="AX57" s="167">
        <f t="shared" si="131"/>
        <v>0</v>
      </c>
      <c r="AY57" s="167">
        <f t="shared" si="243"/>
        <v>0</v>
      </c>
      <c r="AZ57" s="167">
        <f t="shared" si="133"/>
        <v>0</v>
      </c>
      <c r="BA57" s="167">
        <f t="shared" si="244"/>
        <v>0</v>
      </c>
      <c r="BB57" s="170">
        <f t="shared" si="135"/>
        <v>0</v>
      </c>
      <c r="BC57" s="167">
        <f t="shared" si="136"/>
        <v>0</v>
      </c>
      <c r="BD57" s="171">
        <f t="shared" si="137"/>
        <v>0</v>
      </c>
      <c r="BE57" s="169">
        <f t="shared" si="278"/>
        <v>0</v>
      </c>
      <c r="BF57" s="167">
        <f t="shared" si="245"/>
        <v>0</v>
      </c>
      <c r="BG57" s="167">
        <f t="shared" si="140"/>
        <v>0</v>
      </c>
      <c r="BH57" s="167">
        <f t="shared" si="246"/>
        <v>0</v>
      </c>
      <c r="BI57" s="167">
        <f t="shared" si="142"/>
        <v>0</v>
      </c>
      <c r="BJ57" s="167">
        <f t="shared" si="247"/>
        <v>0</v>
      </c>
      <c r="BK57" s="167">
        <f t="shared" si="144"/>
        <v>0</v>
      </c>
      <c r="BL57" s="167">
        <f t="shared" si="248"/>
        <v>0</v>
      </c>
      <c r="BM57" s="167">
        <f t="shared" si="146"/>
        <v>0</v>
      </c>
      <c r="BN57" s="167">
        <f t="shared" si="249"/>
        <v>0</v>
      </c>
      <c r="BO57" s="170">
        <f t="shared" si="148"/>
        <v>0</v>
      </c>
      <c r="BP57" s="167">
        <f t="shared" si="149"/>
        <v>0</v>
      </c>
      <c r="BQ57" s="171">
        <f t="shared" si="150"/>
        <v>0</v>
      </c>
      <c r="BR57" s="169">
        <f t="shared" si="278"/>
        <v>0</v>
      </c>
      <c r="BS57" s="167">
        <f t="shared" si="250"/>
        <v>0</v>
      </c>
      <c r="BT57" s="167">
        <f t="shared" si="153"/>
        <v>0</v>
      </c>
      <c r="BU57" s="167">
        <f t="shared" si="251"/>
        <v>0</v>
      </c>
      <c r="BV57" s="167">
        <f t="shared" si="155"/>
        <v>0</v>
      </c>
      <c r="BW57" s="167">
        <f t="shared" si="252"/>
        <v>0</v>
      </c>
      <c r="BX57" s="167">
        <f t="shared" si="157"/>
        <v>0</v>
      </c>
      <c r="BY57" s="167">
        <f t="shared" si="253"/>
        <v>0</v>
      </c>
      <c r="BZ57" s="167">
        <f t="shared" si="159"/>
        <v>0</v>
      </c>
      <c r="CA57" s="167">
        <f t="shared" si="254"/>
        <v>0</v>
      </c>
      <c r="CB57" s="170">
        <f t="shared" si="161"/>
        <v>0</v>
      </c>
      <c r="CC57" s="167">
        <f t="shared" si="162"/>
        <v>0</v>
      </c>
      <c r="CD57" s="171">
        <f t="shared" si="163"/>
        <v>0</v>
      </c>
      <c r="CE57" s="169">
        <f t="shared" si="278"/>
        <v>0</v>
      </c>
      <c r="CF57" s="167">
        <f t="shared" si="255"/>
        <v>0</v>
      </c>
      <c r="CG57" s="167">
        <f t="shared" si="166"/>
        <v>0</v>
      </c>
      <c r="CH57" s="167">
        <f t="shared" si="256"/>
        <v>0</v>
      </c>
      <c r="CI57" s="167">
        <f t="shared" si="168"/>
        <v>0</v>
      </c>
      <c r="CJ57" s="167">
        <f t="shared" si="257"/>
        <v>0</v>
      </c>
      <c r="CK57" s="167">
        <f t="shared" si="170"/>
        <v>0</v>
      </c>
      <c r="CL57" s="167">
        <f t="shared" si="258"/>
        <v>0</v>
      </c>
      <c r="CM57" s="167">
        <f t="shared" si="172"/>
        <v>0</v>
      </c>
      <c r="CN57" s="167">
        <f t="shared" si="259"/>
        <v>0</v>
      </c>
      <c r="CO57" s="170">
        <f t="shared" si="174"/>
        <v>0</v>
      </c>
      <c r="CP57" s="167">
        <f t="shared" si="175"/>
        <v>0</v>
      </c>
      <c r="CQ57" s="171">
        <f t="shared" si="176"/>
        <v>0</v>
      </c>
      <c r="CR57" s="169">
        <f t="shared" si="279"/>
        <v>0</v>
      </c>
      <c r="CS57" s="167">
        <f t="shared" si="261"/>
        <v>0</v>
      </c>
      <c r="CT57" s="167">
        <f t="shared" si="179"/>
        <v>0</v>
      </c>
      <c r="CU57" s="167">
        <f t="shared" si="262"/>
        <v>0</v>
      </c>
      <c r="CV57" s="167">
        <f t="shared" si="181"/>
        <v>0</v>
      </c>
      <c r="CW57" s="167">
        <f t="shared" si="263"/>
        <v>0</v>
      </c>
      <c r="CX57" s="167">
        <f t="shared" si="183"/>
        <v>0</v>
      </c>
      <c r="CY57" s="167">
        <f t="shared" si="264"/>
        <v>0</v>
      </c>
      <c r="CZ57" s="167">
        <f t="shared" si="185"/>
        <v>0</v>
      </c>
      <c r="DA57" s="167">
        <f t="shared" si="265"/>
        <v>0</v>
      </c>
      <c r="DB57" s="170">
        <f t="shared" si="187"/>
        <v>0</v>
      </c>
      <c r="DC57" s="167">
        <f t="shared" si="188"/>
        <v>0</v>
      </c>
      <c r="DD57" s="171">
        <f t="shared" si="189"/>
        <v>0</v>
      </c>
      <c r="DE57" s="169">
        <f t="shared" si="279"/>
        <v>0</v>
      </c>
      <c r="DF57" s="167">
        <f t="shared" si="266"/>
        <v>0</v>
      </c>
      <c r="DG57" s="167">
        <f t="shared" si="192"/>
        <v>0</v>
      </c>
      <c r="DH57" s="167">
        <f t="shared" si="267"/>
        <v>0</v>
      </c>
      <c r="DI57" s="167">
        <f t="shared" si="194"/>
        <v>0</v>
      </c>
      <c r="DJ57" s="167">
        <f t="shared" si="268"/>
        <v>0</v>
      </c>
      <c r="DK57" s="167">
        <f t="shared" si="196"/>
        <v>0</v>
      </c>
      <c r="DL57" s="167">
        <f t="shared" si="269"/>
        <v>0</v>
      </c>
      <c r="DM57" s="167">
        <f t="shared" si="198"/>
        <v>0</v>
      </c>
      <c r="DN57" s="167">
        <f t="shared" si="270"/>
        <v>0</v>
      </c>
      <c r="DO57" s="170">
        <f t="shared" si="200"/>
        <v>0</v>
      </c>
      <c r="DP57" s="167">
        <f t="shared" si="201"/>
        <v>0</v>
      </c>
      <c r="DQ57" s="171">
        <f t="shared" si="202"/>
        <v>0</v>
      </c>
      <c r="DR57" s="169">
        <f t="shared" si="279"/>
        <v>0</v>
      </c>
      <c r="DS57" s="167">
        <f t="shared" si="271"/>
        <v>0</v>
      </c>
      <c r="DT57" s="167">
        <f t="shared" si="205"/>
        <v>0</v>
      </c>
      <c r="DU57" s="167">
        <f t="shared" si="272"/>
        <v>0</v>
      </c>
      <c r="DV57" s="167">
        <f t="shared" si="207"/>
        <v>0</v>
      </c>
      <c r="DW57" s="167">
        <f t="shared" si="273"/>
        <v>0</v>
      </c>
      <c r="DX57" s="167">
        <f t="shared" si="209"/>
        <v>0</v>
      </c>
      <c r="DY57" s="167">
        <f t="shared" si="274"/>
        <v>0</v>
      </c>
      <c r="DZ57" s="167">
        <f t="shared" si="211"/>
        <v>0</v>
      </c>
      <c r="EA57" s="167">
        <f t="shared" si="275"/>
        <v>0</v>
      </c>
      <c r="EB57" s="170">
        <f t="shared" si="213"/>
        <v>0</v>
      </c>
      <c r="EC57" s="167">
        <f t="shared" si="214"/>
        <v>0</v>
      </c>
      <c r="ED57" s="171">
        <f t="shared" si="215"/>
        <v>0</v>
      </c>
    </row>
    <row r="58" spans="1:134" x14ac:dyDescent="0.3">
      <c r="A58" s="196"/>
      <c r="B58" s="196"/>
      <c r="C58" s="196"/>
      <c r="D58" s="188"/>
      <c r="E58" s="624"/>
      <c r="F58" s="190"/>
      <c r="G58" s="625"/>
      <c r="H58" s="192"/>
      <c r="I58" s="193"/>
      <c r="J58" s="194"/>
      <c r="K58" s="165">
        <f t="shared" si="216"/>
        <v>0</v>
      </c>
      <c r="L58" s="166">
        <f t="shared" si="217"/>
        <v>0</v>
      </c>
      <c r="M58" s="167">
        <f t="shared" si="218"/>
        <v>0</v>
      </c>
      <c r="N58" s="167"/>
      <c r="O58" s="167">
        <f t="shared" si="219"/>
        <v>0</v>
      </c>
      <c r="P58" s="168"/>
      <c r="Q58" s="167">
        <f t="shared" si="220"/>
        <v>0</v>
      </c>
      <c r="R58" s="169">
        <f t="shared" si="221"/>
        <v>0</v>
      </c>
      <c r="S58" s="167">
        <f t="shared" si="222"/>
        <v>0</v>
      </c>
      <c r="T58" s="167">
        <f t="shared" si="223"/>
        <v>0</v>
      </c>
      <c r="U58" s="167">
        <f t="shared" si="224"/>
        <v>0</v>
      </c>
      <c r="V58" s="167">
        <f t="shared" si="225"/>
        <v>0</v>
      </c>
      <c r="W58" s="167">
        <f t="shared" si="226"/>
        <v>0</v>
      </c>
      <c r="X58" s="167">
        <f t="shared" si="227"/>
        <v>0</v>
      </c>
      <c r="Y58" s="167">
        <f t="shared" si="228"/>
        <v>0</v>
      </c>
      <c r="Z58" s="167">
        <f t="shared" si="229"/>
        <v>0</v>
      </c>
      <c r="AA58" s="167">
        <f t="shared" si="230"/>
        <v>0</v>
      </c>
      <c r="AB58" s="170">
        <f t="shared" si="231"/>
        <v>0</v>
      </c>
      <c r="AC58" s="167">
        <f t="shared" si="232"/>
        <v>0</v>
      </c>
      <c r="AD58" s="171">
        <f t="shared" si="233"/>
        <v>0</v>
      </c>
      <c r="AE58" s="169">
        <f t="shared" si="278"/>
        <v>0</v>
      </c>
      <c r="AF58" s="167">
        <f t="shared" si="235"/>
        <v>0</v>
      </c>
      <c r="AG58" s="167">
        <f t="shared" si="114"/>
        <v>0</v>
      </c>
      <c r="AH58" s="167">
        <f t="shared" si="236"/>
        <v>0</v>
      </c>
      <c r="AI58" s="167">
        <f t="shared" si="116"/>
        <v>0</v>
      </c>
      <c r="AJ58" s="167">
        <f t="shared" si="237"/>
        <v>0</v>
      </c>
      <c r="AK58" s="167">
        <f t="shared" si="118"/>
        <v>0</v>
      </c>
      <c r="AL58" s="167">
        <f t="shared" si="238"/>
        <v>0</v>
      </c>
      <c r="AM58" s="167">
        <f t="shared" si="120"/>
        <v>0</v>
      </c>
      <c r="AN58" s="167">
        <f t="shared" si="239"/>
        <v>0</v>
      </c>
      <c r="AO58" s="170">
        <f t="shared" si="122"/>
        <v>0</v>
      </c>
      <c r="AP58" s="167">
        <f t="shared" si="123"/>
        <v>0</v>
      </c>
      <c r="AQ58" s="171">
        <f t="shared" si="124"/>
        <v>0</v>
      </c>
      <c r="AR58" s="169">
        <f t="shared" si="278"/>
        <v>0</v>
      </c>
      <c r="AS58" s="167">
        <f t="shared" si="240"/>
        <v>0</v>
      </c>
      <c r="AT58" s="167">
        <f t="shared" si="127"/>
        <v>0</v>
      </c>
      <c r="AU58" s="167">
        <f t="shared" si="241"/>
        <v>0</v>
      </c>
      <c r="AV58" s="167">
        <f t="shared" si="129"/>
        <v>0</v>
      </c>
      <c r="AW58" s="167">
        <f t="shared" si="242"/>
        <v>0</v>
      </c>
      <c r="AX58" s="167">
        <f t="shared" si="131"/>
        <v>0</v>
      </c>
      <c r="AY58" s="167">
        <f t="shared" si="243"/>
        <v>0</v>
      </c>
      <c r="AZ58" s="167">
        <f t="shared" si="133"/>
        <v>0</v>
      </c>
      <c r="BA58" s="167">
        <f t="shared" si="244"/>
        <v>0</v>
      </c>
      <c r="BB58" s="170">
        <f t="shared" si="135"/>
        <v>0</v>
      </c>
      <c r="BC58" s="167">
        <f t="shared" si="136"/>
        <v>0</v>
      </c>
      <c r="BD58" s="171">
        <f t="shared" si="137"/>
        <v>0</v>
      </c>
      <c r="BE58" s="169">
        <f t="shared" si="278"/>
        <v>0</v>
      </c>
      <c r="BF58" s="167">
        <f t="shared" si="245"/>
        <v>0</v>
      </c>
      <c r="BG58" s="167">
        <f t="shared" si="140"/>
        <v>0</v>
      </c>
      <c r="BH58" s="167">
        <f t="shared" si="246"/>
        <v>0</v>
      </c>
      <c r="BI58" s="167">
        <f t="shared" si="142"/>
        <v>0</v>
      </c>
      <c r="BJ58" s="167">
        <f t="shared" si="247"/>
        <v>0</v>
      </c>
      <c r="BK58" s="167">
        <f t="shared" si="144"/>
        <v>0</v>
      </c>
      <c r="BL58" s="167">
        <f t="shared" si="248"/>
        <v>0</v>
      </c>
      <c r="BM58" s="167">
        <f t="shared" si="146"/>
        <v>0</v>
      </c>
      <c r="BN58" s="167">
        <f t="shared" si="249"/>
        <v>0</v>
      </c>
      <c r="BO58" s="170">
        <f t="shared" si="148"/>
        <v>0</v>
      </c>
      <c r="BP58" s="167">
        <f t="shared" si="149"/>
        <v>0</v>
      </c>
      <c r="BQ58" s="171">
        <f t="shared" si="150"/>
        <v>0</v>
      </c>
      <c r="BR58" s="169">
        <f t="shared" si="278"/>
        <v>0</v>
      </c>
      <c r="BS58" s="167">
        <f t="shared" si="250"/>
        <v>0</v>
      </c>
      <c r="BT58" s="167">
        <f t="shared" si="153"/>
        <v>0</v>
      </c>
      <c r="BU58" s="167">
        <f t="shared" si="251"/>
        <v>0</v>
      </c>
      <c r="BV58" s="167">
        <f t="shared" si="155"/>
        <v>0</v>
      </c>
      <c r="BW58" s="167">
        <f t="shared" si="252"/>
        <v>0</v>
      </c>
      <c r="BX58" s="167">
        <f t="shared" si="157"/>
        <v>0</v>
      </c>
      <c r="BY58" s="167">
        <f t="shared" si="253"/>
        <v>0</v>
      </c>
      <c r="BZ58" s="167">
        <f t="shared" si="159"/>
        <v>0</v>
      </c>
      <c r="CA58" s="167">
        <f t="shared" si="254"/>
        <v>0</v>
      </c>
      <c r="CB58" s="170">
        <f t="shared" si="161"/>
        <v>0</v>
      </c>
      <c r="CC58" s="167">
        <f t="shared" si="162"/>
        <v>0</v>
      </c>
      <c r="CD58" s="171">
        <f t="shared" si="163"/>
        <v>0</v>
      </c>
      <c r="CE58" s="169">
        <f t="shared" si="278"/>
        <v>0</v>
      </c>
      <c r="CF58" s="167">
        <f t="shared" si="255"/>
        <v>0</v>
      </c>
      <c r="CG58" s="167">
        <f t="shared" si="166"/>
        <v>0</v>
      </c>
      <c r="CH58" s="167">
        <f t="shared" si="256"/>
        <v>0</v>
      </c>
      <c r="CI58" s="167">
        <f t="shared" si="168"/>
        <v>0</v>
      </c>
      <c r="CJ58" s="167">
        <f t="shared" si="257"/>
        <v>0</v>
      </c>
      <c r="CK58" s="167">
        <f t="shared" si="170"/>
        <v>0</v>
      </c>
      <c r="CL58" s="167">
        <f t="shared" si="258"/>
        <v>0</v>
      </c>
      <c r="CM58" s="167">
        <f t="shared" si="172"/>
        <v>0</v>
      </c>
      <c r="CN58" s="167">
        <f t="shared" si="259"/>
        <v>0</v>
      </c>
      <c r="CO58" s="170">
        <f t="shared" si="174"/>
        <v>0</v>
      </c>
      <c r="CP58" s="167">
        <f t="shared" si="175"/>
        <v>0</v>
      </c>
      <c r="CQ58" s="171">
        <f t="shared" si="176"/>
        <v>0</v>
      </c>
      <c r="CR58" s="169">
        <f t="shared" si="279"/>
        <v>0</v>
      </c>
      <c r="CS58" s="167">
        <f t="shared" si="261"/>
        <v>0</v>
      </c>
      <c r="CT58" s="167">
        <f t="shared" si="179"/>
        <v>0</v>
      </c>
      <c r="CU58" s="167">
        <f t="shared" si="262"/>
        <v>0</v>
      </c>
      <c r="CV58" s="167">
        <f t="shared" si="181"/>
        <v>0</v>
      </c>
      <c r="CW58" s="167">
        <f t="shared" si="263"/>
        <v>0</v>
      </c>
      <c r="CX58" s="167">
        <f t="shared" si="183"/>
        <v>0</v>
      </c>
      <c r="CY58" s="167">
        <f t="shared" si="264"/>
        <v>0</v>
      </c>
      <c r="CZ58" s="167">
        <f t="shared" si="185"/>
        <v>0</v>
      </c>
      <c r="DA58" s="167">
        <f t="shared" si="265"/>
        <v>0</v>
      </c>
      <c r="DB58" s="170">
        <f t="shared" si="187"/>
        <v>0</v>
      </c>
      <c r="DC58" s="167">
        <f t="shared" si="188"/>
        <v>0</v>
      </c>
      <c r="DD58" s="171">
        <f t="shared" si="189"/>
        <v>0</v>
      </c>
      <c r="DE58" s="169">
        <f t="shared" si="279"/>
        <v>0</v>
      </c>
      <c r="DF58" s="167">
        <f t="shared" si="266"/>
        <v>0</v>
      </c>
      <c r="DG58" s="167">
        <f t="shared" si="192"/>
        <v>0</v>
      </c>
      <c r="DH58" s="167">
        <f t="shared" si="267"/>
        <v>0</v>
      </c>
      <c r="DI58" s="167">
        <f t="shared" si="194"/>
        <v>0</v>
      </c>
      <c r="DJ58" s="167">
        <f t="shared" si="268"/>
        <v>0</v>
      </c>
      <c r="DK58" s="167">
        <f t="shared" si="196"/>
        <v>0</v>
      </c>
      <c r="DL58" s="167">
        <f t="shared" si="269"/>
        <v>0</v>
      </c>
      <c r="DM58" s="167">
        <f t="shared" si="198"/>
        <v>0</v>
      </c>
      <c r="DN58" s="167">
        <f t="shared" si="270"/>
        <v>0</v>
      </c>
      <c r="DO58" s="170">
        <f t="shared" si="200"/>
        <v>0</v>
      </c>
      <c r="DP58" s="167">
        <f t="shared" si="201"/>
        <v>0</v>
      </c>
      <c r="DQ58" s="171">
        <f t="shared" si="202"/>
        <v>0</v>
      </c>
      <c r="DR58" s="169">
        <f t="shared" si="279"/>
        <v>0</v>
      </c>
      <c r="DS58" s="167">
        <f t="shared" si="271"/>
        <v>0</v>
      </c>
      <c r="DT58" s="167">
        <f t="shared" si="205"/>
        <v>0</v>
      </c>
      <c r="DU58" s="167">
        <f t="shared" si="272"/>
        <v>0</v>
      </c>
      <c r="DV58" s="167">
        <f t="shared" si="207"/>
        <v>0</v>
      </c>
      <c r="DW58" s="167">
        <f t="shared" si="273"/>
        <v>0</v>
      </c>
      <c r="DX58" s="167">
        <f t="shared" si="209"/>
        <v>0</v>
      </c>
      <c r="DY58" s="167">
        <f t="shared" si="274"/>
        <v>0</v>
      </c>
      <c r="DZ58" s="167">
        <f t="shared" si="211"/>
        <v>0</v>
      </c>
      <c r="EA58" s="167">
        <f t="shared" si="275"/>
        <v>0</v>
      </c>
      <c r="EB58" s="170">
        <f t="shared" si="213"/>
        <v>0</v>
      </c>
      <c r="EC58" s="167">
        <f t="shared" si="214"/>
        <v>0</v>
      </c>
      <c r="ED58" s="171">
        <f t="shared" si="215"/>
        <v>0</v>
      </c>
    </row>
    <row r="59" spans="1:134" x14ac:dyDescent="0.3">
      <c r="A59" s="196"/>
      <c r="B59" s="196"/>
      <c r="C59" s="616"/>
      <c r="D59" s="188"/>
      <c r="E59" s="624"/>
      <c r="F59" s="190"/>
      <c r="G59" s="625"/>
      <c r="H59" s="192"/>
      <c r="I59" s="193"/>
      <c r="J59" s="194"/>
      <c r="K59" s="165">
        <f t="shared" si="216"/>
        <v>0</v>
      </c>
      <c r="L59" s="166">
        <f t="shared" si="217"/>
        <v>0</v>
      </c>
      <c r="M59" s="167">
        <f t="shared" si="218"/>
        <v>0</v>
      </c>
      <c r="N59" s="167"/>
      <c r="O59" s="167">
        <f t="shared" si="219"/>
        <v>0</v>
      </c>
      <c r="P59" s="168"/>
      <c r="Q59" s="167">
        <f t="shared" si="220"/>
        <v>0</v>
      </c>
      <c r="R59" s="169">
        <f t="shared" si="221"/>
        <v>0</v>
      </c>
      <c r="S59" s="167">
        <f t="shared" si="222"/>
        <v>0</v>
      </c>
      <c r="T59" s="167">
        <f t="shared" si="223"/>
        <v>0</v>
      </c>
      <c r="U59" s="167">
        <f t="shared" si="224"/>
        <v>0</v>
      </c>
      <c r="V59" s="167">
        <f t="shared" si="225"/>
        <v>0</v>
      </c>
      <c r="W59" s="167">
        <f t="shared" si="226"/>
        <v>0</v>
      </c>
      <c r="X59" s="167">
        <f t="shared" si="227"/>
        <v>0</v>
      </c>
      <c r="Y59" s="167">
        <f t="shared" si="228"/>
        <v>0</v>
      </c>
      <c r="Z59" s="167">
        <f t="shared" si="229"/>
        <v>0</v>
      </c>
      <c r="AA59" s="167">
        <f t="shared" si="230"/>
        <v>0</v>
      </c>
      <c r="AB59" s="170">
        <f t="shared" si="231"/>
        <v>0</v>
      </c>
      <c r="AC59" s="167">
        <f t="shared" si="232"/>
        <v>0</v>
      </c>
      <c r="AD59" s="171">
        <f t="shared" si="233"/>
        <v>0</v>
      </c>
      <c r="AE59" s="169">
        <f t="shared" si="278"/>
        <v>0</v>
      </c>
      <c r="AF59" s="167">
        <f t="shared" si="235"/>
        <v>0</v>
      </c>
      <c r="AG59" s="167">
        <f t="shared" si="114"/>
        <v>0</v>
      </c>
      <c r="AH59" s="167">
        <f t="shared" si="236"/>
        <v>0</v>
      </c>
      <c r="AI59" s="167">
        <f t="shared" si="116"/>
        <v>0</v>
      </c>
      <c r="AJ59" s="167">
        <f t="shared" si="237"/>
        <v>0</v>
      </c>
      <c r="AK59" s="167">
        <f t="shared" si="118"/>
        <v>0</v>
      </c>
      <c r="AL59" s="167">
        <f t="shared" si="238"/>
        <v>0</v>
      </c>
      <c r="AM59" s="167">
        <f t="shared" si="120"/>
        <v>0</v>
      </c>
      <c r="AN59" s="167">
        <f t="shared" si="239"/>
        <v>0</v>
      </c>
      <c r="AO59" s="170">
        <f t="shared" si="122"/>
        <v>0</v>
      </c>
      <c r="AP59" s="167">
        <f t="shared" si="123"/>
        <v>0</v>
      </c>
      <c r="AQ59" s="171">
        <f t="shared" si="124"/>
        <v>0</v>
      </c>
      <c r="AR59" s="169">
        <f t="shared" si="278"/>
        <v>0</v>
      </c>
      <c r="AS59" s="167">
        <f t="shared" si="240"/>
        <v>0</v>
      </c>
      <c r="AT59" s="167">
        <f t="shared" si="127"/>
        <v>0</v>
      </c>
      <c r="AU59" s="167">
        <f t="shared" si="241"/>
        <v>0</v>
      </c>
      <c r="AV59" s="167">
        <f t="shared" si="129"/>
        <v>0</v>
      </c>
      <c r="AW59" s="167">
        <f t="shared" si="242"/>
        <v>0</v>
      </c>
      <c r="AX59" s="167">
        <f t="shared" si="131"/>
        <v>0</v>
      </c>
      <c r="AY59" s="167">
        <f t="shared" si="243"/>
        <v>0</v>
      </c>
      <c r="AZ59" s="167">
        <f t="shared" si="133"/>
        <v>0</v>
      </c>
      <c r="BA59" s="167">
        <f t="shared" si="244"/>
        <v>0</v>
      </c>
      <c r="BB59" s="170">
        <f t="shared" si="135"/>
        <v>0</v>
      </c>
      <c r="BC59" s="167">
        <f t="shared" si="136"/>
        <v>0</v>
      </c>
      <c r="BD59" s="171">
        <f t="shared" si="137"/>
        <v>0</v>
      </c>
      <c r="BE59" s="169">
        <f t="shared" si="278"/>
        <v>0</v>
      </c>
      <c r="BF59" s="167">
        <f t="shared" si="245"/>
        <v>0</v>
      </c>
      <c r="BG59" s="167">
        <f t="shared" si="140"/>
        <v>0</v>
      </c>
      <c r="BH59" s="167">
        <f t="shared" si="246"/>
        <v>0</v>
      </c>
      <c r="BI59" s="167">
        <f t="shared" si="142"/>
        <v>0</v>
      </c>
      <c r="BJ59" s="167">
        <f t="shared" si="247"/>
        <v>0</v>
      </c>
      <c r="BK59" s="167">
        <f t="shared" si="144"/>
        <v>0</v>
      </c>
      <c r="BL59" s="167">
        <f t="shared" si="248"/>
        <v>0</v>
      </c>
      <c r="BM59" s="167">
        <f t="shared" si="146"/>
        <v>0</v>
      </c>
      <c r="BN59" s="167">
        <f t="shared" si="249"/>
        <v>0</v>
      </c>
      <c r="BO59" s="170">
        <f t="shared" si="148"/>
        <v>0</v>
      </c>
      <c r="BP59" s="167">
        <f t="shared" si="149"/>
        <v>0</v>
      </c>
      <c r="BQ59" s="171">
        <f t="shared" si="150"/>
        <v>0</v>
      </c>
      <c r="BR59" s="169">
        <f t="shared" si="278"/>
        <v>0</v>
      </c>
      <c r="BS59" s="167">
        <f t="shared" si="250"/>
        <v>0</v>
      </c>
      <c r="BT59" s="167">
        <f t="shared" si="153"/>
        <v>0</v>
      </c>
      <c r="BU59" s="167">
        <f t="shared" si="251"/>
        <v>0</v>
      </c>
      <c r="BV59" s="167">
        <f t="shared" si="155"/>
        <v>0</v>
      </c>
      <c r="BW59" s="167">
        <f t="shared" si="252"/>
        <v>0</v>
      </c>
      <c r="BX59" s="167">
        <f t="shared" si="157"/>
        <v>0</v>
      </c>
      <c r="BY59" s="167">
        <f t="shared" si="253"/>
        <v>0</v>
      </c>
      <c r="BZ59" s="167">
        <f t="shared" si="159"/>
        <v>0</v>
      </c>
      <c r="CA59" s="167">
        <f t="shared" si="254"/>
        <v>0</v>
      </c>
      <c r="CB59" s="170">
        <f t="shared" si="161"/>
        <v>0</v>
      </c>
      <c r="CC59" s="167">
        <f t="shared" si="162"/>
        <v>0</v>
      </c>
      <c r="CD59" s="171">
        <f t="shared" si="163"/>
        <v>0</v>
      </c>
      <c r="CE59" s="169">
        <f t="shared" si="278"/>
        <v>0</v>
      </c>
      <c r="CF59" s="167">
        <f t="shared" si="255"/>
        <v>0</v>
      </c>
      <c r="CG59" s="167">
        <f t="shared" si="166"/>
        <v>0</v>
      </c>
      <c r="CH59" s="167">
        <f t="shared" si="256"/>
        <v>0</v>
      </c>
      <c r="CI59" s="167">
        <f t="shared" si="168"/>
        <v>0</v>
      </c>
      <c r="CJ59" s="167">
        <f t="shared" si="257"/>
        <v>0</v>
      </c>
      <c r="CK59" s="167">
        <f t="shared" si="170"/>
        <v>0</v>
      </c>
      <c r="CL59" s="167">
        <f t="shared" si="258"/>
        <v>0</v>
      </c>
      <c r="CM59" s="167">
        <f t="shared" si="172"/>
        <v>0</v>
      </c>
      <c r="CN59" s="167">
        <f t="shared" si="259"/>
        <v>0</v>
      </c>
      <c r="CO59" s="170">
        <f t="shared" si="174"/>
        <v>0</v>
      </c>
      <c r="CP59" s="167">
        <f t="shared" si="175"/>
        <v>0</v>
      </c>
      <c r="CQ59" s="171">
        <f t="shared" si="176"/>
        <v>0</v>
      </c>
      <c r="CR59" s="169">
        <f t="shared" si="279"/>
        <v>0</v>
      </c>
      <c r="CS59" s="167">
        <f t="shared" si="261"/>
        <v>0</v>
      </c>
      <c r="CT59" s="167">
        <f t="shared" si="179"/>
        <v>0</v>
      </c>
      <c r="CU59" s="167">
        <f t="shared" si="262"/>
        <v>0</v>
      </c>
      <c r="CV59" s="167">
        <f t="shared" si="181"/>
        <v>0</v>
      </c>
      <c r="CW59" s="167">
        <f t="shared" si="263"/>
        <v>0</v>
      </c>
      <c r="CX59" s="167">
        <f t="shared" si="183"/>
        <v>0</v>
      </c>
      <c r="CY59" s="167">
        <f t="shared" si="264"/>
        <v>0</v>
      </c>
      <c r="CZ59" s="167">
        <f t="shared" si="185"/>
        <v>0</v>
      </c>
      <c r="DA59" s="167">
        <f t="shared" si="265"/>
        <v>0</v>
      </c>
      <c r="DB59" s="170">
        <f t="shared" si="187"/>
        <v>0</v>
      </c>
      <c r="DC59" s="167">
        <f t="shared" si="188"/>
        <v>0</v>
      </c>
      <c r="DD59" s="171">
        <f t="shared" si="189"/>
        <v>0</v>
      </c>
      <c r="DE59" s="169">
        <f t="shared" si="279"/>
        <v>0</v>
      </c>
      <c r="DF59" s="167">
        <f t="shared" si="266"/>
        <v>0</v>
      </c>
      <c r="DG59" s="167">
        <f t="shared" si="192"/>
        <v>0</v>
      </c>
      <c r="DH59" s="167">
        <f t="shared" si="267"/>
        <v>0</v>
      </c>
      <c r="DI59" s="167">
        <f t="shared" si="194"/>
        <v>0</v>
      </c>
      <c r="DJ59" s="167">
        <f t="shared" si="268"/>
        <v>0</v>
      </c>
      <c r="DK59" s="167">
        <f t="shared" si="196"/>
        <v>0</v>
      </c>
      <c r="DL59" s="167">
        <f t="shared" si="269"/>
        <v>0</v>
      </c>
      <c r="DM59" s="167">
        <f t="shared" si="198"/>
        <v>0</v>
      </c>
      <c r="DN59" s="167">
        <f t="shared" si="270"/>
        <v>0</v>
      </c>
      <c r="DO59" s="170">
        <f t="shared" si="200"/>
        <v>0</v>
      </c>
      <c r="DP59" s="167">
        <f t="shared" si="201"/>
        <v>0</v>
      </c>
      <c r="DQ59" s="171">
        <f t="shared" si="202"/>
        <v>0</v>
      </c>
      <c r="DR59" s="169">
        <f t="shared" si="279"/>
        <v>0</v>
      </c>
      <c r="DS59" s="167">
        <f t="shared" si="271"/>
        <v>0</v>
      </c>
      <c r="DT59" s="167">
        <f t="shared" si="205"/>
        <v>0</v>
      </c>
      <c r="DU59" s="167">
        <f t="shared" si="272"/>
        <v>0</v>
      </c>
      <c r="DV59" s="167">
        <f t="shared" si="207"/>
        <v>0</v>
      </c>
      <c r="DW59" s="167">
        <f t="shared" si="273"/>
        <v>0</v>
      </c>
      <c r="DX59" s="167">
        <f t="shared" si="209"/>
        <v>0</v>
      </c>
      <c r="DY59" s="167">
        <f t="shared" si="274"/>
        <v>0</v>
      </c>
      <c r="DZ59" s="167">
        <f t="shared" si="211"/>
        <v>0</v>
      </c>
      <c r="EA59" s="167">
        <f t="shared" si="275"/>
        <v>0</v>
      </c>
      <c r="EB59" s="170">
        <f t="shared" si="213"/>
        <v>0</v>
      </c>
      <c r="EC59" s="167">
        <f t="shared" si="214"/>
        <v>0</v>
      </c>
      <c r="ED59" s="171">
        <f t="shared" si="215"/>
        <v>0</v>
      </c>
    </row>
    <row r="60" spans="1:134" x14ac:dyDescent="0.3">
      <c r="A60" s="196"/>
      <c r="B60" s="196"/>
      <c r="C60" s="616"/>
      <c r="D60" s="95"/>
      <c r="E60" s="99"/>
      <c r="F60" s="97"/>
      <c r="G60" s="98"/>
      <c r="H60" s="192"/>
      <c r="I60" s="193"/>
      <c r="J60" s="194"/>
      <c r="K60" s="165">
        <f t="shared" si="216"/>
        <v>0</v>
      </c>
      <c r="L60" s="166">
        <f t="shared" si="217"/>
        <v>0</v>
      </c>
      <c r="M60" s="167">
        <f t="shared" si="218"/>
        <v>0</v>
      </c>
      <c r="N60" s="167"/>
      <c r="O60" s="167">
        <f t="shared" si="219"/>
        <v>0</v>
      </c>
      <c r="P60" s="168"/>
      <c r="Q60" s="167">
        <f t="shared" si="220"/>
        <v>0</v>
      </c>
      <c r="R60" s="169">
        <f t="shared" si="221"/>
        <v>0</v>
      </c>
      <c r="S60" s="167">
        <f t="shared" si="222"/>
        <v>0</v>
      </c>
      <c r="T60" s="167">
        <f t="shared" si="223"/>
        <v>0</v>
      </c>
      <c r="U60" s="167">
        <f t="shared" si="224"/>
        <v>0</v>
      </c>
      <c r="V60" s="167">
        <f t="shared" si="225"/>
        <v>0</v>
      </c>
      <c r="W60" s="167">
        <f t="shared" si="226"/>
        <v>0</v>
      </c>
      <c r="X60" s="167">
        <f t="shared" si="227"/>
        <v>0</v>
      </c>
      <c r="Y60" s="167">
        <f t="shared" si="228"/>
        <v>0</v>
      </c>
      <c r="Z60" s="167">
        <f t="shared" si="229"/>
        <v>0</v>
      </c>
      <c r="AA60" s="167">
        <f t="shared" si="230"/>
        <v>0</v>
      </c>
      <c r="AB60" s="170">
        <f t="shared" si="231"/>
        <v>0</v>
      </c>
      <c r="AC60" s="167">
        <f t="shared" si="232"/>
        <v>0</v>
      </c>
      <c r="AD60" s="171">
        <f t="shared" si="233"/>
        <v>0</v>
      </c>
      <c r="AE60" s="169">
        <f t="shared" si="278"/>
        <v>0</v>
      </c>
      <c r="AF60" s="167">
        <f t="shared" si="235"/>
        <v>0</v>
      </c>
      <c r="AG60" s="167">
        <f t="shared" si="114"/>
        <v>0</v>
      </c>
      <c r="AH60" s="167">
        <f t="shared" si="236"/>
        <v>0</v>
      </c>
      <c r="AI60" s="167">
        <f t="shared" si="116"/>
        <v>0</v>
      </c>
      <c r="AJ60" s="167">
        <f t="shared" si="237"/>
        <v>0</v>
      </c>
      <c r="AK60" s="167">
        <f t="shared" si="118"/>
        <v>0</v>
      </c>
      <c r="AL60" s="167">
        <f t="shared" si="238"/>
        <v>0</v>
      </c>
      <c r="AM60" s="167">
        <f t="shared" si="120"/>
        <v>0</v>
      </c>
      <c r="AN60" s="167">
        <f t="shared" si="239"/>
        <v>0</v>
      </c>
      <c r="AO60" s="170">
        <f t="shared" si="122"/>
        <v>0</v>
      </c>
      <c r="AP60" s="167">
        <f t="shared" si="123"/>
        <v>0</v>
      </c>
      <c r="AQ60" s="171">
        <f t="shared" si="124"/>
        <v>0</v>
      </c>
      <c r="AR60" s="169">
        <f t="shared" si="278"/>
        <v>0</v>
      </c>
      <c r="AS60" s="167">
        <f t="shared" si="240"/>
        <v>0</v>
      </c>
      <c r="AT60" s="167">
        <f t="shared" si="127"/>
        <v>0</v>
      </c>
      <c r="AU60" s="167">
        <f t="shared" si="241"/>
        <v>0</v>
      </c>
      <c r="AV60" s="167">
        <f t="shared" si="129"/>
        <v>0</v>
      </c>
      <c r="AW60" s="167">
        <f t="shared" si="242"/>
        <v>0</v>
      </c>
      <c r="AX60" s="167">
        <f t="shared" si="131"/>
        <v>0</v>
      </c>
      <c r="AY60" s="167">
        <f t="shared" si="243"/>
        <v>0</v>
      </c>
      <c r="AZ60" s="167">
        <f t="shared" si="133"/>
        <v>0</v>
      </c>
      <c r="BA60" s="167">
        <f t="shared" si="244"/>
        <v>0</v>
      </c>
      <c r="BB60" s="170">
        <f t="shared" si="135"/>
        <v>0</v>
      </c>
      <c r="BC60" s="167">
        <f t="shared" si="136"/>
        <v>0</v>
      </c>
      <c r="BD60" s="171">
        <f t="shared" si="137"/>
        <v>0</v>
      </c>
      <c r="BE60" s="169">
        <f t="shared" si="278"/>
        <v>0</v>
      </c>
      <c r="BF60" s="167">
        <f t="shared" si="245"/>
        <v>0</v>
      </c>
      <c r="BG60" s="167">
        <f t="shared" si="140"/>
        <v>0</v>
      </c>
      <c r="BH60" s="167">
        <f t="shared" si="246"/>
        <v>0</v>
      </c>
      <c r="BI60" s="167">
        <f t="shared" si="142"/>
        <v>0</v>
      </c>
      <c r="BJ60" s="167">
        <f t="shared" si="247"/>
        <v>0</v>
      </c>
      <c r="BK60" s="167">
        <f t="shared" si="144"/>
        <v>0</v>
      </c>
      <c r="BL60" s="167">
        <f t="shared" si="248"/>
        <v>0</v>
      </c>
      <c r="BM60" s="167">
        <f t="shared" si="146"/>
        <v>0</v>
      </c>
      <c r="BN60" s="167">
        <f t="shared" si="249"/>
        <v>0</v>
      </c>
      <c r="BO60" s="170">
        <f t="shared" si="148"/>
        <v>0</v>
      </c>
      <c r="BP60" s="167">
        <f t="shared" si="149"/>
        <v>0</v>
      </c>
      <c r="BQ60" s="171">
        <f t="shared" si="150"/>
        <v>0</v>
      </c>
      <c r="BR60" s="169">
        <f t="shared" si="278"/>
        <v>0</v>
      </c>
      <c r="BS60" s="167">
        <f t="shared" si="250"/>
        <v>0</v>
      </c>
      <c r="BT60" s="167">
        <f t="shared" si="153"/>
        <v>0</v>
      </c>
      <c r="BU60" s="167">
        <f t="shared" si="251"/>
        <v>0</v>
      </c>
      <c r="BV60" s="167">
        <f t="shared" si="155"/>
        <v>0</v>
      </c>
      <c r="BW60" s="167">
        <f t="shared" si="252"/>
        <v>0</v>
      </c>
      <c r="BX60" s="167">
        <f t="shared" si="157"/>
        <v>0</v>
      </c>
      <c r="BY60" s="167">
        <f t="shared" si="253"/>
        <v>0</v>
      </c>
      <c r="BZ60" s="167">
        <f t="shared" si="159"/>
        <v>0</v>
      </c>
      <c r="CA60" s="167">
        <f t="shared" si="254"/>
        <v>0</v>
      </c>
      <c r="CB60" s="170">
        <f t="shared" si="161"/>
        <v>0</v>
      </c>
      <c r="CC60" s="167">
        <f t="shared" si="162"/>
        <v>0</v>
      </c>
      <c r="CD60" s="171">
        <f t="shared" si="163"/>
        <v>0</v>
      </c>
      <c r="CE60" s="169">
        <f t="shared" si="278"/>
        <v>0</v>
      </c>
      <c r="CF60" s="167">
        <f t="shared" si="255"/>
        <v>0</v>
      </c>
      <c r="CG60" s="167">
        <f t="shared" si="166"/>
        <v>0</v>
      </c>
      <c r="CH60" s="167">
        <f t="shared" si="256"/>
        <v>0</v>
      </c>
      <c r="CI60" s="167">
        <f t="shared" si="168"/>
        <v>0</v>
      </c>
      <c r="CJ60" s="167">
        <f t="shared" si="257"/>
        <v>0</v>
      </c>
      <c r="CK60" s="167">
        <f t="shared" si="170"/>
        <v>0</v>
      </c>
      <c r="CL60" s="167">
        <f t="shared" si="258"/>
        <v>0</v>
      </c>
      <c r="CM60" s="167">
        <f t="shared" si="172"/>
        <v>0</v>
      </c>
      <c r="CN60" s="167">
        <f t="shared" si="259"/>
        <v>0</v>
      </c>
      <c r="CO60" s="170">
        <f t="shared" si="174"/>
        <v>0</v>
      </c>
      <c r="CP60" s="167">
        <f t="shared" si="175"/>
        <v>0</v>
      </c>
      <c r="CQ60" s="171">
        <f t="shared" si="176"/>
        <v>0</v>
      </c>
      <c r="CR60" s="169">
        <f t="shared" si="279"/>
        <v>0</v>
      </c>
      <c r="CS60" s="167">
        <f t="shared" si="261"/>
        <v>0</v>
      </c>
      <c r="CT60" s="167">
        <f t="shared" si="179"/>
        <v>0</v>
      </c>
      <c r="CU60" s="167">
        <f t="shared" si="262"/>
        <v>0</v>
      </c>
      <c r="CV60" s="167">
        <f t="shared" si="181"/>
        <v>0</v>
      </c>
      <c r="CW60" s="167">
        <f t="shared" si="263"/>
        <v>0</v>
      </c>
      <c r="CX60" s="167">
        <f t="shared" si="183"/>
        <v>0</v>
      </c>
      <c r="CY60" s="167">
        <f t="shared" si="264"/>
        <v>0</v>
      </c>
      <c r="CZ60" s="167">
        <f t="shared" si="185"/>
        <v>0</v>
      </c>
      <c r="DA60" s="167">
        <f t="shared" si="265"/>
        <v>0</v>
      </c>
      <c r="DB60" s="170">
        <f t="shared" si="187"/>
        <v>0</v>
      </c>
      <c r="DC60" s="167">
        <f t="shared" si="188"/>
        <v>0</v>
      </c>
      <c r="DD60" s="171">
        <f t="shared" si="189"/>
        <v>0</v>
      </c>
      <c r="DE60" s="169">
        <f t="shared" si="279"/>
        <v>0</v>
      </c>
      <c r="DF60" s="167">
        <f t="shared" si="266"/>
        <v>0</v>
      </c>
      <c r="DG60" s="167">
        <f t="shared" si="192"/>
        <v>0</v>
      </c>
      <c r="DH60" s="167">
        <f t="shared" si="267"/>
        <v>0</v>
      </c>
      <c r="DI60" s="167">
        <f t="shared" si="194"/>
        <v>0</v>
      </c>
      <c r="DJ60" s="167">
        <f t="shared" si="268"/>
        <v>0</v>
      </c>
      <c r="DK60" s="167">
        <f t="shared" si="196"/>
        <v>0</v>
      </c>
      <c r="DL60" s="167">
        <f t="shared" si="269"/>
        <v>0</v>
      </c>
      <c r="DM60" s="167">
        <f t="shared" si="198"/>
        <v>0</v>
      </c>
      <c r="DN60" s="167">
        <f t="shared" si="270"/>
        <v>0</v>
      </c>
      <c r="DO60" s="170">
        <f t="shared" si="200"/>
        <v>0</v>
      </c>
      <c r="DP60" s="167">
        <f t="shared" si="201"/>
        <v>0</v>
      </c>
      <c r="DQ60" s="171">
        <f t="shared" si="202"/>
        <v>0</v>
      </c>
      <c r="DR60" s="169">
        <f t="shared" si="279"/>
        <v>0</v>
      </c>
      <c r="DS60" s="167">
        <f t="shared" si="271"/>
        <v>0</v>
      </c>
      <c r="DT60" s="167">
        <f t="shared" si="205"/>
        <v>0</v>
      </c>
      <c r="DU60" s="167">
        <f t="shared" si="272"/>
        <v>0</v>
      </c>
      <c r="DV60" s="167">
        <f t="shared" si="207"/>
        <v>0</v>
      </c>
      <c r="DW60" s="167">
        <f t="shared" si="273"/>
        <v>0</v>
      </c>
      <c r="DX60" s="167">
        <f t="shared" si="209"/>
        <v>0</v>
      </c>
      <c r="DY60" s="167">
        <f t="shared" si="274"/>
        <v>0</v>
      </c>
      <c r="DZ60" s="167">
        <f t="shared" si="211"/>
        <v>0</v>
      </c>
      <c r="EA60" s="167">
        <f t="shared" si="275"/>
        <v>0</v>
      </c>
      <c r="EB60" s="170">
        <f t="shared" si="213"/>
        <v>0</v>
      </c>
      <c r="EC60" s="167">
        <f t="shared" si="214"/>
        <v>0</v>
      </c>
      <c r="ED60" s="171">
        <f t="shared" si="215"/>
        <v>0</v>
      </c>
    </row>
    <row r="61" spans="1:134" x14ac:dyDescent="0.3">
      <c r="A61" s="196"/>
      <c r="B61" s="196"/>
      <c r="C61" s="196"/>
      <c r="D61" s="188"/>
      <c r="E61" s="624"/>
      <c r="F61" s="190"/>
      <c r="G61" s="625"/>
      <c r="H61" s="192"/>
      <c r="I61" s="193"/>
      <c r="J61" s="194"/>
      <c r="K61" s="165">
        <f t="shared" si="216"/>
        <v>0</v>
      </c>
      <c r="L61" s="166">
        <f t="shared" si="217"/>
        <v>0</v>
      </c>
      <c r="M61" s="167">
        <f t="shared" si="218"/>
        <v>0</v>
      </c>
      <c r="N61" s="167"/>
      <c r="O61" s="167">
        <f t="shared" si="219"/>
        <v>0</v>
      </c>
      <c r="P61" s="168"/>
      <c r="Q61" s="167">
        <f t="shared" si="220"/>
        <v>0</v>
      </c>
      <c r="R61" s="169">
        <f t="shared" si="221"/>
        <v>0</v>
      </c>
      <c r="S61" s="167">
        <f t="shared" si="222"/>
        <v>0</v>
      </c>
      <c r="T61" s="167">
        <f t="shared" si="223"/>
        <v>0</v>
      </c>
      <c r="U61" s="167">
        <f t="shared" si="224"/>
        <v>0</v>
      </c>
      <c r="V61" s="167">
        <f t="shared" si="225"/>
        <v>0</v>
      </c>
      <c r="W61" s="167">
        <f t="shared" si="226"/>
        <v>0</v>
      </c>
      <c r="X61" s="167">
        <f t="shared" si="227"/>
        <v>0</v>
      </c>
      <c r="Y61" s="167">
        <f t="shared" si="228"/>
        <v>0</v>
      </c>
      <c r="Z61" s="167">
        <f t="shared" si="229"/>
        <v>0</v>
      </c>
      <c r="AA61" s="167">
        <f t="shared" si="230"/>
        <v>0</v>
      </c>
      <c r="AB61" s="170">
        <f t="shared" si="231"/>
        <v>0</v>
      </c>
      <c r="AC61" s="167">
        <f t="shared" si="232"/>
        <v>0</v>
      </c>
      <c r="AD61" s="171">
        <f t="shared" si="233"/>
        <v>0</v>
      </c>
      <c r="AE61" s="169">
        <f t="shared" si="278"/>
        <v>0</v>
      </c>
      <c r="AF61" s="167">
        <f t="shared" si="235"/>
        <v>0</v>
      </c>
      <c r="AG61" s="167">
        <f t="shared" si="114"/>
        <v>0</v>
      </c>
      <c r="AH61" s="167">
        <f t="shared" si="236"/>
        <v>0</v>
      </c>
      <c r="AI61" s="167">
        <f t="shared" si="116"/>
        <v>0</v>
      </c>
      <c r="AJ61" s="167">
        <f t="shared" si="237"/>
        <v>0</v>
      </c>
      <c r="AK61" s="167">
        <f t="shared" si="118"/>
        <v>0</v>
      </c>
      <c r="AL61" s="167">
        <f t="shared" si="238"/>
        <v>0</v>
      </c>
      <c r="AM61" s="167">
        <f t="shared" si="120"/>
        <v>0</v>
      </c>
      <c r="AN61" s="167">
        <f t="shared" si="239"/>
        <v>0</v>
      </c>
      <c r="AO61" s="170">
        <f t="shared" si="122"/>
        <v>0</v>
      </c>
      <c r="AP61" s="167">
        <f t="shared" si="123"/>
        <v>0</v>
      </c>
      <c r="AQ61" s="171">
        <f t="shared" si="124"/>
        <v>0</v>
      </c>
      <c r="AR61" s="169">
        <f t="shared" si="278"/>
        <v>0</v>
      </c>
      <c r="AS61" s="167">
        <f t="shared" si="240"/>
        <v>0</v>
      </c>
      <c r="AT61" s="167">
        <f t="shared" si="127"/>
        <v>0</v>
      </c>
      <c r="AU61" s="167">
        <f t="shared" si="241"/>
        <v>0</v>
      </c>
      <c r="AV61" s="167">
        <f t="shared" si="129"/>
        <v>0</v>
      </c>
      <c r="AW61" s="167">
        <f t="shared" si="242"/>
        <v>0</v>
      </c>
      <c r="AX61" s="167">
        <f t="shared" si="131"/>
        <v>0</v>
      </c>
      <c r="AY61" s="167">
        <f t="shared" si="243"/>
        <v>0</v>
      </c>
      <c r="AZ61" s="167">
        <f t="shared" si="133"/>
        <v>0</v>
      </c>
      <c r="BA61" s="167">
        <f t="shared" si="244"/>
        <v>0</v>
      </c>
      <c r="BB61" s="170">
        <f t="shared" si="135"/>
        <v>0</v>
      </c>
      <c r="BC61" s="167">
        <f t="shared" si="136"/>
        <v>0</v>
      </c>
      <c r="BD61" s="171">
        <f t="shared" si="137"/>
        <v>0</v>
      </c>
      <c r="BE61" s="169">
        <f t="shared" si="278"/>
        <v>0</v>
      </c>
      <c r="BF61" s="167">
        <f t="shared" si="245"/>
        <v>0</v>
      </c>
      <c r="BG61" s="167">
        <f t="shared" si="140"/>
        <v>0</v>
      </c>
      <c r="BH61" s="167">
        <f t="shared" si="246"/>
        <v>0</v>
      </c>
      <c r="BI61" s="167">
        <f t="shared" si="142"/>
        <v>0</v>
      </c>
      <c r="BJ61" s="167">
        <f t="shared" si="247"/>
        <v>0</v>
      </c>
      <c r="BK61" s="167">
        <f t="shared" si="144"/>
        <v>0</v>
      </c>
      <c r="BL61" s="167">
        <f t="shared" si="248"/>
        <v>0</v>
      </c>
      <c r="BM61" s="167">
        <f t="shared" si="146"/>
        <v>0</v>
      </c>
      <c r="BN61" s="167">
        <f t="shared" si="249"/>
        <v>0</v>
      </c>
      <c r="BO61" s="170">
        <f t="shared" si="148"/>
        <v>0</v>
      </c>
      <c r="BP61" s="167">
        <f t="shared" si="149"/>
        <v>0</v>
      </c>
      <c r="BQ61" s="171">
        <f t="shared" si="150"/>
        <v>0</v>
      </c>
      <c r="BR61" s="169">
        <f t="shared" si="278"/>
        <v>0</v>
      </c>
      <c r="BS61" s="167">
        <f t="shared" si="250"/>
        <v>0</v>
      </c>
      <c r="BT61" s="167">
        <f t="shared" si="153"/>
        <v>0</v>
      </c>
      <c r="BU61" s="167">
        <f t="shared" si="251"/>
        <v>0</v>
      </c>
      <c r="BV61" s="167">
        <f t="shared" si="155"/>
        <v>0</v>
      </c>
      <c r="BW61" s="167">
        <f t="shared" si="252"/>
        <v>0</v>
      </c>
      <c r="BX61" s="167">
        <f t="shared" si="157"/>
        <v>0</v>
      </c>
      <c r="BY61" s="167">
        <f t="shared" si="253"/>
        <v>0</v>
      </c>
      <c r="BZ61" s="167">
        <f t="shared" si="159"/>
        <v>0</v>
      </c>
      <c r="CA61" s="167">
        <f t="shared" si="254"/>
        <v>0</v>
      </c>
      <c r="CB61" s="170">
        <f t="shared" si="161"/>
        <v>0</v>
      </c>
      <c r="CC61" s="167">
        <f t="shared" si="162"/>
        <v>0</v>
      </c>
      <c r="CD61" s="171">
        <f t="shared" si="163"/>
        <v>0</v>
      </c>
      <c r="CE61" s="169">
        <f t="shared" si="278"/>
        <v>0</v>
      </c>
      <c r="CF61" s="167">
        <f t="shared" si="255"/>
        <v>0</v>
      </c>
      <c r="CG61" s="167">
        <f t="shared" si="166"/>
        <v>0</v>
      </c>
      <c r="CH61" s="167">
        <f t="shared" si="256"/>
        <v>0</v>
      </c>
      <c r="CI61" s="167">
        <f t="shared" si="168"/>
        <v>0</v>
      </c>
      <c r="CJ61" s="167">
        <f t="shared" si="257"/>
        <v>0</v>
      </c>
      <c r="CK61" s="167">
        <f t="shared" si="170"/>
        <v>0</v>
      </c>
      <c r="CL61" s="167">
        <f t="shared" si="258"/>
        <v>0</v>
      </c>
      <c r="CM61" s="167">
        <f t="shared" si="172"/>
        <v>0</v>
      </c>
      <c r="CN61" s="167">
        <f t="shared" si="259"/>
        <v>0</v>
      </c>
      <c r="CO61" s="170">
        <f t="shared" si="174"/>
        <v>0</v>
      </c>
      <c r="CP61" s="167">
        <f t="shared" si="175"/>
        <v>0</v>
      </c>
      <c r="CQ61" s="171">
        <f t="shared" si="176"/>
        <v>0</v>
      </c>
      <c r="CR61" s="169">
        <f t="shared" si="279"/>
        <v>0</v>
      </c>
      <c r="CS61" s="167">
        <f t="shared" si="261"/>
        <v>0</v>
      </c>
      <c r="CT61" s="167">
        <f t="shared" si="179"/>
        <v>0</v>
      </c>
      <c r="CU61" s="167">
        <f t="shared" si="262"/>
        <v>0</v>
      </c>
      <c r="CV61" s="167">
        <f t="shared" si="181"/>
        <v>0</v>
      </c>
      <c r="CW61" s="167">
        <f t="shared" si="263"/>
        <v>0</v>
      </c>
      <c r="CX61" s="167">
        <f t="shared" si="183"/>
        <v>0</v>
      </c>
      <c r="CY61" s="167">
        <f t="shared" si="264"/>
        <v>0</v>
      </c>
      <c r="CZ61" s="167">
        <f t="shared" si="185"/>
        <v>0</v>
      </c>
      <c r="DA61" s="167">
        <f t="shared" si="265"/>
        <v>0</v>
      </c>
      <c r="DB61" s="170">
        <f t="shared" si="187"/>
        <v>0</v>
      </c>
      <c r="DC61" s="167">
        <f t="shared" si="188"/>
        <v>0</v>
      </c>
      <c r="DD61" s="171">
        <f t="shared" si="189"/>
        <v>0</v>
      </c>
      <c r="DE61" s="169">
        <f t="shared" si="279"/>
        <v>0</v>
      </c>
      <c r="DF61" s="167">
        <f t="shared" si="266"/>
        <v>0</v>
      </c>
      <c r="DG61" s="167">
        <f t="shared" si="192"/>
        <v>0</v>
      </c>
      <c r="DH61" s="167">
        <f t="shared" si="267"/>
        <v>0</v>
      </c>
      <c r="DI61" s="167">
        <f t="shared" si="194"/>
        <v>0</v>
      </c>
      <c r="DJ61" s="167">
        <f t="shared" si="268"/>
        <v>0</v>
      </c>
      <c r="DK61" s="167">
        <f t="shared" si="196"/>
        <v>0</v>
      </c>
      <c r="DL61" s="167">
        <f t="shared" si="269"/>
        <v>0</v>
      </c>
      <c r="DM61" s="167">
        <f t="shared" si="198"/>
        <v>0</v>
      </c>
      <c r="DN61" s="167">
        <f t="shared" si="270"/>
        <v>0</v>
      </c>
      <c r="DO61" s="170">
        <f t="shared" si="200"/>
        <v>0</v>
      </c>
      <c r="DP61" s="167">
        <f t="shared" si="201"/>
        <v>0</v>
      </c>
      <c r="DQ61" s="171">
        <f t="shared" si="202"/>
        <v>0</v>
      </c>
      <c r="DR61" s="169">
        <f t="shared" si="279"/>
        <v>0</v>
      </c>
      <c r="DS61" s="167">
        <f t="shared" si="271"/>
        <v>0</v>
      </c>
      <c r="DT61" s="167">
        <f t="shared" si="205"/>
        <v>0</v>
      </c>
      <c r="DU61" s="167">
        <f t="shared" si="272"/>
        <v>0</v>
      </c>
      <c r="DV61" s="167">
        <f t="shared" si="207"/>
        <v>0</v>
      </c>
      <c r="DW61" s="167">
        <f t="shared" si="273"/>
        <v>0</v>
      </c>
      <c r="DX61" s="167">
        <f t="shared" si="209"/>
        <v>0</v>
      </c>
      <c r="DY61" s="167">
        <f t="shared" si="274"/>
        <v>0</v>
      </c>
      <c r="DZ61" s="167">
        <f t="shared" si="211"/>
        <v>0</v>
      </c>
      <c r="EA61" s="167">
        <f t="shared" si="275"/>
        <v>0</v>
      </c>
      <c r="EB61" s="170">
        <f t="shared" si="213"/>
        <v>0</v>
      </c>
      <c r="EC61" s="167">
        <f t="shared" si="214"/>
        <v>0</v>
      </c>
      <c r="ED61" s="171">
        <f t="shared" si="215"/>
        <v>0</v>
      </c>
    </row>
    <row r="62" spans="1:134" x14ac:dyDescent="0.3">
      <c r="A62" s="196"/>
      <c r="B62" s="186"/>
      <c r="C62" s="189"/>
      <c r="D62" s="188"/>
      <c r="E62" s="624"/>
      <c r="F62" s="190"/>
      <c r="G62" s="625"/>
      <c r="H62" s="192"/>
      <c r="I62" s="193"/>
      <c r="J62" s="194"/>
      <c r="K62" s="165">
        <f t="shared" si="216"/>
        <v>0</v>
      </c>
      <c r="L62" s="166">
        <f t="shared" si="217"/>
        <v>0</v>
      </c>
      <c r="M62" s="167">
        <f t="shared" si="218"/>
        <v>0</v>
      </c>
      <c r="N62" s="167"/>
      <c r="O62" s="167">
        <f t="shared" si="219"/>
        <v>0</v>
      </c>
      <c r="P62" s="168"/>
      <c r="Q62" s="167">
        <f t="shared" si="220"/>
        <v>0</v>
      </c>
      <c r="R62" s="169">
        <f t="shared" si="221"/>
        <v>0</v>
      </c>
      <c r="S62" s="167">
        <f t="shared" si="222"/>
        <v>0</v>
      </c>
      <c r="T62" s="167">
        <f t="shared" si="223"/>
        <v>0</v>
      </c>
      <c r="U62" s="167">
        <f t="shared" si="224"/>
        <v>0</v>
      </c>
      <c r="V62" s="167">
        <f t="shared" si="225"/>
        <v>0</v>
      </c>
      <c r="W62" s="167">
        <f t="shared" si="226"/>
        <v>0</v>
      </c>
      <c r="X62" s="167">
        <f t="shared" si="227"/>
        <v>0</v>
      </c>
      <c r="Y62" s="167">
        <f t="shared" si="228"/>
        <v>0</v>
      </c>
      <c r="Z62" s="167">
        <f t="shared" si="229"/>
        <v>0</v>
      </c>
      <c r="AA62" s="167">
        <f t="shared" si="230"/>
        <v>0</v>
      </c>
      <c r="AB62" s="170">
        <f t="shared" si="231"/>
        <v>0</v>
      </c>
      <c r="AC62" s="167">
        <f t="shared" si="232"/>
        <v>0</v>
      </c>
      <c r="AD62" s="171">
        <f t="shared" si="233"/>
        <v>0</v>
      </c>
      <c r="AE62" s="169">
        <f t="shared" si="278"/>
        <v>0</v>
      </c>
      <c r="AF62" s="167">
        <f t="shared" si="235"/>
        <v>0</v>
      </c>
      <c r="AG62" s="167">
        <f t="shared" si="114"/>
        <v>0</v>
      </c>
      <c r="AH62" s="167">
        <f t="shared" si="236"/>
        <v>0</v>
      </c>
      <c r="AI62" s="167">
        <f t="shared" si="116"/>
        <v>0</v>
      </c>
      <c r="AJ62" s="167">
        <f t="shared" si="237"/>
        <v>0</v>
      </c>
      <c r="AK62" s="167">
        <f t="shared" si="118"/>
        <v>0</v>
      </c>
      <c r="AL62" s="167">
        <f t="shared" si="238"/>
        <v>0</v>
      </c>
      <c r="AM62" s="167">
        <f t="shared" si="120"/>
        <v>0</v>
      </c>
      <c r="AN62" s="167">
        <f t="shared" si="239"/>
        <v>0</v>
      </c>
      <c r="AO62" s="170">
        <f t="shared" si="122"/>
        <v>0</v>
      </c>
      <c r="AP62" s="167">
        <f t="shared" si="123"/>
        <v>0</v>
      </c>
      <c r="AQ62" s="171">
        <f t="shared" si="124"/>
        <v>0</v>
      </c>
      <c r="AR62" s="169">
        <f t="shared" si="278"/>
        <v>0</v>
      </c>
      <c r="AS62" s="167">
        <f t="shared" si="240"/>
        <v>0</v>
      </c>
      <c r="AT62" s="167">
        <f t="shared" si="127"/>
        <v>0</v>
      </c>
      <c r="AU62" s="167">
        <f t="shared" si="241"/>
        <v>0</v>
      </c>
      <c r="AV62" s="167">
        <f t="shared" si="129"/>
        <v>0</v>
      </c>
      <c r="AW62" s="167">
        <f t="shared" si="242"/>
        <v>0</v>
      </c>
      <c r="AX62" s="167">
        <f t="shared" si="131"/>
        <v>0</v>
      </c>
      <c r="AY62" s="167">
        <f t="shared" si="243"/>
        <v>0</v>
      </c>
      <c r="AZ62" s="167">
        <f t="shared" si="133"/>
        <v>0</v>
      </c>
      <c r="BA62" s="167">
        <f t="shared" si="244"/>
        <v>0</v>
      </c>
      <c r="BB62" s="170">
        <f t="shared" si="135"/>
        <v>0</v>
      </c>
      <c r="BC62" s="167">
        <f t="shared" si="136"/>
        <v>0</v>
      </c>
      <c r="BD62" s="171">
        <f t="shared" si="137"/>
        <v>0</v>
      </c>
      <c r="BE62" s="169">
        <f t="shared" si="278"/>
        <v>0</v>
      </c>
      <c r="BF62" s="167">
        <f t="shared" si="245"/>
        <v>0</v>
      </c>
      <c r="BG62" s="167">
        <f t="shared" si="140"/>
        <v>0</v>
      </c>
      <c r="BH62" s="167">
        <f t="shared" si="246"/>
        <v>0</v>
      </c>
      <c r="BI62" s="167">
        <f t="shared" si="142"/>
        <v>0</v>
      </c>
      <c r="BJ62" s="167">
        <f t="shared" si="247"/>
        <v>0</v>
      </c>
      <c r="BK62" s="167">
        <f t="shared" si="144"/>
        <v>0</v>
      </c>
      <c r="BL62" s="167">
        <f t="shared" si="248"/>
        <v>0</v>
      </c>
      <c r="BM62" s="167">
        <f t="shared" si="146"/>
        <v>0</v>
      </c>
      <c r="BN62" s="167">
        <f t="shared" si="249"/>
        <v>0</v>
      </c>
      <c r="BO62" s="170">
        <f t="shared" si="148"/>
        <v>0</v>
      </c>
      <c r="BP62" s="167">
        <f t="shared" si="149"/>
        <v>0</v>
      </c>
      <c r="BQ62" s="171">
        <f t="shared" si="150"/>
        <v>0</v>
      </c>
      <c r="BR62" s="169">
        <f t="shared" si="278"/>
        <v>0</v>
      </c>
      <c r="BS62" s="167">
        <f t="shared" si="250"/>
        <v>0</v>
      </c>
      <c r="BT62" s="167">
        <f t="shared" si="153"/>
        <v>0</v>
      </c>
      <c r="BU62" s="167">
        <f t="shared" si="251"/>
        <v>0</v>
      </c>
      <c r="BV62" s="167">
        <f t="shared" si="155"/>
        <v>0</v>
      </c>
      <c r="BW62" s="167">
        <f t="shared" si="252"/>
        <v>0</v>
      </c>
      <c r="BX62" s="167">
        <f t="shared" si="157"/>
        <v>0</v>
      </c>
      <c r="BY62" s="167">
        <f t="shared" si="253"/>
        <v>0</v>
      </c>
      <c r="BZ62" s="167">
        <f t="shared" si="159"/>
        <v>0</v>
      </c>
      <c r="CA62" s="167">
        <f t="shared" si="254"/>
        <v>0</v>
      </c>
      <c r="CB62" s="170">
        <f t="shared" si="161"/>
        <v>0</v>
      </c>
      <c r="CC62" s="167">
        <f t="shared" si="162"/>
        <v>0</v>
      </c>
      <c r="CD62" s="171">
        <f t="shared" si="163"/>
        <v>0</v>
      </c>
      <c r="CE62" s="169">
        <f t="shared" si="278"/>
        <v>0</v>
      </c>
      <c r="CF62" s="167">
        <f t="shared" si="255"/>
        <v>0</v>
      </c>
      <c r="CG62" s="167">
        <f t="shared" si="166"/>
        <v>0</v>
      </c>
      <c r="CH62" s="167">
        <f t="shared" si="256"/>
        <v>0</v>
      </c>
      <c r="CI62" s="167">
        <f t="shared" si="168"/>
        <v>0</v>
      </c>
      <c r="CJ62" s="167">
        <f t="shared" si="257"/>
        <v>0</v>
      </c>
      <c r="CK62" s="167">
        <f t="shared" si="170"/>
        <v>0</v>
      </c>
      <c r="CL62" s="167">
        <f t="shared" si="258"/>
        <v>0</v>
      </c>
      <c r="CM62" s="167">
        <f t="shared" si="172"/>
        <v>0</v>
      </c>
      <c r="CN62" s="167">
        <f t="shared" si="259"/>
        <v>0</v>
      </c>
      <c r="CO62" s="170">
        <f t="shared" si="174"/>
        <v>0</v>
      </c>
      <c r="CP62" s="167">
        <f t="shared" si="175"/>
        <v>0</v>
      </c>
      <c r="CQ62" s="171">
        <f t="shared" si="176"/>
        <v>0</v>
      </c>
      <c r="CR62" s="169">
        <f t="shared" si="279"/>
        <v>0</v>
      </c>
      <c r="CS62" s="167">
        <f t="shared" si="261"/>
        <v>0</v>
      </c>
      <c r="CT62" s="167">
        <f t="shared" si="179"/>
        <v>0</v>
      </c>
      <c r="CU62" s="167">
        <f t="shared" si="262"/>
        <v>0</v>
      </c>
      <c r="CV62" s="167">
        <f t="shared" si="181"/>
        <v>0</v>
      </c>
      <c r="CW62" s="167">
        <f t="shared" si="263"/>
        <v>0</v>
      </c>
      <c r="CX62" s="167">
        <f t="shared" si="183"/>
        <v>0</v>
      </c>
      <c r="CY62" s="167">
        <f t="shared" si="264"/>
        <v>0</v>
      </c>
      <c r="CZ62" s="167">
        <f t="shared" si="185"/>
        <v>0</v>
      </c>
      <c r="DA62" s="167">
        <f t="shared" si="265"/>
        <v>0</v>
      </c>
      <c r="DB62" s="170">
        <f t="shared" si="187"/>
        <v>0</v>
      </c>
      <c r="DC62" s="167">
        <f t="shared" si="188"/>
        <v>0</v>
      </c>
      <c r="DD62" s="171">
        <f t="shared" si="189"/>
        <v>0</v>
      </c>
      <c r="DE62" s="169">
        <f t="shared" si="279"/>
        <v>0</v>
      </c>
      <c r="DF62" s="167">
        <f t="shared" si="266"/>
        <v>0</v>
      </c>
      <c r="DG62" s="167">
        <f t="shared" si="192"/>
        <v>0</v>
      </c>
      <c r="DH62" s="167">
        <f t="shared" si="267"/>
        <v>0</v>
      </c>
      <c r="DI62" s="167">
        <f t="shared" si="194"/>
        <v>0</v>
      </c>
      <c r="DJ62" s="167">
        <f t="shared" si="268"/>
        <v>0</v>
      </c>
      <c r="DK62" s="167">
        <f t="shared" si="196"/>
        <v>0</v>
      </c>
      <c r="DL62" s="167">
        <f t="shared" si="269"/>
        <v>0</v>
      </c>
      <c r="DM62" s="167">
        <f t="shared" si="198"/>
        <v>0</v>
      </c>
      <c r="DN62" s="167">
        <f t="shared" si="270"/>
        <v>0</v>
      </c>
      <c r="DO62" s="170">
        <f t="shared" si="200"/>
        <v>0</v>
      </c>
      <c r="DP62" s="167">
        <f t="shared" si="201"/>
        <v>0</v>
      </c>
      <c r="DQ62" s="171">
        <f t="shared" si="202"/>
        <v>0</v>
      </c>
      <c r="DR62" s="169">
        <f t="shared" si="279"/>
        <v>0</v>
      </c>
      <c r="DS62" s="167">
        <f t="shared" si="271"/>
        <v>0</v>
      </c>
      <c r="DT62" s="167">
        <f t="shared" si="205"/>
        <v>0</v>
      </c>
      <c r="DU62" s="167">
        <f t="shared" si="272"/>
        <v>0</v>
      </c>
      <c r="DV62" s="167">
        <f t="shared" si="207"/>
        <v>0</v>
      </c>
      <c r="DW62" s="167">
        <f t="shared" si="273"/>
        <v>0</v>
      </c>
      <c r="DX62" s="167">
        <f t="shared" si="209"/>
        <v>0</v>
      </c>
      <c r="DY62" s="167">
        <f t="shared" si="274"/>
        <v>0</v>
      </c>
      <c r="DZ62" s="167">
        <f t="shared" si="211"/>
        <v>0</v>
      </c>
      <c r="EA62" s="167">
        <f t="shared" si="275"/>
        <v>0</v>
      </c>
      <c r="EB62" s="170">
        <f t="shared" si="213"/>
        <v>0</v>
      </c>
      <c r="EC62" s="167">
        <f t="shared" si="214"/>
        <v>0</v>
      </c>
      <c r="ED62" s="171">
        <f t="shared" si="215"/>
        <v>0</v>
      </c>
    </row>
    <row r="63" spans="1:134" x14ac:dyDescent="0.3">
      <c r="A63" s="196"/>
      <c r="B63" s="196"/>
      <c r="C63" s="616"/>
      <c r="D63" s="188"/>
      <c r="E63" s="624"/>
      <c r="F63" s="190"/>
      <c r="G63" s="625"/>
      <c r="H63" s="192"/>
      <c r="I63" s="193"/>
      <c r="J63" s="194"/>
      <c r="K63" s="165">
        <f t="shared" si="216"/>
        <v>0</v>
      </c>
      <c r="L63" s="166">
        <f t="shared" si="217"/>
        <v>0</v>
      </c>
      <c r="M63" s="167">
        <f t="shared" si="218"/>
        <v>0</v>
      </c>
      <c r="N63" s="167"/>
      <c r="O63" s="167">
        <f t="shared" si="219"/>
        <v>0</v>
      </c>
      <c r="P63" s="168"/>
      <c r="Q63" s="167">
        <f t="shared" si="220"/>
        <v>0</v>
      </c>
      <c r="R63" s="169">
        <f t="shared" si="221"/>
        <v>0</v>
      </c>
      <c r="S63" s="167">
        <f t="shared" si="222"/>
        <v>0</v>
      </c>
      <c r="T63" s="167">
        <f t="shared" si="223"/>
        <v>0</v>
      </c>
      <c r="U63" s="167">
        <f t="shared" si="224"/>
        <v>0</v>
      </c>
      <c r="V63" s="167">
        <f t="shared" si="225"/>
        <v>0</v>
      </c>
      <c r="W63" s="167">
        <f t="shared" si="226"/>
        <v>0</v>
      </c>
      <c r="X63" s="167">
        <f t="shared" si="227"/>
        <v>0</v>
      </c>
      <c r="Y63" s="167">
        <f t="shared" si="228"/>
        <v>0</v>
      </c>
      <c r="Z63" s="167">
        <f t="shared" si="229"/>
        <v>0</v>
      </c>
      <c r="AA63" s="167">
        <f t="shared" si="230"/>
        <v>0</v>
      </c>
      <c r="AB63" s="170">
        <f t="shared" si="231"/>
        <v>0</v>
      </c>
      <c r="AC63" s="167">
        <f t="shared" si="232"/>
        <v>0</v>
      </c>
      <c r="AD63" s="171">
        <f t="shared" si="233"/>
        <v>0</v>
      </c>
      <c r="AE63" s="169">
        <f t="shared" si="278"/>
        <v>0</v>
      </c>
      <c r="AF63" s="167">
        <f t="shared" si="235"/>
        <v>0</v>
      </c>
      <c r="AG63" s="167">
        <f t="shared" si="114"/>
        <v>0</v>
      </c>
      <c r="AH63" s="167">
        <f t="shared" si="236"/>
        <v>0</v>
      </c>
      <c r="AI63" s="167">
        <f t="shared" si="116"/>
        <v>0</v>
      </c>
      <c r="AJ63" s="167">
        <f t="shared" si="237"/>
        <v>0</v>
      </c>
      <c r="AK63" s="167">
        <f t="shared" si="118"/>
        <v>0</v>
      </c>
      <c r="AL63" s="167">
        <f t="shared" si="238"/>
        <v>0</v>
      </c>
      <c r="AM63" s="167">
        <f t="shared" si="120"/>
        <v>0</v>
      </c>
      <c r="AN63" s="167">
        <f t="shared" si="239"/>
        <v>0</v>
      </c>
      <c r="AO63" s="170">
        <f t="shared" si="122"/>
        <v>0</v>
      </c>
      <c r="AP63" s="167">
        <f t="shared" si="123"/>
        <v>0</v>
      </c>
      <c r="AQ63" s="171">
        <f t="shared" si="124"/>
        <v>0</v>
      </c>
      <c r="AR63" s="169">
        <f t="shared" si="278"/>
        <v>0</v>
      </c>
      <c r="AS63" s="167">
        <f t="shared" si="240"/>
        <v>0</v>
      </c>
      <c r="AT63" s="167">
        <f t="shared" si="127"/>
        <v>0</v>
      </c>
      <c r="AU63" s="167">
        <f t="shared" si="241"/>
        <v>0</v>
      </c>
      <c r="AV63" s="167">
        <f t="shared" si="129"/>
        <v>0</v>
      </c>
      <c r="AW63" s="167">
        <f t="shared" si="242"/>
        <v>0</v>
      </c>
      <c r="AX63" s="167">
        <f t="shared" si="131"/>
        <v>0</v>
      </c>
      <c r="AY63" s="167">
        <f t="shared" si="243"/>
        <v>0</v>
      </c>
      <c r="AZ63" s="167">
        <f t="shared" si="133"/>
        <v>0</v>
      </c>
      <c r="BA63" s="167">
        <f t="shared" si="244"/>
        <v>0</v>
      </c>
      <c r="BB63" s="170">
        <f t="shared" si="135"/>
        <v>0</v>
      </c>
      <c r="BC63" s="167">
        <f t="shared" si="136"/>
        <v>0</v>
      </c>
      <c r="BD63" s="171">
        <f t="shared" si="137"/>
        <v>0</v>
      </c>
      <c r="BE63" s="169">
        <f t="shared" si="278"/>
        <v>0</v>
      </c>
      <c r="BF63" s="167">
        <f t="shared" si="245"/>
        <v>0</v>
      </c>
      <c r="BG63" s="167">
        <f t="shared" si="140"/>
        <v>0</v>
      </c>
      <c r="BH63" s="167">
        <f t="shared" si="246"/>
        <v>0</v>
      </c>
      <c r="BI63" s="167">
        <f t="shared" si="142"/>
        <v>0</v>
      </c>
      <c r="BJ63" s="167">
        <f t="shared" si="247"/>
        <v>0</v>
      </c>
      <c r="BK63" s="167">
        <f t="shared" si="144"/>
        <v>0</v>
      </c>
      <c r="BL63" s="167">
        <f t="shared" si="248"/>
        <v>0</v>
      </c>
      <c r="BM63" s="167">
        <f t="shared" si="146"/>
        <v>0</v>
      </c>
      <c r="BN63" s="167">
        <f t="shared" si="249"/>
        <v>0</v>
      </c>
      <c r="BO63" s="170">
        <f t="shared" si="148"/>
        <v>0</v>
      </c>
      <c r="BP63" s="167">
        <f t="shared" si="149"/>
        <v>0</v>
      </c>
      <c r="BQ63" s="171">
        <f t="shared" si="150"/>
        <v>0</v>
      </c>
      <c r="BR63" s="169">
        <f t="shared" si="278"/>
        <v>0</v>
      </c>
      <c r="BS63" s="167">
        <f t="shared" si="250"/>
        <v>0</v>
      </c>
      <c r="BT63" s="167">
        <f t="shared" si="153"/>
        <v>0</v>
      </c>
      <c r="BU63" s="167">
        <f t="shared" si="251"/>
        <v>0</v>
      </c>
      <c r="BV63" s="167">
        <f t="shared" si="155"/>
        <v>0</v>
      </c>
      <c r="BW63" s="167">
        <f t="shared" si="252"/>
        <v>0</v>
      </c>
      <c r="BX63" s="167">
        <f t="shared" si="157"/>
        <v>0</v>
      </c>
      <c r="BY63" s="167">
        <f t="shared" si="253"/>
        <v>0</v>
      </c>
      <c r="BZ63" s="167">
        <f t="shared" si="159"/>
        <v>0</v>
      </c>
      <c r="CA63" s="167">
        <f t="shared" si="254"/>
        <v>0</v>
      </c>
      <c r="CB63" s="170">
        <f t="shared" si="161"/>
        <v>0</v>
      </c>
      <c r="CC63" s="167">
        <f t="shared" si="162"/>
        <v>0</v>
      </c>
      <c r="CD63" s="171">
        <f t="shared" si="163"/>
        <v>0</v>
      </c>
      <c r="CE63" s="169">
        <f t="shared" si="278"/>
        <v>0</v>
      </c>
      <c r="CF63" s="167">
        <f t="shared" si="255"/>
        <v>0</v>
      </c>
      <c r="CG63" s="167">
        <f t="shared" si="166"/>
        <v>0</v>
      </c>
      <c r="CH63" s="167">
        <f t="shared" si="256"/>
        <v>0</v>
      </c>
      <c r="CI63" s="167">
        <f t="shared" si="168"/>
        <v>0</v>
      </c>
      <c r="CJ63" s="167">
        <f t="shared" si="257"/>
        <v>0</v>
      </c>
      <c r="CK63" s="167">
        <f t="shared" si="170"/>
        <v>0</v>
      </c>
      <c r="CL63" s="167">
        <f t="shared" si="258"/>
        <v>0</v>
      </c>
      <c r="CM63" s="167">
        <f t="shared" si="172"/>
        <v>0</v>
      </c>
      <c r="CN63" s="167">
        <f t="shared" si="259"/>
        <v>0</v>
      </c>
      <c r="CO63" s="170">
        <f t="shared" si="174"/>
        <v>0</v>
      </c>
      <c r="CP63" s="167">
        <f t="shared" si="175"/>
        <v>0</v>
      </c>
      <c r="CQ63" s="171">
        <f t="shared" si="176"/>
        <v>0</v>
      </c>
      <c r="CR63" s="169">
        <f t="shared" si="279"/>
        <v>0</v>
      </c>
      <c r="CS63" s="167">
        <f t="shared" si="261"/>
        <v>0</v>
      </c>
      <c r="CT63" s="167">
        <f t="shared" si="179"/>
        <v>0</v>
      </c>
      <c r="CU63" s="167">
        <f t="shared" si="262"/>
        <v>0</v>
      </c>
      <c r="CV63" s="167">
        <f t="shared" si="181"/>
        <v>0</v>
      </c>
      <c r="CW63" s="167">
        <f t="shared" si="263"/>
        <v>0</v>
      </c>
      <c r="CX63" s="167">
        <f t="shared" si="183"/>
        <v>0</v>
      </c>
      <c r="CY63" s="167">
        <f t="shared" si="264"/>
        <v>0</v>
      </c>
      <c r="CZ63" s="167">
        <f t="shared" si="185"/>
        <v>0</v>
      </c>
      <c r="DA63" s="167">
        <f t="shared" si="265"/>
        <v>0</v>
      </c>
      <c r="DB63" s="170">
        <f t="shared" si="187"/>
        <v>0</v>
      </c>
      <c r="DC63" s="167">
        <f t="shared" si="188"/>
        <v>0</v>
      </c>
      <c r="DD63" s="171">
        <f t="shared" si="189"/>
        <v>0</v>
      </c>
      <c r="DE63" s="169">
        <f t="shared" si="279"/>
        <v>0</v>
      </c>
      <c r="DF63" s="167">
        <f t="shared" si="266"/>
        <v>0</v>
      </c>
      <c r="DG63" s="167">
        <f t="shared" si="192"/>
        <v>0</v>
      </c>
      <c r="DH63" s="167">
        <f t="shared" si="267"/>
        <v>0</v>
      </c>
      <c r="DI63" s="167">
        <f t="shared" si="194"/>
        <v>0</v>
      </c>
      <c r="DJ63" s="167">
        <f t="shared" si="268"/>
        <v>0</v>
      </c>
      <c r="DK63" s="167">
        <f t="shared" si="196"/>
        <v>0</v>
      </c>
      <c r="DL63" s="167">
        <f t="shared" si="269"/>
        <v>0</v>
      </c>
      <c r="DM63" s="167">
        <f t="shared" si="198"/>
        <v>0</v>
      </c>
      <c r="DN63" s="167">
        <f t="shared" si="270"/>
        <v>0</v>
      </c>
      <c r="DO63" s="170">
        <f t="shared" si="200"/>
        <v>0</v>
      </c>
      <c r="DP63" s="167">
        <f t="shared" si="201"/>
        <v>0</v>
      </c>
      <c r="DQ63" s="171">
        <f t="shared" si="202"/>
        <v>0</v>
      </c>
      <c r="DR63" s="169">
        <f t="shared" si="279"/>
        <v>0</v>
      </c>
      <c r="DS63" s="167">
        <f t="shared" si="271"/>
        <v>0</v>
      </c>
      <c r="DT63" s="167">
        <f t="shared" si="205"/>
        <v>0</v>
      </c>
      <c r="DU63" s="167">
        <f t="shared" si="272"/>
        <v>0</v>
      </c>
      <c r="DV63" s="167">
        <f t="shared" si="207"/>
        <v>0</v>
      </c>
      <c r="DW63" s="167">
        <f t="shared" si="273"/>
        <v>0</v>
      </c>
      <c r="DX63" s="167">
        <f t="shared" si="209"/>
        <v>0</v>
      </c>
      <c r="DY63" s="167">
        <f t="shared" si="274"/>
        <v>0</v>
      </c>
      <c r="DZ63" s="167">
        <f t="shared" si="211"/>
        <v>0</v>
      </c>
      <c r="EA63" s="167">
        <f t="shared" si="275"/>
        <v>0</v>
      </c>
      <c r="EB63" s="170">
        <f t="shared" si="213"/>
        <v>0</v>
      </c>
      <c r="EC63" s="167">
        <f t="shared" si="214"/>
        <v>0</v>
      </c>
      <c r="ED63" s="171">
        <f t="shared" si="215"/>
        <v>0</v>
      </c>
    </row>
    <row r="64" spans="1:134" x14ac:dyDescent="0.3">
      <c r="A64" s="196"/>
      <c r="B64" s="196"/>
      <c r="C64" s="196"/>
      <c r="D64" s="188"/>
      <c r="E64" s="624"/>
      <c r="F64" s="190"/>
      <c r="G64" s="625"/>
      <c r="H64" s="192"/>
      <c r="I64" s="193"/>
      <c r="J64" s="194"/>
      <c r="K64" s="165">
        <f t="shared" si="216"/>
        <v>0</v>
      </c>
      <c r="L64" s="166">
        <f t="shared" si="217"/>
        <v>0</v>
      </c>
      <c r="M64" s="167">
        <f t="shared" si="218"/>
        <v>0</v>
      </c>
      <c r="N64" s="167"/>
      <c r="O64" s="167">
        <f t="shared" si="219"/>
        <v>0</v>
      </c>
      <c r="P64" s="168"/>
      <c r="Q64" s="167">
        <f t="shared" si="220"/>
        <v>0</v>
      </c>
      <c r="R64" s="169">
        <f t="shared" si="221"/>
        <v>0</v>
      </c>
      <c r="S64" s="167">
        <f t="shared" si="222"/>
        <v>0</v>
      </c>
      <c r="T64" s="167">
        <f t="shared" si="223"/>
        <v>0</v>
      </c>
      <c r="U64" s="167">
        <f t="shared" si="224"/>
        <v>0</v>
      </c>
      <c r="V64" s="167">
        <f t="shared" si="225"/>
        <v>0</v>
      </c>
      <c r="W64" s="167">
        <f t="shared" si="226"/>
        <v>0</v>
      </c>
      <c r="X64" s="167">
        <f t="shared" si="227"/>
        <v>0</v>
      </c>
      <c r="Y64" s="167">
        <f t="shared" si="228"/>
        <v>0</v>
      </c>
      <c r="Z64" s="167">
        <f t="shared" si="229"/>
        <v>0</v>
      </c>
      <c r="AA64" s="167">
        <f t="shared" si="230"/>
        <v>0</v>
      </c>
      <c r="AB64" s="170">
        <f t="shared" si="231"/>
        <v>0</v>
      </c>
      <c r="AC64" s="167">
        <f t="shared" si="232"/>
        <v>0</v>
      </c>
      <c r="AD64" s="171">
        <f t="shared" si="233"/>
        <v>0</v>
      </c>
      <c r="AE64" s="169">
        <f t="shared" si="278"/>
        <v>0</v>
      </c>
      <c r="AF64" s="167">
        <f t="shared" si="235"/>
        <v>0</v>
      </c>
      <c r="AG64" s="167">
        <f t="shared" si="114"/>
        <v>0</v>
      </c>
      <c r="AH64" s="167">
        <f t="shared" si="236"/>
        <v>0</v>
      </c>
      <c r="AI64" s="167">
        <f t="shared" si="116"/>
        <v>0</v>
      </c>
      <c r="AJ64" s="167">
        <f t="shared" si="237"/>
        <v>0</v>
      </c>
      <c r="AK64" s="167">
        <f t="shared" si="118"/>
        <v>0</v>
      </c>
      <c r="AL64" s="167">
        <f t="shared" si="238"/>
        <v>0</v>
      </c>
      <c r="AM64" s="167">
        <f t="shared" si="120"/>
        <v>0</v>
      </c>
      <c r="AN64" s="167">
        <f t="shared" si="239"/>
        <v>0</v>
      </c>
      <c r="AO64" s="170">
        <f t="shared" si="122"/>
        <v>0</v>
      </c>
      <c r="AP64" s="167">
        <f t="shared" si="123"/>
        <v>0</v>
      </c>
      <c r="AQ64" s="171">
        <f t="shared" si="124"/>
        <v>0</v>
      </c>
      <c r="AR64" s="169">
        <f t="shared" si="278"/>
        <v>0</v>
      </c>
      <c r="AS64" s="167">
        <f t="shared" si="240"/>
        <v>0</v>
      </c>
      <c r="AT64" s="167">
        <f t="shared" si="127"/>
        <v>0</v>
      </c>
      <c r="AU64" s="167">
        <f t="shared" si="241"/>
        <v>0</v>
      </c>
      <c r="AV64" s="167">
        <f t="shared" si="129"/>
        <v>0</v>
      </c>
      <c r="AW64" s="167">
        <f t="shared" si="242"/>
        <v>0</v>
      </c>
      <c r="AX64" s="167">
        <f t="shared" si="131"/>
        <v>0</v>
      </c>
      <c r="AY64" s="167">
        <f t="shared" si="243"/>
        <v>0</v>
      </c>
      <c r="AZ64" s="167">
        <f t="shared" si="133"/>
        <v>0</v>
      </c>
      <c r="BA64" s="167">
        <f t="shared" si="244"/>
        <v>0</v>
      </c>
      <c r="BB64" s="170">
        <f t="shared" si="135"/>
        <v>0</v>
      </c>
      <c r="BC64" s="167">
        <f t="shared" si="136"/>
        <v>0</v>
      </c>
      <c r="BD64" s="171">
        <f t="shared" si="137"/>
        <v>0</v>
      </c>
      <c r="BE64" s="169">
        <f t="shared" si="278"/>
        <v>0</v>
      </c>
      <c r="BF64" s="167">
        <f t="shared" si="245"/>
        <v>0</v>
      </c>
      <c r="BG64" s="167">
        <f t="shared" si="140"/>
        <v>0</v>
      </c>
      <c r="BH64" s="167">
        <f t="shared" si="246"/>
        <v>0</v>
      </c>
      <c r="BI64" s="167">
        <f t="shared" si="142"/>
        <v>0</v>
      </c>
      <c r="BJ64" s="167">
        <f t="shared" si="247"/>
        <v>0</v>
      </c>
      <c r="BK64" s="167">
        <f t="shared" si="144"/>
        <v>0</v>
      </c>
      <c r="BL64" s="167">
        <f t="shared" si="248"/>
        <v>0</v>
      </c>
      <c r="BM64" s="167">
        <f t="shared" si="146"/>
        <v>0</v>
      </c>
      <c r="BN64" s="167">
        <f t="shared" si="249"/>
        <v>0</v>
      </c>
      <c r="BO64" s="170">
        <f t="shared" si="148"/>
        <v>0</v>
      </c>
      <c r="BP64" s="167">
        <f t="shared" si="149"/>
        <v>0</v>
      </c>
      <c r="BQ64" s="171">
        <f t="shared" si="150"/>
        <v>0</v>
      </c>
      <c r="BR64" s="169">
        <f t="shared" si="278"/>
        <v>0</v>
      </c>
      <c r="BS64" s="167">
        <f t="shared" si="250"/>
        <v>0</v>
      </c>
      <c r="BT64" s="167">
        <f t="shared" si="153"/>
        <v>0</v>
      </c>
      <c r="BU64" s="167">
        <f t="shared" si="251"/>
        <v>0</v>
      </c>
      <c r="BV64" s="167">
        <f t="shared" si="155"/>
        <v>0</v>
      </c>
      <c r="BW64" s="167">
        <f t="shared" si="252"/>
        <v>0</v>
      </c>
      <c r="BX64" s="167">
        <f t="shared" si="157"/>
        <v>0</v>
      </c>
      <c r="BY64" s="167">
        <f t="shared" si="253"/>
        <v>0</v>
      </c>
      <c r="BZ64" s="167">
        <f t="shared" si="159"/>
        <v>0</v>
      </c>
      <c r="CA64" s="167">
        <f t="shared" si="254"/>
        <v>0</v>
      </c>
      <c r="CB64" s="170">
        <f t="shared" si="161"/>
        <v>0</v>
      </c>
      <c r="CC64" s="167">
        <f t="shared" si="162"/>
        <v>0</v>
      </c>
      <c r="CD64" s="171">
        <f t="shared" si="163"/>
        <v>0</v>
      </c>
      <c r="CE64" s="169">
        <f t="shared" si="278"/>
        <v>0</v>
      </c>
      <c r="CF64" s="167">
        <f t="shared" si="255"/>
        <v>0</v>
      </c>
      <c r="CG64" s="167">
        <f t="shared" si="166"/>
        <v>0</v>
      </c>
      <c r="CH64" s="167">
        <f t="shared" si="256"/>
        <v>0</v>
      </c>
      <c r="CI64" s="167">
        <f t="shared" si="168"/>
        <v>0</v>
      </c>
      <c r="CJ64" s="167">
        <f t="shared" si="257"/>
        <v>0</v>
      </c>
      <c r="CK64" s="167">
        <f t="shared" si="170"/>
        <v>0</v>
      </c>
      <c r="CL64" s="167">
        <f t="shared" si="258"/>
        <v>0</v>
      </c>
      <c r="CM64" s="167">
        <f t="shared" si="172"/>
        <v>0</v>
      </c>
      <c r="CN64" s="167">
        <f t="shared" si="259"/>
        <v>0</v>
      </c>
      <c r="CO64" s="170">
        <f t="shared" si="174"/>
        <v>0</v>
      </c>
      <c r="CP64" s="167">
        <f t="shared" si="175"/>
        <v>0</v>
      </c>
      <c r="CQ64" s="171">
        <f t="shared" si="176"/>
        <v>0</v>
      </c>
      <c r="CR64" s="169">
        <f t="shared" si="279"/>
        <v>0</v>
      </c>
      <c r="CS64" s="167">
        <f t="shared" si="261"/>
        <v>0</v>
      </c>
      <c r="CT64" s="167">
        <f t="shared" si="179"/>
        <v>0</v>
      </c>
      <c r="CU64" s="167">
        <f t="shared" si="262"/>
        <v>0</v>
      </c>
      <c r="CV64" s="167">
        <f t="shared" si="181"/>
        <v>0</v>
      </c>
      <c r="CW64" s="167">
        <f t="shared" si="263"/>
        <v>0</v>
      </c>
      <c r="CX64" s="167">
        <f t="shared" si="183"/>
        <v>0</v>
      </c>
      <c r="CY64" s="167">
        <f t="shared" si="264"/>
        <v>0</v>
      </c>
      <c r="CZ64" s="167">
        <f t="shared" si="185"/>
        <v>0</v>
      </c>
      <c r="DA64" s="167">
        <f t="shared" si="265"/>
        <v>0</v>
      </c>
      <c r="DB64" s="170">
        <f t="shared" si="187"/>
        <v>0</v>
      </c>
      <c r="DC64" s="167">
        <f t="shared" si="188"/>
        <v>0</v>
      </c>
      <c r="DD64" s="171">
        <f t="shared" si="189"/>
        <v>0</v>
      </c>
      <c r="DE64" s="169">
        <f t="shared" si="279"/>
        <v>0</v>
      </c>
      <c r="DF64" s="167">
        <f t="shared" si="266"/>
        <v>0</v>
      </c>
      <c r="DG64" s="167">
        <f t="shared" si="192"/>
        <v>0</v>
      </c>
      <c r="DH64" s="167">
        <f t="shared" si="267"/>
        <v>0</v>
      </c>
      <c r="DI64" s="167">
        <f t="shared" si="194"/>
        <v>0</v>
      </c>
      <c r="DJ64" s="167">
        <f t="shared" si="268"/>
        <v>0</v>
      </c>
      <c r="DK64" s="167">
        <f t="shared" si="196"/>
        <v>0</v>
      </c>
      <c r="DL64" s="167">
        <f t="shared" si="269"/>
        <v>0</v>
      </c>
      <c r="DM64" s="167">
        <f t="shared" si="198"/>
        <v>0</v>
      </c>
      <c r="DN64" s="167">
        <f t="shared" si="270"/>
        <v>0</v>
      </c>
      <c r="DO64" s="170">
        <f t="shared" si="200"/>
        <v>0</v>
      </c>
      <c r="DP64" s="167">
        <f t="shared" si="201"/>
        <v>0</v>
      </c>
      <c r="DQ64" s="171">
        <f t="shared" si="202"/>
        <v>0</v>
      </c>
      <c r="DR64" s="169">
        <f t="shared" si="279"/>
        <v>0</v>
      </c>
      <c r="DS64" s="167">
        <f t="shared" si="271"/>
        <v>0</v>
      </c>
      <c r="DT64" s="167">
        <f t="shared" si="205"/>
        <v>0</v>
      </c>
      <c r="DU64" s="167">
        <f t="shared" si="272"/>
        <v>0</v>
      </c>
      <c r="DV64" s="167">
        <f t="shared" si="207"/>
        <v>0</v>
      </c>
      <c r="DW64" s="167">
        <f t="shared" si="273"/>
        <v>0</v>
      </c>
      <c r="DX64" s="167">
        <f t="shared" si="209"/>
        <v>0</v>
      </c>
      <c r="DY64" s="167">
        <f t="shared" si="274"/>
        <v>0</v>
      </c>
      <c r="DZ64" s="167">
        <f t="shared" si="211"/>
        <v>0</v>
      </c>
      <c r="EA64" s="167">
        <f t="shared" si="275"/>
        <v>0</v>
      </c>
      <c r="EB64" s="170">
        <f t="shared" si="213"/>
        <v>0</v>
      </c>
      <c r="EC64" s="167">
        <f t="shared" si="214"/>
        <v>0</v>
      </c>
      <c r="ED64" s="171">
        <f t="shared" si="215"/>
        <v>0</v>
      </c>
    </row>
    <row r="65" spans="1:134" x14ac:dyDescent="0.3">
      <c r="A65" s="196"/>
      <c r="B65" s="196"/>
      <c r="C65" s="616"/>
      <c r="D65" s="188"/>
      <c r="E65" s="624"/>
      <c r="F65" s="190"/>
      <c r="G65" s="625"/>
      <c r="H65" s="192"/>
      <c r="I65" s="193"/>
      <c r="J65" s="194"/>
      <c r="K65" s="165">
        <f t="shared" si="216"/>
        <v>0</v>
      </c>
      <c r="L65" s="166">
        <f t="shared" si="217"/>
        <v>0</v>
      </c>
      <c r="M65" s="167">
        <f t="shared" si="218"/>
        <v>0</v>
      </c>
      <c r="N65" s="167"/>
      <c r="O65" s="167">
        <f t="shared" si="219"/>
        <v>0</v>
      </c>
      <c r="P65" s="168"/>
      <c r="Q65" s="167">
        <f t="shared" si="220"/>
        <v>0</v>
      </c>
      <c r="R65" s="169">
        <f t="shared" si="221"/>
        <v>0</v>
      </c>
      <c r="S65" s="167">
        <f t="shared" si="222"/>
        <v>0</v>
      </c>
      <c r="T65" s="167">
        <f t="shared" si="223"/>
        <v>0</v>
      </c>
      <c r="U65" s="167">
        <f t="shared" si="224"/>
        <v>0</v>
      </c>
      <c r="V65" s="167">
        <f t="shared" si="225"/>
        <v>0</v>
      </c>
      <c r="W65" s="167">
        <f t="shared" si="226"/>
        <v>0</v>
      </c>
      <c r="X65" s="167">
        <f t="shared" si="227"/>
        <v>0</v>
      </c>
      <c r="Y65" s="167">
        <f t="shared" si="228"/>
        <v>0</v>
      </c>
      <c r="Z65" s="167">
        <f t="shared" si="229"/>
        <v>0</v>
      </c>
      <c r="AA65" s="167">
        <f t="shared" si="230"/>
        <v>0</v>
      </c>
      <c r="AB65" s="170">
        <f t="shared" si="231"/>
        <v>0</v>
      </c>
      <c r="AC65" s="167">
        <f t="shared" si="232"/>
        <v>0</v>
      </c>
      <c r="AD65" s="171">
        <f t="shared" si="233"/>
        <v>0</v>
      </c>
      <c r="AE65" s="169">
        <f t="shared" si="278"/>
        <v>0</v>
      </c>
      <c r="AF65" s="167">
        <f t="shared" si="235"/>
        <v>0</v>
      </c>
      <c r="AG65" s="167">
        <f t="shared" si="114"/>
        <v>0</v>
      </c>
      <c r="AH65" s="167">
        <f t="shared" si="236"/>
        <v>0</v>
      </c>
      <c r="AI65" s="167">
        <f t="shared" si="116"/>
        <v>0</v>
      </c>
      <c r="AJ65" s="167">
        <f t="shared" si="237"/>
        <v>0</v>
      </c>
      <c r="AK65" s="167">
        <f t="shared" si="118"/>
        <v>0</v>
      </c>
      <c r="AL65" s="167">
        <f t="shared" si="238"/>
        <v>0</v>
      </c>
      <c r="AM65" s="167">
        <f t="shared" si="120"/>
        <v>0</v>
      </c>
      <c r="AN65" s="167">
        <f t="shared" si="239"/>
        <v>0</v>
      </c>
      <c r="AO65" s="170">
        <f t="shared" si="122"/>
        <v>0</v>
      </c>
      <c r="AP65" s="167">
        <f t="shared" si="123"/>
        <v>0</v>
      </c>
      <c r="AQ65" s="171">
        <f t="shared" si="124"/>
        <v>0</v>
      </c>
      <c r="AR65" s="169">
        <f t="shared" si="278"/>
        <v>0</v>
      </c>
      <c r="AS65" s="167">
        <f t="shared" si="240"/>
        <v>0</v>
      </c>
      <c r="AT65" s="167">
        <f t="shared" si="127"/>
        <v>0</v>
      </c>
      <c r="AU65" s="167">
        <f t="shared" si="241"/>
        <v>0</v>
      </c>
      <c r="AV65" s="167">
        <f t="shared" si="129"/>
        <v>0</v>
      </c>
      <c r="AW65" s="167">
        <f t="shared" si="242"/>
        <v>0</v>
      </c>
      <c r="AX65" s="167">
        <f t="shared" si="131"/>
        <v>0</v>
      </c>
      <c r="AY65" s="167">
        <f t="shared" si="243"/>
        <v>0</v>
      </c>
      <c r="AZ65" s="167">
        <f t="shared" si="133"/>
        <v>0</v>
      </c>
      <c r="BA65" s="167">
        <f t="shared" si="244"/>
        <v>0</v>
      </c>
      <c r="BB65" s="170">
        <f t="shared" si="135"/>
        <v>0</v>
      </c>
      <c r="BC65" s="167">
        <f t="shared" si="136"/>
        <v>0</v>
      </c>
      <c r="BD65" s="171">
        <f t="shared" si="137"/>
        <v>0</v>
      </c>
      <c r="BE65" s="169">
        <f t="shared" si="278"/>
        <v>0</v>
      </c>
      <c r="BF65" s="167">
        <f t="shared" si="245"/>
        <v>0</v>
      </c>
      <c r="BG65" s="167">
        <f t="shared" si="140"/>
        <v>0</v>
      </c>
      <c r="BH65" s="167">
        <f t="shared" si="246"/>
        <v>0</v>
      </c>
      <c r="BI65" s="167">
        <f t="shared" si="142"/>
        <v>0</v>
      </c>
      <c r="BJ65" s="167">
        <f t="shared" si="247"/>
        <v>0</v>
      </c>
      <c r="BK65" s="167">
        <f t="shared" si="144"/>
        <v>0</v>
      </c>
      <c r="BL65" s="167">
        <f t="shared" si="248"/>
        <v>0</v>
      </c>
      <c r="BM65" s="167">
        <f t="shared" si="146"/>
        <v>0</v>
      </c>
      <c r="BN65" s="167">
        <f t="shared" si="249"/>
        <v>0</v>
      </c>
      <c r="BO65" s="170">
        <f t="shared" si="148"/>
        <v>0</v>
      </c>
      <c r="BP65" s="167">
        <f t="shared" si="149"/>
        <v>0</v>
      </c>
      <c r="BQ65" s="171">
        <f t="shared" si="150"/>
        <v>0</v>
      </c>
      <c r="BR65" s="169">
        <f t="shared" si="278"/>
        <v>0</v>
      </c>
      <c r="BS65" s="167">
        <f t="shared" si="250"/>
        <v>0</v>
      </c>
      <c r="BT65" s="167">
        <f t="shared" si="153"/>
        <v>0</v>
      </c>
      <c r="BU65" s="167">
        <f t="shared" si="251"/>
        <v>0</v>
      </c>
      <c r="BV65" s="167">
        <f t="shared" si="155"/>
        <v>0</v>
      </c>
      <c r="BW65" s="167">
        <f t="shared" si="252"/>
        <v>0</v>
      </c>
      <c r="BX65" s="167">
        <f t="shared" si="157"/>
        <v>0</v>
      </c>
      <c r="BY65" s="167">
        <f t="shared" si="253"/>
        <v>0</v>
      </c>
      <c r="BZ65" s="167">
        <f t="shared" si="159"/>
        <v>0</v>
      </c>
      <c r="CA65" s="167">
        <f t="shared" si="254"/>
        <v>0</v>
      </c>
      <c r="CB65" s="170">
        <f t="shared" si="161"/>
        <v>0</v>
      </c>
      <c r="CC65" s="167">
        <f t="shared" si="162"/>
        <v>0</v>
      </c>
      <c r="CD65" s="171">
        <f t="shared" si="163"/>
        <v>0</v>
      </c>
      <c r="CE65" s="169">
        <f t="shared" si="278"/>
        <v>0</v>
      </c>
      <c r="CF65" s="167">
        <f t="shared" si="255"/>
        <v>0</v>
      </c>
      <c r="CG65" s="167">
        <f t="shared" si="166"/>
        <v>0</v>
      </c>
      <c r="CH65" s="167">
        <f t="shared" si="256"/>
        <v>0</v>
      </c>
      <c r="CI65" s="167">
        <f t="shared" si="168"/>
        <v>0</v>
      </c>
      <c r="CJ65" s="167">
        <f t="shared" si="257"/>
        <v>0</v>
      </c>
      <c r="CK65" s="167">
        <f t="shared" si="170"/>
        <v>0</v>
      </c>
      <c r="CL65" s="167">
        <f t="shared" si="258"/>
        <v>0</v>
      </c>
      <c r="CM65" s="167">
        <f t="shared" si="172"/>
        <v>0</v>
      </c>
      <c r="CN65" s="167">
        <f t="shared" si="259"/>
        <v>0</v>
      </c>
      <c r="CO65" s="170">
        <f t="shared" si="174"/>
        <v>0</v>
      </c>
      <c r="CP65" s="167">
        <f t="shared" si="175"/>
        <v>0</v>
      </c>
      <c r="CQ65" s="171">
        <f t="shared" si="176"/>
        <v>0</v>
      </c>
      <c r="CR65" s="169">
        <f t="shared" si="279"/>
        <v>0</v>
      </c>
      <c r="CS65" s="167">
        <f t="shared" si="261"/>
        <v>0</v>
      </c>
      <c r="CT65" s="167">
        <f t="shared" si="179"/>
        <v>0</v>
      </c>
      <c r="CU65" s="167">
        <f t="shared" si="262"/>
        <v>0</v>
      </c>
      <c r="CV65" s="167">
        <f t="shared" si="181"/>
        <v>0</v>
      </c>
      <c r="CW65" s="167">
        <f t="shared" si="263"/>
        <v>0</v>
      </c>
      <c r="CX65" s="167">
        <f t="shared" si="183"/>
        <v>0</v>
      </c>
      <c r="CY65" s="167">
        <f t="shared" si="264"/>
        <v>0</v>
      </c>
      <c r="CZ65" s="167">
        <f t="shared" si="185"/>
        <v>0</v>
      </c>
      <c r="DA65" s="167">
        <f t="shared" si="265"/>
        <v>0</v>
      </c>
      <c r="DB65" s="170">
        <f t="shared" si="187"/>
        <v>0</v>
      </c>
      <c r="DC65" s="167">
        <f t="shared" si="188"/>
        <v>0</v>
      </c>
      <c r="DD65" s="171">
        <f t="shared" si="189"/>
        <v>0</v>
      </c>
      <c r="DE65" s="169">
        <f t="shared" si="279"/>
        <v>0</v>
      </c>
      <c r="DF65" s="167">
        <f t="shared" si="266"/>
        <v>0</v>
      </c>
      <c r="DG65" s="167">
        <f t="shared" si="192"/>
        <v>0</v>
      </c>
      <c r="DH65" s="167">
        <f t="shared" si="267"/>
        <v>0</v>
      </c>
      <c r="DI65" s="167">
        <f t="shared" si="194"/>
        <v>0</v>
      </c>
      <c r="DJ65" s="167">
        <f t="shared" si="268"/>
        <v>0</v>
      </c>
      <c r="DK65" s="167">
        <f t="shared" si="196"/>
        <v>0</v>
      </c>
      <c r="DL65" s="167">
        <f t="shared" si="269"/>
        <v>0</v>
      </c>
      <c r="DM65" s="167">
        <f t="shared" si="198"/>
        <v>0</v>
      </c>
      <c r="DN65" s="167">
        <f t="shared" si="270"/>
        <v>0</v>
      </c>
      <c r="DO65" s="170">
        <f t="shared" si="200"/>
        <v>0</v>
      </c>
      <c r="DP65" s="167">
        <f t="shared" si="201"/>
        <v>0</v>
      </c>
      <c r="DQ65" s="171">
        <f t="shared" si="202"/>
        <v>0</v>
      </c>
      <c r="DR65" s="169">
        <f t="shared" si="279"/>
        <v>0</v>
      </c>
      <c r="DS65" s="167">
        <f t="shared" si="271"/>
        <v>0</v>
      </c>
      <c r="DT65" s="167">
        <f t="shared" si="205"/>
        <v>0</v>
      </c>
      <c r="DU65" s="167">
        <f t="shared" si="272"/>
        <v>0</v>
      </c>
      <c r="DV65" s="167">
        <f t="shared" si="207"/>
        <v>0</v>
      </c>
      <c r="DW65" s="167">
        <f t="shared" si="273"/>
        <v>0</v>
      </c>
      <c r="DX65" s="167">
        <f t="shared" si="209"/>
        <v>0</v>
      </c>
      <c r="DY65" s="167">
        <f t="shared" si="274"/>
        <v>0</v>
      </c>
      <c r="DZ65" s="167">
        <f t="shared" si="211"/>
        <v>0</v>
      </c>
      <c r="EA65" s="167">
        <f t="shared" si="275"/>
        <v>0</v>
      </c>
      <c r="EB65" s="170">
        <f t="shared" si="213"/>
        <v>0</v>
      </c>
      <c r="EC65" s="167">
        <f t="shared" si="214"/>
        <v>0</v>
      </c>
      <c r="ED65" s="171">
        <f t="shared" si="215"/>
        <v>0</v>
      </c>
    </row>
    <row r="66" spans="1:134" x14ac:dyDescent="0.3">
      <c r="A66" s="196"/>
      <c r="B66" s="196"/>
      <c r="C66" s="616"/>
      <c r="D66" s="188"/>
      <c r="E66" s="624"/>
      <c r="F66" s="190"/>
      <c r="G66" s="625"/>
      <c r="H66" s="192"/>
      <c r="I66" s="193"/>
      <c r="J66" s="194"/>
      <c r="K66" s="165">
        <f t="shared" si="216"/>
        <v>0</v>
      </c>
      <c r="L66" s="166">
        <f t="shared" si="217"/>
        <v>0</v>
      </c>
      <c r="M66" s="167">
        <f t="shared" si="218"/>
        <v>0</v>
      </c>
      <c r="N66" s="167"/>
      <c r="O66" s="167">
        <f t="shared" si="219"/>
        <v>0</v>
      </c>
      <c r="P66" s="168"/>
      <c r="Q66" s="167">
        <f t="shared" si="220"/>
        <v>0</v>
      </c>
      <c r="R66" s="169">
        <f t="shared" si="221"/>
        <v>0</v>
      </c>
      <c r="S66" s="167">
        <f t="shared" si="222"/>
        <v>0</v>
      </c>
      <c r="T66" s="167">
        <f t="shared" si="223"/>
        <v>0</v>
      </c>
      <c r="U66" s="167">
        <f t="shared" si="224"/>
        <v>0</v>
      </c>
      <c r="V66" s="167">
        <f t="shared" si="225"/>
        <v>0</v>
      </c>
      <c r="W66" s="167">
        <f t="shared" si="226"/>
        <v>0</v>
      </c>
      <c r="X66" s="167">
        <f t="shared" si="227"/>
        <v>0</v>
      </c>
      <c r="Y66" s="167">
        <f t="shared" si="228"/>
        <v>0</v>
      </c>
      <c r="Z66" s="167">
        <f t="shared" si="229"/>
        <v>0</v>
      </c>
      <c r="AA66" s="167">
        <f t="shared" si="230"/>
        <v>0</v>
      </c>
      <c r="AB66" s="170">
        <f t="shared" si="231"/>
        <v>0</v>
      </c>
      <c r="AC66" s="167">
        <f t="shared" si="232"/>
        <v>0</v>
      </c>
      <c r="AD66" s="171">
        <f t="shared" si="233"/>
        <v>0</v>
      </c>
      <c r="AE66" s="169">
        <f t="shared" si="278"/>
        <v>0</v>
      </c>
      <c r="AF66" s="167">
        <f t="shared" si="235"/>
        <v>0</v>
      </c>
      <c r="AG66" s="167">
        <f t="shared" si="114"/>
        <v>0</v>
      </c>
      <c r="AH66" s="167">
        <f t="shared" si="236"/>
        <v>0</v>
      </c>
      <c r="AI66" s="167">
        <f t="shared" si="116"/>
        <v>0</v>
      </c>
      <c r="AJ66" s="167">
        <f t="shared" si="237"/>
        <v>0</v>
      </c>
      <c r="AK66" s="167">
        <f t="shared" si="118"/>
        <v>0</v>
      </c>
      <c r="AL66" s="167">
        <f t="shared" si="238"/>
        <v>0</v>
      </c>
      <c r="AM66" s="167">
        <f t="shared" si="120"/>
        <v>0</v>
      </c>
      <c r="AN66" s="167">
        <f t="shared" si="239"/>
        <v>0</v>
      </c>
      <c r="AO66" s="170">
        <f t="shared" si="122"/>
        <v>0</v>
      </c>
      <c r="AP66" s="167">
        <f t="shared" si="123"/>
        <v>0</v>
      </c>
      <c r="AQ66" s="171">
        <f t="shared" si="124"/>
        <v>0</v>
      </c>
      <c r="AR66" s="169">
        <f t="shared" si="278"/>
        <v>0</v>
      </c>
      <c r="AS66" s="167">
        <f t="shared" si="240"/>
        <v>0</v>
      </c>
      <c r="AT66" s="167">
        <f t="shared" si="127"/>
        <v>0</v>
      </c>
      <c r="AU66" s="167">
        <f t="shared" si="241"/>
        <v>0</v>
      </c>
      <c r="AV66" s="167">
        <f t="shared" si="129"/>
        <v>0</v>
      </c>
      <c r="AW66" s="167">
        <f t="shared" si="242"/>
        <v>0</v>
      </c>
      <c r="AX66" s="167">
        <f t="shared" si="131"/>
        <v>0</v>
      </c>
      <c r="AY66" s="167">
        <f t="shared" si="243"/>
        <v>0</v>
      </c>
      <c r="AZ66" s="167">
        <f t="shared" si="133"/>
        <v>0</v>
      </c>
      <c r="BA66" s="167">
        <f t="shared" si="244"/>
        <v>0</v>
      </c>
      <c r="BB66" s="170">
        <f t="shared" si="135"/>
        <v>0</v>
      </c>
      <c r="BC66" s="167">
        <f t="shared" si="136"/>
        <v>0</v>
      </c>
      <c r="BD66" s="171">
        <f t="shared" si="137"/>
        <v>0</v>
      </c>
      <c r="BE66" s="169">
        <f t="shared" si="278"/>
        <v>0</v>
      </c>
      <c r="BF66" s="167">
        <f t="shared" si="245"/>
        <v>0</v>
      </c>
      <c r="BG66" s="167">
        <f t="shared" si="140"/>
        <v>0</v>
      </c>
      <c r="BH66" s="167">
        <f t="shared" si="246"/>
        <v>0</v>
      </c>
      <c r="BI66" s="167">
        <f t="shared" si="142"/>
        <v>0</v>
      </c>
      <c r="BJ66" s="167">
        <f t="shared" si="247"/>
        <v>0</v>
      </c>
      <c r="BK66" s="167">
        <f t="shared" si="144"/>
        <v>0</v>
      </c>
      <c r="BL66" s="167">
        <f t="shared" si="248"/>
        <v>0</v>
      </c>
      <c r="BM66" s="167">
        <f t="shared" si="146"/>
        <v>0</v>
      </c>
      <c r="BN66" s="167">
        <f t="shared" si="249"/>
        <v>0</v>
      </c>
      <c r="BO66" s="170">
        <f t="shared" si="148"/>
        <v>0</v>
      </c>
      <c r="BP66" s="167">
        <f t="shared" si="149"/>
        <v>0</v>
      </c>
      <c r="BQ66" s="171">
        <f t="shared" si="150"/>
        <v>0</v>
      </c>
      <c r="BR66" s="169">
        <f t="shared" si="278"/>
        <v>0</v>
      </c>
      <c r="BS66" s="167">
        <f t="shared" si="250"/>
        <v>0</v>
      </c>
      <c r="BT66" s="167">
        <f t="shared" si="153"/>
        <v>0</v>
      </c>
      <c r="BU66" s="167">
        <f t="shared" si="251"/>
        <v>0</v>
      </c>
      <c r="BV66" s="167">
        <f t="shared" si="155"/>
        <v>0</v>
      </c>
      <c r="BW66" s="167">
        <f t="shared" si="252"/>
        <v>0</v>
      </c>
      <c r="BX66" s="167">
        <f t="shared" si="157"/>
        <v>0</v>
      </c>
      <c r="BY66" s="167">
        <f t="shared" si="253"/>
        <v>0</v>
      </c>
      <c r="BZ66" s="167">
        <f t="shared" si="159"/>
        <v>0</v>
      </c>
      <c r="CA66" s="167">
        <f t="shared" si="254"/>
        <v>0</v>
      </c>
      <c r="CB66" s="170">
        <f t="shared" si="161"/>
        <v>0</v>
      </c>
      <c r="CC66" s="167">
        <f t="shared" si="162"/>
        <v>0</v>
      </c>
      <c r="CD66" s="171">
        <f t="shared" si="163"/>
        <v>0</v>
      </c>
      <c r="CE66" s="169">
        <f t="shared" si="278"/>
        <v>0</v>
      </c>
      <c r="CF66" s="167">
        <f t="shared" si="255"/>
        <v>0</v>
      </c>
      <c r="CG66" s="167">
        <f t="shared" si="166"/>
        <v>0</v>
      </c>
      <c r="CH66" s="167">
        <f t="shared" si="256"/>
        <v>0</v>
      </c>
      <c r="CI66" s="167">
        <f t="shared" si="168"/>
        <v>0</v>
      </c>
      <c r="CJ66" s="167">
        <f t="shared" si="257"/>
        <v>0</v>
      </c>
      <c r="CK66" s="167">
        <f t="shared" si="170"/>
        <v>0</v>
      </c>
      <c r="CL66" s="167">
        <f t="shared" si="258"/>
        <v>0</v>
      </c>
      <c r="CM66" s="167">
        <f t="shared" si="172"/>
        <v>0</v>
      </c>
      <c r="CN66" s="167">
        <f t="shared" si="259"/>
        <v>0</v>
      </c>
      <c r="CO66" s="170">
        <f t="shared" si="174"/>
        <v>0</v>
      </c>
      <c r="CP66" s="167">
        <f t="shared" si="175"/>
        <v>0</v>
      </c>
      <c r="CQ66" s="171">
        <f t="shared" si="176"/>
        <v>0</v>
      </c>
      <c r="CR66" s="169">
        <f t="shared" si="279"/>
        <v>0</v>
      </c>
      <c r="CS66" s="167">
        <f t="shared" si="261"/>
        <v>0</v>
      </c>
      <c r="CT66" s="167">
        <f t="shared" si="179"/>
        <v>0</v>
      </c>
      <c r="CU66" s="167">
        <f t="shared" si="262"/>
        <v>0</v>
      </c>
      <c r="CV66" s="167">
        <f t="shared" si="181"/>
        <v>0</v>
      </c>
      <c r="CW66" s="167">
        <f t="shared" si="263"/>
        <v>0</v>
      </c>
      <c r="CX66" s="167">
        <f t="shared" si="183"/>
        <v>0</v>
      </c>
      <c r="CY66" s="167">
        <f t="shared" si="264"/>
        <v>0</v>
      </c>
      <c r="CZ66" s="167">
        <f t="shared" si="185"/>
        <v>0</v>
      </c>
      <c r="DA66" s="167">
        <f t="shared" si="265"/>
        <v>0</v>
      </c>
      <c r="DB66" s="170">
        <f t="shared" si="187"/>
        <v>0</v>
      </c>
      <c r="DC66" s="167">
        <f t="shared" si="188"/>
        <v>0</v>
      </c>
      <c r="DD66" s="171">
        <f t="shared" si="189"/>
        <v>0</v>
      </c>
      <c r="DE66" s="169">
        <f t="shared" si="279"/>
        <v>0</v>
      </c>
      <c r="DF66" s="167">
        <f t="shared" si="266"/>
        <v>0</v>
      </c>
      <c r="DG66" s="167">
        <f t="shared" si="192"/>
        <v>0</v>
      </c>
      <c r="DH66" s="167">
        <f t="shared" si="267"/>
        <v>0</v>
      </c>
      <c r="DI66" s="167">
        <f t="shared" si="194"/>
        <v>0</v>
      </c>
      <c r="DJ66" s="167">
        <f t="shared" si="268"/>
        <v>0</v>
      </c>
      <c r="DK66" s="167">
        <f t="shared" si="196"/>
        <v>0</v>
      </c>
      <c r="DL66" s="167">
        <f t="shared" si="269"/>
        <v>0</v>
      </c>
      <c r="DM66" s="167">
        <f t="shared" si="198"/>
        <v>0</v>
      </c>
      <c r="DN66" s="167">
        <f t="shared" si="270"/>
        <v>0</v>
      </c>
      <c r="DO66" s="170">
        <f t="shared" si="200"/>
        <v>0</v>
      </c>
      <c r="DP66" s="167">
        <f t="shared" si="201"/>
        <v>0</v>
      </c>
      <c r="DQ66" s="171">
        <f t="shared" si="202"/>
        <v>0</v>
      </c>
      <c r="DR66" s="169">
        <f t="shared" si="279"/>
        <v>0</v>
      </c>
      <c r="DS66" s="167">
        <f t="shared" si="271"/>
        <v>0</v>
      </c>
      <c r="DT66" s="167">
        <f t="shared" si="205"/>
        <v>0</v>
      </c>
      <c r="DU66" s="167">
        <f t="shared" si="272"/>
        <v>0</v>
      </c>
      <c r="DV66" s="167">
        <f t="shared" si="207"/>
        <v>0</v>
      </c>
      <c r="DW66" s="167">
        <f t="shared" si="273"/>
        <v>0</v>
      </c>
      <c r="DX66" s="167">
        <f t="shared" si="209"/>
        <v>0</v>
      </c>
      <c r="DY66" s="167">
        <f t="shared" si="274"/>
        <v>0</v>
      </c>
      <c r="DZ66" s="167">
        <f t="shared" si="211"/>
        <v>0</v>
      </c>
      <c r="EA66" s="167">
        <f t="shared" si="275"/>
        <v>0</v>
      </c>
      <c r="EB66" s="170">
        <f t="shared" si="213"/>
        <v>0</v>
      </c>
      <c r="EC66" s="167">
        <f t="shared" si="214"/>
        <v>0</v>
      </c>
      <c r="ED66" s="171">
        <f t="shared" si="215"/>
        <v>0</v>
      </c>
    </row>
    <row r="67" spans="1:134" x14ac:dyDescent="0.3">
      <c r="A67" s="196"/>
      <c r="B67" s="196"/>
      <c r="C67" s="196"/>
      <c r="D67" s="188"/>
      <c r="E67" s="624"/>
      <c r="F67" s="190"/>
      <c r="G67" s="625"/>
      <c r="H67" s="192"/>
      <c r="I67" s="193"/>
      <c r="J67" s="194"/>
      <c r="K67" s="165">
        <f t="shared" si="216"/>
        <v>0</v>
      </c>
      <c r="L67" s="166">
        <f t="shared" si="217"/>
        <v>0</v>
      </c>
      <c r="M67" s="167">
        <f t="shared" si="218"/>
        <v>0</v>
      </c>
      <c r="N67" s="167"/>
      <c r="O67" s="167">
        <f t="shared" si="219"/>
        <v>0</v>
      </c>
      <c r="P67" s="168"/>
      <c r="Q67" s="167">
        <f t="shared" si="220"/>
        <v>0</v>
      </c>
      <c r="R67" s="169">
        <f t="shared" si="221"/>
        <v>0</v>
      </c>
      <c r="S67" s="167">
        <f t="shared" si="222"/>
        <v>0</v>
      </c>
      <c r="T67" s="167">
        <f t="shared" si="223"/>
        <v>0</v>
      </c>
      <c r="U67" s="167">
        <f t="shared" si="224"/>
        <v>0</v>
      </c>
      <c r="V67" s="167">
        <f t="shared" si="225"/>
        <v>0</v>
      </c>
      <c r="W67" s="167">
        <f t="shared" si="226"/>
        <v>0</v>
      </c>
      <c r="X67" s="167">
        <f t="shared" si="227"/>
        <v>0</v>
      </c>
      <c r="Y67" s="167">
        <f t="shared" si="228"/>
        <v>0</v>
      </c>
      <c r="Z67" s="167">
        <f t="shared" si="229"/>
        <v>0</v>
      </c>
      <c r="AA67" s="167">
        <f t="shared" si="230"/>
        <v>0</v>
      </c>
      <c r="AB67" s="170">
        <f t="shared" si="231"/>
        <v>0</v>
      </c>
      <c r="AC67" s="167">
        <f t="shared" si="232"/>
        <v>0</v>
      </c>
      <c r="AD67" s="171">
        <f t="shared" si="233"/>
        <v>0</v>
      </c>
      <c r="AE67" s="169">
        <f t="shared" si="278"/>
        <v>0</v>
      </c>
      <c r="AF67" s="167">
        <f t="shared" si="235"/>
        <v>0</v>
      </c>
      <c r="AG67" s="167">
        <f t="shared" si="114"/>
        <v>0</v>
      </c>
      <c r="AH67" s="167">
        <f t="shared" si="236"/>
        <v>0</v>
      </c>
      <c r="AI67" s="167">
        <f t="shared" si="116"/>
        <v>0</v>
      </c>
      <c r="AJ67" s="167">
        <f t="shared" si="237"/>
        <v>0</v>
      </c>
      <c r="AK67" s="167">
        <f t="shared" si="118"/>
        <v>0</v>
      </c>
      <c r="AL67" s="167">
        <f t="shared" si="238"/>
        <v>0</v>
      </c>
      <c r="AM67" s="167">
        <f t="shared" si="120"/>
        <v>0</v>
      </c>
      <c r="AN67" s="167">
        <f t="shared" si="239"/>
        <v>0</v>
      </c>
      <c r="AO67" s="170">
        <f t="shared" si="122"/>
        <v>0</v>
      </c>
      <c r="AP67" s="167">
        <f t="shared" si="123"/>
        <v>0</v>
      </c>
      <c r="AQ67" s="171">
        <f t="shared" si="124"/>
        <v>0</v>
      </c>
      <c r="AR67" s="169">
        <f t="shared" si="278"/>
        <v>0</v>
      </c>
      <c r="AS67" s="167">
        <f t="shared" si="240"/>
        <v>0</v>
      </c>
      <c r="AT67" s="167">
        <f t="shared" si="127"/>
        <v>0</v>
      </c>
      <c r="AU67" s="167">
        <f t="shared" si="241"/>
        <v>0</v>
      </c>
      <c r="AV67" s="167">
        <f t="shared" si="129"/>
        <v>0</v>
      </c>
      <c r="AW67" s="167">
        <f t="shared" si="242"/>
        <v>0</v>
      </c>
      <c r="AX67" s="167">
        <f t="shared" si="131"/>
        <v>0</v>
      </c>
      <c r="AY67" s="167">
        <f t="shared" si="243"/>
        <v>0</v>
      </c>
      <c r="AZ67" s="167">
        <f t="shared" si="133"/>
        <v>0</v>
      </c>
      <c r="BA67" s="167">
        <f t="shared" si="244"/>
        <v>0</v>
      </c>
      <c r="BB67" s="170">
        <f t="shared" si="135"/>
        <v>0</v>
      </c>
      <c r="BC67" s="167">
        <f t="shared" si="136"/>
        <v>0</v>
      </c>
      <c r="BD67" s="171">
        <f t="shared" si="137"/>
        <v>0</v>
      </c>
      <c r="BE67" s="169">
        <f t="shared" si="278"/>
        <v>0</v>
      </c>
      <c r="BF67" s="167">
        <f t="shared" si="245"/>
        <v>0</v>
      </c>
      <c r="BG67" s="167">
        <f t="shared" si="140"/>
        <v>0</v>
      </c>
      <c r="BH67" s="167">
        <f t="shared" si="246"/>
        <v>0</v>
      </c>
      <c r="BI67" s="167">
        <f t="shared" si="142"/>
        <v>0</v>
      </c>
      <c r="BJ67" s="167">
        <f t="shared" si="247"/>
        <v>0</v>
      </c>
      <c r="BK67" s="167">
        <f t="shared" si="144"/>
        <v>0</v>
      </c>
      <c r="BL67" s="167">
        <f t="shared" si="248"/>
        <v>0</v>
      </c>
      <c r="BM67" s="167">
        <f t="shared" si="146"/>
        <v>0</v>
      </c>
      <c r="BN67" s="167">
        <f t="shared" si="249"/>
        <v>0</v>
      </c>
      <c r="BO67" s="170">
        <f t="shared" si="148"/>
        <v>0</v>
      </c>
      <c r="BP67" s="167">
        <f t="shared" si="149"/>
        <v>0</v>
      </c>
      <c r="BQ67" s="171">
        <f t="shared" si="150"/>
        <v>0</v>
      </c>
      <c r="BR67" s="169">
        <f t="shared" si="278"/>
        <v>0</v>
      </c>
      <c r="BS67" s="167">
        <f t="shared" si="250"/>
        <v>0</v>
      </c>
      <c r="BT67" s="167">
        <f t="shared" si="153"/>
        <v>0</v>
      </c>
      <c r="BU67" s="167">
        <f t="shared" si="251"/>
        <v>0</v>
      </c>
      <c r="BV67" s="167">
        <f t="shared" si="155"/>
        <v>0</v>
      </c>
      <c r="BW67" s="167">
        <f t="shared" si="252"/>
        <v>0</v>
      </c>
      <c r="BX67" s="167">
        <f t="shared" si="157"/>
        <v>0</v>
      </c>
      <c r="BY67" s="167">
        <f t="shared" si="253"/>
        <v>0</v>
      </c>
      <c r="BZ67" s="167">
        <f t="shared" si="159"/>
        <v>0</v>
      </c>
      <c r="CA67" s="167">
        <f t="shared" si="254"/>
        <v>0</v>
      </c>
      <c r="CB67" s="170">
        <f t="shared" si="161"/>
        <v>0</v>
      </c>
      <c r="CC67" s="167">
        <f t="shared" si="162"/>
        <v>0</v>
      </c>
      <c r="CD67" s="171">
        <f t="shared" si="163"/>
        <v>0</v>
      </c>
      <c r="CE67" s="169">
        <f t="shared" si="278"/>
        <v>0</v>
      </c>
      <c r="CF67" s="167">
        <f t="shared" si="255"/>
        <v>0</v>
      </c>
      <c r="CG67" s="167">
        <f t="shared" si="166"/>
        <v>0</v>
      </c>
      <c r="CH67" s="167">
        <f t="shared" si="256"/>
        <v>0</v>
      </c>
      <c r="CI67" s="167">
        <f t="shared" si="168"/>
        <v>0</v>
      </c>
      <c r="CJ67" s="167">
        <f t="shared" si="257"/>
        <v>0</v>
      </c>
      <c r="CK67" s="167">
        <f t="shared" si="170"/>
        <v>0</v>
      </c>
      <c r="CL67" s="167">
        <f t="shared" si="258"/>
        <v>0</v>
      </c>
      <c r="CM67" s="167">
        <f t="shared" si="172"/>
        <v>0</v>
      </c>
      <c r="CN67" s="167">
        <f t="shared" si="259"/>
        <v>0</v>
      </c>
      <c r="CO67" s="170">
        <f t="shared" si="174"/>
        <v>0</v>
      </c>
      <c r="CP67" s="167">
        <f t="shared" si="175"/>
        <v>0</v>
      </c>
      <c r="CQ67" s="171">
        <f t="shared" si="176"/>
        <v>0</v>
      </c>
      <c r="CR67" s="169">
        <f t="shared" si="279"/>
        <v>0</v>
      </c>
      <c r="CS67" s="167">
        <f t="shared" si="261"/>
        <v>0</v>
      </c>
      <c r="CT67" s="167">
        <f t="shared" si="179"/>
        <v>0</v>
      </c>
      <c r="CU67" s="167">
        <f t="shared" si="262"/>
        <v>0</v>
      </c>
      <c r="CV67" s="167">
        <f t="shared" si="181"/>
        <v>0</v>
      </c>
      <c r="CW67" s="167">
        <f t="shared" si="263"/>
        <v>0</v>
      </c>
      <c r="CX67" s="167">
        <f t="shared" si="183"/>
        <v>0</v>
      </c>
      <c r="CY67" s="167">
        <f t="shared" si="264"/>
        <v>0</v>
      </c>
      <c r="CZ67" s="167">
        <f t="shared" si="185"/>
        <v>0</v>
      </c>
      <c r="DA67" s="167">
        <f t="shared" si="265"/>
        <v>0</v>
      </c>
      <c r="DB67" s="170">
        <f t="shared" si="187"/>
        <v>0</v>
      </c>
      <c r="DC67" s="167">
        <f t="shared" si="188"/>
        <v>0</v>
      </c>
      <c r="DD67" s="171">
        <f t="shared" si="189"/>
        <v>0</v>
      </c>
      <c r="DE67" s="169">
        <f t="shared" si="279"/>
        <v>0</v>
      </c>
      <c r="DF67" s="167">
        <f t="shared" si="266"/>
        <v>0</v>
      </c>
      <c r="DG67" s="167">
        <f t="shared" si="192"/>
        <v>0</v>
      </c>
      <c r="DH67" s="167">
        <f t="shared" si="267"/>
        <v>0</v>
      </c>
      <c r="DI67" s="167">
        <f t="shared" si="194"/>
        <v>0</v>
      </c>
      <c r="DJ67" s="167">
        <f t="shared" si="268"/>
        <v>0</v>
      </c>
      <c r="DK67" s="167">
        <f t="shared" si="196"/>
        <v>0</v>
      </c>
      <c r="DL67" s="167">
        <f t="shared" si="269"/>
        <v>0</v>
      </c>
      <c r="DM67" s="167">
        <f t="shared" si="198"/>
        <v>0</v>
      </c>
      <c r="DN67" s="167">
        <f t="shared" si="270"/>
        <v>0</v>
      </c>
      <c r="DO67" s="170">
        <f t="shared" si="200"/>
        <v>0</v>
      </c>
      <c r="DP67" s="167">
        <f t="shared" si="201"/>
        <v>0</v>
      </c>
      <c r="DQ67" s="171">
        <f t="shared" si="202"/>
        <v>0</v>
      </c>
      <c r="DR67" s="169">
        <f t="shared" si="279"/>
        <v>0</v>
      </c>
      <c r="DS67" s="167">
        <f t="shared" si="271"/>
        <v>0</v>
      </c>
      <c r="DT67" s="167">
        <f t="shared" si="205"/>
        <v>0</v>
      </c>
      <c r="DU67" s="167">
        <f t="shared" si="272"/>
        <v>0</v>
      </c>
      <c r="DV67" s="167">
        <f t="shared" si="207"/>
        <v>0</v>
      </c>
      <c r="DW67" s="167">
        <f t="shared" si="273"/>
        <v>0</v>
      </c>
      <c r="DX67" s="167">
        <f t="shared" si="209"/>
        <v>0</v>
      </c>
      <c r="DY67" s="167">
        <f t="shared" si="274"/>
        <v>0</v>
      </c>
      <c r="DZ67" s="167">
        <f t="shared" si="211"/>
        <v>0</v>
      </c>
      <c r="EA67" s="167">
        <f t="shared" si="275"/>
        <v>0</v>
      </c>
      <c r="EB67" s="170">
        <f t="shared" si="213"/>
        <v>0</v>
      </c>
      <c r="EC67" s="167">
        <f t="shared" si="214"/>
        <v>0</v>
      </c>
      <c r="ED67" s="171">
        <f t="shared" si="215"/>
        <v>0</v>
      </c>
    </row>
    <row r="68" spans="1:134" x14ac:dyDescent="0.3">
      <c r="A68" s="196"/>
      <c r="B68" s="196"/>
      <c r="C68" s="196"/>
      <c r="D68" s="188"/>
      <c r="E68" s="624"/>
      <c r="F68" s="190"/>
      <c r="G68" s="625"/>
      <c r="H68" s="192"/>
      <c r="I68" s="193"/>
      <c r="J68" s="194"/>
      <c r="K68" s="165">
        <f t="shared" si="216"/>
        <v>0</v>
      </c>
      <c r="L68" s="166">
        <f t="shared" si="217"/>
        <v>0</v>
      </c>
      <c r="M68" s="167">
        <f t="shared" si="218"/>
        <v>0</v>
      </c>
      <c r="N68" s="167"/>
      <c r="O68" s="167">
        <f t="shared" si="219"/>
        <v>0</v>
      </c>
      <c r="P68" s="168"/>
      <c r="Q68" s="167">
        <f t="shared" si="220"/>
        <v>0</v>
      </c>
      <c r="R68" s="169">
        <f t="shared" si="221"/>
        <v>0</v>
      </c>
      <c r="S68" s="167">
        <f t="shared" si="222"/>
        <v>0</v>
      </c>
      <c r="T68" s="167">
        <f t="shared" si="223"/>
        <v>0</v>
      </c>
      <c r="U68" s="167">
        <f t="shared" si="224"/>
        <v>0</v>
      </c>
      <c r="V68" s="167">
        <f t="shared" si="225"/>
        <v>0</v>
      </c>
      <c r="W68" s="167">
        <f t="shared" si="226"/>
        <v>0</v>
      </c>
      <c r="X68" s="167">
        <f t="shared" si="227"/>
        <v>0</v>
      </c>
      <c r="Y68" s="167">
        <f t="shared" si="228"/>
        <v>0</v>
      </c>
      <c r="Z68" s="167">
        <f t="shared" si="229"/>
        <v>0</v>
      </c>
      <c r="AA68" s="167">
        <f t="shared" si="230"/>
        <v>0</v>
      </c>
      <c r="AB68" s="170">
        <f t="shared" si="231"/>
        <v>0</v>
      </c>
      <c r="AC68" s="167">
        <f t="shared" si="232"/>
        <v>0</v>
      </c>
      <c r="AD68" s="171">
        <f t="shared" si="233"/>
        <v>0</v>
      </c>
      <c r="AE68" s="169">
        <f t="shared" si="278"/>
        <v>0</v>
      </c>
      <c r="AF68" s="167">
        <f t="shared" si="235"/>
        <v>0</v>
      </c>
      <c r="AG68" s="167">
        <f t="shared" si="114"/>
        <v>0</v>
      </c>
      <c r="AH68" s="167">
        <f t="shared" si="236"/>
        <v>0</v>
      </c>
      <c r="AI68" s="167">
        <f t="shared" si="116"/>
        <v>0</v>
      </c>
      <c r="AJ68" s="167">
        <f t="shared" si="237"/>
        <v>0</v>
      </c>
      <c r="AK68" s="167">
        <f t="shared" si="118"/>
        <v>0</v>
      </c>
      <c r="AL68" s="167">
        <f t="shared" si="238"/>
        <v>0</v>
      </c>
      <c r="AM68" s="167">
        <f t="shared" si="120"/>
        <v>0</v>
      </c>
      <c r="AN68" s="167">
        <f t="shared" si="239"/>
        <v>0</v>
      </c>
      <c r="AO68" s="170">
        <f t="shared" si="122"/>
        <v>0</v>
      </c>
      <c r="AP68" s="167">
        <f t="shared" si="123"/>
        <v>0</v>
      </c>
      <c r="AQ68" s="171">
        <f t="shared" si="124"/>
        <v>0</v>
      </c>
      <c r="AR68" s="169">
        <f t="shared" si="278"/>
        <v>0</v>
      </c>
      <c r="AS68" s="167">
        <f t="shared" si="240"/>
        <v>0</v>
      </c>
      <c r="AT68" s="167">
        <f t="shared" si="127"/>
        <v>0</v>
      </c>
      <c r="AU68" s="167">
        <f t="shared" si="241"/>
        <v>0</v>
      </c>
      <c r="AV68" s="167">
        <f t="shared" si="129"/>
        <v>0</v>
      </c>
      <c r="AW68" s="167">
        <f t="shared" si="242"/>
        <v>0</v>
      </c>
      <c r="AX68" s="167">
        <f t="shared" si="131"/>
        <v>0</v>
      </c>
      <c r="AY68" s="167">
        <f t="shared" si="243"/>
        <v>0</v>
      </c>
      <c r="AZ68" s="167">
        <f t="shared" si="133"/>
        <v>0</v>
      </c>
      <c r="BA68" s="167">
        <f t="shared" si="244"/>
        <v>0</v>
      </c>
      <c r="BB68" s="170">
        <f t="shared" si="135"/>
        <v>0</v>
      </c>
      <c r="BC68" s="167">
        <f t="shared" si="136"/>
        <v>0</v>
      </c>
      <c r="BD68" s="171">
        <f t="shared" si="137"/>
        <v>0</v>
      </c>
      <c r="BE68" s="169">
        <f t="shared" si="278"/>
        <v>0</v>
      </c>
      <c r="BF68" s="167">
        <f t="shared" si="245"/>
        <v>0</v>
      </c>
      <c r="BG68" s="167">
        <f t="shared" si="140"/>
        <v>0</v>
      </c>
      <c r="BH68" s="167">
        <f t="shared" si="246"/>
        <v>0</v>
      </c>
      <c r="BI68" s="167">
        <f t="shared" si="142"/>
        <v>0</v>
      </c>
      <c r="BJ68" s="167">
        <f t="shared" si="247"/>
        <v>0</v>
      </c>
      <c r="BK68" s="167">
        <f t="shared" si="144"/>
        <v>0</v>
      </c>
      <c r="BL68" s="167">
        <f t="shared" si="248"/>
        <v>0</v>
      </c>
      <c r="BM68" s="167">
        <f t="shared" si="146"/>
        <v>0</v>
      </c>
      <c r="BN68" s="167">
        <f t="shared" si="249"/>
        <v>0</v>
      </c>
      <c r="BO68" s="170">
        <f t="shared" si="148"/>
        <v>0</v>
      </c>
      <c r="BP68" s="167">
        <f t="shared" si="149"/>
        <v>0</v>
      </c>
      <c r="BQ68" s="171">
        <f t="shared" si="150"/>
        <v>0</v>
      </c>
      <c r="BR68" s="169">
        <f t="shared" si="278"/>
        <v>0</v>
      </c>
      <c r="BS68" s="167">
        <f t="shared" si="250"/>
        <v>0</v>
      </c>
      <c r="BT68" s="167">
        <f t="shared" si="153"/>
        <v>0</v>
      </c>
      <c r="BU68" s="167">
        <f t="shared" si="251"/>
        <v>0</v>
      </c>
      <c r="BV68" s="167">
        <f t="shared" si="155"/>
        <v>0</v>
      </c>
      <c r="BW68" s="167">
        <f t="shared" si="252"/>
        <v>0</v>
      </c>
      <c r="BX68" s="167">
        <f t="shared" si="157"/>
        <v>0</v>
      </c>
      <c r="BY68" s="167">
        <f t="shared" si="253"/>
        <v>0</v>
      </c>
      <c r="BZ68" s="167">
        <f t="shared" si="159"/>
        <v>0</v>
      </c>
      <c r="CA68" s="167">
        <f t="shared" si="254"/>
        <v>0</v>
      </c>
      <c r="CB68" s="170">
        <f t="shared" si="161"/>
        <v>0</v>
      </c>
      <c r="CC68" s="167">
        <f t="shared" si="162"/>
        <v>0</v>
      </c>
      <c r="CD68" s="171">
        <f t="shared" si="163"/>
        <v>0</v>
      </c>
      <c r="CE68" s="169">
        <f t="shared" si="278"/>
        <v>0</v>
      </c>
      <c r="CF68" s="167">
        <f t="shared" si="255"/>
        <v>0</v>
      </c>
      <c r="CG68" s="167">
        <f t="shared" si="166"/>
        <v>0</v>
      </c>
      <c r="CH68" s="167">
        <f t="shared" si="256"/>
        <v>0</v>
      </c>
      <c r="CI68" s="167">
        <f t="shared" si="168"/>
        <v>0</v>
      </c>
      <c r="CJ68" s="167">
        <f t="shared" si="257"/>
        <v>0</v>
      </c>
      <c r="CK68" s="167">
        <f t="shared" si="170"/>
        <v>0</v>
      </c>
      <c r="CL68" s="167">
        <f t="shared" si="258"/>
        <v>0</v>
      </c>
      <c r="CM68" s="167">
        <f t="shared" si="172"/>
        <v>0</v>
      </c>
      <c r="CN68" s="167">
        <f t="shared" si="259"/>
        <v>0</v>
      </c>
      <c r="CO68" s="170">
        <f t="shared" si="174"/>
        <v>0</v>
      </c>
      <c r="CP68" s="167">
        <f t="shared" si="175"/>
        <v>0</v>
      </c>
      <c r="CQ68" s="171">
        <f t="shared" si="176"/>
        <v>0</v>
      </c>
      <c r="CR68" s="169">
        <f t="shared" si="279"/>
        <v>0</v>
      </c>
      <c r="CS68" s="167">
        <f t="shared" si="261"/>
        <v>0</v>
      </c>
      <c r="CT68" s="167">
        <f t="shared" si="179"/>
        <v>0</v>
      </c>
      <c r="CU68" s="167">
        <f t="shared" si="262"/>
        <v>0</v>
      </c>
      <c r="CV68" s="167">
        <f t="shared" si="181"/>
        <v>0</v>
      </c>
      <c r="CW68" s="167">
        <f t="shared" si="263"/>
        <v>0</v>
      </c>
      <c r="CX68" s="167">
        <f t="shared" si="183"/>
        <v>0</v>
      </c>
      <c r="CY68" s="167">
        <f t="shared" si="264"/>
        <v>0</v>
      </c>
      <c r="CZ68" s="167">
        <f t="shared" si="185"/>
        <v>0</v>
      </c>
      <c r="DA68" s="167">
        <f t="shared" si="265"/>
        <v>0</v>
      </c>
      <c r="DB68" s="170">
        <f t="shared" si="187"/>
        <v>0</v>
      </c>
      <c r="DC68" s="167">
        <f t="shared" si="188"/>
        <v>0</v>
      </c>
      <c r="DD68" s="171">
        <f t="shared" si="189"/>
        <v>0</v>
      </c>
      <c r="DE68" s="169">
        <f t="shared" si="279"/>
        <v>0</v>
      </c>
      <c r="DF68" s="167">
        <f t="shared" si="266"/>
        <v>0</v>
      </c>
      <c r="DG68" s="167">
        <f t="shared" si="192"/>
        <v>0</v>
      </c>
      <c r="DH68" s="167">
        <f t="shared" si="267"/>
        <v>0</v>
      </c>
      <c r="DI68" s="167">
        <f t="shared" si="194"/>
        <v>0</v>
      </c>
      <c r="DJ68" s="167">
        <f t="shared" si="268"/>
        <v>0</v>
      </c>
      <c r="DK68" s="167">
        <f t="shared" si="196"/>
        <v>0</v>
      </c>
      <c r="DL68" s="167">
        <f t="shared" si="269"/>
        <v>0</v>
      </c>
      <c r="DM68" s="167">
        <f t="shared" si="198"/>
        <v>0</v>
      </c>
      <c r="DN68" s="167">
        <f t="shared" si="270"/>
        <v>0</v>
      </c>
      <c r="DO68" s="170">
        <f t="shared" si="200"/>
        <v>0</v>
      </c>
      <c r="DP68" s="167">
        <f t="shared" si="201"/>
        <v>0</v>
      </c>
      <c r="DQ68" s="171">
        <f t="shared" si="202"/>
        <v>0</v>
      </c>
      <c r="DR68" s="169">
        <f t="shared" si="279"/>
        <v>0</v>
      </c>
      <c r="DS68" s="167">
        <f t="shared" si="271"/>
        <v>0</v>
      </c>
      <c r="DT68" s="167">
        <f t="shared" si="205"/>
        <v>0</v>
      </c>
      <c r="DU68" s="167">
        <f t="shared" si="272"/>
        <v>0</v>
      </c>
      <c r="DV68" s="167">
        <f t="shared" si="207"/>
        <v>0</v>
      </c>
      <c r="DW68" s="167">
        <f t="shared" si="273"/>
        <v>0</v>
      </c>
      <c r="DX68" s="167">
        <f t="shared" si="209"/>
        <v>0</v>
      </c>
      <c r="DY68" s="167">
        <f t="shared" si="274"/>
        <v>0</v>
      </c>
      <c r="DZ68" s="167">
        <f t="shared" si="211"/>
        <v>0</v>
      </c>
      <c r="EA68" s="167">
        <f t="shared" si="275"/>
        <v>0</v>
      </c>
      <c r="EB68" s="170">
        <f t="shared" si="213"/>
        <v>0</v>
      </c>
      <c r="EC68" s="167">
        <f t="shared" si="214"/>
        <v>0</v>
      </c>
      <c r="ED68" s="171">
        <f t="shared" si="215"/>
        <v>0</v>
      </c>
    </row>
    <row r="69" spans="1:134" x14ac:dyDescent="0.3">
      <c r="A69" s="196"/>
      <c r="B69" s="196"/>
      <c r="C69" s="616"/>
      <c r="D69" s="188"/>
      <c r="E69" s="624"/>
      <c r="F69" s="190"/>
      <c r="G69" s="625"/>
      <c r="H69" s="192"/>
      <c r="I69" s="193"/>
      <c r="J69" s="194"/>
      <c r="K69" s="165">
        <f t="shared" si="216"/>
        <v>0</v>
      </c>
      <c r="L69" s="166">
        <f t="shared" si="217"/>
        <v>0</v>
      </c>
      <c r="M69" s="167">
        <f t="shared" si="218"/>
        <v>0</v>
      </c>
      <c r="N69" s="167"/>
      <c r="O69" s="167">
        <f t="shared" si="219"/>
        <v>0</v>
      </c>
      <c r="P69" s="168"/>
      <c r="Q69" s="167">
        <f t="shared" si="220"/>
        <v>0</v>
      </c>
      <c r="R69" s="169">
        <f t="shared" si="221"/>
        <v>0</v>
      </c>
      <c r="S69" s="167">
        <f t="shared" si="222"/>
        <v>0</v>
      </c>
      <c r="T69" s="167">
        <f t="shared" si="223"/>
        <v>0</v>
      </c>
      <c r="U69" s="167">
        <f t="shared" si="224"/>
        <v>0</v>
      </c>
      <c r="V69" s="167">
        <f t="shared" si="225"/>
        <v>0</v>
      </c>
      <c r="W69" s="167">
        <f t="shared" si="226"/>
        <v>0</v>
      </c>
      <c r="X69" s="167">
        <f t="shared" si="227"/>
        <v>0</v>
      </c>
      <c r="Y69" s="167">
        <f t="shared" si="228"/>
        <v>0</v>
      </c>
      <c r="Z69" s="167">
        <f t="shared" si="229"/>
        <v>0</v>
      </c>
      <c r="AA69" s="167">
        <f t="shared" si="230"/>
        <v>0</v>
      </c>
      <c r="AB69" s="170">
        <f t="shared" si="231"/>
        <v>0</v>
      </c>
      <c r="AC69" s="167">
        <f t="shared" si="232"/>
        <v>0</v>
      </c>
      <c r="AD69" s="171">
        <f t="shared" si="233"/>
        <v>0</v>
      </c>
      <c r="AE69" s="169">
        <f t="shared" ref="AE69:CE84" si="280">IF(YEAR($F69)=AE$4,$E69,0)</f>
        <v>0</v>
      </c>
      <c r="AF69" s="167">
        <f t="shared" si="235"/>
        <v>0</v>
      </c>
      <c r="AG69" s="167">
        <f t="shared" ref="AG69:AG125" si="281">IF(AE69&lt;&gt;0,ROUND(AE69*(DAYS360($F69,AM$4)/DAYS360(Z$4,AM$4)),2),0)</f>
        <v>0</v>
      </c>
      <c r="AH69" s="167">
        <f t="shared" si="236"/>
        <v>0</v>
      </c>
      <c r="AI69" s="167">
        <f t="shared" ref="AI69:AI125" si="282">IF(AND($F69&gt;0,$F69&lt;=AM$4),$E69,0)</f>
        <v>0</v>
      </c>
      <c r="AJ69" s="167">
        <f t="shared" si="237"/>
        <v>0</v>
      </c>
      <c r="AK69" s="167">
        <f t="shared" ref="AK69:AK125" si="283">IF(AND(YEAR($F69)=YEAR(AM$4),$E69&lt;1000,$E69&gt;-1000,$F69&gt;0,$K69=1),$E69-$I69,IF(AND(YEAR($F69)=YEAR(AM$4),$F69&gt;0,$K69&gt;0),ROUND(($L69/12)*(13-MONTH($F69)),2),IF(AND(YEAR($F69)&lt;YEAR(AM$4),$E69&gt;0,$F69&gt;0,$K69&gt;0,Z69&gt;$L69+$I69),$L69,IF(AND(YEAR($F69)&lt;YEAR(AM$4),$E69&gt;0,$F69&gt;0,$K69&gt;0,Z69&gt;0,Z69&lt;=$L69+$I69),Z69-$I69,IF(AND(YEAR($F69)&lt;YEAR(AM$4),$E69&lt;0,$F69&gt;0,$K69&gt;0,Z69&lt;0,Z69&lt;=$L69),$L69,IF(AND(YEAR($F69)&lt;YEAR(AM$4),$E69&lt;0,$F69&gt;0,$K69&gt;0,Z69&lt;0,Z69&gt;$L69),Z69,0))))))</f>
        <v>0</v>
      </c>
      <c r="AL69" s="167">
        <f t="shared" si="238"/>
        <v>0</v>
      </c>
      <c r="AM69" s="167">
        <f t="shared" ref="AM69:AM125" si="284">IF(AND(YEAR(AM$4)=YEAR($F69),$E69&gt;0,$F69&gt;0,$E69-AK69&gt;=0),$E69-AK69,IF(AND(YEAR(AM$4)&gt;YEAR($F69),$E69&gt;0,$F69&gt;0,Z69-AK69&gt;=0),Z69-AK69,IF(AND(YEAR(AM$4)=YEAR($F69),$E69&lt;0,$F69&gt;0,$E69-AK69&lt;0),$E69-AK69,IF(AND(YEAR(AM$4)&gt;YEAR($F69),$E69&lt;0,$F69&gt;0,Z69-AK69&lt;=0),Z69-AK69,0))))</f>
        <v>0</v>
      </c>
      <c r="AN69" s="167">
        <f t="shared" si="239"/>
        <v>0</v>
      </c>
      <c r="AO69" s="170">
        <f t="shared" ref="AO69:AO125" si="285">AB69+AK69</f>
        <v>0</v>
      </c>
      <c r="AP69" s="167">
        <f t="shared" ref="AP69:AP125" si="286">IF(AND(AE69&lt;&gt;0,$J69="H",$L69=0),AG69,IF(AND(YEAR(AM$4)&gt;YEAR($F69),$J69="H",$F69&gt;0,$L69=0),$E69,0))</f>
        <v>0</v>
      </c>
      <c r="AQ69" s="171">
        <f t="shared" ref="AQ69:AQ125" si="287">IF(AND(YEAR(AM$4)&gt;=YEAR($F69),$E69&gt;0,$F69&gt;0,AK69&gt;0,$J69="H"),ROUND(AK69/$L69*$E69,2),IF(AND(YEAR(AM$4)&gt;=YEAR($F69),$E69&lt;0,$F69&gt;0,AK69&lt;0,$J69="H"),ROUND(AK69/$L69*$E69,2),0))</f>
        <v>0</v>
      </c>
      <c r="AR69" s="169">
        <f t="shared" si="280"/>
        <v>0</v>
      </c>
      <c r="AS69" s="167">
        <f t="shared" si="240"/>
        <v>0</v>
      </c>
      <c r="AT69" s="167">
        <f t="shared" ref="AT69:AT125" si="288">IF(AR69&lt;&gt;0,ROUND(AR69*(DAYS360($F69,AZ$4)/DAYS360(AM$4,AZ$4)),2),0)</f>
        <v>0</v>
      </c>
      <c r="AU69" s="167">
        <f t="shared" si="241"/>
        <v>0</v>
      </c>
      <c r="AV69" s="167">
        <f t="shared" ref="AV69:AV125" si="289">IF(AND($F69&gt;0,$F69&lt;=AZ$4),$E69,0)</f>
        <v>0</v>
      </c>
      <c r="AW69" s="167">
        <f t="shared" si="242"/>
        <v>0</v>
      </c>
      <c r="AX69" s="167">
        <f t="shared" ref="AX69:AX125" si="290">IF(AND(YEAR($F69)=YEAR(AZ$4),$E69&lt;1000,$E69&gt;-1000,$F69&gt;0,$K69=1),$E69-$I69,IF(AND(YEAR($F69)=YEAR(AZ$4),$F69&gt;0,$K69&gt;0),ROUND(($L69/12)*(13-MONTH($F69)),2),IF(AND(YEAR($F69)&lt;YEAR(AZ$4),$E69&gt;0,$F69&gt;0,$K69&gt;0,AM69&gt;$L69+$I69),$L69,IF(AND(YEAR($F69)&lt;YEAR(AZ$4),$E69&gt;0,$F69&gt;0,$K69&gt;0,AM69&gt;0,AM69&lt;=$L69+$I69),AM69-$I69,IF(AND(YEAR($F69)&lt;YEAR(AZ$4),$E69&lt;0,$F69&gt;0,$K69&gt;0,AM69&lt;0,AM69&lt;=$L69),$L69,IF(AND(YEAR($F69)&lt;YEAR(AZ$4),$E69&lt;0,$F69&gt;0,$K69&gt;0,AM69&lt;0,AM69&gt;$L69),AM69,0))))))</f>
        <v>0</v>
      </c>
      <c r="AY69" s="167">
        <f t="shared" si="243"/>
        <v>0</v>
      </c>
      <c r="AZ69" s="167">
        <f t="shared" ref="AZ69:AZ125" si="291">IF(AND(YEAR(AZ$4)=YEAR($F69),$E69&gt;0,$F69&gt;0,$E69-AX69&gt;=0),$E69-AX69,IF(AND(YEAR(AZ$4)&gt;YEAR($F69),$E69&gt;0,$F69&gt;0,AM69-AX69&gt;=0),AM69-AX69,IF(AND(YEAR(AZ$4)=YEAR($F69),$E69&lt;0,$F69&gt;0,$E69-AX69&lt;0),$E69-AX69,IF(AND(YEAR(AZ$4)&gt;YEAR($F69),$E69&lt;0,$F69&gt;0,AM69-AX69&lt;=0),AM69-AX69,0))))</f>
        <v>0</v>
      </c>
      <c r="BA69" s="167">
        <f t="shared" si="244"/>
        <v>0</v>
      </c>
      <c r="BB69" s="170">
        <f t="shared" ref="BB69:BB125" si="292">AO69+AX69</f>
        <v>0</v>
      </c>
      <c r="BC69" s="167">
        <f t="shared" ref="BC69:BC125" si="293">IF(AND(AR69&lt;&gt;0,$J69="H",$L69=0),AT69,IF(AND(YEAR(AZ$4)&gt;YEAR($F69),$J69="H",$F69&gt;0,$L69=0),$E69,0))</f>
        <v>0</v>
      </c>
      <c r="BD69" s="171">
        <f t="shared" ref="BD69:BD125" si="294">IF(AND(YEAR(AZ$4)&gt;=YEAR($F69),$E69&gt;0,$F69&gt;0,AX69&gt;0,$J69="H"),ROUND(AX69/$L69*$E69,2),IF(AND(YEAR(AZ$4)&gt;=YEAR($F69),$E69&lt;0,$F69&gt;0,AX69&lt;0,$J69="H"),ROUND(AX69/$L69*$E69,2),0))</f>
        <v>0</v>
      </c>
      <c r="BE69" s="169">
        <f t="shared" si="280"/>
        <v>0</v>
      </c>
      <c r="BF69" s="167">
        <f t="shared" si="245"/>
        <v>0</v>
      </c>
      <c r="BG69" s="167">
        <f t="shared" ref="BG69:BG125" si="295">IF(BE69&lt;&gt;0,ROUND(BE69*(DAYS360($F69,BM$4)/DAYS360(AZ$4,BM$4)),2),0)</f>
        <v>0</v>
      </c>
      <c r="BH69" s="167">
        <f t="shared" si="246"/>
        <v>0</v>
      </c>
      <c r="BI69" s="167">
        <f t="shared" ref="BI69:BI125" si="296">IF(AND($F69&gt;0,$F69&lt;=BM$4),$E69,0)</f>
        <v>0</v>
      </c>
      <c r="BJ69" s="167">
        <f t="shared" si="247"/>
        <v>0</v>
      </c>
      <c r="BK69" s="167">
        <f t="shared" ref="BK69:BK125" si="297">IF(AND(YEAR($F69)=YEAR(BM$4),$E69&lt;1000,$E69&gt;-1000,$F69&gt;0,$K69=1),$E69-$I69,IF(AND(YEAR($F69)=YEAR(BM$4),$F69&gt;0,$K69&gt;0),ROUND(($L69/12)*(13-MONTH($F69)),2),IF(AND(YEAR($F69)&lt;YEAR(BM$4),$E69&gt;0,$F69&gt;0,$K69&gt;0,AZ69&gt;$L69+$I69),$L69,IF(AND(YEAR($F69)&lt;YEAR(BM$4),$E69&gt;0,$F69&gt;0,$K69&gt;0,AZ69&gt;0,AZ69&lt;=$L69+$I69),AZ69-$I69,IF(AND(YEAR($F69)&lt;YEAR(BM$4),$E69&lt;0,$F69&gt;0,$K69&gt;0,AZ69&lt;0,AZ69&lt;=$L69),$L69,IF(AND(YEAR($F69)&lt;YEAR(BM$4),$E69&lt;0,$F69&gt;0,$K69&gt;0,AZ69&lt;0,AZ69&gt;$L69),AZ69,0))))))</f>
        <v>0</v>
      </c>
      <c r="BL69" s="167">
        <f t="shared" si="248"/>
        <v>0</v>
      </c>
      <c r="BM69" s="167">
        <f t="shared" ref="BM69:BM125" si="298">IF(AND(YEAR(BM$4)=YEAR($F69),$E69&gt;0,$F69&gt;0,$E69-BK69&gt;=0),$E69-BK69,IF(AND(YEAR(BM$4)&gt;YEAR($F69),$E69&gt;0,$F69&gt;0,AZ69-BK69&gt;=0),AZ69-BK69,IF(AND(YEAR(BM$4)=YEAR($F69),$E69&lt;0,$F69&gt;0,$E69-BK69&lt;0),$E69-BK69,IF(AND(YEAR(BM$4)&gt;YEAR($F69),$E69&lt;0,$F69&gt;0,AZ69-BK69&lt;=0),AZ69-BK69,0))))</f>
        <v>0</v>
      </c>
      <c r="BN69" s="167">
        <f t="shared" si="249"/>
        <v>0</v>
      </c>
      <c r="BO69" s="170">
        <f t="shared" ref="BO69:BO125" si="299">BB69+BK69</f>
        <v>0</v>
      </c>
      <c r="BP69" s="167">
        <f t="shared" ref="BP69:BP125" si="300">IF(AND(BE69&lt;&gt;0,$J69="H",$L69=0),BG69,IF(AND(YEAR(BM$4)&gt;YEAR($F69),$J69="H",$F69&gt;0,$L69=0),$E69,0))</f>
        <v>0</v>
      </c>
      <c r="BQ69" s="171">
        <f t="shared" ref="BQ69:BQ125" si="301">IF(AND(YEAR(BM$4)&gt;=YEAR($F69),$E69&gt;0,$F69&gt;0,BK69&gt;0,$J69="H"),ROUND(BK69/$L69*$E69,2),IF(AND(YEAR(BM$4)&gt;=YEAR($F69),$E69&lt;0,$F69&gt;0,BK69&lt;0,$J69="H"),ROUND(BK69/$L69*$E69,2),0))</f>
        <v>0</v>
      </c>
      <c r="BR69" s="169">
        <f t="shared" si="280"/>
        <v>0</v>
      </c>
      <c r="BS69" s="167">
        <f t="shared" si="250"/>
        <v>0</v>
      </c>
      <c r="BT69" s="167">
        <f t="shared" ref="BT69:BT125" si="302">IF(BR69&lt;&gt;0,ROUND(BR69*(DAYS360($F69,BZ$4)/DAYS360(BM$4,BZ$4)),2),0)</f>
        <v>0</v>
      </c>
      <c r="BU69" s="167">
        <f t="shared" si="251"/>
        <v>0</v>
      </c>
      <c r="BV69" s="167">
        <f t="shared" ref="BV69:BV125" si="303">IF(AND($F69&gt;0,$F69&lt;=BZ$4),$E69,0)</f>
        <v>0</v>
      </c>
      <c r="BW69" s="167">
        <f t="shared" si="252"/>
        <v>0</v>
      </c>
      <c r="BX69" s="167">
        <f t="shared" ref="BX69:BX125" si="304">IF(AND(YEAR($F69)=YEAR(BZ$4),$E69&lt;1000,$E69&gt;-1000,$F69&gt;0,$K69=1),$E69-$I69,IF(AND(YEAR($F69)=YEAR(BZ$4),$F69&gt;0,$K69&gt;0),ROUND(($L69/12)*(13-MONTH($F69)),2),IF(AND(YEAR($F69)&lt;YEAR(BZ$4),$E69&gt;0,$F69&gt;0,$K69&gt;0,BM69&gt;$L69+$I69),$L69,IF(AND(YEAR($F69)&lt;YEAR(BZ$4),$E69&gt;0,$F69&gt;0,$K69&gt;0,BM69&gt;0,BM69&lt;=$L69+$I69),BM69-$I69,IF(AND(YEAR($F69)&lt;YEAR(BZ$4),$E69&lt;0,$F69&gt;0,$K69&gt;0,BM69&lt;0,BM69&lt;=$L69),$L69,IF(AND(YEAR($F69)&lt;YEAR(BZ$4),$E69&lt;0,$F69&gt;0,$K69&gt;0,BM69&lt;0,BM69&gt;$L69),BM69,0))))))</f>
        <v>0</v>
      </c>
      <c r="BY69" s="167">
        <f t="shared" si="253"/>
        <v>0</v>
      </c>
      <c r="BZ69" s="167">
        <f t="shared" ref="BZ69:BZ125" si="305">IF(AND(YEAR(BZ$4)=YEAR($F69),$E69&gt;0,$F69&gt;0,$E69-BX69&gt;=0),$E69-BX69,IF(AND(YEAR(BZ$4)&gt;YEAR($F69),$E69&gt;0,$F69&gt;0,BM69-BX69&gt;=0),BM69-BX69,IF(AND(YEAR(BZ$4)=YEAR($F69),$E69&lt;0,$F69&gt;0,$E69-BX69&lt;0),$E69-BX69,IF(AND(YEAR(BZ$4)&gt;YEAR($F69),$E69&lt;0,$F69&gt;0,BM69-BX69&lt;=0),BM69-BX69,0))))</f>
        <v>0</v>
      </c>
      <c r="CA69" s="167">
        <f t="shared" si="254"/>
        <v>0</v>
      </c>
      <c r="CB69" s="170">
        <f t="shared" ref="CB69:CB125" si="306">BO69+BX69</f>
        <v>0</v>
      </c>
      <c r="CC69" s="167">
        <f t="shared" ref="CC69:CC125" si="307">IF(AND(BR69&lt;&gt;0,$J69="H",$L69=0),BT69,IF(AND(YEAR(BZ$4)&gt;YEAR($F69),$J69="H",$F69&gt;0,$L69=0),$E69,0))</f>
        <v>0</v>
      </c>
      <c r="CD69" s="171">
        <f t="shared" ref="CD69:CD125" si="308">IF(AND(YEAR(BZ$4)&gt;=YEAR($F69),$E69&gt;0,$F69&gt;0,BX69&gt;0,$J69="H"),ROUND(BX69/$L69*$E69,2),IF(AND(YEAR(BZ$4)&gt;=YEAR($F69),$E69&lt;0,$F69&gt;0,BX69&lt;0,$J69="H"),ROUND(BX69/$L69*$E69,2),0))</f>
        <v>0</v>
      </c>
      <c r="CE69" s="169">
        <f t="shared" si="280"/>
        <v>0</v>
      </c>
      <c r="CF69" s="167">
        <f t="shared" si="255"/>
        <v>0</v>
      </c>
      <c r="CG69" s="167">
        <f t="shared" ref="CG69:CG125" si="309">IF(CE69&lt;&gt;0,ROUND(CE69*(DAYS360($F69,CM$4)/DAYS360(BZ$4,CM$4)),2),0)</f>
        <v>0</v>
      </c>
      <c r="CH69" s="167">
        <f t="shared" si="256"/>
        <v>0</v>
      </c>
      <c r="CI69" s="167">
        <f t="shared" ref="CI69:CI125" si="310">IF(AND($F69&gt;0,$F69&lt;=CM$4),$E69,0)</f>
        <v>0</v>
      </c>
      <c r="CJ69" s="167">
        <f t="shared" si="257"/>
        <v>0</v>
      </c>
      <c r="CK69" s="167">
        <f t="shared" ref="CK69:CK125" si="311">IF(AND(YEAR($F69)=YEAR(CM$4),$E69&lt;1000,$E69&gt;-1000,$F69&gt;0,$K69=1),$E69-$I69,IF(AND(YEAR($F69)=YEAR(CM$4),$F69&gt;0,$K69&gt;0),ROUND(($L69/12)*(13-MONTH($F69)),2),IF(AND(YEAR($F69)&lt;YEAR(CM$4),$E69&gt;0,$F69&gt;0,$K69&gt;0,BZ69&gt;$L69+$I69),$L69,IF(AND(YEAR($F69)&lt;YEAR(CM$4),$E69&gt;0,$F69&gt;0,$K69&gt;0,BZ69&gt;0,BZ69&lt;=$L69+$I69),BZ69-$I69,IF(AND(YEAR($F69)&lt;YEAR(CM$4),$E69&lt;0,$F69&gt;0,$K69&gt;0,BZ69&lt;0,BZ69&lt;=$L69),$L69,IF(AND(YEAR($F69)&lt;YEAR(CM$4),$E69&lt;0,$F69&gt;0,$K69&gt;0,BZ69&lt;0,BZ69&gt;$L69),BZ69,0))))))</f>
        <v>0</v>
      </c>
      <c r="CL69" s="167">
        <f t="shared" si="258"/>
        <v>0</v>
      </c>
      <c r="CM69" s="167">
        <f t="shared" ref="CM69:CM125" si="312">IF(AND(YEAR(CM$4)=YEAR($F69),$E69&gt;0,$F69&gt;0,$E69-CK69&gt;=0),$E69-CK69,IF(AND(YEAR(CM$4)&gt;YEAR($F69),$E69&gt;0,$F69&gt;0,BZ69-CK69&gt;=0),BZ69-CK69,IF(AND(YEAR(CM$4)=YEAR($F69),$E69&lt;0,$F69&gt;0,$E69-CK69&lt;0),$E69-CK69,IF(AND(YEAR(CM$4)&gt;YEAR($F69),$E69&lt;0,$F69&gt;0,BZ69-CK69&lt;=0),BZ69-CK69,0))))</f>
        <v>0</v>
      </c>
      <c r="CN69" s="167">
        <f t="shared" si="259"/>
        <v>0</v>
      </c>
      <c r="CO69" s="170">
        <f t="shared" ref="CO69:CO125" si="313">CB69+CK69</f>
        <v>0</v>
      </c>
      <c r="CP69" s="167">
        <f t="shared" ref="CP69:CP125" si="314">IF(AND(CE69&lt;&gt;0,$J69="H",$L69=0),CG69,IF(AND(YEAR(CM$4)&gt;YEAR($F69),$J69="H",$F69&gt;0,$L69=0),$E69,0))</f>
        <v>0</v>
      </c>
      <c r="CQ69" s="171">
        <f t="shared" ref="CQ69:CQ125" si="315">IF(AND(YEAR(CM$4)&gt;=YEAR($F69),$E69&gt;0,$F69&gt;0,CK69&gt;0,$J69="H"),ROUND(CK69/$L69*$E69,2),IF(AND(YEAR(CM$4)&gt;=YEAR($F69),$E69&lt;0,$F69&gt;0,CK69&lt;0,$J69="H"),ROUND(CK69/$L69*$E69,2),0))</f>
        <v>0</v>
      </c>
      <c r="CR69" s="169">
        <f t="shared" ref="CR69:DR84" si="316">IF(YEAR($F69)=CR$4,$E69,0)</f>
        <v>0</v>
      </c>
      <c r="CS69" s="167">
        <f t="shared" si="261"/>
        <v>0</v>
      </c>
      <c r="CT69" s="167">
        <f t="shared" ref="CT69:CT125" si="317">IF(CR69&lt;&gt;0,ROUND(CR69*(DAYS360($F69,CZ$4)/DAYS360(CM$4,CZ$4)),2),0)</f>
        <v>0</v>
      </c>
      <c r="CU69" s="167">
        <f t="shared" si="262"/>
        <v>0</v>
      </c>
      <c r="CV69" s="167">
        <f t="shared" ref="CV69:CV125" si="318">IF(AND($F69&gt;0,$F69&lt;=CZ$4),$E69,0)</f>
        <v>0</v>
      </c>
      <c r="CW69" s="167">
        <f t="shared" si="263"/>
        <v>0</v>
      </c>
      <c r="CX69" s="167">
        <f t="shared" ref="CX69:CX125" si="319">IF(AND(YEAR($F69)=YEAR(CZ$4),$E69&lt;1000,$E69&gt;-1000,$F69&gt;0,$K69=1),$E69-$I69,IF(AND(YEAR($F69)=YEAR(CZ$4),$F69&gt;0,$K69&gt;0),ROUND(($L69/12)*(13-MONTH($F69)),2),IF(AND(YEAR($F69)&lt;YEAR(CZ$4),$E69&gt;0,$F69&gt;0,$K69&gt;0,CM69&gt;$L69+$I69),$L69,IF(AND(YEAR($F69)&lt;YEAR(CZ$4),$E69&gt;0,$F69&gt;0,$K69&gt;0,CM69&gt;0,CM69&lt;=$L69+$I69),CM69-$I69,IF(AND(YEAR($F69)&lt;YEAR(CZ$4),$E69&lt;0,$F69&gt;0,$K69&gt;0,CM69&lt;0,CM69&lt;=$L69),$L69,IF(AND(YEAR($F69)&lt;YEAR(CZ$4),$E69&lt;0,$F69&gt;0,$K69&gt;0,CM69&lt;0,CM69&gt;$L69),CM69,0))))))</f>
        <v>0</v>
      </c>
      <c r="CY69" s="167">
        <f t="shared" si="264"/>
        <v>0</v>
      </c>
      <c r="CZ69" s="167">
        <f t="shared" ref="CZ69:CZ125" si="320">IF(AND(YEAR(CZ$4)=YEAR($F69),$E69&gt;0,$F69&gt;0,$E69-CX69&gt;=0),$E69-CX69,IF(AND(YEAR(CZ$4)&gt;YEAR($F69),$E69&gt;0,$F69&gt;0,CM69-CX69&gt;=0),CM69-CX69,IF(AND(YEAR(CZ$4)=YEAR($F69),$E69&lt;0,$F69&gt;0,$E69-CX69&lt;0),$E69-CX69,IF(AND(YEAR(CZ$4)&gt;YEAR($F69),$E69&lt;0,$F69&gt;0,CM69-CX69&lt;=0),CM69-CX69,0))))</f>
        <v>0</v>
      </c>
      <c r="DA69" s="167">
        <f t="shared" si="265"/>
        <v>0</v>
      </c>
      <c r="DB69" s="170">
        <f t="shared" ref="DB69:DB125" si="321">CO69+CX69</f>
        <v>0</v>
      </c>
      <c r="DC69" s="167">
        <f t="shared" ref="DC69:DC125" si="322">IF(AND(CR69&lt;&gt;0,$J69="H",$L69=0),CT69,IF(AND(YEAR(CZ$4)&gt;YEAR($F69),$J69="H",$F69&gt;0,$L69=0),$E69,0))</f>
        <v>0</v>
      </c>
      <c r="DD69" s="171">
        <f t="shared" ref="DD69:DD125" si="323">IF(AND(YEAR(CZ$4)&gt;=YEAR($F69),$E69&gt;0,$F69&gt;0,CX69&gt;0,$J69="H"),ROUND(CX69/$L69*$E69,2),IF(AND(YEAR(CZ$4)&gt;=YEAR($F69),$E69&lt;0,$F69&gt;0,CX69&lt;0,$J69="H"),ROUND(CX69/$L69*$E69,2),0))</f>
        <v>0</v>
      </c>
      <c r="DE69" s="169">
        <f t="shared" si="316"/>
        <v>0</v>
      </c>
      <c r="DF69" s="167">
        <f t="shared" si="266"/>
        <v>0</v>
      </c>
      <c r="DG69" s="167">
        <f t="shared" ref="DG69:DG125" si="324">IF(DE69&lt;&gt;0,ROUND(DE69*(DAYS360($F69,DM$4)/DAYS360(CZ$4,DM$4)),2),0)</f>
        <v>0</v>
      </c>
      <c r="DH69" s="167">
        <f t="shared" si="267"/>
        <v>0</v>
      </c>
      <c r="DI69" s="167">
        <f t="shared" ref="DI69:DI125" si="325">IF(AND($F69&gt;0,$F69&lt;=DM$4),$E69,0)</f>
        <v>0</v>
      </c>
      <c r="DJ69" s="167">
        <f t="shared" si="268"/>
        <v>0</v>
      </c>
      <c r="DK69" s="167">
        <f t="shared" ref="DK69:DK125" si="326">IF(AND(YEAR($F69)=YEAR(DM$4),$E69&lt;1000,$E69&gt;-1000,$F69&gt;0,$K69=1),$E69-$I69,IF(AND(YEAR($F69)=YEAR(DM$4),$F69&gt;0,$K69&gt;0),ROUND(($L69/12)*(13-MONTH($F69)),2),IF(AND(YEAR($F69)&lt;YEAR(DM$4),$E69&gt;0,$F69&gt;0,$K69&gt;0,CZ69&gt;$L69+$I69),$L69,IF(AND(YEAR($F69)&lt;YEAR(DM$4),$E69&gt;0,$F69&gt;0,$K69&gt;0,CZ69&gt;0,CZ69&lt;=$L69+$I69),CZ69-$I69,IF(AND(YEAR($F69)&lt;YEAR(DM$4),$E69&lt;0,$F69&gt;0,$K69&gt;0,CZ69&lt;0,CZ69&lt;=$L69),$L69,IF(AND(YEAR($F69)&lt;YEAR(DM$4),$E69&lt;0,$F69&gt;0,$K69&gt;0,CZ69&lt;0,CZ69&gt;$L69),CZ69,0))))))</f>
        <v>0</v>
      </c>
      <c r="DL69" s="167">
        <f t="shared" si="269"/>
        <v>0</v>
      </c>
      <c r="DM69" s="167">
        <f t="shared" ref="DM69:DM125" si="327">IF(AND(YEAR(DM$4)=YEAR($F69),$E69&gt;0,$F69&gt;0,$E69-DK69&gt;=0),$E69-DK69,IF(AND(YEAR(DM$4)&gt;YEAR($F69),$E69&gt;0,$F69&gt;0,CZ69-DK69&gt;=0),CZ69-DK69,IF(AND(YEAR(DM$4)=YEAR($F69),$E69&lt;0,$F69&gt;0,$E69-DK69&lt;0),$E69-DK69,IF(AND(YEAR(DM$4)&gt;YEAR($F69),$E69&lt;0,$F69&gt;0,CZ69-DK69&lt;=0),CZ69-DK69,0))))</f>
        <v>0</v>
      </c>
      <c r="DN69" s="167">
        <f t="shared" si="270"/>
        <v>0</v>
      </c>
      <c r="DO69" s="170">
        <f t="shared" ref="DO69:DO125" si="328">DB69+DK69</f>
        <v>0</v>
      </c>
      <c r="DP69" s="167">
        <f t="shared" ref="DP69:DP125" si="329">IF(AND(DE69&lt;&gt;0,$J69="H",$L69=0),DG69,IF(AND(YEAR(DM$4)&gt;YEAR($F69),$J69="H",$F69&gt;0,$L69=0),$E69,0))</f>
        <v>0</v>
      </c>
      <c r="DQ69" s="171">
        <f t="shared" ref="DQ69:DQ125" si="330">IF(AND(YEAR(DM$4)&gt;=YEAR($F69),$E69&gt;0,$F69&gt;0,DK69&gt;0,$J69="H"),ROUND(DK69/$L69*$E69,2),IF(AND(YEAR(DM$4)&gt;=YEAR($F69),$E69&lt;0,$F69&gt;0,DK69&lt;0,$J69="H"),ROUND(DK69/$L69*$E69,2),0))</f>
        <v>0</v>
      </c>
      <c r="DR69" s="169">
        <f t="shared" si="316"/>
        <v>0</v>
      </c>
      <c r="DS69" s="167">
        <f t="shared" si="271"/>
        <v>0</v>
      </c>
      <c r="DT69" s="167">
        <f t="shared" ref="DT69:DT125" si="331">IF(DR69&lt;&gt;0,ROUND(DR69*(DAYS360($F69,DZ$4)/DAYS360(DM$4,DZ$4)),2),0)</f>
        <v>0</v>
      </c>
      <c r="DU69" s="167">
        <f t="shared" si="272"/>
        <v>0</v>
      </c>
      <c r="DV69" s="167">
        <f t="shared" ref="DV69:DV125" si="332">IF(AND($F69&gt;0,$F69&lt;=DZ$4),$E69,0)</f>
        <v>0</v>
      </c>
      <c r="DW69" s="167">
        <f t="shared" si="273"/>
        <v>0</v>
      </c>
      <c r="DX69" s="167">
        <f t="shared" ref="DX69:DX125" si="333">IF(AND(YEAR($F69)=YEAR(DZ$4),$E69&lt;1000,$E69&gt;-1000,$F69&gt;0,$K69=1),$E69-$I69,IF(AND(YEAR($F69)=YEAR(DZ$4),$F69&gt;0,$K69&gt;0),ROUND(($L69/12)*(13-MONTH($F69)),2),IF(AND(YEAR($F69)&lt;YEAR(DZ$4),$E69&gt;0,$F69&gt;0,$K69&gt;0,DM69&gt;$L69+$I69),$L69,IF(AND(YEAR($F69)&lt;YEAR(DZ$4),$E69&gt;0,$F69&gt;0,$K69&gt;0,DM69&gt;0,DM69&lt;=$L69+$I69),DM69-$I69,IF(AND(YEAR($F69)&lt;YEAR(DZ$4),$E69&lt;0,$F69&gt;0,$K69&gt;0,DM69&lt;0,DM69&lt;=$L69),$L69,IF(AND(YEAR($F69)&lt;YEAR(DZ$4),$E69&lt;0,$F69&gt;0,$K69&gt;0,DM69&lt;0,DM69&gt;$L69),DM69,0))))))</f>
        <v>0</v>
      </c>
      <c r="DY69" s="167">
        <f t="shared" si="274"/>
        <v>0</v>
      </c>
      <c r="DZ69" s="167">
        <f t="shared" ref="DZ69:DZ125" si="334">IF(AND(YEAR(DZ$4)=YEAR($F69),$E69&gt;0,$F69&gt;0,$E69-DX69&gt;=0),$E69-DX69,IF(AND(YEAR(DZ$4)&gt;YEAR($F69),$E69&gt;0,$F69&gt;0,DM69-DX69&gt;=0),DM69-DX69,IF(AND(YEAR(DZ$4)=YEAR($F69),$E69&lt;0,$F69&gt;0,$E69-DX69&lt;0),$E69-DX69,IF(AND(YEAR(DZ$4)&gt;YEAR($F69),$E69&lt;0,$F69&gt;0,DM69-DX69&lt;=0),DM69-DX69,0))))</f>
        <v>0</v>
      </c>
      <c r="EA69" s="167">
        <f t="shared" si="275"/>
        <v>0</v>
      </c>
      <c r="EB69" s="170">
        <f t="shared" ref="EB69:EB125" si="335">DO69+DX69</f>
        <v>0</v>
      </c>
      <c r="EC69" s="167">
        <f t="shared" ref="EC69:EC125" si="336">IF(AND(DR69&lt;&gt;0,$J69="H",$L69=0),DT69,IF(AND(YEAR(DZ$4)&gt;YEAR($F69),$J69="H",$F69&gt;0,$L69=0),$E69,0))</f>
        <v>0</v>
      </c>
      <c r="ED69" s="171">
        <f t="shared" ref="ED69:ED125" si="337">IF(AND(YEAR(DZ$4)&gt;=YEAR($F69),$E69&gt;0,$F69&gt;0,DX69&gt;0,$J69="H"),ROUND(DX69/$L69*$E69,2),IF(AND(YEAR(DZ$4)&gt;=YEAR($F69),$E69&lt;0,$F69&gt;0,DX69&lt;0,$J69="H"),ROUND(DX69/$L69*$E69,2),0))</f>
        <v>0</v>
      </c>
    </row>
    <row r="70" spans="1:134" x14ac:dyDescent="0.3">
      <c r="A70" s="196"/>
      <c r="B70" s="196"/>
      <c r="C70" s="616"/>
      <c r="D70" s="188"/>
      <c r="E70" s="624"/>
      <c r="F70" s="190"/>
      <c r="G70" s="625"/>
      <c r="H70" s="192"/>
      <c r="I70" s="193"/>
      <c r="J70" s="194"/>
      <c r="K70" s="165">
        <f t="shared" ref="K70:K125" si="338">IF(AND(G70&gt;0,G70&lt;=1,H70=0),1,IF(H70&gt;=1,1,IF(AND(H70&gt;0,H70&lt;1),H70,IF(AND(G70&gt;1,OR(H70=0,H70="")),ROUND(1/G70,4),0))))</f>
        <v>0</v>
      </c>
      <c r="L70" s="166">
        <f t="shared" ref="L70:L125" si="339">IF(AND(E70&gt;0,F70&gt;0,OR(G70&gt;0,H70&gt;0)),ROUND((E70-I70)*K70,2),IF(AND(E70&lt;0,F70&gt;0,OR(G70&gt;0,H70&gt;0)),ROUND(E70*K70,2),0))</f>
        <v>0</v>
      </c>
      <c r="M70" s="167">
        <f t="shared" ref="M70:M125" si="340">IF(AND(E70-O70&gt;=0,F70&gt;0,YEAR(M$4)&gt;=YEAR(F70)),E70-O70,IF(AND(E70-O70&lt;0,F70&gt;0,YEAR(M$4)&gt;=YEAR(F70)),E70-O70,0))</f>
        <v>0</v>
      </c>
      <c r="N70" s="167"/>
      <c r="O70" s="167">
        <f t="shared" ref="O70:O125" si="341">IF(AND(YEAR(F70)&lt;=YEAR(M$4),E70&lt;1000,E70&gt;-1000,F70&gt;0,K70=1),E70-I70,IF(AND(YEAR(F70)&lt;=YEAR(M$4),E70&gt;0,F70&gt;0,K70&gt;0,E70&gt;L70*(YEAR(M$4)-YEAR(F70))+ROUND((L70/12)*(13-MONTH(F70)),2)+I70),L70*(YEAR(M$4)-YEAR(F70))+ROUND((L70/12)*(13-MONTH(F70)),2),IF(AND(YEAR(F70)&lt;=YEAR(M$4),E70&gt;0,F70&gt;0,K70&gt;0,E70&lt;=(L70*(YEAR(M$4)-YEAR(F70)+ROUND((L70/12)*(13-MONTH(F70)),2)))+I70),E70-I70,IF(AND(YEAR(F70)&lt;=YEAR(M$4),E70&lt;0,F70&gt;0,K70&gt;0,E70&lt;L70*(YEAR(M$4)-YEAR(F70))+ROUND((L70/12)*(13-MONTH(F70)),2)+I70),L70*(YEAR(M$4)-YEAR(F70))+ROUND((L70/12)*(13-MONTH(F70)),2),IF(AND(YEAR(F70)&lt;=YEAR(M$4),E70&lt;0,F70&gt;0,K70&gt;0,E70&lt;=(L70*(YEAR(M$4)-YEAR(F70)+ROUND((L70/12)*(13-MONTH(F70)),2)))),E70,0)))))</f>
        <v>0</v>
      </c>
      <c r="P70" s="168"/>
      <c r="Q70" s="167">
        <f t="shared" ref="Q70:Q125" si="342">IF(AND($F70&gt;0,$F70&lt;=O$4),$E70,0)</f>
        <v>0</v>
      </c>
      <c r="R70" s="169">
        <f t="shared" ref="R70:R125" si="343">IF(YEAR($F70)=R$4,$E70,0)</f>
        <v>0</v>
      </c>
      <c r="S70" s="167">
        <f t="shared" ref="S70:S125" si="344">IF($J70&lt;&gt;"H",R70,0)</f>
        <v>0</v>
      </c>
      <c r="T70" s="167">
        <f t="shared" ref="T70:T125" si="345">IF(R70&lt;&gt;0,ROUND(R70*(DAYS360($F70,Z$4)/DAYS360(M$4,Z$4)),2),0)</f>
        <v>0</v>
      </c>
      <c r="U70" s="167">
        <f t="shared" ref="U70:U125" si="346">IF($J70&lt;&gt;"H",T70,0)</f>
        <v>0</v>
      </c>
      <c r="V70" s="167">
        <f t="shared" ref="V70:V125" si="347">IF(AND($F70&gt;0,$F70&lt;=Z$4),$E70,0)</f>
        <v>0</v>
      </c>
      <c r="W70" s="167">
        <f t="shared" ref="W70:W125" si="348">IF(X70&lt;&gt;0,ROUND(X70/$L70*V70,2),0)</f>
        <v>0</v>
      </c>
      <c r="X70" s="167">
        <f t="shared" ref="X70:X125" si="349">IF(AND(YEAR($F70)=YEAR(Z$4),$E70&lt;1000,$E70&gt;-1000,$F70&gt;0,$K70=1),$E70-$I70,IF(AND(YEAR($F70)=YEAR(Z$4),$F70&gt;0,$K70&gt;0),ROUND(($L70/12)*(13-MONTH($F70)),2),IF(AND(YEAR($F70)&lt;YEAR(Z$4),$E70&gt;0,$F70&gt;0,$K70&gt;0,M70&gt;$L70+$I70),$L70,IF(AND(YEAR($F70)&lt;YEAR(Z$4),$E70&gt;0,$F70&gt;0,$K70&gt;0,M70&gt;0,M70&lt;=$L70+$I70),M70-$I70,IF(AND(YEAR($F70)&lt;YEAR(Z$4),$E70&lt;0,$F70&gt;0,$K70&gt;0,M70&lt;0,M70&lt;=$L70),$L70,IF(AND(YEAR($F70)&lt;YEAR(Z$4),$E70&lt;0,$F70&gt;0,$K70&gt;0,M70&lt;0,M70&gt;$L70),M70,0))))))</f>
        <v>0</v>
      </c>
      <c r="Y70" s="167">
        <f t="shared" ref="Y70:Y125" si="350">IF($J70&lt;&gt;"H",X70,0)</f>
        <v>0</v>
      </c>
      <c r="Z70" s="167">
        <f t="shared" ref="Z70:Z125" si="351">IF(AND(YEAR(Z$4)=YEAR($F70),$E70&gt;0,$F70&gt;0,$E70-X70&gt;=0),$E70-X70,IF(AND(YEAR(Z$4)&gt;YEAR($F70),$E70&gt;0,$F70&gt;0,M70-X70&gt;=0),M70-X70,IF(AND(YEAR(Z$4)=YEAR($F70),$E70&lt;0,$F70&gt;0,$E70-X70&lt;0),$E70-X70,IF(AND(YEAR(Z$4)&gt;YEAR($F70),$E70&lt;0,$F70&gt;0,M70-X70&lt;=0),M70-X70,0))))</f>
        <v>0</v>
      </c>
      <c r="AA70" s="167">
        <f t="shared" ref="AA70:AA125" si="352">IF($J70&lt;&gt;"H",Z70,0)</f>
        <v>0</v>
      </c>
      <c r="AB70" s="170">
        <f t="shared" ref="AB70:AB125" si="353">O70+X70</f>
        <v>0</v>
      </c>
      <c r="AC70" s="167">
        <f t="shared" ref="AC70:AC125" si="354">IF(AND(R70&lt;&gt;0,$J70="H",$L70=0),T70,IF(AND(YEAR(Z$4)&gt;YEAR($F70),$J70="H",$F70&gt;0,$L70=0),$E70,0))</f>
        <v>0</v>
      </c>
      <c r="AD70" s="171">
        <f t="shared" ref="AD70:AD125" si="355">IF(AND(YEAR(Z$4)&gt;=YEAR($F70),$E70&gt;0,$F70&gt;0,X70&gt;0,$J70="H"),ROUND(X70/$L70*$E70,2),IF(AND(YEAR(Z$4)&gt;=YEAR($F70),$E70&lt;0,$F70&gt;0,X70&lt;0,$J70="H"),ROUND(X70/$L70*$E70,2),0))</f>
        <v>0</v>
      </c>
      <c r="AE70" s="169">
        <f t="shared" si="280"/>
        <v>0</v>
      </c>
      <c r="AF70" s="167">
        <f t="shared" si="235"/>
        <v>0</v>
      </c>
      <c r="AG70" s="167">
        <f t="shared" si="281"/>
        <v>0</v>
      </c>
      <c r="AH70" s="167">
        <f t="shared" si="236"/>
        <v>0</v>
      </c>
      <c r="AI70" s="167">
        <f t="shared" si="282"/>
        <v>0</v>
      </c>
      <c r="AJ70" s="167">
        <f t="shared" si="237"/>
        <v>0</v>
      </c>
      <c r="AK70" s="167">
        <f t="shared" si="283"/>
        <v>0</v>
      </c>
      <c r="AL70" s="167">
        <f t="shared" si="238"/>
        <v>0</v>
      </c>
      <c r="AM70" s="167">
        <f t="shared" si="284"/>
        <v>0</v>
      </c>
      <c r="AN70" s="167">
        <f t="shared" si="239"/>
        <v>0</v>
      </c>
      <c r="AO70" s="170">
        <f t="shared" si="285"/>
        <v>0</v>
      </c>
      <c r="AP70" s="167">
        <f t="shared" si="286"/>
        <v>0</v>
      </c>
      <c r="AQ70" s="171">
        <f t="shared" si="287"/>
        <v>0</v>
      </c>
      <c r="AR70" s="169">
        <f t="shared" si="280"/>
        <v>0</v>
      </c>
      <c r="AS70" s="167">
        <f t="shared" si="240"/>
        <v>0</v>
      </c>
      <c r="AT70" s="167">
        <f t="shared" si="288"/>
        <v>0</v>
      </c>
      <c r="AU70" s="167">
        <f t="shared" si="241"/>
        <v>0</v>
      </c>
      <c r="AV70" s="167">
        <f t="shared" si="289"/>
        <v>0</v>
      </c>
      <c r="AW70" s="167">
        <f t="shared" si="242"/>
        <v>0</v>
      </c>
      <c r="AX70" s="167">
        <f t="shared" si="290"/>
        <v>0</v>
      </c>
      <c r="AY70" s="167">
        <f t="shared" si="243"/>
        <v>0</v>
      </c>
      <c r="AZ70" s="167">
        <f t="shared" si="291"/>
        <v>0</v>
      </c>
      <c r="BA70" s="167">
        <f t="shared" si="244"/>
        <v>0</v>
      </c>
      <c r="BB70" s="170">
        <f t="shared" si="292"/>
        <v>0</v>
      </c>
      <c r="BC70" s="167">
        <f t="shared" si="293"/>
        <v>0</v>
      </c>
      <c r="BD70" s="171">
        <f t="shared" si="294"/>
        <v>0</v>
      </c>
      <c r="BE70" s="169">
        <f t="shared" si="280"/>
        <v>0</v>
      </c>
      <c r="BF70" s="167">
        <f t="shared" si="245"/>
        <v>0</v>
      </c>
      <c r="BG70" s="167">
        <f t="shared" si="295"/>
        <v>0</v>
      </c>
      <c r="BH70" s="167">
        <f t="shared" si="246"/>
        <v>0</v>
      </c>
      <c r="BI70" s="167">
        <f t="shared" si="296"/>
        <v>0</v>
      </c>
      <c r="BJ70" s="167">
        <f t="shared" si="247"/>
        <v>0</v>
      </c>
      <c r="BK70" s="167">
        <f t="shared" si="297"/>
        <v>0</v>
      </c>
      <c r="BL70" s="167">
        <f t="shared" si="248"/>
        <v>0</v>
      </c>
      <c r="BM70" s="167">
        <f t="shared" si="298"/>
        <v>0</v>
      </c>
      <c r="BN70" s="167">
        <f t="shared" si="249"/>
        <v>0</v>
      </c>
      <c r="BO70" s="170">
        <f t="shared" si="299"/>
        <v>0</v>
      </c>
      <c r="BP70" s="167">
        <f t="shared" si="300"/>
        <v>0</v>
      </c>
      <c r="BQ70" s="171">
        <f t="shared" si="301"/>
        <v>0</v>
      </c>
      <c r="BR70" s="169">
        <f t="shared" si="280"/>
        <v>0</v>
      </c>
      <c r="BS70" s="167">
        <f t="shared" si="250"/>
        <v>0</v>
      </c>
      <c r="BT70" s="167">
        <f t="shared" si="302"/>
        <v>0</v>
      </c>
      <c r="BU70" s="167">
        <f t="shared" si="251"/>
        <v>0</v>
      </c>
      <c r="BV70" s="167">
        <f t="shared" si="303"/>
        <v>0</v>
      </c>
      <c r="BW70" s="167">
        <f t="shared" si="252"/>
        <v>0</v>
      </c>
      <c r="BX70" s="167">
        <f t="shared" si="304"/>
        <v>0</v>
      </c>
      <c r="BY70" s="167">
        <f t="shared" si="253"/>
        <v>0</v>
      </c>
      <c r="BZ70" s="167">
        <f t="shared" si="305"/>
        <v>0</v>
      </c>
      <c r="CA70" s="167">
        <f t="shared" si="254"/>
        <v>0</v>
      </c>
      <c r="CB70" s="170">
        <f t="shared" si="306"/>
        <v>0</v>
      </c>
      <c r="CC70" s="167">
        <f t="shared" si="307"/>
        <v>0</v>
      </c>
      <c r="CD70" s="171">
        <f t="shared" si="308"/>
        <v>0</v>
      </c>
      <c r="CE70" s="169">
        <f t="shared" si="280"/>
        <v>0</v>
      </c>
      <c r="CF70" s="167">
        <f t="shared" si="255"/>
        <v>0</v>
      </c>
      <c r="CG70" s="167">
        <f t="shared" si="309"/>
        <v>0</v>
      </c>
      <c r="CH70" s="167">
        <f t="shared" si="256"/>
        <v>0</v>
      </c>
      <c r="CI70" s="167">
        <f t="shared" si="310"/>
        <v>0</v>
      </c>
      <c r="CJ70" s="167">
        <f t="shared" si="257"/>
        <v>0</v>
      </c>
      <c r="CK70" s="167">
        <f t="shared" si="311"/>
        <v>0</v>
      </c>
      <c r="CL70" s="167">
        <f t="shared" si="258"/>
        <v>0</v>
      </c>
      <c r="CM70" s="167">
        <f t="shared" si="312"/>
        <v>0</v>
      </c>
      <c r="CN70" s="167">
        <f t="shared" si="259"/>
        <v>0</v>
      </c>
      <c r="CO70" s="170">
        <f t="shared" si="313"/>
        <v>0</v>
      </c>
      <c r="CP70" s="167">
        <f t="shared" si="314"/>
        <v>0</v>
      </c>
      <c r="CQ70" s="171">
        <f t="shared" si="315"/>
        <v>0</v>
      </c>
      <c r="CR70" s="169">
        <f t="shared" si="316"/>
        <v>0</v>
      </c>
      <c r="CS70" s="167">
        <f t="shared" si="261"/>
        <v>0</v>
      </c>
      <c r="CT70" s="167">
        <f t="shared" si="317"/>
        <v>0</v>
      </c>
      <c r="CU70" s="167">
        <f t="shared" si="262"/>
        <v>0</v>
      </c>
      <c r="CV70" s="167">
        <f t="shared" si="318"/>
        <v>0</v>
      </c>
      <c r="CW70" s="167">
        <f t="shared" si="263"/>
        <v>0</v>
      </c>
      <c r="CX70" s="167">
        <f t="shared" si="319"/>
        <v>0</v>
      </c>
      <c r="CY70" s="167">
        <f t="shared" si="264"/>
        <v>0</v>
      </c>
      <c r="CZ70" s="167">
        <f t="shared" si="320"/>
        <v>0</v>
      </c>
      <c r="DA70" s="167">
        <f t="shared" si="265"/>
        <v>0</v>
      </c>
      <c r="DB70" s="170">
        <f t="shared" si="321"/>
        <v>0</v>
      </c>
      <c r="DC70" s="167">
        <f t="shared" si="322"/>
        <v>0</v>
      </c>
      <c r="DD70" s="171">
        <f t="shared" si="323"/>
        <v>0</v>
      </c>
      <c r="DE70" s="169">
        <f t="shared" si="316"/>
        <v>0</v>
      </c>
      <c r="DF70" s="167">
        <f t="shared" si="266"/>
        <v>0</v>
      </c>
      <c r="DG70" s="167">
        <f t="shared" si="324"/>
        <v>0</v>
      </c>
      <c r="DH70" s="167">
        <f t="shared" si="267"/>
        <v>0</v>
      </c>
      <c r="DI70" s="167">
        <f t="shared" si="325"/>
        <v>0</v>
      </c>
      <c r="DJ70" s="167">
        <f t="shared" si="268"/>
        <v>0</v>
      </c>
      <c r="DK70" s="167">
        <f t="shared" si="326"/>
        <v>0</v>
      </c>
      <c r="DL70" s="167">
        <f t="shared" si="269"/>
        <v>0</v>
      </c>
      <c r="DM70" s="167">
        <f t="shared" si="327"/>
        <v>0</v>
      </c>
      <c r="DN70" s="167">
        <f t="shared" si="270"/>
        <v>0</v>
      </c>
      <c r="DO70" s="170">
        <f t="shared" si="328"/>
        <v>0</v>
      </c>
      <c r="DP70" s="167">
        <f t="shared" si="329"/>
        <v>0</v>
      </c>
      <c r="DQ70" s="171">
        <f t="shared" si="330"/>
        <v>0</v>
      </c>
      <c r="DR70" s="169">
        <f t="shared" si="316"/>
        <v>0</v>
      </c>
      <c r="DS70" s="167">
        <f t="shared" si="271"/>
        <v>0</v>
      </c>
      <c r="DT70" s="167">
        <f t="shared" si="331"/>
        <v>0</v>
      </c>
      <c r="DU70" s="167">
        <f t="shared" si="272"/>
        <v>0</v>
      </c>
      <c r="DV70" s="167">
        <f t="shared" si="332"/>
        <v>0</v>
      </c>
      <c r="DW70" s="167">
        <f t="shared" si="273"/>
        <v>0</v>
      </c>
      <c r="DX70" s="167">
        <f t="shared" si="333"/>
        <v>0</v>
      </c>
      <c r="DY70" s="167">
        <f t="shared" si="274"/>
        <v>0</v>
      </c>
      <c r="DZ70" s="167">
        <f t="shared" si="334"/>
        <v>0</v>
      </c>
      <c r="EA70" s="167">
        <f t="shared" si="275"/>
        <v>0</v>
      </c>
      <c r="EB70" s="170">
        <f t="shared" si="335"/>
        <v>0</v>
      </c>
      <c r="EC70" s="167">
        <f t="shared" si="336"/>
        <v>0</v>
      </c>
      <c r="ED70" s="171">
        <f t="shared" si="337"/>
        <v>0</v>
      </c>
    </row>
    <row r="71" spans="1:134" x14ac:dyDescent="0.3">
      <c r="A71" s="196"/>
      <c r="B71" s="196"/>
      <c r="C71" s="196"/>
      <c r="D71" s="188"/>
      <c r="E71" s="189"/>
      <c r="F71" s="190"/>
      <c r="G71" s="191"/>
      <c r="H71" s="192"/>
      <c r="I71" s="193"/>
      <c r="J71" s="194"/>
      <c r="K71" s="165">
        <f t="shared" si="338"/>
        <v>0</v>
      </c>
      <c r="L71" s="166">
        <f t="shared" si="339"/>
        <v>0</v>
      </c>
      <c r="M71" s="167">
        <f t="shared" si="340"/>
        <v>0</v>
      </c>
      <c r="N71" s="167"/>
      <c r="O71" s="167">
        <f t="shared" si="341"/>
        <v>0</v>
      </c>
      <c r="P71" s="168"/>
      <c r="Q71" s="167">
        <f t="shared" si="342"/>
        <v>0</v>
      </c>
      <c r="R71" s="169">
        <f t="shared" si="343"/>
        <v>0</v>
      </c>
      <c r="S71" s="167">
        <f t="shared" si="344"/>
        <v>0</v>
      </c>
      <c r="T71" s="167">
        <f t="shared" si="345"/>
        <v>0</v>
      </c>
      <c r="U71" s="167">
        <f t="shared" si="346"/>
        <v>0</v>
      </c>
      <c r="V71" s="167">
        <f t="shared" si="347"/>
        <v>0</v>
      </c>
      <c r="W71" s="167">
        <f t="shared" si="348"/>
        <v>0</v>
      </c>
      <c r="X71" s="167">
        <f t="shared" si="349"/>
        <v>0</v>
      </c>
      <c r="Y71" s="167">
        <f t="shared" si="350"/>
        <v>0</v>
      </c>
      <c r="Z71" s="167">
        <f t="shared" si="351"/>
        <v>0</v>
      </c>
      <c r="AA71" s="167">
        <f t="shared" si="352"/>
        <v>0</v>
      </c>
      <c r="AB71" s="170">
        <f t="shared" si="353"/>
        <v>0</v>
      </c>
      <c r="AC71" s="167">
        <f t="shared" si="354"/>
        <v>0</v>
      </c>
      <c r="AD71" s="171">
        <f t="shared" si="355"/>
        <v>0</v>
      </c>
      <c r="AE71" s="169">
        <f t="shared" si="280"/>
        <v>0</v>
      </c>
      <c r="AF71" s="167">
        <f t="shared" si="235"/>
        <v>0</v>
      </c>
      <c r="AG71" s="167">
        <f t="shared" si="281"/>
        <v>0</v>
      </c>
      <c r="AH71" s="167">
        <f t="shared" si="236"/>
        <v>0</v>
      </c>
      <c r="AI71" s="167">
        <f t="shared" si="282"/>
        <v>0</v>
      </c>
      <c r="AJ71" s="167">
        <f t="shared" si="237"/>
        <v>0</v>
      </c>
      <c r="AK71" s="167">
        <f t="shared" si="283"/>
        <v>0</v>
      </c>
      <c r="AL71" s="167">
        <f t="shared" si="238"/>
        <v>0</v>
      </c>
      <c r="AM71" s="167">
        <f t="shared" si="284"/>
        <v>0</v>
      </c>
      <c r="AN71" s="167">
        <f t="shared" si="239"/>
        <v>0</v>
      </c>
      <c r="AO71" s="170">
        <f t="shared" si="285"/>
        <v>0</v>
      </c>
      <c r="AP71" s="167">
        <f t="shared" si="286"/>
        <v>0</v>
      </c>
      <c r="AQ71" s="171">
        <f t="shared" si="287"/>
        <v>0</v>
      </c>
      <c r="AR71" s="169">
        <f t="shared" si="280"/>
        <v>0</v>
      </c>
      <c r="AS71" s="167">
        <f t="shared" si="240"/>
        <v>0</v>
      </c>
      <c r="AT71" s="167">
        <f t="shared" si="288"/>
        <v>0</v>
      </c>
      <c r="AU71" s="167">
        <f t="shared" si="241"/>
        <v>0</v>
      </c>
      <c r="AV71" s="167">
        <f t="shared" si="289"/>
        <v>0</v>
      </c>
      <c r="AW71" s="167">
        <f t="shared" si="242"/>
        <v>0</v>
      </c>
      <c r="AX71" s="167">
        <f t="shared" si="290"/>
        <v>0</v>
      </c>
      <c r="AY71" s="167">
        <f t="shared" si="243"/>
        <v>0</v>
      </c>
      <c r="AZ71" s="167">
        <f t="shared" si="291"/>
        <v>0</v>
      </c>
      <c r="BA71" s="167">
        <f t="shared" si="244"/>
        <v>0</v>
      </c>
      <c r="BB71" s="170">
        <f t="shared" si="292"/>
        <v>0</v>
      </c>
      <c r="BC71" s="167">
        <f t="shared" si="293"/>
        <v>0</v>
      </c>
      <c r="BD71" s="171">
        <f t="shared" si="294"/>
        <v>0</v>
      </c>
      <c r="BE71" s="169">
        <f t="shared" si="280"/>
        <v>0</v>
      </c>
      <c r="BF71" s="167">
        <f t="shared" si="245"/>
        <v>0</v>
      </c>
      <c r="BG71" s="167">
        <f t="shared" si="295"/>
        <v>0</v>
      </c>
      <c r="BH71" s="167">
        <f t="shared" si="246"/>
        <v>0</v>
      </c>
      <c r="BI71" s="167">
        <f t="shared" si="296"/>
        <v>0</v>
      </c>
      <c r="BJ71" s="167">
        <f t="shared" si="247"/>
        <v>0</v>
      </c>
      <c r="BK71" s="167">
        <f t="shared" si="297"/>
        <v>0</v>
      </c>
      <c r="BL71" s="167">
        <f t="shared" si="248"/>
        <v>0</v>
      </c>
      <c r="BM71" s="167">
        <f t="shared" si="298"/>
        <v>0</v>
      </c>
      <c r="BN71" s="167">
        <f t="shared" si="249"/>
        <v>0</v>
      </c>
      <c r="BO71" s="170">
        <f t="shared" si="299"/>
        <v>0</v>
      </c>
      <c r="BP71" s="167">
        <f t="shared" si="300"/>
        <v>0</v>
      </c>
      <c r="BQ71" s="171">
        <f t="shared" si="301"/>
        <v>0</v>
      </c>
      <c r="BR71" s="169">
        <f t="shared" si="280"/>
        <v>0</v>
      </c>
      <c r="BS71" s="167">
        <f t="shared" si="250"/>
        <v>0</v>
      </c>
      <c r="BT71" s="167">
        <f t="shared" si="302"/>
        <v>0</v>
      </c>
      <c r="BU71" s="167">
        <f t="shared" si="251"/>
        <v>0</v>
      </c>
      <c r="BV71" s="167">
        <f t="shared" si="303"/>
        <v>0</v>
      </c>
      <c r="BW71" s="167">
        <f t="shared" si="252"/>
        <v>0</v>
      </c>
      <c r="BX71" s="167">
        <f t="shared" si="304"/>
        <v>0</v>
      </c>
      <c r="BY71" s="167">
        <f t="shared" si="253"/>
        <v>0</v>
      </c>
      <c r="BZ71" s="167">
        <f t="shared" si="305"/>
        <v>0</v>
      </c>
      <c r="CA71" s="167">
        <f t="shared" si="254"/>
        <v>0</v>
      </c>
      <c r="CB71" s="170">
        <f t="shared" si="306"/>
        <v>0</v>
      </c>
      <c r="CC71" s="167">
        <f t="shared" si="307"/>
        <v>0</v>
      </c>
      <c r="CD71" s="171">
        <f t="shared" si="308"/>
        <v>0</v>
      </c>
      <c r="CE71" s="169">
        <f t="shared" si="280"/>
        <v>0</v>
      </c>
      <c r="CF71" s="167">
        <f t="shared" si="255"/>
        <v>0</v>
      </c>
      <c r="CG71" s="167">
        <f t="shared" si="309"/>
        <v>0</v>
      </c>
      <c r="CH71" s="167">
        <f t="shared" si="256"/>
        <v>0</v>
      </c>
      <c r="CI71" s="167">
        <f t="shared" si="310"/>
        <v>0</v>
      </c>
      <c r="CJ71" s="167">
        <f t="shared" si="257"/>
        <v>0</v>
      </c>
      <c r="CK71" s="167">
        <f t="shared" si="311"/>
        <v>0</v>
      </c>
      <c r="CL71" s="167">
        <f t="shared" si="258"/>
        <v>0</v>
      </c>
      <c r="CM71" s="167">
        <f t="shared" si="312"/>
        <v>0</v>
      </c>
      <c r="CN71" s="167">
        <f t="shared" si="259"/>
        <v>0</v>
      </c>
      <c r="CO71" s="170">
        <f t="shared" si="313"/>
        <v>0</v>
      </c>
      <c r="CP71" s="167">
        <f t="shared" si="314"/>
        <v>0</v>
      </c>
      <c r="CQ71" s="171">
        <f t="shared" si="315"/>
        <v>0</v>
      </c>
      <c r="CR71" s="169">
        <f t="shared" si="316"/>
        <v>0</v>
      </c>
      <c r="CS71" s="167">
        <f t="shared" si="261"/>
        <v>0</v>
      </c>
      <c r="CT71" s="167">
        <f t="shared" si="317"/>
        <v>0</v>
      </c>
      <c r="CU71" s="167">
        <f t="shared" si="262"/>
        <v>0</v>
      </c>
      <c r="CV71" s="167">
        <f t="shared" si="318"/>
        <v>0</v>
      </c>
      <c r="CW71" s="167">
        <f t="shared" si="263"/>
        <v>0</v>
      </c>
      <c r="CX71" s="167">
        <f t="shared" si="319"/>
        <v>0</v>
      </c>
      <c r="CY71" s="167">
        <f t="shared" si="264"/>
        <v>0</v>
      </c>
      <c r="CZ71" s="167">
        <f t="shared" si="320"/>
        <v>0</v>
      </c>
      <c r="DA71" s="167">
        <f t="shared" si="265"/>
        <v>0</v>
      </c>
      <c r="DB71" s="170">
        <f t="shared" si="321"/>
        <v>0</v>
      </c>
      <c r="DC71" s="167">
        <f t="shared" si="322"/>
        <v>0</v>
      </c>
      <c r="DD71" s="171">
        <f t="shared" si="323"/>
        <v>0</v>
      </c>
      <c r="DE71" s="169">
        <f t="shared" si="316"/>
        <v>0</v>
      </c>
      <c r="DF71" s="167">
        <f t="shared" si="266"/>
        <v>0</v>
      </c>
      <c r="DG71" s="167">
        <f t="shared" si="324"/>
        <v>0</v>
      </c>
      <c r="DH71" s="167">
        <f t="shared" si="267"/>
        <v>0</v>
      </c>
      <c r="DI71" s="167">
        <f t="shared" si="325"/>
        <v>0</v>
      </c>
      <c r="DJ71" s="167">
        <f t="shared" si="268"/>
        <v>0</v>
      </c>
      <c r="DK71" s="167">
        <f t="shared" si="326"/>
        <v>0</v>
      </c>
      <c r="DL71" s="167">
        <f t="shared" si="269"/>
        <v>0</v>
      </c>
      <c r="DM71" s="167">
        <f t="shared" si="327"/>
        <v>0</v>
      </c>
      <c r="DN71" s="167">
        <f t="shared" si="270"/>
        <v>0</v>
      </c>
      <c r="DO71" s="170">
        <f t="shared" si="328"/>
        <v>0</v>
      </c>
      <c r="DP71" s="167">
        <f t="shared" si="329"/>
        <v>0</v>
      </c>
      <c r="DQ71" s="171">
        <f t="shared" si="330"/>
        <v>0</v>
      </c>
      <c r="DR71" s="169">
        <f t="shared" si="316"/>
        <v>0</v>
      </c>
      <c r="DS71" s="167">
        <f t="shared" si="271"/>
        <v>0</v>
      </c>
      <c r="DT71" s="167">
        <f t="shared" si="331"/>
        <v>0</v>
      </c>
      <c r="DU71" s="167">
        <f t="shared" si="272"/>
        <v>0</v>
      </c>
      <c r="DV71" s="167">
        <f t="shared" si="332"/>
        <v>0</v>
      </c>
      <c r="DW71" s="167">
        <f t="shared" si="273"/>
        <v>0</v>
      </c>
      <c r="DX71" s="167">
        <f t="shared" si="333"/>
        <v>0</v>
      </c>
      <c r="DY71" s="167">
        <f t="shared" si="274"/>
        <v>0</v>
      </c>
      <c r="DZ71" s="167">
        <f t="shared" si="334"/>
        <v>0</v>
      </c>
      <c r="EA71" s="167">
        <f t="shared" si="275"/>
        <v>0</v>
      </c>
      <c r="EB71" s="170">
        <f t="shared" si="335"/>
        <v>0</v>
      </c>
      <c r="EC71" s="167">
        <f t="shared" si="336"/>
        <v>0</v>
      </c>
      <c r="ED71" s="171">
        <f t="shared" si="337"/>
        <v>0</v>
      </c>
    </row>
    <row r="72" spans="1:134" x14ac:dyDescent="0.3">
      <c r="A72" s="185"/>
      <c r="B72" s="186"/>
      <c r="C72" s="187"/>
      <c r="D72" s="188"/>
      <c r="E72" s="189"/>
      <c r="F72" s="190"/>
      <c r="G72" s="191"/>
      <c r="H72" s="192"/>
      <c r="I72" s="193"/>
      <c r="J72" s="194"/>
      <c r="K72" s="165">
        <f t="shared" si="338"/>
        <v>0</v>
      </c>
      <c r="L72" s="166">
        <f t="shared" si="339"/>
        <v>0</v>
      </c>
      <c r="M72" s="167">
        <f t="shared" si="340"/>
        <v>0</v>
      </c>
      <c r="N72" s="167"/>
      <c r="O72" s="167">
        <f t="shared" si="341"/>
        <v>0</v>
      </c>
      <c r="P72" s="168"/>
      <c r="Q72" s="167">
        <f t="shared" si="342"/>
        <v>0</v>
      </c>
      <c r="R72" s="169">
        <f t="shared" si="343"/>
        <v>0</v>
      </c>
      <c r="S72" s="167">
        <f t="shared" si="344"/>
        <v>0</v>
      </c>
      <c r="T72" s="167">
        <f t="shared" si="345"/>
        <v>0</v>
      </c>
      <c r="U72" s="167">
        <f t="shared" si="346"/>
        <v>0</v>
      </c>
      <c r="V72" s="167">
        <f t="shared" si="347"/>
        <v>0</v>
      </c>
      <c r="W72" s="167">
        <f t="shared" si="348"/>
        <v>0</v>
      </c>
      <c r="X72" s="167">
        <f t="shared" si="349"/>
        <v>0</v>
      </c>
      <c r="Y72" s="167">
        <f t="shared" si="350"/>
        <v>0</v>
      </c>
      <c r="Z72" s="167">
        <f t="shared" si="351"/>
        <v>0</v>
      </c>
      <c r="AA72" s="167">
        <f t="shared" si="352"/>
        <v>0</v>
      </c>
      <c r="AB72" s="170">
        <f t="shared" si="353"/>
        <v>0</v>
      </c>
      <c r="AC72" s="167">
        <f t="shared" si="354"/>
        <v>0</v>
      </c>
      <c r="AD72" s="171">
        <f t="shared" si="355"/>
        <v>0</v>
      </c>
      <c r="AE72" s="169">
        <f t="shared" si="280"/>
        <v>0</v>
      </c>
      <c r="AF72" s="167">
        <f t="shared" si="235"/>
        <v>0</v>
      </c>
      <c r="AG72" s="167">
        <f t="shared" si="281"/>
        <v>0</v>
      </c>
      <c r="AH72" s="167">
        <f t="shared" si="236"/>
        <v>0</v>
      </c>
      <c r="AI72" s="167">
        <f t="shared" si="282"/>
        <v>0</v>
      </c>
      <c r="AJ72" s="167">
        <f t="shared" si="237"/>
        <v>0</v>
      </c>
      <c r="AK72" s="167">
        <f t="shared" si="283"/>
        <v>0</v>
      </c>
      <c r="AL72" s="167">
        <f t="shared" si="238"/>
        <v>0</v>
      </c>
      <c r="AM72" s="167">
        <f t="shared" si="284"/>
        <v>0</v>
      </c>
      <c r="AN72" s="167">
        <f t="shared" si="239"/>
        <v>0</v>
      </c>
      <c r="AO72" s="170">
        <f t="shared" si="285"/>
        <v>0</v>
      </c>
      <c r="AP72" s="167">
        <f t="shared" si="286"/>
        <v>0</v>
      </c>
      <c r="AQ72" s="171">
        <f t="shared" si="287"/>
        <v>0</v>
      </c>
      <c r="AR72" s="169">
        <f t="shared" si="280"/>
        <v>0</v>
      </c>
      <c r="AS72" s="167">
        <f t="shared" si="240"/>
        <v>0</v>
      </c>
      <c r="AT72" s="167">
        <f t="shared" si="288"/>
        <v>0</v>
      </c>
      <c r="AU72" s="167">
        <f t="shared" si="241"/>
        <v>0</v>
      </c>
      <c r="AV72" s="167">
        <f t="shared" si="289"/>
        <v>0</v>
      </c>
      <c r="AW72" s="167">
        <f t="shared" si="242"/>
        <v>0</v>
      </c>
      <c r="AX72" s="167">
        <f t="shared" si="290"/>
        <v>0</v>
      </c>
      <c r="AY72" s="167">
        <f t="shared" si="243"/>
        <v>0</v>
      </c>
      <c r="AZ72" s="167">
        <f t="shared" si="291"/>
        <v>0</v>
      </c>
      <c r="BA72" s="167">
        <f t="shared" si="244"/>
        <v>0</v>
      </c>
      <c r="BB72" s="170">
        <f t="shared" si="292"/>
        <v>0</v>
      </c>
      <c r="BC72" s="167">
        <f t="shared" si="293"/>
        <v>0</v>
      </c>
      <c r="BD72" s="171">
        <f t="shared" si="294"/>
        <v>0</v>
      </c>
      <c r="BE72" s="169">
        <f t="shared" si="280"/>
        <v>0</v>
      </c>
      <c r="BF72" s="167">
        <f t="shared" si="245"/>
        <v>0</v>
      </c>
      <c r="BG72" s="167">
        <f t="shared" si="295"/>
        <v>0</v>
      </c>
      <c r="BH72" s="167">
        <f t="shared" si="246"/>
        <v>0</v>
      </c>
      <c r="BI72" s="167">
        <f t="shared" si="296"/>
        <v>0</v>
      </c>
      <c r="BJ72" s="167">
        <f t="shared" si="247"/>
        <v>0</v>
      </c>
      <c r="BK72" s="167">
        <f t="shared" si="297"/>
        <v>0</v>
      </c>
      <c r="BL72" s="167">
        <f t="shared" si="248"/>
        <v>0</v>
      </c>
      <c r="BM72" s="167">
        <f t="shared" si="298"/>
        <v>0</v>
      </c>
      <c r="BN72" s="167">
        <f t="shared" si="249"/>
        <v>0</v>
      </c>
      <c r="BO72" s="170">
        <f t="shared" si="299"/>
        <v>0</v>
      </c>
      <c r="BP72" s="167">
        <f t="shared" si="300"/>
        <v>0</v>
      </c>
      <c r="BQ72" s="171">
        <f t="shared" si="301"/>
        <v>0</v>
      </c>
      <c r="BR72" s="169">
        <f t="shared" si="280"/>
        <v>0</v>
      </c>
      <c r="BS72" s="167">
        <f t="shared" si="250"/>
        <v>0</v>
      </c>
      <c r="BT72" s="167">
        <f t="shared" si="302"/>
        <v>0</v>
      </c>
      <c r="BU72" s="167">
        <f t="shared" si="251"/>
        <v>0</v>
      </c>
      <c r="BV72" s="167">
        <f t="shared" si="303"/>
        <v>0</v>
      </c>
      <c r="BW72" s="167">
        <f t="shared" si="252"/>
        <v>0</v>
      </c>
      <c r="BX72" s="167">
        <f t="shared" si="304"/>
        <v>0</v>
      </c>
      <c r="BY72" s="167">
        <f t="shared" si="253"/>
        <v>0</v>
      </c>
      <c r="BZ72" s="167">
        <f t="shared" si="305"/>
        <v>0</v>
      </c>
      <c r="CA72" s="167">
        <f t="shared" si="254"/>
        <v>0</v>
      </c>
      <c r="CB72" s="170">
        <f t="shared" si="306"/>
        <v>0</v>
      </c>
      <c r="CC72" s="167">
        <f t="shared" si="307"/>
        <v>0</v>
      </c>
      <c r="CD72" s="171">
        <f t="shared" si="308"/>
        <v>0</v>
      </c>
      <c r="CE72" s="169">
        <f t="shared" si="280"/>
        <v>0</v>
      </c>
      <c r="CF72" s="167">
        <f t="shared" si="255"/>
        <v>0</v>
      </c>
      <c r="CG72" s="167">
        <f t="shared" si="309"/>
        <v>0</v>
      </c>
      <c r="CH72" s="167">
        <f t="shared" si="256"/>
        <v>0</v>
      </c>
      <c r="CI72" s="167">
        <f t="shared" si="310"/>
        <v>0</v>
      </c>
      <c r="CJ72" s="167">
        <f t="shared" si="257"/>
        <v>0</v>
      </c>
      <c r="CK72" s="167">
        <f t="shared" si="311"/>
        <v>0</v>
      </c>
      <c r="CL72" s="167">
        <f t="shared" si="258"/>
        <v>0</v>
      </c>
      <c r="CM72" s="167">
        <f t="shared" si="312"/>
        <v>0</v>
      </c>
      <c r="CN72" s="167">
        <f t="shared" si="259"/>
        <v>0</v>
      </c>
      <c r="CO72" s="170">
        <f t="shared" si="313"/>
        <v>0</v>
      </c>
      <c r="CP72" s="167">
        <f t="shared" si="314"/>
        <v>0</v>
      </c>
      <c r="CQ72" s="171">
        <f t="shared" si="315"/>
        <v>0</v>
      </c>
      <c r="CR72" s="169">
        <f t="shared" si="316"/>
        <v>0</v>
      </c>
      <c r="CS72" s="167">
        <f t="shared" si="261"/>
        <v>0</v>
      </c>
      <c r="CT72" s="167">
        <f t="shared" si="317"/>
        <v>0</v>
      </c>
      <c r="CU72" s="167">
        <f t="shared" si="262"/>
        <v>0</v>
      </c>
      <c r="CV72" s="167">
        <f t="shared" si="318"/>
        <v>0</v>
      </c>
      <c r="CW72" s="167">
        <f t="shared" si="263"/>
        <v>0</v>
      </c>
      <c r="CX72" s="167">
        <f t="shared" si="319"/>
        <v>0</v>
      </c>
      <c r="CY72" s="167">
        <f t="shared" si="264"/>
        <v>0</v>
      </c>
      <c r="CZ72" s="167">
        <f t="shared" si="320"/>
        <v>0</v>
      </c>
      <c r="DA72" s="167">
        <f t="shared" si="265"/>
        <v>0</v>
      </c>
      <c r="DB72" s="170">
        <f t="shared" si="321"/>
        <v>0</v>
      </c>
      <c r="DC72" s="167">
        <f t="shared" si="322"/>
        <v>0</v>
      </c>
      <c r="DD72" s="171">
        <f t="shared" si="323"/>
        <v>0</v>
      </c>
      <c r="DE72" s="169">
        <f t="shared" si="316"/>
        <v>0</v>
      </c>
      <c r="DF72" s="167">
        <f t="shared" si="266"/>
        <v>0</v>
      </c>
      <c r="DG72" s="167">
        <f t="shared" si="324"/>
        <v>0</v>
      </c>
      <c r="DH72" s="167">
        <f t="shared" si="267"/>
        <v>0</v>
      </c>
      <c r="DI72" s="167">
        <f t="shared" si="325"/>
        <v>0</v>
      </c>
      <c r="DJ72" s="167">
        <f t="shared" si="268"/>
        <v>0</v>
      </c>
      <c r="DK72" s="167">
        <f t="shared" si="326"/>
        <v>0</v>
      </c>
      <c r="DL72" s="167">
        <f t="shared" si="269"/>
        <v>0</v>
      </c>
      <c r="DM72" s="167">
        <f t="shared" si="327"/>
        <v>0</v>
      </c>
      <c r="DN72" s="167">
        <f t="shared" si="270"/>
        <v>0</v>
      </c>
      <c r="DO72" s="170">
        <f t="shared" si="328"/>
        <v>0</v>
      </c>
      <c r="DP72" s="167">
        <f t="shared" si="329"/>
        <v>0</v>
      </c>
      <c r="DQ72" s="171">
        <f t="shared" si="330"/>
        <v>0</v>
      </c>
      <c r="DR72" s="169">
        <f t="shared" si="316"/>
        <v>0</v>
      </c>
      <c r="DS72" s="167">
        <f t="shared" si="271"/>
        <v>0</v>
      </c>
      <c r="DT72" s="167">
        <f t="shared" si="331"/>
        <v>0</v>
      </c>
      <c r="DU72" s="167">
        <f t="shared" si="272"/>
        <v>0</v>
      </c>
      <c r="DV72" s="167">
        <f t="shared" si="332"/>
        <v>0</v>
      </c>
      <c r="DW72" s="167">
        <f t="shared" si="273"/>
        <v>0</v>
      </c>
      <c r="DX72" s="167">
        <f t="shared" si="333"/>
        <v>0</v>
      </c>
      <c r="DY72" s="167">
        <f t="shared" si="274"/>
        <v>0</v>
      </c>
      <c r="DZ72" s="167">
        <f t="shared" si="334"/>
        <v>0</v>
      </c>
      <c r="EA72" s="167">
        <f t="shared" si="275"/>
        <v>0</v>
      </c>
      <c r="EB72" s="170">
        <f t="shared" si="335"/>
        <v>0</v>
      </c>
      <c r="EC72" s="167">
        <f t="shared" si="336"/>
        <v>0</v>
      </c>
      <c r="ED72" s="171">
        <f t="shared" si="337"/>
        <v>0</v>
      </c>
    </row>
    <row r="73" spans="1:134" x14ac:dyDescent="0.3">
      <c r="A73" s="185"/>
      <c r="B73" s="186"/>
      <c r="C73" s="187"/>
      <c r="D73" s="188"/>
      <c r="E73" s="189"/>
      <c r="F73" s="190"/>
      <c r="G73" s="191"/>
      <c r="H73" s="192"/>
      <c r="I73" s="193"/>
      <c r="J73" s="194"/>
      <c r="K73" s="165">
        <f t="shared" si="338"/>
        <v>0</v>
      </c>
      <c r="L73" s="166">
        <f t="shared" si="339"/>
        <v>0</v>
      </c>
      <c r="M73" s="167">
        <f t="shared" si="340"/>
        <v>0</v>
      </c>
      <c r="N73" s="167"/>
      <c r="O73" s="167">
        <f t="shared" si="341"/>
        <v>0</v>
      </c>
      <c r="P73" s="168"/>
      <c r="Q73" s="167">
        <f t="shared" si="342"/>
        <v>0</v>
      </c>
      <c r="R73" s="169">
        <f t="shared" si="343"/>
        <v>0</v>
      </c>
      <c r="S73" s="167">
        <f t="shared" si="344"/>
        <v>0</v>
      </c>
      <c r="T73" s="167">
        <f t="shared" si="345"/>
        <v>0</v>
      </c>
      <c r="U73" s="167">
        <f t="shared" si="346"/>
        <v>0</v>
      </c>
      <c r="V73" s="167">
        <f t="shared" si="347"/>
        <v>0</v>
      </c>
      <c r="W73" s="167">
        <f t="shared" si="348"/>
        <v>0</v>
      </c>
      <c r="X73" s="167">
        <f t="shared" si="349"/>
        <v>0</v>
      </c>
      <c r="Y73" s="167">
        <f t="shared" si="350"/>
        <v>0</v>
      </c>
      <c r="Z73" s="167">
        <f t="shared" si="351"/>
        <v>0</v>
      </c>
      <c r="AA73" s="167">
        <f t="shared" si="352"/>
        <v>0</v>
      </c>
      <c r="AB73" s="170">
        <f t="shared" si="353"/>
        <v>0</v>
      </c>
      <c r="AC73" s="167">
        <f t="shared" si="354"/>
        <v>0</v>
      </c>
      <c r="AD73" s="171">
        <f t="shared" si="355"/>
        <v>0</v>
      </c>
      <c r="AE73" s="169">
        <f t="shared" si="280"/>
        <v>0</v>
      </c>
      <c r="AF73" s="167">
        <f t="shared" si="235"/>
        <v>0</v>
      </c>
      <c r="AG73" s="167">
        <f t="shared" si="281"/>
        <v>0</v>
      </c>
      <c r="AH73" s="167">
        <f t="shared" si="236"/>
        <v>0</v>
      </c>
      <c r="AI73" s="167">
        <f t="shared" si="282"/>
        <v>0</v>
      </c>
      <c r="AJ73" s="167">
        <f t="shared" si="237"/>
        <v>0</v>
      </c>
      <c r="AK73" s="167">
        <f t="shared" si="283"/>
        <v>0</v>
      </c>
      <c r="AL73" s="167">
        <f t="shared" si="238"/>
        <v>0</v>
      </c>
      <c r="AM73" s="167">
        <f t="shared" si="284"/>
        <v>0</v>
      </c>
      <c r="AN73" s="167">
        <f t="shared" si="239"/>
        <v>0</v>
      </c>
      <c r="AO73" s="170">
        <f t="shared" si="285"/>
        <v>0</v>
      </c>
      <c r="AP73" s="167">
        <f t="shared" si="286"/>
        <v>0</v>
      </c>
      <c r="AQ73" s="171">
        <f t="shared" si="287"/>
        <v>0</v>
      </c>
      <c r="AR73" s="169">
        <f t="shared" si="280"/>
        <v>0</v>
      </c>
      <c r="AS73" s="167">
        <f t="shared" si="240"/>
        <v>0</v>
      </c>
      <c r="AT73" s="167">
        <f t="shared" si="288"/>
        <v>0</v>
      </c>
      <c r="AU73" s="167">
        <f t="shared" si="241"/>
        <v>0</v>
      </c>
      <c r="AV73" s="167">
        <f t="shared" si="289"/>
        <v>0</v>
      </c>
      <c r="AW73" s="167">
        <f t="shared" si="242"/>
        <v>0</v>
      </c>
      <c r="AX73" s="167">
        <f t="shared" si="290"/>
        <v>0</v>
      </c>
      <c r="AY73" s="167">
        <f t="shared" si="243"/>
        <v>0</v>
      </c>
      <c r="AZ73" s="167">
        <f t="shared" si="291"/>
        <v>0</v>
      </c>
      <c r="BA73" s="167">
        <f t="shared" si="244"/>
        <v>0</v>
      </c>
      <c r="BB73" s="170">
        <f t="shared" si="292"/>
        <v>0</v>
      </c>
      <c r="BC73" s="167">
        <f t="shared" si="293"/>
        <v>0</v>
      </c>
      <c r="BD73" s="171">
        <f t="shared" si="294"/>
        <v>0</v>
      </c>
      <c r="BE73" s="169">
        <f t="shared" si="280"/>
        <v>0</v>
      </c>
      <c r="BF73" s="167">
        <f t="shared" si="245"/>
        <v>0</v>
      </c>
      <c r="BG73" s="167">
        <f t="shared" si="295"/>
        <v>0</v>
      </c>
      <c r="BH73" s="167">
        <f t="shared" si="246"/>
        <v>0</v>
      </c>
      <c r="BI73" s="167">
        <f t="shared" si="296"/>
        <v>0</v>
      </c>
      <c r="BJ73" s="167">
        <f t="shared" si="247"/>
        <v>0</v>
      </c>
      <c r="BK73" s="167">
        <f t="shared" si="297"/>
        <v>0</v>
      </c>
      <c r="BL73" s="167">
        <f t="shared" si="248"/>
        <v>0</v>
      </c>
      <c r="BM73" s="167">
        <f t="shared" si="298"/>
        <v>0</v>
      </c>
      <c r="BN73" s="167">
        <f t="shared" si="249"/>
        <v>0</v>
      </c>
      <c r="BO73" s="170">
        <f t="shared" si="299"/>
        <v>0</v>
      </c>
      <c r="BP73" s="167">
        <f t="shared" si="300"/>
        <v>0</v>
      </c>
      <c r="BQ73" s="171">
        <f t="shared" si="301"/>
        <v>0</v>
      </c>
      <c r="BR73" s="169">
        <f t="shared" si="280"/>
        <v>0</v>
      </c>
      <c r="BS73" s="167">
        <f t="shared" si="250"/>
        <v>0</v>
      </c>
      <c r="BT73" s="167">
        <f t="shared" si="302"/>
        <v>0</v>
      </c>
      <c r="BU73" s="167">
        <f t="shared" si="251"/>
        <v>0</v>
      </c>
      <c r="BV73" s="167">
        <f t="shared" si="303"/>
        <v>0</v>
      </c>
      <c r="BW73" s="167">
        <f t="shared" si="252"/>
        <v>0</v>
      </c>
      <c r="BX73" s="167">
        <f t="shared" si="304"/>
        <v>0</v>
      </c>
      <c r="BY73" s="167">
        <f t="shared" si="253"/>
        <v>0</v>
      </c>
      <c r="BZ73" s="167">
        <f t="shared" si="305"/>
        <v>0</v>
      </c>
      <c r="CA73" s="167">
        <f t="shared" si="254"/>
        <v>0</v>
      </c>
      <c r="CB73" s="170">
        <f t="shared" si="306"/>
        <v>0</v>
      </c>
      <c r="CC73" s="167">
        <f t="shared" si="307"/>
        <v>0</v>
      </c>
      <c r="CD73" s="171">
        <f t="shared" si="308"/>
        <v>0</v>
      </c>
      <c r="CE73" s="169">
        <f t="shared" si="280"/>
        <v>0</v>
      </c>
      <c r="CF73" s="167">
        <f t="shared" si="255"/>
        <v>0</v>
      </c>
      <c r="CG73" s="167">
        <f t="shared" si="309"/>
        <v>0</v>
      </c>
      <c r="CH73" s="167">
        <f t="shared" si="256"/>
        <v>0</v>
      </c>
      <c r="CI73" s="167">
        <f t="shared" si="310"/>
        <v>0</v>
      </c>
      <c r="CJ73" s="167">
        <f t="shared" si="257"/>
        <v>0</v>
      </c>
      <c r="CK73" s="167">
        <f t="shared" si="311"/>
        <v>0</v>
      </c>
      <c r="CL73" s="167">
        <f t="shared" si="258"/>
        <v>0</v>
      </c>
      <c r="CM73" s="167">
        <f t="shared" si="312"/>
        <v>0</v>
      </c>
      <c r="CN73" s="167">
        <f t="shared" si="259"/>
        <v>0</v>
      </c>
      <c r="CO73" s="170">
        <f t="shared" si="313"/>
        <v>0</v>
      </c>
      <c r="CP73" s="167">
        <f t="shared" si="314"/>
        <v>0</v>
      </c>
      <c r="CQ73" s="171">
        <f t="shared" si="315"/>
        <v>0</v>
      </c>
      <c r="CR73" s="169">
        <f t="shared" si="316"/>
        <v>0</v>
      </c>
      <c r="CS73" s="167">
        <f t="shared" si="261"/>
        <v>0</v>
      </c>
      <c r="CT73" s="167">
        <f t="shared" si="317"/>
        <v>0</v>
      </c>
      <c r="CU73" s="167">
        <f t="shared" si="262"/>
        <v>0</v>
      </c>
      <c r="CV73" s="167">
        <f t="shared" si="318"/>
        <v>0</v>
      </c>
      <c r="CW73" s="167">
        <f t="shared" si="263"/>
        <v>0</v>
      </c>
      <c r="CX73" s="167">
        <f t="shared" si="319"/>
        <v>0</v>
      </c>
      <c r="CY73" s="167">
        <f t="shared" si="264"/>
        <v>0</v>
      </c>
      <c r="CZ73" s="167">
        <f t="shared" si="320"/>
        <v>0</v>
      </c>
      <c r="DA73" s="167">
        <f t="shared" si="265"/>
        <v>0</v>
      </c>
      <c r="DB73" s="170">
        <f t="shared" si="321"/>
        <v>0</v>
      </c>
      <c r="DC73" s="167">
        <f t="shared" si="322"/>
        <v>0</v>
      </c>
      <c r="DD73" s="171">
        <f t="shared" si="323"/>
        <v>0</v>
      </c>
      <c r="DE73" s="169">
        <f t="shared" si="316"/>
        <v>0</v>
      </c>
      <c r="DF73" s="167">
        <f t="shared" si="266"/>
        <v>0</v>
      </c>
      <c r="DG73" s="167">
        <f t="shared" si="324"/>
        <v>0</v>
      </c>
      <c r="DH73" s="167">
        <f t="shared" si="267"/>
        <v>0</v>
      </c>
      <c r="DI73" s="167">
        <f t="shared" si="325"/>
        <v>0</v>
      </c>
      <c r="DJ73" s="167">
        <f t="shared" si="268"/>
        <v>0</v>
      </c>
      <c r="DK73" s="167">
        <f t="shared" si="326"/>
        <v>0</v>
      </c>
      <c r="DL73" s="167">
        <f t="shared" si="269"/>
        <v>0</v>
      </c>
      <c r="DM73" s="167">
        <f t="shared" si="327"/>
        <v>0</v>
      </c>
      <c r="DN73" s="167">
        <f t="shared" si="270"/>
        <v>0</v>
      </c>
      <c r="DO73" s="170">
        <f t="shared" si="328"/>
        <v>0</v>
      </c>
      <c r="DP73" s="167">
        <f t="shared" si="329"/>
        <v>0</v>
      </c>
      <c r="DQ73" s="171">
        <f t="shared" si="330"/>
        <v>0</v>
      </c>
      <c r="DR73" s="169">
        <f t="shared" si="316"/>
        <v>0</v>
      </c>
      <c r="DS73" s="167">
        <f t="shared" si="271"/>
        <v>0</v>
      </c>
      <c r="DT73" s="167">
        <f t="shared" si="331"/>
        <v>0</v>
      </c>
      <c r="DU73" s="167">
        <f t="shared" si="272"/>
        <v>0</v>
      </c>
      <c r="DV73" s="167">
        <f t="shared" si="332"/>
        <v>0</v>
      </c>
      <c r="DW73" s="167">
        <f t="shared" si="273"/>
        <v>0</v>
      </c>
      <c r="DX73" s="167">
        <f t="shared" si="333"/>
        <v>0</v>
      </c>
      <c r="DY73" s="167">
        <f t="shared" si="274"/>
        <v>0</v>
      </c>
      <c r="DZ73" s="167">
        <f t="shared" si="334"/>
        <v>0</v>
      </c>
      <c r="EA73" s="167">
        <f t="shared" si="275"/>
        <v>0</v>
      </c>
      <c r="EB73" s="170">
        <f t="shared" si="335"/>
        <v>0</v>
      </c>
      <c r="EC73" s="167">
        <f t="shared" si="336"/>
        <v>0</v>
      </c>
      <c r="ED73" s="171">
        <f t="shared" si="337"/>
        <v>0</v>
      </c>
    </row>
    <row r="74" spans="1:134" x14ac:dyDescent="0.3">
      <c r="A74" s="185"/>
      <c r="B74" s="186"/>
      <c r="C74" s="187"/>
      <c r="D74" s="188"/>
      <c r="E74" s="189"/>
      <c r="F74" s="190"/>
      <c r="G74" s="191"/>
      <c r="H74" s="192"/>
      <c r="I74" s="193"/>
      <c r="J74" s="194"/>
      <c r="K74" s="165">
        <f t="shared" si="338"/>
        <v>0</v>
      </c>
      <c r="L74" s="166">
        <f t="shared" si="339"/>
        <v>0</v>
      </c>
      <c r="M74" s="167">
        <f t="shared" si="340"/>
        <v>0</v>
      </c>
      <c r="N74" s="167"/>
      <c r="O74" s="167">
        <f t="shared" si="341"/>
        <v>0</v>
      </c>
      <c r="P74" s="168"/>
      <c r="Q74" s="167">
        <f t="shared" si="342"/>
        <v>0</v>
      </c>
      <c r="R74" s="169">
        <f t="shared" si="343"/>
        <v>0</v>
      </c>
      <c r="S74" s="167">
        <f t="shared" si="344"/>
        <v>0</v>
      </c>
      <c r="T74" s="167">
        <f t="shared" si="345"/>
        <v>0</v>
      </c>
      <c r="U74" s="167">
        <f t="shared" si="346"/>
        <v>0</v>
      </c>
      <c r="V74" s="167">
        <f t="shared" si="347"/>
        <v>0</v>
      </c>
      <c r="W74" s="167">
        <f t="shared" si="348"/>
        <v>0</v>
      </c>
      <c r="X74" s="167">
        <f t="shared" si="349"/>
        <v>0</v>
      </c>
      <c r="Y74" s="167">
        <f t="shared" si="350"/>
        <v>0</v>
      </c>
      <c r="Z74" s="167">
        <f t="shared" si="351"/>
        <v>0</v>
      </c>
      <c r="AA74" s="167">
        <f t="shared" si="352"/>
        <v>0</v>
      </c>
      <c r="AB74" s="170">
        <f t="shared" si="353"/>
        <v>0</v>
      </c>
      <c r="AC74" s="167">
        <f t="shared" si="354"/>
        <v>0</v>
      </c>
      <c r="AD74" s="171">
        <f t="shared" si="355"/>
        <v>0</v>
      </c>
      <c r="AE74" s="169">
        <f t="shared" si="280"/>
        <v>0</v>
      </c>
      <c r="AF74" s="167">
        <f t="shared" si="235"/>
        <v>0</v>
      </c>
      <c r="AG74" s="167">
        <f t="shared" si="281"/>
        <v>0</v>
      </c>
      <c r="AH74" s="167">
        <f t="shared" si="236"/>
        <v>0</v>
      </c>
      <c r="AI74" s="167">
        <f t="shared" si="282"/>
        <v>0</v>
      </c>
      <c r="AJ74" s="167">
        <f t="shared" si="237"/>
        <v>0</v>
      </c>
      <c r="AK74" s="167">
        <f t="shared" si="283"/>
        <v>0</v>
      </c>
      <c r="AL74" s="167">
        <f t="shared" si="238"/>
        <v>0</v>
      </c>
      <c r="AM74" s="167">
        <f t="shared" si="284"/>
        <v>0</v>
      </c>
      <c r="AN74" s="167">
        <f t="shared" si="239"/>
        <v>0</v>
      </c>
      <c r="AO74" s="170">
        <f t="shared" si="285"/>
        <v>0</v>
      </c>
      <c r="AP74" s="167">
        <f t="shared" si="286"/>
        <v>0</v>
      </c>
      <c r="AQ74" s="171">
        <f t="shared" si="287"/>
        <v>0</v>
      </c>
      <c r="AR74" s="169">
        <f t="shared" si="280"/>
        <v>0</v>
      </c>
      <c r="AS74" s="167">
        <f t="shared" si="240"/>
        <v>0</v>
      </c>
      <c r="AT74" s="167">
        <f t="shared" si="288"/>
        <v>0</v>
      </c>
      <c r="AU74" s="167">
        <f t="shared" si="241"/>
        <v>0</v>
      </c>
      <c r="AV74" s="167">
        <f t="shared" si="289"/>
        <v>0</v>
      </c>
      <c r="AW74" s="167">
        <f t="shared" si="242"/>
        <v>0</v>
      </c>
      <c r="AX74" s="167">
        <f t="shared" si="290"/>
        <v>0</v>
      </c>
      <c r="AY74" s="167">
        <f t="shared" si="243"/>
        <v>0</v>
      </c>
      <c r="AZ74" s="167">
        <f t="shared" si="291"/>
        <v>0</v>
      </c>
      <c r="BA74" s="167">
        <f t="shared" si="244"/>
        <v>0</v>
      </c>
      <c r="BB74" s="170">
        <f t="shared" si="292"/>
        <v>0</v>
      </c>
      <c r="BC74" s="167">
        <f t="shared" si="293"/>
        <v>0</v>
      </c>
      <c r="BD74" s="171">
        <f t="shared" si="294"/>
        <v>0</v>
      </c>
      <c r="BE74" s="169">
        <f t="shared" si="280"/>
        <v>0</v>
      </c>
      <c r="BF74" s="167">
        <f t="shared" si="245"/>
        <v>0</v>
      </c>
      <c r="BG74" s="167">
        <f t="shared" si="295"/>
        <v>0</v>
      </c>
      <c r="BH74" s="167">
        <f t="shared" si="246"/>
        <v>0</v>
      </c>
      <c r="BI74" s="167">
        <f t="shared" si="296"/>
        <v>0</v>
      </c>
      <c r="BJ74" s="167">
        <f t="shared" si="247"/>
        <v>0</v>
      </c>
      <c r="BK74" s="167">
        <f t="shared" si="297"/>
        <v>0</v>
      </c>
      <c r="BL74" s="167">
        <f t="shared" si="248"/>
        <v>0</v>
      </c>
      <c r="BM74" s="167">
        <f t="shared" si="298"/>
        <v>0</v>
      </c>
      <c r="BN74" s="167">
        <f t="shared" si="249"/>
        <v>0</v>
      </c>
      <c r="BO74" s="170">
        <f t="shared" si="299"/>
        <v>0</v>
      </c>
      <c r="BP74" s="167">
        <f t="shared" si="300"/>
        <v>0</v>
      </c>
      <c r="BQ74" s="171">
        <f t="shared" si="301"/>
        <v>0</v>
      </c>
      <c r="BR74" s="169">
        <f t="shared" si="280"/>
        <v>0</v>
      </c>
      <c r="BS74" s="167">
        <f t="shared" si="250"/>
        <v>0</v>
      </c>
      <c r="BT74" s="167">
        <f t="shared" si="302"/>
        <v>0</v>
      </c>
      <c r="BU74" s="167">
        <f t="shared" si="251"/>
        <v>0</v>
      </c>
      <c r="BV74" s="167">
        <f t="shared" si="303"/>
        <v>0</v>
      </c>
      <c r="BW74" s="167">
        <f t="shared" si="252"/>
        <v>0</v>
      </c>
      <c r="BX74" s="167">
        <f t="shared" si="304"/>
        <v>0</v>
      </c>
      <c r="BY74" s="167">
        <f t="shared" si="253"/>
        <v>0</v>
      </c>
      <c r="BZ74" s="167">
        <f t="shared" si="305"/>
        <v>0</v>
      </c>
      <c r="CA74" s="167">
        <f t="shared" si="254"/>
        <v>0</v>
      </c>
      <c r="CB74" s="170">
        <f t="shared" si="306"/>
        <v>0</v>
      </c>
      <c r="CC74" s="167">
        <f t="shared" si="307"/>
        <v>0</v>
      </c>
      <c r="CD74" s="171">
        <f t="shared" si="308"/>
        <v>0</v>
      </c>
      <c r="CE74" s="169">
        <f t="shared" si="280"/>
        <v>0</v>
      </c>
      <c r="CF74" s="167">
        <f t="shared" si="255"/>
        <v>0</v>
      </c>
      <c r="CG74" s="167">
        <f t="shared" si="309"/>
        <v>0</v>
      </c>
      <c r="CH74" s="167">
        <f t="shared" si="256"/>
        <v>0</v>
      </c>
      <c r="CI74" s="167">
        <f t="shared" si="310"/>
        <v>0</v>
      </c>
      <c r="CJ74" s="167">
        <f t="shared" si="257"/>
        <v>0</v>
      </c>
      <c r="CK74" s="167">
        <f t="shared" si="311"/>
        <v>0</v>
      </c>
      <c r="CL74" s="167">
        <f t="shared" si="258"/>
        <v>0</v>
      </c>
      <c r="CM74" s="167">
        <f t="shared" si="312"/>
        <v>0</v>
      </c>
      <c r="CN74" s="167">
        <f t="shared" si="259"/>
        <v>0</v>
      </c>
      <c r="CO74" s="170">
        <f t="shared" si="313"/>
        <v>0</v>
      </c>
      <c r="CP74" s="167">
        <f t="shared" si="314"/>
        <v>0</v>
      </c>
      <c r="CQ74" s="171">
        <f t="shared" si="315"/>
        <v>0</v>
      </c>
      <c r="CR74" s="169">
        <f t="shared" si="316"/>
        <v>0</v>
      </c>
      <c r="CS74" s="167">
        <f t="shared" si="261"/>
        <v>0</v>
      </c>
      <c r="CT74" s="167">
        <f t="shared" si="317"/>
        <v>0</v>
      </c>
      <c r="CU74" s="167">
        <f t="shared" si="262"/>
        <v>0</v>
      </c>
      <c r="CV74" s="167">
        <f t="shared" si="318"/>
        <v>0</v>
      </c>
      <c r="CW74" s="167">
        <f t="shared" si="263"/>
        <v>0</v>
      </c>
      <c r="CX74" s="167">
        <f t="shared" si="319"/>
        <v>0</v>
      </c>
      <c r="CY74" s="167">
        <f t="shared" si="264"/>
        <v>0</v>
      </c>
      <c r="CZ74" s="167">
        <f t="shared" si="320"/>
        <v>0</v>
      </c>
      <c r="DA74" s="167">
        <f t="shared" si="265"/>
        <v>0</v>
      </c>
      <c r="DB74" s="170">
        <f t="shared" si="321"/>
        <v>0</v>
      </c>
      <c r="DC74" s="167">
        <f t="shared" si="322"/>
        <v>0</v>
      </c>
      <c r="DD74" s="171">
        <f t="shared" si="323"/>
        <v>0</v>
      </c>
      <c r="DE74" s="169">
        <f t="shared" si="316"/>
        <v>0</v>
      </c>
      <c r="DF74" s="167">
        <f t="shared" si="266"/>
        <v>0</v>
      </c>
      <c r="DG74" s="167">
        <f t="shared" si="324"/>
        <v>0</v>
      </c>
      <c r="DH74" s="167">
        <f t="shared" si="267"/>
        <v>0</v>
      </c>
      <c r="DI74" s="167">
        <f t="shared" si="325"/>
        <v>0</v>
      </c>
      <c r="DJ74" s="167">
        <f t="shared" si="268"/>
        <v>0</v>
      </c>
      <c r="DK74" s="167">
        <f t="shared" si="326"/>
        <v>0</v>
      </c>
      <c r="DL74" s="167">
        <f t="shared" si="269"/>
        <v>0</v>
      </c>
      <c r="DM74" s="167">
        <f t="shared" si="327"/>
        <v>0</v>
      </c>
      <c r="DN74" s="167">
        <f t="shared" si="270"/>
        <v>0</v>
      </c>
      <c r="DO74" s="170">
        <f t="shared" si="328"/>
        <v>0</v>
      </c>
      <c r="DP74" s="167">
        <f t="shared" si="329"/>
        <v>0</v>
      </c>
      <c r="DQ74" s="171">
        <f t="shared" si="330"/>
        <v>0</v>
      </c>
      <c r="DR74" s="169">
        <f t="shared" si="316"/>
        <v>0</v>
      </c>
      <c r="DS74" s="167">
        <f t="shared" si="271"/>
        <v>0</v>
      </c>
      <c r="DT74" s="167">
        <f t="shared" si="331"/>
        <v>0</v>
      </c>
      <c r="DU74" s="167">
        <f t="shared" si="272"/>
        <v>0</v>
      </c>
      <c r="DV74" s="167">
        <f t="shared" si="332"/>
        <v>0</v>
      </c>
      <c r="DW74" s="167">
        <f t="shared" si="273"/>
        <v>0</v>
      </c>
      <c r="DX74" s="167">
        <f t="shared" si="333"/>
        <v>0</v>
      </c>
      <c r="DY74" s="167">
        <f t="shared" si="274"/>
        <v>0</v>
      </c>
      <c r="DZ74" s="167">
        <f t="shared" si="334"/>
        <v>0</v>
      </c>
      <c r="EA74" s="167">
        <f t="shared" si="275"/>
        <v>0</v>
      </c>
      <c r="EB74" s="170">
        <f t="shared" si="335"/>
        <v>0</v>
      </c>
      <c r="EC74" s="167">
        <f t="shared" si="336"/>
        <v>0</v>
      </c>
      <c r="ED74" s="171">
        <f t="shared" si="337"/>
        <v>0</v>
      </c>
    </row>
    <row r="75" spans="1:134" x14ac:dyDescent="0.3">
      <c r="A75" s="185"/>
      <c r="B75" s="186"/>
      <c r="C75" s="187"/>
      <c r="D75" s="188"/>
      <c r="E75" s="189"/>
      <c r="F75" s="190"/>
      <c r="G75" s="191"/>
      <c r="H75" s="192"/>
      <c r="I75" s="193"/>
      <c r="J75" s="194"/>
      <c r="K75" s="165">
        <f t="shared" si="338"/>
        <v>0</v>
      </c>
      <c r="L75" s="166">
        <f t="shared" si="339"/>
        <v>0</v>
      </c>
      <c r="M75" s="167">
        <f t="shared" si="340"/>
        <v>0</v>
      </c>
      <c r="N75" s="167"/>
      <c r="O75" s="167">
        <f t="shared" si="341"/>
        <v>0</v>
      </c>
      <c r="P75" s="168"/>
      <c r="Q75" s="167">
        <f t="shared" si="342"/>
        <v>0</v>
      </c>
      <c r="R75" s="169">
        <f t="shared" si="343"/>
        <v>0</v>
      </c>
      <c r="S75" s="167">
        <f t="shared" si="344"/>
        <v>0</v>
      </c>
      <c r="T75" s="167">
        <f t="shared" si="345"/>
        <v>0</v>
      </c>
      <c r="U75" s="167">
        <f t="shared" si="346"/>
        <v>0</v>
      </c>
      <c r="V75" s="167">
        <f t="shared" si="347"/>
        <v>0</v>
      </c>
      <c r="W75" s="167">
        <f t="shared" si="348"/>
        <v>0</v>
      </c>
      <c r="X75" s="167">
        <f t="shared" si="349"/>
        <v>0</v>
      </c>
      <c r="Y75" s="167">
        <f t="shared" si="350"/>
        <v>0</v>
      </c>
      <c r="Z75" s="167">
        <f t="shared" si="351"/>
        <v>0</v>
      </c>
      <c r="AA75" s="167">
        <f t="shared" si="352"/>
        <v>0</v>
      </c>
      <c r="AB75" s="170">
        <f t="shared" si="353"/>
        <v>0</v>
      </c>
      <c r="AC75" s="167">
        <f t="shared" si="354"/>
        <v>0</v>
      </c>
      <c r="AD75" s="171">
        <f t="shared" si="355"/>
        <v>0</v>
      </c>
      <c r="AE75" s="169">
        <f t="shared" si="280"/>
        <v>0</v>
      </c>
      <c r="AF75" s="167">
        <f t="shared" si="235"/>
        <v>0</v>
      </c>
      <c r="AG75" s="167">
        <f t="shared" si="281"/>
        <v>0</v>
      </c>
      <c r="AH75" s="167">
        <f t="shared" si="236"/>
        <v>0</v>
      </c>
      <c r="AI75" s="167">
        <f t="shared" si="282"/>
        <v>0</v>
      </c>
      <c r="AJ75" s="167">
        <f t="shared" si="237"/>
        <v>0</v>
      </c>
      <c r="AK75" s="167">
        <f t="shared" si="283"/>
        <v>0</v>
      </c>
      <c r="AL75" s="167">
        <f t="shared" si="238"/>
        <v>0</v>
      </c>
      <c r="AM75" s="167">
        <f t="shared" si="284"/>
        <v>0</v>
      </c>
      <c r="AN75" s="167">
        <f t="shared" si="239"/>
        <v>0</v>
      </c>
      <c r="AO75" s="170">
        <f t="shared" si="285"/>
        <v>0</v>
      </c>
      <c r="AP75" s="167">
        <f t="shared" si="286"/>
        <v>0</v>
      </c>
      <c r="AQ75" s="171">
        <f t="shared" si="287"/>
        <v>0</v>
      </c>
      <c r="AR75" s="169">
        <f t="shared" si="280"/>
        <v>0</v>
      </c>
      <c r="AS75" s="167">
        <f t="shared" si="240"/>
        <v>0</v>
      </c>
      <c r="AT75" s="167">
        <f t="shared" si="288"/>
        <v>0</v>
      </c>
      <c r="AU75" s="167">
        <f t="shared" si="241"/>
        <v>0</v>
      </c>
      <c r="AV75" s="167">
        <f t="shared" si="289"/>
        <v>0</v>
      </c>
      <c r="AW75" s="167">
        <f t="shared" si="242"/>
        <v>0</v>
      </c>
      <c r="AX75" s="167">
        <f t="shared" si="290"/>
        <v>0</v>
      </c>
      <c r="AY75" s="167">
        <f t="shared" si="243"/>
        <v>0</v>
      </c>
      <c r="AZ75" s="167">
        <f t="shared" si="291"/>
        <v>0</v>
      </c>
      <c r="BA75" s="167">
        <f t="shared" si="244"/>
        <v>0</v>
      </c>
      <c r="BB75" s="170">
        <f t="shared" si="292"/>
        <v>0</v>
      </c>
      <c r="BC75" s="167">
        <f t="shared" si="293"/>
        <v>0</v>
      </c>
      <c r="BD75" s="171">
        <f t="shared" si="294"/>
        <v>0</v>
      </c>
      <c r="BE75" s="169">
        <f t="shared" si="280"/>
        <v>0</v>
      </c>
      <c r="BF75" s="167">
        <f t="shared" si="245"/>
        <v>0</v>
      </c>
      <c r="BG75" s="167">
        <f t="shared" si="295"/>
        <v>0</v>
      </c>
      <c r="BH75" s="167">
        <f t="shared" si="246"/>
        <v>0</v>
      </c>
      <c r="BI75" s="167">
        <f t="shared" si="296"/>
        <v>0</v>
      </c>
      <c r="BJ75" s="167">
        <f t="shared" si="247"/>
        <v>0</v>
      </c>
      <c r="BK75" s="167">
        <f t="shared" si="297"/>
        <v>0</v>
      </c>
      <c r="BL75" s="167">
        <f t="shared" si="248"/>
        <v>0</v>
      </c>
      <c r="BM75" s="167">
        <f t="shared" si="298"/>
        <v>0</v>
      </c>
      <c r="BN75" s="167">
        <f t="shared" si="249"/>
        <v>0</v>
      </c>
      <c r="BO75" s="170">
        <f t="shared" si="299"/>
        <v>0</v>
      </c>
      <c r="BP75" s="167">
        <f t="shared" si="300"/>
        <v>0</v>
      </c>
      <c r="BQ75" s="171">
        <f t="shared" si="301"/>
        <v>0</v>
      </c>
      <c r="BR75" s="169">
        <f t="shared" si="280"/>
        <v>0</v>
      </c>
      <c r="BS75" s="167">
        <f t="shared" si="250"/>
        <v>0</v>
      </c>
      <c r="BT75" s="167">
        <f t="shared" si="302"/>
        <v>0</v>
      </c>
      <c r="BU75" s="167">
        <f t="shared" si="251"/>
        <v>0</v>
      </c>
      <c r="BV75" s="167">
        <f t="shared" si="303"/>
        <v>0</v>
      </c>
      <c r="BW75" s="167">
        <f t="shared" si="252"/>
        <v>0</v>
      </c>
      <c r="BX75" s="167">
        <f t="shared" si="304"/>
        <v>0</v>
      </c>
      <c r="BY75" s="167">
        <f t="shared" si="253"/>
        <v>0</v>
      </c>
      <c r="BZ75" s="167">
        <f t="shared" si="305"/>
        <v>0</v>
      </c>
      <c r="CA75" s="167">
        <f t="shared" si="254"/>
        <v>0</v>
      </c>
      <c r="CB75" s="170">
        <f t="shared" si="306"/>
        <v>0</v>
      </c>
      <c r="CC75" s="167">
        <f t="shared" si="307"/>
        <v>0</v>
      </c>
      <c r="CD75" s="171">
        <f t="shared" si="308"/>
        <v>0</v>
      </c>
      <c r="CE75" s="169">
        <f t="shared" si="280"/>
        <v>0</v>
      </c>
      <c r="CF75" s="167">
        <f t="shared" si="255"/>
        <v>0</v>
      </c>
      <c r="CG75" s="167">
        <f t="shared" si="309"/>
        <v>0</v>
      </c>
      <c r="CH75" s="167">
        <f t="shared" si="256"/>
        <v>0</v>
      </c>
      <c r="CI75" s="167">
        <f t="shared" si="310"/>
        <v>0</v>
      </c>
      <c r="CJ75" s="167">
        <f t="shared" si="257"/>
        <v>0</v>
      </c>
      <c r="CK75" s="167">
        <f t="shared" si="311"/>
        <v>0</v>
      </c>
      <c r="CL75" s="167">
        <f t="shared" si="258"/>
        <v>0</v>
      </c>
      <c r="CM75" s="167">
        <f t="shared" si="312"/>
        <v>0</v>
      </c>
      <c r="CN75" s="167">
        <f t="shared" si="259"/>
        <v>0</v>
      </c>
      <c r="CO75" s="170">
        <f t="shared" si="313"/>
        <v>0</v>
      </c>
      <c r="CP75" s="167">
        <f t="shared" si="314"/>
        <v>0</v>
      </c>
      <c r="CQ75" s="171">
        <f t="shared" si="315"/>
        <v>0</v>
      </c>
      <c r="CR75" s="169">
        <f t="shared" si="316"/>
        <v>0</v>
      </c>
      <c r="CS75" s="167">
        <f t="shared" si="261"/>
        <v>0</v>
      </c>
      <c r="CT75" s="167">
        <f t="shared" si="317"/>
        <v>0</v>
      </c>
      <c r="CU75" s="167">
        <f t="shared" si="262"/>
        <v>0</v>
      </c>
      <c r="CV75" s="167">
        <f t="shared" si="318"/>
        <v>0</v>
      </c>
      <c r="CW75" s="167">
        <f t="shared" si="263"/>
        <v>0</v>
      </c>
      <c r="CX75" s="167">
        <f t="shared" si="319"/>
        <v>0</v>
      </c>
      <c r="CY75" s="167">
        <f t="shared" si="264"/>
        <v>0</v>
      </c>
      <c r="CZ75" s="167">
        <f t="shared" si="320"/>
        <v>0</v>
      </c>
      <c r="DA75" s="167">
        <f t="shared" si="265"/>
        <v>0</v>
      </c>
      <c r="DB75" s="170">
        <f t="shared" si="321"/>
        <v>0</v>
      </c>
      <c r="DC75" s="167">
        <f t="shared" si="322"/>
        <v>0</v>
      </c>
      <c r="DD75" s="171">
        <f t="shared" si="323"/>
        <v>0</v>
      </c>
      <c r="DE75" s="169">
        <f t="shared" si="316"/>
        <v>0</v>
      </c>
      <c r="DF75" s="167">
        <f t="shared" si="266"/>
        <v>0</v>
      </c>
      <c r="DG75" s="167">
        <f t="shared" si="324"/>
        <v>0</v>
      </c>
      <c r="DH75" s="167">
        <f t="shared" si="267"/>
        <v>0</v>
      </c>
      <c r="DI75" s="167">
        <f t="shared" si="325"/>
        <v>0</v>
      </c>
      <c r="DJ75" s="167">
        <f t="shared" si="268"/>
        <v>0</v>
      </c>
      <c r="DK75" s="167">
        <f t="shared" si="326"/>
        <v>0</v>
      </c>
      <c r="DL75" s="167">
        <f t="shared" si="269"/>
        <v>0</v>
      </c>
      <c r="DM75" s="167">
        <f t="shared" si="327"/>
        <v>0</v>
      </c>
      <c r="DN75" s="167">
        <f t="shared" si="270"/>
        <v>0</v>
      </c>
      <c r="DO75" s="170">
        <f t="shared" si="328"/>
        <v>0</v>
      </c>
      <c r="DP75" s="167">
        <f t="shared" si="329"/>
        <v>0</v>
      </c>
      <c r="DQ75" s="171">
        <f t="shared" si="330"/>
        <v>0</v>
      </c>
      <c r="DR75" s="169">
        <f t="shared" si="316"/>
        <v>0</v>
      </c>
      <c r="DS75" s="167">
        <f t="shared" si="271"/>
        <v>0</v>
      </c>
      <c r="DT75" s="167">
        <f t="shared" si="331"/>
        <v>0</v>
      </c>
      <c r="DU75" s="167">
        <f t="shared" si="272"/>
        <v>0</v>
      </c>
      <c r="DV75" s="167">
        <f t="shared" si="332"/>
        <v>0</v>
      </c>
      <c r="DW75" s="167">
        <f t="shared" si="273"/>
        <v>0</v>
      </c>
      <c r="DX75" s="167">
        <f t="shared" si="333"/>
        <v>0</v>
      </c>
      <c r="DY75" s="167">
        <f t="shared" si="274"/>
        <v>0</v>
      </c>
      <c r="DZ75" s="167">
        <f t="shared" si="334"/>
        <v>0</v>
      </c>
      <c r="EA75" s="167">
        <f t="shared" si="275"/>
        <v>0</v>
      </c>
      <c r="EB75" s="170">
        <f t="shared" si="335"/>
        <v>0</v>
      </c>
      <c r="EC75" s="167">
        <f t="shared" si="336"/>
        <v>0</v>
      </c>
      <c r="ED75" s="171">
        <f t="shared" si="337"/>
        <v>0</v>
      </c>
    </row>
    <row r="76" spans="1:134" x14ac:dyDescent="0.3">
      <c r="A76" s="185"/>
      <c r="B76" s="186"/>
      <c r="C76" s="187"/>
      <c r="D76" s="188"/>
      <c r="E76" s="189"/>
      <c r="F76" s="190"/>
      <c r="G76" s="191"/>
      <c r="H76" s="192"/>
      <c r="I76" s="193"/>
      <c r="J76" s="194"/>
      <c r="K76" s="165">
        <f t="shared" si="338"/>
        <v>0</v>
      </c>
      <c r="L76" s="166">
        <f t="shared" si="339"/>
        <v>0</v>
      </c>
      <c r="M76" s="167">
        <f t="shared" si="340"/>
        <v>0</v>
      </c>
      <c r="N76" s="167"/>
      <c r="O76" s="167">
        <f t="shared" si="341"/>
        <v>0</v>
      </c>
      <c r="P76" s="168"/>
      <c r="Q76" s="167">
        <f t="shared" si="342"/>
        <v>0</v>
      </c>
      <c r="R76" s="169">
        <f t="shared" si="343"/>
        <v>0</v>
      </c>
      <c r="S76" s="167">
        <f t="shared" si="344"/>
        <v>0</v>
      </c>
      <c r="T76" s="167">
        <f t="shared" si="345"/>
        <v>0</v>
      </c>
      <c r="U76" s="167">
        <f t="shared" si="346"/>
        <v>0</v>
      </c>
      <c r="V76" s="167">
        <f t="shared" si="347"/>
        <v>0</v>
      </c>
      <c r="W76" s="167">
        <f t="shared" si="348"/>
        <v>0</v>
      </c>
      <c r="X76" s="167">
        <f t="shared" si="349"/>
        <v>0</v>
      </c>
      <c r="Y76" s="167">
        <f t="shared" si="350"/>
        <v>0</v>
      </c>
      <c r="Z76" s="167">
        <f t="shared" si="351"/>
        <v>0</v>
      </c>
      <c r="AA76" s="167">
        <f t="shared" si="352"/>
        <v>0</v>
      </c>
      <c r="AB76" s="170">
        <f t="shared" si="353"/>
        <v>0</v>
      </c>
      <c r="AC76" s="167">
        <f t="shared" si="354"/>
        <v>0</v>
      </c>
      <c r="AD76" s="171">
        <f t="shared" si="355"/>
        <v>0</v>
      </c>
      <c r="AE76" s="169">
        <f t="shared" si="280"/>
        <v>0</v>
      </c>
      <c r="AF76" s="167">
        <f t="shared" si="235"/>
        <v>0</v>
      </c>
      <c r="AG76" s="167">
        <f t="shared" si="281"/>
        <v>0</v>
      </c>
      <c r="AH76" s="167">
        <f t="shared" si="236"/>
        <v>0</v>
      </c>
      <c r="AI76" s="167">
        <f t="shared" si="282"/>
        <v>0</v>
      </c>
      <c r="AJ76" s="167">
        <f t="shared" si="237"/>
        <v>0</v>
      </c>
      <c r="AK76" s="167">
        <f t="shared" si="283"/>
        <v>0</v>
      </c>
      <c r="AL76" s="167">
        <f t="shared" si="238"/>
        <v>0</v>
      </c>
      <c r="AM76" s="167">
        <f t="shared" si="284"/>
        <v>0</v>
      </c>
      <c r="AN76" s="167">
        <f t="shared" si="239"/>
        <v>0</v>
      </c>
      <c r="AO76" s="170">
        <f t="shared" si="285"/>
        <v>0</v>
      </c>
      <c r="AP76" s="167">
        <f t="shared" si="286"/>
        <v>0</v>
      </c>
      <c r="AQ76" s="171">
        <f t="shared" si="287"/>
        <v>0</v>
      </c>
      <c r="AR76" s="169">
        <f t="shared" si="280"/>
        <v>0</v>
      </c>
      <c r="AS76" s="167">
        <f t="shared" si="240"/>
        <v>0</v>
      </c>
      <c r="AT76" s="167">
        <f t="shared" si="288"/>
        <v>0</v>
      </c>
      <c r="AU76" s="167">
        <f t="shared" si="241"/>
        <v>0</v>
      </c>
      <c r="AV76" s="167">
        <f t="shared" si="289"/>
        <v>0</v>
      </c>
      <c r="AW76" s="167">
        <f t="shared" si="242"/>
        <v>0</v>
      </c>
      <c r="AX76" s="167">
        <f t="shared" si="290"/>
        <v>0</v>
      </c>
      <c r="AY76" s="167">
        <f t="shared" si="243"/>
        <v>0</v>
      </c>
      <c r="AZ76" s="167">
        <f t="shared" si="291"/>
        <v>0</v>
      </c>
      <c r="BA76" s="167">
        <f t="shared" si="244"/>
        <v>0</v>
      </c>
      <c r="BB76" s="170">
        <f t="shared" si="292"/>
        <v>0</v>
      </c>
      <c r="BC76" s="167">
        <f t="shared" si="293"/>
        <v>0</v>
      </c>
      <c r="BD76" s="171">
        <f t="shared" si="294"/>
        <v>0</v>
      </c>
      <c r="BE76" s="169">
        <f t="shared" si="280"/>
        <v>0</v>
      </c>
      <c r="BF76" s="167">
        <f t="shared" si="245"/>
        <v>0</v>
      </c>
      <c r="BG76" s="167">
        <f t="shared" si="295"/>
        <v>0</v>
      </c>
      <c r="BH76" s="167">
        <f t="shared" si="246"/>
        <v>0</v>
      </c>
      <c r="BI76" s="167">
        <f t="shared" si="296"/>
        <v>0</v>
      </c>
      <c r="BJ76" s="167">
        <f t="shared" si="247"/>
        <v>0</v>
      </c>
      <c r="BK76" s="167">
        <f t="shared" si="297"/>
        <v>0</v>
      </c>
      <c r="BL76" s="167">
        <f t="shared" si="248"/>
        <v>0</v>
      </c>
      <c r="BM76" s="167">
        <f t="shared" si="298"/>
        <v>0</v>
      </c>
      <c r="BN76" s="167">
        <f t="shared" si="249"/>
        <v>0</v>
      </c>
      <c r="BO76" s="170">
        <f t="shared" si="299"/>
        <v>0</v>
      </c>
      <c r="BP76" s="167">
        <f t="shared" si="300"/>
        <v>0</v>
      </c>
      <c r="BQ76" s="171">
        <f t="shared" si="301"/>
        <v>0</v>
      </c>
      <c r="BR76" s="169">
        <f t="shared" si="280"/>
        <v>0</v>
      </c>
      <c r="BS76" s="167">
        <f t="shared" si="250"/>
        <v>0</v>
      </c>
      <c r="BT76" s="167">
        <f t="shared" si="302"/>
        <v>0</v>
      </c>
      <c r="BU76" s="167">
        <f t="shared" si="251"/>
        <v>0</v>
      </c>
      <c r="BV76" s="167">
        <f t="shared" si="303"/>
        <v>0</v>
      </c>
      <c r="BW76" s="167">
        <f t="shared" si="252"/>
        <v>0</v>
      </c>
      <c r="BX76" s="167">
        <f t="shared" si="304"/>
        <v>0</v>
      </c>
      <c r="BY76" s="167">
        <f t="shared" si="253"/>
        <v>0</v>
      </c>
      <c r="BZ76" s="167">
        <f t="shared" si="305"/>
        <v>0</v>
      </c>
      <c r="CA76" s="167">
        <f t="shared" si="254"/>
        <v>0</v>
      </c>
      <c r="CB76" s="170">
        <f t="shared" si="306"/>
        <v>0</v>
      </c>
      <c r="CC76" s="167">
        <f t="shared" si="307"/>
        <v>0</v>
      </c>
      <c r="CD76" s="171">
        <f t="shared" si="308"/>
        <v>0</v>
      </c>
      <c r="CE76" s="169">
        <f t="shared" si="280"/>
        <v>0</v>
      </c>
      <c r="CF76" s="167">
        <f t="shared" si="255"/>
        <v>0</v>
      </c>
      <c r="CG76" s="167">
        <f t="shared" si="309"/>
        <v>0</v>
      </c>
      <c r="CH76" s="167">
        <f t="shared" si="256"/>
        <v>0</v>
      </c>
      <c r="CI76" s="167">
        <f t="shared" si="310"/>
        <v>0</v>
      </c>
      <c r="CJ76" s="167">
        <f t="shared" si="257"/>
        <v>0</v>
      </c>
      <c r="CK76" s="167">
        <f t="shared" si="311"/>
        <v>0</v>
      </c>
      <c r="CL76" s="167">
        <f t="shared" si="258"/>
        <v>0</v>
      </c>
      <c r="CM76" s="167">
        <f t="shared" si="312"/>
        <v>0</v>
      </c>
      <c r="CN76" s="167">
        <f t="shared" si="259"/>
        <v>0</v>
      </c>
      <c r="CO76" s="170">
        <f t="shared" si="313"/>
        <v>0</v>
      </c>
      <c r="CP76" s="167">
        <f t="shared" si="314"/>
        <v>0</v>
      </c>
      <c r="CQ76" s="171">
        <f t="shared" si="315"/>
        <v>0</v>
      </c>
      <c r="CR76" s="169">
        <f t="shared" si="316"/>
        <v>0</v>
      </c>
      <c r="CS76" s="167">
        <f t="shared" si="261"/>
        <v>0</v>
      </c>
      <c r="CT76" s="167">
        <f t="shared" si="317"/>
        <v>0</v>
      </c>
      <c r="CU76" s="167">
        <f t="shared" si="262"/>
        <v>0</v>
      </c>
      <c r="CV76" s="167">
        <f t="shared" si="318"/>
        <v>0</v>
      </c>
      <c r="CW76" s="167">
        <f t="shared" si="263"/>
        <v>0</v>
      </c>
      <c r="CX76" s="167">
        <f t="shared" si="319"/>
        <v>0</v>
      </c>
      <c r="CY76" s="167">
        <f t="shared" si="264"/>
        <v>0</v>
      </c>
      <c r="CZ76" s="167">
        <f t="shared" si="320"/>
        <v>0</v>
      </c>
      <c r="DA76" s="167">
        <f t="shared" si="265"/>
        <v>0</v>
      </c>
      <c r="DB76" s="170">
        <f t="shared" si="321"/>
        <v>0</v>
      </c>
      <c r="DC76" s="167">
        <f t="shared" si="322"/>
        <v>0</v>
      </c>
      <c r="DD76" s="171">
        <f t="shared" si="323"/>
        <v>0</v>
      </c>
      <c r="DE76" s="169">
        <f t="shared" si="316"/>
        <v>0</v>
      </c>
      <c r="DF76" s="167">
        <f t="shared" si="266"/>
        <v>0</v>
      </c>
      <c r="DG76" s="167">
        <f t="shared" si="324"/>
        <v>0</v>
      </c>
      <c r="DH76" s="167">
        <f t="shared" si="267"/>
        <v>0</v>
      </c>
      <c r="DI76" s="167">
        <f t="shared" si="325"/>
        <v>0</v>
      </c>
      <c r="DJ76" s="167">
        <f t="shared" si="268"/>
        <v>0</v>
      </c>
      <c r="DK76" s="167">
        <f t="shared" si="326"/>
        <v>0</v>
      </c>
      <c r="DL76" s="167">
        <f t="shared" si="269"/>
        <v>0</v>
      </c>
      <c r="DM76" s="167">
        <f t="shared" si="327"/>
        <v>0</v>
      </c>
      <c r="DN76" s="167">
        <f t="shared" si="270"/>
        <v>0</v>
      </c>
      <c r="DO76" s="170">
        <f t="shared" si="328"/>
        <v>0</v>
      </c>
      <c r="DP76" s="167">
        <f t="shared" si="329"/>
        <v>0</v>
      </c>
      <c r="DQ76" s="171">
        <f t="shared" si="330"/>
        <v>0</v>
      </c>
      <c r="DR76" s="169">
        <f t="shared" si="316"/>
        <v>0</v>
      </c>
      <c r="DS76" s="167">
        <f t="shared" si="271"/>
        <v>0</v>
      </c>
      <c r="DT76" s="167">
        <f t="shared" si="331"/>
        <v>0</v>
      </c>
      <c r="DU76" s="167">
        <f t="shared" si="272"/>
        <v>0</v>
      </c>
      <c r="DV76" s="167">
        <f t="shared" si="332"/>
        <v>0</v>
      </c>
      <c r="DW76" s="167">
        <f t="shared" si="273"/>
        <v>0</v>
      </c>
      <c r="DX76" s="167">
        <f t="shared" si="333"/>
        <v>0</v>
      </c>
      <c r="DY76" s="167">
        <f t="shared" si="274"/>
        <v>0</v>
      </c>
      <c r="DZ76" s="167">
        <f t="shared" si="334"/>
        <v>0</v>
      </c>
      <c r="EA76" s="167">
        <f t="shared" si="275"/>
        <v>0</v>
      </c>
      <c r="EB76" s="170">
        <f t="shared" si="335"/>
        <v>0</v>
      </c>
      <c r="EC76" s="167">
        <f t="shared" si="336"/>
        <v>0</v>
      </c>
      <c r="ED76" s="171">
        <f t="shared" si="337"/>
        <v>0</v>
      </c>
    </row>
    <row r="77" spans="1:134" x14ac:dyDescent="0.3">
      <c r="A77" s="185"/>
      <c r="B77" s="186"/>
      <c r="C77" s="187"/>
      <c r="D77" s="188"/>
      <c r="E77" s="189"/>
      <c r="F77" s="190"/>
      <c r="G77" s="191"/>
      <c r="H77" s="192"/>
      <c r="I77" s="193"/>
      <c r="J77" s="194"/>
      <c r="K77" s="165">
        <f t="shared" si="338"/>
        <v>0</v>
      </c>
      <c r="L77" s="166">
        <f t="shared" si="339"/>
        <v>0</v>
      </c>
      <c r="M77" s="167">
        <f t="shared" si="340"/>
        <v>0</v>
      </c>
      <c r="N77" s="167"/>
      <c r="O77" s="167">
        <f t="shared" si="341"/>
        <v>0</v>
      </c>
      <c r="P77" s="168"/>
      <c r="Q77" s="167">
        <f t="shared" si="342"/>
        <v>0</v>
      </c>
      <c r="R77" s="169">
        <f t="shared" si="343"/>
        <v>0</v>
      </c>
      <c r="S77" s="167">
        <f t="shared" si="344"/>
        <v>0</v>
      </c>
      <c r="T77" s="167">
        <f t="shared" si="345"/>
        <v>0</v>
      </c>
      <c r="U77" s="167">
        <f t="shared" si="346"/>
        <v>0</v>
      </c>
      <c r="V77" s="167">
        <f t="shared" si="347"/>
        <v>0</v>
      </c>
      <c r="W77" s="167">
        <f t="shared" si="348"/>
        <v>0</v>
      </c>
      <c r="X77" s="167">
        <f t="shared" si="349"/>
        <v>0</v>
      </c>
      <c r="Y77" s="167">
        <f t="shared" si="350"/>
        <v>0</v>
      </c>
      <c r="Z77" s="167">
        <f t="shared" si="351"/>
        <v>0</v>
      </c>
      <c r="AA77" s="167">
        <f t="shared" si="352"/>
        <v>0</v>
      </c>
      <c r="AB77" s="170">
        <f t="shared" si="353"/>
        <v>0</v>
      </c>
      <c r="AC77" s="167">
        <f t="shared" si="354"/>
        <v>0</v>
      </c>
      <c r="AD77" s="171">
        <f t="shared" si="355"/>
        <v>0</v>
      </c>
      <c r="AE77" s="169">
        <f t="shared" si="280"/>
        <v>0</v>
      </c>
      <c r="AF77" s="167">
        <f t="shared" si="235"/>
        <v>0</v>
      </c>
      <c r="AG77" s="167">
        <f t="shared" si="281"/>
        <v>0</v>
      </c>
      <c r="AH77" s="167">
        <f t="shared" si="236"/>
        <v>0</v>
      </c>
      <c r="AI77" s="167">
        <f t="shared" si="282"/>
        <v>0</v>
      </c>
      <c r="AJ77" s="167">
        <f t="shared" si="237"/>
        <v>0</v>
      </c>
      <c r="AK77" s="167">
        <f t="shared" si="283"/>
        <v>0</v>
      </c>
      <c r="AL77" s="167">
        <f t="shared" si="238"/>
        <v>0</v>
      </c>
      <c r="AM77" s="167">
        <f t="shared" si="284"/>
        <v>0</v>
      </c>
      <c r="AN77" s="167">
        <f t="shared" si="239"/>
        <v>0</v>
      </c>
      <c r="AO77" s="170">
        <f t="shared" si="285"/>
        <v>0</v>
      </c>
      <c r="AP77" s="167">
        <f t="shared" si="286"/>
        <v>0</v>
      </c>
      <c r="AQ77" s="171">
        <f t="shared" si="287"/>
        <v>0</v>
      </c>
      <c r="AR77" s="169">
        <f t="shared" si="280"/>
        <v>0</v>
      </c>
      <c r="AS77" s="167">
        <f t="shared" si="240"/>
        <v>0</v>
      </c>
      <c r="AT77" s="167">
        <f t="shared" si="288"/>
        <v>0</v>
      </c>
      <c r="AU77" s="167">
        <f t="shared" si="241"/>
        <v>0</v>
      </c>
      <c r="AV77" s="167">
        <f t="shared" si="289"/>
        <v>0</v>
      </c>
      <c r="AW77" s="167">
        <f t="shared" si="242"/>
        <v>0</v>
      </c>
      <c r="AX77" s="167">
        <f t="shared" si="290"/>
        <v>0</v>
      </c>
      <c r="AY77" s="167">
        <f t="shared" si="243"/>
        <v>0</v>
      </c>
      <c r="AZ77" s="167">
        <f t="shared" si="291"/>
        <v>0</v>
      </c>
      <c r="BA77" s="167">
        <f t="shared" si="244"/>
        <v>0</v>
      </c>
      <c r="BB77" s="170">
        <f t="shared" si="292"/>
        <v>0</v>
      </c>
      <c r="BC77" s="167">
        <f t="shared" si="293"/>
        <v>0</v>
      </c>
      <c r="BD77" s="171">
        <f t="shared" si="294"/>
        <v>0</v>
      </c>
      <c r="BE77" s="169">
        <f t="shared" si="280"/>
        <v>0</v>
      </c>
      <c r="BF77" s="167">
        <f t="shared" si="245"/>
        <v>0</v>
      </c>
      <c r="BG77" s="167">
        <f t="shared" si="295"/>
        <v>0</v>
      </c>
      <c r="BH77" s="167">
        <f t="shared" si="246"/>
        <v>0</v>
      </c>
      <c r="BI77" s="167">
        <f t="shared" si="296"/>
        <v>0</v>
      </c>
      <c r="BJ77" s="167">
        <f t="shared" si="247"/>
        <v>0</v>
      </c>
      <c r="BK77" s="167">
        <f t="shared" si="297"/>
        <v>0</v>
      </c>
      <c r="BL77" s="167">
        <f t="shared" si="248"/>
        <v>0</v>
      </c>
      <c r="BM77" s="167">
        <f t="shared" si="298"/>
        <v>0</v>
      </c>
      <c r="BN77" s="167">
        <f t="shared" si="249"/>
        <v>0</v>
      </c>
      <c r="BO77" s="170">
        <f t="shared" si="299"/>
        <v>0</v>
      </c>
      <c r="BP77" s="167">
        <f t="shared" si="300"/>
        <v>0</v>
      </c>
      <c r="BQ77" s="171">
        <f t="shared" si="301"/>
        <v>0</v>
      </c>
      <c r="BR77" s="169">
        <f t="shared" si="280"/>
        <v>0</v>
      </c>
      <c r="BS77" s="167">
        <f t="shared" si="250"/>
        <v>0</v>
      </c>
      <c r="BT77" s="167">
        <f t="shared" si="302"/>
        <v>0</v>
      </c>
      <c r="BU77" s="167">
        <f t="shared" si="251"/>
        <v>0</v>
      </c>
      <c r="BV77" s="167">
        <f t="shared" si="303"/>
        <v>0</v>
      </c>
      <c r="BW77" s="167">
        <f t="shared" si="252"/>
        <v>0</v>
      </c>
      <c r="BX77" s="167">
        <f t="shared" si="304"/>
        <v>0</v>
      </c>
      <c r="BY77" s="167">
        <f t="shared" si="253"/>
        <v>0</v>
      </c>
      <c r="BZ77" s="167">
        <f t="shared" si="305"/>
        <v>0</v>
      </c>
      <c r="CA77" s="167">
        <f t="shared" si="254"/>
        <v>0</v>
      </c>
      <c r="CB77" s="170">
        <f t="shared" si="306"/>
        <v>0</v>
      </c>
      <c r="CC77" s="167">
        <f t="shared" si="307"/>
        <v>0</v>
      </c>
      <c r="CD77" s="171">
        <f t="shared" si="308"/>
        <v>0</v>
      </c>
      <c r="CE77" s="169">
        <f t="shared" si="280"/>
        <v>0</v>
      </c>
      <c r="CF77" s="167">
        <f t="shared" si="255"/>
        <v>0</v>
      </c>
      <c r="CG77" s="167">
        <f t="shared" si="309"/>
        <v>0</v>
      </c>
      <c r="CH77" s="167">
        <f t="shared" si="256"/>
        <v>0</v>
      </c>
      <c r="CI77" s="167">
        <f t="shared" si="310"/>
        <v>0</v>
      </c>
      <c r="CJ77" s="167">
        <f t="shared" si="257"/>
        <v>0</v>
      </c>
      <c r="CK77" s="167">
        <f t="shared" si="311"/>
        <v>0</v>
      </c>
      <c r="CL77" s="167">
        <f t="shared" si="258"/>
        <v>0</v>
      </c>
      <c r="CM77" s="167">
        <f t="shared" si="312"/>
        <v>0</v>
      </c>
      <c r="CN77" s="167">
        <f t="shared" si="259"/>
        <v>0</v>
      </c>
      <c r="CO77" s="170">
        <f t="shared" si="313"/>
        <v>0</v>
      </c>
      <c r="CP77" s="167">
        <f t="shared" si="314"/>
        <v>0</v>
      </c>
      <c r="CQ77" s="171">
        <f t="shared" si="315"/>
        <v>0</v>
      </c>
      <c r="CR77" s="169">
        <f t="shared" si="316"/>
        <v>0</v>
      </c>
      <c r="CS77" s="167">
        <f t="shared" si="261"/>
        <v>0</v>
      </c>
      <c r="CT77" s="167">
        <f t="shared" si="317"/>
        <v>0</v>
      </c>
      <c r="CU77" s="167">
        <f t="shared" si="262"/>
        <v>0</v>
      </c>
      <c r="CV77" s="167">
        <f t="shared" si="318"/>
        <v>0</v>
      </c>
      <c r="CW77" s="167">
        <f t="shared" si="263"/>
        <v>0</v>
      </c>
      <c r="CX77" s="167">
        <f t="shared" si="319"/>
        <v>0</v>
      </c>
      <c r="CY77" s="167">
        <f t="shared" si="264"/>
        <v>0</v>
      </c>
      <c r="CZ77" s="167">
        <f t="shared" si="320"/>
        <v>0</v>
      </c>
      <c r="DA77" s="167">
        <f t="shared" si="265"/>
        <v>0</v>
      </c>
      <c r="DB77" s="170">
        <f t="shared" si="321"/>
        <v>0</v>
      </c>
      <c r="DC77" s="167">
        <f t="shared" si="322"/>
        <v>0</v>
      </c>
      <c r="DD77" s="171">
        <f t="shared" si="323"/>
        <v>0</v>
      </c>
      <c r="DE77" s="169">
        <f t="shared" si="316"/>
        <v>0</v>
      </c>
      <c r="DF77" s="167">
        <f t="shared" si="266"/>
        <v>0</v>
      </c>
      <c r="DG77" s="167">
        <f t="shared" si="324"/>
        <v>0</v>
      </c>
      <c r="DH77" s="167">
        <f t="shared" si="267"/>
        <v>0</v>
      </c>
      <c r="DI77" s="167">
        <f t="shared" si="325"/>
        <v>0</v>
      </c>
      <c r="DJ77" s="167">
        <f t="shared" si="268"/>
        <v>0</v>
      </c>
      <c r="DK77" s="167">
        <f t="shared" si="326"/>
        <v>0</v>
      </c>
      <c r="DL77" s="167">
        <f t="shared" si="269"/>
        <v>0</v>
      </c>
      <c r="DM77" s="167">
        <f t="shared" si="327"/>
        <v>0</v>
      </c>
      <c r="DN77" s="167">
        <f t="shared" si="270"/>
        <v>0</v>
      </c>
      <c r="DO77" s="170">
        <f t="shared" si="328"/>
        <v>0</v>
      </c>
      <c r="DP77" s="167">
        <f t="shared" si="329"/>
        <v>0</v>
      </c>
      <c r="DQ77" s="171">
        <f t="shared" si="330"/>
        <v>0</v>
      </c>
      <c r="DR77" s="169">
        <f t="shared" si="316"/>
        <v>0</v>
      </c>
      <c r="DS77" s="167">
        <f t="shared" si="271"/>
        <v>0</v>
      </c>
      <c r="DT77" s="167">
        <f t="shared" si="331"/>
        <v>0</v>
      </c>
      <c r="DU77" s="167">
        <f t="shared" si="272"/>
        <v>0</v>
      </c>
      <c r="DV77" s="167">
        <f t="shared" si="332"/>
        <v>0</v>
      </c>
      <c r="DW77" s="167">
        <f t="shared" si="273"/>
        <v>0</v>
      </c>
      <c r="DX77" s="167">
        <f t="shared" si="333"/>
        <v>0</v>
      </c>
      <c r="DY77" s="167">
        <f t="shared" si="274"/>
        <v>0</v>
      </c>
      <c r="DZ77" s="167">
        <f t="shared" si="334"/>
        <v>0</v>
      </c>
      <c r="EA77" s="167">
        <f t="shared" si="275"/>
        <v>0</v>
      </c>
      <c r="EB77" s="170">
        <f t="shared" si="335"/>
        <v>0</v>
      </c>
      <c r="EC77" s="167">
        <f t="shared" si="336"/>
        <v>0</v>
      </c>
      <c r="ED77" s="171">
        <f t="shared" si="337"/>
        <v>0</v>
      </c>
    </row>
    <row r="78" spans="1:134" x14ac:dyDescent="0.3">
      <c r="A78" s="185"/>
      <c r="B78" s="186"/>
      <c r="C78" s="187"/>
      <c r="D78" s="188"/>
      <c r="E78" s="189"/>
      <c r="F78" s="190"/>
      <c r="G78" s="191"/>
      <c r="H78" s="192"/>
      <c r="I78" s="193"/>
      <c r="J78" s="194"/>
      <c r="K78" s="165">
        <f t="shared" si="338"/>
        <v>0</v>
      </c>
      <c r="L78" s="166">
        <f t="shared" si="339"/>
        <v>0</v>
      </c>
      <c r="M78" s="167">
        <f t="shared" si="340"/>
        <v>0</v>
      </c>
      <c r="N78" s="167"/>
      <c r="O78" s="167">
        <f t="shared" si="341"/>
        <v>0</v>
      </c>
      <c r="P78" s="168"/>
      <c r="Q78" s="167">
        <f t="shared" si="342"/>
        <v>0</v>
      </c>
      <c r="R78" s="169">
        <f t="shared" si="343"/>
        <v>0</v>
      </c>
      <c r="S78" s="167">
        <f t="shared" si="344"/>
        <v>0</v>
      </c>
      <c r="T78" s="167">
        <f t="shared" si="345"/>
        <v>0</v>
      </c>
      <c r="U78" s="167">
        <f t="shared" si="346"/>
        <v>0</v>
      </c>
      <c r="V78" s="167">
        <f t="shared" si="347"/>
        <v>0</v>
      </c>
      <c r="W78" s="167">
        <f t="shared" si="348"/>
        <v>0</v>
      </c>
      <c r="X78" s="167">
        <f t="shared" si="349"/>
        <v>0</v>
      </c>
      <c r="Y78" s="167">
        <f t="shared" si="350"/>
        <v>0</v>
      </c>
      <c r="Z78" s="167">
        <f t="shared" si="351"/>
        <v>0</v>
      </c>
      <c r="AA78" s="167">
        <f t="shared" si="352"/>
        <v>0</v>
      </c>
      <c r="AB78" s="170">
        <f t="shared" si="353"/>
        <v>0</v>
      </c>
      <c r="AC78" s="167">
        <f t="shared" si="354"/>
        <v>0</v>
      </c>
      <c r="AD78" s="171">
        <f t="shared" si="355"/>
        <v>0</v>
      </c>
      <c r="AE78" s="169">
        <f t="shared" si="280"/>
        <v>0</v>
      </c>
      <c r="AF78" s="167">
        <f t="shared" si="235"/>
        <v>0</v>
      </c>
      <c r="AG78" s="167">
        <f t="shared" si="281"/>
        <v>0</v>
      </c>
      <c r="AH78" s="167">
        <f t="shared" si="236"/>
        <v>0</v>
      </c>
      <c r="AI78" s="167">
        <f t="shared" si="282"/>
        <v>0</v>
      </c>
      <c r="AJ78" s="167">
        <f t="shared" si="237"/>
        <v>0</v>
      </c>
      <c r="AK78" s="167">
        <f t="shared" si="283"/>
        <v>0</v>
      </c>
      <c r="AL78" s="167">
        <f t="shared" si="238"/>
        <v>0</v>
      </c>
      <c r="AM78" s="167">
        <f t="shared" si="284"/>
        <v>0</v>
      </c>
      <c r="AN78" s="167">
        <f t="shared" si="239"/>
        <v>0</v>
      </c>
      <c r="AO78" s="170">
        <f t="shared" si="285"/>
        <v>0</v>
      </c>
      <c r="AP78" s="167">
        <f t="shared" si="286"/>
        <v>0</v>
      </c>
      <c r="AQ78" s="171">
        <f t="shared" si="287"/>
        <v>0</v>
      </c>
      <c r="AR78" s="169">
        <f t="shared" si="280"/>
        <v>0</v>
      </c>
      <c r="AS78" s="167">
        <f t="shared" si="240"/>
        <v>0</v>
      </c>
      <c r="AT78" s="167">
        <f t="shared" si="288"/>
        <v>0</v>
      </c>
      <c r="AU78" s="167">
        <f t="shared" si="241"/>
        <v>0</v>
      </c>
      <c r="AV78" s="167">
        <f t="shared" si="289"/>
        <v>0</v>
      </c>
      <c r="AW78" s="167">
        <f t="shared" si="242"/>
        <v>0</v>
      </c>
      <c r="AX78" s="167">
        <f t="shared" si="290"/>
        <v>0</v>
      </c>
      <c r="AY78" s="167">
        <f t="shared" si="243"/>
        <v>0</v>
      </c>
      <c r="AZ78" s="167">
        <f t="shared" si="291"/>
        <v>0</v>
      </c>
      <c r="BA78" s="167">
        <f t="shared" si="244"/>
        <v>0</v>
      </c>
      <c r="BB78" s="170">
        <f t="shared" si="292"/>
        <v>0</v>
      </c>
      <c r="BC78" s="167">
        <f t="shared" si="293"/>
        <v>0</v>
      </c>
      <c r="BD78" s="171">
        <f t="shared" si="294"/>
        <v>0</v>
      </c>
      <c r="BE78" s="169">
        <f t="shared" si="280"/>
        <v>0</v>
      </c>
      <c r="BF78" s="167">
        <f t="shared" si="245"/>
        <v>0</v>
      </c>
      <c r="BG78" s="167">
        <f t="shared" si="295"/>
        <v>0</v>
      </c>
      <c r="BH78" s="167">
        <f t="shared" si="246"/>
        <v>0</v>
      </c>
      <c r="BI78" s="167">
        <f t="shared" si="296"/>
        <v>0</v>
      </c>
      <c r="BJ78" s="167">
        <f t="shared" si="247"/>
        <v>0</v>
      </c>
      <c r="BK78" s="167">
        <f t="shared" si="297"/>
        <v>0</v>
      </c>
      <c r="BL78" s="167">
        <f t="shared" si="248"/>
        <v>0</v>
      </c>
      <c r="BM78" s="167">
        <f t="shared" si="298"/>
        <v>0</v>
      </c>
      <c r="BN78" s="167">
        <f t="shared" si="249"/>
        <v>0</v>
      </c>
      <c r="BO78" s="170">
        <f t="shared" si="299"/>
        <v>0</v>
      </c>
      <c r="BP78" s="167">
        <f t="shared" si="300"/>
        <v>0</v>
      </c>
      <c r="BQ78" s="171">
        <f t="shared" si="301"/>
        <v>0</v>
      </c>
      <c r="BR78" s="169">
        <f t="shared" si="280"/>
        <v>0</v>
      </c>
      <c r="BS78" s="167">
        <f t="shared" si="250"/>
        <v>0</v>
      </c>
      <c r="BT78" s="167">
        <f t="shared" si="302"/>
        <v>0</v>
      </c>
      <c r="BU78" s="167">
        <f t="shared" si="251"/>
        <v>0</v>
      </c>
      <c r="BV78" s="167">
        <f t="shared" si="303"/>
        <v>0</v>
      </c>
      <c r="BW78" s="167">
        <f t="shared" si="252"/>
        <v>0</v>
      </c>
      <c r="BX78" s="167">
        <f t="shared" si="304"/>
        <v>0</v>
      </c>
      <c r="BY78" s="167">
        <f t="shared" si="253"/>
        <v>0</v>
      </c>
      <c r="BZ78" s="167">
        <f t="shared" si="305"/>
        <v>0</v>
      </c>
      <c r="CA78" s="167">
        <f t="shared" si="254"/>
        <v>0</v>
      </c>
      <c r="CB78" s="170">
        <f t="shared" si="306"/>
        <v>0</v>
      </c>
      <c r="CC78" s="167">
        <f t="shared" si="307"/>
        <v>0</v>
      </c>
      <c r="CD78" s="171">
        <f t="shared" si="308"/>
        <v>0</v>
      </c>
      <c r="CE78" s="169">
        <f t="shared" si="280"/>
        <v>0</v>
      </c>
      <c r="CF78" s="167">
        <f t="shared" si="255"/>
        <v>0</v>
      </c>
      <c r="CG78" s="167">
        <f t="shared" si="309"/>
        <v>0</v>
      </c>
      <c r="CH78" s="167">
        <f t="shared" si="256"/>
        <v>0</v>
      </c>
      <c r="CI78" s="167">
        <f t="shared" si="310"/>
        <v>0</v>
      </c>
      <c r="CJ78" s="167">
        <f t="shared" si="257"/>
        <v>0</v>
      </c>
      <c r="CK78" s="167">
        <f t="shared" si="311"/>
        <v>0</v>
      </c>
      <c r="CL78" s="167">
        <f t="shared" si="258"/>
        <v>0</v>
      </c>
      <c r="CM78" s="167">
        <f t="shared" si="312"/>
        <v>0</v>
      </c>
      <c r="CN78" s="167">
        <f t="shared" si="259"/>
        <v>0</v>
      </c>
      <c r="CO78" s="170">
        <f t="shared" si="313"/>
        <v>0</v>
      </c>
      <c r="CP78" s="167">
        <f t="shared" si="314"/>
        <v>0</v>
      </c>
      <c r="CQ78" s="171">
        <f t="shared" si="315"/>
        <v>0</v>
      </c>
      <c r="CR78" s="169">
        <f t="shared" si="316"/>
        <v>0</v>
      </c>
      <c r="CS78" s="167">
        <f t="shared" si="261"/>
        <v>0</v>
      </c>
      <c r="CT78" s="167">
        <f t="shared" si="317"/>
        <v>0</v>
      </c>
      <c r="CU78" s="167">
        <f t="shared" si="262"/>
        <v>0</v>
      </c>
      <c r="CV78" s="167">
        <f t="shared" si="318"/>
        <v>0</v>
      </c>
      <c r="CW78" s="167">
        <f t="shared" si="263"/>
        <v>0</v>
      </c>
      <c r="CX78" s="167">
        <f t="shared" si="319"/>
        <v>0</v>
      </c>
      <c r="CY78" s="167">
        <f t="shared" si="264"/>
        <v>0</v>
      </c>
      <c r="CZ78" s="167">
        <f t="shared" si="320"/>
        <v>0</v>
      </c>
      <c r="DA78" s="167">
        <f t="shared" si="265"/>
        <v>0</v>
      </c>
      <c r="DB78" s="170">
        <f t="shared" si="321"/>
        <v>0</v>
      </c>
      <c r="DC78" s="167">
        <f t="shared" si="322"/>
        <v>0</v>
      </c>
      <c r="DD78" s="171">
        <f t="shared" si="323"/>
        <v>0</v>
      </c>
      <c r="DE78" s="169">
        <f t="shared" si="316"/>
        <v>0</v>
      </c>
      <c r="DF78" s="167">
        <f t="shared" si="266"/>
        <v>0</v>
      </c>
      <c r="DG78" s="167">
        <f t="shared" si="324"/>
        <v>0</v>
      </c>
      <c r="DH78" s="167">
        <f t="shared" si="267"/>
        <v>0</v>
      </c>
      <c r="DI78" s="167">
        <f t="shared" si="325"/>
        <v>0</v>
      </c>
      <c r="DJ78" s="167">
        <f t="shared" si="268"/>
        <v>0</v>
      </c>
      <c r="DK78" s="167">
        <f t="shared" si="326"/>
        <v>0</v>
      </c>
      <c r="DL78" s="167">
        <f t="shared" si="269"/>
        <v>0</v>
      </c>
      <c r="DM78" s="167">
        <f t="shared" si="327"/>
        <v>0</v>
      </c>
      <c r="DN78" s="167">
        <f t="shared" si="270"/>
        <v>0</v>
      </c>
      <c r="DO78" s="170">
        <f t="shared" si="328"/>
        <v>0</v>
      </c>
      <c r="DP78" s="167">
        <f t="shared" si="329"/>
        <v>0</v>
      </c>
      <c r="DQ78" s="171">
        <f t="shared" si="330"/>
        <v>0</v>
      </c>
      <c r="DR78" s="169">
        <f t="shared" si="316"/>
        <v>0</v>
      </c>
      <c r="DS78" s="167">
        <f t="shared" si="271"/>
        <v>0</v>
      </c>
      <c r="DT78" s="167">
        <f t="shared" si="331"/>
        <v>0</v>
      </c>
      <c r="DU78" s="167">
        <f t="shared" si="272"/>
        <v>0</v>
      </c>
      <c r="DV78" s="167">
        <f t="shared" si="332"/>
        <v>0</v>
      </c>
      <c r="DW78" s="167">
        <f t="shared" si="273"/>
        <v>0</v>
      </c>
      <c r="DX78" s="167">
        <f t="shared" si="333"/>
        <v>0</v>
      </c>
      <c r="DY78" s="167">
        <f t="shared" si="274"/>
        <v>0</v>
      </c>
      <c r="DZ78" s="167">
        <f t="shared" si="334"/>
        <v>0</v>
      </c>
      <c r="EA78" s="167">
        <f t="shared" si="275"/>
        <v>0</v>
      </c>
      <c r="EB78" s="170">
        <f t="shared" si="335"/>
        <v>0</v>
      </c>
      <c r="EC78" s="167">
        <f t="shared" si="336"/>
        <v>0</v>
      </c>
      <c r="ED78" s="171">
        <f t="shared" si="337"/>
        <v>0</v>
      </c>
    </row>
    <row r="79" spans="1:134" x14ac:dyDescent="0.3">
      <c r="A79" s="185"/>
      <c r="B79" s="186"/>
      <c r="C79" s="187"/>
      <c r="D79" s="188"/>
      <c r="E79" s="189"/>
      <c r="F79" s="190"/>
      <c r="G79" s="191"/>
      <c r="H79" s="192"/>
      <c r="I79" s="193"/>
      <c r="J79" s="194"/>
      <c r="K79" s="165">
        <f t="shared" si="338"/>
        <v>0</v>
      </c>
      <c r="L79" s="166">
        <f t="shared" si="339"/>
        <v>0</v>
      </c>
      <c r="M79" s="167">
        <f t="shared" si="340"/>
        <v>0</v>
      </c>
      <c r="N79" s="167"/>
      <c r="O79" s="167">
        <f t="shared" si="341"/>
        <v>0</v>
      </c>
      <c r="P79" s="168"/>
      <c r="Q79" s="167">
        <f t="shared" si="342"/>
        <v>0</v>
      </c>
      <c r="R79" s="169">
        <f t="shared" si="343"/>
        <v>0</v>
      </c>
      <c r="S79" s="167">
        <f t="shared" si="344"/>
        <v>0</v>
      </c>
      <c r="T79" s="167">
        <f t="shared" si="345"/>
        <v>0</v>
      </c>
      <c r="U79" s="167">
        <f t="shared" si="346"/>
        <v>0</v>
      </c>
      <c r="V79" s="167">
        <f t="shared" si="347"/>
        <v>0</v>
      </c>
      <c r="W79" s="167">
        <f t="shared" si="348"/>
        <v>0</v>
      </c>
      <c r="X79" s="167">
        <f t="shared" si="349"/>
        <v>0</v>
      </c>
      <c r="Y79" s="167">
        <f t="shared" si="350"/>
        <v>0</v>
      </c>
      <c r="Z79" s="167">
        <f t="shared" si="351"/>
        <v>0</v>
      </c>
      <c r="AA79" s="167">
        <f t="shared" si="352"/>
        <v>0</v>
      </c>
      <c r="AB79" s="170">
        <f t="shared" si="353"/>
        <v>0</v>
      </c>
      <c r="AC79" s="167">
        <f t="shared" si="354"/>
        <v>0</v>
      </c>
      <c r="AD79" s="171">
        <f t="shared" si="355"/>
        <v>0</v>
      </c>
      <c r="AE79" s="169">
        <f t="shared" si="280"/>
        <v>0</v>
      </c>
      <c r="AF79" s="167">
        <f t="shared" si="235"/>
        <v>0</v>
      </c>
      <c r="AG79" s="167">
        <f t="shared" si="281"/>
        <v>0</v>
      </c>
      <c r="AH79" s="167">
        <f t="shared" si="236"/>
        <v>0</v>
      </c>
      <c r="AI79" s="167">
        <f t="shared" si="282"/>
        <v>0</v>
      </c>
      <c r="AJ79" s="167">
        <f t="shared" si="237"/>
        <v>0</v>
      </c>
      <c r="AK79" s="167">
        <f t="shared" si="283"/>
        <v>0</v>
      </c>
      <c r="AL79" s="167">
        <f t="shared" si="238"/>
        <v>0</v>
      </c>
      <c r="AM79" s="167">
        <f t="shared" si="284"/>
        <v>0</v>
      </c>
      <c r="AN79" s="167">
        <f t="shared" si="239"/>
        <v>0</v>
      </c>
      <c r="AO79" s="170">
        <f t="shared" si="285"/>
        <v>0</v>
      </c>
      <c r="AP79" s="167">
        <f t="shared" si="286"/>
        <v>0</v>
      </c>
      <c r="AQ79" s="171">
        <f t="shared" si="287"/>
        <v>0</v>
      </c>
      <c r="AR79" s="169">
        <f t="shared" si="280"/>
        <v>0</v>
      </c>
      <c r="AS79" s="167">
        <f t="shared" si="240"/>
        <v>0</v>
      </c>
      <c r="AT79" s="167">
        <f t="shared" si="288"/>
        <v>0</v>
      </c>
      <c r="AU79" s="167">
        <f t="shared" si="241"/>
        <v>0</v>
      </c>
      <c r="AV79" s="167">
        <f t="shared" si="289"/>
        <v>0</v>
      </c>
      <c r="AW79" s="167">
        <f t="shared" si="242"/>
        <v>0</v>
      </c>
      <c r="AX79" s="167">
        <f t="shared" si="290"/>
        <v>0</v>
      </c>
      <c r="AY79" s="167">
        <f t="shared" si="243"/>
        <v>0</v>
      </c>
      <c r="AZ79" s="167">
        <f t="shared" si="291"/>
        <v>0</v>
      </c>
      <c r="BA79" s="167">
        <f t="shared" si="244"/>
        <v>0</v>
      </c>
      <c r="BB79" s="170">
        <f t="shared" si="292"/>
        <v>0</v>
      </c>
      <c r="BC79" s="167">
        <f t="shared" si="293"/>
        <v>0</v>
      </c>
      <c r="BD79" s="171">
        <f t="shared" si="294"/>
        <v>0</v>
      </c>
      <c r="BE79" s="169">
        <f t="shared" si="280"/>
        <v>0</v>
      </c>
      <c r="BF79" s="167">
        <f t="shared" si="245"/>
        <v>0</v>
      </c>
      <c r="BG79" s="167">
        <f t="shared" si="295"/>
        <v>0</v>
      </c>
      <c r="BH79" s="167">
        <f t="shared" si="246"/>
        <v>0</v>
      </c>
      <c r="BI79" s="167">
        <f t="shared" si="296"/>
        <v>0</v>
      </c>
      <c r="BJ79" s="167">
        <f t="shared" si="247"/>
        <v>0</v>
      </c>
      <c r="BK79" s="167">
        <f t="shared" si="297"/>
        <v>0</v>
      </c>
      <c r="BL79" s="167">
        <f t="shared" si="248"/>
        <v>0</v>
      </c>
      <c r="BM79" s="167">
        <f t="shared" si="298"/>
        <v>0</v>
      </c>
      <c r="BN79" s="167">
        <f t="shared" si="249"/>
        <v>0</v>
      </c>
      <c r="BO79" s="170">
        <f t="shared" si="299"/>
        <v>0</v>
      </c>
      <c r="BP79" s="167">
        <f t="shared" si="300"/>
        <v>0</v>
      </c>
      <c r="BQ79" s="171">
        <f t="shared" si="301"/>
        <v>0</v>
      </c>
      <c r="BR79" s="169">
        <f t="shared" si="280"/>
        <v>0</v>
      </c>
      <c r="BS79" s="167">
        <f t="shared" si="250"/>
        <v>0</v>
      </c>
      <c r="BT79" s="167">
        <f t="shared" si="302"/>
        <v>0</v>
      </c>
      <c r="BU79" s="167">
        <f t="shared" si="251"/>
        <v>0</v>
      </c>
      <c r="BV79" s="167">
        <f t="shared" si="303"/>
        <v>0</v>
      </c>
      <c r="BW79" s="167">
        <f t="shared" si="252"/>
        <v>0</v>
      </c>
      <c r="BX79" s="167">
        <f t="shared" si="304"/>
        <v>0</v>
      </c>
      <c r="BY79" s="167">
        <f t="shared" si="253"/>
        <v>0</v>
      </c>
      <c r="BZ79" s="167">
        <f t="shared" si="305"/>
        <v>0</v>
      </c>
      <c r="CA79" s="167">
        <f t="shared" si="254"/>
        <v>0</v>
      </c>
      <c r="CB79" s="170">
        <f t="shared" si="306"/>
        <v>0</v>
      </c>
      <c r="CC79" s="167">
        <f t="shared" si="307"/>
        <v>0</v>
      </c>
      <c r="CD79" s="171">
        <f t="shared" si="308"/>
        <v>0</v>
      </c>
      <c r="CE79" s="169">
        <f t="shared" si="280"/>
        <v>0</v>
      </c>
      <c r="CF79" s="167">
        <f t="shared" si="255"/>
        <v>0</v>
      </c>
      <c r="CG79" s="167">
        <f t="shared" si="309"/>
        <v>0</v>
      </c>
      <c r="CH79" s="167">
        <f t="shared" si="256"/>
        <v>0</v>
      </c>
      <c r="CI79" s="167">
        <f t="shared" si="310"/>
        <v>0</v>
      </c>
      <c r="CJ79" s="167">
        <f t="shared" si="257"/>
        <v>0</v>
      </c>
      <c r="CK79" s="167">
        <f t="shared" si="311"/>
        <v>0</v>
      </c>
      <c r="CL79" s="167">
        <f t="shared" si="258"/>
        <v>0</v>
      </c>
      <c r="CM79" s="167">
        <f t="shared" si="312"/>
        <v>0</v>
      </c>
      <c r="CN79" s="167">
        <f t="shared" si="259"/>
        <v>0</v>
      </c>
      <c r="CO79" s="170">
        <f t="shared" si="313"/>
        <v>0</v>
      </c>
      <c r="CP79" s="167">
        <f t="shared" si="314"/>
        <v>0</v>
      </c>
      <c r="CQ79" s="171">
        <f t="shared" si="315"/>
        <v>0</v>
      </c>
      <c r="CR79" s="169">
        <f t="shared" si="316"/>
        <v>0</v>
      </c>
      <c r="CS79" s="167">
        <f t="shared" si="261"/>
        <v>0</v>
      </c>
      <c r="CT79" s="167">
        <f t="shared" si="317"/>
        <v>0</v>
      </c>
      <c r="CU79" s="167">
        <f t="shared" si="262"/>
        <v>0</v>
      </c>
      <c r="CV79" s="167">
        <f t="shared" si="318"/>
        <v>0</v>
      </c>
      <c r="CW79" s="167">
        <f t="shared" si="263"/>
        <v>0</v>
      </c>
      <c r="CX79" s="167">
        <f t="shared" si="319"/>
        <v>0</v>
      </c>
      <c r="CY79" s="167">
        <f t="shared" si="264"/>
        <v>0</v>
      </c>
      <c r="CZ79" s="167">
        <f t="shared" si="320"/>
        <v>0</v>
      </c>
      <c r="DA79" s="167">
        <f t="shared" si="265"/>
        <v>0</v>
      </c>
      <c r="DB79" s="170">
        <f t="shared" si="321"/>
        <v>0</v>
      </c>
      <c r="DC79" s="167">
        <f t="shared" si="322"/>
        <v>0</v>
      </c>
      <c r="DD79" s="171">
        <f t="shared" si="323"/>
        <v>0</v>
      </c>
      <c r="DE79" s="169">
        <f t="shared" si="316"/>
        <v>0</v>
      </c>
      <c r="DF79" s="167">
        <f t="shared" si="266"/>
        <v>0</v>
      </c>
      <c r="DG79" s="167">
        <f t="shared" si="324"/>
        <v>0</v>
      </c>
      <c r="DH79" s="167">
        <f t="shared" si="267"/>
        <v>0</v>
      </c>
      <c r="DI79" s="167">
        <f t="shared" si="325"/>
        <v>0</v>
      </c>
      <c r="DJ79" s="167">
        <f t="shared" si="268"/>
        <v>0</v>
      </c>
      <c r="DK79" s="167">
        <f t="shared" si="326"/>
        <v>0</v>
      </c>
      <c r="DL79" s="167">
        <f t="shared" si="269"/>
        <v>0</v>
      </c>
      <c r="DM79" s="167">
        <f t="shared" si="327"/>
        <v>0</v>
      </c>
      <c r="DN79" s="167">
        <f t="shared" si="270"/>
        <v>0</v>
      </c>
      <c r="DO79" s="170">
        <f t="shared" si="328"/>
        <v>0</v>
      </c>
      <c r="DP79" s="167">
        <f t="shared" si="329"/>
        <v>0</v>
      </c>
      <c r="DQ79" s="171">
        <f t="shared" si="330"/>
        <v>0</v>
      </c>
      <c r="DR79" s="169">
        <f t="shared" si="316"/>
        <v>0</v>
      </c>
      <c r="DS79" s="167">
        <f t="shared" si="271"/>
        <v>0</v>
      </c>
      <c r="DT79" s="167">
        <f t="shared" si="331"/>
        <v>0</v>
      </c>
      <c r="DU79" s="167">
        <f t="shared" si="272"/>
        <v>0</v>
      </c>
      <c r="DV79" s="167">
        <f t="shared" si="332"/>
        <v>0</v>
      </c>
      <c r="DW79" s="167">
        <f t="shared" si="273"/>
        <v>0</v>
      </c>
      <c r="DX79" s="167">
        <f t="shared" si="333"/>
        <v>0</v>
      </c>
      <c r="DY79" s="167">
        <f t="shared" si="274"/>
        <v>0</v>
      </c>
      <c r="DZ79" s="167">
        <f t="shared" si="334"/>
        <v>0</v>
      </c>
      <c r="EA79" s="167">
        <f t="shared" si="275"/>
        <v>0</v>
      </c>
      <c r="EB79" s="170">
        <f t="shared" si="335"/>
        <v>0</v>
      </c>
      <c r="EC79" s="167">
        <f t="shared" si="336"/>
        <v>0</v>
      </c>
      <c r="ED79" s="171">
        <f t="shared" si="337"/>
        <v>0</v>
      </c>
    </row>
    <row r="80" spans="1:134" x14ac:dyDescent="0.3">
      <c r="A80" s="185"/>
      <c r="B80" s="186"/>
      <c r="C80" s="187"/>
      <c r="D80" s="188"/>
      <c r="E80" s="189"/>
      <c r="F80" s="190"/>
      <c r="G80" s="191"/>
      <c r="H80" s="192"/>
      <c r="I80" s="193"/>
      <c r="J80" s="194"/>
      <c r="K80" s="165">
        <f t="shared" si="338"/>
        <v>0</v>
      </c>
      <c r="L80" s="166">
        <f t="shared" si="339"/>
        <v>0</v>
      </c>
      <c r="M80" s="167">
        <f t="shared" si="340"/>
        <v>0</v>
      </c>
      <c r="N80" s="167"/>
      <c r="O80" s="167">
        <f t="shared" si="341"/>
        <v>0</v>
      </c>
      <c r="P80" s="168"/>
      <c r="Q80" s="167">
        <f t="shared" si="342"/>
        <v>0</v>
      </c>
      <c r="R80" s="169">
        <f t="shared" si="343"/>
        <v>0</v>
      </c>
      <c r="S80" s="167">
        <f t="shared" si="344"/>
        <v>0</v>
      </c>
      <c r="T80" s="167">
        <f t="shared" si="345"/>
        <v>0</v>
      </c>
      <c r="U80" s="167">
        <f t="shared" si="346"/>
        <v>0</v>
      </c>
      <c r="V80" s="167">
        <f t="shared" si="347"/>
        <v>0</v>
      </c>
      <c r="W80" s="167">
        <f t="shared" si="348"/>
        <v>0</v>
      </c>
      <c r="X80" s="167">
        <f t="shared" si="349"/>
        <v>0</v>
      </c>
      <c r="Y80" s="167">
        <f t="shared" si="350"/>
        <v>0</v>
      </c>
      <c r="Z80" s="167">
        <f t="shared" si="351"/>
        <v>0</v>
      </c>
      <c r="AA80" s="167">
        <f t="shared" si="352"/>
        <v>0</v>
      </c>
      <c r="AB80" s="170">
        <f t="shared" si="353"/>
        <v>0</v>
      </c>
      <c r="AC80" s="167">
        <f t="shared" si="354"/>
        <v>0</v>
      </c>
      <c r="AD80" s="171">
        <f t="shared" si="355"/>
        <v>0</v>
      </c>
      <c r="AE80" s="169">
        <f t="shared" si="280"/>
        <v>0</v>
      </c>
      <c r="AF80" s="167">
        <f t="shared" si="235"/>
        <v>0</v>
      </c>
      <c r="AG80" s="167">
        <f t="shared" si="281"/>
        <v>0</v>
      </c>
      <c r="AH80" s="167">
        <f t="shared" si="236"/>
        <v>0</v>
      </c>
      <c r="AI80" s="167">
        <f t="shared" si="282"/>
        <v>0</v>
      </c>
      <c r="AJ80" s="167">
        <f t="shared" si="237"/>
        <v>0</v>
      </c>
      <c r="AK80" s="167">
        <f t="shared" si="283"/>
        <v>0</v>
      </c>
      <c r="AL80" s="167">
        <f t="shared" si="238"/>
        <v>0</v>
      </c>
      <c r="AM80" s="167">
        <f t="shared" si="284"/>
        <v>0</v>
      </c>
      <c r="AN80" s="167">
        <f t="shared" si="239"/>
        <v>0</v>
      </c>
      <c r="AO80" s="170">
        <f t="shared" si="285"/>
        <v>0</v>
      </c>
      <c r="AP80" s="167">
        <f t="shared" si="286"/>
        <v>0</v>
      </c>
      <c r="AQ80" s="171">
        <f t="shared" si="287"/>
        <v>0</v>
      </c>
      <c r="AR80" s="169">
        <f t="shared" si="280"/>
        <v>0</v>
      </c>
      <c r="AS80" s="167">
        <f t="shared" si="240"/>
        <v>0</v>
      </c>
      <c r="AT80" s="167">
        <f t="shared" si="288"/>
        <v>0</v>
      </c>
      <c r="AU80" s="167">
        <f t="shared" si="241"/>
        <v>0</v>
      </c>
      <c r="AV80" s="167">
        <f t="shared" si="289"/>
        <v>0</v>
      </c>
      <c r="AW80" s="167">
        <f t="shared" si="242"/>
        <v>0</v>
      </c>
      <c r="AX80" s="167">
        <f t="shared" si="290"/>
        <v>0</v>
      </c>
      <c r="AY80" s="167">
        <f t="shared" si="243"/>
        <v>0</v>
      </c>
      <c r="AZ80" s="167">
        <f t="shared" si="291"/>
        <v>0</v>
      </c>
      <c r="BA80" s="167">
        <f t="shared" si="244"/>
        <v>0</v>
      </c>
      <c r="BB80" s="170">
        <f t="shared" si="292"/>
        <v>0</v>
      </c>
      <c r="BC80" s="167">
        <f t="shared" si="293"/>
        <v>0</v>
      </c>
      <c r="BD80" s="171">
        <f t="shared" si="294"/>
        <v>0</v>
      </c>
      <c r="BE80" s="169">
        <f t="shared" si="280"/>
        <v>0</v>
      </c>
      <c r="BF80" s="167">
        <f t="shared" si="245"/>
        <v>0</v>
      </c>
      <c r="BG80" s="167">
        <f t="shared" si="295"/>
        <v>0</v>
      </c>
      <c r="BH80" s="167">
        <f t="shared" si="246"/>
        <v>0</v>
      </c>
      <c r="BI80" s="167">
        <f t="shared" si="296"/>
        <v>0</v>
      </c>
      <c r="BJ80" s="167">
        <f t="shared" si="247"/>
        <v>0</v>
      </c>
      <c r="BK80" s="167">
        <f t="shared" si="297"/>
        <v>0</v>
      </c>
      <c r="BL80" s="167">
        <f t="shared" si="248"/>
        <v>0</v>
      </c>
      <c r="BM80" s="167">
        <f t="shared" si="298"/>
        <v>0</v>
      </c>
      <c r="BN80" s="167">
        <f t="shared" si="249"/>
        <v>0</v>
      </c>
      <c r="BO80" s="170">
        <f t="shared" si="299"/>
        <v>0</v>
      </c>
      <c r="BP80" s="167">
        <f t="shared" si="300"/>
        <v>0</v>
      </c>
      <c r="BQ80" s="171">
        <f t="shared" si="301"/>
        <v>0</v>
      </c>
      <c r="BR80" s="169">
        <f t="shared" si="280"/>
        <v>0</v>
      </c>
      <c r="BS80" s="167">
        <f t="shared" si="250"/>
        <v>0</v>
      </c>
      <c r="BT80" s="167">
        <f t="shared" si="302"/>
        <v>0</v>
      </c>
      <c r="BU80" s="167">
        <f t="shared" si="251"/>
        <v>0</v>
      </c>
      <c r="BV80" s="167">
        <f t="shared" si="303"/>
        <v>0</v>
      </c>
      <c r="BW80" s="167">
        <f t="shared" si="252"/>
        <v>0</v>
      </c>
      <c r="BX80" s="167">
        <f t="shared" si="304"/>
        <v>0</v>
      </c>
      <c r="BY80" s="167">
        <f t="shared" si="253"/>
        <v>0</v>
      </c>
      <c r="BZ80" s="167">
        <f t="shared" si="305"/>
        <v>0</v>
      </c>
      <c r="CA80" s="167">
        <f t="shared" si="254"/>
        <v>0</v>
      </c>
      <c r="CB80" s="170">
        <f t="shared" si="306"/>
        <v>0</v>
      </c>
      <c r="CC80" s="167">
        <f t="shared" si="307"/>
        <v>0</v>
      </c>
      <c r="CD80" s="171">
        <f t="shared" si="308"/>
        <v>0</v>
      </c>
      <c r="CE80" s="169">
        <f t="shared" si="280"/>
        <v>0</v>
      </c>
      <c r="CF80" s="167">
        <f t="shared" si="255"/>
        <v>0</v>
      </c>
      <c r="CG80" s="167">
        <f t="shared" si="309"/>
        <v>0</v>
      </c>
      <c r="CH80" s="167">
        <f t="shared" si="256"/>
        <v>0</v>
      </c>
      <c r="CI80" s="167">
        <f t="shared" si="310"/>
        <v>0</v>
      </c>
      <c r="CJ80" s="167">
        <f t="shared" si="257"/>
        <v>0</v>
      </c>
      <c r="CK80" s="167">
        <f t="shared" si="311"/>
        <v>0</v>
      </c>
      <c r="CL80" s="167">
        <f t="shared" si="258"/>
        <v>0</v>
      </c>
      <c r="CM80" s="167">
        <f t="shared" si="312"/>
        <v>0</v>
      </c>
      <c r="CN80" s="167">
        <f t="shared" si="259"/>
        <v>0</v>
      </c>
      <c r="CO80" s="170">
        <f t="shared" si="313"/>
        <v>0</v>
      </c>
      <c r="CP80" s="167">
        <f t="shared" si="314"/>
        <v>0</v>
      </c>
      <c r="CQ80" s="171">
        <f t="shared" si="315"/>
        <v>0</v>
      </c>
      <c r="CR80" s="169">
        <f t="shared" si="316"/>
        <v>0</v>
      </c>
      <c r="CS80" s="167">
        <f t="shared" si="261"/>
        <v>0</v>
      </c>
      <c r="CT80" s="167">
        <f t="shared" si="317"/>
        <v>0</v>
      </c>
      <c r="CU80" s="167">
        <f t="shared" si="262"/>
        <v>0</v>
      </c>
      <c r="CV80" s="167">
        <f t="shared" si="318"/>
        <v>0</v>
      </c>
      <c r="CW80" s="167">
        <f t="shared" si="263"/>
        <v>0</v>
      </c>
      <c r="CX80" s="167">
        <f t="shared" si="319"/>
        <v>0</v>
      </c>
      <c r="CY80" s="167">
        <f t="shared" si="264"/>
        <v>0</v>
      </c>
      <c r="CZ80" s="167">
        <f t="shared" si="320"/>
        <v>0</v>
      </c>
      <c r="DA80" s="167">
        <f t="shared" si="265"/>
        <v>0</v>
      </c>
      <c r="DB80" s="170">
        <f t="shared" si="321"/>
        <v>0</v>
      </c>
      <c r="DC80" s="167">
        <f t="shared" si="322"/>
        <v>0</v>
      </c>
      <c r="DD80" s="171">
        <f t="shared" si="323"/>
        <v>0</v>
      </c>
      <c r="DE80" s="169">
        <f t="shared" si="316"/>
        <v>0</v>
      </c>
      <c r="DF80" s="167">
        <f t="shared" si="266"/>
        <v>0</v>
      </c>
      <c r="DG80" s="167">
        <f t="shared" si="324"/>
        <v>0</v>
      </c>
      <c r="DH80" s="167">
        <f t="shared" si="267"/>
        <v>0</v>
      </c>
      <c r="DI80" s="167">
        <f t="shared" si="325"/>
        <v>0</v>
      </c>
      <c r="DJ80" s="167">
        <f t="shared" si="268"/>
        <v>0</v>
      </c>
      <c r="DK80" s="167">
        <f t="shared" si="326"/>
        <v>0</v>
      </c>
      <c r="DL80" s="167">
        <f t="shared" si="269"/>
        <v>0</v>
      </c>
      <c r="DM80" s="167">
        <f t="shared" si="327"/>
        <v>0</v>
      </c>
      <c r="DN80" s="167">
        <f t="shared" si="270"/>
        <v>0</v>
      </c>
      <c r="DO80" s="170">
        <f t="shared" si="328"/>
        <v>0</v>
      </c>
      <c r="DP80" s="167">
        <f t="shared" si="329"/>
        <v>0</v>
      </c>
      <c r="DQ80" s="171">
        <f t="shared" si="330"/>
        <v>0</v>
      </c>
      <c r="DR80" s="169">
        <f t="shared" si="316"/>
        <v>0</v>
      </c>
      <c r="DS80" s="167">
        <f t="shared" si="271"/>
        <v>0</v>
      </c>
      <c r="DT80" s="167">
        <f t="shared" si="331"/>
        <v>0</v>
      </c>
      <c r="DU80" s="167">
        <f t="shared" si="272"/>
        <v>0</v>
      </c>
      <c r="DV80" s="167">
        <f t="shared" si="332"/>
        <v>0</v>
      </c>
      <c r="DW80" s="167">
        <f t="shared" si="273"/>
        <v>0</v>
      </c>
      <c r="DX80" s="167">
        <f t="shared" si="333"/>
        <v>0</v>
      </c>
      <c r="DY80" s="167">
        <f t="shared" si="274"/>
        <v>0</v>
      </c>
      <c r="DZ80" s="167">
        <f t="shared" si="334"/>
        <v>0</v>
      </c>
      <c r="EA80" s="167">
        <f t="shared" si="275"/>
        <v>0</v>
      </c>
      <c r="EB80" s="170">
        <f t="shared" si="335"/>
        <v>0</v>
      </c>
      <c r="EC80" s="167">
        <f t="shared" si="336"/>
        <v>0</v>
      </c>
      <c r="ED80" s="171">
        <f t="shared" si="337"/>
        <v>0</v>
      </c>
    </row>
    <row r="81" spans="1:134" x14ac:dyDescent="0.3">
      <c r="A81" s="185"/>
      <c r="B81" s="186"/>
      <c r="C81" s="187"/>
      <c r="D81" s="188"/>
      <c r="E81" s="189"/>
      <c r="F81" s="190"/>
      <c r="G81" s="191"/>
      <c r="H81" s="192"/>
      <c r="I81" s="193"/>
      <c r="J81" s="194"/>
      <c r="K81" s="165">
        <f t="shared" si="338"/>
        <v>0</v>
      </c>
      <c r="L81" s="166">
        <f t="shared" si="339"/>
        <v>0</v>
      </c>
      <c r="M81" s="167">
        <f t="shared" si="340"/>
        <v>0</v>
      </c>
      <c r="N81" s="167"/>
      <c r="O81" s="167">
        <f t="shared" si="341"/>
        <v>0</v>
      </c>
      <c r="P81" s="168"/>
      <c r="Q81" s="167">
        <f t="shared" si="342"/>
        <v>0</v>
      </c>
      <c r="R81" s="169">
        <f t="shared" si="343"/>
        <v>0</v>
      </c>
      <c r="S81" s="167">
        <f t="shared" si="344"/>
        <v>0</v>
      </c>
      <c r="T81" s="167">
        <f t="shared" si="345"/>
        <v>0</v>
      </c>
      <c r="U81" s="167">
        <f t="shared" si="346"/>
        <v>0</v>
      </c>
      <c r="V81" s="167">
        <f t="shared" si="347"/>
        <v>0</v>
      </c>
      <c r="W81" s="167">
        <f t="shared" si="348"/>
        <v>0</v>
      </c>
      <c r="X81" s="167">
        <f t="shared" si="349"/>
        <v>0</v>
      </c>
      <c r="Y81" s="167">
        <f t="shared" si="350"/>
        <v>0</v>
      </c>
      <c r="Z81" s="167">
        <f t="shared" si="351"/>
        <v>0</v>
      </c>
      <c r="AA81" s="167">
        <f t="shared" si="352"/>
        <v>0</v>
      </c>
      <c r="AB81" s="170">
        <f t="shared" si="353"/>
        <v>0</v>
      </c>
      <c r="AC81" s="167">
        <f t="shared" si="354"/>
        <v>0</v>
      </c>
      <c r="AD81" s="171">
        <f t="shared" si="355"/>
        <v>0</v>
      </c>
      <c r="AE81" s="169">
        <f t="shared" si="280"/>
        <v>0</v>
      </c>
      <c r="AF81" s="167">
        <f t="shared" si="235"/>
        <v>0</v>
      </c>
      <c r="AG81" s="167">
        <f t="shared" si="281"/>
        <v>0</v>
      </c>
      <c r="AH81" s="167">
        <f t="shared" si="236"/>
        <v>0</v>
      </c>
      <c r="AI81" s="167">
        <f t="shared" si="282"/>
        <v>0</v>
      </c>
      <c r="AJ81" s="167">
        <f t="shared" si="237"/>
        <v>0</v>
      </c>
      <c r="AK81" s="167">
        <f t="shared" si="283"/>
        <v>0</v>
      </c>
      <c r="AL81" s="167">
        <f t="shared" si="238"/>
        <v>0</v>
      </c>
      <c r="AM81" s="167">
        <f t="shared" si="284"/>
        <v>0</v>
      </c>
      <c r="AN81" s="167">
        <f t="shared" si="239"/>
        <v>0</v>
      </c>
      <c r="AO81" s="170">
        <f t="shared" si="285"/>
        <v>0</v>
      </c>
      <c r="AP81" s="167">
        <f t="shared" si="286"/>
        <v>0</v>
      </c>
      <c r="AQ81" s="171">
        <f t="shared" si="287"/>
        <v>0</v>
      </c>
      <c r="AR81" s="169">
        <f t="shared" si="280"/>
        <v>0</v>
      </c>
      <c r="AS81" s="167">
        <f t="shared" si="240"/>
        <v>0</v>
      </c>
      <c r="AT81" s="167">
        <f t="shared" si="288"/>
        <v>0</v>
      </c>
      <c r="AU81" s="167">
        <f t="shared" si="241"/>
        <v>0</v>
      </c>
      <c r="AV81" s="167">
        <f t="shared" si="289"/>
        <v>0</v>
      </c>
      <c r="AW81" s="167">
        <f t="shared" si="242"/>
        <v>0</v>
      </c>
      <c r="AX81" s="167">
        <f t="shared" si="290"/>
        <v>0</v>
      </c>
      <c r="AY81" s="167">
        <f t="shared" si="243"/>
        <v>0</v>
      </c>
      <c r="AZ81" s="167">
        <f t="shared" si="291"/>
        <v>0</v>
      </c>
      <c r="BA81" s="167">
        <f t="shared" si="244"/>
        <v>0</v>
      </c>
      <c r="BB81" s="170">
        <f t="shared" si="292"/>
        <v>0</v>
      </c>
      <c r="BC81" s="167">
        <f t="shared" si="293"/>
        <v>0</v>
      </c>
      <c r="BD81" s="171">
        <f t="shared" si="294"/>
        <v>0</v>
      </c>
      <c r="BE81" s="169">
        <f t="shared" si="280"/>
        <v>0</v>
      </c>
      <c r="BF81" s="167">
        <f t="shared" si="245"/>
        <v>0</v>
      </c>
      <c r="BG81" s="167">
        <f t="shared" si="295"/>
        <v>0</v>
      </c>
      <c r="BH81" s="167">
        <f t="shared" si="246"/>
        <v>0</v>
      </c>
      <c r="BI81" s="167">
        <f t="shared" si="296"/>
        <v>0</v>
      </c>
      <c r="BJ81" s="167">
        <f t="shared" si="247"/>
        <v>0</v>
      </c>
      <c r="BK81" s="167">
        <f t="shared" si="297"/>
        <v>0</v>
      </c>
      <c r="BL81" s="167">
        <f t="shared" si="248"/>
        <v>0</v>
      </c>
      <c r="BM81" s="167">
        <f t="shared" si="298"/>
        <v>0</v>
      </c>
      <c r="BN81" s="167">
        <f t="shared" si="249"/>
        <v>0</v>
      </c>
      <c r="BO81" s="170">
        <f t="shared" si="299"/>
        <v>0</v>
      </c>
      <c r="BP81" s="167">
        <f t="shared" si="300"/>
        <v>0</v>
      </c>
      <c r="BQ81" s="171">
        <f t="shared" si="301"/>
        <v>0</v>
      </c>
      <c r="BR81" s="169">
        <f t="shared" si="280"/>
        <v>0</v>
      </c>
      <c r="BS81" s="167">
        <f t="shared" si="250"/>
        <v>0</v>
      </c>
      <c r="BT81" s="167">
        <f t="shared" si="302"/>
        <v>0</v>
      </c>
      <c r="BU81" s="167">
        <f t="shared" si="251"/>
        <v>0</v>
      </c>
      <c r="BV81" s="167">
        <f t="shared" si="303"/>
        <v>0</v>
      </c>
      <c r="BW81" s="167">
        <f t="shared" si="252"/>
        <v>0</v>
      </c>
      <c r="BX81" s="167">
        <f t="shared" si="304"/>
        <v>0</v>
      </c>
      <c r="BY81" s="167">
        <f t="shared" si="253"/>
        <v>0</v>
      </c>
      <c r="BZ81" s="167">
        <f t="shared" si="305"/>
        <v>0</v>
      </c>
      <c r="CA81" s="167">
        <f t="shared" si="254"/>
        <v>0</v>
      </c>
      <c r="CB81" s="170">
        <f t="shared" si="306"/>
        <v>0</v>
      </c>
      <c r="CC81" s="167">
        <f t="shared" si="307"/>
        <v>0</v>
      </c>
      <c r="CD81" s="171">
        <f t="shared" si="308"/>
        <v>0</v>
      </c>
      <c r="CE81" s="169">
        <f t="shared" si="280"/>
        <v>0</v>
      </c>
      <c r="CF81" s="167">
        <f t="shared" si="255"/>
        <v>0</v>
      </c>
      <c r="CG81" s="167">
        <f t="shared" si="309"/>
        <v>0</v>
      </c>
      <c r="CH81" s="167">
        <f t="shared" si="256"/>
        <v>0</v>
      </c>
      <c r="CI81" s="167">
        <f t="shared" si="310"/>
        <v>0</v>
      </c>
      <c r="CJ81" s="167">
        <f t="shared" si="257"/>
        <v>0</v>
      </c>
      <c r="CK81" s="167">
        <f t="shared" si="311"/>
        <v>0</v>
      </c>
      <c r="CL81" s="167">
        <f t="shared" si="258"/>
        <v>0</v>
      </c>
      <c r="CM81" s="167">
        <f t="shared" si="312"/>
        <v>0</v>
      </c>
      <c r="CN81" s="167">
        <f t="shared" si="259"/>
        <v>0</v>
      </c>
      <c r="CO81" s="170">
        <f t="shared" si="313"/>
        <v>0</v>
      </c>
      <c r="CP81" s="167">
        <f t="shared" si="314"/>
        <v>0</v>
      </c>
      <c r="CQ81" s="171">
        <f t="shared" si="315"/>
        <v>0</v>
      </c>
      <c r="CR81" s="169">
        <f t="shared" si="316"/>
        <v>0</v>
      </c>
      <c r="CS81" s="167">
        <f t="shared" si="261"/>
        <v>0</v>
      </c>
      <c r="CT81" s="167">
        <f t="shared" si="317"/>
        <v>0</v>
      </c>
      <c r="CU81" s="167">
        <f t="shared" si="262"/>
        <v>0</v>
      </c>
      <c r="CV81" s="167">
        <f t="shared" si="318"/>
        <v>0</v>
      </c>
      <c r="CW81" s="167">
        <f t="shared" si="263"/>
        <v>0</v>
      </c>
      <c r="CX81" s="167">
        <f t="shared" si="319"/>
        <v>0</v>
      </c>
      <c r="CY81" s="167">
        <f t="shared" si="264"/>
        <v>0</v>
      </c>
      <c r="CZ81" s="167">
        <f t="shared" si="320"/>
        <v>0</v>
      </c>
      <c r="DA81" s="167">
        <f t="shared" si="265"/>
        <v>0</v>
      </c>
      <c r="DB81" s="170">
        <f t="shared" si="321"/>
        <v>0</v>
      </c>
      <c r="DC81" s="167">
        <f t="shared" si="322"/>
        <v>0</v>
      </c>
      <c r="DD81" s="171">
        <f t="shared" si="323"/>
        <v>0</v>
      </c>
      <c r="DE81" s="169">
        <f t="shared" si="316"/>
        <v>0</v>
      </c>
      <c r="DF81" s="167">
        <f t="shared" si="266"/>
        <v>0</v>
      </c>
      <c r="DG81" s="167">
        <f t="shared" si="324"/>
        <v>0</v>
      </c>
      <c r="DH81" s="167">
        <f t="shared" si="267"/>
        <v>0</v>
      </c>
      <c r="DI81" s="167">
        <f t="shared" si="325"/>
        <v>0</v>
      </c>
      <c r="DJ81" s="167">
        <f t="shared" si="268"/>
        <v>0</v>
      </c>
      <c r="DK81" s="167">
        <f t="shared" si="326"/>
        <v>0</v>
      </c>
      <c r="DL81" s="167">
        <f t="shared" si="269"/>
        <v>0</v>
      </c>
      <c r="DM81" s="167">
        <f t="shared" si="327"/>
        <v>0</v>
      </c>
      <c r="DN81" s="167">
        <f t="shared" si="270"/>
        <v>0</v>
      </c>
      <c r="DO81" s="170">
        <f t="shared" si="328"/>
        <v>0</v>
      </c>
      <c r="DP81" s="167">
        <f t="shared" si="329"/>
        <v>0</v>
      </c>
      <c r="DQ81" s="171">
        <f t="shared" si="330"/>
        <v>0</v>
      </c>
      <c r="DR81" s="169">
        <f t="shared" si="316"/>
        <v>0</v>
      </c>
      <c r="DS81" s="167">
        <f t="shared" si="271"/>
        <v>0</v>
      </c>
      <c r="DT81" s="167">
        <f t="shared" si="331"/>
        <v>0</v>
      </c>
      <c r="DU81" s="167">
        <f t="shared" si="272"/>
        <v>0</v>
      </c>
      <c r="DV81" s="167">
        <f t="shared" si="332"/>
        <v>0</v>
      </c>
      <c r="DW81" s="167">
        <f t="shared" si="273"/>
        <v>0</v>
      </c>
      <c r="DX81" s="167">
        <f t="shared" si="333"/>
        <v>0</v>
      </c>
      <c r="DY81" s="167">
        <f t="shared" si="274"/>
        <v>0</v>
      </c>
      <c r="DZ81" s="167">
        <f t="shared" si="334"/>
        <v>0</v>
      </c>
      <c r="EA81" s="167">
        <f t="shared" si="275"/>
        <v>0</v>
      </c>
      <c r="EB81" s="170">
        <f t="shared" si="335"/>
        <v>0</v>
      </c>
      <c r="EC81" s="167">
        <f t="shared" si="336"/>
        <v>0</v>
      </c>
      <c r="ED81" s="171">
        <f t="shared" si="337"/>
        <v>0</v>
      </c>
    </row>
    <row r="82" spans="1:134" x14ac:dyDescent="0.3">
      <c r="A82" s="185"/>
      <c r="B82" s="186"/>
      <c r="C82" s="187"/>
      <c r="D82" s="188"/>
      <c r="E82" s="189"/>
      <c r="F82" s="190"/>
      <c r="G82" s="191"/>
      <c r="H82" s="192"/>
      <c r="I82" s="193"/>
      <c r="J82" s="194"/>
      <c r="K82" s="165">
        <f t="shared" si="338"/>
        <v>0</v>
      </c>
      <c r="L82" s="166">
        <f t="shared" si="339"/>
        <v>0</v>
      </c>
      <c r="M82" s="167">
        <f t="shared" si="340"/>
        <v>0</v>
      </c>
      <c r="N82" s="167"/>
      <c r="O82" s="167">
        <f t="shared" si="341"/>
        <v>0</v>
      </c>
      <c r="P82" s="168"/>
      <c r="Q82" s="167">
        <f t="shared" si="342"/>
        <v>0</v>
      </c>
      <c r="R82" s="169">
        <f t="shared" si="343"/>
        <v>0</v>
      </c>
      <c r="S82" s="167">
        <f t="shared" si="344"/>
        <v>0</v>
      </c>
      <c r="T82" s="167">
        <f t="shared" si="345"/>
        <v>0</v>
      </c>
      <c r="U82" s="167">
        <f t="shared" si="346"/>
        <v>0</v>
      </c>
      <c r="V82" s="167">
        <f t="shared" si="347"/>
        <v>0</v>
      </c>
      <c r="W82" s="167">
        <f t="shared" si="348"/>
        <v>0</v>
      </c>
      <c r="X82" s="167">
        <f t="shared" si="349"/>
        <v>0</v>
      </c>
      <c r="Y82" s="167">
        <f t="shared" si="350"/>
        <v>0</v>
      </c>
      <c r="Z82" s="167">
        <f t="shared" si="351"/>
        <v>0</v>
      </c>
      <c r="AA82" s="167">
        <f t="shared" si="352"/>
        <v>0</v>
      </c>
      <c r="AB82" s="170">
        <f t="shared" si="353"/>
        <v>0</v>
      </c>
      <c r="AC82" s="167">
        <f t="shared" si="354"/>
        <v>0</v>
      </c>
      <c r="AD82" s="171">
        <f t="shared" si="355"/>
        <v>0</v>
      </c>
      <c r="AE82" s="169">
        <f t="shared" si="280"/>
        <v>0</v>
      </c>
      <c r="AF82" s="167">
        <f t="shared" si="235"/>
        <v>0</v>
      </c>
      <c r="AG82" s="167">
        <f t="shared" si="281"/>
        <v>0</v>
      </c>
      <c r="AH82" s="167">
        <f t="shared" si="236"/>
        <v>0</v>
      </c>
      <c r="AI82" s="167">
        <f t="shared" si="282"/>
        <v>0</v>
      </c>
      <c r="AJ82" s="167">
        <f t="shared" si="237"/>
        <v>0</v>
      </c>
      <c r="AK82" s="167">
        <f t="shared" si="283"/>
        <v>0</v>
      </c>
      <c r="AL82" s="167">
        <f t="shared" si="238"/>
        <v>0</v>
      </c>
      <c r="AM82" s="167">
        <f t="shared" si="284"/>
        <v>0</v>
      </c>
      <c r="AN82" s="167">
        <f t="shared" si="239"/>
        <v>0</v>
      </c>
      <c r="AO82" s="170">
        <f t="shared" si="285"/>
        <v>0</v>
      </c>
      <c r="AP82" s="167">
        <f t="shared" si="286"/>
        <v>0</v>
      </c>
      <c r="AQ82" s="171">
        <f t="shared" si="287"/>
        <v>0</v>
      </c>
      <c r="AR82" s="169">
        <f t="shared" si="280"/>
        <v>0</v>
      </c>
      <c r="AS82" s="167">
        <f t="shared" si="240"/>
        <v>0</v>
      </c>
      <c r="AT82" s="167">
        <f t="shared" si="288"/>
        <v>0</v>
      </c>
      <c r="AU82" s="167">
        <f t="shared" si="241"/>
        <v>0</v>
      </c>
      <c r="AV82" s="167">
        <f t="shared" si="289"/>
        <v>0</v>
      </c>
      <c r="AW82" s="167">
        <f t="shared" si="242"/>
        <v>0</v>
      </c>
      <c r="AX82" s="167">
        <f t="shared" si="290"/>
        <v>0</v>
      </c>
      <c r="AY82" s="167">
        <f t="shared" si="243"/>
        <v>0</v>
      </c>
      <c r="AZ82" s="167">
        <f t="shared" si="291"/>
        <v>0</v>
      </c>
      <c r="BA82" s="167">
        <f t="shared" si="244"/>
        <v>0</v>
      </c>
      <c r="BB82" s="170">
        <f t="shared" si="292"/>
        <v>0</v>
      </c>
      <c r="BC82" s="167">
        <f t="shared" si="293"/>
        <v>0</v>
      </c>
      <c r="BD82" s="171">
        <f t="shared" si="294"/>
        <v>0</v>
      </c>
      <c r="BE82" s="169">
        <f t="shared" si="280"/>
        <v>0</v>
      </c>
      <c r="BF82" s="167">
        <f t="shared" si="245"/>
        <v>0</v>
      </c>
      <c r="BG82" s="167">
        <f t="shared" si="295"/>
        <v>0</v>
      </c>
      <c r="BH82" s="167">
        <f t="shared" si="246"/>
        <v>0</v>
      </c>
      <c r="BI82" s="167">
        <f t="shared" si="296"/>
        <v>0</v>
      </c>
      <c r="BJ82" s="167">
        <f t="shared" si="247"/>
        <v>0</v>
      </c>
      <c r="BK82" s="167">
        <f t="shared" si="297"/>
        <v>0</v>
      </c>
      <c r="BL82" s="167">
        <f t="shared" si="248"/>
        <v>0</v>
      </c>
      <c r="BM82" s="167">
        <f t="shared" si="298"/>
        <v>0</v>
      </c>
      <c r="BN82" s="167">
        <f t="shared" si="249"/>
        <v>0</v>
      </c>
      <c r="BO82" s="170">
        <f t="shared" si="299"/>
        <v>0</v>
      </c>
      <c r="BP82" s="167">
        <f t="shared" si="300"/>
        <v>0</v>
      </c>
      <c r="BQ82" s="171">
        <f t="shared" si="301"/>
        <v>0</v>
      </c>
      <c r="BR82" s="169">
        <f t="shared" si="280"/>
        <v>0</v>
      </c>
      <c r="BS82" s="167">
        <f t="shared" si="250"/>
        <v>0</v>
      </c>
      <c r="BT82" s="167">
        <f t="shared" si="302"/>
        <v>0</v>
      </c>
      <c r="BU82" s="167">
        <f t="shared" si="251"/>
        <v>0</v>
      </c>
      <c r="BV82" s="167">
        <f t="shared" si="303"/>
        <v>0</v>
      </c>
      <c r="BW82" s="167">
        <f t="shared" si="252"/>
        <v>0</v>
      </c>
      <c r="BX82" s="167">
        <f t="shared" si="304"/>
        <v>0</v>
      </c>
      <c r="BY82" s="167">
        <f t="shared" si="253"/>
        <v>0</v>
      </c>
      <c r="BZ82" s="167">
        <f t="shared" si="305"/>
        <v>0</v>
      </c>
      <c r="CA82" s="167">
        <f t="shared" si="254"/>
        <v>0</v>
      </c>
      <c r="CB82" s="170">
        <f t="shared" si="306"/>
        <v>0</v>
      </c>
      <c r="CC82" s="167">
        <f t="shared" si="307"/>
        <v>0</v>
      </c>
      <c r="CD82" s="171">
        <f t="shared" si="308"/>
        <v>0</v>
      </c>
      <c r="CE82" s="169">
        <f t="shared" si="280"/>
        <v>0</v>
      </c>
      <c r="CF82" s="167">
        <f t="shared" si="255"/>
        <v>0</v>
      </c>
      <c r="CG82" s="167">
        <f t="shared" si="309"/>
        <v>0</v>
      </c>
      <c r="CH82" s="167">
        <f t="shared" si="256"/>
        <v>0</v>
      </c>
      <c r="CI82" s="167">
        <f t="shared" si="310"/>
        <v>0</v>
      </c>
      <c r="CJ82" s="167">
        <f t="shared" si="257"/>
        <v>0</v>
      </c>
      <c r="CK82" s="167">
        <f t="shared" si="311"/>
        <v>0</v>
      </c>
      <c r="CL82" s="167">
        <f t="shared" si="258"/>
        <v>0</v>
      </c>
      <c r="CM82" s="167">
        <f t="shared" si="312"/>
        <v>0</v>
      </c>
      <c r="CN82" s="167">
        <f t="shared" si="259"/>
        <v>0</v>
      </c>
      <c r="CO82" s="170">
        <f t="shared" si="313"/>
        <v>0</v>
      </c>
      <c r="CP82" s="167">
        <f t="shared" si="314"/>
        <v>0</v>
      </c>
      <c r="CQ82" s="171">
        <f t="shared" si="315"/>
        <v>0</v>
      </c>
      <c r="CR82" s="169">
        <f t="shared" si="316"/>
        <v>0</v>
      </c>
      <c r="CS82" s="167">
        <f t="shared" si="261"/>
        <v>0</v>
      </c>
      <c r="CT82" s="167">
        <f t="shared" si="317"/>
        <v>0</v>
      </c>
      <c r="CU82" s="167">
        <f t="shared" si="262"/>
        <v>0</v>
      </c>
      <c r="CV82" s="167">
        <f t="shared" si="318"/>
        <v>0</v>
      </c>
      <c r="CW82" s="167">
        <f t="shared" si="263"/>
        <v>0</v>
      </c>
      <c r="CX82" s="167">
        <f t="shared" si="319"/>
        <v>0</v>
      </c>
      <c r="CY82" s="167">
        <f t="shared" si="264"/>
        <v>0</v>
      </c>
      <c r="CZ82" s="167">
        <f t="shared" si="320"/>
        <v>0</v>
      </c>
      <c r="DA82" s="167">
        <f t="shared" si="265"/>
        <v>0</v>
      </c>
      <c r="DB82" s="170">
        <f t="shared" si="321"/>
        <v>0</v>
      </c>
      <c r="DC82" s="167">
        <f t="shared" si="322"/>
        <v>0</v>
      </c>
      <c r="DD82" s="171">
        <f t="shared" si="323"/>
        <v>0</v>
      </c>
      <c r="DE82" s="169">
        <f t="shared" si="316"/>
        <v>0</v>
      </c>
      <c r="DF82" s="167">
        <f t="shared" si="266"/>
        <v>0</v>
      </c>
      <c r="DG82" s="167">
        <f t="shared" si="324"/>
        <v>0</v>
      </c>
      <c r="DH82" s="167">
        <f t="shared" si="267"/>
        <v>0</v>
      </c>
      <c r="DI82" s="167">
        <f t="shared" si="325"/>
        <v>0</v>
      </c>
      <c r="DJ82" s="167">
        <f t="shared" si="268"/>
        <v>0</v>
      </c>
      <c r="DK82" s="167">
        <f t="shared" si="326"/>
        <v>0</v>
      </c>
      <c r="DL82" s="167">
        <f t="shared" si="269"/>
        <v>0</v>
      </c>
      <c r="DM82" s="167">
        <f t="shared" si="327"/>
        <v>0</v>
      </c>
      <c r="DN82" s="167">
        <f t="shared" si="270"/>
        <v>0</v>
      </c>
      <c r="DO82" s="170">
        <f t="shared" si="328"/>
        <v>0</v>
      </c>
      <c r="DP82" s="167">
        <f t="shared" si="329"/>
        <v>0</v>
      </c>
      <c r="DQ82" s="171">
        <f t="shared" si="330"/>
        <v>0</v>
      </c>
      <c r="DR82" s="169">
        <f t="shared" si="316"/>
        <v>0</v>
      </c>
      <c r="DS82" s="167">
        <f t="shared" si="271"/>
        <v>0</v>
      </c>
      <c r="DT82" s="167">
        <f t="shared" si="331"/>
        <v>0</v>
      </c>
      <c r="DU82" s="167">
        <f t="shared" si="272"/>
        <v>0</v>
      </c>
      <c r="DV82" s="167">
        <f t="shared" si="332"/>
        <v>0</v>
      </c>
      <c r="DW82" s="167">
        <f t="shared" si="273"/>
        <v>0</v>
      </c>
      <c r="DX82" s="167">
        <f t="shared" si="333"/>
        <v>0</v>
      </c>
      <c r="DY82" s="167">
        <f t="shared" si="274"/>
        <v>0</v>
      </c>
      <c r="DZ82" s="167">
        <f t="shared" si="334"/>
        <v>0</v>
      </c>
      <c r="EA82" s="167">
        <f t="shared" si="275"/>
        <v>0</v>
      </c>
      <c r="EB82" s="170">
        <f t="shared" si="335"/>
        <v>0</v>
      </c>
      <c r="EC82" s="167">
        <f t="shared" si="336"/>
        <v>0</v>
      </c>
      <c r="ED82" s="171">
        <f t="shared" si="337"/>
        <v>0</v>
      </c>
    </row>
    <row r="83" spans="1:134" x14ac:dyDescent="0.3">
      <c r="A83" s="185"/>
      <c r="B83" s="186"/>
      <c r="C83" s="187"/>
      <c r="D83" s="188"/>
      <c r="E83" s="189"/>
      <c r="F83" s="190"/>
      <c r="G83" s="191"/>
      <c r="H83" s="192"/>
      <c r="I83" s="193"/>
      <c r="J83" s="194"/>
      <c r="K83" s="165">
        <f t="shared" si="338"/>
        <v>0</v>
      </c>
      <c r="L83" s="166">
        <f t="shared" si="339"/>
        <v>0</v>
      </c>
      <c r="M83" s="167">
        <f t="shared" si="340"/>
        <v>0</v>
      </c>
      <c r="N83" s="167"/>
      <c r="O83" s="167">
        <f t="shared" si="341"/>
        <v>0</v>
      </c>
      <c r="P83" s="168"/>
      <c r="Q83" s="167">
        <f t="shared" si="342"/>
        <v>0</v>
      </c>
      <c r="R83" s="169">
        <f t="shared" si="343"/>
        <v>0</v>
      </c>
      <c r="S83" s="167">
        <f t="shared" si="344"/>
        <v>0</v>
      </c>
      <c r="T83" s="167">
        <f t="shared" si="345"/>
        <v>0</v>
      </c>
      <c r="U83" s="167">
        <f t="shared" si="346"/>
        <v>0</v>
      </c>
      <c r="V83" s="167">
        <f t="shared" si="347"/>
        <v>0</v>
      </c>
      <c r="W83" s="167">
        <f t="shared" si="348"/>
        <v>0</v>
      </c>
      <c r="X83" s="167">
        <f t="shared" si="349"/>
        <v>0</v>
      </c>
      <c r="Y83" s="167">
        <f t="shared" si="350"/>
        <v>0</v>
      </c>
      <c r="Z83" s="167">
        <f t="shared" si="351"/>
        <v>0</v>
      </c>
      <c r="AA83" s="167">
        <f t="shared" si="352"/>
        <v>0</v>
      </c>
      <c r="AB83" s="170">
        <f t="shared" si="353"/>
        <v>0</v>
      </c>
      <c r="AC83" s="167">
        <f t="shared" si="354"/>
        <v>0</v>
      </c>
      <c r="AD83" s="171">
        <f t="shared" si="355"/>
        <v>0</v>
      </c>
      <c r="AE83" s="169">
        <f t="shared" si="280"/>
        <v>0</v>
      </c>
      <c r="AF83" s="167">
        <f t="shared" si="235"/>
        <v>0</v>
      </c>
      <c r="AG83" s="167">
        <f t="shared" si="281"/>
        <v>0</v>
      </c>
      <c r="AH83" s="167">
        <f t="shared" si="236"/>
        <v>0</v>
      </c>
      <c r="AI83" s="167">
        <f t="shared" si="282"/>
        <v>0</v>
      </c>
      <c r="AJ83" s="167">
        <f t="shared" si="237"/>
        <v>0</v>
      </c>
      <c r="AK83" s="167">
        <f t="shared" si="283"/>
        <v>0</v>
      </c>
      <c r="AL83" s="167">
        <f t="shared" si="238"/>
        <v>0</v>
      </c>
      <c r="AM83" s="167">
        <f t="shared" si="284"/>
        <v>0</v>
      </c>
      <c r="AN83" s="167">
        <f t="shared" si="239"/>
        <v>0</v>
      </c>
      <c r="AO83" s="170">
        <f t="shared" si="285"/>
        <v>0</v>
      </c>
      <c r="AP83" s="167">
        <f t="shared" si="286"/>
        <v>0</v>
      </c>
      <c r="AQ83" s="171">
        <f t="shared" si="287"/>
        <v>0</v>
      </c>
      <c r="AR83" s="169">
        <f t="shared" si="280"/>
        <v>0</v>
      </c>
      <c r="AS83" s="167">
        <f t="shared" si="240"/>
        <v>0</v>
      </c>
      <c r="AT83" s="167">
        <f t="shared" si="288"/>
        <v>0</v>
      </c>
      <c r="AU83" s="167">
        <f t="shared" si="241"/>
        <v>0</v>
      </c>
      <c r="AV83" s="167">
        <f t="shared" si="289"/>
        <v>0</v>
      </c>
      <c r="AW83" s="167">
        <f t="shared" si="242"/>
        <v>0</v>
      </c>
      <c r="AX83" s="167">
        <f t="shared" si="290"/>
        <v>0</v>
      </c>
      <c r="AY83" s="167">
        <f t="shared" si="243"/>
        <v>0</v>
      </c>
      <c r="AZ83" s="167">
        <f t="shared" si="291"/>
        <v>0</v>
      </c>
      <c r="BA83" s="167">
        <f t="shared" si="244"/>
        <v>0</v>
      </c>
      <c r="BB83" s="170">
        <f t="shared" si="292"/>
        <v>0</v>
      </c>
      <c r="BC83" s="167">
        <f t="shared" si="293"/>
        <v>0</v>
      </c>
      <c r="BD83" s="171">
        <f t="shared" si="294"/>
        <v>0</v>
      </c>
      <c r="BE83" s="169">
        <f t="shared" si="280"/>
        <v>0</v>
      </c>
      <c r="BF83" s="167">
        <f t="shared" si="245"/>
        <v>0</v>
      </c>
      <c r="BG83" s="167">
        <f t="shared" si="295"/>
        <v>0</v>
      </c>
      <c r="BH83" s="167">
        <f t="shared" si="246"/>
        <v>0</v>
      </c>
      <c r="BI83" s="167">
        <f t="shared" si="296"/>
        <v>0</v>
      </c>
      <c r="BJ83" s="167">
        <f t="shared" si="247"/>
        <v>0</v>
      </c>
      <c r="BK83" s="167">
        <f t="shared" si="297"/>
        <v>0</v>
      </c>
      <c r="BL83" s="167">
        <f t="shared" si="248"/>
        <v>0</v>
      </c>
      <c r="BM83" s="167">
        <f t="shared" si="298"/>
        <v>0</v>
      </c>
      <c r="BN83" s="167">
        <f t="shared" si="249"/>
        <v>0</v>
      </c>
      <c r="BO83" s="170">
        <f t="shared" si="299"/>
        <v>0</v>
      </c>
      <c r="BP83" s="167">
        <f t="shared" si="300"/>
        <v>0</v>
      </c>
      <c r="BQ83" s="171">
        <f t="shared" si="301"/>
        <v>0</v>
      </c>
      <c r="BR83" s="169">
        <f t="shared" si="280"/>
        <v>0</v>
      </c>
      <c r="BS83" s="167">
        <f t="shared" si="250"/>
        <v>0</v>
      </c>
      <c r="BT83" s="167">
        <f t="shared" si="302"/>
        <v>0</v>
      </c>
      <c r="BU83" s="167">
        <f t="shared" si="251"/>
        <v>0</v>
      </c>
      <c r="BV83" s="167">
        <f t="shared" si="303"/>
        <v>0</v>
      </c>
      <c r="BW83" s="167">
        <f t="shared" si="252"/>
        <v>0</v>
      </c>
      <c r="BX83" s="167">
        <f t="shared" si="304"/>
        <v>0</v>
      </c>
      <c r="BY83" s="167">
        <f t="shared" si="253"/>
        <v>0</v>
      </c>
      <c r="BZ83" s="167">
        <f t="shared" si="305"/>
        <v>0</v>
      </c>
      <c r="CA83" s="167">
        <f t="shared" si="254"/>
        <v>0</v>
      </c>
      <c r="CB83" s="170">
        <f t="shared" si="306"/>
        <v>0</v>
      </c>
      <c r="CC83" s="167">
        <f t="shared" si="307"/>
        <v>0</v>
      </c>
      <c r="CD83" s="171">
        <f t="shared" si="308"/>
        <v>0</v>
      </c>
      <c r="CE83" s="169">
        <f t="shared" si="280"/>
        <v>0</v>
      </c>
      <c r="CF83" s="167">
        <f t="shared" si="255"/>
        <v>0</v>
      </c>
      <c r="CG83" s="167">
        <f t="shared" si="309"/>
        <v>0</v>
      </c>
      <c r="CH83" s="167">
        <f t="shared" si="256"/>
        <v>0</v>
      </c>
      <c r="CI83" s="167">
        <f t="shared" si="310"/>
        <v>0</v>
      </c>
      <c r="CJ83" s="167">
        <f t="shared" si="257"/>
        <v>0</v>
      </c>
      <c r="CK83" s="167">
        <f t="shared" si="311"/>
        <v>0</v>
      </c>
      <c r="CL83" s="167">
        <f t="shared" si="258"/>
        <v>0</v>
      </c>
      <c r="CM83" s="167">
        <f t="shared" si="312"/>
        <v>0</v>
      </c>
      <c r="CN83" s="167">
        <f t="shared" si="259"/>
        <v>0</v>
      </c>
      <c r="CO83" s="170">
        <f t="shared" si="313"/>
        <v>0</v>
      </c>
      <c r="CP83" s="167">
        <f t="shared" si="314"/>
        <v>0</v>
      </c>
      <c r="CQ83" s="171">
        <f t="shared" si="315"/>
        <v>0</v>
      </c>
      <c r="CR83" s="169">
        <f t="shared" si="316"/>
        <v>0</v>
      </c>
      <c r="CS83" s="167">
        <f t="shared" si="261"/>
        <v>0</v>
      </c>
      <c r="CT83" s="167">
        <f t="shared" si="317"/>
        <v>0</v>
      </c>
      <c r="CU83" s="167">
        <f t="shared" si="262"/>
        <v>0</v>
      </c>
      <c r="CV83" s="167">
        <f t="shared" si="318"/>
        <v>0</v>
      </c>
      <c r="CW83" s="167">
        <f t="shared" si="263"/>
        <v>0</v>
      </c>
      <c r="CX83" s="167">
        <f t="shared" si="319"/>
        <v>0</v>
      </c>
      <c r="CY83" s="167">
        <f t="shared" si="264"/>
        <v>0</v>
      </c>
      <c r="CZ83" s="167">
        <f t="shared" si="320"/>
        <v>0</v>
      </c>
      <c r="DA83" s="167">
        <f t="shared" si="265"/>
        <v>0</v>
      </c>
      <c r="DB83" s="170">
        <f t="shared" si="321"/>
        <v>0</v>
      </c>
      <c r="DC83" s="167">
        <f t="shared" si="322"/>
        <v>0</v>
      </c>
      <c r="DD83" s="171">
        <f t="shared" si="323"/>
        <v>0</v>
      </c>
      <c r="DE83" s="169">
        <f t="shared" si="316"/>
        <v>0</v>
      </c>
      <c r="DF83" s="167">
        <f t="shared" si="266"/>
        <v>0</v>
      </c>
      <c r="DG83" s="167">
        <f t="shared" si="324"/>
        <v>0</v>
      </c>
      <c r="DH83" s="167">
        <f t="shared" si="267"/>
        <v>0</v>
      </c>
      <c r="DI83" s="167">
        <f t="shared" si="325"/>
        <v>0</v>
      </c>
      <c r="DJ83" s="167">
        <f t="shared" si="268"/>
        <v>0</v>
      </c>
      <c r="DK83" s="167">
        <f t="shared" si="326"/>
        <v>0</v>
      </c>
      <c r="DL83" s="167">
        <f t="shared" si="269"/>
        <v>0</v>
      </c>
      <c r="DM83" s="167">
        <f t="shared" si="327"/>
        <v>0</v>
      </c>
      <c r="DN83" s="167">
        <f t="shared" si="270"/>
        <v>0</v>
      </c>
      <c r="DO83" s="170">
        <f t="shared" si="328"/>
        <v>0</v>
      </c>
      <c r="DP83" s="167">
        <f t="shared" si="329"/>
        <v>0</v>
      </c>
      <c r="DQ83" s="171">
        <f t="shared" si="330"/>
        <v>0</v>
      </c>
      <c r="DR83" s="169">
        <f t="shared" si="316"/>
        <v>0</v>
      </c>
      <c r="DS83" s="167">
        <f t="shared" si="271"/>
        <v>0</v>
      </c>
      <c r="DT83" s="167">
        <f t="shared" si="331"/>
        <v>0</v>
      </c>
      <c r="DU83" s="167">
        <f t="shared" si="272"/>
        <v>0</v>
      </c>
      <c r="DV83" s="167">
        <f t="shared" si="332"/>
        <v>0</v>
      </c>
      <c r="DW83" s="167">
        <f t="shared" si="273"/>
        <v>0</v>
      </c>
      <c r="DX83" s="167">
        <f t="shared" si="333"/>
        <v>0</v>
      </c>
      <c r="DY83" s="167">
        <f t="shared" si="274"/>
        <v>0</v>
      </c>
      <c r="DZ83" s="167">
        <f t="shared" si="334"/>
        <v>0</v>
      </c>
      <c r="EA83" s="167">
        <f t="shared" si="275"/>
        <v>0</v>
      </c>
      <c r="EB83" s="170">
        <f t="shared" si="335"/>
        <v>0</v>
      </c>
      <c r="EC83" s="167">
        <f t="shared" si="336"/>
        <v>0</v>
      </c>
      <c r="ED83" s="171">
        <f t="shared" si="337"/>
        <v>0</v>
      </c>
    </row>
    <row r="84" spans="1:134" x14ac:dyDescent="0.3">
      <c r="A84" s="185"/>
      <c r="B84" s="186"/>
      <c r="C84" s="187"/>
      <c r="D84" s="188"/>
      <c r="E84" s="189"/>
      <c r="F84" s="190"/>
      <c r="G84" s="191"/>
      <c r="H84" s="192"/>
      <c r="I84" s="193"/>
      <c r="J84" s="194"/>
      <c r="K84" s="165">
        <f t="shared" si="338"/>
        <v>0</v>
      </c>
      <c r="L84" s="166">
        <f t="shared" si="339"/>
        <v>0</v>
      </c>
      <c r="M84" s="167">
        <f t="shared" si="340"/>
        <v>0</v>
      </c>
      <c r="N84" s="167"/>
      <c r="O84" s="167">
        <f t="shared" si="341"/>
        <v>0</v>
      </c>
      <c r="P84" s="168"/>
      <c r="Q84" s="167">
        <f t="shared" si="342"/>
        <v>0</v>
      </c>
      <c r="R84" s="169">
        <f t="shared" si="343"/>
        <v>0</v>
      </c>
      <c r="S84" s="167">
        <f t="shared" si="344"/>
        <v>0</v>
      </c>
      <c r="T84" s="167">
        <f t="shared" si="345"/>
        <v>0</v>
      </c>
      <c r="U84" s="167">
        <f t="shared" si="346"/>
        <v>0</v>
      </c>
      <c r="V84" s="167">
        <f t="shared" si="347"/>
        <v>0</v>
      </c>
      <c r="W84" s="167">
        <f t="shared" si="348"/>
        <v>0</v>
      </c>
      <c r="X84" s="167">
        <f t="shared" si="349"/>
        <v>0</v>
      </c>
      <c r="Y84" s="167">
        <f t="shared" si="350"/>
        <v>0</v>
      </c>
      <c r="Z84" s="167">
        <f t="shared" si="351"/>
        <v>0</v>
      </c>
      <c r="AA84" s="167">
        <f t="shared" si="352"/>
        <v>0</v>
      </c>
      <c r="AB84" s="170">
        <f t="shared" si="353"/>
        <v>0</v>
      </c>
      <c r="AC84" s="167">
        <f t="shared" si="354"/>
        <v>0</v>
      </c>
      <c r="AD84" s="171">
        <f t="shared" si="355"/>
        <v>0</v>
      </c>
      <c r="AE84" s="169">
        <f t="shared" si="280"/>
        <v>0</v>
      </c>
      <c r="AF84" s="167">
        <f t="shared" si="235"/>
        <v>0</v>
      </c>
      <c r="AG84" s="167">
        <f t="shared" si="281"/>
        <v>0</v>
      </c>
      <c r="AH84" s="167">
        <f t="shared" si="236"/>
        <v>0</v>
      </c>
      <c r="AI84" s="167">
        <f t="shared" si="282"/>
        <v>0</v>
      </c>
      <c r="AJ84" s="167">
        <f t="shared" si="237"/>
        <v>0</v>
      </c>
      <c r="AK84" s="167">
        <f t="shared" si="283"/>
        <v>0</v>
      </c>
      <c r="AL84" s="167">
        <f t="shared" si="238"/>
        <v>0</v>
      </c>
      <c r="AM84" s="167">
        <f t="shared" si="284"/>
        <v>0</v>
      </c>
      <c r="AN84" s="167">
        <f t="shared" si="239"/>
        <v>0</v>
      </c>
      <c r="AO84" s="170">
        <f t="shared" si="285"/>
        <v>0</v>
      </c>
      <c r="AP84" s="167">
        <f t="shared" si="286"/>
        <v>0</v>
      </c>
      <c r="AQ84" s="171">
        <f t="shared" si="287"/>
        <v>0</v>
      </c>
      <c r="AR84" s="169">
        <f t="shared" si="280"/>
        <v>0</v>
      </c>
      <c r="AS84" s="167">
        <f t="shared" si="240"/>
        <v>0</v>
      </c>
      <c r="AT84" s="167">
        <f t="shared" si="288"/>
        <v>0</v>
      </c>
      <c r="AU84" s="167">
        <f t="shared" si="241"/>
        <v>0</v>
      </c>
      <c r="AV84" s="167">
        <f t="shared" si="289"/>
        <v>0</v>
      </c>
      <c r="AW84" s="167">
        <f t="shared" si="242"/>
        <v>0</v>
      </c>
      <c r="AX84" s="167">
        <f t="shared" si="290"/>
        <v>0</v>
      </c>
      <c r="AY84" s="167">
        <f t="shared" si="243"/>
        <v>0</v>
      </c>
      <c r="AZ84" s="167">
        <f t="shared" si="291"/>
        <v>0</v>
      </c>
      <c r="BA84" s="167">
        <f t="shared" si="244"/>
        <v>0</v>
      </c>
      <c r="BB84" s="170">
        <f t="shared" si="292"/>
        <v>0</v>
      </c>
      <c r="BC84" s="167">
        <f t="shared" si="293"/>
        <v>0</v>
      </c>
      <c r="BD84" s="171">
        <f t="shared" si="294"/>
        <v>0</v>
      </c>
      <c r="BE84" s="169">
        <f t="shared" si="280"/>
        <v>0</v>
      </c>
      <c r="BF84" s="167">
        <f t="shared" si="245"/>
        <v>0</v>
      </c>
      <c r="BG84" s="167">
        <f t="shared" si="295"/>
        <v>0</v>
      </c>
      <c r="BH84" s="167">
        <f t="shared" si="246"/>
        <v>0</v>
      </c>
      <c r="BI84" s="167">
        <f t="shared" si="296"/>
        <v>0</v>
      </c>
      <c r="BJ84" s="167">
        <f t="shared" si="247"/>
        <v>0</v>
      </c>
      <c r="BK84" s="167">
        <f t="shared" si="297"/>
        <v>0</v>
      </c>
      <c r="BL84" s="167">
        <f t="shared" si="248"/>
        <v>0</v>
      </c>
      <c r="BM84" s="167">
        <f t="shared" si="298"/>
        <v>0</v>
      </c>
      <c r="BN84" s="167">
        <f t="shared" si="249"/>
        <v>0</v>
      </c>
      <c r="BO84" s="170">
        <f t="shared" si="299"/>
        <v>0</v>
      </c>
      <c r="BP84" s="167">
        <f t="shared" si="300"/>
        <v>0</v>
      </c>
      <c r="BQ84" s="171">
        <f t="shared" si="301"/>
        <v>0</v>
      </c>
      <c r="BR84" s="169">
        <f t="shared" si="280"/>
        <v>0</v>
      </c>
      <c r="BS84" s="167">
        <f t="shared" si="250"/>
        <v>0</v>
      </c>
      <c r="BT84" s="167">
        <f t="shared" si="302"/>
        <v>0</v>
      </c>
      <c r="BU84" s="167">
        <f t="shared" si="251"/>
        <v>0</v>
      </c>
      <c r="BV84" s="167">
        <f t="shared" si="303"/>
        <v>0</v>
      </c>
      <c r="BW84" s="167">
        <f t="shared" si="252"/>
        <v>0</v>
      </c>
      <c r="BX84" s="167">
        <f t="shared" si="304"/>
        <v>0</v>
      </c>
      <c r="BY84" s="167">
        <f t="shared" si="253"/>
        <v>0</v>
      </c>
      <c r="BZ84" s="167">
        <f t="shared" si="305"/>
        <v>0</v>
      </c>
      <c r="CA84" s="167">
        <f t="shared" si="254"/>
        <v>0</v>
      </c>
      <c r="CB84" s="170">
        <f t="shared" si="306"/>
        <v>0</v>
      </c>
      <c r="CC84" s="167">
        <f t="shared" si="307"/>
        <v>0</v>
      </c>
      <c r="CD84" s="171">
        <f t="shared" si="308"/>
        <v>0</v>
      </c>
      <c r="CE84" s="169">
        <f t="shared" si="280"/>
        <v>0</v>
      </c>
      <c r="CF84" s="167">
        <f t="shared" si="255"/>
        <v>0</v>
      </c>
      <c r="CG84" s="167">
        <f t="shared" si="309"/>
        <v>0</v>
      </c>
      <c r="CH84" s="167">
        <f t="shared" si="256"/>
        <v>0</v>
      </c>
      <c r="CI84" s="167">
        <f t="shared" si="310"/>
        <v>0</v>
      </c>
      <c r="CJ84" s="167">
        <f t="shared" si="257"/>
        <v>0</v>
      </c>
      <c r="CK84" s="167">
        <f t="shared" si="311"/>
        <v>0</v>
      </c>
      <c r="CL84" s="167">
        <f t="shared" si="258"/>
        <v>0</v>
      </c>
      <c r="CM84" s="167">
        <f t="shared" si="312"/>
        <v>0</v>
      </c>
      <c r="CN84" s="167">
        <f t="shared" si="259"/>
        <v>0</v>
      </c>
      <c r="CO84" s="170">
        <f t="shared" si="313"/>
        <v>0</v>
      </c>
      <c r="CP84" s="167">
        <f t="shared" si="314"/>
        <v>0</v>
      </c>
      <c r="CQ84" s="171">
        <f t="shared" si="315"/>
        <v>0</v>
      </c>
      <c r="CR84" s="169">
        <f t="shared" si="316"/>
        <v>0</v>
      </c>
      <c r="CS84" s="167">
        <f t="shared" si="261"/>
        <v>0</v>
      </c>
      <c r="CT84" s="167">
        <f t="shared" si="317"/>
        <v>0</v>
      </c>
      <c r="CU84" s="167">
        <f t="shared" si="262"/>
        <v>0</v>
      </c>
      <c r="CV84" s="167">
        <f t="shared" si="318"/>
        <v>0</v>
      </c>
      <c r="CW84" s="167">
        <f t="shared" si="263"/>
        <v>0</v>
      </c>
      <c r="CX84" s="167">
        <f t="shared" si="319"/>
        <v>0</v>
      </c>
      <c r="CY84" s="167">
        <f t="shared" si="264"/>
        <v>0</v>
      </c>
      <c r="CZ84" s="167">
        <f t="shared" si="320"/>
        <v>0</v>
      </c>
      <c r="DA84" s="167">
        <f t="shared" si="265"/>
        <v>0</v>
      </c>
      <c r="DB84" s="170">
        <f t="shared" si="321"/>
        <v>0</v>
      </c>
      <c r="DC84" s="167">
        <f t="shared" si="322"/>
        <v>0</v>
      </c>
      <c r="DD84" s="171">
        <f t="shared" si="323"/>
        <v>0</v>
      </c>
      <c r="DE84" s="169">
        <f t="shared" si="316"/>
        <v>0</v>
      </c>
      <c r="DF84" s="167">
        <f t="shared" si="266"/>
        <v>0</v>
      </c>
      <c r="DG84" s="167">
        <f t="shared" si="324"/>
        <v>0</v>
      </c>
      <c r="DH84" s="167">
        <f t="shared" si="267"/>
        <v>0</v>
      </c>
      <c r="DI84" s="167">
        <f t="shared" si="325"/>
        <v>0</v>
      </c>
      <c r="DJ84" s="167">
        <f t="shared" si="268"/>
        <v>0</v>
      </c>
      <c r="DK84" s="167">
        <f t="shared" si="326"/>
        <v>0</v>
      </c>
      <c r="DL84" s="167">
        <f t="shared" si="269"/>
        <v>0</v>
      </c>
      <c r="DM84" s="167">
        <f t="shared" si="327"/>
        <v>0</v>
      </c>
      <c r="DN84" s="167">
        <f t="shared" si="270"/>
        <v>0</v>
      </c>
      <c r="DO84" s="170">
        <f t="shared" si="328"/>
        <v>0</v>
      </c>
      <c r="DP84" s="167">
        <f t="shared" si="329"/>
        <v>0</v>
      </c>
      <c r="DQ84" s="171">
        <f t="shared" si="330"/>
        <v>0</v>
      </c>
      <c r="DR84" s="169">
        <f t="shared" si="316"/>
        <v>0</v>
      </c>
      <c r="DS84" s="167">
        <f t="shared" si="271"/>
        <v>0</v>
      </c>
      <c r="DT84" s="167">
        <f t="shared" si="331"/>
        <v>0</v>
      </c>
      <c r="DU84" s="167">
        <f t="shared" si="272"/>
        <v>0</v>
      </c>
      <c r="DV84" s="167">
        <f t="shared" si="332"/>
        <v>0</v>
      </c>
      <c r="DW84" s="167">
        <f t="shared" si="273"/>
        <v>0</v>
      </c>
      <c r="DX84" s="167">
        <f t="shared" si="333"/>
        <v>0</v>
      </c>
      <c r="DY84" s="167">
        <f t="shared" si="274"/>
        <v>0</v>
      </c>
      <c r="DZ84" s="167">
        <f t="shared" si="334"/>
        <v>0</v>
      </c>
      <c r="EA84" s="167">
        <f t="shared" si="275"/>
        <v>0</v>
      </c>
      <c r="EB84" s="170">
        <f t="shared" si="335"/>
        <v>0</v>
      </c>
      <c r="EC84" s="167">
        <f t="shared" si="336"/>
        <v>0</v>
      </c>
      <c r="ED84" s="171">
        <f t="shared" si="337"/>
        <v>0</v>
      </c>
    </row>
    <row r="85" spans="1:134" x14ac:dyDescent="0.3">
      <c r="A85" s="185"/>
      <c r="B85" s="186"/>
      <c r="C85" s="187"/>
      <c r="D85" s="188"/>
      <c r="E85" s="189"/>
      <c r="F85" s="190"/>
      <c r="G85" s="191"/>
      <c r="H85" s="192"/>
      <c r="I85" s="193"/>
      <c r="J85" s="194"/>
      <c r="K85" s="165">
        <f t="shared" si="338"/>
        <v>0</v>
      </c>
      <c r="L85" s="166">
        <f t="shared" si="339"/>
        <v>0</v>
      </c>
      <c r="M85" s="167">
        <f t="shared" si="340"/>
        <v>0</v>
      </c>
      <c r="N85" s="167"/>
      <c r="O85" s="167">
        <f t="shared" si="341"/>
        <v>0</v>
      </c>
      <c r="P85" s="168"/>
      <c r="Q85" s="167">
        <f t="shared" si="342"/>
        <v>0</v>
      </c>
      <c r="R85" s="169">
        <f t="shared" si="343"/>
        <v>0</v>
      </c>
      <c r="S85" s="167">
        <f t="shared" si="344"/>
        <v>0</v>
      </c>
      <c r="T85" s="167">
        <f t="shared" si="345"/>
        <v>0</v>
      </c>
      <c r="U85" s="167">
        <f t="shared" si="346"/>
        <v>0</v>
      </c>
      <c r="V85" s="167">
        <f t="shared" si="347"/>
        <v>0</v>
      </c>
      <c r="W85" s="167">
        <f t="shared" si="348"/>
        <v>0</v>
      </c>
      <c r="X85" s="167">
        <f t="shared" si="349"/>
        <v>0</v>
      </c>
      <c r="Y85" s="167">
        <f t="shared" si="350"/>
        <v>0</v>
      </c>
      <c r="Z85" s="167">
        <f t="shared" si="351"/>
        <v>0</v>
      </c>
      <c r="AA85" s="167">
        <f t="shared" si="352"/>
        <v>0</v>
      </c>
      <c r="AB85" s="170">
        <f t="shared" si="353"/>
        <v>0</v>
      </c>
      <c r="AC85" s="167">
        <f t="shared" si="354"/>
        <v>0</v>
      </c>
      <c r="AD85" s="171">
        <f t="shared" si="355"/>
        <v>0</v>
      </c>
      <c r="AE85" s="169">
        <f t="shared" ref="AE85:CE100" si="356">IF(YEAR($F85)=AE$4,$E85,0)</f>
        <v>0</v>
      </c>
      <c r="AF85" s="167">
        <f t="shared" ref="AF85:AF125" si="357">IF($J85&lt;&gt;"H",AE85,0)</f>
        <v>0</v>
      </c>
      <c r="AG85" s="167">
        <f t="shared" si="281"/>
        <v>0</v>
      </c>
      <c r="AH85" s="167">
        <f t="shared" ref="AH85:AH125" si="358">IF($J85&lt;&gt;"H",AG85,0)</f>
        <v>0</v>
      </c>
      <c r="AI85" s="167">
        <f t="shared" si="282"/>
        <v>0</v>
      </c>
      <c r="AJ85" s="167">
        <f t="shared" ref="AJ85:AJ125" si="359">IF(AK85&lt;&gt;0,ROUND(AK85/$L85*AI85,2),0)</f>
        <v>0</v>
      </c>
      <c r="AK85" s="167">
        <f t="shared" si="283"/>
        <v>0</v>
      </c>
      <c r="AL85" s="167">
        <f t="shared" ref="AL85:AL125" si="360">IF($J85&lt;&gt;"H",AK85,0)</f>
        <v>0</v>
      </c>
      <c r="AM85" s="167">
        <f t="shared" si="284"/>
        <v>0</v>
      </c>
      <c r="AN85" s="167">
        <f t="shared" ref="AN85:AN125" si="361">IF($J85&lt;&gt;"H",AM85,0)</f>
        <v>0</v>
      </c>
      <c r="AO85" s="170">
        <f t="shared" si="285"/>
        <v>0</v>
      </c>
      <c r="AP85" s="167">
        <f t="shared" si="286"/>
        <v>0</v>
      </c>
      <c r="AQ85" s="171">
        <f t="shared" si="287"/>
        <v>0</v>
      </c>
      <c r="AR85" s="169">
        <f t="shared" si="356"/>
        <v>0</v>
      </c>
      <c r="AS85" s="167">
        <f t="shared" ref="AS85:AS125" si="362">IF($J85&lt;&gt;"H",AR85,0)</f>
        <v>0</v>
      </c>
      <c r="AT85" s="167">
        <f t="shared" si="288"/>
        <v>0</v>
      </c>
      <c r="AU85" s="167">
        <f t="shared" ref="AU85:AU125" si="363">IF($J85&lt;&gt;"H",AT85,0)</f>
        <v>0</v>
      </c>
      <c r="AV85" s="167">
        <f t="shared" si="289"/>
        <v>0</v>
      </c>
      <c r="AW85" s="167">
        <f t="shared" ref="AW85:AW125" si="364">IF(AX85&lt;&gt;0,ROUND(AX85/$L85*AV85,2),0)</f>
        <v>0</v>
      </c>
      <c r="AX85" s="167">
        <f t="shared" si="290"/>
        <v>0</v>
      </c>
      <c r="AY85" s="167">
        <f t="shared" ref="AY85:AY125" si="365">IF($J85&lt;&gt;"H",AX85,0)</f>
        <v>0</v>
      </c>
      <c r="AZ85" s="167">
        <f t="shared" si="291"/>
        <v>0</v>
      </c>
      <c r="BA85" s="167">
        <f t="shared" ref="BA85:BA125" si="366">IF($J85&lt;&gt;"H",AZ85,0)</f>
        <v>0</v>
      </c>
      <c r="BB85" s="170">
        <f t="shared" si="292"/>
        <v>0</v>
      </c>
      <c r="BC85" s="167">
        <f t="shared" si="293"/>
        <v>0</v>
      </c>
      <c r="BD85" s="171">
        <f t="shared" si="294"/>
        <v>0</v>
      </c>
      <c r="BE85" s="169">
        <f t="shared" si="356"/>
        <v>0</v>
      </c>
      <c r="BF85" s="167">
        <f t="shared" ref="BF85:BF125" si="367">IF($J85&lt;&gt;"H",BE85,0)</f>
        <v>0</v>
      </c>
      <c r="BG85" s="167">
        <f t="shared" si="295"/>
        <v>0</v>
      </c>
      <c r="BH85" s="167">
        <f t="shared" ref="BH85:BH125" si="368">IF($J85&lt;&gt;"H",BG85,0)</f>
        <v>0</v>
      </c>
      <c r="BI85" s="167">
        <f t="shared" si="296"/>
        <v>0</v>
      </c>
      <c r="BJ85" s="167">
        <f t="shared" ref="BJ85:BJ125" si="369">IF(BK85&lt;&gt;0,ROUND(BK85/$L85*BI85,2),0)</f>
        <v>0</v>
      </c>
      <c r="BK85" s="167">
        <f t="shared" si="297"/>
        <v>0</v>
      </c>
      <c r="BL85" s="167">
        <f t="shared" ref="BL85:BL125" si="370">IF($J85&lt;&gt;"H",BK85,0)</f>
        <v>0</v>
      </c>
      <c r="BM85" s="167">
        <f t="shared" si="298"/>
        <v>0</v>
      </c>
      <c r="BN85" s="167">
        <f t="shared" ref="BN85:BN125" si="371">IF($J85&lt;&gt;"H",BM85,0)</f>
        <v>0</v>
      </c>
      <c r="BO85" s="170">
        <f t="shared" si="299"/>
        <v>0</v>
      </c>
      <c r="BP85" s="167">
        <f t="shared" si="300"/>
        <v>0</v>
      </c>
      <c r="BQ85" s="171">
        <f t="shared" si="301"/>
        <v>0</v>
      </c>
      <c r="BR85" s="169">
        <f t="shared" si="356"/>
        <v>0</v>
      </c>
      <c r="BS85" s="167">
        <f t="shared" ref="BS85:BS125" si="372">IF($J85&lt;&gt;"H",BR85,0)</f>
        <v>0</v>
      </c>
      <c r="BT85" s="167">
        <f t="shared" si="302"/>
        <v>0</v>
      </c>
      <c r="BU85" s="167">
        <f t="shared" ref="BU85:BU125" si="373">IF($J85&lt;&gt;"H",BT85,0)</f>
        <v>0</v>
      </c>
      <c r="BV85" s="167">
        <f t="shared" si="303"/>
        <v>0</v>
      </c>
      <c r="BW85" s="167">
        <f t="shared" ref="BW85:BW125" si="374">IF(BX85&lt;&gt;0,ROUND(BX85/$L85*BV85,2),0)</f>
        <v>0</v>
      </c>
      <c r="BX85" s="167">
        <f t="shared" si="304"/>
        <v>0</v>
      </c>
      <c r="BY85" s="167">
        <f t="shared" ref="BY85:BY125" si="375">IF($J85&lt;&gt;"H",BX85,0)</f>
        <v>0</v>
      </c>
      <c r="BZ85" s="167">
        <f t="shared" si="305"/>
        <v>0</v>
      </c>
      <c r="CA85" s="167">
        <f t="shared" ref="CA85:CA125" si="376">IF($J85&lt;&gt;"H",BZ85,0)</f>
        <v>0</v>
      </c>
      <c r="CB85" s="170">
        <f t="shared" si="306"/>
        <v>0</v>
      </c>
      <c r="CC85" s="167">
        <f t="shared" si="307"/>
        <v>0</v>
      </c>
      <c r="CD85" s="171">
        <f t="shared" si="308"/>
        <v>0</v>
      </c>
      <c r="CE85" s="169">
        <f t="shared" si="356"/>
        <v>0</v>
      </c>
      <c r="CF85" s="167">
        <f t="shared" ref="CF85:CF125" si="377">IF($J85&lt;&gt;"H",CE85,0)</f>
        <v>0</v>
      </c>
      <c r="CG85" s="167">
        <f t="shared" si="309"/>
        <v>0</v>
      </c>
      <c r="CH85" s="167">
        <f t="shared" ref="CH85:CH125" si="378">IF($J85&lt;&gt;"H",CG85,0)</f>
        <v>0</v>
      </c>
      <c r="CI85" s="167">
        <f t="shared" si="310"/>
        <v>0</v>
      </c>
      <c r="CJ85" s="167">
        <f t="shared" ref="CJ85:CJ125" si="379">IF(CK85&lt;&gt;0,ROUND(CK85/$L85*CI85,2),0)</f>
        <v>0</v>
      </c>
      <c r="CK85" s="167">
        <f t="shared" si="311"/>
        <v>0</v>
      </c>
      <c r="CL85" s="167">
        <f t="shared" ref="CL85:CL125" si="380">IF($J85&lt;&gt;"H",CK85,0)</f>
        <v>0</v>
      </c>
      <c r="CM85" s="167">
        <f t="shared" si="312"/>
        <v>0</v>
      </c>
      <c r="CN85" s="167">
        <f t="shared" ref="CN85:CN125" si="381">IF($J85&lt;&gt;"H",CM85,0)</f>
        <v>0</v>
      </c>
      <c r="CO85" s="170">
        <f t="shared" si="313"/>
        <v>0</v>
      </c>
      <c r="CP85" s="167">
        <f t="shared" si="314"/>
        <v>0</v>
      </c>
      <c r="CQ85" s="171">
        <f t="shared" si="315"/>
        <v>0</v>
      </c>
      <c r="CR85" s="169">
        <f t="shared" ref="CR85:DR100" si="382">IF(YEAR($F85)=CR$4,$E85,0)</f>
        <v>0</v>
      </c>
      <c r="CS85" s="167">
        <f t="shared" ref="CS85:CS125" si="383">IF($J85&lt;&gt;"H",CR85,0)</f>
        <v>0</v>
      </c>
      <c r="CT85" s="167">
        <f t="shared" si="317"/>
        <v>0</v>
      </c>
      <c r="CU85" s="167">
        <f t="shared" ref="CU85:CU125" si="384">IF($J85&lt;&gt;"H",CT85,0)</f>
        <v>0</v>
      </c>
      <c r="CV85" s="167">
        <f t="shared" si="318"/>
        <v>0</v>
      </c>
      <c r="CW85" s="167">
        <f t="shared" ref="CW85:CW125" si="385">IF(CX85&lt;&gt;0,ROUND(CX85/$L85*CV85,2),0)</f>
        <v>0</v>
      </c>
      <c r="CX85" s="167">
        <f t="shared" si="319"/>
        <v>0</v>
      </c>
      <c r="CY85" s="167">
        <f t="shared" ref="CY85:CY125" si="386">IF($J85&lt;&gt;"H",CX85,0)</f>
        <v>0</v>
      </c>
      <c r="CZ85" s="167">
        <f t="shared" si="320"/>
        <v>0</v>
      </c>
      <c r="DA85" s="167">
        <f t="shared" ref="DA85:DA125" si="387">IF($J85&lt;&gt;"H",CZ85,0)</f>
        <v>0</v>
      </c>
      <c r="DB85" s="170">
        <f t="shared" si="321"/>
        <v>0</v>
      </c>
      <c r="DC85" s="167">
        <f t="shared" si="322"/>
        <v>0</v>
      </c>
      <c r="DD85" s="171">
        <f t="shared" si="323"/>
        <v>0</v>
      </c>
      <c r="DE85" s="169">
        <f t="shared" si="382"/>
        <v>0</v>
      </c>
      <c r="DF85" s="167">
        <f t="shared" ref="DF85:DF125" si="388">IF($J85&lt;&gt;"H",DE85,0)</f>
        <v>0</v>
      </c>
      <c r="DG85" s="167">
        <f t="shared" si="324"/>
        <v>0</v>
      </c>
      <c r="DH85" s="167">
        <f t="shared" ref="DH85:DH125" si="389">IF($J85&lt;&gt;"H",DG85,0)</f>
        <v>0</v>
      </c>
      <c r="DI85" s="167">
        <f t="shared" si="325"/>
        <v>0</v>
      </c>
      <c r="DJ85" s="167">
        <f t="shared" ref="DJ85:DJ125" si="390">IF(DK85&lt;&gt;0,ROUND(DK85/$L85*DI85,2),0)</f>
        <v>0</v>
      </c>
      <c r="DK85" s="167">
        <f t="shared" si="326"/>
        <v>0</v>
      </c>
      <c r="DL85" s="167">
        <f t="shared" ref="DL85:DL125" si="391">IF($J85&lt;&gt;"H",DK85,0)</f>
        <v>0</v>
      </c>
      <c r="DM85" s="167">
        <f t="shared" si="327"/>
        <v>0</v>
      </c>
      <c r="DN85" s="167">
        <f t="shared" ref="DN85:DN125" si="392">IF($J85&lt;&gt;"H",DM85,0)</f>
        <v>0</v>
      </c>
      <c r="DO85" s="170">
        <f t="shared" si="328"/>
        <v>0</v>
      </c>
      <c r="DP85" s="167">
        <f t="shared" si="329"/>
        <v>0</v>
      </c>
      <c r="DQ85" s="171">
        <f t="shared" si="330"/>
        <v>0</v>
      </c>
      <c r="DR85" s="169">
        <f t="shared" si="382"/>
        <v>0</v>
      </c>
      <c r="DS85" s="167">
        <f t="shared" ref="DS85:DS125" si="393">IF($J85&lt;&gt;"H",DR85,0)</f>
        <v>0</v>
      </c>
      <c r="DT85" s="167">
        <f t="shared" si="331"/>
        <v>0</v>
      </c>
      <c r="DU85" s="167">
        <f t="shared" ref="DU85:DU125" si="394">IF($J85&lt;&gt;"H",DT85,0)</f>
        <v>0</v>
      </c>
      <c r="DV85" s="167">
        <f t="shared" si="332"/>
        <v>0</v>
      </c>
      <c r="DW85" s="167">
        <f t="shared" ref="DW85:DW125" si="395">IF(DX85&lt;&gt;0,ROUND(DX85/$L85*DV85,2),0)</f>
        <v>0</v>
      </c>
      <c r="DX85" s="167">
        <f t="shared" si="333"/>
        <v>0</v>
      </c>
      <c r="DY85" s="167">
        <f t="shared" ref="DY85:DY125" si="396">IF($J85&lt;&gt;"H",DX85,0)</f>
        <v>0</v>
      </c>
      <c r="DZ85" s="167">
        <f t="shared" si="334"/>
        <v>0</v>
      </c>
      <c r="EA85" s="167">
        <f t="shared" ref="EA85:EA125" si="397">IF($J85&lt;&gt;"H",DZ85,0)</f>
        <v>0</v>
      </c>
      <c r="EB85" s="170">
        <f t="shared" si="335"/>
        <v>0</v>
      </c>
      <c r="EC85" s="167">
        <f t="shared" si="336"/>
        <v>0</v>
      </c>
      <c r="ED85" s="171">
        <f t="shared" si="337"/>
        <v>0</v>
      </c>
    </row>
    <row r="86" spans="1:134" x14ac:dyDescent="0.3">
      <c r="A86" s="185"/>
      <c r="B86" s="186"/>
      <c r="C86" s="187"/>
      <c r="D86" s="188"/>
      <c r="E86" s="189"/>
      <c r="F86" s="190"/>
      <c r="G86" s="191"/>
      <c r="H86" s="192"/>
      <c r="I86" s="193"/>
      <c r="J86" s="194"/>
      <c r="K86" s="165">
        <f t="shared" si="338"/>
        <v>0</v>
      </c>
      <c r="L86" s="166">
        <f t="shared" si="339"/>
        <v>0</v>
      </c>
      <c r="M86" s="167">
        <f t="shared" si="340"/>
        <v>0</v>
      </c>
      <c r="N86" s="167"/>
      <c r="O86" s="167">
        <f t="shared" si="341"/>
        <v>0</v>
      </c>
      <c r="P86" s="168"/>
      <c r="Q86" s="167">
        <f t="shared" si="342"/>
        <v>0</v>
      </c>
      <c r="R86" s="169">
        <f t="shared" si="343"/>
        <v>0</v>
      </c>
      <c r="S86" s="167">
        <f t="shared" si="344"/>
        <v>0</v>
      </c>
      <c r="T86" s="167">
        <f t="shared" si="345"/>
        <v>0</v>
      </c>
      <c r="U86" s="167">
        <f t="shared" si="346"/>
        <v>0</v>
      </c>
      <c r="V86" s="167">
        <f t="shared" si="347"/>
        <v>0</v>
      </c>
      <c r="W86" s="167">
        <f t="shared" si="348"/>
        <v>0</v>
      </c>
      <c r="X86" s="167">
        <f t="shared" si="349"/>
        <v>0</v>
      </c>
      <c r="Y86" s="167">
        <f t="shared" si="350"/>
        <v>0</v>
      </c>
      <c r="Z86" s="167">
        <f t="shared" si="351"/>
        <v>0</v>
      </c>
      <c r="AA86" s="167">
        <f t="shared" si="352"/>
        <v>0</v>
      </c>
      <c r="AB86" s="170">
        <f t="shared" si="353"/>
        <v>0</v>
      </c>
      <c r="AC86" s="167">
        <f t="shared" si="354"/>
        <v>0</v>
      </c>
      <c r="AD86" s="171">
        <f t="shared" si="355"/>
        <v>0</v>
      </c>
      <c r="AE86" s="169">
        <f t="shared" si="356"/>
        <v>0</v>
      </c>
      <c r="AF86" s="167">
        <f t="shared" si="357"/>
        <v>0</v>
      </c>
      <c r="AG86" s="167">
        <f t="shared" si="281"/>
        <v>0</v>
      </c>
      <c r="AH86" s="167">
        <f t="shared" si="358"/>
        <v>0</v>
      </c>
      <c r="AI86" s="167">
        <f t="shared" si="282"/>
        <v>0</v>
      </c>
      <c r="AJ86" s="167">
        <f t="shared" si="359"/>
        <v>0</v>
      </c>
      <c r="AK86" s="167">
        <f t="shared" si="283"/>
        <v>0</v>
      </c>
      <c r="AL86" s="167">
        <f t="shared" si="360"/>
        <v>0</v>
      </c>
      <c r="AM86" s="167">
        <f t="shared" si="284"/>
        <v>0</v>
      </c>
      <c r="AN86" s="167">
        <f t="shared" si="361"/>
        <v>0</v>
      </c>
      <c r="AO86" s="170">
        <f t="shared" si="285"/>
        <v>0</v>
      </c>
      <c r="AP86" s="167">
        <f t="shared" si="286"/>
        <v>0</v>
      </c>
      <c r="AQ86" s="171">
        <f t="shared" si="287"/>
        <v>0</v>
      </c>
      <c r="AR86" s="169">
        <f t="shared" si="356"/>
        <v>0</v>
      </c>
      <c r="AS86" s="167">
        <f t="shared" si="362"/>
        <v>0</v>
      </c>
      <c r="AT86" s="167">
        <f t="shared" si="288"/>
        <v>0</v>
      </c>
      <c r="AU86" s="167">
        <f t="shared" si="363"/>
        <v>0</v>
      </c>
      <c r="AV86" s="167">
        <f t="shared" si="289"/>
        <v>0</v>
      </c>
      <c r="AW86" s="167">
        <f t="shared" si="364"/>
        <v>0</v>
      </c>
      <c r="AX86" s="167">
        <f t="shared" si="290"/>
        <v>0</v>
      </c>
      <c r="AY86" s="167">
        <f t="shared" si="365"/>
        <v>0</v>
      </c>
      <c r="AZ86" s="167">
        <f t="shared" si="291"/>
        <v>0</v>
      </c>
      <c r="BA86" s="167">
        <f t="shared" si="366"/>
        <v>0</v>
      </c>
      <c r="BB86" s="170">
        <f t="shared" si="292"/>
        <v>0</v>
      </c>
      <c r="BC86" s="167">
        <f t="shared" si="293"/>
        <v>0</v>
      </c>
      <c r="BD86" s="171">
        <f t="shared" si="294"/>
        <v>0</v>
      </c>
      <c r="BE86" s="169">
        <f t="shared" si="356"/>
        <v>0</v>
      </c>
      <c r="BF86" s="167">
        <f t="shared" si="367"/>
        <v>0</v>
      </c>
      <c r="BG86" s="167">
        <f t="shared" si="295"/>
        <v>0</v>
      </c>
      <c r="BH86" s="167">
        <f t="shared" si="368"/>
        <v>0</v>
      </c>
      <c r="BI86" s="167">
        <f t="shared" si="296"/>
        <v>0</v>
      </c>
      <c r="BJ86" s="167">
        <f t="shared" si="369"/>
        <v>0</v>
      </c>
      <c r="BK86" s="167">
        <f t="shared" si="297"/>
        <v>0</v>
      </c>
      <c r="BL86" s="167">
        <f t="shared" si="370"/>
        <v>0</v>
      </c>
      <c r="BM86" s="167">
        <f t="shared" si="298"/>
        <v>0</v>
      </c>
      <c r="BN86" s="167">
        <f t="shared" si="371"/>
        <v>0</v>
      </c>
      <c r="BO86" s="170">
        <f t="shared" si="299"/>
        <v>0</v>
      </c>
      <c r="BP86" s="167">
        <f t="shared" si="300"/>
        <v>0</v>
      </c>
      <c r="BQ86" s="171">
        <f t="shared" si="301"/>
        <v>0</v>
      </c>
      <c r="BR86" s="169">
        <f t="shared" si="356"/>
        <v>0</v>
      </c>
      <c r="BS86" s="167">
        <f t="shared" si="372"/>
        <v>0</v>
      </c>
      <c r="BT86" s="167">
        <f t="shared" si="302"/>
        <v>0</v>
      </c>
      <c r="BU86" s="167">
        <f t="shared" si="373"/>
        <v>0</v>
      </c>
      <c r="BV86" s="167">
        <f t="shared" si="303"/>
        <v>0</v>
      </c>
      <c r="BW86" s="167">
        <f t="shared" si="374"/>
        <v>0</v>
      </c>
      <c r="BX86" s="167">
        <f t="shared" si="304"/>
        <v>0</v>
      </c>
      <c r="BY86" s="167">
        <f t="shared" si="375"/>
        <v>0</v>
      </c>
      <c r="BZ86" s="167">
        <f t="shared" si="305"/>
        <v>0</v>
      </c>
      <c r="CA86" s="167">
        <f t="shared" si="376"/>
        <v>0</v>
      </c>
      <c r="CB86" s="170">
        <f t="shared" si="306"/>
        <v>0</v>
      </c>
      <c r="CC86" s="167">
        <f t="shared" si="307"/>
        <v>0</v>
      </c>
      <c r="CD86" s="171">
        <f t="shared" si="308"/>
        <v>0</v>
      </c>
      <c r="CE86" s="169">
        <f t="shared" si="356"/>
        <v>0</v>
      </c>
      <c r="CF86" s="167">
        <f t="shared" si="377"/>
        <v>0</v>
      </c>
      <c r="CG86" s="167">
        <f t="shared" si="309"/>
        <v>0</v>
      </c>
      <c r="CH86" s="167">
        <f t="shared" si="378"/>
        <v>0</v>
      </c>
      <c r="CI86" s="167">
        <f t="shared" si="310"/>
        <v>0</v>
      </c>
      <c r="CJ86" s="167">
        <f t="shared" si="379"/>
        <v>0</v>
      </c>
      <c r="CK86" s="167">
        <f t="shared" si="311"/>
        <v>0</v>
      </c>
      <c r="CL86" s="167">
        <f t="shared" si="380"/>
        <v>0</v>
      </c>
      <c r="CM86" s="167">
        <f t="shared" si="312"/>
        <v>0</v>
      </c>
      <c r="CN86" s="167">
        <f t="shared" si="381"/>
        <v>0</v>
      </c>
      <c r="CO86" s="170">
        <f t="shared" si="313"/>
        <v>0</v>
      </c>
      <c r="CP86" s="167">
        <f t="shared" si="314"/>
        <v>0</v>
      </c>
      <c r="CQ86" s="171">
        <f t="shared" si="315"/>
        <v>0</v>
      </c>
      <c r="CR86" s="169">
        <f t="shared" si="382"/>
        <v>0</v>
      </c>
      <c r="CS86" s="167">
        <f t="shared" si="383"/>
        <v>0</v>
      </c>
      <c r="CT86" s="167">
        <f t="shared" si="317"/>
        <v>0</v>
      </c>
      <c r="CU86" s="167">
        <f t="shared" si="384"/>
        <v>0</v>
      </c>
      <c r="CV86" s="167">
        <f t="shared" si="318"/>
        <v>0</v>
      </c>
      <c r="CW86" s="167">
        <f t="shared" si="385"/>
        <v>0</v>
      </c>
      <c r="CX86" s="167">
        <f t="shared" si="319"/>
        <v>0</v>
      </c>
      <c r="CY86" s="167">
        <f t="shared" si="386"/>
        <v>0</v>
      </c>
      <c r="CZ86" s="167">
        <f t="shared" si="320"/>
        <v>0</v>
      </c>
      <c r="DA86" s="167">
        <f t="shared" si="387"/>
        <v>0</v>
      </c>
      <c r="DB86" s="170">
        <f t="shared" si="321"/>
        <v>0</v>
      </c>
      <c r="DC86" s="167">
        <f t="shared" si="322"/>
        <v>0</v>
      </c>
      <c r="DD86" s="171">
        <f t="shared" si="323"/>
        <v>0</v>
      </c>
      <c r="DE86" s="169">
        <f t="shared" si="382"/>
        <v>0</v>
      </c>
      <c r="DF86" s="167">
        <f t="shared" si="388"/>
        <v>0</v>
      </c>
      <c r="DG86" s="167">
        <f t="shared" si="324"/>
        <v>0</v>
      </c>
      <c r="DH86" s="167">
        <f t="shared" si="389"/>
        <v>0</v>
      </c>
      <c r="DI86" s="167">
        <f t="shared" si="325"/>
        <v>0</v>
      </c>
      <c r="DJ86" s="167">
        <f t="shared" si="390"/>
        <v>0</v>
      </c>
      <c r="DK86" s="167">
        <f t="shared" si="326"/>
        <v>0</v>
      </c>
      <c r="DL86" s="167">
        <f t="shared" si="391"/>
        <v>0</v>
      </c>
      <c r="DM86" s="167">
        <f t="shared" si="327"/>
        <v>0</v>
      </c>
      <c r="DN86" s="167">
        <f t="shared" si="392"/>
        <v>0</v>
      </c>
      <c r="DO86" s="170">
        <f t="shared" si="328"/>
        <v>0</v>
      </c>
      <c r="DP86" s="167">
        <f t="shared" si="329"/>
        <v>0</v>
      </c>
      <c r="DQ86" s="171">
        <f t="shared" si="330"/>
        <v>0</v>
      </c>
      <c r="DR86" s="169">
        <f t="shared" si="382"/>
        <v>0</v>
      </c>
      <c r="DS86" s="167">
        <f t="shared" si="393"/>
        <v>0</v>
      </c>
      <c r="DT86" s="167">
        <f t="shared" si="331"/>
        <v>0</v>
      </c>
      <c r="DU86" s="167">
        <f t="shared" si="394"/>
        <v>0</v>
      </c>
      <c r="DV86" s="167">
        <f t="shared" si="332"/>
        <v>0</v>
      </c>
      <c r="DW86" s="167">
        <f t="shared" si="395"/>
        <v>0</v>
      </c>
      <c r="DX86" s="167">
        <f t="shared" si="333"/>
        <v>0</v>
      </c>
      <c r="DY86" s="167">
        <f t="shared" si="396"/>
        <v>0</v>
      </c>
      <c r="DZ86" s="167">
        <f t="shared" si="334"/>
        <v>0</v>
      </c>
      <c r="EA86" s="167">
        <f t="shared" si="397"/>
        <v>0</v>
      </c>
      <c r="EB86" s="170">
        <f t="shared" si="335"/>
        <v>0</v>
      </c>
      <c r="EC86" s="167">
        <f t="shared" si="336"/>
        <v>0</v>
      </c>
      <c r="ED86" s="171">
        <f t="shared" si="337"/>
        <v>0</v>
      </c>
    </row>
    <row r="87" spans="1:134" x14ac:dyDescent="0.3">
      <c r="A87" s="185"/>
      <c r="B87" s="186"/>
      <c r="C87" s="187"/>
      <c r="D87" s="188"/>
      <c r="E87" s="189"/>
      <c r="F87" s="190"/>
      <c r="G87" s="191"/>
      <c r="H87" s="192"/>
      <c r="I87" s="193"/>
      <c r="J87" s="194"/>
      <c r="K87" s="165">
        <f t="shared" si="338"/>
        <v>0</v>
      </c>
      <c r="L87" s="166">
        <f t="shared" si="339"/>
        <v>0</v>
      </c>
      <c r="M87" s="167">
        <f t="shared" si="340"/>
        <v>0</v>
      </c>
      <c r="N87" s="167"/>
      <c r="O87" s="167">
        <f t="shared" si="341"/>
        <v>0</v>
      </c>
      <c r="P87" s="168"/>
      <c r="Q87" s="167">
        <f t="shared" si="342"/>
        <v>0</v>
      </c>
      <c r="R87" s="169">
        <f t="shared" si="343"/>
        <v>0</v>
      </c>
      <c r="S87" s="167">
        <f t="shared" si="344"/>
        <v>0</v>
      </c>
      <c r="T87" s="167">
        <f t="shared" si="345"/>
        <v>0</v>
      </c>
      <c r="U87" s="167">
        <f t="shared" si="346"/>
        <v>0</v>
      </c>
      <c r="V87" s="167">
        <f t="shared" si="347"/>
        <v>0</v>
      </c>
      <c r="W87" s="167">
        <f t="shared" si="348"/>
        <v>0</v>
      </c>
      <c r="X87" s="167">
        <f t="shared" si="349"/>
        <v>0</v>
      </c>
      <c r="Y87" s="167">
        <f t="shared" si="350"/>
        <v>0</v>
      </c>
      <c r="Z87" s="167">
        <f t="shared" si="351"/>
        <v>0</v>
      </c>
      <c r="AA87" s="167">
        <f t="shared" si="352"/>
        <v>0</v>
      </c>
      <c r="AB87" s="170">
        <f t="shared" si="353"/>
        <v>0</v>
      </c>
      <c r="AC87" s="167">
        <f t="shared" si="354"/>
        <v>0</v>
      </c>
      <c r="AD87" s="171">
        <f t="shared" si="355"/>
        <v>0</v>
      </c>
      <c r="AE87" s="169">
        <f t="shared" si="356"/>
        <v>0</v>
      </c>
      <c r="AF87" s="167">
        <f t="shared" si="357"/>
        <v>0</v>
      </c>
      <c r="AG87" s="167">
        <f t="shared" si="281"/>
        <v>0</v>
      </c>
      <c r="AH87" s="167">
        <f t="shared" si="358"/>
        <v>0</v>
      </c>
      <c r="AI87" s="167">
        <f t="shared" si="282"/>
        <v>0</v>
      </c>
      <c r="AJ87" s="167">
        <f t="shared" si="359"/>
        <v>0</v>
      </c>
      <c r="AK87" s="167">
        <f t="shared" si="283"/>
        <v>0</v>
      </c>
      <c r="AL87" s="167">
        <f t="shared" si="360"/>
        <v>0</v>
      </c>
      <c r="AM87" s="167">
        <f t="shared" si="284"/>
        <v>0</v>
      </c>
      <c r="AN87" s="167">
        <f t="shared" si="361"/>
        <v>0</v>
      </c>
      <c r="AO87" s="170">
        <f t="shared" si="285"/>
        <v>0</v>
      </c>
      <c r="AP87" s="167">
        <f t="shared" si="286"/>
        <v>0</v>
      </c>
      <c r="AQ87" s="171">
        <f t="shared" si="287"/>
        <v>0</v>
      </c>
      <c r="AR87" s="169">
        <f t="shared" si="356"/>
        <v>0</v>
      </c>
      <c r="AS87" s="167">
        <f t="shared" si="362"/>
        <v>0</v>
      </c>
      <c r="AT87" s="167">
        <f t="shared" si="288"/>
        <v>0</v>
      </c>
      <c r="AU87" s="167">
        <f t="shared" si="363"/>
        <v>0</v>
      </c>
      <c r="AV87" s="167">
        <f t="shared" si="289"/>
        <v>0</v>
      </c>
      <c r="AW87" s="167">
        <f t="shared" si="364"/>
        <v>0</v>
      </c>
      <c r="AX87" s="167">
        <f t="shared" si="290"/>
        <v>0</v>
      </c>
      <c r="AY87" s="167">
        <f t="shared" si="365"/>
        <v>0</v>
      </c>
      <c r="AZ87" s="167">
        <f t="shared" si="291"/>
        <v>0</v>
      </c>
      <c r="BA87" s="167">
        <f t="shared" si="366"/>
        <v>0</v>
      </c>
      <c r="BB87" s="170">
        <f t="shared" si="292"/>
        <v>0</v>
      </c>
      <c r="BC87" s="167">
        <f t="shared" si="293"/>
        <v>0</v>
      </c>
      <c r="BD87" s="171">
        <f t="shared" si="294"/>
        <v>0</v>
      </c>
      <c r="BE87" s="169">
        <f t="shared" si="356"/>
        <v>0</v>
      </c>
      <c r="BF87" s="167">
        <f t="shared" si="367"/>
        <v>0</v>
      </c>
      <c r="BG87" s="167">
        <f t="shared" si="295"/>
        <v>0</v>
      </c>
      <c r="BH87" s="167">
        <f t="shared" si="368"/>
        <v>0</v>
      </c>
      <c r="BI87" s="167">
        <f t="shared" si="296"/>
        <v>0</v>
      </c>
      <c r="BJ87" s="167">
        <f t="shared" si="369"/>
        <v>0</v>
      </c>
      <c r="BK87" s="167">
        <f t="shared" si="297"/>
        <v>0</v>
      </c>
      <c r="BL87" s="167">
        <f t="shared" si="370"/>
        <v>0</v>
      </c>
      <c r="BM87" s="167">
        <f t="shared" si="298"/>
        <v>0</v>
      </c>
      <c r="BN87" s="167">
        <f t="shared" si="371"/>
        <v>0</v>
      </c>
      <c r="BO87" s="170">
        <f t="shared" si="299"/>
        <v>0</v>
      </c>
      <c r="BP87" s="167">
        <f t="shared" si="300"/>
        <v>0</v>
      </c>
      <c r="BQ87" s="171">
        <f t="shared" si="301"/>
        <v>0</v>
      </c>
      <c r="BR87" s="169">
        <f t="shared" si="356"/>
        <v>0</v>
      </c>
      <c r="BS87" s="167">
        <f t="shared" si="372"/>
        <v>0</v>
      </c>
      <c r="BT87" s="167">
        <f t="shared" si="302"/>
        <v>0</v>
      </c>
      <c r="BU87" s="167">
        <f t="shared" si="373"/>
        <v>0</v>
      </c>
      <c r="BV87" s="167">
        <f t="shared" si="303"/>
        <v>0</v>
      </c>
      <c r="BW87" s="167">
        <f t="shared" si="374"/>
        <v>0</v>
      </c>
      <c r="BX87" s="167">
        <f t="shared" si="304"/>
        <v>0</v>
      </c>
      <c r="BY87" s="167">
        <f t="shared" si="375"/>
        <v>0</v>
      </c>
      <c r="BZ87" s="167">
        <f t="shared" si="305"/>
        <v>0</v>
      </c>
      <c r="CA87" s="167">
        <f t="shared" si="376"/>
        <v>0</v>
      </c>
      <c r="CB87" s="170">
        <f t="shared" si="306"/>
        <v>0</v>
      </c>
      <c r="CC87" s="167">
        <f t="shared" si="307"/>
        <v>0</v>
      </c>
      <c r="CD87" s="171">
        <f t="shared" si="308"/>
        <v>0</v>
      </c>
      <c r="CE87" s="169">
        <f t="shared" si="356"/>
        <v>0</v>
      </c>
      <c r="CF87" s="167">
        <f t="shared" si="377"/>
        <v>0</v>
      </c>
      <c r="CG87" s="167">
        <f t="shared" si="309"/>
        <v>0</v>
      </c>
      <c r="CH87" s="167">
        <f t="shared" si="378"/>
        <v>0</v>
      </c>
      <c r="CI87" s="167">
        <f t="shared" si="310"/>
        <v>0</v>
      </c>
      <c r="CJ87" s="167">
        <f t="shared" si="379"/>
        <v>0</v>
      </c>
      <c r="CK87" s="167">
        <f t="shared" si="311"/>
        <v>0</v>
      </c>
      <c r="CL87" s="167">
        <f t="shared" si="380"/>
        <v>0</v>
      </c>
      <c r="CM87" s="167">
        <f t="shared" si="312"/>
        <v>0</v>
      </c>
      <c r="CN87" s="167">
        <f t="shared" si="381"/>
        <v>0</v>
      </c>
      <c r="CO87" s="170">
        <f t="shared" si="313"/>
        <v>0</v>
      </c>
      <c r="CP87" s="167">
        <f t="shared" si="314"/>
        <v>0</v>
      </c>
      <c r="CQ87" s="171">
        <f t="shared" si="315"/>
        <v>0</v>
      </c>
      <c r="CR87" s="169">
        <f t="shared" si="382"/>
        <v>0</v>
      </c>
      <c r="CS87" s="167">
        <f t="shared" si="383"/>
        <v>0</v>
      </c>
      <c r="CT87" s="167">
        <f t="shared" si="317"/>
        <v>0</v>
      </c>
      <c r="CU87" s="167">
        <f t="shared" si="384"/>
        <v>0</v>
      </c>
      <c r="CV87" s="167">
        <f t="shared" si="318"/>
        <v>0</v>
      </c>
      <c r="CW87" s="167">
        <f t="shared" si="385"/>
        <v>0</v>
      </c>
      <c r="CX87" s="167">
        <f t="shared" si="319"/>
        <v>0</v>
      </c>
      <c r="CY87" s="167">
        <f t="shared" si="386"/>
        <v>0</v>
      </c>
      <c r="CZ87" s="167">
        <f t="shared" si="320"/>
        <v>0</v>
      </c>
      <c r="DA87" s="167">
        <f t="shared" si="387"/>
        <v>0</v>
      </c>
      <c r="DB87" s="170">
        <f t="shared" si="321"/>
        <v>0</v>
      </c>
      <c r="DC87" s="167">
        <f t="shared" si="322"/>
        <v>0</v>
      </c>
      <c r="DD87" s="171">
        <f t="shared" si="323"/>
        <v>0</v>
      </c>
      <c r="DE87" s="169">
        <f t="shared" si="382"/>
        <v>0</v>
      </c>
      <c r="DF87" s="167">
        <f t="shared" si="388"/>
        <v>0</v>
      </c>
      <c r="DG87" s="167">
        <f t="shared" si="324"/>
        <v>0</v>
      </c>
      <c r="DH87" s="167">
        <f t="shared" si="389"/>
        <v>0</v>
      </c>
      <c r="DI87" s="167">
        <f t="shared" si="325"/>
        <v>0</v>
      </c>
      <c r="DJ87" s="167">
        <f t="shared" si="390"/>
        <v>0</v>
      </c>
      <c r="DK87" s="167">
        <f t="shared" si="326"/>
        <v>0</v>
      </c>
      <c r="DL87" s="167">
        <f t="shared" si="391"/>
        <v>0</v>
      </c>
      <c r="DM87" s="167">
        <f t="shared" si="327"/>
        <v>0</v>
      </c>
      <c r="DN87" s="167">
        <f t="shared" si="392"/>
        <v>0</v>
      </c>
      <c r="DO87" s="170">
        <f t="shared" si="328"/>
        <v>0</v>
      </c>
      <c r="DP87" s="167">
        <f t="shared" si="329"/>
        <v>0</v>
      </c>
      <c r="DQ87" s="171">
        <f t="shared" si="330"/>
        <v>0</v>
      </c>
      <c r="DR87" s="169">
        <f t="shared" si="382"/>
        <v>0</v>
      </c>
      <c r="DS87" s="167">
        <f t="shared" si="393"/>
        <v>0</v>
      </c>
      <c r="DT87" s="167">
        <f t="shared" si="331"/>
        <v>0</v>
      </c>
      <c r="DU87" s="167">
        <f t="shared" si="394"/>
        <v>0</v>
      </c>
      <c r="DV87" s="167">
        <f t="shared" si="332"/>
        <v>0</v>
      </c>
      <c r="DW87" s="167">
        <f t="shared" si="395"/>
        <v>0</v>
      </c>
      <c r="DX87" s="167">
        <f t="shared" si="333"/>
        <v>0</v>
      </c>
      <c r="DY87" s="167">
        <f t="shared" si="396"/>
        <v>0</v>
      </c>
      <c r="DZ87" s="167">
        <f t="shared" si="334"/>
        <v>0</v>
      </c>
      <c r="EA87" s="167">
        <f t="shared" si="397"/>
        <v>0</v>
      </c>
      <c r="EB87" s="170">
        <f t="shared" si="335"/>
        <v>0</v>
      </c>
      <c r="EC87" s="167">
        <f t="shared" si="336"/>
        <v>0</v>
      </c>
      <c r="ED87" s="171">
        <f t="shared" si="337"/>
        <v>0</v>
      </c>
    </row>
    <row r="88" spans="1:134" x14ac:dyDescent="0.3">
      <c r="A88" s="185"/>
      <c r="B88" s="186"/>
      <c r="C88" s="187"/>
      <c r="D88" s="188"/>
      <c r="E88" s="189"/>
      <c r="F88" s="190"/>
      <c r="G88" s="191"/>
      <c r="H88" s="192"/>
      <c r="I88" s="193"/>
      <c r="J88" s="194"/>
      <c r="K88" s="165">
        <f t="shared" si="338"/>
        <v>0</v>
      </c>
      <c r="L88" s="166">
        <f t="shared" si="339"/>
        <v>0</v>
      </c>
      <c r="M88" s="167">
        <f t="shared" si="340"/>
        <v>0</v>
      </c>
      <c r="N88" s="167"/>
      <c r="O88" s="167">
        <f t="shared" si="341"/>
        <v>0</v>
      </c>
      <c r="P88" s="168"/>
      <c r="Q88" s="167">
        <f t="shared" si="342"/>
        <v>0</v>
      </c>
      <c r="R88" s="169">
        <f t="shared" si="343"/>
        <v>0</v>
      </c>
      <c r="S88" s="167">
        <f t="shared" si="344"/>
        <v>0</v>
      </c>
      <c r="T88" s="167">
        <f t="shared" si="345"/>
        <v>0</v>
      </c>
      <c r="U88" s="167">
        <f t="shared" si="346"/>
        <v>0</v>
      </c>
      <c r="V88" s="167">
        <f t="shared" si="347"/>
        <v>0</v>
      </c>
      <c r="W88" s="167">
        <f t="shared" si="348"/>
        <v>0</v>
      </c>
      <c r="X88" s="167">
        <f t="shared" si="349"/>
        <v>0</v>
      </c>
      <c r="Y88" s="167">
        <f t="shared" si="350"/>
        <v>0</v>
      </c>
      <c r="Z88" s="167">
        <f t="shared" si="351"/>
        <v>0</v>
      </c>
      <c r="AA88" s="167">
        <f t="shared" si="352"/>
        <v>0</v>
      </c>
      <c r="AB88" s="170">
        <f t="shared" si="353"/>
        <v>0</v>
      </c>
      <c r="AC88" s="167">
        <f t="shared" si="354"/>
        <v>0</v>
      </c>
      <c r="AD88" s="171">
        <f t="shared" si="355"/>
        <v>0</v>
      </c>
      <c r="AE88" s="169">
        <f t="shared" si="356"/>
        <v>0</v>
      </c>
      <c r="AF88" s="167">
        <f t="shared" si="357"/>
        <v>0</v>
      </c>
      <c r="AG88" s="167">
        <f t="shared" si="281"/>
        <v>0</v>
      </c>
      <c r="AH88" s="167">
        <f t="shared" si="358"/>
        <v>0</v>
      </c>
      <c r="AI88" s="167">
        <f t="shared" si="282"/>
        <v>0</v>
      </c>
      <c r="AJ88" s="167">
        <f t="shared" si="359"/>
        <v>0</v>
      </c>
      <c r="AK88" s="167">
        <f t="shared" si="283"/>
        <v>0</v>
      </c>
      <c r="AL88" s="167">
        <f t="shared" si="360"/>
        <v>0</v>
      </c>
      <c r="AM88" s="167">
        <f t="shared" si="284"/>
        <v>0</v>
      </c>
      <c r="AN88" s="167">
        <f t="shared" si="361"/>
        <v>0</v>
      </c>
      <c r="AO88" s="170">
        <f t="shared" si="285"/>
        <v>0</v>
      </c>
      <c r="AP88" s="167">
        <f t="shared" si="286"/>
        <v>0</v>
      </c>
      <c r="AQ88" s="171">
        <f t="shared" si="287"/>
        <v>0</v>
      </c>
      <c r="AR88" s="169">
        <f t="shared" si="356"/>
        <v>0</v>
      </c>
      <c r="AS88" s="167">
        <f t="shared" si="362"/>
        <v>0</v>
      </c>
      <c r="AT88" s="167">
        <f t="shared" si="288"/>
        <v>0</v>
      </c>
      <c r="AU88" s="167">
        <f t="shared" si="363"/>
        <v>0</v>
      </c>
      <c r="AV88" s="167">
        <f t="shared" si="289"/>
        <v>0</v>
      </c>
      <c r="AW88" s="167">
        <f t="shared" si="364"/>
        <v>0</v>
      </c>
      <c r="AX88" s="167">
        <f t="shared" si="290"/>
        <v>0</v>
      </c>
      <c r="AY88" s="167">
        <f t="shared" si="365"/>
        <v>0</v>
      </c>
      <c r="AZ88" s="167">
        <f t="shared" si="291"/>
        <v>0</v>
      </c>
      <c r="BA88" s="167">
        <f t="shared" si="366"/>
        <v>0</v>
      </c>
      <c r="BB88" s="170">
        <f t="shared" si="292"/>
        <v>0</v>
      </c>
      <c r="BC88" s="167">
        <f t="shared" si="293"/>
        <v>0</v>
      </c>
      <c r="BD88" s="171">
        <f t="shared" si="294"/>
        <v>0</v>
      </c>
      <c r="BE88" s="169">
        <f t="shared" si="356"/>
        <v>0</v>
      </c>
      <c r="BF88" s="167">
        <f t="shared" si="367"/>
        <v>0</v>
      </c>
      <c r="BG88" s="167">
        <f t="shared" si="295"/>
        <v>0</v>
      </c>
      <c r="BH88" s="167">
        <f t="shared" si="368"/>
        <v>0</v>
      </c>
      <c r="BI88" s="167">
        <f t="shared" si="296"/>
        <v>0</v>
      </c>
      <c r="BJ88" s="167">
        <f t="shared" si="369"/>
        <v>0</v>
      </c>
      <c r="BK88" s="167">
        <f t="shared" si="297"/>
        <v>0</v>
      </c>
      <c r="BL88" s="167">
        <f t="shared" si="370"/>
        <v>0</v>
      </c>
      <c r="BM88" s="167">
        <f t="shared" si="298"/>
        <v>0</v>
      </c>
      <c r="BN88" s="167">
        <f t="shared" si="371"/>
        <v>0</v>
      </c>
      <c r="BO88" s="170">
        <f t="shared" si="299"/>
        <v>0</v>
      </c>
      <c r="BP88" s="167">
        <f t="shared" si="300"/>
        <v>0</v>
      </c>
      <c r="BQ88" s="171">
        <f t="shared" si="301"/>
        <v>0</v>
      </c>
      <c r="BR88" s="169">
        <f t="shared" si="356"/>
        <v>0</v>
      </c>
      <c r="BS88" s="167">
        <f t="shared" si="372"/>
        <v>0</v>
      </c>
      <c r="BT88" s="167">
        <f t="shared" si="302"/>
        <v>0</v>
      </c>
      <c r="BU88" s="167">
        <f t="shared" si="373"/>
        <v>0</v>
      </c>
      <c r="BV88" s="167">
        <f t="shared" si="303"/>
        <v>0</v>
      </c>
      <c r="BW88" s="167">
        <f t="shared" si="374"/>
        <v>0</v>
      </c>
      <c r="BX88" s="167">
        <f t="shared" si="304"/>
        <v>0</v>
      </c>
      <c r="BY88" s="167">
        <f t="shared" si="375"/>
        <v>0</v>
      </c>
      <c r="BZ88" s="167">
        <f t="shared" si="305"/>
        <v>0</v>
      </c>
      <c r="CA88" s="167">
        <f t="shared" si="376"/>
        <v>0</v>
      </c>
      <c r="CB88" s="170">
        <f t="shared" si="306"/>
        <v>0</v>
      </c>
      <c r="CC88" s="167">
        <f t="shared" si="307"/>
        <v>0</v>
      </c>
      <c r="CD88" s="171">
        <f t="shared" si="308"/>
        <v>0</v>
      </c>
      <c r="CE88" s="169">
        <f t="shared" si="356"/>
        <v>0</v>
      </c>
      <c r="CF88" s="167">
        <f t="shared" si="377"/>
        <v>0</v>
      </c>
      <c r="CG88" s="167">
        <f t="shared" si="309"/>
        <v>0</v>
      </c>
      <c r="CH88" s="167">
        <f t="shared" si="378"/>
        <v>0</v>
      </c>
      <c r="CI88" s="167">
        <f t="shared" si="310"/>
        <v>0</v>
      </c>
      <c r="CJ88" s="167">
        <f t="shared" si="379"/>
        <v>0</v>
      </c>
      <c r="CK88" s="167">
        <f t="shared" si="311"/>
        <v>0</v>
      </c>
      <c r="CL88" s="167">
        <f t="shared" si="380"/>
        <v>0</v>
      </c>
      <c r="CM88" s="167">
        <f t="shared" si="312"/>
        <v>0</v>
      </c>
      <c r="CN88" s="167">
        <f t="shared" si="381"/>
        <v>0</v>
      </c>
      <c r="CO88" s="170">
        <f t="shared" si="313"/>
        <v>0</v>
      </c>
      <c r="CP88" s="167">
        <f t="shared" si="314"/>
        <v>0</v>
      </c>
      <c r="CQ88" s="171">
        <f t="shared" si="315"/>
        <v>0</v>
      </c>
      <c r="CR88" s="169">
        <f t="shared" si="382"/>
        <v>0</v>
      </c>
      <c r="CS88" s="167">
        <f t="shared" si="383"/>
        <v>0</v>
      </c>
      <c r="CT88" s="167">
        <f t="shared" si="317"/>
        <v>0</v>
      </c>
      <c r="CU88" s="167">
        <f t="shared" si="384"/>
        <v>0</v>
      </c>
      <c r="CV88" s="167">
        <f t="shared" si="318"/>
        <v>0</v>
      </c>
      <c r="CW88" s="167">
        <f t="shared" si="385"/>
        <v>0</v>
      </c>
      <c r="CX88" s="167">
        <f t="shared" si="319"/>
        <v>0</v>
      </c>
      <c r="CY88" s="167">
        <f t="shared" si="386"/>
        <v>0</v>
      </c>
      <c r="CZ88" s="167">
        <f t="shared" si="320"/>
        <v>0</v>
      </c>
      <c r="DA88" s="167">
        <f t="shared" si="387"/>
        <v>0</v>
      </c>
      <c r="DB88" s="170">
        <f t="shared" si="321"/>
        <v>0</v>
      </c>
      <c r="DC88" s="167">
        <f t="shared" si="322"/>
        <v>0</v>
      </c>
      <c r="DD88" s="171">
        <f t="shared" si="323"/>
        <v>0</v>
      </c>
      <c r="DE88" s="169">
        <f t="shared" si="382"/>
        <v>0</v>
      </c>
      <c r="DF88" s="167">
        <f t="shared" si="388"/>
        <v>0</v>
      </c>
      <c r="DG88" s="167">
        <f t="shared" si="324"/>
        <v>0</v>
      </c>
      <c r="DH88" s="167">
        <f t="shared" si="389"/>
        <v>0</v>
      </c>
      <c r="DI88" s="167">
        <f t="shared" si="325"/>
        <v>0</v>
      </c>
      <c r="DJ88" s="167">
        <f t="shared" si="390"/>
        <v>0</v>
      </c>
      <c r="DK88" s="167">
        <f t="shared" si="326"/>
        <v>0</v>
      </c>
      <c r="DL88" s="167">
        <f t="shared" si="391"/>
        <v>0</v>
      </c>
      <c r="DM88" s="167">
        <f t="shared" si="327"/>
        <v>0</v>
      </c>
      <c r="DN88" s="167">
        <f t="shared" si="392"/>
        <v>0</v>
      </c>
      <c r="DO88" s="170">
        <f t="shared" si="328"/>
        <v>0</v>
      </c>
      <c r="DP88" s="167">
        <f t="shared" si="329"/>
        <v>0</v>
      </c>
      <c r="DQ88" s="171">
        <f t="shared" si="330"/>
        <v>0</v>
      </c>
      <c r="DR88" s="169">
        <f t="shared" si="382"/>
        <v>0</v>
      </c>
      <c r="DS88" s="167">
        <f t="shared" si="393"/>
        <v>0</v>
      </c>
      <c r="DT88" s="167">
        <f t="shared" si="331"/>
        <v>0</v>
      </c>
      <c r="DU88" s="167">
        <f t="shared" si="394"/>
        <v>0</v>
      </c>
      <c r="DV88" s="167">
        <f t="shared" si="332"/>
        <v>0</v>
      </c>
      <c r="DW88" s="167">
        <f t="shared" si="395"/>
        <v>0</v>
      </c>
      <c r="DX88" s="167">
        <f t="shared" si="333"/>
        <v>0</v>
      </c>
      <c r="DY88" s="167">
        <f t="shared" si="396"/>
        <v>0</v>
      </c>
      <c r="DZ88" s="167">
        <f t="shared" si="334"/>
        <v>0</v>
      </c>
      <c r="EA88" s="167">
        <f t="shared" si="397"/>
        <v>0</v>
      </c>
      <c r="EB88" s="170">
        <f t="shared" si="335"/>
        <v>0</v>
      </c>
      <c r="EC88" s="167">
        <f t="shared" si="336"/>
        <v>0</v>
      </c>
      <c r="ED88" s="171">
        <f t="shared" si="337"/>
        <v>0</v>
      </c>
    </row>
    <row r="89" spans="1:134" x14ac:dyDescent="0.3">
      <c r="A89" s="185"/>
      <c r="B89" s="186"/>
      <c r="C89" s="187"/>
      <c r="D89" s="188"/>
      <c r="E89" s="189"/>
      <c r="F89" s="190"/>
      <c r="G89" s="191"/>
      <c r="H89" s="192"/>
      <c r="I89" s="193"/>
      <c r="J89" s="194"/>
      <c r="K89" s="165">
        <f t="shared" si="338"/>
        <v>0</v>
      </c>
      <c r="L89" s="166">
        <f t="shared" si="339"/>
        <v>0</v>
      </c>
      <c r="M89" s="167">
        <f t="shared" si="340"/>
        <v>0</v>
      </c>
      <c r="N89" s="167"/>
      <c r="O89" s="167">
        <f t="shared" si="341"/>
        <v>0</v>
      </c>
      <c r="P89" s="168"/>
      <c r="Q89" s="167">
        <f t="shared" si="342"/>
        <v>0</v>
      </c>
      <c r="R89" s="169">
        <f t="shared" si="343"/>
        <v>0</v>
      </c>
      <c r="S89" s="167">
        <f t="shared" si="344"/>
        <v>0</v>
      </c>
      <c r="T89" s="167">
        <f t="shared" si="345"/>
        <v>0</v>
      </c>
      <c r="U89" s="167">
        <f t="shared" si="346"/>
        <v>0</v>
      </c>
      <c r="V89" s="167">
        <f t="shared" si="347"/>
        <v>0</v>
      </c>
      <c r="W89" s="167">
        <f t="shared" si="348"/>
        <v>0</v>
      </c>
      <c r="X89" s="167">
        <f t="shared" si="349"/>
        <v>0</v>
      </c>
      <c r="Y89" s="167">
        <f t="shared" si="350"/>
        <v>0</v>
      </c>
      <c r="Z89" s="167">
        <f t="shared" si="351"/>
        <v>0</v>
      </c>
      <c r="AA89" s="167">
        <f t="shared" si="352"/>
        <v>0</v>
      </c>
      <c r="AB89" s="170">
        <f t="shared" si="353"/>
        <v>0</v>
      </c>
      <c r="AC89" s="167">
        <f t="shared" si="354"/>
        <v>0</v>
      </c>
      <c r="AD89" s="171">
        <f t="shared" si="355"/>
        <v>0</v>
      </c>
      <c r="AE89" s="169">
        <f t="shared" si="356"/>
        <v>0</v>
      </c>
      <c r="AF89" s="167">
        <f t="shared" si="357"/>
        <v>0</v>
      </c>
      <c r="AG89" s="167">
        <f t="shared" si="281"/>
        <v>0</v>
      </c>
      <c r="AH89" s="167">
        <f t="shared" si="358"/>
        <v>0</v>
      </c>
      <c r="AI89" s="167">
        <f t="shared" si="282"/>
        <v>0</v>
      </c>
      <c r="AJ89" s="167">
        <f t="shared" si="359"/>
        <v>0</v>
      </c>
      <c r="AK89" s="167">
        <f t="shared" si="283"/>
        <v>0</v>
      </c>
      <c r="AL89" s="167">
        <f t="shared" si="360"/>
        <v>0</v>
      </c>
      <c r="AM89" s="167">
        <f t="shared" si="284"/>
        <v>0</v>
      </c>
      <c r="AN89" s="167">
        <f t="shared" si="361"/>
        <v>0</v>
      </c>
      <c r="AO89" s="170">
        <f t="shared" si="285"/>
        <v>0</v>
      </c>
      <c r="AP89" s="167">
        <f t="shared" si="286"/>
        <v>0</v>
      </c>
      <c r="AQ89" s="171">
        <f t="shared" si="287"/>
        <v>0</v>
      </c>
      <c r="AR89" s="169">
        <f t="shared" si="356"/>
        <v>0</v>
      </c>
      <c r="AS89" s="167">
        <f t="shared" si="362"/>
        <v>0</v>
      </c>
      <c r="AT89" s="167">
        <f t="shared" si="288"/>
        <v>0</v>
      </c>
      <c r="AU89" s="167">
        <f t="shared" si="363"/>
        <v>0</v>
      </c>
      <c r="AV89" s="167">
        <f t="shared" si="289"/>
        <v>0</v>
      </c>
      <c r="AW89" s="167">
        <f t="shared" si="364"/>
        <v>0</v>
      </c>
      <c r="AX89" s="167">
        <f t="shared" si="290"/>
        <v>0</v>
      </c>
      <c r="AY89" s="167">
        <f t="shared" si="365"/>
        <v>0</v>
      </c>
      <c r="AZ89" s="167">
        <f t="shared" si="291"/>
        <v>0</v>
      </c>
      <c r="BA89" s="167">
        <f t="shared" si="366"/>
        <v>0</v>
      </c>
      <c r="BB89" s="170">
        <f t="shared" si="292"/>
        <v>0</v>
      </c>
      <c r="BC89" s="167">
        <f t="shared" si="293"/>
        <v>0</v>
      </c>
      <c r="BD89" s="171">
        <f t="shared" si="294"/>
        <v>0</v>
      </c>
      <c r="BE89" s="169">
        <f t="shared" si="356"/>
        <v>0</v>
      </c>
      <c r="BF89" s="167">
        <f t="shared" si="367"/>
        <v>0</v>
      </c>
      <c r="BG89" s="167">
        <f t="shared" si="295"/>
        <v>0</v>
      </c>
      <c r="BH89" s="167">
        <f t="shared" si="368"/>
        <v>0</v>
      </c>
      <c r="BI89" s="167">
        <f t="shared" si="296"/>
        <v>0</v>
      </c>
      <c r="BJ89" s="167">
        <f t="shared" si="369"/>
        <v>0</v>
      </c>
      <c r="BK89" s="167">
        <f t="shared" si="297"/>
        <v>0</v>
      </c>
      <c r="BL89" s="167">
        <f t="shared" si="370"/>
        <v>0</v>
      </c>
      <c r="BM89" s="167">
        <f t="shared" si="298"/>
        <v>0</v>
      </c>
      <c r="BN89" s="167">
        <f t="shared" si="371"/>
        <v>0</v>
      </c>
      <c r="BO89" s="170">
        <f t="shared" si="299"/>
        <v>0</v>
      </c>
      <c r="BP89" s="167">
        <f t="shared" si="300"/>
        <v>0</v>
      </c>
      <c r="BQ89" s="171">
        <f t="shared" si="301"/>
        <v>0</v>
      </c>
      <c r="BR89" s="169">
        <f t="shared" si="356"/>
        <v>0</v>
      </c>
      <c r="BS89" s="167">
        <f t="shared" si="372"/>
        <v>0</v>
      </c>
      <c r="BT89" s="167">
        <f t="shared" si="302"/>
        <v>0</v>
      </c>
      <c r="BU89" s="167">
        <f t="shared" si="373"/>
        <v>0</v>
      </c>
      <c r="BV89" s="167">
        <f t="shared" si="303"/>
        <v>0</v>
      </c>
      <c r="BW89" s="167">
        <f t="shared" si="374"/>
        <v>0</v>
      </c>
      <c r="BX89" s="167">
        <f t="shared" si="304"/>
        <v>0</v>
      </c>
      <c r="BY89" s="167">
        <f t="shared" si="375"/>
        <v>0</v>
      </c>
      <c r="BZ89" s="167">
        <f t="shared" si="305"/>
        <v>0</v>
      </c>
      <c r="CA89" s="167">
        <f t="shared" si="376"/>
        <v>0</v>
      </c>
      <c r="CB89" s="170">
        <f t="shared" si="306"/>
        <v>0</v>
      </c>
      <c r="CC89" s="167">
        <f t="shared" si="307"/>
        <v>0</v>
      </c>
      <c r="CD89" s="171">
        <f t="shared" si="308"/>
        <v>0</v>
      </c>
      <c r="CE89" s="169">
        <f t="shared" si="356"/>
        <v>0</v>
      </c>
      <c r="CF89" s="167">
        <f t="shared" si="377"/>
        <v>0</v>
      </c>
      <c r="CG89" s="167">
        <f t="shared" si="309"/>
        <v>0</v>
      </c>
      <c r="CH89" s="167">
        <f t="shared" si="378"/>
        <v>0</v>
      </c>
      <c r="CI89" s="167">
        <f t="shared" si="310"/>
        <v>0</v>
      </c>
      <c r="CJ89" s="167">
        <f t="shared" si="379"/>
        <v>0</v>
      </c>
      <c r="CK89" s="167">
        <f t="shared" si="311"/>
        <v>0</v>
      </c>
      <c r="CL89" s="167">
        <f t="shared" si="380"/>
        <v>0</v>
      </c>
      <c r="CM89" s="167">
        <f t="shared" si="312"/>
        <v>0</v>
      </c>
      <c r="CN89" s="167">
        <f t="shared" si="381"/>
        <v>0</v>
      </c>
      <c r="CO89" s="170">
        <f t="shared" si="313"/>
        <v>0</v>
      </c>
      <c r="CP89" s="167">
        <f t="shared" si="314"/>
        <v>0</v>
      </c>
      <c r="CQ89" s="171">
        <f t="shared" si="315"/>
        <v>0</v>
      </c>
      <c r="CR89" s="169">
        <f t="shared" si="382"/>
        <v>0</v>
      </c>
      <c r="CS89" s="167">
        <f t="shared" si="383"/>
        <v>0</v>
      </c>
      <c r="CT89" s="167">
        <f t="shared" si="317"/>
        <v>0</v>
      </c>
      <c r="CU89" s="167">
        <f t="shared" si="384"/>
        <v>0</v>
      </c>
      <c r="CV89" s="167">
        <f t="shared" si="318"/>
        <v>0</v>
      </c>
      <c r="CW89" s="167">
        <f t="shared" si="385"/>
        <v>0</v>
      </c>
      <c r="CX89" s="167">
        <f t="shared" si="319"/>
        <v>0</v>
      </c>
      <c r="CY89" s="167">
        <f t="shared" si="386"/>
        <v>0</v>
      </c>
      <c r="CZ89" s="167">
        <f t="shared" si="320"/>
        <v>0</v>
      </c>
      <c r="DA89" s="167">
        <f t="shared" si="387"/>
        <v>0</v>
      </c>
      <c r="DB89" s="170">
        <f t="shared" si="321"/>
        <v>0</v>
      </c>
      <c r="DC89" s="167">
        <f t="shared" si="322"/>
        <v>0</v>
      </c>
      <c r="DD89" s="171">
        <f t="shared" si="323"/>
        <v>0</v>
      </c>
      <c r="DE89" s="169">
        <f t="shared" si="382"/>
        <v>0</v>
      </c>
      <c r="DF89" s="167">
        <f t="shared" si="388"/>
        <v>0</v>
      </c>
      <c r="DG89" s="167">
        <f t="shared" si="324"/>
        <v>0</v>
      </c>
      <c r="DH89" s="167">
        <f t="shared" si="389"/>
        <v>0</v>
      </c>
      <c r="DI89" s="167">
        <f t="shared" si="325"/>
        <v>0</v>
      </c>
      <c r="DJ89" s="167">
        <f t="shared" si="390"/>
        <v>0</v>
      </c>
      <c r="DK89" s="167">
        <f t="shared" si="326"/>
        <v>0</v>
      </c>
      <c r="DL89" s="167">
        <f t="shared" si="391"/>
        <v>0</v>
      </c>
      <c r="DM89" s="167">
        <f t="shared" si="327"/>
        <v>0</v>
      </c>
      <c r="DN89" s="167">
        <f t="shared" si="392"/>
        <v>0</v>
      </c>
      <c r="DO89" s="170">
        <f t="shared" si="328"/>
        <v>0</v>
      </c>
      <c r="DP89" s="167">
        <f t="shared" si="329"/>
        <v>0</v>
      </c>
      <c r="DQ89" s="171">
        <f t="shared" si="330"/>
        <v>0</v>
      </c>
      <c r="DR89" s="169">
        <f t="shared" si="382"/>
        <v>0</v>
      </c>
      <c r="DS89" s="167">
        <f t="shared" si="393"/>
        <v>0</v>
      </c>
      <c r="DT89" s="167">
        <f t="shared" si="331"/>
        <v>0</v>
      </c>
      <c r="DU89" s="167">
        <f t="shared" si="394"/>
        <v>0</v>
      </c>
      <c r="DV89" s="167">
        <f t="shared" si="332"/>
        <v>0</v>
      </c>
      <c r="DW89" s="167">
        <f t="shared" si="395"/>
        <v>0</v>
      </c>
      <c r="DX89" s="167">
        <f t="shared" si="333"/>
        <v>0</v>
      </c>
      <c r="DY89" s="167">
        <f t="shared" si="396"/>
        <v>0</v>
      </c>
      <c r="DZ89" s="167">
        <f t="shared" si="334"/>
        <v>0</v>
      </c>
      <c r="EA89" s="167">
        <f t="shared" si="397"/>
        <v>0</v>
      </c>
      <c r="EB89" s="170">
        <f t="shared" si="335"/>
        <v>0</v>
      </c>
      <c r="EC89" s="167">
        <f t="shared" si="336"/>
        <v>0</v>
      </c>
      <c r="ED89" s="171">
        <f t="shared" si="337"/>
        <v>0</v>
      </c>
    </row>
    <row r="90" spans="1:134" x14ac:dyDescent="0.3">
      <c r="A90" s="185"/>
      <c r="B90" s="186"/>
      <c r="C90" s="187"/>
      <c r="D90" s="188"/>
      <c r="E90" s="189"/>
      <c r="F90" s="190"/>
      <c r="G90" s="191"/>
      <c r="H90" s="192"/>
      <c r="I90" s="193"/>
      <c r="J90" s="194"/>
      <c r="K90" s="165">
        <f t="shared" si="338"/>
        <v>0</v>
      </c>
      <c r="L90" s="166">
        <f t="shared" si="339"/>
        <v>0</v>
      </c>
      <c r="M90" s="167">
        <f t="shared" si="340"/>
        <v>0</v>
      </c>
      <c r="N90" s="167"/>
      <c r="O90" s="167">
        <f t="shared" si="341"/>
        <v>0</v>
      </c>
      <c r="P90" s="168"/>
      <c r="Q90" s="167">
        <f t="shared" si="342"/>
        <v>0</v>
      </c>
      <c r="R90" s="169">
        <f t="shared" si="343"/>
        <v>0</v>
      </c>
      <c r="S90" s="167">
        <f t="shared" si="344"/>
        <v>0</v>
      </c>
      <c r="T90" s="167">
        <f t="shared" si="345"/>
        <v>0</v>
      </c>
      <c r="U90" s="167">
        <f t="shared" si="346"/>
        <v>0</v>
      </c>
      <c r="V90" s="167">
        <f t="shared" si="347"/>
        <v>0</v>
      </c>
      <c r="W90" s="167">
        <f t="shared" si="348"/>
        <v>0</v>
      </c>
      <c r="X90" s="167">
        <f t="shared" si="349"/>
        <v>0</v>
      </c>
      <c r="Y90" s="167">
        <f t="shared" si="350"/>
        <v>0</v>
      </c>
      <c r="Z90" s="167">
        <f t="shared" si="351"/>
        <v>0</v>
      </c>
      <c r="AA90" s="167">
        <f t="shared" si="352"/>
        <v>0</v>
      </c>
      <c r="AB90" s="170">
        <f t="shared" si="353"/>
        <v>0</v>
      </c>
      <c r="AC90" s="167">
        <f t="shared" si="354"/>
        <v>0</v>
      </c>
      <c r="AD90" s="171">
        <f t="shared" si="355"/>
        <v>0</v>
      </c>
      <c r="AE90" s="169">
        <f t="shared" si="356"/>
        <v>0</v>
      </c>
      <c r="AF90" s="167">
        <f t="shared" si="357"/>
        <v>0</v>
      </c>
      <c r="AG90" s="167">
        <f t="shared" si="281"/>
        <v>0</v>
      </c>
      <c r="AH90" s="167">
        <f t="shared" si="358"/>
        <v>0</v>
      </c>
      <c r="AI90" s="167">
        <f t="shared" si="282"/>
        <v>0</v>
      </c>
      <c r="AJ90" s="167">
        <f t="shared" si="359"/>
        <v>0</v>
      </c>
      <c r="AK90" s="167">
        <f t="shared" si="283"/>
        <v>0</v>
      </c>
      <c r="AL90" s="167">
        <f t="shared" si="360"/>
        <v>0</v>
      </c>
      <c r="AM90" s="167">
        <f t="shared" si="284"/>
        <v>0</v>
      </c>
      <c r="AN90" s="167">
        <f t="shared" si="361"/>
        <v>0</v>
      </c>
      <c r="AO90" s="170">
        <f t="shared" si="285"/>
        <v>0</v>
      </c>
      <c r="AP90" s="167">
        <f t="shared" si="286"/>
        <v>0</v>
      </c>
      <c r="AQ90" s="171">
        <f t="shared" si="287"/>
        <v>0</v>
      </c>
      <c r="AR90" s="169">
        <f t="shared" si="356"/>
        <v>0</v>
      </c>
      <c r="AS90" s="167">
        <f t="shared" si="362"/>
        <v>0</v>
      </c>
      <c r="AT90" s="167">
        <f t="shared" si="288"/>
        <v>0</v>
      </c>
      <c r="AU90" s="167">
        <f t="shared" si="363"/>
        <v>0</v>
      </c>
      <c r="AV90" s="167">
        <f t="shared" si="289"/>
        <v>0</v>
      </c>
      <c r="AW90" s="167">
        <f t="shared" si="364"/>
        <v>0</v>
      </c>
      <c r="AX90" s="167">
        <f t="shared" si="290"/>
        <v>0</v>
      </c>
      <c r="AY90" s="167">
        <f t="shared" si="365"/>
        <v>0</v>
      </c>
      <c r="AZ90" s="167">
        <f t="shared" si="291"/>
        <v>0</v>
      </c>
      <c r="BA90" s="167">
        <f t="shared" si="366"/>
        <v>0</v>
      </c>
      <c r="BB90" s="170">
        <f t="shared" si="292"/>
        <v>0</v>
      </c>
      <c r="BC90" s="167">
        <f t="shared" si="293"/>
        <v>0</v>
      </c>
      <c r="BD90" s="171">
        <f t="shared" si="294"/>
        <v>0</v>
      </c>
      <c r="BE90" s="169">
        <f t="shared" si="356"/>
        <v>0</v>
      </c>
      <c r="BF90" s="167">
        <f t="shared" si="367"/>
        <v>0</v>
      </c>
      <c r="BG90" s="167">
        <f t="shared" si="295"/>
        <v>0</v>
      </c>
      <c r="BH90" s="167">
        <f t="shared" si="368"/>
        <v>0</v>
      </c>
      <c r="BI90" s="167">
        <f t="shared" si="296"/>
        <v>0</v>
      </c>
      <c r="BJ90" s="167">
        <f t="shared" si="369"/>
        <v>0</v>
      </c>
      <c r="BK90" s="167">
        <f t="shared" si="297"/>
        <v>0</v>
      </c>
      <c r="BL90" s="167">
        <f t="shared" si="370"/>
        <v>0</v>
      </c>
      <c r="BM90" s="167">
        <f t="shared" si="298"/>
        <v>0</v>
      </c>
      <c r="BN90" s="167">
        <f t="shared" si="371"/>
        <v>0</v>
      </c>
      <c r="BO90" s="170">
        <f t="shared" si="299"/>
        <v>0</v>
      </c>
      <c r="BP90" s="167">
        <f t="shared" si="300"/>
        <v>0</v>
      </c>
      <c r="BQ90" s="171">
        <f t="shared" si="301"/>
        <v>0</v>
      </c>
      <c r="BR90" s="169">
        <f t="shared" si="356"/>
        <v>0</v>
      </c>
      <c r="BS90" s="167">
        <f t="shared" si="372"/>
        <v>0</v>
      </c>
      <c r="BT90" s="167">
        <f t="shared" si="302"/>
        <v>0</v>
      </c>
      <c r="BU90" s="167">
        <f t="shared" si="373"/>
        <v>0</v>
      </c>
      <c r="BV90" s="167">
        <f t="shared" si="303"/>
        <v>0</v>
      </c>
      <c r="BW90" s="167">
        <f t="shared" si="374"/>
        <v>0</v>
      </c>
      <c r="BX90" s="167">
        <f t="shared" si="304"/>
        <v>0</v>
      </c>
      <c r="BY90" s="167">
        <f t="shared" si="375"/>
        <v>0</v>
      </c>
      <c r="BZ90" s="167">
        <f t="shared" si="305"/>
        <v>0</v>
      </c>
      <c r="CA90" s="167">
        <f t="shared" si="376"/>
        <v>0</v>
      </c>
      <c r="CB90" s="170">
        <f t="shared" si="306"/>
        <v>0</v>
      </c>
      <c r="CC90" s="167">
        <f t="shared" si="307"/>
        <v>0</v>
      </c>
      <c r="CD90" s="171">
        <f t="shared" si="308"/>
        <v>0</v>
      </c>
      <c r="CE90" s="169">
        <f t="shared" si="356"/>
        <v>0</v>
      </c>
      <c r="CF90" s="167">
        <f t="shared" si="377"/>
        <v>0</v>
      </c>
      <c r="CG90" s="167">
        <f t="shared" si="309"/>
        <v>0</v>
      </c>
      <c r="CH90" s="167">
        <f t="shared" si="378"/>
        <v>0</v>
      </c>
      <c r="CI90" s="167">
        <f t="shared" si="310"/>
        <v>0</v>
      </c>
      <c r="CJ90" s="167">
        <f t="shared" si="379"/>
        <v>0</v>
      </c>
      <c r="CK90" s="167">
        <f t="shared" si="311"/>
        <v>0</v>
      </c>
      <c r="CL90" s="167">
        <f t="shared" si="380"/>
        <v>0</v>
      </c>
      <c r="CM90" s="167">
        <f t="shared" si="312"/>
        <v>0</v>
      </c>
      <c r="CN90" s="167">
        <f t="shared" si="381"/>
        <v>0</v>
      </c>
      <c r="CO90" s="170">
        <f t="shared" si="313"/>
        <v>0</v>
      </c>
      <c r="CP90" s="167">
        <f t="shared" si="314"/>
        <v>0</v>
      </c>
      <c r="CQ90" s="171">
        <f t="shared" si="315"/>
        <v>0</v>
      </c>
      <c r="CR90" s="169">
        <f t="shared" si="382"/>
        <v>0</v>
      </c>
      <c r="CS90" s="167">
        <f t="shared" si="383"/>
        <v>0</v>
      </c>
      <c r="CT90" s="167">
        <f t="shared" si="317"/>
        <v>0</v>
      </c>
      <c r="CU90" s="167">
        <f t="shared" si="384"/>
        <v>0</v>
      </c>
      <c r="CV90" s="167">
        <f t="shared" si="318"/>
        <v>0</v>
      </c>
      <c r="CW90" s="167">
        <f t="shared" si="385"/>
        <v>0</v>
      </c>
      <c r="CX90" s="167">
        <f t="shared" si="319"/>
        <v>0</v>
      </c>
      <c r="CY90" s="167">
        <f t="shared" si="386"/>
        <v>0</v>
      </c>
      <c r="CZ90" s="167">
        <f t="shared" si="320"/>
        <v>0</v>
      </c>
      <c r="DA90" s="167">
        <f t="shared" si="387"/>
        <v>0</v>
      </c>
      <c r="DB90" s="170">
        <f t="shared" si="321"/>
        <v>0</v>
      </c>
      <c r="DC90" s="167">
        <f t="shared" si="322"/>
        <v>0</v>
      </c>
      <c r="DD90" s="171">
        <f t="shared" si="323"/>
        <v>0</v>
      </c>
      <c r="DE90" s="169">
        <f t="shared" si="382"/>
        <v>0</v>
      </c>
      <c r="DF90" s="167">
        <f t="shared" si="388"/>
        <v>0</v>
      </c>
      <c r="DG90" s="167">
        <f t="shared" si="324"/>
        <v>0</v>
      </c>
      <c r="DH90" s="167">
        <f t="shared" si="389"/>
        <v>0</v>
      </c>
      <c r="DI90" s="167">
        <f t="shared" si="325"/>
        <v>0</v>
      </c>
      <c r="DJ90" s="167">
        <f t="shared" si="390"/>
        <v>0</v>
      </c>
      <c r="DK90" s="167">
        <f t="shared" si="326"/>
        <v>0</v>
      </c>
      <c r="DL90" s="167">
        <f t="shared" si="391"/>
        <v>0</v>
      </c>
      <c r="DM90" s="167">
        <f t="shared" si="327"/>
        <v>0</v>
      </c>
      <c r="DN90" s="167">
        <f t="shared" si="392"/>
        <v>0</v>
      </c>
      <c r="DO90" s="170">
        <f t="shared" si="328"/>
        <v>0</v>
      </c>
      <c r="DP90" s="167">
        <f t="shared" si="329"/>
        <v>0</v>
      </c>
      <c r="DQ90" s="171">
        <f t="shared" si="330"/>
        <v>0</v>
      </c>
      <c r="DR90" s="169">
        <f t="shared" si="382"/>
        <v>0</v>
      </c>
      <c r="DS90" s="167">
        <f t="shared" si="393"/>
        <v>0</v>
      </c>
      <c r="DT90" s="167">
        <f t="shared" si="331"/>
        <v>0</v>
      </c>
      <c r="DU90" s="167">
        <f t="shared" si="394"/>
        <v>0</v>
      </c>
      <c r="DV90" s="167">
        <f t="shared" si="332"/>
        <v>0</v>
      </c>
      <c r="DW90" s="167">
        <f t="shared" si="395"/>
        <v>0</v>
      </c>
      <c r="DX90" s="167">
        <f t="shared" si="333"/>
        <v>0</v>
      </c>
      <c r="DY90" s="167">
        <f t="shared" si="396"/>
        <v>0</v>
      </c>
      <c r="DZ90" s="167">
        <f t="shared" si="334"/>
        <v>0</v>
      </c>
      <c r="EA90" s="167">
        <f t="shared" si="397"/>
        <v>0</v>
      </c>
      <c r="EB90" s="170">
        <f t="shared" si="335"/>
        <v>0</v>
      </c>
      <c r="EC90" s="167">
        <f t="shared" si="336"/>
        <v>0</v>
      </c>
      <c r="ED90" s="171">
        <f t="shared" si="337"/>
        <v>0</v>
      </c>
    </row>
    <row r="91" spans="1:134" x14ac:dyDescent="0.3">
      <c r="A91" s="185"/>
      <c r="B91" s="186"/>
      <c r="C91" s="187"/>
      <c r="D91" s="188"/>
      <c r="E91" s="189"/>
      <c r="F91" s="190"/>
      <c r="G91" s="191"/>
      <c r="H91" s="192"/>
      <c r="I91" s="193"/>
      <c r="J91" s="194"/>
      <c r="K91" s="165">
        <f t="shared" si="338"/>
        <v>0</v>
      </c>
      <c r="L91" s="166">
        <f t="shared" si="339"/>
        <v>0</v>
      </c>
      <c r="M91" s="167">
        <f t="shared" si="340"/>
        <v>0</v>
      </c>
      <c r="N91" s="167"/>
      <c r="O91" s="167">
        <f t="shared" si="341"/>
        <v>0</v>
      </c>
      <c r="P91" s="168"/>
      <c r="Q91" s="167">
        <f t="shared" si="342"/>
        <v>0</v>
      </c>
      <c r="R91" s="169">
        <f t="shared" si="343"/>
        <v>0</v>
      </c>
      <c r="S91" s="167">
        <f t="shared" si="344"/>
        <v>0</v>
      </c>
      <c r="T91" s="167">
        <f t="shared" si="345"/>
        <v>0</v>
      </c>
      <c r="U91" s="167">
        <f t="shared" si="346"/>
        <v>0</v>
      </c>
      <c r="V91" s="167">
        <f t="shared" si="347"/>
        <v>0</v>
      </c>
      <c r="W91" s="167">
        <f t="shared" si="348"/>
        <v>0</v>
      </c>
      <c r="X91" s="167">
        <f t="shared" si="349"/>
        <v>0</v>
      </c>
      <c r="Y91" s="167">
        <f t="shared" si="350"/>
        <v>0</v>
      </c>
      <c r="Z91" s="167">
        <f t="shared" si="351"/>
        <v>0</v>
      </c>
      <c r="AA91" s="167">
        <f t="shared" si="352"/>
        <v>0</v>
      </c>
      <c r="AB91" s="170">
        <f t="shared" si="353"/>
        <v>0</v>
      </c>
      <c r="AC91" s="167">
        <f t="shared" si="354"/>
        <v>0</v>
      </c>
      <c r="AD91" s="171">
        <f t="shared" si="355"/>
        <v>0</v>
      </c>
      <c r="AE91" s="169">
        <f t="shared" si="356"/>
        <v>0</v>
      </c>
      <c r="AF91" s="167">
        <f t="shared" si="357"/>
        <v>0</v>
      </c>
      <c r="AG91" s="167">
        <f t="shared" si="281"/>
        <v>0</v>
      </c>
      <c r="AH91" s="167">
        <f t="shared" si="358"/>
        <v>0</v>
      </c>
      <c r="AI91" s="167">
        <f t="shared" si="282"/>
        <v>0</v>
      </c>
      <c r="AJ91" s="167">
        <f t="shared" si="359"/>
        <v>0</v>
      </c>
      <c r="AK91" s="167">
        <f t="shared" si="283"/>
        <v>0</v>
      </c>
      <c r="AL91" s="167">
        <f t="shared" si="360"/>
        <v>0</v>
      </c>
      <c r="AM91" s="167">
        <f t="shared" si="284"/>
        <v>0</v>
      </c>
      <c r="AN91" s="167">
        <f t="shared" si="361"/>
        <v>0</v>
      </c>
      <c r="AO91" s="170">
        <f t="shared" si="285"/>
        <v>0</v>
      </c>
      <c r="AP91" s="167">
        <f t="shared" si="286"/>
        <v>0</v>
      </c>
      <c r="AQ91" s="171">
        <f t="shared" si="287"/>
        <v>0</v>
      </c>
      <c r="AR91" s="169">
        <f t="shared" si="356"/>
        <v>0</v>
      </c>
      <c r="AS91" s="167">
        <f t="shared" si="362"/>
        <v>0</v>
      </c>
      <c r="AT91" s="167">
        <f t="shared" si="288"/>
        <v>0</v>
      </c>
      <c r="AU91" s="167">
        <f t="shared" si="363"/>
        <v>0</v>
      </c>
      <c r="AV91" s="167">
        <f t="shared" si="289"/>
        <v>0</v>
      </c>
      <c r="AW91" s="167">
        <f t="shared" si="364"/>
        <v>0</v>
      </c>
      <c r="AX91" s="167">
        <f t="shared" si="290"/>
        <v>0</v>
      </c>
      <c r="AY91" s="167">
        <f t="shared" si="365"/>
        <v>0</v>
      </c>
      <c r="AZ91" s="167">
        <f t="shared" si="291"/>
        <v>0</v>
      </c>
      <c r="BA91" s="167">
        <f t="shared" si="366"/>
        <v>0</v>
      </c>
      <c r="BB91" s="170">
        <f t="shared" si="292"/>
        <v>0</v>
      </c>
      <c r="BC91" s="167">
        <f t="shared" si="293"/>
        <v>0</v>
      </c>
      <c r="BD91" s="171">
        <f t="shared" si="294"/>
        <v>0</v>
      </c>
      <c r="BE91" s="169">
        <f t="shared" si="356"/>
        <v>0</v>
      </c>
      <c r="BF91" s="167">
        <f t="shared" si="367"/>
        <v>0</v>
      </c>
      <c r="BG91" s="167">
        <f t="shared" si="295"/>
        <v>0</v>
      </c>
      <c r="BH91" s="167">
        <f t="shared" si="368"/>
        <v>0</v>
      </c>
      <c r="BI91" s="167">
        <f t="shared" si="296"/>
        <v>0</v>
      </c>
      <c r="BJ91" s="167">
        <f t="shared" si="369"/>
        <v>0</v>
      </c>
      <c r="BK91" s="167">
        <f t="shared" si="297"/>
        <v>0</v>
      </c>
      <c r="BL91" s="167">
        <f t="shared" si="370"/>
        <v>0</v>
      </c>
      <c r="BM91" s="167">
        <f t="shared" si="298"/>
        <v>0</v>
      </c>
      <c r="BN91" s="167">
        <f t="shared" si="371"/>
        <v>0</v>
      </c>
      <c r="BO91" s="170">
        <f t="shared" si="299"/>
        <v>0</v>
      </c>
      <c r="BP91" s="167">
        <f t="shared" si="300"/>
        <v>0</v>
      </c>
      <c r="BQ91" s="171">
        <f t="shared" si="301"/>
        <v>0</v>
      </c>
      <c r="BR91" s="169">
        <f t="shared" si="356"/>
        <v>0</v>
      </c>
      <c r="BS91" s="167">
        <f t="shared" si="372"/>
        <v>0</v>
      </c>
      <c r="BT91" s="167">
        <f t="shared" si="302"/>
        <v>0</v>
      </c>
      <c r="BU91" s="167">
        <f t="shared" si="373"/>
        <v>0</v>
      </c>
      <c r="BV91" s="167">
        <f t="shared" si="303"/>
        <v>0</v>
      </c>
      <c r="BW91" s="167">
        <f t="shared" si="374"/>
        <v>0</v>
      </c>
      <c r="BX91" s="167">
        <f t="shared" si="304"/>
        <v>0</v>
      </c>
      <c r="BY91" s="167">
        <f t="shared" si="375"/>
        <v>0</v>
      </c>
      <c r="BZ91" s="167">
        <f t="shared" si="305"/>
        <v>0</v>
      </c>
      <c r="CA91" s="167">
        <f t="shared" si="376"/>
        <v>0</v>
      </c>
      <c r="CB91" s="170">
        <f t="shared" si="306"/>
        <v>0</v>
      </c>
      <c r="CC91" s="167">
        <f t="shared" si="307"/>
        <v>0</v>
      </c>
      <c r="CD91" s="171">
        <f t="shared" si="308"/>
        <v>0</v>
      </c>
      <c r="CE91" s="169">
        <f t="shared" si="356"/>
        <v>0</v>
      </c>
      <c r="CF91" s="167">
        <f t="shared" si="377"/>
        <v>0</v>
      </c>
      <c r="CG91" s="167">
        <f t="shared" si="309"/>
        <v>0</v>
      </c>
      <c r="CH91" s="167">
        <f t="shared" si="378"/>
        <v>0</v>
      </c>
      <c r="CI91" s="167">
        <f t="shared" si="310"/>
        <v>0</v>
      </c>
      <c r="CJ91" s="167">
        <f t="shared" si="379"/>
        <v>0</v>
      </c>
      <c r="CK91" s="167">
        <f t="shared" si="311"/>
        <v>0</v>
      </c>
      <c r="CL91" s="167">
        <f t="shared" si="380"/>
        <v>0</v>
      </c>
      <c r="CM91" s="167">
        <f t="shared" si="312"/>
        <v>0</v>
      </c>
      <c r="CN91" s="167">
        <f t="shared" si="381"/>
        <v>0</v>
      </c>
      <c r="CO91" s="170">
        <f t="shared" si="313"/>
        <v>0</v>
      </c>
      <c r="CP91" s="167">
        <f t="shared" si="314"/>
        <v>0</v>
      </c>
      <c r="CQ91" s="171">
        <f t="shared" si="315"/>
        <v>0</v>
      </c>
      <c r="CR91" s="169">
        <f t="shared" si="382"/>
        <v>0</v>
      </c>
      <c r="CS91" s="167">
        <f t="shared" si="383"/>
        <v>0</v>
      </c>
      <c r="CT91" s="167">
        <f t="shared" si="317"/>
        <v>0</v>
      </c>
      <c r="CU91" s="167">
        <f t="shared" si="384"/>
        <v>0</v>
      </c>
      <c r="CV91" s="167">
        <f t="shared" si="318"/>
        <v>0</v>
      </c>
      <c r="CW91" s="167">
        <f t="shared" si="385"/>
        <v>0</v>
      </c>
      <c r="CX91" s="167">
        <f t="shared" si="319"/>
        <v>0</v>
      </c>
      <c r="CY91" s="167">
        <f t="shared" si="386"/>
        <v>0</v>
      </c>
      <c r="CZ91" s="167">
        <f t="shared" si="320"/>
        <v>0</v>
      </c>
      <c r="DA91" s="167">
        <f t="shared" si="387"/>
        <v>0</v>
      </c>
      <c r="DB91" s="170">
        <f t="shared" si="321"/>
        <v>0</v>
      </c>
      <c r="DC91" s="167">
        <f t="shared" si="322"/>
        <v>0</v>
      </c>
      <c r="DD91" s="171">
        <f t="shared" si="323"/>
        <v>0</v>
      </c>
      <c r="DE91" s="169">
        <f t="shared" si="382"/>
        <v>0</v>
      </c>
      <c r="DF91" s="167">
        <f t="shared" si="388"/>
        <v>0</v>
      </c>
      <c r="DG91" s="167">
        <f t="shared" si="324"/>
        <v>0</v>
      </c>
      <c r="DH91" s="167">
        <f t="shared" si="389"/>
        <v>0</v>
      </c>
      <c r="DI91" s="167">
        <f t="shared" si="325"/>
        <v>0</v>
      </c>
      <c r="DJ91" s="167">
        <f t="shared" si="390"/>
        <v>0</v>
      </c>
      <c r="DK91" s="167">
        <f t="shared" si="326"/>
        <v>0</v>
      </c>
      <c r="DL91" s="167">
        <f t="shared" si="391"/>
        <v>0</v>
      </c>
      <c r="DM91" s="167">
        <f t="shared" si="327"/>
        <v>0</v>
      </c>
      <c r="DN91" s="167">
        <f t="shared" si="392"/>
        <v>0</v>
      </c>
      <c r="DO91" s="170">
        <f t="shared" si="328"/>
        <v>0</v>
      </c>
      <c r="DP91" s="167">
        <f t="shared" si="329"/>
        <v>0</v>
      </c>
      <c r="DQ91" s="171">
        <f t="shared" si="330"/>
        <v>0</v>
      </c>
      <c r="DR91" s="169">
        <f t="shared" si="382"/>
        <v>0</v>
      </c>
      <c r="DS91" s="167">
        <f t="shared" si="393"/>
        <v>0</v>
      </c>
      <c r="DT91" s="167">
        <f t="shared" si="331"/>
        <v>0</v>
      </c>
      <c r="DU91" s="167">
        <f t="shared" si="394"/>
        <v>0</v>
      </c>
      <c r="DV91" s="167">
        <f t="shared" si="332"/>
        <v>0</v>
      </c>
      <c r="DW91" s="167">
        <f t="shared" si="395"/>
        <v>0</v>
      </c>
      <c r="DX91" s="167">
        <f t="shared" si="333"/>
        <v>0</v>
      </c>
      <c r="DY91" s="167">
        <f t="shared" si="396"/>
        <v>0</v>
      </c>
      <c r="DZ91" s="167">
        <f t="shared" si="334"/>
        <v>0</v>
      </c>
      <c r="EA91" s="167">
        <f t="shared" si="397"/>
        <v>0</v>
      </c>
      <c r="EB91" s="170">
        <f t="shared" si="335"/>
        <v>0</v>
      </c>
      <c r="EC91" s="167">
        <f t="shared" si="336"/>
        <v>0</v>
      </c>
      <c r="ED91" s="171">
        <f t="shared" si="337"/>
        <v>0</v>
      </c>
    </row>
    <row r="92" spans="1:134" x14ac:dyDescent="0.3">
      <c r="A92" s="185"/>
      <c r="B92" s="186"/>
      <c r="C92" s="187"/>
      <c r="D92" s="188"/>
      <c r="E92" s="189"/>
      <c r="F92" s="190"/>
      <c r="G92" s="191"/>
      <c r="H92" s="192"/>
      <c r="I92" s="193"/>
      <c r="J92" s="194"/>
      <c r="K92" s="165">
        <f t="shared" si="338"/>
        <v>0</v>
      </c>
      <c r="L92" s="166">
        <f t="shared" si="339"/>
        <v>0</v>
      </c>
      <c r="M92" s="167">
        <f t="shared" si="340"/>
        <v>0</v>
      </c>
      <c r="N92" s="167"/>
      <c r="O92" s="167">
        <f t="shared" si="341"/>
        <v>0</v>
      </c>
      <c r="P92" s="168"/>
      <c r="Q92" s="167">
        <f t="shared" si="342"/>
        <v>0</v>
      </c>
      <c r="R92" s="169">
        <f t="shared" si="343"/>
        <v>0</v>
      </c>
      <c r="S92" s="167">
        <f t="shared" si="344"/>
        <v>0</v>
      </c>
      <c r="T92" s="167">
        <f t="shared" si="345"/>
        <v>0</v>
      </c>
      <c r="U92" s="167">
        <f t="shared" si="346"/>
        <v>0</v>
      </c>
      <c r="V92" s="167">
        <f t="shared" si="347"/>
        <v>0</v>
      </c>
      <c r="W92" s="167">
        <f t="shared" si="348"/>
        <v>0</v>
      </c>
      <c r="X92" s="167">
        <f t="shared" si="349"/>
        <v>0</v>
      </c>
      <c r="Y92" s="167">
        <f t="shared" si="350"/>
        <v>0</v>
      </c>
      <c r="Z92" s="167">
        <f t="shared" si="351"/>
        <v>0</v>
      </c>
      <c r="AA92" s="167">
        <f t="shared" si="352"/>
        <v>0</v>
      </c>
      <c r="AB92" s="170">
        <f t="shared" si="353"/>
        <v>0</v>
      </c>
      <c r="AC92" s="167">
        <f t="shared" si="354"/>
        <v>0</v>
      </c>
      <c r="AD92" s="171">
        <f t="shared" si="355"/>
        <v>0</v>
      </c>
      <c r="AE92" s="169">
        <f t="shared" si="356"/>
        <v>0</v>
      </c>
      <c r="AF92" s="167">
        <f t="shared" si="357"/>
        <v>0</v>
      </c>
      <c r="AG92" s="167">
        <f t="shared" si="281"/>
        <v>0</v>
      </c>
      <c r="AH92" s="167">
        <f t="shared" si="358"/>
        <v>0</v>
      </c>
      <c r="AI92" s="167">
        <f t="shared" si="282"/>
        <v>0</v>
      </c>
      <c r="AJ92" s="167">
        <f t="shared" si="359"/>
        <v>0</v>
      </c>
      <c r="AK92" s="167">
        <f t="shared" si="283"/>
        <v>0</v>
      </c>
      <c r="AL92" s="167">
        <f t="shared" si="360"/>
        <v>0</v>
      </c>
      <c r="AM92" s="167">
        <f t="shared" si="284"/>
        <v>0</v>
      </c>
      <c r="AN92" s="167">
        <f t="shared" si="361"/>
        <v>0</v>
      </c>
      <c r="AO92" s="170">
        <f t="shared" si="285"/>
        <v>0</v>
      </c>
      <c r="AP92" s="167">
        <f t="shared" si="286"/>
        <v>0</v>
      </c>
      <c r="AQ92" s="171">
        <f t="shared" si="287"/>
        <v>0</v>
      </c>
      <c r="AR92" s="169">
        <f t="shared" si="356"/>
        <v>0</v>
      </c>
      <c r="AS92" s="167">
        <f t="shared" si="362"/>
        <v>0</v>
      </c>
      <c r="AT92" s="167">
        <f t="shared" si="288"/>
        <v>0</v>
      </c>
      <c r="AU92" s="167">
        <f t="shared" si="363"/>
        <v>0</v>
      </c>
      <c r="AV92" s="167">
        <f t="shared" si="289"/>
        <v>0</v>
      </c>
      <c r="AW92" s="167">
        <f t="shared" si="364"/>
        <v>0</v>
      </c>
      <c r="AX92" s="167">
        <f t="shared" si="290"/>
        <v>0</v>
      </c>
      <c r="AY92" s="167">
        <f t="shared" si="365"/>
        <v>0</v>
      </c>
      <c r="AZ92" s="167">
        <f t="shared" si="291"/>
        <v>0</v>
      </c>
      <c r="BA92" s="167">
        <f t="shared" si="366"/>
        <v>0</v>
      </c>
      <c r="BB92" s="170">
        <f t="shared" si="292"/>
        <v>0</v>
      </c>
      <c r="BC92" s="167">
        <f t="shared" si="293"/>
        <v>0</v>
      </c>
      <c r="BD92" s="171">
        <f t="shared" si="294"/>
        <v>0</v>
      </c>
      <c r="BE92" s="169">
        <f t="shared" si="356"/>
        <v>0</v>
      </c>
      <c r="BF92" s="167">
        <f t="shared" si="367"/>
        <v>0</v>
      </c>
      <c r="BG92" s="167">
        <f t="shared" si="295"/>
        <v>0</v>
      </c>
      <c r="BH92" s="167">
        <f t="shared" si="368"/>
        <v>0</v>
      </c>
      <c r="BI92" s="167">
        <f t="shared" si="296"/>
        <v>0</v>
      </c>
      <c r="BJ92" s="167">
        <f t="shared" si="369"/>
        <v>0</v>
      </c>
      <c r="BK92" s="167">
        <f t="shared" si="297"/>
        <v>0</v>
      </c>
      <c r="BL92" s="167">
        <f t="shared" si="370"/>
        <v>0</v>
      </c>
      <c r="BM92" s="167">
        <f t="shared" si="298"/>
        <v>0</v>
      </c>
      <c r="BN92" s="167">
        <f t="shared" si="371"/>
        <v>0</v>
      </c>
      <c r="BO92" s="170">
        <f t="shared" si="299"/>
        <v>0</v>
      </c>
      <c r="BP92" s="167">
        <f t="shared" si="300"/>
        <v>0</v>
      </c>
      <c r="BQ92" s="171">
        <f t="shared" si="301"/>
        <v>0</v>
      </c>
      <c r="BR92" s="169">
        <f t="shared" si="356"/>
        <v>0</v>
      </c>
      <c r="BS92" s="167">
        <f t="shared" si="372"/>
        <v>0</v>
      </c>
      <c r="BT92" s="167">
        <f t="shared" si="302"/>
        <v>0</v>
      </c>
      <c r="BU92" s="167">
        <f t="shared" si="373"/>
        <v>0</v>
      </c>
      <c r="BV92" s="167">
        <f t="shared" si="303"/>
        <v>0</v>
      </c>
      <c r="BW92" s="167">
        <f t="shared" si="374"/>
        <v>0</v>
      </c>
      <c r="BX92" s="167">
        <f t="shared" si="304"/>
        <v>0</v>
      </c>
      <c r="BY92" s="167">
        <f t="shared" si="375"/>
        <v>0</v>
      </c>
      <c r="BZ92" s="167">
        <f t="shared" si="305"/>
        <v>0</v>
      </c>
      <c r="CA92" s="167">
        <f t="shared" si="376"/>
        <v>0</v>
      </c>
      <c r="CB92" s="170">
        <f t="shared" si="306"/>
        <v>0</v>
      </c>
      <c r="CC92" s="167">
        <f t="shared" si="307"/>
        <v>0</v>
      </c>
      <c r="CD92" s="171">
        <f t="shared" si="308"/>
        <v>0</v>
      </c>
      <c r="CE92" s="169">
        <f t="shared" si="356"/>
        <v>0</v>
      </c>
      <c r="CF92" s="167">
        <f t="shared" si="377"/>
        <v>0</v>
      </c>
      <c r="CG92" s="167">
        <f t="shared" si="309"/>
        <v>0</v>
      </c>
      <c r="CH92" s="167">
        <f t="shared" si="378"/>
        <v>0</v>
      </c>
      <c r="CI92" s="167">
        <f t="shared" si="310"/>
        <v>0</v>
      </c>
      <c r="CJ92" s="167">
        <f t="shared" si="379"/>
        <v>0</v>
      </c>
      <c r="CK92" s="167">
        <f t="shared" si="311"/>
        <v>0</v>
      </c>
      <c r="CL92" s="167">
        <f t="shared" si="380"/>
        <v>0</v>
      </c>
      <c r="CM92" s="167">
        <f t="shared" si="312"/>
        <v>0</v>
      </c>
      <c r="CN92" s="167">
        <f t="shared" si="381"/>
        <v>0</v>
      </c>
      <c r="CO92" s="170">
        <f t="shared" si="313"/>
        <v>0</v>
      </c>
      <c r="CP92" s="167">
        <f t="shared" si="314"/>
        <v>0</v>
      </c>
      <c r="CQ92" s="171">
        <f t="shared" si="315"/>
        <v>0</v>
      </c>
      <c r="CR92" s="169">
        <f t="shared" si="382"/>
        <v>0</v>
      </c>
      <c r="CS92" s="167">
        <f t="shared" si="383"/>
        <v>0</v>
      </c>
      <c r="CT92" s="167">
        <f t="shared" si="317"/>
        <v>0</v>
      </c>
      <c r="CU92" s="167">
        <f t="shared" si="384"/>
        <v>0</v>
      </c>
      <c r="CV92" s="167">
        <f t="shared" si="318"/>
        <v>0</v>
      </c>
      <c r="CW92" s="167">
        <f t="shared" si="385"/>
        <v>0</v>
      </c>
      <c r="CX92" s="167">
        <f t="shared" si="319"/>
        <v>0</v>
      </c>
      <c r="CY92" s="167">
        <f t="shared" si="386"/>
        <v>0</v>
      </c>
      <c r="CZ92" s="167">
        <f t="shared" si="320"/>
        <v>0</v>
      </c>
      <c r="DA92" s="167">
        <f t="shared" si="387"/>
        <v>0</v>
      </c>
      <c r="DB92" s="170">
        <f t="shared" si="321"/>
        <v>0</v>
      </c>
      <c r="DC92" s="167">
        <f t="shared" si="322"/>
        <v>0</v>
      </c>
      <c r="DD92" s="171">
        <f t="shared" si="323"/>
        <v>0</v>
      </c>
      <c r="DE92" s="169">
        <f t="shared" si="382"/>
        <v>0</v>
      </c>
      <c r="DF92" s="167">
        <f t="shared" si="388"/>
        <v>0</v>
      </c>
      <c r="DG92" s="167">
        <f t="shared" si="324"/>
        <v>0</v>
      </c>
      <c r="DH92" s="167">
        <f t="shared" si="389"/>
        <v>0</v>
      </c>
      <c r="DI92" s="167">
        <f t="shared" si="325"/>
        <v>0</v>
      </c>
      <c r="DJ92" s="167">
        <f t="shared" si="390"/>
        <v>0</v>
      </c>
      <c r="DK92" s="167">
        <f t="shared" si="326"/>
        <v>0</v>
      </c>
      <c r="DL92" s="167">
        <f t="shared" si="391"/>
        <v>0</v>
      </c>
      <c r="DM92" s="167">
        <f t="shared" si="327"/>
        <v>0</v>
      </c>
      <c r="DN92" s="167">
        <f t="shared" si="392"/>
        <v>0</v>
      </c>
      <c r="DO92" s="170">
        <f t="shared" si="328"/>
        <v>0</v>
      </c>
      <c r="DP92" s="167">
        <f t="shared" si="329"/>
        <v>0</v>
      </c>
      <c r="DQ92" s="171">
        <f t="shared" si="330"/>
        <v>0</v>
      </c>
      <c r="DR92" s="169">
        <f t="shared" si="382"/>
        <v>0</v>
      </c>
      <c r="DS92" s="167">
        <f t="shared" si="393"/>
        <v>0</v>
      </c>
      <c r="DT92" s="167">
        <f t="shared" si="331"/>
        <v>0</v>
      </c>
      <c r="DU92" s="167">
        <f t="shared" si="394"/>
        <v>0</v>
      </c>
      <c r="DV92" s="167">
        <f t="shared" si="332"/>
        <v>0</v>
      </c>
      <c r="DW92" s="167">
        <f t="shared" si="395"/>
        <v>0</v>
      </c>
      <c r="DX92" s="167">
        <f t="shared" si="333"/>
        <v>0</v>
      </c>
      <c r="DY92" s="167">
        <f t="shared" si="396"/>
        <v>0</v>
      </c>
      <c r="DZ92" s="167">
        <f t="shared" si="334"/>
        <v>0</v>
      </c>
      <c r="EA92" s="167">
        <f t="shared" si="397"/>
        <v>0</v>
      </c>
      <c r="EB92" s="170">
        <f t="shared" si="335"/>
        <v>0</v>
      </c>
      <c r="EC92" s="167">
        <f t="shared" si="336"/>
        <v>0</v>
      </c>
      <c r="ED92" s="171">
        <f t="shared" si="337"/>
        <v>0</v>
      </c>
    </row>
    <row r="93" spans="1:134" x14ac:dyDescent="0.3">
      <c r="A93" s="185"/>
      <c r="B93" s="186"/>
      <c r="C93" s="187"/>
      <c r="D93" s="188"/>
      <c r="E93" s="189"/>
      <c r="F93" s="190"/>
      <c r="G93" s="191"/>
      <c r="H93" s="192"/>
      <c r="I93" s="193"/>
      <c r="J93" s="194"/>
      <c r="K93" s="165">
        <f t="shared" si="338"/>
        <v>0</v>
      </c>
      <c r="L93" s="166">
        <f t="shared" si="339"/>
        <v>0</v>
      </c>
      <c r="M93" s="167">
        <f t="shared" si="340"/>
        <v>0</v>
      </c>
      <c r="N93" s="167"/>
      <c r="O93" s="167">
        <f t="shared" si="341"/>
        <v>0</v>
      </c>
      <c r="P93" s="168"/>
      <c r="Q93" s="167">
        <f t="shared" si="342"/>
        <v>0</v>
      </c>
      <c r="R93" s="169">
        <f t="shared" si="343"/>
        <v>0</v>
      </c>
      <c r="S93" s="167">
        <f t="shared" si="344"/>
        <v>0</v>
      </c>
      <c r="T93" s="167">
        <f t="shared" si="345"/>
        <v>0</v>
      </c>
      <c r="U93" s="167">
        <f t="shared" si="346"/>
        <v>0</v>
      </c>
      <c r="V93" s="167">
        <f t="shared" si="347"/>
        <v>0</v>
      </c>
      <c r="W93" s="167">
        <f t="shared" si="348"/>
        <v>0</v>
      </c>
      <c r="X93" s="167">
        <f t="shared" si="349"/>
        <v>0</v>
      </c>
      <c r="Y93" s="167">
        <f t="shared" si="350"/>
        <v>0</v>
      </c>
      <c r="Z93" s="167">
        <f t="shared" si="351"/>
        <v>0</v>
      </c>
      <c r="AA93" s="167">
        <f t="shared" si="352"/>
        <v>0</v>
      </c>
      <c r="AB93" s="170">
        <f t="shared" si="353"/>
        <v>0</v>
      </c>
      <c r="AC93" s="167">
        <f t="shared" si="354"/>
        <v>0</v>
      </c>
      <c r="AD93" s="171">
        <f t="shared" si="355"/>
        <v>0</v>
      </c>
      <c r="AE93" s="169">
        <f t="shared" si="356"/>
        <v>0</v>
      </c>
      <c r="AF93" s="167">
        <f t="shared" si="357"/>
        <v>0</v>
      </c>
      <c r="AG93" s="167">
        <f t="shared" si="281"/>
        <v>0</v>
      </c>
      <c r="AH93" s="167">
        <f t="shared" si="358"/>
        <v>0</v>
      </c>
      <c r="AI93" s="167">
        <f t="shared" si="282"/>
        <v>0</v>
      </c>
      <c r="AJ93" s="167">
        <f t="shared" si="359"/>
        <v>0</v>
      </c>
      <c r="AK93" s="167">
        <f t="shared" si="283"/>
        <v>0</v>
      </c>
      <c r="AL93" s="167">
        <f t="shared" si="360"/>
        <v>0</v>
      </c>
      <c r="AM93" s="167">
        <f t="shared" si="284"/>
        <v>0</v>
      </c>
      <c r="AN93" s="167">
        <f t="shared" si="361"/>
        <v>0</v>
      </c>
      <c r="AO93" s="170">
        <f t="shared" si="285"/>
        <v>0</v>
      </c>
      <c r="AP93" s="167">
        <f t="shared" si="286"/>
        <v>0</v>
      </c>
      <c r="AQ93" s="171">
        <f t="shared" si="287"/>
        <v>0</v>
      </c>
      <c r="AR93" s="169">
        <f t="shared" si="356"/>
        <v>0</v>
      </c>
      <c r="AS93" s="167">
        <f t="shared" si="362"/>
        <v>0</v>
      </c>
      <c r="AT93" s="167">
        <f t="shared" si="288"/>
        <v>0</v>
      </c>
      <c r="AU93" s="167">
        <f t="shared" si="363"/>
        <v>0</v>
      </c>
      <c r="AV93" s="167">
        <f t="shared" si="289"/>
        <v>0</v>
      </c>
      <c r="AW93" s="167">
        <f t="shared" si="364"/>
        <v>0</v>
      </c>
      <c r="AX93" s="167">
        <f t="shared" si="290"/>
        <v>0</v>
      </c>
      <c r="AY93" s="167">
        <f t="shared" si="365"/>
        <v>0</v>
      </c>
      <c r="AZ93" s="167">
        <f t="shared" si="291"/>
        <v>0</v>
      </c>
      <c r="BA93" s="167">
        <f t="shared" si="366"/>
        <v>0</v>
      </c>
      <c r="BB93" s="170">
        <f t="shared" si="292"/>
        <v>0</v>
      </c>
      <c r="BC93" s="167">
        <f t="shared" si="293"/>
        <v>0</v>
      </c>
      <c r="BD93" s="171">
        <f t="shared" si="294"/>
        <v>0</v>
      </c>
      <c r="BE93" s="169">
        <f t="shared" si="356"/>
        <v>0</v>
      </c>
      <c r="BF93" s="167">
        <f t="shared" si="367"/>
        <v>0</v>
      </c>
      <c r="BG93" s="167">
        <f t="shared" si="295"/>
        <v>0</v>
      </c>
      <c r="BH93" s="167">
        <f t="shared" si="368"/>
        <v>0</v>
      </c>
      <c r="BI93" s="167">
        <f t="shared" si="296"/>
        <v>0</v>
      </c>
      <c r="BJ93" s="167">
        <f t="shared" si="369"/>
        <v>0</v>
      </c>
      <c r="BK93" s="167">
        <f t="shared" si="297"/>
        <v>0</v>
      </c>
      <c r="BL93" s="167">
        <f t="shared" si="370"/>
        <v>0</v>
      </c>
      <c r="BM93" s="167">
        <f t="shared" si="298"/>
        <v>0</v>
      </c>
      <c r="BN93" s="167">
        <f t="shared" si="371"/>
        <v>0</v>
      </c>
      <c r="BO93" s="170">
        <f t="shared" si="299"/>
        <v>0</v>
      </c>
      <c r="BP93" s="167">
        <f t="shared" si="300"/>
        <v>0</v>
      </c>
      <c r="BQ93" s="171">
        <f t="shared" si="301"/>
        <v>0</v>
      </c>
      <c r="BR93" s="169">
        <f t="shared" si="356"/>
        <v>0</v>
      </c>
      <c r="BS93" s="167">
        <f t="shared" si="372"/>
        <v>0</v>
      </c>
      <c r="BT93" s="167">
        <f t="shared" si="302"/>
        <v>0</v>
      </c>
      <c r="BU93" s="167">
        <f t="shared" si="373"/>
        <v>0</v>
      </c>
      <c r="BV93" s="167">
        <f t="shared" si="303"/>
        <v>0</v>
      </c>
      <c r="BW93" s="167">
        <f t="shared" si="374"/>
        <v>0</v>
      </c>
      <c r="BX93" s="167">
        <f t="shared" si="304"/>
        <v>0</v>
      </c>
      <c r="BY93" s="167">
        <f t="shared" si="375"/>
        <v>0</v>
      </c>
      <c r="BZ93" s="167">
        <f t="shared" si="305"/>
        <v>0</v>
      </c>
      <c r="CA93" s="167">
        <f t="shared" si="376"/>
        <v>0</v>
      </c>
      <c r="CB93" s="170">
        <f t="shared" si="306"/>
        <v>0</v>
      </c>
      <c r="CC93" s="167">
        <f t="shared" si="307"/>
        <v>0</v>
      </c>
      <c r="CD93" s="171">
        <f t="shared" si="308"/>
        <v>0</v>
      </c>
      <c r="CE93" s="169">
        <f t="shared" si="356"/>
        <v>0</v>
      </c>
      <c r="CF93" s="167">
        <f t="shared" si="377"/>
        <v>0</v>
      </c>
      <c r="CG93" s="167">
        <f t="shared" si="309"/>
        <v>0</v>
      </c>
      <c r="CH93" s="167">
        <f t="shared" si="378"/>
        <v>0</v>
      </c>
      <c r="CI93" s="167">
        <f t="shared" si="310"/>
        <v>0</v>
      </c>
      <c r="CJ93" s="167">
        <f t="shared" si="379"/>
        <v>0</v>
      </c>
      <c r="CK93" s="167">
        <f t="shared" si="311"/>
        <v>0</v>
      </c>
      <c r="CL93" s="167">
        <f t="shared" si="380"/>
        <v>0</v>
      </c>
      <c r="CM93" s="167">
        <f t="shared" si="312"/>
        <v>0</v>
      </c>
      <c r="CN93" s="167">
        <f t="shared" si="381"/>
        <v>0</v>
      </c>
      <c r="CO93" s="170">
        <f t="shared" si="313"/>
        <v>0</v>
      </c>
      <c r="CP93" s="167">
        <f t="shared" si="314"/>
        <v>0</v>
      </c>
      <c r="CQ93" s="171">
        <f t="shared" si="315"/>
        <v>0</v>
      </c>
      <c r="CR93" s="169">
        <f t="shared" si="382"/>
        <v>0</v>
      </c>
      <c r="CS93" s="167">
        <f t="shared" si="383"/>
        <v>0</v>
      </c>
      <c r="CT93" s="167">
        <f t="shared" si="317"/>
        <v>0</v>
      </c>
      <c r="CU93" s="167">
        <f t="shared" si="384"/>
        <v>0</v>
      </c>
      <c r="CV93" s="167">
        <f t="shared" si="318"/>
        <v>0</v>
      </c>
      <c r="CW93" s="167">
        <f t="shared" si="385"/>
        <v>0</v>
      </c>
      <c r="CX93" s="167">
        <f t="shared" si="319"/>
        <v>0</v>
      </c>
      <c r="CY93" s="167">
        <f t="shared" si="386"/>
        <v>0</v>
      </c>
      <c r="CZ93" s="167">
        <f t="shared" si="320"/>
        <v>0</v>
      </c>
      <c r="DA93" s="167">
        <f t="shared" si="387"/>
        <v>0</v>
      </c>
      <c r="DB93" s="170">
        <f t="shared" si="321"/>
        <v>0</v>
      </c>
      <c r="DC93" s="167">
        <f t="shared" si="322"/>
        <v>0</v>
      </c>
      <c r="DD93" s="171">
        <f t="shared" si="323"/>
        <v>0</v>
      </c>
      <c r="DE93" s="169">
        <f t="shared" si="382"/>
        <v>0</v>
      </c>
      <c r="DF93" s="167">
        <f t="shared" si="388"/>
        <v>0</v>
      </c>
      <c r="DG93" s="167">
        <f t="shared" si="324"/>
        <v>0</v>
      </c>
      <c r="DH93" s="167">
        <f t="shared" si="389"/>
        <v>0</v>
      </c>
      <c r="DI93" s="167">
        <f t="shared" si="325"/>
        <v>0</v>
      </c>
      <c r="DJ93" s="167">
        <f t="shared" si="390"/>
        <v>0</v>
      </c>
      <c r="DK93" s="167">
        <f t="shared" si="326"/>
        <v>0</v>
      </c>
      <c r="DL93" s="167">
        <f t="shared" si="391"/>
        <v>0</v>
      </c>
      <c r="DM93" s="167">
        <f t="shared" si="327"/>
        <v>0</v>
      </c>
      <c r="DN93" s="167">
        <f t="shared" si="392"/>
        <v>0</v>
      </c>
      <c r="DO93" s="170">
        <f t="shared" si="328"/>
        <v>0</v>
      </c>
      <c r="DP93" s="167">
        <f t="shared" si="329"/>
        <v>0</v>
      </c>
      <c r="DQ93" s="171">
        <f t="shared" si="330"/>
        <v>0</v>
      </c>
      <c r="DR93" s="169">
        <f t="shared" si="382"/>
        <v>0</v>
      </c>
      <c r="DS93" s="167">
        <f t="shared" si="393"/>
        <v>0</v>
      </c>
      <c r="DT93" s="167">
        <f t="shared" si="331"/>
        <v>0</v>
      </c>
      <c r="DU93" s="167">
        <f t="shared" si="394"/>
        <v>0</v>
      </c>
      <c r="DV93" s="167">
        <f t="shared" si="332"/>
        <v>0</v>
      </c>
      <c r="DW93" s="167">
        <f t="shared" si="395"/>
        <v>0</v>
      </c>
      <c r="DX93" s="167">
        <f t="shared" si="333"/>
        <v>0</v>
      </c>
      <c r="DY93" s="167">
        <f t="shared" si="396"/>
        <v>0</v>
      </c>
      <c r="DZ93" s="167">
        <f t="shared" si="334"/>
        <v>0</v>
      </c>
      <c r="EA93" s="167">
        <f t="shared" si="397"/>
        <v>0</v>
      </c>
      <c r="EB93" s="170">
        <f t="shared" si="335"/>
        <v>0</v>
      </c>
      <c r="EC93" s="167">
        <f t="shared" si="336"/>
        <v>0</v>
      </c>
      <c r="ED93" s="171">
        <f t="shared" si="337"/>
        <v>0</v>
      </c>
    </row>
    <row r="94" spans="1:134" x14ac:dyDescent="0.3">
      <c r="A94" s="185"/>
      <c r="B94" s="186"/>
      <c r="C94" s="187"/>
      <c r="D94" s="188"/>
      <c r="E94" s="189"/>
      <c r="F94" s="190"/>
      <c r="G94" s="191"/>
      <c r="H94" s="192"/>
      <c r="I94" s="193"/>
      <c r="J94" s="194"/>
      <c r="K94" s="165">
        <f t="shared" si="338"/>
        <v>0</v>
      </c>
      <c r="L94" s="166">
        <f t="shared" si="339"/>
        <v>0</v>
      </c>
      <c r="M94" s="167">
        <f t="shared" si="340"/>
        <v>0</v>
      </c>
      <c r="N94" s="167"/>
      <c r="O94" s="167">
        <f t="shared" si="341"/>
        <v>0</v>
      </c>
      <c r="P94" s="168"/>
      <c r="Q94" s="167">
        <f t="shared" si="342"/>
        <v>0</v>
      </c>
      <c r="R94" s="169">
        <f t="shared" si="343"/>
        <v>0</v>
      </c>
      <c r="S94" s="167">
        <f t="shared" si="344"/>
        <v>0</v>
      </c>
      <c r="T94" s="167">
        <f t="shared" si="345"/>
        <v>0</v>
      </c>
      <c r="U94" s="167">
        <f t="shared" si="346"/>
        <v>0</v>
      </c>
      <c r="V94" s="167">
        <f t="shared" si="347"/>
        <v>0</v>
      </c>
      <c r="W94" s="167">
        <f t="shared" si="348"/>
        <v>0</v>
      </c>
      <c r="X94" s="167">
        <f t="shared" si="349"/>
        <v>0</v>
      </c>
      <c r="Y94" s="167">
        <f t="shared" si="350"/>
        <v>0</v>
      </c>
      <c r="Z94" s="167">
        <f t="shared" si="351"/>
        <v>0</v>
      </c>
      <c r="AA94" s="167">
        <f t="shared" si="352"/>
        <v>0</v>
      </c>
      <c r="AB94" s="170">
        <f t="shared" si="353"/>
        <v>0</v>
      </c>
      <c r="AC94" s="167">
        <f t="shared" si="354"/>
        <v>0</v>
      </c>
      <c r="AD94" s="171">
        <f t="shared" si="355"/>
        <v>0</v>
      </c>
      <c r="AE94" s="169">
        <f t="shared" si="356"/>
        <v>0</v>
      </c>
      <c r="AF94" s="167">
        <f t="shared" si="357"/>
        <v>0</v>
      </c>
      <c r="AG94" s="167">
        <f t="shared" si="281"/>
        <v>0</v>
      </c>
      <c r="AH94" s="167">
        <f t="shared" si="358"/>
        <v>0</v>
      </c>
      <c r="AI94" s="167">
        <f t="shared" si="282"/>
        <v>0</v>
      </c>
      <c r="AJ94" s="167">
        <f t="shared" si="359"/>
        <v>0</v>
      </c>
      <c r="AK94" s="167">
        <f t="shared" si="283"/>
        <v>0</v>
      </c>
      <c r="AL94" s="167">
        <f t="shared" si="360"/>
        <v>0</v>
      </c>
      <c r="AM94" s="167">
        <f t="shared" si="284"/>
        <v>0</v>
      </c>
      <c r="AN94" s="167">
        <f t="shared" si="361"/>
        <v>0</v>
      </c>
      <c r="AO94" s="170">
        <f t="shared" si="285"/>
        <v>0</v>
      </c>
      <c r="AP94" s="167">
        <f t="shared" si="286"/>
        <v>0</v>
      </c>
      <c r="AQ94" s="171">
        <f t="shared" si="287"/>
        <v>0</v>
      </c>
      <c r="AR94" s="169">
        <f t="shared" si="356"/>
        <v>0</v>
      </c>
      <c r="AS94" s="167">
        <f t="shared" si="362"/>
        <v>0</v>
      </c>
      <c r="AT94" s="167">
        <f t="shared" si="288"/>
        <v>0</v>
      </c>
      <c r="AU94" s="167">
        <f t="shared" si="363"/>
        <v>0</v>
      </c>
      <c r="AV94" s="167">
        <f t="shared" si="289"/>
        <v>0</v>
      </c>
      <c r="AW94" s="167">
        <f t="shared" si="364"/>
        <v>0</v>
      </c>
      <c r="AX94" s="167">
        <f t="shared" si="290"/>
        <v>0</v>
      </c>
      <c r="AY94" s="167">
        <f t="shared" si="365"/>
        <v>0</v>
      </c>
      <c r="AZ94" s="167">
        <f t="shared" si="291"/>
        <v>0</v>
      </c>
      <c r="BA94" s="167">
        <f t="shared" si="366"/>
        <v>0</v>
      </c>
      <c r="BB94" s="170">
        <f t="shared" si="292"/>
        <v>0</v>
      </c>
      <c r="BC94" s="167">
        <f t="shared" si="293"/>
        <v>0</v>
      </c>
      <c r="BD94" s="171">
        <f t="shared" si="294"/>
        <v>0</v>
      </c>
      <c r="BE94" s="169">
        <f t="shared" si="356"/>
        <v>0</v>
      </c>
      <c r="BF94" s="167">
        <f t="shared" si="367"/>
        <v>0</v>
      </c>
      <c r="BG94" s="167">
        <f t="shared" si="295"/>
        <v>0</v>
      </c>
      <c r="BH94" s="167">
        <f t="shared" si="368"/>
        <v>0</v>
      </c>
      <c r="BI94" s="167">
        <f t="shared" si="296"/>
        <v>0</v>
      </c>
      <c r="BJ94" s="167">
        <f t="shared" si="369"/>
        <v>0</v>
      </c>
      <c r="BK94" s="167">
        <f t="shared" si="297"/>
        <v>0</v>
      </c>
      <c r="BL94" s="167">
        <f t="shared" si="370"/>
        <v>0</v>
      </c>
      <c r="BM94" s="167">
        <f t="shared" si="298"/>
        <v>0</v>
      </c>
      <c r="BN94" s="167">
        <f t="shared" si="371"/>
        <v>0</v>
      </c>
      <c r="BO94" s="170">
        <f t="shared" si="299"/>
        <v>0</v>
      </c>
      <c r="BP94" s="167">
        <f t="shared" si="300"/>
        <v>0</v>
      </c>
      <c r="BQ94" s="171">
        <f t="shared" si="301"/>
        <v>0</v>
      </c>
      <c r="BR94" s="169">
        <f t="shared" si="356"/>
        <v>0</v>
      </c>
      <c r="BS94" s="167">
        <f t="shared" si="372"/>
        <v>0</v>
      </c>
      <c r="BT94" s="167">
        <f t="shared" si="302"/>
        <v>0</v>
      </c>
      <c r="BU94" s="167">
        <f t="shared" si="373"/>
        <v>0</v>
      </c>
      <c r="BV94" s="167">
        <f t="shared" si="303"/>
        <v>0</v>
      </c>
      <c r="BW94" s="167">
        <f t="shared" si="374"/>
        <v>0</v>
      </c>
      <c r="BX94" s="167">
        <f t="shared" si="304"/>
        <v>0</v>
      </c>
      <c r="BY94" s="167">
        <f t="shared" si="375"/>
        <v>0</v>
      </c>
      <c r="BZ94" s="167">
        <f t="shared" si="305"/>
        <v>0</v>
      </c>
      <c r="CA94" s="167">
        <f t="shared" si="376"/>
        <v>0</v>
      </c>
      <c r="CB94" s="170">
        <f t="shared" si="306"/>
        <v>0</v>
      </c>
      <c r="CC94" s="167">
        <f t="shared" si="307"/>
        <v>0</v>
      </c>
      <c r="CD94" s="171">
        <f t="shared" si="308"/>
        <v>0</v>
      </c>
      <c r="CE94" s="169">
        <f t="shared" si="356"/>
        <v>0</v>
      </c>
      <c r="CF94" s="167">
        <f t="shared" si="377"/>
        <v>0</v>
      </c>
      <c r="CG94" s="167">
        <f t="shared" si="309"/>
        <v>0</v>
      </c>
      <c r="CH94" s="167">
        <f t="shared" si="378"/>
        <v>0</v>
      </c>
      <c r="CI94" s="167">
        <f t="shared" si="310"/>
        <v>0</v>
      </c>
      <c r="CJ94" s="167">
        <f t="shared" si="379"/>
        <v>0</v>
      </c>
      <c r="CK94" s="167">
        <f t="shared" si="311"/>
        <v>0</v>
      </c>
      <c r="CL94" s="167">
        <f t="shared" si="380"/>
        <v>0</v>
      </c>
      <c r="CM94" s="167">
        <f t="shared" si="312"/>
        <v>0</v>
      </c>
      <c r="CN94" s="167">
        <f t="shared" si="381"/>
        <v>0</v>
      </c>
      <c r="CO94" s="170">
        <f t="shared" si="313"/>
        <v>0</v>
      </c>
      <c r="CP94" s="167">
        <f t="shared" si="314"/>
        <v>0</v>
      </c>
      <c r="CQ94" s="171">
        <f t="shared" si="315"/>
        <v>0</v>
      </c>
      <c r="CR94" s="169">
        <f t="shared" si="382"/>
        <v>0</v>
      </c>
      <c r="CS94" s="167">
        <f t="shared" si="383"/>
        <v>0</v>
      </c>
      <c r="CT94" s="167">
        <f t="shared" si="317"/>
        <v>0</v>
      </c>
      <c r="CU94" s="167">
        <f t="shared" si="384"/>
        <v>0</v>
      </c>
      <c r="CV94" s="167">
        <f t="shared" si="318"/>
        <v>0</v>
      </c>
      <c r="CW94" s="167">
        <f t="shared" si="385"/>
        <v>0</v>
      </c>
      <c r="CX94" s="167">
        <f t="shared" si="319"/>
        <v>0</v>
      </c>
      <c r="CY94" s="167">
        <f t="shared" si="386"/>
        <v>0</v>
      </c>
      <c r="CZ94" s="167">
        <f t="shared" si="320"/>
        <v>0</v>
      </c>
      <c r="DA94" s="167">
        <f t="shared" si="387"/>
        <v>0</v>
      </c>
      <c r="DB94" s="170">
        <f t="shared" si="321"/>
        <v>0</v>
      </c>
      <c r="DC94" s="167">
        <f t="shared" si="322"/>
        <v>0</v>
      </c>
      <c r="DD94" s="171">
        <f t="shared" si="323"/>
        <v>0</v>
      </c>
      <c r="DE94" s="169">
        <f t="shared" si="382"/>
        <v>0</v>
      </c>
      <c r="DF94" s="167">
        <f t="shared" si="388"/>
        <v>0</v>
      </c>
      <c r="DG94" s="167">
        <f t="shared" si="324"/>
        <v>0</v>
      </c>
      <c r="DH94" s="167">
        <f t="shared" si="389"/>
        <v>0</v>
      </c>
      <c r="DI94" s="167">
        <f t="shared" si="325"/>
        <v>0</v>
      </c>
      <c r="DJ94" s="167">
        <f t="shared" si="390"/>
        <v>0</v>
      </c>
      <c r="DK94" s="167">
        <f t="shared" si="326"/>
        <v>0</v>
      </c>
      <c r="DL94" s="167">
        <f t="shared" si="391"/>
        <v>0</v>
      </c>
      <c r="DM94" s="167">
        <f t="shared" si="327"/>
        <v>0</v>
      </c>
      <c r="DN94" s="167">
        <f t="shared" si="392"/>
        <v>0</v>
      </c>
      <c r="DO94" s="170">
        <f t="shared" si="328"/>
        <v>0</v>
      </c>
      <c r="DP94" s="167">
        <f t="shared" si="329"/>
        <v>0</v>
      </c>
      <c r="DQ94" s="171">
        <f t="shared" si="330"/>
        <v>0</v>
      </c>
      <c r="DR94" s="169">
        <f t="shared" si="382"/>
        <v>0</v>
      </c>
      <c r="DS94" s="167">
        <f t="shared" si="393"/>
        <v>0</v>
      </c>
      <c r="DT94" s="167">
        <f t="shared" si="331"/>
        <v>0</v>
      </c>
      <c r="DU94" s="167">
        <f t="shared" si="394"/>
        <v>0</v>
      </c>
      <c r="DV94" s="167">
        <f t="shared" si="332"/>
        <v>0</v>
      </c>
      <c r="DW94" s="167">
        <f t="shared" si="395"/>
        <v>0</v>
      </c>
      <c r="DX94" s="167">
        <f t="shared" si="333"/>
        <v>0</v>
      </c>
      <c r="DY94" s="167">
        <f t="shared" si="396"/>
        <v>0</v>
      </c>
      <c r="DZ94" s="167">
        <f t="shared" si="334"/>
        <v>0</v>
      </c>
      <c r="EA94" s="167">
        <f t="shared" si="397"/>
        <v>0</v>
      </c>
      <c r="EB94" s="170">
        <f t="shared" si="335"/>
        <v>0</v>
      </c>
      <c r="EC94" s="167">
        <f t="shared" si="336"/>
        <v>0</v>
      </c>
      <c r="ED94" s="171">
        <f t="shared" si="337"/>
        <v>0</v>
      </c>
    </row>
    <row r="95" spans="1:134" x14ac:dyDescent="0.3">
      <c r="A95" s="185"/>
      <c r="B95" s="186"/>
      <c r="C95" s="187"/>
      <c r="D95" s="188"/>
      <c r="E95" s="189"/>
      <c r="F95" s="190"/>
      <c r="G95" s="191"/>
      <c r="H95" s="192"/>
      <c r="I95" s="193"/>
      <c r="J95" s="194"/>
      <c r="K95" s="165">
        <f t="shared" si="338"/>
        <v>0</v>
      </c>
      <c r="L95" s="166">
        <f t="shared" si="339"/>
        <v>0</v>
      </c>
      <c r="M95" s="167">
        <f t="shared" si="340"/>
        <v>0</v>
      </c>
      <c r="N95" s="167"/>
      <c r="O95" s="167">
        <f t="shared" si="341"/>
        <v>0</v>
      </c>
      <c r="P95" s="168"/>
      <c r="Q95" s="167">
        <f t="shared" si="342"/>
        <v>0</v>
      </c>
      <c r="R95" s="169">
        <f t="shared" si="343"/>
        <v>0</v>
      </c>
      <c r="S95" s="167">
        <f t="shared" si="344"/>
        <v>0</v>
      </c>
      <c r="T95" s="167">
        <f t="shared" si="345"/>
        <v>0</v>
      </c>
      <c r="U95" s="167">
        <f t="shared" si="346"/>
        <v>0</v>
      </c>
      <c r="V95" s="167">
        <f t="shared" si="347"/>
        <v>0</v>
      </c>
      <c r="W95" s="167">
        <f t="shared" si="348"/>
        <v>0</v>
      </c>
      <c r="X95" s="167">
        <f t="shared" si="349"/>
        <v>0</v>
      </c>
      <c r="Y95" s="167">
        <f t="shared" si="350"/>
        <v>0</v>
      </c>
      <c r="Z95" s="167">
        <f t="shared" si="351"/>
        <v>0</v>
      </c>
      <c r="AA95" s="167">
        <f t="shared" si="352"/>
        <v>0</v>
      </c>
      <c r="AB95" s="170">
        <f t="shared" si="353"/>
        <v>0</v>
      </c>
      <c r="AC95" s="167">
        <f t="shared" si="354"/>
        <v>0</v>
      </c>
      <c r="AD95" s="171">
        <f t="shared" si="355"/>
        <v>0</v>
      </c>
      <c r="AE95" s="169">
        <f t="shared" si="356"/>
        <v>0</v>
      </c>
      <c r="AF95" s="167">
        <f t="shared" si="357"/>
        <v>0</v>
      </c>
      <c r="AG95" s="167">
        <f t="shared" si="281"/>
        <v>0</v>
      </c>
      <c r="AH95" s="167">
        <f t="shared" si="358"/>
        <v>0</v>
      </c>
      <c r="AI95" s="167">
        <f t="shared" si="282"/>
        <v>0</v>
      </c>
      <c r="AJ95" s="167">
        <f t="shared" si="359"/>
        <v>0</v>
      </c>
      <c r="AK95" s="167">
        <f t="shared" si="283"/>
        <v>0</v>
      </c>
      <c r="AL95" s="167">
        <f t="shared" si="360"/>
        <v>0</v>
      </c>
      <c r="AM95" s="167">
        <f t="shared" si="284"/>
        <v>0</v>
      </c>
      <c r="AN95" s="167">
        <f t="shared" si="361"/>
        <v>0</v>
      </c>
      <c r="AO95" s="170">
        <f t="shared" si="285"/>
        <v>0</v>
      </c>
      <c r="AP95" s="167">
        <f t="shared" si="286"/>
        <v>0</v>
      </c>
      <c r="AQ95" s="171">
        <f t="shared" si="287"/>
        <v>0</v>
      </c>
      <c r="AR95" s="169">
        <f t="shared" si="356"/>
        <v>0</v>
      </c>
      <c r="AS95" s="167">
        <f t="shared" si="362"/>
        <v>0</v>
      </c>
      <c r="AT95" s="167">
        <f t="shared" si="288"/>
        <v>0</v>
      </c>
      <c r="AU95" s="167">
        <f t="shared" si="363"/>
        <v>0</v>
      </c>
      <c r="AV95" s="167">
        <f t="shared" si="289"/>
        <v>0</v>
      </c>
      <c r="AW95" s="167">
        <f t="shared" si="364"/>
        <v>0</v>
      </c>
      <c r="AX95" s="167">
        <f t="shared" si="290"/>
        <v>0</v>
      </c>
      <c r="AY95" s="167">
        <f t="shared" si="365"/>
        <v>0</v>
      </c>
      <c r="AZ95" s="167">
        <f t="shared" si="291"/>
        <v>0</v>
      </c>
      <c r="BA95" s="167">
        <f t="shared" si="366"/>
        <v>0</v>
      </c>
      <c r="BB95" s="170">
        <f t="shared" si="292"/>
        <v>0</v>
      </c>
      <c r="BC95" s="167">
        <f t="shared" si="293"/>
        <v>0</v>
      </c>
      <c r="BD95" s="171">
        <f t="shared" si="294"/>
        <v>0</v>
      </c>
      <c r="BE95" s="169">
        <f t="shared" si="356"/>
        <v>0</v>
      </c>
      <c r="BF95" s="167">
        <f t="shared" si="367"/>
        <v>0</v>
      </c>
      <c r="BG95" s="167">
        <f t="shared" si="295"/>
        <v>0</v>
      </c>
      <c r="BH95" s="167">
        <f t="shared" si="368"/>
        <v>0</v>
      </c>
      <c r="BI95" s="167">
        <f t="shared" si="296"/>
        <v>0</v>
      </c>
      <c r="BJ95" s="167">
        <f t="shared" si="369"/>
        <v>0</v>
      </c>
      <c r="BK95" s="167">
        <f t="shared" si="297"/>
        <v>0</v>
      </c>
      <c r="BL95" s="167">
        <f t="shared" si="370"/>
        <v>0</v>
      </c>
      <c r="BM95" s="167">
        <f t="shared" si="298"/>
        <v>0</v>
      </c>
      <c r="BN95" s="167">
        <f t="shared" si="371"/>
        <v>0</v>
      </c>
      <c r="BO95" s="170">
        <f t="shared" si="299"/>
        <v>0</v>
      </c>
      <c r="BP95" s="167">
        <f t="shared" si="300"/>
        <v>0</v>
      </c>
      <c r="BQ95" s="171">
        <f t="shared" si="301"/>
        <v>0</v>
      </c>
      <c r="BR95" s="169">
        <f t="shared" si="356"/>
        <v>0</v>
      </c>
      <c r="BS95" s="167">
        <f t="shared" si="372"/>
        <v>0</v>
      </c>
      <c r="BT95" s="167">
        <f t="shared" si="302"/>
        <v>0</v>
      </c>
      <c r="BU95" s="167">
        <f t="shared" si="373"/>
        <v>0</v>
      </c>
      <c r="BV95" s="167">
        <f t="shared" si="303"/>
        <v>0</v>
      </c>
      <c r="BW95" s="167">
        <f t="shared" si="374"/>
        <v>0</v>
      </c>
      <c r="BX95" s="167">
        <f t="shared" si="304"/>
        <v>0</v>
      </c>
      <c r="BY95" s="167">
        <f t="shared" si="375"/>
        <v>0</v>
      </c>
      <c r="BZ95" s="167">
        <f t="shared" si="305"/>
        <v>0</v>
      </c>
      <c r="CA95" s="167">
        <f t="shared" si="376"/>
        <v>0</v>
      </c>
      <c r="CB95" s="170">
        <f t="shared" si="306"/>
        <v>0</v>
      </c>
      <c r="CC95" s="167">
        <f t="shared" si="307"/>
        <v>0</v>
      </c>
      <c r="CD95" s="171">
        <f t="shared" si="308"/>
        <v>0</v>
      </c>
      <c r="CE95" s="169">
        <f t="shared" si="356"/>
        <v>0</v>
      </c>
      <c r="CF95" s="167">
        <f t="shared" si="377"/>
        <v>0</v>
      </c>
      <c r="CG95" s="167">
        <f t="shared" si="309"/>
        <v>0</v>
      </c>
      <c r="CH95" s="167">
        <f t="shared" si="378"/>
        <v>0</v>
      </c>
      <c r="CI95" s="167">
        <f t="shared" si="310"/>
        <v>0</v>
      </c>
      <c r="CJ95" s="167">
        <f t="shared" si="379"/>
        <v>0</v>
      </c>
      <c r="CK95" s="167">
        <f t="shared" si="311"/>
        <v>0</v>
      </c>
      <c r="CL95" s="167">
        <f t="shared" si="380"/>
        <v>0</v>
      </c>
      <c r="CM95" s="167">
        <f t="shared" si="312"/>
        <v>0</v>
      </c>
      <c r="CN95" s="167">
        <f t="shared" si="381"/>
        <v>0</v>
      </c>
      <c r="CO95" s="170">
        <f t="shared" si="313"/>
        <v>0</v>
      </c>
      <c r="CP95" s="167">
        <f t="shared" si="314"/>
        <v>0</v>
      </c>
      <c r="CQ95" s="171">
        <f t="shared" si="315"/>
        <v>0</v>
      </c>
      <c r="CR95" s="169">
        <f t="shared" si="382"/>
        <v>0</v>
      </c>
      <c r="CS95" s="167">
        <f t="shared" si="383"/>
        <v>0</v>
      </c>
      <c r="CT95" s="167">
        <f t="shared" si="317"/>
        <v>0</v>
      </c>
      <c r="CU95" s="167">
        <f t="shared" si="384"/>
        <v>0</v>
      </c>
      <c r="CV95" s="167">
        <f t="shared" si="318"/>
        <v>0</v>
      </c>
      <c r="CW95" s="167">
        <f t="shared" si="385"/>
        <v>0</v>
      </c>
      <c r="CX95" s="167">
        <f t="shared" si="319"/>
        <v>0</v>
      </c>
      <c r="CY95" s="167">
        <f t="shared" si="386"/>
        <v>0</v>
      </c>
      <c r="CZ95" s="167">
        <f t="shared" si="320"/>
        <v>0</v>
      </c>
      <c r="DA95" s="167">
        <f t="shared" si="387"/>
        <v>0</v>
      </c>
      <c r="DB95" s="170">
        <f t="shared" si="321"/>
        <v>0</v>
      </c>
      <c r="DC95" s="167">
        <f t="shared" si="322"/>
        <v>0</v>
      </c>
      <c r="DD95" s="171">
        <f t="shared" si="323"/>
        <v>0</v>
      </c>
      <c r="DE95" s="169">
        <f t="shared" si="382"/>
        <v>0</v>
      </c>
      <c r="DF95" s="167">
        <f t="shared" si="388"/>
        <v>0</v>
      </c>
      <c r="DG95" s="167">
        <f t="shared" si="324"/>
        <v>0</v>
      </c>
      <c r="DH95" s="167">
        <f t="shared" si="389"/>
        <v>0</v>
      </c>
      <c r="DI95" s="167">
        <f t="shared" si="325"/>
        <v>0</v>
      </c>
      <c r="DJ95" s="167">
        <f t="shared" si="390"/>
        <v>0</v>
      </c>
      <c r="DK95" s="167">
        <f t="shared" si="326"/>
        <v>0</v>
      </c>
      <c r="DL95" s="167">
        <f t="shared" si="391"/>
        <v>0</v>
      </c>
      <c r="DM95" s="167">
        <f t="shared" si="327"/>
        <v>0</v>
      </c>
      <c r="DN95" s="167">
        <f t="shared" si="392"/>
        <v>0</v>
      </c>
      <c r="DO95" s="170">
        <f t="shared" si="328"/>
        <v>0</v>
      </c>
      <c r="DP95" s="167">
        <f t="shared" si="329"/>
        <v>0</v>
      </c>
      <c r="DQ95" s="171">
        <f t="shared" si="330"/>
        <v>0</v>
      </c>
      <c r="DR95" s="169">
        <f t="shared" si="382"/>
        <v>0</v>
      </c>
      <c r="DS95" s="167">
        <f t="shared" si="393"/>
        <v>0</v>
      </c>
      <c r="DT95" s="167">
        <f t="shared" si="331"/>
        <v>0</v>
      </c>
      <c r="DU95" s="167">
        <f t="shared" si="394"/>
        <v>0</v>
      </c>
      <c r="DV95" s="167">
        <f t="shared" si="332"/>
        <v>0</v>
      </c>
      <c r="DW95" s="167">
        <f t="shared" si="395"/>
        <v>0</v>
      </c>
      <c r="DX95" s="167">
        <f t="shared" si="333"/>
        <v>0</v>
      </c>
      <c r="DY95" s="167">
        <f t="shared" si="396"/>
        <v>0</v>
      </c>
      <c r="DZ95" s="167">
        <f t="shared" si="334"/>
        <v>0</v>
      </c>
      <c r="EA95" s="167">
        <f t="shared" si="397"/>
        <v>0</v>
      </c>
      <c r="EB95" s="170">
        <f t="shared" si="335"/>
        <v>0</v>
      </c>
      <c r="EC95" s="167">
        <f t="shared" si="336"/>
        <v>0</v>
      </c>
      <c r="ED95" s="171">
        <f t="shared" si="337"/>
        <v>0</v>
      </c>
    </row>
    <row r="96" spans="1:134" x14ac:dyDescent="0.3">
      <c r="A96" s="185"/>
      <c r="B96" s="186"/>
      <c r="C96" s="187"/>
      <c r="D96" s="188"/>
      <c r="E96" s="189"/>
      <c r="F96" s="190"/>
      <c r="G96" s="191"/>
      <c r="H96" s="192"/>
      <c r="I96" s="193"/>
      <c r="J96" s="194"/>
      <c r="K96" s="165">
        <f t="shared" si="338"/>
        <v>0</v>
      </c>
      <c r="L96" s="166">
        <f t="shared" si="339"/>
        <v>0</v>
      </c>
      <c r="M96" s="167">
        <f t="shared" si="340"/>
        <v>0</v>
      </c>
      <c r="N96" s="167"/>
      <c r="O96" s="167">
        <f t="shared" si="341"/>
        <v>0</v>
      </c>
      <c r="P96" s="168"/>
      <c r="Q96" s="167">
        <f t="shared" si="342"/>
        <v>0</v>
      </c>
      <c r="R96" s="169">
        <f t="shared" si="343"/>
        <v>0</v>
      </c>
      <c r="S96" s="167">
        <f t="shared" si="344"/>
        <v>0</v>
      </c>
      <c r="T96" s="167">
        <f t="shared" si="345"/>
        <v>0</v>
      </c>
      <c r="U96" s="167">
        <f t="shared" si="346"/>
        <v>0</v>
      </c>
      <c r="V96" s="167">
        <f t="shared" si="347"/>
        <v>0</v>
      </c>
      <c r="W96" s="167">
        <f t="shared" si="348"/>
        <v>0</v>
      </c>
      <c r="X96" s="167">
        <f t="shared" si="349"/>
        <v>0</v>
      </c>
      <c r="Y96" s="167">
        <f t="shared" si="350"/>
        <v>0</v>
      </c>
      <c r="Z96" s="167">
        <f t="shared" si="351"/>
        <v>0</v>
      </c>
      <c r="AA96" s="167">
        <f t="shared" si="352"/>
        <v>0</v>
      </c>
      <c r="AB96" s="170">
        <f t="shared" si="353"/>
        <v>0</v>
      </c>
      <c r="AC96" s="167">
        <f t="shared" si="354"/>
        <v>0</v>
      </c>
      <c r="AD96" s="171">
        <f t="shared" si="355"/>
        <v>0</v>
      </c>
      <c r="AE96" s="169">
        <f t="shared" si="356"/>
        <v>0</v>
      </c>
      <c r="AF96" s="167">
        <f t="shared" si="357"/>
        <v>0</v>
      </c>
      <c r="AG96" s="167">
        <f t="shared" si="281"/>
        <v>0</v>
      </c>
      <c r="AH96" s="167">
        <f t="shared" si="358"/>
        <v>0</v>
      </c>
      <c r="AI96" s="167">
        <f t="shared" si="282"/>
        <v>0</v>
      </c>
      <c r="AJ96" s="167">
        <f t="shared" si="359"/>
        <v>0</v>
      </c>
      <c r="AK96" s="167">
        <f t="shared" si="283"/>
        <v>0</v>
      </c>
      <c r="AL96" s="167">
        <f t="shared" si="360"/>
        <v>0</v>
      </c>
      <c r="AM96" s="167">
        <f t="shared" si="284"/>
        <v>0</v>
      </c>
      <c r="AN96" s="167">
        <f t="shared" si="361"/>
        <v>0</v>
      </c>
      <c r="AO96" s="170">
        <f t="shared" si="285"/>
        <v>0</v>
      </c>
      <c r="AP96" s="167">
        <f t="shared" si="286"/>
        <v>0</v>
      </c>
      <c r="AQ96" s="171">
        <f t="shared" si="287"/>
        <v>0</v>
      </c>
      <c r="AR96" s="169">
        <f t="shared" si="356"/>
        <v>0</v>
      </c>
      <c r="AS96" s="167">
        <f t="shared" si="362"/>
        <v>0</v>
      </c>
      <c r="AT96" s="167">
        <f t="shared" si="288"/>
        <v>0</v>
      </c>
      <c r="AU96" s="167">
        <f t="shared" si="363"/>
        <v>0</v>
      </c>
      <c r="AV96" s="167">
        <f t="shared" si="289"/>
        <v>0</v>
      </c>
      <c r="AW96" s="167">
        <f t="shared" si="364"/>
        <v>0</v>
      </c>
      <c r="AX96" s="167">
        <f t="shared" si="290"/>
        <v>0</v>
      </c>
      <c r="AY96" s="167">
        <f t="shared" si="365"/>
        <v>0</v>
      </c>
      <c r="AZ96" s="167">
        <f t="shared" si="291"/>
        <v>0</v>
      </c>
      <c r="BA96" s="167">
        <f t="shared" si="366"/>
        <v>0</v>
      </c>
      <c r="BB96" s="170">
        <f t="shared" si="292"/>
        <v>0</v>
      </c>
      <c r="BC96" s="167">
        <f t="shared" si="293"/>
        <v>0</v>
      </c>
      <c r="BD96" s="171">
        <f t="shared" si="294"/>
        <v>0</v>
      </c>
      <c r="BE96" s="169">
        <f t="shared" si="356"/>
        <v>0</v>
      </c>
      <c r="BF96" s="167">
        <f t="shared" si="367"/>
        <v>0</v>
      </c>
      <c r="BG96" s="167">
        <f t="shared" si="295"/>
        <v>0</v>
      </c>
      <c r="BH96" s="167">
        <f t="shared" si="368"/>
        <v>0</v>
      </c>
      <c r="BI96" s="167">
        <f t="shared" si="296"/>
        <v>0</v>
      </c>
      <c r="BJ96" s="167">
        <f t="shared" si="369"/>
        <v>0</v>
      </c>
      <c r="BK96" s="167">
        <f t="shared" si="297"/>
        <v>0</v>
      </c>
      <c r="BL96" s="167">
        <f t="shared" si="370"/>
        <v>0</v>
      </c>
      <c r="BM96" s="167">
        <f t="shared" si="298"/>
        <v>0</v>
      </c>
      <c r="BN96" s="167">
        <f t="shared" si="371"/>
        <v>0</v>
      </c>
      <c r="BO96" s="170">
        <f t="shared" si="299"/>
        <v>0</v>
      </c>
      <c r="BP96" s="167">
        <f t="shared" si="300"/>
        <v>0</v>
      </c>
      <c r="BQ96" s="171">
        <f t="shared" si="301"/>
        <v>0</v>
      </c>
      <c r="BR96" s="169">
        <f t="shared" si="356"/>
        <v>0</v>
      </c>
      <c r="BS96" s="167">
        <f t="shared" si="372"/>
        <v>0</v>
      </c>
      <c r="BT96" s="167">
        <f t="shared" si="302"/>
        <v>0</v>
      </c>
      <c r="BU96" s="167">
        <f t="shared" si="373"/>
        <v>0</v>
      </c>
      <c r="BV96" s="167">
        <f t="shared" si="303"/>
        <v>0</v>
      </c>
      <c r="BW96" s="167">
        <f t="shared" si="374"/>
        <v>0</v>
      </c>
      <c r="BX96" s="167">
        <f t="shared" si="304"/>
        <v>0</v>
      </c>
      <c r="BY96" s="167">
        <f t="shared" si="375"/>
        <v>0</v>
      </c>
      <c r="BZ96" s="167">
        <f t="shared" si="305"/>
        <v>0</v>
      </c>
      <c r="CA96" s="167">
        <f t="shared" si="376"/>
        <v>0</v>
      </c>
      <c r="CB96" s="170">
        <f t="shared" si="306"/>
        <v>0</v>
      </c>
      <c r="CC96" s="167">
        <f t="shared" si="307"/>
        <v>0</v>
      </c>
      <c r="CD96" s="171">
        <f t="shared" si="308"/>
        <v>0</v>
      </c>
      <c r="CE96" s="169">
        <f t="shared" si="356"/>
        <v>0</v>
      </c>
      <c r="CF96" s="167">
        <f t="shared" si="377"/>
        <v>0</v>
      </c>
      <c r="CG96" s="167">
        <f t="shared" si="309"/>
        <v>0</v>
      </c>
      <c r="CH96" s="167">
        <f t="shared" si="378"/>
        <v>0</v>
      </c>
      <c r="CI96" s="167">
        <f t="shared" si="310"/>
        <v>0</v>
      </c>
      <c r="CJ96" s="167">
        <f t="shared" si="379"/>
        <v>0</v>
      </c>
      <c r="CK96" s="167">
        <f t="shared" si="311"/>
        <v>0</v>
      </c>
      <c r="CL96" s="167">
        <f t="shared" si="380"/>
        <v>0</v>
      </c>
      <c r="CM96" s="167">
        <f t="shared" si="312"/>
        <v>0</v>
      </c>
      <c r="CN96" s="167">
        <f t="shared" si="381"/>
        <v>0</v>
      </c>
      <c r="CO96" s="170">
        <f t="shared" si="313"/>
        <v>0</v>
      </c>
      <c r="CP96" s="167">
        <f t="shared" si="314"/>
        <v>0</v>
      </c>
      <c r="CQ96" s="171">
        <f t="shared" si="315"/>
        <v>0</v>
      </c>
      <c r="CR96" s="169">
        <f t="shared" si="382"/>
        <v>0</v>
      </c>
      <c r="CS96" s="167">
        <f t="shared" si="383"/>
        <v>0</v>
      </c>
      <c r="CT96" s="167">
        <f t="shared" si="317"/>
        <v>0</v>
      </c>
      <c r="CU96" s="167">
        <f t="shared" si="384"/>
        <v>0</v>
      </c>
      <c r="CV96" s="167">
        <f t="shared" si="318"/>
        <v>0</v>
      </c>
      <c r="CW96" s="167">
        <f t="shared" si="385"/>
        <v>0</v>
      </c>
      <c r="CX96" s="167">
        <f t="shared" si="319"/>
        <v>0</v>
      </c>
      <c r="CY96" s="167">
        <f t="shared" si="386"/>
        <v>0</v>
      </c>
      <c r="CZ96" s="167">
        <f t="shared" si="320"/>
        <v>0</v>
      </c>
      <c r="DA96" s="167">
        <f t="shared" si="387"/>
        <v>0</v>
      </c>
      <c r="DB96" s="170">
        <f t="shared" si="321"/>
        <v>0</v>
      </c>
      <c r="DC96" s="167">
        <f t="shared" si="322"/>
        <v>0</v>
      </c>
      <c r="DD96" s="171">
        <f t="shared" si="323"/>
        <v>0</v>
      </c>
      <c r="DE96" s="169">
        <f t="shared" si="382"/>
        <v>0</v>
      </c>
      <c r="DF96" s="167">
        <f t="shared" si="388"/>
        <v>0</v>
      </c>
      <c r="DG96" s="167">
        <f t="shared" si="324"/>
        <v>0</v>
      </c>
      <c r="DH96" s="167">
        <f t="shared" si="389"/>
        <v>0</v>
      </c>
      <c r="DI96" s="167">
        <f t="shared" si="325"/>
        <v>0</v>
      </c>
      <c r="DJ96" s="167">
        <f t="shared" si="390"/>
        <v>0</v>
      </c>
      <c r="DK96" s="167">
        <f t="shared" si="326"/>
        <v>0</v>
      </c>
      <c r="DL96" s="167">
        <f t="shared" si="391"/>
        <v>0</v>
      </c>
      <c r="DM96" s="167">
        <f t="shared" si="327"/>
        <v>0</v>
      </c>
      <c r="DN96" s="167">
        <f t="shared" si="392"/>
        <v>0</v>
      </c>
      <c r="DO96" s="170">
        <f t="shared" si="328"/>
        <v>0</v>
      </c>
      <c r="DP96" s="167">
        <f t="shared" si="329"/>
        <v>0</v>
      </c>
      <c r="DQ96" s="171">
        <f t="shared" si="330"/>
        <v>0</v>
      </c>
      <c r="DR96" s="169">
        <f t="shared" si="382"/>
        <v>0</v>
      </c>
      <c r="DS96" s="167">
        <f t="shared" si="393"/>
        <v>0</v>
      </c>
      <c r="DT96" s="167">
        <f t="shared" si="331"/>
        <v>0</v>
      </c>
      <c r="DU96" s="167">
        <f t="shared" si="394"/>
        <v>0</v>
      </c>
      <c r="DV96" s="167">
        <f t="shared" si="332"/>
        <v>0</v>
      </c>
      <c r="DW96" s="167">
        <f t="shared" si="395"/>
        <v>0</v>
      </c>
      <c r="DX96" s="167">
        <f t="shared" si="333"/>
        <v>0</v>
      </c>
      <c r="DY96" s="167">
        <f t="shared" si="396"/>
        <v>0</v>
      </c>
      <c r="DZ96" s="167">
        <f t="shared" si="334"/>
        <v>0</v>
      </c>
      <c r="EA96" s="167">
        <f t="shared" si="397"/>
        <v>0</v>
      </c>
      <c r="EB96" s="170">
        <f t="shared" si="335"/>
        <v>0</v>
      </c>
      <c r="EC96" s="167">
        <f t="shared" si="336"/>
        <v>0</v>
      </c>
      <c r="ED96" s="171">
        <f t="shared" si="337"/>
        <v>0</v>
      </c>
    </row>
    <row r="97" spans="1:134" x14ac:dyDescent="0.3">
      <c r="A97" s="185"/>
      <c r="B97" s="186"/>
      <c r="C97" s="187"/>
      <c r="D97" s="188"/>
      <c r="E97" s="189"/>
      <c r="F97" s="190"/>
      <c r="G97" s="191"/>
      <c r="H97" s="192"/>
      <c r="I97" s="193"/>
      <c r="J97" s="194"/>
      <c r="K97" s="165">
        <f t="shared" si="338"/>
        <v>0</v>
      </c>
      <c r="L97" s="166">
        <f t="shared" si="339"/>
        <v>0</v>
      </c>
      <c r="M97" s="167">
        <f t="shared" si="340"/>
        <v>0</v>
      </c>
      <c r="N97" s="167"/>
      <c r="O97" s="167">
        <f t="shared" si="341"/>
        <v>0</v>
      </c>
      <c r="P97" s="168"/>
      <c r="Q97" s="167">
        <f t="shared" si="342"/>
        <v>0</v>
      </c>
      <c r="R97" s="169">
        <f t="shared" si="343"/>
        <v>0</v>
      </c>
      <c r="S97" s="167">
        <f t="shared" si="344"/>
        <v>0</v>
      </c>
      <c r="T97" s="167">
        <f t="shared" si="345"/>
        <v>0</v>
      </c>
      <c r="U97" s="167">
        <f t="shared" si="346"/>
        <v>0</v>
      </c>
      <c r="V97" s="167">
        <f t="shared" si="347"/>
        <v>0</v>
      </c>
      <c r="W97" s="167">
        <f t="shared" si="348"/>
        <v>0</v>
      </c>
      <c r="X97" s="167">
        <f t="shared" si="349"/>
        <v>0</v>
      </c>
      <c r="Y97" s="167">
        <f t="shared" si="350"/>
        <v>0</v>
      </c>
      <c r="Z97" s="167">
        <f t="shared" si="351"/>
        <v>0</v>
      </c>
      <c r="AA97" s="167">
        <f t="shared" si="352"/>
        <v>0</v>
      </c>
      <c r="AB97" s="170">
        <f t="shared" si="353"/>
        <v>0</v>
      </c>
      <c r="AC97" s="167">
        <f t="shared" si="354"/>
        <v>0</v>
      </c>
      <c r="AD97" s="171">
        <f t="shared" si="355"/>
        <v>0</v>
      </c>
      <c r="AE97" s="169">
        <f t="shared" si="356"/>
        <v>0</v>
      </c>
      <c r="AF97" s="167">
        <f t="shared" si="357"/>
        <v>0</v>
      </c>
      <c r="AG97" s="167">
        <f t="shared" si="281"/>
        <v>0</v>
      </c>
      <c r="AH97" s="167">
        <f t="shared" si="358"/>
        <v>0</v>
      </c>
      <c r="AI97" s="167">
        <f t="shared" si="282"/>
        <v>0</v>
      </c>
      <c r="AJ97" s="167">
        <f t="shared" si="359"/>
        <v>0</v>
      </c>
      <c r="AK97" s="167">
        <f t="shared" si="283"/>
        <v>0</v>
      </c>
      <c r="AL97" s="167">
        <f t="shared" si="360"/>
        <v>0</v>
      </c>
      <c r="AM97" s="167">
        <f t="shared" si="284"/>
        <v>0</v>
      </c>
      <c r="AN97" s="167">
        <f t="shared" si="361"/>
        <v>0</v>
      </c>
      <c r="AO97" s="170">
        <f t="shared" si="285"/>
        <v>0</v>
      </c>
      <c r="AP97" s="167">
        <f t="shared" si="286"/>
        <v>0</v>
      </c>
      <c r="AQ97" s="171">
        <f t="shared" si="287"/>
        <v>0</v>
      </c>
      <c r="AR97" s="169">
        <f t="shared" si="356"/>
        <v>0</v>
      </c>
      <c r="AS97" s="167">
        <f t="shared" si="362"/>
        <v>0</v>
      </c>
      <c r="AT97" s="167">
        <f t="shared" si="288"/>
        <v>0</v>
      </c>
      <c r="AU97" s="167">
        <f t="shared" si="363"/>
        <v>0</v>
      </c>
      <c r="AV97" s="167">
        <f t="shared" si="289"/>
        <v>0</v>
      </c>
      <c r="AW97" s="167">
        <f t="shared" si="364"/>
        <v>0</v>
      </c>
      <c r="AX97" s="167">
        <f t="shared" si="290"/>
        <v>0</v>
      </c>
      <c r="AY97" s="167">
        <f t="shared" si="365"/>
        <v>0</v>
      </c>
      <c r="AZ97" s="167">
        <f t="shared" si="291"/>
        <v>0</v>
      </c>
      <c r="BA97" s="167">
        <f t="shared" si="366"/>
        <v>0</v>
      </c>
      <c r="BB97" s="170">
        <f t="shared" si="292"/>
        <v>0</v>
      </c>
      <c r="BC97" s="167">
        <f t="shared" si="293"/>
        <v>0</v>
      </c>
      <c r="BD97" s="171">
        <f t="shared" si="294"/>
        <v>0</v>
      </c>
      <c r="BE97" s="169">
        <f t="shared" si="356"/>
        <v>0</v>
      </c>
      <c r="BF97" s="167">
        <f t="shared" si="367"/>
        <v>0</v>
      </c>
      <c r="BG97" s="167">
        <f t="shared" si="295"/>
        <v>0</v>
      </c>
      <c r="BH97" s="167">
        <f t="shared" si="368"/>
        <v>0</v>
      </c>
      <c r="BI97" s="167">
        <f t="shared" si="296"/>
        <v>0</v>
      </c>
      <c r="BJ97" s="167">
        <f t="shared" si="369"/>
        <v>0</v>
      </c>
      <c r="BK97" s="167">
        <f t="shared" si="297"/>
        <v>0</v>
      </c>
      <c r="BL97" s="167">
        <f t="shared" si="370"/>
        <v>0</v>
      </c>
      <c r="BM97" s="167">
        <f t="shared" si="298"/>
        <v>0</v>
      </c>
      <c r="BN97" s="167">
        <f t="shared" si="371"/>
        <v>0</v>
      </c>
      <c r="BO97" s="170">
        <f t="shared" si="299"/>
        <v>0</v>
      </c>
      <c r="BP97" s="167">
        <f t="shared" si="300"/>
        <v>0</v>
      </c>
      <c r="BQ97" s="171">
        <f t="shared" si="301"/>
        <v>0</v>
      </c>
      <c r="BR97" s="169">
        <f t="shared" si="356"/>
        <v>0</v>
      </c>
      <c r="BS97" s="167">
        <f t="shared" si="372"/>
        <v>0</v>
      </c>
      <c r="BT97" s="167">
        <f t="shared" si="302"/>
        <v>0</v>
      </c>
      <c r="BU97" s="167">
        <f t="shared" si="373"/>
        <v>0</v>
      </c>
      <c r="BV97" s="167">
        <f t="shared" si="303"/>
        <v>0</v>
      </c>
      <c r="BW97" s="167">
        <f t="shared" si="374"/>
        <v>0</v>
      </c>
      <c r="BX97" s="167">
        <f t="shared" si="304"/>
        <v>0</v>
      </c>
      <c r="BY97" s="167">
        <f t="shared" si="375"/>
        <v>0</v>
      </c>
      <c r="BZ97" s="167">
        <f t="shared" si="305"/>
        <v>0</v>
      </c>
      <c r="CA97" s="167">
        <f t="shared" si="376"/>
        <v>0</v>
      </c>
      <c r="CB97" s="170">
        <f t="shared" si="306"/>
        <v>0</v>
      </c>
      <c r="CC97" s="167">
        <f t="shared" si="307"/>
        <v>0</v>
      </c>
      <c r="CD97" s="171">
        <f t="shared" si="308"/>
        <v>0</v>
      </c>
      <c r="CE97" s="169">
        <f t="shared" si="356"/>
        <v>0</v>
      </c>
      <c r="CF97" s="167">
        <f t="shared" si="377"/>
        <v>0</v>
      </c>
      <c r="CG97" s="167">
        <f t="shared" si="309"/>
        <v>0</v>
      </c>
      <c r="CH97" s="167">
        <f t="shared" si="378"/>
        <v>0</v>
      </c>
      <c r="CI97" s="167">
        <f t="shared" si="310"/>
        <v>0</v>
      </c>
      <c r="CJ97" s="167">
        <f t="shared" si="379"/>
        <v>0</v>
      </c>
      <c r="CK97" s="167">
        <f t="shared" si="311"/>
        <v>0</v>
      </c>
      <c r="CL97" s="167">
        <f t="shared" si="380"/>
        <v>0</v>
      </c>
      <c r="CM97" s="167">
        <f t="shared" si="312"/>
        <v>0</v>
      </c>
      <c r="CN97" s="167">
        <f t="shared" si="381"/>
        <v>0</v>
      </c>
      <c r="CO97" s="170">
        <f t="shared" si="313"/>
        <v>0</v>
      </c>
      <c r="CP97" s="167">
        <f t="shared" si="314"/>
        <v>0</v>
      </c>
      <c r="CQ97" s="171">
        <f t="shared" si="315"/>
        <v>0</v>
      </c>
      <c r="CR97" s="169">
        <f t="shared" si="382"/>
        <v>0</v>
      </c>
      <c r="CS97" s="167">
        <f t="shared" si="383"/>
        <v>0</v>
      </c>
      <c r="CT97" s="167">
        <f t="shared" si="317"/>
        <v>0</v>
      </c>
      <c r="CU97" s="167">
        <f t="shared" si="384"/>
        <v>0</v>
      </c>
      <c r="CV97" s="167">
        <f t="shared" si="318"/>
        <v>0</v>
      </c>
      <c r="CW97" s="167">
        <f t="shared" si="385"/>
        <v>0</v>
      </c>
      <c r="CX97" s="167">
        <f t="shared" si="319"/>
        <v>0</v>
      </c>
      <c r="CY97" s="167">
        <f t="shared" si="386"/>
        <v>0</v>
      </c>
      <c r="CZ97" s="167">
        <f t="shared" si="320"/>
        <v>0</v>
      </c>
      <c r="DA97" s="167">
        <f t="shared" si="387"/>
        <v>0</v>
      </c>
      <c r="DB97" s="170">
        <f t="shared" si="321"/>
        <v>0</v>
      </c>
      <c r="DC97" s="167">
        <f t="shared" si="322"/>
        <v>0</v>
      </c>
      <c r="DD97" s="171">
        <f t="shared" si="323"/>
        <v>0</v>
      </c>
      <c r="DE97" s="169">
        <f t="shared" si="382"/>
        <v>0</v>
      </c>
      <c r="DF97" s="167">
        <f t="shared" si="388"/>
        <v>0</v>
      </c>
      <c r="DG97" s="167">
        <f t="shared" si="324"/>
        <v>0</v>
      </c>
      <c r="DH97" s="167">
        <f t="shared" si="389"/>
        <v>0</v>
      </c>
      <c r="DI97" s="167">
        <f t="shared" si="325"/>
        <v>0</v>
      </c>
      <c r="DJ97" s="167">
        <f t="shared" si="390"/>
        <v>0</v>
      </c>
      <c r="DK97" s="167">
        <f t="shared" si="326"/>
        <v>0</v>
      </c>
      <c r="DL97" s="167">
        <f t="shared" si="391"/>
        <v>0</v>
      </c>
      <c r="DM97" s="167">
        <f t="shared" si="327"/>
        <v>0</v>
      </c>
      <c r="DN97" s="167">
        <f t="shared" si="392"/>
        <v>0</v>
      </c>
      <c r="DO97" s="170">
        <f t="shared" si="328"/>
        <v>0</v>
      </c>
      <c r="DP97" s="167">
        <f t="shared" si="329"/>
        <v>0</v>
      </c>
      <c r="DQ97" s="171">
        <f t="shared" si="330"/>
        <v>0</v>
      </c>
      <c r="DR97" s="169">
        <f t="shared" si="382"/>
        <v>0</v>
      </c>
      <c r="DS97" s="167">
        <f t="shared" si="393"/>
        <v>0</v>
      </c>
      <c r="DT97" s="167">
        <f t="shared" si="331"/>
        <v>0</v>
      </c>
      <c r="DU97" s="167">
        <f t="shared" si="394"/>
        <v>0</v>
      </c>
      <c r="DV97" s="167">
        <f t="shared" si="332"/>
        <v>0</v>
      </c>
      <c r="DW97" s="167">
        <f t="shared" si="395"/>
        <v>0</v>
      </c>
      <c r="DX97" s="167">
        <f t="shared" si="333"/>
        <v>0</v>
      </c>
      <c r="DY97" s="167">
        <f t="shared" si="396"/>
        <v>0</v>
      </c>
      <c r="DZ97" s="167">
        <f t="shared" si="334"/>
        <v>0</v>
      </c>
      <c r="EA97" s="167">
        <f t="shared" si="397"/>
        <v>0</v>
      </c>
      <c r="EB97" s="170">
        <f t="shared" si="335"/>
        <v>0</v>
      </c>
      <c r="EC97" s="167">
        <f t="shared" si="336"/>
        <v>0</v>
      </c>
      <c r="ED97" s="171">
        <f t="shared" si="337"/>
        <v>0</v>
      </c>
    </row>
    <row r="98" spans="1:134" x14ac:dyDescent="0.3">
      <c r="A98" s="185"/>
      <c r="B98" s="186"/>
      <c r="C98" s="187"/>
      <c r="D98" s="188"/>
      <c r="E98" s="189"/>
      <c r="F98" s="190"/>
      <c r="G98" s="191"/>
      <c r="H98" s="192"/>
      <c r="I98" s="193"/>
      <c r="J98" s="194"/>
      <c r="K98" s="165">
        <f t="shared" si="338"/>
        <v>0</v>
      </c>
      <c r="L98" s="166">
        <f t="shared" si="339"/>
        <v>0</v>
      </c>
      <c r="M98" s="167">
        <f t="shared" si="340"/>
        <v>0</v>
      </c>
      <c r="N98" s="167"/>
      <c r="O98" s="167">
        <f t="shared" si="341"/>
        <v>0</v>
      </c>
      <c r="P98" s="168"/>
      <c r="Q98" s="167">
        <f t="shared" si="342"/>
        <v>0</v>
      </c>
      <c r="R98" s="169">
        <f t="shared" si="343"/>
        <v>0</v>
      </c>
      <c r="S98" s="167">
        <f t="shared" si="344"/>
        <v>0</v>
      </c>
      <c r="T98" s="167">
        <f t="shared" si="345"/>
        <v>0</v>
      </c>
      <c r="U98" s="167">
        <f t="shared" si="346"/>
        <v>0</v>
      </c>
      <c r="V98" s="167">
        <f t="shared" si="347"/>
        <v>0</v>
      </c>
      <c r="W98" s="167">
        <f t="shared" si="348"/>
        <v>0</v>
      </c>
      <c r="X98" s="167">
        <f t="shared" si="349"/>
        <v>0</v>
      </c>
      <c r="Y98" s="167">
        <f t="shared" si="350"/>
        <v>0</v>
      </c>
      <c r="Z98" s="167">
        <f t="shared" si="351"/>
        <v>0</v>
      </c>
      <c r="AA98" s="167">
        <f t="shared" si="352"/>
        <v>0</v>
      </c>
      <c r="AB98" s="170">
        <f t="shared" si="353"/>
        <v>0</v>
      </c>
      <c r="AC98" s="167">
        <f t="shared" si="354"/>
        <v>0</v>
      </c>
      <c r="AD98" s="171">
        <f t="shared" si="355"/>
        <v>0</v>
      </c>
      <c r="AE98" s="169">
        <f t="shared" si="356"/>
        <v>0</v>
      </c>
      <c r="AF98" s="167">
        <f t="shared" si="357"/>
        <v>0</v>
      </c>
      <c r="AG98" s="167">
        <f t="shared" si="281"/>
        <v>0</v>
      </c>
      <c r="AH98" s="167">
        <f t="shared" si="358"/>
        <v>0</v>
      </c>
      <c r="AI98" s="167">
        <f t="shared" si="282"/>
        <v>0</v>
      </c>
      <c r="AJ98" s="167">
        <f t="shared" si="359"/>
        <v>0</v>
      </c>
      <c r="AK98" s="167">
        <f t="shared" si="283"/>
        <v>0</v>
      </c>
      <c r="AL98" s="167">
        <f t="shared" si="360"/>
        <v>0</v>
      </c>
      <c r="AM98" s="167">
        <f t="shared" si="284"/>
        <v>0</v>
      </c>
      <c r="AN98" s="167">
        <f t="shared" si="361"/>
        <v>0</v>
      </c>
      <c r="AO98" s="170">
        <f t="shared" si="285"/>
        <v>0</v>
      </c>
      <c r="AP98" s="167">
        <f t="shared" si="286"/>
        <v>0</v>
      </c>
      <c r="AQ98" s="171">
        <f t="shared" si="287"/>
        <v>0</v>
      </c>
      <c r="AR98" s="169">
        <f t="shared" si="356"/>
        <v>0</v>
      </c>
      <c r="AS98" s="167">
        <f t="shared" si="362"/>
        <v>0</v>
      </c>
      <c r="AT98" s="167">
        <f t="shared" si="288"/>
        <v>0</v>
      </c>
      <c r="AU98" s="167">
        <f t="shared" si="363"/>
        <v>0</v>
      </c>
      <c r="AV98" s="167">
        <f t="shared" si="289"/>
        <v>0</v>
      </c>
      <c r="AW98" s="167">
        <f t="shared" si="364"/>
        <v>0</v>
      </c>
      <c r="AX98" s="167">
        <f t="shared" si="290"/>
        <v>0</v>
      </c>
      <c r="AY98" s="167">
        <f t="shared" si="365"/>
        <v>0</v>
      </c>
      <c r="AZ98" s="167">
        <f t="shared" si="291"/>
        <v>0</v>
      </c>
      <c r="BA98" s="167">
        <f t="shared" si="366"/>
        <v>0</v>
      </c>
      <c r="BB98" s="170">
        <f t="shared" si="292"/>
        <v>0</v>
      </c>
      <c r="BC98" s="167">
        <f t="shared" si="293"/>
        <v>0</v>
      </c>
      <c r="BD98" s="171">
        <f t="shared" si="294"/>
        <v>0</v>
      </c>
      <c r="BE98" s="169">
        <f t="shared" si="356"/>
        <v>0</v>
      </c>
      <c r="BF98" s="167">
        <f t="shared" si="367"/>
        <v>0</v>
      </c>
      <c r="BG98" s="167">
        <f t="shared" si="295"/>
        <v>0</v>
      </c>
      <c r="BH98" s="167">
        <f t="shared" si="368"/>
        <v>0</v>
      </c>
      <c r="BI98" s="167">
        <f t="shared" si="296"/>
        <v>0</v>
      </c>
      <c r="BJ98" s="167">
        <f t="shared" si="369"/>
        <v>0</v>
      </c>
      <c r="BK98" s="167">
        <f t="shared" si="297"/>
        <v>0</v>
      </c>
      <c r="BL98" s="167">
        <f t="shared" si="370"/>
        <v>0</v>
      </c>
      <c r="BM98" s="167">
        <f t="shared" si="298"/>
        <v>0</v>
      </c>
      <c r="BN98" s="167">
        <f t="shared" si="371"/>
        <v>0</v>
      </c>
      <c r="BO98" s="170">
        <f t="shared" si="299"/>
        <v>0</v>
      </c>
      <c r="BP98" s="167">
        <f t="shared" si="300"/>
        <v>0</v>
      </c>
      <c r="BQ98" s="171">
        <f t="shared" si="301"/>
        <v>0</v>
      </c>
      <c r="BR98" s="169">
        <f t="shared" si="356"/>
        <v>0</v>
      </c>
      <c r="BS98" s="167">
        <f t="shared" si="372"/>
        <v>0</v>
      </c>
      <c r="BT98" s="167">
        <f t="shared" si="302"/>
        <v>0</v>
      </c>
      <c r="BU98" s="167">
        <f t="shared" si="373"/>
        <v>0</v>
      </c>
      <c r="BV98" s="167">
        <f t="shared" si="303"/>
        <v>0</v>
      </c>
      <c r="BW98" s="167">
        <f t="shared" si="374"/>
        <v>0</v>
      </c>
      <c r="BX98" s="167">
        <f t="shared" si="304"/>
        <v>0</v>
      </c>
      <c r="BY98" s="167">
        <f t="shared" si="375"/>
        <v>0</v>
      </c>
      <c r="BZ98" s="167">
        <f t="shared" si="305"/>
        <v>0</v>
      </c>
      <c r="CA98" s="167">
        <f t="shared" si="376"/>
        <v>0</v>
      </c>
      <c r="CB98" s="170">
        <f t="shared" si="306"/>
        <v>0</v>
      </c>
      <c r="CC98" s="167">
        <f t="shared" si="307"/>
        <v>0</v>
      </c>
      <c r="CD98" s="171">
        <f t="shared" si="308"/>
        <v>0</v>
      </c>
      <c r="CE98" s="169">
        <f t="shared" si="356"/>
        <v>0</v>
      </c>
      <c r="CF98" s="167">
        <f t="shared" si="377"/>
        <v>0</v>
      </c>
      <c r="CG98" s="167">
        <f t="shared" si="309"/>
        <v>0</v>
      </c>
      <c r="CH98" s="167">
        <f t="shared" si="378"/>
        <v>0</v>
      </c>
      <c r="CI98" s="167">
        <f t="shared" si="310"/>
        <v>0</v>
      </c>
      <c r="CJ98" s="167">
        <f t="shared" si="379"/>
        <v>0</v>
      </c>
      <c r="CK98" s="167">
        <f t="shared" si="311"/>
        <v>0</v>
      </c>
      <c r="CL98" s="167">
        <f t="shared" si="380"/>
        <v>0</v>
      </c>
      <c r="CM98" s="167">
        <f t="shared" si="312"/>
        <v>0</v>
      </c>
      <c r="CN98" s="167">
        <f t="shared" si="381"/>
        <v>0</v>
      </c>
      <c r="CO98" s="170">
        <f t="shared" si="313"/>
        <v>0</v>
      </c>
      <c r="CP98" s="167">
        <f t="shared" si="314"/>
        <v>0</v>
      </c>
      <c r="CQ98" s="171">
        <f t="shared" si="315"/>
        <v>0</v>
      </c>
      <c r="CR98" s="169">
        <f t="shared" si="382"/>
        <v>0</v>
      </c>
      <c r="CS98" s="167">
        <f t="shared" si="383"/>
        <v>0</v>
      </c>
      <c r="CT98" s="167">
        <f t="shared" si="317"/>
        <v>0</v>
      </c>
      <c r="CU98" s="167">
        <f t="shared" si="384"/>
        <v>0</v>
      </c>
      <c r="CV98" s="167">
        <f t="shared" si="318"/>
        <v>0</v>
      </c>
      <c r="CW98" s="167">
        <f t="shared" si="385"/>
        <v>0</v>
      </c>
      <c r="CX98" s="167">
        <f t="shared" si="319"/>
        <v>0</v>
      </c>
      <c r="CY98" s="167">
        <f t="shared" si="386"/>
        <v>0</v>
      </c>
      <c r="CZ98" s="167">
        <f t="shared" si="320"/>
        <v>0</v>
      </c>
      <c r="DA98" s="167">
        <f t="shared" si="387"/>
        <v>0</v>
      </c>
      <c r="DB98" s="170">
        <f t="shared" si="321"/>
        <v>0</v>
      </c>
      <c r="DC98" s="167">
        <f t="shared" si="322"/>
        <v>0</v>
      </c>
      <c r="DD98" s="171">
        <f t="shared" si="323"/>
        <v>0</v>
      </c>
      <c r="DE98" s="169">
        <f t="shared" si="382"/>
        <v>0</v>
      </c>
      <c r="DF98" s="167">
        <f t="shared" si="388"/>
        <v>0</v>
      </c>
      <c r="DG98" s="167">
        <f t="shared" si="324"/>
        <v>0</v>
      </c>
      <c r="DH98" s="167">
        <f t="shared" si="389"/>
        <v>0</v>
      </c>
      <c r="DI98" s="167">
        <f t="shared" si="325"/>
        <v>0</v>
      </c>
      <c r="DJ98" s="167">
        <f t="shared" si="390"/>
        <v>0</v>
      </c>
      <c r="DK98" s="167">
        <f t="shared" si="326"/>
        <v>0</v>
      </c>
      <c r="DL98" s="167">
        <f t="shared" si="391"/>
        <v>0</v>
      </c>
      <c r="DM98" s="167">
        <f t="shared" si="327"/>
        <v>0</v>
      </c>
      <c r="DN98" s="167">
        <f t="shared" si="392"/>
        <v>0</v>
      </c>
      <c r="DO98" s="170">
        <f t="shared" si="328"/>
        <v>0</v>
      </c>
      <c r="DP98" s="167">
        <f t="shared" si="329"/>
        <v>0</v>
      </c>
      <c r="DQ98" s="171">
        <f t="shared" si="330"/>
        <v>0</v>
      </c>
      <c r="DR98" s="169">
        <f t="shared" si="382"/>
        <v>0</v>
      </c>
      <c r="DS98" s="167">
        <f t="shared" si="393"/>
        <v>0</v>
      </c>
      <c r="DT98" s="167">
        <f t="shared" si="331"/>
        <v>0</v>
      </c>
      <c r="DU98" s="167">
        <f t="shared" si="394"/>
        <v>0</v>
      </c>
      <c r="DV98" s="167">
        <f t="shared" si="332"/>
        <v>0</v>
      </c>
      <c r="DW98" s="167">
        <f t="shared" si="395"/>
        <v>0</v>
      </c>
      <c r="DX98" s="167">
        <f t="shared" si="333"/>
        <v>0</v>
      </c>
      <c r="DY98" s="167">
        <f t="shared" si="396"/>
        <v>0</v>
      </c>
      <c r="DZ98" s="167">
        <f t="shared" si="334"/>
        <v>0</v>
      </c>
      <c r="EA98" s="167">
        <f t="shared" si="397"/>
        <v>0</v>
      </c>
      <c r="EB98" s="170">
        <f t="shared" si="335"/>
        <v>0</v>
      </c>
      <c r="EC98" s="167">
        <f t="shared" si="336"/>
        <v>0</v>
      </c>
      <c r="ED98" s="171">
        <f t="shared" si="337"/>
        <v>0</v>
      </c>
    </row>
    <row r="99" spans="1:134" x14ac:dyDescent="0.3">
      <c r="A99" s="185"/>
      <c r="B99" s="186"/>
      <c r="C99" s="187"/>
      <c r="D99" s="188"/>
      <c r="E99" s="189"/>
      <c r="F99" s="190"/>
      <c r="G99" s="191"/>
      <c r="H99" s="192"/>
      <c r="I99" s="193"/>
      <c r="J99" s="194"/>
      <c r="K99" s="165">
        <f t="shared" si="338"/>
        <v>0</v>
      </c>
      <c r="L99" s="166">
        <f t="shared" si="339"/>
        <v>0</v>
      </c>
      <c r="M99" s="167">
        <f t="shared" si="340"/>
        <v>0</v>
      </c>
      <c r="N99" s="167"/>
      <c r="O99" s="167">
        <f t="shared" si="341"/>
        <v>0</v>
      </c>
      <c r="P99" s="168"/>
      <c r="Q99" s="167">
        <f t="shared" si="342"/>
        <v>0</v>
      </c>
      <c r="R99" s="169">
        <f t="shared" si="343"/>
        <v>0</v>
      </c>
      <c r="S99" s="167">
        <f t="shared" si="344"/>
        <v>0</v>
      </c>
      <c r="T99" s="167">
        <f t="shared" si="345"/>
        <v>0</v>
      </c>
      <c r="U99" s="167">
        <f t="shared" si="346"/>
        <v>0</v>
      </c>
      <c r="V99" s="167">
        <f t="shared" si="347"/>
        <v>0</v>
      </c>
      <c r="W99" s="167">
        <f t="shared" si="348"/>
        <v>0</v>
      </c>
      <c r="X99" s="167">
        <f t="shared" si="349"/>
        <v>0</v>
      </c>
      <c r="Y99" s="167">
        <f t="shared" si="350"/>
        <v>0</v>
      </c>
      <c r="Z99" s="167">
        <f t="shared" si="351"/>
        <v>0</v>
      </c>
      <c r="AA99" s="167">
        <f t="shared" si="352"/>
        <v>0</v>
      </c>
      <c r="AB99" s="170">
        <f t="shared" si="353"/>
        <v>0</v>
      </c>
      <c r="AC99" s="167">
        <f t="shared" si="354"/>
        <v>0</v>
      </c>
      <c r="AD99" s="171">
        <f t="shared" si="355"/>
        <v>0</v>
      </c>
      <c r="AE99" s="169">
        <f t="shared" si="356"/>
        <v>0</v>
      </c>
      <c r="AF99" s="167">
        <f t="shared" si="357"/>
        <v>0</v>
      </c>
      <c r="AG99" s="167">
        <f t="shared" si="281"/>
        <v>0</v>
      </c>
      <c r="AH99" s="167">
        <f t="shared" si="358"/>
        <v>0</v>
      </c>
      <c r="AI99" s="167">
        <f t="shared" si="282"/>
        <v>0</v>
      </c>
      <c r="AJ99" s="167">
        <f t="shared" si="359"/>
        <v>0</v>
      </c>
      <c r="AK99" s="167">
        <f t="shared" si="283"/>
        <v>0</v>
      </c>
      <c r="AL99" s="167">
        <f t="shared" si="360"/>
        <v>0</v>
      </c>
      <c r="AM99" s="167">
        <f t="shared" si="284"/>
        <v>0</v>
      </c>
      <c r="AN99" s="167">
        <f t="shared" si="361"/>
        <v>0</v>
      </c>
      <c r="AO99" s="170">
        <f t="shared" si="285"/>
        <v>0</v>
      </c>
      <c r="AP99" s="167">
        <f t="shared" si="286"/>
        <v>0</v>
      </c>
      <c r="AQ99" s="171">
        <f t="shared" si="287"/>
        <v>0</v>
      </c>
      <c r="AR99" s="169">
        <f t="shared" si="356"/>
        <v>0</v>
      </c>
      <c r="AS99" s="167">
        <f t="shared" si="362"/>
        <v>0</v>
      </c>
      <c r="AT99" s="167">
        <f t="shared" si="288"/>
        <v>0</v>
      </c>
      <c r="AU99" s="167">
        <f t="shared" si="363"/>
        <v>0</v>
      </c>
      <c r="AV99" s="167">
        <f t="shared" si="289"/>
        <v>0</v>
      </c>
      <c r="AW99" s="167">
        <f t="shared" si="364"/>
        <v>0</v>
      </c>
      <c r="AX99" s="167">
        <f t="shared" si="290"/>
        <v>0</v>
      </c>
      <c r="AY99" s="167">
        <f t="shared" si="365"/>
        <v>0</v>
      </c>
      <c r="AZ99" s="167">
        <f t="shared" si="291"/>
        <v>0</v>
      </c>
      <c r="BA99" s="167">
        <f t="shared" si="366"/>
        <v>0</v>
      </c>
      <c r="BB99" s="170">
        <f t="shared" si="292"/>
        <v>0</v>
      </c>
      <c r="BC99" s="167">
        <f t="shared" si="293"/>
        <v>0</v>
      </c>
      <c r="BD99" s="171">
        <f t="shared" si="294"/>
        <v>0</v>
      </c>
      <c r="BE99" s="169">
        <f t="shared" si="356"/>
        <v>0</v>
      </c>
      <c r="BF99" s="167">
        <f t="shared" si="367"/>
        <v>0</v>
      </c>
      <c r="BG99" s="167">
        <f t="shared" si="295"/>
        <v>0</v>
      </c>
      <c r="BH99" s="167">
        <f t="shared" si="368"/>
        <v>0</v>
      </c>
      <c r="BI99" s="167">
        <f t="shared" si="296"/>
        <v>0</v>
      </c>
      <c r="BJ99" s="167">
        <f t="shared" si="369"/>
        <v>0</v>
      </c>
      <c r="BK99" s="167">
        <f t="shared" si="297"/>
        <v>0</v>
      </c>
      <c r="BL99" s="167">
        <f t="shared" si="370"/>
        <v>0</v>
      </c>
      <c r="BM99" s="167">
        <f t="shared" si="298"/>
        <v>0</v>
      </c>
      <c r="BN99" s="167">
        <f t="shared" si="371"/>
        <v>0</v>
      </c>
      <c r="BO99" s="170">
        <f t="shared" si="299"/>
        <v>0</v>
      </c>
      <c r="BP99" s="167">
        <f t="shared" si="300"/>
        <v>0</v>
      </c>
      <c r="BQ99" s="171">
        <f t="shared" si="301"/>
        <v>0</v>
      </c>
      <c r="BR99" s="169">
        <f t="shared" si="356"/>
        <v>0</v>
      </c>
      <c r="BS99" s="167">
        <f t="shared" si="372"/>
        <v>0</v>
      </c>
      <c r="BT99" s="167">
        <f t="shared" si="302"/>
        <v>0</v>
      </c>
      <c r="BU99" s="167">
        <f t="shared" si="373"/>
        <v>0</v>
      </c>
      <c r="BV99" s="167">
        <f t="shared" si="303"/>
        <v>0</v>
      </c>
      <c r="BW99" s="167">
        <f t="shared" si="374"/>
        <v>0</v>
      </c>
      <c r="BX99" s="167">
        <f t="shared" si="304"/>
        <v>0</v>
      </c>
      <c r="BY99" s="167">
        <f t="shared" si="375"/>
        <v>0</v>
      </c>
      <c r="BZ99" s="167">
        <f t="shared" si="305"/>
        <v>0</v>
      </c>
      <c r="CA99" s="167">
        <f t="shared" si="376"/>
        <v>0</v>
      </c>
      <c r="CB99" s="170">
        <f t="shared" si="306"/>
        <v>0</v>
      </c>
      <c r="CC99" s="167">
        <f t="shared" si="307"/>
        <v>0</v>
      </c>
      <c r="CD99" s="171">
        <f t="shared" si="308"/>
        <v>0</v>
      </c>
      <c r="CE99" s="169">
        <f t="shared" si="356"/>
        <v>0</v>
      </c>
      <c r="CF99" s="167">
        <f t="shared" si="377"/>
        <v>0</v>
      </c>
      <c r="CG99" s="167">
        <f t="shared" si="309"/>
        <v>0</v>
      </c>
      <c r="CH99" s="167">
        <f t="shared" si="378"/>
        <v>0</v>
      </c>
      <c r="CI99" s="167">
        <f t="shared" si="310"/>
        <v>0</v>
      </c>
      <c r="CJ99" s="167">
        <f t="shared" si="379"/>
        <v>0</v>
      </c>
      <c r="CK99" s="167">
        <f t="shared" si="311"/>
        <v>0</v>
      </c>
      <c r="CL99" s="167">
        <f t="shared" si="380"/>
        <v>0</v>
      </c>
      <c r="CM99" s="167">
        <f t="shared" si="312"/>
        <v>0</v>
      </c>
      <c r="CN99" s="167">
        <f t="shared" si="381"/>
        <v>0</v>
      </c>
      <c r="CO99" s="170">
        <f t="shared" si="313"/>
        <v>0</v>
      </c>
      <c r="CP99" s="167">
        <f t="shared" si="314"/>
        <v>0</v>
      </c>
      <c r="CQ99" s="171">
        <f t="shared" si="315"/>
        <v>0</v>
      </c>
      <c r="CR99" s="169">
        <f t="shared" si="382"/>
        <v>0</v>
      </c>
      <c r="CS99" s="167">
        <f t="shared" si="383"/>
        <v>0</v>
      </c>
      <c r="CT99" s="167">
        <f t="shared" si="317"/>
        <v>0</v>
      </c>
      <c r="CU99" s="167">
        <f t="shared" si="384"/>
        <v>0</v>
      </c>
      <c r="CV99" s="167">
        <f t="shared" si="318"/>
        <v>0</v>
      </c>
      <c r="CW99" s="167">
        <f t="shared" si="385"/>
        <v>0</v>
      </c>
      <c r="CX99" s="167">
        <f t="shared" si="319"/>
        <v>0</v>
      </c>
      <c r="CY99" s="167">
        <f t="shared" si="386"/>
        <v>0</v>
      </c>
      <c r="CZ99" s="167">
        <f t="shared" si="320"/>
        <v>0</v>
      </c>
      <c r="DA99" s="167">
        <f t="shared" si="387"/>
        <v>0</v>
      </c>
      <c r="DB99" s="170">
        <f t="shared" si="321"/>
        <v>0</v>
      </c>
      <c r="DC99" s="167">
        <f t="shared" si="322"/>
        <v>0</v>
      </c>
      <c r="DD99" s="171">
        <f t="shared" si="323"/>
        <v>0</v>
      </c>
      <c r="DE99" s="169">
        <f t="shared" si="382"/>
        <v>0</v>
      </c>
      <c r="DF99" s="167">
        <f t="shared" si="388"/>
        <v>0</v>
      </c>
      <c r="DG99" s="167">
        <f t="shared" si="324"/>
        <v>0</v>
      </c>
      <c r="DH99" s="167">
        <f t="shared" si="389"/>
        <v>0</v>
      </c>
      <c r="DI99" s="167">
        <f t="shared" si="325"/>
        <v>0</v>
      </c>
      <c r="DJ99" s="167">
        <f t="shared" si="390"/>
        <v>0</v>
      </c>
      <c r="DK99" s="167">
        <f t="shared" si="326"/>
        <v>0</v>
      </c>
      <c r="DL99" s="167">
        <f t="shared" si="391"/>
        <v>0</v>
      </c>
      <c r="DM99" s="167">
        <f t="shared" si="327"/>
        <v>0</v>
      </c>
      <c r="DN99" s="167">
        <f t="shared" si="392"/>
        <v>0</v>
      </c>
      <c r="DO99" s="170">
        <f t="shared" si="328"/>
        <v>0</v>
      </c>
      <c r="DP99" s="167">
        <f t="shared" si="329"/>
        <v>0</v>
      </c>
      <c r="DQ99" s="171">
        <f t="shared" si="330"/>
        <v>0</v>
      </c>
      <c r="DR99" s="169">
        <f t="shared" si="382"/>
        <v>0</v>
      </c>
      <c r="DS99" s="167">
        <f t="shared" si="393"/>
        <v>0</v>
      </c>
      <c r="DT99" s="167">
        <f t="shared" si="331"/>
        <v>0</v>
      </c>
      <c r="DU99" s="167">
        <f t="shared" si="394"/>
        <v>0</v>
      </c>
      <c r="DV99" s="167">
        <f t="shared" si="332"/>
        <v>0</v>
      </c>
      <c r="DW99" s="167">
        <f t="shared" si="395"/>
        <v>0</v>
      </c>
      <c r="DX99" s="167">
        <f t="shared" si="333"/>
        <v>0</v>
      </c>
      <c r="DY99" s="167">
        <f t="shared" si="396"/>
        <v>0</v>
      </c>
      <c r="DZ99" s="167">
        <f t="shared" si="334"/>
        <v>0</v>
      </c>
      <c r="EA99" s="167">
        <f t="shared" si="397"/>
        <v>0</v>
      </c>
      <c r="EB99" s="170">
        <f t="shared" si="335"/>
        <v>0</v>
      </c>
      <c r="EC99" s="167">
        <f t="shared" si="336"/>
        <v>0</v>
      </c>
      <c r="ED99" s="171">
        <f t="shared" si="337"/>
        <v>0</v>
      </c>
    </row>
    <row r="100" spans="1:134" x14ac:dyDescent="0.3">
      <c r="A100" s="185"/>
      <c r="B100" s="186"/>
      <c r="C100" s="187"/>
      <c r="D100" s="188"/>
      <c r="E100" s="189"/>
      <c r="F100" s="190"/>
      <c r="G100" s="191"/>
      <c r="H100" s="192"/>
      <c r="I100" s="193"/>
      <c r="J100" s="194"/>
      <c r="K100" s="165">
        <f t="shared" si="338"/>
        <v>0</v>
      </c>
      <c r="L100" s="166">
        <f t="shared" si="339"/>
        <v>0</v>
      </c>
      <c r="M100" s="167">
        <f t="shared" si="340"/>
        <v>0</v>
      </c>
      <c r="N100" s="167"/>
      <c r="O100" s="167">
        <f t="shared" si="341"/>
        <v>0</v>
      </c>
      <c r="P100" s="168"/>
      <c r="Q100" s="167">
        <f t="shared" si="342"/>
        <v>0</v>
      </c>
      <c r="R100" s="169">
        <f t="shared" si="343"/>
        <v>0</v>
      </c>
      <c r="S100" s="167">
        <f t="shared" si="344"/>
        <v>0</v>
      </c>
      <c r="T100" s="167">
        <f t="shared" si="345"/>
        <v>0</v>
      </c>
      <c r="U100" s="167">
        <f t="shared" si="346"/>
        <v>0</v>
      </c>
      <c r="V100" s="167">
        <f t="shared" si="347"/>
        <v>0</v>
      </c>
      <c r="W100" s="167">
        <f t="shared" si="348"/>
        <v>0</v>
      </c>
      <c r="X100" s="167">
        <f t="shared" si="349"/>
        <v>0</v>
      </c>
      <c r="Y100" s="167">
        <f t="shared" si="350"/>
        <v>0</v>
      </c>
      <c r="Z100" s="167">
        <f t="shared" si="351"/>
        <v>0</v>
      </c>
      <c r="AA100" s="167">
        <f t="shared" si="352"/>
        <v>0</v>
      </c>
      <c r="AB100" s="170">
        <f t="shared" si="353"/>
        <v>0</v>
      </c>
      <c r="AC100" s="167">
        <f t="shared" si="354"/>
        <v>0</v>
      </c>
      <c r="AD100" s="171">
        <f t="shared" si="355"/>
        <v>0</v>
      </c>
      <c r="AE100" s="169">
        <f t="shared" si="356"/>
        <v>0</v>
      </c>
      <c r="AF100" s="167">
        <f t="shared" si="357"/>
        <v>0</v>
      </c>
      <c r="AG100" s="167">
        <f t="shared" si="281"/>
        <v>0</v>
      </c>
      <c r="AH100" s="167">
        <f t="shared" si="358"/>
        <v>0</v>
      </c>
      <c r="AI100" s="167">
        <f t="shared" si="282"/>
        <v>0</v>
      </c>
      <c r="AJ100" s="167">
        <f t="shared" si="359"/>
        <v>0</v>
      </c>
      <c r="AK100" s="167">
        <f t="shared" si="283"/>
        <v>0</v>
      </c>
      <c r="AL100" s="167">
        <f t="shared" si="360"/>
        <v>0</v>
      </c>
      <c r="AM100" s="167">
        <f t="shared" si="284"/>
        <v>0</v>
      </c>
      <c r="AN100" s="167">
        <f t="shared" si="361"/>
        <v>0</v>
      </c>
      <c r="AO100" s="170">
        <f t="shared" si="285"/>
        <v>0</v>
      </c>
      <c r="AP100" s="167">
        <f t="shared" si="286"/>
        <v>0</v>
      </c>
      <c r="AQ100" s="171">
        <f t="shared" si="287"/>
        <v>0</v>
      </c>
      <c r="AR100" s="169">
        <f t="shared" si="356"/>
        <v>0</v>
      </c>
      <c r="AS100" s="167">
        <f t="shared" si="362"/>
        <v>0</v>
      </c>
      <c r="AT100" s="167">
        <f t="shared" si="288"/>
        <v>0</v>
      </c>
      <c r="AU100" s="167">
        <f t="shared" si="363"/>
        <v>0</v>
      </c>
      <c r="AV100" s="167">
        <f t="shared" si="289"/>
        <v>0</v>
      </c>
      <c r="AW100" s="167">
        <f t="shared" si="364"/>
        <v>0</v>
      </c>
      <c r="AX100" s="167">
        <f t="shared" si="290"/>
        <v>0</v>
      </c>
      <c r="AY100" s="167">
        <f t="shared" si="365"/>
        <v>0</v>
      </c>
      <c r="AZ100" s="167">
        <f t="shared" si="291"/>
        <v>0</v>
      </c>
      <c r="BA100" s="167">
        <f t="shared" si="366"/>
        <v>0</v>
      </c>
      <c r="BB100" s="170">
        <f t="shared" si="292"/>
        <v>0</v>
      </c>
      <c r="BC100" s="167">
        <f t="shared" si="293"/>
        <v>0</v>
      </c>
      <c r="BD100" s="171">
        <f t="shared" si="294"/>
        <v>0</v>
      </c>
      <c r="BE100" s="169">
        <f t="shared" si="356"/>
        <v>0</v>
      </c>
      <c r="BF100" s="167">
        <f t="shared" si="367"/>
        <v>0</v>
      </c>
      <c r="BG100" s="167">
        <f t="shared" si="295"/>
        <v>0</v>
      </c>
      <c r="BH100" s="167">
        <f t="shared" si="368"/>
        <v>0</v>
      </c>
      <c r="BI100" s="167">
        <f t="shared" si="296"/>
        <v>0</v>
      </c>
      <c r="BJ100" s="167">
        <f t="shared" si="369"/>
        <v>0</v>
      </c>
      <c r="BK100" s="167">
        <f t="shared" si="297"/>
        <v>0</v>
      </c>
      <c r="BL100" s="167">
        <f t="shared" si="370"/>
        <v>0</v>
      </c>
      <c r="BM100" s="167">
        <f t="shared" si="298"/>
        <v>0</v>
      </c>
      <c r="BN100" s="167">
        <f t="shared" si="371"/>
        <v>0</v>
      </c>
      <c r="BO100" s="170">
        <f t="shared" si="299"/>
        <v>0</v>
      </c>
      <c r="BP100" s="167">
        <f t="shared" si="300"/>
        <v>0</v>
      </c>
      <c r="BQ100" s="171">
        <f t="shared" si="301"/>
        <v>0</v>
      </c>
      <c r="BR100" s="169">
        <f t="shared" si="356"/>
        <v>0</v>
      </c>
      <c r="BS100" s="167">
        <f t="shared" si="372"/>
        <v>0</v>
      </c>
      <c r="BT100" s="167">
        <f t="shared" si="302"/>
        <v>0</v>
      </c>
      <c r="BU100" s="167">
        <f t="shared" si="373"/>
        <v>0</v>
      </c>
      <c r="BV100" s="167">
        <f t="shared" si="303"/>
        <v>0</v>
      </c>
      <c r="BW100" s="167">
        <f t="shared" si="374"/>
        <v>0</v>
      </c>
      <c r="BX100" s="167">
        <f t="shared" si="304"/>
        <v>0</v>
      </c>
      <c r="BY100" s="167">
        <f t="shared" si="375"/>
        <v>0</v>
      </c>
      <c r="BZ100" s="167">
        <f t="shared" si="305"/>
        <v>0</v>
      </c>
      <c r="CA100" s="167">
        <f t="shared" si="376"/>
        <v>0</v>
      </c>
      <c r="CB100" s="170">
        <f t="shared" si="306"/>
        <v>0</v>
      </c>
      <c r="CC100" s="167">
        <f t="shared" si="307"/>
        <v>0</v>
      </c>
      <c r="CD100" s="171">
        <f t="shared" si="308"/>
        <v>0</v>
      </c>
      <c r="CE100" s="169">
        <f t="shared" si="356"/>
        <v>0</v>
      </c>
      <c r="CF100" s="167">
        <f t="shared" si="377"/>
        <v>0</v>
      </c>
      <c r="CG100" s="167">
        <f t="shared" si="309"/>
        <v>0</v>
      </c>
      <c r="CH100" s="167">
        <f t="shared" si="378"/>
        <v>0</v>
      </c>
      <c r="CI100" s="167">
        <f t="shared" si="310"/>
        <v>0</v>
      </c>
      <c r="CJ100" s="167">
        <f t="shared" si="379"/>
        <v>0</v>
      </c>
      <c r="CK100" s="167">
        <f t="shared" si="311"/>
        <v>0</v>
      </c>
      <c r="CL100" s="167">
        <f t="shared" si="380"/>
        <v>0</v>
      </c>
      <c r="CM100" s="167">
        <f t="shared" si="312"/>
        <v>0</v>
      </c>
      <c r="CN100" s="167">
        <f t="shared" si="381"/>
        <v>0</v>
      </c>
      <c r="CO100" s="170">
        <f t="shared" si="313"/>
        <v>0</v>
      </c>
      <c r="CP100" s="167">
        <f t="shared" si="314"/>
        <v>0</v>
      </c>
      <c r="CQ100" s="171">
        <f t="shared" si="315"/>
        <v>0</v>
      </c>
      <c r="CR100" s="169">
        <f t="shared" si="382"/>
        <v>0</v>
      </c>
      <c r="CS100" s="167">
        <f t="shared" si="383"/>
        <v>0</v>
      </c>
      <c r="CT100" s="167">
        <f t="shared" si="317"/>
        <v>0</v>
      </c>
      <c r="CU100" s="167">
        <f t="shared" si="384"/>
        <v>0</v>
      </c>
      <c r="CV100" s="167">
        <f t="shared" si="318"/>
        <v>0</v>
      </c>
      <c r="CW100" s="167">
        <f t="shared" si="385"/>
        <v>0</v>
      </c>
      <c r="CX100" s="167">
        <f t="shared" si="319"/>
        <v>0</v>
      </c>
      <c r="CY100" s="167">
        <f t="shared" si="386"/>
        <v>0</v>
      </c>
      <c r="CZ100" s="167">
        <f t="shared" si="320"/>
        <v>0</v>
      </c>
      <c r="DA100" s="167">
        <f t="shared" si="387"/>
        <v>0</v>
      </c>
      <c r="DB100" s="170">
        <f t="shared" si="321"/>
        <v>0</v>
      </c>
      <c r="DC100" s="167">
        <f t="shared" si="322"/>
        <v>0</v>
      </c>
      <c r="DD100" s="171">
        <f t="shared" si="323"/>
        <v>0</v>
      </c>
      <c r="DE100" s="169">
        <f t="shared" si="382"/>
        <v>0</v>
      </c>
      <c r="DF100" s="167">
        <f t="shared" si="388"/>
        <v>0</v>
      </c>
      <c r="DG100" s="167">
        <f t="shared" si="324"/>
        <v>0</v>
      </c>
      <c r="DH100" s="167">
        <f t="shared" si="389"/>
        <v>0</v>
      </c>
      <c r="DI100" s="167">
        <f t="shared" si="325"/>
        <v>0</v>
      </c>
      <c r="DJ100" s="167">
        <f t="shared" si="390"/>
        <v>0</v>
      </c>
      <c r="DK100" s="167">
        <f t="shared" si="326"/>
        <v>0</v>
      </c>
      <c r="DL100" s="167">
        <f t="shared" si="391"/>
        <v>0</v>
      </c>
      <c r="DM100" s="167">
        <f t="shared" si="327"/>
        <v>0</v>
      </c>
      <c r="DN100" s="167">
        <f t="shared" si="392"/>
        <v>0</v>
      </c>
      <c r="DO100" s="170">
        <f t="shared" si="328"/>
        <v>0</v>
      </c>
      <c r="DP100" s="167">
        <f t="shared" si="329"/>
        <v>0</v>
      </c>
      <c r="DQ100" s="171">
        <f t="shared" si="330"/>
        <v>0</v>
      </c>
      <c r="DR100" s="169">
        <f t="shared" si="382"/>
        <v>0</v>
      </c>
      <c r="DS100" s="167">
        <f t="shared" si="393"/>
        <v>0</v>
      </c>
      <c r="DT100" s="167">
        <f t="shared" si="331"/>
        <v>0</v>
      </c>
      <c r="DU100" s="167">
        <f t="shared" si="394"/>
        <v>0</v>
      </c>
      <c r="DV100" s="167">
        <f t="shared" si="332"/>
        <v>0</v>
      </c>
      <c r="DW100" s="167">
        <f t="shared" si="395"/>
        <v>0</v>
      </c>
      <c r="DX100" s="167">
        <f t="shared" si="333"/>
        <v>0</v>
      </c>
      <c r="DY100" s="167">
        <f t="shared" si="396"/>
        <v>0</v>
      </c>
      <c r="DZ100" s="167">
        <f t="shared" si="334"/>
        <v>0</v>
      </c>
      <c r="EA100" s="167">
        <f t="shared" si="397"/>
        <v>0</v>
      </c>
      <c r="EB100" s="170">
        <f t="shared" si="335"/>
        <v>0</v>
      </c>
      <c r="EC100" s="167">
        <f t="shared" si="336"/>
        <v>0</v>
      </c>
      <c r="ED100" s="171">
        <f t="shared" si="337"/>
        <v>0</v>
      </c>
    </row>
    <row r="101" spans="1:134" x14ac:dyDescent="0.3">
      <c r="A101" s="185"/>
      <c r="B101" s="186"/>
      <c r="C101" s="187"/>
      <c r="D101" s="188"/>
      <c r="E101" s="189"/>
      <c r="F101" s="190"/>
      <c r="G101" s="191"/>
      <c r="H101" s="192"/>
      <c r="I101" s="193"/>
      <c r="J101" s="194"/>
      <c r="K101" s="165">
        <f t="shared" si="338"/>
        <v>0</v>
      </c>
      <c r="L101" s="166">
        <f t="shared" si="339"/>
        <v>0</v>
      </c>
      <c r="M101" s="167">
        <f t="shared" si="340"/>
        <v>0</v>
      </c>
      <c r="N101" s="167"/>
      <c r="O101" s="167">
        <f t="shared" si="341"/>
        <v>0</v>
      </c>
      <c r="P101" s="168"/>
      <c r="Q101" s="167">
        <f t="shared" si="342"/>
        <v>0</v>
      </c>
      <c r="R101" s="169">
        <f t="shared" si="343"/>
        <v>0</v>
      </c>
      <c r="S101" s="167">
        <f t="shared" si="344"/>
        <v>0</v>
      </c>
      <c r="T101" s="167">
        <f t="shared" si="345"/>
        <v>0</v>
      </c>
      <c r="U101" s="167">
        <f t="shared" si="346"/>
        <v>0</v>
      </c>
      <c r="V101" s="167">
        <f t="shared" si="347"/>
        <v>0</v>
      </c>
      <c r="W101" s="167">
        <f t="shared" si="348"/>
        <v>0</v>
      </c>
      <c r="X101" s="167">
        <f t="shared" si="349"/>
        <v>0</v>
      </c>
      <c r="Y101" s="167">
        <f t="shared" si="350"/>
        <v>0</v>
      </c>
      <c r="Z101" s="167">
        <f t="shared" si="351"/>
        <v>0</v>
      </c>
      <c r="AA101" s="167">
        <f t="shared" si="352"/>
        <v>0</v>
      </c>
      <c r="AB101" s="170">
        <f t="shared" si="353"/>
        <v>0</v>
      </c>
      <c r="AC101" s="167">
        <f t="shared" si="354"/>
        <v>0</v>
      </c>
      <c r="AD101" s="171">
        <f t="shared" si="355"/>
        <v>0</v>
      </c>
      <c r="AE101" s="169">
        <f t="shared" ref="AE101:CE116" si="398">IF(YEAR($F101)=AE$4,$E101,0)</f>
        <v>0</v>
      </c>
      <c r="AF101" s="167">
        <f t="shared" si="357"/>
        <v>0</v>
      </c>
      <c r="AG101" s="167">
        <f t="shared" si="281"/>
        <v>0</v>
      </c>
      <c r="AH101" s="167">
        <f t="shared" si="358"/>
        <v>0</v>
      </c>
      <c r="AI101" s="167">
        <f t="shared" si="282"/>
        <v>0</v>
      </c>
      <c r="AJ101" s="167">
        <f t="shared" si="359"/>
        <v>0</v>
      </c>
      <c r="AK101" s="167">
        <f t="shared" si="283"/>
        <v>0</v>
      </c>
      <c r="AL101" s="167">
        <f t="shared" si="360"/>
        <v>0</v>
      </c>
      <c r="AM101" s="167">
        <f t="shared" si="284"/>
        <v>0</v>
      </c>
      <c r="AN101" s="167">
        <f t="shared" si="361"/>
        <v>0</v>
      </c>
      <c r="AO101" s="170">
        <f t="shared" si="285"/>
        <v>0</v>
      </c>
      <c r="AP101" s="167">
        <f t="shared" si="286"/>
        <v>0</v>
      </c>
      <c r="AQ101" s="171">
        <f t="shared" si="287"/>
        <v>0</v>
      </c>
      <c r="AR101" s="169">
        <f t="shared" si="398"/>
        <v>0</v>
      </c>
      <c r="AS101" s="167">
        <f t="shared" si="362"/>
        <v>0</v>
      </c>
      <c r="AT101" s="167">
        <f t="shared" si="288"/>
        <v>0</v>
      </c>
      <c r="AU101" s="167">
        <f t="shared" si="363"/>
        <v>0</v>
      </c>
      <c r="AV101" s="167">
        <f t="shared" si="289"/>
        <v>0</v>
      </c>
      <c r="AW101" s="167">
        <f t="shared" si="364"/>
        <v>0</v>
      </c>
      <c r="AX101" s="167">
        <f t="shared" si="290"/>
        <v>0</v>
      </c>
      <c r="AY101" s="167">
        <f t="shared" si="365"/>
        <v>0</v>
      </c>
      <c r="AZ101" s="167">
        <f t="shared" si="291"/>
        <v>0</v>
      </c>
      <c r="BA101" s="167">
        <f t="shared" si="366"/>
        <v>0</v>
      </c>
      <c r="BB101" s="170">
        <f t="shared" si="292"/>
        <v>0</v>
      </c>
      <c r="BC101" s="167">
        <f t="shared" si="293"/>
        <v>0</v>
      </c>
      <c r="BD101" s="171">
        <f t="shared" si="294"/>
        <v>0</v>
      </c>
      <c r="BE101" s="169">
        <f t="shared" si="398"/>
        <v>0</v>
      </c>
      <c r="BF101" s="167">
        <f t="shared" si="367"/>
        <v>0</v>
      </c>
      <c r="BG101" s="167">
        <f t="shared" si="295"/>
        <v>0</v>
      </c>
      <c r="BH101" s="167">
        <f t="shared" si="368"/>
        <v>0</v>
      </c>
      <c r="BI101" s="167">
        <f t="shared" si="296"/>
        <v>0</v>
      </c>
      <c r="BJ101" s="167">
        <f t="shared" si="369"/>
        <v>0</v>
      </c>
      <c r="BK101" s="167">
        <f t="shared" si="297"/>
        <v>0</v>
      </c>
      <c r="BL101" s="167">
        <f t="shared" si="370"/>
        <v>0</v>
      </c>
      <c r="BM101" s="167">
        <f t="shared" si="298"/>
        <v>0</v>
      </c>
      <c r="BN101" s="167">
        <f t="shared" si="371"/>
        <v>0</v>
      </c>
      <c r="BO101" s="170">
        <f t="shared" si="299"/>
        <v>0</v>
      </c>
      <c r="BP101" s="167">
        <f t="shared" si="300"/>
        <v>0</v>
      </c>
      <c r="BQ101" s="171">
        <f t="shared" si="301"/>
        <v>0</v>
      </c>
      <c r="BR101" s="169">
        <f t="shared" si="398"/>
        <v>0</v>
      </c>
      <c r="BS101" s="167">
        <f t="shared" si="372"/>
        <v>0</v>
      </c>
      <c r="BT101" s="167">
        <f t="shared" si="302"/>
        <v>0</v>
      </c>
      <c r="BU101" s="167">
        <f t="shared" si="373"/>
        <v>0</v>
      </c>
      <c r="BV101" s="167">
        <f t="shared" si="303"/>
        <v>0</v>
      </c>
      <c r="BW101" s="167">
        <f t="shared" si="374"/>
        <v>0</v>
      </c>
      <c r="BX101" s="167">
        <f t="shared" si="304"/>
        <v>0</v>
      </c>
      <c r="BY101" s="167">
        <f t="shared" si="375"/>
        <v>0</v>
      </c>
      <c r="BZ101" s="167">
        <f t="shared" si="305"/>
        <v>0</v>
      </c>
      <c r="CA101" s="167">
        <f t="shared" si="376"/>
        <v>0</v>
      </c>
      <c r="CB101" s="170">
        <f t="shared" si="306"/>
        <v>0</v>
      </c>
      <c r="CC101" s="167">
        <f t="shared" si="307"/>
        <v>0</v>
      </c>
      <c r="CD101" s="171">
        <f t="shared" si="308"/>
        <v>0</v>
      </c>
      <c r="CE101" s="169">
        <f t="shared" si="398"/>
        <v>0</v>
      </c>
      <c r="CF101" s="167">
        <f t="shared" si="377"/>
        <v>0</v>
      </c>
      <c r="CG101" s="167">
        <f t="shared" si="309"/>
        <v>0</v>
      </c>
      <c r="CH101" s="167">
        <f t="shared" si="378"/>
        <v>0</v>
      </c>
      <c r="CI101" s="167">
        <f t="shared" si="310"/>
        <v>0</v>
      </c>
      <c r="CJ101" s="167">
        <f t="shared" si="379"/>
        <v>0</v>
      </c>
      <c r="CK101" s="167">
        <f t="shared" si="311"/>
        <v>0</v>
      </c>
      <c r="CL101" s="167">
        <f t="shared" si="380"/>
        <v>0</v>
      </c>
      <c r="CM101" s="167">
        <f t="shared" si="312"/>
        <v>0</v>
      </c>
      <c r="CN101" s="167">
        <f t="shared" si="381"/>
        <v>0</v>
      </c>
      <c r="CO101" s="170">
        <f t="shared" si="313"/>
        <v>0</v>
      </c>
      <c r="CP101" s="167">
        <f t="shared" si="314"/>
        <v>0</v>
      </c>
      <c r="CQ101" s="171">
        <f t="shared" si="315"/>
        <v>0</v>
      </c>
      <c r="CR101" s="169">
        <f t="shared" ref="CR101:DR116" si="399">IF(YEAR($F101)=CR$4,$E101,0)</f>
        <v>0</v>
      </c>
      <c r="CS101" s="167">
        <f t="shared" si="383"/>
        <v>0</v>
      </c>
      <c r="CT101" s="167">
        <f t="shared" si="317"/>
        <v>0</v>
      </c>
      <c r="CU101" s="167">
        <f t="shared" si="384"/>
        <v>0</v>
      </c>
      <c r="CV101" s="167">
        <f t="shared" si="318"/>
        <v>0</v>
      </c>
      <c r="CW101" s="167">
        <f t="shared" si="385"/>
        <v>0</v>
      </c>
      <c r="CX101" s="167">
        <f t="shared" si="319"/>
        <v>0</v>
      </c>
      <c r="CY101" s="167">
        <f t="shared" si="386"/>
        <v>0</v>
      </c>
      <c r="CZ101" s="167">
        <f t="shared" si="320"/>
        <v>0</v>
      </c>
      <c r="DA101" s="167">
        <f t="shared" si="387"/>
        <v>0</v>
      </c>
      <c r="DB101" s="170">
        <f t="shared" si="321"/>
        <v>0</v>
      </c>
      <c r="DC101" s="167">
        <f t="shared" si="322"/>
        <v>0</v>
      </c>
      <c r="DD101" s="171">
        <f t="shared" si="323"/>
        <v>0</v>
      </c>
      <c r="DE101" s="169">
        <f t="shared" si="399"/>
        <v>0</v>
      </c>
      <c r="DF101" s="167">
        <f t="shared" si="388"/>
        <v>0</v>
      </c>
      <c r="DG101" s="167">
        <f t="shared" si="324"/>
        <v>0</v>
      </c>
      <c r="DH101" s="167">
        <f t="shared" si="389"/>
        <v>0</v>
      </c>
      <c r="DI101" s="167">
        <f t="shared" si="325"/>
        <v>0</v>
      </c>
      <c r="DJ101" s="167">
        <f t="shared" si="390"/>
        <v>0</v>
      </c>
      <c r="DK101" s="167">
        <f t="shared" si="326"/>
        <v>0</v>
      </c>
      <c r="DL101" s="167">
        <f t="shared" si="391"/>
        <v>0</v>
      </c>
      <c r="DM101" s="167">
        <f t="shared" si="327"/>
        <v>0</v>
      </c>
      <c r="DN101" s="167">
        <f t="shared" si="392"/>
        <v>0</v>
      </c>
      <c r="DO101" s="170">
        <f t="shared" si="328"/>
        <v>0</v>
      </c>
      <c r="DP101" s="167">
        <f t="shared" si="329"/>
        <v>0</v>
      </c>
      <c r="DQ101" s="171">
        <f t="shared" si="330"/>
        <v>0</v>
      </c>
      <c r="DR101" s="169">
        <f t="shared" si="399"/>
        <v>0</v>
      </c>
      <c r="DS101" s="167">
        <f t="shared" si="393"/>
        <v>0</v>
      </c>
      <c r="DT101" s="167">
        <f t="shared" si="331"/>
        <v>0</v>
      </c>
      <c r="DU101" s="167">
        <f t="shared" si="394"/>
        <v>0</v>
      </c>
      <c r="DV101" s="167">
        <f t="shared" si="332"/>
        <v>0</v>
      </c>
      <c r="DW101" s="167">
        <f t="shared" si="395"/>
        <v>0</v>
      </c>
      <c r="DX101" s="167">
        <f t="shared" si="333"/>
        <v>0</v>
      </c>
      <c r="DY101" s="167">
        <f t="shared" si="396"/>
        <v>0</v>
      </c>
      <c r="DZ101" s="167">
        <f t="shared" si="334"/>
        <v>0</v>
      </c>
      <c r="EA101" s="167">
        <f t="shared" si="397"/>
        <v>0</v>
      </c>
      <c r="EB101" s="170">
        <f t="shared" si="335"/>
        <v>0</v>
      </c>
      <c r="EC101" s="167">
        <f t="shared" si="336"/>
        <v>0</v>
      </c>
      <c r="ED101" s="171">
        <f t="shared" si="337"/>
        <v>0</v>
      </c>
    </row>
    <row r="102" spans="1:134" x14ac:dyDescent="0.3">
      <c r="A102" s="185"/>
      <c r="B102" s="186"/>
      <c r="C102" s="187"/>
      <c r="D102" s="188"/>
      <c r="E102" s="189"/>
      <c r="F102" s="190"/>
      <c r="G102" s="191"/>
      <c r="H102" s="192"/>
      <c r="I102" s="193"/>
      <c r="J102" s="194"/>
      <c r="K102" s="165">
        <f t="shared" si="338"/>
        <v>0</v>
      </c>
      <c r="L102" s="166">
        <f t="shared" si="339"/>
        <v>0</v>
      </c>
      <c r="M102" s="167">
        <f t="shared" si="340"/>
        <v>0</v>
      </c>
      <c r="N102" s="167"/>
      <c r="O102" s="167">
        <f t="shared" si="341"/>
        <v>0</v>
      </c>
      <c r="P102" s="168"/>
      <c r="Q102" s="167">
        <f t="shared" si="342"/>
        <v>0</v>
      </c>
      <c r="R102" s="169">
        <f t="shared" si="343"/>
        <v>0</v>
      </c>
      <c r="S102" s="167">
        <f t="shared" si="344"/>
        <v>0</v>
      </c>
      <c r="T102" s="167">
        <f t="shared" si="345"/>
        <v>0</v>
      </c>
      <c r="U102" s="167">
        <f t="shared" si="346"/>
        <v>0</v>
      </c>
      <c r="V102" s="167">
        <f t="shared" si="347"/>
        <v>0</v>
      </c>
      <c r="W102" s="167">
        <f t="shared" si="348"/>
        <v>0</v>
      </c>
      <c r="X102" s="167">
        <f t="shared" si="349"/>
        <v>0</v>
      </c>
      <c r="Y102" s="167">
        <f t="shared" si="350"/>
        <v>0</v>
      </c>
      <c r="Z102" s="167">
        <f t="shared" si="351"/>
        <v>0</v>
      </c>
      <c r="AA102" s="167">
        <f t="shared" si="352"/>
        <v>0</v>
      </c>
      <c r="AB102" s="170">
        <f t="shared" si="353"/>
        <v>0</v>
      </c>
      <c r="AC102" s="167">
        <f t="shared" si="354"/>
        <v>0</v>
      </c>
      <c r="AD102" s="171">
        <f t="shared" si="355"/>
        <v>0</v>
      </c>
      <c r="AE102" s="169">
        <f t="shared" si="398"/>
        <v>0</v>
      </c>
      <c r="AF102" s="167">
        <f t="shared" si="357"/>
        <v>0</v>
      </c>
      <c r="AG102" s="167">
        <f t="shared" si="281"/>
        <v>0</v>
      </c>
      <c r="AH102" s="167">
        <f t="shared" si="358"/>
        <v>0</v>
      </c>
      <c r="AI102" s="167">
        <f t="shared" si="282"/>
        <v>0</v>
      </c>
      <c r="AJ102" s="167">
        <f t="shared" si="359"/>
        <v>0</v>
      </c>
      <c r="AK102" s="167">
        <f t="shared" si="283"/>
        <v>0</v>
      </c>
      <c r="AL102" s="167">
        <f t="shared" si="360"/>
        <v>0</v>
      </c>
      <c r="AM102" s="167">
        <f t="shared" si="284"/>
        <v>0</v>
      </c>
      <c r="AN102" s="167">
        <f t="shared" si="361"/>
        <v>0</v>
      </c>
      <c r="AO102" s="170">
        <f t="shared" si="285"/>
        <v>0</v>
      </c>
      <c r="AP102" s="167">
        <f t="shared" si="286"/>
        <v>0</v>
      </c>
      <c r="AQ102" s="171">
        <f t="shared" si="287"/>
        <v>0</v>
      </c>
      <c r="AR102" s="169">
        <f t="shared" si="398"/>
        <v>0</v>
      </c>
      <c r="AS102" s="167">
        <f t="shared" si="362"/>
        <v>0</v>
      </c>
      <c r="AT102" s="167">
        <f t="shared" si="288"/>
        <v>0</v>
      </c>
      <c r="AU102" s="167">
        <f t="shared" si="363"/>
        <v>0</v>
      </c>
      <c r="AV102" s="167">
        <f t="shared" si="289"/>
        <v>0</v>
      </c>
      <c r="AW102" s="167">
        <f t="shared" si="364"/>
        <v>0</v>
      </c>
      <c r="AX102" s="167">
        <f t="shared" si="290"/>
        <v>0</v>
      </c>
      <c r="AY102" s="167">
        <f t="shared" si="365"/>
        <v>0</v>
      </c>
      <c r="AZ102" s="167">
        <f t="shared" si="291"/>
        <v>0</v>
      </c>
      <c r="BA102" s="167">
        <f t="shared" si="366"/>
        <v>0</v>
      </c>
      <c r="BB102" s="170">
        <f t="shared" si="292"/>
        <v>0</v>
      </c>
      <c r="BC102" s="167">
        <f t="shared" si="293"/>
        <v>0</v>
      </c>
      <c r="BD102" s="171">
        <f t="shared" si="294"/>
        <v>0</v>
      </c>
      <c r="BE102" s="169">
        <f t="shared" si="398"/>
        <v>0</v>
      </c>
      <c r="BF102" s="167">
        <f t="shared" si="367"/>
        <v>0</v>
      </c>
      <c r="BG102" s="167">
        <f t="shared" si="295"/>
        <v>0</v>
      </c>
      <c r="BH102" s="167">
        <f t="shared" si="368"/>
        <v>0</v>
      </c>
      <c r="BI102" s="167">
        <f t="shared" si="296"/>
        <v>0</v>
      </c>
      <c r="BJ102" s="167">
        <f t="shared" si="369"/>
        <v>0</v>
      </c>
      <c r="BK102" s="167">
        <f t="shared" si="297"/>
        <v>0</v>
      </c>
      <c r="BL102" s="167">
        <f t="shared" si="370"/>
        <v>0</v>
      </c>
      <c r="BM102" s="167">
        <f t="shared" si="298"/>
        <v>0</v>
      </c>
      <c r="BN102" s="167">
        <f t="shared" si="371"/>
        <v>0</v>
      </c>
      <c r="BO102" s="170">
        <f t="shared" si="299"/>
        <v>0</v>
      </c>
      <c r="BP102" s="167">
        <f t="shared" si="300"/>
        <v>0</v>
      </c>
      <c r="BQ102" s="171">
        <f t="shared" si="301"/>
        <v>0</v>
      </c>
      <c r="BR102" s="169">
        <f t="shared" si="398"/>
        <v>0</v>
      </c>
      <c r="BS102" s="167">
        <f t="shared" si="372"/>
        <v>0</v>
      </c>
      <c r="BT102" s="167">
        <f t="shared" si="302"/>
        <v>0</v>
      </c>
      <c r="BU102" s="167">
        <f t="shared" si="373"/>
        <v>0</v>
      </c>
      <c r="BV102" s="167">
        <f t="shared" si="303"/>
        <v>0</v>
      </c>
      <c r="BW102" s="167">
        <f t="shared" si="374"/>
        <v>0</v>
      </c>
      <c r="BX102" s="167">
        <f t="shared" si="304"/>
        <v>0</v>
      </c>
      <c r="BY102" s="167">
        <f t="shared" si="375"/>
        <v>0</v>
      </c>
      <c r="BZ102" s="167">
        <f t="shared" si="305"/>
        <v>0</v>
      </c>
      <c r="CA102" s="167">
        <f t="shared" si="376"/>
        <v>0</v>
      </c>
      <c r="CB102" s="170">
        <f t="shared" si="306"/>
        <v>0</v>
      </c>
      <c r="CC102" s="167">
        <f t="shared" si="307"/>
        <v>0</v>
      </c>
      <c r="CD102" s="171">
        <f t="shared" si="308"/>
        <v>0</v>
      </c>
      <c r="CE102" s="169">
        <f t="shared" si="398"/>
        <v>0</v>
      </c>
      <c r="CF102" s="167">
        <f t="shared" si="377"/>
        <v>0</v>
      </c>
      <c r="CG102" s="167">
        <f t="shared" si="309"/>
        <v>0</v>
      </c>
      <c r="CH102" s="167">
        <f t="shared" si="378"/>
        <v>0</v>
      </c>
      <c r="CI102" s="167">
        <f t="shared" si="310"/>
        <v>0</v>
      </c>
      <c r="CJ102" s="167">
        <f t="shared" si="379"/>
        <v>0</v>
      </c>
      <c r="CK102" s="167">
        <f t="shared" si="311"/>
        <v>0</v>
      </c>
      <c r="CL102" s="167">
        <f t="shared" si="380"/>
        <v>0</v>
      </c>
      <c r="CM102" s="167">
        <f t="shared" si="312"/>
        <v>0</v>
      </c>
      <c r="CN102" s="167">
        <f t="shared" si="381"/>
        <v>0</v>
      </c>
      <c r="CO102" s="170">
        <f t="shared" si="313"/>
        <v>0</v>
      </c>
      <c r="CP102" s="167">
        <f t="shared" si="314"/>
        <v>0</v>
      </c>
      <c r="CQ102" s="171">
        <f t="shared" si="315"/>
        <v>0</v>
      </c>
      <c r="CR102" s="169">
        <f t="shared" si="399"/>
        <v>0</v>
      </c>
      <c r="CS102" s="167">
        <f t="shared" si="383"/>
        <v>0</v>
      </c>
      <c r="CT102" s="167">
        <f t="shared" si="317"/>
        <v>0</v>
      </c>
      <c r="CU102" s="167">
        <f t="shared" si="384"/>
        <v>0</v>
      </c>
      <c r="CV102" s="167">
        <f t="shared" si="318"/>
        <v>0</v>
      </c>
      <c r="CW102" s="167">
        <f t="shared" si="385"/>
        <v>0</v>
      </c>
      <c r="CX102" s="167">
        <f t="shared" si="319"/>
        <v>0</v>
      </c>
      <c r="CY102" s="167">
        <f t="shared" si="386"/>
        <v>0</v>
      </c>
      <c r="CZ102" s="167">
        <f t="shared" si="320"/>
        <v>0</v>
      </c>
      <c r="DA102" s="167">
        <f t="shared" si="387"/>
        <v>0</v>
      </c>
      <c r="DB102" s="170">
        <f t="shared" si="321"/>
        <v>0</v>
      </c>
      <c r="DC102" s="167">
        <f t="shared" si="322"/>
        <v>0</v>
      </c>
      <c r="DD102" s="171">
        <f t="shared" si="323"/>
        <v>0</v>
      </c>
      <c r="DE102" s="169">
        <f t="shared" si="399"/>
        <v>0</v>
      </c>
      <c r="DF102" s="167">
        <f t="shared" si="388"/>
        <v>0</v>
      </c>
      <c r="DG102" s="167">
        <f t="shared" si="324"/>
        <v>0</v>
      </c>
      <c r="DH102" s="167">
        <f t="shared" si="389"/>
        <v>0</v>
      </c>
      <c r="DI102" s="167">
        <f t="shared" si="325"/>
        <v>0</v>
      </c>
      <c r="DJ102" s="167">
        <f t="shared" si="390"/>
        <v>0</v>
      </c>
      <c r="DK102" s="167">
        <f t="shared" si="326"/>
        <v>0</v>
      </c>
      <c r="DL102" s="167">
        <f t="shared" si="391"/>
        <v>0</v>
      </c>
      <c r="DM102" s="167">
        <f t="shared" si="327"/>
        <v>0</v>
      </c>
      <c r="DN102" s="167">
        <f t="shared" si="392"/>
        <v>0</v>
      </c>
      <c r="DO102" s="170">
        <f t="shared" si="328"/>
        <v>0</v>
      </c>
      <c r="DP102" s="167">
        <f t="shared" si="329"/>
        <v>0</v>
      </c>
      <c r="DQ102" s="171">
        <f t="shared" si="330"/>
        <v>0</v>
      </c>
      <c r="DR102" s="169">
        <f t="shared" si="399"/>
        <v>0</v>
      </c>
      <c r="DS102" s="167">
        <f t="shared" si="393"/>
        <v>0</v>
      </c>
      <c r="DT102" s="167">
        <f t="shared" si="331"/>
        <v>0</v>
      </c>
      <c r="DU102" s="167">
        <f t="shared" si="394"/>
        <v>0</v>
      </c>
      <c r="DV102" s="167">
        <f t="shared" si="332"/>
        <v>0</v>
      </c>
      <c r="DW102" s="167">
        <f t="shared" si="395"/>
        <v>0</v>
      </c>
      <c r="DX102" s="167">
        <f t="shared" si="333"/>
        <v>0</v>
      </c>
      <c r="DY102" s="167">
        <f t="shared" si="396"/>
        <v>0</v>
      </c>
      <c r="DZ102" s="167">
        <f t="shared" si="334"/>
        <v>0</v>
      </c>
      <c r="EA102" s="167">
        <f t="shared" si="397"/>
        <v>0</v>
      </c>
      <c r="EB102" s="170">
        <f t="shared" si="335"/>
        <v>0</v>
      </c>
      <c r="EC102" s="167">
        <f t="shared" si="336"/>
        <v>0</v>
      </c>
      <c r="ED102" s="171">
        <f t="shared" si="337"/>
        <v>0</v>
      </c>
    </row>
    <row r="103" spans="1:134" x14ac:dyDescent="0.3">
      <c r="A103" s="185"/>
      <c r="B103" s="186"/>
      <c r="C103" s="187"/>
      <c r="D103" s="188"/>
      <c r="E103" s="189"/>
      <c r="F103" s="190"/>
      <c r="G103" s="191"/>
      <c r="H103" s="192"/>
      <c r="I103" s="193"/>
      <c r="J103" s="194"/>
      <c r="K103" s="165">
        <f t="shared" si="338"/>
        <v>0</v>
      </c>
      <c r="L103" s="166">
        <f t="shared" si="339"/>
        <v>0</v>
      </c>
      <c r="M103" s="167">
        <f t="shared" si="340"/>
        <v>0</v>
      </c>
      <c r="N103" s="167"/>
      <c r="O103" s="167">
        <f t="shared" si="341"/>
        <v>0</v>
      </c>
      <c r="P103" s="168"/>
      <c r="Q103" s="167">
        <f t="shared" si="342"/>
        <v>0</v>
      </c>
      <c r="R103" s="169">
        <f t="shared" si="343"/>
        <v>0</v>
      </c>
      <c r="S103" s="167">
        <f t="shared" si="344"/>
        <v>0</v>
      </c>
      <c r="T103" s="167">
        <f t="shared" si="345"/>
        <v>0</v>
      </c>
      <c r="U103" s="167">
        <f t="shared" si="346"/>
        <v>0</v>
      </c>
      <c r="V103" s="167">
        <f t="shared" si="347"/>
        <v>0</v>
      </c>
      <c r="W103" s="167">
        <f t="shared" si="348"/>
        <v>0</v>
      </c>
      <c r="X103" s="167">
        <f t="shared" si="349"/>
        <v>0</v>
      </c>
      <c r="Y103" s="167">
        <f t="shared" si="350"/>
        <v>0</v>
      </c>
      <c r="Z103" s="167">
        <f t="shared" si="351"/>
        <v>0</v>
      </c>
      <c r="AA103" s="167">
        <f t="shared" si="352"/>
        <v>0</v>
      </c>
      <c r="AB103" s="170">
        <f t="shared" si="353"/>
        <v>0</v>
      </c>
      <c r="AC103" s="167">
        <f t="shared" si="354"/>
        <v>0</v>
      </c>
      <c r="AD103" s="171">
        <f t="shared" si="355"/>
        <v>0</v>
      </c>
      <c r="AE103" s="169">
        <f t="shared" si="398"/>
        <v>0</v>
      </c>
      <c r="AF103" s="167">
        <f t="shared" si="357"/>
        <v>0</v>
      </c>
      <c r="AG103" s="167">
        <f t="shared" si="281"/>
        <v>0</v>
      </c>
      <c r="AH103" s="167">
        <f t="shared" si="358"/>
        <v>0</v>
      </c>
      <c r="AI103" s="167">
        <f t="shared" si="282"/>
        <v>0</v>
      </c>
      <c r="AJ103" s="167">
        <f t="shared" si="359"/>
        <v>0</v>
      </c>
      <c r="AK103" s="167">
        <f t="shared" si="283"/>
        <v>0</v>
      </c>
      <c r="AL103" s="167">
        <f t="shared" si="360"/>
        <v>0</v>
      </c>
      <c r="AM103" s="167">
        <f t="shared" si="284"/>
        <v>0</v>
      </c>
      <c r="AN103" s="167">
        <f t="shared" si="361"/>
        <v>0</v>
      </c>
      <c r="AO103" s="170">
        <f t="shared" si="285"/>
        <v>0</v>
      </c>
      <c r="AP103" s="167">
        <f t="shared" si="286"/>
        <v>0</v>
      </c>
      <c r="AQ103" s="171">
        <f t="shared" si="287"/>
        <v>0</v>
      </c>
      <c r="AR103" s="169">
        <f t="shared" si="398"/>
        <v>0</v>
      </c>
      <c r="AS103" s="167">
        <f t="shared" si="362"/>
        <v>0</v>
      </c>
      <c r="AT103" s="167">
        <f t="shared" si="288"/>
        <v>0</v>
      </c>
      <c r="AU103" s="167">
        <f t="shared" si="363"/>
        <v>0</v>
      </c>
      <c r="AV103" s="167">
        <f t="shared" si="289"/>
        <v>0</v>
      </c>
      <c r="AW103" s="167">
        <f t="shared" si="364"/>
        <v>0</v>
      </c>
      <c r="AX103" s="167">
        <f t="shared" si="290"/>
        <v>0</v>
      </c>
      <c r="AY103" s="167">
        <f t="shared" si="365"/>
        <v>0</v>
      </c>
      <c r="AZ103" s="167">
        <f t="shared" si="291"/>
        <v>0</v>
      </c>
      <c r="BA103" s="167">
        <f t="shared" si="366"/>
        <v>0</v>
      </c>
      <c r="BB103" s="170">
        <f t="shared" si="292"/>
        <v>0</v>
      </c>
      <c r="BC103" s="167">
        <f t="shared" si="293"/>
        <v>0</v>
      </c>
      <c r="BD103" s="171">
        <f t="shared" si="294"/>
        <v>0</v>
      </c>
      <c r="BE103" s="169">
        <f t="shared" si="398"/>
        <v>0</v>
      </c>
      <c r="BF103" s="167">
        <f t="shared" si="367"/>
        <v>0</v>
      </c>
      <c r="BG103" s="167">
        <f t="shared" si="295"/>
        <v>0</v>
      </c>
      <c r="BH103" s="167">
        <f t="shared" si="368"/>
        <v>0</v>
      </c>
      <c r="BI103" s="167">
        <f t="shared" si="296"/>
        <v>0</v>
      </c>
      <c r="BJ103" s="167">
        <f t="shared" si="369"/>
        <v>0</v>
      </c>
      <c r="BK103" s="167">
        <f t="shared" si="297"/>
        <v>0</v>
      </c>
      <c r="BL103" s="167">
        <f t="shared" si="370"/>
        <v>0</v>
      </c>
      <c r="BM103" s="167">
        <f t="shared" si="298"/>
        <v>0</v>
      </c>
      <c r="BN103" s="167">
        <f t="shared" si="371"/>
        <v>0</v>
      </c>
      <c r="BO103" s="170">
        <f t="shared" si="299"/>
        <v>0</v>
      </c>
      <c r="BP103" s="167">
        <f t="shared" si="300"/>
        <v>0</v>
      </c>
      <c r="BQ103" s="171">
        <f t="shared" si="301"/>
        <v>0</v>
      </c>
      <c r="BR103" s="169">
        <f t="shared" si="398"/>
        <v>0</v>
      </c>
      <c r="BS103" s="167">
        <f t="shared" si="372"/>
        <v>0</v>
      </c>
      <c r="BT103" s="167">
        <f t="shared" si="302"/>
        <v>0</v>
      </c>
      <c r="BU103" s="167">
        <f t="shared" si="373"/>
        <v>0</v>
      </c>
      <c r="BV103" s="167">
        <f t="shared" si="303"/>
        <v>0</v>
      </c>
      <c r="BW103" s="167">
        <f t="shared" si="374"/>
        <v>0</v>
      </c>
      <c r="BX103" s="167">
        <f t="shared" si="304"/>
        <v>0</v>
      </c>
      <c r="BY103" s="167">
        <f t="shared" si="375"/>
        <v>0</v>
      </c>
      <c r="BZ103" s="167">
        <f t="shared" si="305"/>
        <v>0</v>
      </c>
      <c r="CA103" s="167">
        <f t="shared" si="376"/>
        <v>0</v>
      </c>
      <c r="CB103" s="170">
        <f t="shared" si="306"/>
        <v>0</v>
      </c>
      <c r="CC103" s="167">
        <f t="shared" si="307"/>
        <v>0</v>
      </c>
      <c r="CD103" s="171">
        <f t="shared" si="308"/>
        <v>0</v>
      </c>
      <c r="CE103" s="169">
        <f t="shared" si="398"/>
        <v>0</v>
      </c>
      <c r="CF103" s="167">
        <f t="shared" si="377"/>
        <v>0</v>
      </c>
      <c r="CG103" s="167">
        <f t="shared" si="309"/>
        <v>0</v>
      </c>
      <c r="CH103" s="167">
        <f t="shared" si="378"/>
        <v>0</v>
      </c>
      <c r="CI103" s="167">
        <f t="shared" si="310"/>
        <v>0</v>
      </c>
      <c r="CJ103" s="167">
        <f t="shared" si="379"/>
        <v>0</v>
      </c>
      <c r="CK103" s="167">
        <f t="shared" si="311"/>
        <v>0</v>
      </c>
      <c r="CL103" s="167">
        <f t="shared" si="380"/>
        <v>0</v>
      </c>
      <c r="CM103" s="167">
        <f t="shared" si="312"/>
        <v>0</v>
      </c>
      <c r="CN103" s="167">
        <f t="shared" si="381"/>
        <v>0</v>
      </c>
      <c r="CO103" s="170">
        <f t="shared" si="313"/>
        <v>0</v>
      </c>
      <c r="CP103" s="167">
        <f t="shared" si="314"/>
        <v>0</v>
      </c>
      <c r="CQ103" s="171">
        <f t="shared" si="315"/>
        <v>0</v>
      </c>
      <c r="CR103" s="169">
        <f t="shared" si="399"/>
        <v>0</v>
      </c>
      <c r="CS103" s="167">
        <f t="shared" si="383"/>
        <v>0</v>
      </c>
      <c r="CT103" s="167">
        <f t="shared" si="317"/>
        <v>0</v>
      </c>
      <c r="CU103" s="167">
        <f t="shared" si="384"/>
        <v>0</v>
      </c>
      <c r="CV103" s="167">
        <f t="shared" si="318"/>
        <v>0</v>
      </c>
      <c r="CW103" s="167">
        <f t="shared" si="385"/>
        <v>0</v>
      </c>
      <c r="CX103" s="167">
        <f t="shared" si="319"/>
        <v>0</v>
      </c>
      <c r="CY103" s="167">
        <f t="shared" si="386"/>
        <v>0</v>
      </c>
      <c r="CZ103" s="167">
        <f t="shared" si="320"/>
        <v>0</v>
      </c>
      <c r="DA103" s="167">
        <f t="shared" si="387"/>
        <v>0</v>
      </c>
      <c r="DB103" s="170">
        <f t="shared" si="321"/>
        <v>0</v>
      </c>
      <c r="DC103" s="167">
        <f t="shared" si="322"/>
        <v>0</v>
      </c>
      <c r="DD103" s="171">
        <f t="shared" si="323"/>
        <v>0</v>
      </c>
      <c r="DE103" s="169">
        <f t="shared" si="399"/>
        <v>0</v>
      </c>
      <c r="DF103" s="167">
        <f t="shared" si="388"/>
        <v>0</v>
      </c>
      <c r="DG103" s="167">
        <f t="shared" si="324"/>
        <v>0</v>
      </c>
      <c r="DH103" s="167">
        <f t="shared" si="389"/>
        <v>0</v>
      </c>
      <c r="DI103" s="167">
        <f t="shared" si="325"/>
        <v>0</v>
      </c>
      <c r="DJ103" s="167">
        <f t="shared" si="390"/>
        <v>0</v>
      </c>
      <c r="DK103" s="167">
        <f t="shared" si="326"/>
        <v>0</v>
      </c>
      <c r="DL103" s="167">
        <f t="shared" si="391"/>
        <v>0</v>
      </c>
      <c r="DM103" s="167">
        <f t="shared" si="327"/>
        <v>0</v>
      </c>
      <c r="DN103" s="167">
        <f t="shared" si="392"/>
        <v>0</v>
      </c>
      <c r="DO103" s="170">
        <f t="shared" si="328"/>
        <v>0</v>
      </c>
      <c r="DP103" s="167">
        <f t="shared" si="329"/>
        <v>0</v>
      </c>
      <c r="DQ103" s="171">
        <f t="shared" si="330"/>
        <v>0</v>
      </c>
      <c r="DR103" s="169">
        <f t="shared" si="399"/>
        <v>0</v>
      </c>
      <c r="DS103" s="167">
        <f t="shared" si="393"/>
        <v>0</v>
      </c>
      <c r="DT103" s="167">
        <f t="shared" si="331"/>
        <v>0</v>
      </c>
      <c r="DU103" s="167">
        <f t="shared" si="394"/>
        <v>0</v>
      </c>
      <c r="DV103" s="167">
        <f t="shared" si="332"/>
        <v>0</v>
      </c>
      <c r="DW103" s="167">
        <f t="shared" si="395"/>
        <v>0</v>
      </c>
      <c r="DX103" s="167">
        <f t="shared" si="333"/>
        <v>0</v>
      </c>
      <c r="DY103" s="167">
        <f t="shared" si="396"/>
        <v>0</v>
      </c>
      <c r="DZ103" s="167">
        <f t="shared" si="334"/>
        <v>0</v>
      </c>
      <c r="EA103" s="167">
        <f t="shared" si="397"/>
        <v>0</v>
      </c>
      <c r="EB103" s="170">
        <f t="shared" si="335"/>
        <v>0</v>
      </c>
      <c r="EC103" s="167">
        <f t="shared" si="336"/>
        <v>0</v>
      </c>
      <c r="ED103" s="171">
        <f t="shared" si="337"/>
        <v>0</v>
      </c>
    </row>
    <row r="104" spans="1:134" x14ac:dyDescent="0.3">
      <c r="A104" s="185"/>
      <c r="B104" s="186"/>
      <c r="C104" s="187"/>
      <c r="D104" s="188"/>
      <c r="E104" s="189"/>
      <c r="F104" s="190"/>
      <c r="G104" s="191"/>
      <c r="H104" s="192"/>
      <c r="I104" s="193"/>
      <c r="J104" s="194"/>
      <c r="K104" s="165">
        <f t="shared" si="338"/>
        <v>0</v>
      </c>
      <c r="L104" s="166">
        <f t="shared" si="339"/>
        <v>0</v>
      </c>
      <c r="M104" s="167">
        <f t="shared" si="340"/>
        <v>0</v>
      </c>
      <c r="N104" s="167"/>
      <c r="O104" s="167">
        <f t="shared" si="341"/>
        <v>0</v>
      </c>
      <c r="P104" s="168"/>
      <c r="Q104" s="167">
        <f t="shared" si="342"/>
        <v>0</v>
      </c>
      <c r="R104" s="169">
        <f t="shared" si="343"/>
        <v>0</v>
      </c>
      <c r="S104" s="167">
        <f t="shared" si="344"/>
        <v>0</v>
      </c>
      <c r="T104" s="167">
        <f t="shared" si="345"/>
        <v>0</v>
      </c>
      <c r="U104" s="167">
        <f t="shared" si="346"/>
        <v>0</v>
      </c>
      <c r="V104" s="167">
        <f t="shared" si="347"/>
        <v>0</v>
      </c>
      <c r="W104" s="167">
        <f t="shared" si="348"/>
        <v>0</v>
      </c>
      <c r="X104" s="167">
        <f t="shared" si="349"/>
        <v>0</v>
      </c>
      <c r="Y104" s="167">
        <f t="shared" si="350"/>
        <v>0</v>
      </c>
      <c r="Z104" s="167">
        <f t="shared" si="351"/>
        <v>0</v>
      </c>
      <c r="AA104" s="167">
        <f t="shared" si="352"/>
        <v>0</v>
      </c>
      <c r="AB104" s="170">
        <f t="shared" si="353"/>
        <v>0</v>
      </c>
      <c r="AC104" s="167">
        <f t="shared" si="354"/>
        <v>0</v>
      </c>
      <c r="AD104" s="171">
        <f t="shared" si="355"/>
        <v>0</v>
      </c>
      <c r="AE104" s="169">
        <f t="shared" si="398"/>
        <v>0</v>
      </c>
      <c r="AF104" s="167">
        <f t="shared" si="357"/>
        <v>0</v>
      </c>
      <c r="AG104" s="167">
        <f t="shared" si="281"/>
        <v>0</v>
      </c>
      <c r="AH104" s="167">
        <f t="shared" si="358"/>
        <v>0</v>
      </c>
      <c r="AI104" s="167">
        <f t="shared" si="282"/>
        <v>0</v>
      </c>
      <c r="AJ104" s="167">
        <f t="shared" si="359"/>
        <v>0</v>
      </c>
      <c r="AK104" s="167">
        <f t="shared" si="283"/>
        <v>0</v>
      </c>
      <c r="AL104" s="167">
        <f t="shared" si="360"/>
        <v>0</v>
      </c>
      <c r="AM104" s="167">
        <f t="shared" si="284"/>
        <v>0</v>
      </c>
      <c r="AN104" s="167">
        <f t="shared" si="361"/>
        <v>0</v>
      </c>
      <c r="AO104" s="170">
        <f t="shared" si="285"/>
        <v>0</v>
      </c>
      <c r="AP104" s="167">
        <f t="shared" si="286"/>
        <v>0</v>
      </c>
      <c r="AQ104" s="171">
        <f t="shared" si="287"/>
        <v>0</v>
      </c>
      <c r="AR104" s="169">
        <f t="shared" si="398"/>
        <v>0</v>
      </c>
      <c r="AS104" s="167">
        <f t="shared" si="362"/>
        <v>0</v>
      </c>
      <c r="AT104" s="167">
        <f t="shared" si="288"/>
        <v>0</v>
      </c>
      <c r="AU104" s="167">
        <f t="shared" si="363"/>
        <v>0</v>
      </c>
      <c r="AV104" s="167">
        <f t="shared" si="289"/>
        <v>0</v>
      </c>
      <c r="AW104" s="167">
        <f t="shared" si="364"/>
        <v>0</v>
      </c>
      <c r="AX104" s="167">
        <f t="shared" si="290"/>
        <v>0</v>
      </c>
      <c r="AY104" s="167">
        <f t="shared" si="365"/>
        <v>0</v>
      </c>
      <c r="AZ104" s="167">
        <f t="shared" si="291"/>
        <v>0</v>
      </c>
      <c r="BA104" s="167">
        <f t="shared" si="366"/>
        <v>0</v>
      </c>
      <c r="BB104" s="170">
        <f t="shared" si="292"/>
        <v>0</v>
      </c>
      <c r="BC104" s="167">
        <f t="shared" si="293"/>
        <v>0</v>
      </c>
      <c r="BD104" s="171">
        <f t="shared" si="294"/>
        <v>0</v>
      </c>
      <c r="BE104" s="169">
        <f t="shared" si="398"/>
        <v>0</v>
      </c>
      <c r="BF104" s="167">
        <f t="shared" si="367"/>
        <v>0</v>
      </c>
      <c r="BG104" s="167">
        <f t="shared" si="295"/>
        <v>0</v>
      </c>
      <c r="BH104" s="167">
        <f t="shared" si="368"/>
        <v>0</v>
      </c>
      <c r="BI104" s="167">
        <f t="shared" si="296"/>
        <v>0</v>
      </c>
      <c r="BJ104" s="167">
        <f t="shared" si="369"/>
        <v>0</v>
      </c>
      <c r="BK104" s="167">
        <f t="shared" si="297"/>
        <v>0</v>
      </c>
      <c r="BL104" s="167">
        <f t="shared" si="370"/>
        <v>0</v>
      </c>
      <c r="BM104" s="167">
        <f t="shared" si="298"/>
        <v>0</v>
      </c>
      <c r="BN104" s="167">
        <f t="shared" si="371"/>
        <v>0</v>
      </c>
      <c r="BO104" s="170">
        <f t="shared" si="299"/>
        <v>0</v>
      </c>
      <c r="BP104" s="167">
        <f t="shared" si="300"/>
        <v>0</v>
      </c>
      <c r="BQ104" s="171">
        <f t="shared" si="301"/>
        <v>0</v>
      </c>
      <c r="BR104" s="169">
        <f t="shared" si="398"/>
        <v>0</v>
      </c>
      <c r="BS104" s="167">
        <f t="shared" si="372"/>
        <v>0</v>
      </c>
      <c r="BT104" s="167">
        <f t="shared" si="302"/>
        <v>0</v>
      </c>
      <c r="BU104" s="167">
        <f t="shared" si="373"/>
        <v>0</v>
      </c>
      <c r="BV104" s="167">
        <f t="shared" si="303"/>
        <v>0</v>
      </c>
      <c r="BW104" s="167">
        <f t="shared" si="374"/>
        <v>0</v>
      </c>
      <c r="BX104" s="167">
        <f t="shared" si="304"/>
        <v>0</v>
      </c>
      <c r="BY104" s="167">
        <f t="shared" si="375"/>
        <v>0</v>
      </c>
      <c r="BZ104" s="167">
        <f t="shared" si="305"/>
        <v>0</v>
      </c>
      <c r="CA104" s="167">
        <f t="shared" si="376"/>
        <v>0</v>
      </c>
      <c r="CB104" s="170">
        <f t="shared" si="306"/>
        <v>0</v>
      </c>
      <c r="CC104" s="167">
        <f t="shared" si="307"/>
        <v>0</v>
      </c>
      <c r="CD104" s="171">
        <f t="shared" si="308"/>
        <v>0</v>
      </c>
      <c r="CE104" s="169">
        <f t="shared" si="398"/>
        <v>0</v>
      </c>
      <c r="CF104" s="167">
        <f t="shared" si="377"/>
        <v>0</v>
      </c>
      <c r="CG104" s="167">
        <f t="shared" si="309"/>
        <v>0</v>
      </c>
      <c r="CH104" s="167">
        <f t="shared" si="378"/>
        <v>0</v>
      </c>
      <c r="CI104" s="167">
        <f t="shared" si="310"/>
        <v>0</v>
      </c>
      <c r="CJ104" s="167">
        <f t="shared" si="379"/>
        <v>0</v>
      </c>
      <c r="CK104" s="167">
        <f t="shared" si="311"/>
        <v>0</v>
      </c>
      <c r="CL104" s="167">
        <f t="shared" si="380"/>
        <v>0</v>
      </c>
      <c r="CM104" s="167">
        <f t="shared" si="312"/>
        <v>0</v>
      </c>
      <c r="CN104" s="167">
        <f t="shared" si="381"/>
        <v>0</v>
      </c>
      <c r="CO104" s="170">
        <f t="shared" si="313"/>
        <v>0</v>
      </c>
      <c r="CP104" s="167">
        <f t="shared" si="314"/>
        <v>0</v>
      </c>
      <c r="CQ104" s="171">
        <f t="shared" si="315"/>
        <v>0</v>
      </c>
      <c r="CR104" s="169">
        <f t="shared" si="399"/>
        <v>0</v>
      </c>
      <c r="CS104" s="167">
        <f t="shared" si="383"/>
        <v>0</v>
      </c>
      <c r="CT104" s="167">
        <f t="shared" si="317"/>
        <v>0</v>
      </c>
      <c r="CU104" s="167">
        <f t="shared" si="384"/>
        <v>0</v>
      </c>
      <c r="CV104" s="167">
        <f t="shared" si="318"/>
        <v>0</v>
      </c>
      <c r="CW104" s="167">
        <f t="shared" si="385"/>
        <v>0</v>
      </c>
      <c r="CX104" s="167">
        <f t="shared" si="319"/>
        <v>0</v>
      </c>
      <c r="CY104" s="167">
        <f t="shared" si="386"/>
        <v>0</v>
      </c>
      <c r="CZ104" s="167">
        <f t="shared" si="320"/>
        <v>0</v>
      </c>
      <c r="DA104" s="167">
        <f t="shared" si="387"/>
        <v>0</v>
      </c>
      <c r="DB104" s="170">
        <f t="shared" si="321"/>
        <v>0</v>
      </c>
      <c r="DC104" s="167">
        <f t="shared" si="322"/>
        <v>0</v>
      </c>
      <c r="DD104" s="171">
        <f t="shared" si="323"/>
        <v>0</v>
      </c>
      <c r="DE104" s="169">
        <f t="shared" si="399"/>
        <v>0</v>
      </c>
      <c r="DF104" s="167">
        <f t="shared" si="388"/>
        <v>0</v>
      </c>
      <c r="DG104" s="167">
        <f t="shared" si="324"/>
        <v>0</v>
      </c>
      <c r="DH104" s="167">
        <f t="shared" si="389"/>
        <v>0</v>
      </c>
      <c r="DI104" s="167">
        <f t="shared" si="325"/>
        <v>0</v>
      </c>
      <c r="DJ104" s="167">
        <f t="shared" si="390"/>
        <v>0</v>
      </c>
      <c r="DK104" s="167">
        <f t="shared" si="326"/>
        <v>0</v>
      </c>
      <c r="DL104" s="167">
        <f t="shared" si="391"/>
        <v>0</v>
      </c>
      <c r="DM104" s="167">
        <f t="shared" si="327"/>
        <v>0</v>
      </c>
      <c r="DN104" s="167">
        <f t="shared" si="392"/>
        <v>0</v>
      </c>
      <c r="DO104" s="170">
        <f t="shared" si="328"/>
        <v>0</v>
      </c>
      <c r="DP104" s="167">
        <f t="shared" si="329"/>
        <v>0</v>
      </c>
      <c r="DQ104" s="171">
        <f t="shared" si="330"/>
        <v>0</v>
      </c>
      <c r="DR104" s="169">
        <f t="shared" si="399"/>
        <v>0</v>
      </c>
      <c r="DS104" s="167">
        <f t="shared" si="393"/>
        <v>0</v>
      </c>
      <c r="DT104" s="167">
        <f t="shared" si="331"/>
        <v>0</v>
      </c>
      <c r="DU104" s="167">
        <f t="shared" si="394"/>
        <v>0</v>
      </c>
      <c r="DV104" s="167">
        <f t="shared" si="332"/>
        <v>0</v>
      </c>
      <c r="DW104" s="167">
        <f t="shared" si="395"/>
        <v>0</v>
      </c>
      <c r="DX104" s="167">
        <f t="shared" si="333"/>
        <v>0</v>
      </c>
      <c r="DY104" s="167">
        <f t="shared" si="396"/>
        <v>0</v>
      </c>
      <c r="DZ104" s="167">
        <f t="shared" si="334"/>
        <v>0</v>
      </c>
      <c r="EA104" s="167">
        <f t="shared" si="397"/>
        <v>0</v>
      </c>
      <c r="EB104" s="170">
        <f t="shared" si="335"/>
        <v>0</v>
      </c>
      <c r="EC104" s="167">
        <f t="shared" si="336"/>
        <v>0</v>
      </c>
      <c r="ED104" s="171">
        <f t="shared" si="337"/>
        <v>0</v>
      </c>
    </row>
    <row r="105" spans="1:134" x14ac:dyDescent="0.3">
      <c r="A105" s="185"/>
      <c r="B105" s="186"/>
      <c r="C105" s="187"/>
      <c r="D105" s="188"/>
      <c r="E105" s="189"/>
      <c r="F105" s="190"/>
      <c r="G105" s="191"/>
      <c r="H105" s="192"/>
      <c r="I105" s="193"/>
      <c r="J105" s="194"/>
      <c r="K105" s="165">
        <f t="shared" si="338"/>
        <v>0</v>
      </c>
      <c r="L105" s="166">
        <f t="shared" si="339"/>
        <v>0</v>
      </c>
      <c r="M105" s="167">
        <f t="shared" si="340"/>
        <v>0</v>
      </c>
      <c r="N105" s="167"/>
      <c r="O105" s="167">
        <f t="shared" si="341"/>
        <v>0</v>
      </c>
      <c r="P105" s="168"/>
      <c r="Q105" s="167">
        <f t="shared" si="342"/>
        <v>0</v>
      </c>
      <c r="R105" s="169">
        <f t="shared" si="343"/>
        <v>0</v>
      </c>
      <c r="S105" s="167">
        <f t="shared" si="344"/>
        <v>0</v>
      </c>
      <c r="T105" s="167">
        <f t="shared" si="345"/>
        <v>0</v>
      </c>
      <c r="U105" s="167">
        <f t="shared" si="346"/>
        <v>0</v>
      </c>
      <c r="V105" s="167">
        <f t="shared" si="347"/>
        <v>0</v>
      </c>
      <c r="W105" s="167">
        <f t="shared" si="348"/>
        <v>0</v>
      </c>
      <c r="X105" s="167">
        <f t="shared" si="349"/>
        <v>0</v>
      </c>
      <c r="Y105" s="167">
        <f t="shared" si="350"/>
        <v>0</v>
      </c>
      <c r="Z105" s="167">
        <f t="shared" si="351"/>
        <v>0</v>
      </c>
      <c r="AA105" s="167">
        <f t="shared" si="352"/>
        <v>0</v>
      </c>
      <c r="AB105" s="170">
        <f t="shared" si="353"/>
        <v>0</v>
      </c>
      <c r="AC105" s="167">
        <f t="shared" si="354"/>
        <v>0</v>
      </c>
      <c r="AD105" s="171">
        <f t="shared" si="355"/>
        <v>0</v>
      </c>
      <c r="AE105" s="169">
        <f t="shared" si="398"/>
        <v>0</v>
      </c>
      <c r="AF105" s="167">
        <f t="shared" si="357"/>
        <v>0</v>
      </c>
      <c r="AG105" s="167">
        <f t="shared" si="281"/>
        <v>0</v>
      </c>
      <c r="AH105" s="167">
        <f t="shared" si="358"/>
        <v>0</v>
      </c>
      <c r="AI105" s="167">
        <f t="shared" si="282"/>
        <v>0</v>
      </c>
      <c r="AJ105" s="167">
        <f t="shared" si="359"/>
        <v>0</v>
      </c>
      <c r="AK105" s="167">
        <f t="shared" si="283"/>
        <v>0</v>
      </c>
      <c r="AL105" s="167">
        <f t="shared" si="360"/>
        <v>0</v>
      </c>
      <c r="AM105" s="167">
        <f t="shared" si="284"/>
        <v>0</v>
      </c>
      <c r="AN105" s="167">
        <f t="shared" si="361"/>
        <v>0</v>
      </c>
      <c r="AO105" s="170">
        <f t="shared" si="285"/>
        <v>0</v>
      </c>
      <c r="AP105" s="167">
        <f t="shared" si="286"/>
        <v>0</v>
      </c>
      <c r="AQ105" s="171">
        <f t="shared" si="287"/>
        <v>0</v>
      </c>
      <c r="AR105" s="169">
        <f t="shared" si="398"/>
        <v>0</v>
      </c>
      <c r="AS105" s="167">
        <f t="shared" si="362"/>
        <v>0</v>
      </c>
      <c r="AT105" s="167">
        <f t="shared" si="288"/>
        <v>0</v>
      </c>
      <c r="AU105" s="167">
        <f t="shared" si="363"/>
        <v>0</v>
      </c>
      <c r="AV105" s="167">
        <f t="shared" si="289"/>
        <v>0</v>
      </c>
      <c r="AW105" s="167">
        <f t="shared" si="364"/>
        <v>0</v>
      </c>
      <c r="AX105" s="167">
        <f t="shared" si="290"/>
        <v>0</v>
      </c>
      <c r="AY105" s="167">
        <f t="shared" si="365"/>
        <v>0</v>
      </c>
      <c r="AZ105" s="167">
        <f t="shared" si="291"/>
        <v>0</v>
      </c>
      <c r="BA105" s="167">
        <f t="shared" si="366"/>
        <v>0</v>
      </c>
      <c r="BB105" s="170">
        <f t="shared" si="292"/>
        <v>0</v>
      </c>
      <c r="BC105" s="167">
        <f t="shared" si="293"/>
        <v>0</v>
      </c>
      <c r="BD105" s="171">
        <f t="shared" si="294"/>
        <v>0</v>
      </c>
      <c r="BE105" s="169">
        <f t="shared" si="398"/>
        <v>0</v>
      </c>
      <c r="BF105" s="167">
        <f t="shared" si="367"/>
        <v>0</v>
      </c>
      <c r="BG105" s="167">
        <f t="shared" si="295"/>
        <v>0</v>
      </c>
      <c r="BH105" s="167">
        <f t="shared" si="368"/>
        <v>0</v>
      </c>
      <c r="BI105" s="167">
        <f t="shared" si="296"/>
        <v>0</v>
      </c>
      <c r="BJ105" s="167">
        <f t="shared" si="369"/>
        <v>0</v>
      </c>
      <c r="BK105" s="167">
        <f t="shared" si="297"/>
        <v>0</v>
      </c>
      <c r="BL105" s="167">
        <f t="shared" si="370"/>
        <v>0</v>
      </c>
      <c r="BM105" s="167">
        <f t="shared" si="298"/>
        <v>0</v>
      </c>
      <c r="BN105" s="167">
        <f t="shared" si="371"/>
        <v>0</v>
      </c>
      <c r="BO105" s="170">
        <f t="shared" si="299"/>
        <v>0</v>
      </c>
      <c r="BP105" s="167">
        <f t="shared" si="300"/>
        <v>0</v>
      </c>
      <c r="BQ105" s="171">
        <f t="shared" si="301"/>
        <v>0</v>
      </c>
      <c r="BR105" s="169">
        <f t="shared" si="398"/>
        <v>0</v>
      </c>
      <c r="BS105" s="167">
        <f t="shared" si="372"/>
        <v>0</v>
      </c>
      <c r="BT105" s="167">
        <f t="shared" si="302"/>
        <v>0</v>
      </c>
      <c r="BU105" s="167">
        <f t="shared" si="373"/>
        <v>0</v>
      </c>
      <c r="BV105" s="167">
        <f t="shared" si="303"/>
        <v>0</v>
      </c>
      <c r="BW105" s="167">
        <f t="shared" si="374"/>
        <v>0</v>
      </c>
      <c r="BX105" s="167">
        <f t="shared" si="304"/>
        <v>0</v>
      </c>
      <c r="BY105" s="167">
        <f t="shared" si="375"/>
        <v>0</v>
      </c>
      <c r="BZ105" s="167">
        <f t="shared" si="305"/>
        <v>0</v>
      </c>
      <c r="CA105" s="167">
        <f t="shared" si="376"/>
        <v>0</v>
      </c>
      <c r="CB105" s="170">
        <f t="shared" si="306"/>
        <v>0</v>
      </c>
      <c r="CC105" s="167">
        <f t="shared" si="307"/>
        <v>0</v>
      </c>
      <c r="CD105" s="171">
        <f t="shared" si="308"/>
        <v>0</v>
      </c>
      <c r="CE105" s="169">
        <f t="shared" si="398"/>
        <v>0</v>
      </c>
      <c r="CF105" s="167">
        <f t="shared" si="377"/>
        <v>0</v>
      </c>
      <c r="CG105" s="167">
        <f t="shared" si="309"/>
        <v>0</v>
      </c>
      <c r="CH105" s="167">
        <f t="shared" si="378"/>
        <v>0</v>
      </c>
      <c r="CI105" s="167">
        <f t="shared" si="310"/>
        <v>0</v>
      </c>
      <c r="CJ105" s="167">
        <f t="shared" si="379"/>
        <v>0</v>
      </c>
      <c r="CK105" s="167">
        <f t="shared" si="311"/>
        <v>0</v>
      </c>
      <c r="CL105" s="167">
        <f t="shared" si="380"/>
        <v>0</v>
      </c>
      <c r="CM105" s="167">
        <f t="shared" si="312"/>
        <v>0</v>
      </c>
      <c r="CN105" s="167">
        <f t="shared" si="381"/>
        <v>0</v>
      </c>
      <c r="CO105" s="170">
        <f t="shared" si="313"/>
        <v>0</v>
      </c>
      <c r="CP105" s="167">
        <f t="shared" si="314"/>
        <v>0</v>
      </c>
      <c r="CQ105" s="171">
        <f t="shared" si="315"/>
        <v>0</v>
      </c>
      <c r="CR105" s="169">
        <f t="shared" si="399"/>
        <v>0</v>
      </c>
      <c r="CS105" s="167">
        <f t="shared" si="383"/>
        <v>0</v>
      </c>
      <c r="CT105" s="167">
        <f t="shared" si="317"/>
        <v>0</v>
      </c>
      <c r="CU105" s="167">
        <f t="shared" si="384"/>
        <v>0</v>
      </c>
      <c r="CV105" s="167">
        <f t="shared" si="318"/>
        <v>0</v>
      </c>
      <c r="CW105" s="167">
        <f t="shared" si="385"/>
        <v>0</v>
      </c>
      <c r="CX105" s="167">
        <f t="shared" si="319"/>
        <v>0</v>
      </c>
      <c r="CY105" s="167">
        <f t="shared" si="386"/>
        <v>0</v>
      </c>
      <c r="CZ105" s="167">
        <f t="shared" si="320"/>
        <v>0</v>
      </c>
      <c r="DA105" s="167">
        <f t="shared" si="387"/>
        <v>0</v>
      </c>
      <c r="DB105" s="170">
        <f t="shared" si="321"/>
        <v>0</v>
      </c>
      <c r="DC105" s="167">
        <f t="shared" si="322"/>
        <v>0</v>
      </c>
      <c r="DD105" s="171">
        <f t="shared" si="323"/>
        <v>0</v>
      </c>
      <c r="DE105" s="169">
        <f t="shared" si="399"/>
        <v>0</v>
      </c>
      <c r="DF105" s="167">
        <f t="shared" si="388"/>
        <v>0</v>
      </c>
      <c r="DG105" s="167">
        <f t="shared" si="324"/>
        <v>0</v>
      </c>
      <c r="DH105" s="167">
        <f t="shared" si="389"/>
        <v>0</v>
      </c>
      <c r="DI105" s="167">
        <f t="shared" si="325"/>
        <v>0</v>
      </c>
      <c r="DJ105" s="167">
        <f t="shared" si="390"/>
        <v>0</v>
      </c>
      <c r="DK105" s="167">
        <f t="shared" si="326"/>
        <v>0</v>
      </c>
      <c r="DL105" s="167">
        <f t="shared" si="391"/>
        <v>0</v>
      </c>
      <c r="DM105" s="167">
        <f t="shared" si="327"/>
        <v>0</v>
      </c>
      <c r="DN105" s="167">
        <f t="shared" si="392"/>
        <v>0</v>
      </c>
      <c r="DO105" s="170">
        <f t="shared" si="328"/>
        <v>0</v>
      </c>
      <c r="DP105" s="167">
        <f t="shared" si="329"/>
        <v>0</v>
      </c>
      <c r="DQ105" s="171">
        <f t="shared" si="330"/>
        <v>0</v>
      </c>
      <c r="DR105" s="169">
        <f t="shared" si="399"/>
        <v>0</v>
      </c>
      <c r="DS105" s="167">
        <f t="shared" si="393"/>
        <v>0</v>
      </c>
      <c r="DT105" s="167">
        <f t="shared" si="331"/>
        <v>0</v>
      </c>
      <c r="DU105" s="167">
        <f t="shared" si="394"/>
        <v>0</v>
      </c>
      <c r="DV105" s="167">
        <f t="shared" si="332"/>
        <v>0</v>
      </c>
      <c r="DW105" s="167">
        <f t="shared" si="395"/>
        <v>0</v>
      </c>
      <c r="DX105" s="167">
        <f t="shared" si="333"/>
        <v>0</v>
      </c>
      <c r="DY105" s="167">
        <f t="shared" si="396"/>
        <v>0</v>
      </c>
      <c r="DZ105" s="167">
        <f t="shared" si="334"/>
        <v>0</v>
      </c>
      <c r="EA105" s="167">
        <f t="shared" si="397"/>
        <v>0</v>
      </c>
      <c r="EB105" s="170">
        <f t="shared" si="335"/>
        <v>0</v>
      </c>
      <c r="EC105" s="167">
        <f t="shared" si="336"/>
        <v>0</v>
      </c>
      <c r="ED105" s="171">
        <f t="shared" si="337"/>
        <v>0</v>
      </c>
    </row>
    <row r="106" spans="1:134" x14ac:dyDescent="0.3">
      <c r="A106" s="185"/>
      <c r="B106" s="186"/>
      <c r="C106" s="187"/>
      <c r="D106" s="188"/>
      <c r="E106" s="189"/>
      <c r="F106" s="190"/>
      <c r="G106" s="191"/>
      <c r="H106" s="192"/>
      <c r="I106" s="193"/>
      <c r="J106" s="194"/>
      <c r="K106" s="165">
        <f t="shared" si="338"/>
        <v>0</v>
      </c>
      <c r="L106" s="166">
        <f t="shared" si="339"/>
        <v>0</v>
      </c>
      <c r="M106" s="167">
        <f t="shared" si="340"/>
        <v>0</v>
      </c>
      <c r="N106" s="167"/>
      <c r="O106" s="167">
        <f t="shared" si="341"/>
        <v>0</v>
      </c>
      <c r="P106" s="168"/>
      <c r="Q106" s="167">
        <f t="shared" si="342"/>
        <v>0</v>
      </c>
      <c r="R106" s="169">
        <f t="shared" si="343"/>
        <v>0</v>
      </c>
      <c r="S106" s="167">
        <f t="shared" si="344"/>
        <v>0</v>
      </c>
      <c r="T106" s="167">
        <f t="shared" si="345"/>
        <v>0</v>
      </c>
      <c r="U106" s="167">
        <f t="shared" si="346"/>
        <v>0</v>
      </c>
      <c r="V106" s="167">
        <f t="shared" si="347"/>
        <v>0</v>
      </c>
      <c r="W106" s="167">
        <f t="shared" si="348"/>
        <v>0</v>
      </c>
      <c r="X106" s="167">
        <f t="shared" si="349"/>
        <v>0</v>
      </c>
      <c r="Y106" s="167">
        <f t="shared" si="350"/>
        <v>0</v>
      </c>
      <c r="Z106" s="167">
        <f t="shared" si="351"/>
        <v>0</v>
      </c>
      <c r="AA106" s="167">
        <f t="shared" si="352"/>
        <v>0</v>
      </c>
      <c r="AB106" s="170">
        <f t="shared" si="353"/>
        <v>0</v>
      </c>
      <c r="AC106" s="167">
        <f t="shared" si="354"/>
        <v>0</v>
      </c>
      <c r="AD106" s="171">
        <f t="shared" si="355"/>
        <v>0</v>
      </c>
      <c r="AE106" s="169">
        <f t="shared" si="398"/>
        <v>0</v>
      </c>
      <c r="AF106" s="167">
        <f t="shared" si="357"/>
        <v>0</v>
      </c>
      <c r="AG106" s="167">
        <f t="shared" si="281"/>
        <v>0</v>
      </c>
      <c r="AH106" s="167">
        <f t="shared" si="358"/>
        <v>0</v>
      </c>
      <c r="AI106" s="167">
        <f t="shared" si="282"/>
        <v>0</v>
      </c>
      <c r="AJ106" s="167">
        <f t="shared" si="359"/>
        <v>0</v>
      </c>
      <c r="AK106" s="167">
        <f t="shared" si="283"/>
        <v>0</v>
      </c>
      <c r="AL106" s="167">
        <f t="shared" si="360"/>
        <v>0</v>
      </c>
      <c r="AM106" s="167">
        <f t="shared" si="284"/>
        <v>0</v>
      </c>
      <c r="AN106" s="167">
        <f t="shared" si="361"/>
        <v>0</v>
      </c>
      <c r="AO106" s="170">
        <f t="shared" si="285"/>
        <v>0</v>
      </c>
      <c r="AP106" s="167">
        <f t="shared" si="286"/>
        <v>0</v>
      </c>
      <c r="AQ106" s="171">
        <f t="shared" si="287"/>
        <v>0</v>
      </c>
      <c r="AR106" s="169">
        <f t="shared" si="398"/>
        <v>0</v>
      </c>
      <c r="AS106" s="167">
        <f t="shared" si="362"/>
        <v>0</v>
      </c>
      <c r="AT106" s="167">
        <f t="shared" si="288"/>
        <v>0</v>
      </c>
      <c r="AU106" s="167">
        <f t="shared" si="363"/>
        <v>0</v>
      </c>
      <c r="AV106" s="167">
        <f t="shared" si="289"/>
        <v>0</v>
      </c>
      <c r="AW106" s="167">
        <f t="shared" si="364"/>
        <v>0</v>
      </c>
      <c r="AX106" s="167">
        <f t="shared" si="290"/>
        <v>0</v>
      </c>
      <c r="AY106" s="167">
        <f t="shared" si="365"/>
        <v>0</v>
      </c>
      <c r="AZ106" s="167">
        <f t="shared" si="291"/>
        <v>0</v>
      </c>
      <c r="BA106" s="167">
        <f t="shared" si="366"/>
        <v>0</v>
      </c>
      <c r="BB106" s="170">
        <f t="shared" si="292"/>
        <v>0</v>
      </c>
      <c r="BC106" s="167">
        <f t="shared" si="293"/>
        <v>0</v>
      </c>
      <c r="BD106" s="171">
        <f t="shared" si="294"/>
        <v>0</v>
      </c>
      <c r="BE106" s="169">
        <f t="shared" si="398"/>
        <v>0</v>
      </c>
      <c r="BF106" s="167">
        <f t="shared" si="367"/>
        <v>0</v>
      </c>
      <c r="BG106" s="167">
        <f t="shared" si="295"/>
        <v>0</v>
      </c>
      <c r="BH106" s="167">
        <f t="shared" si="368"/>
        <v>0</v>
      </c>
      <c r="BI106" s="167">
        <f t="shared" si="296"/>
        <v>0</v>
      </c>
      <c r="BJ106" s="167">
        <f t="shared" si="369"/>
        <v>0</v>
      </c>
      <c r="BK106" s="167">
        <f t="shared" si="297"/>
        <v>0</v>
      </c>
      <c r="BL106" s="167">
        <f t="shared" si="370"/>
        <v>0</v>
      </c>
      <c r="BM106" s="167">
        <f t="shared" si="298"/>
        <v>0</v>
      </c>
      <c r="BN106" s="167">
        <f t="shared" si="371"/>
        <v>0</v>
      </c>
      <c r="BO106" s="170">
        <f t="shared" si="299"/>
        <v>0</v>
      </c>
      <c r="BP106" s="167">
        <f t="shared" si="300"/>
        <v>0</v>
      </c>
      <c r="BQ106" s="171">
        <f t="shared" si="301"/>
        <v>0</v>
      </c>
      <c r="BR106" s="169">
        <f t="shared" si="398"/>
        <v>0</v>
      </c>
      <c r="BS106" s="167">
        <f t="shared" si="372"/>
        <v>0</v>
      </c>
      <c r="BT106" s="167">
        <f t="shared" si="302"/>
        <v>0</v>
      </c>
      <c r="BU106" s="167">
        <f t="shared" si="373"/>
        <v>0</v>
      </c>
      <c r="BV106" s="167">
        <f t="shared" si="303"/>
        <v>0</v>
      </c>
      <c r="BW106" s="167">
        <f t="shared" si="374"/>
        <v>0</v>
      </c>
      <c r="BX106" s="167">
        <f t="shared" si="304"/>
        <v>0</v>
      </c>
      <c r="BY106" s="167">
        <f t="shared" si="375"/>
        <v>0</v>
      </c>
      <c r="BZ106" s="167">
        <f t="shared" si="305"/>
        <v>0</v>
      </c>
      <c r="CA106" s="167">
        <f t="shared" si="376"/>
        <v>0</v>
      </c>
      <c r="CB106" s="170">
        <f t="shared" si="306"/>
        <v>0</v>
      </c>
      <c r="CC106" s="167">
        <f t="shared" si="307"/>
        <v>0</v>
      </c>
      <c r="CD106" s="171">
        <f t="shared" si="308"/>
        <v>0</v>
      </c>
      <c r="CE106" s="169">
        <f t="shared" si="398"/>
        <v>0</v>
      </c>
      <c r="CF106" s="167">
        <f t="shared" si="377"/>
        <v>0</v>
      </c>
      <c r="CG106" s="167">
        <f t="shared" si="309"/>
        <v>0</v>
      </c>
      <c r="CH106" s="167">
        <f t="shared" si="378"/>
        <v>0</v>
      </c>
      <c r="CI106" s="167">
        <f t="shared" si="310"/>
        <v>0</v>
      </c>
      <c r="CJ106" s="167">
        <f t="shared" si="379"/>
        <v>0</v>
      </c>
      <c r="CK106" s="167">
        <f t="shared" si="311"/>
        <v>0</v>
      </c>
      <c r="CL106" s="167">
        <f t="shared" si="380"/>
        <v>0</v>
      </c>
      <c r="CM106" s="167">
        <f t="shared" si="312"/>
        <v>0</v>
      </c>
      <c r="CN106" s="167">
        <f t="shared" si="381"/>
        <v>0</v>
      </c>
      <c r="CO106" s="170">
        <f t="shared" si="313"/>
        <v>0</v>
      </c>
      <c r="CP106" s="167">
        <f t="shared" si="314"/>
        <v>0</v>
      </c>
      <c r="CQ106" s="171">
        <f t="shared" si="315"/>
        <v>0</v>
      </c>
      <c r="CR106" s="169">
        <f t="shared" si="399"/>
        <v>0</v>
      </c>
      <c r="CS106" s="167">
        <f t="shared" si="383"/>
        <v>0</v>
      </c>
      <c r="CT106" s="167">
        <f t="shared" si="317"/>
        <v>0</v>
      </c>
      <c r="CU106" s="167">
        <f t="shared" si="384"/>
        <v>0</v>
      </c>
      <c r="CV106" s="167">
        <f t="shared" si="318"/>
        <v>0</v>
      </c>
      <c r="CW106" s="167">
        <f t="shared" si="385"/>
        <v>0</v>
      </c>
      <c r="CX106" s="167">
        <f t="shared" si="319"/>
        <v>0</v>
      </c>
      <c r="CY106" s="167">
        <f t="shared" si="386"/>
        <v>0</v>
      </c>
      <c r="CZ106" s="167">
        <f t="shared" si="320"/>
        <v>0</v>
      </c>
      <c r="DA106" s="167">
        <f t="shared" si="387"/>
        <v>0</v>
      </c>
      <c r="DB106" s="170">
        <f t="shared" si="321"/>
        <v>0</v>
      </c>
      <c r="DC106" s="167">
        <f t="shared" si="322"/>
        <v>0</v>
      </c>
      <c r="DD106" s="171">
        <f t="shared" si="323"/>
        <v>0</v>
      </c>
      <c r="DE106" s="169">
        <f t="shared" si="399"/>
        <v>0</v>
      </c>
      <c r="DF106" s="167">
        <f t="shared" si="388"/>
        <v>0</v>
      </c>
      <c r="DG106" s="167">
        <f t="shared" si="324"/>
        <v>0</v>
      </c>
      <c r="DH106" s="167">
        <f t="shared" si="389"/>
        <v>0</v>
      </c>
      <c r="DI106" s="167">
        <f t="shared" si="325"/>
        <v>0</v>
      </c>
      <c r="DJ106" s="167">
        <f t="shared" si="390"/>
        <v>0</v>
      </c>
      <c r="DK106" s="167">
        <f t="shared" si="326"/>
        <v>0</v>
      </c>
      <c r="DL106" s="167">
        <f t="shared" si="391"/>
        <v>0</v>
      </c>
      <c r="DM106" s="167">
        <f t="shared" si="327"/>
        <v>0</v>
      </c>
      <c r="DN106" s="167">
        <f t="shared" si="392"/>
        <v>0</v>
      </c>
      <c r="DO106" s="170">
        <f t="shared" si="328"/>
        <v>0</v>
      </c>
      <c r="DP106" s="167">
        <f t="shared" si="329"/>
        <v>0</v>
      </c>
      <c r="DQ106" s="171">
        <f t="shared" si="330"/>
        <v>0</v>
      </c>
      <c r="DR106" s="169">
        <f t="shared" si="399"/>
        <v>0</v>
      </c>
      <c r="DS106" s="167">
        <f t="shared" si="393"/>
        <v>0</v>
      </c>
      <c r="DT106" s="167">
        <f t="shared" si="331"/>
        <v>0</v>
      </c>
      <c r="DU106" s="167">
        <f t="shared" si="394"/>
        <v>0</v>
      </c>
      <c r="DV106" s="167">
        <f t="shared" si="332"/>
        <v>0</v>
      </c>
      <c r="DW106" s="167">
        <f t="shared" si="395"/>
        <v>0</v>
      </c>
      <c r="DX106" s="167">
        <f t="shared" si="333"/>
        <v>0</v>
      </c>
      <c r="DY106" s="167">
        <f t="shared" si="396"/>
        <v>0</v>
      </c>
      <c r="DZ106" s="167">
        <f t="shared" si="334"/>
        <v>0</v>
      </c>
      <c r="EA106" s="167">
        <f t="shared" si="397"/>
        <v>0</v>
      </c>
      <c r="EB106" s="170">
        <f t="shared" si="335"/>
        <v>0</v>
      </c>
      <c r="EC106" s="167">
        <f t="shared" si="336"/>
        <v>0</v>
      </c>
      <c r="ED106" s="171">
        <f t="shared" si="337"/>
        <v>0</v>
      </c>
    </row>
    <row r="107" spans="1:134" x14ac:dyDescent="0.3">
      <c r="A107" s="185"/>
      <c r="B107" s="186"/>
      <c r="C107" s="187"/>
      <c r="D107" s="188"/>
      <c r="E107" s="189"/>
      <c r="F107" s="190"/>
      <c r="G107" s="191"/>
      <c r="H107" s="192"/>
      <c r="I107" s="193"/>
      <c r="J107" s="194"/>
      <c r="K107" s="165">
        <f t="shared" si="338"/>
        <v>0</v>
      </c>
      <c r="L107" s="166">
        <f t="shared" si="339"/>
        <v>0</v>
      </c>
      <c r="M107" s="167">
        <f t="shared" si="340"/>
        <v>0</v>
      </c>
      <c r="N107" s="167"/>
      <c r="O107" s="167">
        <f t="shared" si="341"/>
        <v>0</v>
      </c>
      <c r="P107" s="168"/>
      <c r="Q107" s="167">
        <f t="shared" si="342"/>
        <v>0</v>
      </c>
      <c r="R107" s="169">
        <f t="shared" si="343"/>
        <v>0</v>
      </c>
      <c r="S107" s="167">
        <f t="shared" si="344"/>
        <v>0</v>
      </c>
      <c r="T107" s="167">
        <f t="shared" si="345"/>
        <v>0</v>
      </c>
      <c r="U107" s="167">
        <f t="shared" si="346"/>
        <v>0</v>
      </c>
      <c r="V107" s="167">
        <f t="shared" si="347"/>
        <v>0</v>
      </c>
      <c r="W107" s="167">
        <f t="shared" si="348"/>
        <v>0</v>
      </c>
      <c r="X107" s="167">
        <f t="shared" si="349"/>
        <v>0</v>
      </c>
      <c r="Y107" s="167">
        <f t="shared" si="350"/>
        <v>0</v>
      </c>
      <c r="Z107" s="167">
        <f t="shared" si="351"/>
        <v>0</v>
      </c>
      <c r="AA107" s="167">
        <f t="shared" si="352"/>
        <v>0</v>
      </c>
      <c r="AB107" s="170">
        <f t="shared" si="353"/>
        <v>0</v>
      </c>
      <c r="AC107" s="167">
        <f t="shared" si="354"/>
        <v>0</v>
      </c>
      <c r="AD107" s="171">
        <f t="shared" si="355"/>
        <v>0</v>
      </c>
      <c r="AE107" s="169">
        <f t="shared" si="398"/>
        <v>0</v>
      </c>
      <c r="AF107" s="167">
        <f t="shared" si="357"/>
        <v>0</v>
      </c>
      <c r="AG107" s="167">
        <f t="shared" si="281"/>
        <v>0</v>
      </c>
      <c r="AH107" s="167">
        <f t="shared" si="358"/>
        <v>0</v>
      </c>
      <c r="AI107" s="167">
        <f t="shared" si="282"/>
        <v>0</v>
      </c>
      <c r="AJ107" s="167">
        <f t="shared" si="359"/>
        <v>0</v>
      </c>
      <c r="AK107" s="167">
        <f t="shared" si="283"/>
        <v>0</v>
      </c>
      <c r="AL107" s="167">
        <f t="shared" si="360"/>
        <v>0</v>
      </c>
      <c r="AM107" s="167">
        <f t="shared" si="284"/>
        <v>0</v>
      </c>
      <c r="AN107" s="167">
        <f t="shared" si="361"/>
        <v>0</v>
      </c>
      <c r="AO107" s="170">
        <f t="shared" si="285"/>
        <v>0</v>
      </c>
      <c r="AP107" s="167">
        <f t="shared" si="286"/>
        <v>0</v>
      </c>
      <c r="AQ107" s="171">
        <f t="shared" si="287"/>
        <v>0</v>
      </c>
      <c r="AR107" s="169">
        <f t="shared" si="398"/>
        <v>0</v>
      </c>
      <c r="AS107" s="167">
        <f t="shared" si="362"/>
        <v>0</v>
      </c>
      <c r="AT107" s="167">
        <f t="shared" si="288"/>
        <v>0</v>
      </c>
      <c r="AU107" s="167">
        <f t="shared" si="363"/>
        <v>0</v>
      </c>
      <c r="AV107" s="167">
        <f t="shared" si="289"/>
        <v>0</v>
      </c>
      <c r="AW107" s="167">
        <f t="shared" si="364"/>
        <v>0</v>
      </c>
      <c r="AX107" s="167">
        <f t="shared" si="290"/>
        <v>0</v>
      </c>
      <c r="AY107" s="167">
        <f t="shared" si="365"/>
        <v>0</v>
      </c>
      <c r="AZ107" s="167">
        <f t="shared" si="291"/>
        <v>0</v>
      </c>
      <c r="BA107" s="167">
        <f t="shared" si="366"/>
        <v>0</v>
      </c>
      <c r="BB107" s="170">
        <f t="shared" si="292"/>
        <v>0</v>
      </c>
      <c r="BC107" s="167">
        <f t="shared" si="293"/>
        <v>0</v>
      </c>
      <c r="BD107" s="171">
        <f t="shared" si="294"/>
        <v>0</v>
      </c>
      <c r="BE107" s="169">
        <f t="shared" si="398"/>
        <v>0</v>
      </c>
      <c r="BF107" s="167">
        <f t="shared" si="367"/>
        <v>0</v>
      </c>
      <c r="BG107" s="167">
        <f t="shared" si="295"/>
        <v>0</v>
      </c>
      <c r="BH107" s="167">
        <f t="shared" si="368"/>
        <v>0</v>
      </c>
      <c r="BI107" s="167">
        <f t="shared" si="296"/>
        <v>0</v>
      </c>
      <c r="BJ107" s="167">
        <f t="shared" si="369"/>
        <v>0</v>
      </c>
      <c r="BK107" s="167">
        <f t="shared" si="297"/>
        <v>0</v>
      </c>
      <c r="BL107" s="167">
        <f t="shared" si="370"/>
        <v>0</v>
      </c>
      <c r="BM107" s="167">
        <f t="shared" si="298"/>
        <v>0</v>
      </c>
      <c r="BN107" s="167">
        <f t="shared" si="371"/>
        <v>0</v>
      </c>
      <c r="BO107" s="170">
        <f t="shared" si="299"/>
        <v>0</v>
      </c>
      <c r="BP107" s="167">
        <f t="shared" si="300"/>
        <v>0</v>
      </c>
      <c r="BQ107" s="171">
        <f t="shared" si="301"/>
        <v>0</v>
      </c>
      <c r="BR107" s="169">
        <f t="shared" si="398"/>
        <v>0</v>
      </c>
      <c r="BS107" s="167">
        <f t="shared" si="372"/>
        <v>0</v>
      </c>
      <c r="BT107" s="167">
        <f t="shared" si="302"/>
        <v>0</v>
      </c>
      <c r="BU107" s="167">
        <f t="shared" si="373"/>
        <v>0</v>
      </c>
      <c r="BV107" s="167">
        <f t="shared" si="303"/>
        <v>0</v>
      </c>
      <c r="BW107" s="167">
        <f t="shared" si="374"/>
        <v>0</v>
      </c>
      <c r="BX107" s="167">
        <f t="shared" si="304"/>
        <v>0</v>
      </c>
      <c r="BY107" s="167">
        <f t="shared" si="375"/>
        <v>0</v>
      </c>
      <c r="BZ107" s="167">
        <f t="shared" si="305"/>
        <v>0</v>
      </c>
      <c r="CA107" s="167">
        <f t="shared" si="376"/>
        <v>0</v>
      </c>
      <c r="CB107" s="170">
        <f t="shared" si="306"/>
        <v>0</v>
      </c>
      <c r="CC107" s="167">
        <f t="shared" si="307"/>
        <v>0</v>
      </c>
      <c r="CD107" s="171">
        <f t="shared" si="308"/>
        <v>0</v>
      </c>
      <c r="CE107" s="169">
        <f t="shared" si="398"/>
        <v>0</v>
      </c>
      <c r="CF107" s="167">
        <f t="shared" si="377"/>
        <v>0</v>
      </c>
      <c r="CG107" s="167">
        <f t="shared" si="309"/>
        <v>0</v>
      </c>
      <c r="CH107" s="167">
        <f t="shared" si="378"/>
        <v>0</v>
      </c>
      <c r="CI107" s="167">
        <f t="shared" si="310"/>
        <v>0</v>
      </c>
      <c r="CJ107" s="167">
        <f t="shared" si="379"/>
        <v>0</v>
      </c>
      <c r="CK107" s="167">
        <f t="shared" si="311"/>
        <v>0</v>
      </c>
      <c r="CL107" s="167">
        <f t="shared" si="380"/>
        <v>0</v>
      </c>
      <c r="CM107" s="167">
        <f t="shared" si="312"/>
        <v>0</v>
      </c>
      <c r="CN107" s="167">
        <f t="shared" si="381"/>
        <v>0</v>
      </c>
      <c r="CO107" s="170">
        <f t="shared" si="313"/>
        <v>0</v>
      </c>
      <c r="CP107" s="167">
        <f t="shared" si="314"/>
        <v>0</v>
      </c>
      <c r="CQ107" s="171">
        <f t="shared" si="315"/>
        <v>0</v>
      </c>
      <c r="CR107" s="169">
        <f t="shared" si="399"/>
        <v>0</v>
      </c>
      <c r="CS107" s="167">
        <f t="shared" si="383"/>
        <v>0</v>
      </c>
      <c r="CT107" s="167">
        <f t="shared" si="317"/>
        <v>0</v>
      </c>
      <c r="CU107" s="167">
        <f t="shared" si="384"/>
        <v>0</v>
      </c>
      <c r="CV107" s="167">
        <f t="shared" si="318"/>
        <v>0</v>
      </c>
      <c r="CW107" s="167">
        <f t="shared" si="385"/>
        <v>0</v>
      </c>
      <c r="CX107" s="167">
        <f t="shared" si="319"/>
        <v>0</v>
      </c>
      <c r="CY107" s="167">
        <f t="shared" si="386"/>
        <v>0</v>
      </c>
      <c r="CZ107" s="167">
        <f t="shared" si="320"/>
        <v>0</v>
      </c>
      <c r="DA107" s="167">
        <f t="shared" si="387"/>
        <v>0</v>
      </c>
      <c r="DB107" s="170">
        <f t="shared" si="321"/>
        <v>0</v>
      </c>
      <c r="DC107" s="167">
        <f t="shared" si="322"/>
        <v>0</v>
      </c>
      <c r="DD107" s="171">
        <f t="shared" si="323"/>
        <v>0</v>
      </c>
      <c r="DE107" s="169">
        <f t="shared" si="399"/>
        <v>0</v>
      </c>
      <c r="DF107" s="167">
        <f t="shared" si="388"/>
        <v>0</v>
      </c>
      <c r="DG107" s="167">
        <f t="shared" si="324"/>
        <v>0</v>
      </c>
      <c r="DH107" s="167">
        <f t="shared" si="389"/>
        <v>0</v>
      </c>
      <c r="DI107" s="167">
        <f t="shared" si="325"/>
        <v>0</v>
      </c>
      <c r="DJ107" s="167">
        <f t="shared" si="390"/>
        <v>0</v>
      </c>
      <c r="DK107" s="167">
        <f t="shared" si="326"/>
        <v>0</v>
      </c>
      <c r="DL107" s="167">
        <f t="shared" si="391"/>
        <v>0</v>
      </c>
      <c r="DM107" s="167">
        <f t="shared" si="327"/>
        <v>0</v>
      </c>
      <c r="DN107" s="167">
        <f t="shared" si="392"/>
        <v>0</v>
      </c>
      <c r="DO107" s="170">
        <f t="shared" si="328"/>
        <v>0</v>
      </c>
      <c r="DP107" s="167">
        <f t="shared" si="329"/>
        <v>0</v>
      </c>
      <c r="DQ107" s="171">
        <f t="shared" si="330"/>
        <v>0</v>
      </c>
      <c r="DR107" s="169">
        <f t="shared" si="399"/>
        <v>0</v>
      </c>
      <c r="DS107" s="167">
        <f t="shared" si="393"/>
        <v>0</v>
      </c>
      <c r="DT107" s="167">
        <f t="shared" si="331"/>
        <v>0</v>
      </c>
      <c r="DU107" s="167">
        <f t="shared" si="394"/>
        <v>0</v>
      </c>
      <c r="DV107" s="167">
        <f t="shared" si="332"/>
        <v>0</v>
      </c>
      <c r="DW107" s="167">
        <f t="shared" si="395"/>
        <v>0</v>
      </c>
      <c r="DX107" s="167">
        <f t="shared" si="333"/>
        <v>0</v>
      </c>
      <c r="DY107" s="167">
        <f t="shared" si="396"/>
        <v>0</v>
      </c>
      <c r="DZ107" s="167">
        <f t="shared" si="334"/>
        <v>0</v>
      </c>
      <c r="EA107" s="167">
        <f t="shared" si="397"/>
        <v>0</v>
      </c>
      <c r="EB107" s="170">
        <f t="shared" si="335"/>
        <v>0</v>
      </c>
      <c r="EC107" s="167">
        <f t="shared" si="336"/>
        <v>0</v>
      </c>
      <c r="ED107" s="171">
        <f t="shared" si="337"/>
        <v>0</v>
      </c>
    </row>
    <row r="108" spans="1:134" x14ac:dyDescent="0.3">
      <c r="A108" s="185"/>
      <c r="B108" s="186"/>
      <c r="C108" s="187"/>
      <c r="D108" s="188"/>
      <c r="E108" s="189"/>
      <c r="F108" s="190"/>
      <c r="G108" s="191"/>
      <c r="H108" s="192"/>
      <c r="I108" s="193"/>
      <c r="J108" s="194"/>
      <c r="K108" s="165">
        <f t="shared" si="338"/>
        <v>0</v>
      </c>
      <c r="L108" s="166">
        <f t="shared" si="339"/>
        <v>0</v>
      </c>
      <c r="M108" s="167">
        <f t="shared" si="340"/>
        <v>0</v>
      </c>
      <c r="N108" s="167"/>
      <c r="O108" s="167">
        <f t="shared" si="341"/>
        <v>0</v>
      </c>
      <c r="P108" s="168"/>
      <c r="Q108" s="167">
        <f t="shared" si="342"/>
        <v>0</v>
      </c>
      <c r="R108" s="169">
        <f t="shared" si="343"/>
        <v>0</v>
      </c>
      <c r="S108" s="167">
        <f t="shared" si="344"/>
        <v>0</v>
      </c>
      <c r="T108" s="167">
        <f t="shared" si="345"/>
        <v>0</v>
      </c>
      <c r="U108" s="167">
        <f t="shared" si="346"/>
        <v>0</v>
      </c>
      <c r="V108" s="167">
        <f t="shared" si="347"/>
        <v>0</v>
      </c>
      <c r="W108" s="167">
        <f t="shared" si="348"/>
        <v>0</v>
      </c>
      <c r="X108" s="167">
        <f t="shared" si="349"/>
        <v>0</v>
      </c>
      <c r="Y108" s="167">
        <f t="shared" si="350"/>
        <v>0</v>
      </c>
      <c r="Z108" s="167">
        <f t="shared" si="351"/>
        <v>0</v>
      </c>
      <c r="AA108" s="167">
        <f t="shared" si="352"/>
        <v>0</v>
      </c>
      <c r="AB108" s="170">
        <f t="shared" si="353"/>
        <v>0</v>
      </c>
      <c r="AC108" s="167">
        <f t="shared" si="354"/>
        <v>0</v>
      </c>
      <c r="AD108" s="171">
        <f t="shared" si="355"/>
        <v>0</v>
      </c>
      <c r="AE108" s="169">
        <f t="shared" si="398"/>
        <v>0</v>
      </c>
      <c r="AF108" s="167">
        <f t="shared" si="357"/>
        <v>0</v>
      </c>
      <c r="AG108" s="167">
        <f t="shared" si="281"/>
        <v>0</v>
      </c>
      <c r="AH108" s="167">
        <f t="shared" si="358"/>
        <v>0</v>
      </c>
      <c r="AI108" s="167">
        <f t="shared" si="282"/>
        <v>0</v>
      </c>
      <c r="AJ108" s="167">
        <f t="shared" si="359"/>
        <v>0</v>
      </c>
      <c r="AK108" s="167">
        <f t="shared" si="283"/>
        <v>0</v>
      </c>
      <c r="AL108" s="167">
        <f t="shared" si="360"/>
        <v>0</v>
      </c>
      <c r="AM108" s="167">
        <f t="shared" si="284"/>
        <v>0</v>
      </c>
      <c r="AN108" s="167">
        <f t="shared" si="361"/>
        <v>0</v>
      </c>
      <c r="AO108" s="170">
        <f t="shared" si="285"/>
        <v>0</v>
      </c>
      <c r="AP108" s="167">
        <f t="shared" si="286"/>
        <v>0</v>
      </c>
      <c r="AQ108" s="171">
        <f t="shared" si="287"/>
        <v>0</v>
      </c>
      <c r="AR108" s="169">
        <f t="shared" si="398"/>
        <v>0</v>
      </c>
      <c r="AS108" s="167">
        <f t="shared" si="362"/>
        <v>0</v>
      </c>
      <c r="AT108" s="167">
        <f t="shared" si="288"/>
        <v>0</v>
      </c>
      <c r="AU108" s="167">
        <f t="shared" si="363"/>
        <v>0</v>
      </c>
      <c r="AV108" s="167">
        <f t="shared" si="289"/>
        <v>0</v>
      </c>
      <c r="AW108" s="167">
        <f t="shared" si="364"/>
        <v>0</v>
      </c>
      <c r="AX108" s="167">
        <f t="shared" si="290"/>
        <v>0</v>
      </c>
      <c r="AY108" s="167">
        <f t="shared" si="365"/>
        <v>0</v>
      </c>
      <c r="AZ108" s="167">
        <f t="shared" si="291"/>
        <v>0</v>
      </c>
      <c r="BA108" s="167">
        <f t="shared" si="366"/>
        <v>0</v>
      </c>
      <c r="BB108" s="170">
        <f t="shared" si="292"/>
        <v>0</v>
      </c>
      <c r="BC108" s="167">
        <f t="shared" si="293"/>
        <v>0</v>
      </c>
      <c r="BD108" s="171">
        <f t="shared" si="294"/>
        <v>0</v>
      </c>
      <c r="BE108" s="169">
        <f t="shared" si="398"/>
        <v>0</v>
      </c>
      <c r="BF108" s="167">
        <f t="shared" si="367"/>
        <v>0</v>
      </c>
      <c r="BG108" s="167">
        <f t="shared" si="295"/>
        <v>0</v>
      </c>
      <c r="BH108" s="167">
        <f t="shared" si="368"/>
        <v>0</v>
      </c>
      <c r="BI108" s="167">
        <f t="shared" si="296"/>
        <v>0</v>
      </c>
      <c r="BJ108" s="167">
        <f t="shared" si="369"/>
        <v>0</v>
      </c>
      <c r="BK108" s="167">
        <f t="shared" si="297"/>
        <v>0</v>
      </c>
      <c r="BL108" s="167">
        <f t="shared" si="370"/>
        <v>0</v>
      </c>
      <c r="BM108" s="167">
        <f t="shared" si="298"/>
        <v>0</v>
      </c>
      <c r="BN108" s="167">
        <f t="shared" si="371"/>
        <v>0</v>
      </c>
      <c r="BO108" s="170">
        <f t="shared" si="299"/>
        <v>0</v>
      </c>
      <c r="BP108" s="167">
        <f t="shared" si="300"/>
        <v>0</v>
      </c>
      <c r="BQ108" s="171">
        <f t="shared" si="301"/>
        <v>0</v>
      </c>
      <c r="BR108" s="169">
        <f t="shared" si="398"/>
        <v>0</v>
      </c>
      <c r="BS108" s="167">
        <f t="shared" si="372"/>
        <v>0</v>
      </c>
      <c r="BT108" s="167">
        <f t="shared" si="302"/>
        <v>0</v>
      </c>
      <c r="BU108" s="167">
        <f t="shared" si="373"/>
        <v>0</v>
      </c>
      <c r="BV108" s="167">
        <f t="shared" si="303"/>
        <v>0</v>
      </c>
      <c r="BW108" s="167">
        <f t="shared" si="374"/>
        <v>0</v>
      </c>
      <c r="BX108" s="167">
        <f t="shared" si="304"/>
        <v>0</v>
      </c>
      <c r="BY108" s="167">
        <f t="shared" si="375"/>
        <v>0</v>
      </c>
      <c r="BZ108" s="167">
        <f t="shared" si="305"/>
        <v>0</v>
      </c>
      <c r="CA108" s="167">
        <f t="shared" si="376"/>
        <v>0</v>
      </c>
      <c r="CB108" s="170">
        <f t="shared" si="306"/>
        <v>0</v>
      </c>
      <c r="CC108" s="167">
        <f t="shared" si="307"/>
        <v>0</v>
      </c>
      <c r="CD108" s="171">
        <f t="shared" si="308"/>
        <v>0</v>
      </c>
      <c r="CE108" s="169">
        <f t="shared" si="398"/>
        <v>0</v>
      </c>
      <c r="CF108" s="167">
        <f t="shared" si="377"/>
        <v>0</v>
      </c>
      <c r="CG108" s="167">
        <f t="shared" si="309"/>
        <v>0</v>
      </c>
      <c r="CH108" s="167">
        <f t="shared" si="378"/>
        <v>0</v>
      </c>
      <c r="CI108" s="167">
        <f t="shared" si="310"/>
        <v>0</v>
      </c>
      <c r="CJ108" s="167">
        <f t="shared" si="379"/>
        <v>0</v>
      </c>
      <c r="CK108" s="167">
        <f t="shared" si="311"/>
        <v>0</v>
      </c>
      <c r="CL108" s="167">
        <f t="shared" si="380"/>
        <v>0</v>
      </c>
      <c r="CM108" s="167">
        <f t="shared" si="312"/>
        <v>0</v>
      </c>
      <c r="CN108" s="167">
        <f t="shared" si="381"/>
        <v>0</v>
      </c>
      <c r="CO108" s="170">
        <f t="shared" si="313"/>
        <v>0</v>
      </c>
      <c r="CP108" s="167">
        <f t="shared" si="314"/>
        <v>0</v>
      </c>
      <c r="CQ108" s="171">
        <f t="shared" si="315"/>
        <v>0</v>
      </c>
      <c r="CR108" s="169">
        <f t="shared" si="399"/>
        <v>0</v>
      </c>
      <c r="CS108" s="167">
        <f t="shared" si="383"/>
        <v>0</v>
      </c>
      <c r="CT108" s="167">
        <f t="shared" si="317"/>
        <v>0</v>
      </c>
      <c r="CU108" s="167">
        <f t="shared" si="384"/>
        <v>0</v>
      </c>
      <c r="CV108" s="167">
        <f t="shared" si="318"/>
        <v>0</v>
      </c>
      <c r="CW108" s="167">
        <f t="shared" si="385"/>
        <v>0</v>
      </c>
      <c r="CX108" s="167">
        <f t="shared" si="319"/>
        <v>0</v>
      </c>
      <c r="CY108" s="167">
        <f t="shared" si="386"/>
        <v>0</v>
      </c>
      <c r="CZ108" s="167">
        <f t="shared" si="320"/>
        <v>0</v>
      </c>
      <c r="DA108" s="167">
        <f t="shared" si="387"/>
        <v>0</v>
      </c>
      <c r="DB108" s="170">
        <f t="shared" si="321"/>
        <v>0</v>
      </c>
      <c r="DC108" s="167">
        <f t="shared" si="322"/>
        <v>0</v>
      </c>
      <c r="DD108" s="171">
        <f t="shared" si="323"/>
        <v>0</v>
      </c>
      <c r="DE108" s="169">
        <f t="shared" si="399"/>
        <v>0</v>
      </c>
      <c r="DF108" s="167">
        <f t="shared" si="388"/>
        <v>0</v>
      </c>
      <c r="DG108" s="167">
        <f t="shared" si="324"/>
        <v>0</v>
      </c>
      <c r="DH108" s="167">
        <f t="shared" si="389"/>
        <v>0</v>
      </c>
      <c r="DI108" s="167">
        <f t="shared" si="325"/>
        <v>0</v>
      </c>
      <c r="DJ108" s="167">
        <f t="shared" si="390"/>
        <v>0</v>
      </c>
      <c r="DK108" s="167">
        <f t="shared" si="326"/>
        <v>0</v>
      </c>
      <c r="DL108" s="167">
        <f t="shared" si="391"/>
        <v>0</v>
      </c>
      <c r="DM108" s="167">
        <f t="shared" si="327"/>
        <v>0</v>
      </c>
      <c r="DN108" s="167">
        <f t="shared" si="392"/>
        <v>0</v>
      </c>
      <c r="DO108" s="170">
        <f t="shared" si="328"/>
        <v>0</v>
      </c>
      <c r="DP108" s="167">
        <f t="shared" si="329"/>
        <v>0</v>
      </c>
      <c r="DQ108" s="171">
        <f t="shared" si="330"/>
        <v>0</v>
      </c>
      <c r="DR108" s="169">
        <f t="shared" si="399"/>
        <v>0</v>
      </c>
      <c r="DS108" s="167">
        <f t="shared" si="393"/>
        <v>0</v>
      </c>
      <c r="DT108" s="167">
        <f t="shared" si="331"/>
        <v>0</v>
      </c>
      <c r="DU108" s="167">
        <f t="shared" si="394"/>
        <v>0</v>
      </c>
      <c r="DV108" s="167">
        <f t="shared" si="332"/>
        <v>0</v>
      </c>
      <c r="DW108" s="167">
        <f t="shared" si="395"/>
        <v>0</v>
      </c>
      <c r="DX108" s="167">
        <f t="shared" si="333"/>
        <v>0</v>
      </c>
      <c r="DY108" s="167">
        <f t="shared" si="396"/>
        <v>0</v>
      </c>
      <c r="DZ108" s="167">
        <f t="shared" si="334"/>
        <v>0</v>
      </c>
      <c r="EA108" s="167">
        <f t="shared" si="397"/>
        <v>0</v>
      </c>
      <c r="EB108" s="170">
        <f t="shared" si="335"/>
        <v>0</v>
      </c>
      <c r="EC108" s="167">
        <f t="shared" si="336"/>
        <v>0</v>
      </c>
      <c r="ED108" s="171">
        <f t="shared" si="337"/>
        <v>0</v>
      </c>
    </row>
    <row r="109" spans="1:134" x14ac:dyDescent="0.3">
      <c r="A109" s="185"/>
      <c r="B109" s="186"/>
      <c r="C109" s="187"/>
      <c r="D109" s="188"/>
      <c r="E109" s="189"/>
      <c r="F109" s="190"/>
      <c r="G109" s="191"/>
      <c r="H109" s="192"/>
      <c r="I109" s="193"/>
      <c r="J109" s="194"/>
      <c r="K109" s="165">
        <f t="shared" si="338"/>
        <v>0</v>
      </c>
      <c r="L109" s="166">
        <f t="shared" si="339"/>
        <v>0</v>
      </c>
      <c r="M109" s="167">
        <f t="shared" si="340"/>
        <v>0</v>
      </c>
      <c r="N109" s="167"/>
      <c r="O109" s="167">
        <f t="shared" si="341"/>
        <v>0</v>
      </c>
      <c r="P109" s="168"/>
      <c r="Q109" s="167">
        <f t="shared" si="342"/>
        <v>0</v>
      </c>
      <c r="R109" s="169">
        <f t="shared" si="343"/>
        <v>0</v>
      </c>
      <c r="S109" s="167">
        <f t="shared" si="344"/>
        <v>0</v>
      </c>
      <c r="T109" s="167">
        <f t="shared" si="345"/>
        <v>0</v>
      </c>
      <c r="U109" s="167">
        <f t="shared" si="346"/>
        <v>0</v>
      </c>
      <c r="V109" s="167">
        <f t="shared" si="347"/>
        <v>0</v>
      </c>
      <c r="W109" s="167">
        <f t="shared" si="348"/>
        <v>0</v>
      </c>
      <c r="X109" s="167">
        <f t="shared" si="349"/>
        <v>0</v>
      </c>
      <c r="Y109" s="167">
        <f t="shared" si="350"/>
        <v>0</v>
      </c>
      <c r="Z109" s="167">
        <f t="shared" si="351"/>
        <v>0</v>
      </c>
      <c r="AA109" s="167">
        <f t="shared" si="352"/>
        <v>0</v>
      </c>
      <c r="AB109" s="170">
        <f t="shared" si="353"/>
        <v>0</v>
      </c>
      <c r="AC109" s="167">
        <f t="shared" si="354"/>
        <v>0</v>
      </c>
      <c r="AD109" s="171">
        <f t="shared" si="355"/>
        <v>0</v>
      </c>
      <c r="AE109" s="169">
        <f t="shared" si="398"/>
        <v>0</v>
      </c>
      <c r="AF109" s="167">
        <f t="shared" si="357"/>
        <v>0</v>
      </c>
      <c r="AG109" s="167">
        <f t="shared" si="281"/>
        <v>0</v>
      </c>
      <c r="AH109" s="167">
        <f t="shared" si="358"/>
        <v>0</v>
      </c>
      <c r="AI109" s="167">
        <f t="shared" si="282"/>
        <v>0</v>
      </c>
      <c r="AJ109" s="167">
        <f t="shared" si="359"/>
        <v>0</v>
      </c>
      <c r="AK109" s="167">
        <f t="shared" si="283"/>
        <v>0</v>
      </c>
      <c r="AL109" s="167">
        <f t="shared" si="360"/>
        <v>0</v>
      </c>
      <c r="AM109" s="167">
        <f t="shared" si="284"/>
        <v>0</v>
      </c>
      <c r="AN109" s="167">
        <f t="shared" si="361"/>
        <v>0</v>
      </c>
      <c r="AO109" s="170">
        <f t="shared" si="285"/>
        <v>0</v>
      </c>
      <c r="AP109" s="167">
        <f t="shared" si="286"/>
        <v>0</v>
      </c>
      <c r="AQ109" s="171">
        <f t="shared" si="287"/>
        <v>0</v>
      </c>
      <c r="AR109" s="169">
        <f t="shared" si="398"/>
        <v>0</v>
      </c>
      <c r="AS109" s="167">
        <f t="shared" si="362"/>
        <v>0</v>
      </c>
      <c r="AT109" s="167">
        <f t="shared" si="288"/>
        <v>0</v>
      </c>
      <c r="AU109" s="167">
        <f t="shared" si="363"/>
        <v>0</v>
      </c>
      <c r="AV109" s="167">
        <f t="shared" si="289"/>
        <v>0</v>
      </c>
      <c r="AW109" s="167">
        <f t="shared" si="364"/>
        <v>0</v>
      </c>
      <c r="AX109" s="167">
        <f t="shared" si="290"/>
        <v>0</v>
      </c>
      <c r="AY109" s="167">
        <f t="shared" si="365"/>
        <v>0</v>
      </c>
      <c r="AZ109" s="167">
        <f t="shared" si="291"/>
        <v>0</v>
      </c>
      <c r="BA109" s="167">
        <f t="shared" si="366"/>
        <v>0</v>
      </c>
      <c r="BB109" s="170">
        <f t="shared" si="292"/>
        <v>0</v>
      </c>
      <c r="BC109" s="167">
        <f t="shared" si="293"/>
        <v>0</v>
      </c>
      <c r="BD109" s="171">
        <f t="shared" si="294"/>
        <v>0</v>
      </c>
      <c r="BE109" s="169">
        <f t="shared" si="398"/>
        <v>0</v>
      </c>
      <c r="BF109" s="167">
        <f t="shared" si="367"/>
        <v>0</v>
      </c>
      <c r="BG109" s="167">
        <f t="shared" si="295"/>
        <v>0</v>
      </c>
      <c r="BH109" s="167">
        <f t="shared" si="368"/>
        <v>0</v>
      </c>
      <c r="BI109" s="167">
        <f t="shared" si="296"/>
        <v>0</v>
      </c>
      <c r="BJ109" s="167">
        <f t="shared" si="369"/>
        <v>0</v>
      </c>
      <c r="BK109" s="167">
        <f t="shared" si="297"/>
        <v>0</v>
      </c>
      <c r="BL109" s="167">
        <f t="shared" si="370"/>
        <v>0</v>
      </c>
      <c r="BM109" s="167">
        <f t="shared" si="298"/>
        <v>0</v>
      </c>
      <c r="BN109" s="167">
        <f t="shared" si="371"/>
        <v>0</v>
      </c>
      <c r="BO109" s="170">
        <f t="shared" si="299"/>
        <v>0</v>
      </c>
      <c r="BP109" s="167">
        <f t="shared" si="300"/>
        <v>0</v>
      </c>
      <c r="BQ109" s="171">
        <f t="shared" si="301"/>
        <v>0</v>
      </c>
      <c r="BR109" s="169">
        <f t="shared" si="398"/>
        <v>0</v>
      </c>
      <c r="BS109" s="167">
        <f t="shared" si="372"/>
        <v>0</v>
      </c>
      <c r="BT109" s="167">
        <f t="shared" si="302"/>
        <v>0</v>
      </c>
      <c r="BU109" s="167">
        <f t="shared" si="373"/>
        <v>0</v>
      </c>
      <c r="BV109" s="167">
        <f t="shared" si="303"/>
        <v>0</v>
      </c>
      <c r="BW109" s="167">
        <f t="shared" si="374"/>
        <v>0</v>
      </c>
      <c r="BX109" s="167">
        <f t="shared" si="304"/>
        <v>0</v>
      </c>
      <c r="BY109" s="167">
        <f t="shared" si="375"/>
        <v>0</v>
      </c>
      <c r="BZ109" s="167">
        <f t="shared" si="305"/>
        <v>0</v>
      </c>
      <c r="CA109" s="167">
        <f t="shared" si="376"/>
        <v>0</v>
      </c>
      <c r="CB109" s="170">
        <f t="shared" si="306"/>
        <v>0</v>
      </c>
      <c r="CC109" s="167">
        <f t="shared" si="307"/>
        <v>0</v>
      </c>
      <c r="CD109" s="171">
        <f t="shared" si="308"/>
        <v>0</v>
      </c>
      <c r="CE109" s="169">
        <f t="shared" si="398"/>
        <v>0</v>
      </c>
      <c r="CF109" s="167">
        <f t="shared" si="377"/>
        <v>0</v>
      </c>
      <c r="CG109" s="167">
        <f t="shared" si="309"/>
        <v>0</v>
      </c>
      <c r="CH109" s="167">
        <f t="shared" si="378"/>
        <v>0</v>
      </c>
      <c r="CI109" s="167">
        <f t="shared" si="310"/>
        <v>0</v>
      </c>
      <c r="CJ109" s="167">
        <f t="shared" si="379"/>
        <v>0</v>
      </c>
      <c r="CK109" s="167">
        <f t="shared" si="311"/>
        <v>0</v>
      </c>
      <c r="CL109" s="167">
        <f t="shared" si="380"/>
        <v>0</v>
      </c>
      <c r="CM109" s="167">
        <f t="shared" si="312"/>
        <v>0</v>
      </c>
      <c r="CN109" s="167">
        <f t="shared" si="381"/>
        <v>0</v>
      </c>
      <c r="CO109" s="170">
        <f t="shared" si="313"/>
        <v>0</v>
      </c>
      <c r="CP109" s="167">
        <f t="shared" si="314"/>
        <v>0</v>
      </c>
      <c r="CQ109" s="171">
        <f t="shared" si="315"/>
        <v>0</v>
      </c>
      <c r="CR109" s="169">
        <f t="shared" si="399"/>
        <v>0</v>
      </c>
      <c r="CS109" s="167">
        <f t="shared" si="383"/>
        <v>0</v>
      </c>
      <c r="CT109" s="167">
        <f t="shared" si="317"/>
        <v>0</v>
      </c>
      <c r="CU109" s="167">
        <f t="shared" si="384"/>
        <v>0</v>
      </c>
      <c r="CV109" s="167">
        <f t="shared" si="318"/>
        <v>0</v>
      </c>
      <c r="CW109" s="167">
        <f t="shared" si="385"/>
        <v>0</v>
      </c>
      <c r="CX109" s="167">
        <f t="shared" si="319"/>
        <v>0</v>
      </c>
      <c r="CY109" s="167">
        <f t="shared" si="386"/>
        <v>0</v>
      </c>
      <c r="CZ109" s="167">
        <f t="shared" si="320"/>
        <v>0</v>
      </c>
      <c r="DA109" s="167">
        <f t="shared" si="387"/>
        <v>0</v>
      </c>
      <c r="DB109" s="170">
        <f t="shared" si="321"/>
        <v>0</v>
      </c>
      <c r="DC109" s="167">
        <f t="shared" si="322"/>
        <v>0</v>
      </c>
      <c r="DD109" s="171">
        <f t="shared" si="323"/>
        <v>0</v>
      </c>
      <c r="DE109" s="169">
        <f t="shared" si="399"/>
        <v>0</v>
      </c>
      <c r="DF109" s="167">
        <f t="shared" si="388"/>
        <v>0</v>
      </c>
      <c r="DG109" s="167">
        <f t="shared" si="324"/>
        <v>0</v>
      </c>
      <c r="DH109" s="167">
        <f t="shared" si="389"/>
        <v>0</v>
      </c>
      <c r="DI109" s="167">
        <f t="shared" si="325"/>
        <v>0</v>
      </c>
      <c r="DJ109" s="167">
        <f t="shared" si="390"/>
        <v>0</v>
      </c>
      <c r="DK109" s="167">
        <f t="shared" si="326"/>
        <v>0</v>
      </c>
      <c r="DL109" s="167">
        <f t="shared" si="391"/>
        <v>0</v>
      </c>
      <c r="DM109" s="167">
        <f t="shared" si="327"/>
        <v>0</v>
      </c>
      <c r="DN109" s="167">
        <f t="shared" si="392"/>
        <v>0</v>
      </c>
      <c r="DO109" s="170">
        <f t="shared" si="328"/>
        <v>0</v>
      </c>
      <c r="DP109" s="167">
        <f t="shared" si="329"/>
        <v>0</v>
      </c>
      <c r="DQ109" s="171">
        <f t="shared" si="330"/>
        <v>0</v>
      </c>
      <c r="DR109" s="169">
        <f t="shared" si="399"/>
        <v>0</v>
      </c>
      <c r="DS109" s="167">
        <f t="shared" si="393"/>
        <v>0</v>
      </c>
      <c r="DT109" s="167">
        <f t="shared" si="331"/>
        <v>0</v>
      </c>
      <c r="DU109" s="167">
        <f t="shared" si="394"/>
        <v>0</v>
      </c>
      <c r="DV109" s="167">
        <f t="shared" si="332"/>
        <v>0</v>
      </c>
      <c r="DW109" s="167">
        <f t="shared" si="395"/>
        <v>0</v>
      </c>
      <c r="DX109" s="167">
        <f t="shared" si="333"/>
        <v>0</v>
      </c>
      <c r="DY109" s="167">
        <f t="shared" si="396"/>
        <v>0</v>
      </c>
      <c r="DZ109" s="167">
        <f t="shared" si="334"/>
        <v>0</v>
      </c>
      <c r="EA109" s="167">
        <f t="shared" si="397"/>
        <v>0</v>
      </c>
      <c r="EB109" s="170">
        <f t="shared" si="335"/>
        <v>0</v>
      </c>
      <c r="EC109" s="167">
        <f t="shared" si="336"/>
        <v>0</v>
      </c>
      <c r="ED109" s="171">
        <f t="shared" si="337"/>
        <v>0</v>
      </c>
    </row>
    <row r="110" spans="1:134" x14ac:dyDescent="0.3">
      <c r="A110" s="185"/>
      <c r="B110" s="186"/>
      <c r="C110" s="187"/>
      <c r="D110" s="188"/>
      <c r="E110" s="189"/>
      <c r="F110" s="190"/>
      <c r="G110" s="191"/>
      <c r="H110" s="192"/>
      <c r="I110" s="193"/>
      <c r="J110" s="194"/>
      <c r="K110" s="165">
        <f t="shared" si="338"/>
        <v>0</v>
      </c>
      <c r="L110" s="166">
        <f t="shared" si="339"/>
        <v>0</v>
      </c>
      <c r="M110" s="167">
        <f t="shared" si="340"/>
        <v>0</v>
      </c>
      <c r="N110" s="167"/>
      <c r="O110" s="167">
        <f t="shared" si="341"/>
        <v>0</v>
      </c>
      <c r="P110" s="168"/>
      <c r="Q110" s="167">
        <f t="shared" si="342"/>
        <v>0</v>
      </c>
      <c r="R110" s="169">
        <f t="shared" si="343"/>
        <v>0</v>
      </c>
      <c r="S110" s="167">
        <f t="shared" si="344"/>
        <v>0</v>
      </c>
      <c r="T110" s="167">
        <f t="shared" si="345"/>
        <v>0</v>
      </c>
      <c r="U110" s="167">
        <f t="shared" si="346"/>
        <v>0</v>
      </c>
      <c r="V110" s="167">
        <f t="shared" si="347"/>
        <v>0</v>
      </c>
      <c r="W110" s="167">
        <f t="shared" si="348"/>
        <v>0</v>
      </c>
      <c r="X110" s="167">
        <f t="shared" si="349"/>
        <v>0</v>
      </c>
      <c r="Y110" s="167">
        <f t="shared" si="350"/>
        <v>0</v>
      </c>
      <c r="Z110" s="167">
        <f t="shared" si="351"/>
        <v>0</v>
      </c>
      <c r="AA110" s="167">
        <f t="shared" si="352"/>
        <v>0</v>
      </c>
      <c r="AB110" s="170">
        <f t="shared" si="353"/>
        <v>0</v>
      </c>
      <c r="AC110" s="167">
        <f t="shared" si="354"/>
        <v>0</v>
      </c>
      <c r="AD110" s="171">
        <f t="shared" si="355"/>
        <v>0</v>
      </c>
      <c r="AE110" s="169">
        <f t="shared" si="398"/>
        <v>0</v>
      </c>
      <c r="AF110" s="167">
        <f t="shared" si="357"/>
        <v>0</v>
      </c>
      <c r="AG110" s="167">
        <f t="shared" si="281"/>
        <v>0</v>
      </c>
      <c r="AH110" s="167">
        <f t="shared" si="358"/>
        <v>0</v>
      </c>
      <c r="AI110" s="167">
        <f t="shared" si="282"/>
        <v>0</v>
      </c>
      <c r="AJ110" s="167">
        <f t="shared" si="359"/>
        <v>0</v>
      </c>
      <c r="AK110" s="167">
        <f t="shared" si="283"/>
        <v>0</v>
      </c>
      <c r="AL110" s="167">
        <f t="shared" si="360"/>
        <v>0</v>
      </c>
      <c r="AM110" s="167">
        <f t="shared" si="284"/>
        <v>0</v>
      </c>
      <c r="AN110" s="167">
        <f t="shared" si="361"/>
        <v>0</v>
      </c>
      <c r="AO110" s="170">
        <f t="shared" si="285"/>
        <v>0</v>
      </c>
      <c r="AP110" s="167">
        <f t="shared" si="286"/>
        <v>0</v>
      </c>
      <c r="AQ110" s="171">
        <f t="shared" si="287"/>
        <v>0</v>
      </c>
      <c r="AR110" s="169">
        <f t="shared" si="398"/>
        <v>0</v>
      </c>
      <c r="AS110" s="167">
        <f t="shared" si="362"/>
        <v>0</v>
      </c>
      <c r="AT110" s="167">
        <f t="shared" si="288"/>
        <v>0</v>
      </c>
      <c r="AU110" s="167">
        <f t="shared" si="363"/>
        <v>0</v>
      </c>
      <c r="AV110" s="167">
        <f t="shared" si="289"/>
        <v>0</v>
      </c>
      <c r="AW110" s="167">
        <f t="shared" si="364"/>
        <v>0</v>
      </c>
      <c r="AX110" s="167">
        <f t="shared" si="290"/>
        <v>0</v>
      </c>
      <c r="AY110" s="167">
        <f t="shared" si="365"/>
        <v>0</v>
      </c>
      <c r="AZ110" s="167">
        <f t="shared" si="291"/>
        <v>0</v>
      </c>
      <c r="BA110" s="167">
        <f t="shared" si="366"/>
        <v>0</v>
      </c>
      <c r="BB110" s="170">
        <f t="shared" si="292"/>
        <v>0</v>
      </c>
      <c r="BC110" s="167">
        <f t="shared" si="293"/>
        <v>0</v>
      </c>
      <c r="BD110" s="171">
        <f t="shared" si="294"/>
        <v>0</v>
      </c>
      <c r="BE110" s="169">
        <f t="shared" si="398"/>
        <v>0</v>
      </c>
      <c r="BF110" s="167">
        <f t="shared" si="367"/>
        <v>0</v>
      </c>
      <c r="BG110" s="167">
        <f t="shared" si="295"/>
        <v>0</v>
      </c>
      <c r="BH110" s="167">
        <f t="shared" si="368"/>
        <v>0</v>
      </c>
      <c r="BI110" s="167">
        <f t="shared" si="296"/>
        <v>0</v>
      </c>
      <c r="BJ110" s="167">
        <f t="shared" si="369"/>
        <v>0</v>
      </c>
      <c r="BK110" s="167">
        <f t="shared" si="297"/>
        <v>0</v>
      </c>
      <c r="BL110" s="167">
        <f t="shared" si="370"/>
        <v>0</v>
      </c>
      <c r="BM110" s="167">
        <f t="shared" si="298"/>
        <v>0</v>
      </c>
      <c r="BN110" s="167">
        <f t="shared" si="371"/>
        <v>0</v>
      </c>
      <c r="BO110" s="170">
        <f t="shared" si="299"/>
        <v>0</v>
      </c>
      <c r="BP110" s="167">
        <f t="shared" si="300"/>
        <v>0</v>
      </c>
      <c r="BQ110" s="171">
        <f t="shared" si="301"/>
        <v>0</v>
      </c>
      <c r="BR110" s="169">
        <f t="shared" si="398"/>
        <v>0</v>
      </c>
      <c r="BS110" s="167">
        <f t="shared" si="372"/>
        <v>0</v>
      </c>
      <c r="BT110" s="167">
        <f t="shared" si="302"/>
        <v>0</v>
      </c>
      <c r="BU110" s="167">
        <f t="shared" si="373"/>
        <v>0</v>
      </c>
      <c r="BV110" s="167">
        <f t="shared" si="303"/>
        <v>0</v>
      </c>
      <c r="BW110" s="167">
        <f t="shared" si="374"/>
        <v>0</v>
      </c>
      <c r="BX110" s="167">
        <f t="shared" si="304"/>
        <v>0</v>
      </c>
      <c r="BY110" s="167">
        <f t="shared" si="375"/>
        <v>0</v>
      </c>
      <c r="BZ110" s="167">
        <f t="shared" si="305"/>
        <v>0</v>
      </c>
      <c r="CA110" s="167">
        <f t="shared" si="376"/>
        <v>0</v>
      </c>
      <c r="CB110" s="170">
        <f t="shared" si="306"/>
        <v>0</v>
      </c>
      <c r="CC110" s="167">
        <f t="shared" si="307"/>
        <v>0</v>
      </c>
      <c r="CD110" s="171">
        <f t="shared" si="308"/>
        <v>0</v>
      </c>
      <c r="CE110" s="169">
        <f t="shared" si="398"/>
        <v>0</v>
      </c>
      <c r="CF110" s="167">
        <f t="shared" si="377"/>
        <v>0</v>
      </c>
      <c r="CG110" s="167">
        <f t="shared" si="309"/>
        <v>0</v>
      </c>
      <c r="CH110" s="167">
        <f t="shared" si="378"/>
        <v>0</v>
      </c>
      <c r="CI110" s="167">
        <f t="shared" si="310"/>
        <v>0</v>
      </c>
      <c r="CJ110" s="167">
        <f t="shared" si="379"/>
        <v>0</v>
      </c>
      <c r="CK110" s="167">
        <f t="shared" si="311"/>
        <v>0</v>
      </c>
      <c r="CL110" s="167">
        <f t="shared" si="380"/>
        <v>0</v>
      </c>
      <c r="CM110" s="167">
        <f t="shared" si="312"/>
        <v>0</v>
      </c>
      <c r="CN110" s="167">
        <f t="shared" si="381"/>
        <v>0</v>
      </c>
      <c r="CO110" s="170">
        <f t="shared" si="313"/>
        <v>0</v>
      </c>
      <c r="CP110" s="167">
        <f t="shared" si="314"/>
        <v>0</v>
      </c>
      <c r="CQ110" s="171">
        <f t="shared" si="315"/>
        <v>0</v>
      </c>
      <c r="CR110" s="169">
        <f t="shared" si="399"/>
        <v>0</v>
      </c>
      <c r="CS110" s="167">
        <f t="shared" si="383"/>
        <v>0</v>
      </c>
      <c r="CT110" s="167">
        <f t="shared" si="317"/>
        <v>0</v>
      </c>
      <c r="CU110" s="167">
        <f t="shared" si="384"/>
        <v>0</v>
      </c>
      <c r="CV110" s="167">
        <f t="shared" si="318"/>
        <v>0</v>
      </c>
      <c r="CW110" s="167">
        <f t="shared" si="385"/>
        <v>0</v>
      </c>
      <c r="CX110" s="167">
        <f t="shared" si="319"/>
        <v>0</v>
      </c>
      <c r="CY110" s="167">
        <f t="shared" si="386"/>
        <v>0</v>
      </c>
      <c r="CZ110" s="167">
        <f t="shared" si="320"/>
        <v>0</v>
      </c>
      <c r="DA110" s="167">
        <f t="shared" si="387"/>
        <v>0</v>
      </c>
      <c r="DB110" s="170">
        <f t="shared" si="321"/>
        <v>0</v>
      </c>
      <c r="DC110" s="167">
        <f t="shared" si="322"/>
        <v>0</v>
      </c>
      <c r="DD110" s="171">
        <f t="shared" si="323"/>
        <v>0</v>
      </c>
      <c r="DE110" s="169">
        <f t="shared" si="399"/>
        <v>0</v>
      </c>
      <c r="DF110" s="167">
        <f t="shared" si="388"/>
        <v>0</v>
      </c>
      <c r="DG110" s="167">
        <f t="shared" si="324"/>
        <v>0</v>
      </c>
      <c r="DH110" s="167">
        <f t="shared" si="389"/>
        <v>0</v>
      </c>
      <c r="DI110" s="167">
        <f t="shared" si="325"/>
        <v>0</v>
      </c>
      <c r="DJ110" s="167">
        <f t="shared" si="390"/>
        <v>0</v>
      </c>
      <c r="DK110" s="167">
        <f t="shared" si="326"/>
        <v>0</v>
      </c>
      <c r="DL110" s="167">
        <f t="shared" si="391"/>
        <v>0</v>
      </c>
      <c r="DM110" s="167">
        <f t="shared" si="327"/>
        <v>0</v>
      </c>
      <c r="DN110" s="167">
        <f t="shared" si="392"/>
        <v>0</v>
      </c>
      <c r="DO110" s="170">
        <f t="shared" si="328"/>
        <v>0</v>
      </c>
      <c r="DP110" s="167">
        <f t="shared" si="329"/>
        <v>0</v>
      </c>
      <c r="DQ110" s="171">
        <f t="shared" si="330"/>
        <v>0</v>
      </c>
      <c r="DR110" s="169">
        <f t="shared" si="399"/>
        <v>0</v>
      </c>
      <c r="DS110" s="167">
        <f t="shared" si="393"/>
        <v>0</v>
      </c>
      <c r="DT110" s="167">
        <f t="shared" si="331"/>
        <v>0</v>
      </c>
      <c r="DU110" s="167">
        <f t="shared" si="394"/>
        <v>0</v>
      </c>
      <c r="DV110" s="167">
        <f t="shared" si="332"/>
        <v>0</v>
      </c>
      <c r="DW110" s="167">
        <f t="shared" si="395"/>
        <v>0</v>
      </c>
      <c r="DX110" s="167">
        <f t="shared" si="333"/>
        <v>0</v>
      </c>
      <c r="DY110" s="167">
        <f t="shared" si="396"/>
        <v>0</v>
      </c>
      <c r="DZ110" s="167">
        <f t="shared" si="334"/>
        <v>0</v>
      </c>
      <c r="EA110" s="167">
        <f t="shared" si="397"/>
        <v>0</v>
      </c>
      <c r="EB110" s="170">
        <f t="shared" si="335"/>
        <v>0</v>
      </c>
      <c r="EC110" s="167">
        <f t="shared" si="336"/>
        <v>0</v>
      </c>
      <c r="ED110" s="171">
        <f t="shared" si="337"/>
        <v>0</v>
      </c>
    </row>
    <row r="111" spans="1:134" x14ac:dyDescent="0.3">
      <c r="A111" s="185"/>
      <c r="B111" s="186"/>
      <c r="C111" s="187"/>
      <c r="D111" s="188"/>
      <c r="E111" s="189"/>
      <c r="F111" s="190"/>
      <c r="G111" s="191"/>
      <c r="H111" s="192"/>
      <c r="I111" s="193"/>
      <c r="J111" s="194"/>
      <c r="K111" s="165">
        <f t="shared" si="338"/>
        <v>0</v>
      </c>
      <c r="L111" s="166">
        <f t="shared" si="339"/>
        <v>0</v>
      </c>
      <c r="M111" s="167">
        <f t="shared" si="340"/>
        <v>0</v>
      </c>
      <c r="N111" s="167"/>
      <c r="O111" s="167">
        <f t="shared" si="341"/>
        <v>0</v>
      </c>
      <c r="P111" s="168"/>
      <c r="Q111" s="167">
        <f t="shared" si="342"/>
        <v>0</v>
      </c>
      <c r="R111" s="169">
        <f t="shared" si="343"/>
        <v>0</v>
      </c>
      <c r="S111" s="167">
        <f t="shared" si="344"/>
        <v>0</v>
      </c>
      <c r="T111" s="167">
        <f t="shared" si="345"/>
        <v>0</v>
      </c>
      <c r="U111" s="167">
        <f t="shared" si="346"/>
        <v>0</v>
      </c>
      <c r="V111" s="167">
        <f t="shared" si="347"/>
        <v>0</v>
      </c>
      <c r="W111" s="167">
        <f t="shared" si="348"/>
        <v>0</v>
      </c>
      <c r="X111" s="167">
        <f t="shared" si="349"/>
        <v>0</v>
      </c>
      <c r="Y111" s="167">
        <f t="shared" si="350"/>
        <v>0</v>
      </c>
      <c r="Z111" s="167">
        <f t="shared" si="351"/>
        <v>0</v>
      </c>
      <c r="AA111" s="167">
        <f t="shared" si="352"/>
        <v>0</v>
      </c>
      <c r="AB111" s="170">
        <f t="shared" si="353"/>
        <v>0</v>
      </c>
      <c r="AC111" s="167">
        <f t="shared" si="354"/>
        <v>0</v>
      </c>
      <c r="AD111" s="171">
        <f t="shared" si="355"/>
        <v>0</v>
      </c>
      <c r="AE111" s="169">
        <f t="shared" si="398"/>
        <v>0</v>
      </c>
      <c r="AF111" s="167">
        <f t="shared" si="357"/>
        <v>0</v>
      </c>
      <c r="AG111" s="167">
        <f t="shared" si="281"/>
        <v>0</v>
      </c>
      <c r="AH111" s="167">
        <f t="shared" si="358"/>
        <v>0</v>
      </c>
      <c r="AI111" s="167">
        <f t="shared" si="282"/>
        <v>0</v>
      </c>
      <c r="AJ111" s="167">
        <f t="shared" si="359"/>
        <v>0</v>
      </c>
      <c r="AK111" s="167">
        <f t="shared" si="283"/>
        <v>0</v>
      </c>
      <c r="AL111" s="167">
        <f t="shared" si="360"/>
        <v>0</v>
      </c>
      <c r="AM111" s="167">
        <f t="shared" si="284"/>
        <v>0</v>
      </c>
      <c r="AN111" s="167">
        <f t="shared" si="361"/>
        <v>0</v>
      </c>
      <c r="AO111" s="170">
        <f t="shared" si="285"/>
        <v>0</v>
      </c>
      <c r="AP111" s="167">
        <f t="shared" si="286"/>
        <v>0</v>
      </c>
      <c r="AQ111" s="171">
        <f t="shared" si="287"/>
        <v>0</v>
      </c>
      <c r="AR111" s="169">
        <f t="shared" si="398"/>
        <v>0</v>
      </c>
      <c r="AS111" s="167">
        <f t="shared" si="362"/>
        <v>0</v>
      </c>
      <c r="AT111" s="167">
        <f t="shared" si="288"/>
        <v>0</v>
      </c>
      <c r="AU111" s="167">
        <f t="shared" si="363"/>
        <v>0</v>
      </c>
      <c r="AV111" s="167">
        <f t="shared" si="289"/>
        <v>0</v>
      </c>
      <c r="AW111" s="167">
        <f t="shared" si="364"/>
        <v>0</v>
      </c>
      <c r="AX111" s="167">
        <f t="shared" si="290"/>
        <v>0</v>
      </c>
      <c r="AY111" s="167">
        <f t="shared" si="365"/>
        <v>0</v>
      </c>
      <c r="AZ111" s="167">
        <f t="shared" si="291"/>
        <v>0</v>
      </c>
      <c r="BA111" s="167">
        <f t="shared" si="366"/>
        <v>0</v>
      </c>
      <c r="BB111" s="170">
        <f t="shared" si="292"/>
        <v>0</v>
      </c>
      <c r="BC111" s="167">
        <f t="shared" si="293"/>
        <v>0</v>
      </c>
      <c r="BD111" s="171">
        <f t="shared" si="294"/>
        <v>0</v>
      </c>
      <c r="BE111" s="169">
        <f t="shared" si="398"/>
        <v>0</v>
      </c>
      <c r="BF111" s="167">
        <f t="shared" si="367"/>
        <v>0</v>
      </c>
      <c r="BG111" s="167">
        <f t="shared" si="295"/>
        <v>0</v>
      </c>
      <c r="BH111" s="167">
        <f t="shared" si="368"/>
        <v>0</v>
      </c>
      <c r="BI111" s="167">
        <f t="shared" si="296"/>
        <v>0</v>
      </c>
      <c r="BJ111" s="167">
        <f t="shared" si="369"/>
        <v>0</v>
      </c>
      <c r="BK111" s="167">
        <f t="shared" si="297"/>
        <v>0</v>
      </c>
      <c r="BL111" s="167">
        <f t="shared" si="370"/>
        <v>0</v>
      </c>
      <c r="BM111" s="167">
        <f t="shared" si="298"/>
        <v>0</v>
      </c>
      <c r="BN111" s="167">
        <f t="shared" si="371"/>
        <v>0</v>
      </c>
      <c r="BO111" s="170">
        <f t="shared" si="299"/>
        <v>0</v>
      </c>
      <c r="BP111" s="167">
        <f t="shared" si="300"/>
        <v>0</v>
      </c>
      <c r="BQ111" s="171">
        <f t="shared" si="301"/>
        <v>0</v>
      </c>
      <c r="BR111" s="169">
        <f t="shared" si="398"/>
        <v>0</v>
      </c>
      <c r="BS111" s="167">
        <f t="shared" si="372"/>
        <v>0</v>
      </c>
      <c r="BT111" s="167">
        <f t="shared" si="302"/>
        <v>0</v>
      </c>
      <c r="BU111" s="167">
        <f t="shared" si="373"/>
        <v>0</v>
      </c>
      <c r="BV111" s="167">
        <f t="shared" si="303"/>
        <v>0</v>
      </c>
      <c r="BW111" s="167">
        <f t="shared" si="374"/>
        <v>0</v>
      </c>
      <c r="BX111" s="167">
        <f t="shared" si="304"/>
        <v>0</v>
      </c>
      <c r="BY111" s="167">
        <f t="shared" si="375"/>
        <v>0</v>
      </c>
      <c r="BZ111" s="167">
        <f t="shared" si="305"/>
        <v>0</v>
      </c>
      <c r="CA111" s="167">
        <f t="shared" si="376"/>
        <v>0</v>
      </c>
      <c r="CB111" s="170">
        <f t="shared" si="306"/>
        <v>0</v>
      </c>
      <c r="CC111" s="167">
        <f t="shared" si="307"/>
        <v>0</v>
      </c>
      <c r="CD111" s="171">
        <f t="shared" si="308"/>
        <v>0</v>
      </c>
      <c r="CE111" s="169">
        <f t="shared" si="398"/>
        <v>0</v>
      </c>
      <c r="CF111" s="167">
        <f t="shared" si="377"/>
        <v>0</v>
      </c>
      <c r="CG111" s="167">
        <f t="shared" si="309"/>
        <v>0</v>
      </c>
      <c r="CH111" s="167">
        <f t="shared" si="378"/>
        <v>0</v>
      </c>
      <c r="CI111" s="167">
        <f t="shared" si="310"/>
        <v>0</v>
      </c>
      <c r="CJ111" s="167">
        <f t="shared" si="379"/>
        <v>0</v>
      </c>
      <c r="CK111" s="167">
        <f t="shared" si="311"/>
        <v>0</v>
      </c>
      <c r="CL111" s="167">
        <f t="shared" si="380"/>
        <v>0</v>
      </c>
      <c r="CM111" s="167">
        <f t="shared" si="312"/>
        <v>0</v>
      </c>
      <c r="CN111" s="167">
        <f t="shared" si="381"/>
        <v>0</v>
      </c>
      <c r="CO111" s="170">
        <f t="shared" si="313"/>
        <v>0</v>
      </c>
      <c r="CP111" s="167">
        <f t="shared" si="314"/>
        <v>0</v>
      </c>
      <c r="CQ111" s="171">
        <f t="shared" si="315"/>
        <v>0</v>
      </c>
      <c r="CR111" s="169">
        <f t="shared" si="399"/>
        <v>0</v>
      </c>
      <c r="CS111" s="167">
        <f t="shared" si="383"/>
        <v>0</v>
      </c>
      <c r="CT111" s="167">
        <f t="shared" si="317"/>
        <v>0</v>
      </c>
      <c r="CU111" s="167">
        <f t="shared" si="384"/>
        <v>0</v>
      </c>
      <c r="CV111" s="167">
        <f t="shared" si="318"/>
        <v>0</v>
      </c>
      <c r="CW111" s="167">
        <f t="shared" si="385"/>
        <v>0</v>
      </c>
      <c r="CX111" s="167">
        <f t="shared" si="319"/>
        <v>0</v>
      </c>
      <c r="CY111" s="167">
        <f t="shared" si="386"/>
        <v>0</v>
      </c>
      <c r="CZ111" s="167">
        <f t="shared" si="320"/>
        <v>0</v>
      </c>
      <c r="DA111" s="167">
        <f t="shared" si="387"/>
        <v>0</v>
      </c>
      <c r="DB111" s="170">
        <f t="shared" si="321"/>
        <v>0</v>
      </c>
      <c r="DC111" s="167">
        <f t="shared" si="322"/>
        <v>0</v>
      </c>
      <c r="DD111" s="171">
        <f t="shared" si="323"/>
        <v>0</v>
      </c>
      <c r="DE111" s="169">
        <f t="shared" si="399"/>
        <v>0</v>
      </c>
      <c r="DF111" s="167">
        <f t="shared" si="388"/>
        <v>0</v>
      </c>
      <c r="DG111" s="167">
        <f t="shared" si="324"/>
        <v>0</v>
      </c>
      <c r="DH111" s="167">
        <f t="shared" si="389"/>
        <v>0</v>
      </c>
      <c r="DI111" s="167">
        <f t="shared" si="325"/>
        <v>0</v>
      </c>
      <c r="DJ111" s="167">
        <f t="shared" si="390"/>
        <v>0</v>
      </c>
      <c r="DK111" s="167">
        <f t="shared" si="326"/>
        <v>0</v>
      </c>
      <c r="DL111" s="167">
        <f t="shared" si="391"/>
        <v>0</v>
      </c>
      <c r="DM111" s="167">
        <f t="shared" si="327"/>
        <v>0</v>
      </c>
      <c r="DN111" s="167">
        <f t="shared" si="392"/>
        <v>0</v>
      </c>
      <c r="DO111" s="170">
        <f t="shared" si="328"/>
        <v>0</v>
      </c>
      <c r="DP111" s="167">
        <f t="shared" si="329"/>
        <v>0</v>
      </c>
      <c r="DQ111" s="171">
        <f t="shared" si="330"/>
        <v>0</v>
      </c>
      <c r="DR111" s="169">
        <f t="shared" si="399"/>
        <v>0</v>
      </c>
      <c r="DS111" s="167">
        <f t="shared" si="393"/>
        <v>0</v>
      </c>
      <c r="DT111" s="167">
        <f t="shared" si="331"/>
        <v>0</v>
      </c>
      <c r="DU111" s="167">
        <f t="shared" si="394"/>
        <v>0</v>
      </c>
      <c r="DV111" s="167">
        <f t="shared" si="332"/>
        <v>0</v>
      </c>
      <c r="DW111" s="167">
        <f t="shared" si="395"/>
        <v>0</v>
      </c>
      <c r="DX111" s="167">
        <f t="shared" si="333"/>
        <v>0</v>
      </c>
      <c r="DY111" s="167">
        <f t="shared" si="396"/>
        <v>0</v>
      </c>
      <c r="DZ111" s="167">
        <f t="shared" si="334"/>
        <v>0</v>
      </c>
      <c r="EA111" s="167">
        <f t="shared" si="397"/>
        <v>0</v>
      </c>
      <c r="EB111" s="170">
        <f t="shared" si="335"/>
        <v>0</v>
      </c>
      <c r="EC111" s="167">
        <f t="shared" si="336"/>
        <v>0</v>
      </c>
      <c r="ED111" s="171">
        <f t="shared" si="337"/>
        <v>0</v>
      </c>
    </row>
    <row r="112" spans="1:134" x14ac:dyDescent="0.3">
      <c r="A112" s="185"/>
      <c r="B112" s="186"/>
      <c r="C112" s="187"/>
      <c r="D112" s="188"/>
      <c r="E112" s="189"/>
      <c r="F112" s="190"/>
      <c r="G112" s="191"/>
      <c r="H112" s="192"/>
      <c r="I112" s="193"/>
      <c r="J112" s="194"/>
      <c r="K112" s="165">
        <f t="shared" si="338"/>
        <v>0</v>
      </c>
      <c r="L112" s="166">
        <f t="shared" si="339"/>
        <v>0</v>
      </c>
      <c r="M112" s="167">
        <f t="shared" si="340"/>
        <v>0</v>
      </c>
      <c r="N112" s="167"/>
      <c r="O112" s="167">
        <f t="shared" si="341"/>
        <v>0</v>
      </c>
      <c r="P112" s="168"/>
      <c r="Q112" s="167">
        <f t="shared" si="342"/>
        <v>0</v>
      </c>
      <c r="R112" s="169">
        <f t="shared" si="343"/>
        <v>0</v>
      </c>
      <c r="S112" s="167">
        <f t="shared" si="344"/>
        <v>0</v>
      </c>
      <c r="T112" s="167">
        <f t="shared" si="345"/>
        <v>0</v>
      </c>
      <c r="U112" s="167">
        <f t="shared" si="346"/>
        <v>0</v>
      </c>
      <c r="V112" s="167">
        <f t="shared" si="347"/>
        <v>0</v>
      </c>
      <c r="W112" s="167">
        <f t="shared" si="348"/>
        <v>0</v>
      </c>
      <c r="X112" s="167">
        <f t="shared" si="349"/>
        <v>0</v>
      </c>
      <c r="Y112" s="167">
        <f t="shared" si="350"/>
        <v>0</v>
      </c>
      <c r="Z112" s="167">
        <f t="shared" si="351"/>
        <v>0</v>
      </c>
      <c r="AA112" s="167">
        <f t="shared" si="352"/>
        <v>0</v>
      </c>
      <c r="AB112" s="170">
        <f t="shared" si="353"/>
        <v>0</v>
      </c>
      <c r="AC112" s="167">
        <f t="shared" si="354"/>
        <v>0</v>
      </c>
      <c r="AD112" s="171">
        <f t="shared" si="355"/>
        <v>0</v>
      </c>
      <c r="AE112" s="169">
        <f t="shared" si="398"/>
        <v>0</v>
      </c>
      <c r="AF112" s="167">
        <f t="shared" si="357"/>
        <v>0</v>
      </c>
      <c r="AG112" s="167">
        <f t="shared" si="281"/>
        <v>0</v>
      </c>
      <c r="AH112" s="167">
        <f t="shared" si="358"/>
        <v>0</v>
      </c>
      <c r="AI112" s="167">
        <f t="shared" si="282"/>
        <v>0</v>
      </c>
      <c r="AJ112" s="167">
        <f t="shared" si="359"/>
        <v>0</v>
      </c>
      <c r="AK112" s="167">
        <f t="shared" si="283"/>
        <v>0</v>
      </c>
      <c r="AL112" s="167">
        <f t="shared" si="360"/>
        <v>0</v>
      </c>
      <c r="AM112" s="167">
        <f t="shared" si="284"/>
        <v>0</v>
      </c>
      <c r="AN112" s="167">
        <f t="shared" si="361"/>
        <v>0</v>
      </c>
      <c r="AO112" s="170">
        <f t="shared" si="285"/>
        <v>0</v>
      </c>
      <c r="AP112" s="167">
        <f t="shared" si="286"/>
        <v>0</v>
      </c>
      <c r="AQ112" s="171">
        <f t="shared" si="287"/>
        <v>0</v>
      </c>
      <c r="AR112" s="169">
        <f t="shared" si="398"/>
        <v>0</v>
      </c>
      <c r="AS112" s="167">
        <f t="shared" si="362"/>
        <v>0</v>
      </c>
      <c r="AT112" s="167">
        <f t="shared" si="288"/>
        <v>0</v>
      </c>
      <c r="AU112" s="167">
        <f t="shared" si="363"/>
        <v>0</v>
      </c>
      <c r="AV112" s="167">
        <f t="shared" si="289"/>
        <v>0</v>
      </c>
      <c r="AW112" s="167">
        <f t="shared" si="364"/>
        <v>0</v>
      </c>
      <c r="AX112" s="167">
        <f t="shared" si="290"/>
        <v>0</v>
      </c>
      <c r="AY112" s="167">
        <f t="shared" si="365"/>
        <v>0</v>
      </c>
      <c r="AZ112" s="167">
        <f t="shared" si="291"/>
        <v>0</v>
      </c>
      <c r="BA112" s="167">
        <f t="shared" si="366"/>
        <v>0</v>
      </c>
      <c r="BB112" s="170">
        <f t="shared" si="292"/>
        <v>0</v>
      </c>
      <c r="BC112" s="167">
        <f t="shared" si="293"/>
        <v>0</v>
      </c>
      <c r="BD112" s="171">
        <f t="shared" si="294"/>
        <v>0</v>
      </c>
      <c r="BE112" s="169">
        <f t="shared" si="398"/>
        <v>0</v>
      </c>
      <c r="BF112" s="167">
        <f t="shared" si="367"/>
        <v>0</v>
      </c>
      <c r="BG112" s="167">
        <f t="shared" si="295"/>
        <v>0</v>
      </c>
      <c r="BH112" s="167">
        <f t="shared" si="368"/>
        <v>0</v>
      </c>
      <c r="BI112" s="167">
        <f t="shared" si="296"/>
        <v>0</v>
      </c>
      <c r="BJ112" s="167">
        <f t="shared" si="369"/>
        <v>0</v>
      </c>
      <c r="BK112" s="167">
        <f t="shared" si="297"/>
        <v>0</v>
      </c>
      <c r="BL112" s="167">
        <f t="shared" si="370"/>
        <v>0</v>
      </c>
      <c r="BM112" s="167">
        <f t="shared" si="298"/>
        <v>0</v>
      </c>
      <c r="BN112" s="167">
        <f t="shared" si="371"/>
        <v>0</v>
      </c>
      <c r="BO112" s="170">
        <f t="shared" si="299"/>
        <v>0</v>
      </c>
      <c r="BP112" s="167">
        <f t="shared" si="300"/>
        <v>0</v>
      </c>
      <c r="BQ112" s="171">
        <f t="shared" si="301"/>
        <v>0</v>
      </c>
      <c r="BR112" s="169">
        <f t="shared" si="398"/>
        <v>0</v>
      </c>
      <c r="BS112" s="167">
        <f t="shared" si="372"/>
        <v>0</v>
      </c>
      <c r="BT112" s="167">
        <f t="shared" si="302"/>
        <v>0</v>
      </c>
      <c r="BU112" s="167">
        <f t="shared" si="373"/>
        <v>0</v>
      </c>
      <c r="BV112" s="167">
        <f t="shared" si="303"/>
        <v>0</v>
      </c>
      <c r="BW112" s="167">
        <f t="shared" si="374"/>
        <v>0</v>
      </c>
      <c r="BX112" s="167">
        <f t="shared" si="304"/>
        <v>0</v>
      </c>
      <c r="BY112" s="167">
        <f t="shared" si="375"/>
        <v>0</v>
      </c>
      <c r="BZ112" s="167">
        <f t="shared" si="305"/>
        <v>0</v>
      </c>
      <c r="CA112" s="167">
        <f t="shared" si="376"/>
        <v>0</v>
      </c>
      <c r="CB112" s="170">
        <f t="shared" si="306"/>
        <v>0</v>
      </c>
      <c r="CC112" s="167">
        <f t="shared" si="307"/>
        <v>0</v>
      </c>
      <c r="CD112" s="171">
        <f t="shared" si="308"/>
        <v>0</v>
      </c>
      <c r="CE112" s="169">
        <f t="shared" si="398"/>
        <v>0</v>
      </c>
      <c r="CF112" s="167">
        <f t="shared" si="377"/>
        <v>0</v>
      </c>
      <c r="CG112" s="167">
        <f t="shared" si="309"/>
        <v>0</v>
      </c>
      <c r="CH112" s="167">
        <f t="shared" si="378"/>
        <v>0</v>
      </c>
      <c r="CI112" s="167">
        <f t="shared" si="310"/>
        <v>0</v>
      </c>
      <c r="CJ112" s="167">
        <f t="shared" si="379"/>
        <v>0</v>
      </c>
      <c r="CK112" s="167">
        <f t="shared" si="311"/>
        <v>0</v>
      </c>
      <c r="CL112" s="167">
        <f t="shared" si="380"/>
        <v>0</v>
      </c>
      <c r="CM112" s="167">
        <f t="shared" si="312"/>
        <v>0</v>
      </c>
      <c r="CN112" s="167">
        <f t="shared" si="381"/>
        <v>0</v>
      </c>
      <c r="CO112" s="170">
        <f t="shared" si="313"/>
        <v>0</v>
      </c>
      <c r="CP112" s="167">
        <f t="shared" si="314"/>
        <v>0</v>
      </c>
      <c r="CQ112" s="171">
        <f t="shared" si="315"/>
        <v>0</v>
      </c>
      <c r="CR112" s="169">
        <f t="shared" si="399"/>
        <v>0</v>
      </c>
      <c r="CS112" s="167">
        <f t="shared" si="383"/>
        <v>0</v>
      </c>
      <c r="CT112" s="167">
        <f t="shared" si="317"/>
        <v>0</v>
      </c>
      <c r="CU112" s="167">
        <f t="shared" si="384"/>
        <v>0</v>
      </c>
      <c r="CV112" s="167">
        <f t="shared" si="318"/>
        <v>0</v>
      </c>
      <c r="CW112" s="167">
        <f t="shared" si="385"/>
        <v>0</v>
      </c>
      <c r="CX112" s="167">
        <f t="shared" si="319"/>
        <v>0</v>
      </c>
      <c r="CY112" s="167">
        <f t="shared" si="386"/>
        <v>0</v>
      </c>
      <c r="CZ112" s="167">
        <f t="shared" si="320"/>
        <v>0</v>
      </c>
      <c r="DA112" s="167">
        <f t="shared" si="387"/>
        <v>0</v>
      </c>
      <c r="DB112" s="170">
        <f t="shared" si="321"/>
        <v>0</v>
      </c>
      <c r="DC112" s="167">
        <f t="shared" si="322"/>
        <v>0</v>
      </c>
      <c r="DD112" s="171">
        <f t="shared" si="323"/>
        <v>0</v>
      </c>
      <c r="DE112" s="169">
        <f t="shared" si="399"/>
        <v>0</v>
      </c>
      <c r="DF112" s="167">
        <f t="shared" si="388"/>
        <v>0</v>
      </c>
      <c r="DG112" s="167">
        <f t="shared" si="324"/>
        <v>0</v>
      </c>
      <c r="DH112" s="167">
        <f t="shared" si="389"/>
        <v>0</v>
      </c>
      <c r="DI112" s="167">
        <f t="shared" si="325"/>
        <v>0</v>
      </c>
      <c r="DJ112" s="167">
        <f t="shared" si="390"/>
        <v>0</v>
      </c>
      <c r="DK112" s="167">
        <f t="shared" si="326"/>
        <v>0</v>
      </c>
      <c r="DL112" s="167">
        <f t="shared" si="391"/>
        <v>0</v>
      </c>
      <c r="DM112" s="167">
        <f t="shared" si="327"/>
        <v>0</v>
      </c>
      <c r="DN112" s="167">
        <f t="shared" si="392"/>
        <v>0</v>
      </c>
      <c r="DO112" s="170">
        <f t="shared" si="328"/>
        <v>0</v>
      </c>
      <c r="DP112" s="167">
        <f t="shared" si="329"/>
        <v>0</v>
      </c>
      <c r="DQ112" s="171">
        <f t="shared" si="330"/>
        <v>0</v>
      </c>
      <c r="DR112" s="169">
        <f t="shared" si="399"/>
        <v>0</v>
      </c>
      <c r="DS112" s="167">
        <f t="shared" si="393"/>
        <v>0</v>
      </c>
      <c r="DT112" s="167">
        <f t="shared" si="331"/>
        <v>0</v>
      </c>
      <c r="DU112" s="167">
        <f t="shared" si="394"/>
        <v>0</v>
      </c>
      <c r="DV112" s="167">
        <f t="shared" si="332"/>
        <v>0</v>
      </c>
      <c r="DW112" s="167">
        <f t="shared" si="395"/>
        <v>0</v>
      </c>
      <c r="DX112" s="167">
        <f t="shared" si="333"/>
        <v>0</v>
      </c>
      <c r="DY112" s="167">
        <f t="shared" si="396"/>
        <v>0</v>
      </c>
      <c r="DZ112" s="167">
        <f t="shared" si="334"/>
        <v>0</v>
      </c>
      <c r="EA112" s="167">
        <f t="shared" si="397"/>
        <v>0</v>
      </c>
      <c r="EB112" s="170">
        <f t="shared" si="335"/>
        <v>0</v>
      </c>
      <c r="EC112" s="167">
        <f t="shared" si="336"/>
        <v>0</v>
      </c>
      <c r="ED112" s="171">
        <f t="shared" si="337"/>
        <v>0</v>
      </c>
    </row>
    <row r="113" spans="1:134" x14ac:dyDescent="0.3">
      <c r="A113" s="185"/>
      <c r="B113" s="186"/>
      <c r="C113" s="187"/>
      <c r="D113" s="188"/>
      <c r="E113" s="189"/>
      <c r="F113" s="190"/>
      <c r="G113" s="191"/>
      <c r="H113" s="192"/>
      <c r="I113" s="193"/>
      <c r="J113" s="194"/>
      <c r="K113" s="165">
        <f t="shared" si="338"/>
        <v>0</v>
      </c>
      <c r="L113" s="166">
        <f t="shared" si="339"/>
        <v>0</v>
      </c>
      <c r="M113" s="167">
        <f t="shared" si="340"/>
        <v>0</v>
      </c>
      <c r="N113" s="167"/>
      <c r="O113" s="167">
        <f t="shared" si="341"/>
        <v>0</v>
      </c>
      <c r="P113" s="168"/>
      <c r="Q113" s="167">
        <f t="shared" si="342"/>
        <v>0</v>
      </c>
      <c r="R113" s="169">
        <f t="shared" si="343"/>
        <v>0</v>
      </c>
      <c r="S113" s="167">
        <f t="shared" si="344"/>
        <v>0</v>
      </c>
      <c r="T113" s="167">
        <f t="shared" si="345"/>
        <v>0</v>
      </c>
      <c r="U113" s="167">
        <f t="shared" si="346"/>
        <v>0</v>
      </c>
      <c r="V113" s="167">
        <f t="shared" si="347"/>
        <v>0</v>
      </c>
      <c r="W113" s="167">
        <f t="shared" si="348"/>
        <v>0</v>
      </c>
      <c r="X113" s="167">
        <f t="shared" si="349"/>
        <v>0</v>
      </c>
      <c r="Y113" s="167">
        <f t="shared" si="350"/>
        <v>0</v>
      </c>
      <c r="Z113" s="167">
        <f t="shared" si="351"/>
        <v>0</v>
      </c>
      <c r="AA113" s="167">
        <f t="shared" si="352"/>
        <v>0</v>
      </c>
      <c r="AB113" s="170">
        <f t="shared" si="353"/>
        <v>0</v>
      </c>
      <c r="AC113" s="167">
        <f t="shared" si="354"/>
        <v>0</v>
      </c>
      <c r="AD113" s="171">
        <f t="shared" si="355"/>
        <v>0</v>
      </c>
      <c r="AE113" s="169">
        <f t="shared" si="398"/>
        <v>0</v>
      </c>
      <c r="AF113" s="167">
        <f t="shared" si="357"/>
        <v>0</v>
      </c>
      <c r="AG113" s="167">
        <f t="shared" si="281"/>
        <v>0</v>
      </c>
      <c r="AH113" s="167">
        <f t="shared" si="358"/>
        <v>0</v>
      </c>
      <c r="AI113" s="167">
        <f t="shared" si="282"/>
        <v>0</v>
      </c>
      <c r="AJ113" s="167">
        <f t="shared" si="359"/>
        <v>0</v>
      </c>
      <c r="AK113" s="167">
        <f t="shared" si="283"/>
        <v>0</v>
      </c>
      <c r="AL113" s="167">
        <f t="shared" si="360"/>
        <v>0</v>
      </c>
      <c r="AM113" s="167">
        <f t="shared" si="284"/>
        <v>0</v>
      </c>
      <c r="AN113" s="167">
        <f t="shared" si="361"/>
        <v>0</v>
      </c>
      <c r="AO113" s="170">
        <f t="shared" si="285"/>
        <v>0</v>
      </c>
      <c r="AP113" s="167">
        <f t="shared" si="286"/>
        <v>0</v>
      </c>
      <c r="AQ113" s="171">
        <f t="shared" si="287"/>
        <v>0</v>
      </c>
      <c r="AR113" s="169">
        <f t="shared" si="398"/>
        <v>0</v>
      </c>
      <c r="AS113" s="167">
        <f t="shared" si="362"/>
        <v>0</v>
      </c>
      <c r="AT113" s="167">
        <f t="shared" si="288"/>
        <v>0</v>
      </c>
      <c r="AU113" s="167">
        <f t="shared" si="363"/>
        <v>0</v>
      </c>
      <c r="AV113" s="167">
        <f t="shared" si="289"/>
        <v>0</v>
      </c>
      <c r="AW113" s="167">
        <f t="shared" si="364"/>
        <v>0</v>
      </c>
      <c r="AX113" s="167">
        <f t="shared" si="290"/>
        <v>0</v>
      </c>
      <c r="AY113" s="167">
        <f t="shared" si="365"/>
        <v>0</v>
      </c>
      <c r="AZ113" s="167">
        <f t="shared" si="291"/>
        <v>0</v>
      </c>
      <c r="BA113" s="167">
        <f t="shared" si="366"/>
        <v>0</v>
      </c>
      <c r="BB113" s="170">
        <f t="shared" si="292"/>
        <v>0</v>
      </c>
      <c r="BC113" s="167">
        <f t="shared" si="293"/>
        <v>0</v>
      </c>
      <c r="BD113" s="171">
        <f t="shared" si="294"/>
        <v>0</v>
      </c>
      <c r="BE113" s="169">
        <f t="shared" si="398"/>
        <v>0</v>
      </c>
      <c r="BF113" s="167">
        <f t="shared" si="367"/>
        <v>0</v>
      </c>
      <c r="BG113" s="167">
        <f t="shared" si="295"/>
        <v>0</v>
      </c>
      <c r="BH113" s="167">
        <f t="shared" si="368"/>
        <v>0</v>
      </c>
      <c r="BI113" s="167">
        <f t="shared" si="296"/>
        <v>0</v>
      </c>
      <c r="BJ113" s="167">
        <f t="shared" si="369"/>
        <v>0</v>
      </c>
      <c r="BK113" s="167">
        <f t="shared" si="297"/>
        <v>0</v>
      </c>
      <c r="BL113" s="167">
        <f t="shared" si="370"/>
        <v>0</v>
      </c>
      <c r="BM113" s="167">
        <f t="shared" si="298"/>
        <v>0</v>
      </c>
      <c r="BN113" s="167">
        <f t="shared" si="371"/>
        <v>0</v>
      </c>
      <c r="BO113" s="170">
        <f t="shared" si="299"/>
        <v>0</v>
      </c>
      <c r="BP113" s="167">
        <f t="shared" si="300"/>
        <v>0</v>
      </c>
      <c r="BQ113" s="171">
        <f t="shared" si="301"/>
        <v>0</v>
      </c>
      <c r="BR113" s="169">
        <f t="shared" si="398"/>
        <v>0</v>
      </c>
      <c r="BS113" s="167">
        <f t="shared" si="372"/>
        <v>0</v>
      </c>
      <c r="BT113" s="167">
        <f t="shared" si="302"/>
        <v>0</v>
      </c>
      <c r="BU113" s="167">
        <f t="shared" si="373"/>
        <v>0</v>
      </c>
      <c r="BV113" s="167">
        <f t="shared" si="303"/>
        <v>0</v>
      </c>
      <c r="BW113" s="167">
        <f t="shared" si="374"/>
        <v>0</v>
      </c>
      <c r="BX113" s="167">
        <f t="shared" si="304"/>
        <v>0</v>
      </c>
      <c r="BY113" s="167">
        <f t="shared" si="375"/>
        <v>0</v>
      </c>
      <c r="BZ113" s="167">
        <f t="shared" si="305"/>
        <v>0</v>
      </c>
      <c r="CA113" s="167">
        <f t="shared" si="376"/>
        <v>0</v>
      </c>
      <c r="CB113" s="170">
        <f t="shared" si="306"/>
        <v>0</v>
      </c>
      <c r="CC113" s="167">
        <f t="shared" si="307"/>
        <v>0</v>
      </c>
      <c r="CD113" s="171">
        <f t="shared" si="308"/>
        <v>0</v>
      </c>
      <c r="CE113" s="169">
        <f t="shared" si="398"/>
        <v>0</v>
      </c>
      <c r="CF113" s="167">
        <f t="shared" si="377"/>
        <v>0</v>
      </c>
      <c r="CG113" s="167">
        <f t="shared" si="309"/>
        <v>0</v>
      </c>
      <c r="CH113" s="167">
        <f t="shared" si="378"/>
        <v>0</v>
      </c>
      <c r="CI113" s="167">
        <f t="shared" si="310"/>
        <v>0</v>
      </c>
      <c r="CJ113" s="167">
        <f t="shared" si="379"/>
        <v>0</v>
      </c>
      <c r="CK113" s="167">
        <f t="shared" si="311"/>
        <v>0</v>
      </c>
      <c r="CL113" s="167">
        <f t="shared" si="380"/>
        <v>0</v>
      </c>
      <c r="CM113" s="167">
        <f t="shared" si="312"/>
        <v>0</v>
      </c>
      <c r="CN113" s="167">
        <f t="shared" si="381"/>
        <v>0</v>
      </c>
      <c r="CO113" s="170">
        <f t="shared" si="313"/>
        <v>0</v>
      </c>
      <c r="CP113" s="167">
        <f t="shared" si="314"/>
        <v>0</v>
      </c>
      <c r="CQ113" s="171">
        <f t="shared" si="315"/>
        <v>0</v>
      </c>
      <c r="CR113" s="169">
        <f t="shared" si="399"/>
        <v>0</v>
      </c>
      <c r="CS113" s="167">
        <f t="shared" si="383"/>
        <v>0</v>
      </c>
      <c r="CT113" s="167">
        <f t="shared" si="317"/>
        <v>0</v>
      </c>
      <c r="CU113" s="167">
        <f t="shared" si="384"/>
        <v>0</v>
      </c>
      <c r="CV113" s="167">
        <f t="shared" si="318"/>
        <v>0</v>
      </c>
      <c r="CW113" s="167">
        <f t="shared" si="385"/>
        <v>0</v>
      </c>
      <c r="CX113" s="167">
        <f t="shared" si="319"/>
        <v>0</v>
      </c>
      <c r="CY113" s="167">
        <f t="shared" si="386"/>
        <v>0</v>
      </c>
      <c r="CZ113" s="167">
        <f t="shared" si="320"/>
        <v>0</v>
      </c>
      <c r="DA113" s="167">
        <f t="shared" si="387"/>
        <v>0</v>
      </c>
      <c r="DB113" s="170">
        <f t="shared" si="321"/>
        <v>0</v>
      </c>
      <c r="DC113" s="167">
        <f t="shared" si="322"/>
        <v>0</v>
      </c>
      <c r="DD113" s="171">
        <f t="shared" si="323"/>
        <v>0</v>
      </c>
      <c r="DE113" s="169">
        <f t="shared" si="399"/>
        <v>0</v>
      </c>
      <c r="DF113" s="167">
        <f t="shared" si="388"/>
        <v>0</v>
      </c>
      <c r="DG113" s="167">
        <f t="shared" si="324"/>
        <v>0</v>
      </c>
      <c r="DH113" s="167">
        <f t="shared" si="389"/>
        <v>0</v>
      </c>
      <c r="DI113" s="167">
        <f t="shared" si="325"/>
        <v>0</v>
      </c>
      <c r="DJ113" s="167">
        <f t="shared" si="390"/>
        <v>0</v>
      </c>
      <c r="DK113" s="167">
        <f t="shared" si="326"/>
        <v>0</v>
      </c>
      <c r="DL113" s="167">
        <f t="shared" si="391"/>
        <v>0</v>
      </c>
      <c r="DM113" s="167">
        <f t="shared" si="327"/>
        <v>0</v>
      </c>
      <c r="DN113" s="167">
        <f t="shared" si="392"/>
        <v>0</v>
      </c>
      <c r="DO113" s="170">
        <f t="shared" si="328"/>
        <v>0</v>
      </c>
      <c r="DP113" s="167">
        <f t="shared" si="329"/>
        <v>0</v>
      </c>
      <c r="DQ113" s="171">
        <f t="shared" si="330"/>
        <v>0</v>
      </c>
      <c r="DR113" s="169">
        <f t="shared" si="399"/>
        <v>0</v>
      </c>
      <c r="DS113" s="167">
        <f t="shared" si="393"/>
        <v>0</v>
      </c>
      <c r="DT113" s="167">
        <f t="shared" si="331"/>
        <v>0</v>
      </c>
      <c r="DU113" s="167">
        <f t="shared" si="394"/>
        <v>0</v>
      </c>
      <c r="DV113" s="167">
        <f t="shared" si="332"/>
        <v>0</v>
      </c>
      <c r="DW113" s="167">
        <f t="shared" si="395"/>
        <v>0</v>
      </c>
      <c r="DX113" s="167">
        <f t="shared" si="333"/>
        <v>0</v>
      </c>
      <c r="DY113" s="167">
        <f t="shared" si="396"/>
        <v>0</v>
      </c>
      <c r="DZ113" s="167">
        <f t="shared" si="334"/>
        <v>0</v>
      </c>
      <c r="EA113" s="167">
        <f t="shared" si="397"/>
        <v>0</v>
      </c>
      <c r="EB113" s="170">
        <f t="shared" si="335"/>
        <v>0</v>
      </c>
      <c r="EC113" s="167">
        <f t="shared" si="336"/>
        <v>0</v>
      </c>
      <c r="ED113" s="171">
        <f t="shared" si="337"/>
        <v>0</v>
      </c>
    </row>
    <row r="114" spans="1:134" x14ac:dyDescent="0.3">
      <c r="A114" s="185"/>
      <c r="B114" s="186"/>
      <c r="C114" s="187"/>
      <c r="D114" s="188"/>
      <c r="E114" s="189"/>
      <c r="F114" s="190"/>
      <c r="G114" s="191"/>
      <c r="H114" s="192"/>
      <c r="I114" s="193"/>
      <c r="J114" s="194"/>
      <c r="K114" s="165">
        <f t="shared" si="338"/>
        <v>0</v>
      </c>
      <c r="L114" s="166">
        <f t="shared" si="339"/>
        <v>0</v>
      </c>
      <c r="M114" s="167">
        <f t="shared" si="340"/>
        <v>0</v>
      </c>
      <c r="N114" s="167"/>
      <c r="O114" s="167">
        <f t="shared" si="341"/>
        <v>0</v>
      </c>
      <c r="P114" s="168"/>
      <c r="Q114" s="167">
        <f t="shared" si="342"/>
        <v>0</v>
      </c>
      <c r="R114" s="169">
        <f t="shared" si="343"/>
        <v>0</v>
      </c>
      <c r="S114" s="167">
        <f t="shared" si="344"/>
        <v>0</v>
      </c>
      <c r="T114" s="167">
        <f t="shared" si="345"/>
        <v>0</v>
      </c>
      <c r="U114" s="167">
        <f t="shared" si="346"/>
        <v>0</v>
      </c>
      <c r="V114" s="167">
        <f t="shared" si="347"/>
        <v>0</v>
      </c>
      <c r="W114" s="167">
        <f t="shared" si="348"/>
        <v>0</v>
      </c>
      <c r="X114" s="167">
        <f t="shared" si="349"/>
        <v>0</v>
      </c>
      <c r="Y114" s="167">
        <f t="shared" si="350"/>
        <v>0</v>
      </c>
      <c r="Z114" s="167">
        <f t="shared" si="351"/>
        <v>0</v>
      </c>
      <c r="AA114" s="167">
        <f t="shared" si="352"/>
        <v>0</v>
      </c>
      <c r="AB114" s="170">
        <f t="shared" si="353"/>
        <v>0</v>
      </c>
      <c r="AC114" s="167">
        <f t="shared" si="354"/>
        <v>0</v>
      </c>
      <c r="AD114" s="171">
        <f t="shared" si="355"/>
        <v>0</v>
      </c>
      <c r="AE114" s="169">
        <f t="shared" si="398"/>
        <v>0</v>
      </c>
      <c r="AF114" s="167">
        <f t="shared" si="357"/>
        <v>0</v>
      </c>
      <c r="AG114" s="167">
        <f t="shared" si="281"/>
        <v>0</v>
      </c>
      <c r="AH114" s="167">
        <f t="shared" si="358"/>
        <v>0</v>
      </c>
      <c r="AI114" s="167">
        <f t="shared" si="282"/>
        <v>0</v>
      </c>
      <c r="AJ114" s="167">
        <f t="shared" si="359"/>
        <v>0</v>
      </c>
      <c r="AK114" s="167">
        <f t="shared" si="283"/>
        <v>0</v>
      </c>
      <c r="AL114" s="167">
        <f t="shared" si="360"/>
        <v>0</v>
      </c>
      <c r="AM114" s="167">
        <f t="shared" si="284"/>
        <v>0</v>
      </c>
      <c r="AN114" s="167">
        <f t="shared" si="361"/>
        <v>0</v>
      </c>
      <c r="AO114" s="170">
        <f t="shared" si="285"/>
        <v>0</v>
      </c>
      <c r="AP114" s="167">
        <f t="shared" si="286"/>
        <v>0</v>
      </c>
      <c r="AQ114" s="171">
        <f t="shared" si="287"/>
        <v>0</v>
      </c>
      <c r="AR114" s="169">
        <f t="shared" si="398"/>
        <v>0</v>
      </c>
      <c r="AS114" s="167">
        <f t="shared" si="362"/>
        <v>0</v>
      </c>
      <c r="AT114" s="167">
        <f t="shared" si="288"/>
        <v>0</v>
      </c>
      <c r="AU114" s="167">
        <f t="shared" si="363"/>
        <v>0</v>
      </c>
      <c r="AV114" s="167">
        <f t="shared" si="289"/>
        <v>0</v>
      </c>
      <c r="AW114" s="167">
        <f t="shared" si="364"/>
        <v>0</v>
      </c>
      <c r="AX114" s="167">
        <f t="shared" si="290"/>
        <v>0</v>
      </c>
      <c r="AY114" s="167">
        <f t="shared" si="365"/>
        <v>0</v>
      </c>
      <c r="AZ114" s="167">
        <f t="shared" si="291"/>
        <v>0</v>
      </c>
      <c r="BA114" s="167">
        <f t="shared" si="366"/>
        <v>0</v>
      </c>
      <c r="BB114" s="170">
        <f t="shared" si="292"/>
        <v>0</v>
      </c>
      <c r="BC114" s="167">
        <f t="shared" si="293"/>
        <v>0</v>
      </c>
      <c r="BD114" s="171">
        <f t="shared" si="294"/>
        <v>0</v>
      </c>
      <c r="BE114" s="169">
        <f t="shared" si="398"/>
        <v>0</v>
      </c>
      <c r="BF114" s="167">
        <f t="shared" si="367"/>
        <v>0</v>
      </c>
      <c r="BG114" s="167">
        <f t="shared" si="295"/>
        <v>0</v>
      </c>
      <c r="BH114" s="167">
        <f t="shared" si="368"/>
        <v>0</v>
      </c>
      <c r="BI114" s="167">
        <f t="shared" si="296"/>
        <v>0</v>
      </c>
      <c r="BJ114" s="167">
        <f t="shared" si="369"/>
        <v>0</v>
      </c>
      <c r="BK114" s="167">
        <f t="shared" si="297"/>
        <v>0</v>
      </c>
      <c r="BL114" s="167">
        <f t="shared" si="370"/>
        <v>0</v>
      </c>
      <c r="BM114" s="167">
        <f t="shared" si="298"/>
        <v>0</v>
      </c>
      <c r="BN114" s="167">
        <f t="shared" si="371"/>
        <v>0</v>
      </c>
      <c r="BO114" s="170">
        <f t="shared" si="299"/>
        <v>0</v>
      </c>
      <c r="BP114" s="167">
        <f t="shared" si="300"/>
        <v>0</v>
      </c>
      <c r="BQ114" s="171">
        <f t="shared" si="301"/>
        <v>0</v>
      </c>
      <c r="BR114" s="169">
        <f t="shared" si="398"/>
        <v>0</v>
      </c>
      <c r="BS114" s="167">
        <f t="shared" si="372"/>
        <v>0</v>
      </c>
      <c r="BT114" s="167">
        <f t="shared" si="302"/>
        <v>0</v>
      </c>
      <c r="BU114" s="167">
        <f t="shared" si="373"/>
        <v>0</v>
      </c>
      <c r="BV114" s="167">
        <f t="shared" si="303"/>
        <v>0</v>
      </c>
      <c r="BW114" s="167">
        <f t="shared" si="374"/>
        <v>0</v>
      </c>
      <c r="BX114" s="167">
        <f t="shared" si="304"/>
        <v>0</v>
      </c>
      <c r="BY114" s="167">
        <f t="shared" si="375"/>
        <v>0</v>
      </c>
      <c r="BZ114" s="167">
        <f t="shared" si="305"/>
        <v>0</v>
      </c>
      <c r="CA114" s="167">
        <f t="shared" si="376"/>
        <v>0</v>
      </c>
      <c r="CB114" s="170">
        <f t="shared" si="306"/>
        <v>0</v>
      </c>
      <c r="CC114" s="167">
        <f t="shared" si="307"/>
        <v>0</v>
      </c>
      <c r="CD114" s="171">
        <f t="shared" si="308"/>
        <v>0</v>
      </c>
      <c r="CE114" s="169">
        <f t="shared" si="398"/>
        <v>0</v>
      </c>
      <c r="CF114" s="167">
        <f t="shared" si="377"/>
        <v>0</v>
      </c>
      <c r="CG114" s="167">
        <f t="shared" si="309"/>
        <v>0</v>
      </c>
      <c r="CH114" s="167">
        <f t="shared" si="378"/>
        <v>0</v>
      </c>
      <c r="CI114" s="167">
        <f t="shared" si="310"/>
        <v>0</v>
      </c>
      <c r="CJ114" s="167">
        <f t="shared" si="379"/>
        <v>0</v>
      </c>
      <c r="CK114" s="167">
        <f t="shared" si="311"/>
        <v>0</v>
      </c>
      <c r="CL114" s="167">
        <f t="shared" si="380"/>
        <v>0</v>
      </c>
      <c r="CM114" s="167">
        <f t="shared" si="312"/>
        <v>0</v>
      </c>
      <c r="CN114" s="167">
        <f t="shared" si="381"/>
        <v>0</v>
      </c>
      <c r="CO114" s="170">
        <f t="shared" si="313"/>
        <v>0</v>
      </c>
      <c r="CP114" s="167">
        <f t="shared" si="314"/>
        <v>0</v>
      </c>
      <c r="CQ114" s="171">
        <f t="shared" si="315"/>
        <v>0</v>
      </c>
      <c r="CR114" s="169">
        <f t="shared" si="399"/>
        <v>0</v>
      </c>
      <c r="CS114" s="167">
        <f t="shared" si="383"/>
        <v>0</v>
      </c>
      <c r="CT114" s="167">
        <f t="shared" si="317"/>
        <v>0</v>
      </c>
      <c r="CU114" s="167">
        <f t="shared" si="384"/>
        <v>0</v>
      </c>
      <c r="CV114" s="167">
        <f t="shared" si="318"/>
        <v>0</v>
      </c>
      <c r="CW114" s="167">
        <f t="shared" si="385"/>
        <v>0</v>
      </c>
      <c r="CX114" s="167">
        <f t="shared" si="319"/>
        <v>0</v>
      </c>
      <c r="CY114" s="167">
        <f t="shared" si="386"/>
        <v>0</v>
      </c>
      <c r="CZ114" s="167">
        <f t="shared" si="320"/>
        <v>0</v>
      </c>
      <c r="DA114" s="167">
        <f t="shared" si="387"/>
        <v>0</v>
      </c>
      <c r="DB114" s="170">
        <f t="shared" si="321"/>
        <v>0</v>
      </c>
      <c r="DC114" s="167">
        <f t="shared" si="322"/>
        <v>0</v>
      </c>
      <c r="DD114" s="171">
        <f t="shared" si="323"/>
        <v>0</v>
      </c>
      <c r="DE114" s="169">
        <f t="shared" si="399"/>
        <v>0</v>
      </c>
      <c r="DF114" s="167">
        <f t="shared" si="388"/>
        <v>0</v>
      </c>
      <c r="DG114" s="167">
        <f t="shared" si="324"/>
        <v>0</v>
      </c>
      <c r="DH114" s="167">
        <f t="shared" si="389"/>
        <v>0</v>
      </c>
      <c r="DI114" s="167">
        <f t="shared" si="325"/>
        <v>0</v>
      </c>
      <c r="DJ114" s="167">
        <f t="shared" si="390"/>
        <v>0</v>
      </c>
      <c r="DK114" s="167">
        <f t="shared" si="326"/>
        <v>0</v>
      </c>
      <c r="DL114" s="167">
        <f t="shared" si="391"/>
        <v>0</v>
      </c>
      <c r="DM114" s="167">
        <f t="shared" si="327"/>
        <v>0</v>
      </c>
      <c r="DN114" s="167">
        <f t="shared" si="392"/>
        <v>0</v>
      </c>
      <c r="DO114" s="170">
        <f t="shared" si="328"/>
        <v>0</v>
      </c>
      <c r="DP114" s="167">
        <f t="shared" si="329"/>
        <v>0</v>
      </c>
      <c r="DQ114" s="171">
        <f t="shared" si="330"/>
        <v>0</v>
      </c>
      <c r="DR114" s="169">
        <f t="shared" si="399"/>
        <v>0</v>
      </c>
      <c r="DS114" s="167">
        <f t="shared" si="393"/>
        <v>0</v>
      </c>
      <c r="DT114" s="167">
        <f t="shared" si="331"/>
        <v>0</v>
      </c>
      <c r="DU114" s="167">
        <f t="shared" si="394"/>
        <v>0</v>
      </c>
      <c r="DV114" s="167">
        <f t="shared" si="332"/>
        <v>0</v>
      </c>
      <c r="DW114" s="167">
        <f t="shared" si="395"/>
        <v>0</v>
      </c>
      <c r="DX114" s="167">
        <f t="shared" si="333"/>
        <v>0</v>
      </c>
      <c r="DY114" s="167">
        <f t="shared" si="396"/>
        <v>0</v>
      </c>
      <c r="DZ114" s="167">
        <f t="shared" si="334"/>
        <v>0</v>
      </c>
      <c r="EA114" s="167">
        <f t="shared" si="397"/>
        <v>0</v>
      </c>
      <c r="EB114" s="170">
        <f t="shared" si="335"/>
        <v>0</v>
      </c>
      <c r="EC114" s="167">
        <f t="shared" si="336"/>
        <v>0</v>
      </c>
      <c r="ED114" s="171">
        <f t="shared" si="337"/>
        <v>0</v>
      </c>
    </row>
    <row r="115" spans="1:134" x14ac:dyDescent="0.3">
      <c r="A115" s="185"/>
      <c r="B115" s="186"/>
      <c r="C115" s="187"/>
      <c r="D115" s="188"/>
      <c r="E115" s="189"/>
      <c r="F115" s="190"/>
      <c r="G115" s="191"/>
      <c r="H115" s="192"/>
      <c r="I115" s="193"/>
      <c r="J115" s="194"/>
      <c r="K115" s="165">
        <f t="shared" si="338"/>
        <v>0</v>
      </c>
      <c r="L115" s="166">
        <f t="shared" si="339"/>
        <v>0</v>
      </c>
      <c r="M115" s="167">
        <f t="shared" si="340"/>
        <v>0</v>
      </c>
      <c r="N115" s="167"/>
      <c r="O115" s="167">
        <f t="shared" si="341"/>
        <v>0</v>
      </c>
      <c r="P115" s="168"/>
      <c r="Q115" s="167">
        <f t="shared" si="342"/>
        <v>0</v>
      </c>
      <c r="R115" s="169">
        <f t="shared" si="343"/>
        <v>0</v>
      </c>
      <c r="S115" s="167">
        <f t="shared" si="344"/>
        <v>0</v>
      </c>
      <c r="T115" s="167">
        <f t="shared" si="345"/>
        <v>0</v>
      </c>
      <c r="U115" s="167">
        <f t="shared" si="346"/>
        <v>0</v>
      </c>
      <c r="V115" s="167">
        <f t="shared" si="347"/>
        <v>0</v>
      </c>
      <c r="W115" s="167">
        <f t="shared" si="348"/>
        <v>0</v>
      </c>
      <c r="X115" s="167">
        <f t="shared" si="349"/>
        <v>0</v>
      </c>
      <c r="Y115" s="167">
        <f t="shared" si="350"/>
        <v>0</v>
      </c>
      <c r="Z115" s="167">
        <f t="shared" si="351"/>
        <v>0</v>
      </c>
      <c r="AA115" s="167">
        <f t="shared" si="352"/>
        <v>0</v>
      </c>
      <c r="AB115" s="170">
        <f t="shared" si="353"/>
        <v>0</v>
      </c>
      <c r="AC115" s="167">
        <f t="shared" si="354"/>
        <v>0</v>
      </c>
      <c r="AD115" s="171">
        <f t="shared" si="355"/>
        <v>0</v>
      </c>
      <c r="AE115" s="169">
        <f t="shared" si="398"/>
        <v>0</v>
      </c>
      <c r="AF115" s="167">
        <f t="shared" si="357"/>
        <v>0</v>
      </c>
      <c r="AG115" s="167">
        <f t="shared" si="281"/>
        <v>0</v>
      </c>
      <c r="AH115" s="167">
        <f t="shared" si="358"/>
        <v>0</v>
      </c>
      <c r="AI115" s="167">
        <f t="shared" si="282"/>
        <v>0</v>
      </c>
      <c r="AJ115" s="167">
        <f t="shared" si="359"/>
        <v>0</v>
      </c>
      <c r="AK115" s="167">
        <f t="shared" si="283"/>
        <v>0</v>
      </c>
      <c r="AL115" s="167">
        <f t="shared" si="360"/>
        <v>0</v>
      </c>
      <c r="AM115" s="167">
        <f t="shared" si="284"/>
        <v>0</v>
      </c>
      <c r="AN115" s="167">
        <f t="shared" si="361"/>
        <v>0</v>
      </c>
      <c r="AO115" s="170">
        <f t="shared" si="285"/>
        <v>0</v>
      </c>
      <c r="AP115" s="167">
        <f t="shared" si="286"/>
        <v>0</v>
      </c>
      <c r="AQ115" s="171">
        <f t="shared" si="287"/>
        <v>0</v>
      </c>
      <c r="AR115" s="169">
        <f t="shared" si="398"/>
        <v>0</v>
      </c>
      <c r="AS115" s="167">
        <f t="shared" si="362"/>
        <v>0</v>
      </c>
      <c r="AT115" s="167">
        <f t="shared" si="288"/>
        <v>0</v>
      </c>
      <c r="AU115" s="167">
        <f t="shared" si="363"/>
        <v>0</v>
      </c>
      <c r="AV115" s="167">
        <f t="shared" si="289"/>
        <v>0</v>
      </c>
      <c r="AW115" s="167">
        <f t="shared" si="364"/>
        <v>0</v>
      </c>
      <c r="AX115" s="167">
        <f t="shared" si="290"/>
        <v>0</v>
      </c>
      <c r="AY115" s="167">
        <f t="shared" si="365"/>
        <v>0</v>
      </c>
      <c r="AZ115" s="167">
        <f t="shared" si="291"/>
        <v>0</v>
      </c>
      <c r="BA115" s="167">
        <f t="shared" si="366"/>
        <v>0</v>
      </c>
      <c r="BB115" s="170">
        <f t="shared" si="292"/>
        <v>0</v>
      </c>
      <c r="BC115" s="167">
        <f t="shared" si="293"/>
        <v>0</v>
      </c>
      <c r="BD115" s="171">
        <f t="shared" si="294"/>
        <v>0</v>
      </c>
      <c r="BE115" s="169">
        <f t="shared" si="398"/>
        <v>0</v>
      </c>
      <c r="BF115" s="167">
        <f t="shared" si="367"/>
        <v>0</v>
      </c>
      <c r="BG115" s="167">
        <f t="shared" si="295"/>
        <v>0</v>
      </c>
      <c r="BH115" s="167">
        <f t="shared" si="368"/>
        <v>0</v>
      </c>
      <c r="BI115" s="167">
        <f t="shared" si="296"/>
        <v>0</v>
      </c>
      <c r="BJ115" s="167">
        <f t="shared" si="369"/>
        <v>0</v>
      </c>
      <c r="BK115" s="167">
        <f t="shared" si="297"/>
        <v>0</v>
      </c>
      <c r="BL115" s="167">
        <f t="shared" si="370"/>
        <v>0</v>
      </c>
      <c r="BM115" s="167">
        <f t="shared" si="298"/>
        <v>0</v>
      </c>
      <c r="BN115" s="167">
        <f t="shared" si="371"/>
        <v>0</v>
      </c>
      <c r="BO115" s="170">
        <f t="shared" si="299"/>
        <v>0</v>
      </c>
      <c r="BP115" s="167">
        <f t="shared" si="300"/>
        <v>0</v>
      </c>
      <c r="BQ115" s="171">
        <f t="shared" si="301"/>
        <v>0</v>
      </c>
      <c r="BR115" s="169">
        <f t="shared" si="398"/>
        <v>0</v>
      </c>
      <c r="BS115" s="167">
        <f t="shared" si="372"/>
        <v>0</v>
      </c>
      <c r="BT115" s="167">
        <f t="shared" si="302"/>
        <v>0</v>
      </c>
      <c r="BU115" s="167">
        <f t="shared" si="373"/>
        <v>0</v>
      </c>
      <c r="BV115" s="167">
        <f t="shared" si="303"/>
        <v>0</v>
      </c>
      <c r="BW115" s="167">
        <f t="shared" si="374"/>
        <v>0</v>
      </c>
      <c r="BX115" s="167">
        <f t="shared" si="304"/>
        <v>0</v>
      </c>
      <c r="BY115" s="167">
        <f t="shared" si="375"/>
        <v>0</v>
      </c>
      <c r="BZ115" s="167">
        <f t="shared" si="305"/>
        <v>0</v>
      </c>
      <c r="CA115" s="167">
        <f t="shared" si="376"/>
        <v>0</v>
      </c>
      <c r="CB115" s="170">
        <f t="shared" si="306"/>
        <v>0</v>
      </c>
      <c r="CC115" s="167">
        <f t="shared" si="307"/>
        <v>0</v>
      </c>
      <c r="CD115" s="171">
        <f t="shared" si="308"/>
        <v>0</v>
      </c>
      <c r="CE115" s="169">
        <f t="shared" si="398"/>
        <v>0</v>
      </c>
      <c r="CF115" s="167">
        <f t="shared" si="377"/>
        <v>0</v>
      </c>
      <c r="CG115" s="167">
        <f t="shared" si="309"/>
        <v>0</v>
      </c>
      <c r="CH115" s="167">
        <f t="shared" si="378"/>
        <v>0</v>
      </c>
      <c r="CI115" s="167">
        <f t="shared" si="310"/>
        <v>0</v>
      </c>
      <c r="CJ115" s="167">
        <f t="shared" si="379"/>
        <v>0</v>
      </c>
      <c r="CK115" s="167">
        <f t="shared" si="311"/>
        <v>0</v>
      </c>
      <c r="CL115" s="167">
        <f t="shared" si="380"/>
        <v>0</v>
      </c>
      <c r="CM115" s="167">
        <f t="shared" si="312"/>
        <v>0</v>
      </c>
      <c r="CN115" s="167">
        <f t="shared" si="381"/>
        <v>0</v>
      </c>
      <c r="CO115" s="170">
        <f t="shared" si="313"/>
        <v>0</v>
      </c>
      <c r="CP115" s="167">
        <f t="shared" si="314"/>
        <v>0</v>
      </c>
      <c r="CQ115" s="171">
        <f t="shared" si="315"/>
        <v>0</v>
      </c>
      <c r="CR115" s="169">
        <f t="shared" si="399"/>
        <v>0</v>
      </c>
      <c r="CS115" s="167">
        <f t="shared" si="383"/>
        <v>0</v>
      </c>
      <c r="CT115" s="167">
        <f t="shared" si="317"/>
        <v>0</v>
      </c>
      <c r="CU115" s="167">
        <f t="shared" si="384"/>
        <v>0</v>
      </c>
      <c r="CV115" s="167">
        <f t="shared" si="318"/>
        <v>0</v>
      </c>
      <c r="CW115" s="167">
        <f t="shared" si="385"/>
        <v>0</v>
      </c>
      <c r="CX115" s="167">
        <f t="shared" si="319"/>
        <v>0</v>
      </c>
      <c r="CY115" s="167">
        <f t="shared" si="386"/>
        <v>0</v>
      </c>
      <c r="CZ115" s="167">
        <f t="shared" si="320"/>
        <v>0</v>
      </c>
      <c r="DA115" s="167">
        <f t="shared" si="387"/>
        <v>0</v>
      </c>
      <c r="DB115" s="170">
        <f t="shared" si="321"/>
        <v>0</v>
      </c>
      <c r="DC115" s="167">
        <f t="shared" si="322"/>
        <v>0</v>
      </c>
      <c r="DD115" s="171">
        <f t="shared" si="323"/>
        <v>0</v>
      </c>
      <c r="DE115" s="169">
        <f t="shared" si="399"/>
        <v>0</v>
      </c>
      <c r="DF115" s="167">
        <f t="shared" si="388"/>
        <v>0</v>
      </c>
      <c r="DG115" s="167">
        <f t="shared" si="324"/>
        <v>0</v>
      </c>
      <c r="DH115" s="167">
        <f t="shared" si="389"/>
        <v>0</v>
      </c>
      <c r="DI115" s="167">
        <f t="shared" si="325"/>
        <v>0</v>
      </c>
      <c r="DJ115" s="167">
        <f t="shared" si="390"/>
        <v>0</v>
      </c>
      <c r="DK115" s="167">
        <f t="shared" si="326"/>
        <v>0</v>
      </c>
      <c r="DL115" s="167">
        <f t="shared" si="391"/>
        <v>0</v>
      </c>
      <c r="DM115" s="167">
        <f t="shared" si="327"/>
        <v>0</v>
      </c>
      <c r="DN115" s="167">
        <f t="shared" si="392"/>
        <v>0</v>
      </c>
      <c r="DO115" s="170">
        <f t="shared" si="328"/>
        <v>0</v>
      </c>
      <c r="DP115" s="167">
        <f t="shared" si="329"/>
        <v>0</v>
      </c>
      <c r="DQ115" s="171">
        <f t="shared" si="330"/>
        <v>0</v>
      </c>
      <c r="DR115" s="169">
        <f t="shared" si="399"/>
        <v>0</v>
      </c>
      <c r="DS115" s="167">
        <f t="shared" si="393"/>
        <v>0</v>
      </c>
      <c r="DT115" s="167">
        <f t="shared" si="331"/>
        <v>0</v>
      </c>
      <c r="DU115" s="167">
        <f t="shared" si="394"/>
        <v>0</v>
      </c>
      <c r="DV115" s="167">
        <f t="shared" si="332"/>
        <v>0</v>
      </c>
      <c r="DW115" s="167">
        <f t="shared" si="395"/>
        <v>0</v>
      </c>
      <c r="DX115" s="167">
        <f t="shared" si="333"/>
        <v>0</v>
      </c>
      <c r="DY115" s="167">
        <f t="shared" si="396"/>
        <v>0</v>
      </c>
      <c r="DZ115" s="167">
        <f t="shared" si="334"/>
        <v>0</v>
      </c>
      <c r="EA115" s="167">
        <f t="shared" si="397"/>
        <v>0</v>
      </c>
      <c r="EB115" s="170">
        <f t="shared" si="335"/>
        <v>0</v>
      </c>
      <c r="EC115" s="167">
        <f t="shared" si="336"/>
        <v>0</v>
      </c>
      <c r="ED115" s="171">
        <f t="shared" si="337"/>
        <v>0</v>
      </c>
    </row>
    <row r="116" spans="1:134" x14ac:dyDescent="0.3">
      <c r="A116" s="185"/>
      <c r="B116" s="186"/>
      <c r="C116" s="187"/>
      <c r="D116" s="188"/>
      <c r="E116" s="189"/>
      <c r="F116" s="190"/>
      <c r="G116" s="191"/>
      <c r="H116" s="192"/>
      <c r="I116" s="193"/>
      <c r="J116" s="194"/>
      <c r="K116" s="165">
        <f t="shared" si="338"/>
        <v>0</v>
      </c>
      <c r="L116" s="166">
        <f t="shared" si="339"/>
        <v>0</v>
      </c>
      <c r="M116" s="167">
        <f t="shared" si="340"/>
        <v>0</v>
      </c>
      <c r="N116" s="167"/>
      <c r="O116" s="167">
        <f t="shared" si="341"/>
        <v>0</v>
      </c>
      <c r="P116" s="168"/>
      <c r="Q116" s="167">
        <f t="shared" si="342"/>
        <v>0</v>
      </c>
      <c r="R116" s="169">
        <f t="shared" si="343"/>
        <v>0</v>
      </c>
      <c r="S116" s="167">
        <f t="shared" si="344"/>
        <v>0</v>
      </c>
      <c r="T116" s="167">
        <f t="shared" si="345"/>
        <v>0</v>
      </c>
      <c r="U116" s="167">
        <f t="shared" si="346"/>
        <v>0</v>
      </c>
      <c r="V116" s="167">
        <f t="shared" si="347"/>
        <v>0</v>
      </c>
      <c r="W116" s="167">
        <f t="shared" si="348"/>
        <v>0</v>
      </c>
      <c r="X116" s="167">
        <f t="shared" si="349"/>
        <v>0</v>
      </c>
      <c r="Y116" s="167">
        <f t="shared" si="350"/>
        <v>0</v>
      </c>
      <c r="Z116" s="167">
        <f t="shared" si="351"/>
        <v>0</v>
      </c>
      <c r="AA116" s="167">
        <f t="shared" si="352"/>
        <v>0</v>
      </c>
      <c r="AB116" s="170">
        <f t="shared" si="353"/>
        <v>0</v>
      </c>
      <c r="AC116" s="167">
        <f t="shared" si="354"/>
        <v>0</v>
      </c>
      <c r="AD116" s="171">
        <f t="shared" si="355"/>
        <v>0</v>
      </c>
      <c r="AE116" s="169">
        <f t="shared" si="398"/>
        <v>0</v>
      </c>
      <c r="AF116" s="167">
        <f t="shared" si="357"/>
        <v>0</v>
      </c>
      <c r="AG116" s="167">
        <f t="shared" si="281"/>
        <v>0</v>
      </c>
      <c r="AH116" s="167">
        <f t="shared" si="358"/>
        <v>0</v>
      </c>
      <c r="AI116" s="167">
        <f t="shared" si="282"/>
        <v>0</v>
      </c>
      <c r="AJ116" s="167">
        <f t="shared" si="359"/>
        <v>0</v>
      </c>
      <c r="AK116" s="167">
        <f t="shared" si="283"/>
        <v>0</v>
      </c>
      <c r="AL116" s="167">
        <f t="shared" si="360"/>
        <v>0</v>
      </c>
      <c r="AM116" s="167">
        <f t="shared" si="284"/>
        <v>0</v>
      </c>
      <c r="AN116" s="167">
        <f t="shared" si="361"/>
        <v>0</v>
      </c>
      <c r="AO116" s="170">
        <f t="shared" si="285"/>
        <v>0</v>
      </c>
      <c r="AP116" s="167">
        <f t="shared" si="286"/>
        <v>0</v>
      </c>
      <c r="AQ116" s="171">
        <f t="shared" si="287"/>
        <v>0</v>
      </c>
      <c r="AR116" s="169">
        <f t="shared" si="398"/>
        <v>0</v>
      </c>
      <c r="AS116" s="167">
        <f t="shared" si="362"/>
        <v>0</v>
      </c>
      <c r="AT116" s="167">
        <f t="shared" si="288"/>
        <v>0</v>
      </c>
      <c r="AU116" s="167">
        <f t="shared" si="363"/>
        <v>0</v>
      </c>
      <c r="AV116" s="167">
        <f t="shared" si="289"/>
        <v>0</v>
      </c>
      <c r="AW116" s="167">
        <f t="shared" si="364"/>
        <v>0</v>
      </c>
      <c r="AX116" s="167">
        <f t="shared" si="290"/>
        <v>0</v>
      </c>
      <c r="AY116" s="167">
        <f t="shared" si="365"/>
        <v>0</v>
      </c>
      <c r="AZ116" s="167">
        <f t="shared" si="291"/>
        <v>0</v>
      </c>
      <c r="BA116" s="167">
        <f t="shared" si="366"/>
        <v>0</v>
      </c>
      <c r="BB116" s="170">
        <f t="shared" si="292"/>
        <v>0</v>
      </c>
      <c r="BC116" s="167">
        <f t="shared" si="293"/>
        <v>0</v>
      </c>
      <c r="BD116" s="171">
        <f t="shared" si="294"/>
        <v>0</v>
      </c>
      <c r="BE116" s="169">
        <f t="shared" si="398"/>
        <v>0</v>
      </c>
      <c r="BF116" s="167">
        <f t="shared" si="367"/>
        <v>0</v>
      </c>
      <c r="BG116" s="167">
        <f t="shared" si="295"/>
        <v>0</v>
      </c>
      <c r="BH116" s="167">
        <f t="shared" si="368"/>
        <v>0</v>
      </c>
      <c r="BI116" s="167">
        <f t="shared" si="296"/>
        <v>0</v>
      </c>
      <c r="BJ116" s="167">
        <f t="shared" si="369"/>
        <v>0</v>
      </c>
      <c r="BK116" s="167">
        <f t="shared" si="297"/>
        <v>0</v>
      </c>
      <c r="BL116" s="167">
        <f t="shared" si="370"/>
        <v>0</v>
      </c>
      <c r="BM116" s="167">
        <f t="shared" si="298"/>
        <v>0</v>
      </c>
      <c r="BN116" s="167">
        <f t="shared" si="371"/>
        <v>0</v>
      </c>
      <c r="BO116" s="170">
        <f t="shared" si="299"/>
        <v>0</v>
      </c>
      <c r="BP116" s="167">
        <f t="shared" si="300"/>
        <v>0</v>
      </c>
      <c r="BQ116" s="171">
        <f t="shared" si="301"/>
        <v>0</v>
      </c>
      <c r="BR116" s="169">
        <f t="shared" si="398"/>
        <v>0</v>
      </c>
      <c r="BS116" s="167">
        <f t="shared" si="372"/>
        <v>0</v>
      </c>
      <c r="BT116" s="167">
        <f t="shared" si="302"/>
        <v>0</v>
      </c>
      <c r="BU116" s="167">
        <f t="shared" si="373"/>
        <v>0</v>
      </c>
      <c r="BV116" s="167">
        <f t="shared" si="303"/>
        <v>0</v>
      </c>
      <c r="BW116" s="167">
        <f t="shared" si="374"/>
        <v>0</v>
      </c>
      <c r="BX116" s="167">
        <f t="shared" si="304"/>
        <v>0</v>
      </c>
      <c r="BY116" s="167">
        <f t="shared" si="375"/>
        <v>0</v>
      </c>
      <c r="BZ116" s="167">
        <f t="shared" si="305"/>
        <v>0</v>
      </c>
      <c r="CA116" s="167">
        <f t="shared" si="376"/>
        <v>0</v>
      </c>
      <c r="CB116" s="170">
        <f t="shared" si="306"/>
        <v>0</v>
      </c>
      <c r="CC116" s="167">
        <f t="shared" si="307"/>
        <v>0</v>
      </c>
      <c r="CD116" s="171">
        <f t="shared" si="308"/>
        <v>0</v>
      </c>
      <c r="CE116" s="169">
        <f t="shared" si="398"/>
        <v>0</v>
      </c>
      <c r="CF116" s="167">
        <f t="shared" si="377"/>
        <v>0</v>
      </c>
      <c r="CG116" s="167">
        <f t="shared" si="309"/>
        <v>0</v>
      </c>
      <c r="CH116" s="167">
        <f t="shared" si="378"/>
        <v>0</v>
      </c>
      <c r="CI116" s="167">
        <f t="shared" si="310"/>
        <v>0</v>
      </c>
      <c r="CJ116" s="167">
        <f t="shared" si="379"/>
        <v>0</v>
      </c>
      <c r="CK116" s="167">
        <f t="shared" si="311"/>
        <v>0</v>
      </c>
      <c r="CL116" s="167">
        <f t="shared" si="380"/>
        <v>0</v>
      </c>
      <c r="CM116" s="167">
        <f t="shared" si="312"/>
        <v>0</v>
      </c>
      <c r="CN116" s="167">
        <f t="shared" si="381"/>
        <v>0</v>
      </c>
      <c r="CO116" s="170">
        <f t="shared" si="313"/>
        <v>0</v>
      </c>
      <c r="CP116" s="167">
        <f t="shared" si="314"/>
        <v>0</v>
      </c>
      <c r="CQ116" s="171">
        <f t="shared" si="315"/>
        <v>0</v>
      </c>
      <c r="CR116" s="169">
        <f t="shared" si="399"/>
        <v>0</v>
      </c>
      <c r="CS116" s="167">
        <f t="shared" si="383"/>
        <v>0</v>
      </c>
      <c r="CT116" s="167">
        <f t="shared" si="317"/>
        <v>0</v>
      </c>
      <c r="CU116" s="167">
        <f t="shared" si="384"/>
        <v>0</v>
      </c>
      <c r="CV116" s="167">
        <f t="shared" si="318"/>
        <v>0</v>
      </c>
      <c r="CW116" s="167">
        <f t="shared" si="385"/>
        <v>0</v>
      </c>
      <c r="CX116" s="167">
        <f t="shared" si="319"/>
        <v>0</v>
      </c>
      <c r="CY116" s="167">
        <f t="shared" si="386"/>
        <v>0</v>
      </c>
      <c r="CZ116" s="167">
        <f t="shared" si="320"/>
        <v>0</v>
      </c>
      <c r="DA116" s="167">
        <f t="shared" si="387"/>
        <v>0</v>
      </c>
      <c r="DB116" s="170">
        <f t="shared" si="321"/>
        <v>0</v>
      </c>
      <c r="DC116" s="167">
        <f t="shared" si="322"/>
        <v>0</v>
      </c>
      <c r="DD116" s="171">
        <f t="shared" si="323"/>
        <v>0</v>
      </c>
      <c r="DE116" s="169">
        <f t="shared" si="399"/>
        <v>0</v>
      </c>
      <c r="DF116" s="167">
        <f t="shared" si="388"/>
        <v>0</v>
      </c>
      <c r="DG116" s="167">
        <f t="shared" si="324"/>
        <v>0</v>
      </c>
      <c r="DH116" s="167">
        <f t="shared" si="389"/>
        <v>0</v>
      </c>
      <c r="DI116" s="167">
        <f t="shared" si="325"/>
        <v>0</v>
      </c>
      <c r="DJ116" s="167">
        <f t="shared" si="390"/>
        <v>0</v>
      </c>
      <c r="DK116" s="167">
        <f t="shared" si="326"/>
        <v>0</v>
      </c>
      <c r="DL116" s="167">
        <f t="shared" si="391"/>
        <v>0</v>
      </c>
      <c r="DM116" s="167">
        <f t="shared" si="327"/>
        <v>0</v>
      </c>
      <c r="DN116" s="167">
        <f t="shared" si="392"/>
        <v>0</v>
      </c>
      <c r="DO116" s="170">
        <f t="shared" si="328"/>
        <v>0</v>
      </c>
      <c r="DP116" s="167">
        <f t="shared" si="329"/>
        <v>0</v>
      </c>
      <c r="DQ116" s="171">
        <f t="shared" si="330"/>
        <v>0</v>
      </c>
      <c r="DR116" s="169">
        <f t="shared" si="399"/>
        <v>0</v>
      </c>
      <c r="DS116" s="167">
        <f t="shared" si="393"/>
        <v>0</v>
      </c>
      <c r="DT116" s="167">
        <f t="shared" si="331"/>
        <v>0</v>
      </c>
      <c r="DU116" s="167">
        <f t="shared" si="394"/>
        <v>0</v>
      </c>
      <c r="DV116" s="167">
        <f t="shared" si="332"/>
        <v>0</v>
      </c>
      <c r="DW116" s="167">
        <f t="shared" si="395"/>
        <v>0</v>
      </c>
      <c r="DX116" s="167">
        <f t="shared" si="333"/>
        <v>0</v>
      </c>
      <c r="DY116" s="167">
        <f t="shared" si="396"/>
        <v>0</v>
      </c>
      <c r="DZ116" s="167">
        <f t="shared" si="334"/>
        <v>0</v>
      </c>
      <c r="EA116" s="167">
        <f t="shared" si="397"/>
        <v>0</v>
      </c>
      <c r="EB116" s="170">
        <f t="shared" si="335"/>
        <v>0</v>
      </c>
      <c r="EC116" s="167">
        <f t="shared" si="336"/>
        <v>0</v>
      </c>
      <c r="ED116" s="171">
        <f t="shared" si="337"/>
        <v>0</v>
      </c>
    </row>
    <row r="117" spans="1:134" x14ac:dyDescent="0.3">
      <c r="A117" s="185"/>
      <c r="B117" s="186"/>
      <c r="C117" s="187"/>
      <c r="D117" s="188"/>
      <c r="E117" s="189"/>
      <c r="F117" s="190"/>
      <c r="G117" s="191"/>
      <c r="H117" s="192"/>
      <c r="I117" s="193"/>
      <c r="J117" s="194"/>
      <c r="K117" s="165">
        <f t="shared" si="338"/>
        <v>0</v>
      </c>
      <c r="L117" s="166">
        <f t="shared" si="339"/>
        <v>0</v>
      </c>
      <c r="M117" s="167">
        <f t="shared" si="340"/>
        <v>0</v>
      </c>
      <c r="N117" s="167"/>
      <c r="O117" s="167">
        <f t="shared" si="341"/>
        <v>0</v>
      </c>
      <c r="P117" s="168"/>
      <c r="Q117" s="167">
        <f t="shared" si="342"/>
        <v>0</v>
      </c>
      <c r="R117" s="169">
        <f t="shared" si="343"/>
        <v>0</v>
      </c>
      <c r="S117" s="167">
        <f t="shared" si="344"/>
        <v>0</v>
      </c>
      <c r="T117" s="167">
        <f t="shared" si="345"/>
        <v>0</v>
      </c>
      <c r="U117" s="167">
        <f t="shared" si="346"/>
        <v>0</v>
      </c>
      <c r="V117" s="167">
        <f t="shared" si="347"/>
        <v>0</v>
      </c>
      <c r="W117" s="167">
        <f t="shared" si="348"/>
        <v>0</v>
      </c>
      <c r="X117" s="167">
        <f t="shared" si="349"/>
        <v>0</v>
      </c>
      <c r="Y117" s="167">
        <f t="shared" si="350"/>
        <v>0</v>
      </c>
      <c r="Z117" s="167">
        <f t="shared" si="351"/>
        <v>0</v>
      </c>
      <c r="AA117" s="167">
        <f t="shared" si="352"/>
        <v>0</v>
      </c>
      <c r="AB117" s="170">
        <f t="shared" si="353"/>
        <v>0</v>
      </c>
      <c r="AC117" s="167">
        <f t="shared" si="354"/>
        <v>0</v>
      </c>
      <c r="AD117" s="171">
        <f t="shared" si="355"/>
        <v>0</v>
      </c>
      <c r="AE117" s="169">
        <f t="shared" ref="AE117:CE125" si="400">IF(YEAR($F117)=AE$4,$E117,0)</f>
        <v>0</v>
      </c>
      <c r="AF117" s="167">
        <f t="shared" si="357"/>
        <v>0</v>
      </c>
      <c r="AG117" s="167">
        <f t="shared" si="281"/>
        <v>0</v>
      </c>
      <c r="AH117" s="167">
        <f t="shared" si="358"/>
        <v>0</v>
      </c>
      <c r="AI117" s="167">
        <f t="shared" si="282"/>
        <v>0</v>
      </c>
      <c r="AJ117" s="167">
        <f t="shared" si="359"/>
        <v>0</v>
      </c>
      <c r="AK117" s="167">
        <f t="shared" si="283"/>
        <v>0</v>
      </c>
      <c r="AL117" s="167">
        <f t="shared" si="360"/>
        <v>0</v>
      </c>
      <c r="AM117" s="167">
        <f t="shared" si="284"/>
        <v>0</v>
      </c>
      <c r="AN117" s="167">
        <f t="shared" si="361"/>
        <v>0</v>
      </c>
      <c r="AO117" s="170">
        <f t="shared" si="285"/>
        <v>0</v>
      </c>
      <c r="AP117" s="167">
        <f t="shared" si="286"/>
        <v>0</v>
      </c>
      <c r="AQ117" s="171">
        <f t="shared" si="287"/>
        <v>0</v>
      </c>
      <c r="AR117" s="169">
        <f t="shared" si="400"/>
        <v>0</v>
      </c>
      <c r="AS117" s="167">
        <f t="shared" si="362"/>
        <v>0</v>
      </c>
      <c r="AT117" s="167">
        <f t="shared" si="288"/>
        <v>0</v>
      </c>
      <c r="AU117" s="167">
        <f t="shared" si="363"/>
        <v>0</v>
      </c>
      <c r="AV117" s="167">
        <f t="shared" si="289"/>
        <v>0</v>
      </c>
      <c r="AW117" s="167">
        <f t="shared" si="364"/>
        <v>0</v>
      </c>
      <c r="AX117" s="167">
        <f t="shared" si="290"/>
        <v>0</v>
      </c>
      <c r="AY117" s="167">
        <f t="shared" si="365"/>
        <v>0</v>
      </c>
      <c r="AZ117" s="167">
        <f t="shared" si="291"/>
        <v>0</v>
      </c>
      <c r="BA117" s="167">
        <f t="shared" si="366"/>
        <v>0</v>
      </c>
      <c r="BB117" s="170">
        <f t="shared" si="292"/>
        <v>0</v>
      </c>
      <c r="BC117" s="167">
        <f t="shared" si="293"/>
        <v>0</v>
      </c>
      <c r="BD117" s="171">
        <f t="shared" si="294"/>
        <v>0</v>
      </c>
      <c r="BE117" s="169">
        <f t="shared" si="400"/>
        <v>0</v>
      </c>
      <c r="BF117" s="167">
        <f t="shared" si="367"/>
        <v>0</v>
      </c>
      <c r="BG117" s="167">
        <f t="shared" si="295"/>
        <v>0</v>
      </c>
      <c r="BH117" s="167">
        <f t="shared" si="368"/>
        <v>0</v>
      </c>
      <c r="BI117" s="167">
        <f t="shared" si="296"/>
        <v>0</v>
      </c>
      <c r="BJ117" s="167">
        <f t="shared" si="369"/>
        <v>0</v>
      </c>
      <c r="BK117" s="167">
        <f t="shared" si="297"/>
        <v>0</v>
      </c>
      <c r="BL117" s="167">
        <f t="shared" si="370"/>
        <v>0</v>
      </c>
      <c r="BM117" s="167">
        <f t="shared" si="298"/>
        <v>0</v>
      </c>
      <c r="BN117" s="167">
        <f t="shared" si="371"/>
        <v>0</v>
      </c>
      <c r="BO117" s="170">
        <f t="shared" si="299"/>
        <v>0</v>
      </c>
      <c r="BP117" s="167">
        <f t="shared" si="300"/>
        <v>0</v>
      </c>
      <c r="BQ117" s="171">
        <f t="shared" si="301"/>
        <v>0</v>
      </c>
      <c r="BR117" s="169">
        <f t="shared" si="400"/>
        <v>0</v>
      </c>
      <c r="BS117" s="167">
        <f t="shared" si="372"/>
        <v>0</v>
      </c>
      <c r="BT117" s="167">
        <f t="shared" si="302"/>
        <v>0</v>
      </c>
      <c r="BU117" s="167">
        <f t="shared" si="373"/>
        <v>0</v>
      </c>
      <c r="BV117" s="167">
        <f t="shared" si="303"/>
        <v>0</v>
      </c>
      <c r="BW117" s="167">
        <f t="shared" si="374"/>
        <v>0</v>
      </c>
      <c r="BX117" s="167">
        <f t="shared" si="304"/>
        <v>0</v>
      </c>
      <c r="BY117" s="167">
        <f t="shared" si="375"/>
        <v>0</v>
      </c>
      <c r="BZ117" s="167">
        <f t="shared" si="305"/>
        <v>0</v>
      </c>
      <c r="CA117" s="167">
        <f t="shared" si="376"/>
        <v>0</v>
      </c>
      <c r="CB117" s="170">
        <f t="shared" si="306"/>
        <v>0</v>
      </c>
      <c r="CC117" s="167">
        <f t="shared" si="307"/>
        <v>0</v>
      </c>
      <c r="CD117" s="171">
        <f t="shared" si="308"/>
        <v>0</v>
      </c>
      <c r="CE117" s="169">
        <f t="shared" si="400"/>
        <v>0</v>
      </c>
      <c r="CF117" s="167">
        <f t="shared" si="377"/>
        <v>0</v>
      </c>
      <c r="CG117" s="167">
        <f t="shared" si="309"/>
        <v>0</v>
      </c>
      <c r="CH117" s="167">
        <f t="shared" si="378"/>
        <v>0</v>
      </c>
      <c r="CI117" s="167">
        <f t="shared" si="310"/>
        <v>0</v>
      </c>
      <c r="CJ117" s="167">
        <f t="shared" si="379"/>
        <v>0</v>
      </c>
      <c r="CK117" s="167">
        <f t="shared" si="311"/>
        <v>0</v>
      </c>
      <c r="CL117" s="167">
        <f t="shared" si="380"/>
        <v>0</v>
      </c>
      <c r="CM117" s="167">
        <f t="shared" si="312"/>
        <v>0</v>
      </c>
      <c r="CN117" s="167">
        <f t="shared" si="381"/>
        <v>0</v>
      </c>
      <c r="CO117" s="170">
        <f t="shared" si="313"/>
        <v>0</v>
      </c>
      <c r="CP117" s="167">
        <f t="shared" si="314"/>
        <v>0</v>
      </c>
      <c r="CQ117" s="171">
        <f t="shared" si="315"/>
        <v>0</v>
      </c>
      <c r="CR117" s="169">
        <f t="shared" ref="CR117:DR125" si="401">IF(YEAR($F117)=CR$4,$E117,0)</f>
        <v>0</v>
      </c>
      <c r="CS117" s="167">
        <f t="shared" si="383"/>
        <v>0</v>
      </c>
      <c r="CT117" s="167">
        <f t="shared" si="317"/>
        <v>0</v>
      </c>
      <c r="CU117" s="167">
        <f t="shared" si="384"/>
        <v>0</v>
      </c>
      <c r="CV117" s="167">
        <f t="shared" si="318"/>
        <v>0</v>
      </c>
      <c r="CW117" s="167">
        <f t="shared" si="385"/>
        <v>0</v>
      </c>
      <c r="CX117" s="167">
        <f t="shared" si="319"/>
        <v>0</v>
      </c>
      <c r="CY117" s="167">
        <f t="shared" si="386"/>
        <v>0</v>
      </c>
      <c r="CZ117" s="167">
        <f t="shared" si="320"/>
        <v>0</v>
      </c>
      <c r="DA117" s="167">
        <f t="shared" si="387"/>
        <v>0</v>
      </c>
      <c r="DB117" s="170">
        <f t="shared" si="321"/>
        <v>0</v>
      </c>
      <c r="DC117" s="167">
        <f t="shared" si="322"/>
        <v>0</v>
      </c>
      <c r="DD117" s="171">
        <f t="shared" si="323"/>
        <v>0</v>
      </c>
      <c r="DE117" s="169">
        <f t="shared" si="401"/>
        <v>0</v>
      </c>
      <c r="DF117" s="167">
        <f t="shared" si="388"/>
        <v>0</v>
      </c>
      <c r="DG117" s="167">
        <f t="shared" si="324"/>
        <v>0</v>
      </c>
      <c r="DH117" s="167">
        <f t="shared" si="389"/>
        <v>0</v>
      </c>
      <c r="DI117" s="167">
        <f t="shared" si="325"/>
        <v>0</v>
      </c>
      <c r="DJ117" s="167">
        <f t="shared" si="390"/>
        <v>0</v>
      </c>
      <c r="DK117" s="167">
        <f t="shared" si="326"/>
        <v>0</v>
      </c>
      <c r="DL117" s="167">
        <f t="shared" si="391"/>
        <v>0</v>
      </c>
      <c r="DM117" s="167">
        <f t="shared" si="327"/>
        <v>0</v>
      </c>
      <c r="DN117" s="167">
        <f t="shared" si="392"/>
        <v>0</v>
      </c>
      <c r="DO117" s="170">
        <f t="shared" si="328"/>
        <v>0</v>
      </c>
      <c r="DP117" s="167">
        <f t="shared" si="329"/>
        <v>0</v>
      </c>
      <c r="DQ117" s="171">
        <f t="shared" si="330"/>
        <v>0</v>
      </c>
      <c r="DR117" s="169">
        <f t="shared" si="401"/>
        <v>0</v>
      </c>
      <c r="DS117" s="167">
        <f t="shared" si="393"/>
        <v>0</v>
      </c>
      <c r="DT117" s="167">
        <f t="shared" si="331"/>
        <v>0</v>
      </c>
      <c r="DU117" s="167">
        <f t="shared" si="394"/>
        <v>0</v>
      </c>
      <c r="DV117" s="167">
        <f t="shared" si="332"/>
        <v>0</v>
      </c>
      <c r="DW117" s="167">
        <f t="shared" si="395"/>
        <v>0</v>
      </c>
      <c r="DX117" s="167">
        <f t="shared" si="333"/>
        <v>0</v>
      </c>
      <c r="DY117" s="167">
        <f t="shared" si="396"/>
        <v>0</v>
      </c>
      <c r="DZ117" s="167">
        <f t="shared" si="334"/>
        <v>0</v>
      </c>
      <c r="EA117" s="167">
        <f t="shared" si="397"/>
        <v>0</v>
      </c>
      <c r="EB117" s="170">
        <f t="shared" si="335"/>
        <v>0</v>
      </c>
      <c r="EC117" s="167">
        <f t="shared" si="336"/>
        <v>0</v>
      </c>
      <c r="ED117" s="171">
        <f t="shared" si="337"/>
        <v>0</v>
      </c>
    </row>
    <row r="118" spans="1:134" x14ac:dyDescent="0.3">
      <c r="A118" s="185"/>
      <c r="B118" s="186"/>
      <c r="C118" s="187"/>
      <c r="D118" s="188"/>
      <c r="E118" s="189"/>
      <c r="F118" s="190"/>
      <c r="G118" s="191"/>
      <c r="H118" s="192"/>
      <c r="I118" s="193"/>
      <c r="J118" s="194"/>
      <c r="K118" s="165">
        <f t="shared" si="338"/>
        <v>0</v>
      </c>
      <c r="L118" s="166">
        <f t="shared" si="339"/>
        <v>0</v>
      </c>
      <c r="M118" s="167">
        <f t="shared" si="340"/>
        <v>0</v>
      </c>
      <c r="N118" s="167"/>
      <c r="O118" s="167">
        <f t="shared" si="341"/>
        <v>0</v>
      </c>
      <c r="P118" s="168"/>
      <c r="Q118" s="167">
        <f t="shared" si="342"/>
        <v>0</v>
      </c>
      <c r="R118" s="169">
        <f t="shared" si="343"/>
        <v>0</v>
      </c>
      <c r="S118" s="167">
        <f t="shared" si="344"/>
        <v>0</v>
      </c>
      <c r="T118" s="167">
        <f t="shared" si="345"/>
        <v>0</v>
      </c>
      <c r="U118" s="167">
        <f t="shared" si="346"/>
        <v>0</v>
      </c>
      <c r="V118" s="167">
        <f t="shared" si="347"/>
        <v>0</v>
      </c>
      <c r="W118" s="167">
        <f t="shared" si="348"/>
        <v>0</v>
      </c>
      <c r="X118" s="167">
        <f t="shared" si="349"/>
        <v>0</v>
      </c>
      <c r="Y118" s="167">
        <f t="shared" si="350"/>
        <v>0</v>
      </c>
      <c r="Z118" s="167">
        <f t="shared" si="351"/>
        <v>0</v>
      </c>
      <c r="AA118" s="167">
        <f t="shared" si="352"/>
        <v>0</v>
      </c>
      <c r="AB118" s="170">
        <f t="shared" si="353"/>
        <v>0</v>
      </c>
      <c r="AC118" s="167">
        <f t="shared" si="354"/>
        <v>0</v>
      </c>
      <c r="AD118" s="171">
        <f t="shared" si="355"/>
        <v>0</v>
      </c>
      <c r="AE118" s="169">
        <f t="shared" si="400"/>
        <v>0</v>
      </c>
      <c r="AF118" s="167">
        <f t="shared" si="357"/>
        <v>0</v>
      </c>
      <c r="AG118" s="167">
        <f t="shared" si="281"/>
        <v>0</v>
      </c>
      <c r="AH118" s="167">
        <f t="shared" si="358"/>
        <v>0</v>
      </c>
      <c r="AI118" s="167">
        <f t="shared" si="282"/>
        <v>0</v>
      </c>
      <c r="AJ118" s="167">
        <f t="shared" si="359"/>
        <v>0</v>
      </c>
      <c r="AK118" s="167">
        <f t="shared" si="283"/>
        <v>0</v>
      </c>
      <c r="AL118" s="167">
        <f t="shared" si="360"/>
        <v>0</v>
      </c>
      <c r="AM118" s="167">
        <f t="shared" si="284"/>
        <v>0</v>
      </c>
      <c r="AN118" s="167">
        <f t="shared" si="361"/>
        <v>0</v>
      </c>
      <c r="AO118" s="170">
        <f t="shared" si="285"/>
        <v>0</v>
      </c>
      <c r="AP118" s="167">
        <f t="shared" si="286"/>
        <v>0</v>
      </c>
      <c r="AQ118" s="171">
        <f t="shared" si="287"/>
        <v>0</v>
      </c>
      <c r="AR118" s="169">
        <f t="shared" si="400"/>
        <v>0</v>
      </c>
      <c r="AS118" s="167">
        <f t="shared" si="362"/>
        <v>0</v>
      </c>
      <c r="AT118" s="167">
        <f t="shared" si="288"/>
        <v>0</v>
      </c>
      <c r="AU118" s="167">
        <f t="shared" si="363"/>
        <v>0</v>
      </c>
      <c r="AV118" s="167">
        <f t="shared" si="289"/>
        <v>0</v>
      </c>
      <c r="AW118" s="167">
        <f t="shared" si="364"/>
        <v>0</v>
      </c>
      <c r="AX118" s="167">
        <f t="shared" si="290"/>
        <v>0</v>
      </c>
      <c r="AY118" s="167">
        <f t="shared" si="365"/>
        <v>0</v>
      </c>
      <c r="AZ118" s="167">
        <f t="shared" si="291"/>
        <v>0</v>
      </c>
      <c r="BA118" s="167">
        <f t="shared" si="366"/>
        <v>0</v>
      </c>
      <c r="BB118" s="170">
        <f t="shared" si="292"/>
        <v>0</v>
      </c>
      <c r="BC118" s="167">
        <f t="shared" si="293"/>
        <v>0</v>
      </c>
      <c r="BD118" s="171">
        <f t="shared" si="294"/>
        <v>0</v>
      </c>
      <c r="BE118" s="169">
        <f t="shared" si="400"/>
        <v>0</v>
      </c>
      <c r="BF118" s="167">
        <f t="shared" si="367"/>
        <v>0</v>
      </c>
      <c r="BG118" s="167">
        <f t="shared" si="295"/>
        <v>0</v>
      </c>
      <c r="BH118" s="167">
        <f t="shared" si="368"/>
        <v>0</v>
      </c>
      <c r="BI118" s="167">
        <f t="shared" si="296"/>
        <v>0</v>
      </c>
      <c r="BJ118" s="167">
        <f t="shared" si="369"/>
        <v>0</v>
      </c>
      <c r="BK118" s="167">
        <f t="shared" si="297"/>
        <v>0</v>
      </c>
      <c r="BL118" s="167">
        <f t="shared" si="370"/>
        <v>0</v>
      </c>
      <c r="BM118" s="167">
        <f t="shared" si="298"/>
        <v>0</v>
      </c>
      <c r="BN118" s="167">
        <f t="shared" si="371"/>
        <v>0</v>
      </c>
      <c r="BO118" s="170">
        <f t="shared" si="299"/>
        <v>0</v>
      </c>
      <c r="BP118" s="167">
        <f t="shared" si="300"/>
        <v>0</v>
      </c>
      <c r="BQ118" s="171">
        <f t="shared" si="301"/>
        <v>0</v>
      </c>
      <c r="BR118" s="169">
        <f t="shared" si="400"/>
        <v>0</v>
      </c>
      <c r="BS118" s="167">
        <f t="shared" si="372"/>
        <v>0</v>
      </c>
      <c r="BT118" s="167">
        <f t="shared" si="302"/>
        <v>0</v>
      </c>
      <c r="BU118" s="167">
        <f t="shared" si="373"/>
        <v>0</v>
      </c>
      <c r="BV118" s="167">
        <f t="shared" si="303"/>
        <v>0</v>
      </c>
      <c r="BW118" s="167">
        <f t="shared" si="374"/>
        <v>0</v>
      </c>
      <c r="BX118" s="167">
        <f t="shared" si="304"/>
        <v>0</v>
      </c>
      <c r="BY118" s="167">
        <f t="shared" si="375"/>
        <v>0</v>
      </c>
      <c r="BZ118" s="167">
        <f t="shared" si="305"/>
        <v>0</v>
      </c>
      <c r="CA118" s="167">
        <f t="shared" si="376"/>
        <v>0</v>
      </c>
      <c r="CB118" s="170">
        <f t="shared" si="306"/>
        <v>0</v>
      </c>
      <c r="CC118" s="167">
        <f t="shared" si="307"/>
        <v>0</v>
      </c>
      <c r="CD118" s="171">
        <f t="shared" si="308"/>
        <v>0</v>
      </c>
      <c r="CE118" s="169">
        <f t="shared" si="400"/>
        <v>0</v>
      </c>
      <c r="CF118" s="167">
        <f t="shared" si="377"/>
        <v>0</v>
      </c>
      <c r="CG118" s="167">
        <f t="shared" si="309"/>
        <v>0</v>
      </c>
      <c r="CH118" s="167">
        <f t="shared" si="378"/>
        <v>0</v>
      </c>
      <c r="CI118" s="167">
        <f t="shared" si="310"/>
        <v>0</v>
      </c>
      <c r="CJ118" s="167">
        <f t="shared" si="379"/>
        <v>0</v>
      </c>
      <c r="CK118" s="167">
        <f t="shared" si="311"/>
        <v>0</v>
      </c>
      <c r="CL118" s="167">
        <f t="shared" si="380"/>
        <v>0</v>
      </c>
      <c r="CM118" s="167">
        <f t="shared" si="312"/>
        <v>0</v>
      </c>
      <c r="CN118" s="167">
        <f t="shared" si="381"/>
        <v>0</v>
      </c>
      <c r="CO118" s="170">
        <f t="shared" si="313"/>
        <v>0</v>
      </c>
      <c r="CP118" s="167">
        <f t="shared" si="314"/>
        <v>0</v>
      </c>
      <c r="CQ118" s="171">
        <f t="shared" si="315"/>
        <v>0</v>
      </c>
      <c r="CR118" s="169">
        <f t="shared" si="401"/>
        <v>0</v>
      </c>
      <c r="CS118" s="167">
        <f t="shared" si="383"/>
        <v>0</v>
      </c>
      <c r="CT118" s="167">
        <f t="shared" si="317"/>
        <v>0</v>
      </c>
      <c r="CU118" s="167">
        <f t="shared" si="384"/>
        <v>0</v>
      </c>
      <c r="CV118" s="167">
        <f t="shared" si="318"/>
        <v>0</v>
      </c>
      <c r="CW118" s="167">
        <f t="shared" si="385"/>
        <v>0</v>
      </c>
      <c r="CX118" s="167">
        <f t="shared" si="319"/>
        <v>0</v>
      </c>
      <c r="CY118" s="167">
        <f t="shared" si="386"/>
        <v>0</v>
      </c>
      <c r="CZ118" s="167">
        <f t="shared" si="320"/>
        <v>0</v>
      </c>
      <c r="DA118" s="167">
        <f t="shared" si="387"/>
        <v>0</v>
      </c>
      <c r="DB118" s="170">
        <f t="shared" si="321"/>
        <v>0</v>
      </c>
      <c r="DC118" s="167">
        <f t="shared" si="322"/>
        <v>0</v>
      </c>
      <c r="DD118" s="171">
        <f t="shared" si="323"/>
        <v>0</v>
      </c>
      <c r="DE118" s="169">
        <f t="shared" si="401"/>
        <v>0</v>
      </c>
      <c r="DF118" s="167">
        <f t="shared" si="388"/>
        <v>0</v>
      </c>
      <c r="DG118" s="167">
        <f t="shared" si="324"/>
        <v>0</v>
      </c>
      <c r="DH118" s="167">
        <f t="shared" si="389"/>
        <v>0</v>
      </c>
      <c r="DI118" s="167">
        <f t="shared" si="325"/>
        <v>0</v>
      </c>
      <c r="DJ118" s="167">
        <f t="shared" si="390"/>
        <v>0</v>
      </c>
      <c r="DK118" s="167">
        <f t="shared" si="326"/>
        <v>0</v>
      </c>
      <c r="DL118" s="167">
        <f t="shared" si="391"/>
        <v>0</v>
      </c>
      <c r="DM118" s="167">
        <f t="shared" si="327"/>
        <v>0</v>
      </c>
      <c r="DN118" s="167">
        <f t="shared" si="392"/>
        <v>0</v>
      </c>
      <c r="DO118" s="170">
        <f t="shared" si="328"/>
        <v>0</v>
      </c>
      <c r="DP118" s="167">
        <f t="shared" si="329"/>
        <v>0</v>
      </c>
      <c r="DQ118" s="171">
        <f t="shared" si="330"/>
        <v>0</v>
      </c>
      <c r="DR118" s="169">
        <f t="shared" si="401"/>
        <v>0</v>
      </c>
      <c r="DS118" s="167">
        <f t="shared" si="393"/>
        <v>0</v>
      </c>
      <c r="DT118" s="167">
        <f t="shared" si="331"/>
        <v>0</v>
      </c>
      <c r="DU118" s="167">
        <f t="shared" si="394"/>
        <v>0</v>
      </c>
      <c r="DV118" s="167">
        <f t="shared" si="332"/>
        <v>0</v>
      </c>
      <c r="DW118" s="167">
        <f t="shared" si="395"/>
        <v>0</v>
      </c>
      <c r="DX118" s="167">
        <f t="shared" si="333"/>
        <v>0</v>
      </c>
      <c r="DY118" s="167">
        <f t="shared" si="396"/>
        <v>0</v>
      </c>
      <c r="DZ118" s="167">
        <f t="shared" si="334"/>
        <v>0</v>
      </c>
      <c r="EA118" s="167">
        <f t="shared" si="397"/>
        <v>0</v>
      </c>
      <c r="EB118" s="170">
        <f t="shared" si="335"/>
        <v>0</v>
      </c>
      <c r="EC118" s="167">
        <f t="shared" si="336"/>
        <v>0</v>
      </c>
      <c r="ED118" s="171">
        <f t="shared" si="337"/>
        <v>0</v>
      </c>
    </row>
    <row r="119" spans="1:134" x14ac:dyDescent="0.3">
      <c r="A119" s="185"/>
      <c r="B119" s="186"/>
      <c r="C119" s="187"/>
      <c r="D119" s="188"/>
      <c r="E119" s="189"/>
      <c r="F119" s="190"/>
      <c r="G119" s="191"/>
      <c r="H119" s="192"/>
      <c r="I119" s="193"/>
      <c r="J119" s="194"/>
      <c r="K119" s="165">
        <f t="shared" si="338"/>
        <v>0</v>
      </c>
      <c r="L119" s="166">
        <f t="shared" si="339"/>
        <v>0</v>
      </c>
      <c r="M119" s="167">
        <f t="shared" si="340"/>
        <v>0</v>
      </c>
      <c r="N119" s="167"/>
      <c r="O119" s="167">
        <f t="shared" si="341"/>
        <v>0</v>
      </c>
      <c r="P119" s="168"/>
      <c r="Q119" s="167">
        <f t="shared" si="342"/>
        <v>0</v>
      </c>
      <c r="R119" s="169">
        <f t="shared" si="343"/>
        <v>0</v>
      </c>
      <c r="S119" s="167">
        <f t="shared" si="344"/>
        <v>0</v>
      </c>
      <c r="T119" s="167">
        <f t="shared" si="345"/>
        <v>0</v>
      </c>
      <c r="U119" s="167">
        <f t="shared" si="346"/>
        <v>0</v>
      </c>
      <c r="V119" s="167">
        <f t="shared" si="347"/>
        <v>0</v>
      </c>
      <c r="W119" s="167">
        <f t="shared" si="348"/>
        <v>0</v>
      </c>
      <c r="X119" s="167">
        <f t="shared" si="349"/>
        <v>0</v>
      </c>
      <c r="Y119" s="167">
        <f t="shared" si="350"/>
        <v>0</v>
      </c>
      <c r="Z119" s="167">
        <f t="shared" si="351"/>
        <v>0</v>
      </c>
      <c r="AA119" s="167">
        <f t="shared" si="352"/>
        <v>0</v>
      </c>
      <c r="AB119" s="170">
        <f t="shared" si="353"/>
        <v>0</v>
      </c>
      <c r="AC119" s="167">
        <f t="shared" si="354"/>
        <v>0</v>
      </c>
      <c r="AD119" s="171">
        <f t="shared" si="355"/>
        <v>0</v>
      </c>
      <c r="AE119" s="169">
        <f t="shared" si="400"/>
        <v>0</v>
      </c>
      <c r="AF119" s="167">
        <f t="shared" si="357"/>
        <v>0</v>
      </c>
      <c r="AG119" s="167">
        <f t="shared" si="281"/>
        <v>0</v>
      </c>
      <c r="AH119" s="167">
        <f t="shared" si="358"/>
        <v>0</v>
      </c>
      <c r="AI119" s="167">
        <f t="shared" si="282"/>
        <v>0</v>
      </c>
      <c r="AJ119" s="167">
        <f t="shared" si="359"/>
        <v>0</v>
      </c>
      <c r="AK119" s="167">
        <f t="shared" si="283"/>
        <v>0</v>
      </c>
      <c r="AL119" s="167">
        <f t="shared" si="360"/>
        <v>0</v>
      </c>
      <c r="AM119" s="167">
        <f t="shared" si="284"/>
        <v>0</v>
      </c>
      <c r="AN119" s="167">
        <f t="shared" si="361"/>
        <v>0</v>
      </c>
      <c r="AO119" s="170">
        <f t="shared" si="285"/>
        <v>0</v>
      </c>
      <c r="AP119" s="167">
        <f t="shared" si="286"/>
        <v>0</v>
      </c>
      <c r="AQ119" s="171">
        <f t="shared" si="287"/>
        <v>0</v>
      </c>
      <c r="AR119" s="169">
        <f t="shared" si="400"/>
        <v>0</v>
      </c>
      <c r="AS119" s="167">
        <f t="shared" si="362"/>
        <v>0</v>
      </c>
      <c r="AT119" s="167">
        <f t="shared" si="288"/>
        <v>0</v>
      </c>
      <c r="AU119" s="167">
        <f t="shared" si="363"/>
        <v>0</v>
      </c>
      <c r="AV119" s="167">
        <f t="shared" si="289"/>
        <v>0</v>
      </c>
      <c r="AW119" s="167">
        <f t="shared" si="364"/>
        <v>0</v>
      </c>
      <c r="AX119" s="167">
        <f t="shared" si="290"/>
        <v>0</v>
      </c>
      <c r="AY119" s="167">
        <f t="shared" si="365"/>
        <v>0</v>
      </c>
      <c r="AZ119" s="167">
        <f t="shared" si="291"/>
        <v>0</v>
      </c>
      <c r="BA119" s="167">
        <f t="shared" si="366"/>
        <v>0</v>
      </c>
      <c r="BB119" s="170">
        <f t="shared" si="292"/>
        <v>0</v>
      </c>
      <c r="BC119" s="167">
        <f t="shared" si="293"/>
        <v>0</v>
      </c>
      <c r="BD119" s="171">
        <f t="shared" si="294"/>
        <v>0</v>
      </c>
      <c r="BE119" s="169">
        <f t="shared" si="400"/>
        <v>0</v>
      </c>
      <c r="BF119" s="167">
        <f t="shared" si="367"/>
        <v>0</v>
      </c>
      <c r="BG119" s="167">
        <f t="shared" si="295"/>
        <v>0</v>
      </c>
      <c r="BH119" s="167">
        <f t="shared" si="368"/>
        <v>0</v>
      </c>
      <c r="BI119" s="167">
        <f t="shared" si="296"/>
        <v>0</v>
      </c>
      <c r="BJ119" s="167">
        <f t="shared" si="369"/>
        <v>0</v>
      </c>
      <c r="BK119" s="167">
        <f t="shared" si="297"/>
        <v>0</v>
      </c>
      <c r="BL119" s="167">
        <f t="shared" si="370"/>
        <v>0</v>
      </c>
      <c r="BM119" s="167">
        <f t="shared" si="298"/>
        <v>0</v>
      </c>
      <c r="BN119" s="167">
        <f t="shared" si="371"/>
        <v>0</v>
      </c>
      <c r="BO119" s="170">
        <f t="shared" si="299"/>
        <v>0</v>
      </c>
      <c r="BP119" s="167">
        <f t="shared" si="300"/>
        <v>0</v>
      </c>
      <c r="BQ119" s="171">
        <f t="shared" si="301"/>
        <v>0</v>
      </c>
      <c r="BR119" s="169">
        <f t="shared" si="400"/>
        <v>0</v>
      </c>
      <c r="BS119" s="167">
        <f t="shared" si="372"/>
        <v>0</v>
      </c>
      <c r="BT119" s="167">
        <f t="shared" si="302"/>
        <v>0</v>
      </c>
      <c r="BU119" s="167">
        <f t="shared" si="373"/>
        <v>0</v>
      </c>
      <c r="BV119" s="167">
        <f t="shared" si="303"/>
        <v>0</v>
      </c>
      <c r="BW119" s="167">
        <f t="shared" si="374"/>
        <v>0</v>
      </c>
      <c r="BX119" s="167">
        <f t="shared" si="304"/>
        <v>0</v>
      </c>
      <c r="BY119" s="167">
        <f t="shared" si="375"/>
        <v>0</v>
      </c>
      <c r="BZ119" s="167">
        <f t="shared" si="305"/>
        <v>0</v>
      </c>
      <c r="CA119" s="167">
        <f t="shared" si="376"/>
        <v>0</v>
      </c>
      <c r="CB119" s="170">
        <f t="shared" si="306"/>
        <v>0</v>
      </c>
      <c r="CC119" s="167">
        <f t="shared" si="307"/>
        <v>0</v>
      </c>
      <c r="CD119" s="171">
        <f t="shared" si="308"/>
        <v>0</v>
      </c>
      <c r="CE119" s="169">
        <f t="shared" si="400"/>
        <v>0</v>
      </c>
      <c r="CF119" s="167">
        <f t="shared" si="377"/>
        <v>0</v>
      </c>
      <c r="CG119" s="167">
        <f t="shared" si="309"/>
        <v>0</v>
      </c>
      <c r="CH119" s="167">
        <f t="shared" si="378"/>
        <v>0</v>
      </c>
      <c r="CI119" s="167">
        <f t="shared" si="310"/>
        <v>0</v>
      </c>
      <c r="CJ119" s="167">
        <f t="shared" si="379"/>
        <v>0</v>
      </c>
      <c r="CK119" s="167">
        <f t="shared" si="311"/>
        <v>0</v>
      </c>
      <c r="CL119" s="167">
        <f t="shared" si="380"/>
        <v>0</v>
      </c>
      <c r="CM119" s="167">
        <f t="shared" si="312"/>
        <v>0</v>
      </c>
      <c r="CN119" s="167">
        <f t="shared" si="381"/>
        <v>0</v>
      </c>
      <c r="CO119" s="170">
        <f t="shared" si="313"/>
        <v>0</v>
      </c>
      <c r="CP119" s="167">
        <f t="shared" si="314"/>
        <v>0</v>
      </c>
      <c r="CQ119" s="171">
        <f t="shared" si="315"/>
        <v>0</v>
      </c>
      <c r="CR119" s="169">
        <f t="shared" si="401"/>
        <v>0</v>
      </c>
      <c r="CS119" s="167">
        <f t="shared" si="383"/>
        <v>0</v>
      </c>
      <c r="CT119" s="167">
        <f t="shared" si="317"/>
        <v>0</v>
      </c>
      <c r="CU119" s="167">
        <f t="shared" si="384"/>
        <v>0</v>
      </c>
      <c r="CV119" s="167">
        <f t="shared" si="318"/>
        <v>0</v>
      </c>
      <c r="CW119" s="167">
        <f t="shared" si="385"/>
        <v>0</v>
      </c>
      <c r="CX119" s="167">
        <f t="shared" si="319"/>
        <v>0</v>
      </c>
      <c r="CY119" s="167">
        <f t="shared" si="386"/>
        <v>0</v>
      </c>
      <c r="CZ119" s="167">
        <f t="shared" si="320"/>
        <v>0</v>
      </c>
      <c r="DA119" s="167">
        <f t="shared" si="387"/>
        <v>0</v>
      </c>
      <c r="DB119" s="170">
        <f t="shared" si="321"/>
        <v>0</v>
      </c>
      <c r="DC119" s="167">
        <f t="shared" si="322"/>
        <v>0</v>
      </c>
      <c r="DD119" s="171">
        <f t="shared" si="323"/>
        <v>0</v>
      </c>
      <c r="DE119" s="169">
        <f t="shared" si="401"/>
        <v>0</v>
      </c>
      <c r="DF119" s="167">
        <f t="shared" si="388"/>
        <v>0</v>
      </c>
      <c r="DG119" s="167">
        <f t="shared" si="324"/>
        <v>0</v>
      </c>
      <c r="DH119" s="167">
        <f t="shared" si="389"/>
        <v>0</v>
      </c>
      <c r="DI119" s="167">
        <f t="shared" si="325"/>
        <v>0</v>
      </c>
      <c r="DJ119" s="167">
        <f t="shared" si="390"/>
        <v>0</v>
      </c>
      <c r="DK119" s="167">
        <f t="shared" si="326"/>
        <v>0</v>
      </c>
      <c r="DL119" s="167">
        <f t="shared" si="391"/>
        <v>0</v>
      </c>
      <c r="DM119" s="167">
        <f t="shared" si="327"/>
        <v>0</v>
      </c>
      <c r="DN119" s="167">
        <f t="shared" si="392"/>
        <v>0</v>
      </c>
      <c r="DO119" s="170">
        <f t="shared" si="328"/>
        <v>0</v>
      </c>
      <c r="DP119" s="167">
        <f t="shared" si="329"/>
        <v>0</v>
      </c>
      <c r="DQ119" s="171">
        <f t="shared" si="330"/>
        <v>0</v>
      </c>
      <c r="DR119" s="169">
        <f t="shared" si="401"/>
        <v>0</v>
      </c>
      <c r="DS119" s="167">
        <f t="shared" si="393"/>
        <v>0</v>
      </c>
      <c r="DT119" s="167">
        <f t="shared" si="331"/>
        <v>0</v>
      </c>
      <c r="DU119" s="167">
        <f t="shared" si="394"/>
        <v>0</v>
      </c>
      <c r="DV119" s="167">
        <f t="shared" si="332"/>
        <v>0</v>
      </c>
      <c r="DW119" s="167">
        <f t="shared" si="395"/>
        <v>0</v>
      </c>
      <c r="DX119" s="167">
        <f t="shared" si="333"/>
        <v>0</v>
      </c>
      <c r="DY119" s="167">
        <f t="shared" si="396"/>
        <v>0</v>
      </c>
      <c r="DZ119" s="167">
        <f t="shared" si="334"/>
        <v>0</v>
      </c>
      <c r="EA119" s="167">
        <f t="shared" si="397"/>
        <v>0</v>
      </c>
      <c r="EB119" s="170">
        <f t="shared" si="335"/>
        <v>0</v>
      </c>
      <c r="EC119" s="167">
        <f t="shared" si="336"/>
        <v>0</v>
      </c>
      <c r="ED119" s="171">
        <f t="shared" si="337"/>
        <v>0</v>
      </c>
    </row>
    <row r="120" spans="1:134" x14ac:dyDescent="0.3">
      <c r="A120" s="185"/>
      <c r="B120" s="186"/>
      <c r="C120" s="187"/>
      <c r="D120" s="188"/>
      <c r="E120" s="189"/>
      <c r="F120" s="190"/>
      <c r="G120" s="191"/>
      <c r="H120" s="192"/>
      <c r="I120" s="193"/>
      <c r="J120" s="194"/>
      <c r="K120" s="165">
        <f t="shared" si="338"/>
        <v>0</v>
      </c>
      <c r="L120" s="166">
        <f t="shared" si="339"/>
        <v>0</v>
      </c>
      <c r="M120" s="167">
        <f t="shared" si="340"/>
        <v>0</v>
      </c>
      <c r="N120" s="167"/>
      <c r="O120" s="167">
        <f t="shared" si="341"/>
        <v>0</v>
      </c>
      <c r="P120" s="168"/>
      <c r="Q120" s="167">
        <f t="shared" si="342"/>
        <v>0</v>
      </c>
      <c r="R120" s="169">
        <f t="shared" si="343"/>
        <v>0</v>
      </c>
      <c r="S120" s="167">
        <f t="shared" si="344"/>
        <v>0</v>
      </c>
      <c r="T120" s="167">
        <f t="shared" si="345"/>
        <v>0</v>
      </c>
      <c r="U120" s="167">
        <f t="shared" si="346"/>
        <v>0</v>
      </c>
      <c r="V120" s="167">
        <f t="shared" si="347"/>
        <v>0</v>
      </c>
      <c r="W120" s="167">
        <f t="shared" si="348"/>
        <v>0</v>
      </c>
      <c r="X120" s="167">
        <f t="shared" si="349"/>
        <v>0</v>
      </c>
      <c r="Y120" s="167">
        <f t="shared" si="350"/>
        <v>0</v>
      </c>
      <c r="Z120" s="167">
        <f t="shared" si="351"/>
        <v>0</v>
      </c>
      <c r="AA120" s="167">
        <f t="shared" si="352"/>
        <v>0</v>
      </c>
      <c r="AB120" s="170">
        <f t="shared" si="353"/>
        <v>0</v>
      </c>
      <c r="AC120" s="167">
        <f t="shared" si="354"/>
        <v>0</v>
      </c>
      <c r="AD120" s="171">
        <f t="shared" si="355"/>
        <v>0</v>
      </c>
      <c r="AE120" s="169">
        <f t="shared" si="400"/>
        <v>0</v>
      </c>
      <c r="AF120" s="167">
        <f t="shared" si="357"/>
        <v>0</v>
      </c>
      <c r="AG120" s="167">
        <f t="shared" si="281"/>
        <v>0</v>
      </c>
      <c r="AH120" s="167">
        <f t="shared" si="358"/>
        <v>0</v>
      </c>
      <c r="AI120" s="167">
        <f t="shared" si="282"/>
        <v>0</v>
      </c>
      <c r="AJ120" s="167">
        <f t="shared" si="359"/>
        <v>0</v>
      </c>
      <c r="AK120" s="167">
        <f t="shared" si="283"/>
        <v>0</v>
      </c>
      <c r="AL120" s="167">
        <f t="shared" si="360"/>
        <v>0</v>
      </c>
      <c r="AM120" s="167">
        <f t="shared" si="284"/>
        <v>0</v>
      </c>
      <c r="AN120" s="167">
        <f t="shared" si="361"/>
        <v>0</v>
      </c>
      <c r="AO120" s="170">
        <f t="shared" si="285"/>
        <v>0</v>
      </c>
      <c r="AP120" s="167">
        <f t="shared" si="286"/>
        <v>0</v>
      </c>
      <c r="AQ120" s="171">
        <f t="shared" si="287"/>
        <v>0</v>
      </c>
      <c r="AR120" s="169">
        <f t="shared" si="400"/>
        <v>0</v>
      </c>
      <c r="AS120" s="167">
        <f t="shared" si="362"/>
        <v>0</v>
      </c>
      <c r="AT120" s="167">
        <f t="shared" si="288"/>
        <v>0</v>
      </c>
      <c r="AU120" s="167">
        <f t="shared" si="363"/>
        <v>0</v>
      </c>
      <c r="AV120" s="167">
        <f t="shared" si="289"/>
        <v>0</v>
      </c>
      <c r="AW120" s="167">
        <f t="shared" si="364"/>
        <v>0</v>
      </c>
      <c r="AX120" s="167">
        <f t="shared" si="290"/>
        <v>0</v>
      </c>
      <c r="AY120" s="167">
        <f t="shared" si="365"/>
        <v>0</v>
      </c>
      <c r="AZ120" s="167">
        <f t="shared" si="291"/>
        <v>0</v>
      </c>
      <c r="BA120" s="167">
        <f t="shared" si="366"/>
        <v>0</v>
      </c>
      <c r="BB120" s="170">
        <f t="shared" si="292"/>
        <v>0</v>
      </c>
      <c r="BC120" s="167">
        <f t="shared" si="293"/>
        <v>0</v>
      </c>
      <c r="BD120" s="171">
        <f t="shared" si="294"/>
        <v>0</v>
      </c>
      <c r="BE120" s="169">
        <f t="shared" si="400"/>
        <v>0</v>
      </c>
      <c r="BF120" s="167">
        <f t="shared" si="367"/>
        <v>0</v>
      </c>
      <c r="BG120" s="167">
        <f t="shared" si="295"/>
        <v>0</v>
      </c>
      <c r="BH120" s="167">
        <f t="shared" si="368"/>
        <v>0</v>
      </c>
      <c r="BI120" s="167">
        <f t="shared" si="296"/>
        <v>0</v>
      </c>
      <c r="BJ120" s="167">
        <f t="shared" si="369"/>
        <v>0</v>
      </c>
      <c r="BK120" s="167">
        <f t="shared" si="297"/>
        <v>0</v>
      </c>
      <c r="BL120" s="167">
        <f t="shared" si="370"/>
        <v>0</v>
      </c>
      <c r="BM120" s="167">
        <f t="shared" si="298"/>
        <v>0</v>
      </c>
      <c r="BN120" s="167">
        <f t="shared" si="371"/>
        <v>0</v>
      </c>
      <c r="BO120" s="170">
        <f t="shared" si="299"/>
        <v>0</v>
      </c>
      <c r="BP120" s="167">
        <f t="shared" si="300"/>
        <v>0</v>
      </c>
      <c r="BQ120" s="171">
        <f t="shared" si="301"/>
        <v>0</v>
      </c>
      <c r="BR120" s="169">
        <f t="shared" si="400"/>
        <v>0</v>
      </c>
      <c r="BS120" s="167">
        <f t="shared" si="372"/>
        <v>0</v>
      </c>
      <c r="BT120" s="167">
        <f t="shared" si="302"/>
        <v>0</v>
      </c>
      <c r="BU120" s="167">
        <f t="shared" si="373"/>
        <v>0</v>
      </c>
      <c r="BV120" s="167">
        <f t="shared" si="303"/>
        <v>0</v>
      </c>
      <c r="BW120" s="167">
        <f t="shared" si="374"/>
        <v>0</v>
      </c>
      <c r="BX120" s="167">
        <f t="shared" si="304"/>
        <v>0</v>
      </c>
      <c r="BY120" s="167">
        <f t="shared" si="375"/>
        <v>0</v>
      </c>
      <c r="BZ120" s="167">
        <f t="shared" si="305"/>
        <v>0</v>
      </c>
      <c r="CA120" s="167">
        <f t="shared" si="376"/>
        <v>0</v>
      </c>
      <c r="CB120" s="170">
        <f t="shared" si="306"/>
        <v>0</v>
      </c>
      <c r="CC120" s="167">
        <f t="shared" si="307"/>
        <v>0</v>
      </c>
      <c r="CD120" s="171">
        <f t="shared" si="308"/>
        <v>0</v>
      </c>
      <c r="CE120" s="169">
        <f t="shared" si="400"/>
        <v>0</v>
      </c>
      <c r="CF120" s="167">
        <f t="shared" si="377"/>
        <v>0</v>
      </c>
      <c r="CG120" s="167">
        <f t="shared" si="309"/>
        <v>0</v>
      </c>
      <c r="CH120" s="167">
        <f t="shared" si="378"/>
        <v>0</v>
      </c>
      <c r="CI120" s="167">
        <f t="shared" si="310"/>
        <v>0</v>
      </c>
      <c r="CJ120" s="167">
        <f t="shared" si="379"/>
        <v>0</v>
      </c>
      <c r="CK120" s="167">
        <f t="shared" si="311"/>
        <v>0</v>
      </c>
      <c r="CL120" s="167">
        <f t="shared" si="380"/>
        <v>0</v>
      </c>
      <c r="CM120" s="167">
        <f t="shared" si="312"/>
        <v>0</v>
      </c>
      <c r="CN120" s="167">
        <f t="shared" si="381"/>
        <v>0</v>
      </c>
      <c r="CO120" s="170">
        <f t="shared" si="313"/>
        <v>0</v>
      </c>
      <c r="CP120" s="167">
        <f t="shared" si="314"/>
        <v>0</v>
      </c>
      <c r="CQ120" s="171">
        <f t="shared" si="315"/>
        <v>0</v>
      </c>
      <c r="CR120" s="169">
        <f t="shared" si="401"/>
        <v>0</v>
      </c>
      <c r="CS120" s="167">
        <f t="shared" si="383"/>
        <v>0</v>
      </c>
      <c r="CT120" s="167">
        <f t="shared" si="317"/>
        <v>0</v>
      </c>
      <c r="CU120" s="167">
        <f t="shared" si="384"/>
        <v>0</v>
      </c>
      <c r="CV120" s="167">
        <f t="shared" si="318"/>
        <v>0</v>
      </c>
      <c r="CW120" s="167">
        <f t="shared" si="385"/>
        <v>0</v>
      </c>
      <c r="CX120" s="167">
        <f t="shared" si="319"/>
        <v>0</v>
      </c>
      <c r="CY120" s="167">
        <f t="shared" si="386"/>
        <v>0</v>
      </c>
      <c r="CZ120" s="167">
        <f t="shared" si="320"/>
        <v>0</v>
      </c>
      <c r="DA120" s="167">
        <f t="shared" si="387"/>
        <v>0</v>
      </c>
      <c r="DB120" s="170">
        <f t="shared" si="321"/>
        <v>0</v>
      </c>
      <c r="DC120" s="167">
        <f t="shared" si="322"/>
        <v>0</v>
      </c>
      <c r="DD120" s="171">
        <f t="shared" si="323"/>
        <v>0</v>
      </c>
      <c r="DE120" s="169">
        <f t="shared" si="401"/>
        <v>0</v>
      </c>
      <c r="DF120" s="167">
        <f t="shared" si="388"/>
        <v>0</v>
      </c>
      <c r="DG120" s="167">
        <f t="shared" si="324"/>
        <v>0</v>
      </c>
      <c r="DH120" s="167">
        <f t="shared" si="389"/>
        <v>0</v>
      </c>
      <c r="DI120" s="167">
        <f t="shared" si="325"/>
        <v>0</v>
      </c>
      <c r="DJ120" s="167">
        <f t="shared" si="390"/>
        <v>0</v>
      </c>
      <c r="DK120" s="167">
        <f t="shared" si="326"/>
        <v>0</v>
      </c>
      <c r="DL120" s="167">
        <f t="shared" si="391"/>
        <v>0</v>
      </c>
      <c r="DM120" s="167">
        <f t="shared" si="327"/>
        <v>0</v>
      </c>
      <c r="DN120" s="167">
        <f t="shared" si="392"/>
        <v>0</v>
      </c>
      <c r="DO120" s="170">
        <f t="shared" si="328"/>
        <v>0</v>
      </c>
      <c r="DP120" s="167">
        <f t="shared" si="329"/>
        <v>0</v>
      </c>
      <c r="DQ120" s="171">
        <f t="shared" si="330"/>
        <v>0</v>
      </c>
      <c r="DR120" s="169">
        <f t="shared" si="401"/>
        <v>0</v>
      </c>
      <c r="DS120" s="167">
        <f t="shared" si="393"/>
        <v>0</v>
      </c>
      <c r="DT120" s="167">
        <f t="shared" si="331"/>
        <v>0</v>
      </c>
      <c r="DU120" s="167">
        <f t="shared" si="394"/>
        <v>0</v>
      </c>
      <c r="DV120" s="167">
        <f t="shared" si="332"/>
        <v>0</v>
      </c>
      <c r="DW120" s="167">
        <f t="shared" si="395"/>
        <v>0</v>
      </c>
      <c r="DX120" s="167">
        <f t="shared" si="333"/>
        <v>0</v>
      </c>
      <c r="DY120" s="167">
        <f t="shared" si="396"/>
        <v>0</v>
      </c>
      <c r="DZ120" s="167">
        <f t="shared" si="334"/>
        <v>0</v>
      </c>
      <c r="EA120" s="167">
        <f t="shared" si="397"/>
        <v>0</v>
      </c>
      <c r="EB120" s="170">
        <f t="shared" si="335"/>
        <v>0</v>
      </c>
      <c r="EC120" s="167">
        <f t="shared" si="336"/>
        <v>0</v>
      </c>
      <c r="ED120" s="171">
        <f t="shared" si="337"/>
        <v>0</v>
      </c>
    </row>
    <row r="121" spans="1:134" x14ac:dyDescent="0.3">
      <c r="A121" s="185"/>
      <c r="B121" s="186"/>
      <c r="C121" s="187"/>
      <c r="D121" s="188"/>
      <c r="E121" s="189"/>
      <c r="F121" s="190"/>
      <c r="G121" s="191"/>
      <c r="H121" s="192"/>
      <c r="I121" s="193"/>
      <c r="J121" s="194"/>
      <c r="K121" s="165">
        <f t="shared" si="338"/>
        <v>0</v>
      </c>
      <c r="L121" s="166">
        <f t="shared" si="339"/>
        <v>0</v>
      </c>
      <c r="M121" s="167">
        <f t="shared" si="340"/>
        <v>0</v>
      </c>
      <c r="N121" s="167"/>
      <c r="O121" s="167">
        <f t="shared" si="341"/>
        <v>0</v>
      </c>
      <c r="P121" s="168"/>
      <c r="Q121" s="167">
        <f t="shared" si="342"/>
        <v>0</v>
      </c>
      <c r="R121" s="169">
        <f t="shared" si="343"/>
        <v>0</v>
      </c>
      <c r="S121" s="167">
        <f t="shared" si="344"/>
        <v>0</v>
      </c>
      <c r="T121" s="167">
        <f t="shared" si="345"/>
        <v>0</v>
      </c>
      <c r="U121" s="167">
        <f t="shared" si="346"/>
        <v>0</v>
      </c>
      <c r="V121" s="167">
        <f t="shared" si="347"/>
        <v>0</v>
      </c>
      <c r="W121" s="167">
        <f t="shared" si="348"/>
        <v>0</v>
      </c>
      <c r="X121" s="167">
        <f t="shared" si="349"/>
        <v>0</v>
      </c>
      <c r="Y121" s="167">
        <f t="shared" si="350"/>
        <v>0</v>
      </c>
      <c r="Z121" s="167">
        <f t="shared" si="351"/>
        <v>0</v>
      </c>
      <c r="AA121" s="167">
        <f t="shared" si="352"/>
        <v>0</v>
      </c>
      <c r="AB121" s="170">
        <f t="shared" si="353"/>
        <v>0</v>
      </c>
      <c r="AC121" s="167">
        <f t="shared" si="354"/>
        <v>0</v>
      </c>
      <c r="AD121" s="171">
        <f t="shared" si="355"/>
        <v>0</v>
      </c>
      <c r="AE121" s="169">
        <f t="shared" si="400"/>
        <v>0</v>
      </c>
      <c r="AF121" s="167">
        <f t="shared" si="357"/>
        <v>0</v>
      </c>
      <c r="AG121" s="167">
        <f t="shared" si="281"/>
        <v>0</v>
      </c>
      <c r="AH121" s="167">
        <f t="shared" si="358"/>
        <v>0</v>
      </c>
      <c r="AI121" s="167">
        <f t="shared" si="282"/>
        <v>0</v>
      </c>
      <c r="AJ121" s="167">
        <f t="shared" si="359"/>
        <v>0</v>
      </c>
      <c r="AK121" s="167">
        <f t="shared" si="283"/>
        <v>0</v>
      </c>
      <c r="AL121" s="167">
        <f t="shared" si="360"/>
        <v>0</v>
      </c>
      <c r="AM121" s="167">
        <f t="shared" si="284"/>
        <v>0</v>
      </c>
      <c r="AN121" s="167">
        <f t="shared" si="361"/>
        <v>0</v>
      </c>
      <c r="AO121" s="170">
        <f t="shared" si="285"/>
        <v>0</v>
      </c>
      <c r="AP121" s="167">
        <f t="shared" si="286"/>
        <v>0</v>
      </c>
      <c r="AQ121" s="171">
        <f t="shared" si="287"/>
        <v>0</v>
      </c>
      <c r="AR121" s="169">
        <f t="shared" si="400"/>
        <v>0</v>
      </c>
      <c r="AS121" s="167">
        <f t="shared" si="362"/>
        <v>0</v>
      </c>
      <c r="AT121" s="167">
        <f t="shared" si="288"/>
        <v>0</v>
      </c>
      <c r="AU121" s="167">
        <f t="shared" si="363"/>
        <v>0</v>
      </c>
      <c r="AV121" s="167">
        <f t="shared" si="289"/>
        <v>0</v>
      </c>
      <c r="AW121" s="167">
        <f t="shared" si="364"/>
        <v>0</v>
      </c>
      <c r="AX121" s="167">
        <f t="shared" si="290"/>
        <v>0</v>
      </c>
      <c r="AY121" s="167">
        <f t="shared" si="365"/>
        <v>0</v>
      </c>
      <c r="AZ121" s="167">
        <f t="shared" si="291"/>
        <v>0</v>
      </c>
      <c r="BA121" s="167">
        <f t="shared" si="366"/>
        <v>0</v>
      </c>
      <c r="BB121" s="170">
        <f t="shared" si="292"/>
        <v>0</v>
      </c>
      <c r="BC121" s="167">
        <f t="shared" si="293"/>
        <v>0</v>
      </c>
      <c r="BD121" s="171">
        <f t="shared" si="294"/>
        <v>0</v>
      </c>
      <c r="BE121" s="169">
        <f t="shared" si="400"/>
        <v>0</v>
      </c>
      <c r="BF121" s="167">
        <f t="shared" si="367"/>
        <v>0</v>
      </c>
      <c r="BG121" s="167">
        <f t="shared" si="295"/>
        <v>0</v>
      </c>
      <c r="BH121" s="167">
        <f t="shared" si="368"/>
        <v>0</v>
      </c>
      <c r="BI121" s="167">
        <f t="shared" si="296"/>
        <v>0</v>
      </c>
      <c r="BJ121" s="167">
        <f t="shared" si="369"/>
        <v>0</v>
      </c>
      <c r="BK121" s="167">
        <f t="shared" si="297"/>
        <v>0</v>
      </c>
      <c r="BL121" s="167">
        <f t="shared" si="370"/>
        <v>0</v>
      </c>
      <c r="BM121" s="167">
        <f t="shared" si="298"/>
        <v>0</v>
      </c>
      <c r="BN121" s="167">
        <f t="shared" si="371"/>
        <v>0</v>
      </c>
      <c r="BO121" s="170">
        <f t="shared" si="299"/>
        <v>0</v>
      </c>
      <c r="BP121" s="167">
        <f t="shared" si="300"/>
        <v>0</v>
      </c>
      <c r="BQ121" s="171">
        <f t="shared" si="301"/>
        <v>0</v>
      </c>
      <c r="BR121" s="169">
        <f t="shared" si="400"/>
        <v>0</v>
      </c>
      <c r="BS121" s="167">
        <f t="shared" si="372"/>
        <v>0</v>
      </c>
      <c r="BT121" s="167">
        <f t="shared" si="302"/>
        <v>0</v>
      </c>
      <c r="BU121" s="167">
        <f t="shared" si="373"/>
        <v>0</v>
      </c>
      <c r="BV121" s="167">
        <f t="shared" si="303"/>
        <v>0</v>
      </c>
      <c r="BW121" s="167">
        <f t="shared" si="374"/>
        <v>0</v>
      </c>
      <c r="BX121" s="167">
        <f t="shared" si="304"/>
        <v>0</v>
      </c>
      <c r="BY121" s="167">
        <f t="shared" si="375"/>
        <v>0</v>
      </c>
      <c r="BZ121" s="167">
        <f t="shared" si="305"/>
        <v>0</v>
      </c>
      <c r="CA121" s="167">
        <f t="shared" si="376"/>
        <v>0</v>
      </c>
      <c r="CB121" s="170">
        <f t="shared" si="306"/>
        <v>0</v>
      </c>
      <c r="CC121" s="167">
        <f t="shared" si="307"/>
        <v>0</v>
      </c>
      <c r="CD121" s="171">
        <f t="shared" si="308"/>
        <v>0</v>
      </c>
      <c r="CE121" s="169">
        <f t="shared" si="400"/>
        <v>0</v>
      </c>
      <c r="CF121" s="167">
        <f t="shared" si="377"/>
        <v>0</v>
      </c>
      <c r="CG121" s="167">
        <f t="shared" si="309"/>
        <v>0</v>
      </c>
      <c r="CH121" s="167">
        <f t="shared" si="378"/>
        <v>0</v>
      </c>
      <c r="CI121" s="167">
        <f t="shared" si="310"/>
        <v>0</v>
      </c>
      <c r="CJ121" s="167">
        <f t="shared" si="379"/>
        <v>0</v>
      </c>
      <c r="CK121" s="167">
        <f t="shared" si="311"/>
        <v>0</v>
      </c>
      <c r="CL121" s="167">
        <f t="shared" si="380"/>
        <v>0</v>
      </c>
      <c r="CM121" s="167">
        <f t="shared" si="312"/>
        <v>0</v>
      </c>
      <c r="CN121" s="167">
        <f t="shared" si="381"/>
        <v>0</v>
      </c>
      <c r="CO121" s="170">
        <f t="shared" si="313"/>
        <v>0</v>
      </c>
      <c r="CP121" s="167">
        <f t="shared" si="314"/>
        <v>0</v>
      </c>
      <c r="CQ121" s="171">
        <f t="shared" si="315"/>
        <v>0</v>
      </c>
      <c r="CR121" s="169">
        <f t="shared" si="401"/>
        <v>0</v>
      </c>
      <c r="CS121" s="167">
        <f t="shared" si="383"/>
        <v>0</v>
      </c>
      <c r="CT121" s="167">
        <f t="shared" si="317"/>
        <v>0</v>
      </c>
      <c r="CU121" s="167">
        <f t="shared" si="384"/>
        <v>0</v>
      </c>
      <c r="CV121" s="167">
        <f t="shared" si="318"/>
        <v>0</v>
      </c>
      <c r="CW121" s="167">
        <f t="shared" si="385"/>
        <v>0</v>
      </c>
      <c r="CX121" s="167">
        <f t="shared" si="319"/>
        <v>0</v>
      </c>
      <c r="CY121" s="167">
        <f t="shared" si="386"/>
        <v>0</v>
      </c>
      <c r="CZ121" s="167">
        <f t="shared" si="320"/>
        <v>0</v>
      </c>
      <c r="DA121" s="167">
        <f t="shared" si="387"/>
        <v>0</v>
      </c>
      <c r="DB121" s="170">
        <f t="shared" si="321"/>
        <v>0</v>
      </c>
      <c r="DC121" s="167">
        <f t="shared" si="322"/>
        <v>0</v>
      </c>
      <c r="DD121" s="171">
        <f t="shared" si="323"/>
        <v>0</v>
      </c>
      <c r="DE121" s="169">
        <f t="shared" si="401"/>
        <v>0</v>
      </c>
      <c r="DF121" s="167">
        <f t="shared" si="388"/>
        <v>0</v>
      </c>
      <c r="DG121" s="167">
        <f t="shared" si="324"/>
        <v>0</v>
      </c>
      <c r="DH121" s="167">
        <f t="shared" si="389"/>
        <v>0</v>
      </c>
      <c r="DI121" s="167">
        <f t="shared" si="325"/>
        <v>0</v>
      </c>
      <c r="DJ121" s="167">
        <f t="shared" si="390"/>
        <v>0</v>
      </c>
      <c r="DK121" s="167">
        <f t="shared" si="326"/>
        <v>0</v>
      </c>
      <c r="DL121" s="167">
        <f t="shared" si="391"/>
        <v>0</v>
      </c>
      <c r="DM121" s="167">
        <f t="shared" si="327"/>
        <v>0</v>
      </c>
      <c r="DN121" s="167">
        <f t="shared" si="392"/>
        <v>0</v>
      </c>
      <c r="DO121" s="170">
        <f t="shared" si="328"/>
        <v>0</v>
      </c>
      <c r="DP121" s="167">
        <f t="shared" si="329"/>
        <v>0</v>
      </c>
      <c r="DQ121" s="171">
        <f t="shared" si="330"/>
        <v>0</v>
      </c>
      <c r="DR121" s="169">
        <f t="shared" si="401"/>
        <v>0</v>
      </c>
      <c r="DS121" s="167">
        <f t="shared" si="393"/>
        <v>0</v>
      </c>
      <c r="DT121" s="167">
        <f t="shared" si="331"/>
        <v>0</v>
      </c>
      <c r="DU121" s="167">
        <f t="shared" si="394"/>
        <v>0</v>
      </c>
      <c r="DV121" s="167">
        <f t="shared" si="332"/>
        <v>0</v>
      </c>
      <c r="DW121" s="167">
        <f t="shared" si="395"/>
        <v>0</v>
      </c>
      <c r="DX121" s="167">
        <f t="shared" si="333"/>
        <v>0</v>
      </c>
      <c r="DY121" s="167">
        <f t="shared" si="396"/>
        <v>0</v>
      </c>
      <c r="DZ121" s="167">
        <f t="shared" si="334"/>
        <v>0</v>
      </c>
      <c r="EA121" s="167">
        <f t="shared" si="397"/>
        <v>0</v>
      </c>
      <c r="EB121" s="170">
        <f t="shared" si="335"/>
        <v>0</v>
      </c>
      <c r="EC121" s="167">
        <f t="shared" si="336"/>
        <v>0</v>
      </c>
      <c r="ED121" s="171">
        <f t="shared" si="337"/>
        <v>0</v>
      </c>
    </row>
    <row r="122" spans="1:134" x14ac:dyDescent="0.3">
      <c r="A122" s="185"/>
      <c r="B122" s="186"/>
      <c r="C122" s="187"/>
      <c r="D122" s="188"/>
      <c r="E122" s="189"/>
      <c r="F122" s="190"/>
      <c r="G122" s="191"/>
      <c r="H122" s="192"/>
      <c r="I122" s="193"/>
      <c r="J122" s="194"/>
      <c r="K122" s="165">
        <f t="shared" si="338"/>
        <v>0</v>
      </c>
      <c r="L122" s="166">
        <f t="shared" si="339"/>
        <v>0</v>
      </c>
      <c r="M122" s="167">
        <f t="shared" si="340"/>
        <v>0</v>
      </c>
      <c r="N122" s="167"/>
      <c r="O122" s="167">
        <f t="shared" si="341"/>
        <v>0</v>
      </c>
      <c r="P122" s="168"/>
      <c r="Q122" s="167">
        <f t="shared" si="342"/>
        <v>0</v>
      </c>
      <c r="R122" s="169">
        <f t="shared" si="343"/>
        <v>0</v>
      </c>
      <c r="S122" s="167">
        <f t="shared" si="344"/>
        <v>0</v>
      </c>
      <c r="T122" s="167">
        <f t="shared" si="345"/>
        <v>0</v>
      </c>
      <c r="U122" s="167">
        <f t="shared" si="346"/>
        <v>0</v>
      </c>
      <c r="V122" s="167">
        <f t="shared" si="347"/>
        <v>0</v>
      </c>
      <c r="W122" s="167">
        <f t="shared" si="348"/>
        <v>0</v>
      </c>
      <c r="X122" s="167">
        <f t="shared" si="349"/>
        <v>0</v>
      </c>
      <c r="Y122" s="167">
        <f t="shared" si="350"/>
        <v>0</v>
      </c>
      <c r="Z122" s="167">
        <f t="shared" si="351"/>
        <v>0</v>
      </c>
      <c r="AA122" s="167">
        <f t="shared" si="352"/>
        <v>0</v>
      </c>
      <c r="AB122" s="170">
        <f t="shared" si="353"/>
        <v>0</v>
      </c>
      <c r="AC122" s="167">
        <f t="shared" si="354"/>
        <v>0</v>
      </c>
      <c r="AD122" s="171">
        <f t="shared" si="355"/>
        <v>0</v>
      </c>
      <c r="AE122" s="169">
        <f t="shared" si="400"/>
        <v>0</v>
      </c>
      <c r="AF122" s="167">
        <f t="shared" si="357"/>
        <v>0</v>
      </c>
      <c r="AG122" s="167">
        <f t="shared" si="281"/>
        <v>0</v>
      </c>
      <c r="AH122" s="167">
        <f t="shared" si="358"/>
        <v>0</v>
      </c>
      <c r="AI122" s="167">
        <f t="shared" si="282"/>
        <v>0</v>
      </c>
      <c r="AJ122" s="167">
        <f t="shared" si="359"/>
        <v>0</v>
      </c>
      <c r="AK122" s="167">
        <f t="shared" si="283"/>
        <v>0</v>
      </c>
      <c r="AL122" s="167">
        <f t="shared" si="360"/>
        <v>0</v>
      </c>
      <c r="AM122" s="167">
        <f t="shared" si="284"/>
        <v>0</v>
      </c>
      <c r="AN122" s="167">
        <f t="shared" si="361"/>
        <v>0</v>
      </c>
      <c r="AO122" s="170">
        <f t="shared" si="285"/>
        <v>0</v>
      </c>
      <c r="AP122" s="167">
        <f t="shared" si="286"/>
        <v>0</v>
      </c>
      <c r="AQ122" s="171">
        <f t="shared" si="287"/>
        <v>0</v>
      </c>
      <c r="AR122" s="169">
        <f t="shared" si="400"/>
        <v>0</v>
      </c>
      <c r="AS122" s="167">
        <f t="shared" si="362"/>
        <v>0</v>
      </c>
      <c r="AT122" s="167">
        <f t="shared" si="288"/>
        <v>0</v>
      </c>
      <c r="AU122" s="167">
        <f t="shared" si="363"/>
        <v>0</v>
      </c>
      <c r="AV122" s="167">
        <f t="shared" si="289"/>
        <v>0</v>
      </c>
      <c r="AW122" s="167">
        <f t="shared" si="364"/>
        <v>0</v>
      </c>
      <c r="AX122" s="167">
        <f t="shared" si="290"/>
        <v>0</v>
      </c>
      <c r="AY122" s="167">
        <f t="shared" si="365"/>
        <v>0</v>
      </c>
      <c r="AZ122" s="167">
        <f t="shared" si="291"/>
        <v>0</v>
      </c>
      <c r="BA122" s="167">
        <f t="shared" si="366"/>
        <v>0</v>
      </c>
      <c r="BB122" s="170">
        <f t="shared" si="292"/>
        <v>0</v>
      </c>
      <c r="BC122" s="167">
        <f t="shared" si="293"/>
        <v>0</v>
      </c>
      <c r="BD122" s="171">
        <f t="shared" si="294"/>
        <v>0</v>
      </c>
      <c r="BE122" s="169">
        <f t="shared" si="400"/>
        <v>0</v>
      </c>
      <c r="BF122" s="167">
        <f t="shared" si="367"/>
        <v>0</v>
      </c>
      <c r="BG122" s="167">
        <f t="shared" si="295"/>
        <v>0</v>
      </c>
      <c r="BH122" s="167">
        <f t="shared" si="368"/>
        <v>0</v>
      </c>
      <c r="BI122" s="167">
        <f t="shared" si="296"/>
        <v>0</v>
      </c>
      <c r="BJ122" s="167">
        <f t="shared" si="369"/>
        <v>0</v>
      </c>
      <c r="BK122" s="167">
        <f t="shared" si="297"/>
        <v>0</v>
      </c>
      <c r="BL122" s="167">
        <f t="shared" si="370"/>
        <v>0</v>
      </c>
      <c r="BM122" s="167">
        <f t="shared" si="298"/>
        <v>0</v>
      </c>
      <c r="BN122" s="167">
        <f t="shared" si="371"/>
        <v>0</v>
      </c>
      <c r="BO122" s="170">
        <f t="shared" si="299"/>
        <v>0</v>
      </c>
      <c r="BP122" s="167">
        <f t="shared" si="300"/>
        <v>0</v>
      </c>
      <c r="BQ122" s="171">
        <f t="shared" si="301"/>
        <v>0</v>
      </c>
      <c r="BR122" s="169">
        <f t="shared" si="400"/>
        <v>0</v>
      </c>
      <c r="BS122" s="167">
        <f t="shared" si="372"/>
        <v>0</v>
      </c>
      <c r="BT122" s="167">
        <f t="shared" si="302"/>
        <v>0</v>
      </c>
      <c r="BU122" s="167">
        <f t="shared" si="373"/>
        <v>0</v>
      </c>
      <c r="BV122" s="167">
        <f t="shared" si="303"/>
        <v>0</v>
      </c>
      <c r="BW122" s="167">
        <f t="shared" si="374"/>
        <v>0</v>
      </c>
      <c r="BX122" s="167">
        <f t="shared" si="304"/>
        <v>0</v>
      </c>
      <c r="BY122" s="167">
        <f t="shared" si="375"/>
        <v>0</v>
      </c>
      <c r="BZ122" s="167">
        <f t="shared" si="305"/>
        <v>0</v>
      </c>
      <c r="CA122" s="167">
        <f t="shared" si="376"/>
        <v>0</v>
      </c>
      <c r="CB122" s="170">
        <f t="shared" si="306"/>
        <v>0</v>
      </c>
      <c r="CC122" s="167">
        <f t="shared" si="307"/>
        <v>0</v>
      </c>
      <c r="CD122" s="171">
        <f t="shared" si="308"/>
        <v>0</v>
      </c>
      <c r="CE122" s="169">
        <f t="shared" si="400"/>
        <v>0</v>
      </c>
      <c r="CF122" s="167">
        <f t="shared" si="377"/>
        <v>0</v>
      </c>
      <c r="CG122" s="167">
        <f t="shared" si="309"/>
        <v>0</v>
      </c>
      <c r="CH122" s="167">
        <f t="shared" si="378"/>
        <v>0</v>
      </c>
      <c r="CI122" s="167">
        <f t="shared" si="310"/>
        <v>0</v>
      </c>
      <c r="CJ122" s="167">
        <f t="shared" si="379"/>
        <v>0</v>
      </c>
      <c r="CK122" s="167">
        <f t="shared" si="311"/>
        <v>0</v>
      </c>
      <c r="CL122" s="167">
        <f t="shared" si="380"/>
        <v>0</v>
      </c>
      <c r="CM122" s="167">
        <f t="shared" si="312"/>
        <v>0</v>
      </c>
      <c r="CN122" s="167">
        <f t="shared" si="381"/>
        <v>0</v>
      </c>
      <c r="CO122" s="170">
        <f t="shared" si="313"/>
        <v>0</v>
      </c>
      <c r="CP122" s="167">
        <f t="shared" si="314"/>
        <v>0</v>
      </c>
      <c r="CQ122" s="171">
        <f t="shared" si="315"/>
        <v>0</v>
      </c>
      <c r="CR122" s="169">
        <f t="shared" si="401"/>
        <v>0</v>
      </c>
      <c r="CS122" s="167">
        <f t="shared" si="383"/>
        <v>0</v>
      </c>
      <c r="CT122" s="167">
        <f t="shared" si="317"/>
        <v>0</v>
      </c>
      <c r="CU122" s="167">
        <f t="shared" si="384"/>
        <v>0</v>
      </c>
      <c r="CV122" s="167">
        <f t="shared" si="318"/>
        <v>0</v>
      </c>
      <c r="CW122" s="167">
        <f t="shared" si="385"/>
        <v>0</v>
      </c>
      <c r="CX122" s="167">
        <f t="shared" si="319"/>
        <v>0</v>
      </c>
      <c r="CY122" s="167">
        <f t="shared" si="386"/>
        <v>0</v>
      </c>
      <c r="CZ122" s="167">
        <f t="shared" si="320"/>
        <v>0</v>
      </c>
      <c r="DA122" s="167">
        <f t="shared" si="387"/>
        <v>0</v>
      </c>
      <c r="DB122" s="170">
        <f t="shared" si="321"/>
        <v>0</v>
      </c>
      <c r="DC122" s="167">
        <f t="shared" si="322"/>
        <v>0</v>
      </c>
      <c r="DD122" s="171">
        <f t="shared" si="323"/>
        <v>0</v>
      </c>
      <c r="DE122" s="169">
        <f t="shared" si="401"/>
        <v>0</v>
      </c>
      <c r="DF122" s="167">
        <f t="shared" si="388"/>
        <v>0</v>
      </c>
      <c r="DG122" s="167">
        <f t="shared" si="324"/>
        <v>0</v>
      </c>
      <c r="DH122" s="167">
        <f t="shared" si="389"/>
        <v>0</v>
      </c>
      <c r="DI122" s="167">
        <f t="shared" si="325"/>
        <v>0</v>
      </c>
      <c r="DJ122" s="167">
        <f t="shared" si="390"/>
        <v>0</v>
      </c>
      <c r="DK122" s="167">
        <f t="shared" si="326"/>
        <v>0</v>
      </c>
      <c r="DL122" s="167">
        <f t="shared" si="391"/>
        <v>0</v>
      </c>
      <c r="DM122" s="167">
        <f t="shared" si="327"/>
        <v>0</v>
      </c>
      <c r="DN122" s="167">
        <f t="shared" si="392"/>
        <v>0</v>
      </c>
      <c r="DO122" s="170">
        <f t="shared" si="328"/>
        <v>0</v>
      </c>
      <c r="DP122" s="167">
        <f t="shared" si="329"/>
        <v>0</v>
      </c>
      <c r="DQ122" s="171">
        <f t="shared" si="330"/>
        <v>0</v>
      </c>
      <c r="DR122" s="169">
        <f t="shared" si="401"/>
        <v>0</v>
      </c>
      <c r="DS122" s="167">
        <f t="shared" si="393"/>
        <v>0</v>
      </c>
      <c r="DT122" s="167">
        <f t="shared" si="331"/>
        <v>0</v>
      </c>
      <c r="DU122" s="167">
        <f t="shared" si="394"/>
        <v>0</v>
      </c>
      <c r="DV122" s="167">
        <f t="shared" si="332"/>
        <v>0</v>
      </c>
      <c r="DW122" s="167">
        <f t="shared" si="395"/>
        <v>0</v>
      </c>
      <c r="DX122" s="167">
        <f t="shared" si="333"/>
        <v>0</v>
      </c>
      <c r="DY122" s="167">
        <f t="shared" si="396"/>
        <v>0</v>
      </c>
      <c r="DZ122" s="167">
        <f t="shared" si="334"/>
        <v>0</v>
      </c>
      <c r="EA122" s="167">
        <f t="shared" si="397"/>
        <v>0</v>
      </c>
      <c r="EB122" s="170">
        <f t="shared" si="335"/>
        <v>0</v>
      </c>
      <c r="EC122" s="167">
        <f t="shared" si="336"/>
        <v>0</v>
      </c>
      <c r="ED122" s="171">
        <f t="shared" si="337"/>
        <v>0</v>
      </c>
    </row>
    <row r="123" spans="1:134" x14ac:dyDescent="0.3">
      <c r="A123" s="185"/>
      <c r="B123" s="186"/>
      <c r="C123" s="187"/>
      <c r="D123" s="188"/>
      <c r="E123" s="189"/>
      <c r="F123" s="190"/>
      <c r="G123" s="191"/>
      <c r="H123" s="192"/>
      <c r="I123" s="193"/>
      <c r="J123" s="194"/>
      <c r="K123" s="165">
        <f t="shared" si="338"/>
        <v>0</v>
      </c>
      <c r="L123" s="166">
        <f t="shared" si="339"/>
        <v>0</v>
      </c>
      <c r="M123" s="167">
        <f t="shared" si="340"/>
        <v>0</v>
      </c>
      <c r="N123" s="167"/>
      <c r="O123" s="167">
        <f t="shared" si="341"/>
        <v>0</v>
      </c>
      <c r="P123" s="168"/>
      <c r="Q123" s="167">
        <f t="shared" si="342"/>
        <v>0</v>
      </c>
      <c r="R123" s="169">
        <f t="shared" si="343"/>
        <v>0</v>
      </c>
      <c r="S123" s="167">
        <f t="shared" si="344"/>
        <v>0</v>
      </c>
      <c r="T123" s="167">
        <f t="shared" si="345"/>
        <v>0</v>
      </c>
      <c r="U123" s="167">
        <f t="shared" si="346"/>
        <v>0</v>
      </c>
      <c r="V123" s="167">
        <f t="shared" si="347"/>
        <v>0</v>
      </c>
      <c r="W123" s="167">
        <f t="shared" si="348"/>
        <v>0</v>
      </c>
      <c r="X123" s="167">
        <f t="shared" si="349"/>
        <v>0</v>
      </c>
      <c r="Y123" s="167">
        <f t="shared" si="350"/>
        <v>0</v>
      </c>
      <c r="Z123" s="167">
        <f t="shared" si="351"/>
        <v>0</v>
      </c>
      <c r="AA123" s="167">
        <f t="shared" si="352"/>
        <v>0</v>
      </c>
      <c r="AB123" s="170">
        <f t="shared" si="353"/>
        <v>0</v>
      </c>
      <c r="AC123" s="167">
        <f t="shared" si="354"/>
        <v>0</v>
      </c>
      <c r="AD123" s="171">
        <f t="shared" si="355"/>
        <v>0</v>
      </c>
      <c r="AE123" s="169">
        <f t="shared" si="400"/>
        <v>0</v>
      </c>
      <c r="AF123" s="167">
        <f t="shared" si="357"/>
        <v>0</v>
      </c>
      <c r="AG123" s="167">
        <f t="shared" si="281"/>
        <v>0</v>
      </c>
      <c r="AH123" s="167">
        <f t="shared" si="358"/>
        <v>0</v>
      </c>
      <c r="AI123" s="167">
        <f t="shared" si="282"/>
        <v>0</v>
      </c>
      <c r="AJ123" s="167">
        <f t="shared" si="359"/>
        <v>0</v>
      </c>
      <c r="AK123" s="167">
        <f t="shared" si="283"/>
        <v>0</v>
      </c>
      <c r="AL123" s="167">
        <f t="shared" si="360"/>
        <v>0</v>
      </c>
      <c r="AM123" s="167">
        <f t="shared" si="284"/>
        <v>0</v>
      </c>
      <c r="AN123" s="167">
        <f t="shared" si="361"/>
        <v>0</v>
      </c>
      <c r="AO123" s="170">
        <f t="shared" si="285"/>
        <v>0</v>
      </c>
      <c r="AP123" s="167">
        <f t="shared" si="286"/>
        <v>0</v>
      </c>
      <c r="AQ123" s="171">
        <f t="shared" si="287"/>
        <v>0</v>
      </c>
      <c r="AR123" s="169">
        <f t="shared" si="400"/>
        <v>0</v>
      </c>
      <c r="AS123" s="167">
        <f t="shared" si="362"/>
        <v>0</v>
      </c>
      <c r="AT123" s="167">
        <f t="shared" si="288"/>
        <v>0</v>
      </c>
      <c r="AU123" s="167">
        <f t="shared" si="363"/>
        <v>0</v>
      </c>
      <c r="AV123" s="167">
        <f t="shared" si="289"/>
        <v>0</v>
      </c>
      <c r="AW123" s="167">
        <f t="shared" si="364"/>
        <v>0</v>
      </c>
      <c r="AX123" s="167">
        <f t="shared" si="290"/>
        <v>0</v>
      </c>
      <c r="AY123" s="167">
        <f t="shared" si="365"/>
        <v>0</v>
      </c>
      <c r="AZ123" s="167">
        <f t="shared" si="291"/>
        <v>0</v>
      </c>
      <c r="BA123" s="167">
        <f t="shared" si="366"/>
        <v>0</v>
      </c>
      <c r="BB123" s="170">
        <f t="shared" si="292"/>
        <v>0</v>
      </c>
      <c r="BC123" s="167">
        <f t="shared" si="293"/>
        <v>0</v>
      </c>
      <c r="BD123" s="171">
        <f t="shared" si="294"/>
        <v>0</v>
      </c>
      <c r="BE123" s="169">
        <f t="shared" si="400"/>
        <v>0</v>
      </c>
      <c r="BF123" s="167">
        <f t="shared" si="367"/>
        <v>0</v>
      </c>
      <c r="BG123" s="167">
        <f t="shared" si="295"/>
        <v>0</v>
      </c>
      <c r="BH123" s="167">
        <f t="shared" si="368"/>
        <v>0</v>
      </c>
      <c r="BI123" s="167">
        <f t="shared" si="296"/>
        <v>0</v>
      </c>
      <c r="BJ123" s="167">
        <f t="shared" si="369"/>
        <v>0</v>
      </c>
      <c r="BK123" s="167">
        <f t="shared" si="297"/>
        <v>0</v>
      </c>
      <c r="BL123" s="167">
        <f t="shared" si="370"/>
        <v>0</v>
      </c>
      <c r="BM123" s="167">
        <f t="shared" si="298"/>
        <v>0</v>
      </c>
      <c r="BN123" s="167">
        <f t="shared" si="371"/>
        <v>0</v>
      </c>
      <c r="BO123" s="170">
        <f t="shared" si="299"/>
        <v>0</v>
      </c>
      <c r="BP123" s="167">
        <f t="shared" si="300"/>
        <v>0</v>
      </c>
      <c r="BQ123" s="171">
        <f t="shared" si="301"/>
        <v>0</v>
      </c>
      <c r="BR123" s="169">
        <f t="shared" si="400"/>
        <v>0</v>
      </c>
      <c r="BS123" s="167">
        <f t="shared" si="372"/>
        <v>0</v>
      </c>
      <c r="BT123" s="167">
        <f t="shared" si="302"/>
        <v>0</v>
      </c>
      <c r="BU123" s="167">
        <f t="shared" si="373"/>
        <v>0</v>
      </c>
      <c r="BV123" s="167">
        <f t="shared" si="303"/>
        <v>0</v>
      </c>
      <c r="BW123" s="167">
        <f t="shared" si="374"/>
        <v>0</v>
      </c>
      <c r="BX123" s="167">
        <f t="shared" si="304"/>
        <v>0</v>
      </c>
      <c r="BY123" s="167">
        <f t="shared" si="375"/>
        <v>0</v>
      </c>
      <c r="BZ123" s="167">
        <f t="shared" si="305"/>
        <v>0</v>
      </c>
      <c r="CA123" s="167">
        <f t="shared" si="376"/>
        <v>0</v>
      </c>
      <c r="CB123" s="170">
        <f t="shared" si="306"/>
        <v>0</v>
      </c>
      <c r="CC123" s="167">
        <f t="shared" si="307"/>
        <v>0</v>
      </c>
      <c r="CD123" s="171">
        <f t="shared" si="308"/>
        <v>0</v>
      </c>
      <c r="CE123" s="169">
        <f t="shared" si="400"/>
        <v>0</v>
      </c>
      <c r="CF123" s="167">
        <f t="shared" si="377"/>
        <v>0</v>
      </c>
      <c r="CG123" s="167">
        <f t="shared" si="309"/>
        <v>0</v>
      </c>
      <c r="CH123" s="167">
        <f t="shared" si="378"/>
        <v>0</v>
      </c>
      <c r="CI123" s="167">
        <f t="shared" si="310"/>
        <v>0</v>
      </c>
      <c r="CJ123" s="167">
        <f t="shared" si="379"/>
        <v>0</v>
      </c>
      <c r="CK123" s="167">
        <f t="shared" si="311"/>
        <v>0</v>
      </c>
      <c r="CL123" s="167">
        <f t="shared" si="380"/>
        <v>0</v>
      </c>
      <c r="CM123" s="167">
        <f t="shared" si="312"/>
        <v>0</v>
      </c>
      <c r="CN123" s="167">
        <f t="shared" si="381"/>
        <v>0</v>
      </c>
      <c r="CO123" s="170">
        <f t="shared" si="313"/>
        <v>0</v>
      </c>
      <c r="CP123" s="167">
        <f t="shared" si="314"/>
        <v>0</v>
      </c>
      <c r="CQ123" s="171">
        <f t="shared" si="315"/>
        <v>0</v>
      </c>
      <c r="CR123" s="169">
        <f t="shared" si="401"/>
        <v>0</v>
      </c>
      <c r="CS123" s="167">
        <f t="shared" si="383"/>
        <v>0</v>
      </c>
      <c r="CT123" s="167">
        <f t="shared" si="317"/>
        <v>0</v>
      </c>
      <c r="CU123" s="167">
        <f t="shared" si="384"/>
        <v>0</v>
      </c>
      <c r="CV123" s="167">
        <f t="shared" si="318"/>
        <v>0</v>
      </c>
      <c r="CW123" s="167">
        <f t="shared" si="385"/>
        <v>0</v>
      </c>
      <c r="CX123" s="167">
        <f t="shared" si="319"/>
        <v>0</v>
      </c>
      <c r="CY123" s="167">
        <f t="shared" si="386"/>
        <v>0</v>
      </c>
      <c r="CZ123" s="167">
        <f t="shared" si="320"/>
        <v>0</v>
      </c>
      <c r="DA123" s="167">
        <f t="shared" si="387"/>
        <v>0</v>
      </c>
      <c r="DB123" s="170">
        <f t="shared" si="321"/>
        <v>0</v>
      </c>
      <c r="DC123" s="167">
        <f t="shared" si="322"/>
        <v>0</v>
      </c>
      <c r="DD123" s="171">
        <f t="shared" si="323"/>
        <v>0</v>
      </c>
      <c r="DE123" s="169">
        <f t="shared" si="401"/>
        <v>0</v>
      </c>
      <c r="DF123" s="167">
        <f t="shared" si="388"/>
        <v>0</v>
      </c>
      <c r="DG123" s="167">
        <f t="shared" si="324"/>
        <v>0</v>
      </c>
      <c r="DH123" s="167">
        <f t="shared" si="389"/>
        <v>0</v>
      </c>
      <c r="DI123" s="167">
        <f t="shared" si="325"/>
        <v>0</v>
      </c>
      <c r="DJ123" s="167">
        <f t="shared" si="390"/>
        <v>0</v>
      </c>
      <c r="DK123" s="167">
        <f t="shared" si="326"/>
        <v>0</v>
      </c>
      <c r="DL123" s="167">
        <f t="shared" si="391"/>
        <v>0</v>
      </c>
      <c r="DM123" s="167">
        <f t="shared" si="327"/>
        <v>0</v>
      </c>
      <c r="DN123" s="167">
        <f t="shared" si="392"/>
        <v>0</v>
      </c>
      <c r="DO123" s="170">
        <f t="shared" si="328"/>
        <v>0</v>
      </c>
      <c r="DP123" s="167">
        <f t="shared" si="329"/>
        <v>0</v>
      </c>
      <c r="DQ123" s="171">
        <f t="shared" si="330"/>
        <v>0</v>
      </c>
      <c r="DR123" s="169">
        <f t="shared" si="401"/>
        <v>0</v>
      </c>
      <c r="DS123" s="167">
        <f t="shared" si="393"/>
        <v>0</v>
      </c>
      <c r="DT123" s="167">
        <f t="shared" si="331"/>
        <v>0</v>
      </c>
      <c r="DU123" s="167">
        <f t="shared" si="394"/>
        <v>0</v>
      </c>
      <c r="DV123" s="167">
        <f t="shared" si="332"/>
        <v>0</v>
      </c>
      <c r="DW123" s="167">
        <f t="shared" si="395"/>
        <v>0</v>
      </c>
      <c r="DX123" s="167">
        <f t="shared" si="333"/>
        <v>0</v>
      </c>
      <c r="DY123" s="167">
        <f t="shared" si="396"/>
        <v>0</v>
      </c>
      <c r="DZ123" s="167">
        <f t="shared" si="334"/>
        <v>0</v>
      </c>
      <c r="EA123" s="167">
        <f t="shared" si="397"/>
        <v>0</v>
      </c>
      <c r="EB123" s="170">
        <f t="shared" si="335"/>
        <v>0</v>
      </c>
      <c r="EC123" s="167">
        <f t="shared" si="336"/>
        <v>0</v>
      </c>
      <c r="ED123" s="171">
        <f t="shared" si="337"/>
        <v>0</v>
      </c>
    </row>
    <row r="124" spans="1:134" x14ac:dyDescent="0.3">
      <c r="A124" s="185"/>
      <c r="B124" s="186"/>
      <c r="C124" s="187"/>
      <c r="D124" s="188"/>
      <c r="E124" s="189"/>
      <c r="F124" s="190"/>
      <c r="G124" s="191"/>
      <c r="H124" s="192"/>
      <c r="I124" s="193"/>
      <c r="J124" s="194"/>
      <c r="K124" s="165">
        <f t="shared" si="338"/>
        <v>0</v>
      </c>
      <c r="L124" s="166">
        <f t="shared" si="339"/>
        <v>0</v>
      </c>
      <c r="M124" s="167">
        <f t="shared" si="340"/>
        <v>0</v>
      </c>
      <c r="N124" s="167"/>
      <c r="O124" s="167">
        <f t="shared" si="341"/>
        <v>0</v>
      </c>
      <c r="P124" s="168"/>
      <c r="Q124" s="167">
        <f t="shared" si="342"/>
        <v>0</v>
      </c>
      <c r="R124" s="169">
        <f t="shared" si="343"/>
        <v>0</v>
      </c>
      <c r="S124" s="167">
        <f t="shared" si="344"/>
        <v>0</v>
      </c>
      <c r="T124" s="167">
        <f t="shared" si="345"/>
        <v>0</v>
      </c>
      <c r="U124" s="167">
        <f t="shared" si="346"/>
        <v>0</v>
      </c>
      <c r="V124" s="167">
        <f t="shared" si="347"/>
        <v>0</v>
      </c>
      <c r="W124" s="167">
        <f t="shared" si="348"/>
        <v>0</v>
      </c>
      <c r="X124" s="167">
        <f t="shared" si="349"/>
        <v>0</v>
      </c>
      <c r="Y124" s="167">
        <f t="shared" si="350"/>
        <v>0</v>
      </c>
      <c r="Z124" s="167">
        <f t="shared" si="351"/>
        <v>0</v>
      </c>
      <c r="AA124" s="167">
        <f t="shared" si="352"/>
        <v>0</v>
      </c>
      <c r="AB124" s="170">
        <f t="shared" si="353"/>
        <v>0</v>
      </c>
      <c r="AC124" s="167">
        <f t="shared" si="354"/>
        <v>0</v>
      </c>
      <c r="AD124" s="171">
        <f t="shared" si="355"/>
        <v>0</v>
      </c>
      <c r="AE124" s="169">
        <f t="shared" si="400"/>
        <v>0</v>
      </c>
      <c r="AF124" s="167">
        <f t="shared" si="357"/>
        <v>0</v>
      </c>
      <c r="AG124" s="167">
        <f t="shared" si="281"/>
        <v>0</v>
      </c>
      <c r="AH124" s="167">
        <f t="shared" si="358"/>
        <v>0</v>
      </c>
      <c r="AI124" s="167">
        <f t="shared" si="282"/>
        <v>0</v>
      </c>
      <c r="AJ124" s="167">
        <f t="shared" si="359"/>
        <v>0</v>
      </c>
      <c r="AK124" s="167">
        <f t="shared" si="283"/>
        <v>0</v>
      </c>
      <c r="AL124" s="167">
        <f t="shared" si="360"/>
        <v>0</v>
      </c>
      <c r="AM124" s="167">
        <f t="shared" si="284"/>
        <v>0</v>
      </c>
      <c r="AN124" s="167">
        <f t="shared" si="361"/>
        <v>0</v>
      </c>
      <c r="AO124" s="170">
        <f t="shared" si="285"/>
        <v>0</v>
      </c>
      <c r="AP124" s="167">
        <f t="shared" si="286"/>
        <v>0</v>
      </c>
      <c r="AQ124" s="171">
        <f t="shared" si="287"/>
        <v>0</v>
      </c>
      <c r="AR124" s="169">
        <f t="shared" si="400"/>
        <v>0</v>
      </c>
      <c r="AS124" s="167">
        <f t="shared" si="362"/>
        <v>0</v>
      </c>
      <c r="AT124" s="167">
        <f t="shared" si="288"/>
        <v>0</v>
      </c>
      <c r="AU124" s="167">
        <f t="shared" si="363"/>
        <v>0</v>
      </c>
      <c r="AV124" s="167">
        <f t="shared" si="289"/>
        <v>0</v>
      </c>
      <c r="AW124" s="167">
        <f t="shared" si="364"/>
        <v>0</v>
      </c>
      <c r="AX124" s="167">
        <f t="shared" si="290"/>
        <v>0</v>
      </c>
      <c r="AY124" s="167">
        <f t="shared" si="365"/>
        <v>0</v>
      </c>
      <c r="AZ124" s="167">
        <f t="shared" si="291"/>
        <v>0</v>
      </c>
      <c r="BA124" s="167">
        <f t="shared" si="366"/>
        <v>0</v>
      </c>
      <c r="BB124" s="170">
        <f t="shared" si="292"/>
        <v>0</v>
      </c>
      <c r="BC124" s="167">
        <f t="shared" si="293"/>
        <v>0</v>
      </c>
      <c r="BD124" s="171">
        <f t="shared" si="294"/>
        <v>0</v>
      </c>
      <c r="BE124" s="169">
        <f t="shared" si="400"/>
        <v>0</v>
      </c>
      <c r="BF124" s="167">
        <f t="shared" si="367"/>
        <v>0</v>
      </c>
      <c r="BG124" s="167">
        <f t="shared" si="295"/>
        <v>0</v>
      </c>
      <c r="BH124" s="167">
        <f t="shared" si="368"/>
        <v>0</v>
      </c>
      <c r="BI124" s="167">
        <f t="shared" si="296"/>
        <v>0</v>
      </c>
      <c r="BJ124" s="167">
        <f t="shared" si="369"/>
        <v>0</v>
      </c>
      <c r="BK124" s="167">
        <f t="shared" si="297"/>
        <v>0</v>
      </c>
      <c r="BL124" s="167">
        <f t="shared" si="370"/>
        <v>0</v>
      </c>
      <c r="BM124" s="167">
        <f t="shared" si="298"/>
        <v>0</v>
      </c>
      <c r="BN124" s="167">
        <f t="shared" si="371"/>
        <v>0</v>
      </c>
      <c r="BO124" s="170">
        <f t="shared" si="299"/>
        <v>0</v>
      </c>
      <c r="BP124" s="167">
        <f t="shared" si="300"/>
        <v>0</v>
      </c>
      <c r="BQ124" s="171">
        <f t="shared" si="301"/>
        <v>0</v>
      </c>
      <c r="BR124" s="169">
        <f t="shared" si="400"/>
        <v>0</v>
      </c>
      <c r="BS124" s="167">
        <f t="shared" si="372"/>
        <v>0</v>
      </c>
      <c r="BT124" s="167">
        <f t="shared" si="302"/>
        <v>0</v>
      </c>
      <c r="BU124" s="167">
        <f t="shared" si="373"/>
        <v>0</v>
      </c>
      <c r="BV124" s="167">
        <f t="shared" si="303"/>
        <v>0</v>
      </c>
      <c r="BW124" s="167">
        <f t="shared" si="374"/>
        <v>0</v>
      </c>
      <c r="BX124" s="167">
        <f t="shared" si="304"/>
        <v>0</v>
      </c>
      <c r="BY124" s="167">
        <f t="shared" si="375"/>
        <v>0</v>
      </c>
      <c r="BZ124" s="167">
        <f t="shared" si="305"/>
        <v>0</v>
      </c>
      <c r="CA124" s="167">
        <f t="shared" si="376"/>
        <v>0</v>
      </c>
      <c r="CB124" s="170">
        <f t="shared" si="306"/>
        <v>0</v>
      </c>
      <c r="CC124" s="167">
        <f t="shared" si="307"/>
        <v>0</v>
      </c>
      <c r="CD124" s="171">
        <f t="shared" si="308"/>
        <v>0</v>
      </c>
      <c r="CE124" s="169">
        <f t="shared" si="400"/>
        <v>0</v>
      </c>
      <c r="CF124" s="167">
        <f t="shared" si="377"/>
        <v>0</v>
      </c>
      <c r="CG124" s="167">
        <f t="shared" si="309"/>
        <v>0</v>
      </c>
      <c r="CH124" s="167">
        <f t="shared" si="378"/>
        <v>0</v>
      </c>
      <c r="CI124" s="167">
        <f t="shared" si="310"/>
        <v>0</v>
      </c>
      <c r="CJ124" s="167">
        <f t="shared" si="379"/>
        <v>0</v>
      </c>
      <c r="CK124" s="167">
        <f t="shared" si="311"/>
        <v>0</v>
      </c>
      <c r="CL124" s="167">
        <f t="shared" si="380"/>
        <v>0</v>
      </c>
      <c r="CM124" s="167">
        <f t="shared" si="312"/>
        <v>0</v>
      </c>
      <c r="CN124" s="167">
        <f t="shared" si="381"/>
        <v>0</v>
      </c>
      <c r="CO124" s="170">
        <f t="shared" si="313"/>
        <v>0</v>
      </c>
      <c r="CP124" s="167">
        <f t="shared" si="314"/>
        <v>0</v>
      </c>
      <c r="CQ124" s="171">
        <f t="shared" si="315"/>
        <v>0</v>
      </c>
      <c r="CR124" s="169">
        <f t="shared" si="401"/>
        <v>0</v>
      </c>
      <c r="CS124" s="167">
        <f t="shared" si="383"/>
        <v>0</v>
      </c>
      <c r="CT124" s="167">
        <f t="shared" si="317"/>
        <v>0</v>
      </c>
      <c r="CU124" s="167">
        <f t="shared" si="384"/>
        <v>0</v>
      </c>
      <c r="CV124" s="167">
        <f t="shared" si="318"/>
        <v>0</v>
      </c>
      <c r="CW124" s="167">
        <f t="shared" si="385"/>
        <v>0</v>
      </c>
      <c r="CX124" s="167">
        <f t="shared" si="319"/>
        <v>0</v>
      </c>
      <c r="CY124" s="167">
        <f t="shared" si="386"/>
        <v>0</v>
      </c>
      <c r="CZ124" s="167">
        <f t="shared" si="320"/>
        <v>0</v>
      </c>
      <c r="DA124" s="167">
        <f t="shared" si="387"/>
        <v>0</v>
      </c>
      <c r="DB124" s="170">
        <f t="shared" si="321"/>
        <v>0</v>
      </c>
      <c r="DC124" s="167">
        <f t="shared" si="322"/>
        <v>0</v>
      </c>
      <c r="DD124" s="171">
        <f t="shared" si="323"/>
        <v>0</v>
      </c>
      <c r="DE124" s="169">
        <f t="shared" si="401"/>
        <v>0</v>
      </c>
      <c r="DF124" s="167">
        <f t="shared" si="388"/>
        <v>0</v>
      </c>
      <c r="DG124" s="167">
        <f t="shared" si="324"/>
        <v>0</v>
      </c>
      <c r="DH124" s="167">
        <f t="shared" si="389"/>
        <v>0</v>
      </c>
      <c r="DI124" s="167">
        <f t="shared" si="325"/>
        <v>0</v>
      </c>
      <c r="DJ124" s="167">
        <f t="shared" si="390"/>
        <v>0</v>
      </c>
      <c r="DK124" s="167">
        <f t="shared" si="326"/>
        <v>0</v>
      </c>
      <c r="DL124" s="167">
        <f t="shared" si="391"/>
        <v>0</v>
      </c>
      <c r="DM124" s="167">
        <f t="shared" si="327"/>
        <v>0</v>
      </c>
      <c r="DN124" s="167">
        <f t="shared" si="392"/>
        <v>0</v>
      </c>
      <c r="DO124" s="170">
        <f t="shared" si="328"/>
        <v>0</v>
      </c>
      <c r="DP124" s="167">
        <f t="shared" si="329"/>
        <v>0</v>
      </c>
      <c r="DQ124" s="171">
        <f t="shared" si="330"/>
        <v>0</v>
      </c>
      <c r="DR124" s="169">
        <f t="shared" si="401"/>
        <v>0</v>
      </c>
      <c r="DS124" s="167">
        <f t="shared" si="393"/>
        <v>0</v>
      </c>
      <c r="DT124" s="167">
        <f t="shared" si="331"/>
        <v>0</v>
      </c>
      <c r="DU124" s="167">
        <f t="shared" si="394"/>
        <v>0</v>
      </c>
      <c r="DV124" s="167">
        <f t="shared" si="332"/>
        <v>0</v>
      </c>
      <c r="DW124" s="167">
        <f t="shared" si="395"/>
        <v>0</v>
      </c>
      <c r="DX124" s="167">
        <f t="shared" si="333"/>
        <v>0</v>
      </c>
      <c r="DY124" s="167">
        <f t="shared" si="396"/>
        <v>0</v>
      </c>
      <c r="DZ124" s="167">
        <f t="shared" si="334"/>
        <v>0</v>
      </c>
      <c r="EA124" s="167">
        <f t="shared" si="397"/>
        <v>0</v>
      </c>
      <c r="EB124" s="170">
        <f t="shared" si="335"/>
        <v>0</v>
      </c>
      <c r="EC124" s="167">
        <f t="shared" si="336"/>
        <v>0</v>
      </c>
      <c r="ED124" s="171">
        <f t="shared" si="337"/>
        <v>0</v>
      </c>
    </row>
    <row r="125" spans="1:134" ht="15" thickBot="1" x14ac:dyDescent="0.35">
      <c r="A125" s="198"/>
      <c r="B125" s="199"/>
      <c r="C125" s="200"/>
      <c r="D125" s="201"/>
      <c r="E125" s="202"/>
      <c r="F125" s="203"/>
      <c r="G125" s="204"/>
      <c r="H125" s="205"/>
      <c r="I125" s="206"/>
      <c r="J125" s="207"/>
      <c r="K125" s="172">
        <f t="shared" si="338"/>
        <v>0</v>
      </c>
      <c r="L125" s="173">
        <f t="shared" si="339"/>
        <v>0</v>
      </c>
      <c r="M125" s="174">
        <f t="shared" si="340"/>
        <v>0</v>
      </c>
      <c r="N125" s="174"/>
      <c r="O125" s="174">
        <f t="shared" si="341"/>
        <v>0</v>
      </c>
      <c r="P125" s="175"/>
      <c r="Q125" s="174">
        <f t="shared" si="342"/>
        <v>0</v>
      </c>
      <c r="R125" s="176">
        <f t="shared" si="343"/>
        <v>0</v>
      </c>
      <c r="S125" s="174">
        <f t="shared" si="344"/>
        <v>0</v>
      </c>
      <c r="T125" s="174">
        <f t="shared" si="345"/>
        <v>0</v>
      </c>
      <c r="U125" s="174">
        <f t="shared" si="346"/>
        <v>0</v>
      </c>
      <c r="V125" s="174">
        <f t="shared" si="347"/>
        <v>0</v>
      </c>
      <c r="W125" s="174">
        <f t="shared" si="348"/>
        <v>0</v>
      </c>
      <c r="X125" s="174">
        <f t="shared" si="349"/>
        <v>0</v>
      </c>
      <c r="Y125" s="174">
        <f t="shared" si="350"/>
        <v>0</v>
      </c>
      <c r="Z125" s="174">
        <f t="shared" si="351"/>
        <v>0</v>
      </c>
      <c r="AA125" s="174">
        <f t="shared" si="352"/>
        <v>0</v>
      </c>
      <c r="AB125" s="177">
        <f t="shared" si="353"/>
        <v>0</v>
      </c>
      <c r="AC125" s="174">
        <f t="shared" si="354"/>
        <v>0</v>
      </c>
      <c r="AD125" s="178">
        <f t="shared" si="355"/>
        <v>0</v>
      </c>
      <c r="AE125" s="176">
        <f t="shared" si="400"/>
        <v>0</v>
      </c>
      <c r="AF125" s="174">
        <f t="shared" si="357"/>
        <v>0</v>
      </c>
      <c r="AG125" s="174">
        <f t="shared" si="281"/>
        <v>0</v>
      </c>
      <c r="AH125" s="174">
        <f t="shared" si="358"/>
        <v>0</v>
      </c>
      <c r="AI125" s="174">
        <f t="shared" si="282"/>
        <v>0</v>
      </c>
      <c r="AJ125" s="174">
        <f t="shared" si="359"/>
        <v>0</v>
      </c>
      <c r="AK125" s="174">
        <f t="shared" si="283"/>
        <v>0</v>
      </c>
      <c r="AL125" s="174">
        <f t="shared" si="360"/>
        <v>0</v>
      </c>
      <c r="AM125" s="174">
        <f t="shared" si="284"/>
        <v>0</v>
      </c>
      <c r="AN125" s="174">
        <f t="shared" si="361"/>
        <v>0</v>
      </c>
      <c r="AO125" s="177">
        <f t="shared" si="285"/>
        <v>0</v>
      </c>
      <c r="AP125" s="174">
        <f t="shared" si="286"/>
        <v>0</v>
      </c>
      <c r="AQ125" s="178">
        <f t="shared" si="287"/>
        <v>0</v>
      </c>
      <c r="AR125" s="176">
        <f t="shared" si="400"/>
        <v>0</v>
      </c>
      <c r="AS125" s="174">
        <f t="shared" si="362"/>
        <v>0</v>
      </c>
      <c r="AT125" s="174">
        <f t="shared" si="288"/>
        <v>0</v>
      </c>
      <c r="AU125" s="174">
        <f t="shared" si="363"/>
        <v>0</v>
      </c>
      <c r="AV125" s="174">
        <f t="shared" si="289"/>
        <v>0</v>
      </c>
      <c r="AW125" s="174">
        <f t="shared" si="364"/>
        <v>0</v>
      </c>
      <c r="AX125" s="174">
        <f t="shared" si="290"/>
        <v>0</v>
      </c>
      <c r="AY125" s="174">
        <f t="shared" si="365"/>
        <v>0</v>
      </c>
      <c r="AZ125" s="174">
        <f t="shared" si="291"/>
        <v>0</v>
      </c>
      <c r="BA125" s="174">
        <f t="shared" si="366"/>
        <v>0</v>
      </c>
      <c r="BB125" s="177">
        <f t="shared" si="292"/>
        <v>0</v>
      </c>
      <c r="BC125" s="174">
        <f t="shared" si="293"/>
        <v>0</v>
      </c>
      <c r="BD125" s="178">
        <f t="shared" si="294"/>
        <v>0</v>
      </c>
      <c r="BE125" s="176">
        <f t="shared" si="400"/>
        <v>0</v>
      </c>
      <c r="BF125" s="174">
        <f t="shared" si="367"/>
        <v>0</v>
      </c>
      <c r="BG125" s="174">
        <f t="shared" si="295"/>
        <v>0</v>
      </c>
      <c r="BH125" s="174">
        <f t="shared" si="368"/>
        <v>0</v>
      </c>
      <c r="BI125" s="174">
        <f t="shared" si="296"/>
        <v>0</v>
      </c>
      <c r="BJ125" s="174">
        <f t="shared" si="369"/>
        <v>0</v>
      </c>
      <c r="BK125" s="174">
        <f t="shared" si="297"/>
        <v>0</v>
      </c>
      <c r="BL125" s="174">
        <f t="shared" si="370"/>
        <v>0</v>
      </c>
      <c r="BM125" s="174">
        <f t="shared" si="298"/>
        <v>0</v>
      </c>
      <c r="BN125" s="174">
        <f t="shared" si="371"/>
        <v>0</v>
      </c>
      <c r="BO125" s="177">
        <f t="shared" si="299"/>
        <v>0</v>
      </c>
      <c r="BP125" s="174">
        <f t="shared" si="300"/>
        <v>0</v>
      </c>
      <c r="BQ125" s="178">
        <f t="shared" si="301"/>
        <v>0</v>
      </c>
      <c r="BR125" s="176">
        <f t="shared" si="400"/>
        <v>0</v>
      </c>
      <c r="BS125" s="174">
        <f t="shared" si="372"/>
        <v>0</v>
      </c>
      <c r="BT125" s="174">
        <f t="shared" si="302"/>
        <v>0</v>
      </c>
      <c r="BU125" s="174">
        <f t="shared" si="373"/>
        <v>0</v>
      </c>
      <c r="BV125" s="174">
        <f t="shared" si="303"/>
        <v>0</v>
      </c>
      <c r="BW125" s="174">
        <f t="shared" si="374"/>
        <v>0</v>
      </c>
      <c r="BX125" s="174">
        <f t="shared" si="304"/>
        <v>0</v>
      </c>
      <c r="BY125" s="174">
        <f t="shared" si="375"/>
        <v>0</v>
      </c>
      <c r="BZ125" s="174">
        <f t="shared" si="305"/>
        <v>0</v>
      </c>
      <c r="CA125" s="174">
        <f t="shared" si="376"/>
        <v>0</v>
      </c>
      <c r="CB125" s="177">
        <f t="shared" si="306"/>
        <v>0</v>
      </c>
      <c r="CC125" s="174">
        <f t="shared" si="307"/>
        <v>0</v>
      </c>
      <c r="CD125" s="178">
        <f t="shared" si="308"/>
        <v>0</v>
      </c>
      <c r="CE125" s="176">
        <f t="shared" si="400"/>
        <v>0</v>
      </c>
      <c r="CF125" s="174">
        <f t="shared" si="377"/>
        <v>0</v>
      </c>
      <c r="CG125" s="174">
        <f t="shared" si="309"/>
        <v>0</v>
      </c>
      <c r="CH125" s="174">
        <f t="shared" si="378"/>
        <v>0</v>
      </c>
      <c r="CI125" s="174">
        <f t="shared" si="310"/>
        <v>0</v>
      </c>
      <c r="CJ125" s="174">
        <f t="shared" si="379"/>
        <v>0</v>
      </c>
      <c r="CK125" s="174">
        <f t="shared" si="311"/>
        <v>0</v>
      </c>
      <c r="CL125" s="174">
        <f t="shared" si="380"/>
        <v>0</v>
      </c>
      <c r="CM125" s="174">
        <f t="shared" si="312"/>
        <v>0</v>
      </c>
      <c r="CN125" s="174">
        <f t="shared" si="381"/>
        <v>0</v>
      </c>
      <c r="CO125" s="177">
        <f t="shared" si="313"/>
        <v>0</v>
      </c>
      <c r="CP125" s="174">
        <f t="shared" si="314"/>
        <v>0</v>
      </c>
      <c r="CQ125" s="178">
        <f t="shared" si="315"/>
        <v>0</v>
      </c>
      <c r="CR125" s="176">
        <f t="shared" si="401"/>
        <v>0</v>
      </c>
      <c r="CS125" s="174">
        <f t="shared" si="383"/>
        <v>0</v>
      </c>
      <c r="CT125" s="174">
        <f t="shared" si="317"/>
        <v>0</v>
      </c>
      <c r="CU125" s="174">
        <f t="shared" si="384"/>
        <v>0</v>
      </c>
      <c r="CV125" s="174">
        <f t="shared" si="318"/>
        <v>0</v>
      </c>
      <c r="CW125" s="174">
        <f t="shared" si="385"/>
        <v>0</v>
      </c>
      <c r="CX125" s="174">
        <f t="shared" si="319"/>
        <v>0</v>
      </c>
      <c r="CY125" s="174">
        <f t="shared" si="386"/>
        <v>0</v>
      </c>
      <c r="CZ125" s="174">
        <f t="shared" si="320"/>
        <v>0</v>
      </c>
      <c r="DA125" s="174">
        <f t="shared" si="387"/>
        <v>0</v>
      </c>
      <c r="DB125" s="177">
        <f t="shared" si="321"/>
        <v>0</v>
      </c>
      <c r="DC125" s="174">
        <f t="shared" si="322"/>
        <v>0</v>
      </c>
      <c r="DD125" s="178">
        <f t="shared" si="323"/>
        <v>0</v>
      </c>
      <c r="DE125" s="176">
        <f t="shared" si="401"/>
        <v>0</v>
      </c>
      <c r="DF125" s="174">
        <f t="shared" si="388"/>
        <v>0</v>
      </c>
      <c r="DG125" s="174">
        <f t="shared" si="324"/>
        <v>0</v>
      </c>
      <c r="DH125" s="174">
        <f t="shared" si="389"/>
        <v>0</v>
      </c>
      <c r="DI125" s="174">
        <f t="shared" si="325"/>
        <v>0</v>
      </c>
      <c r="DJ125" s="174">
        <f t="shared" si="390"/>
        <v>0</v>
      </c>
      <c r="DK125" s="174">
        <f t="shared" si="326"/>
        <v>0</v>
      </c>
      <c r="DL125" s="174">
        <f t="shared" si="391"/>
        <v>0</v>
      </c>
      <c r="DM125" s="174">
        <f t="shared" si="327"/>
        <v>0</v>
      </c>
      <c r="DN125" s="174">
        <f t="shared" si="392"/>
        <v>0</v>
      </c>
      <c r="DO125" s="177">
        <f t="shared" si="328"/>
        <v>0</v>
      </c>
      <c r="DP125" s="174">
        <f t="shared" si="329"/>
        <v>0</v>
      </c>
      <c r="DQ125" s="178">
        <f t="shared" si="330"/>
        <v>0</v>
      </c>
      <c r="DR125" s="176">
        <f t="shared" si="401"/>
        <v>0</v>
      </c>
      <c r="DS125" s="174">
        <f t="shared" si="393"/>
        <v>0</v>
      </c>
      <c r="DT125" s="174">
        <f t="shared" si="331"/>
        <v>0</v>
      </c>
      <c r="DU125" s="174">
        <f t="shared" si="394"/>
        <v>0</v>
      </c>
      <c r="DV125" s="174">
        <f t="shared" si="332"/>
        <v>0</v>
      </c>
      <c r="DW125" s="174">
        <f t="shared" si="395"/>
        <v>0</v>
      </c>
      <c r="DX125" s="174">
        <f t="shared" si="333"/>
        <v>0</v>
      </c>
      <c r="DY125" s="174">
        <f t="shared" si="396"/>
        <v>0</v>
      </c>
      <c r="DZ125" s="174">
        <f t="shared" si="334"/>
        <v>0</v>
      </c>
      <c r="EA125" s="174">
        <f t="shared" si="397"/>
        <v>0</v>
      </c>
      <c r="EB125" s="177">
        <f t="shared" si="335"/>
        <v>0</v>
      </c>
      <c r="EC125" s="174">
        <f t="shared" si="336"/>
        <v>0</v>
      </c>
      <c r="ED125" s="178">
        <f t="shared" si="337"/>
        <v>0</v>
      </c>
    </row>
    <row r="126" spans="1:134" ht="24" customHeight="1" x14ac:dyDescent="0.3">
      <c r="J126" s="10" t="s">
        <v>177</v>
      </c>
      <c r="M126" s="179">
        <f>SUM(M5:M125)</f>
        <v>3240779.5499999993</v>
      </c>
      <c r="N126" s="179">
        <f t="shared" ref="N126:AD126" si="402">SUM(N5:N125)</f>
        <v>0</v>
      </c>
      <c r="O126" s="179">
        <f t="shared" si="402"/>
        <v>3864423.4500000007</v>
      </c>
      <c r="P126" s="179">
        <f t="shared" si="402"/>
        <v>0</v>
      </c>
      <c r="Q126" s="181">
        <f t="shared" si="402"/>
        <v>7105203</v>
      </c>
      <c r="R126" s="179">
        <f t="shared" si="402"/>
        <v>0</v>
      </c>
      <c r="S126" s="179">
        <f t="shared" si="402"/>
        <v>0</v>
      </c>
      <c r="T126" s="179">
        <f t="shared" si="402"/>
        <v>0</v>
      </c>
      <c r="U126" s="179">
        <f t="shared" si="402"/>
        <v>0</v>
      </c>
      <c r="V126" s="179">
        <f t="shared" si="402"/>
        <v>7105203</v>
      </c>
      <c r="W126" s="179">
        <f t="shared" si="402"/>
        <v>7105203</v>
      </c>
      <c r="X126" s="179">
        <f t="shared" si="402"/>
        <v>211024.53</v>
      </c>
      <c r="Y126" s="179">
        <f t="shared" si="402"/>
        <v>211024.53</v>
      </c>
      <c r="Z126" s="179">
        <f t="shared" si="402"/>
        <v>3029755.02</v>
      </c>
      <c r="AA126" s="179">
        <f t="shared" si="402"/>
        <v>3029755.02</v>
      </c>
      <c r="AB126" s="179">
        <f t="shared" si="402"/>
        <v>4075447.98</v>
      </c>
      <c r="AC126" s="179">
        <f t="shared" si="402"/>
        <v>0</v>
      </c>
      <c r="AD126" s="181">
        <f t="shared" si="402"/>
        <v>0</v>
      </c>
      <c r="AE126" s="179">
        <f t="shared" ref="AE126:CP126" si="403">SUM(AE5:AE125)</f>
        <v>0</v>
      </c>
      <c r="AF126" s="179">
        <f t="shared" si="403"/>
        <v>0</v>
      </c>
      <c r="AG126" s="179">
        <f t="shared" si="403"/>
        <v>0</v>
      </c>
      <c r="AH126" s="179">
        <f t="shared" si="403"/>
        <v>0</v>
      </c>
      <c r="AI126" s="179">
        <f t="shared" si="403"/>
        <v>7105203</v>
      </c>
      <c r="AJ126" s="179">
        <f t="shared" si="403"/>
        <v>7105203</v>
      </c>
      <c r="AK126" s="179">
        <f t="shared" si="403"/>
        <v>211024.53</v>
      </c>
      <c r="AL126" s="179">
        <f t="shared" si="403"/>
        <v>211024.53</v>
      </c>
      <c r="AM126" s="179">
        <f t="shared" si="403"/>
        <v>2818730.4899999998</v>
      </c>
      <c r="AN126" s="179">
        <f t="shared" si="403"/>
        <v>2818730.4899999998</v>
      </c>
      <c r="AO126" s="179">
        <f t="shared" si="403"/>
        <v>4286472.5100000007</v>
      </c>
      <c r="AP126" s="179">
        <f t="shared" si="403"/>
        <v>0</v>
      </c>
      <c r="AQ126" s="181">
        <f t="shared" si="403"/>
        <v>0</v>
      </c>
      <c r="AR126" s="179">
        <f t="shared" si="403"/>
        <v>0</v>
      </c>
      <c r="AS126" s="179">
        <f t="shared" si="403"/>
        <v>0</v>
      </c>
      <c r="AT126" s="179">
        <f t="shared" si="403"/>
        <v>0</v>
      </c>
      <c r="AU126" s="179">
        <f t="shared" si="403"/>
        <v>0</v>
      </c>
      <c r="AV126" s="179">
        <f t="shared" si="403"/>
        <v>7105203</v>
      </c>
      <c r="AW126" s="179">
        <f t="shared" si="403"/>
        <v>6441229.9399999995</v>
      </c>
      <c r="AX126" s="179">
        <f t="shared" si="403"/>
        <v>191304.53</v>
      </c>
      <c r="AY126" s="179">
        <f t="shared" si="403"/>
        <v>191304.53</v>
      </c>
      <c r="AZ126" s="179">
        <f t="shared" si="403"/>
        <v>2627425.9600000004</v>
      </c>
      <c r="BA126" s="179">
        <f t="shared" si="403"/>
        <v>2627425.9600000004</v>
      </c>
      <c r="BB126" s="179">
        <f t="shared" si="403"/>
        <v>4477777.04</v>
      </c>
      <c r="BC126" s="179">
        <f t="shared" si="403"/>
        <v>0</v>
      </c>
      <c r="BD126" s="181">
        <f t="shared" si="403"/>
        <v>0</v>
      </c>
      <c r="BE126" s="179">
        <f t="shared" si="403"/>
        <v>0</v>
      </c>
      <c r="BF126" s="179">
        <f t="shared" si="403"/>
        <v>0</v>
      </c>
      <c r="BG126" s="179">
        <f t="shared" si="403"/>
        <v>0</v>
      </c>
      <c r="BH126" s="179">
        <f t="shared" si="403"/>
        <v>0</v>
      </c>
      <c r="BI126" s="179">
        <f t="shared" si="403"/>
        <v>7105203</v>
      </c>
      <c r="BJ126" s="179">
        <f t="shared" si="403"/>
        <v>6024731.6200000001</v>
      </c>
      <c r="BK126" s="179">
        <f t="shared" si="403"/>
        <v>178934.53</v>
      </c>
      <c r="BL126" s="179">
        <f t="shared" si="403"/>
        <v>178934.53</v>
      </c>
      <c r="BM126" s="179">
        <f t="shared" si="403"/>
        <v>2448491.4299999997</v>
      </c>
      <c r="BN126" s="179">
        <f t="shared" si="403"/>
        <v>2448491.4299999997</v>
      </c>
      <c r="BO126" s="179">
        <f t="shared" si="403"/>
        <v>4656711.5699999994</v>
      </c>
      <c r="BP126" s="179">
        <f t="shared" si="403"/>
        <v>0</v>
      </c>
      <c r="BQ126" s="181">
        <f t="shared" si="403"/>
        <v>0</v>
      </c>
      <c r="BR126" s="179">
        <f t="shared" si="403"/>
        <v>0</v>
      </c>
      <c r="BS126" s="179">
        <f t="shared" si="403"/>
        <v>0</v>
      </c>
      <c r="BT126" s="179">
        <f t="shared" si="403"/>
        <v>0</v>
      </c>
      <c r="BU126" s="179">
        <f t="shared" si="403"/>
        <v>0</v>
      </c>
      <c r="BV126" s="179">
        <f t="shared" si="403"/>
        <v>7105203</v>
      </c>
      <c r="BW126" s="179">
        <f t="shared" si="403"/>
        <v>5455203</v>
      </c>
      <c r="BX126" s="179">
        <f t="shared" si="403"/>
        <v>162019.53</v>
      </c>
      <c r="BY126" s="179">
        <f t="shared" si="403"/>
        <v>162019.53</v>
      </c>
      <c r="BZ126" s="179">
        <f t="shared" si="403"/>
        <v>2286471.9</v>
      </c>
      <c r="CA126" s="179">
        <f t="shared" si="403"/>
        <v>2286471.9</v>
      </c>
      <c r="CB126" s="179">
        <f t="shared" si="403"/>
        <v>4818731.0999999996</v>
      </c>
      <c r="CC126" s="179">
        <f t="shared" si="403"/>
        <v>0</v>
      </c>
      <c r="CD126" s="181">
        <f t="shared" si="403"/>
        <v>0</v>
      </c>
      <c r="CE126" s="179">
        <f t="shared" si="403"/>
        <v>0</v>
      </c>
      <c r="CF126" s="179">
        <f t="shared" si="403"/>
        <v>0</v>
      </c>
      <c r="CG126" s="179">
        <f t="shared" si="403"/>
        <v>0</v>
      </c>
      <c r="CH126" s="179">
        <f t="shared" si="403"/>
        <v>0</v>
      </c>
      <c r="CI126" s="179">
        <f t="shared" si="403"/>
        <v>7105203</v>
      </c>
      <c r="CJ126" s="179">
        <f t="shared" si="403"/>
        <v>5077122.1899999995</v>
      </c>
      <c r="CK126" s="179">
        <f t="shared" si="403"/>
        <v>150790.53</v>
      </c>
      <c r="CL126" s="179">
        <f t="shared" si="403"/>
        <v>150790.53</v>
      </c>
      <c r="CM126" s="179">
        <f t="shared" si="403"/>
        <v>2135681.37</v>
      </c>
      <c r="CN126" s="179">
        <f t="shared" si="403"/>
        <v>2135681.37</v>
      </c>
      <c r="CO126" s="179">
        <f t="shared" si="403"/>
        <v>4969521.6300000008</v>
      </c>
      <c r="CP126" s="179">
        <f t="shared" si="403"/>
        <v>0</v>
      </c>
      <c r="CQ126" s="181">
        <f t="shared" ref="CQ126:ED126" si="404">SUM(CQ5:CQ125)</f>
        <v>0</v>
      </c>
      <c r="CR126" s="179">
        <f t="shared" si="404"/>
        <v>0</v>
      </c>
      <c r="CS126" s="179">
        <f t="shared" si="404"/>
        <v>0</v>
      </c>
      <c r="CT126" s="179">
        <f t="shared" si="404"/>
        <v>0</v>
      </c>
      <c r="CU126" s="179">
        <f t="shared" si="404"/>
        <v>0</v>
      </c>
      <c r="CV126" s="179">
        <f t="shared" si="404"/>
        <v>7105203</v>
      </c>
      <c r="CW126" s="179">
        <f t="shared" si="404"/>
        <v>4885203</v>
      </c>
      <c r="CX126" s="179">
        <f t="shared" si="404"/>
        <v>145090.53</v>
      </c>
      <c r="CY126" s="179">
        <f t="shared" si="404"/>
        <v>145090.53</v>
      </c>
      <c r="CZ126" s="179">
        <f t="shared" si="404"/>
        <v>1990590.8399999999</v>
      </c>
      <c r="DA126" s="179">
        <f t="shared" si="404"/>
        <v>1990590.8399999999</v>
      </c>
      <c r="DB126" s="179">
        <f t="shared" si="404"/>
        <v>5114612.1600000011</v>
      </c>
      <c r="DC126" s="179">
        <f t="shared" si="404"/>
        <v>0</v>
      </c>
      <c r="DD126" s="181">
        <f t="shared" si="404"/>
        <v>0</v>
      </c>
      <c r="DE126" s="179">
        <f t="shared" si="404"/>
        <v>0</v>
      </c>
      <c r="DF126" s="179">
        <f t="shared" si="404"/>
        <v>0</v>
      </c>
      <c r="DG126" s="179">
        <f t="shared" si="404"/>
        <v>0</v>
      </c>
      <c r="DH126" s="179">
        <f t="shared" si="404"/>
        <v>0</v>
      </c>
      <c r="DI126" s="179">
        <f t="shared" si="404"/>
        <v>7105203</v>
      </c>
      <c r="DJ126" s="179">
        <f t="shared" si="404"/>
        <v>4885203</v>
      </c>
      <c r="DK126" s="179">
        <f t="shared" si="404"/>
        <v>145090.53</v>
      </c>
      <c r="DL126" s="179">
        <f t="shared" si="404"/>
        <v>145090.53</v>
      </c>
      <c r="DM126" s="179">
        <f t="shared" si="404"/>
        <v>1845500.31</v>
      </c>
      <c r="DN126" s="179">
        <f t="shared" si="404"/>
        <v>1845500.31</v>
      </c>
      <c r="DO126" s="179">
        <f t="shared" si="404"/>
        <v>5259702.6899999995</v>
      </c>
      <c r="DP126" s="179">
        <f t="shared" si="404"/>
        <v>0</v>
      </c>
      <c r="DQ126" s="181">
        <f t="shared" si="404"/>
        <v>0</v>
      </c>
      <c r="DR126" s="179">
        <f t="shared" si="404"/>
        <v>0</v>
      </c>
      <c r="DS126" s="179">
        <f t="shared" si="404"/>
        <v>0</v>
      </c>
      <c r="DT126" s="179">
        <f t="shared" si="404"/>
        <v>0</v>
      </c>
      <c r="DU126" s="179">
        <f t="shared" si="404"/>
        <v>0</v>
      </c>
      <c r="DV126" s="179">
        <f t="shared" si="404"/>
        <v>7105203</v>
      </c>
      <c r="DW126" s="179">
        <f t="shared" si="404"/>
        <v>4885203</v>
      </c>
      <c r="DX126" s="179">
        <f t="shared" si="404"/>
        <v>145090.53</v>
      </c>
      <c r="DY126" s="179">
        <f t="shared" si="404"/>
        <v>145090.53</v>
      </c>
      <c r="DZ126" s="179">
        <f t="shared" si="404"/>
        <v>1700409.7799999998</v>
      </c>
      <c r="EA126" s="179">
        <f t="shared" si="404"/>
        <v>1700409.7799999998</v>
      </c>
      <c r="EB126" s="179">
        <f t="shared" si="404"/>
        <v>5404793.2199999997</v>
      </c>
      <c r="EC126" s="179">
        <f t="shared" si="404"/>
        <v>0</v>
      </c>
      <c r="ED126" s="181">
        <f t="shared" si="404"/>
        <v>0</v>
      </c>
    </row>
    <row r="127" spans="1:134" ht="11.25" customHeight="1" x14ac:dyDescent="0.3">
      <c r="A127" s="180"/>
      <c r="B127" s="180"/>
      <c r="C127" s="180"/>
      <c r="D127" s="180"/>
      <c r="E127" s="180"/>
      <c r="F127" s="180"/>
      <c r="G127" s="180"/>
      <c r="H127" s="180"/>
      <c r="I127" s="180"/>
      <c r="J127" s="180"/>
      <c r="K127" s="180"/>
      <c r="L127" s="180"/>
      <c r="M127" s="180"/>
      <c r="N127" s="180"/>
      <c r="O127" s="180"/>
      <c r="P127" s="180"/>
      <c r="Q127" s="182"/>
      <c r="R127" s="180"/>
      <c r="S127" s="180"/>
      <c r="T127" s="180"/>
      <c r="U127" s="180"/>
      <c r="V127" s="180"/>
      <c r="W127" s="180"/>
      <c r="X127" s="180"/>
      <c r="Y127" s="180"/>
      <c r="Z127" s="180"/>
      <c r="AA127" s="180"/>
      <c r="AB127" s="180"/>
      <c r="AC127" s="180"/>
      <c r="AD127" s="182"/>
      <c r="AE127" s="180"/>
      <c r="AF127" s="180"/>
      <c r="AG127" s="180"/>
      <c r="AH127" s="180"/>
      <c r="AI127" s="180"/>
      <c r="AJ127" s="180"/>
      <c r="AK127" s="180"/>
      <c r="AL127" s="180"/>
      <c r="AM127" s="180"/>
      <c r="AN127" s="180"/>
      <c r="AO127" s="180"/>
      <c r="AP127" s="180"/>
      <c r="AQ127" s="182"/>
      <c r="AR127" s="180"/>
      <c r="AS127" s="180"/>
      <c r="AT127" s="180"/>
      <c r="AU127" s="180"/>
      <c r="AV127" s="180"/>
      <c r="AW127" s="180"/>
      <c r="AX127" s="180"/>
      <c r="AY127" s="180"/>
      <c r="AZ127" s="180"/>
      <c r="BA127" s="180"/>
      <c r="BB127" s="180"/>
      <c r="BC127" s="180"/>
      <c r="BD127" s="182"/>
      <c r="BE127" s="180"/>
      <c r="BF127" s="180"/>
      <c r="BG127" s="180"/>
      <c r="BH127" s="180"/>
      <c r="BI127" s="180"/>
      <c r="BJ127" s="180"/>
      <c r="BK127" s="180"/>
      <c r="BL127" s="180"/>
      <c r="BM127" s="180"/>
      <c r="BN127" s="180"/>
      <c r="BO127" s="180"/>
      <c r="BP127" s="180"/>
      <c r="BQ127" s="182"/>
      <c r="BR127" s="180"/>
      <c r="BS127" s="180"/>
      <c r="BT127" s="180"/>
      <c r="BU127" s="180"/>
      <c r="BV127" s="180"/>
      <c r="BW127" s="180"/>
      <c r="BX127" s="180"/>
      <c r="BY127" s="180"/>
      <c r="BZ127" s="180"/>
      <c r="CA127" s="180"/>
      <c r="CB127" s="180"/>
      <c r="CC127" s="180"/>
      <c r="CD127" s="182"/>
      <c r="CE127" s="180"/>
      <c r="CF127" s="180"/>
      <c r="CG127" s="180"/>
      <c r="CH127" s="180"/>
      <c r="CI127" s="180"/>
      <c r="CJ127" s="180"/>
      <c r="CK127" s="180"/>
      <c r="CL127" s="180"/>
      <c r="CM127" s="180"/>
      <c r="CN127" s="180"/>
      <c r="CO127" s="180"/>
      <c r="CP127" s="180"/>
      <c r="CQ127" s="182"/>
      <c r="CR127" s="180"/>
      <c r="CS127" s="180"/>
      <c r="CT127" s="180"/>
      <c r="CU127" s="180"/>
      <c r="CV127" s="180"/>
      <c r="CW127" s="180"/>
      <c r="CX127" s="180"/>
      <c r="CY127" s="180"/>
      <c r="CZ127" s="180"/>
      <c r="DA127" s="180"/>
      <c r="DB127" s="180"/>
      <c r="DC127" s="180"/>
      <c r="DD127" s="182"/>
      <c r="DE127" s="180"/>
      <c r="DF127" s="180"/>
      <c r="DG127" s="180"/>
      <c r="DH127" s="180"/>
      <c r="DI127" s="180"/>
      <c r="DJ127" s="180"/>
      <c r="DK127" s="180"/>
      <c r="DL127" s="180"/>
      <c r="DM127" s="180"/>
      <c r="DN127" s="180"/>
      <c r="DO127" s="180"/>
      <c r="DP127" s="180"/>
      <c r="DQ127" s="182"/>
      <c r="DR127" s="180"/>
      <c r="DS127" s="180"/>
      <c r="DT127" s="180"/>
      <c r="DU127" s="180"/>
      <c r="DV127" s="180"/>
      <c r="DW127" s="180"/>
      <c r="DX127" s="180"/>
      <c r="DY127" s="180"/>
      <c r="DZ127" s="180"/>
      <c r="EA127" s="180"/>
      <c r="EB127" s="180"/>
      <c r="EC127" s="180"/>
      <c r="ED127" s="182"/>
    </row>
    <row r="128" spans="1:134" ht="18" hidden="1" x14ac:dyDescent="0.35">
      <c r="Q128" s="217"/>
      <c r="X128" s="397">
        <f>X4</f>
        <v>2012</v>
      </c>
      <c r="AD128" s="217"/>
      <c r="AK128" s="397">
        <f t="shared" ref="AK128" si="405">AK4</f>
        <v>2013</v>
      </c>
      <c r="AQ128" s="217"/>
      <c r="AX128" s="397">
        <f t="shared" ref="AX128" si="406">AX4</f>
        <v>2014</v>
      </c>
      <c r="BD128" s="217"/>
      <c r="BK128" s="397">
        <f t="shared" ref="BK128" si="407">BK4</f>
        <v>2015</v>
      </c>
      <c r="BQ128" s="217"/>
      <c r="BX128" s="397">
        <f t="shared" ref="BX128" si="408">BX4</f>
        <v>2016</v>
      </c>
      <c r="CD128" s="217"/>
      <c r="CK128" s="397">
        <f t="shared" ref="CK128" si="409">CK4</f>
        <v>2017</v>
      </c>
      <c r="CQ128" s="217"/>
      <c r="CX128" s="397">
        <f t="shared" ref="CX128" si="410">CX4</f>
        <v>2018</v>
      </c>
      <c r="DD128" s="217"/>
      <c r="DK128" s="397">
        <f t="shared" ref="DK128" si="411">DK4</f>
        <v>2019</v>
      </c>
      <c r="DQ128" s="217"/>
      <c r="DX128" s="397">
        <f t="shared" ref="DX128" si="412">DX4</f>
        <v>2020</v>
      </c>
      <c r="ED128" s="217"/>
    </row>
    <row r="129" spans="1:134" ht="21" hidden="1" x14ac:dyDescent="0.4">
      <c r="A129" s="108" t="s">
        <v>461</v>
      </c>
      <c r="F129" s="301" t="str">
        <f>"Zwischen Zeile "&amp;ROW(128:128)&amp;" und Zeile "&amp;ROW(192:192)&amp;" weder eine Zeile einfügen noch löschen!!!"</f>
        <v>Zwischen Zeile 128 und Zeile 192 weder eine Zeile einfügen noch löschen!!!</v>
      </c>
      <c r="Q129" s="217">
        <v>2</v>
      </c>
      <c r="R129" s="184" t="s">
        <v>446</v>
      </c>
      <c r="V129" s="92" t="s">
        <v>447</v>
      </c>
      <c r="W129" s="92" t="s">
        <v>448</v>
      </c>
      <c r="X129" s="92" t="s">
        <v>450</v>
      </c>
      <c r="Y129" s="92" t="s">
        <v>449</v>
      </c>
      <c r="Z129" s="91" t="s">
        <v>980</v>
      </c>
      <c r="AD129" s="217"/>
      <c r="AE129" s="184" t="s">
        <v>446</v>
      </c>
      <c r="AI129" s="92" t="s">
        <v>447</v>
      </c>
      <c r="AJ129" s="92" t="s">
        <v>448</v>
      </c>
      <c r="AK129" s="92" t="s">
        <v>450</v>
      </c>
      <c r="AL129" s="92" t="s">
        <v>449</v>
      </c>
      <c r="AM129" s="91" t="s">
        <v>980</v>
      </c>
      <c r="AQ129" s="217"/>
      <c r="AR129" s="184" t="s">
        <v>446</v>
      </c>
      <c r="AV129" s="92" t="s">
        <v>447</v>
      </c>
      <c r="AW129" s="92" t="s">
        <v>448</v>
      </c>
      <c r="AX129" s="92" t="s">
        <v>450</v>
      </c>
      <c r="AY129" s="92" t="s">
        <v>449</v>
      </c>
      <c r="AZ129" s="91" t="s">
        <v>980</v>
      </c>
      <c r="BD129" s="217"/>
      <c r="BE129" s="184" t="s">
        <v>446</v>
      </c>
      <c r="BI129" s="92" t="s">
        <v>447</v>
      </c>
      <c r="BJ129" s="92" t="s">
        <v>448</v>
      </c>
      <c r="BK129" s="92" t="s">
        <v>450</v>
      </c>
      <c r="BL129" s="92" t="s">
        <v>449</v>
      </c>
      <c r="BM129" s="91" t="s">
        <v>980</v>
      </c>
      <c r="BQ129" s="217"/>
      <c r="BR129" s="184" t="s">
        <v>446</v>
      </c>
      <c r="BV129" s="92" t="s">
        <v>447</v>
      </c>
      <c r="BW129" s="92" t="s">
        <v>448</v>
      </c>
      <c r="BX129" s="92" t="s">
        <v>450</v>
      </c>
      <c r="BY129" s="92" t="s">
        <v>449</v>
      </c>
      <c r="BZ129" s="91" t="s">
        <v>980</v>
      </c>
      <c r="CD129" s="217"/>
      <c r="CE129" s="184" t="s">
        <v>446</v>
      </c>
      <c r="CI129" s="92" t="s">
        <v>447</v>
      </c>
      <c r="CJ129" s="92" t="s">
        <v>448</v>
      </c>
      <c r="CK129" s="92" t="s">
        <v>450</v>
      </c>
      <c r="CL129" s="92" t="s">
        <v>449</v>
      </c>
      <c r="CM129" s="91" t="s">
        <v>980</v>
      </c>
      <c r="CQ129" s="217"/>
      <c r="CR129" s="184" t="s">
        <v>446</v>
      </c>
      <c r="CV129" s="92" t="s">
        <v>447</v>
      </c>
      <c r="CW129" s="92" t="s">
        <v>448</v>
      </c>
      <c r="CX129" s="92" t="s">
        <v>450</v>
      </c>
      <c r="CY129" s="92" t="s">
        <v>449</v>
      </c>
      <c r="CZ129" s="91" t="s">
        <v>980</v>
      </c>
      <c r="DD129" s="217"/>
      <c r="DE129" s="184" t="s">
        <v>446</v>
      </c>
      <c r="DI129" s="92" t="s">
        <v>447</v>
      </c>
      <c r="DJ129" s="92" t="s">
        <v>448</v>
      </c>
      <c r="DK129" s="92" t="s">
        <v>450</v>
      </c>
      <c r="DL129" s="92" t="s">
        <v>449</v>
      </c>
      <c r="DM129" s="91" t="s">
        <v>980</v>
      </c>
      <c r="DQ129" s="217"/>
      <c r="DR129" s="184" t="s">
        <v>446</v>
      </c>
      <c r="DV129" s="92" t="s">
        <v>447</v>
      </c>
      <c r="DW129" s="92" t="s">
        <v>448</v>
      </c>
      <c r="DX129" s="92" t="s">
        <v>450</v>
      </c>
      <c r="DY129" s="92" t="s">
        <v>449</v>
      </c>
      <c r="DZ129" s="91" t="s">
        <v>980</v>
      </c>
      <c r="ED129" s="217"/>
    </row>
    <row r="130" spans="1:134" hidden="1" x14ac:dyDescent="0.3">
      <c r="A130" s="302" t="s">
        <v>453</v>
      </c>
      <c r="Q130" s="217">
        <v>3</v>
      </c>
      <c r="R130" s="112"/>
      <c r="V130" s="101">
        <f>SUMIF($D$5:$D$125,"=bes",V5:V125)+SUMIF($D$5:$D$125,"=bem",V5:V125)+SUMIF($D$5:$D$125,"=ber",V5:V125)+SUMIF($D$5:$D$125,"=bek",V5:V125)</f>
        <v>0</v>
      </c>
      <c r="W130" s="102">
        <f>SUM(W131:W133)</f>
        <v>0</v>
      </c>
      <c r="X130" s="101">
        <f>SUMIF($D$5:$D$125,"=bes",X5:X125)+SUMIF($D$5:$D$125,"=bem",X5:X125)+SUMIF($D$5:$D$125,"=ber",X5:X125)+SUMIF($D$5:$D$125,"=bek",X5:X125)</f>
        <v>0</v>
      </c>
      <c r="Y130" s="102">
        <f>SUM(Y131:Y133)</f>
        <v>0</v>
      </c>
      <c r="Z130" s="183" t="s">
        <v>453</v>
      </c>
      <c r="AD130" s="217"/>
      <c r="AE130" s="112"/>
      <c r="AI130" s="101">
        <f t="shared" ref="AI130" si="413">SUMIF($D$5:$D$125,"=bes",AI5:AI125)+SUMIF($D$5:$D$125,"=bem",AI5:AI125)+SUMIF($D$5:$D$125,"=ber",AI5:AI125)+SUMIF($D$5:$D$125,"=bek",AI5:AI125)</f>
        <v>0</v>
      </c>
      <c r="AJ130" s="102">
        <f t="shared" ref="AJ130" si="414">SUM(AJ131:AJ133)</f>
        <v>0</v>
      </c>
      <c r="AK130" s="101">
        <f t="shared" ref="AK130" si="415">SUMIF($D$5:$D$125,"=bes",AK5:AK125)+SUMIF($D$5:$D$125,"=bem",AK5:AK125)+SUMIF($D$5:$D$125,"=ber",AK5:AK125)+SUMIF($D$5:$D$125,"=bek",AK5:AK125)</f>
        <v>0</v>
      </c>
      <c r="AL130" s="102">
        <f t="shared" ref="AL130" si="416">SUM(AL131:AL133)</f>
        <v>0</v>
      </c>
      <c r="AM130" s="302" t="s">
        <v>453</v>
      </c>
      <c r="AQ130" s="217"/>
      <c r="AR130" s="112"/>
      <c r="AV130" s="101">
        <f t="shared" ref="AV130" si="417">SUMIF($D$5:$D$125,"=bes",AV5:AV125)+SUMIF($D$5:$D$125,"=bem",AV5:AV125)+SUMIF($D$5:$D$125,"=ber",AV5:AV125)+SUMIF($D$5:$D$125,"=bek",AV5:AV125)</f>
        <v>0</v>
      </c>
      <c r="AW130" s="102">
        <f t="shared" ref="AW130" si="418">SUM(AW131:AW133)</f>
        <v>0</v>
      </c>
      <c r="AX130" s="101">
        <f t="shared" ref="AX130" si="419">SUMIF($D$5:$D$125,"=bes",AX5:AX125)+SUMIF($D$5:$D$125,"=bem",AX5:AX125)+SUMIF($D$5:$D$125,"=ber",AX5:AX125)+SUMIF($D$5:$D$125,"=bek",AX5:AX125)</f>
        <v>0</v>
      </c>
      <c r="AY130" s="102">
        <f t="shared" ref="AY130" si="420">SUM(AY131:AY133)</f>
        <v>0</v>
      </c>
      <c r="AZ130" s="302" t="s">
        <v>453</v>
      </c>
      <c r="BD130" s="217"/>
      <c r="BE130" s="112"/>
      <c r="BI130" s="101">
        <f t="shared" ref="BI130" si="421">SUMIF($D$5:$D$125,"=bes",BI5:BI125)+SUMIF($D$5:$D$125,"=bem",BI5:BI125)+SUMIF($D$5:$D$125,"=ber",BI5:BI125)+SUMIF($D$5:$D$125,"=bek",BI5:BI125)</f>
        <v>0</v>
      </c>
      <c r="BJ130" s="102">
        <f t="shared" ref="BJ130" si="422">SUM(BJ131:BJ133)</f>
        <v>0</v>
      </c>
      <c r="BK130" s="101">
        <f t="shared" ref="BK130" si="423">SUMIF($D$5:$D$125,"=bes",BK5:BK125)+SUMIF($D$5:$D$125,"=bem",BK5:BK125)+SUMIF($D$5:$D$125,"=ber",BK5:BK125)+SUMIF($D$5:$D$125,"=bek",BK5:BK125)</f>
        <v>0</v>
      </c>
      <c r="BL130" s="102">
        <f t="shared" ref="BL130" si="424">SUM(BL131:BL133)</f>
        <v>0</v>
      </c>
      <c r="BM130" s="302" t="s">
        <v>453</v>
      </c>
      <c r="BQ130" s="217"/>
      <c r="BR130" s="112"/>
      <c r="BV130" s="101">
        <f t="shared" ref="BV130" si="425">SUMIF($D$5:$D$125,"=bes",BV5:BV125)+SUMIF($D$5:$D$125,"=bem",BV5:BV125)+SUMIF($D$5:$D$125,"=ber",BV5:BV125)+SUMIF($D$5:$D$125,"=bek",BV5:BV125)</f>
        <v>0</v>
      </c>
      <c r="BW130" s="102">
        <f t="shared" ref="BW130" si="426">SUM(BW131:BW133)</f>
        <v>0</v>
      </c>
      <c r="BX130" s="101">
        <f t="shared" ref="BX130" si="427">SUMIF($D$5:$D$125,"=bes",BX5:BX125)+SUMIF($D$5:$D$125,"=bem",BX5:BX125)+SUMIF($D$5:$D$125,"=ber",BX5:BX125)+SUMIF($D$5:$D$125,"=bek",BX5:BX125)</f>
        <v>0</v>
      </c>
      <c r="BY130" s="102">
        <f t="shared" ref="BY130" si="428">SUM(BY131:BY133)</f>
        <v>0</v>
      </c>
      <c r="BZ130" s="302" t="s">
        <v>453</v>
      </c>
      <c r="CD130" s="217"/>
      <c r="CE130" s="112"/>
      <c r="CI130" s="101">
        <f t="shared" ref="CI130" si="429">SUMIF($D$5:$D$125,"=bes",CI5:CI125)+SUMIF($D$5:$D$125,"=bem",CI5:CI125)+SUMIF($D$5:$D$125,"=ber",CI5:CI125)+SUMIF($D$5:$D$125,"=bek",CI5:CI125)</f>
        <v>0</v>
      </c>
      <c r="CJ130" s="102">
        <f t="shared" ref="CJ130" si="430">SUM(CJ131:CJ133)</f>
        <v>0</v>
      </c>
      <c r="CK130" s="101">
        <f t="shared" ref="CK130" si="431">SUMIF($D$5:$D$125,"=bes",CK5:CK125)+SUMIF($D$5:$D$125,"=bem",CK5:CK125)+SUMIF($D$5:$D$125,"=ber",CK5:CK125)+SUMIF($D$5:$D$125,"=bek",CK5:CK125)</f>
        <v>0</v>
      </c>
      <c r="CL130" s="102">
        <f t="shared" ref="CL130" si="432">SUM(CL131:CL133)</f>
        <v>0</v>
      </c>
      <c r="CM130" s="302" t="s">
        <v>453</v>
      </c>
      <c r="CQ130" s="217"/>
      <c r="CR130" s="112"/>
      <c r="CV130" s="101">
        <f t="shared" ref="CV130" si="433">SUMIF($D$5:$D$125,"=bes",CV5:CV125)+SUMIF($D$5:$D$125,"=bem",CV5:CV125)+SUMIF($D$5:$D$125,"=ber",CV5:CV125)+SUMIF($D$5:$D$125,"=bek",CV5:CV125)</f>
        <v>0</v>
      </c>
      <c r="CW130" s="102">
        <f t="shared" ref="CW130" si="434">SUM(CW131:CW133)</f>
        <v>0</v>
      </c>
      <c r="CX130" s="101">
        <f t="shared" ref="CX130" si="435">SUMIF($D$5:$D$125,"=bes",CX5:CX125)+SUMIF($D$5:$D$125,"=bem",CX5:CX125)+SUMIF($D$5:$D$125,"=ber",CX5:CX125)+SUMIF($D$5:$D$125,"=bek",CX5:CX125)</f>
        <v>0</v>
      </c>
      <c r="CY130" s="102">
        <f t="shared" ref="CY130" si="436">SUM(CY131:CY133)</f>
        <v>0</v>
      </c>
      <c r="CZ130" s="302" t="s">
        <v>453</v>
      </c>
      <c r="DD130" s="217"/>
      <c r="DE130" s="112"/>
      <c r="DI130" s="101">
        <f t="shared" ref="DI130" si="437">SUMIF($D$5:$D$125,"=bes",DI5:DI125)+SUMIF($D$5:$D$125,"=bem",DI5:DI125)+SUMIF($D$5:$D$125,"=ber",DI5:DI125)+SUMIF($D$5:$D$125,"=bek",DI5:DI125)</f>
        <v>0</v>
      </c>
      <c r="DJ130" s="102">
        <f t="shared" ref="DJ130" si="438">SUM(DJ131:DJ133)</f>
        <v>0</v>
      </c>
      <c r="DK130" s="101">
        <f t="shared" ref="DK130" si="439">SUMIF($D$5:$D$125,"=bes",DK5:DK125)+SUMIF($D$5:$D$125,"=bem",DK5:DK125)+SUMIF($D$5:$D$125,"=ber",DK5:DK125)+SUMIF($D$5:$D$125,"=bek",DK5:DK125)</f>
        <v>0</v>
      </c>
      <c r="DL130" s="102">
        <f t="shared" ref="DL130" si="440">SUM(DL131:DL133)</f>
        <v>0</v>
      </c>
      <c r="DM130" s="302" t="s">
        <v>453</v>
      </c>
      <c r="DQ130" s="217"/>
      <c r="DR130" s="112"/>
      <c r="DV130" s="101">
        <f t="shared" ref="DV130" si="441">SUMIF($D$5:$D$125,"=bes",DV5:DV125)+SUMIF($D$5:$D$125,"=bem",DV5:DV125)+SUMIF($D$5:$D$125,"=ber",DV5:DV125)+SUMIF($D$5:$D$125,"=bek",DV5:DV125)</f>
        <v>0</v>
      </c>
      <c r="DW130" s="102">
        <f t="shared" ref="DW130" si="442">SUM(DW131:DW133)</f>
        <v>0</v>
      </c>
      <c r="DX130" s="101">
        <f t="shared" ref="DX130" si="443">SUMIF($D$5:$D$125,"=bes",DX5:DX125)+SUMIF($D$5:$D$125,"=bem",DX5:DX125)+SUMIF($D$5:$D$125,"=ber",DX5:DX125)+SUMIF($D$5:$D$125,"=bek",DX5:DX125)</f>
        <v>0</v>
      </c>
      <c r="DY130" s="102">
        <f t="shared" ref="DY130" si="444">SUM(DY131:DY133)</f>
        <v>0</v>
      </c>
      <c r="DZ130" s="302" t="s">
        <v>453</v>
      </c>
      <c r="ED130" s="217"/>
    </row>
    <row r="131" spans="1:134" hidden="1" x14ac:dyDescent="0.3">
      <c r="A131" s="84" t="s">
        <v>180</v>
      </c>
      <c r="Q131" s="217">
        <v>4</v>
      </c>
      <c r="V131" s="101">
        <f>SUMIF($D$5:$D$125,"=bes",V5:V125)*HLOOKUP(X128,Verteil_sw,32,FALSE)+SUMIF($D$5:$D$125,"=bem",V5:V125)*HLOOKUP(X128,Verteil_sw,33,FALSE)+SUMIF($D$5:$D$125,"=ber",V5:V125)*HLOOKUP(X128,Verteil_sw,34,FALSE)+SUMIF($D$5:$D$125,"=bek",V5:V125)*HLOOKUP(X128,Verteil_sw,35,FALSE)</f>
        <v>0</v>
      </c>
      <c r="W131" s="102">
        <f>IF(V130&lt;&gt;0,V131/V130,0)</f>
        <v>0</v>
      </c>
      <c r="X131" s="101">
        <f>SUMIF($D$5:$D$125,"=bes",X5:X125)*HLOOKUP(X128,Verteil_sw,32,FALSE)+SUMIF($D$5:$D$125,"=bem",X5:X125)*HLOOKUP(X128,Verteil_sw,33,FALSE)+SUMIF($D$5:$D$125,"=ber",X5:X125)*HLOOKUP(X128,Verteil_sw,34,FALSE)+SUMIF($D$5:$D$125,"=bek",X5:X125)*HLOOKUP(X128,Verteil_sw,35,FALSE)</f>
        <v>0</v>
      </c>
      <c r="Y131" s="102">
        <f>IF(X130&lt;&gt;0,X131/X130,0)</f>
        <v>0</v>
      </c>
      <c r="Z131" s="84" t="s">
        <v>180</v>
      </c>
      <c r="AD131" s="217"/>
      <c r="AI131" s="101">
        <f>SUMIF($D$5:$D$125,"=bes",AI5:AI125)*HLOOKUP(AK128,Verteil_sw,32,FALSE)+SUMIF($D$5:$D$125,"=bem",AI5:AI125)*HLOOKUP(AK128,Verteil_sw,33,FALSE)+SUMIF($D$5:$D$125,"=ber",AI5:AI125)*HLOOKUP(AK128,Verteil_sw,34,FALSE)+SUMIF($D$5:$D$125,"=bek",AI5:AI125)*HLOOKUP(AK128,Verteil_sw,35,FALSE)</f>
        <v>0</v>
      </c>
      <c r="AJ131" s="102">
        <f t="shared" ref="AJ131" si="445">IF(AI130&lt;&gt;0,AI131/AI130,0)</f>
        <v>0</v>
      </c>
      <c r="AK131" s="101">
        <f>SUMIF($D$5:$D$125,"=bes",AK5:AK125)*HLOOKUP(AK128,Verteil_sw,32,FALSE)+SUMIF($D$5:$D$125,"=bem",AK5:AK125)*HLOOKUP(AK128,Verteil_sw,33,FALSE)+SUMIF($D$5:$D$125,"=ber",AK5:AK125)*HLOOKUP(AK128,Verteil_sw,34,FALSE)+SUMIF($D$5:$D$125,"=bek",AK5:AK125)*HLOOKUP(AK128,Verteil_sw,35,FALSE)</f>
        <v>0</v>
      </c>
      <c r="AL131" s="102">
        <f t="shared" ref="AL131" si="446">IF(AK130&lt;&gt;0,AK131/AK130,0)</f>
        <v>0</v>
      </c>
      <c r="AM131" s="659" t="s">
        <v>180</v>
      </c>
      <c r="AQ131" s="217"/>
      <c r="AV131" s="101">
        <f>SUMIF($D$5:$D$125,"=bes",AV5:AV125)*HLOOKUP(AX128,Verteil_sw,32,FALSE)+SUMIF($D$5:$D$125,"=bem",AV5:AV125)*HLOOKUP(AX128,Verteil_sw,33,FALSE)+SUMIF($D$5:$D$125,"=ber",AV5:AV125)*HLOOKUP(AX128,Verteil_sw,34,FALSE)+SUMIF($D$5:$D$125,"=bek",AV5:AV125)*HLOOKUP(AX128,Verteil_sw,35,FALSE)</f>
        <v>0</v>
      </c>
      <c r="AW131" s="102">
        <f t="shared" ref="AW131" si="447">IF(AV130&lt;&gt;0,AV131/AV130,0)</f>
        <v>0</v>
      </c>
      <c r="AX131" s="101">
        <f>SUMIF($D$5:$D$125,"=bes",AX5:AX125)*HLOOKUP(AX128,Verteil_sw,32,FALSE)+SUMIF($D$5:$D$125,"=bem",AX5:AX125)*HLOOKUP(AX128,Verteil_sw,33,FALSE)+SUMIF($D$5:$D$125,"=ber",AX5:AX125)*HLOOKUP(AX128,Verteil_sw,34,FALSE)+SUMIF($D$5:$D$125,"=bek",AX5:AX125)*HLOOKUP(AX128,Verteil_sw,35,FALSE)</f>
        <v>0</v>
      </c>
      <c r="AY131" s="102">
        <f t="shared" ref="AY131" si="448">IF(AX130&lt;&gt;0,AX131/AX130,0)</f>
        <v>0</v>
      </c>
      <c r="AZ131" s="659" t="s">
        <v>180</v>
      </c>
      <c r="BD131" s="217"/>
      <c r="BI131" s="101">
        <f>SUMIF($D$5:$D$125,"=bes",BI5:BI125)*HLOOKUP(BK128,Verteil_sw,32,FALSE)+SUMIF($D$5:$D$125,"=bem",BI5:BI125)*HLOOKUP(BK128,Verteil_sw,33,FALSE)+SUMIF($D$5:$D$125,"=ber",BI5:BI125)*HLOOKUP(BK128,Verteil_sw,34,FALSE)+SUMIF($D$5:$D$125,"=bek",BI5:BI125)*HLOOKUP(BK128,Verteil_sw,35,FALSE)</f>
        <v>0</v>
      </c>
      <c r="BJ131" s="102">
        <f t="shared" ref="BJ131" si="449">IF(BI130&lt;&gt;0,BI131/BI130,0)</f>
        <v>0</v>
      </c>
      <c r="BK131" s="101">
        <f>SUMIF($D$5:$D$125,"=bes",BK5:BK125)*HLOOKUP(BK128,Verteil_sw,32,FALSE)+SUMIF($D$5:$D$125,"=bem",BK5:BK125)*HLOOKUP(BK128,Verteil_sw,33,FALSE)+SUMIF($D$5:$D$125,"=ber",BK5:BK125)*HLOOKUP(BK128,Verteil_sw,34,FALSE)+SUMIF($D$5:$D$125,"=bek",BK5:BK125)*HLOOKUP(BK128,Verteil_sw,35,FALSE)</f>
        <v>0</v>
      </c>
      <c r="BL131" s="102">
        <f t="shared" ref="BL131" si="450">IF(BK130&lt;&gt;0,BK131/BK130,0)</f>
        <v>0</v>
      </c>
      <c r="BM131" s="659" t="s">
        <v>180</v>
      </c>
      <c r="BQ131" s="217"/>
      <c r="BV131" s="101">
        <f>SUMIF($D$5:$D$125,"=bes",BV5:BV125)*HLOOKUP(BX128,Verteil_sw,32,FALSE)+SUMIF($D$5:$D$125,"=bem",BV5:BV125)*HLOOKUP(BX128,Verteil_sw,33,FALSE)+SUMIF($D$5:$D$125,"=ber",BV5:BV125)*HLOOKUP(BX128,Verteil_sw,34,FALSE)+SUMIF($D$5:$D$125,"=bek",BV5:BV125)*HLOOKUP(BX128,Verteil_sw,35,FALSE)</f>
        <v>0</v>
      </c>
      <c r="BW131" s="102">
        <f t="shared" ref="BW131" si="451">IF(BV130&lt;&gt;0,BV131/BV130,0)</f>
        <v>0</v>
      </c>
      <c r="BX131" s="101">
        <f>SUMIF($D$5:$D$125,"=bes",BX5:BX125)*HLOOKUP(BX128,Verteil_sw,32,FALSE)+SUMIF($D$5:$D$125,"=bem",BX5:BX125)*HLOOKUP(BX128,Verteil_sw,33,FALSE)+SUMIF($D$5:$D$125,"=ber",BX5:BX125)*HLOOKUP(BX128,Verteil_sw,34,FALSE)+SUMIF($D$5:$D$125,"=bek",BX5:BX125)*HLOOKUP(BX128,Verteil_sw,35,FALSE)</f>
        <v>0</v>
      </c>
      <c r="BY131" s="102">
        <f t="shared" ref="BY131" si="452">IF(BX130&lt;&gt;0,BX131/BX130,0)</f>
        <v>0</v>
      </c>
      <c r="BZ131" s="659" t="s">
        <v>180</v>
      </c>
      <c r="CD131" s="217"/>
      <c r="CI131" s="101">
        <f>SUMIF($D$5:$D$125,"=bes",CI5:CI125)*HLOOKUP(CK128,Verteil_sw,32,FALSE)+SUMIF($D$5:$D$125,"=bem",CI5:CI125)*HLOOKUP(CK128,Verteil_sw,33,FALSE)+SUMIF($D$5:$D$125,"=ber",CI5:CI125)*HLOOKUP(CK128,Verteil_sw,34,FALSE)+SUMIF($D$5:$D$125,"=bek",CI5:CI125)*HLOOKUP(CK128,Verteil_sw,35,FALSE)</f>
        <v>0</v>
      </c>
      <c r="CJ131" s="102">
        <f t="shared" ref="CJ131" si="453">IF(CI130&lt;&gt;0,CI131/CI130,0)</f>
        <v>0</v>
      </c>
      <c r="CK131" s="101">
        <f>SUMIF($D$5:$D$125,"=bes",CK5:CK125)*HLOOKUP(CK128,Verteil_sw,32,FALSE)+SUMIF($D$5:$D$125,"=bem",CK5:CK125)*HLOOKUP(CK128,Verteil_sw,33,FALSE)+SUMIF($D$5:$D$125,"=ber",CK5:CK125)*HLOOKUP(CK128,Verteil_sw,34,FALSE)+SUMIF($D$5:$D$125,"=bek",CK5:CK125)*HLOOKUP(CK128,Verteil_sw,35,FALSE)</f>
        <v>0</v>
      </c>
      <c r="CL131" s="102">
        <f t="shared" ref="CL131" si="454">IF(CK130&lt;&gt;0,CK131/CK130,0)</f>
        <v>0</v>
      </c>
      <c r="CM131" s="659" t="s">
        <v>180</v>
      </c>
      <c r="CQ131" s="217"/>
      <c r="CV131" s="101">
        <f>SUMIF($D$5:$D$125,"=bes",CV5:CV125)*HLOOKUP(CX128,Verteil_sw,32,FALSE)+SUMIF($D$5:$D$125,"=bem",CV5:CV125)*HLOOKUP(CX128,Verteil_sw,33,FALSE)+SUMIF($D$5:$D$125,"=ber",CV5:CV125)*HLOOKUP(CX128,Verteil_sw,34,FALSE)+SUMIF($D$5:$D$125,"=bek",CV5:CV125)*HLOOKUP(CX128,Verteil_sw,35,FALSE)</f>
        <v>0</v>
      </c>
      <c r="CW131" s="102">
        <f t="shared" ref="CW131" si="455">IF(CV130&lt;&gt;0,CV131/CV130,0)</f>
        <v>0</v>
      </c>
      <c r="CX131" s="101">
        <f>SUMIF($D$5:$D$125,"=bes",CX5:CX125)*HLOOKUP(CX128,Verteil_sw,32,FALSE)+SUMIF($D$5:$D$125,"=bem",CX5:CX125)*HLOOKUP(CX128,Verteil_sw,33,FALSE)+SUMIF($D$5:$D$125,"=ber",CX5:CX125)*HLOOKUP(CX128,Verteil_sw,34,FALSE)+SUMIF($D$5:$D$125,"=bek",CX5:CX125)*HLOOKUP(CX128,Verteil_sw,35,FALSE)</f>
        <v>0</v>
      </c>
      <c r="CY131" s="102">
        <f t="shared" ref="CY131" si="456">IF(CX130&lt;&gt;0,CX131/CX130,0)</f>
        <v>0</v>
      </c>
      <c r="CZ131" s="659" t="s">
        <v>180</v>
      </c>
      <c r="DD131" s="217"/>
      <c r="DI131" s="101">
        <f>SUMIF($D$5:$D$125,"=bes",DI5:DI125)*HLOOKUP(DK128,Verteil_sw,32,FALSE)+SUMIF($D$5:$D$125,"=bem",DI5:DI125)*HLOOKUP(DK128,Verteil_sw,33,FALSE)+SUMIF($D$5:$D$125,"=ber",DI5:DI125)*HLOOKUP(DK128,Verteil_sw,34,FALSE)+SUMIF($D$5:$D$125,"=bek",DI5:DI125)*HLOOKUP(DK128,Verteil_sw,35,FALSE)</f>
        <v>0</v>
      </c>
      <c r="DJ131" s="102">
        <f t="shared" ref="DJ131" si="457">IF(DI130&lt;&gt;0,DI131/DI130,0)</f>
        <v>0</v>
      </c>
      <c r="DK131" s="101">
        <f>SUMIF($D$5:$D$125,"=bes",DK5:DK125)*HLOOKUP(DK128,Verteil_sw,32,FALSE)+SUMIF($D$5:$D$125,"=bem",DK5:DK125)*HLOOKUP(DK128,Verteil_sw,33,FALSE)+SUMIF($D$5:$D$125,"=ber",DK5:DK125)*HLOOKUP(DK128,Verteil_sw,34,FALSE)+SUMIF($D$5:$D$125,"=bek",DK5:DK125)*HLOOKUP(DK128,Verteil_sw,35,FALSE)</f>
        <v>0</v>
      </c>
      <c r="DL131" s="102">
        <f t="shared" ref="DL131" si="458">IF(DK130&lt;&gt;0,DK131/DK130,0)</f>
        <v>0</v>
      </c>
      <c r="DM131" s="659" t="s">
        <v>180</v>
      </c>
      <c r="DQ131" s="217"/>
      <c r="DV131" s="101">
        <f>SUMIF($D$5:$D$125,"=bes",DV5:DV125)*HLOOKUP(DX128,Verteil_sw,32,FALSE)+SUMIF($D$5:$D$125,"=bem",DV5:DV125)*HLOOKUP(DX128,Verteil_sw,33,FALSE)+SUMIF($D$5:$D$125,"=ber",DV5:DV125)*HLOOKUP(DX128,Verteil_sw,34,FALSE)+SUMIF($D$5:$D$125,"=bek",DV5:DV125)*HLOOKUP(DX128,Verteil_sw,35,FALSE)</f>
        <v>0</v>
      </c>
      <c r="DW131" s="102">
        <f t="shared" ref="DW131" si="459">IF(DV130&lt;&gt;0,DV131/DV130,0)</f>
        <v>0</v>
      </c>
      <c r="DX131" s="101">
        <f>SUMIF($D$5:$D$125,"=bes",DX5:DX125)*HLOOKUP(DX128,Verteil_sw,32,FALSE)+SUMIF($D$5:$D$125,"=bem",DX5:DX125)*HLOOKUP(DX128,Verteil_sw,33,FALSE)+SUMIF($D$5:$D$125,"=ber",DX5:DX125)*HLOOKUP(DX128,Verteil_sw,34,FALSE)+SUMIF($D$5:$D$125,"=bek",DX5:DX125)*HLOOKUP(DX128,Verteil_sw,35,FALSE)</f>
        <v>0</v>
      </c>
      <c r="DY131" s="102">
        <f t="shared" ref="DY131" si="460">IF(DX130&lt;&gt;0,DX131/DX130,0)</f>
        <v>0</v>
      </c>
      <c r="DZ131" s="659" t="s">
        <v>180</v>
      </c>
      <c r="ED131" s="217"/>
    </row>
    <row r="132" spans="1:134" hidden="1" x14ac:dyDescent="0.3">
      <c r="A132" s="84" t="s">
        <v>181</v>
      </c>
      <c r="Q132" s="217">
        <v>5</v>
      </c>
      <c r="V132" s="101">
        <f>SUMIF($D$5:$D$125,"=bes",V5:V125)*HLOOKUP(X128,Verteil_rwgr,31,FALSE)+SUMIF($D$5:$D$125,"=bem",V5:V125)*HLOOKUP(X128,Verteil_rwgr,32,FALSE)+SUMIF($D$5:$D$125,"=ber",V5:V125)*HLOOKUP(X128,Verteil_rwgr,33,FALSE)+SUMIF($D$5:$D$125,"=bek",V5:V125)*HLOOKUP(X128,Verteil_rwgr,34,FALSE)</f>
        <v>0</v>
      </c>
      <c r="W132" s="102">
        <f>IF(V130&lt;&gt;0,V132/V130,0)</f>
        <v>0</v>
      </c>
      <c r="X132" s="101">
        <f>SUMIF($D$5:$D$125,"=bes",X5:X125)*HLOOKUP(X128,Verteil_rwgr,31,FALSE)+SUMIF($D$5:$D$125,"=bem",X5:X125)*HLOOKUP(X128,Verteil_rwgr,32,FALSE)+SUMIF($D$5:$D$125,"=ber",X5:X125)*HLOOKUP(X128,Verteil_rwgr,33,FALSE)+SUMIF($D$5:$D$125,"=bek",X5:X125)*HLOOKUP(X128,Verteil_rwgr,34,FALSE)</f>
        <v>0</v>
      </c>
      <c r="Y132" s="102">
        <f>IF(X130&lt;&gt;0,X132/X130,0)</f>
        <v>0</v>
      </c>
      <c r="Z132" s="84" t="s">
        <v>181</v>
      </c>
      <c r="AD132" s="217"/>
      <c r="AI132" s="101">
        <f>SUMIF($D$5:$D$125,"=bes",AI5:AI125)*HLOOKUP(AK128,Verteil_rwgr,31,FALSE)+SUMIF($D$5:$D$125,"=bem",AI5:AI125)*HLOOKUP(AK128,Verteil_rwgr,32,FALSE)+SUMIF($D$5:$D$125,"=ber",AI5:AI125)*HLOOKUP(AK128,Verteil_rwgr,33,FALSE)+SUMIF($D$5:$D$125,"=bek",AI5:AI125)*HLOOKUP(AK128,Verteil_rwgr,34,FALSE)</f>
        <v>0</v>
      </c>
      <c r="AJ132" s="102">
        <f t="shared" ref="AJ132" si="461">IF(AI130&lt;&gt;0,AI132/AI130,0)</f>
        <v>0</v>
      </c>
      <c r="AK132" s="101">
        <f>SUMIF($D$5:$D$125,"=bes",AK5:AK125)*HLOOKUP(AK128,Verteil_rwgr,31,FALSE)+SUMIF($D$5:$D$125,"=bem",AK5:AK125)*HLOOKUP(AK128,Verteil_rwgr,32,FALSE)+SUMIF($D$5:$D$125,"=ber",AK5:AK125)*HLOOKUP(AK128,Verteil_rwgr,33,FALSE)+SUMIF($D$5:$D$125,"=bek",AK5:AK125)*HLOOKUP(AK128,Verteil_rwgr,34,FALSE)</f>
        <v>0</v>
      </c>
      <c r="AL132" s="102">
        <f t="shared" ref="AL132" si="462">IF(AK130&lt;&gt;0,AK132/AK130,0)</f>
        <v>0</v>
      </c>
      <c r="AM132" s="659" t="s">
        <v>181</v>
      </c>
      <c r="AQ132" s="217"/>
      <c r="AV132" s="101">
        <f>SUMIF($D$5:$D$125,"=bes",AV5:AV125)*HLOOKUP(AX128,Verteil_rwgr,31,FALSE)+SUMIF($D$5:$D$125,"=bem",AV5:AV125)*HLOOKUP(AX128,Verteil_rwgr,32,FALSE)+SUMIF($D$5:$D$125,"=ber",AV5:AV125)*HLOOKUP(AX128,Verteil_rwgr,33,FALSE)+SUMIF($D$5:$D$125,"=bek",AV5:AV125)*HLOOKUP(AX128,Verteil_rwgr,34,FALSE)</f>
        <v>0</v>
      </c>
      <c r="AW132" s="102">
        <f t="shared" ref="AW132" si="463">IF(AV130&lt;&gt;0,AV132/AV130,0)</f>
        <v>0</v>
      </c>
      <c r="AX132" s="101">
        <f>SUMIF($D$5:$D$125,"=bes",AX5:AX125)*HLOOKUP(AX128,Verteil_rwgr,31,FALSE)+SUMIF($D$5:$D$125,"=bem",AX5:AX125)*HLOOKUP(AX128,Verteil_rwgr,32,FALSE)+SUMIF($D$5:$D$125,"=ber",AX5:AX125)*HLOOKUP(AX128,Verteil_rwgr,33,FALSE)+SUMIF($D$5:$D$125,"=bek",AX5:AX125)*HLOOKUP(AX128,Verteil_rwgr,34,FALSE)</f>
        <v>0</v>
      </c>
      <c r="AY132" s="102">
        <f t="shared" ref="AY132" si="464">IF(AX130&lt;&gt;0,AX132/AX130,0)</f>
        <v>0</v>
      </c>
      <c r="AZ132" s="659" t="s">
        <v>181</v>
      </c>
      <c r="BD132" s="217"/>
      <c r="BI132" s="101">
        <f>SUMIF($D$5:$D$125,"=bes",BI5:BI125)*HLOOKUP(BK128,Verteil_rwgr,31,FALSE)+SUMIF($D$5:$D$125,"=bem",BI5:BI125)*HLOOKUP(BK128,Verteil_rwgr,32,FALSE)+SUMIF($D$5:$D$125,"=ber",BI5:BI125)*HLOOKUP(BK128,Verteil_rwgr,33,FALSE)+SUMIF($D$5:$D$125,"=bek",BI5:BI125)*HLOOKUP(BK128,Verteil_rwgr,34,FALSE)</f>
        <v>0</v>
      </c>
      <c r="BJ132" s="102">
        <f t="shared" ref="BJ132" si="465">IF(BI130&lt;&gt;0,BI132/BI130,0)</f>
        <v>0</v>
      </c>
      <c r="BK132" s="101">
        <f>SUMIF($D$5:$D$125,"=bes",BK5:BK125)*HLOOKUP(BK128,Verteil_rwgr,31,FALSE)+SUMIF($D$5:$D$125,"=bem",BK5:BK125)*HLOOKUP(BK128,Verteil_rwgr,32,FALSE)+SUMIF($D$5:$D$125,"=ber",BK5:BK125)*HLOOKUP(BK128,Verteil_rwgr,33,FALSE)+SUMIF($D$5:$D$125,"=bek",BK5:BK125)*HLOOKUP(BK128,Verteil_rwgr,34,FALSE)</f>
        <v>0</v>
      </c>
      <c r="BL132" s="102">
        <f t="shared" ref="BL132" si="466">IF(BK130&lt;&gt;0,BK132/BK130,0)</f>
        <v>0</v>
      </c>
      <c r="BM132" s="659" t="s">
        <v>181</v>
      </c>
      <c r="BQ132" s="217"/>
      <c r="BV132" s="101">
        <f>SUMIF($D$5:$D$125,"=bes",BV5:BV125)*HLOOKUP(BX128,Verteil_rwgr,31,FALSE)+SUMIF($D$5:$D$125,"=bem",BV5:BV125)*HLOOKUP(BX128,Verteil_rwgr,32,FALSE)+SUMIF($D$5:$D$125,"=ber",BV5:BV125)*HLOOKUP(BX128,Verteil_rwgr,33,FALSE)+SUMIF($D$5:$D$125,"=bek",BV5:BV125)*HLOOKUP(BX128,Verteil_rwgr,34,FALSE)</f>
        <v>0</v>
      </c>
      <c r="BW132" s="102">
        <f t="shared" ref="BW132" si="467">IF(BV130&lt;&gt;0,BV132/BV130,0)</f>
        <v>0</v>
      </c>
      <c r="BX132" s="101">
        <f>SUMIF($D$5:$D$125,"=bes",BX5:BX125)*HLOOKUP(BX128,Verteil_rwgr,31,FALSE)+SUMIF($D$5:$D$125,"=bem",BX5:BX125)*HLOOKUP(BX128,Verteil_rwgr,32,FALSE)+SUMIF($D$5:$D$125,"=ber",BX5:BX125)*HLOOKUP(BX128,Verteil_rwgr,33,FALSE)+SUMIF($D$5:$D$125,"=bek",BX5:BX125)*HLOOKUP(BX128,Verteil_rwgr,34,FALSE)</f>
        <v>0</v>
      </c>
      <c r="BY132" s="102">
        <f t="shared" ref="BY132" si="468">IF(BX130&lt;&gt;0,BX132/BX130,0)</f>
        <v>0</v>
      </c>
      <c r="BZ132" s="659" t="s">
        <v>181</v>
      </c>
      <c r="CD132" s="217"/>
      <c r="CI132" s="101">
        <f>SUMIF($D$5:$D$125,"=bes",CI5:CI125)*HLOOKUP(CK128,Verteil_rwgr,31,FALSE)+SUMIF($D$5:$D$125,"=bem",CI5:CI125)*HLOOKUP(CK128,Verteil_rwgr,32,FALSE)+SUMIF($D$5:$D$125,"=ber",CI5:CI125)*HLOOKUP(CK128,Verteil_rwgr,33,FALSE)+SUMIF($D$5:$D$125,"=bek",CI5:CI125)*HLOOKUP(CK128,Verteil_rwgr,34,FALSE)</f>
        <v>0</v>
      </c>
      <c r="CJ132" s="102">
        <f t="shared" ref="CJ132" si="469">IF(CI130&lt;&gt;0,CI132/CI130,0)</f>
        <v>0</v>
      </c>
      <c r="CK132" s="101">
        <f>SUMIF($D$5:$D$125,"=bes",CK5:CK125)*HLOOKUP(CK128,Verteil_rwgr,31,FALSE)+SUMIF($D$5:$D$125,"=bem",CK5:CK125)*HLOOKUP(CK128,Verteil_rwgr,32,FALSE)+SUMIF($D$5:$D$125,"=ber",CK5:CK125)*HLOOKUP(CK128,Verteil_rwgr,33,FALSE)+SUMIF($D$5:$D$125,"=bek",CK5:CK125)*HLOOKUP(CK128,Verteil_rwgr,34,FALSE)</f>
        <v>0</v>
      </c>
      <c r="CL132" s="102">
        <f t="shared" ref="CL132" si="470">IF(CK130&lt;&gt;0,CK132/CK130,0)</f>
        <v>0</v>
      </c>
      <c r="CM132" s="659" t="s">
        <v>181</v>
      </c>
      <c r="CQ132" s="217"/>
      <c r="CV132" s="101">
        <f>SUMIF($D$5:$D$125,"=bes",CV5:CV125)*HLOOKUP(CX128,Verteil_rwgr,31,FALSE)+SUMIF($D$5:$D$125,"=bem",CV5:CV125)*HLOOKUP(CX128,Verteil_rwgr,32,FALSE)+SUMIF($D$5:$D$125,"=ber",CV5:CV125)*HLOOKUP(CX128,Verteil_rwgr,33,FALSE)+SUMIF($D$5:$D$125,"=bek",CV5:CV125)*HLOOKUP(CX128,Verteil_rwgr,34,FALSE)</f>
        <v>0</v>
      </c>
      <c r="CW132" s="102">
        <f t="shared" ref="CW132" si="471">IF(CV130&lt;&gt;0,CV132/CV130,0)</f>
        <v>0</v>
      </c>
      <c r="CX132" s="101">
        <f>SUMIF($D$5:$D$125,"=bes",CX5:CX125)*HLOOKUP(CX128,Verteil_rwgr,31,FALSE)+SUMIF($D$5:$D$125,"=bem",CX5:CX125)*HLOOKUP(CX128,Verteil_rwgr,32,FALSE)+SUMIF($D$5:$D$125,"=ber",CX5:CX125)*HLOOKUP(CX128,Verteil_rwgr,33,FALSE)+SUMIF($D$5:$D$125,"=bek",CX5:CX125)*HLOOKUP(CX128,Verteil_rwgr,34,FALSE)</f>
        <v>0</v>
      </c>
      <c r="CY132" s="102">
        <f t="shared" ref="CY132" si="472">IF(CX130&lt;&gt;0,CX132/CX130,0)</f>
        <v>0</v>
      </c>
      <c r="CZ132" s="659" t="s">
        <v>181</v>
      </c>
      <c r="DD132" s="217"/>
      <c r="DI132" s="101">
        <f>SUMIF($D$5:$D$125,"=bes",DI5:DI125)*HLOOKUP(DK128,Verteil_rwgr,31,FALSE)+SUMIF($D$5:$D$125,"=bem",DI5:DI125)*HLOOKUP(DK128,Verteil_rwgr,32,FALSE)+SUMIF($D$5:$D$125,"=ber",DI5:DI125)*HLOOKUP(DK128,Verteil_rwgr,33,FALSE)+SUMIF($D$5:$D$125,"=bek",DI5:DI125)*HLOOKUP(DK128,Verteil_rwgr,34,FALSE)</f>
        <v>0</v>
      </c>
      <c r="DJ132" s="102">
        <f t="shared" ref="DJ132" si="473">IF(DI130&lt;&gt;0,DI132/DI130,0)</f>
        <v>0</v>
      </c>
      <c r="DK132" s="101">
        <f>SUMIF($D$5:$D$125,"=bes",DK5:DK125)*HLOOKUP(DK128,Verteil_rwgr,31,FALSE)+SUMIF($D$5:$D$125,"=bem",DK5:DK125)*HLOOKUP(DK128,Verteil_rwgr,32,FALSE)+SUMIF($D$5:$D$125,"=ber",DK5:DK125)*HLOOKUP(DK128,Verteil_rwgr,33,FALSE)+SUMIF($D$5:$D$125,"=bek",DK5:DK125)*HLOOKUP(DK128,Verteil_rwgr,34,FALSE)</f>
        <v>0</v>
      </c>
      <c r="DL132" s="102">
        <f t="shared" ref="DL132" si="474">IF(DK130&lt;&gt;0,DK132/DK130,0)</f>
        <v>0</v>
      </c>
      <c r="DM132" s="659" t="s">
        <v>181</v>
      </c>
      <c r="DQ132" s="217"/>
      <c r="DV132" s="101">
        <f>SUMIF($D$5:$D$125,"=bes",DV5:DV125)*HLOOKUP(DX128,Verteil_rwgr,31,FALSE)+SUMIF($D$5:$D$125,"=bem",DV5:DV125)*HLOOKUP(DX128,Verteil_rwgr,32,FALSE)+SUMIF($D$5:$D$125,"=ber",DV5:DV125)*HLOOKUP(DX128,Verteil_rwgr,33,FALSE)+SUMIF($D$5:$D$125,"=bek",DV5:DV125)*HLOOKUP(DX128,Verteil_rwgr,34,FALSE)</f>
        <v>0</v>
      </c>
      <c r="DW132" s="102">
        <f t="shared" ref="DW132" si="475">IF(DV130&lt;&gt;0,DV132/DV130,0)</f>
        <v>0</v>
      </c>
      <c r="DX132" s="101">
        <f>SUMIF($D$5:$D$125,"=bes",DX5:DX125)*HLOOKUP(DX128,Verteil_rwgr,31,FALSE)+SUMIF($D$5:$D$125,"=bem",DX5:DX125)*HLOOKUP(DX128,Verteil_rwgr,32,FALSE)+SUMIF($D$5:$D$125,"=ber",DX5:DX125)*HLOOKUP(DX128,Verteil_rwgr,33,FALSE)+SUMIF($D$5:$D$125,"=bek",DX5:DX125)*HLOOKUP(DX128,Verteil_rwgr,34,FALSE)</f>
        <v>0</v>
      </c>
      <c r="DY132" s="102">
        <f t="shared" ref="DY132" si="476">IF(DX130&lt;&gt;0,DX132/DX130,0)</f>
        <v>0</v>
      </c>
      <c r="DZ132" s="659" t="s">
        <v>181</v>
      </c>
      <c r="ED132" s="217"/>
    </row>
    <row r="133" spans="1:134" hidden="1" x14ac:dyDescent="0.3">
      <c r="A133" s="84" t="s">
        <v>186</v>
      </c>
      <c r="Q133" s="217">
        <v>6</v>
      </c>
      <c r="V133" s="101"/>
      <c r="W133" s="102"/>
      <c r="X133" s="101"/>
      <c r="Y133" s="102"/>
      <c r="Z133" s="84" t="s">
        <v>186</v>
      </c>
      <c r="AD133" s="217"/>
      <c r="AI133" s="101"/>
      <c r="AJ133" s="102"/>
      <c r="AK133" s="101"/>
      <c r="AL133" s="102"/>
      <c r="AM133" s="659" t="s">
        <v>186</v>
      </c>
      <c r="AQ133" s="217"/>
      <c r="AV133" s="101"/>
      <c r="AW133" s="102"/>
      <c r="AX133" s="101"/>
      <c r="AY133" s="102"/>
      <c r="AZ133" s="659" t="s">
        <v>186</v>
      </c>
      <c r="BD133" s="217"/>
      <c r="BI133" s="101"/>
      <c r="BJ133" s="102"/>
      <c r="BK133" s="101"/>
      <c r="BL133" s="102"/>
      <c r="BM133" s="659" t="s">
        <v>186</v>
      </c>
      <c r="BQ133" s="217"/>
      <c r="BV133" s="101"/>
      <c r="BW133" s="102"/>
      <c r="BX133" s="101"/>
      <c r="BY133" s="102"/>
      <c r="BZ133" s="659" t="s">
        <v>186</v>
      </c>
      <c r="CD133" s="217"/>
      <c r="CI133" s="101"/>
      <c r="CJ133" s="102"/>
      <c r="CK133" s="101"/>
      <c r="CL133" s="102"/>
      <c r="CM133" s="659" t="s">
        <v>186</v>
      </c>
      <c r="CQ133" s="217"/>
      <c r="CV133" s="101"/>
      <c r="CW133" s="102"/>
      <c r="CX133" s="101"/>
      <c r="CY133" s="102"/>
      <c r="CZ133" s="659" t="s">
        <v>186</v>
      </c>
      <c r="DD133" s="217"/>
      <c r="DI133" s="101"/>
      <c r="DJ133" s="102"/>
      <c r="DK133" s="101"/>
      <c r="DL133" s="102"/>
      <c r="DM133" s="659" t="s">
        <v>186</v>
      </c>
      <c r="DQ133" s="217"/>
      <c r="DV133" s="101"/>
      <c r="DW133" s="102"/>
      <c r="DX133" s="101"/>
      <c r="DY133" s="102"/>
      <c r="DZ133" s="659" t="s">
        <v>186</v>
      </c>
      <c r="ED133" s="217"/>
    </row>
    <row r="134" spans="1:134" hidden="1" x14ac:dyDescent="0.3">
      <c r="A134" s="302" t="s">
        <v>459</v>
      </c>
      <c r="Q134" s="217">
        <v>7</v>
      </c>
      <c r="V134" s="101">
        <f>SUMIF($D$5:$D$125,"=bez",V5:V125)</f>
        <v>7105203</v>
      </c>
      <c r="W134" s="102">
        <f>SUM(W135:W137)</f>
        <v>1</v>
      </c>
      <c r="X134" s="101">
        <f>SUMIF($D$5:$D$125,"=bez",X5:X125)</f>
        <v>211024.53</v>
      </c>
      <c r="Y134" s="102">
        <f>SUM(Y135:Y137)</f>
        <v>1</v>
      </c>
      <c r="Z134" s="209" t="s">
        <v>459</v>
      </c>
      <c r="AD134" s="217"/>
      <c r="AI134" s="101">
        <f t="shared" ref="AI134" si="477">SUMIF($D$5:$D$125,"=bez",AI5:AI125)</f>
        <v>7105203</v>
      </c>
      <c r="AJ134" s="102">
        <f t="shared" ref="AJ134" si="478">SUM(AJ135:AJ137)</f>
        <v>1</v>
      </c>
      <c r="AK134" s="101">
        <f t="shared" ref="AK134" si="479">SUMIF($D$5:$D$125,"=bez",AK5:AK125)</f>
        <v>211024.53</v>
      </c>
      <c r="AL134" s="102">
        <f t="shared" ref="AL134" si="480">SUM(AL135:AL137)</f>
        <v>1</v>
      </c>
      <c r="AM134" s="302" t="s">
        <v>459</v>
      </c>
      <c r="AQ134" s="217"/>
      <c r="AV134" s="101">
        <f t="shared" ref="AV134" si="481">SUMIF($D$5:$D$125,"=bez",AV5:AV125)</f>
        <v>7105203</v>
      </c>
      <c r="AW134" s="102">
        <f t="shared" ref="AW134" si="482">SUM(AW135:AW137)</f>
        <v>1</v>
      </c>
      <c r="AX134" s="101">
        <f t="shared" ref="AX134" si="483">SUMIF($D$5:$D$125,"=bez",AX5:AX125)</f>
        <v>191304.53</v>
      </c>
      <c r="AY134" s="102">
        <f t="shared" ref="AY134" si="484">SUM(AY135:AY137)</f>
        <v>1</v>
      </c>
      <c r="AZ134" s="302" t="s">
        <v>459</v>
      </c>
      <c r="BD134" s="217"/>
      <c r="BI134" s="101">
        <f t="shared" ref="BI134" si="485">SUMIF($D$5:$D$125,"=bez",BI5:BI125)</f>
        <v>7105203</v>
      </c>
      <c r="BJ134" s="102">
        <f t="shared" ref="BJ134" si="486">SUM(BJ135:BJ137)</f>
        <v>1</v>
      </c>
      <c r="BK134" s="101">
        <f t="shared" ref="BK134" si="487">SUMIF($D$5:$D$125,"=bez",BK5:BK125)</f>
        <v>178934.53</v>
      </c>
      <c r="BL134" s="102">
        <f t="shared" ref="BL134" si="488">SUM(BL135:BL137)</f>
        <v>1</v>
      </c>
      <c r="BM134" s="302" t="s">
        <v>459</v>
      </c>
      <c r="BQ134" s="217"/>
      <c r="BV134" s="101">
        <f t="shared" ref="BV134" si="489">SUMIF($D$5:$D$125,"=bez",BV5:BV125)</f>
        <v>7105203</v>
      </c>
      <c r="BW134" s="102">
        <f t="shared" ref="BW134" si="490">SUM(BW135:BW137)</f>
        <v>1</v>
      </c>
      <c r="BX134" s="101">
        <f t="shared" ref="BX134" si="491">SUMIF($D$5:$D$125,"=bez",BX5:BX125)</f>
        <v>162019.53</v>
      </c>
      <c r="BY134" s="102">
        <f t="shared" ref="BY134" si="492">SUM(BY135:BY137)</f>
        <v>1</v>
      </c>
      <c r="BZ134" s="302" t="s">
        <v>459</v>
      </c>
      <c r="CD134" s="217"/>
      <c r="CI134" s="101">
        <f t="shared" ref="CI134" si="493">SUMIF($D$5:$D$125,"=bez",CI5:CI125)</f>
        <v>7105203</v>
      </c>
      <c r="CJ134" s="102">
        <f t="shared" ref="CJ134" si="494">SUM(CJ135:CJ137)</f>
        <v>1</v>
      </c>
      <c r="CK134" s="101">
        <f t="shared" ref="CK134" si="495">SUMIF($D$5:$D$125,"=bez",CK5:CK125)</f>
        <v>150790.53</v>
      </c>
      <c r="CL134" s="102">
        <f t="shared" ref="CL134" si="496">SUM(CL135:CL137)</f>
        <v>1</v>
      </c>
      <c r="CM134" s="302" t="s">
        <v>459</v>
      </c>
      <c r="CQ134" s="217"/>
      <c r="CV134" s="101">
        <f t="shared" ref="CV134" si="497">SUMIF($D$5:$D$125,"=bez",CV5:CV125)</f>
        <v>7105203</v>
      </c>
      <c r="CW134" s="102">
        <f t="shared" ref="CW134" si="498">SUM(CW135:CW137)</f>
        <v>1</v>
      </c>
      <c r="CX134" s="101">
        <f t="shared" ref="CX134" si="499">SUMIF($D$5:$D$125,"=bez",CX5:CX125)</f>
        <v>145090.53</v>
      </c>
      <c r="CY134" s="102">
        <f t="shared" ref="CY134" si="500">SUM(CY135:CY137)</f>
        <v>1</v>
      </c>
      <c r="CZ134" s="302" t="s">
        <v>459</v>
      </c>
      <c r="DD134" s="217"/>
      <c r="DI134" s="101">
        <f t="shared" ref="DI134" si="501">SUMIF($D$5:$D$125,"=bez",DI5:DI125)</f>
        <v>7105203</v>
      </c>
      <c r="DJ134" s="102">
        <f t="shared" ref="DJ134" si="502">SUM(DJ135:DJ137)</f>
        <v>1</v>
      </c>
      <c r="DK134" s="101">
        <f t="shared" ref="DK134" si="503">SUMIF($D$5:$D$125,"=bez",DK5:DK125)</f>
        <v>145090.53</v>
      </c>
      <c r="DL134" s="102">
        <f t="shared" ref="DL134" si="504">SUM(DL135:DL137)</f>
        <v>1</v>
      </c>
      <c r="DM134" s="302" t="s">
        <v>459</v>
      </c>
      <c r="DQ134" s="217"/>
      <c r="DV134" s="101">
        <f t="shared" ref="DV134" si="505">SUMIF($D$5:$D$125,"=bez",DV5:DV125)</f>
        <v>7105203</v>
      </c>
      <c r="DW134" s="102">
        <f t="shared" ref="DW134" si="506">SUM(DW135:DW137)</f>
        <v>0.99999999999999989</v>
      </c>
      <c r="DX134" s="101">
        <f t="shared" ref="DX134" si="507">SUMIF($D$5:$D$125,"=bez",DX5:DX125)</f>
        <v>145090.53</v>
      </c>
      <c r="DY134" s="102">
        <f t="shared" ref="DY134" si="508">SUM(DY135:DY137)</f>
        <v>1</v>
      </c>
      <c r="DZ134" s="302" t="s">
        <v>459</v>
      </c>
      <c r="ED134" s="217"/>
    </row>
    <row r="135" spans="1:134" hidden="1" x14ac:dyDescent="0.3">
      <c r="A135" s="84" t="s">
        <v>180</v>
      </c>
      <c r="Q135" s="217">
        <v>8</v>
      </c>
      <c r="V135" s="101">
        <f>SUMIF($D$5:$D$125,"=bez",V5:V125)*HLOOKUP(X128,Verteil_sw,36,FALSE)</f>
        <v>5210884.8281699996</v>
      </c>
      <c r="W135" s="102">
        <f>IF(V134&lt;&gt;0,V135/V134,0)</f>
        <v>0.73338999999999999</v>
      </c>
      <c r="X135" s="101">
        <f>SUMIF($D$5:$D$125,"=bez",X5:X125)*HLOOKUP(X128,Verteil_sw,36,FALSE)</f>
        <v>154763.28005669999</v>
      </c>
      <c r="Y135" s="102">
        <f>IF(X134&lt;&gt;0,X135/X134,0)</f>
        <v>0.73338999999999999</v>
      </c>
      <c r="Z135" s="84" t="s">
        <v>180</v>
      </c>
      <c r="AD135" s="217"/>
      <c r="AI135" s="101">
        <f>SUMIF($D$5:$D$125,"=bez",AI5:AI125)*HLOOKUP(AK128,Verteil_sw,36,FALSE)</f>
        <v>5210884.8281699996</v>
      </c>
      <c r="AJ135" s="102">
        <f t="shared" ref="AJ135" si="509">IF(AI134&lt;&gt;0,AI135/AI134,0)</f>
        <v>0.73338999999999999</v>
      </c>
      <c r="AK135" s="101">
        <f>SUMIF($D$5:$D$125,"=bez",AK5:AK125)*HLOOKUP(AK128,Verteil_sw,36,FALSE)</f>
        <v>154763.28005669999</v>
      </c>
      <c r="AL135" s="102">
        <f t="shared" ref="AL135" si="510">IF(AK134&lt;&gt;0,AK135/AK134,0)</f>
        <v>0.73338999999999999</v>
      </c>
      <c r="AM135" s="659" t="s">
        <v>180</v>
      </c>
      <c r="AQ135" s="217"/>
      <c r="AV135" s="101">
        <f>SUMIF($D$5:$D$125,"=bez",AV5:AV125)*HLOOKUP(AX128,Verteil_sw,36,FALSE)</f>
        <v>5210884.8281699996</v>
      </c>
      <c r="AW135" s="102">
        <f t="shared" ref="AW135" si="511">IF(AV134&lt;&gt;0,AV135/AV134,0)</f>
        <v>0.73338999999999999</v>
      </c>
      <c r="AX135" s="101">
        <f>SUMIF($D$5:$D$125,"=bez",AX5:AX125)*HLOOKUP(AX128,Verteil_sw,36,FALSE)</f>
        <v>140300.8292567</v>
      </c>
      <c r="AY135" s="102">
        <f t="shared" ref="AY135" si="512">IF(AX134&lt;&gt;0,AX135/AX134,0)</f>
        <v>0.73338999999999999</v>
      </c>
      <c r="AZ135" s="659" t="s">
        <v>180</v>
      </c>
      <c r="BD135" s="217"/>
      <c r="BI135" s="101">
        <f>SUMIF($D$5:$D$125,"=bez",BI5:BI125)*HLOOKUP(BK128,Verteil_sw,36,FALSE)</f>
        <v>5210884.8281699996</v>
      </c>
      <c r="BJ135" s="102">
        <f t="shared" ref="BJ135" si="513">IF(BI134&lt;&gt;0,BI135/BI134,0)</f>
        <v>0.73338999999999999</v>
      </c>
      <c r="BK135" s="101">
        <f>SUMIF($D$5:$D$125,"=bez",BK5:BK125)*HLOOKUP(BK128,Verteil_sw,36,FALSE)</f>
        <v>131228.7949567</v>
      </c>
      <c r="BL135" s="102">
        <f t="shared" ref="BL135" si="514">IF(BK134&lt;&gt;0,BK135/BK134,0)</f>
        <v>0.73338999999999999</v>
      </c>
      <c r="BM135" s="659" t="s">
        <v>180</v>
      </c>
      <c r="BQ135" s="217"/>
      <c r="BV135" s="101">
        <f>SUMIF($D$5:$D$125,"=bez",BV5:BV125)*HLOOKUP(BX128,Verteil_sw,36,FALSE)</f>
        <v>5210884.8281699996</v>
      </c>
      <c r="BW135" s="102">
        <f t="shared" ref="BW135" si="515">IF(BV134&lt;&gt;0,BV135/BV134,0)</f>
        <v>0.73338999999999999</v>
      </c>
      <c r="BX135" s="101">
        <f>SUMIF($D$5:$D$125,"=bez",BX5:BX125)*HLOOKUP(BX128,Verteil_sw,36,FALSE)</f>
        <v>118823.50310669999</v>
      </c>
      <c r="BY135" s="102">
        <f t="shared" ref="BY135" si="516">IF(BX134&lt;&gt;0,BX135/BX134,0)</f>
        <v>0.73338999999999999</v>
      </c>
      <c r="BZ135" s="659" t="s">
        <v>180</v>
      </c>
      <c r="CD135" s="217"/>
      <c r="CI135" s="101">
        <f>SUMIF($D$5:$D$125,"=bez",CI5:CI125)*HLOOKUP(CK128,Verteil_sw,36,FALSE)</f>
        <v>5210884.8281699996</v>
      </c>
      <c r="CJ135" s="102">
        <f t="shared" ref="CJ135" si="517">IF(CI134&lt;&gt;0,CI135/CI134,0)</f>
        <v>0.73338999999999999</v>
      </c>
      <c r="CK135" s="101">
        <f>SUMIF($D$5:$D$125,"=bez",CK5:CK125)*HLOOKUP(CK128,Verteil_sw,36,FALSE)</f>
        <v>110588.2667967</v>
      </c>
      <c r="CL135" s="102">
        <f t="shared" ref="CL135" si="518">IF(CK134&lt;&gt;0,CK135/CK134,0)</f>
        <v>0.73338999999999999</v>
      </c>
      <c r="CM135" s="659" t="s">
        <v>180</v>
      </c>
      <c r="CQ135" s="217"/>
      <c r="CV135" s="101">
        <f>SUMIF($D$5:$D$125,"=bez",CV5:CV125)*HLOOKUP(CX128,Verteil_sw,36,FALSE)</f>
        <v>5210884.8281699996</v>
      </c>
      <c r="CW135" s="102">
        <f t="shared" ref="CW135" si="519">IF(CV134&lt;&gt;0,CV135/CV134,0)</f>
        <v>0.73338999999999999</v>
      </c>
      <c r="CX135" s="101">
        <f>SUMIF($D$5:$D$125,"=bez",CX5:CX125)*HLOOKUP(CX128,Verteil_sw,36,FALSE)</f>
        <v>106407.9437967</v>
      </c>
      <c r="CY135" s="102">
        <f t="shared" ref="CY135" si="520">IF(CX134&lt;&gt;0,CX135/CX134,0)</f>
        <v>0.73338999999999999</v>
      </c>
      <c r="CZ135" s="659" t="s">
        <v>180</v>
      </c>
      <c r="DD135" s="217"/>
      <c r="DI135" s="101">
        <f>SUMIF($D$5:$D$125,"=bez",DI5:DI125)*HLOOKUP(DK128,Verteil_sw,36,FALSE)</f>
        <v>5210884.8281699996</v>
      </c>
      <c r="DJ135" s="102">
        <f t="shared" ref="DJ135" si="521">IF(DI134&lt;&gt;0,DI135/DI134,0)</f>
        <v>0.73338999999999999</v>
      </c>
      <c r="DK135" s="101">
        <f>SUMIF($D$5:$D$125,"=bez",DK5:DK125)*HLOOKUP(DK128,Verteil_sw,36,FALSE)</f>
        <v>106407.9437967</v>
      </c>
      <c r="DL135" s="102">
        <f t="shared" ref="DL135" si="522">IF(DK134&lt;&gt;0,DK135/DK134,0)</f>
        <v>0.73338999999999999</v>
      </c>
      <c r="DM135" s="659" t="s">
        <v>180</v>
      </c>
      <c r="DQ135" s="217"/>
      <c r="DV135" s="101">
        <f>SUMIF($D$5:$D$125,"=bez",DV5:DV125)*HLOOKUP(DX128,Verteil_sw,36,FALSE)</f>
        <v>5277460.5802799994</v>
      </c>
      <c r="DW135" s="102">
        <f t="shared" ref="DW135" si="523">IF(DV134&lt;&gt;0,DV135/DV134,0)</f>
        <v>0.74275999999999986</v>
      </c>
      <c r="DX135" s="101">
        <f>SUMIF($D$5:$D$125,"=bez",DX5:DX125)*HLOOKUP(DX128,Verteil_sw,36,FALSE)</f>
        <v>107767.44206279999</v>
      </c>
      <c r="DY135" s="102">
        <f t="shared" ref="DY135" si="524">IF(DX134&lt;&gt;0,DX135/DX134,0)</f>
        <v>0.74275999999999998</v>
      </c>
      <c r="DZ135" s="659" t="s">
        <v>180</v>
      </c>
      <c r="ED135" s="217"/>
    </row>
    <row r="136" spans="1:134" hidden="1" x14ac:dyDescent="0.3">
      <c r="A136" s="84" t="s">
        <v>181</v>
      </c>
      <c r="Q136" s="217">
        <v>9</v>
      </c>
      <c r="V136" s="101">
        <f>SUMIF($D$5:$D$125,"=bez",V5:V125)*HLOOKUP(X128,Verteil_rwgr,35,FALSE)</f>
        <v>1894318.1718300001</v>
      </c>
      <c r="W136" s="102">
        <f>IF(V134&lt;&gt;0,V136/V134,0)</f>
        <v>0.26661000000000001</v>
      </c>
      <c r="X136" s="101">
        <f>SUMIF($D$5:$D$125,"=bez",X5:X125)*HLOOKUP(X128,Verteil_rwgr,35,FALSE)</f>
        <v>56261.249943300005</v>
      </c>
      <c r="Y136" s="102">
        <f>IF(X134&lt;&gt;0,X136/X134,0)</f>
        <v>0.26661000000000001</v>
      </c>
      <c r="Z136" s="84" t="s">
        <v>181</v>
      </c>
      <c r="AD136" s="217"/>
      <c r="AI136" s="101">
        <f>SUMIF($D$5:$D$125,"=bez",AI5:AI125)*HLOOKUP(AK128,Verteil_rwgr,35,FALSE)</f>
        <v>1894318.1718300001</v>
      </c>
      <c r="AJ136" s="102">
        <f t="shared" ref="AJ136" si="525">IF(AI134&lt;&gt;0,AI136/AI134,0)</f>
        <v>0.26661000000000001</v>
      </c>
      <c r="AK136" s="101">
        <f>SUMIF($D$5:$D$125,"=bez",AK5:AK125)*HLOOKUP(AK128,Verteil_rwgr,35,FALSE)</f>
        <v>56261.249943300005</v>
      </c>
      <c r="AL136" s="102">
        <f t="shared" ref="AL136" si="526">IF(AK134&lt;&gt;0,AK136/AK134,0)</f>
        <v>0.26661000000000001</v>
      </c>
      <c r="AM136" s="659" t="s">
        <v>181</v>
      </c>
      <c r="AQ136" s="217"/>
      <c r="AV136" s="101">
        <f>SUMIF($D$5:$D$125,"=bez",AV5:AV125)*HLOOKUP(AX128,Verteil_rwgr,35,FALSE)</f>
        <v>1894318.1718300001</v>
      </c>
      <c r="AW136" s="102">
        <f t="shared" ref="AW136" si="527">IF(AV134&lt;&gt;0,AV136/AV134,0)</f>
        <v>0.26661000000000001</v>
      </c>
      <c r="AX136" s="101">
        <f>SUMIF($D$5:$D$125,"=bez",AX5:AX125)*HLOOKUP(AX128,Verteil_rwgr,35,FALSE)</f>
        <v>51003.700743300004</v>
      </c>
      <c r="AY136" s="102">
        <f t="shared" ref="AY136" si="528">IF(AX134&lt;&gt;0,AX136/AX134,0)</f>
        <v>0.26661000000000001</v>
      </c>
      <c r="AZ136" s="659" t="s">
        <v>181</v>
      </c>
      <c r="BD136" s="217"/>
      <c r="BI136" s="101">
        <f>SUMIF($D$5:$D$125,"=bez",BI5:BI125)*HLOOKUP(BK128,Verteil_rwgr,35,FALSE)</f>
        <v>1894318.1718300001</v>
      </c>
      <c r="BJ136" s="102">
        <f t="shared" ref="BJ136" si="529">IF(BI134&lt;&gt;0,BI136/BI134,0)</f>
        <v>0.26661000000000001</v>
      </c>
      <c r="BK136" s="101">
        <f>SUMIF($D$5:$D$125,"=bez",BK5:BK125)*HLOOKUP(BK128,Verteil_rwgr,35,FALSE)</f>
        <v>47705.735043300003</v>
      </c>
      <c r="BL136" s="102">
        <f t="shared" ref="BL136" si="530">IF(BK134&lt;&gt;0,BK136/BK134,0)</f>
        <v>0.26661000000000001</v>
      </c>
      <c r="BM136" s="659" t="s">
        <v>181</v>
      </c>
      <c r="BQ136" s="217"/>
      <c r="BV136" s="101">
        <f>SUMIF($D$5:$D$125,"=bez",BV5:BV125)*HLOOKUP(BX128,Verteil_rwgr,35,FALSE)</f>
        <v>1894318.1718300001</v>
      </c>
      <c r="BW136" s="102">
        <f t="shared" ref="BW136" si="531">IF(BV134&lt;&gt;0,BV136/BV134,0)</f>
        <v>0.26661000000000001</v>
      </c>
      <c r="BX136" s="101">
        <f>SUMIF($D$5:$D$125,"=bez",BX5:BX125)*HLOOKUP(BX128,Verteil_rwgr,35,FALSE)</f>
        <v>43196.026893300004</v>
      </c>
      <c r="BY136" s="102">
        <f t="shared" ref="BY136" si="532">IF(BX134&lt;&gt;0,BX136/BX134,0)</f>
        <v>0.26661000000000001</v>
      </c>
      <c r="BZ136" s="659" t="s">
        <v>181</v>
      </c>
      <c r="CD136" s="217"/>
      <c r="CI136" s="101">
        <f>SUMIF($D$5:$D$125,"=bez",CI5:CI125)*HLOOKUP(CK128,Verteil_rwgr,35,FALSE)</f>
        <v>1894318.1718300001</v>
      </c>
      <c r="CJ136" s="102">
        <f t="shared" ref="CJ136" si="533">IF(CI134&lt;&gt;0,CI136/CI134,0)</f>
        <v>0.26661000000000001</v>
      </c>
      <c r="CK136" s="101">
        <f>SUMIF($D$5:$D$125,"=bez",CK5:CK125)*HLOOKUP(CK128,Verteil_rwgr,35,FALSE)</f>
        <v>40202.263203300005</v>
      </c>
      <c r="CL136" s="102">
        <f t="shared" ref="CL136" si="534">IF(CK134&lt;&gt;0,CK136/CK134,0)</f>
        <v>0.26661000000000001</v>
      </c>
      <c r="CM136" s="659" t="s">
        <v>181</v>
      </c>
      <c r="CQ136" s="217"/>
      <c r="CV136" s="101">
        <f>SUMIF($D$5:$D$125,"=bez",CV5:CV125)*HLOOKUP(CX128,Verteil_rwgr,35,FALSE)</f>
        <v>1894318.1718300001</v>
      </c>
      <c r="CW136" s="102">
        <f t="shared" ref="CW136" si="535">IF(CV134&lt;&gt;0,CV136/CV134,0)</f>
        <v>0.26661000000000001</v>
      </c>
      <c r="CX136" s="101">
        <f>SUMIF($D$5:$D$125,"=bez",CX5:CX125)*HLOOKUP(CX128,Verteil_rwgr,35,FALSE)</f>
        <v>38682.586203300001</v>
      </c>
      <c r="CY136" s="102">
        <f t="shared" ref="CY136" si="536">IF(CX134&lt;&gt;0,CX136/CX134,0)</f>
        <v>0.26661000000000001</v>
      </c>
      <c r="CZ136" s="659" t="s">
        <v>181</v>
      </c>
      <c r="DD136" s="217"/>
      <c r="DI136" s="101">
        <f>SUMIF($D$5:$D$125,"=bez",DI5:DI125)*HLOOKUP(DK128,Verteil_rwgr,35,FALSE)</f>
        <v>1894318.1718300001</v>
      </c>
      <c r="DJ136" s="102">
        <f t="shared" ref="DJ136" si="537">IF(DI134&lt;&gt;0,DI136/DI134,0)</f>
        <v>0.26661000000000001</v>
      </c>
      <c r="DK136" s="101">
        <f>SUMIF($D$5:$D$125,"=bez",DK5:DK125)*HLOOKUP(DK128,Verteil_rwgr,35,FALSE)</f>
        <v>38682.586203300001</v>
      </c>
      <c r="DL136" s="102">
        <f t="shared" ref="DL136" si="538">IF(DK134&lt;&gt;0,DK136/DK134,0)</f>
        <v>0.26661000000000001</v>
      </c>
      <c r="DM136" s="659" t="s">
        <v>181</v>
      </c>
      <c r="DQ136" s="217"/>
      <c r="DV136" s="101">
        <f>SUMIF($D$5:$D$125,"=bez",DV5:DV125)*HLOOKUP(DX128,Verteil_rwgr,35,FALSE)</f>
        <v>1827742.4197200001</v>
      </c>
      <c r="DW136" s="102">
        <f t="shared" ref="DW136" si="539">IF(DV134&lt;&gt;0,DV136/DV134,0)</f>
        <v>0.25724000000000002</v>
      </c>
      <c r="DX136" s="101">
        <f>SUMIF($D$5:$D$125,"=bez",DX5:DX125)*HLOOKUP(DX128,Verteil_rwgr,35,FALSE)</f>
        <v>37323.087937200005</v>
      </c>
      <c r="DY136" s="102">
        <f t="shared" ref="DY136" si="540">IF(DX134&lt;&gt;0,DX136/DX134,0)</f>
        <v>0.25724000000000002</v>
      </c>
      <c r="DZ136" s="659" t="s">
        <v>181</v>
      </c>
      <c r="ED136" s="217"/>
    </row>
    <row r="137" spans="1:134" hidden="1" x14ac:dyDescent="0.3">
      <c r="A137" s="84" t="s">
        <v>186</v>
      </c>
      <c r="Q137" s="217">
        <v>10</v>
      </c>
      <c r="V137" s="101"/>
      <c r="X137" s="101"/>
      <c r="Z137" s="84" t="s">
        <v>186</v>
      </c>
      <c r="AD137" s="217"/>
      <c r="AI137" s="101"/>
      <c r="AK137" s="101"/>
      <c r="AM137" s="659" t="s">
        <v>186</v>
      </c>
      <c r="AQ137" s="217"/>
      <c r="AV137" s="101"/>
      <c r="AX137" s="101"/>
      <c r="AZ137" s="659" t="s">
        <v>186</v>
      </c>
      <c r="BD137" s="217"/>
      <c r="BI137" s="101"/>
      <c r="BK137" s="101"/>
      <c r="BM137" s="659" t="s">
        <v>186</v>
      </c>
      <c r="BQ137" s="217"/>
      <c r="BV137" s="101"/>
      <c r="BX137" s="101"/>
      <c r="BZ137" s="659" t="s">
        <v>186</v>
      </c>
      <c r="CD137" s="217"/>
      <c r="CI137" s="101"/>
      <c r="CK137" s="101"/>
      <c r="CM137" s="659" t="s">
        <v>186</v>
      </c>
      <c r="CQ137" s="217"/>
      <c r="CV137" s="101"/>
      <c r="CX137" s="101"/>
      <c r="CZ137" s="659" t="s">
        <v>186</v>
      </c>
      <c r="DD137" s="217"/>
      <c r="DI137" s="101"/>
      <c r="DK137" s="101"/>
      <c r="DM137" s="659" t="s">
        <v>186</v>
      </c>
      <c r="DQ137" s="217"/>
      <c r="DV137" s="101"/>
      <c r="DX137" s="101"/>
      <c r="DZ137" s="659" t="s">
        <v>186</v>
      </c>
      <c r="ED137" s="217"/>
    </row>
    <row r="138" spans="1:134" hidden="1" x14ac:dyDescent="0.3">
      <c r="A138" s="302" t="s">
        <v>460</v>
      </c>
      <c r="Q138" s="217">
        <v>11</v>
      </c>
      <c r="V138" s="179">
        <f>SUM(V130,V134)</f>
        <v>7105203</v>
      </c>
      <c r="W138" s="102">
        <f>SUM(W139:W141)</f>
        <v>1</v>
      </c>
      <c r="X138" s="65">
        <f>ROUND(SUM(X130,X134),2)</f>
        <v>211024.53</v>
      </c>
      <c r="Y138" s="102">
        <f>SUM(Y139:Y141)</f>
        <v>1</v>
      </c>
      <c r="Z138" s="209" t="s">
        <v>460</v>
      </c>
      <c r="AD138" s="217"/>
      <c r="AI138" s="179">
        <f t="shared" ref="AI138:BI141" si="541">SUM(AI130,AI134)</f>
        <v>7105203</v>
      </c>
      <c r="AJ138" s="102">
        <f t="shared" ref="AJ138" si="542">SUM(AJ139:AJ141)</f>
        <v>1</v>
      </c>
      <c r="AK138" s="65">
        <f t="shared" ref="AK138:BK141" si="543">ROUND(SUM(AK130,AK134),2)</f>
        <v>211024.53</v>
      </c>
      <c r="AL138" s="102">
        <f t="shared" ref="AL138" si="544">SUM(AL139:AL141)</f>
        <v>1</v>
      </c>
      <c r="AM138" s="302" t="s">
        <v>460</v>
      </c>
      <c r="AQ138" s="217"/>
      <c r="AV138" s="179">
        <f t="shared" ref="AV138" si="545">SUM(AV130,AV134)</f>
        <v>7105203</v>
      </c>
      <c r="AW138" s="102">
        <f t="shared" ref="AW138" si="546">SUM(AW139:AW141)</f>
        <v>1</v>
      </c>
      <c r="AX138" s="65">
        <f t="shared" ref="AX138" si="547">ROUND(SUM(AX130,AX134),2)</f>
        <v>191304.53</v>
      </c>
      <c r="AY138" s="102">
        <f t="shared" ref="AY138" si="548">SUM(AY139:AY141)</f>
        <v>1</v>
      </c>
      <c r="AZ138" s="302" t="s">
        <v>460</v>
      </c>
      <c r="BD138" s="217"/>
      <c r="BI138" s="179">
        <f t="shared" ref="BI138" si="549">SUM(BI130,BI134)</f>
        <v>7105203</v>
      </c>
      <c r="BJ138" s="102">
        <f t="shared" ref="BJ138" si="550">SUM(BJ139:BJ141)</f>
        <v>1</v>
      </c>
      <c r="BK138" s="65">
        <f t="shared" ref="BK138" si="551">ROUND(SUM(BK130,BK134),2)</f>
        <v>178934.53</v>
      </c>
      <c r="BL138" s="102">
        <f t="shared" ref="BL138" si="552">SUM(BL139:BL141)</f>
        <v>1</v>
      </c>
      <c r="BM138" s="302" t="s">
        <v>460</v>
      </c>
      <c r="BQ138" s="217"/>
      <c r="BV138" s="179">
        <f t="shared" ref="BV138:CV141" si="553">SUM(BV130,BV134)</f>
        <v>7105203</v>
      </c>
      <c r="BW138" s="102">
        <f t="shared" ref="BW138" si="554">SUM(BW139:BW141)</f>
        <v>1</v>
      </c>
      <c r="BX138" s="65">
        <f t="shared" ref="BX138:CX141" si="555">ROUND(SUM(BX130,BX134),2)</f>
        <v>162019.53</v>
      </c>
      <c r="BY138" s="102">
        <f t="shared" ref="BY138" si="556">SUM(BY139:BY141)</f>
        <v>1</v>
      </c>
      <c r="BZ138" s="302" t="s">
        <v>460</v>
      </c>
      <c r="CD138" s="217"/>
      <c r="CI138" s="179">
        <f t="shared" ref="CI138" si="557">SUM(CI130,CI134)</f>
        <v>7105203</v>
      </c>
      <c r="CJ138" s="102">
        <f t="shared" ref="CJ138" si="558">SUM(CJ139:CJ141)</f>
        <v>1</v>
      </c>
      <c r="CK138" s="65">
        <f t="shared" ref="CK138" si="559">ROUND(SUM(CK130,CK134),2)</f>
        <v>150790.53</v>
      </c>
      <c r="CL138" s="102">
        <f t="shared" ref="CL138" si="560">SUM(CL139:CL141)</f>
        <v>1</v>
      </c>
      <c r="CM138" s="302" t="s">
        <v>460</v>
      </c>
      <c r="CQ138" s="217"/>
      <c r="CV138" s="179">
        <f t="shared" ref="CV138" si="561">SUM(CV130,CV134)</f>
        <v>7105203</v>
      </c>
      <c r="CW138" s="102">
        <f t="shared" ref="CW138" si="562">SUM(CW139:CW141)</f>
        <v>1</v>
      </c>
      <c r="CX138" s="65">
        <f t="shared" ref="CX138" si="563">ROUND(SUM(CX130,CX134),2)</f>
        <v>145090.53</v>
      </c>
      <c r="CY138" s="102">
        <f t="shared" ref="CY138" si="564">SUM(CY139:CY141)</f>
        <v>1</v>
      </c>
      <c r="CZ138" s="302" t="s">
        <v>460</v>
      </c>
      <c r="DD138" s="217"/>
      <c r="DI138" s="179">
        <f t="shared" ref="DI138:DV141" si="565">SUM(DI130,DI134)</f>
        <v>7105203</v>
      </c>
      <c r="DJ138" s="102">
        <f t="shared" ref="DJ138" si="566">SUM(DJ139:DJ141)</f>
        <v>1</v>
      </c>
      <c r="DK138" s="65">
        <f t="shared" ref="DK138:DX141" si="567">ROUND(SUM(DK130,DK134),2)</f>
        <v>145090.53</v>
      </c>
      <c r="DL138" s="102">
        <f t="shared" ref="DL138" si="568">SUM(DL139:DL141)</f>
        <v>1</v>
      </c>
      <c r="DM138" s="302" t="s">
        <v>460</v>
      </c>
      <c r="DQ138" s="217"/>
      <c r="DV138" s="179">
        <f t="shared" ref="DV138" si="569">SUM(DV130,DV134)</f>
        <v>7105203</v>
      </c>
      <c r="DW138" s="102">
        <f t="shared" ref="DW138" si="570">SUM(DW139:DW141)</f>
        <v>0.99999999999999989</v>
      </c>
      <c r="DX138" s="65">
        <f t="shared" ref="DX138" si="571">ROUND(SUM(DX130,DX134),2)</f>
        <v>145090.53</v>
      </c>
      <c r="DY138" s="102">
        <f t="shared" ref="DY138" si="572">SUM(DY139:DY141)</f>
        <v>1</v>
      </c>
      <c r="DZ138" s="302" t="s">
        <v>460</v>
      </c>
      <c r="ED138" s="217"/>
    </row>
    <row r="139" spans="1:134" hidden="1" x14ac:dyDescent="0.3">
      <c r="A139" s="84" t="s">
        <v>180</v>
      </c>
      <c r="Q139" s="217">
        <v>12</v>
      </c>
      <c r="V139" s="179">
        <f t="shared" ref="V139:V141" si="573">SUM(V131,V135)</f>
        <v>5210884.8281699996</v>
      </c>
      <c r="W139" s="102">
        <f>IF(V138&lt;&gt;0,V139/V138,0)</f>
        <v>0.73338999999999999</v>
      </c>
      <c r="X139" s="65">
        <f t="shared" ref="X139:X141" si="574">ROUND(SUM(X131,X135),2)</f>
        <v>154763.28</v>
      </c>
      <c r="Y139" s="102">
        <f>IF(X138&lt;&gt;0,X139/X138,0)</f>
        <v>0.7333899997313108</v>
      </c>
      <c r="Z139" s="84" t="s">
        <v>180</v>
      </c>
      <c r="AD139" s="217"/>
      <c r="AI139" s="179">
        <f t="shared" si="541"/>
        <v>5210884.8281699996</v>
      </c>
      <c r="AJ139" s="102">
        <f t="shared" ref="AJ139" si="575">IF(AI138&lt;&gt;0,AI139/AI138,0)</f>
        <v>0.73338999999999999</v>
      </c>
      <c r="AK139" s="65">
        <f t="shared" si="543"/>
        <v>154763.28</v>
      </c>
      <c r="AL139" s="102">
        <f t="shared" ref="AL139" si="576">IF(AK138&lt;&gt;0,AK139/AK138,0)</f>
        <v>0.7333899997313108</v>
      </c>
      <c r="AM139" s="659" t="s">
        <v>180</v>
      </c>
      <c r="AQ139" s="217"/>
      <c r="AV139" s="179">
        <f t="shared" si="541"/>
        <v>5210884.8281699996</v>
      </c>
      <c r="AW139" s="102">
        <f t="shared" ref="AW139" si="577">IF(AV138&lt;&gt;0,AV139/AV138,0)</f>
        <v>0.73338999999999999</v>
      </c>
      <c r="AX139" s="65">
        <f t="shared" si="543"/>
        <v>140300.82999999999</v>
      </c>
      <c r="AY139" s="102">
        <f t="shared" ref="AY139" si="578">IF(AX138&lt;&gt;0,AX139/AX138,0)</f>
        <v>0.73339000388542808</v>
      </c>
      <c r="AZ139" s="659" t="s">
        <v>180</v>
      </c>
      <c r="BD139" s="217"/>
      <c r="BI139" s="179">
        <f t="shared" si="541"/>
        <v>5210884.8281699996</v>
      </c>
      <c r="BJ139" s="102">
        <f t="shared" ref="BJ139" si="579">IF(BI138&lt;&gt;0,BI139/BI138,0)</f>
        <v>0.73338999999999999</v>
      </c>
      <c r="BK139" s="65">
        <f t="shared" si="543"/>
        <v>131228.79</v>
      </c>
      <c r="BL139" s="102">
        <f t="shared" ref="BL139" si="580">IF(BK138&lt;&gt;0,BK139/BK138,0)</f>
        <v>0.73338997229880676</v>
      </c>
      <c r="BM139" s="659" t="s">
        <v>180</v>
      </c>
      <c r="BQ139" s="217"/>
      <c r="BV139" s="179">
        <f t="shared" si="553"/>
        <v>5210884.8281699996</v>
      </c>
      <c r="BW139" s="102">
        <f t="shared" ref="BW139" si="581">IF(BV138&lt;&gt;0,BV139/BV138,0)</f>
        <v>0.73338999999999999</v>
      </c>
      <c r="BX139" s="65">
        <f t="shared" si="555"/>
        <v>118823.5</v>
      </c>
      <c r="BY139" s="102">
        <f t="shared" ref="BY139" si="582">IF(BX138&lt;&gt;0,BX139/BX138,0)</f>
        <v>0.73338998082515117</v>
      </c>
      <c r="BZ139" s="659" t="s">
        <v>180</v>
      </c>
      <c r="CD139" s="217"/>
      <c r="CI139" s="179">
        <f t="shared" si="553"/>
        <v>5210884.8281699996</v>
      </c>
      <c r="CJ139" s="102">
        <f t="shared" ref="CJ139" si="583">IF(CI138&lt;&gt;0,CI139/CI138,0)</f>
        <v>0.73338999999999999</v>
      </c>
      <c r="CK139" s="65">
        <f t="shared" si="555"/>
        <v>110588.27</v>
      </c>
      <c r="CL139" s="102">
        <f t="shared" ref="CL139" si="584">IF(CK138&lt;&gt;0,CK139/CK138,0)</f>
        <v>0.73339002124337649</v>
      </c>
      <c r="CM139" s="659" t="s">
        <v>180</v>
      </c>
      <c r="CQ139" s="217"/>
      <c r="CV139" s="179">
        <f t="shared" si="553"/>
        <v>5210884.8281699996</v>
      </c>
      <c r="CW139" s="102">
        <f t="shared" ref="CW139" si="585">IF(CV138&lt;&gt;0,CV139/CV138,0)</f>
        <v>0.73338999999999999</v>
      </c>
      <c r="CX139" s="65">
        <f t="shared" si="555"/>
        <v>106407.94</v>
      </c>
      <c r="CY139" s="102">
        <f t="shared" ref="CY139" si="586">IF(CX138&lt;&gt;0,CX139/CX138,0)</f>
        <v>0.73338997383219984</v>
      </c>
      <c r="CZ139" s="659" t="s">
        <v>180</v>
      </c>
      <c r="DD139" s="217"/>
      <c r="DI139" s="179">
        <f t="shared" si="565"/>
        <v>5210884.8281699996</v>
      </c>
      <c r="DJ139" s="102">
        <f t="shared" ref="DJ139" si="587">IF(DI138&lt;&gt;0,DI139/DI138,0)</f>
        <v>0.73338999999999999</v>
      </c>
      <c r="DK139" s="65">
        <f t="shared" si="567"/>
        <v>106407.94</v>
      </c>
      <c r="DL139" s="102">
        <f t="shared" ref="DL139" si="588">IF(DK138&lt;&gt;0,DK139/DK138,0)</f>
        <v>0.73338997383219984</v>
      </c>
      <c r="DM139" s="659" t="s">
        <v>180</v>
      </c>
      <c r="DQ139" s="217"/>
      <c r="DV139" s="179">
        <f t="shared" si="565"/>
        <v>5277460.5802799994</v>
      </c>
      <c r="DW139" s="102">
        <f t="shared" ref="DW139" si="589">IF(DV138&lt;&gt;0,DV139/DV138,0)</f>
        <v>0.74275999999999986</v>
      </c>
      <c r="DX139" s="65">
        <f t="shared" si="567"/>
        <v>107767.44</v>
      </c>
      <c r="DY139" s="102">
        <f t="shared" ref="DY139" si="590">IF(DX138&lt;&gt;0,DX139/DX138,0)</f>
        <v>0.74275998578266966</v>
      </c>
      <c r="DZ139" s="659" t="s">
        <v>180</v>
      </c>
      <c r="ED139" s="217"/>
    </row>
    <row r="140" spans="1:134" hidden="1" x14ac:dyDescent="0.3">
      <c r="A140" s="84" t="s">
        <v>181</v>
      </c>
      <c r="Q140" s="217">
        <v>13</v>
      </c>
      <c r="V140" s="179">
        <f t="shared" si="573"/>
        <v>1894318.1718300001</v>
      </c>
      <c r="W140" s="102">
        <f>IF(V138&lt;&gt;0,V140/V138,0)</f>
        <v>0.26661000000000001</v>
      </c>
      <c r="X140" s="65">
        <f t="shared" si="574"/>
        <v>56261.25</v>
      </c>
      <c r="Y140" s="102">
        <f>IF(X138&lt;&gt;0,X140/X138,0)</f>
        <v>0.26661000026868914</v>
      </c>
      <c r="Z140" s="84" t="s">
        <v>181</v>
      </c>
      <c r="AD140" s="217"/>
      <c r="AI140" s="179">
        <f t="shared" si="541"/>
        <v>1894318.1718300001</v>
      </c>
      <c r="AJ140" s="102">
        <f t="shared" ref="AJ140" si="591">IF(AI138&lt;&gt;0,AI140/AI138,0)</f>
        <v>0.26661000000000001</v>
      </c>
      <c r="AK140" s="65">
        <f t="shared" si="543"/>
        <v>56261.25</v>
      </c>
      <c r="AL140" s="102">
        <f t="shared" ref="AL140" si="592">IF(AK138&lt;&gt;0,AK140/AK138,0)</f>
        <v>0.26661000026868914</v>
      </c>
      <c r="AM140" s="659" t="s">
        <v>181</v>
      </c>
      <c r="AQ140" s="217"/>
      <c r="AV140" s="179">
        <f t="shared" si="541"/>
        <v>1894318.1718300001</v>
      </c>
      <c r="AW140" s="102">
        <f t="shared" ref="AW140" si="593">IF(AV138&lt;&gt;0,AV140/AV138,0)</f>
        <v>0.26661000000000001</v>
      </c>
      <c r="AX140" s="65">
        <f t="shared" si="543"/>
        <v>51003.7</v>
      </c>
      <c r="AY140" s="102">
        <f t="shared" ref="AY140" si="594">IF(AX138&lt;&gt;0,AX140/AX138,0)</f>
        <v>0.26660999611457187</v>
      </c>
      <c r="AZ140" s="659" t="s">
        <v>181</v>
      </c>
      <c r="BD140" s="217"/>
      <c r="BI140" s="179">
        <f t="shared" si="541"/>
        <v>1894318.1718300001</v>
      </c>
      <c r="BJ140" s="102">
        <f t="shared" ref="BJ140" si="595">IF(BI138&lt;&gt;0,BI140/BI138,0)</f>
        <v>0.26661000000000001</v>
      </c>
      <c r="BK140" s="65">
        <f t="shared" si="543"/>
        <v>47705.74</v>
      </c>
      <c r="BL140" s="102">
        <f t="shared" ref="BL140" si="596">IF(BK138&lt;&gt;0,BK140/BK138,0)</f>
        <v>0.2666100277011933</v>
      </c>
      <c r="BM140" s="659" t="s">
        <v>181</v>
      </c>
      <c r="BQ140" s="217"/>
      <c r="BV140" s="179">
        <f t="shared" si="553"/>
        <v>1894318.1718300001</v>
      </c>
      <c r="BW140" s="102">
        <f t="shared" ref="BW140" si="597">IF(BV138&lt;&gt;0,BV140/BV138,0)</f>
        <v>0.26661000000000001</v>
      </c>
      <c r="BX140" s="65">
        <f t="shared" si="555"/>
        <v>43196.03</v>
      </c>
      <c r="BY140" s="102">
        <f t="shared" ref="BY140" si="598">IF(BX138&lt;&gt;0,BX140/BX138,0)</f>
        <v>0.26661001917484883</v>
      </c>
      <c r="BZ140" s="659" t="s">
        <v>181</v>
      </c>
      <c r="CD140" s="217"/>
      <c r="CI140" s="179">
        <f t="shared" si="553"/>
        <v>1894318.1718300001</v>
      </c>
      <c r="CJ140" s="102">
        <f t="shared" ref="CJ140" si="599">IF(CI138&lt;&gt;0,CI140/CI138,0)</f>
        <v>0.26661000000000001</v>
      </c>
      <c r="CK140" s="65">
        <f t="shared" si="555"/>
        <v>40202.26</v>
      </c>
      <c r="CL140" s="102">
        <f t="shared" ref="CL140" si="600">IF(CK138&lt;&gt;0,CK140/CK138,0)</f>
        <v>0.26660997875662351</v>
      </c>
      <c r="CM140" s="659" t="s">
        <v>181</v>
      </c>
      <c r="CQ140" s="217"/>
      <c r="CV140" s="179">
        <f t="shared" si="553"/>
        <v>1894318.1718300001</v>
      </c>
      <c r="CW140" s="102">
        <f t="shared" ref="CW140" si="601">IF(CV138&lt;&gt;0,CV140/CV138,0)</f>
        <v>0.26661000000000001</v>
      </c>
      <c r="CX140" s="65">
        <f t="shared" si="555"/>
        <v>38682.589999999997</v>
      </c>
      <c r="CY140" s="102">
        <f t="shared" ref="CY140" si="602">IF(CX138&lt;&gt;0,CX140/CX138,0)</f>
        <v>0.26661002616780016</v>
      </c>
      <c r="CZ140" s="659" t="s">
        <v>181</v>
      </c>
      <c r="DD140" s="217"/>
      <c r="DI140" s="179">
        <f t="shared" si="565"/>
        <v>1894318.1718300001</v>
      </c>
      <c r="DJ140" s="102">
        <f t="shared" ref="DJ140" si="603">IF(DI138&lt;&gt;0,DI140/DI138,0)</f>
        <v>0.26661000000000001</v>
      </c>
      <c r="DK140" s="65">
        <f t="shared" si="567"/>
        <v>38682.589999999997</v>
      </c>
      <c r="DL140" s="102">
        <f t="shared" ref="DL140" si="604">IF(DK138&lt;&gt;0,DK140/DK138,0)</f>
        <v>0.26661002616780016</v>
      </c>
      <c r="DM140" s="659" t="s">
        <v>181</v>
      </c>
      <c r="DQ140" s="217"/>
      <c r="DV140" s="179">
        <f t="shared" si="565"/>
        <v>1827742.4197200001</v>
      </c>
      <c r="DW140" s="102">
        <f t="shared" ref="DW140" si="605">IF(DV138&lt;&gt;0,DV140/DV138,0)</f>
        <v>0.25724000000000002</v>
      </c>
      <c r="DX140" s="65">
        <f t="shared" si="567"/>
        <v>37323.089999999997</v>
      </c>
      <c r="DY140" s="102">
        <f t="shared" ref="DY140" si="606">IF(DX138&lt;&gt;0,DX140/DX138,0)</f>
        <v>0.25724001421733034</v>
      </c>
      <c r="DZ140" s="659" t="s">
        <v>181</v>
      </c>
      <c r="ED140" s="217"/>
    </row>
    <row r="141" spans="1:134" hidden="1" x14ac:dyDescent="0.3">
      <c r="A141" s="84" t="s">
        <v>186</v>
      </c>
      <c r="Q141" s="217">
        <v>14</v>
      </c>
      <c r="V141" s="179">
        <f t="shared" si="573"/>
        <v>0</v>
      </c>
      <c r="X141" s="65">
        <f t="shared" si="574"/>
        <v>0</v>
      </c>
      <c r="Z141" s="84" t="s">
        <v>186</v>
      </c>
      <c r="AD141" s="217"/>
      <c r="AI141" s="179">
        <f t="shared" si="541"/>
        <v>0</v>
      </c>
      <c r="AK141" s="65">
        <f t="shared" si="543"/>
        <v>0</v>
      </c>
      <c r="AM141" s="659" t="s">
        <v>186</v>
      </c>
      <c r="AQ141" s="217"/>
      <c r="AV141" s="179">
        <f t="shared" si="541"/>
        <v>0</v>
      </c>
      <c r="AX141" s="65">
        <f t="shared" si="543"/>
        <v>0</v>
      </c>
      <c r="AZ141" s="659" t="s">
        <v>186</v>
      </c>
      <c r="BD141" s="217"/>
      <c r="BI141" s="179">
        <f t="shared" si="541"/>
        <v>0</v>
      </c>
      <c r="BK141" s="65">
        <f t="shared" si="543"/>
        <v>0</v>
      </c>
      <c r="BM141" s="659" t="s">
        <v>186</v>
      </c>
      <c r="BQ141" s="217"/>
      <c r="BV141" s="179">
        <f t="shared" si="553"/>
        <v>0</v>
      </c>
      <c r="BX141" s="65">
        <f t="shared" si="555"/>
        <v>0</v>
      </c>
      <c r="BZ141" s="659" t="s">
        <v>186</v>
      </c>
      <c r="CD141" s="217"/>
      <c r="CI141" s="179">
        <f t="shared" si="553"/>
        <v>0</v>
      </c>
      <c r="CK141" s="65">
        <f t="shared" si="555"/>
        <v>0</v>
      </c>
      <c r="CM141" s="659" t="s">
        <v>186</v>
      </c>
      <c r="CQ141" s="217"/>
      <c r="CV141" s="179">
        <f t="shared" si="553"/>
        <v>0</v>
      </c>
      <c r="CX141" s="65">
        <f t="shared" si="555"/>
        <v>0</v>
      </c>
      <c r="CZ141" s="659" t="s">
        <v>186</v>
      </c>
      <c r="DD141" s="217"/>
      <c r="DI141" s="179">
        <f t="shared" si="565"/>
        <v>0</v>
      </c>
      <c r="DK141" s="65">
        <f t="shared" si="567"/>
        <v>0</v>
      </c>
      <c r="DM141" s="659" t="s">
        <v>186</v>
      </c>
      <c r="DQ141" s="217"/>
      <c r="DV141" s="179">
        <f t="shared" si="565"/>
        <v>0</v>
      </c>
      <c r="DX141" s="65">
        <f t="shared" si="567"/>
        <v>0</v>
      </c>
      <c r="DZ141" s="659" t="s">
        <v>186</v>
      </c>
      <c r="ED141" s="217"/>
    </row>
    <row r="142" spans="1:134" ht="18" hidden="1" x14ac:dyDescent="0.35">
      <c r="A142" s="184" t="s">
        <v>466</v>
      </c>
      <c r="Q142" s="217">
        <v>15</v>
      </c>
      <c r="R142" s="184" t="s">
        <v>462</v>
      </c>
      <c r="S142" s="85" t="s">
        <v>463</v>
      </c>
      <c r="T142" s="85"/>
      <c r="U142" s="215" t="s">
        <v>464</v>
      </c>
      <c r="V142" s="215"/>
      <c r="W142" s="215"/>
      <c r="X142" s="215" t="s">
        <v>279</v>
      </c>
      <c r="Y142" s="215" t="s">
        <v>467</v>
      </c>
      <c r="Z142" s="215" t="s">
        <v>281</v>
      </c>
      <c r="AA142" s="215" t="s">
        <v>465</v>
      </c>
      <c r="AB142" s="214" t="s">
        <v>466</v>
      </c>
      <c r="AD142" s="217"/>
      <c r="AE142" s="184" t="s">
        <v>462</v>
      </c>
      <c r="AF142" s="85" t="s">
        <v>463</v>
      </c>
      <c r="AG142" s="85"/>
      <c r="AH142" s="215" t="s">
        <v>464</v>
      </c>
      <c r="AI142" s="215"/>
      <c r="AJ142" s="215"/>
      <c r="AK142" s="215" t="s">
        <v>279</v>
      </c>
      <c r="AL142" s="215" t="s">
        <v>467</v>
      </c>
      <c r="AM142" s="215" t="s">
        <v>281</v>
      </c>
      <c r="AN142" s="215" t="s">
        <v>465</v>
      </c>
      <c r="AO142" s="214" t="s">
        <v>466</v>
      </c>
      <c r="AQ142" s="217"/>
      <c r="AR142" s="184" t="s">
        <v>462</v>
      </c>
      <c r="AS142" s="85" t="s">
        <v>463</v>
      </c>
      <c r="AT142" s="85"/>
      <c r="AU142" s="215" t="s">
        <v>464</v>
      </c>
      <c r="AV142" s="215"/>
      <c r="AW142" s="215"/>
      <c r="AX142" s="215" t="s">
        <v>279</v>
      </c>
      <c r="AY142" s="215" t="s">
        <v>467</v>
      </c>
      <c r="AZ142" s="215" t="s">
        <v>281</v>
      </c>
      <c r="BA142" s="215" t="s">
        <v>465</v>
      </c>
      <c r="BB142" s="214" t="s">
        <v>466</v>
      </c>
      <c r="BD142" s="217"/>
      <c r="BE142" s="184" t="s">
        <v>462</v>
      </c>
      <c r="BF142" s="85" t="s">
        <v>463</v>
      </c>
      <c r="BG142" s="85"/>
      <c r="BH142" s="215" t="s">
        <v>464</v>
      </c>
      <c r="BI142" s="215"/>
      <c r="BJ142" s="215"/>
      <c r="BK142" s="215" t="s">
        <v>279</v>
      </c>
      <c r="BL142" s="215" t="s">
        <v>467</v>
      </c>
      <c r="BM142" s="215" t="s">
        <v>281</v>
      </c>
      <c r="BN142" s="215" t="s">
        <v>465</v>
      </c>
      <c r="BO142" s="214" t="s">
        <v>466</v>
      </c>
      <c r="BQ142" s="217"/>
      <c r="BR142" s="184" t="s">
        <v>462</v>
      </c>
      <c r="BS142" s="85" t="s">
        <v>463</v>
      </c>
      <c r="BT142" s="85"/>
      <c r="BU142" s="215" t="s">
        <v>464</v>
      </c>
      <c r="BV142" s="215"/>
      <c r="BW142" s="215"/>
      <c r="BX142" s="215" t="s">
        <v>279</v>
      </c>
      <c r="BY142" s="215" t="s">
        <v>467</v>
      </c>
      <c r="BZ142" s="215" t="s">
        <v>281</v>
      </c>
      <c r="CA142" s="215" t="s">
        <v>465</v>
      </c>
      <c r="CB142" s="214" t="s">
        <v>466</v>
      </c>
      <c r="CD142" s="217"/>
      <c r="CE142" s="184" t="s">
        <v>462</v>
      </c>
      <c r="CF142" s="85" t="s">
        <v>463</v>
      </c>
      <c r="CG142" s="85"/>
      <c r="CH142" s="215" t="s">
        <v>464</v>
      </c>
      <c r="CI142" s="215"/>
      <c r="CJ142" s="215"/>
      <c r="CK142" s="215" t="s">
        <v>279</v>
      </c>
      <c r="CL142" s="215" t="s">
        <v>467</v>
      </c>
      <c r="CM142" s="215" t="s">
        <v>281</v>
      </c>
      <c r="CN142" s="215" t="s">
        <v>465</v>
      </c>
      <c r="CO142" s="214" t="s">
        <v>466</v>
      </c>
      <c r="CQ142" s="217"/>
      <c r="CR142" s="184" t="s">
        <v>462</v>
      </c>
      <c r="CS142" s="85" t="s">
        <v>463</v>
      </c>
      <c r="CT142" s="85"/>
      <c r="CU142" s="215" t="s">
        <v>464</v>
      </c>
      <c r="CV142" s="215"/>
      <c r="CW142" s="215"/>
      <c r="CX142" s="215" t="s">
        <v>279</v>
      </c>
      <c r="CY142" s="215" t="s">
        <v>467</v>
      </c>
      <c r="CZ142" s="215" t="s">
        <v>281</v>
      </c>
      <c r="DA142" s="215" t="s">
        <v>465</v>
      </c>
      <c r="DB142" s="214" t="s">
        <v>466</v>
      </c>
      <c r="DD142" s="217"/>
      <c r="DE142" s="184" t="s">
        <v>462</v>
      </c>
      <c r="DF142" s="85" t="s">
        <v>463</v>
      </c>
      <c r="DG142" s="85"/>
      <c r="DH142" s="215" t="s">
        <v>464</v>
      </c>
      <c r="DI142" s="215"/>
      <c r="DJ142" s="215"/>
      <c r="DK142" s="215" t="s">
        <v>279</v>
      </c>
      <c r="DL142" s="215" t="s">
        <v>467</v>
      </c>
      <c r="DM142" s="215" t="s">
        <v>281</v>
      </c>
      <c r="DN142" s="215" t="s">
        <v>465</v>
      </c>
      <c r="DO142" s="214" t="s">
        <v>466</v>
      </c>
      <c r="DQ142" s="217"/>
      <c r="DR142" s="184" t="s">
        <v>462</v>
      </c>
      <c r="DS142" s="85" t="s">
        <v>463</v>
      </c>
      <c r="DT142" s="85"/>
      <c r="DU142" s="215" t="s">
        <v>464</v>
      </c>
      <c r="DV142" s="215"/>
      <c r="DW142" s="215"/>
      <c r="DX142" s="215" t="s">
        <v>279</v>
      </c>
      <c r="DY142" s="215" t="s">
        <v>467</v>
      </c>
      <c r="DZ142" s="215" t="s">
        <v>281</v>
      </c>
      <c r="EA142" s="215" t="s">
        <v>465</v>
      </c>
      <c r="EB142" s="214" t="s">
        <v>466</v>
      </c>
      <c r="ED142" s="217"/>
    </row>
    <row r="143" spans="1:134" hidden="1" x14ac:dyDescent="0.3">
      <c r="A143" s="302" t="s">
        <v>453</v>
      </c>
      <c r="Q143" s="217">
        <v>16</v>
      </c>
      <c r="S143" s="101">
        <f>SUMIF($D$5:$D$125,"=bes",S5:S125)+SUMIF($D$5:$D$125,"=bem",S5:S125)+SUMIF($D$5:$D$125,"=ber",S5:S125)+SUMIF($D$5:$D$125,"=bek",S5:S125)</f>
        <v>0</v>
      </c>
      <c r="U143" s="101">
        <f>SUMIF($D$5:$D$125,"=bes",U5:U125)+SUMIF($D$5:$D$125,"=bem",U5:U125)+SUMIF($D$5:$D$125,"=ber",U5:U125)+SUMIF($D$5:$D$125,"=bek",U5:U125)</f>
        <v>0</v>
      </c>
      <c r="W143" s="102">
        <f>SUM(W144:W146)</f>
        <v>0</v>
      </c>
      <c r="X143" s="101">
        <f>Z143*HLOOKUP(X128,Grund_zins,2,FALSE)</f>
        <v>0</v>
      </c>
      <c r="Y143" s="101">
        <f>SUMIF($D$5:$D$125,"=bes",Y5:Y125)+SUMIF($D$5:$D$125,"=bem",Y5:Y125)+SUMIF($D$5:$D$125,"=ber",Y5:Y125)+SUMIF($D$5:$D$125,"=bek",Y5:Y125)</f>
        <v>0</v>
      </c>
      <c r="Z143" s="101">
        <f>AA143-S143+U143+Y143/2</f>
        <v>0</v>
      </c>
      <c r="AA143" s="101">
        <f>SUMIF($D$5:$D$125,"=bes",AA5:AA125)+SUMIF($D$5:$D$125,"=bem",AA5:AA125)+SUMIF($D$5:$D$125,"=ber",AA5:AA125)+SUMIF($D$5:$D$125,"=bek",AA5:AA125)</f>
        <v>0</v>
      </c>
      <c r="AB143" s="209" t="s">
        <v>453</v>
      </c>
      <c r="AD143" s="217"/>
      <c r="AF143" s="101">
        <f t="shared" ref="AF143" si="607">SUMIF($D$5:$D$125,"=bes",AF5:AF125)+SUMIF($D$5:$D$125,"=bem",AF5:AF125)+SUMIF($D$5:$D$125,"=ber",AF5:AF125)+SUMIF($D$5:$D$125,"=bek",AF5:AF125)</f>
        <v>0</v>
      </c>
      <c r="AH143" s="101">
        <f t="shared" ref="AH143" si="608">SUMIF($D$5:$D$125,"=bes",AH5:AH125)+SUMIF($D$5:$D$125,"=bem",AH5:AH125)+SUMIF($D$5:$D$125,"=ber",AH5:AH125)+SUMIF($D$5:$D$125,"=bek",AH5:AH125)</f>
        <v>0</v>
      </c>
      <c r="AJ143" s="102">
        <f t="shared" ref="AJ143" si="609">SUM(AJ144:AJ146)</f>
        <v>0</v>
      </c>
      <c r="AK143" s="101">
        <f>AM143*HLOOKUP(AK128,Grund_zins,2,FALSE)</f>
        <v>0</v>
      </c>
      <c r="AL143" s="101">
        <f t="shared" ref="AL143" si="610">SUMIF($D$5:$D$125,"=bes",AL5:AL125)+SUMIF($D$5:$D$125,"=bem",AL5:AL125)+SUMIF($D$5:$D$125,"=ber",AL5:AL125)+SUMIF($D$5:$D$125,"=bek",AL5:AL125)</f>
        <v>0</v>
      </c>
      <c r="AM143" s="101">
        <f t="shared" ref="AM143:AM145" si="611">AN143-AF143+AH143+AL143/2</f>
        <v>0</v>
      </c>
      <c r="AN143" s="101">
        <f t="shared" ref="AN143" si="612">SUMIF($D$5:$D$125,"=bes",AN5:AN125)+SUMIF($D$5:$D$125,"=bem",AN5:AN125)+SUMIF($D$5:$D$125,"=ber",AN5:AN125)+SUMIF($D$5:$D$125,"=bek",AN5:AN125)</f>
        <v>0</v>
      </c>
      <c r="AO143" s="302" t="s">
        <v>453</v>
      </c>
      <c r="AQ143" s="217"/>
      <c r="AS143" s="101">
        <f t="shared" ref="AS143" si="613">SUMIF($D$5:$D$125,"=bes",AS5:AS125)+SUMIF($D$5:$D$125,"=bem",AS5:AS125)+SUMIF($D$5:$D$125,"=ber",AS5:AS125)+SUMIF($D$5:$D$125,"=bek",AS5:AS125)</f>
        <v>0</v>
      </c>
      <c r="AU143" s="101">
        <f t="shared" ref="AU143" si="614">SUMIF($D$5:$D$125,"=bes",AU5:AU125)+SUMIF($D$5:$D$125,"=bem",AU5:AU125)+SUMIF($D$5:$D$125,"=ber",AU5:AU125)+SUMIF($D$5:$D$125,"=bek",AU5:AU125)</f>
        <v>0</v>
      </c>
      <c r="AW143" s="102">
        <f t="shared" ref="AW143" si="615">SUM(AW144:AW146)</f>
        <v>0</v>
      </c>
      <c r="AX143" s="101">
        <f>AZ143*HLOOKUP(AX128,Grund_zins,2,FALSE)</f>
        <v>0</v>
      </c>
      <c r="AY143" s="101">
        <f t="shared" ref="AY143" si="616">SUMIF($D$5:$D$125,"=bes",AY5:AY125)+SUMIF($D$5:$D$125,"=bem",AY5:AY125)+SUMIF($D$5:$D$125,"=ber",AY5:AY125)+SUMIF($D$5:$D$125,"=bek",AY5:AY125)</f>
        <v>0</v>
      </c>
      <c r="AZ143" s="101">
        <f t="shared" ref="AZ143:AZ145" si="617">BA143-AS143+AU143+AY143/2</f>
        <v>0</v>
      </c>
      <c r="BA143" s="101">
        <f t="shared" ref="BA143" si="618">SUMIF($D$5:$D$125,"=bes",BA5:BA125)+SUMIF($D$5:$D$125,"=bem",BA5:BA125)+SUMIF($D$5:$D$125,"=ber",BA5:BA125)+SUMIF($D$5:$D$125,"=bek",BA5:BA125)</f>
        <v>0</v>
      </c>
      <c r="BB143" s="302" t="s">
        <v>453</v>
      </c>
      <c r="BD143" s="217"/>
      <c r="BF143" s="101">
        <f t="shared" ref="BF143" si="619">SUMIF($D$5:$D$125,"=bes",BF5:BF125)+SUMIF($D$5:$D$125,"=bem",BF5:BF125)+SUMIF($D$5:$D$125,"=ber",BF5:BF125)+SUMIF($D$5:$D$125,"=bek",BF5:BF125)</f>
        <v>0</v>
      </c>
      <c r="BH143" s="101">
        <f t="shared" ref="BH143" si="620">SUMIF($D$5:$D$125,"=bes",BH5:BH125)+SUMIF($D$5:$D$125,"=bem",BH5:BH125)+SUMIF($D$5:$D$125,"=ber",BH5:BH125)+SUMIF($D$5:$D$125,"=bek",BH5:BH125)</f>
        <v>0</v>
      </c>
      <c r="BJ143" s="102">
        <f t="shared" ref="BJ143" si="621">SUM(BJ144:BJ146)</f>
        <v>0</v>
      </c>
      <c r="BK143" s="101">
        <f>BM143*HLOOKUP(BK128,Grund_zins,2,FALSE)</f>
        <v>0</v>
      </c>
      <c r="BL143" s="101">
        <f t="shared" ref="BL143" si="622">SUMIF($D$5:$D$125,"=bes",BL5:BL125)+SUMIF($D$5:$D$125,"=bem",BL5:BL125)+SUMIF($D$5:$D$125,"=ber",BL5:BL125)+SUMIF($D$5:$D$125,"=bek",BL5:BL125)</f>
        <v>0</v>
      </c>
      <c r="BM143" s="101">
        <f t="shared" ref="BM143:BM145" si="623">BN143-BF143+BH143+BL143/2</f>
        <v>0</v>
      </c>
      <c r="BN143" s="101">
        <f t="shared" ref="BN143" si="624">SUMIF($D$5:$D$125,"=bes",BN5:BN125)+SUMIF($D$5:$D$125,"=bem",BN5:BN125)+SUMIF($D$5:$D$125,"=ber",BN5:BN125)+SUMIF($D$5:$D$125,"=bek",BN5:BN125)</f>
        <v>0</v>
      </c>
      <c r="BO143" s="302" t="s">
        <v>453</v>
      </c>
      <c r="BQ143" s="217"/>
      <c r="BS143" s="101">
        <f t="shared" ref="BS143" si="625">SUMIF($D$5:$D$125,"=bes",BS5:BS125)+SUMIF($D$5:$D$125,"=bem",BS5:BS125)+SUMIF($D$5:$D$125,"=ber",BS5:BS125)+SUMIF($D$5:$D$125,"=bek",BS5:BS125)</f>
        <v>0</v>
      </c>
      <c r="BU143" s="101">
        <f t="shared" ref="BU143" si="626">SUMIF($D$5:$D$125,"=bes",BU5:BU125)+SUMIF($D$5:$D$125,"=bem",BU5:BU125)+SUMIF($D$5:$D$125,"=ber",BU5:BU125)+SUMIF($D$5:$D$125,"=bek",BU5:BU125)</f>
        <v>0</v>
      </c>
      <c r="BW143" s="102">
        <f t="shared" ref="BW143" si="627">SUM(BW144:BW146)</f>
        <v>0</v>
      </c>
      <c r="BX143" s="101">
        <f>BZ143*HLOOKUP(BX128,Grund_zins,2,FALSE)</f>
        <v>0</v>
      </c>
      <c r="BY143" s="101">
        <f t="shared" ref="BY143" si="628">SUMIF($D$5:$D$125,"=bes",BY5:BY125)+SUMIF($D$5:$D$125,"=bem",BY5:BY125)+SUMIF($D$5:$D$125,"=ber",BY5:BY125)+SUMIF($D$5:$D$125,"=bek",BY5:BY125)</f>
        <v>0</v>
      </c>
      <c r="BZ143" s="101">
        <f t="shared" ref="BZ143:BZ145" si="629">CA143-BS143+BU143+BY143/2</f>
        <v>0</v>
      </c>
      <c r="CA143" s="101">
        <f t="shared" ref="CA143" si="630">SUMIF($D$5:$D$125,"=bes",CA5:CA125)+SUMIF($D$5:$D$125,"=bem",CA5:CA125)+SUMIF($D$5:$D$125,"=ber",CA5:CA125)+SUMIF($D$5:$D$125,"=bek",CA5:CA125)</f>
        <v>0</v>
      </c>
      <c r="CB143" s="302" t="s">
        <v>453</v>
      </c>
      <c r="CD143" s="217"/>
      <c r="CF143" s="101">
        <f t="shared" ref="CF143" si="631">SUMIF($D$5:$D$125,"=bes",CF5:CF125)+SUMIF($D$5:$D$125,"=bem",CF5:CF125)+SUMIF($D$5:$D$125,"=ber",CF5:CF125)+SUMIF($D$5:$D$125,"=bek",CF5:CF125)</f>
        <v>0</v>
      </c>
      <c r="CH143" s="101">
        <f t="shared" ref="CH143" si="632">SUMIF($D$5:$D$125,"=bes",CH5:CH125)+SUMIF($D$5:$D$125,"=bem",CH5:CH125)+SUMIF($D$5:$D$125,"=ber",CH5:CH125)+SUMIF($D$5:$D$125,"=bek",CH5:CH125)</f>
        <v>0</v>
      </c>
      <c r="CJ143" s="102">
        <f t="shared" ref="CJ143" si="633">SUM(CJ144:CJ146)</f>
        <v>0</v>
      </c>
      <c r="CK143" s="101">
        <f>CM143*HLOOKUP(CK128,Grund_zins,2,FALSE)</f>
        <v>0</v>
      </c>
      <c r="CL143" s="101">
        <f t="shared" ref="CL143" si="634">SUMIF($D$5:$D$125,"=bes",CL5:CL125)+SUMIF($D$5:$D$125,"=bem",CL5:CL125)+SUMIF($D$5:$D$125,"=ber",CL5:CL125)+SUMIF($D$5:$D$125,"=bek",CL5:CL125)</f>
        <v>0</v>
      </c>
      <c r="CM143" s="101">
        <f t="shared" ref="CM143:CM145" si="635">CN143-CF143+CH143+CL143/2</f>
        <v>0</v>
      </c>
      <c r="CN143" s="101">
        <f t="shared" ref="CN143" si="636">SUMIF($D$5:$D$125,"=bes",CN5:CN125)+SUMIF($D$5:$D$125,"=bem",CN5:CN125)+SUMIF($D$5:$D$125,"=ber",CN5:CN125)+SUMIF($D$5:$D$125,"=bek",CN5:CN125)</f>
        <v>0</v>
      </c>
      <c r="CO143" s="302" t="s">
        <v>453</v>
      </c>
      <c r="CQ143" s="217"/>
      <c r="CS143" s="101">
        <f t="shared" ref="CS143" si="637">SUMIF($D$5:$D$125,"=bes",CS5:CS125)+SUMIF($D$5:$D$125,"=bem",CS5:CS125)+SUMIF($D$5:$D$125,"=ber",CS5:CS125)+SUMIF($D$5:$D$125,"=bek",CS5:CS125)</f>
        <v>0</v>
      </c>
      <c r="CU143" s="101">
        <f t="shared" ref="CU143" si="638">SUMIF($D$5:$D$125,"=bes",CU5:CU125)+SUMIF($D$5:$D$125,"=bem",CU5:CU125)+SUMIF($D$5:$D$125,"=ber",CU5:CU125)+SUMIF($D$5:$D$125,"=bek",CU5:CU125)</f>
        <v>0</v>
      </c>
      <c r="CW143" s="102">
        <f t="shared" ref="CW143" si="639">SUM(CW144:CW146)</f>
        <v>0</v>
      </c>
      <c r="CX143" s="101">
        <f>CZ143*HLOOKUP(CX128,Grund_zins,2,FALSE)</f>
        <v>0</v>
      </c>
      <c r="CY143" s="101">
        <f t="shared" ref="CY143" si="640">SUMIF($D$5:$D$125,"=bes",CY5:CY125)+SUMIF($D$5:$D$125,"=bem",CY5:CY125)+SUMIF($D$5:$D$125,"=ber",CY5:CY125)+SUMIF($D$5:$D$125,"=bek",CY5:CY125)</f>
        <v>0</v>
      </c>
      <c r="CZ143" s="101">
        <f t="shared" ref="CZ143:CZ145" si="641">DA143-CS143+CU143+CY143/2</f>
        <v>0</v>
      </c>
      <c r="DA143" s="101">
        <f t="shared" ref="DA143" si="642">SUMIF($D$5:$D$125,"=bes",DA5:DA125)+SUMIF($D$5:$D$125,"=bem",DA5:DA125)+SUMIF($D$5:$D$125,"=ber",DA5:DA125)+SUMIF($D$5:$D$125,"=bek",DA5:DA125)</f>
        <v>0</v>
      </c>
      <c r="DB143" s="302" t="s">
        <v>453</v>
      </c>
      <c r="DD143" s="217"/>
      <c r="DF143" s="101">
        <f t="shared" ref="DF143" si="643">SUMIF($D$5:$D$125,"=bes",DF5:DF125)+SUMIF($D$5:$D$125,"=bem",DF5:DF125)+SUMIF($D$5:$D$125,"=ber",DF5:DF125)+SUMIF($D$5:$D$125,"=bek",DF5:DF125)</f>
        <v>0</v>
      </c>
      <c r="DH143" s="101">
        <f t="shared" ref="DH143" si="644">SUMIF($D$5:$D$125,"=bes",DH5:DH125)+SUMIF($D$5:$D$125,"=bem",DH5:DH125)+SUMIF($D$5:$D$125,"=ber",DH5:DH125)+SUMIF($D$5:$D$125,"=bek",DH5:DH125)</f>
        <v>0</v>
      </c>
      <c r="DJ143" s="102">
        <f t="shared" ref="DJ143" si="645">SUM(DJ144:DJ146)</f>
        <v>0</v>
      </c>
      <c r="DK143" s="101">
        <f>DM143*HLOOKUP(DK128,Grund_zins,2,FALSE)</f>
        <v>0</v>
      </c>
      <c r="DL143" s="101">
        <f t="shared" ref="DL143" si="646">SUMIF($D$5:$D$125,"=bes",DL5:DL125)+SUMIF($D$5:$D$125,"=bem",DL5:DL125)+SUMIF($D$5:$D$125,"=ber",DL5:DL125)+SUMIF($D$5:$D$125,"=bek",DL5:DL125)</f>
        <v>0</v>
      </c>
      <c r="DM143" s="101">
        <f t="shared" ref="DM143:DM145" si="647">DN143-DF143+DH143+DL143/2</f>
        <v>0</v>
      </c>
      <c r="DN143" s="101">
        <f t="shared" ref="DN143" si="648">SUMIF($D$5:$D$125,"=bes",DN5:DN125)+SUMIF($D$5:$D$125,"=bem",DN5:DN125)+SUMIF($D$5:$D$125,"=ber",DN5:DN125)+SUMIF($D$5:$D$125,"=bek",DN5:DN125)</f>
        <v>0</v>
      </c>
      <c r="DO143" s="302" t="s">
        <v>453</v>
      </c>
      <c r="DQ143" s="217"/>
      <c r="DS143" s="101">
        <f t="shared" ref="DS143" si="649">SUMIF($D$5:$D$125,"=bes",DS5:DS125)+SUMIF($D$5:$D$125,"=bem",DS5:DS125)+SUMIF($D$5:$D$125,"=ber",DS5:DS125)+SUMIF($D$5:$D$125,"=bek",DS5:DS125)</f>
        <v>0</v>
      </c>
      <c r="DU143" s="101">
        <f t="shared" ref="DU143" si="650">SUMIF($D$5:$D$125,"=bes",DU5:DU125)+SUMIF($D$5:$D$125,"=bem",DU5:DU125)+SUMIF($D$5:$D$125,"=ber",DU5:DU125)+SUMIF($D$5:$D$125,"=bek",DU5:DU125)</f>
        <v>0</v>
      </c>
      <c r="DW143" s="102">
        <f t="shared" ref="DW143" si="651">SUM(DW144:DW146)</f>
        <v>0</v>
      </c>
      <c r="DX143" s="101">
        <f>DZ143*HLOOKUP(DX128,Grund_zins,2,FALSE)</f>
        <v>0</v>
      </c>
      <c r="DY143" s="101">
        <f t="shared" ref="DY143" si="652">SUMIF($D$5:$D$125,"=bes",DY5:DY125)+SUMIF($D$5:$D$125,"=bem",DY5:DY125)+SUMIF($D$5:$D$125,"=ber",DY5:DY125)+SUMIF($D$5:$D$125,"=bek",DY5:DY125)</f>
        <v>0</v>
      </c>
      <c r="DZ143" s="101">
        <f t="shared" ref="DZ143:DZ145" si="653">EA143-DS143+DU143+DY143/2</f>
        <v>0</v>
      </c>
      <c r="EA143" s="101">
        <f t="shared" ref="EA143" si="654">SUMIF($D$5:$D$125,"=bes",EA5:EA125)+SUMIF($D$5:$D$125,"=bem",EA5:EA125)+SUMIF($D$5:$D$125,"=ber",EA5:EA125)+SUMIF($D$5:$D$125,"=bek",EA5:EA125)</f>
        <v>0</v>
      </c>
      <c r="EB143" s="302" t="s">
        <v>453</v>
      </c>
      <c r="ED143" s="217"/>
    </row>
    <row r="144" spans="1:134" hidden="1" x14ac:dyDescent="0.3">
      <c r="A144" s="84" t="s">
        <v>180</v>
      </c>
      <c r="Q144" s="217">
        <v>17</v>
      </c>
      <c r="S144" s="101">
        <f>SUMIF($D$5:$D$125,"=bes",S5:S125)*HLOOKUP(X128,Verteil_sw,32,FALSE)+SUMIF($D$5:$D$125,"=bem",S5:S125)*HLOOKUP(X128,Verteil_sw,33,FALSE)+SUMIF($D$5:$D$125,"=ber",S5:S125)*HLOOKUP(X128,Verteil_sw,34,FALSE)+SUMIF($D$5:$D$125,"=bek",S5:S125)*HLOOKUP(X128,Verteil_sw,35,FALSE)</f>
        <v>0</v>
      </c>
      <c r="U144" s="101">
        <f>SUMIF($D$5:$D$125,"=bes",U5:U125)*HLOOKUP(X128,Verteil_sw,32,FALSE)+SUMIF($D$5:$D$125,"=bem",U5:U125)*HLOOKUP(X128,Verteil_sw,33,FALSE)+SUMIF($D$5:$D$125,"=ber",U5:U125)*HLOOKUP(X128,Verteil_sw,34,FALSE)+SUMIF($D$5:$D$125,"=bek",U5:U125)*HLOOKUP(X128,Verteil_sw,35,FALSE)</f>
        <v>0</v>
      </c>
      <c r="W144" s="102">
        <f>IF(X143&lt;&gt;0,X144/X143,0)</f>
        <v>0</v>
      </c>
      <c r="X144" s="101">
        <f>Z144*HLOOKUP(X128,Grund_zins,2,FALSE)</f>
        <v>0</v>
      </c>
      <c r="Y144" s="101">
        <f>SUMIF($D$5:$D$125,"=bes",Y5:Y125)*HLOOKUP(X128,Verteil_sw,32,FALSE)+SUMIF($D$5:$D$125,"=bem",Y5:Y125)*HLOOKUP(X128,Verteil_sw,33,FALSE)+SUMIF($D$5:$D$125,"=ber",Y5:Y125)*HLOOKUP(X128,Verteil_sw,34,FALSE)+SUMIF($D$5:$D$125,"=bek",Y5:Y125)*HLOOKUP(X128,Verteil_sw,35,FALSE)</f>
        <v>0</v>
      </c>
      <c r="Z144" s="101">
        <f t="shared" ref="Z144:Z149" si="655">AA144-S144+U144+Y144/2</f>
        <v>0</v>
      </c>
      <c r="AA144" s="101">
        <f>SUMIF($D$5:$D$125,"=bes",AA5:AA125)*HLOOKUP(X128,Verteil_sw,32,FALSE)+SUMIF($D$5:$D$125,"=bem",AA5:AA125)*HLOOKUP(X128,Verteil_sw,33,FALSE)+SUMIF($D$5:$D$125,"=ber",AA5:AA125)*HLOOKUP(X128,Verteil_sw,34,FALSE)+SUMIF($D$5:$D$125,"=bek",AA5:AA125)*HLOOKUP(X128,Verteil_sw,35,FALSE)</f>
        <v>0</v>
      </c>
      <c r="AB144" s="84" t="s">
        <v>180</v>
      </c>
      <c r="AD144" s="217"/>
      <c r="AF144" s="101">
        <f>SUMIF($D$5:$D$125,"=bes",AF5:AF125)*HLOOKUP(AK128,Verteil_sw,32,FALSE)+SUMIF($D$5:$D$125,"=bem",AF5:AF125)*HLOOKUP(AK128,Verteil_sw,33,FALSE)+SUMIF($D$5:$D$125,"=ber",AF5:AF125)*HLOOKUP(AK128,Verteil_sw,34,FALSE)+SUMIF($D$5:$D$125,"=bek",AF5:AF125)*HLOOKUP(AK128,Verteil_sw,35,FALSE)</f>
        <v>0</v>
      </c>
      <c r="AH144" s="101">
        <f>SUMIF($D$5:$D$125,"=bes",AH5:AH125)*HLOOKUP(AK128,Verteil_sw,32,FALSE)+SUMIF($D$5:$D$125,"=bem",AH5:AH125)*HLOOKUP(AK128,Verteil_sw,33,FALSE)+SUMIF($D$5:$D$125,"=ber",AH5:AH125)*HLOOKUP(AK128,Verteil_sw,34,FALSE)+SUMIF($D$5:$D$125,"=bek",AH5:AH125)*HLOOKUP(AK128,Verteil_sw,35,FALSE)</f>
        <v>0</v>
      </c>
      <c r="AJ144" s="102">
        <f t="shared" ref="AJ144" si="656">IF(AK143&lt;&gt;0,AK144/AK143,0)</f>
        <v>0</v>
      </c>
      <c r="AK144" s="101">
        <f>AM144*HLOOKUP(AK128,Grund_zins,2,FALSE)</f>
        <v>0</v>
      </c>
      <c r="AL144" s="101">
        <f>SUMIF($D$5:$D$125,"=bes",AL5:AL125)*HLOOKUP(AK128,Verteil_sw,32,FALSE)+SUMIF($D$5:$D$125,"=bem",AL5:AL125)*HLOOKUP(AK128,Verteil_sw,33,FALSE)+SUMIF($D$5:$D$125,"=ber",AL5:AL125)*HLOOKUP(AK128,Verteil_sw,34,FALSE)+SUMIF($D$5:$D$125,"=bek",AL5:AL125)*HLOOKUP(AK128,Verteil_sw,35,FALSE)</f>
        <v>0</v>
      </c>
      <c r="AM144" s="101">
        <f t="shared" si="611"/>
        <v>0</v>
      </c>
      <c r="AN144" s="101">
        <f>SUMIF($D$5:$D$125,"=bes",AN5:AN125)*HLOOKUP(AK128,Verteil_sw,32,FALSE)+SUMIF($D$5:$D$125,"=bem",AN5:AN125)*HLOOKUP(AK128,Verteil_sw,33,FALSE)+SUMIF($D$5:$D$125,"=ber",AN5:AN125)*HLOOKUP(AK128,Verteil_sw,34,FALSE)+SUMIF($D$5:$D$125,"=bek",AN5:AN125)*HLOOKUP(AK128,Verteil_sw,35,FALSE)</f>
        <v>0</v>
      </c>
      <c r="AO144" s="659" t="s">
        <v>180</v>
      </c>
      <c r="AQ144" s="217"/>
      <c r="AS144" s="101">
        <f>SUMIF($D$5:$D$125,"=bes",AS5:AS125)*HLOOKUP(AX128,Verteil_sw,32,FALSE)+SUMIF($D$5:$D$125,"=bem",AS5:AS125)*HLOOKUP(AX128,Verteil_sw,33,FALSE)+SUMIF($D$5:$D$125,"=ber",AS5:AS125)*HLOOKUP(AX128,Verteil_sw,34,FALSE)+SUMIF($D$5:$D$125,"=bek",AS5:AS125)*HLOOKUP(AX128,Verteil_sw,35,FALSE)</f>
        <v>0</v>
      </c>
      <c r="AU144" s="101">
        <f>SUMIF($D$5:$D$125,"=bes",AU5:AU125)*HLOOKUP(AX128,Verteil_sw,32,FALSE)+SUMIF($D$5:$D$125,"=bem",AU5:AU125)*HLOOKUP(AX128,Verteil_sw,33,FALSE)+SUMIF($D$5:$D$125,"=ber",AU5:AU125)*HLOOKUP(AX128,Verteil_sw,34,FALSE)+SUMIF($D$5:$D$125,"=bek",AU5:AU125)*HLOOKUP(AX128,Verteil_sw,35,FALSE)</f>
        <v>0</v>
      </c>
      <c r="AW144" s="102">
        <f t="shared" ref="AW144" si="657">IF(AX143&lt;&gt;0,AX144/AX143,0)</f>
        <v>0</v>
      </c>
      <c r="AX144" s="101">
        <f>AZ144*HLOOKUP(AX128,Grund_zins,2,FALSE)</f>
        <v>0</v>
      </c>
      <c r="AY144" s="101">
        <f>SUMIF($D$5:$D$125,"=bes",AY5:AY125)*HLOOKUP(AX128,Verteil_sw,32,FALSE)+SUMIF($D$5:$D$125,"=bem",AY5:AY125)*HLOOKUP(AX128,Verteil_sw,33,FALSE)+SUMIF($D$5:$D$125,"=ber",AY5:AY125)*HLOOKUP(AX128,Verteil_sw,34,FALSE)+SUMIF($D$5:$D$125,"=bek",AY5:AY125)*HLOOKUP(AX128,Verteil_sw,35,FALSE)</f>
        <v>0</v>
      </c>
      <c r="AZ144" s="101">
        <f t="shared" si="617"/>
        <v>0</v>
      </c>
      <c r="BA144" s="101">
        <f>SUMIF($D$5:$D$125,"=bes",BA5:BA125)*HLOOKUP(AX128,Verteil_sw,32,FALSE)+SUMIF($D$5:$D$125,"=bem",BA5:BA125)*HLOOKUP(AX128,Verteil_sw,33,FALSE)+SUMIF($D$5:$D$125,"=ber",BA5:BA125)*HLOOKUP(AX128,Verteil_sw,34,FALSE)+SUMIF($D$5:$D$125,"=bek",BA5:BA125)*HLOOKUP(AX128,Verteil_sw,35,FALSE)</f>
        <v>0</v>
      </c>
      <c r="BB144" s="659" t="s">
        <v>180</v>
      </c>
      <c r="BD144" s="217"/>
      <c r="BF144" s="101">
        <f>SUMIF($D$5:$D$125,"=bes",BF5:BF125)*HLOOKUP(BK128,Verteil_sw,32,FALSE)+SUMIF($D$5:$D$125,"=bem",BF5:BF125)*HLOOKUP(BK128,Verteil_sw,33,FALSE)+SUMIF($D$5:$D$125,"=ber",BF5:BF125)*HLOOKUP(BK128,Verteil_sw,34,FALSE)+SUMIF($D$5:$D$125,"=bek",BF5:BF125)*HLOOKUP(BK128,Verteil_sw,35,FALSE)</f>
        <v>0</v>
      </c>
      <c r="BH144" s="101">
        <f>SUMIF($D$5:$D$125,"=bes",BH5:BH125)*HLOOKUP(BK128,Verteil_sw,32,FALSE)+SUMIF($D$5:$D$125,"=bem",BH5:BH125)*HLOOKUP(BK128,Verteil_sw,33,FALSE)+SUMIF($D$5:$D$125,"=ber",BH5:BH125)*HLOOKUP(BK128,Verteil_sw,34,FALSE)+SUMIF($D$5:$D$125,"=bek",BH5:BH125)*HLOOKUP(BK128,Verteil_sw,35,FALSE)</f>
        <v>0</v>
      </c>
      <c r="BJ144" s="102">
        <f t="shared" ref="BJ144" si="658">IF(BK143&lt;&gt;0,BK144/BK143,0)</f>
        <v>0</v>
      </c>
      <c r="BK144" s="101">
        <f>BM144*HLOOKUP(BK128,Grund_zins,2,FALSE)</f>
        <v>0</v>
      </c>
      <c r="BL144" s="101">
        <f>SUMIF($D$5:$D$125,"=bes",BL5:BL125)*HLOOKUP(BK128,Verteil_sw,32,FALSE)+SUMIF($D$5:$D$125,"=bem",BL5:BL125)*HLOOKUP(BK128,Verteil_sw,33,FALSE)+SUMIF($D$5:$D$125,"=ber",BL5:BL125)*HLOOKUP(BK128,Verteil_sw,34,FALSE)+SUMIF($D$5:$D$125,"=bek",BL5:BL125)*HLOOKUP(BK128,Verteil_sw,35,FALSE)</f>
        <v>0</v>
      </c>
      <c r="BM144" s="101">
        <f t="shared" si="623"/>
        <v>0</v>
      </c>
      <c r="BN144" s="101">
        <f>SUMIF($D$5:$D$125,"=bes",BN5:BN125)*HLOOKUP(BK128,Verteil_sw,32,FALSE)+SUMIF($D$5:$D$125,"=bem",BN5:BN125)*HLOOKUP(BK128,Verteil_sw,33,FALSE)+SUMIF($D$5:$D$125,"=ber",BN5:BN125)*HLOOKUP(BK128,Verteil_sw,34,FALSE)+SUMIF($D$5:$D$125,"=bek",BN5:BN125)*HLOOKUP(BK128,Verteil_sw,35,FALSE)</f>
        <v>0</v>
      </c>
      <c r="BO144" s="659" t="s">
        <v>180</v>
      </c>
      <c r="BQ144" s="217"/>
      <c r="BS144" s="101">
        <f>SUMIF($D$5:$D$125,"=bes",BS5:BS125)*HLOOKUP(BX128,Verteil_sw,32,FALSE)+SUMIF($D$5:$D$125,"=bem",BS5:BS125)*HLOOKUP(BX128,Verteil_sw,33,FALSE)+SUMIF($D$5:$D$125,"=ber",BS5:BS125)*HLOOKUP(BX128,Verteil_sw,34,FALSE)+SUMIF($D$5:$D$125,"=bek",BS5:BS125)*HLOOKUP(BX128,Verteil_sw,35,FALSE)</f>
        <v>0</v>
      </c>
      <c r="BU144" s="101">
        <f>SUMIF($D$5:$D$125,"=bes",BU5:BU125)*HLOOKUP(BX128,Verteil_sw,32,FALSE)+SUMIF($D$5:$D$125,"=bem",BU5:BU125)*HLOOKUP(BX128,Verteil_sw,33,FALSE)+SUMIF($D$5:$D$125,"=ber",BU5:BU125)*HLOOKUP(BX128,Verteil_sw,34,FALSE)+SUMIF($D$5:$D$125,"=bek",BU5:BU125)*HLOOKUP(BX128,Verteil_sw,35,FALSE)</f>
        <v>0</v>
      </c>
      <c r="BW144" s="102">
        <f t="shared" ref="BW144" si="659">IF(BX143&lt;&gt;0,BX144/BX143,0)</f>
        <v>0</v>
      </c>
      <c r="BX144" s="101">
        <f>BZ144*HLOOKUP(BX128,Grund_zins,2,FALSE)</f>
        <v>0</v>
      </c>
      <c r="BY144" s="101">
        <f>SUMIF($D$5:$D$125,"=bes",BY5:BY125)*HLOOKUP(BX128,Verteil_sw,32,FALSE)+SUMIF($D$5:$D$125,"=bem",BY5:BY125)*HLOOKUP(BX128,Verteil_sw,33,FALSE)+SUMIF($D$5:$D$125,"=ber",BY5:BY125)*HLOOKUP(BX128,Verteil_sw,34,FALSE)+SUMIF($D$5:$D$125,"=bek",BY5:BY125)*HLOOKUP(BX128,Verteil_sw,35,FALSE)</f>
        <v>0</v>
      </c>
      <c r="BZ144" s="101">
        <f t="shared" si="629"/>
        <v>0</v>
      </c>
      <c r="CA144" s="101">
        <f>SUMIF($D$5:$D$125,"=bes",CA5:CA125)*HLOOKUP(BX128,Verteil_sw,32,FALSE)+SUMIF($D$5:$D$125,"=bem",CA5:CA125)*HLOOKUP(BX128,Verteil_sw,33,FALSE)+SUMIF($D$5:$D$125,"=ber",CA5:CA125)*HLOOKUP(BX128,Verteil_sw,34,FALSE)+SUMIF($D$5:$D$125,"=bek",CA5:CA125)*HLOOKUP(BX128,Verteil_sw,35,FALSE)</f>
        <v>0</v>
      </c>
      <c r="CB144" s="659" t="s">
        <v>180</v>
      </c>
      <c r="CD144" s="217"/>
      <c r="CF144" s="101">
        <f>SUMIF($D$5:$D$125,"=bes",CF5:CF125)*HLOOKUP(CK128,Verteil_sw,32,FALSE)+SUMIF($D$5:$D$125,"=bem",CF5:CF125)*HLOOKUP(CK128,Verteil_sw,33,FALSE)+SUMIF($D$5:$D$125,"=ber",CF5:CF125)*HLOOKUP(CK128,Verteil_sw,34,FALSE)+SUMIF($D$5:$D$125,"=bek",CF5:CF125)*HLOOKUP(CK128,Verteil_sw,35,FALSE)</f>
        <v>0</v>
      </c>
      <c r="CH144" s="101">
        <f>SUMIF($D$5:$D$125,"=bes",CH5:CH125)*HLOOKUP(CK128,Verteil_sw,32,FALSE)+SUMIF($D$5:$D$125,"=bem",CH5:CH125)*HLOOKUP(CK128,Verteil_sw,33,FALSE)+SUMIF($D$5:$D$125,"=ber",CH5:CH125)*HLOOKUP(CK128,Verteil_sw,34,FALSE)+SUMIF($D$5:$D$125,"=bek",CH5:CH125)*HLOOKUP(CK128,Verteil_sw,35,FALSE)</f>
        <v>0</v>
      </c>
      <c r="CJ144" s="102">
        <f t="shared" ref="CJ144" si="660">IF(CK143&lt;&gt;0,CK144/CK143,0)</f>
        <v>0</v>
      </c>
      <c r="CK144" s="101">
        <f>CM144*HLOOKUP(CK128,Grund_zins,2,FALSE)</f>
        <v>0</v>
      </c>
      <c r="CL144" s="101">
        <f>SUMIF($D$5:$D$125,"=bes",CL5:CL125)*HLOOKUP(CK128,Verteil_sw,32,FALSE)+SUMIF($D$5:$D$125,"=bem",CL5:CL125)*HLOOKUP(CK128,Verteil_sw,33,FALSE)+SUMIF($D$5:$D$125,"=ber",CL5:CL125)*HLOOKUP(CK128,Verteil_sw,34,FALSE)+SUMIF($D$5:$D$125,"=bek",CL5:CL125)*HLOOKUP(CK128,Verteil_sw,35,FALSE)</f>
        <v>0</v>
      </c>
      <c r="CM144" s="101">
        <f t="shared" si="635"/>
        <v>0</v>
      </c>
      <c r="CN144" s="101">
        <f>SUMIF($D$5:$D$125,"=bes",CN5:CN125)*HLOOKUP(CK128,Verteil_sw,32,FALSE)+SUMIF($D$5:$D$125,"=bem",CN5:CN125)*HLOOKUP(CK128,Verteil_sw,33,FALSE)+SUMIF($D$5:$D$125,"=ber",CN5:CN125)*HLOOKUP(CK128,Verteil_sw,34,FALSE)+SUMIF($D$5:$D$125,"=bek",CN5:CN125)*HLOOKUP(CK128,Verteil_sw,35,FALSE)</f>
        <v>0</v>
      </c>
      <c r="CO144" s="659" t="s">
        <v>180</v>
      </c>
      <c r="CQ144" s="217"/>
      <c r="CS144" s="101">
        <f>SUMIF($D$5:$D$125,"=bes",CS5:CS125)*HLOOKUP(CX128,Verteil_sw,32,FALSE)+SUMIF($D$5:$D$125,"=bem",CS5:CS125)*HLOOKUP(CX128,Verteil_sw,33,FALSE)+SUMIF($D$5:$D$125,"=ber",CS5:CS125)*HLOOKUP(CX128,Verteil_sw,34,FALSE)+SUMIF($D$5:$D$125,"=bek",CS5:CS125)*HLOOKUP(CX128,Verteil_sw,35,FALSE)</f>
        <v>0</v>
      </c>
      <c r="CU144" s="101">
        <f>SUMIF($D$5:$D$125,"=bes",CU5:CU125)*HLOOKUP(CX128,Verteil_sw,32,FALSE)+SUMIF($D$5:$D$125,"=bem",CU5:CU125)*HLOOKUP(CX128,Verteil_sw,33,FALSE)+SUMIF($D$5:$D$125,"=ber",CU5:CU125)*HLOOKUP(CX128,Verteil_sw,34,FALSE)+SUMIF($D$5:$D$125,"=bek",CU5:CU125)*HLOOKUP(CX128,Verteil_sw,35,FALSE)</f>
        <v>0</v>
      </c>
      <c r="CW144" s="102">
        <f t="shared" ref="CW144" si="661">IF(CX143&lt;&gt;0,CX144/CX143,0)</f>
        <v>0</v>
      </c>
      <c r="CX144" s="101">
        <f>CZ144*HLOOKUP(CX128,Grund_zins,2,FALSE)</f>
        <v>0</v>
      </c>
      <c r="CY144" s="101">
        <f>SUMIF($D$5:$D$125,"=bes",CY5:CY125)*HLOOKUP(CX128,Verteil_sw,32,FALSE)+SUMIF($D$5:$D$125,"=bem",CY5:CY125)*HLOOKUP(CX128,Verteil_sw,33,FALSE)+SUMIF($D$5:$D$125,"=ber",CY5:CY125)*HLOOKUP(CX128,Verteil_sw,34,FALSE)+SUMIF($D$5:$D$125,"=bek",CY5:CY125)*HLOOKUP(CX128,Verteil_sw,35,FALSE)</f>
        <v>0</v>
      </c>
      <c r="CZ144" s="101">
        <f t="shared" si="641"/>
        <v>0</v>
      </c>
      <c r="DA144" s="101">
        <f>SUMIF($D$5:$D$125,"=bes",DA5:DA125)*HLOOKUP(CX128,Verteil_sw,32,FALSE)+SUMIF($D$5:$D$125,"=bem",DA5:DA125)*HLOOKUP(CX128,Verteil_sw,33,FALSE)+SUMIF($D$5:$D$125,"=ber",DA5:DA125)*HLOOKUP(CX128,Verteil_sw,34,FALSE)+SUMIF($D$5:$D$125,"=bek",DA5:DA125)*HLOOKUP(CX128,Verteil_sw,35,FALSE)</f>
        <v>0</v>
      </c>
      <c r="DB144" s="659" t="s">
        <v>180</v>
      </c>
      <c r="DD144" s="217"/>
      <c r="DF144" s="101">
        <f>SUMIF($D$5:$D$125,"=bes",DF5:DF125)*HLOOKUP(DK128,Verteil_sw,32,FALSE)+SUMIF($D$5:$D$125,"=bem",DF5:DF125)*HLOOKUP(DK128,Verteil_sw,33,FALSE)+SUMIF($D$5:$D$125,"=ber",DF5:DF125)*HLOOKUP(DK128,Verteil_sw,34,FALSE)+SUMIF($D$5:$D$125,"=bek",DF5:DF125)*HLOOKUP(DK128,Verteil_sw,35,FALSE)</f>
        <v>0</v>
      </c>
      <c r="DH144" s="101">
        <f>SUMIF($D$5:$D$125,"=bes",DH5:DH125)*HLOOKUP(DK128,Verteil_sw,32,FALSE)+SUMIF($D$5:$D$125,"=bem",DH5:DH125)*HLOOKUP(DK128,Verteil_sw,33,FALSE)+SUMIF($D$5:$D$125,"=ber",DH5:DH125)*HLOOKUP(DK128,Verteil_sw,34,FALSE)+SUMIF($D$5:$D$125,"=bek",DH5:DH125)*HLOOKUP(DK128,Verteil_sw,35,FALSE)</f>
        <v>0</v>
      </c>
      <c r="DJ144" s="102">
        <f t="shared" ref="DJ144" si="662">IF(DK143&lt;&gt;0,DK144/DK143,0)</f>
        <v>0</v>
      </c>
      <c r="DK144" s="101">
        <f>DM144*HLOOKUP(DK128,Grund_zins,2,FALSE)</f>
        <v>0</v>
      </c>
      <c r="DL144" s="101">
        <f>SUMIF($D$5:$D$125,"=bes",DL5:DL125)*HLOOKUP(DK128,Verteil_sw,32,FALSE)+SUMIF($D$5:$D$125,"=bem",DL5:DL125)*HLOOKUP(DK128,Verteil_sw,33,FALSE)+SUMIF($D$5:$D$125,"=ber",DL5:DL125)*HLOOKUP(DK128,Verteil_sw,34,FALSE)+SUMIF($D$5:$D$125,"=bek",DL5:DL125)*HLOOKUP(DK128,Verteil_sw,35,FALSE)</f>
        <v>0</v>
      </c>
      <c r="DM144" s="101">
        <f t="shared" si="647"/>
        <v>0</v>
      </c>
      <c r="DN144" s="101">
        <f>SUMIF($D$5:$D$125,"=bes",DN5:DN125)*HLOOKUP(DK128,Verteil_sw,32,FALSE)+SUMIF($D$5:$D$125,"=bem",DN5:DN125)*HLOOKUP(DK128,Verteil_sw,33,FALSE)+SUMIF($D$5:$D$125,"=ber",DN5:DN125)*HLOOKUP(DK128,Verteil_sw,34,FALSE)+SUMIF($D$5:$D$125,"=bek",DN5:DN125)*HLOOKUP(DK128,Verteil_sw,35,FALSE)</f>
        <v>0</v>
      </c>
      <c r="DO144" s="659" t="s">
        <v>180</v>
      </c>
      <c r="DQ144" s="217"/>
      <c r="DS144" s="101">
        <f>SUMIF($D$5:$D$125,"=bes",DS5:DS125)*HLOOKUP(DX128,Verteil_sw,32,FALSE)+SUMIF($D$5:$D$125,"=bem",DS5:DS125)*HLOOKUP(DX128,Verteil_sw,33,FALSE)+SUMIF($D$5:$D$125,"=ber",DS5:DS125)*HLOOKUP(DX128,Verteil_sw,34,FALSE)+SUMIF($D$5:$D$125,"=bek",DS5:DS125)*HLOOKUP(DX128,Verteil_sw,35,FALSE)</f>
        <v>0</v>
      </c>
      <c r="DU144" s="101">
        <f>SUMIF($D$5:$D$125,"=bes",DU5:DU125)*HLOOKUP(DX128,Verteil_sw,32,FALSE)+SUMIF($D$5:$D$125,"=bem",DU5:DU125)*HLOOKUP(DX128,Verteil_sw,33,FALSE)+SUMIF($D$5:$D$125,"=ber",DU5:DU125)*HLOOKUP(DX128,Verteil_sw,34,FALSE)+SUMIF($D$5:$D$125,"=bek",DU5:DU125)*HLOOKUP(DX128,Verteil_sw,35,FALSE)</f>
        <v>0</v>
      </c>
      <c r="DW144" s="102">
        <f t="shared" ref="DW144" si="663">IF(DX143&lt;&gt;0,DX144/DX143,0)</f>
        <v>0</v>
      </c>
      <c r="DX144" s="101">
        <f>DZ144*HLOOKUP(DX128,Grund_zins,2,FALSE)</f>
        <v>0</v>
      </c>
      <c r="DY144" s="101">
        <f>SUMIF($D$5:$D$125,"=bes",DY5:DY125)*HLOOKUP(DX128,Verteil_sw,32,FALSE)+SUMIF($D$5:$D$125,"=bem",DY5:DY125)*HLOOKUP(DX128,Verteil_sw,33,FALSE)+SUMIF($D$5:$D$125,"=ber",DY5:DY125)*HLOOKUP(DX128,Verteil_sw,34,FALSE)+SUMIF($D$5:$D$125,"=bek",DY5:DY125)*HLOOKUP(DX128,Verteil_sw,35,FALSE)</f>
        <v>0</v>
      </c>
      <c r="DZ144" s="101">
        <f t="shared" si="653"/>
        <v>0</v>
      </c>
      <c r="EA144" s="101">
        <f>SUMIF($D$5:$D$125,"=bes",EA5:EA125)*HLOOKUP(DX128,Verteil_sw,32,FALSE)+SUMIF($D$5:$D$125,"=bem",EA5:EA125)*HLOOKUP(DX128,Verteil_sw,33,FALSE)+SUMIF($D$5:$D$125,"=ber",EA5:EA125)*HLOOKUP(DX128,Verteil_sw,34,FALSE)+SUMIF($D$5:$D$125,"=bek",EA5:EA125)*HLOOKUP(DX128,Verteil_sw,35,FALSE)</f>
        <v>0</v>
      </c>
      <c r="EB144" s="659" t="s">
        <v>180</v>
      </c>
      <c r="ED144" s="217"/>
    </row>
    <row r="145" spans="1:134" hidden="1" x14ac:dyDescent="0.3">
      <c r="A145" s="84" t="s">
        <v>181</v>
      </c>
      <c r="Q145" s="217">
        <v>18</v>
      </c>
      <c r="S145" s="101">
        <f>SUMIF($D$5:$D$125,"=bes",S5:S125)*HLOOKUP(X128,Verteil_rwgr,31,FALSE)+SUMIF($D$5:$D$125,"=bem",S5:S125)*HLOOKUP(X128,Verteil_rwgr,32,FALSE)+SUMIF($D$5:$D$125,"=ber",S5:S125)*HLOOKUP(X128,Verteil_rwgr,33,FALSE)+SUMIF($D$5:$D$125,"=bek",S5:S125)*HLOOKUP(X128,Verteil_rwgr,34,FALSE)</f>
        <v>0</v>
      </c>
      <c r="U145" s="101">
        <f>SUMIF($D$5:$D$125,"=bes",U5:U125)*HLOOKUP(X128,Verteil_rwgr,31,FALSE)+SUMIF($D$5:$D$125,"=bem",U5:U125)*HLOOKUP(X128,Verteil_rwgr,32,FALSE)+SUMIF($D$5:$D$125,"=ber",U5:U125)*HLOOKUP(X128,Verteil_rwgr,33,FALSE)+SUMIF($D$5:$D$125,"=bek",U5:U125)*HLOOKUP(X128,Verteil_rwgr,34,FALSE)</f>
        <v>0</v>
      </c>
      <c r="W145" s="102">
        <f>IF(X143&lt;&gt;0,X145/X143,0)</f>
        <v>0</v>
      </c>
      <c r="X145" s="101">
        <f>Z145*HLOOKUP(X128,Grund_zins,2,FALSE)</f>
        <v>0</v>
      </c>
      <c r="Y145" s="101">
        <f>SUMIF($D$5:$D$125,"=bes",Y5:Y125)*HLOOKUP(X128,Verteil_rwgr,31,FALSE)+SUMIF($D$5:$D$125,"=bem",Y5:Y125)*HLOOKUP(X128,Verteil_rwgr,32,FALSE)+SUMIF($D$5:$D$125,"=ber",Y5:Y125)*HLOOKUP(X128,Verteil_rwgr,33,FALSE)+SUMIF($D$5:$D$125,"=bek",Y5:Y125)*HLOOKUP(X128,Verteil_rwgr,34,FALSE)</f>
        <v>0</v>
      </c>
      <c r="Z145" s="101">
        <f t="shared" si="655"/>
        <v>0</v>
      </c>
      <c r="AA145" s="101">
        <f>SUMIF($D$5:$D$125,"=bes",AA5:AA125)*HLOOKUP(X128,Verteil_rwgr,31,FALSE)+SUMIF($D$5:$D$125,"=bem",AA5:AA125)*HLOOKUP(X128,Verteil_rwgr,32,FALSE)+SUMIF($D$5:$D$125,"=ber",AA5:AA125)*HLOOKUP(X128,Verteil_rwgr,33,FALSE)+SUMIF($D$5:$D$125,"=bek",AA5:AA125)*HLOOKUP(X128,Verteil_rwgr,34,FALSE)</f>
        <v>0</v>
      </c>
      <c r="AB145" s="84" t="s">
        <v>181</v>
      </c>
      <c r="AD145" s="217"/>
      <c r="AF145" s="101">
        <f>SUMIF($D$5:$D$125,"=bes",AF5:AF125)*HLOOKUP(AK128,Verteil_rwgr,31,FALSE)+SUMIF($D$5:$D$125,"=bem",AF5:AF125)*HLOOKUP(AK128,Verteil_rwgr,32,FALSE)+SUMIF($D$5:$D$125,"=ber",AF5:AF125)*HLOOKUP(AK128,Verteil_rwgr,33,FALSE)+SUMIF($D$5:$D$125,"=bek",AF5:AF125)*HLOOKUP(AK128,Verteil_rwgr,34,FALSE)</f>
        <v>0</v>
      </c>
      <c r="AH145" s="101">
        <f>SUMIF($D$5:$D$125,"=bes",AH5:AH125)*HLOOKUP(AK128,Verteil_rwgr,31,FALSE)+SUMIF($D$5:$D$125,"=bem",AH5:AH125)*HLOOKUP(AK128,Verteil_rwgr,32,FALSE)+SUMIF($D$5:$D$125,"=ber",AH5:AH125)*HLOOKUP(AK128,Verteil_rwgr,33,FALSE)+SUMIF($D$5:$D$125,"=bek",AH5:AH125)*HLOOKUP(AK128,Verteil_rwgr,34,FALSE)</f>
        <v>0</v>
      </c>
      <c r="AJ145" s="102">
        <f t="shared" ref="AJ145" si="664">IF(AK143&lt;&gt;0,AK145/AK143,0)</f>
        <v>0</v>
      </c>
      <c r="AK145" s="101">
        <f>AM145*HLOOKUP(AK128,Grund_zins,2,FALSE)</f>
        <v>0</v>
      </c>
      <c r="AL145" s="101">
        <f>SUMIF($D$5:$D$125,"=bes",AL5:AL125)*HLOOKUP(AK128,Verteil_rwgr,31,FALSE)+SUMIF($D$5:$D$125,"=bem",AL5:AL125)*HLOOKUP(AK128,Verteil_rwgr,32,FALSE)+SUMIF($D$5:$D$125,"=ber",AL5:AL125)*HLOOKUP(AK128,Verteil_rwgr,33,FALSE)+SUMIF($D$5:$D$125,"=bek",AL5:AL125)*HLOOKUP(AK128,Verteil_rwgr,34,FALSE)</f>
        <v>0</v>
      </c>
      <c r="AM145" s="101">
        <f t="shared" si="611"/>
        <v>0</v>
      </c>
      <c r="AN145" s="101">
        <f>SUMIF($D$5:$D$125,"=bes",AN5:AN125)*HLOOKUP(AK128,Verteil_rwgr,31,FALSE)+SUMIF($D$5:$D$125,"=bem",AN5:AN125)*HLOOKUP(AK128,Verteil_rwgr,32,FALSE)+SUMIF($D$5:$D$125,"=ber",AN5:AN125)*HLOOKUP(AK128,Verteil_rwgr,33,FALSE)+SUMIF($D$5:$D$125,"=bek",AN5:AN125)*HLOOKUP(AK128,Verteil_rwgr,34,FALSE)</f>
        <v>0</v>
      </c>
      <c r="AO145" s="659" t="s">
        <v>181</v>
      </c>
      <c r="AQ145" s="217"/>
      <c r="AS145" s="101">
        <f>SUMIF($D$5:$D$125,"=bes",AS5:AS125)*HLOOKUP(AX128,Verteil_rwgr,31,FALSE)+SUMIF($D$5:$D$125,"=bem",AS5:AS125)*HLOOKUP(AX128,Verteil_rwgr,32,FALSE)+SUMIF($D$5:$D$125,"=ber",AS5:AS125)*HLOOKUP(AX128,Verteil_rwgr,33,FALSE)+SUMIF($D$5:$D$125,"=bek",AS5:AS125)*HLOOKUP(AX128,Verteil_rwgr,34,FALSE)</f>
        <v>0</v>
      </c>
      <c r="AU145" s="101">
        <f>SUMIF($D$5:$D$125,"=bes",AU5:AU125)*HLOOKUP(AX128,Verteil_rwgr,31,FALSE)+SUMIF($D$5:$D$125,"=bem",AU5:AU125)*HLOOKUP(AX128,Verteil_rwgr,32,FALSE)+SUMIF($D$5:$D$125,"=ber",AU5:AU125)*HLOOKUP(AX128,Verteil_rwgr,33,FALSE)+SUMIF($D$5:$D$125,"=bek",AU5:AU125)*HLOOKUP(AX128,Verteil_rwgr,34,FALSE)</f>
        <v>0</v>
      </c>
      <c r="AW145" s="102">
        <f t="shared" ref="AW145" si="665">IF(AX143&lt;&gt;0,AX145/AX143,0)</f>
        <v>0</v>
      </c>
      <c r="AX145" s="101">
        <f>AZ145*HLOOKUP(AX128,Grund_zins,2,FALSE)</f>
        <v>0</v>
      </c>
      <c r="AY145" s="101">
        <f>SUMIF($D$5:$D$125,"=bes",AY5:AY125)*HLOOKUP(AX128,Verteil_rwgr,31,FALSE)+SUMIF($D$5:$D$125,"=bem",AY5:AY125)*HLOOKUP(AX128,Verteil_rwgr,32,FALSE)+SUMIF($D$5:$D$125,"=ber",AY5:AY125)*HLOOKUP(AX128,Verteil_rwgr,33,FALSE)+SUMIF($D$5:$D$125,"=bek",AY5:AY125)*HLOOKUP(AX128,Verteil_rwgr,34,FALSE)</f>
        <v>0</v>
      </c>
      <c r="AZ145" s="101">
        <f t="shared" si="617"/>
        <v>0</v>
      </c>
      <c r="BA145" s="101">
        <f>SUMIF($D$5:$D$125,"=bes",BA5:BA125)*HLOOKUP(AX128,Verteil_rwgr,31,FALSE)+SUMIF($D$5:$D$125,"=bem",BA5:BA125)*HLOOKUP(AX128,Verteil_rwgr,32,FALSE)+SUMIF($D$5:$D$125,"=ber",BA5:BA125)*HLOOKUP(AX128,Verteil_rwgr,33,FALSE)+SUMIF($D$5:$D$125,"=bek",BA5:BA125)*HLOOKUP(AX128,Verteil_rwgr,34,FALSE)</f>
        <v>0</v>
      </c>
      <c r="BB145" s="659" t="s">
        <v>181</v>
      </c>
      <c r="BD145" s="217"/>
      <c r="BF145" s="101">
        <f>SUMIF($D$5:$D$125,"=bes",BF5:BF125)*HLOOKUP(BK128,Verteil_rwgr,31,FALSE)+SUMIF($D$5:$D$125,"=bem",BF5:BF125)*HLOOKUP(BK128,Verteil_rwgr,32,FALSE)+SUMIF($D$5:$D$125,"=ber",BF5:BF125)*HLOOKUP(BK128,Verteil_rwgr,33,FALSE)+SUMIF($D$5:$D$125,"=bek",BF5:BF125)*HLOOKUP(BK128,Verteil_rwgr,34,FALSE)</f>
        <v>0</v>
      </c>
      <c r="BH145" s="101">
        <f>SUMIF($D$5:$D$125,"=bes",BH5:BH125)*HLOOKUP(BK128,Verteil_rwgr,31,FALSE)+SUMIF($D$5:$D$125,"=bem",BH5:BH125)*HLOOKUP(BK128,Verteil_rwgr,32,FALSE)+SUMIF($D$5:$D$125,"=ber",BH5:BH125)*HLOOKUP(BK128,Verteil_rwgr,33,FALSE)+SUMIF($D$5:$D$125,"=bek",BH5:BH125)*HLOOKUP(BK128,Verteil_rwgr,34,FALSE)</f>
        <v>0</v>
      </c>
      <c r="BJ145" s="102">
        <f t="shared" ref="BJ145" si="666">IF(BK143&lt;&gt;0,BK145/BK143,0)</f>
        <v>0</v>
      </c>
      <c r="BK145" s="101">
        <f>BM145*HLOOKUP(BK128,Grund_zins,2,FALSE)</f>
        <v>0</v>
      </c>
      <c r="BL145" s="101">
        <f>SUMIF($D$5:$D$125,"=bes",BL5:BL125)*HLOOKUP(BK128,Verteil_rwgr,31,FALSE)+SUMIF($D$5:$D$125,"=bem",BL5:BL125)*HLOOKUP(BK128,Verteil_rwgr,32,FALSE)+SUMIF($D$5:$D$125,"=ber",BL5:BL125)*HLOOKUP(BK128,Verteil_rwgr,33,FALSE)+SUMIF($D$5:$D$125,"=bek",BL5:BL125)*HLOOKUP(BK128,Verteil_rwgr,34,FALSE)</f>
        <v>0</v>
      </c>
      <c r="BM145" s="101">
        <f t="shared" si="623"/>
        <v>0</v>
      </c>
      <c r="BN145" s="101">
        <f>SUMIF($D$5:$D$125,"=bes",BN5:BN125)*HLOOKUP(BK128,Verteil_rwgr,31,FALSE)+SUMIF($D$5:$D$125,"=bem",BN5:BN125)*HLOOKUP(BK128,Verteil_rwgr,32,FALSE)+SUMIF($D$5:$D$125,"=ber",BN5:BN125)*HLOOKUP(BK128,Verteil_rwgr,33,FALSE)+SUMIF($D$5:$D$125,"=bek",BN5:BN125)*HLOOKUP(BK128,Verteil_rwgr,34,FALSE)</f>
        <v>0</v>
      </c>
      <c r="BO145" s="659" t="s">
        <v>181</v>
      </c>
      <c r="BQ145" s="217"/>
      <c r="BS145" s="101">
        <f>SUMIF($D$5:$D$125,"=bes",BS5:BS125)*HLOOKUP(BX128,Verteil_rwgr,31,FALSE)+SUMIF($D$5:$D$125,"=bem",BS5:BS125)*HLOOKUP(BX128,Verteil_rwgr,32,FALSE)+SUMIF($D$5:$D$125,"=ber",BS5:BS125)*HLOOKUP(BX128,Verteil_rwgr,33,FALSE)+SUMIF($D$5:$D$125,"=bek",BS5:BS125)*HLOOKUP(BX128,Verteil_rwgr,34,FALSE)</f>
        <v>0</v>
      </c>
      <c r="BU145" s="101">
        <f>SUMIF($D$5:$D$125,"=bes",BU5:BU125)*HLOOKUP(BX128,Verteil_rwgr,31,FALSE)+SUMIF($D$5:$D$125,"=bem",BU5:BU125)*HLOOKUP(BX128,Verteil_rwgr,32,FALSE)+SUMIF($D$5:$D$125,"=ber",BU5:BU125)*HLOOKUP(BX128,Verteil_rwgr,33,FALSE)+SUMIF($D$5:$D$125,"=bek",BU5:BU125)*HLOOKUP(BX128,Verteil_rwgr,34,FALSE)</f>
        <v>0</v>
      </c>
      <c r="BW145" s="102">
        <f t="shared" ref="BW145" si="667">IF(BX143&lt;&gt;0,BX145/BX143,0)</f>
        <v>0</v>
      </c>
      <c r="BX145" s="101">
        <f>BZ145*HLOOKUP(BX128,Grund_zins,2,FALSE)</f>
        <v>0</v>
      </c>
      <c r="BY145" s="101">
        <f>SUMIF($D$5:$D$125,"=bes",BY5:BY125)*HLOOKUP(BX128,Verteil_rwgr,31,FALSE)+SUMIF($D$5:$D$125,"=bem",BY5:BY125)*HLOOKUP(BX128,Verteil_rwgr,32,FALSE)+SUMIF($D$5:$D$125,"=ber",BY5:BY125)*HLOOKUP(BX128,Verteil_rwgr,33,FALSE)+SUMIF($D$5:$D$125,"=bek",BY5:BY125)*HLOOKUP(BX128,Verteil_rwgr,34,FALSE)</f>
        <v>0</v>
      </c>
      <c r="BZ145" s="101">
        <f t="shared" si="629"/>
        <v>0</v>
      </c>
      <c r="CA145" s="101">
        <f>SUMIF($D$5:$D$125,"=bes",CA5:CA125)*HLOOKUP(BX128,Verteil_rwgr,31,FALSE)+SUMIF($D$5:$D$125,"=bem",CA5:CA125)*HLOOKUP(BX128,Verteil_rwgr,32,FALSE)+SUMIF($D$5:$D$125,"=ber",CA5:CA125)*HLOOKUP(BX128,Verteil_rwgr,33,FALSE)+SUMIF($D$5:$D$125,"=bek",CA5:CA125)*HLOOKUP(BX128,Verteil_rwgr,34,FALSE)</f>
        <v>0</v>
      </c>
      <c r="CB145" s="659" t="s">
        <v>181</v>
      </c>
      <c r="CD145" s="217"/>
      <c r="CF145" s="101">
        <f>SUMIF($D$5:$D$125,"=bes",CF5:CF125)*HLOOKUP(CK128,Verteil_rwgr,31,FALSE)+SUMIF($D$5:$D$125,"=bem",CF5:CF125)*HLOOKUP(CK128,Verteil_rwgr,32,FALSE)+SUMIF($D$5:$D$125,"=ber",CF5:CF125)*HLOOKUP(CK128,Verteil_rwgr,33,FALSE)+SUMIF($D$5:$D$125,"=bek",CF5:CF125)*HLOOKUP(CK128,Verteil_rwgr,34,FALSE)</f>
        <v>0</v>
      </c>
      <c r="CH145" s="101">
        <f>SUMIF($D$5:$D$125,"=bes",CH5:CH125)*HLOOKUP(CK128,Verteil_rwgr,31,FALSE)+SUMIF($D$5:$D$125,"=bem",CH5:CH125)*HLOOKUP(CK128,Verteil_rwgr,32,FALSE)+SUMIF($D$5:$D$125,"=ber",CH5:CH125)*HLOOKUP(CK128,Verteil_rwgr,33,FALSE)+SUMIF($D$5:$D$125,"=bek",CH5:CH125)*HLOOKUP(CK128,Verteil_rwgr,34,FALSE)</f>
        <v>0</v>
      </c>
      <c r="CJ145" s="102">
        <f t="shared" ref="CJ145" si="668">IF(CK143&lt;&gt;0,CK145/CK143,0)</f>
        <v>0</v>
      </c>
      <c r="CK145" s="101">
        <f>CM145*HLOOKUP(CK128,Grund_zins,2,FALSE)</f>
        <v>0</v>
      </c>
      <c r="CL145" s="101">
        <f>SUMIF($D$5:$D$125,"=bes",CL5:CL125)*HLOOKUP(CK128,Verteil_rwgr,31,FALSE)+SUMIF($D$5:$D$125,"=bem",CL5:CL125)*HLOOKUP(CK128,Verteil_rwgr,32,FALSE)+SUMIF($D$5:$D$125,"=ber",CL5:CL125)*HLOOKUP(CK128,Verteil_rwgr,33,FALSE)+SUMIF($D$5:$D$125,"=bek",CL5:CL125)*HLOOKUP(CK128,Verteil_rwgr,34,FALSE)</f>
        <v>0</v>
      </c>
      <c r="CM145" s="101">
        <f t="shared" si="635"/>
        <v>0</v>
      </c>
      <c r="CN145" s="101">
        <f>SUMIF($D$5:$D$125,"=bes",CN5:CN125)*HLOOKUP(CK128,Verteil_rwgr,31,FALSE)+SUMIF($D$5:$D$125,"=bem",CN5:CN125)*HLOOKUP(CK128,Verteil_rwgr,32,FALSE)+SUMIF($D$5:$D$125,"=ber",CN5:CN125)*HLOOKUP(CK128,Verteil_rwgr,33,FALSE)+SUMIF($D$5:$D$125,"=bek",CN5:CN125)*HLOOKUP(CK128,Verteil_rwgr,34,FALSE)</f>
        <v>0</v>
      </c>
      <c r="CO145" s="659" t="s">
        <v>181</v>
      </c>
      <c r="CQ145" s="217"/>
      <c r="CS145" s="101">
        <f>SUMIF($D$5:$D$125,"=bes",CS5:CS125)*HLOOKUP(CX128,Verteil_rwgr,31,FALSE)+SUMIF($D$5:$D$125,"=bem",CS5:CS125)*HLOOKUP(CX128,Verteil_rwgr,32,FALSE)+SUMIF($D$5:$D$125,"=ber",CS5:CS125)*HLOOKUP(CX128,Verteil_rwgr,33,FALSE)+SUMIF($D$5:$D$125,"=bek",CS5:CS125)*HLOOKUP(CX128,Verteil_rwgr,34,FALSE)</f>
        <v>0</v>
      </c>
      <c r="CU145" s="101">
        <f>SUMIF($D$5:$D$125,"=bes",CU5:CU125)*HLOOKUP(CX128,Verteil_rwgr,31,FALSE)+SUMIF($D$5:$D$125,"=bem",CU5:CU125)*HLOOKUP(CX128,Verteil_rwgr,32,FALSE)+SUMIF($D$5:$D$125,"=ber",CU5:CU125)*HLOOKUP(CX128,Verteil_rwgr,33,FALSE)+SUMIF($D$5:$D$125,"=bek",CU5:CU125)*HLOOKUP(CX128,Verteil_rwgr,34,FALSE)</f>
        <v>0</v>
      </c>
      <c r="CW145" s="102">
        <f t="shared" ref="CW145" si="669">IF(CX143&lt;&gt;0,CX145/CX143,0)</f>
        <v>0</v>
      </c>
      <c r="CX145" s="101">
        <f>CZ145*HLOOKUP(CX128,Grund_zins,2,FALSE)</f>
        <v>0</v>
      </c>
      <c r="CY145" s="101">
        <f>SUMIF($D$5:$D$125,"=bes",CY5:CY125)*HLOOKUP(CX128,Verteil_rwgr,31,FALSE)+SUMIF($D$5:$D$125,"=bem",CY5:CY125)*HLOOKUP(CX128,Verteil_rwgr,32,FALSE)+SUMIF($D$5:$D$125,"=ber",CY5:CY125)*HLOOKUP(CX128,Verteil_rwgr,33,FALSE)+SUMIF($D$5:$D$125,"=bek",CY5:CY125)*HLOOKUP(CX128,Verteil_rwgr,34,FALSE)</f>
        <v>0</v>
      </c>
      <c r="CZ145" s="101">
        <f t="shared" si="641"/>
        <v>0</v>
      </c>
      <c r="DA145" s="101">
        <f>SUMIF($D$5:$D$125,"=bes",DA5:DA125)*HLOOKUP(CX128,Verteil_rwgr,31,FALSE)+SUMIF($D$5:$D$125,"=bem",DA5:DA125)*HLOOKUP(CX128,Verteil_rwgr,32,FALSE)+SUMIF($D$5:$D$125,"=ber",DA5:DA125)*HLOOKUP(CX128,Verteil_rwgr,33,FALSE)+SUMIF($D$5:$D$125,"=bek",DA5:DA125)*HLOOKUP(CX128,Verteil_rwgr,34,FALSE)</f>
        <v>0</v>
      </c>
      <c r="DB145" s="659" t="s">
        <v>181</v>
      </c>
      <c r="DD145" s="217"/>
      <c r="DF145" s="101">
        <f>SUMIF($D$5:$D$125,"=bes",DF5:DF125)*HLOOKUP(DK128,Verteil_rwgr,31,FALSE)+SUMIF($D$5:$D$125,"=bem",DF5:DF125)*HLOOKUP(DK128,Verteil_rwgr,32,FALSE)+SUMIF($D$5:$D$125,"=ber",DF5:DF125)*HLOOKUP(DK128,Verteil_rwgr,33,FALSE)+SUMIF($D$5:$D$125,"=bek",DF5:DF125)*HLOOKUP(DK128,Verteil_rwgr,34,FALSE)</f>
        <v>0</v>
      </c>
      <c r="DH145" s="101">
        <f>SUMIF($D$5:$D$125,"=bes",DH5:DH125)*HLOOKUP(DK128,Verteil_rwgr,31,FALSE)+SUMIF($D$5:$D$125,"=bem",DH5:DH125)*HLOOKUP(DK128,Verteil_rwgr,32,FALSE)+SUMIF($D$5:$D$125,"=ber",DH5:DH125)*HLOOKUP(DK128,Verteil_rwgr,33,FALSE)+SUMIF($D$5:$D$125,"=bek",DH5:DH125)*HLOOKUP(DK128,Verteil_rwgr,34,FALSE)</f>
        <v>0</v>
      </c>
      <c r="DJ145" s="102">
        <f t="shared" ref="DJ145" si="670">IF(DK143&lt;&gt;0,DK145/DK143,0)</f>
        <v>0</v>
      </c>
      <c r="DK145" s="101">
        <f>DM145*HLOOKUP(DK128,Grund_zins,2,FALSE)</f>
        <v>0</v>
      </c>
      <c r="DL145" s="101">
        <f>SUMIF($D$5:$D$125,"=bes",DL5:DL125)*HLOOKUP(DK128,Verteil_rwgr,31,FALSE)+SUMIF($D$5:$D$125,"=bem",DL5:DL125)*HLOOKUP(DK128,Verteil_rwgr,32,FALSE)+SUMIF($D$5:$D$125,"=ber",DL5:DL125)*HLOOKUP(DK128,Verteil_rwgr,33,FALSE)+SUMIF($D$5:$D$125,"=bek",DL5:DL125)*HLOOKUP(DK128,Verteil_rwgr,34,FALSE)</f>
        <v>0</v>
      </c>
      <c r="DM145" s="101">
        <f t="shared" si="647"/>
        <v>0</v>
      </c>
      <c r="DN145" s="101">
        <f>SUMIF($D$5:$D$125,"=bes",DN5:DN125)*HLOOKUP(DK128,Verteil_rwgr,31,FALSE)+SUMIF($D$5:$D$125,"=bem",DN5:DN125)*HLOOKUP(DK128,Verteil_rwgr,32,FALSE)+SUMIF($D$5:$D$125,"=ber",DN5:DN125)*HLOOKUP(DK128,Verteil_rwgr,33,FALSE)+SUMIF($D$5:$D$125,"=bek",DN5:DN125)*HLOOKUP(DK128,Verteil_rwgr,34,FALSE)</f>
        <v>0</v>
      </c>
      <c r="DO145" s="659" t="s">
        <v>181</v>
      </c>
      <c r="DQ145" s="217"/>
      <c r="DS145" s="101">
        <f>SUMIF($D$5:$D$125,"=bes",DS5:DS125)*HLOOKUP(DX128,Verteil_rwgr,31,FALSE)+SUMIF($D$5:$D$125,"=bem",DS5:DS125)*HLOOKUP(DX128,Verteil_rwgr,32,FALSE)+SUMIF($D$5:$D$125,"=ber",DS5:DS125)*HLOOKUP(DX128,Verteil_rwgr,33,FALSE)+SUMIF($D$5:$D$125,"=bek",DS5:DS125)*HLOOKUP(DX128,Verteil_rwgr,34,FALSE)</f>
        <v>0</v>
      </c>
      <c r="DU145" s="101">
        <f>SUMIF($D$5:$D$125,"=bes",DU5:DU125)*HLOOKUP(DX128,Verteil_rwgr,31,FALSE)+SUMIF($D$5:$D$125,"=bem",DU5:DU125)*HLOOKUP(DX128,Verteil_rwgr,32,FALSE)+SUMIF($D$5:$D$125,"=ber",DU5:DU125)*HLOOKUP(DX128,Verteil_rwgr,33,FALSE)+SUMIF($D$5:$D$125,"=bek",DU5:DU125)*HLOOKUP(DX128,Verteil_rwgr,34,FALSE)</f>
        <v>0</v>
      </c>
      <c r="DW145" s="102">
        <f t="shared" ref="DW145" si="671">IF(DX143&lt;&gt;0,DX145/DX143,0)</f>
        <v>0</v>
      </c>
      <c r="DX145" s="101">
        <f>DZ145*HLOOKUP(DX128,Grund_zins,2,FALSE)</f>
        <v>0</v>
      </c>
      <c r="DY145" s="101">
        <f>SUMIF($D$5:$D$125,"=bes",DY5:DY125)*HLOOKUP(DX128,Verteil_rwgr,31,FALSE)+SUMIF($D$5:$D$125,"=bem",DY5:DY125)*HLOOKUP(DX128,Verteil_rwgr,32,FALSE)+SUMIF($D$5:$D$125,"=ber",DY5:DY125)*HLOOKUP(DX128,Verteil_rwgr,33,FALSE)+SUMIF($D$5:$D$125,"=bek",DY5:DY125)*HLOOKUP(DX128,Verteil_rwgr,34,FALSE)</f>
        <v>0</v>
      </c>
      <c r="DZ145" s="101">
        <f t="shared" si="653"/>
        <v>0</v>
      </c>
      <c r="EA145" s="101">
        <f>SUMIF($D$5:$D$125,"=bes",EA5:EA125)*HLOOKUP(DX128,Verteil_rwgr,31,FALSE)+SUMIF($D$5:$D$125,"=bem",EA5:EA125)*HLOOKUP(DX128,Verteil_rwgr,32,FALSE)+SUMIF($D$5:$D$125,"=ber",EA5:EA125)*HLOOKUP(DX128,Verteil_rwgr,33,FALSE)+SUMIF($D$5:$D$125,"=bek",EA5:EA125)*HLOOKUP(DX128,Verteil_rwgr,34,FALSE)</f>
        <v>0</v>
      </c>
      <c r="EB145" s="659" t="s">
        <v>181</v>
      </c>
      <c r="ED145" s="217"/>
    </row>
    <row r="146" spans="1:134" hidden="1" x14ac:dyDescent="0.3">
      <c r="A146" s="84" t="s">
        <v>186</v>
      </c>
      <c r="Q146" s="217">
        <v>19</v>
      </c>
      <c r="S146" s="101"/>
      <c r="U146" s="101"/>
      <c r="W146" s="102">
        <f>IF(X143&lt;&gt;0,X146/X143,0)</f>
        <v>0</v>
      </c>
      <c r="X146" s="101">
        <f>Z146*HLOOKUP(X128,Grund_zins,2,FALSE)</f>
        <v>0</v>
      </c>
      <c r="Y146" s="101"/>
      <c r="Z146" s="101"/>
      <c r="AA146" s="101"/>
      <c r="AB146" s="84" t="s">
        <v>186</v>
      </c>
      <c r="AD146" s="217"/>
      <c r="AF146" s="101"/>
      <c r="AH146" s="101"/>
      <c r="AJ146" s="102">
        <f t="shared" ref="AJ146" si="672">IF(AK143&lt;&gt;0,AK146/AK143,0)</f>
        <v>0</v>
      </c>
      <c r="AK146" s="101">
        <f>AM146*HLOOKUP(AK128,Grund_zins,2,FALSE)</f>
        <v>0</v>
      </c>
      <c r="AL146" s="101"/>
      <c r="AM146" s="101"/>
      <c r="AN146" s="101"/>
      <c r="AO146" s="659" t="s">
        <v>186</v>
      </c>
      <c r="AQ146" s="217"/>
      <c r="AS146" s="101"/>
      <c r="AU146" s="101"/>
      <c r="AW146" s="102">
        <f t="shared" ref="AW146" si="673">IF(AX143&lt;&gt;0,AX146/AX143,0)</f>
        <v>0</v>
      </c>
      <c r="AX146" s="101">
        <f>AZ146*HLOOKUP(AX128,Grund_zins,2,FALSE)</f>
        <v>0</v>
      </c>
      <c r="AY146" s="101"/>
      <c r="AZ146" s="101"/>
      <c r="BA146" s="101"/>
      <c r="BB146" s="659" t="s">
        <v>186</v>
      </c>
      <c r="BD146" s="217"/>
      <c r="BF146" s="101"/>
      <c r="BH146" s="101"/>
      <c r="BJ146" s="102">
        <f t="shared" ref="BJ146" si="674">IF(BK143&lt;&gt;0,BK146/BK143,0)</f>
        <v>0</v>
      </c>
      <c r="BK146" s="101">
        <f>BM146*HLOOKUP(BK128,Grund_zins,2,FALSE)</f>
        <v>0</v>
      </c>
      <c r="BL146" s="101"/>
      <c r="BM146" s="101"/>
      <c r="BN146" s="101"/>
      <c r="BO146" s="659" t="s">
        <v>186</v>
      </c>
      <c r="BQ146" s="217"/>
      <c r="BS146" s="101"/>
      <c r="BU146" s="101"/>
      <c r="BW146" s="102">
        <f t="shared" ref="BW146" si="675">IF(BX143&lt;&gt;0,BX146/BX143,0)</f>
        <v>0</v>
      </c>
      <c r="BX146" s="101">
        <f>BZ146*HLOOKUP(BX128,Grund_zins,2,FALSE)</f>
        <v>0</v>
      </c>
      <c r="BY146" s="101"/>
      <c r="BZ146" s="101"/>
      <c r="CA146" s="101"/>
      <c r="CB146" s="659" t="s">
        <v>186</v>
      </c>
      <c r="CD146" s="217"/>
      <c r="CF146" s="101"/>
      <c r="CH146" s="101"/>
      <c r="CJ146" s="102">
        <f t="shared" ref="CJ146" si="676">IF(CK143&lt;&gt;0,CK146/CK143,0)</f>
        <v>0</v>
      </c>
      <c r="CK146" s="101">
        <f>CM146*HLOOKUP(CK128,Grund_zins,2,FALSE)</f>
        <v>0</v>
      </c>
      <c r="CL146" s="101"/>
      <c r="CM146" s="101"/>
      <c r="CN146" s="101"/>
      <c r="CO146" s="659" t="s">
        <v>186</v>
      </c>
      <c r="CQ146" s="217"/>
      <c r="CS146" s="101"/>
      <c r="CU146" s="101"/>
      <c r="CW146" s="102">
        <f t="shared" ref="CW146" si="677">IF(CX143&lt;&gt;0,CX146/CX143,0)</f>
        <v>0</v>
      </c>
      <c r="CX146" s="101">
        <f>CZ146*HLOOKUP(CX128,Grund_zins,2,FALSE)</f>
        <v>0</v>
      </c>
      <c r="CY146" s="101"/>
      <c r="CZ146" s="101"/>
      <c r="DA146" s="101"/>
      <c r="DB146" s="659" t="s">
        <v>186</v>
      </c>
      <c r="DD146" s="217"/>
      <c r="DF146" s="101"/>
      <c r="DH146" s="101"/>
      <c r="DJ146" s="102">
        <f t="shared" ref="DJ146" si="678">IF(DK143&lt;&gt;0,DK146/DK143,0)</f>
        <v>0</v>
      </c>
      <c r="DK146" s="101">
        <f>DM146*HLOOKUP(DK128,Grund_zins,2,FALSE)</f>
        <v>0</v>
      </c>
      <c r="DL146" s="101"/>
      <c r="DM146" s="101"/>
      <c r="DN146" s="101"/>
      <c r="DO146" s="659" t="s">
        <v>186</v>
      </c>
      <c r="DQ146" s="217"/>
      <c r="DS146" s="101"/>
      <c r="DU146" s="101"/>
      <c r="DW146" s="102">
        <f t="shared" ref="DW146" si="679">IF(DX143&lt;&gt;0,DX146/DX143,0)</f>
        <v>0</v>
      </c>
      <c r="DX146" s="101">
        <f>DZ146*HLOOKUP(DX128,Grund_zins,2,FALSE)</f>
        <v>0</v>
      </c>
      <c r="DY146" s="101"/>
      <c r="DZ146" s="101"/>
      <c r="EA146" s="101"/>
      <c r="EB146" s="659" t="s">
        <v>186</v>
      </c>
      <c r="ED146" s="217"/>
    </row>
    <row r="147" spans="1:134" hidden="1" x14ac:dyDescent="0.3">
      <c r="A147" s="302" t="s">
        <v>459</v>
      </c>
      <c r="Q147" s="217">
        <v>20</v>
      </c>
      <c r="S147" s="101">
        <f>SUMIF($D$5:$D$125,"=bez",S5:S125)</f>
        <v>0</v>
      </c>
      <c r="U147" s="101">
        <f>SUMIF($D$5:$D$125,"=bez",U5:U125)</f>
        <v>0</v>
      </c>
      <c r="W147" s="102">
        <f>SUM(W148:W150)</f>
        <v>1</v>
      </c>
      <c r="X147" s="101">
        <f>Z147*HLOOKUP(X128,Grund_zins,2,FALSE)</f>
        <v>109734.35497500001</v>
      </c>
      <c r="Y147" s="101">
        <f>SUMIF($D$5:$D$125,"=bez",Y5:Y125)</f>
        <v>211024.53</v>
      </c>
      <c r="Z147" s="101">
        <f t="shared" si="655"/>
        <v>3135267.2850000001</v>
      </c>
      <c r="AA147" s="101">
        <f>SUMIF($D$5:$D$125,"=bez",AA5:AA125)</f>
        <v>3029755.02</v>
      </c>
      <c r="AB147" s="209" t="s">
        <v>459</v>
      </c>
      <c r="AD147" s="217"/>
      <c r="AF147" s="101">
        <f t="shared" ref="AF147" si="680">SUMIF($D$5:$D$125,"=bez",AF5:AF125)</f>
        <v>0</v>
      </c>
      <c r="AH147" s="101">
        <f t="shared" ref="AH147" si="681">SUMIF($D$5:$D$125,"=bez",AH5:AH125)</f>
        <v>0</v>
      </c>
      <c r="AJ147" s="102">
        <f t="shared" ref="AJ147" si="682">SUM(AJ148:AJ150)</f>
        <v>0.99999999999999989</v>
      </c>
      <c r="AK147" s="101">
        <f>AM147*HLOOKUP(AK128,Grund_zins,2,FALSE)</f>
        <v>102348.496425</v>
      </c>
      <c r="AL147" s="101">
        <f t="shared" ref="AL147" si="683">SUMIF($D$5:$D$125,"=bez",AL5:AL125)</f>
        <v>211024.53</v>
      </c>
      <c r="AM147" s="101">
        <f t="shared" ref="AM147:AM149" si="684">AN147-AF147+AH147+AL147/2</f>
        <v>2924242.7549999999</v>
      </c>
      <c r="AN147" s="101">
        <f t="shared" ref="AN147" si="685">SUMIF($D$5:$D$125,"=bez",AN5:AN125)</f>
        <v>2818730.4899999998</v>
      </c>
      <c r="AO147" s="302" t="s">
        <v>459</v>
      </c>
      <c r="AQ147" s="217"/>
      <c r="AS147" s="101">
        <f t="shared" ref="AS147" si="686">SUMIF($D$5:$D$125,"=bez",AS5:AS125)</f>
        <v>0</v>
      </c>
      <c r="AU147" s="101">
        <f t="shared" ref="AU147" si="687">SUMIF($D$5:$D$125,"=bez",AU5:AU125)</f>
        <v>0</v>
      </c>
      <c r="AW147" s="102">
        <f t="shared" ref="AW147" si="688">SUM(AW148:AW150)</f>
        <v>0.99999999999999978</v>
      </c>
      <c r="AX147" s="101">
        <f>AZ147*HLOOKUP(AX128,Grund_zins,2,FALSE)</f>
        <v>95307.737875000035</v>
      </c>
      <c r="AY147" s="101">
        <f t="shared" ref="AY147" si="689">SUMIF($D$5:$D$125,"=bez",AY5:AY125)</f>
        <v>191304.53</v>
      </c>
      <c r="AZ147" s="101">
        <f t="shared" ref="AZ147:AZ149" si="690">BA147-AS147+AU147+AY147/2</f>
        <v>2723078.2250000006</v>
      </c>
      <c r="BA147" s="101">
        <f t="shared" ref="BA147" si="691">SUMIF($D$5:$D$125,"=bez",BA5:BA125)</f>
        <v>2627425.9600000004</v>
      </c>
      <c r="BB147" s="302" t="s">
        <v>459</v>
      </c>
      <c r="BD147" s="217"/>
      <c r="BF147" s="101">
        <f t="shared" ref="BF147" si="692">SUMIF($D$5:$D$125,"=bez",BF5:BF125)</f>
        <v>0</v>
      </c>
      <c r="BH147" s="101">
        <f t="shared" ref="BH147" si="693">SUMIF($D$5:$D$125,"=bez",BH5:BH125)</f>
        <v>0</v>
      </c>
      <c r="BJ147" s="102">
        <f t="shared" ref="BJ147" si="694">SUM(BJ148:BJ150)</f>
        <v>0.99999999999999989</v>
      </c>
      <c r="BK147" s="101">
        <f>BM147*HLOOKUP(BK128,Grund_zins,2,FALSE)</f>
        <v>88828.554325000005</v>
      </c>
      <c r="BL147" s="101">
        <f t="shared" ref="BL147" si="695">SUMIF($D$5:$D$125,"=bez",BL5:BL125)</f>
        <v>178934.53</v>
      </c>
      <c r="BM147" s="101">
        <f t="shared" ref="BM147:BM149" si="696">BN147-BF147+BH147+BL147/2</f>
        <v>2537958.6949999998</v>
      </c>
      <c r="BN147" s="101">
        <f t="shared" ref="BN147" si="697">SUMIF($D$5:$D$125,"=bez",BN5:BN125)</f>
        <v>2448491.4299999997</v>
      </c>
      <c r="BO147" s="302" t="s">
        <v>459</v>
      </c>
      <c r="BQ147" s="217"/>
      <c r="BS147" s="101">
        <f t="shared" ref="BS147" si="698">SUMIF($D$5:$D$125,"=bez",BS5:BS125)</f>
        <v>0</v>
      </c>
      <c r="BU147" s="101">
        <f t="shared" ref="BU147" si="699">SUMIF($D$5:$D$125,"=bez",BU5:BU125)</f>
        <v>0</v>
      </c>
      <c r="BW147" s="102">
        <f t="shared" ref="BW147" si="700">SUM(BW148:BW150)</f>
        <v>1</v>
      </c>
      <c r="BX147" s="101">
        <f>BZ147*HLOOKUP(BX128,Grund_zins,2,FALSE)</f>
        <v>82861.858275000006</v>
      </c>
      <c r="BY147" s="101">
        <f t="shared" ref="BY147" si="701">SUMIF($D$5:$D$125,"=bez",BY5:BY125)</f>
        <v>162019.53</v>
      </c>
      <c r="BZ147" s="101">
        <f t="shared" ref="BZ147:BZ149" si="702">CA147-BS147+BU147+BY147/2</f>
        <v>2367481.665</v>
      </c>
      <c r="CA147" s="101">
        <f t="shared" ref="CA147" si="703">SUMIF($D$5:$D$125,"=bez",CA5:CA125)</f>
        <v>2286471.9</v>
      </c>
      <c r="CB147" s="302" t="s">
        <v>459</v>
      </c>
      <c r="CD147" s="217"/>
      <c r="CF147" s="101">
        <f t="shared" ref="CF147" si="704">SUMIF($D$5:$D$125,"=bez",CF5:CF125)</f>
        <v>0</v>
      </c>
      <c r="CH147" s="101">
        <f t="shared" ref="CH147" si="705">SUMIF($D$5:$D$125,"=bez",CH5:CH125)</f>
        <v>0</v>
      </c>
      <c r="CJ147" s="102">
        <f t="shared" ref="CJ147" si="706">SUM(CJ148:CJ150)</f>
        <v>1</v>
      </c>
      <c r="CK147" s="101">
        <f>CM147*HLOOKUP(CK128,Grund_zins,2,FALSE)</f>
        <v>66332.299050000001</v>
      </c>
      <c r="CL147" s="101">
        <f t="shared" ref="CL147" si="707">SUMIF($D$5:$D$125,"=bez",CL5:CL125)</f>
        <v>150790.53</v>
      </c>
      <c r="CM147" s="101">
        <f t="shared" ref="CM147:CM149" si="708">CN147-CF147+CH147+CL147/2</f>
        <v>2211076.6350000002</v>
      </c>
      <c r="CN147" s="101">
        <f t="shared" ref="CN147" si="709">SUMIF($D$5:$D$125,"=bez",CN5:CN125)</f>
        <v>2135681.37</v>
      </c>
      <c r="CO147" s="302" t="s">
        <v>459</v>
      </c>
      <c r="CQ147" s="217"/>
      <c r="CS147" s="101">
        <f t="shared" ref="CS147" si="710">SUMIF($D$5:$D$125,"=bez",CS5:CS125)</f>
        <v>0</v>
      </c>
      <c r="CU147" s="101">
        <f t="shared" ref="CU147" si="711">SUMIF($D$5:$D$125,"=bez",CU5:CU125)</f>
        <v>0</v>
      </c>
      <c r="CW147" s="102">
        <f t="shared" ref="CW147" si="712">SUM(CW148:CW150)</f>
        <v>1.0000000000000002</v>
      </c>
      <c r="CX147" s="101">
        <f>CZ147*HLOOKUP(CX128,Grund_zins,2,FALSE)</f>
        <v>61894.083149999991</v>
      </c>
      <c r="CY147" s="101">
        <f t="shared" ref="CY147" si="713">SUMIF($D$5:$D$125,"=bez",CY5:CY125)</f>
        <v>145090.53</v>
      </c>
      <c r="CZ147" s="101">
        <f t="shared" ref="CZ147:CZ149" si="714">DA147-CS147+CU147+CY147/2</f>
        <v>2063136.1049999997</v>
      </c>
      <c r="DA147" s="101">
        <f t="shared" ref="DA147" si="715">SUMIF($D$5:$D$125,"=bez",DA5:DA125)</f>
        <v>1990590.8399999999</v>
      </c>
      <c r="DB147" s="302" t="s">
        <v>459</v>
      </c>
      <c r="DD147" s="217"/>
      <c r="DF147" s="101">
        <f t="shared" ref="DF147" si="716">SUMIF($D$5:$D$125,"=bez",DF5:DF125)</f>
        <v>0</v>
      </c>
      <c r="DH147" s="101">
        <f t="shared" ref="DH147" si="717">SUMIF($D$5:$D$125,"=bez",DH5:DH125)</f>
        <v>0</v>
      </c>
      <c r="DJ147" s="102">
        <f t="shared" ref="DJ147" si="718">SUM(DJ148:DJ150)</f>
        <v>1</v>
      </c>
      <c r="DK147" s="101">
        <f>DM147*HLOOKUP(DK128,Grund_zins,2,FALSE)</f>
        <v>57541.367249999996</v>
      </c>
      <c r="DL147" s="101">
        <f t="shared" ref="DL147" si="719">SUMIF($D$5:$D$125,"=bez",DL5:DL125)</f>
        <v>145090.53</v>
      </c>
      <c r="DM147" s="101">
        <f t="shared" ref="DM147:DM149" si="720">DN147-DF147+DH147+DL147/2</f>
        <v>1918045.575</v>
      </c>
      <c r="DN147" s="101">
        <f t="shared" ref="DN147" si="721">SUMIF($D$5:$D$125,"=bez",DN5:DN125)</f>
        <v>1845500.31</v>
      </c>
      <c r="DO147" s="302" t="s">
        <v>459</v>
      </c>
      <c r="DQ147" s="217"/>
      <c r="DS147" s="101">
        <f t="shared" ref="DS147" si="722">SUMIF($D$5:$D$125,"=bez",DS5:DS125)</f>
        <v>0</v>
      </c>
      <c r="DU147" s="101">
        <f t="shared" ref="DU147" si="723">SUMIF($D$5:$D$125,"=bez",DU5:DU125)</f>
        <v>0</v>
      </c>
      <c r="DW147" s="102">
        <f t="shared" ref="DW147" si="724">SUM(DW148:DW150)</f>
        <v>1.0000000000000002</v>
      </c>
      <c r="DX147" s="101">
        <f>DZ147*HLOOKUP(DX128,Grund_zins,2,FALSE)</f>
        <v>53188.651349999986</v>
      </c>
      <c r="DY147" s="101">
        <f t="shared" ref="DY147" si="725">SUMIF($D$5:$D$125,"=bez",DY5:DY125)</f>
        <v>145090.53</v>
      </c>
      <c r="DZ147" s="101">
        <f t="shared" ref="DZ147:DZ149" si="726">EA147-DS147+DU147+DY147/2</f>
        <v>1772955.0449999997</v>
      </c>
      <c r="EA147" s="101">
        <f t="shared" ref="EA147" si="727">SUMIF($D$5:$D$125,"=bez",EA5:EA125)</f>
        <v>1700409.7799999998</v>
      </c>
      <c r="EB147" s="302" t="s">
        <v>459</v>
      </c>
      <c r="ED147" s="217"/>
    </row>
    <row r="148" spans="1:134" hidden="1" x14ac:dyDescent="0.3">
      <c r="A148" s="84" t="s">
        <v>180</v>
      </c>
      <c r="Q148" s="217">
        <v>21</v>
      </c>
      <c r="S148" s="101">
        <f>SUMIF($D$5:$D$125,"=bez",S5:S125)*HLOOKUP(X128,Verteil_sw,37,FALSE)</f>
        <v>0</v>
      </c>
      <c r="U148" s="101">
        <f>SUMIF($D$5:$D$125,"=bez",U5:U125)*HLOOKUP(X128,Verteil_sw,37,FALSE)</f>
        <v>0</v>
      </c>
      <c r="W148" s="102">
        <f>IF(X147&lt;&gt;0,X148/X147,0)</f>
        <v>0.75944</v>
      </c>
      <c r="X148" s="101">
        <f>Z148*HLOOKUP(X128,Grund_zins,2,FALSE)</f>
        <v>83336.658542214005</v>
      </c>
      <c r="Y148" s="101">
        <f>SUMIF($D$5:$D$125,"=bez",Y5:Y125)*HLOOKUP(X128,Verteil_sw,37,FALSE)</f>
        <v>160260.4690632</v>
      </c>
      <c r="Z148" s="101">
        <f t="shared" si="655"/>
        <v>2381047.3869204</v>
      </c>
      <c r="AA148" s="101">
        <f>SUMIF($D$5:$D$125,"=bez",AA5:AA125)*HLOOKUP(X128,Verteil_sw,37,FALSE)</f>
        <v>2300917.1523887999</v>
      </c>
      <c r="AB148" s="84" t="s">
        <v>180</v>
      </c>
      <c r="AD148" s="217"/>
      <c r="AF148" s="101">
        <f>SUMIF($D$5:$D$125,"=bez",AF5:AF125)*HLOOKUP(AK128,Verteil_sw,37,FALSE)</f>
        <v>0</v>
      </c>
      <c r="AH148" s="101">
        <f>SUMIF($D$5:$D$125,"=bez",AH5:AH125)*HLOOKUP(AK128,Verteil_sw,37,FALSE)</f>
        <v>0</v>
      </c>
      <c r="AJ148" s="102">
        <f t="shared" ref="AJ148" si="728">IF(AK147&lt;&gt;0,AK148/AK147,0)</f>
        <v>0.7603899999999999</v>
      </c>
      <c r="AK148" s="101">
        <f>AM148*HLOOKUP(AK128,Grund_zins,2,FALSE)</f>
        <v>77824.773196605747</v>
      </c>
      <c r="AL148" s="101">
        <f>SUMIF($D$5:$D$125,"=bez",AL5:AL125)*HLOOKUP(AK128,Verteil_sw,37,FALSE)</f>
        <v>160460.94236670001</v>
      </c>
      <c r="AM148" s="101">
        <f t="shared" si="684"/>
        <v>2223564.9484744496</v>
      </c>
      <c r="AN148" s="101">
        <f>SUMIF($D$5:$D$125,"=bez",AN5:AN125)*HLOOKUP(AK128,Verteil_sw,37,FALSE)</f>
        <v>2143334.4772910997</v>
      </c>
      <c r="AO148" s="659" t="s">
        <v>180</v>
      </c>
      <c r="AQ148" s="217"/>
      <c r="AS148" s="101">
        <f>SUMIF($D$5:$D$125,"=bez",AS5:AS125)*HLOOKUP(AX128,Verteil_sw,37,FALSE)</f>
        <v>0</v>
      </c>
      <c r="AU148" s="101">
        <f>SUMIF($D$5:$D$125,"=bez",AU5:AU125)*HLOOKUP(AX128,Verteil_sw,37,FALSE)</f>
        <v>0</v>
      </c>
      <c r="AW148" s="102">
        <f t="shared" ref="AW148" si="729">IF(AX147&lt;&gt;0,AX148/AX147,0)</f>
        <v>0.76141999999999987</v>
      </c>
      <c r="AX148" s="101">
        <f>AZ148*HLOOKUP(AX128,Grund_zins,2,FALSE)</f>
        <v>72569.217772782518</v>
      </c>
      <c r="AY148" s="101">
        <f>SUMIF($D$5:$D$125,"=bez",AY5:AY125)*HLOOKUP(AX128,Verteil_sw,37,FALSE)</f>
        <v>145663.0952326</v>
      </c>
      <c r="AZ148" s="101">
        <f t="shared" si="690"/>
        <v>2073406.2220795003</v>
      </c>
      <c r="BA148" s="101">
        <f>SUMIF($D$5:$D$125,"=bez",BA5:BA125)*HLOOKUP(AX128,Verteil_sw,37,FALSE)</f>
        <v>2000574.6744632004</v>
      </c>
      <c r="BB148" s="659" t="s">
        <v>180</v>
      </c>
      <c r="BD148" s="217"/>
      <c r="BF148" s="101">
        <f>SUMIF($D$5:$D$125,"=bez",BF5:BF125)*HLOOKUP(BK128,Verteil_sw,37,FALSE)</f>
        <v>0</v>
      </c>
      <c r="BH148" s="101">
        <f>SUMIF($D$5:$D$125,"=bez",BH5:BH125)*HLOOKUP(BK128,Verteil_sw,37,FALSE)</f>
        <v>0</v>
      </c>
      <c r="BJ148" s="102">
        <f t="shared" ref="BJ148" si="730">IF(BK147&lt;&gt;0,BK148/BK147,0)</f>
        <v>0.76252999999999993</v>
      </c>
      <c r="BK148" s="101">
        <f>BM148*HLOOKUP(BK128,Grund_zins,2,FALSE)</f>
        <v>67734.43752944225</v>
      </c>
      <c r="BL148" s="101">
        <f>SUMIF($D$5:$D$125,"=bez",BL5:BL125)*HLOOKUP(BK128,Verteil_sw,37,FALSE)</f>
        <v>136442.94716090002</v>
      </c>
      <c r="BM148" s="101">
        <f t="shared" si="696"/>
        <v>1935269.6436983498</v>
      </c>
      <c r="BN148" s="101">
        <f>SUMIF($D$5:$D$125,"=bez",BN5:BN125)*HLOOKUP(BK128,Verteil_sw,37,FALSE)</f>
        <v>1867048.1701178998</v>
      </c>
      <c r="BO148" s="659" t="s">
        <v>180</v>
      </c>
      <c r="BQ148" s="217"/>
      <c r="BS148" s="101">
        <f>SUMIF($D$5:$D$125,"=bez",BS5:BS125)*HLOOKUP(BX128,Verteil_sw,37,FALSE)</f>
        <v>0</v>
      </c>
      <c r="BU148" s="101">
        <f>SUMIF($D$5:$D$125,"=bez",BU5:BU125)*HLOOKUP(BX128,Verteil_sw,37,FALSE)</f>
        <v>0</v>
      </c>
      <c r="BW148" s="102">
        <f t="shared" ref="BW148" si="731">IF(BX147&lt;&gt;0,BX148/BX147,0)</f>
        <v>0.76373000000000002</v>
      </c>
      <c r="BX148" s="101">
        <f>BZ148*HLOOKUP(BX128,Grund_zins,2,FALSE)</f>
        <v>63284.087020365754</v>
      </c>
      <c r="BY148" s="101">
        <f>SUMIF($D$5:$D$125,"=bez",BY5:BY125)*HLOOKUP(BX128,Verteil_sw,37,FALSE)</f>
        <v>123739.1756469</v>
      </c>
      <c r="BZ148" s="101">
        <f t="shared" si="702"/>
        <v>1808116.77201045</v>
      </c>
      <c r="CA148" s="101">
        <f>SUMIF($D$5:$D$125,"=bez",CA5:CA125)*HLOOKUP(BX128,Verteil_sw,37,FALSE)</f>
        <v>1746247.1841869999</v>
      </c>
      <c r="CB148" s="659" t="s">
        <v>180</v>
      </c>
      <c r="CD148" s="217"/>
      <c r="CF148" s="101">
        <f>SUMIF($D$5:$D$125,"=bez",CF5:CF125)*HLOOKUP(CK128,Verteil_sw,37,FALSE)</f>
        <v>0</v>
      </c>
      <c r="CH148" s="101">
        <f>SUMIF($D$5:$D$125,"=bez",CH5:CH125)*HLOOKUP(CK128,Verteil_sw,37,FALSE)</f>
        <v>0</v>
      </c>
      <c r="CJ148" s="102">
        <f t="shared" ref="CJ148" si="732">IF(CK147&lt;&gt;0,CK148/CK147,0)</f>
        <v>0.76504000000000005</v>
      </c>
      <c r="CK148" s="101">
        <f>CM148*HLOOKUP(CK128,Grund_zins,2,FALSE)</f>
        <v>50746.862065212008</v>
      </c>
      <c r="CL148" s="101">
        <f>SUMIF($D$5:$D$125,"=bez",CL5:CL125)*HLOOKUP(CK128,Verteil_sw,37,FALSE)</f>
        <v>115360.7870712</v>
      </c>
      <c r="CM148" s="101">
        <f t="shared" si="708"/>
        <v>1691562.0688404003</v>
      </c>
      <c r="CN148" s="101">
        <f>SUMIF($D$5:$D$125,"=bez",CN5:CN125)*HLOOKUP(CK128,Verteil_sw,37,FALSE)</f>
        <v>1633881.6753048003</v>
      </c>
      <c r="CO148" s="659" t="s">
        <v>180</v>
      </c>
      <c r="CQ148" s="217"/>
      <c r="CS148" s="101">
        <f>SUMIF($D$5:$D$125,"=bez",CS5:CS125)*HLOOKUP(CX128,Verteil_sw,37,FALSE)</f>
        <v>0</v>
      </c>
      <c r="CU148" s="101">
        <f>SUMIF($D$5:$D$125,"=bez",CU5:CU125)*HLOOKUP(CX128,Verteil_sw,37,FALSE)</f>
        <v>0</v>
      </c>
      <c r="CW148" s="102">
        <f t="shared" ref="CW148" si="733">IF(CX147&lt;&gt;0,CX148/CX147,0)</f>
        <v>0.76646000000000014</v>
      </c>
      <c r="CX148" s="101">
        <f>CZ148*HLOOKUP(CX128,Grund_zins,2,FALSE)</f>
        <v>47439.338971149002</v>
      </c>
      <c r="CY148" s="101">
        <f>SUMIF($D$5:$D$125,"=bez",CY5:CY125)*HLOOKUP(CX128,Verteil_sw,37,FALSE)</f>
        <v>111206.08762380001</v>
      </c>
      <c r="CZ148" s="101">
        <f t="shared" si="714"/>
        <v>1581311.2990383001</v>
      </c>
      <c r="DA148" s="101">
        <f>SUMIF($D$5:$D$125,"=bez",DA5:DA125)*HLOOKUP(CX128,Verteil_sw,37,FALSE)</f>
        <v>1525708.2552264</v>
      </c>
      <c r="DB148" s="659" t="s">
        <v>180</v>
      </c>
      <c r="DD148" s="217"/>
      <c r="DF148" s="101">
        <f>SUMIF($D$5:$D$125,"=bez",DF5:DF125)*HLOOKUP(DK128,Verteil_sw,37,FALSE)</f>
        <v>0</v>
      </c>
      <c r="DH148" s="101">
        <f>SUMIF($D$5:$D$125,"=bez",DH5:DH125)*HLOOKUP(DK128,Verteil_sw,37,FALSE)</f>
        <v>0</v>
      </c>
      <c r="DJ148" s="102">
        <f t="shared" ref="DJ148" si="734">IF(DK147&lt;&gt;0,DK148/DK147,0)</f>
        <v>0.76802000000000004</v>
      </c>
      <c r="DK148" s="101">
        <f>DM148*HLOOKUP(DK128,Grund_zins,2,FALSE)</f>
        <v>44192.920875345</v>
      </c>
      <c r="DL148" s="101">
        <f>SUMIF($D$5:$D$125,"=bez",DL5:DL125)*HLOOKUP(DK128,Verteil_sw,37,FALSE)</f>
        <v>111432.4288506</v>
      </c>
      <c r="DM148" s="101">
        <f t="shared" si="720"/>
        <v>1473097.3625115</v>
      </c>
      <c r="DN148" s="101">
        <f>SUMIF($D$5:$D$125,"=bez",DN5:DN125)*HLOOKUP(DK128,Verteil_sw,37,FALSE)</f>
        <v>1417381.1480862</v>
      </c>
      <c r="DO148" s="659" t="s">
        <v>180</v>
      </c>
      <c r="DQ148" s="217"/>
      <c r="DS148" s="101">
        <f>SUMIF($D$5:$D$125,"=bez",DS5:DS125)*HLOOKUP(DX128,Verteil_sw,37,FALSE)</f>
        <v>0</v>
      </c>
      <c r="DU148" s="101">
        <f>SUMIF($D$5:$D$125,"=bez",DU5:DU125)*HLOOKUP(DX128,Verteil_sw,37,FALSE)</f>
        <v>0</v>
      </c>
      <c r="DW148" s="102">
        <f t="shared" ref="DW148" si="735">IF(DX147&lt;&gt;0,DX148/DX147,0)</f>
        <v>0.76941000000000015</v>
      </c>
      <c r="DX148" s="101">
        <f>DZ148*HLOOKUP(DX128,Grund_zins,2,FALSE)</f>
        <v>40923.880235203498</v>
      </c>
      <c r="DY148" s="101">
        <f>SUMIF($D$5:$D$125,"=bez",DY5:DY125)*HLOOKUP(DX128,Verteil_sw,37,FALSE)</f>
        <v>111634.1046873</v>
      </c>
      <c r="DZ148" s="101">
        <f t="shared" si="726"/>
        <v>1364129.34117345</v>
      </c>
      <c r="EA148" s="101">
        <f>SUMIF($D$5:$D$125,"=bez",EA5:EA125)*HLOOKUP(DX128,Verteil_sw,37,FALSE)</f>
        <v>1308312.2888298</v>
      </c>
      <c r="EB148" s="659" t="s">
        <v>180</v>
      </c>
      <c r="ED148" s="217"/>
    </row>
    <row r="149" spans="1:134" hidden="1" x14ac:dyDescent="0.3">
      <c r="A149" s="84" t="s">
        <v>181</v>
      </c>
      <c r="Q149" s="217">
        <v>22</v>
      </c>
      <c r="S149" s="101">
        <f>SUMIF($D$5:$D$125,"=bez",S5:S125)*HLOOKUP(X128,Verteil_rwgr,36,FALSE)</f>
        <v>0</v>
      </c>
      <c r="U149" s="101">
        <f>SUMIF($D$5:$D$125,"=bez",U5:U125)*HLOOKUP(X128,Verteil_rwgr,36,FALSE)</f>
        <v>0</v>
      </c>
      <c r="W149" s="102">
        <f>IF(X147&lt;&gt;0,X149/X147,0)</f>
        <v>0.24056</v>
      </c>
      <c r="X149" s="101">
        <f>Z149*HLOOKUP(X128,Grund_zins,2,FALSE)</f>
        <v>26397.696432786001</v>
      </c>
      <c r="Y149" s="101">
        <f>SUMIF($D$5:$D$125,"=bez",Y5:Y125)*HLOOKUP(X128,Verteil_rwgr,36,FALSE)</f>
        <v>50764.0609368</v>
      </c>
      <c r="Z149" s="101">
        <f t="shared" si="655"/>
        <v>754219.89807959995</v>
      </c>
      <c r="AA149" s="101">
        <f>SUMIF($D$5:$D$125,"=bez",AA5:AA125)*HLOOKUP(X128,Verteil_rwgr,36,FALSE)</f>
        <v>728837.86761119997</v>
      </c>
      <c r="AB149" s="84" t="s">
        <v>181</v>
      </c>
      <c r="AD149" s="217"/>
      <c r="AF149" s="101">
        <f>SUMIF($D$5:$D$125,"=bez",AF5:AF125)*HLOOKUP(AK128,Verteil_rwgr,36,FALSE)</f>
        <v>0</v>
      </c>
      <c r="AH149" s="101">
        <f>SUMIF($D$5:$D$125,"=bez",AH5:AH125)*HLOOKUP(AK128,Verteil_rwgr,36,FALSE)</f>
        <v>0</v>
      </c>
      <c r="AJ149" s="102">
        <f t="shared" ref="AJ149" si="736">IF(AK147&lt;&gt;0,AK149/AK147,0)</f>
        <v>0.23960999999999999</v>
      </c>
      <c r="AK149" s="101">
        <f>AM149*HLOOKUP(AK128,Grund_zins,2,FALSE)</f>
        <v>24523.72322839425</v>
      </c>
      <c r="AL149" s="101">
        <f>SUMIF($D$5:$D$125,"=bez",AL5:AL125)*HLOOKUP(AK128,Verteil_rwgr,36,FALSE)</f>
        <v>50563.587633299998</v>
      </c>
      <c r="AM149" s="101">
        <f t="shared" si="684"/>
        <v>700677.80652554997</v>
      </c>
      <c r="AN149" s="101">
        <f>SUMIF($D$5:$D$125,"=bez",AN5:AN125)*HLOOKUP(AK128,Verteil_rwgr,36,FALSE)</f>
        <v>675396.01270889991</v>
      </c>
      <c r="AO149" s="659" t="s">
        <v>181</v>
      </c>
      <c r="AQ149" s="217"/>
      <c r="AS149" s="101">
        <f>SUMIF($D$5:$D$125,"=bez",AS5:AS125)*HLOOKUP(AX128,Verteil_rwgr,36,FALSE)</f>
        <v>0</v>
      </c>
      <c r="AU149" s="101">
        <f>SUMIF($D$5:$D$125,"=bez",AU5:AU125)*HLOOKUP(AX128,Verteil_rwgr,36,FALSE)</f>
        <v>0</v>
      </c>
      <c r="AW149" s="102">
        <f t="shared" ref="AW149" si="737">IF(AX147&lt;&gt;0,AX149/AX147,0)</f>
        <v>0.23857999999999993</v>
      </c>
      <c r="AX149" s="101">
        <f>AZ149*HLOOKUP(AX128,Grund_zins,2,FALSE)</f>
        <v>22738.520102217502</v>
      </c>
      <c r="AY149" s="101">
        <f>SUMIF($D$5:$D$125,"=bez",AY5:AY125)*HLOOKUP(AX128,Verteil_rwgr,36,FALSE)</f>
        <v>45641.434767399995</v>
      </c>
      <c r="AZ149" s="101">
        <f t="shared" si="690"/>
        <v>649672.0029205</v>
      </c>
      <c r="BA149" s="101">
        <f>SUMIF($D$5:$D$125,"=bez",BA5:BA125)*HLOOKUP(AX128,Verteil_rwgr,36,FALSE)</f>
        <v>626851.28553680005</v>
      </c>
      <c r="BB149" s="659" t="s">
        <v>181</v>
      </c>
      <c r="BD149" s="217"/>
      <c r="BF149" s="101">
        <f>SUMIF($D$5:$D$125,"=bez",BF5:BF125)*HLOOKUP(BK128,Verteil_rwgr,36,FALSE)</f>
        <v>0</v>
      </c>
      <c r="BH149" s="101">
        <f>SUMIF($D$5:$D$125,"=bez",BH5:BH125)*HLOOKUP(BK128,Verteil_rwgr,36,FALSE)</f>
        <v>0</v>
      </c>
      <c r="BJ149" s="102">
        <f t="shared" ref="BJ149" si="738">IF(BK147&lt;&gt;0,BK149/BK147,0)</f>
        <v>0.23746999999999996</v>
      </c>
      <c r="BK149" s="101">
        <f>BM149*HLOOKUP(BK128,Grund_zins,2,FALSE)</f>
        <v>21094.116795557748</v>
      </c>
      <c r="BL149" s="101">
        <f>SUMIF($D$5:$D$125,"=bez",BL5:BL125)*HLOOKUP(BK128,Verteil_rwgr,36,FALSE)</f>
        <v>42491.582839099996</v>
      </c>
      <c r="BM149" s="101">
        <f t="shared" si="696"/>
        <v>602689.05130164989</v>
      </c>
      <c r="BN149" s="101">
        <f>SUMIF($D$5:$D$125,"=bez",BN5:BN125)*HLOOKUP(BK128,Verteil_rwgr,36,FALSE)</f>
        <v>581443.25988209993</v>
      </c>
      <c r="BO149" s="659" t="s">
        <v>181</v>
      </c>
      <c r="BQ149" s="217"/>
      <c r="BS149" s="101">
        <f>SUMIF($D$5:$D$125,"=bez",BS5:BS125)*HLOOKUP(BX128,Verteil_rwgr,36,FALSE)</f>
        <v>0</v>
      </c>
      <c r="BU149" s="101">
        <f>SUMIF($D$5:$D$125,"=bez",BU5:BU125)*HLOOKUP(BX128,Verteil_rwgr,36,FALSE)</f>
        <v>0</v>
      </c>
      <c r="BW149" s="102">
        <f t="shared" ref="BW149" si="739">IF(BX147&lt;&gt;0,BX149/BX147,0)</f>
        <v>0.23627000000000001</v>
      </c>
      <c r="BX149" s="101">
        <f>BZ149*HLOOKUP(BX128,Grund_zins,2,FALSE)</f>
        <v>19577.771254634252</v>
      </c>
      <c r="BY149" s="101">
        <f>SUMIF($D$5:$D$125,"=bez",BY5:BY125)*HLOOKUP(BX128,Verteil_rwgr,36,FALSE)</f>
        <v>38280.354353100003</v>
      </c>
      <c r="BZ149" s="101">
        <f t="shared" si="702"/>
        <v>559364.89298955002</v>
      </c>
      <c r="CA149" s="101">
        <f>SUMIF($D$5:$D$125,"=bez",CA5:CA125)*HLOOKUP(BX128,Verteil_rwgr,36,FALSE)</f>
        <v>540224.71581299999</v>
      </c>
      <c r="CB149" s="659" t="s">
        <v>181</v>
      </c>
      <c r="CD149" s="217"/>
      <c r="CF149" s="101">
        <f>SUMIF($D$5:$D$125,"=bez",CF5:CF125)*HLOOKUP(CK128,Verteil_rwgr,36,FALSE)</f>
        <v>0</v>
      </c>
      <c r="CH149" s="101">
        <f>SUMIF($D$5:$D$125,"=bez",CH5:CH125)*HLOOKUP(CK128,Verteil_rwgr,36,FALSE)</f>
        <v>0</v>
      </c>
      <c r="CJ149" s="102">
        <f t="shared" ref="CJ149" si="740">IF(CK147&lt;&gt;0,CK149/CK147,0)</f>
        <v>0.23496</v>
      </c>
      <c r="CK149" s="101">
        <f>CM149*HLOOKUP(CK128,Grund_zins,2,FALSE)</f>
        <v>15585.436984788001</v>
      </c>
      <c r="CL149" s="101">
        <f>SUMIF($D$5:$D$125,"=bez",CL5:CL125)*HLOOKUP(CK128,Verteil_rwgr,36,FALSE)</f>
        <v>35429.742928799998</v>
      </c>
      <c r="CM149" s="101">
        <f t="shared" si="708"/>
        <v>519514.56615960004</v>
      </c>
      <c r="CN149" s="101">
        <f>SUMIF($D$5:$D$125,"=bez",CN5:CN125)*HLOOKUP(CK128,Verteil_rwgr,36,FALSE)</f>
        <v>501799.69469520001</v>
      </c>
      <c r="CO149" s="659" t="s">
        <v>181</v>
      </c>
      <c r="CQ149" s="217"/>
      <c r="CS149" s="101">
        <f>SUMIF($D$5:$D$125,"=bez",CS5:CS125)*HLOOKUP(CX128,Verteil_rwgr,36,FALSE)</f>
        <v>0</v>
      </c>
      <c r="CU149" s="101">
        <f>SUMIF($D$5:$D$125,"=bez",CU5:CU125)*HLOOKUP(CX128,Verteil_rwgr,36,FALSE)</f>
        <v>0</v>
      </c>
      <c r="CW149" s="102">
        <f t="shared" ref="CW149" si="741">IF(CX147&lt;&gt;0,CX149/CX147,0)</f>
        <v>0.23354</v>
      </c>
      <c r="CX149" s="101">
        <f>CZ149*HLOOKUP(CX128,Grund_zins,2,FALSE)</f>
        <v>14454.744178850999</v>
      </c>
      <c r="CY149" s="101">
        <f>SUMIF($D$5:$D$125,"=bez",CY5:CY125)*HLOOKUP(CX128,Verteil_rwgr,36,FALSE)</f>
        <v>33884.442376200001</v>
      </c>
      <c r="CZ149" s="101">
        <f t="shared" si="714"/>
        <v>481824.80596169998</v>
      </c>
      <c r="DA149" s="101">
        <f>SUMIF($D$5:$D$125,"=bez",DA5:DA125)*HLOOKUP(CX128,Verteil_rwgr,36,FALSE)</f>
        <v>464882.58477359999</v>
      </c>
      <c r="DB149" s="659" t="s">
        <v>181</v>
      </c>
      <c r="DD149" s="217"/>
      <c r="DF149" s="101">
        <f>SUMIF($D$5:$D$125,"=bez",DF5:DF125)*HLOOKUP(DK128,Verteil_rwgr,36,FALSE)</f>
        <v>0</v>
      </c>
      <c r="DH149" s="101">
        <f>SUMIF($D$5:$D$125,"=bez",DH5:DH125)*HLOOKUP(DK128,Verteil_rwgr,36,FALSE)</f>
        <v>0</v>
      </c>
      <c r="DJ149" s="102">
        <f t="shared" ref="DJ149" si="742">IF(DK147&lt;&gt;0,DK149/DK147,0)</f>
        <v>0.23197999999999999</v>
      </c>
      <c r="DK149" s="101">
        <f>DM149*HLOOKUP(DK128,Grund_zins,2,FALSE)</f>
        <v>13348.446374654999</v>
      </c>
      <c r="DL149" s="101">
        <f>SUMIF($D$5:$D$125,"=bez",DL5:DL125)*HLOOKUP(DK128,Verteil_rwgr,36,FALSE)</f>
        <v>33658.101149399998</v>
      </c>
      <c r="DM149" s="101">
        <f t="shared" si="720"/>
        <v>444948.21248849999</v>
      </c>
      <c r="DN149" s="101">
        <f>SUMIF($D$5:$D$125,"=bez",DN5:DN125)*HLOOKUP(DK128,Verteil_rwgr,36,FALSE)</f>
        <v>428119.1619138</v>
      </c>
      <c r="DO149" s="659" t="s">
        <v>181</v>
      </c>
      <c r="DQ149" s="217"/>
      <c r="DS149" s="101">
        <f>SUMIF($D$5:$D$125,"=bez",DS5:DS125)*HLOOKUP(DX128,Verteil_rwgr,36,FALSE)</f>
        <v>0</v>
      </c>
      <c r="DU149" s="101">
        <f>SUMIF($D$5:$D$125,"=bez",DU5:DU125)*HLOOKUP(DX128,Verteil_rwgr,36,FALSE)</f>
        <v>0</v>
      </c>
      <c r="DW149" s="102">
        <f t="shared" ref="DW149" si="743">IF(DX147&lt;&gt;0,DX149/DX147,0)</f>
        <v>0.23059000000000002</v>
      </c>
      <c r="DX149" s="101">
        <f>DZ149*HLOOKUP(DX128,Grund_zins,2,FALSE)</f>
        <v>12264.771114796498</v>
      </c>
      <c r="DY149" s="101">
        <f>SUMIF($D$5:$D$125,"=bez",DY5:DY125)*HLOOKUP(DX128,Verteil_rwgr,36,FALSE)</f>
        <v>33456.425312699997</v>
      </c>
      <c r="DZ149" s="101">
        <f t="shared" si="726"/>
        <v>408825.70382654993</v>
      </c>
      <c r="EA149" s="101">
        <f>SUMIF($D$5:$D$125,"=bez",EA5:EA125)*HLOOKUP(DX128,Verteil_rwgr,36,FALSE)</f>
        <v>392097.49117019994</v>
      </c>
      <c r="EB149" s="659" t="s">
        <v>181</v>
      </c>
      <c r="ED149" s="217"/>
    </row>
    <row r="150" spans="1:134" hidden="1" x14ac:dyDescent="0.3">
      <c r="A150" s="84" t="s">
        <v>186</v>
      </c>
      <c r="Q150" s="217">
        <v>23</v>
      </c>
      <c r="W150" s="102">
        <f>IF(X147&lt;&gt;0,X150/X147,0)</f>
        <v>0</v>
      </c>
      <c r="X150" s="101">
        <f>Z150*HLOOKUP(X128,Grund_zins,2,FALSE)</f>
        <v>0</v>
      </c>
      <c r="AB150" s="84" t="s">
        <v>186</v>
      </c>
      <c r="AD150" s="217"/>
      <c r="AJ150" s="102">
        <f t="shared" ref="AJ150" si="744">IF(AK147&lt;&gt;0,AK150/AK147,0)</f>
        <v>0</v>
      </c>
      <c r="AK150" s="101">
        <f>AM150*HLOOKUP(AK128,Grund_zins,2,FALSE)</f>
        <v>0</v>
      </c>
      <c r="AO150" s="659" t="s">
        <v>186</v>
      </c>
      <c r="AQ150" s="217"/>
      <c r="AW150" s="102">
        <f t="shared" ref="AW150" si="745">IF(AX147&lt;&gt;0,AX150/AX147,0)</f>
        <v>0</v>
      </c>
      <c r="AX150" s="101">
        <f>AZ150*HLOOKUP(AX128,Grund_zins,2,FALSE)</f>
        <v>0</v>
      </c>
      <c r="BB150" s="659" t="s">
        <v>186</v>
      </c>
      <c r="BD150" s="217"/>
      <c r="BJ150" s="102">
        <f t="shared" ref="BJ150" si="746">IF(BK147&lt;&gt;0,BK150/BK147,0)</f>
        <v>0</v>
      </c>
      <c r="BK150" s="101">
        <f>BM150*HLOOKUP(BK128,Grund_zins,2,FALSE)</f>
        <v>0</v>
      </c>
      <c r="BO150" s="659" t="s">
        <v>186</v>
      </c>
      <c r="BQ150" s="217"/>
      <c r="BW150" s="102">
        <f t="shared" ref="BW150" si="747">IF(BX147&lt;&gt;0,BX150/BX147,0)</f>
        <v>0</v>
      </c>
      <c r="BX150" s="101">
        <f>BZ150*HLOOKUP(BX128,Grund_zins,2,FALSE)</f>
        <v>0</v>
      </c>
      <c r="CB150" s="659" t="s">
        <v>186</v>
      </c>
      <c r="CD150" s="217"/>
      <c r="CJ150" s="102">
        <f t="shared" ref="CJ150" si="748">IF(CK147&lt;&gt;0,CK150/CK147,0)</f>
        <v>0</v>
      </c>
      <c r="CK150" s="101">
        <f>CM150*HLOOKUP(CK128,Grund_zins,2,FALSE)</f>
        <v>0</v>
      </c>
      <c r="CO150" s="659" t="s">
        <v>186</v>
      </c>
      <c r="CQ150" s="217"/>
      <c r="CW150" s="102">
        <f t="shared" ref="CW150" si="749">IF(CX147&lt;&gt;0,CX150/CX147,0)</f>
        <v>0</v>
      </c>
      <c r="CX150" s="101">
        <f>CZ150*HLOOKUP(CX128,Grund_zins,2,FALSE)</f>
        <v>0</v>
      </c>
      <c r="DB150" s="659" t="s">
        <v>186</v>
      </c>
      <c r="DD150" s="217"/>
      <c r="DJ150" s="102">
        <f t="shared" ref="DJ150" si="750">IF(DK147&lt;&gt;0,DK150/DK147,0)</f>
        <v>0</v>
      </c>
      <c r="DK150" s="101">
        <f>DM150*HLOOKUP(DK128,Grund_zins,2,FALSE)</f>
        <v>0</v>
      </c>
      <c r="DO150" s="659" t="s">
        <v>186</v>
      </c>
      <c r="DQ150" s="217"/>
      <c r="DW150" s="102">
        <f t="shared" ref="DW150" si="751">IF(DX147&lt;&gt;0,DX150/DX147,0)</f>
        <v>0</v>
      </c>
      <c r="DX150" s="101">
        <f>DZ150*HLOOKUP(DX128,Grund_zins,2,FALSE)</f>
        <v>0</v>
      </c>
      <c r="EB150" s="659" t="s">
        <v>186</v>
      </c>
      <c r="ED150" s="217"/>
    </row>
    <row r="151" spans="1:134" hidden="1" x14ac:dyDescent="0.3">
      <c r="A151" s="302" t="s">
        <v>499</v>
      </c>
      <c r="Q151" s="217">
        <v>24</v>
      </c>
      <c r="S151" s="179">
        <f t="shared" ref="S151:U151" si="752">SUM(S143,S147)</f>
        <v>0</v>
      </c>
      <c r="U151" s="179">
        <f t="shared" si="752"/>
        <v>0</v>
      </c>
      <c r="W151" s="102">
        <f>SUM(W152:W154)</f>
        <v>1.0000000911291678</v>
      </c>
      <c r="X151" s="65">
        <f>ROUND(SUM(X143,X147),2)</f>
        <v>109734.35</v>
      </c>
      <c r="Y151" s="179">
        <f t="shared" ref="Y151:AA151" si="753">SUM(Y143,Y147)</f>
        <v>211024.53</v>
      </c>
      <c r="Z151" s="179">
        <f t="shared" si="753"/>
        <v>3135267.2850000001</v>
      </c>
      <c r="AA151" s="179">
        <f t="shared" si="753"/>
        <v>3029755.02</v>
      </c>
      <c r="AB151" s="209" t="s">
        <v>499</v>
      </c>
      <c r="AD151" s="217"/>
      <c r="AF151" s="179">
        <f t="shared" ref="AF151" si="754">SUM(AF143,AF147)</f>
        <v>0</v>
      </c>
      <c r="AH151" s="179">
        <f t="shared" ref="AH151" si="755">SUM(AH143,AH147)</f>
        <v>0</v>
      </c>
      <c r="AJ151" s="102">
        <f t="shared" ref="AJ151" si="756">SUM(AJ152:AJ154)</f>
        <v>0.99999990229461111</v>
      </c>
      <c r="AK151" s="65">
        <f t="shared" ref="AK151:BK154" si="757">ROUND(SUM(AK143,AK147),2)</f>
        <v>102348.5</v>
      </c>
      <c r="AL151" s="179">
        <f t="shared" ref="AL151:AN151" si="758">SUM(AL143,AL147)</f>
        <v>211024.53</v>
      </c>
      <c r="AM151" s="179">
        <f t="shared" si="758"/>
        <v>2924242.7549999999</v>
      </c>
      <c r="AN151" s="179">
        <f t="shared" si="758"/>
        <v>2818730.4899999998</v>
      </c>
      <c r="AO151" s="302" t="s">
        <v>499</v>
      </c>
      <c r="AQ151" s="217"/>
      <c r="AS151" s="179">
        <f t="shared" ref="AS151" si="759">SUM(AS143,AS147)</f>
        <v>0</v>
      </c>
      <c r="AU151" s="179">
        <f t="shared" ref="AU151" si="760">SUM(AU143,AU147)</f>
        <v>0</v>
      </c>
      <c r="AW151" s="102">
        <f t="shared" ref="AW151" si="761">SUM(AW152:AW154)</f>
        <v>1</v>
      </c>
      <c r="AX151" s="65">
        <f t="shared" ref="AX151" si="762">ROUND(SUM(AX143,AX147),2)</f>
        <v>95307.74</v>
      </c>
      <c r="AY151" s="179">
        <f t="shared" ref="AY151:BA151" si="763">SUM(AY143,AY147)</f>
        <v>191304.53</v>
      </c>
      <c r="AZ151" s="179">
        <f t="shared" si="763"/>
        <v>2723078.2250000006</v>
      </c>
      <c r="BA151" s="179">
        <f t="shared" si="763"/>
        <v>2627425.9600000004</v>
      </c>
      <c r="BB151" s="302" t="s">
        <v>499</v>
      </c>
      <c r="BD151" s="217"/>
      <c r="BF151" s="179">
        <f t="shared" ref="BF151" si="764">SUM(BF143,BF147)</f>
        <v>0</v>
      </c>
      <c r="BH151" s="179">
        <f t="shared" ref="BH151" si="765">SUM(BH143,BH147)</f>
        <v>0</v>
      </c>
      <c r="BJ151" s="102">
        <f t="shared" ref="BJ151" si="766">SUM(BJ152:BJ154)</f>
        <v>1.0000001125764182</v>
      </c>
      <c r="BK151" s="65">
        <f t="shared" ref="BK151" si="767">ROUND(SUM(BK143,BK147),2)</f>
        <v>88828.55</v>
      </c>
      <c r="BL151" s="179">
        <f t="shared" ref="BL151:BN151" si="768">SUM(BL143,BL147)</f>
        <v>178934.53</v>
      </c>
      <c r="BM151" s="179">
        <f t="shared" si="768"/>
        <v>2537958.6949999998</v>
      </c>
      <c r="BN151" s="179">
        <f t="shared" si="768"/>
        <v>2448491.4299999997</v>
      </c>
      <c r="BO151" s="302" t="s">
        <v>499</v>
      </c>
      <c r="BQ151" s="217"/>
      <c r="BS151" s="179">
        <f t="shared" ref="BS151" si="769">SUM(BS143,BS147)</f>
        <v>0</v>
      </c>
      <c r="BU151" s="179">
        <f t="shared" ref="BU151" si="770">SUM(BU143,BU147)</f>
        <v>0</v>
      </c>
      <c r="BW151" s="102">
        <f t="shared" ref="BW151" si="771">SUM(BW152:BW154)</f>
        <v>1</v>
      </c>
      <c r="BX151" s="65">
        <f t="shared" ref="BX151:CX154" si="772">ROUND(SUM(BX143,BX147),2)</f>
        <v>82861.86</v>
      </c>
      <c r="BY151" s="179">
        <f t="shared" ref="BY151:CA151" si="773">SUM(BY143,BY147)</f>
        <v>162019.53</v>
      </c>
      <c r="BZ151" s="179">
        <f t="shared" si="773"/>
        <v>2367481.665</v>
      </c>
      <c r="CA151" s="179">
        <f t="shared" si="773"/>
        <v>2286471.9</v>
      </c>
      <c r="CB151" s="302" t="s">
        <v>499</v>
      </c>
      <c r="CD151" s="217"/>
      <c r="CF151" s="179">
        <f t="shared" ref="CF151" si="774">SUM(CF143,CF147)</f>
        <v>0</v>
      </c>
      <c r="CH151" s="179">
        <f t="shared" ref="CH151" si="775">SUM(CH143,CH147)</f>
        <v>0</v>
      </c>
      <c r="CJ151" s="102">
        <f t="shared" ref="CJ151" si="776">SUM(CJ152:CJ154)</f>
        <v>1</v>
      </c>
      <c r="CK151" s="65">
        <f t="shared" ref="CK151" si="777">ROUND(SUM(CK143,CK147),2)</f>
        <v>66332.3</v>
      </c>
      <c r="CL151" s="179">
        <f t="shared" ref="CL151:CN151" si="778">SUM(CL143,CL147)</f>
        <v>150790.53</v>
      </c>
      <c r="CM151" s="179">
        <f t="shared" si="778"/>
        <v>2211076.6350000002</v>
      </c>
      <c r="CN151" s="179">
        <f t="shared" si="778"/>
        <v>2135681.37</v>
      </c>
      <c r="CO151" s="302" t="s">
        <v>499</v>
      </c>
      <c r="CQ151" s="217"/>
      <c r="CS151" s="179">
        <f t="shared" ref="CS151" si="779">SUM(CS143,CS147)</f>
        <v>0</v>
      </c>
      <c r="CU151" s="179">
        <f t="shared" ref="CU151" si="780">SUM(CU143,CU147)</f>
        <v>0</v>
      </c>
      <c r="CW151" s="102">
        <f t="shared" ref="CW151" si="781">SUM(CW152:CW154)</f>
        <v>0.99999999999999989</v>
      </c>
      <c r="CX151" s="65">
        <f t="shared" ref="CX151" si="782">ROUND(SUM(CX143,CX147),2)</f>
        <v>61894.080000000002</v>
      </c>
      <c r="CY151" s="179">
        <f t="shared" ref="CY151:DA151" si="783">SUM(CY143,CY147)</f>
        <v>145090.53</v>
      </c>
      <c r="CZ151" s="179">
        <f t="shared" si="783"/>
        <v>2063136.1049999997</v>
      </c>
      <c r="DA151" s="179">
        <f t="shared" si="783"/>
        <v>1990590.8399999999</v>
      </c>
      <c r="DB151" s="302" t="s">
        <v>499</v>
      </c>
      <c r="DD151" s="217"/>
      <c r="DF151" s="179">
        <f t="shared" ref="DF151" si="784">SUM(DF143,DF147)</f>
        <v>0</v>
      </c>
      <c r="DH151" s="179">
        <f t="shared" ref="DH151" si="785">SUM(DH143,DH147)</f>
        <v>0</v>
      </c>
      <c r="DJ151" s="102">
        <f t="shared" ref="DJ151" si="786">SUM(DJ152:DJ154)</f>
        <v>1</v>
      </c>
      <c r="DK151" s="65">
        <f t="shared" ref="DK151:DX154" si="787">ROUND(SUM(DK143,DK147),2)</f>
        <v>57541.37</v>
      </c>
      <c r="DL151" s="179">
        <f t="shared" ref="DL151:DN151" si="788">SUM(DL143,DL147)</f>
        <v>145090.53</v>
      </c>
      <c r="DM151" s="179">
        <f t="shared" si="788"/>
        <v>1918045.575</v>
      </c>
      <c r="DN151" s="179">
        <f t="shared" si="788"/>
        <v>1845500.31</v>
      </c>
      <c r="DO151" s="302" t="s">
        <v>499</v>
      </c>
      <c r="DQ151" s="217"/>
      <c r="DS151" s="179">
        <f t="shared" ref="DS151" si="789">SUM(DS143,DS147)</f>
        <v>0</v>
      </c>
      <c r="DU151" s="179">
        <f t="shared" ref="DU151" si="790">SUM(DU143,DU147)</f>
        <v>0</v>
      </c>
      <c r="DW151" s="102">
        <f t="shared" ref="DW151" si="791">SUM(DW152:DW154)</f>
        <v>1</v>
      </c>
      <c r="DX151" s="65">
        <f t="shared" ref="DX151" si="792">ROUND(SUM(DX143,DX147),2)</f>
        <v>53188.65</v>
      </c>
      <c r="DY151" s="179">
        <f t="shared" ref="DY151:EA151" si="793">SUM(DY143,DY147)</f>
        <v>145090.53</v>
      </c>
      <c r="DZ151" s="179">
        <f t="shared" si="793"/>
        <v>1772955.0449999997</v>
      </c>
      <c r="EA151" s="179">
        <f t="shared" si="793"/>
        <v>1700409.7799999998</v>
      </c>
      <c r="EB151" s="302" t="s">
        <v>499</v>
      </c>
      <c r="ED151" s="217"/>
    </row>
    <row r="152" spans="1:134" hidden="1" x14ac:dyDescent="0.3">
      <c r="A152" s="84" t="s">
        <v>180</v>
      </c>
      <c r="Q152" s="217">
        <v>25</v>
      </c>
      <c r="S152" s="179">
        <f t="shared" ref="S152:U152" si="794">SUM(S144,S148)</f>
        <v>0</v>
      </c>
      <c r="U152" s="179">
        <f t="shared" si="794"/>
        <v>0</v>
      </c>
      <c r="W152" s="102">
        <f>IF(X151&lt;&gt;0,X152/X151,0)</f>
        <v>0.75944004771523232</v>
      </c>
      <c r="X152" s="65">
        <f t="shared" ref="X152:X154" si="795">ROUND(SUM(X144,X148),2)</f>
        <v>83336.66</v>
      </c>
      <c r="Y152" s="179">
        <f t="shared" ref="Y152:AA152" si="796">SUM(Y144,Y148)</f>
        <v>160260.4690632</v>
      </c>
      <c r="Z152" s="179">
        <f t="shared" si="796"/>
        <v>2381047.3869204</v>
      </c>
      <c r="AA152" s="179">
        <f t="shared" si="796"/>
        <v>2300917.1523887999</v>
      </c>
      <c r="AB152" s="84" t="s">
        <v>180</v>
      </c>
      <c r="AD152" s="217"/>
      <c r="AF152" s="179">
        <f t="shared" ref="AF152" si="797">SUM(AF144,AF148)</f>
        <v>0</v>
      </c>
      <c r="AH152" s="179">
        <f t="shared" ref="AH152" si="798">SUM(AH144,AH148)</f>
        <v>0</v>
      </c>
      <c r="AJ152" s="102">
        <f t="shared" ref="AJ152" si="799">IF(AK151&lt;&gt;0,AK152/AK151,0)</f>
        <v>0.76038994220726253</v>
      </c>
      <c r="AK152" s="65">
        <f t="shared" si="757"/>
        <v>77824.77</v>
      </c>
      <c r="AL152" s="179">
        <f t="shared" ref="AL152:AN152" si="800">SUM(AL144,AL148)</f>
        <v>160460.94236670001</v>
      </c>
      <c r="AM152" s="179">
        <f t="shared" si="800"/>
        <v>2223564.9484744496</v>
      </c>
      <c r="AN152" s="179">
        <f t="shared" si="800"/>
        <v>2143334.4772910997</v>
      </c>
      <c r="AO152" s="659" t="s">
        <v>180</v>
      </c>
      <c r="AQ152" s="217"/>
      <c r="AS152" s="179">
        <f t="shared" ref="AS152" si="801">SUM(AS144,AS148)</f>
        <v>0</v>
      </c>
      <c r="AU152" s="179">
        <f t="shared" ref="AU152" si="802">SUM(AU144,AU148)</f>
        <v>0</v>
      </c>
      <c r="AW152" s="102">
        <f t="shared" ref="AW152" si="803">IF(AX151&lt;&gt;0,AX152/AX151,0)</f>
        <v>0.76142000639192575</v>
      </c>
      <c r="AX152" s="65">
        <f t="shared" si="757"/>
        <v>72569.22</v>
      </c>
      <c r="AY152" s="179">
        <f t="shared" ref="AY152:BA152" si="804">SUM(AY144,AY148)</f>
        <v>145663.0952326</v>
      </c>
      <c r="AZ152" s="179">
        <f t="shared" si="804"/>
        <v>2073406.2220795003</v>
      </c>
      <c r="BA152" s="179">
        <f t="shared" si="804"/>
        <v>2000574.6744632004</v>
      </c>
      <c r="BB152" s="659" t="s">
        <v>180</v>
      </c>
      <c r="BD152" s="217"/>
      <c r="BF152" s="179">
        <f t="shared" ref="BF152" si="805">SUM(BF144,BF148)</f>
        <v>0</v>
      </c>
      <c r="BH152" s="179">
        <f t="shared" ref="BH152" si="806">SUM(BH144,BH148)</f>
        <v>0</v>
      </c>
      <c r="BJ152" s="102">
        <f t="shared" ref="BJ152" si="807">IF(BK151&lt;&gt;0,BK152/BK151,0)</f>
        <v>0.76253006493970688</v>
      </c>
      <c r="BK152" s="65">
        <f t="shared" si="757"/>
        <v>67734.44</v>
      </c>
      <c r="BL152" s="179">
        <f t="shared" ref="BL152:BN152" si="808">SUM(BL144,BL148)</f>
        <v>136442.94716090002</v>
      </c>
      <c r="BM152" s="179">
        <f t="shared" si="808"/>
        <v>1935269.6436983498</v>
      </c>
      <c r="BN152" s="179">
        <f t="shared" si="808"/>
        <v>1867048.1701178998</v>
      </c>
      <c r="BO152" s="659" t="s">
        <v>180</v>
      </c>
      <c r="BQ152" s="217"/>
      <c r="BS152" s="179">
        <f t="shared" ref="BS152" si="809">SUM(BS144,BS148)</f>
        <v>0</v>
      </c>
      <c r="BU152" s="179">
        <f t="shared" ref="BU152" si="810">SUM(BU144,BU148)</f>
        <v>0</v>
      </c>
      <c r="BW152" s="102">
        <f t="shared" ref="BW152" si="811">IF(BX151&lt;&gt;0,BX152/BX151,0)</f>
        <v>0.76373002005989243</v>
      </c>
      <c r="BX152" s="65">
        <f t="shared" si="772"/>
        <v>63284.09</v>
      </c>
      <c r="BY152" s="179">
        <f t="shared" ref="BY152:CA152" si="812">SUM(BY144,BY148)</f>
        <v>123739.1756469</v>
      </c>
      <c r="BZ152" s="179">
        <f t="shared" si="812"/>
        <v>1808116.77201045</v>
      </c>
      <c r="CA152" s="179">
        <f t="shared" si="812"/>
        <v>1746247.1841869999</v>
      </c>
      <c r="CB152" s="659" t="s">
        <v>180</v>
      </c>
      <c r="CD152" s="217"/>
      <c r="CF152" s="179">
        <f t="shared" ref="CF152" si="813">SUM(CF144,CF148)</f>
        <v>0</v>
      </c>
      <c r="CH152" s="179">
        <f t="shared" ref="CH152" si="814">SUM(CH144,CH148)</f>
        <v>0</v>
      </c>
      <c r="CJ152" s="102">
        <f t="shared" ref="CJ152" si="815">IF(CK151&lt;&gt;0,CK152/CK151,0)</f>
        <v>0.76503995790889201</v>
      </c>
      <c r="CK152" s="65">
        <f t="shared" si="772"/>
        <v>50746.86</v>
      </c>
      <c r="CL152" s="179">
        <f t="shared" ref="CL152:CN152" si="816">SUM(CL144,CL148)</f>
        <v>115360.7870712</v>
      </c>
      <c r="CM152" s="179">
        <f t="shared" si="816"/>
        <v>1691562.0688404003</v>
      </c>
      <c r="CN152" s="179">
        <f t="shared" si="816"/>
        <v>1633881.6753048003</v>
      </c>
      <c r="CO152" s="659" t="s">
        <v>180</v>
      </c>
      <c r="CQ152" s="217"/>
      <c r="CS152" s="179">
        <f t="shared" ref="CS152" si="817">SUM(CS144,CS148)</f>
        <v>0</v>
      </c>
      <c r="CU152" s="179">
        <f t="shared" ref="CU152" si="818">SUM(CU144,CU148)</f>
        <v>0</v>
      </c>
      <c r="CW152" s="102">
        <f t="shared" ref="CW152" si="819">IF(CX151&lt;&gt;0,CX152/CX151,0)</f>
        <v>0.76646005563052222</v>
      </c>
      <c r="CX152" s="65">
        <f t="shared" si="772"/>
        <v>47439.34</v>
      </c>
      <c r="CY152" s="179">
        <f t="shared" ref="CY152:DA152" si="820">SUM(CY144,CY148)</f>
        <v>111206.08762380001</v>
      </c>
      <c r="CZ152" s="179">
        <f t="shared" si="820"/>
        <v>1581311.2990383001</v>
      </c>
      <c r="DA152" s="179">
        <f t="shared" si="820"/>
        <v>1525708.2552264</v>
      </c>
      <c r="DB152" s="659" t="s">
        <v>180</v>
      </c>
      <c r="DD152" s="217"/>
      <c r="DF152" s="179">
        <f t="shared" ref="DF152" si="821">SUM(DF144,DF148)</f>
        <v>0</v>
      </c>
      <c r="DH152" s="179">
        <f t="shared" ref="DH152" si="822">SUM(DH144,DH148)</f>
        <v>0</v>
      </c>
      <c r="DJ152" s="102">
        <f t="shared" ref="DJ152" si="823">IF(DK151&lt;&gt;0,DK152/DK151,0)</f>
        <v>0.76801994808257079</v>
      </c>
      <c r="DK152" s="65">
        <f t="shared" si="787"/>
        <v>44192.92</v>
      </c>
      <c r="DL152" s="179">
        <f t="shared" ref="DL152:DN152" si="824">SUM(DL144,DL148)</f>
        <v>111432.4288506</v>
      </c>
      <c r="DM152" s="179">
        <f t="shared" si="824"/>
        <v>1473097.3625115</v>
      </c>
      <c r="DN152" s="179">
        <f t="shared" si="824"/>
        <v>1417381.1480862</v>
      </c>
      <c r="DO152" s="659" t="s">
        <v>180</v>
      </c>
      <c r="DQ152" s="217"/>
      <c r="DS152" s="179">
        <f t="shared" ref="DS152" si="825">SUM(DS144,DS148)</f>
        <v>0</v>
      </c>
      <c r="DU152" s="179">
        <f t="shared" ref="DU152" si="826">SUM(DU144,DU148)</f>
        <v>0</v>
      </c>
      <c r="DW152" s="102">
        <f t="shared" ref="DW152" si="827">IF(DX151&lt;&gt;0,DX152/DX151,0)</f>
        <v>0.76941001510660634</v>
      </c>
      <c r="DX152" s="65">
        <f t="shared" si="787"/>
        <v>40923.879999999997</v>
      </c>
      <c r="DY152" s="179">
        <f t="shared" ref="DY152:EA152" si="828">SUM(DY144,DY148)</f>
        <v>111634.1046873</v>
      </c>
      <c r="DZ152" s="179">
        <f t="shared" si="828"/>
        <v>1364129.34117345</v>
      </c>
      <c r="EA152" s="179">
        <f t="shared" si="828"/>
        <v>1308312.2888298</v>
      </c>
      <c r="EB152" s="659" t="s">
        <v>180</v>
      </c>
      <c r="ED152" s="217"/>
    </row>
    <row r="153" spans="1:134" hidden="1" x14ac:dyDescent="0.3">
      <c r="A153" s="84" t="s">
        <v>181</v>
      </c>
      <c r="Q153" s="217">
        <v>26</v>
      </c>
      <c r="S153" s="179">
        <f t="shared" ref="S153:U153" si="829">SUM(S145,S149)</f>
        <v>0</v>
      </c>
      <c r="U153" s="179">
        <f t="shared" si="829"/>
        <v>0</v>
      </c>
      <c r="W153" s="102">
        <f>IF(X151&lt;&gt;0,X153/X151,0)</f>
        <v>0.24056004341393555</v>
      </c>
      <c r="X153" s="65">
        <f t="shared" si="795"/>
        <v>26397.7</v>
      </c>
      <c r="Y153" s="179">
        <f t="shared" ref="Y153:AA153" si="830">SUM(Y145,Y149)</f>
        <v>50764.0609368</v>
      </c>
      <c r="Z153" s="179">
        <f t="shared" si="830"/>
        <v>754219.89807959995</v>
      </c>
      <c r="AA153" s="179">
        <f t="shared" si="830"/>
        <v>728837.86761119997</v>
      </c>
      <c r="AB153" s="84" t="s">
        <v>181</v>
      </c>
      <c r="AD153" s="217"/>
      <c r="AF153" s="179">
        <f t="shared" ref="AF153" si="831">SUM(AF145,AF149)</f>
        <v>0</v>
      </c>
      <c r="AH153" s="179">
        <f t="shared" ref="AH153" si="832">SUM(AH145,AH149)</f>
        <v>0</v>
      </c>
      <c r="AJ153" s="102">
        <f t="shared" ref="AJ153" si="833">IF(AK151&lt;&gt;0,AK153/AK151,0)</f>
        <v>0.23960996008734864</v>
      </c>
      <c r="AK153" s="65">
        <f t="shared" si="757"/>
        <v>24523.72</v>
      </c>
      <c r="AL153" s="179">
        <f t="shared" ref="AL153:AN153" si="834">SUM(AL145,AL149)</f>
        <v>50563.587633299998</v>
      </c>
      <c r="AM153" s="179">
        <f t="shared" si="834"/>
        <v>700677.80652554997</v>
      </c>
      <c r="AN153" s="179">
        <f t="shared" si="834"/>
        <v>675396.01270889991</v>
      </c>
      <c r="AO153" s="659" t="s">
        <v>181</v>
      </c>
      <c r="AQ153" s="217"/>
      <c r="AS153" s="179">
        <f t="shared" ref="AS153" si="835">SUM(AS145,AS149)</f>
        <v>0</v>
      </c>
      <c r="AU153" s="179">
        <f t="shared" ref="AU153" si="836">SUM(AU145,AU149)</f>
        <v>0</v>
      </c>
      <c r="AW153" s="102">
        <f t="shared" ref="AW153" si="837">IF(AX151&lt;&gt;0,AX153/AX151,0)</f>
        <v>0.23857999360807422</v>
      </c>
      <c r="AX153" s="65">
        <f t="shared" si="757"/>
        <v>22738.52</v>
      </c>
      <c r="AY153" s="179">
        <f t="shared" ref="AY153:BA153" si="838">SUM(AY145,AY149)</f>
        <v>45641.434767399995</v>
      </c>
      <c r="AZ153" s="179">
        <f t="shared" si="838"/>
        <v>649672.0029205</v>
      </c>
      <c r="BA153" s="179">
        <f t="shared" si="838"/>
        <v>626851.28553680005</v>
      </c>
      <c r="BB153" s="659" t="s">
        <v>181</v>
      </c>
      <c r="BD153" s="217"/>
      <c r="BF153" s="179">
        <f t="shared" ref="BF153" si="839">SUM(BF145,BF149)</f>
        <v>0</v>
      </c>
      <c r="BH153" s="179">
        <f t="shared" ref="BH153" si="840">SUM(BH145,BH149)</f>
        <v>0</v>
      </c>
      <c r="BJ153" s="102">
        <f t="shared" ref="BJ153" si="841">IF(BK151&lt;&gt;0,BK153/BK151,0)</f>
        <v>0.23747004763671137</v>
      </c>
      <c r="BK153" s="65">
        <f t="shared" si="757"/>
        <v>21094.12</v>
      </c>
      <c r="BL153" s="179">
        <f t="shared" ref="BL153:BN153" si="842">SUM(BL145,BL149)</f>
        <v>42491.582839099996</v>
      </c>
      <c r="BM153" s="179">
        <f t="shared" si="842"/>
        <v>602689.05130164989</v>
      </c>
      <c r="BN153" s="179">
        <f t="shared" si="842"/>
        <v>581443.25988209993</v>
      </c>
      <c r="BO153" s="659" t="s">
        <v>181</v>
      </c>
      <c r="BQ153" s="217"/>
      <c r="BS153" s="179">
        <f t="shared" ref="BS153" si="843">SUM(BS145,BS149)</f>
        <v>0</v>
      </c>
      <c r="BU153" s="179">
        <f t="shared" ref="BU153" si="844">SUM(BU145,BU149)</f>
        <v>0</v>
      </c>
      <c r="BW153" s="102">
        <f t="shared" ref="BW153" si="845">IF(BX151&lt;&gt;0,BX153/BX151,0)</f>
        <v>0.23626997994010754</v>
      </c>
      <c r="BX153" s="65">
        <f t="shared" si="772"/>
        <v>19577.77</v>
      </c>
      <c r="BY153" s="179">
        <f t="shared" ref="BY153:CA153" si="846">SUM(BY145,BY149)</f>
        <v>38280.354353100003</v>
      </c>
      <c r="BZ153" s="179">
        <f t="shared" si="846"/>
        <v>559364.89298955002</v>
      </c>
      <c r="CA153" s="179">
        <f t="shared" si="846"/>
        <v>540224.71581299999</v>
      </c>
      <c r="CB153" s="659" t="s">
        <v>181</v>
      </c>
      <c r="CD153" s="217"/>
      <c r="CF153" s="179">
        <f t="shared" ref="CF153" si="847">SUM(CF145,CF149)</f>
        <v>0</v>
      </c>
      <c r="CH153" s="179">
        <f t="shared" ref="CH153" si="848">SUM(CH145,CH149)</f>
        <v>0</v>
      </c>
      <c r="CJ153" s="102">
        <f t="shared" ref="CJ153" si="849">IF(CK151&lt;&gt;0,CK153/CK151,0)</f>
        <v>0.23496004209110796</v>
      </c>
      <c r="CK153" s="65">
        <f t="shared" si="772"/>
        <v>15585.44</v>
      </c>
      <c r="CL153" s="179">
        <f t="shared" ref="CL153:CN153" si="850">SUM(CL145,CL149)</f>
        <v>35429.742928799998</v>
      </c>
      <c r="CM153" s="179">
        <f t="shared" si="850"/>
        <v>519514.56615960004</v>
      </c>
      <c r="CN153" s="179">
        <f t="shared" si="850"/>
        <v>501799.69469520001</v>
      </c>
      <c r="CO153" s="659" t="s">
        <v>181</v>
      </c>
      <c r="CQ153" s="217"/>
      <c r="CS153" s="179">
        <f t="shared" ref="CS153" si="851">SUM(CS145,CS149)</f>
        <v>0</v>
      </c>
      <c r="CU153" s="179">
        <f t="shared" ref="CU153" si="852">SUM(CU145,CU149)</f>
        <v>0</v>
      </c>
      <c r="CW153" s="102">
        <f t="shared" ref="CW153" si="853">IF(CX151&lt;&gt;0,CX153/CX151,0)</f>
        <v>0.23353994436947764</v>
      </c>
      <c r="CX153" s="65">
        <f t="shared" si="772"/>
        <v>14454.74</v>
      </c>
      <c r="CY153" s="179">
        <f t="shared" ref="CY153:DA153" si="854">SUM(CY145,CY149)</f>
        <v>33884.442376200001</v>
      </c>
      <c r="CZ153" s="179">
        <f t="shared" si="854"/>
        <v>481824.80596169998</v>
      </c>
      <c r="DA153" s="179">
        <f t="shared" si="854"/>
        <v>464882.58477359999</v>
      </c>
      <c r="DB153" s="659" t="s">
        <v>181</v>
      </c>
      <c r="DD153" s="217"/>
      <c r="DF153" s="179">
        <f t="shared" ref="DF153" si="855">SUM(DF145,DF149)</f>
        <v>0</v>
      </c>
      <c r="DH153" s="179">
        <f t="shared" ref="DH153" si="856">SUM(DH145,DH149)</f>
        <v>0</v>
      </c>
      <c r="DJ153" s="102">
        <f t="shared" ref="DJ153" si="857">IF(DK151&lt;&gt;0,DK153/DK151,0)</f>
        <v>0.23198005191742915</v>
      </c>
      <c r="DK153" s="65">
        <f t="shared" si="787"/>
        <v>13348.45</v>
      </c>
      <c r="DL153" s="179">
        <f t="shared" ref="DL153:DN153" si="858">SUM(DL145,DL149)</f>
        <v>33658.101149399998</v>
      </c>
      <c r="DM153" s="179">
        <f t="shared" si="858"/>
        <v>444948.21248849999</v>
      </c>
      <c r="DN153" s="179">
        <f t="shared" si="858"/>
        <v>428119.1619138</v>
      </c>
      <c r="DO153" s="659" t="s">
        <v>181</v>
      </c>
      <c r="DQ153" s="217"/>
      <c r="DS153" s="179">
        <f t="shared" ref="DS153" si="859">SUM(DS145,DS149)</f>
        <v>0</v>
      </c>
      <c r="DU153" s="179">
        <f t="shared" ref="DU153" si="860">SUM(DU145,DU149)</f>
        <v>0</v>
      </c>
      <c r="DW153" s="102">
        <f t="shared" ref="DW153" si="861">IF(DX151&lt;&gt;0,DX153/DX151,0)</f>
        <v>0.23058998489339361</v>
      </c>
      <c r="DX153" s="65">
        <f t="shared" si="787"/>
        <v>12264.77</v>
      </c>
      <c r="DY153" s="179">
        <f t="shared" ref="DY153:EA153" si="862">SUM(DY145,DY149)</f>
        <v>33456.425312699997</v>
      </c>
      <c r="DZ153" s="179">
        <f t="shared" si="862"/>
        <v>408825.70382654993</v>
      </c>
      <c r="EA153" s="179">
        <f t="shared" si="862"/>
        <v>392097.49117019994</v>
      </c>
      <c r="EB153" s="659" t="s">
        <v>181</v>
      </c>
      <c r="ED153" s="217"/>
    </row>
    <row r="154" spans="1:134" hidden="1" x14ac:dyDescent="0.3">
      <c r="A154" s="84" t="s">
        <v>186</v>
      </c>
      <c r="Q154" s="217">
        <v>27</v>
      </c>
      <c r="S154" s="179">
        <f t="shared" ref="S154:U154" si="863">SUM(S146,S150)</f>
        <v>0</v>
      </c>
      <c r="U154" s="179">
        <f t="shared" si="863"/>
        <v>0</v>
      </c>
      <c r="W154" s="102">
        <f>IF(X151&lt;&gt;0,X154/X151,0)</f>
        <v>0</v>
      </c>
      <c r="X154" s="65">
        <f t="shared" si="795"/>
        <v>0</v>
      </c>
      <c r="Y154" s="179">
        <f t="shared" ref="Y154:AA154" si="864">SUM(Y146,Y150)</f>
        <v>0</v>
      </c>
      <c r="Z154" s="179">
        <f t="shared" si="864"/>
        <v>0</v>
      </c>
      <c r="AA154" s="179">
        <f t="shared" si="864"/>
        <v>0</v>
      </c>
      <c r="AB154" s="84" t="s">
        <v>186</v>
      </c>
      <c r="AD154" s="217"/>
      <c r="AF154" s="179">
        <f t="shared" ref="AF154" si="865">SUM(AF146,AF150)</f>
        <v>0</v>
      </c>
      <c r="AH154" s="179">
        <f t="shared" ref="AH154" si="866">SUM(AH146,AH150)</f>
        <v>0</v>
      </c>
      <c r="AJ154" s="102">
        <f t="shared" ref="AJ154" si="867">IF(AK151&lt;&gt;0,AK154/AK151,0)</f>
        <v>0</v>
      </c>
      <c r="AK154" s="65">
        <f t="shared" si="757"/>
        <v>0</v>
      </c>
      <c r="AL154" s="179">
        <f t="shared" ref="AL154:AN154" si="868">SUM(AL146,AL150)</f>
        <v>0</v>
      </c>
      <c r="AM154" s="179">
        <f t="shared" si="868"/>
        <v>0</v>
      </c>
      <c r="AN154" s="179">
        <f t="shared" si="868"/>
        <v>0</v>
      </c>
      <c r="AO154" s="659" t="s">
        <v>186</v>
      </c>
      <c r="AQ154" s="217"/>
      <c r="AS154" s="179">
        <f t="shared" ref="AS154" si="869">SUM(AS146,AS150)</f>
        <v>0</v>
      </c>
      <c r="AU154" s="179">
        <f t="shared" ref="AU154" si="870">SUM(AU146,AU150)</f>
        <v>0</v>
      </c>
      <c r="AW154" s="102">
        <f t="shared" ref="AW154" si="871">IF(AX151&lt;&gt;0,AX154/AX151,0)</f>
        <v>0</v>
      </c>
      <c r="AX154" s="65">
        <f t="shared" si="757"/>
        <v>0</v>
      </c>
      <c r="AY154" s="179">
        <f t="shared" ref="AY154:BA154" si="872">SUM(AY146,AY150)</f>
        <v>0</v>
      </c>
      <c r="AZ154" s="179">
        <f t="shared" si="872"/>
        <v>0</v>
      </c>
      <c r="BA154" s="179">
        <f t="shared" si="872"/>
        <v>0</v>
      </c>
      <c r="BB154" s="659" t="s">
        <v>186</v>
      </c>
      <c r="BD154" s="217"/>
      <c r="BF154" s="179">
        <f t="shared" ref="BF154" si="873">SUM(BF146,BF150)</f>
        <v>0</v>
      </c>
      <c r="BH154" s="179">
        <f t="shared" ref="BH154" si="874">SUM(BH146,BH150)</f>
        <v>0</v>
      </c>
      <c r="BJ154" s="102">
        <f t="shared" ref="BJ154" si="875">IF(BK151&lt;&gt;0,BK154/BK151,0)</f>
        <v>0</v>
      </c>
      <c r="BK154" s="65">
        <f t="shared" si="757"/>
        <v>0</v>
      </c>
      <c r="BL154" s="179">
        <f t="shared" ref="BL154:BN154" si="876">SUM(BL146,BL150)</f>
        <v>0</v>
      </c>
      <c r="BM154" s="179">
        <f t="shared" si="876"/>
        <v>0</v>
      </c>
      <c r="BN154" s="179">
        <f t="shared" si="876"/>
        <v>0</v>
      </c>
      <c r="BO154" s="659" t="s">
        <v>186</v>
      </c>
      <c r="BQ154" s="217"/>
      <c r="BS154" s="179">
        <f t="shared" ref="BS154" si="877">SUM(BS146,BS150)</f>
        <v>0</v>
      </c>
      <c r="BU154" s="179">
        <f t="shared" ref="BU154" si="878">SUM(BU146,BU150)</f>
        <v>0</v>
      </c>
      <c r="BW154" s="102">
        <f t="shared" ref="BW154" si="879">IF(BX151&lt;&gt;0,BX154/BX151,0)</f>
        <v>0</v>
      </c>
      <c r="BX154" s="65">
        <f t="shared" si="772"/>
        <v>0</v>
      </c>
      <c r="BY154" s="179">
        <f t="shared" ref="BY154:CA154" si="880">SUM(BY146,BY150)</f>
        <v>0</v>
      </c>
      <c r="BZ154" s="179">
        <f t="shared" si="880"/>
        <v>0</v>
      </c>
      <c r="CA154" s="179">
        <f t="shared" si="880"/>
        <v>0</v>
      </c>
      <c r="CB154" s="659" t="s">
        <v>186</v>
      </c>
      <c r="CD154" s="217"/>
      <c r="CF154" s="179">
        <f t="shared" ref="CF154" si="881">SUM(CF146,CF150)</f>
        <v>0</v>
      </c>
      <c r="CH154" s="179">
        <f t="shared" ref="CH154" si="882">SUM(CH146,CH150)</f>
        <v>0</v>
      </c>
      <c r="CJ154" s="102">
        <f t="shared" ref="CJ154" si="883">IF(CK151&lt;&gt;0,CK154/CK151,0)</f>
        <v>0</v>
      </c>
      <c r="CK154" s="65">
        <f t="shared" si="772"/>
        <v>0</v>
      </c>
      <c r="CL154" s="179">
        <f t="shared" ref="CL154:CN154" si="884">SUM(CL146,CL150)</f>
        <v>0</v>
      </c>
      <c r="CM154" s="179">
        <f t="shared" si="884"/>
        <v>0</v>
      </c>
      <c r="CN154" s="179">
        <f t="shared" si="884"/>
        <v>0</v>
      </c>
      <c r="CO154" s="659" t="s">
        <v>186</v>
      </c>
      <c r="CQ154" s="217"/>
      <c r="CS154" s="179">
        <f t="shared" ref="CS154" si="885">SUM(CS146,CS150)</f>
        <v>0</v>
      </c>
      <c r="CU154" s="179">
        <f t="shared" ref="CU154" si="886">SUM(CU146,CU150)</f>
        <v>0</v>
      </c>
      <c r="CW154" s="102">
        <f t="shared" ref="CW154" si="887">IF(CX151&lt;&gt;0,CX154/CX151,0)</f>
        <v>0</v>
      </c>
      <c r="CX154" s="65">
        <f t="shared" si="772"/>
        <v>0</v>
      </c>
      <c r="CY154" s="179">
        <f t="shared" ref="CY154:DA154" si="888">SUM(CY146,CY150)</f>
        <v>0</v>
      </c>
      <c r="CZ154" s="179">
        <f t="shared" si="888"/>
        <v>0</v>
      </c>
      <c r="DA154" s="179">
        <f t="shared" si="888"/>
        <v>0</v>
      </c>
      <c r="DB154" s="659" t="s">
        <v>186</v>
      </c>
      <c r="DD154" s="217"/>
      <c r="DF154" s="179">
        <f t="shared" ref="DF154" si="889">SUM(DF146,DF150)</f>
        <v>0</v>
      </c>
      <c r="DH154" s="179">
        <f t="shared" ref="DH154" si="890">SUM(DH146,DH150)</f>
        <v>0</v>
      </c>
      <c r="DJ154" s="102">
        <f t="shared" ref="DJ154" si="891">IF(DK151&lt;&gt;0,DK154/DK151,0)</f>
        <v>0</v>
      </c>
      <c r="DK154" s="65">
        <f t="shared" si="787"/>
        <v>0</v>
      </c>
      <c r="DL154" s="179">
        <f t="shared" ref="DL154:DN154" si="892">SUM(DL146,DL150)</f>
        <v>0</v>
      </c>
      <c r="DM154" s="179">
        <f t="shared" si="892"/>
        <v>0</v>
      </c>
      <c r="DN154" s="179">
        <f t="shared" si="892"/>
        <v>0</v>
      </c>
      <c r="DO154" s="659" t="s">
        <v>186</v>
      </c>
      <c r="DQ154" s="217"/>
      <c r="DS154" s="179">
        <f t="shared" ref="DS154" si="893">SUM(DS146,DS150)</f>
        <v>0</v>
      </c>
      <c r="DU154" s="179">
        <f t="shared" ref="DU154" si="894">SUM(DU146,DU150)</f>
        <v>0</v>
      </c>
      <c r="DW154" s="102">
        <f t="shared" ref="DW154" si="895">IF(DX151&lt;&gt;0,DX154/DX151,0)</f>
        <v>0</v>
      </c>
      <c r="DX154" s="65">
        <f t="shared" si="787"/>
        <v>0</v>
      </c>
      <c r="DY154" s="179">
        <f t="shared" ref="DY154:EA154" si="896">SUM(DY146,DY150)</f>
        <v>0</v>
      </c>
      <c r="DZ154" s="179">
        <f t="shared" si="896"/>
        <v>0</v>
      </c>
      <c r="EA154" s="179">
        <f t="shared" si="896"/>
        <v>0</v>
      </c>
      <c r="EB154" s="659" t="s">
        <v>186</v>
      </c>
      <c r="ED154" s="217"/>
    </row>
    <row r="155" spans="1:134" ht="18" hidden="1" x14ac:dyDescent="0.35">
      <c r="A155" s="184" t="s">
        <v>708</v>
      </c>
      <c r="Q155" s="217">
        <v>28</v>
      </c>
      <c r="R155" s="184" t="s">
        <v>470</v>
      </c>
      <c r="Z155" s="214" t="s">
        <v>493</v>
      </c>
      <c r="AD155" s="217"/>
      <c r="AE155" s="184" t="s">
        <v>470</v>
      </c>
      <c r="AM155" s="214" t="s">
        <v>493</v>
      </c>
      <c r="AQ155" s="217"/>
      <c r="AR155" s="184" t="s">
        <v>470</v>
      </c>
      <c r="AZ155" s="214" t="s">
        <v>493</v>
      </c>
      <c r="BD155" s="217"/>
      <c r="BE155" s="184" t="s">
        <v>470</v>
      </c>
      <c r="BM155" s="214" t="s">
        <v>493</v>
      </c>
      <c r="BQ155" s="217"/>
      <c r="BR155" s="184" t="s">
        <v>470</v>
      </c>
      <c r="BZ155" s="214" t="s">
        <v>493</v>
      </c>
      <c r="CD155" s="217"/>
      <c r="CE155" s="184" t="s">
        <v>470</v>
      </c>
      <c r="CM155" s="214" t="s">
        <v>493</v>
      </c>
      <c r="CQ155" s="217"/>
      <c r="CR155" s="184" t="s">
        <v>470</v>
      </c>
      <c r="CZ155" s="214" t="s">
        <v>493</v>
      </c>
      <c r="DD155" s="217"/>
      <c r="DE155" s="184" t="s">
        <v>470</v>
      </c>
      <c r="DM155" s="214" t="s">
        <v>493</v>
      </c>
      <c r="DQ155" s="217"/>
      <c r="DR155" s="184" t="s">
        <v>470</v>
      </c>
      <c r="DZ155" s="214" t="s">
        <v>493</v>
      </c>
      <c r="ED155" s="217"/>
    </row>
    <row r="156" spans="1:134" hidden="1" x14ac:dyDescent="0.3">
      <c r="A156" s="104" t="s">
        <v>453</v>
      </c>
      <c r="Q156" s="217">
        <v>29</v>
      </c>
      <c r="V156" s="101"/>
      <c r="W156" s="102">
        <f t="shared" ref="W156" si="897">SUM(W157:W159)</f>
        <v>0</v>
      </c>
      <c r="X156" s="179">
        <f>(AC156+AD156/2)*HLOOKUP(X128,Grund_zins,2,FALSE)</f>
        <v>0</v>
      </c>
      <c r="Z156" s="104" t="s">
        <v>453</v>
      </c>
      <c r="AC156" s="101">
        <f>SUMIF($D$5:$D$125,"=bes",AC5:AC125)+SUMIF($D$5:$D$125,"=bem",AC5:AC125)+SUMIF($D$5:$D$125,"=ber",AC5:AC125)+SUMIF($D$5:$D$125,"=bek",AC5:AC125)</f>
        <v>0</v>
      </c>
      <c r="AD156" s="236">
        <f>SUMIF($D$5:$D$125,"=bes",AD5:AD125)+SUMIF($D$5:$D$125,"=bem",AD5:AD125)+SUMIF($D$5:$D$125,"=ber",AD5:AD125)+SUMIF($D$5:$D$125,"=bek",AD5:AD125)</f>
        <v>0</v>
      </c>
      <c r="AI156" s="101"/>
      <c r="AJ156" s="102">
        <f t="shared" ref="AJ156:CJ156" si="898">SUM(AJ157:AJ159)</f>
        <v>0</v>
      </c>
      <c r="AK156" s="179">
        <f>(AP156+AQ156/2)*HLOOKUP(AK128,Grund_zins,2,FALSE)</f>
        <v>0</v>
      </c>
      <c r="AM156" s="658" t="s">
        <v>453</v>
      </c>
      <c r="AP156" s="101">
        <f t="shared" ref="AP156:AQ156" si="899">SUMIF($D$5:$D$125,"=bes",AP5:AP125)+SUMIF($D$5:$D$125,"=bem",AP5:AP125)+SUMIF($D$5:$D$125,"=ber",AP5:AP125)+SUMIF($D$5:$D$125,"=bek",AP5:AP125)</f>
        <v>0</v>
      </c>
      <c r="AQ156" s="236">
        <f t="shared" si="899"/>
        <v>0</v>
      </c>
      <c r="AV156" s="101"/>
      <c r="AW156" s="102">
        <f t="shared" si="898"/>
        <v>0</v>
      </c>
      <c r="AX156" s="179">
        <f>(BC156+BD156/2)*HLOOKUP(AX128,Grund_zins,2,FALSE)</f>
        <v>0</v>
      </c>
      <c r="AZ156" s="658" t="s">
        <v>453</v>
      </c>
      <c r="BC156" s="101">
        <f t="shared" ref="BC156:BD156" si="900">SUMIF($D$5:$D$125,"=bes",BC5:BC125)+SUMIF($D$5:$D$125,"=bem",BC5:BC125)+SUMIF($D$5:$D$125,"=ber",BC5:BC125)+SUMIF($D$5:$D$125,"=bek",BC5:BC125)</f>
        <v>0</v>
      </c>
      <c r="BD156" s="236">
        <f t="shared" si="900"/>
        <v>0</v>
      </c>
      <c r="BI156" s="101"/>
      <c r="BJ156" s="102">
        <f t="shared" si="898"/>
        <v>0</v>
      </c>
      <c r="BK156" s="179">
        <f>(BP156+BQ156/2)*HLOOKUP(BK128,Grund_zins,2,FALSE)</f>
        <v>0</v>
      </c>
      <c r="BM156" s="658" t="s">
        <v>453</v>
      </c>
      <c r="BP156" s="101">
        <f t="shared" ref="BP156:BQ156" si="901">SUMIF($D$5:$D$125,"=bes",BP5:BP125)+SUMIF($D$5:$D$125,"=bem",BP5:BP125)+SUMIF($D$5:$D$125,"=ber",BP5:BP125)+SUMIF($D$5:$D$125,"=bek",BP5:BP125)</f>
        <v>0</v>
      </c>
      <c r="BQ156" s="236">
        <f t="shared" si="901"/>
        <v>0</v>
      </c>
      <c r="BV156" s="101"/>
      <c r="BW156" s="102">
        <f t="shared" si="898"/>
        <v>0</v>
      </c>
      <c r="BX156" s="179">
        <f>(CC156+CD156/2)*HLOOKUP(BX128,Grund_zins,2,FALSE)</f>
        <v>0</v>
      </c>
      <c r="BZ156" s="658" t="s">
        <v>453</v>
      </c>
      <c r="CC156" s="101">
        <f t="shared" ref="CC156:CD156" si="902">SUMIF($D$5:$D$125,"=bes",CC5:CC125)+SUMIF($D$5:$D$125,"=bem",CC5:CC125)+SUMIF($D$5:$D$125,"=ber",CC5:CC125)+SUMIF($D$5:$D$125,"=bek",CC5:CC125)</f>
        <v>0</v>
      </c>
      <c r="CD156" s="236">
        <f t="shared" si="902"/>
        <v>0</v>
      </c>
      <c r="CI156" s="101"/>
      <c r="CJ156" s="102">
        <f t="shared" si="898"/>
        <v>0</v>
      </c>
      <c r="CK156" s="179">
        <f>(CP156+CQ156/2)*HLOOKUP(CK128,Grund_zins,2,FALSE)</f>
        <v>0</v>
      </c>
      <c r="CM156" s="658" t="s">
        <v>453</v>
      </c>
      <c r="CP156" s="101">
        <f t="shared" ref="CP156:CQ156" si="903">SUMIF($D$5:$D$125,"=bes",CP5:CP125)+SUMIF($D$5:$D$125,"=bem",CP5:CP125)+SUMIF($D$5:$D$125,"=ber",CP5:CP125)+SUMIF($D$5:$D$125,"=bek",CP5:CP125)</f>
        <v>0</v>
      </c>
      <c r="CQ156" s="236">
        <f t="shared" si="903"/>
        <v>0</v>
      </c>
      <c r="CV156" s="101"/>
      <c r="CW156" s="102">
        <f t="shared" ref="CW156:DW156" si="904">SUM(CW157:CW159)</f>
        <v>0</v>
      </c>
      <c r="CX156" s="179">
        <f>(DC156+DD156/2)*HLOOKUP(CX128,Grund_zins,2,FALSE)</f>
        <v>0</v>
      </c>
      <c r="CZ156" s="658" t="s">
        <v>453</v>
      </c>
      <c r="DC156" s="101">
        <f t="shared" ref="DC156:DD156" si="905">SUMIF($D$5:$D$125,"=bes",DC5:DC125)+SUMIF($D$5:$D$125,"=bem",DC5:DC125)+SUMIF($D$5:$D$125,"=ber",DC5:DC125)+SUMIF($D$5:$D$125,"=bek",DC5:DC125)</f>
        <v>0</v>
      </c>
      <c r="DD156" s="236">
        <f t="shared" si="905"/>
        <v>0</v>
      </c>
      <c r="DI156" s="101"/>
      <c r="DJ156" s="102">
        <f t="shared" si="904"/>
        <v>0</v>
      </c>
      <c r="DK156" s="179">
        <f>(DP156+DQ156/2)*HLOOKUP(DK128,Grund_zins,2,FALSE)</f>
        <v>0</v>
      </c>
      <c r="DM156" s="658" t="s">
        <v>453</v>
      </c>
      <c r="DP156" s="101">
        <f t="shared" ref="DP156:DQ156" si="906">SUMIF($D$5:$D$125,"=bes",DP5:DP125)+SUMIF($D$5:$D$125,"=bem",DP5:DP125)+SUMIF($D$5:$D$125,"=ber",DP5:DP125)+SUMIF($D$5:$D$125,"=bek",DP5:DP125)</f>
        <v>0</v>
      </c>
      <c r="DQ156" s="236">
        <f t="shared" si="906"/>
        <v>0</v>
      </c>
      <c r="DV156" s="101"/>
      <c r="DW156" s="102">
        <f t="shared" si="904"/>
        <v>0</v>
      </c>
      <c r="DX156" s="179">
        <f>(EC156+ED156/2)*HLOOKUP(DX128,Grund_zins,2,FALSE)</f>
        <v>0</v>
      </c>
      <c r="DZ156" s="658" t="s">
        <v>453</v>
      </c>
      <c r="EC156" s="101">
        <f t="shared" ref="EC156:ED156" si="907">SUMIF($D$5:$D$125,"=bes",EC5:EC125)+SUMIF($D$5:$D$125,"=bem",EC5:EC125)+SUMIF($D$5:$D$125,"=ber",EC5:EC125)+SUMIF($D$5:$D$125,"=bek",EC5:EC125)</f>
        <v>0</v>
      </c>
      <c r="ED156" s="236">
        <f t="shared" si="907"/>
        <v>0</v>
      </c>
    </row>
    <row r="157" spans="1:134" hidden="1" x14ac:dyDescent="0.3">
      <c r="A157" s="84" t="s">
        <v>180</v>
      </c>
      <c r="Q157" s="217">
        <v>30</v>
      </c>
      <c r="V157" s="101"/>
      <c r="W157" s="102">
        <f t="shared" ref="W157" si="908">IF(X156&lt;&gt;0,X157/X156,0)</f>
        <v>0</v>
      </c>
      <c r="X157" s="179">
        <f>(AC157+AD157/2)*HLOOKUP(X128,Grund_zins,2,FALSE)</f>
        <v>0</v>
      </c>
      <c r="Z157" s="84" t="s">
        <v>180</v>
      </c>
      <c r="AC157" s="101">
        <f>SUMIF($D$5:$D$125,"=bes",AC5:AC125)*HLOOKUP(X128,Verteil_sw,32,FALSE)+SUMIF($D$5:$D$125,"=bem",AC5:AC125)*HLOOKUP(X128,Verteil_sw,33,FALSE)+SUMIF($D$5:$D$125,"=ber",AC5:AC125)*HLOOKUP(X128,Verteil_sw,34,FALSE)+SUMIF($D$5:$D$125,"=bek",AC5:AC125)*HLOOKUP(X128,Verteil_sw,35,FALSE)</f>
        <v>0</v>
      </c>
      <c r="AD157" s="236">
        <f>SUMIF($D$5:$D$125,"=bes",AD5:AD125)*HLOOKUP(X128,Verteil_sw,32,FALSE)+SUMIF($D$5:$D$125,"=bem",AD5:AD125)*HLOOKUP(X128,Verteil_sw,33,FALSE)+SUMIF($D$5:$D$125,"=ber",AD5:AD125)*HLOOKUP(X128,Verteil_sw,34,FALSE)+SUMIF($D$5:$D$125,"=bek",AD5:AD125)*HLOOKUP(X128,Verteil_sw,35,FALSE)</f>
        <v>0</v>
      </c>
      <c r="AI157" s="101"/>
      <c r="AJ157" s="102">
        <f t="shared" ref="AJ157" si="909">IF(AK156&lt;&gt;0,AK157/AK156,0)</f>
        <v>0</v>
      </c>
      <c r="AK157" s="179">
        <f>(AP157+AQ157/2)*HLOOKUP(AK128,Grund_zins,2,FALSE)</f>
        <v>0</v>
      </c>
      <c r="AM157" s="659" t="s">
        <v>180</v>
      </c>
      <c r="AP157" s="101">
        <f>SUMIF($D$5:$D$125,"=bes",AP5:AP125)*HLOOKUP(AK128,Verteil_sw,32,FALSE)+SUMIF($D$5:$D$125,"=bem",AP5:AP125)*HLOOKUP(AK128,Verteil_sw,33,FALSE)+SUMIF($D$5:$D$125,"=ber",AP5:AP125)*HLOOKUP(AK128,Verteil_sw,34,FALSE)+SUMIF($D$5:$D$125,"=bek",AP5:AP125)*HLOOKUP(AK128,Verteil_sw,35,FALSE)</f>
        <v>0</v>
      </c>
      <c r="AQ157" s="236">
        <f>SUMIF($D$5:$D$125,"=bes",AQ5:AQ125)*HLOOKUP(AK128,Verteil_sw,32,FALSE)+SUMIF($D$5:$D$125,"=bem",AQ5:AQ125)*HLOOKUP(AK128,Verteil_sw,33,FALSE)+SUMIF($D$5:$D$125,"=ber",AQ5:AQ125)*HLOOKUP(AK128,Verteil_sw,34,FALSE)+SUMIF($D$5:$D$125,"=bek",AQ5:AQ125)*HLOOKUP(AK128,Verteil_sw,35,FALSE)</f>
        <v>0</v>
      </c>
      <c r="AV157" s="101"/>
      <c r="AW157" s="102">
        <f t="shared" ref="AW157" si="910">IF(AX156&lt;&gt;0,AX157/AX156,0)</f>
        <v>0</v>
      </c>
      <c r="AX157" s="179">
        <f>(BC157+BD157/2)*HLOOKUP(AX128,Grund_zins,2,FALSE)</f>
        <v>0</v>
      </c>
      <c r="AZ157" s="659" t="s">
        <v>180</v>
      </c>
      <c r="BC157" s="101">
        <f>SUMIF($D$5:$D$125,"=bes",BC5:BC125)*HLOOKUP(AX128,Verteil_sw,32,FALSE)+SUMIF($D$5:$D$125,"=bem",BC5:BC125)*HLOOKUP(AX128,Verteil_sw,33,FALSE)+SUMIF($D$5:$D$125,"=ber",BC5:BC125)*HLOOKUP(AX128,Verteil_sw,34,FALSE)+SUMIF($D$5:$D$125,"=bek",BC5:BC125)*HLOOKUP(AX128,Verteil_sw,35,FALSE)</f>
        <v>0</v>
      </c>
      <c r="BD157" s="236">
        <f>SUMIF($D$5:$D$125,"=bes",BD5:BD125)*HLOOKUP(AX128,Verteil_sw,32,FALSE)+SUMIF($D$5:$D$125,"=bem",BD5:BD125)*HLOOKUP(AX128,Verteil_sw,33,FALSE)+SUMIF($D$5:$D$125,"=ber",BD5:BD125)*HLOOKUP(AX128,Verteil_sw,34,FALSE)+SUMIF($D$5:$D$125,"=bek",BD5:BD125)*HLOOKUP(AX128,Verteil_sw,35,FALSE)</f>
        <v>0</v>
      </c>
      <c r="BI157" s="101"/>
      <c r="BJ157" s="102">
        <f t="shared" ref="BJ157" si="911">IF(BK156&lt;&gt;0,BK157/BK156,0)</f>
        <v>0</v>
      </c>
      <c r="BK157" s="179">
        <f>(BP157+BQ157/2)*HLOOKUP(BK128,Grund_zins,2,FALSE)</f>
        <v>0</v>
      </c>
      <c r="BM157" s="659" t="s">
        <v>180</v>
      </c>
      <c r="BP157" s="101">
        <f>SUMIF($D$5:$D$125,"=bes",BP5:BP125)*HLOOKUP(BK128,Verteil_sw,32,FALSE)+SUMIF($D$5:$D$125,"=bem",BP5:BP125)*HLOOKUP(BK128,Verteil_sw,33,FALSE)+SUMIF($D$5:$D$125,"=ber",BP5:BP125)*HLOOKUP(BK128,Verteil_sw,34,FALSE)+SUMIF($D$5:$D$125,"=bek",BP5:BP125)*HLOOKUP(BK128,Verteil_sw,35,FALSE)</f>
        <v>0</v>
      </c>
      <c r="BQ157" s="236">
        <f>SUMIF($D$5:$D$125,"=bes",BQ5:BQ125)*HLOOKUP(BK128,Verteil_sw,32,FALSE)+SUMIF($D$5:$D$125,"=bem",BQ5:BQ125)*HLOOKUP(BK128,Verteil_sw,33,FALSE)+SUMIF($D$5:$D$125,"=ber",BQ5:BQ125)*HLOOKUP(BK128,Verteil_sw,34,FALSE)+SUMIF($D$5:$D$125,"=bek",BQ5:BQ125)*HLOOKUP(BK128,Verteil_sw,35,FALSE)</f>
        <v>0</v>
      </c>
      <c r="BV157" s="101"/>
      <c r="BW157" s="102">
        <f t="shared" ref="BW157" si="912">IF(BX156&lt;&gt;0,BX157/BX156,0)</f>
        <v>0</v>
      </c>
      <c r="BX157" s="179">
        <f>(CC157+CD157/2)*HLOOKUP(BX128,Grund_zins,2,FALSE)</f>
        <v>0</v>
      </c>
      <c r="BZ157" s="659" t="s">
        <v>180</v>
      </c>
      <c r="CC157" s="101">
        <f>SUMIF($D$5:$D$125,"=bes",CC5:CC125)*HLOOKUP(BX128,Verteil_sw,32,FALSE)+SUMIF($D$5:$D$125,"=bem",CC5:CC125)*HLOOKUP(BX128,Verteil_sw,33,FALSE)+SUMIF($D$5:$D$125,"=ber",CC5:CC125)*HLOOKUP(BX128,Verteil_sw,34,FALSE)+SUMIF($D$5:$D$125,"=bek",CC5:CC125)*HLOOKUP(BX128,Verteil_sw,35,FALSE)</f>
        <v>0</v>
      </c>
      <c r="CD157" s="236">
        <f>SUMIF($D$5:$D$125,"=bes",CD5:CD125)*HLOOKUP(BX128,Verteil_sw,32,FALSE)+SUMIF($D$5:$D$125,"=bem",CD5:CD125)*HLOOKUP(BX128,Verteil_sw,33,FALSE)+SUMIF($D$5:$D$125,"=ber",CD5:CD125)*HLOOKUP(BX128,Verteil_sw,34,FALSE)+SUMIF($D$5:$D$125,"=bek",CD5:CD125)*HLOOKUP(BX128,Verteil_sw,35,FALSE)</f>
        <v>0</v>
      </c>
      <c r="CI157" s="101"/>
      <c r="CJ157" s="102">
        <f t="shared" ref="CJ157" si="913">IF(CK156&lt;&gt;0,CK157/CK156,0)</f>
        <v>0</v>
      </c>
      <c r="CK157" s="179">
        <f>(CP157+CQ157/2)*HLOOKUP(CK128,Grund_zins,2,FALSE)</f>
        <v>0</v>
      </c>
      <c r="CM157" s="659" t="s">
        <v>180</v>
      </c>
      <c r="CP157" s="101">
        <f>SUMIF($D$5:$D$125,"=bes",CP5:CP125)*HLOOKUP(CK128,Verteil_sw,32,FALSE)+SUMIF($D$5:$D$125,"=bem",CP5:CP125)*HLOOKUP(CK128,Verteil_sw,33,FALSE)+SUMIF($D$5:$D$125,"=ber",CP5:CP125)*HLOOKUP(CK128,Verteil_sw,34,FALSE)+SUMIF($D$5:$D$125,"=bek",CP5:CP125)*HLOOKUP(CK128,Verteil_sw,35,FALSE)</f>
        <v>0</v>
      </c>
      <c r="CQ157" s="236">
        <f>SUMIF($D$5:$D$125,"=bes",CQ5:CQ125)*HLOOKUP(CK128,Verteil_sw,32,FALSE)+SUMIF($D$5:$D$125,"=bem",CQ5:CQ125)*HLOOKUP(CK128,Verteil_sw,33,FALSE)+SUMIF($D$5:$D$125,"=ber",CQ5:CQ125)*HLOOKUP(CK128,Verteil_sw,34,FALSE)+SUMIF($D$5:$D$125,"=bek",CQ5:CQ125)*HLOOKUP(CK128,Verteil_sw,35,FALSE)</f>
        <v>0</v>
      </c>
      <c r="CV157" s="101"/>
      <c r="CW157" s="102">
        <f t="shared" ref="CW157" si="914">IF(CX156&lt;&gt;0,CX157/CX156,0)</f>
        <v>0</v>
      </c>
      <c r="CX157" s="179">
        <f>(DC157+DD157/2)*HLOOKUP(CX128,Grund_zins,2,FALSE)</f>
        <v>0</v>
      </c>
      <c r="CZ157" s="659" t="s">
        <v>180</v>
      </c>
      <c r="DC157" s="101">
        <f>SUMIF($D$5:$D$125,"=bes",DC5:DC125)*HLOOKUP(CX128,Verteil_sw,32,FALSE)+SUMIF($D$5:$D$125,"=bem",DC5:DC125)*HLOOKUP(CX128,Verteil_sw,33,FALSE)+SUMIF($D$5:$D$125,"=ber",DC5:DC125)*HLOOKUP(CX128,Verteil_sw,34,FALSE)+SUMIF($D$5:$D$125,"=bek",DC5:DC125)*HLOOKUP(CX128,Verteil_sw,35,FALSE)</f>
        <v>0</v>
      </c>
      <c r="DD157" s="236">
        <f>SUMIF($D$5:$D$125,"=bes",DD5:DD125)*HLOOKUP(CX128,Verteil_sw,32,FALSE)+SUMIF($D$5:$D$125,"=bem",DD5:DD125)*HLOOKUP(CX128,Verteil_sw,33,FALSE)+SUMIF($D$5:$D$125,"=ber",DD5:DD125)*HLOOKUP(CX128,Verteil_sw,34,FALSE)+SUMIF($D$5:$D$125,"=bek",DD5:DD125)*HLOOKUP(CX128,Verteil_sw,35,FALSE)</f>
        <v>0</v>
      </c>
      <c r="DI157" s="101"/>
      <c r="DJ157" s="102">
        <f t="shared" ref="DJ157" si="915">IF(DK156&lt;&gt;0,DK157/DK156,0)</f>
        <v>0</v>
      </c>
      <c r="DK157" s="179">
        <f>(DP157+DQ157/2)*HLOOKUP(DK128,Grund_zins,2,FALSE)</f>
        <v>0</v>
      </c>
      <c r="DM157" s="659" t="s">
        <v>180</v>
      </c>
      <c r="DP157" s="101">
        <f>SUMIF($D$5:$D$125,"=bes",DP5:DP125)*HLOOKUP(DK128,Verteil_sw,32,FALSE)+SUMIF($D$5:$D$125,"=bem",DP5:DP125)*HLOOKUP(DK128,Verteil_sw,33,FALSE)+SUMIF($D$5:$D$125,"=ber",DP5:DP125)*HLOOKUP(DK128,Verteil_sw,34,FALSE)+SUMIF($D$5:$D$125,"=bek",DP5:DP125)*HLOOKUP(DK128,Verteil_sw,35,FALSE)</f>
        <v>0</v>
      </c>
      <c r="DQ157" s="236">
        <f>SUMIF($D$5:$D$125,"=bes",DQ5:DQ125)*HLOOKUP(DK128,Verteil_sw,32,FALSE)+SUMIF($D$5:$D$125,"=bem",DQ5:DQ125)*HLOOKUP(DK128,Verteil_sw,33,FALSE)+SUMIF($D$5:$D$125,"=ber",DQ5:DQ125)*HLOOKUP(DK128,Verteil_sw,34,FALSE)+SUMIF($D$5:$D$125,"=bek",DQ5:DQ125)*HLOOKUP(DK128,Verteil_sw,35,FALSE)</f>
        <v>0</v>
      </c>
      <c r="DV157" s="101"/>
      <c r="DW157" s="102">
        <f t="shared" ref="DW157" si="916">IF(DX156&lt;&gt;0,DX157/DX156,0)</f>
        <v>0</v>
      </c>
      <c r="DX157" s="179">
        <f>(EC157+ED157/2)*HLOOKUP(DX128,Grund_zins,2,FALSE)</f>
        <v>0</v>
      </c>
      <c r="DZ157" s="659" t="s">
        <v>180</v>
      </c>
      <c r="EC157" s="101">
        <f>SUMIF($D$5:$D$125,"=bes",EC5:EC125)*HLOOKUP(DX128,Verteil_sw,32,FALSE)+SUMIF($D$5:$D$125,"=bem",EC5:EC125)*HLOOKUP(DX128,Verteil_sw,33,FALSE)+SUMIF($D$5:$D$125,"=ber",EC5:EC125)*HLOOKUP(DX128,Verteil_sw,34,FALSE)+SUMIF($D$5:$D$125,"=bek",EC5:EC125)*HLOOKUP(DX128,Verteil_sw,35,FALSE)</f>
        <v>0</v>
      </c>
      <c r="ED157" s="236">
        <f>SUMIF($D$5:$D$125,"=bes",ED5:ED125)*HLOOKUP(DX128,Verteil_sw,32,FALSE)+SUMIF($D$5:$D$125,"=bem",ED5:ED125)*HLOOKUP(DX128,Verteil_sw,33,FALSE)+SUMIF($D$5:$D$125,"=ber",ED5:ED125)*HLOOKUP(DX128,Verteil_sw,34,FALSE)+SUMIF($D$5:$D$125,"=bek",ED5:ED125)*HLOOKUP(DX128,Verteil_sw,35,FALSE)</f>
        <v>0</v>
      </c>
    </row>
    <row r="158" spans="1:134" hidden="1" x14ac:dyDescent="0.3">
      <c r="A158" s="84" t="s">
        <v>181</v>
      </c>
      <c r="Q158" s="217">
        <v>31</v>
      </c>
      <c r="V158" s="101"/>
      <c r="W158" s="102">
        <f t="shared" ref="W158" si="917">IF(X156&lt;&gt;0,X158/X156,0)</f>
        <v>0</v>
      </c>
      <c r="X158" s="179">
        <f>(AC158+AD158/2)*HLOOKUP(X128,Grund_zins,2,FALSE)</f>
        <v>0</v>
      </c>
      <c r="Z158" s="84" t="s">
        <v>181</v>
      </c>
      <c r="AC158" s="101">
        <f>SUMIF($D$5:$D$125,"=bes",AC5:AC125)*HLOOKUP(X128,Verteil_rwgr,31,FALSE)+SUMIF($D$5:$D$125,"=bem",AC5:AC125)*HLOOKUP(X128,Verteil_rwgr,32,FALSE)+SUMIF($D$5:$D$125,"=ber",AC5:AC125)*HLOOKUP(X128,Verteil_rwgr,33,FALSE)+SUMIF($D$5:$D$125,"=bek",AC5:AC125)*HLOOKUP(X128,Verteil_rwgr,34,FALSE)</f>
        <v>0</v>
      </c>
      <c r="AD158" s="236">
        <f>SUMIF($D$5:$D$125,"=bes",AD5:AD125)*HLOOKUP(X128,Verteil_rwgr,31,FALSE)+SUMIF($D$5:$D$125,"=bem",AD5:AD125)*HLOOKUP(X128,Verteil_rwgr,32,FALSE)+SUMIF($D$5:$D$125,"=ber",AD5:AD125)*HLOOKUP(X128,Verteil_rwgr,33,FALSE)+SUMIF($D$5:$D$125,"=bek",AD5:AD125)*HLOOKUP(X128,Verteil_rwgr,34,FALSE)</f>
        <v>0</v>
      </c>
      <c r="AI158" s="101"/>
      <c r="AJ158" s="102">
        <f t="shared" ref="AJ158" si="918">IF(AK156&lt;&gt;0,AK158/AK156,0)</f>
        <v>0</v>
      </c>
      <c r="AK158" s="179">
        <f>(AP158+AQ158/2)*HLOOKUP(AK128,Grund_zins,2,FALSE)</f>
        <v>0</v>
      </c>
      <c r="AM158" s="659" t="s">
        <v>181</v>
      </c>
      <c r="AP158" s="101">
        <f>SUMIF($D$5:$D$125,"=bes",AP5:AP125)*HLOOKUP(AK128,Verteil_rwgr,31,FALSE)+SUMIF($D$5:$D$125,"=bem",AP5:AP125)*HLOOKUP(AK128,Verteil_rwgr,32,FALSE)+SUMIF($D$5:$D$125,"=ber",AP5:AP125)*HLOOKUP(AK128,Verteil_rwgr,33,FALSE)+SUMIF($D$5:$D$125,"=bek",AP5:AP125)*HLOOKUP(AK128,Verteil_rwgr,34,FALSE)</f>
        <v>0</v>
      </c>
      <c r="AQ158" s="236">
        <f>SUMIF($D$5:$D$125,"=bes",AQ5:AQ125)*HLOOKUP(AK128,Verteil_rwgr,31,FALSE)+SUMIF($D$5:$D$125,"=bem",AQ5:AQ125)*HLOOKUP(AK128,Verteil_rwgr,32,FALSE)+SUMIF($D$5:$D$125,"=ber",AQ5:AQ125)*HLOOKUP(AK128,Verteil_rwgr,33,FALSE)+SUMIF($D$5:$D$125,"=bek",AQ5:AQ125)*HLOOKUP(AK128,Verteil_rwgr,34,FALSE)</f>
        <v>0</v>
      </c>
      <c r="AV158" s="101"/>
      <c r="AW158" s="102">
        <f t="shared" ref="AW158" si="919">IF(AX156&lt;&gt;0,AX158/AX156,0)</f>
        <v>0</v>
      </c>
      <c r="AX158" s="179">
        <f>(BC158+BD158/2)*HLOOKUP(AX128,Grund_zins,2,FALSE)</f>
        <v>0</v>
      </c>
      <c r="AZ158" s="659" t="s">
        <v>181</v>
      </c>
      <c r="BC158" s="101">
        <f>SUMIF($D$5:$D$125,"=bes",BC5:BC125)*HLOOKUP(AX128,Verteil_rwgr,31,FALSE)+SUMIF($D$5:$D$125,"=bem",BC5:BC125)*HLOOKUP(AX128,Verteil_rwgr,32,FALSE)+SUMIF($D$5:$D$125,"=ber",BC5:BC125)*HLOOKUP(AX128,Verteil_rwgr,33,FALSE)+SUMIF($D$5:$D$125,"=bek",BC5:BC125)*HLOOKUP(AX128,Verteil_rwgr,34,FALSE)</f>
        <v>0</v>
      </c>
      <c r="BD158" s="236">
        <f>SUMIF($D$5:$D$125,"=bes",BD5:BD125)*HLOOKUP(AX128,Verteil_rwgr,31,FALSE)+SUMIF($D$5:$D$125,"=bem",BD5:BD125)*HLOOKUP(AX128,Verteil_rwgr,32,FALSE)+SUMIF($D$5:$D$125,"=ber",BD5:BD125)*HLOOKUP(AX128,Verteil_rwgr,33,FALSE)+SUMIF($D$5:$D$125,"=bek",BD5:BD125)*HLOOKUP(AX128,Verteil_rwgr,34,FALSE)</f>
        <v>0</v>
      </c>
      <c r="BI158" s="101"/>
      <c r="BJ158" s="102">
        <f t="shared" ref="BJ158" si="920">IF(BK156&lt;&gt;0,BK158/BK156,0)</f>
        <v>0</v>
      </c>
      <c r="BK158" s="179">
        <f>(BP158+BQ158/2)*HLOOKUP(BK128,Grund_zins,2,FALSE)</f>
        <v>0</v>
      </c>
      <c r="BM158" s="659" t="s">
        <v>181</v>
      </c>
      <c r="BP158" s="101">
        <f>SUMIF($D$5:$D$125,"=bes",BP5:BP125)*HLOOKUP(BK128,Verteil_rwgr,31,FALSE)+SUMIF($D$5:$D$125,"=bem",BP5:BP125)*HLOOKUP(BK128,Verteil_rwgr,32,FALSE)+SUMIF($D$5:$D$125,"=ber",BP5:BP125)*HLOOKUP(BK128,Verteil_rwgr,33,FALSE)+SUMIF($D$5:$D$125,"=bek",BP5:BP125)*HLOOKUP(BK128,Verteil_rwgr,34,FALSE)</f>
        <v>0</v>
      </c>
      <c r="BQ158" s="236">
        <f>SUMIF($D$5:$D$125,"=bes",BQ5:BQ125)*HLOOKUP(BK128,Verteil_rwgr,31,FALSE)+SUMIF($D$5:$D$125,"=bem",BQ5:BQ125)*HLOOKUP(BK128,Verteil_rwgr,32,FALSE)+SUMIF($D$5:$D$125,"=ber",BQ5:BQ125)*HLOOKUP(BK128,Verteil_rwgr,33,FALSE)+SUMIF($D$5:$D$125,"=bek",BQ5:BQ125)*HLOOKUP(BK128,Verteil_rwgr,34,FALSE)</f>
        <v>0</v>
      </c>
      <c r="BV158" s="101"/>
      <c r="BW158" s="102">
        <f t="shared" ref="BW158" si="921">IF(BX156&lt;&gt;0,BX158/BX156,0)</f>
        <v>0</v>
      </c>
      <c r="BX158" s="179">
        <f>(CC158+CD158/2)*HLOOKUP(BX128,Grund_zins,2,FALSE)</f>
        <v>0</v>
      </c>
      <c r="BZ158" s="659" t="s">
        <v>181</v>
      </c>
      <c r="CC158" s="101">
        <f>SUMIF($D$5:$D$125,"=bes",CC5:CC125)*HLOOKUP(BX128,Verteil_rwgr,31,FALSE)+SUMIF($D$5:$D$125,"=bem",CC5:CC125)*HLOOKUP(BX128,Verteil_rwgr,32,FALSE)+SUMIF($D$5:$D$125,"=ber",CC5:CC125)*HLOOKUP(BX128,Verteil_rwgr,33,FALSE)+SUMIF($D$5:$D$125,"=bek",CC5:CC125)*HLOOKUP(BX128,Verteil_rwgr,34,FALSE)</f>
        <v>0</v>
      </c>
      <c r="CD158" s="236">
        <f>SUMIF($D$5:$D$125,"=bes",CD5:CD125)*HLOOKUP(BX128,Verteil_rwgr,31,FALSE)+SUMIF($D$5:$D$125,"=bem",CD5:CD125)*HLOOKUP(BX128,Verteil_rwgr,32,FALSE)+SUMIF($D$5:$D$125,"=ber",CD5:CD125)*HLOOKUP(BX128,Verteil_rwgr,33,FALSE)+SUMIF($D$5:$D$125,"=bek",CD5:CD125)*HLOOKUP(BX128,Verteil_rwgr,34,FALSE)</f>
        <v>0</v>
      </c>
      <c r="CI158" s="101"/>
      <c r="CJ158" s="102">
        <f t="shared" ref="CJ158" si="922">IF(CK156&lt;&gt;0,CK158/CK156,0)</f>
        <v>0</v>
      </c>
      <c r="CK158" s="179">
        <f>(CP158+CQ158/2)*HLOOKUP(CK128,Grund_zins,2,FALSE)</f>
        <v>0</v>
      </c>
      <c r="CM158" s="659" t="s">
        <v>181</v>
      </c>
      <c r="CP158" s="101">
        <f>SUMIF($D$5:$D$125,"=bes",CP5:CP125)*HLOOKUP(CK128,Verteil_rwgr,31,FALSE)+SUMIF($D$5:$D$125,"=bem",CP5:CP125)*HLOOKUP(CK128,Verteil_rwgr,32,FALSE)+SUMIF($D$5:$D$125,"=ber",CP5:CP125)*HLOOKUP(CK128,Verteil_rwgr,33,FALSE)+SUMIF($D$5:$D$125,"=bek",CP5:CP125)*HLOOKUP(CK128,Verteil_rwgr,34,FALSE)</f>
        <v>0</v>
      </c>
      <c r="CQ158" s="236">
        <f>SUMIF($D$5:$D$125,"=bes",CQ5:CQ125)*HLOOKUP(CK128,Verteil_rwgr,31,FALSE)+SUMIF($D$5:$D$125,"=bem",CQ5:CQ125)*HLOOKUP(CK128,Verteil_rwgr,32,FALSE)+SUMIF($D$5:$D$125,"=ber",CQ5:CQ125)*HLOOKUP(CK128,Verteil_rwgr,33,FALSE)+SUMIF($D$5:$D$125,"=bek",CQ5:CQ125)*HLOOKUP(CK128,Verteil_rwgr,34,FALSE)</f>
        <v>0</v>
      </c>
      <c r="CV158" s="101"/>
      <c r="CW158" s="102">
        <f t="shared" ref="CW158" si="923">IF(CX156&lt;&gt;0,CX158/CX156,0)</f>
        <v>0</v>
      </c>
      <c r="CX158" s="179">
        <f>(DC158+DD158/2)*HLOOKUP(CX128,Grund_zins,2,FALSE)</f>
        <v>0</v>
      </c>
      <c r="CZ158" s="659" t="s">
        <v>181</v>
      </c>
      <c r="DC158" s="101">
        <f>SUMIF($D$5:$D$125,"=bes",DC5:DC125)*HLOOKUP(CX128,Verteil_rwgr,31,FALSE)+SUMIF($D$5:$D$125,"=bem",DC5:DC125)*HLOOKUP(CX128,Verteil_rwgr,32,FALSE)+SUMIF($D$5:$D$125,"=ber",DC5:DC125)*HLOOKUP(CX128,Verteil_rwgr,33,FALSE)+SUMIF($D$5:$D$125,"=bek",DC5:DC125)*HLOOKUP(CX128,Verteil_rwgr,34,FALSE)</f>
        <v>0</v>
      </c>
      <c r="DD158" s="236">
        <f>SUMIF($D$5:$D$125,"=bes",DD5:DD125)*HLOOKUP(CX128,Verteil_rwgr,31,FALSE)+SUMIF($D$5:$D$125,"=bem",DD5:DD125)*HLOOKUP(CX128,Verteil_rwgr,32,FALSE)+SUMIF($D$5:$D$125,"=ber",DD5:DD125)*HLOOKUP(CX128,Verteil_rwgr,33,FALSE)+SUMIF($D$5:$D$125,"=bek",DD5:DD125)*HLOOKUP(CX128,Verteil_rwgr,34,FALSE)</f>
        <v>0</v>
      </c>
      <c r="DI158" s="101"/>
      <c r="DJ158" s="102">
        <f t="shared" ref="DJ158" si="924">IF(DK156&lt;&gt;0,DK158/DK156,0)</f>
        <v>0</v>
      </c>
      <c r="DK158" s="179">
        <f>(DP158+DQ158/2)*HLOOKUP(DK128,Grund_zins,2,FALSE)</f>
        <v>0</v>
      </c>
      <c r="DM158" s="659" t="s">
        <v>181</v>
      </c>
      <c r="DP158" s="101">
        <f>SUMIF($D$5:$D$125,"=bes",DP5:DP125)*HLOOKUP(DK128,Verteil_rwgr,31,FALSE)+SUMIF($D$5:$D$125,"=bem",DP5:DP125)*HLOOKUP(DK128,Verteil_rwgr,32,FALSE)+SUMIF($D$5:$D$125,"=ber",DP5:DP125)*HLOOKUP(DK128,Verteil_rwgr,33,FALSE)+SUMIF($D$5:$D$125,"=bek",DP5:DP125)*HLOOKUP(DK128,Verteil_rwgr,34,FALSE)</f>
        <v>0</v>
      </c>
      <c r="DQ158" s="236">
        <f>SUMIF($D$5:$D$125,"=bes",DQ5:DQ125)*HLOOKUP(DK128,Verteil_rwgr,31,FALSE)+SUMIF($D$5:$D$125,"=bem",DQ5:DQ125)*HLOOKUP(DK128,Verteil_rwgr,32,FALSE)+SUMIF($D$5:$D$125,"=ber",DQ5:DQ125)*HLOOKUP(DK128,Verteil_rwgr,33,FALSE)+SUMIF($D$5:$D$125,"=bek",DQ5:DQ125)*HLOOKUP(DK128,Verteil_rwgr,34,FALSE)</f>
        <v>0</v>
      </c>
      <c r="DV158" s="101"/>
      <c r="DW158" s="102">
        <f t="shared" ref="DW158" si="925">IF(DX156&lt;&gt;0,DX158/DX156,0)</f>
        <v>0</v>
      </c>
      <c r="DX158" s="179">
        <f>(EC158+ED158/2)*HLOOKUP(DX128,Grund_zins,2,FALSE)</f>
        <v>0</v>
      </c>
      <c r="DZ158" s="659" t="s">
        <v>181</v>
      </c>
      <c r="EC158" s="101">
        <f>SUMIF($D$5:$D$125,"=bes",EC5:EC125)*HLOOKUP(DX128,Verteil_rwgr,31,FALSE)+SUMIF($D$5:$D$125,"=bem",EC5:EC125)*HLOOKUP(DX128,Verteil_rwgr,32,FALSE)+SUMIF($D$5:$D$125,"=ber",EC5:EC125)*HLOOKUP(DX128,Verteil_rwgr,33,FALSE)+SUMIF($D$5:$D$125,"=bek",EC5:EC125)*HLOOKUP(DX128,Verteil_rwgr,34,FALSE)</f>
        <v>0</v>
      </c>
      <c r="ED158" s="236">
        <f>SUMIF($D$5:$D$125,"=bes",ED5:ED125)*HLOOKUP(DX128,Verteil_rwgr,31,FALSE)+SUMIF($D$5:$D$125,"=bem",ED5:ED125)*HLOOKUP(DX128,Verteil_rwgr,32,FALSE)+SUMIF($D$5:$D$125,"=ber",ED5:ED125)*HLOOKUP(DX128,Verteil_rwgr,33,FALSE)+SUMIF($D$5:$D$125,"=bek",ED5:ED125)*HLOOKUP(DX128,Verteil_rwgr,34,FALSE)</f>
        <v>0</v>
      </c>
    </row>
    <row r="159" spans="1:134" hidden="1" x14ac:dyDescent="0.3">
      <c r="A159" s="84" t="s">
        <v>186</v>
      </c>
      <c r="Q159" s="217">
        <v>32</v>
      </c>
      <c r="V159" s="101"/>
      <c r="W159" s="102">
        <f t="shared" ref="W159" si="926">IF(X156&lt;&gt;0,X159/X156,0)</f>
        <v>0</v>
      </c>
      <c r="X159" s="179">
        <f>(AC159+AD159/2)*HLOOKUP(X128,Grund_zins,2,FALSE)</f>
        <v>0</v>
      </c>
      <c r="Z159" s="84" t="s">
        <v>186</v>
      </c>
      <c r="AC159" s="101"/>
      <c r="AD159" s="236"/>
      <c r="AI159" s="101"/>
      <c r="AJ159" s="102">
        <f t="shared" ref="AJ159" si="927">IF(AK156&lt;&gt;0,AK159/AK156,0)</f>
        <v>0</v>
      </c>
      <c r="AK159" s="179">
        <f>(AP159+AQ159/2)*HLOOKUP(AK128,Grund_zins,2,FALSE)</f>
        <v>0</v>
      </c>
      <c r="AM159" s="659" t="s">
        <v>186</v>
      </c>
      <c r="AP159" s="101"/>
      <c r="AQ159" s="236"/>
      <c r="AV159" s="101"/>
      <c r="AW159" s="102">
        <f t="shared" ref="AW159" si="928">IF(AX156&lt;&gt;0,AX159/AX156,0)</f>
        <v>0</v>
      </c>
      <c r="AX159" s="179">
        <f>(BC159+BD159/2)*HLOOKUP(AX128,Grund_zins,2,FALSE)</f>
        <v>0</v>
      </c>
      <c r="AZ159" s="659" t="s">
        <v>186</v>
      </c>
      <c r="BC159" s="101"/>
      <c r="BD159" s="236"/>
      <c r="BI159" s="101"/>
      <c r="BJ159" s="102">
        <f t="shared" ref="BJ159" si="929">IF(BK156&lt;&gt;0,BK159/BK156,0)</f>
        <v>0</v>
      </c>
      <c r="BK159" s="179">
        <f>(BP159+BQ159/2)*HLOOKUP(BK128,Grund_zins,2,FALSE)</f>
        <v>0</v>
      </c>
      <c r="BM159" s="659" t="s">
        <v>186</v>
      </c>
      <c r="BP159" s="101"/>
      <c r="BQ159" s="236"/>
      <c r="BV159" s="101"/>
      <c r="BW159" s="102">
        <f t="shared" ref="BW159" si="930">IF(BX156&lt;&gt;0,BX159/BX156,0)</f>
        <v>0</v>
      </c>
      <c r="BX159" s="179">
        <f>(CC159+CD159/2)*HLOOKUP(BX128,Grund_zins,2,FALSE)</f>
        <v>0</v>
      </c>
      <c r="BZ159" s="659" t="s">
        <v>186</v>
      </c>
      <c r="CC159" s="101"/>
      <c r="CD159" s="236"/>
      <c r="CI159" s="101"/>
      <c r="CJ159" s="102">
        <f t="shared" ref="CJ159" si="931">IF(CK156&lt;&gt;0,CK159/CK156,0)</f>
        <v>0</v>
      </c>
      <c r="CK159" s="179">
        <f>(CP159+CQ159/2)*HLOOKUP(CK128,Grund_zins,2,FALSE)</f>
        <v>0</v>
      </c>
      <c r="CM159" s="659" t="s">
        <v>186</v>
      </c>
      <c r="CP159" s="101"/>
      <c r="CQ159" s="236"/>
      <c r="CV159" s="101"/>
      <c r="CW159" s="102">
        <f t="shared" ref="CW159" si="932">IF(CX156&lt;&gt;0,CX159/CX156,0)</f>
        <v>0</v>
      </c>
      <c r="CX159" s="179">
        <f>(DC159+DD159/2)*HLOOKUP(CX128,Grund_zins,2,FALSE)</f>
        <v>0</v>
      </c>
      <c r="CZ159" s="659" t="s">
        <v>186</v>
      </c>
      <c r="DC159" s="101"/>
      <c r="DD159" s="236"/>
      <c r="DI159" s="101"/>
      <c r="DJ159" s="102">
        <f t="shared" ref="DJ159" si="933">IF(DK156&lt;&gt;0,DK159/DK156,0)</f>
        <v>0</v>
      </c>
      <c r="DK159" s="179">
        <f>(DP159+DQ159/2)*HLOOKUP(DK128,Grund_zins,2,FALSE)</f>
        <v>0</v>
      </c>
      <c r="DM159" s="659" t="s">
        <v>186</v>
      </c>
      <c r="DP159" s="101"/>
      <c r="DQ159" s="236"/>
      <c r="DV159" s="101"/>
      <c r="DW159" s="102">
        <f t="shared" ref="DW159" si="934">IF(DX156&lt;&gt;0,DX159/DX156,0)</f>
        <v>0</v>
      </c>
      <c r="DX159" s="179">
        <f>(EC159+ED159/2)*HLOOKUP(DX128,Grund_zins,2,FALSE)</f>
        <v>0</v>
      </c>
      <c r="DZ159" s="659" t="s">
        <v>186</v>
      </c>
      <c r="EC159" s="101"/>
      <c r="ED159" s="236"/>
    </row>
    <row r="160" spans="1:134" hidden="1" x14ac:dyDescent="0.3">
      <c r="A160" s="104" t="s">
        <v>459</v>
      </c>
      <c r="Q160" s="217">
        <v>33</v>
      </c>
      <c r="V160" s="101"/>
      <c r="W160" s="102">
        <f t="shared" ref="W160" si="935">SUM(W161:W163)</f>
        <v>0</v>
      </c>
      <c r="X160" s="179">
        <f>(AC160+AD160/2)*HLOOKUP(X128,Grund_zins,2,FALSE)</f>
        <v>0</v>
      </c>
      <c r="Z160" s="104" t="s">
        <v>459</v>
      </c>
      <c r="AC160" s="101">
        <f>SUMIF($D$5:$D$125,"=bez",AC5:AC125)</f>
        <v>0</v>
      </c>
      <c r="AD160" s="236">
        <f>SUMIF($D$5:$D$125,"=bez",AD5:AD125)</f>
        <v>0</v>
      </c>
      <c r="AI160" s="101"/>
      <c r="AJ160" s="102">
        <f t="shared" ref="AJ160:CJ160" si="936">SUM(AJ161:AJ163)</f>
        <v>0</v>
      </c>
      <c r="AK160" s="179">
        <f>(AP160+AQ160/2)*HLOOKUP(AK128,Grund_zins,2,FALSE)</f>
        <v>0</v>
      </c>
      <c r="AM160" s="658" t="s">
        <v>459</v>
      </c>
      <c r="AP160" s="101">
        <f t="shared" ref="AP160:AQ160" si="937">SUMIF($D$5:$D$125,"=bez",AP5:AP125)</f>
        <v>0</v>
      </c>
      <c r="AQ160" s="236">
        <f t="shared" si="937"/>
        <v>0</v>
      </c>
      <c r="AV160" s="101"/>
      <c r="AW160" s="102">
        <f t="shared" si="936"/>
        <v>0</v>
      </c>
      <c r="AX160" s="179">
        <f>(BC160+BD160/2)*HLOOKUP(AX128,Grund_zins,2,FALSE)</f>
        <v>0</v>
      </c>
      <c r="AZ160" s="658" t="s">
        <v>459</v>
      </c>
      <c r="BC160" s="101">
        <f t="shared" ref="BC160:BD160" si="938">SUMIF($D$5:$D$125,"=bez",BC5:BC125)</f>
        <v>0</v>
      </c>
      <c r="BD160" s="236">
        <f t="shared" si="938"/>
        <v>0</v>
      </c>
      <c r="BI160" s="101"/>
      <c r="BJ160" s="102">
        <f t="shared" si="936"/>
        <v>0</v>
      </c>
      <c r="BK160" s="179">
        <f>(BP160+BQ160/2)*HLOOKUP(BK128,Grund_zins,2,FALSE)</f>
        <v>0</v>
      </c>
      <c r="BM160" s="658" t="s">
        <v>459</v>
      </c>
      <c r="BP160" s="101">
        <f t="shared" ref="BP160:BQ160" si="939">SUMIF($D$5:$D$125,"=bez",BP5:BP125)</f>
        <v>0</v>
      </c>
      <c r="BQ160" s="236">
        <f t="shared" si="939"/>
        <v>0</v>
      </c>
      <c r="BV160" s="101"/>
      <c r="BW160" s="102">
        <f t="shared" si="936"/>
        <v>0</v>
      </c>
      <c r="BX160" s="179">
        <f>(CC160+CD160/2)*HLOOKUP(BX128,Grund_zins,2,FALSE)</f>
        <v>0</v>
      </c>
      <c r="BZ160" s="658" t="s">
        <v>459</v>
      </c>
      <c r="CC160" s="101">
        <f t="shared" ref="CC160:CD160" si="940">SUMIF($D$5:$D$125,"=bez",CC5:CC125)</f>
        <v>0</v>
      </c>
      <c r="CD160" s="236">
        <f t="shared" si="940"/>
        <v>0</v>
      </c>
      <c r="CI160" s="101"/>
      <c r="CJ160" s="102">
        <f t="shared" si="936"/>
        <v>0</v>
      </c>
      <c r="CK160" s="179">
        <f>(CP160+CQ160/2)*HLOOKUP(CK128,Grund_zins,2,FALSE)</f>
        <v>0</v>
      </c>
      <c r="CM160" s="658" t="s">
        <v>459</v>
      </c>
      <c r="CP160" s="101">
        <f t="shared" ref="CP160:CQ160" si="941">SUMIF($D$5:$D$125,"=bez",CP5:CP125)</f>
        <v>0</v>
      </c>
      <c r="CQ160" s="236">
        <f t="shared" si="941"/>
        <v>0</v>
      </c>
      <c r="CV160" s="101"/>
      <c r="CW160" s="102">
        <f t="shared" ref="CW160:DW160" si="942">SUM(CW161:CW163)</f>
        <v>0</v>
      </c>
      <c r="CX160" s="179">
        <f>(DC160+DD160/2)*HLOOKUP(CX128,Grund_zins,2,FALSE)</f>
        <v>0</v>
      </c>
      <c r="CZ160" s="658" t="s">
        <v>459</v>
      </c>
      <c r="DC160" s="101">
        <f t="shared" ref="DC160:DD160" si="943">SUMIF($D$5:$D$125,"=bez",DC5:DC125)</f>
        <v>0</v>
      </c>
      <c r="DD160" s="236">
        <f t="shared" si="943"/>
        <v>0</v>
      </c>
      <c r="DI160" s="101"/>
      <c r="DJ160" s="102">
        <f t="shared" si="942"/>
        <v>0</v>
      </c>
      <c r="DK160" s="179">
        <f>(DP160+DQ160/2)*HLOOKUP(DK128,Grund_zins,2,FALSE)</f>
        <v>0</v>
      </c>
      <c r="DM160" s="658" t="s">
        <v>459</v>
      </c>
      <c r="DP160" s="101">
        <f t="shared" ref="DP160:DQ160" si="944">SUMIF($D$5:$D$125,"=bez",DP5:DP125)</f>
        <v>0</v>
      </c>
      <c r="DQ160" s="236">
        <f t="shared" si="944"/>
        <v>0</v>
      </c>
      <c r="DV160" s="101"/>
      <c r="DW160" s="102">
        <f t="shared" si="942"/>
        <v>0</v>
      </c>
      <c r="DX160" s="179">
        <f>(EC160+ED160/2)*HLOOKUP(DX128,Grund_zins,2,FALSE)</f>
        <v>0</v>
      </c>
      <c r="DZ160" s="658" t="s">
        <v>459</v>
      </c>
      <c r="EC160" s="101">
        <f t="shared" ref="EC160:ED160" si="945">SUMIF($D$5:$D$125,"=bez",EC5:EC125)</f>
        <v>0</v>
      </c>
      <c r="ED160" s="236">
        <f t="shared" si="945"/>
        <v>0</v>
      </c>
    </row>
    <row r="161" spans="1:134" hidden="1" x14ac:dyDescent="0.3">
      <c r="A161" s="84" t="s">
        <v>180</v>
      </c>
      <c r="Q161" s="217">
        <v>34</v>
      </c>
      <c r="V161" s="101"/>
      <c r="W161" s="102">
        <f t="shared" ref="W161" si="946">IF(X160&lt;&gt;0,X161/X160,0)</f>
        <v>0</v>
      </c>
      <c r="X161" s="179">
        <f>(AC161+AD161/2)*HLOOKUP(X128,Grund_zins,2,FALSE)</f>
        <v>0</v>
      </c>
      <c r="Z161" s="84" t="s">
        <v>180</v>
      </c>
      <c r="AC161" s="101">
        <f>SUMIF($D$5:$D$125,"=bez",AC5:AC125)*HLOOKUP(X128,Verteil_sw,37,FALSE)</f>
        <v>0</v>
      </c>
      <c r="AD161" s="236">
        <f>SUMIF($D$5:$D$125,"=bez",AD5:AD125)*HLOOKUP(X128,Verteil_sw,37,FALSE)</f>
        <v>0</v>
      </c>
      <c r="AI161" s="101"/>
      <c r="AJ161" s="102">
        <f t="shared" ref="AJ161" si="947">IF(AK160&lt;&gt;0,AK161/AK160,0)</f>
        <v>0</v>
      </c>
      <c r="AK161" s="179">
        <f>(AP161+AQ161/2)*HLOOKUP(AK128,Grund_zins,2,FALSE)</f>
        <v>0</v>
      </c>
      <c r="AM161" s="659" t="s">
        <v>180</v>
      </c>
      <c r="AP161" s="101">
        <f>SUMIF($D$5:$D$125,"=bez",AP5:AP125)*HLOOKUP(AK128,Verteil_sw,37,FALSE)</f>
        <v>0</v>
      </c>
      <c r="AQ161" s="236">
        <f>SUMIF($D$5:$D$125,"=bez",AQ5:AQ125)*HLOOKUP(AK128,Verteil_sw,37,FALSE)</f>
        <v>0</v>
      </c>
      <c r="AV161" s="101"/>
      <c r="AW161" s="102">
        <f t="shared" ref="AW161" si="948">IF(AX160&lt;&gt;0,AX161/AX160,0)</f>
        <v>0</v>
      </c>
      <c r="AX161" s="179">
        <f>(BC161+BD161/2)*HLOOKUP(AX128,Grund_zins,2,FALSE)</f>
        <v>0</v>
      </c>
      <c r="AZ161" s="659" t="s">
        <v>180</v>
      </c>
      <c r="BC161" s="101">
        <f>SUMIF($D$5:$D$125,"=bez",BC5:BC125)*HLOOKUP(AX128,Verteil_sw,37,FALSE)</f>
        <v>0</v>
      </c>
      <c r="BD161" s="236">
        <f>SUMIF($D$5:$D$125,"=bez",BD5:BD125)*HLOOKUP(AX128,Verteil_sw,37,FALSE)</f>
        <v>0</v>
      </c>
      <c r="BI161" s="101"/>
      <c r="BJ161" s="102">
        <f t="shared" ref="BJ161" si="949">IF(BK160&lt;&gt;0,BK161/BK160,0)</f>
        <v>0</v>
      </c>
      <c r="BK161" s="179">
        <f>(BP161+BQ161/2)*HLOOKUP(BK128,Grund_zins,2,FALSE)</f>
        <v>0</v>
      </c>
      <c r="BM161" s="659" t="s">
        <v>180</v>
      </c>
      <c r="BP161" s="101">
        <f>SUMIF($D$5:$D$125,"=bez",BP5:BP125)*HLOOKUP(BK128,Verteil_sw,37,FALSE)</f>
        <v>0</v>
      </c>
      <c r="BQ161" s="236">
        <f>SUMIF($D$5:$D$125,"=bez",BQ5:BQ125)*HLOOKUP(BK128,Verteil_sw,37,FALSE)</f>
        <v>0</v>
      </c>
      <c r="BV161" s="101"/>
      <c r="BW161" s="102">
        <f t="shared" ref="BW161" si="950">IF(BX160&lt;&gt;0,BX161/BX160,0)</f>
        <v>0</v>
      </c>
      <c r="BX161" s="179">
        <f>(CC161+CD161/2)*HLOOKUP(BX128,Grund_zins,2,FALSE)</f>
        <v>0</v>
      </c>
      <c r="BZ161" s="659" t="s">
        <v>180</v>
      </c>
      <c r="CC161" s="101">
        <f>SUMIF($D$5:$D$125,"=bez",CC5:CC125)*HLOOKUP(BX128,Verteil_sw,37,FALSE)</f>
        <v>0</v>
      </c>
      <c r="CD161" s="236">
        <f>SUMIF($D$5:$D$125,"=bez",CD5:CD125)*HLOOKUP(BX128,Verteil_sw,37,FALSE)</f>
        <v>0</v>
      </c>
      <c r="CI161" s="101"/>
      <c r="CJ161" s="102">
        <f t="shared" ref="CJ161" si="951">IF(CK160&lt;&gt;0,CK161/CK160,0)</f>
        <v>0</v>
      </c>
      <c r="CK161" s="179">
        <f>(CP161+CQ161/2)*HLOOKUP(CK128,Grund_zins,2,FALSE)</f>
        <v>0</v>
      </c>
      <c r="CM161" s="659" t="s">
        <v>180</v>
      </c>
      <c r="CP161" s="101">
        <f>SUMIF($D$5:$D$125,"=bez",CP5:CP125)*HLOOKUP(CK128,Verteil_sw,37,FALSE)</f>
        <v>0</v>
      </c>
      <c r="CQ161" s="236">
        <f>SUMIF($D$5:$D$125,"=bez",CQ5:CQ125)*HLOOKUP(CK128,Verteil_sw,37,FALSE)</f>
        <v>0</v>
      </c>
      <c r="CV161" s="101"/>
      <c r="CW161" s="102">
        <f t="shared" ref="CW161" si="952">IF(CX160&lt;&gt;0,CX161/CX160,0)</f>
        <v>0</v>
      </c>
      <c r="CX161" s="179">
        <f>(DC161+DD161/2)*HLOOKUP(CX128,Grund_zins,2,FALSE)</f>
        <v>0</v>
      </c>
      <c r="CZ161" s="659" t="s">
        <v>180</v>
      </c>
      <c r="DC161" s="101">
        <f>SUMIF($D$5:$D$125,"=bez",DC5:DC125)*HLOOKUP(CX128,Verteil_sw,37,FALSE)</f>
        <v>0</v>
      </c>
      <c r="DD161" s="236">
        <f>SUMIF($D$5:$D$125,"=bez",DD5:DD125)*HLOOKUP(CX128,Verteil_sw,37,FALSE)</f>
        <v>0</v>
      </c>
      <c r="DI161" s="101"/>
      <c r="DJ161" s="102">
        <f t="shared" ref="DJ161" si="953">IF(DK160&lt;&gt;0,DK161/DK160,0)</f>
        <v>0</v>
      </c>
      <c r="DK161" s="179">
        <f>(DP161+DQ161/2)*HLOOKUP(DK128,Grund_zins,2,FALSE)</f>
        <v>0</v>
      </c>
      <c r="DM161" s="659" t="s">
        <v>180</v>
      </c>
      <c r="DP161" s="101">
        <f>SUMIF($D$5:$D$125,"=bez",DP5:DP125)*HLOOKUP(DK128,Verteil_sw,37,FALSE)</f>
        <v>0</v>
      </c>
      <c r="DQ161" s="236">
        <f>SUMIF($D$5:$D$125,"=bez",DQ5:DQ125)*HLOOKUP(DK128,Verteil_sw,37,FALSE)</f>
        <v>0</v>
      </c>
      <c r="DV161" s="101"/>
      <c r="DW161" s="102">
        <f t="shared" ref="DW161" si="954">IF(DX160&lt;&gt;0,DX161/DX160,0)</f>
        <v>0</v>
      </c>
      <c r="DX161" s="179">
        <f>(EC161+ED161/2)*HLOOKUP(DX128,Grund_zins,2,FALSE)</f>
        <v>0</v>
      </c>
      <c r="DZ161" s="659" t="s">
        <v>180</v>
      </c>
      <c r="EC161" s="101">
        <f>SUMIF($D$5:$D$125,"=bez",EC5:EC125)*HLOOKUP(DX128,Verteil_sw,37,FALSE)</f>
        <v>0</v>
      </c>
      <c r="ED161" s="236">
        <f>SUMIF($D$5:$D$125,"=bez",ED5:ED125)*HLOOKUP(DX128,Verteil_sw,37,FALSE)</f>
        <v>0</v>
      </c>
    </row>
    <row r="162" spans="1:134" hidden="1" x14ac:dyDescent="0.3">
      <c r="A162" s="84" t="s">
        <v>181</v>
      </c>
      <c r="Q162" s="217">
        <v>35</v>
      </c>
      <c r="V162" s="101"/>
      <c r="W162" s="102">
        <f t="shared" ref="W162" si="955">IF(X160&lt;&gt;0,X162/X160,0)</f>
        <v>0</v>
      </c>
      <c r="X162" s="179">
        <f>(AC162+AD162/2)*HLOOKUP(X128,Grund_zins,2,FALSE)</f>
        <v>0</v>
      </c>
      <c r="Z162" s="84" t="s">
        <v>181</v>
      </c>
      <c r="AC162" s="101">
        <f>SUMIF($D$5:$D$125,"=bez",AC5:AC125)*HLOOKUP(X128,Verteil_rwgr,36,FALSE)</f>
        <v>0</v>
      </c>
      <c r="AD162" s="236">
        <f>SUMIF($D$5:$D$125,"=bez",AD5:AD125)*HLOOKUP(X128,Verteil_rwgr,36,FALSE)</f>
        <v>0</v>
      </c>
      <c r="AI162" s="101"/>
      <c r="AJ162" s="102">
        <f t="shared" ref="AJ162" si="956">IF(AK160&lt;&gt;0,AK162/AK160,0)</f>
        <v>0</v>
      </c>
      <c r="AK162" s="179">
        <f>(AP162+AQ162/2)*HLOOKUP(AK128,Grund_zins,2,FALSE)</f>
        <v>0</v>
      </c>
      <c r="AM162" s="659" t="s">
        <v>181</v>
      </c>
      <c r="AP162" s="101">
        <f>SUMIF($D$5:$D$125,"=bez",AP5:AP125)*HLOOKUP(AK128,Verteil_rwgr,36,FALSE)</f>
        <v>0</v>
      </c>
      <c r="AQ162" s="236">
        <f>SUMIF($D$5:$D$125,"=bez",AQ5:AQ125)*HLOOKUP(AK128,Verteil_rwgr,36,FALSE)</f>
        <v>0</v>
      </c>
      <c r="AV162" s="101"/>
      <c r="AW162" s="102">
        <f t="shared" ref="AW162" si="957">IF(AX160&lt;&gt;0,AX162/AX160,0)</f>
        <v>0</v>
      </c>
      <c r="AX162" s="179">
        <f>(BC162+BD162/2)*HLOOKUP(AX128,Grund_zins,2,FALSE)</f>
        <v>0</v>
      </c>
      <c r="AZ162" s="659" t="s">
        <v>181</v>
      </c>
      <c r="BC162" s="101">
        <f>SUMIF($D$5:$D$125,"=bez",BC5:BC125)*HLOOKUP(AX128,Verteil_rwgr,36,FALSE)</f>
        <v>0</v>
      </c>
      <c r="BD162" s="236">
        <f>SUMIF($D$5:$D$125,"=bez",BD5:BD125)*HLOOKUP(AX128,Verteil_rwgr,36,FALSE)</f>
        <v>0</v>
      </c>
      <c r="BI162" s="101"/>
      <c r="BJ162" s="102">
        <f t="shared" ref="BJ162" si="958">IF(BK160&lt;&gt;0,BK162/BK160,0)</f>
        <v>0</v>
      </c>
      <c r="BK162" s="179">
        <f>(BP162+BQ162/2)*HLOOKUP(BK128,Grund_zins,2,FALSE)</f>
        <v>0</v>
      </c>
      <c r="BM162" s="659" t="s">
        <v>181</v>
      </c>
      <c r="BP162" s="101">
        <f>SUMIF($D$5:$D$125,"=bez",BP5:BP125)*HLOOKUP(BK128,Verteil_rwgr,36,FALSE)</f>
        <v>0</v>
      </c>
      <c r="BQ162" s="236">
        <f>SUMIF($D$5:$D$125,"=bez",BQ5:BQ125)*HLOOKUP(BK128,Verteil_rwgr,36,FALSE)</f>
        <v>0</v>
      </c>
      <c r="BV162" s="101"/>
      <c r="BW162" s="102">
        <f t="shared" ref="BW162" si="959">IF(BX160&lt;&gt;0,BX162/BX160,0)</f>
        <v>0</v>
      </c>
      <c r="BX162" s="179">
        <f>(CC162+CD162/2)*HLOOKUP(BX128,Grund_zins,2,FALSE)</f>
        <v>0</v>
      </c>
      <c r="BZ162" s="659" t="s">
        <v>181</v>
      </c>
      <c r="CC162" s="101">
        <f>SUMIF($D$5:$D$125,"=bez",CC5:CC125)*HLOOKUP(BX128,Verteil_rwgr,36,FALSE)</f>
        <v>0</v>
      </c>
      <c r="CD162" s="236">
        <f>SUMIF($D$5:$D$125,"=bez",CD5:CD125)*HLOOKUP(BX128,Verteil_rwgr,36,FALSE)</f>
        <v>0</v>
      </c>
      <c r="CI162" s="101"/>
      <c r="CJ162" s="102">
        <f t="shared" ref="CJ162" si="960">IF(CK160&lt;&gt;0,CK162/CK160,0)</f>
        <v>0</v>
      </c>
      <c r="CK162" s="179">
        <f>(CP162+CQ162/2)*HLOOKUP(CK128,Grund_zins,2,FALSE)</f>
        <v>0</v>
      </c>
      <c r="CM162" s="659" t="s">
        <v>181</v>
      </c>
      <c r="CP162" s="101">
        <f>SUMIF($D$5:$D$125,"=bez",CP5:CP125)*HLOOKUP(CK128,Verteil_rwgr,36,FALSE)</f>
        <v>0</v>
      </c>
      <c r="CQ162" s="236">
        <f>SUMIF($D$5:$D$125,"=bez",CQ5:CQ125)*HLOOKUP(CK128,Verteil_rwgr,36,FALSE)</f>
        <v>0</v>
      </c>
      <c r="CV162" s="101"/>
      <c r="CW162" s="102">
        <f t="shared" ref="CW162" si="961">IF(CX160&lt;&gt;0,CX162/CX160,0)</f>
        <v>0</v>
      </c>
      <c r="CX162" s="179">
        <f>(DC162+DD162/2)*HLOOKUP(CX128,Grund_zins,2,FALSE)</f>
        <v>0</v>
      </c>
      <c r="CZ162" s="659" t="s">
        <v>181</v>
      </c>
      <c r="DC162" s="101">
        <f>SUMIF($D$5:$D$125,"=bez",DC5:DC125)*HLOOKUP(CX128,Verteil_rwgr,36,FALSE)</f>
        <v>0</v>
      </c>
      <c r="DD162" s="236">
        <f>SUMIF($D$5:$D$125,"=bez",DD5:DD125)*HLOOKUP(CX128,Verteil_rwgr,36,FALSE)</f>
        <v>0</v>
      </c>
      <c r="DI162" s="101"/>
      <c r="DJ162" s="102">
        <f t="shared" ref="DJ162" si="962">IF(DK160&lt;&gt;0,DK162/DK160,0)</f>
        <v>0</v>
      </c>
      <c r="DK162" s="179">
        <f>(DP162+DQ162/2)*HLOOKUP(DK128,Grund_zins,2,FALSE)</f>
        <v>0</v>
      </c>
      <c r="DM162" s="659" t="s">
        <v>181</v>
      </c>
      <c r="DP162" s="101">
        <f>SUMIF($D$5:$D$125,"=bez",DP5:DP125)*HLOOKUP(DK128,Verteil_rwgr,36,FALSE)</f>
        <v>0</v>
      </c>
      <c r="DQ162" s="236">
        <f>SUMIF($D$5:$D$125,"=bez",DQ5:DQ125)*HLOOKUP(DK128,Verteil_rwgr,36,FALSE)</f>
        <v>0</v>
      </c>
      <c r="DV162" s="101"/>
      <c r="DW162" s="102">
        <f t="shared" ref="DW162" si="963">IF(DX160&lt;&gt;0,DX162/DX160,0)</f>
        <v>0</v>
      </c>
      <c r="DX162" s="179">
        <f>(EC162+ED162/2)*HLOOKUP(DX128,Grund_zins,2,FALSE)</f>
        <v>0</v>
      </c>
      <c r="DZ162" s="659" t="s">
        <v>181</v>
      </c>
      <c r="EC162" s="101">
        <f>SUMIF($D$5:$D$125,"=bez",EC5:EC125)*HLOOKUP(DX128,Verteil_rwgr,36,FALSE)</f>
        <v>0</v>
      </c>
      <c r="ED162" s="236">
        <f>SUMIF($D$5:$D$125,"=bez",ED5:ED125)*HLOOKUP(DX128,Verteil_rwgr,36,FALSE)</f>
        <v>0</v>
      </c>
    </row>
    <row r="163" spans="1:134" hidden="1" x14ac:dyDescent="0.3">
      <c r="A163" s="84" t="s">
        <v>186</v>
      </c>
      <c r="Q163" s="217">
        <v>36</v>
      </c>
      <c r="V163" s="101"/>
      <c r="W163" s="102">
        <f t="shared" ref="W163" si="964">IF(X160&lt;&gt;0,X163/X160,0)</f>
        <v>0</v>
      </c>
      <c r="X163" s="179">
        <f>(AC163+AD163/2)*HLOOKUP(X128,Grund_zins,2,FALSE)</f>
        <v>0</v>
      </c>
      <c r="Z163" s="84" t="s">
        <v>186</v>
      </c>
      <c r="AC163" s="101"/>
      <c r="AD163" s="236"/>
      <c r="AI163" s="101"/>
      <c r="AJ163" s="102">
        <f t="shared" ref="AJ163" si="965">IF(AK160&lt;&gt;0,AK163/AK160,0)</f>
        <v>0</v>
      </c>
      <c r="AK163" s="179">
        <f>(AP163+AQ163/2)*HLOOKUP(AK128,Grund_zins,2,FALSE)</f>
        <v>0</v>
      </c>
      <c r="AM163" s="659" t="s">
        <v>186</v>
      </c>
      <c r="AP163" s="101"/>
      <c r="AQ163" s="236"/>
      <c r="AV163" s="101"/>
      <c r="AW163" s="102">
        <f t="shared" ref="AW163" si="966">IF(AX160&lt;&gt;0,AX163/AX160,0)</f>
        <v>0</v>
      </c>
      <c r="AX163" s="179">
        <f>(BC163+BD163/2)*HLOOKUP(AX128,Grund_zins,2,FALSE)</f>
        <v>0</v>
      </c>
      <c r="AZ163" s="659" t="s">
        <v>186</v>
      </c>
      <c r="BC163" s="101"/>
      <c r="BD163" s="236"/>
      <c r="BI163" s="101"/>
      <c r="BJ163" s="102">
        <f t="shared" ref="BJ163" si="967">IF(BK160&lt;&gt;0,BK163/BK160,0)</f>
        <v>0</v>
      </c>
      <c r="BK163" s="179">
        <f>(BP163+BQ163/2)*HLOOKUP(BK128,Grund_zins,2,FALSE)</f>
        <v>0</v>
      </c>
      <c r="BM163" s="659" t="s">
        <v>186</v>
      </c>
      <c r="BP163" s="101"/>
      <c r="BQ163" s="236"/>
      <c r="BV163" s="101"/>
      <c r="BW163" s="102">
        <f t="shared" ref="BW163" si="968">IF(BX160&lt;&gt;0,BX163/BX160,0)</f>
        <v>0</v>
      </c>
      <c r="BX163" s="179">
        <f>(CC163+CD163/2)*HLOOKUP(BX128,Grund_zins,2,FALSE)</f>
        <v>0</v>
      </c>
      <c r="BZ163" s="659" t="s">
        <v>186</v>
      </c>
      <c r="CC163" s="101"/>
      <c r="CD163" s="236"/>
      <c r="CI163" s="101"/>
      <c r="CJ163" s="102">
        <f t="shared" ref="CJ163" si="969">IF(CK160&lt;&gt;0,CK163/CK160,0)</f>
        <v>0</v>
      </c>
      <c r="CK163" s="179">
        <f>(CP163+CQ163/2)*HLOOKUP(CK128,Grund_zins,2,FALSE)</f>
        <v>0</v>
      </c>
      <c r="CM163" s="659" t="s">
        <v>186</v>
      </c>
      <c r="CP163" s="101"/>
      <c r="CQ163" s="236"/>
      <c r="CV163" s="101"/>
      <c r="CW163" s="102">
        <f t="shared" ref="CW163" si="970">IF(CX160&lt;&gt;0,CX163/CX160,0)</f>
        <v>0</v>
      </c>
      <c r="CX163" s="179">
        <f>(DC163+DD163/2)*HLOOKUP(CX128,Grund_zins,2,FALSE)</f>
        <v>0</v>
      </c>
      <c r="CZ163" s="659" t="s">
        <v>186</v>
      </c>
      <c r="DC163" s="101"/>
      <c r="DD163" s="236"/>
      <c r="DI163" s="101"/>
      <c r="DJ163" s="102">
        <f t="shared" ref="DJ163" si="971">IF(DK160&lt;&gt;0,DK163/DK160,0)</f>
        <v>0</v>
      </c>
      <c r="DK163" s="179">
        <f>(DP163+DQ163/2)*HLOOKUP(DK128,Grund_zins,2,FALSE)</f>
        <v>0</v>
      </c>
      <c r="DM163" s="659" t="s">
        <v>186</v>
      </c>
      <c r="DP163" s="101"/>
      <c r="DQ163" s="236"/>
      <c r="DV163" s="101"/>
      <c r="DW163" s="102">
        <f t="shared" ref="DW163" si="972">IF(DX160&lt;&gt;0,DX163/DX160,0)</f>
        <v>0</v>
      </c>
      <c r="DX163" s="179">
        <f>(EC163+ED163/2)*HLOOKUP(DX128,Grund_zins,2,FALSE)</f>
        <v>0</v>
      </c>
      <c r="DZ163" s="659" t="s">
        <v>186</v>
      </c>
      <c r="EC163" s="101"/>
      <c r="ED163" s="236"/>
    </row>
    <row r="164" spans="1:134" hidden="1" x14ac:dyDescent="0.3">
      <c r="A164" s="104" t="s">
        <v>498</v>
      </c>
      <c r="Q164" s="217">
        <v>37</v>
      </c>
      <c r="V164" s="179"/>
      <c r="W164" s="102">
        <f t="shared" ref="W164" si="973">SUM(W165:W167)</f>
        <v>0</v>
      </c>
      <c r="X164" s="65">
        <f>ROUND(SUM(X156,X160),2)</f>
        <v>0</v>
      </c>
      <c r="Z164" s="104" t="s">
        <v>498</v>
      </c>
      <c r="AC164" s="179">
        <f>SUM(AC156,AC160)</f>
        <v>0</v>
      </c>
      <c r="AD164" s="237">
        <f>SUM(AD156,AD160)</f>
        <v>0</v>
      </c>
      <c r="AI164" s="179"/>
      <c r="AJ164" s="102">
        <f t="shared" ref="AJ164:CJ164" si="974">SUM(AJ165:AJ167)</f>
        <v>0</v>
      </c>
      <c r="AK164" s="65">
        <f t="shared" ref="AK164:BK167" si="975">ROUND(SUM(AK156,AK160),2)</f>
        <v>0</v>
      </c>
      <c r="AM164" s="658" t="s">
        <v>498</v>
      </c>
      <c r="AP164" s="179">
        <f t="shared" ref="AP164:BQ167" si="976">SUM(AP156,AP160)</f>
        <v>0</v>
      </c>
      <c r="AQ164" s="237">
        <f t="shared" si="976"/>
        <v>0</v>
      </c>
      <c r="AV164" s="179"/>
      <c r="AW164" s="102">
        <f t="shared" si="974"/>
        <v>0</v>
      </c>
      <c r="AX164" s="65">
        <f t="shared" ref="AX164" si="977">ROUND(SUM(AX156,AX160),2)</f>
        <v>0</v>
      </c>
      <c r="AZ164" s="658" t="s">
        <v>498</v>
      </c>
      <c r="BC164" s="179">
        <f t="shared" ref="BC164:BD164" si="978">SUM(BC156,BC160)</f>
        <v>0</v>
      </c>
      <c r="BD164" s="237">
        <f t="shared" si="978"/>
        <v>0</v>
      </c>
      <c r="BI164" s="179"/>
      <c r="BJ164" s="102">
        <f t="shared" si="974"/>
        <v>0</v>
      </c>
      <c r="BK164" s="65">
        <f t="shared" ref="BK164" si="979">ROUND(SUM(BK156,BK160),2)</f>
        <v>0</v>
      </c>
      <c r="BM164" s="658" t="s">
        <v>498</v>
      </c>
      <c r="BP164" s="179">
        <f t="shared" ref="BP164:BQ164" si="980">SUM(BP156,BP160)</f>
        <v>0</v>
      </c>
      <c r="BQ164" s="237">
        <f t="shared" si="980"/>
        <v>0</v>
      </c>
      <c r="BV164" s="179"/>
      <c r="BW164" s="102">
        <f t="shared" si="974"/>
        <v>0</v>
      </c>
      <c r="BX164" s="65">
        <f t="shared" ref="BX164:CX167" si="981">ROUND(SUM(BX156,BX160),2)</f>
        <v>0</v>
      </c>
      <c r="BZ164" s="658" t="s">
        <v>498</v>
      </c>
      <c r="CC164" s="179">
        <f t="shared" ref="CC164:DD167" si="982">SUM(CC156,CC160)</f>
        <v>0</v>
      </c>
      <c r="CD164" s="237">
        <f t="shared" si="982"/>
        <v>0</v>
      </c>
      <c r="CI164" s="179"/>
      <c r="CJ164" s="102">
        <f t="shared" si="974"/>
        <v>0</v>
      </c>
      <c r="CK164" s="65">
        <f t="shared" ref="CK164" si="983">ROUND(SUM(CK156,CK160),2)</f>
        <v>0</v>
      </c>
      <c r="CM164" s="658" t="s">
        <v>498</v>
      </c>
      <c r="CP164" s="179">
        <f t="shared" ref="CP164:CQ164" si="984">SUM(CP156,CP160)</f>
        <v>0</v>
      </c>
      <c r="CQ164" s="237">
        <f t="shared" si="984"/>
        <v>0</v>
      </c>
      <c r="CV164" s="179"/>
      <c r="CW164" s="102">
        <f t="shared" ref="CW164:DW164" si="985">SUM(CW165:CW167)</f>
        <v>0</v>
      </c>
      <c r="CX164" s="65">
        <f t="shared" ref="CX164" si="986">ROUND(SUM(CX156,CX160),2)</f>
        <v>0</v>
      </c>
      <c r="CZ164" s="658" t="s">
        <v>498</v>
      </c>
      <c r="DC164" s="179">
        <f t="shared" ref="DC164:DD164" si="987">SUM(DC156,DC160)</f>
        <v>0</v>
      </c>
      <c r="DD164" s="237">
        <f t="shared" si="987"/>
        <v>0</v>
      </c>
      <c r="DI164" s="179"/>
      <c r="DJ164" s="102">
        <f t="shared" si="985"/>
        <v>0</v>
      </c>
      <c r="DK164" s="65">
        <f t="shared" ref="DK164:DX167" si="988">ROUND(SUM(DK156,DK160),2)</f>
        <v>0</v>
      </c>
      <c r="DM164" s="658" t="s">
        <v>498</v>
      </c>
      <c r="DP164" s="179">
        <f t="shared" ref="DP164:ED167" si="989">SUM(DP156,DP160)</f>
        <v>0</v>
      </c>
      <c r="DQ164" s="237">
        <f t="shared" si="989"/>
        <v>0</v>
      </c>
      <c r="DV164" s="179"/>
      <c r="DW164" s="102">
        <f t="shared" si="985"/>
        <v>0</v>
      </c>
      <c r="DX164" s="65">
        <f t="shared" ref="DX164" si="990">ROUND(SUM(DX156,DX160),2)</f>
        <v>0</v>
      </c>
      <c r="DZ164" s="658" t="s">
        <v>498</v>
      </c>
      <c r="EC164" s="179">
        <f t="shared" ref="EC164:ED164" si="991">SUM(EC156,EC160)</f>
        <v>0</v>
      </c>
      <c r="ED164" s="237">
        <f t="shared" si="991"/>
        <v>0</v>
      </c>
    </row>
    <row r="165" spans="1:134" hidden="1" x14ac:dyDescent="0.3">
      <c r="A165" s="84" t="s">
        <v>180</v>
      </c>
      <c r="Q165" s="217">
        <v>38</v>
      </c>
      <c r="V165" s="179"/>
      <c r="W165" s="102">
        <f t="shared" ref="W165" si="992">IF(X164&lt;&gt;0,X165/X164,0)</f>
        <v>0</v>
      </c>
      <c r="X165" s="65">
        <f t="shared" ref="X165:X167" si="993">ROUND(SUM(X157,X161),2)</f>
        <v>0</v>
      </c>
      <c r="Z165" s="84" t="s">
        <v>180</v>
      </c>
      <c r="AC165" s="179">
        <f t="shared" ref="AC165" si="994">SUM(AC157,AC161)</f>
        <v>0</v>
      </c>
      <c r="AD165" s="237">
        <f t="shared" ref="AD165:AD167" si="995">SUM(AD157,AD161)</f>
        <v>0</v>
      </c>
      <c r="AI165" s="179"/>
      <c r="AJ165" s="102">
        <f t="shared" ref="AJ165" si="996">IF(AK164&lt;&gt;0,AK165/AK164,0)</f>
        <v>0</v>
      </c>
      <c r="AK165" s="65">
        <f t="shared" si="975"/>
        <v>0</v>
      </c>
      <c r="AM165" s="659" t="s">
        <v>180</v>
      </c>
      <c r="AP165" s="179">
        <f t="shared" si="976"/>
        <v>0</v>
      </c>
      <c r="AQ165" s="237">
        <f t="shared" si="976"/>
        <v>0</v>
      </c>
      <c r="AV165" s="179"/>
      <c r="AW165" s="102">
        <f t="shared" ref="AW165" si="997">IF(AX164&lt;&gt;0,AX165/AX164,0)</f>
        <v>0</v>
      </c>
      <c r="AX165" s="65">
        <f t="shared" si="975"/>
        <v>0</v>
      </c>
      <c r="AZ165" s="659" t="s">
        <v>180</v>
      </c>
      <c r="BC165" s="179">
        <f t="shared" si="976"/>
        <v>0</v>
      </c>
      <c r="BD165" s="237">
        <f t="shared" si="976"/>
        <v>0</v>
      </c>
      <c r="BI165" s="179"/>
      <c r="BJ165" s="102">
        <f t="shared" ref="BJ165" si="998">IF(BK164&lt;&gt;0,BK165/BK164,0)</f>
        <v>0</v>
      </c>
      <c r="BK165" s="65">
        <f t="shared" si="975"/>
        <v>0</v>
      </c>
      <c r="BM165" s="659" t="s">
        <v>180</v>
      </c>
      <c r="BP165" s="179">
        <f t="shared" si="976"/>
        <v>0</v>
      </c>
      <c r="BQ165" s="237">
        <f t="shared" si="976"/>
        <v>0</v>
      </c>
      <c r="BV165" s="179"/>
      <c r="BW165" s="102">
        <f t="shared" ref="BW165" si="999">IF(BX164&lt;&gt;0,BX165/BX164,0)</f>
        <v>0</v>
      </c>
      <c r="BX165" s="65">
        <f t="shared" si="981"/>
        <v>0</v>
      </c>
      <c r="BZ165" s="659" t="s">
        <v>180</v>
      </c>
      <c r="CC165" s="179">
        <f t="shared" si="982"/>
        <v>0</v>
      </c>
      <c r="CD165" s="237">
        <f t="shared" si="982"/>
        <v>0</v>
      </c>
      <c r="CI165" s="179"/>
      <c r="CJ165" s="102">
        <f t="shared" ref="CJ165" si="1000">IF(CK164&lt;&gt;0,CK165/CK164,0)</f>
        <v>0</v>
      </c>
      <c r="CK165" s="65">
        <f t="shared" si="981"/>
        <v>0</v>
      </c>
      <c r="CM165" s="659" t="s">
        <v>180</v>
      </c>
      <c r="CP165" s="179">
        <f t="shared" si="982"/>
        <v>0</v>
      </c>
      <c r="CQ165" s="237">
        <f t="shared" si="982"/>
        <v>0</v>
      </c>
      <c r="CV165" s="179"/>
      <c r="CW165" s="102">
        <f t="shared" ref="CW165" si="1001">IF(CX164&lt;&gt;0,CX165/CX164,0)</f>
        <v>0</v>
      </c>
      <c r="CX165" s="65">
        <f t="shared" si="981"/>
        <v>0</v>
      </c>
      <c r="CZ165" s="659" t="s">
        <v>180</v>
      </c>
      <c r="DC165" s="179">
        <f t="shared" si="982"/>
        <v>0</v>
      </c>
      <c r="DD165" s="237">
        <f t="shared" si="982"/>
        <v>0</v>
      </c>
      <c r="DI165" s="179"/>
      <c r="DJ165" s="102">
        <f t="shared" ref="DJ165" si="1002">IF(DK164&lt;&gt;0,DK165/DK164,0)</f>
        <v>0</v>
      </c>
      <c r="DK165" s="65">
        <f t="shared" si="988"/>
        <v>0</v>
      </c>
      <c r="DM165" s="659" t="s">
        <v>180</v>
      </c>
      <c r="DP165" s="179">
        <f t="shared" si="989"/>
        <v>0</v>
      </c>
      <c r="DQ165" s="237">
        <f t="shared" si="989"/>
        <v>0</v>
      </c>
      <c r="DV165" s="179"/>
      <c r="DW165" s="102">
        <f t="shared" ref="DW165" si="1003">IF(DX164&lt;&gt;0,DX165/DX164,0)</f>
        <v>0</v>
      </c>
      <c r="DX165" s="65">
        <f t="shared" si="988"/>
        <v>0</v>
      </c>
      <c r="DZ165" s="659" t="s">
        <v>180</v>
      </c>
      <c r="EC165" s="179">
        <f t="shared" si="989"/>
        <v>0</v>
      </c>
      <c r="ED165" s="237">
        <f t="shared" si="989"/>
        <v>0</v>
      </c>
    </row>
    <row r="166" spans="1:134" hidden="1" x14ac:dyDescent="0.3">
      <c r="A166" s="84" t="s">
        <v>181</v>
      </c>
      <c r="Q166" s="217">
        <v>39</v>
      </c>
      <c r="V166" s="179"/>
      <c r="W166" s="102">
        <f t="shared" ref="W166" si="1004">IF(X164&lt;&gt;0,X166/X164,0)</f>
        <v>0</v>
      </c>
      <c r="X166" s="65">
        <f t="shared" si="993"/>
        <v>0</v>
      </c>
      <c r="Z166" s="84" t="s">
        <v>181</v>
      </c>
      <c r="AC166" s="179">
        <f t="shared" ref="AC166" si="1005">SUM(AC158,AC162)</f>
        <v>0</v>
      </c>
      <c r="AD166" s="237">
        <f t="shared" si="995"/>
        <v>0</v>
      </c>
      <c r="AI166" s="179"/>
      <c r="AJ166" s="102">
        <f t="shared" ref="AJ166" si="1006">IF(AK164&lt;&gt;0,AK166/AK164,0)</f>
        <v>0</v>
      </c>
      <c r="AK166" s="65">
        <f t="shared" si="975"/>
        <v>0</v>
      </c>
      <c r="AM166" s="659" t="s">
        <v>181</v>
      </c>
      <c r="AP166" s="179">
        <f t="shared" si="976"/>
        <v>0</v>
      </c>
      <c r="AQ166" s="237">
        <f t="shared" si="976"/>
        <v>0</v>
      </c>
      <c r="AV166" s="179"/>
      <c r="AW166" s="102">
        <f t="shared" ref="AW166" si="1007">IF(AX164&lt;&gt;0,AX166/AX164,0)</f>
        <v>0</v>
      </c>
      <c r="AX166" s="65">
        <f t="shared" si="975"/>
        <v>0</v>
      </c>
      <c r="AZ166" s="659" t="s">
        <v>181</v>
      </c>
      <c r="BC166" s="179">
        <f t="shared" si="976"/>
        <v>0</v>
      </c>
      <c r="BD166" s="237">
        <f t="shared" si="976"/>
        <v>0</v>
      </c>
      <c r="BI166" s="179"/>
      <c r="BJ166" s="102">
        <f t="shared" ref="BJ166" si="1008">IF(BK164&lt;&gt;0,BK166/BK164,0)</f>
        <v>0</v>
      </c>
      <c r="BK166" s="65">
        <f t="shared" si="975"/>
        <v>0</v>
      </c>
      <c r="BM166" s="659" t="s">
        <v>181</v>
      </c>
      <c r="BP166" s="179">
        <f t="shared" si="976"/>
        <v>0</v>
      </c>
      <c r="BQ166" s="237">
        <f t="shared" si="976"/>
        <v>0</v>
      </c>
      <c r="BV166" s="179"/>
      <c r="BW166" s="102">
        <f t="shared" ref="BW166" si="1009">IF(BX164&lt;&gt;0,BX166/BX164,0)</f>
        <v>0</v>
      </c>
      <c r="BX166" s="65">
        <f t="shared" si="981"/>
        <v>0</v>
      </c>
      <c r="BZ166" s="659" t="s">
        <v>181</v>
      </c>
      <c r="CC166" s="179">
        <f t="shared" si="982"/>
        <v>0</v>
      </c>
      <c r="CD166" s="237">
        <f t="shared" si="982"/>
        <v>0</v>
      </c>
      <c r="CI166" s="179"/>
      <c r="CJ166" s="102">
        <f t="shared" ref="CJ166" si="1010">IF(CK164&lt;&gt;0,CK166/CK164,0)</f>
        <v>0</v>
      </c>
      <c r="CK166" s="65">
        <f t="shared" si="981"/>
        <v>0</v>
      </c>
      <c r="CM166" s="659" t="s">
        <v>181</v>
      </c>
      <c r="CP166" s="179">
        <f t="shared" si="982"/>
        <v>0</v>
      </c>
      <c r="CQ166" s="237">
        <f t="shared" si="982"/>
        <v>0</v>
      </c>
      <c r="CV166" s="179"/>
      <c r="CW166" s="102">
        <f t="shared" ref="CW166" si="1011">IF(CX164&lt;&gt;0,CX166/CX164,0)</f>
        <v>0</v>
      </c>
      <c r="CX166" s="65">
        <f t="shared" si="981"/>
        <v>0</v>
      </c>
      <c r="CZ166" s="659" t="s">
        <v>181</v>
      </c>
      <c r="DC166" s="179">
        <f t="shared" si="982"/>
        <v>0</v>
      </c>
      <c r="DD166" s="237">
        <f t="shared" si="982"/>
        <v>0</v>
      </c>
      <c r="DI166" s="179"/>
      <c r="DJ166" s="102">
        <f t="shared" ref="DJ166" si="1012">IF(DK164&lt;&gt;0,DK166/DK164,0)</f>
        <v>0</v>
      </c>
      <c r="DK166" s="65">
        <f t="shared" si="988"/>
        <v>0</v>
      </c>
      <c r="DM166" s="659" t="s">
        <v>181</v>
      </c>
      <c r="DP166" s="179">
        <f t="shared" si="989"/>
        <v>0</v>
      </c>
      <c r="DQ166" s="237">
        <f t="shared" si="989"/>
        <v>0</v>
      </c>
      <c r="DV166" s="179"/>
      <c r="DW166" s="102">
        <f t="shared" ref="DW166" si="1013">IF(DX164&lt;&gt;0,DX166/DX164,0)</f>
        <v>0</v>
      </c>
      <c r="DX166" s="65">
        <f t="shared" si="988"/>
        <v>0</v>
      </c>
      <c r="DZ166" s="659" t="s">
        <v>181</v>
      </c>
      <c r="EC166" s="179">
        <f t="shared" si="989"/>
        <v>0</v>
      </c>
      <c r="ED166" s="237">
        <f t="shared" si="989"/>
        <v>0</v>
      </c>
    </row>
    <row r="167" spans="1:134" hidden="1" x14ac:dyDescent="0.3">
      <c r="A167" s="84" t="s">
        <v>186</v>
      </c>
      <c r="Q167" s="217">
        <v>40</v>
      </c>
      <c r="V167" s="179"/>
      <c r="W167" s="102">
        <f t="shared" ref="W167" si="1014">IF(X164&lt;&gt;0,X167/X164,0)</f>
        <v>0</v>
      </c>
      <c r="X167" s="65">
        <f t="shared" si="993"/>
        <v>0</v>
      </c>
      <c r="Z167" s="84" t="s">
        <v>186</v>
      </c>
      <c r="AC167" s="179">
        <f t="shared" ref="AC167" si="1015">SUM(AC159,AC163)</f>
        <v>0</v>
      </c>
      <c r="AD167" s="237">
        <f t="shared" si="995"/>
        <v>0</v>
      </c>
      <c r="AI167" s="179"/>
      <c r="AJ167" s="102">
        <f t="shared" ref="AJ167" si="1016">IF(AK164&lt;&gt;0,AK167/AK164,0)</f>
        <v>0</v>
      </c>
      <c r="AK167" s="65">
        <f t="shared" si="975"/>
        <v>0</v>
      </c>
      <c r="AM167" s="659" t="s">
        <v>186</v>
      </c>
      <c r="AP167" s="179">
        <f t="shared" si="976"/>
        <v>0</v>
      </c>
      <c r="AQ167" s="237">
        <f t="shared" si="976"/>
        <v>0</v>
      </c>
      <c r="AV167" s="179"/>
      <c r="AW167" s="102">
        <f t="shared" ref="AW167" si="1017">IF(AX164&lt;&gt;0,AX167/AX164,0)</f>
        <v>0</v>
      </c>
      <c r="AX167" s="65">
        <f t="shared" si="975"/>
        <v>0</v>
      </c>
      <c r="AZ167" s="659" t="s">
        <v>186</v>
      </c>
      <c r="BC167" s="179">
        <f t="shared" si="976"/>
        <v>0</v>
      </c>
      <c r="BD167" s="237">
        <f t="shared" si="976"/>
        <v>0</v>
      </c>
      <c r="BI167" s="179"/>
      <c r="BJ167" s="102">
        <f t="shared" ref="BJ167" si="1018">IF(BK164&lt;&gt;0,BK167/BK164,0)</f>
        <v>0</v>
      </c>
      <c r="BK167" s="65">
        <f t="shared" si="975"/>
        <v>0</v>
      </c>
      <c r="BM167" s="659" t="s">
        <v>186</v>
      </c>
      <c r="BP167" s="179">
        <f t="shared" si="976"/>
        <v>0</v>
      </c>
      <c r="BQ167" s="237">
        <f t="shared" si="976"/>
        <v>0</v>
      </c>
      <c r="BV167" s="179"/>
      <c r="BW167" s="102">
        <f t="shared" ref="BW167" si="1019">IF(BX164&lt;&gt;0,BX167/BX164,0)</f>
        <v>0</v>
      </c>
      <c r="BX167" s="65">
        <f t="shared" si="981"/>
        <v>0</v>
      </c>
      <c r="BZ167" s="659" t="s">
        <v>186</v>
      </c>
      <c r="CC167" s="179">
        <f t="shared" si="982"/>
        <v>0</v>
      </c>
      <c r="CD167" s="237">
        <f t="shared" si="982"/>
        <v>0</v>
      </c>
      <c r="CI167" s="179"/>
      <c r="CJ167" s="102">
        <f t="shared" ref="CJ167" si="1020">IF(CK164&lt;&gt;0,CK167/CK164,0)</f>
        <v>0</v>
      </c>
      <c r="CK167" s="65">
        <f t="shared" si="981"/>
        <v>0</v>
      </c>
      <c r="CM167" s="659" t="s">
        <v>186</v>
      </c>
      <c r="CP167" s="179">
        <f t="shared" si="982"/>
        <v>0</v>
      </c>
      <c r="CQ167" s="237">
        <f t="shared" si="982"/>
        <v>0</v>
      </c>
      <c r="CV167" s="179"/>
      <c r="CW167" s="102">
        <f t="shared" ref="CW167" si="1021">IF(CX164&lt;&gt;0,CX167/CX164,0)</f>
        <v>0</v>
      </c>
      <c r="CX167" s="65">
        <f t="shared" si="981"/>
        <v>0</v>
      </c>
      <c r="CZ167" s="659" t="s">
        <v>186</v>
      </c>
      <c r="DC167" s="179">
        <f t="shared" si="982"/>
        <v>0</v>
      </c>
      <c r="DD167" s="237">
        <f t="shared" si="982"/>
        <v>0</v>
      </c>
      <c r="DI167" s="179"/>
      <c r="DJ167" s="102">
        <f t="shared" ref="DJ167" si="1022">IF(DK164&lt;&gt;0,DK167/DK164,0)</f>
        <v>0</v>
      </c>
      <c r="DK167" s="65">
        <f t="shared" si="988"/>
        <v>0</v>
      </c>
      <c r="DM167" s="659" t="s">
        <v>186</v>
      </c>
      <c r="DP167" s="179">
        <f t="shared" si="989"/>
        <v>0</v>
      </c>
      <c r="DQ167" s="237">
        <f t="shared" si="989"/>
        <v>0</v>
      </c>
      <c r="DV167" s="179"/>
      <c r="DW167" s="102">
        <f t="shared" ref="DW167" si="1023">IF(DX164&lt;&gt;0,DX167/DX164,0)</f>
        <v>0</v>
      </c>
      <c r="DX167" s="65">
        <f t="shared" si="988"/>
        <v>0</v>
      </c>
      <c r="DZ167" s="659" t="s">
        <v>186</v>
      </c>
      <c r="EC167" s="179">
        <f t="shared" si="989"/>
        <v>0</v>
      </c>
      <c r="ED167" s="237">
        <f t="shared" si="989"/>
        <v>0</v>
      </c>
    </row>
    <row r="168" spans="1:134" ht="18" hidden="1" x14ac:dyDescent="0.35">
      <c r="Q168" s="217">
        <v>41</v>
      </c>
      <c r="R168" s="184" t="s">
        <v>709</v>
      </c>
      <c r="AD168" s="217"/>
      <c r="AE168" s="184" t="s">
        <v>709</v>
      </c>
      <c r="AQ168" s="217"/>
      <c r="AR168" s="184" t="s">
        <v>709</v>
      </c>
      <c r="BD168" s="217"/>
      <c r="BE168" s="184" t="s">
        <v>709</v>
      </c>
      <c r="BQ168" s="217"/>
      <c r="BR168" s="184" t="s">
        <v>709</v>
      </c>
      <c r="CD168" s="217"/>
      <c r="CE168" s="184" t="s">
        <v>709</v>
      </c>
      <c r="CQ168" s="217"/>
      <c r="CR168" s="184" t="s">
        <v>709</v>
      </c>
      <c r="DD168" s="217"/>
      <c r="DE168" s="184" t="s">
        <v>709</v>
      </c>
      <c r="DQ168" s="217"/>
      <c r="DR168" s="184" t="s">
        <v>709</v>
      </c>
      <c r="ED168" s="217"/>
    </row>
    <row r="169" spans="1:134" ht="18" hidden="1" x14ac:dyDescent="0.35">
      <c r="A169" s="184" t="s">
        <v>709</v>
      </c>
      <c r="Q169" s="217">
        <v>42</v>
      </c>
      <c r="W169" s="102">
        <f>SUM(W170:W172)</f>
        <v>1.0000000911291678</v>
      </c>
      <c r="X169" s="65">
        <f>X151+X164</f>
        <v>109734.35</v>
      </c>
      <c r="Z169" s="216" t="s">
        <v>469</v>
      </c>
      <c r="AD169" s="217"/>
      <c r="AJ169" s="102">
        <f t="shared" ref="AJ169" si="1024">SUM(AJ170:AJ172)</f>
        <v>0.99999990229461111</v>
      </c>
      <c r="AK169" s="65">
        <f t="shared" ref="AK169:BK172" si="1025">AK151+AK164</f>
        <v>102348.5</v>
      </c>
      <c r="AM169" s="216" t="s">
        <v>469</v>
      </c>
      <c r="AQ169" s="217"/>
      <c r="AW169" s="102">
        <f t="shared" ref="AW169" si="1026">SUM(AW170:AW172)</f>
        <v>1</v>
      </c>
      <c r="AX169" s="65">
        <f t="shared" ref="AX169" si="1027">AX151+AX164</f>
        <v>95307.74</v>
      </c>
      <c r="AZ169" s="216" t="s">
        <v>469</v>
      </c>
      <c r="BD169" s="217"/>
      <c r="BJ169" s="102">
        <f t="shared" ref="BJ169" si="1028">SUM(BJ170:BJ172)</f>
        <v>1.0000001125764182</v>
      </c>
      <c r="BK169" s="65">
        <f t="shared" ref="BK169" si="1029">BK151+BK164</f>
        <v>88828.55</v>
      </c>
      <c r="BM169" s="216" t="s">
        <v>469</v>
      </c>
      <c r="BQ169" s="217"/>
      <c r="BW169" s="102">
        <f t="shared" ref="BW169" si="1030">SUM(BW170:BW172)</f>
        <v>1</v>
      </c>
      <c r="BX169" s="65">
        <f t="shared" ref="BX169:CX172" si="1031">BX151+BX164</f>
        <v>82861.86</v>
      </c>
      <c r="BZ169" s="216" t="s">
        <v>469</v>
      </c>
      <c r="CD169" s="217"/>
      <c r="CJ169" s="102">
        <f t="shared" ref="CJ169" si="1032">SUM(CJ170:CJ172)</f>
        <v>1</v>
      </c>
      <c r="CK169" s="65">
        <f t="shared" ref="CK169" si="1033">CK151+CK164</f>
        <v>66332.3</v>
      </c>
      <c r="CM169" s="216" t="s">
        <v>469</v>
      </c>
      <c r="CQ169" s="217"/>
      <c r="CW169" s="102">
        <f t="shared" ref="CW169" si="1034">SUM(CW170:CW172)</f>
        <v>0.99999999999999989</v>
      </c>
      <c r="CX169" s="65">
        <f t="shared" ref="CX169" si="1035">CX151+CX164</f>
        <v>61894.080000000002</v>
      </c>
      <c r="CZ169" s="216" t="s">
        <v>469</v>
      </c>
      <c r="DD169" s="217"/>
      <c r="DJ169" s="102">
        <f t="shared" ref="DJ169" si="1036">SUM(DJ170:DJ172)</f>
        <v>1</v>
      </c>
      <c r="DK169" s="65">
        <f t="shared" ref="DK169:DX172" si="1037">DK151+DK164</f>
        <v>57541.37</v>
      </c>
      <c r="DM169" s="216" t="s">
        <v>469</v>
      </c>
      <c r="DQ169" s="217"/>
      <c r="DW169" s="102">
        <f t="shared" ref="DW169" si="1038">SUM(DW170:DW172)</f>
        <v>1</v>
      </c>
      <c r="DX169" s="65">
        <f t="shared" ref="DX169" si="1039">DX151+DX164</f>
        <v>53188.65</v>
      </c>
      <c r="DZ169" s="216" t="s">
        <v>469</v>
      </c>
      <c r="ED169" s="217"/>
    </row>
    <row r="170" spans="1:134" hidden="1" x14ac:dyDescent="0.3">
      <c r="A170" s="84" t="s">
        <v>180</v>
      </c>
      <c r="Q170" s="217">
        <v>43</v>
      </c>
      <c r="W170" s="102">
        <f>IF(X169&lt;&gt;0,X170/X169,0)</f>
        <v>0.75944004771523232</v>
      </c>
      <c r="X170" s="65">
        <f t="shared" ref="X170:X172" si="1040">X152+X165</f>
        <v>83336.66</v>
      </c>
      <c r="Z170" s="84" t="s">
        <v>180</v>
      </c>
      <c r="AD170" s="217"/>
      <c r="AJ170" s="102">
        <f t="shared" ref="AJ170" si="1041">IF(AK169&lt;&gt;0,AK170/AK169,0)</f>
        <v>0.76038994220726253</v>
      </c>
      <c r="AK170" s="65">
        <f t="shared" si="1025"/>
        <v>77824.77</v>
      </c>
      <c r="AM170" s="659" t="s">
        <v>180</v>
      </c>
      <c r="AQ170" s="217"/>
      <c r="AW170" s="102">
        <f t="shared" ref="AW170" si="1042">IF(AX169&lt;&gt;0,AX170/AX169,0)</f>
        <v>0.76142000639192575</v>
      </c>
      <c r="AX170" s="65">
        <f t="shared" si="1025"/>
        <v>72569.22</v>
      </c>
      <c r="AZ170" s="659" t="s">
        <v>180</v>
      </c>
      <c r="BD170" s="217"/>
      <c r="BJ170" s="102">
        <f t="shared" ref="BJ170" si="1043">IF(BK169&lt;&gt;0,BK170/BK169,0)</f>
        <v>0.76253006493970688</v>
      </c>
      <c r="BK170" s="65">
        <f t="shared" si="1025"/>
        <v>67734.44</v>
      </c>
      <c r="BM170" s="659" t="s">
        <v>180</v>
      </c>
      <c r="BQ170" s="217"/>
      <c r="BW170" s="102">
        <f t="shared" ref="BW170" si="1044">IF(BX169&lt;&gt;0,BX170/BX169,0)</f>
        <v>0.76373002005989243</v>
      </c>
      <c r="BX170" s="65">
        <f t="shared" si="1031"/>
        <v>63284.09</v>
      </c>
      <c r="BZ170" s="659" t="s">
        <v>180</v>
      </c>
      <c r="CD170" s="217"/>
      <c r="CJ170" s="102">
        <f t="shared" ref="CJ170" si="1045">IF(CK169&lt;&gt;0,CK170/CK169,0)</f>
        <v>0.76503995790889201</v>
      </c>
      <c r="CK170" s="65">
        <f t="shared" si="1031"/>
        <v>50746.86</v>
      </c>
      <c r="CM170" s="659" t="s">
        <v>180</v>
      </c>
      <c r="CQ170" s="217"/>
      <c r="CW170" s="102">
        <f t="shared" ref="CW170" si="1046">IF(CX169&lt;&gt;0,CX170/CX169,0)</f>
        <v>0.76646005563052222</v>
      </c>
      <c r="CX170" s="65">
        <f t="shared" si="1031"/>
        <v>47439.34</v>
      </c>
      <c r="CZ170" s="659" t="s">
        <v>180</v>
      </c>
      <c r="DD170" s="217"/>
      <c r="DJ170" s="102">
        <f t="shared" ref="DJ170" si="1047">IF(DK169&lt;&gt;0,DK170/DK169,0)</f>
        <v>0.76801994808257079</v>
      </c>
      <c r="DK170" s="65">
        <f t="shared" si="1037"/>
        <v>44192.92</v>
      </c>
      <c r="DM170" s="659" t="s">
        <v>180</v>
      </c>
      <c r="DQ170" s="217"/>
      <c r="DW170" s="102">
        <f t="shared" ref="DW170" si="1048">IF(DX169&lt;&gt;0,DX170/DX169,0)</f>
        <v>0.76941001510660634</v>
      </c>
      <c r="DX170" s="65">
        <f t="shared" si="1037"/>
        <v>40923.879999999997</v>
      </c>
      <c r="DZ170" s="659" t="s">
        <v>180</v>
      </c>
      <c r="ED170" s="217"/>
    </row>
    <row r="171" spans="1:134" hidden="1" x14ac:dyDescent="0.3">
      <c r="A171" s="84" t="s">
        <v>181</v>
      </c>
      <c r="Q171" s="217">
        <v>44</v>
      </c>
      <c r="W171" s="102">
        <f>IF(X169&lt;&gt;0,X171/X169,0)</f>
        <v>0.24056004341393555</v>
      </c>
      <c r="X171" s="65">
        <f t="shared" si="1040"/>
        <v>26397.7</v>
      </c>
      <c r="Z171" s="84" t="s">
        <v>181</v>
      </c>
      <c r="AD171" s="217"/>
      <c r="AJ171" s="102">
        <f t="shared" ref="AJ171" si="1049">IF(AK169&lt;&gt;0,AK171/AK169,0)</f>
        <v>0.23960996008734864</v>
      </c>
      <c r="AK171" s="65">
        <f t="shared" si="1025"/>
        <v>24523.72</v>
      </c>
      <c r="AM171" s="659" t="s">
        <v>181</v>
      </c>
      <c r="AQ171" s="217"/>
      <c r="AW171" s="102">
        <f t="shared" ref="AW171" si="1050">IF(AX169&lt;&gt;0,AX171/AX169,0)</f>
        <v>0.23857999360807422</v>
      </c>
      <c r="AX171" s="65">
        <f t="shared" si="1025"/>
        <v>22738.52</v>
      </c>
      <c r="AZ171" s="659" t="s">
        <v>181</v>
      </c>
      <c r="BD171" s="217"/>
      <c r="BJ171" s="102">
        <f t="shared" ref="BJ171" si="1051">IF(BK169&lt;&gt;0,BK171/BK169,0)</f>
        <v>0.23747004763671137</v>
      </c>
      <c r="BK171" s="65">
        <f t="shared" si="1025"/>
        <v>21094.12</v>
      </c>
      <c r="BM171" s="659" t="s">
        <v>181</v>
      </c>
      <c r="BQ171" s="217"/>
      <c r="BW171" s="102">
        <f t="shared" ref="BW171" si="1052">IF(BX169&lt;&gt;0,BX171/BX169,0)</f>
        <v>0.23626997994010754</v>
      </c>
      <c r="BX171" s="65">
        <f t="shared" si="1031"/>
        <v>19577.77</v>
      </c>
      <c r="BZ171" s="659" t="s">
        <v>181</v>
      </c>
      <c r="CD171" s="217"/>
      <c r="CJ171" s="102">
        <f t="shared" ref="CJ171" si="1053">IF(CK169&lt;&gt;0,CK171/CK169,0)</f>
        <v>0.23496004209110796</v>
      </c>
      <c r="CK171" s="65">
        <f t="shared" si="1031"/>
        <v>15585.44</v>
      </c>
      <c r="CM171" s="659" t="s">
        <v>181</v>
      </c>
      <c r="CQ171" s="217"/>
      <c r="CW171" s="102">
        <f t="shared" ref="CW171" si="1054">IF(CX169&lt;&gt;0,CX171/CX169,0)</f>
        <v>0.23353994436947764</v>
      </c>
      <c r="CX171" s="65">
        <f t="shared" si="1031"/>
        <v>14454.74</v>
      </c>
      <c r="CZ171" s="659" t="s">
        <v>181</v>
      </c>
      <c r="DD171" s="217"/>
      <c r="DJ171" s="102">
        <f t="shared" ref="DJ171" si="1055">IF(DK169&lt;&gt;0,DK171/DK169,0)</f>
        <v>0.23198005191742915</v>
      </c>
      <c r="DK171" s="65">
        <f t="shared" si="1037"/>
        <v>13348.45</v>
      </c>
      <c r="DM171" s="659" t="s">
        <v>181</v>
      </c>
      <c r="DQ171" s="217"/>
      <c r="DW171" s="102">
        <f t="shared" ref="DW171" si="1056">IF(DX169&lt;&gt;0,DX171/DX169,0)</f>
        <v>0.23058998489339361</v>
      </c>
      <c r="DX171" s="65">
        <f t="shared" si="1037"/>
        <v>12264.77</v>
      </c>
      <c r="DZ171" s="659" t="s">
        <v>181</v>
      </c>
      <c r="ED171" s="217"/>
    </row>
    <row r="172" spans="1:134" hidden="1" x14ac:dyDescent="0.3">
      <c r="A172" s="84" t="s">
        <v>186</v>
      </c>
      <c r="Q172" s="217">
        <v>45</v>
      </c>
      <c r="W172" s="102">
        <f>IF(X169&lt;&gt;0,X172/X169,0)</f>
        <v>0</v>
      </c>
      <c r="X172" s="65">
        <f t="shared" si="1040"/>
        <v>0</v>
      </c>
      <c r="Z172" s="84" t="s">
        <v>186</v>
      </c>
      <c r="AD172" s="217"/>
      <c r="AJ172" s="102">
        <f t="shared" ref="AJ172" si="1057">IF(AK169&lt;&gt;0,AK172/AK169,0)</f>
        <v>0</v>
      </c>
      <c r="AK172" s="65">
        <f t="shared" si="1025"/>
        <v>0</v>
      </c>
      <c r="AM172" s="659" t="s">
        <v>186</v>
      </c>
      <c r="AQ172" s="217"/>
      <c r="AW172" s="102">
        <f t="shared" ref="AW172" si="1058">IF(AX169&lt;&gt;0,AX172/AX169,0)</f>
        <v>0</v>
      </c>
      <c r="AX172" s="65">
        <f t="shared" si="1025"/>
        <v>0</v>
      </c>
      <c r="AZ172" s="659" t="s">
        <v>186</v>
      </c>
      <c r="BD172" s="217"/>
      <c r="BJ172" s="102">
        <f t="shared" ref="BJ172" si="1059">IF(BK169&lt;&gt;0,BK172/BK169,0)</f>
        <v>0</v>
      </c>
      <c r="BK172" s="65">
        <f t="shared" si="1025"/>
        <v>0</v>
      </c>
      <c r="BM172" s="659" t="s">
        <v>186</v>
      </c>
      <c r="BQ172" s="217"/>
      <c r="BW172" s="102">
        <f t="shared" ref="BW172" si="1060">IF(BX169&lt;&gt;0,BX172/BX169,0)</f>
        <v>0</v>
      </c>
      <c r="BX172" s="65">
        <f t="shared" si="1031"/>
        <v>0</v>
      </c>
      <c r="BZ172" s="659" t="s">
        <v>186</v>
      </c>
      <c r="CD172" s="217"/>
      <c r="CJ172" s="102">
        <f t="shared" ref="CJ172" si="1061">IF(CK169&lt;&gt;0,CK172/CK169,0)</f>
        <v>0</v>
      </c>
      <c r="CK172" s="65">
        <f t="shared" si="1031"/>
        <v>0</v>
      </c>
      <c r="CM172" s="659" t="s">
        <v>186</v>
      </c>
      <c r="CQ172" s="217"/>
      <c r="CW172" s="102">
        <f t="shared" ref="CW172" si="1062">IF(CX169&lt;&gt;0,CX172/CX169,0)</f>
        <v>0</v>
      </c>
      <c r="CX172" s="65">
        <f t="shared" si="1031"/>
        <v>0</v>
      </c>
      <c r="CZ172" s="659" t="s">
        <v>186</v>
      </c>
      <c r="DD172" s="217"/>
      <c r="DJ172" s="102">
        <f t="shared" ref="DJ172" si="1063">IF(DK169&lt;&gt;0,DK172/DK169,0)</f>
        <v>0</v>
      </c>
      <c r="DK172" s="65">
        <f t="shared" si="1037"/>
        <v>0</v>
      </c>
      <c r="DM172" s="659" t="s">
        <v>186</v>
      </c>
      <c r="DQ172" s="217"/>
      <c r="DW172" s="102">
        <f t="shared" ref="DW172" si="1064">IF(DX169&lt;&gt;0,DX172/DX169,0)</f>
        <v>0</v>
      </c>
      <c r="DX172" s="65">
        <f t="shared" si="1037"/>
        <v>0</v>
      </c>
      <c r="DZ172" s="659" t="s">
        <v>186</v>
      </c>
      <c r="ED172" s="217"/>
    </row>
    <row r="173" spans="1:134" ht="18" hidden="1" x14ac:dyDescent="0.35">
      <c r="A173" s="184" t="s">
        <v>471</v>
      </c>
      <c r="Q173" s="217">
        <v>46</v>
      </c>
      <c r="R173" s="184" t="s">
        <v>471</v>
      </c>
      <c r="S173" s="218"/>
      <c r="Z173" s="401" t="s">
        <v>737</v>
      </c>
      <c r="AD173" s="217"/>
      <c r="AE173" s="184" t="s">
        <v>471</v>
      </c>
      <c r="AF173" s="218"/>
      <c r="AM173" s="401" t="s">
        <v>737</v>
      </c>
      <c r="AQ173" s="217"/>
      <c r="AR173" s="184" t="s">
        <v>471</v>
      </c>
      <c r="AS173" s="218"/>
      <c r="AZ173" s="401" t="s">
        <v>737</v>
      </c>
      <c r="BD173" s="217"/>
      <c r="BE173" s="184" t="s">
        <v>471</v>
      </c>
      <c r="BF173" s="218"/>
      <c r="BM173" s="401" t="s">
        <v>737</v>
      </c>
      <c r="BQ173" s="217"/>
      <c r="BR173" s="184" t="s">
        <v>471</v>
      </c>
      <c r="BS173" s="218"/>
      <c r="BZ173" s="401" t="s">
        <v>737</v>
      </c>
      <c r="CD173" s="217"/>
      <c r="CE173" s="184" t="s">
        <v>471</v>
      </c>
      <c r="CF173" s="218"/>
      <c r="CM173" s="401" t="s">
        <v>737</v>
      </c>
      <c r="CQ173" s="217"/>
      <c r="CR173" s="184" t="s">
        <v>471</v>
      </c>
      <c r="CS173" s="218"/>
      <c r="CZ173" s="401" t="s">
        <v>737</v>
      </c>
      <c r="DD173" s="217"/>
      <c r="DE173" s="184" t="s">
        <v>471</v>
      </c>
      <c r="DF173" s="218"/>
      <c r="DM173" s="401" t="s">
        <v>737</v>
      </c>
      <c r="DQ173" s="217"/>
      <c r="DR173" s="184" t="s">
        <v>471</v>
      </c>
      <c r="DS173" s="218"/>
      <c r="DZ173" s="401" t="s">
        <v>737</v>
      </c>
      <c r="ED173" s="217"/>
    </row>
    <row r="174" spans="1:134" hidden="1" x14ac:dyDescent="0.3">
      <c r="A174" s="112" t="s">
        <v>534</v>
      </c>
      <c r="Q174" s="217">
        <v>47</v>
      </c>
      <c r="X174" s="179">
        <f>SUMIF(X5:X125,"&lt;&gt;0",V5:V125)</f>
        <v>7105203</v>
      </c>
      <c r="Z174" s="112" t="str">
        <f>"Eingegangene Beiträge, von denen im Jahr "&amp;X4 &amp;" noch abgeschrieben wird"</f>
        <v>Eingegangene Beiträge, von denen im Jahr 2012 noch abgeschrieben wird</v>
      </c>
      <c r="AD174" s="217"/>
      <c r="AK174" s="179">
        <f t="shared" ref="AK174" si="1065">SUMIF(AK5:AK125,"&lt;&gt;0",AI5:AI125)</f>
        <v>7105203</v>
      </c>
      <c r="AM174" s="112" t="str">
        <f t="shared" ref="AM174" si="1066">"Eingegangene Beiträge, von denen im Jahr "&amp;AK4 &amp;" noch abgeschrieben wird"</f>
        <v>Eingegangene Beiträge, von denen im Jahr 2013 noch abgeschrieben wird</v>
      </c>
      <c r="AQ174" s="217"/>
      <c r="AX174" s="179">
        <f t="shared" ref="AX174" si="1067">SUMIF(AX5:AX125,"&lt;&gt;0",AV5:AV125)</f>
        <v>7105203</v>
      </c>
      <c r="AZ174" s="112" t="str">
        <f t="shared" ref="AZ174" si="1068">"Eingegangene Beiträge, von denen im Jahr "&amp;AX4 &amp;" noch abgeschrieben wird"</f>
        <v>Eingegangene Beiträge, von denen im Jahr 2014 noch abgeschrieben wird</v>
      </c>
      <c r="BD174" s="217"/>
      <c r="BK174" s="179">
        <f t="shared" ref="BK174" si="1069">SUMIF(BK5:BK125,"&lt;&gt;0",BI5:BI125)</f>
        <v>6305203</v>
      </c>
      <c r="BM174" s="112" t="str">
        <f t="shared" ref="BM174" si="1070">"Eingegangene Beiträge, von denen im Jahr "&amp;BK4 &amp;" noch abgeschrieben wird"</f>
        <v>Eingegangene Beiträge, von denen im Jahr 2015 noch abgeschrieben wird</v>
      </c>
      <c r="BQ174" s="217"/>
      <c r="BX174" s="179">
        <f t="shared" ref="BX174" si="1071">SUMIF(BX5:BX125,"&lt;&gt;0",BV5:BV125)</f>
        <v>5455203</v>
      </c>
      <c r="BZ174" s="112" t="str">
        <f t="shared" ref="BZ174" si="1072">"Eingegangene Beiträge, von denen im Jahr "&amp;BX4 &amp;" noch abgeschrieben wird"</f>
        <v>Eingegangene Beiträge, von denen im Jahr 2016 noch abgeschrieben wird</v>
      </c>
      <c r="CD174" s="217"/>
      <c r="CK174" s="179">
        <f t="shared" ref="CK174" si="1073">SUMIF(CK5:CK125,"&lt;&gt;0",CI5:CI125)</f>
        <v>5455203</v>
      </c>
      <c r="CM174" s="112" t="str">
        <f t="shared" ref="CM174" si="1074">"Eingegangene Beiträge, von denen im Jahr "&amp;CK4 &amp;" noch abgeschrieben wird"</f>
        <v>Eingegangene Beiträge, von denen im Jahr 2017 noch abgeschrieben wird</v>
      </c>
      <c r="CQ174" s="217"/>
      <c r="CX174" s="179">
        <f t="shared" ref="CX174" si="1075">SUMIF(CX5:CX125,"&lt;&gt;0",CV5:CV125)</f>
        <v>4885203</v>
      </c>
      <c r="CZ174" s="112" t="str">
        <f t="shared" ref="CZ174" si="1076">"Eingegangene Beiträge, von denen im Jahr "&amp;CX4 &amp;" noch abgeschrieben wird"</f>
        <v>Eingegangene Beiträge, von denen im Jahr 2018 noch abgeschrieben wird</v>
      </c>
      <c r="DD174" s="217"/>
      <c r="DK174" s="179">
        <f t="shared" ref="DK174" si="1077">SUMIF(DK5:DK125,"&lt;&gt;0",DI5:DI125)</f>
        <v>4885203</v>
      </c>
      <c r="DM174" s="112" t="str">
        <f t="shared" ref="DM174" si="1078">"Eingegangene Beiträge, von denen im Jahr "&amp;DK4 &amp;" noch abgeschrieben wird"</f>
        <v>Eingegangene Beiträge, von denen im Jahr 2019 noch abgeschrieben wird</v>
      </c>
      <c r="DQ174" s="217"/>
      <c r="DX174" s="179">
        <f t="shared" ref="DX174" si="1079">SUMIF(DX5:DX125,"&lt;&gt;0",DV5:DV125)</f>
        <v>4885203</v>
      </c>
      <c r="DZ174" s="112" t="str">
        <f t="shared" ref="DZ174" si="1080">"Eingegangene Beiträge, von denen im Jahr "&amp;DX4 &amp;" noch abgeschrieben wird"</f>
        <v>Eingegangene Beiträge, von denen im Jahr 2020 noch abgeschrieben wird</v>
      </c>
      <c r="ED174" s="217"/>
    </row>
    <row r="175" spans="1:134" hidden="1" x14ac:dyDescent="0.3">
      <c r="A175" s="112" t="s">
        <v>538</v>
      </c>
      <c r="Q175" s="217">
        <v>48</v>
      </c>
      <c r="X175" s="179">
        <f>X174-X176</f>
        <v>0</v>
      </c>
      <c r="Z175" s="112" t="str">
        <f>" - Anteilige Kürzung, soweit im Jahr "&amp;X4 &amp;" nicht der volle Jahresbetrag abgeschrieben wird "</f>
        <v xml:space="preserve"> - Anteilige Kürzung, soweit im Jahr 2012 nicht der volle Jahresbetrag abgeschrieben wird </v>
      </c>
      <c r="AD175" s="217"/>
      <c r="AK175" s="179">
        <f t="shared" ref="AK175" si="1081">AK174-AK176</f>
        <v>0</v>
      </c>
      <c r="AM175" s="112" t="str">
        <f t="shared" ref="AM175" si="1082">" - Anteilige Kürzung, soweit im Jahr "&amp;AK4 &amp;" nicht der volle Jahresbetrag abgeschrieben wird "</f>
        <v xml:space="preserve"> - Anteilige Kürzung, soweit im Jahr 2013 nicht der volle Jahresbetrag abgeschrieben wird </v>
      </c>
      <c r="AQ175" s="217"/>
      <c r="AX175" s="179">
        <f t="shared" ref="AX175" si="1083">AX174-AX176</f>
        <v>663973.06000000052</v>
      </c>
      <c r="AZ175" s="112" t="str">
        <f t="shared" ref="AZ175" si="1084">" - Anteilige Kürzung, soweit im Jahr "&amp;AX4 &amp;" nicht der volle Jahresbetrag abgeschrieben wird "</f>
        <v xml:space="preserve"> - Anteilige Kürzung, soweit im Jahr 2014 nicht der volle Jahresbetrag abgeschrieben wird </v>
      </c>
      <c r="BD175" s="217"/>
      <c r="BK175" s="179">
        <f t="shared" ref="BK175" si="1085">BK174-BK176</f>
        <v>280471.37999999989</v>
      </c>
      <c r="BM175" s="112" t="str">
        <f t="shared" ref="BM175" si="1086">" - Anteilige Kürzung, soweit im Jahr "&amp;BK4 &amp;" nicht der volle Jahresbetrag abgeschrieben wird "</f>
        <v xml:space="preserve"> - Anteilige Kürzung, soweit im Jahr 2015 nicht der volle Jahresbetrag abgeschrieben wird </v>
      </c>
      <c r="BQ175" s="217"/>
      <c r="BX175" s="179">
        <f t="shared" ref="BX175" si="1087">BX174-BX176</f>
        <v>0</v>
      </c>
      <c r="BZ175" s="112" t="str">
        <f t="shared" ref="BZ175" si="1088">" - Anteilige Kürzung, soweit im Jahr "&amp;BX4 &amp;" nicht der volle Jahresbetrag abgeschrieben wird "</f>
        <v xml:space="preserve"> - Anteilige Kürzung, soweit im Jahr 2016 nicht der volle Jahresbetrag abgeschrieben wird </v>
      </c>
      <c r="CD175" s="217"/>
      <c r="CK175" s="179">
        <f t="shared" ref="CK175" si="1089">CK174-CK176</f>
        <v>378080.81000000052</v>
      </c>
      <c r="CM175" s="112" t="str">
        <f t="shared" ref="CM175" si="1090">" - Anteilige Kürzung, soweit im Jahr "&amp;CK4 &amp;" nicht der volle Jahresbetrag abgeschrieben wird "</f>
        <v xml:space="preserve"> - Anteilige Kürzung, soweit im Jahr 2017 nicht der volle Jahresbetrag abgeschrieben wird </v>
      </c>
      <c r="CQ175" s="217"/>
      <c r="CX175" s="179">
        <f t="shared" ref="CX175" si="1091">CX174-CX176</f>
        <v>0</v>
      </c>
      <c r="CZ175" s="112" t="str">
        <f t="shared" ref="CZ175" si="1092">" - Anteilige Kürzung, soweit im Jahr "&amp;CX4 &amp;" nicht der volle Jahresbetrag abgeschrieben wird "</f>
        <v xml:space="preserve"> - Anteilige Kürzung, soweit im Jahr 2018 nicht der volle Jahresbetrag abgeschrieben wird </v>
      </c>
      <c r="DD175" s="217"/>
      <c r="DK175" s="179">
        <f t="shared" ref="DK175" si="1093">DK174-DK176</f>
        <v>0</v>
      </c>
      <c r="DM175" s="112" t="str">
        <f t="shared" ref="DM175" si="1094">" - Anteilige Kürzung, soweit im Jahr "&amp;DK4 &amp;" nicht der volle Jahresbetrag abgeschrieben wird "</f>
        <v xml:space="preserve"> - Anteilige Kürzung, soweit im Jahr 2019 nicht der volle Jahresbetrag abgeschrieben wird </v>
      </c>
      <c r="DQ175" s="217"/>
      <c r="DX175" s="179">
        <f t="shared" ref="DX175" si="1095">DX174-DX176</f>
        <v>0</v>
      </c>
      <c r="DZ175" s="112" t="str">
        <f t="shared" ref="DZ175" si="1096">" - Anteilige Kürzung, soweit im Jahr "&amp;DX4 &amp;" nicht der volle Jahresbetrag abgeschrieben wird "</f>
        <v xml:space="preserve"> - Anteilige Kürzung, soweit im Jahr 2020 nicht der volle Jahresbetrag abgeschrieben wird </v>
      </c>
      <c r="ED175" s="217"/>
    </row>
    <row r="176" spans="1:134" hidden="1" x14ac:dyDescent="0.3">
      <c r="A176" s="112" t="s">
        <v>535</v>
      </c>
      <c r="Q176" s="217">
        <v>49</v>
      </c>
      <c r="X176" s="179">
        <f>W126</f>
        <v>7105203</v>
      </c>
      <c r="Z176" s="112" t="str">
        <f>"Maßgebliches Beitragsaufkommen zur Berechnung des gewichteten Auflösungssatzes im Jahr "&amp;X4</f>
        <v>Maßgebliches Beitragsaufkommen zur Berechnung des gewichteten Auflösungssatzes im Jahr 2012</v>
      </c>
      <c r="AD176" s="217"/>
      <c r="AK176" s="179">
        <f t="shared" ref="AK176" si="1097">AJ126</f>
        <v>7105203</v>
      </c>
      <c r="AM176" s="112" t="str">
        <f t="shared" ref="AM176" si="1098">"Maßgebliches Beitragsaufkommen zur Berechnung des gewichteten Auflösungssatzes im Jahr "&amp;AK4</f>
        <v>Maßgebliches Beitragsaufkommen zur Berechnung des gewichteten Auflösungssatzes im Jahr 2013</v>
      </c>
      <c r="AQ176" s="217"/>
      <c r="AX176" s="179">
        <f t="shared" ref="AX176" si="1099">AW126</f>
        <v>6441229.9399999995</v>
      </c>
      <c r="AZ176" s="112" t="str">
        <f t="shared" ref="AZ176" si="1100">"Maßgebliches Beitragsaufkommen zur Berechnung des gewichteten Auflösungssatzes im Jahr "&amp;AX4</f>
        <v>Maßgebliches Beitragsaufkommen zur Berechnung des gewichteten Auflösungssatzes im Jahr 2014</v>
      </c>
      <c r="BD176" s="217"/>
      <c r="BK176" s="179">
        <f t="shared" ref="BK176" si="1101">BJ126</f>
        <v>6024731.6200000001</v>
      </c>
      <c r="BM176" s="112" t="str">
        <f t="shared" ref="BM176" si="1102">"Maßgebliches Beitragsaufkommen zur Berechnung des gewichteten Auflösungssatzes im Jahr "&amp;BK4</f>
        <v>Maßgebliches Beitragsaufkommen zur Berechnung des gewichteten Auflösungssatzes im Jahr 2015</v>
      </c>
      <c r="BQ176" s="217"/>
      <c r="BX176" s="179">
        <f t="shared" ref="BX176" si="1103">BW126</f>
        <v>5455203</v>
      </c>
      <c r="BZ176" s="112" t="str">
        <f t="shared" ref="BZ176" si="1104">"Maßgebliches Beitragsaufkommen zur Berechnung des gewichteten Auflösungssatzes im Jahr "&amp;BX4</f>
        <v>Maßgebliches Beitragsaufkommen zur Berechnung des gewichteten Auflösungssatzes im Jahr 2016</v>
      </c>
      <c r="CD176" s="217"/>
      <c r="CK176" s="179">
        <f t="shared" ref="CK176" si="1105">CJ126</f>
        <v>5077122.1899999995</v>
      </c>
      <c r="CM176" s="112" t="str">
        <f t="shared" ref="CM176" si="1106">"Maßgebliches Beitragsaufkommen zur Berechnung des gewichteten Auflösungssatzes im Jahr "&amp;CK4</f>
        <v>Maßgebliches Beitragsaufkommen zur Berechnung des gewichteten Auflösungssatzes im Jahr 2017</v>
      </c>
      <c r="CQ176" s="217"/>
      <c r="CX176" s="179">
        <f t="shared" ref="CX176" si="1107">CW126</f>
        <v>4885203</v>
      </c>
      <c r="CZ176" s="112" t="str">
        <f t="shared" ref="CZ176" si="1108">"Maßgebliches Beitragsaufkommen zur Berechnung des gewichteten Auflösungssatzes im Jahr "&amp;CX4</f>
        <v>Maßgebliches Beitragsaufkommen zur Berechnung des gewichteten Auflösungssatzes im Jahr 2018</v>
      </c>
      <c r="DD176" s="217"/>
      <c r="DK176" s="179">
        <f t="shared" ref="DK176" si="1109">DJ126</f>
        <v>4885203</v>
      </c>
      <c r="DM176" s="112" t="str">
        <f t="shared" ref="DM176" si="1110">"Maßgebliches Beitragsaufkommen zur Berechnung des gewichteten Auflösungssatzes im Jahr "&amp;DK4</f>
        <v>Maßgebliches Beitragsaufkommen zur Berechnung des gewichteten Auflösungssatzes im Jahr 2019</v>
      </c>
      <c r="DQ176" s="217"/>
      <c r="DX176" s="179">
        <f t="shared" ref="DX176" si="1111">DW126</f>
        <v>4885203</v>
      </c>
      <c r="DZ176" s="112" t="str">
        <f t="shared" ref="DZ176" si="1112">"Maßgebliches Beitragsaufkommen zur Berechnung des gewichteten Auflösungssatzes im Jahr "&amp;DX4</f>
        <v>Maßgebliches Beitragsaufkommen zur Berechnung des gewichteten Auflösungssatzes im Jahr 2020</v>
      </c>
      <c r="ED176" s="217"/>
    </row>
    <row r="177" spans="1:134" hidden="1" x14ac:dyDescent="0.3">
      <c r="A177" s="112" t="s">
        <v>540</v>
      </c>
      <c r="Q177" s="217">
        <v>50</v>
      </c>
      <c r="X177" s="179">
        <f>X126</f>
        <v>211024.53</v>
      </c>
      <c r="Z177" s="112" t="str">
        <f>"Summe der Abschreibungen im Jahr "&amp;X4</f>
        <v>Summe der Abschreibungen im Jahr 2012</v>
      </c>
      <c r="AD177" s="217"/>
      <c r="AK177" s="179">
        <f t="shared" ref="AK177" si="1113">AK126</f>
        <v>211024.53</v>
      </c>
      <c r="AM177" s="112" t="str">
        <f t="shared" ref="AM177" si="1114">"Summe der Abschreibungen im Jahr "&amp;AK4</f>
        <v>Summe der Abschreibungen im Jahr 2013</v>
      </c>
      <c r="AQ177" s="217"/>
      <c r="AX177" s="179">
        <f t="shared" ref="AX177" si="1115">AX126</f>
        <v>191304.53</v>
      </c>
      <c r="AZ177" s="112" t="str">
        <f t="shared" ref="AZ177" si="1116">"Summe der Abschreibungen im Jahr "&amp;AX4</f>
        <v>Summe der Abschreibungen im Jahr 2014</v>
      </c>
      <c r="BD177" s="217"/>
      <c r="BK177" s="179">
        <f t="shared" ref="BK177" si="1117">BK126</f>
        <v>178934.53</v>
      </c>
      <c r="BM177" s="112" t="str">
        <f t="shared" ref="BM177" si="1118">"Summe der Abschreibungen im Jahr "&amp;BK4</f>
        <v>Summe der Abschreibungen im Jahr 2015</v>
      </c>
      <c r="BQ177" s="217"/>
      <c r="BX177" s="179">
        <f t="shared" ref="BX177" si="1119">BX126</f>
        <v>162019.53</v>
      </c>
      <c r="BZ177" s="112" t="str">
        <f t="shared" ref="BZ177" si="1120">"Summe der Abschreibungen im Jahr "&amp;BX4</f>
        <v>Summe der Abschreibungen im Jahr 2016</v>
      </c>
      <c r="CD177" s="217"/>
      <c r="CK177" s="179">
        <f t="shared" ref="CK177" si="1121">CK126</f>
        <v>150790.53</v>
      </c>
      <c r="CM177" s="112" t="str">
        <f t="shared" ref="CM177" si="1122">"Summe der Abschreibungen im Jahr "&amp;CK4</f>
        <v>Summe der Abschreibungen im Jahr 2017</v>
      </c>
      <c r="CQ177" s="217"/>
      <c r="CX177" s="179">
        <f t="shared" ref="CX177" si="1123">CX126</f>
        <v>145090.53</v>
      </c>
      <c r="CZ177" s="112" t="str">
        <f t="shared" ref="CZ177" si="1124">"Summe der Abschreibungen im Jahr "&amp;CX4</f>
        <v>Summe der Abschreibungen im Jahr 2018</v>
      </c>
      <c r="DD177" s="217"/>
      <c r="DK177" s="179">
        <f t="shared" ref="DK177" si="1125">DK126</f>
        <v>145090.53</v>
      </c>
      <c r="DM177" s="112" t="str">
        <f t="shared" ref="DM177" si="1126">"Summe der Abschreibungen im Jahr "&amp;DK4</f>
        <v>Summe der Abschreibungen im Jahr 2019</v>
      </c>
      <c r="DQ177" s="217"/>
      <c r="DX177" s="179">
        <f t="shared" ref="DX177" si="1127">DX126</f>
        <v>145090.53</v>
      </c>
      <c r="DZ177" s="112" t="str">
        <f t="shared" ref="DZ177" si="1128">"Summe der Abschreibungen im Jahr "&amp;DX4</f>
        <v>Summe der Abschreibungen im Jahr 2020</v>
      </c>
      <c r="ED177" s="217"/>
    </row>
    <row r="178" spans="1:134" hidden="1" x14ac:dyDescent="0.3">
      <c r="A178" s="112" t="s">
        <v>541</v>
      </c>
      <c r="Q178" s="217">
        <v>51</v>
      </c>
      <c r="X178" s="107">
        <f>IF(X176&lt;&gt;0,ROUND(X177/X176,4),0)</f>
        <v>2.9700000000000001E-2</v>
      </c>
      <c r="Z178" s="112" t="str">
        <f>"Durchschnittlicher Auflösungssatz im Jahr "&amp;X4</f>
        <v>Durchschnittlicher Auflösungssatz im Jahr 2012</v>
      </c>
      <c r="AD178" s="217"/>
      <c r="AK178" s="107">
        <f t="shared" ref="AK178" si="1129">IF(AK176&lt;&gt;0,ROUND(AK177/AK176,4),0)</f>
        <v>2.9700000000000001E-2</v>
      </c>
      <c r="AM178" s="112" t="str">
        <f t="shared" ref="AM178" si="1130">"Durchschnittlicher Auflösungssatz im Jahr "&amp;AK4</f>
        <v>Durchschnittlicher Auflösungssatz im Jahr 2013</v>
      </c>
      <c r="AQ178" s="217"/>
      <c r="AX178" s="107">
        <f t="shared" ref="AX178" si="1131">IF(AX176&lt;&gt;0,ROUND(AX177/AX176,4),0)</f>
        <v>2.9700000000000001E-2</v>
      </c>
      <c r="AZ178" s="112" t="str">
        <f t="shared" ref="AZ178" si="1132">"Durchschnittlicher Auflösungssatz im Jahr "&amp;AX4</f>
        <v>Durchschnittlicher Auflösungssatz im Jahr 2014</v>
      </c>
      <c r="BD178" s="217"/>
      <c r="BK178" s="107">
        <f t="shared" ref="BK178" si="1133">IF(BK176&lt;&gt;0,ROUND(BK177/BK176,4),0)</f>
        <v>2.9700000000000001E-2</v>
      </c>
      <c r="BM178" s="112" t="str">
        <f t="shared" ref="BM178" si="1134">"Durchschnittlicher Auflösungssatz im Jahr "&amp;BK4</f>
        <v>Durchschnittlicher Auflösungssatz im Jahr 2015</v>
      </c>
      <c r="BQ178" s="217"/>
      <c r="BX178" s="107">
        <f t="shared" ref="BX178" si="1135">IF(BX176&lt;&gt;0,ROUND(BX177/BX176,4),0)</f>
        <v>2.9700000000000001E-2</v>
      </c>
      <c r="BZ178" s="112" t="str">
        <f t="shared" ref="BZ178" si="1136">"Durchschnittlicher Auflösungssatz im Jahr "&amp;BX4</f>
        <v>Durchschnittlicher Auflösungssatz im Jahr 2016</v>
      </c>
      <c r="CD178" s="217"/>
      <c r="CK178" s="107">
        <f t="shared" ref="CK178" si="1137">IF(CK176&lt;&gt;0,ROUND(CK177/CK176,4),0)</f>
        <v>2.9700000000000001E-2</v>
      </c>
      <c r="CM178" s="112" t="str">
        <f t="shared" ref="CM178" si="1138">"Durchschnittlicher Auflösungssatz im Jahr "&amp;CK4</f>
        <v>Durchschnittlicher Auflösungssatz im Jahr 2017</v>
      </c>
      <c r="CQ178" s="217"/>
      <c r="CX178" s="107">
        <f t="shared" ref="CX178" si="1139">IF(CX176&lt;&gt;0,ROUND(CX177/CX176,4),0)</f>
        <v>2.9700000000000001E-2</v>
      </c>
      <c r="CZ178" s="112" t="str">
        <f t="shared" ref="CZ178" si="1140">"Durchschnittlicher Auflösungssatz im Jahr "&amp;CX4</f>
        <v>Durchschnittlicher Auflösungssatz im Jahr 2018</v>
      </c>
      <c r="DD178" s="217"/>
      <c r="DK178" s="107">
        <f t="shared" ref="DK178" si="1141">IF(DK176&lt;&gt;0,ROUND(DK177/DK176,4),0)</f>
        <v>2.9700000000000001E-2</v>
      </c>
      <c r="DM178" s="112" t="str">
        <f t="shared" ref="DM178" si="1142">"Durchschnittlicher Auflösungssatz im Jahr "&amp;DK4</f>
        <v>Durchschnittlicher Auflösungssatz im Jahr 2019</v>
      </c>
      <c r="DQ178" s="217"/>
      <c r="DX178" s="107">
        <f t="shared" ref="DX178" si="1143">IF(DX176&lt;&gt;0,ROUND(DX177/DX176,4),0)</f>
        <v>2.9700000000000001E-2</v>
      </c>
      <c r="DZ178" s="112" t="str">
        <f t="shared" ref="DZ178" si="1144">"Durchschnittlicher Auflösungssatz im Jahr "&amp;DX4</f>
        <v>Durchschnittlicher Auflösungssatz im Jahr 2020</v>
      </c>
      <c r="ED178" s="217"/>
    </row>
    <row r="179" spans="1:134" ht="18" hidden="1" x14ac:dyDescent="0.35">
      <c r="A179" s="418" t="s">
        <v>743</v>
      </c>
      <c r="Q179" s="217">
        <v>52</v>
      </c>
      <c r="R179" s="184" t="s">
        <v>733</v>
      </c>
      <c r="W179" s="400"/>
      <c r="Z179" s="402" t="s">
        <v>743</v>
      </c>
      <c r="AD179" s="217"/>
      <c r="AE179" s="184" t="s">
        <v>733</v>
      </c>
      <c r="AJ179" s="400"/>
      <c r="AM179" s="402" t="s">
        <v>743</v>
      </c>
      <c r="AQ179" s="217"/>
      <c r="AR179" s="184" t="s">
        <v>733</v>
      </c>
      <c r="AW179" s="400"/>
      <c r="AZ179" s="402" t="s">
        <v>743</v>
      </c>
      <c r="BD179" s="217"/>
      <c r="BE179" s="184" t="s">
        <v>733</v>
      </c>
      <c r="BJ179" s="400"/>
      <c r="BM179" s="402" t="s">
        <v>743</v>
      </c>
      <c r="BQ179" s="217"/>
      <c r="BR179" s="184" t="s">
        <v>733</v>
      </c>
      <c r="BW179" s="400"/>
      <c r="BZ179" s="402" t="s">
        <v>743</v>
      </c>
      <c r="CD179" s="217"/>
      <c r="CE179" s="184" t="s">
        <v>733</v>
      </c>
      <c r="CJ179" s="400"/>
      <c r="CM179" s="402" t="s">
        <v>743</v>
      </c>
      <c r="CQ179" s="217"/>
      <c r="CR179" s="184" t="s">
        <v>733</v>
      </c>
      <c r="CW179" s="400"/>
      <c r="CZ179" s="402" t="s">
        <v>743</v>
      </c>
      <c r="DD179" s="217"/>
      <c r="DE179" s="184" t="s">
        <v>733</v>
      </c>
      <c r="DJ179" s="400"/>
      <c r="DM179" s="402" t="s">
        <v>743</v>
      </c>
      <c r="DQ179" s="217"/>
      <c r="DR179" s="184" t="s">
        <v>733</v>
      </c>
      <c r="DW179" s="400"/>
      <c r="DZ179" s="402" t="s">
        <v>743</v>
      </c>
      <c r="ED179" s="217"/>
    </row>
    <row r="180" spans="1:134" hidden="1" x14ac:dyDescent="0.3">
      <c r="A180" s="106" t="s">
        <v>703</v>
      </c>
      <c r="Q180" s="217">
        <v>53</v>
      </c>
      <c r="W180" s="400" t="s">
        <v>729</v>
      </c>
      <c r="X180" s="179">
        <f>V126</f>
        <v>7105203</v>
      </c>
      <c r="Z180" s="106" t="str">
        <f>"Gesamtbeitragsaufkommen bis Ende des Jahres  "&amp;X4</f>
        <v>Gesamtbeitragsaufkommen bis Ende des Jahres  2012</v>
      </c>
      <c r="AD180" s="217"/>
      <c r="AJ180" s="400" t="s">
        <v>729</v>
      </c>
      <c r="AK180" s="179">
        <f t="shared" ref="AK180" si="1145">AI126</f>
        <v>7105203</v>
      </c>
      <c r="AM180" s="106" t="str">
        <f t="shared" ref="AM180" si="1146">"Gesamtbeitragsaufkommen bis Ende des Jahres  "&amp;AK4</f>
        <v>Gesamtbeitragsaufkommen bis Ende des Jahres  2013</v>
      </c>
      <c r="AQ180" s="217"/>
      <c r="AW180" s="400" t="s">
        <v>729</v>
      </c>
      <c r="AX180" s="179">
        <f t="shared" ref="AX180" si="1147">AV126</f>
        <v>7105203</v>
      </c>
      <c r="AZ180" s="106" t="str">
        <f t="shared" ref="AZ180" si="1148">"Gesamtbeitragsaufkommen bis Ende des Jahres  "&amp;AX4</f>
        <v>Gesamtbeitragsaufkommen bis Ende des Jahres  2014</v>
      </c>
      <c r="BD180" s="217"/>
      <c r="BJ180" s="400" t="s">
        <v>729</v>
      </c>
      <c r="BK180" s="179">
        <f t="shared" ref="BK180" si="1149">BI126</f>
        <v>7105203</v>
      </c>
      <c r="BM180" s="106" t="str">
        <f t="shared" ref="BM180" si="1150">"Gesamtbeitragsaufkommen bis Ende des Jahres  "&amp;BK4</f>
        <v>Gesamtbeitragsaufkommen bis Ende des Jahres  2015</v>
      </c>
      <c r="BQ180" s="217"/>
      <c r="BW180" s="400" t="s">
        <v>729</v>
      </c>
      <c r="BX180" s="179">
        <f t="shared" ref="BX180" si="1151">BV126</f>
        <v>7105203</v>
      </c>
      <c r="BZ180" s="106" t="str">
        <f t="shared" ref="BZ180" si="1152">"Gesamtbeitragsaufkommen bis Ende des Jahres  "&amp;BX4</f>
        <v>Gesamtbeitragsaufkommen bis Ende des Jahres  2016</v>
      </c>
      <c r="CD180" s="217"/>
      <c r="CJ180" s="400" t="s">
        <v>729</v>
      </c>
      <c r="CK180" s="179">
        <f t="shared" ref="CK180" si="1153">CI126</f>
        <v>7105203</v>
      </c>
      <c r="CM180" s="106" t="str">
        <f t="shared" ref="CM180" si="1154">"Gesamtbeitragsaufkommen bis Ende des Jahres  "&amp;CK4</f>
        <v>Gesamtbeitragsaufkommen bis Ende des Jahres  2017</v>
      </c>
      <c r="CQ180" s="217"/>
      <c r="CW180" s="400" t="s">
        <v>729</v>
      </c>
      <c r="CX180" s="179">
        <f t="shared" ref="CX180" si="1155">CV126</f>
        <v>7105203</v>
      </c>
      <c r="CZ180" s="106" t="str">
        <f t="shared" ref="CZ180" si="1156">"Gesamtbeitragsaufkommen bis Ende des Jahres  "&amp;CX4</f>
        <v>Gesamtbeitragsaufkommen bis Ende des Jahres  2018</v>
      </c>
      <c r="DD180" s="217"/>
      <c r="DJ180" s="400" t="s">
        <v>729</v>
      </c>
      <c r="DK180" s="179">
        <f t="shared" ref="DK180" si="1157">DI126</f>
        <v>7105203</v>
      </c>
      <c r="DM180" s="106" t="str">
        <f t="shared" ref="DM180" si="1158">"Gesamtbeitragsaufkommen bis Ende des Jahres  "&amp;DK4</f>
        <v>Gesamtbeitragsaufkommen bis Ende des Jahres  2019</v>
      </c>
      <c r="DQ180" s="217"/>
      <c r="DW180" s="400" t="s">
        <v>729</v>
      </c>
      <c r="DX180" s="179">
        <f t="shared" ref="DX180" si="1159">DV126</f>
        <v>7105203</v>
      </c>
      <c r="DZ180" s="106" t="str">
        <f t="shared" ref="DZ180" si="1160">"Gesamtbeitragsaufkommen bis Ende des Jahres  "&amp;DX4</f>
        <v>Gesamtbeitragsaufkommen bis Ende des Jahres  2020</v>
      </c>
      <c r="ED180" s="217"/>
    </row>
    <row r="181" spans="1:134" hidden="1" x14ac:dyDescent="0.3">
      <c r="A181" s="106" t="s">
        <v>734</v>
      </c>
      <c r="Q181" s="217">
        <v>54</v>
      </c>
      <c r="W181" s="396">
        <f>X180-X181</f>
        <v>0</v>
      </c>
      <c r="X181" s="179">
        <f>V138</f>
        <v>7105203</v>
      </c>
      <c r="Z181" s="106" t="s">
        <v>734</v>
      </c>
      <c r="AD181" s="217"/>
      <c r="AJ181" s="396">
        <f t="shared" ref="AJ181" si="1161">AK180-AK181</f>
        <v>0</v>
      </c>
      <c r="AK181" s="179">
        <f t="shared" ref="AK181" si="1162">AI138</f>
        <v>7105203</v>
      </c>
      <c r="AM181" s="106" t="s">
        <v>734</v>
      </c>
      <c r="AQ181" s="217"/>
      <c r="AW181" s="396">
        <f t="shared" ref="AW181" si="1163">AX180-AX181</f>
        <v>0</v>
      </c>
      <c r="AX181" s="179">
        <f t="shared" ref="AX181" si="1164">AV138</f>
        <v>7105203</v>
      </c>
      <c r="AZ181" s="106" t="s">
        <v>734</v>
      </c>
      <c r="BD181" s="217"/>
      <c r="BJ181" s="396">
        <f t="shared" ref="BJ181" si="1165">BK180-BK181</f>
        <v>0</v>
      </c>
      <c r="BK181" s="179">
        <f t="shared" ref="BK181" si="1166">BI138</f>
        <v>7105203</v>
      </c>
      <c r="BM181" s="106" t="s">
        <v>734</v>
      </c>
      <c r="BQ181" s="217"/>
      <c r="BW181" s="396">
        <f t="shared" ref="BW181" si="1167">BX180-BX181</f>
        <v>0</v>
      </c>
      <c r="BX181" s="179">
        <f t="shared" ref="BX181" si="1168">BV138</f>
        <v>7105203</v>
      </c>
      <c r="BZ181" s="106" t="s">
        <v>734</v>
      </c>
      <c r="CD181" s="217"/>
      <c r="CJ181" s="396">
        <f t="shared" ref="CJ181" si="1169">CK180-CK181</f>
        <v>0</v>
      </c>
      <c r="CK181" s="179">
        <f t="shared" ref="CK181" si="1170">CI138</f>
        <v>7105203</v>
      </c>
      <c r="CM181" s="106" t="s">
        <v>734</v>
      </c>
      <c r="CQ181" s="217"/>
      <c r="CW181" s="396">
        <f t="shared" ref="CW181" si="1171">CX180-CX181</f>
        <v>0</v>
      </c>
      <c r="CX181" s="179">
        <f t="shared" ref="CX181" si="1172">CV138</f>
        <v>7105203</v>
      </c>
      <c r="CZ181" s="106" t="s">
        <v>734</v>
      </c>
      <c r="DD181" s="217"/>
      <c r="DJ181" s="396">
        <f t="shared" ref="DJ181" si="1173">DK180-DK181</f>
        <v>0</v>
      </c>
      <c r="DK181" s="179">
        <f t="shared" ref="DK181" si="1174">DI138</f>
        <v>7105203</v>
      </c>
      <c r="DM181" s="106" t="s">
        <v>734</v>
      </c>
      <c r="DQ181" s="217"/>
      <c r="DW181" s="396">
        <f t="shared" ref="DW181" si="1175">DX180-DX181</f>
        <v>0</v>
      </c>
      <c r="DX181" s="179">
        <f t="shared" ref="DX181" si="1176">DV138</f>
        <v>7105203</v>
      </c>
      <c r="DZ181" s="106" t="s">
        <v>734</v>
      </c>
      <c r="ED181" s="217"/>
    </row>
    <row r="182" spans="1:134" hidden="1" x14ac:dyDescent="0.3">
      <c r="A182" s="106" t="s">
        <v>735</v>
      </c>
      <c r="Q182" s="217">
        <v>55</v>
      </c>
      <c r="W182" s="396"/>
      <c r="X182" s="179">
        <f>X126</f>
        <v>211024.53</v>
      </c>
      <c r="Z182" s="106" t="s">
        <v>735</v>
      </c>
      <c r="AD182" s="217"/>
      <c r="AJ182" s="396"/>
      <c r="AK182" s="179">
        <f t="shared" ref="AK182" si="1177">AK126</f>
        <v>211024.53</v>
      </c>
      <c r="AM182" s="106" t="s">
        <v>735</v>
      </c>
      <c r="AQ182" s="217"/>
      <c r="AW182" s="396"/>
      <c r="AX182" s="179">
        <f t="shared" ref="AX182" si="1178">AX126</f>
        <v>191304.53</v>
      </c>
      <c r="AZ182" s="106" t="s">
        <v>735</v>
      </c>
      <c r="BD182" s="217"/>
      <c r="BJ182" s="396"/>
      <c r="BK182" s="179">
        <f t="shared" ref="BK182" si="1179">BK126</f>
        <v>178934.53</v>
      </c>
      <c r="BM182" s="106" t="s">
        <v>735</v>
      </c>
      <c r="BQ182" s="217"/>
      <c r="BW182" s="396"/>
      <c r="BX182" s="179">
        <f t="shared" ref="BX182" si="1180">BX126</f>
        <v>162019.53</v>
      </c>
      <c r="BZ182" s="106" t="s">
        <v>735</v>
      </c>
      <c r="CD182" s="217"/>
      <c r="CJ182" s="396"/>
      <c r="CK182" s="179">
        <f t="shared" ref="CK182" si="1181">CK126</f>
        <v>150790.53</v>
      </c>
      <c r="CM182" s="106" t="s">
        <v>735</v>
      </c>
      <c r="CQ182" s="217"/>
      <c r="CW182" s="396"/>
      <c r="CX182" s="179">
        <f t="shared" ref="CX182" si="1182">CX126</f>
        <v>145090.53</v>
      </c>
      <c r="CZ182" s="106" t="s">
        <v>735</v>
      </c>
      <c r="DD182" s="217"/>
      <c r="DJ182" s="396"/>
      <c r="DK182" s="179">
        <f t="shared" ref="DK182" si="1183">DK126</f>
        <v>145090.53</v>
      </c>
      <c r="DM182" s="106" t="s">
        <v>735</v>
      </c>
      <c r="DQ182" s="217"/>
      <c r="DW182" s="396"/>
      <c r="DX182" s="179">
        <f t="shared" ref="DX182" si="1184">DX126</f>
        <v>145090.53</v>
      </c>
      <c r="DZ182" s="106" t="s">
        <v>735</v>
      </c>
      <c r="ED182" s="217"/>
    </row>
    <row r="183" spans="1:134" hidden="1" x14ac:dyDescent="0.3">
      <c r="A183" s="106" t="s">
        <v>736</v>
      </c>
      <c r="Q183" s="217">
        <v>56</v>
      </c>
      <c r="W183" s="396">
        <f>X182-X183</f>
        <v>0</v>
      </c>
      <c r="X183" s="179">
        <f>X138</f>
        <v>211024.53</v>
      </c>
      <c r="Z183" s="106" t="s">
        <v>736</v>
      </c>
      <c r="AD183" s="217"/>
      <c r="AJ183" s="396">
        <f t="shared" ref="AJ183" si="1185">AK182-AK183</f>
        <v>0</v>
      </c>
      <c r="AK183" s="179">
        <f t="shared" ref="AK183" si="1186">AK138</f>
        <v>211024.53</v>
      </c>
      <c r="AM183" s="106" t="s">
        <v>736</v>
      </c>
      <c r="AQ183" s="217"/>
      <c r="AW183" s="396">
        <f t="shared" ref="AW183" si="1187">AX182-AX183</f>
        <v>0</v>
      </c>
      <c r="AX183" s="179">
        <f t="shared" ref="AX183" si="1188">AX138</f>
        <v>191304.53</v>
      </c>
      <c r="AZ183" s="106" t="s">
        <v>736</v>
      </c>
      <c r="BD183" s="217"/>
      <c r="BJ183" s="396">
        <f t="shared" ref="BJ183" si="1189">BK182-BK183</f>
        <v>0</v>
      </c>
      <c r="BK183" s="179">
        <f t="shared" ref="BK183" si="1190">BK138</f>
        <v>178934.53</v>
      </c>
      <c r="BM183" s="106" t="s">
        <v>736</v>
      </c>
      <c r="BQ183" s="217"/>
      <c r="BW183" s="396">
        <f t="shared" ref="BW183" si="1191">BX182-BX183</f>
        <v>0</v>
      </c>
      <c r="BX183" s="179">
        <f t="shared" ref="BX183" si="1192">BX138</f>
        <v>162019.53</v>
      </c>
      <c r="BZ183" s="106" t="s">
        <v>736</v>
      </c>
      <c r="CD183" s="217"/>
      <c r="CJ183" s="396">
        <f t="shared" ref="CJ183" si="1193">CK182-CK183</f>
        <v>0</v>
      </c>
      <c r="CK183" s="179">
        <f t="shared" ref="CK183" si="1194">CK138</f>
        <v>150790.53</v>
      </c>
      <c r="CM183" s="106" t="s">
        <v>736</v>
      </c>
      <c r="CQ183" s="217"/>
      <c r="CW183" s="396">
        <f t="shared" ref="CW183" si="1195">CX182-CX183</f>
        <v>0</v>
      </c>
      <c r="CX183" s="179">
        <f t="shared" ref="CX183" si="1196">CX138</f>
        <v>145090.53</v>
      </c>
      <c r="CZ183" s="106" t="s">
        <v>736</v>
      </c>
      <c r="DD183" s="217"/>
      <c r="DJ183" s="396">
        <f t="shared" ref="DJ183" si="1197">DK182-DK183</f>
        <v>0</v>
      </c>
      <c r="DK183" s="179">
        <f t="shared" ref="DK183" si="1198">DK138</f>
        <v>145090.53</v>
      </c>
      <c r="DM183" s="106" t="s">
        <v>736</v>
      </c>
      <c r="DQ183" s="217"/>
      <c r="DW183" s="396">
        <f t="shared" ref="DW183" si="1199">DX182-DX183</f>
        <v>0</v>
      </c>
      <c r="DX183" s="179">
        <f t="shared" ref="DX183" si="1200">DX138</f>
        <v>145090.53</v>
      </c>
      <c r="DZ183" s="106" t="s">
        <v>736</v>
      </c>
      <c r="ED183" s="217"/>
    </row>
    <row r="184" spans="1:134" hidden="1" x14ac:dyDescent="0.3">
      <c r="A184" s="223" t="s">
        <v>730</v>
      </c>
      <c r="Q184" s="217">
        <v>57</v>
      </c>
      <c r="W184" s="395"/>
      <c r="X184" s="179">
        <f>X169</f>
        <v>109734.35</v>
      </c>
      <c r="Z184" s="223" t="s">
        <v>730</v>
      </c>
      <c r="AD184" s="217"/>
      <c r="AJ184" s="395"/>
      <c r="AK184" s="179">
        <f t="shared" ref="AK184" si="1201">AK169</f>
        <v>102348.5</v>
      </c>
      <c r="AM184" s="223" t="s">
        <v>730</v>
      </c>
      <c r="AQ184" s="217"/>
      <c r="AW184" s="395"/>
      <c r="AX184" s="179">
        <f t="shared" ref="AX184" si="1202">AX169</f>
        <v>95307.74</v>
      </c>
      <c r="AZ184" s="223" t="s">
        <v>730</v>
      </c>
      <c r="BD184" s="217"/>
      <c r="BJ184" s="395"/>
      <c r="BK184" s="179">
        <f t="shared" ref="BK184" si="1203">BK169</f>
        <v>88828.55</v>
      </c>
      <c r="BM184" s="223" t="s">
        <v>730</v>
      </c>
      <c r="BQ184" s="217"/>
      <c r="BW184" s="395"/>
      <c r="BX184" s="179">
        <f t="shared" ref="BX184" si="1204">BX169</f>
        <v>82861.86</v>
      </c>
      <c r="BZ184" s="223" t="s">
        <v>730</v>
      </c>
      <c r="CD184" s="217"/>
      <c r="CJ184" s="395"/>
      <c r="CK184" s="179">
        <f t="shared" ref="CK184" si="1205">CK169</f>
        <v>66332.3</v>
      </c>
      <c r="CM184" s="223" t="s">
        <v>730</v>
      </c>
      <c r="CQ184" s="217"/>
      <c r="CW184" s="395"/>
      <c r="CX184" s="179">
        <f t="shared" ref="CX184" si="1206">CX169</f>
        <v>61894.080000000002</v>
      </c>
      <c r="CZ184" s="223" t="s">
        <v>730</v>
      </c>
      <c r="DD184" s="217"/>
      <c r="DJ184" s="395"/>
      <c r="DK184" s="179">
        <f t="shared" ref="DK184" si="1207">DK169</f>
        <v>57541.37</v>
      </c>
      <c r="DM184" s="223" t="s">
        <v>730</v>
      </c>
      <c r="DQ184" s="217"/>
      <c r="DW184" s="395"/>
      <c r="DX184" s="179">
        <f t="shared" ref="DX184" si="1208">DX169</f>
        <v>53188.65</v>
      </c>
      <c r="DZ184" s="223" t="s">
        <v>730</v>
      </c>
      <c r="ED184" s="217"/>
    </row>
    <row r="185" spans="1:134" hidden="1" x14ac:dyDescent="0.3">
      <c r="A185" s="106" t="s">
        <v>731</v>
      </c>
      <c r="Q185" s="217">
        <v>58</v>
      </c>
      <c r="W185" s="396">
        <f>X184-X185</f>
        <v>0</v>
      </c>
      <c r="X185" s="179">
        <f>ROUND((AA126-S126+U126+Y126/2)*HLOOKUP(X128,Grund_zins,2,FALSE),2)+ROUND((AC126+AD126/2)*HLOOKUP(X128,Grund_zins,2,FALSE),2)</f>
        <v>109734.35</v>
      </c>
      <c r="Z185" s="106" t="s">
        <v>731</v>
      </c>
      <c r="AD185" s="217"/>
      <c r="AJ185" s="396">
        <f t="shared" ref="AJ185" si="1209">AK184-AK185</f>
        <v>0</v>
      </c>
      <c r="AK185" s="179">
        <f>ROUND((AN126-AF126+AH126+AL126/2)*HLOOKUP(AK128,Grund_zins,2,FALSE),2)+ROUND((AP126+AQ126/2)*HLOOKUP(AK128,Grund_zins,2,FALSE),2)</f>
        <v>102348.5</v>
      </c>
      <c r="AM185" s="106" t="s">
        <v>731</v>
      </c>
      <c r="AQ185" s="217"/>
      <c r="AW185" s="396">
        <f t="shared" ref="AW185" si="1210">AX184-AX185</f>
        <v>0</v>
      </c>
      <c r="AX185" s="179">
        <f>ROUND((BA126-AS126+AU126+AY126/2)*HLOOKUP(AX128,Grund_zins,2,FALSE),2)+ROUND((BC126+BD126/2)*HLOOKUP(AX128,Grund_zins,2,FALSE),2)</f>
        <v>95307.74</v>
      </c>
      <c r="AZ185" s="106" t="s">
        <v>731</v>
      </c>
      <c r="BD185" s="217"/>
      <c r="BJ185" s="396">
        <f t="shared" ref="BJ185" si="1211">BK184-BK185</f>
        <v>0</v>
      </c>
      <c r="BK185" s="179">
        <f>ROUND((BN126-BF126+BH126+BL126/2)*HLOOKUP(BK128,Grund_zins,2,FALSE),2)+ROUND((BP126+BQ126/2)*HLOOKUP(BK128,Grund_zins,2,FALSE),2)</f>
        <v>88828.55</v>
      </c>
      <c r="BM185" s="106" t="s">
        <v>731</v>
      </c>
      <c r="BQ185" s="217"/>
      <c r="BW185" s="396">
        <f t="shared" ref="BW185" si="1212">BX184-BX185</f>
        <v>0</v>
      </c>
      <c r="BX185" s="179">
        <f>ROUND((CA126-BS126+BU126+BY126/2)*HLOOKUP(BX128,Grund_zins,2,FALSE),2)+ROUND((CC126+CD126/2)*HLOOKUP(BX128,Grund_zins,2,FALSE),2)</f>
        <v>82861.86</v>
      </c>
      <c r="BZ185" s="106" t="s">
        <v>731</v>
      </c>
      <c r="CD185" s="217"/>
      <c r="CJ185" s="396">
        <f t="shared" ref="CJ185" si="1213">CK184-CK185</f>
        <v>0</v>
      </c>
      <c r="CK185" s="179">
        <f>ROUND((CN126-CF126+CH126+CL126/2)*HLOOKUP(CK128,Grund_zins,2,FALSE),2)+ROUND((CP126+CQ126/2)*HLOOKUP(CK128,Grund_zins,2,FALSE),2)</f>
        <v>66332.3</v>
      </c>
      <c r="CM185" s="106" t="s">
        <v>731</v>
      </c>
      <c r="CQ185" s="217"/>
      <c r="CW185" s="396">
        <f t="shared" ref="CW185" si="1214">CX184-CX185</f>
        <v>0</v>
      </c>
      <c r="CX185" s="179">
        <f>ROUND((DA126-CS126+CU126+CY126/2)*HLOOKUP(CX128,Grund_zins,2,FALSE),2)+ROUND((DC126+DD126/2)*HLOOKUP(CX128,Grund_zins,2,FALSE),2)</f>
        <v>61894.080000000002</v>
      </c>
      <c r="CZ185" s="106" t="s">
        <v>731</v>
      </c>
      <c r="DD185" s="217"/>
      <c r="DJ185" s="396">
        <f t="shared" ref="DJ185" si="1215">DK184-DK185</f>
        <v>0</v>
      </c>
      <c r="DK185" s="179">
        <f>ROUND((DN126-DF126+DH126+DL126/2)*HLOOKUP(DK128,Grund_zins,2,FALSE),2)+ROUND((DP126+DQ126/2)*HLOOKUP(DK128,Grund_zins,2,FALSE),2)</f>
        <v>57541.37</v>
      </c>
      <c r="DM185" s="106" t="s">
        <v>731</v>
      </c>
      <c r="DQ185" s="217"/>
      <c r="DW185" s="396">
        <f t="shared" ref="DW185" si="1216">DX184-DX185</f>
        <v>0</v>
      </c>
      <c r="DX185" s="179">
        <f>ROUND((EA126-DS126+DU126+DY126/2)*HLOOKUP(DX128,Grund_zins,2,FALSE),2)+ROUND((EC126+ED126/2)*HLOOKUP(DX128,Grund_zins,2,FALSE),2)</f>
        <v>53188.65</v>
      </c>
      <c r="DZ185" s="106" t="s">
        <v>731</v>
      </c>
      <c r="ED185" s="217"/>
    </row>
    <row r="186" spans="1:134" hidden="1" x14ac:dyDescent="0.3">
      <c r="Q186" s="217">
        <v>59</v>
      </c>
      <c r="AD186" s="217"/>
      <c r="AQ186" s="217"/>
      <c r="BD186" s="217"/>
      <c r="BQ186" s="217"/>
      <c r="CD186" s="217"/>
      <c r="CQ186" s="217"/>
      <c r="DD186" s="217"/>
      <c r="DQ186" s="217"/>
      <c r="ED186" s="217"/>
    </row>
    <row r="187" spans="1:134" hidden="1" x14ac:dyDescent="0.3">
      <c r="Q187" s="217">
        <v>60</v>
      </c>
      <c r="AD187" s="217"/>
      <c r="AQ187" s="217"/>
      <c r="BD187" s="217"/>
      <c r="BQ187" s="217"/>
      <c r="CD187" s="217"/>
      <c r="CQ187" s="217"/>
      <c r="DD187" s="217"/>
      <c r="DQ187" s="217"/>
      <c r="ED187" s="217"/>
    </row>
    <row r="188" spans="1:134" hidden="1" x14ac:dyDescent="0.3">
      <c r="Q188" s="217">
        <v>61</v>
      </c>
      <c r="AD188" s="217"/>
      <c r="AQ188" s="217"/>
      <c r="BD188" s="217"/>
      <c r="BQ188" s="217"/>
      <c r="CD188" s="217"/>
      <c r="CQ188" s="217"/>
      <c r="DD188" s="217"/>
      <c r="DQ188" s="217"/>
      <c r="ED188" s="217"/>
    </row>
    <row r="189" spans="1:134" hidden="1" x14ac:dyDescent="0.3">
      <c r="Q189" s="217">
        <v>62</v>
      </c>
      <c r="AD189" s="217"/>
      <c r="AQ189" s="217"/>
      <c r="BD189" s="217"/>
      <c r="BQ189" s="217"/>
      <c r="CD189" s="217"/>
      <c r="CQ189" s="217"/>
      <c r="DD189" s="217"/>
      <c r="DQ189" s="217"/>
      <c r="ED189" s="217"/>
    </row>
    <row r="190" spans="1:134" hidden="1" x14ac:dyDescent="0.3">
      <c r="Q190" s="217">
        <v>63</v>
      </c>
      <c r="AD190" s="217"/>
      <c r="AQ190" s="217"/>
      <c r="BD190" s="217"/>
      <c r="BQ190" s="217"/>
      <c r="CD190" s="217"/>
      <c r="CQ190" s="217"/>
      <c r="DD190" s="217"/>
      <c r="DQ190" s="217"/>
      <c r="ED190" s="217"/>
    </row>
    <row r="191" spans="1:134" hidden="1" x14ac:dyDescent="0.3">
      <c r="Q191" s="217">
        <v>64</v>
      </c>
      <c r="AD191" s="217"/>
      <c r="AQ191" s="217"/>
      <c r="BD191" s="217"/>
      <c r="BQ191" s="217"/>
      <c r="CD191" s="217"/>
      <c r="CQ191" s="217"/>
      <c r="DD191" s="217"/>
      <c r="DQ191" s="217"/>
      <c r="ED191" s="217"/>
    </row>
    <row r="192" spans="1:134" hidden="1" x14ac:dyDescent="0.3">
      <c r="Q192" s="217">
        <v>65</v>
      </c>
      <c r="AD192" s="217"/>
      <c r="AQ192" s="217"/>
      <c r="BD192" s="217"/>
      <c r="BQ192" s="217"/>
      <c r="CD192" s="217"/>
      <c r="CQ192" s="217"/>
      <c r="DD192" s="217"/>
      <c r="DQ192" s="217"/>
      <c r="ED192" s="217"/>
    </row>
  </sheetData>
  <sheetProtection sheet="1" objects="1" scenarios="1"/>
  <mergeCells count="44">
    <mergeCell ref="AC2:AD2"/>
    <mergeCell ref="F3:F4"/>
    <mergeCell ref="I3:I4"/>
    <mergeCell ref="B3:B4"/>
    <mergeCell ref="C3:C4"/>
    <mergeCell ref="D3:D4"/>
    <mergeCell ref="E3:E4"/>
    <mergeCell ref="AE1:AQ1"/>
    <mergeCell ref="AE2:AO2"/>
    <mergeCell ref="AP2:AQ2"/>
    <mergeCell ref="J3:J4"/>
    <mergeCell ref="A1:J1"/>
    <mergeCell ref="K1:L1"/>
    <mergeCell ref="M1:Q1"/>
    <mergeCell ref="R1:AD1"/>
    <mergeCell ref="A2:J2"/>
    <mergeCell ref="K2:K4"/>
    <mergeCell ref="L2:L4"/>
    <mergeCell ref="M2:M3"/>
    <mergeCell ref="A3:A4"/>
    <mergeCell ref="O2:O3"/>
    <mergeCell ref="Q2:Q3"/>
    <mergeCell ref="R2:AB2"/>
    <mergeCell ref="AR1:BD1"/>
    <mergeCell ref="BE1:BQ1"/>
    <mergeCell ref="BR1:CD1"/>
    <mergeCell ref="CE1:CQ1"/>
    <mergeCell ref="BP2:BQ2"/>
    <mergeCell ref="BR2:CB2"/>
    <mergeCell ref="CC2:CD2"/>
    <mergeCell ref="CE2:CO2"/>
    <mergeCell ref="CP2:CQ2"/>
    <mergeCell ref="AR2:BB2"/>
    <mergeCell ref="BC2:BD2"/>
    <mergeCell ref="BE2:BO2"/>
    <mergeCell ref="DP2:DQ2"/>
    <mergeCell ref="DR2:EB2"/>
    <mergeCell ref="EC2:ED2"/>
    <mergeCell ref="CR1:DD1"/>
    <mergeCell ref="DE1:DQ1"/>
    <mergeCell ref="DR1:ED1"/>
    <mergeCell ref="CR2:DB2"/>
    <mergeCell ref="DC2:DD2"/>
    <mergeCell ref="DE2:DO2"/>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D207"/>
  <sheetViews>
    <sheetView workbookViewId="0">
      <pane ySplit="4" topLeftCell="A5" activePane="bottomLeft" state="frozen"/>
      <selection pane="bottomLeft" activeCell="A5" sqref="A5"/>
    </sheetView>
  </sheetViews>
  <sheetFormatPr baseColWidth="10" defaultRowHeight="14.4" x14ac:dyDescent="0.3"/>
  <cols>
    <col min="1" max="1" width="6.6640625" style="10" customWidth="1"/>
    <col min="2" max="2" width="38.88671875" style="10" customWidth="1"/>
    <col min="3" max="3" width="16.109375" style="10" customWidth="1"/>
    <col min="4" max="4" width="9.33203125" style="10" customWidth="1"/>
    <col min="5" max="5" width="14.5546875" style="10" customWidth="1"/>
    <col min="6" max="6" width="11.44140625" style="10"/>
    <col min="7" max="7" width="8.44140625" style="10" customWidth="1"/>
    <col min="8" max="8" width="8.33203125" style="10" customWidth="1"/>
    <col min="9" max="9" width="6.44140625" style="10" customWidth="1"/>
    <col min="10" max="10" width="8" style="10" customWidth="1"/>
    <col min="11" max="12" width="11.44140625" style="10" customWidth="1"/>
    <col min="13" max="18" width="13.109375" style="10" customWidth="1"/>
    <col min="19" max="19" width="13.109375" style="10" hidden="1" customWidth="1"/>
    <col min="20" max="20" width="13.109375" style="10" customWidth="1"/>
    <col min="21" max="21" width="13.109375" style="10" hidden="1" customWidth="1"/>
    <col min="22" max="22" width="13.109375" style="10" customWidth="1"/>
    <col min="23" max="23" width="13.109375" style="10" hidden="1" customWidth="1"/>
    <col min="24" max="24" width="13.109375" style="10" customWidth="1"/>
    <col min="25" max="25" width="13.109375" style="10" hidden="1" customWidth="1"/>
    <col min="26" max="26" width="13.109375" style="10" customWidth="1"/>
    <col min="27" max="27" width="13.109375" style="10" hidden="1" customWidth="1"/>
    <col min="28" max="31" width="13.109375" style="10" customWidth="1"/>
    <col min="32" max="32" width="13.109375" style="10" hidden="1" customWidth="1"/>
    <col min="33" max="33" width="13.109375" style="10" customWidth="1"/>
    <col min="34" max="34" width="13.109375" style="10" hidden="1" customWidth="1"/>
    <col min="35" max="35" width="13.109375" style="10" customWidth="1"/>
    <col min="36" max="36" width="13.109375" style="10" hidden="1" customWidth="1"/>
    <col min="37" max="37" width="13.109375" style="10" customWidth="1"/>
    <col min="38" max="38" width="13.109375" style="10" hidden="1" customWidth="1"/>
    <col min="39" max="39" width="13.109375" style="10" customWidth="1"/>
    <col min="40" max="40" width="13.109375" style="10" hidden="1" customWidth="1"/>
    <col min="41" max="44" width="13.109375" style="10" customWidth="1"/>
    <col min="45" max="45" width="13.109375" style="10" hidden="1" customWidth="1"/>
    <col min="46" max="46" width="13.109375" style="10" customWidth="1"/>
    <col min="47" max="47" width="13.109375" style="10" hidden="1" customWidth="1"/>
    <col min="48" max="48" width="13.109375" style="10" customWidth="1"/>
    <col min="49" max="49" width="13.109375" style="10" hidden="1" customWidth="1"/>
    <col min="50" max="50" width="13.109375" style="10" customWidth="1"/>
    <col min="51" max="51" width="13.109375" style="10" hidden="1" customWidth="1"/>
    <col min="52" max="52" width="13.109375" style="10" customWidth="1"/>
    <col min="53" max="53" width="13.109375" style="10" hidden="1" customWidth="1"/>
    <col min="54" max="57" width="13.109375" style="10" customWidth="1"/>
    <col min="58" max="58" width="13.109375" style="10" hidden="1" customWidth="1"/>
    <col min="59" max="59" width="13.109375" style="10" customWidth="1"/>
    <col min="60" max="60" width="13.109375" style="10" hidden="1" customWidth="1"/>
    <col min="61" max="61" width="13.109375" style="10" customWidth="1"/>
    <col min="62" max="62" width="13.109375" style="10" hidden="1" customWidth="1"/>
    <col min="63" max="63" width="13.109375" style="10" customWidth="1"/>
    <col min="64" max="64" width="13.109375" style="10" hidden="1" customWidth="1"/>
    <col min="65" max="65" width="13.109375" style="10" customWidth="1"/>
    <col min="66" max="66" width="13.109375" style="10" hidden="1" customWidth="1"/>
    <col min="67" max="70" width="13.109375" style="10" customWidth="1"/>
    <col min="71" max="71" width="13.109375" style="10" hidden="1" customWidth="1"/>
    <col min="72" max="72" width="13.109375" style="10" customWidth="1"/>
    <col min="73" max="73" width="13.109375" style="10" hidden="1" customWidth="1"/>
    <col min="74" max="74" width="13.109375" style="10" customWidth="1"/>
    <col min="75" max="75" width="13.109375" style="10" hidden="1" customWidth="1"/>
    <col min="76" max="76" width="13.109375" style="10" customWidth="1"/>
    <col min="77" max="77" width="13.109375" style="10" hidden="1" customWidth="1"/>
    <col min="78" max="78" width="13.109375" style="10" customWidth="1"/>
    <col min="79" max="79" width="13.109375" style="10" hidden="1" customWidth="1"/>
    <col min="80" max="83" width="13.109375" style="10" customWidth="1"/>
    <col min="84" max="84" width="13.109375" style="10" hidden="1" customWidth="1"/>
    <col min="85" max="85" width="13.109375" style="10" customWidth="1"/>
    <col min="86" max="86" width="13.109375" style="10" hidden="1" customWidth="1"/>
    <col min="87" max="87" width="13.109375" style="10" customWidth="1"/>
    <col min="88" max="88" width="13.109375" style="10" hidden="1" customWidth="1"/>
    <col min="89" max="89" width="13.109375" style="10" customWidth="1"/>
    <col min="90" max="90" width="13.109375" style="10" hidden="1" customWidth="1"/>
    <col min="91" max="91" width="13.109375" style="10" customWidth="1"/>
    <col min="92" max="92" width="13.109375" style="10" hidden="1" customWidth="1"/>
    <col min="93" max="96" width="13.109375" style="10" customWidth="1"/>
    <col min="97" max="97" width="13.109375" style="10" hidden="1" customWidth="1"/>
    <col min="98" max="98" width="13.109375" style="10" customWidth="1"/>
    <col min="99" max="99" width="13.109375" style="10" hidden="1" customWidth="1"/>
    <col min="100" max="100" width="13.109375" style="10" customWidth="1"/>
    <col min="101" max="101" width="13.109375" style="10" hidden="1" customWidth="1"/>
    <col min="102" max="102" width="13.109375" style="10" customWidth="1"/>
    <col min="103" max="103" width="13.109375" style="10" hidden="1" customWidth="1"/>
    <col min="104" max="104" width="13.109375" style="10" customWidth="1"/>
    <col min="105" max="105" width="13.109375" style="10" hidden="1" customWidth="1"/>
    <col min="106" max="109" width="13.109375" style="10" customWidth="1"/>
    <col min="110" max="110" width="13.109375" style="10" hidden="1" customWidth="1"/>
    <col min="111" max="111" width="13.109375" style="10" customWidth="1"/>
    <col min="112" max="112" width="13.109375" style="10" hidden="1" customWidth="1"/>
    <col min="113" max="113" width="13.109375" style="10" customWidth="1"/>
    <col min="114" max="114" width="13.109375" style="10" hidden="1" customWidth="1"/>
    <col min="115" max="115" width="13.109375" style="10" customWidth="1"/>
    <col min="116" max="116" width="13.109375" style="10" hidden="1" customWidth="1"/>
    <col min="117" max="117" width="13.109375" style="10" customWidth="1"/>
    <col min="118" max="118" width="13.109375" style="10" hidden="1" customWidth="1"/>
    <col min="119" max="122" width="13.109375" style="10" customWidth="1"/>
    <col min="123" max="123" width="13.109375" style="10" hidden="1" customWidth="1"/>
    <col min="124" max="124" width="13.109375" style="10" customWidth="1"/>
    <col min="125" max="125" width="13.109375" style="10" hidden="1" customWidth="1"/>
    <col min="126" max="126" width="13.109375" style="10" customWidth="1"/>
    <col min="127" max="127" width="13.109375" style="10" hidden="1" customWidth="1"/>
    <col min="128" max="128" width="13.109375" style="10" customWidth="1"/>
    <col min="129" max="129" width="13.109375" style="10" hidden="1" customWidth="1"/>
    <col min="130" max="130" width="13.109375" style="10" customWidth="1"/>
    <col min="131" max="131" width="13.109375" style="10" hidden="1" customWidth="1"/>
    <col min="132" max="134" width="13.109375" style="10" customWidth="1"/>
  </cols>
  <sheetData>
    <row r="1" spans="1:134" ht="30" customHeight="1" x14ac:dyDescent="0.3">
      <c r="A1" s="1063" t="str">
        <f>Grunddaten!A1 &amp; "   " &amp; Grunddaten!A2</f>
        <v>Gemeinde A   Abwasserbeseitigungseinrichtung</v>
      </c>
      <c r="B1" s="1063"/>
      <c r="C1" s="1063"/>
      <c r="D1" s="1063"/>
      <c r="E1" s="1063"/>
      <c r="F1" s="1063"/>
      <c r="G1" s="1063"/>
      <c r="H1" s="1063"/>
      <c r="I1" s="1063"/>
      <c r="J1" s="1064"/>
      <c r="K1" s="1090" t="s">
        <v>475</v>
      </c>
      <c r="L1" s="1091"/>
      <c r="M1" s="1092" t="s">
        <v>420</v>
      </c>
      <c r="N1" s="1092"/>
      <c r="O1" s="1093"/>
      <c r="P1" s="1094"/>
      <c r="Q1" s="1094"/>
      <c r="R1" s="1087" t="str">
        <f>"Berechnungen für das Jahr "&amp;U4</f>
        <v>Berechnungen für das Jahr 2012</v>
      </c>
      <c r="S1" s="1088"/>
      <c r="T1" s="1088"/>
      <c r="U1" s="1088"/>
      <c r="V1" s="1088"/>
      <c r="W1" s="1088"/>
      <c r="X1" s="1088"/>
      <c r="Y1" s="1088"/>
      <c r="Z1" s="1088"/>
      <c r="AA1" s="1088"/>
      <c r="AB1" s="1088"/>
      <c r="AC1" s="1088"/>
      <c r="AD1" s="1089"/>
      <c r="AE1" s="1087" t="str">
        <f t="shared" ref="AE1" si="0">"Berechnungen für das Jahr "&amp;AH4</f>
        <v>Berechnungen für das Jahr 2013</v>
      </c>
      <c r="AF1" s="1088"/>
      <c r="AG1" s="1088"/>
      <c r="AH1" s="1088"/>
      <c r="AI1" s="1088"/>
      <c r="AJ1" s="1088"/>
      <c r="AK1" s="1088"/>
      <c r="AL1" s="1088"/>
      <c r="AM1" s="1088"/>
      <c r="AN1" s="1088"/>
      <c r="AO1" s="1088"/>
      <c r="AP1" s="1088"/>
      <c r="AQ1" s="1089"/>
      <c r="AR1" s="1087" t="str">
        <f t="shared" ref="AR1" si="1">"Berechnungen für das Jahr "&amp;AU4</f>
        <v>Berechnungen für das Jahr 2014</v>
      </c>
      <c r="AS1" s="1088"/>
      <c r="AT1" s="1088"/>
      <c r="AU1" s="1088"/>
      <c r="AV1" s="1088"/>
      <c r="AW1" s="1088"/>
      <c r="AX1" s="1088"/>
      <c r="AY1" s="1088"/>
      <c r="AZ1" s="1088"/>
      <c r="BA1" s="1088"/>
      <c r="BB1" s="1088"/>
      <c r="BC1" s="1088"/>
      <c r="BD1" s="1089"/>
      <c r="BE1" s="1087" t="str">
        <f t="shared" ref="BE1" si="2">"Berechnungen für das Jahr "&amp;BH4</f>
        <v>Berechnungen für das Jahr 2015</v>
      </c>
      <c r="BF1" s="1088"/>
      <c r="BG1" s="1088"/>
      <c r="BH1" s="1088"/>
      <c r="BI1" s="1088"/>
      <c r="BJ1" s="1088"/>
      <c r="BK1" s="1088"/>
      <c r="BL1" s="1088"/>
      <c r="BM1" s="1088"/>
      <c r="BN1" s="1088"/>
      <c r="BO1" s="1088"/>
      <c r="BP1" s="1088"/>
      <c r="BQ1" s="1089"/>
      <c r="BR1" s="1087" t="str">
        <f t="shared" ref="BR1" si="3">"Berechnungen für das Jahr "&amp;BU4</f>
        <v>Berechnungen für das Jahr 2016</v>
      </c>
      <c r="BS1" s="1088"/>
      <c r="BT1" s="1088"/>
      <c r="BU1" s="1088"/>
      <c r="BV1" s="1088"/>
      <c r="BW1" s="1088"/>
      <c r="BX1" s="1088"/>
      <c r="BY1" s="1088"/>
      <c r="BZ1" s="1088"/>
      <c r="CA1" s="1088"/>
      <c r="CB1" s="1088"/>
      <c r="CC1" s="1088"/>
      <c r="CD1" s="1089"/>
      <c r="CE1" s="1087" t="str">
        <f t="shared" ref="CE1" si="4">"Berechnungen für das Jahr "&amp;CH4</f>
        <v>Berechnungen für das Jahr 2017</v>
      </c>
      <c r="CF1" s="1088"/>
      <c r="CG1" s="1088"/>
      <c r="CH1" s="1088"/>
      <c r="CI1" s="1088"/>
      <c r="CJ1" s="1088"/>
      <c r="CK1" s="1088"/>
      <c r="CL1" s="1088"/>
      <c r="CM1" s="1088"/>
      <c r="CN1" s="1088"/>
      <c r="CO1" s="1088"/>
      <c r="CP1" s="1088"/>
      <c r="CQ1" s="1089"/>
      <c r="CR1" s="1087" t="str">
        <f t="shared" ref="CR1" si="5">"Berechnungen für das Jahr "&amp;CU4</f>
        <v>Berechnungen für das Jahr 2018</v>
      </c>
      <c r="CS1" s="1088"/>
      <c r="CT1" s="1088"/>
      <c r="CU1" s="1088"/>
      <c r="CV1" s="1088"/>
      <c r="CW1" s="1088"/>
      <c r="CX1" s="1088"/>
      <c r="CY1" s="1088"/>
      <c r="CZ1" s="1088"/>
      <c r="DA1" s="1088"/>
      <c r="DB1" s="1088"/>
      <c r="DC1" s="1088"/>
      <c r="DD1" s="1089"/>
      <c r="DE1" s="1087" t="str">
        <f t="shared" ref="DE1" si="6">"Berechnungen für das Jahr "&amp;DH4</f>
        <v>Berechnungen für das Jahr 2019</v>
      </c>
      <c r="DF1" s="1088"/>
      <c r="DG1" s="1088"/>
      <c r="DH1" s="1088"/>
      <c r="DI1" s="1088"/>
      <c r="DJ1" s="1088"/>
      <c r="DK1" s="1088"/>
      <c r="DL1" s="1088"/>
      <c r="DM1" s="1088"/>
      <c r="DN1" s="1088"/>
      <c r="DO1" s="1088"/>
      <c r="DP1" s="1088"/>
      <c r="DQ1" s="1089"/>
      <c r="DR1" s="1087" t="str">
        <f t="shared" ref="DR1" si="7">"Berechnungen für das Jahr "&amp;DU4</f>
        <v>Berechnungen für das Jahr 2020</v>
      </c>
      <c r="DS1" s="1088"/>
      <c r="DT1" s="1088"/>
      <c r="DU1" s="1088"/>
      <c r="DV1" s="1088"/>
      <c r="DW1" s="1088"/>
      <c r="DX1" s="1088"/>
      <c r="DY1" s="1088"/>
      <c r="DZ1" s="1088"/>
      <c r="EA1" s="1088"/>
      <c r="EB1" s="1088"/>
      <c r="EC1" s="1088"/>
      <c r="ED1" s="1089"/>
    </row>
    <row r="2" spans="1:134" ht="30" customHeight="1" x14ac:dyDescent="0.3">
      <c r="A2" s="1072" t="s">
        <v>922</v>
      </c>
      <c r="B2" s="1072"/>
      <c r="C2" s="1072"/>
      <c r="D2" s="1072"/>
      <c r="E2" s="1072"/>
      <c r="F2" s="1072"/>
      <c r="G2" s="1072"/>
      <c r="H2" s="1072"/>
      <c r="I2" s="1072"/>
      <c r="J2" s="1095"/>
      <c r="K2" s="1096" t="s">
        <v>421</v>
      </c>
      <c r="L2" s="1098" t="s">
        <v>422</v>
      </c>
      <c r="M2" s="1100" t="s">
        <v>476</v>
      </c>
      <c r="N2" s="221"/>
      <c r="O2" s="1102" t="s">
        <v>477</v>
      </c>
      <c r="P2" s="152"/>
      <c r="Q2" s="1103" t="s">
        <v>478</v>
      </c>
      <c r="R2" s="1086" t="s">
        <v>479</v>
      </c>
      <c r="S2" s="1084"/>
      <c r="T2" s="1084"/>
      <c r="U2" s="1084"/>
      <c r="V2" s="1084"/>
      <c r="W2" s="1084"/>
      <c r="X2" s="1084"/>
      <c r="Y2" s="1084"/>
      <c r="Z2" s="1084"/>
      <c r="AA2" s="1084"/>
      <c r="AB2" s="1084"/>
      <c r="AC2" s="1084" t="s">
        <v>151</v>
      </c>
      <c r="AD2" s="1085"/>
      <c r="AE2" s="1086" t="s">
        <v>479</v>
      </c>
      <c r="AF2" s="1084"/>
      <c r="AG2" s="1084"/>
      <c r="AH2" s="1084"/>
      <c r="AI2" s="1084"/>
      <c r="AJ2" s="1084"/>
      <c r="AK2" s="1084"/>
      <c r="AL2" s="1084"/>
      <c r="AM2" s="1084"/>
      <c r="AN2" s="1084"/>
      <c r="AO2" s="1084"/>
      <c r="AP2" s="1084" t="s">
        <v>151</v>
      </c>
      <c r="AQ2" s="1085"/>
      <c r="AR2" s="1086" t="s">
        <v>479</v>
      </c>
      <c r="AS2" s="1084"/>
      <c r="AT2" s="1084"/>
      <c r="AU2" s="1084"/>
      <c r="AV2" s="1084"/>
      <c r="AW2" s="1084"/>
      <c r="AX2" s="1084"/>
      <c r="AY2" s="1084"/>
      <c r="AZ2" s="1084"/>
      <c r="BA2" s="1084"/>
      <c r="BB2" s="1084"/>
      <c r="BC2" s="1084" t="s">
        <v>151</v>
      </c>
      <c r="BD2" s="1085"/>
      <c r="BE2" s="1086" t="s">
        <v>479</v>
      </c>
      <c r="BF2" s="1084"/>
      <c r="BG2" s="1084"/>
      <c r="BH2" s="1084"/>
      <c r="BI2" s="1084"/>
      <c r="BJ2" s="1084"/>
      <c r="BK2" s="1084"/>
      <c r="BL2" s="1084"/>
      <c r="BM2" s="1084"/>
      <c r="BN2" s="1084"/>
      <c r="BO2" s="1084"/>
      <c r="BP2" s="1084" t="s">
        <v>151</v>
      </c>
      <c r="BQ2" s="1085"/>
      <c r="BR2" s="1086" t="s">
        <v>479</v>
      </c>
      <c r="BS2" s="1084"/>
      <c r="BT2" s="1084"/>
      <c r="BU2" s="1084"/>
      <c r="BV2" s="1084"/>
      <c r="BW2" s="1084"/>
      <c r="BX2" s="1084"/>
      <c r="BY2" s="1084"/>
      <c r="BZ2" s="1084"/>
      <c r="CA2" s="1084"/>
      <c r="CB2" s="1084"/>
      <c r="CC2" s="1084" t="s">
        <v>151</v>
      </c>
      <c r="CD2" s="1085"/>
      <c r="CE2" s="1086" t="s">
        <v>479</v>
      </c>
      <c r="CF2" s="1084"/>
      <c r="CG2" s="1084"/>
      <c r="CH2" s="1084"/>
      <c r="CI2" s="1084"/>
      <c r="CJ2" s="1084"/>
      <c r="CK2" s="1084"/>
      <c r="CL2" s="1084"/>
      <c r="CM2" s="1084"/>
      <c r="CN2" s="1084"/>
      <c r="CO2" s="1084"/>
      <c r="CP2" s="1084" t="s">
        <v>151</v>
      </c>
      <c r="CQ2" s="1085"/>
      <c r="CR2" s="1086" t="s">
        <v>479</v>
      </c>
      <c r="CS2" s="1084"/>
      <c r="CT2" s="1084"/>
      <c r="CU2" s="1084"/>
      <c r="CV2" s="1084"/>
      <c r="CW2" s="1084"/>
      <c r="CX2" s="1084"/>
      <c r="CY2" s="1084"/>
      <c r="CZ2" s="1084"/>
      <c r="DA2" s="1084"/>
      <c r="DB2" s="1084"/>
      <c r="DC2" s="1084" t="s">
        <v>151</v>
      </c>
      <c r="DD2" s="1085"/>
      <c r="DE2" s="1086" t="s">
        <v>479</v>
      </c>
      <c r="DF2" s="1084"/>
      <c r="DG2" s="1084"/>
      <c r="DH2" s="1084"/>
      <c r="DI2" s="1084"/>
      <c r="DJ2" s="1084"/>
      <c r="DK2" s="1084"/>
      <c r="DL2" s="1084"/>
      <c r="DM2" s="1084"/>
      <c r="DN2" s="1084"/>
      <c r="DO2" s="1084"/>
      <c r="DP2" s="1084" t="s">
        <v>151</v>
      </c>
      <c r="DQ2" s="1085"/>
      <c r="DR2" s="1086" t="s">
        <v>479</v>
      </c>
      <c r="DS2" s="1084"/>
      <c r="DT2" s="1084"/>
      <c r="DU2" s="1084"/>
      <c r="DV2" s="1084"/>
      <c r="DW2" s="1084"/>
      <c r="DX2" s="1084"/>
      <c r="DY2" s="1084"/>
      <c r="DZ2" s="1084"/>
      <c r="EA2" s="1084"/>
      <c r="EB2" s="1084"/>
      <c r="EC2" s="1084" t="s">
        <v>151</v>
      </c>
      <c r="ED2" s="1085"/>
    </row>
    <row r="3" spans="1:134" ht="90" customHeight="1" x14ac:dyDescent="0.3">
      <c r="A3" s="1101" t="s">
        <v>427</v>
      </c>
      <c r="B3" s="1101" t="s">
        <v>155</v>
      </c>
      <c r="C3" s="1101" t="s">
        <v>428</v>
      </c>
      <c r="D3" s="1106" t="s">
        <v>156</v>
      </c>
      <c r="E3" s="1101" t="s">
        <v>480</v>
      </c>
      <c r="F3" s="1101" t="s">
        <v>430</v>
      </c>
      <c r="G3" s="688" t="s">
        <v>990</v>
      </c>
      <c r="H3" s="688" t="s">
        <v>991</v>
      </c>
      <c r="I3" s="1105" t="s">
        <v>431</v>
      </c>
      <c r="J3" s="1059" t="s">
        <v>989</v>
      </c>
      <c r="K3" s="1097"/>
      <c r="L3" s="1099"/>
      <c r="M3" s="998"/>
      <c r="N3" s="153" t="s">
        <v>432</v>
      </c>
      <c r="O3" s="1033"/>
      <c r="P3" s="153" t="s">
        <v>432</v>
      </c>
      <c r="Q3" s="1104"/>
      <c r="R3" s="154" t="s">
        <v>160</v>
      </c>
      <c r="S3" s="222" t="s">
        <v>433</v>
      </c>
      <c r="T3" s="222" t="s">
        <v>162</v>
      </c>
      <c r="U3" s="222" t="s">
        <v>434</v>
      </c>
      <c r="V3" s="220" t="s">
        <v>481</v>
      </c>
      <c r="W3" s="46" t="s">
        <v>482</v>
      </c>
      <c r="X3" s="222" t="s">
        <v>483</v>
      </c>
      <c r="Y3" s="222" t="s">
        <v>484</v>
      </c>
      <c r="Z3" s="222" t="s">
        <v>485</v>
      </c>
      <c r="AA3" s="222" t="s">
        <v>440</v>
      </c>
      <c r="AB3" s="222" t="s">
        <v>486</v>
      </c>
      <c r="AC3" s="222" t="s">
        <v>487</v>
      </c>
      <c r="AD3" s="157" t="s">
        <v>488</v>
      </c>
      <c r="AE3" s="154" t="s">
        <v>160</v>
      </c>
      <c r="AF3" s="660" t="s">
        <v>433</v>
      </c>
      <c r="AG3" s="660" t="s">
        <v>162</v>
      </c>
      <c r="AH3" s="660" t="s">
        <v>434</v>
      </c>
      <c r="AI3" s="661" t="s">
        <v>481</v>
      </c>
      <c r="AJ3" s="46" t="s">
        <v>482</v>
      </c>
      <c r="AK3" s="660" t="s">
        <v>483</v>
      </c>
      <c r="AL3" s="660" t="s">
        <v>484</v>
      </c>
      <c r="AM3" s="660" t="s">
        <v>485</v>
      </c>
      <c r="AN3" s="660" t="s">
        <v>440</v>
      </c>
      <c r="AO3" s="660" t="s">
        <v>486</v>
      </c>
      <c r="AP3" s="660" t="s">
        <v>487</v>
      </c>
      <c r="AQ3" s="157" t="s">
        <v>488</v>
      </c>
      <c r="AR3" s="154" t="s">
        <v>160</v>
      </c>
      <c r="AS3" s="660" t="s">
        <v>433</v>
      </c>
      <c r="AT3" s="660" t="s">
        <v>162</v>
      </c>
      <c r="AU3" s="660" t="s">
        <v>434</v>
      </c>
      <c r="AV3" s="661" t="s">
        <v>481</v>
      </c>
      <c r="AW3" s="46" t="s">
        <v>482</v>
      </c>
      <c r="AX3" s="660" t="s">
        <v>483</v>
      </c>
      <c r="AY3" s="660" t="s">
        <v>484</v>
      </c>
      <c r="AZ3" s="660" t="s">
        <v>485</v>
      </c>
      <c r="BA3" s="660" t="s">
        <v>440</v>
      </c>
      <c r="BB3" s="660" t="s">
        <v>486</v>
      </c>
      <c r="BC3" s="660" t="s">
        <v>487</v>
      </c>
      <c r="BD3" s="157" t="s">
        <v>488</v>
      </c>
      <c r="BE3" s="154" t="s">
        <v>160</v>
      </c>
      <c r="BF3" s="660" t="s">
        <v>433</v>
      </c>
      <c r="BG3" s="660" t="s">
        <v>162</v>
      </c>
      <c r="BH3" s="660" t="s">
        <v>434</v>
      </c>
      <c r="BI3" s="661" t="s">
        <v>481</v>
      </c>
      <c r="BJ3" s="46" t="s">
        <v>482</v>
      </c>
      <c r="BK3" s="660" t="s">
        <v>483</v>
      </c>
      <c r="BL3" s="660" t="s">
        <v>484</v>
      </c>
      <c r="BM3" s="660" t="s">
        <v>485</v>
      </c>
      <c r="BN3" s="660" t="s">
        <v>440</v>
      </c>
      <c r="BO3" s="660" t="s">
        <v>486</v>
      </c>
      <c r="BP3" s="660" t="s">
        <v>487</v>
      </c>
      <c r="BQ3" s="157" t="s">
        <v>488</v>
      </c>
      <c r="BR3" s="154" t="s">
        <v>160</v>
      </c>
      <c r="BS3" s="660" t="s">
        <v>433</v>
      </c>
      <c r="BT3" s="660" t="s">
        <v>162</v>
      </c>
      <c r="BU3" s="660" t="s">
        <v>434</v>
      </c>
      <c r="BV3" s="661" t="s">
        <v>481</v>
      </c>
      <c r="BW3" s="46" t="s">
        <v>482</v>
      </c>
      <c r="BX3" s="660" t="s">
        <v>483</v>
      </c>
      <c r="BY3" s="660" t="s">
        <v>484</v>
      </c>
      <c r="BZ3" s="660" t="s">
        <v>485</v>
      </c>
      <c r="CA3" s="660" t="s">
        <v>440</v>
      </c>
      <c r="CB3" s="660" t="s">
        <v>486</v>
      </c>
      <c r="CC3" s="660" t="s">
        <v>487</v>
      </c>
      <c r="CD3" s="157" t="s">
        <v>488</v>
      </c>
      <c r="CE3" s="154" t="s">
        <v>160</v>
      </c>
      <c r="CF3" s="660" t="s">
        <v>433</v>
      </c>
      <c r="CG3" s="660" t="s">
        <v>162</v>
      </c>
      <c r="CH3" s="660" t="s">
        <v>434</v>
      </c>
      <c r="CI3" s="661" t="s">
        <v>481</v>
      </c>
      <c r="CJ3" s="46" t="s">
        <v>482</v>
      </c>
      <c r="CK3" s="660" t="s">
        <v>483</v>
      </c>
      <c r="CL3" s="660" t="s">
        <v>484</v>
      </c>
      <c r="CM3" s="660" t="s">
        <v>485</v>
      </c>
      <c r="CN3" s="660" t="s">
        <v>440</v>
      </c>
      <c r="CO3" s="660" t="s">
        <v>486</v>
      </c>
      <c r="CP3" s="660" t="s">
        <v>487</v>
      </c>
      <c r="CQ3" s="157" t="s">
        <v>488</v>
      </c>
      <c r="CR3" s="154" t="s">
        <v>160</v>
      </c>
      <c r="CS3" s="660" t="s">
        <v>433</v>
      </c>
      <c r="CT3" s="660" t="s">
        <v>162</v>
      </c>
      <c r="CU3" s="660" t="s">
        <v>434</v>
      </c>
      <c r="CV3" s="661" t="s">
        <v>481</v>
      </c>
      <c r="CW3" s="46" t="s">
        <v>482</v>
      </c>
      <c r="CX3" s="660" t="s">
        <v>483</v>
      </c>
      <c r="CY3" s="660" t="s">
        <v>484</v>
      </c>
      <c r="CZ3" s="660" t="s">
        <v>485</v>
      </c>
      <c r="DA3" s="660" t="s">
        <v>440</v>
      </c>
      <c r="DB3" s="660" t="s">
        <v>486</v>
      </c>
      <c r="DC3" s="660" t="s">
        <v>487</v>
      </c>
      <c r="DD3" s="157" t="s">
        <v>488</v>
      </c>
      <c r="DE3" s="154" t="s">
        <v>160</v>
      </c>
      <c r="DF3" s="660" t="s">
        <v>433</v>
      </c>
      <c r="DG3" s="660" t="s">
        <v>162</v>
      </c>
      <c r="DH3" s="660" t="s">
        <v>434</v>
      </c>
      <c r="DI3" s="661" t="s">
        <v>481</v>
      </c>
      <c r="DJ3" s="46" t="s">
        <v>482</v>
      </c>
      <c r="DK3" s="660" t="s">
        <v>483</v>
      </c>
      <c r="DL3" s="660" t="s">
        <v>484</v>
      </c>
      <c r="DM3" s="660" t="s">
        <v>485</v>
      </c>
      <c r="DN3" s="660" t="s">
        <v>440</v>
      </c>
      <c r="DO3" s="660" t="s">
        <v>486</v>
      </c>
      <c r="DP3" s="660" t="s">
        <v>487</v>
      </c>
      <c r="DQ3" s="157" t="s">
        <v>488</v>
      </c>
      <c r="DR3" s="154" t="s">
        <v>160</v>
      </c>
      <c r="DS3" s="660" t="s">
        <v>433</v>
      </c>
      <c r="DT3" s="660" t="s">
        <v>162</v>
      </c>
      <c r="DU3" s="660" t="s">
        <v>434</v>
      </c>
      <c r="DV3" s="661" t="s">
        <v>481</v>
      </c>
      <c r="DW3" s="46" t="s">
        <v>482</v>
      </c>
      <c r="DX3" s="660" t="s">
        <v>483</v>
      </c>
      <c r="DY3" s="660" t="s">
        <v>484</v>
      </c>
      <c r="DZ3" s="660" t="s">
        <v>485</v>
      </c>
      <c r="EA3" s="660" t="s">
        <v>440</v>
      </c>
      <c r="EB3" s="660" t="s">
        <v>486</v>
      </c>
      <c r="EC3" s="660" t="s">
        <v>487</v>
      </c>
      <c r="ED3" s="157" t="s">
        <v>488</v>
      </c>
    </row>
    <row r="4" spans="1:134" x14ac:dyDescent="0.3">
      <c r="A4" s="1101"/>
      <c r="B4" s="1101"/>
      <c r="C4" s="1101"/>
      <c r="D4" s="1106"/>
      <c r="E4" s="1101"/>
      <c r="F4" s="1101"/>
      <c r="G4" s="690" t="s">
        <v>175</v>
      </c>
      <c r="H4" s="690" t="s">
        <v>176</v>
      </c>
      <c r="I4" s="1105"/>
      <c r="J4" s="1060"/>
      <c r="K4" s="1097"/>
      <c r="L4" s="1099"/>
      <c r="M4" s="158">
        <f>EOMONTH(Grunddaten!$H$6,-1)</f>
        <v>40908</v>
      </c>
      <c r="N4" s="158"/>
      <c r="O4" s="159">
        <f>M4</f>
        <v>40908</v>
      </c>
      <c r="P4" s="152"/>
      <c r="Q4" s="160">
        <f>M4</f>
        <v>40908</v>
      </c>
      <c r="R4" s="161">
        <f>X4</f>
        <v>2012</v>
      </c>
      <c r="S4" s="162">
        <f>X4</f>
        <v>2012</v>
      </c>
      <c r="T4" s="163">
        <f>X4</f>
        <v>2012</v>
      </c>
      <c r="U4" s="162">
        <f>X4</f>
        <v>2012</v>
      </c>
      <c r="V4" s="159">
        <f>Z4</f>
        <v>41274</v>
      </c>
      <c r="W4" s="159">
        <f>V4</f>
        <v>41274</v>
      </c>
      <c r="X4" s="163">
        <f>YEAR(Z4)</f>
        <v>2012</v>
      </c>
      <c r="Y4" s="162">
        <f>X4</f>
        <v>2012</v>
      </c>
      <c r="Z4" s="159">
        <f>EOMONTH(M4,12)</f>
        <v>41274</v>
      </c>
      <c r="AA4" s="159">
        <f>Z4</f>
        <v>41274</v>
      </c>
      <c r="AB4" s="159">
        <f>Z4</f>
        <v>41274</v>
      </c>
      <c r="AC4" s="48">
        <f>Z4</f>
        <v>41274</v>
      </c>
      <c r="AD4" s="164">
        <f>Z4</f>
        <v>41274</v>
      </c>
      <c r="AE4" s="161">
        <f t="shared" ref="AE4" si="8">AK4</f>
        <v>2013</v>
      </c>
      <c r="AF4" s="162">
        <f t="shared" ref="AF4" si="9">AK4</f>
        <v>2013</v>
      </c>
      <c r="AG4" s="163">
        <f t="shared" ref="AG4" si="10">AK4</f>
        <v>2013</v>
      </c>
      <c r="AH4" s="162">
        <f t="shared" ref="AH4" si="11">AK4</f>
        <v>2013</v>
      </c>
      <c r="AI4" s="159">
        <f t="shared" ref="AI4" si="12">AM4</f>
        <v>41639</v>
      </c>
      <c r="AJ4" s="159">
        <f t="shared" ref="AJ4" si="13">AI4</f>
        <v>41639</v>
      </c>
      <c r="AK4" s="163">
        <f t="shared" ref="AK4" si="14">YEAR(AM4)</f>
        <v>2013</v>
      </c>
      <c r="AL4" s="162">
        <f t="shared" ref="AL4" si="15">AK4</f>
        <v>2013</v>
      </c>
      <c r="AM4" s="159">
        <f t="shared" ref="AM4" si="16">EOMONTH(Z4,12)</f>
        <v>41639</v>
      </c>
      <c r="AN4" s="159">
        <f t="shared" ref="AN4" si="17">AM4</f>
        <v>41639</v>
      </c>
      <c r="AO4" s="159">
        <f t="shared" ref="AO4" si="18">AM4</f>
        <v>41639</v>
      </c>
      <c r="AP4" s="48">
        <f t="shared" ref="AP4" si="19">AM4</f>
        <v>41639</v>
      </c>
      <c r="AQ4" s="164">
        <f t="shared" ref="AQ4" si="20">AM4</f>
        <v>41639</v>
      </c>
      <c r="AR4" s="161">
        <f t="shared" ref="AR4" si="21">AX4</f>
        <v>2014</v>
      </c>
      <c r="AS4" s="162">
        <f t="shared" ref="AS4" si="22">AX4</f>
        <v>2014</v>
      </c>
      <c r="AT4" s="163">
        <f t="shared" ref="AT4" si="23">AX4</f>
        <v>2014</v>
      </c>
      <c r="AU4" s="162">
        <f t="shared" ref="AU4" si="24">AX4</f>
        <v>2014</v>
      </c>
      <c r="AV4" s="159">
        <f t="shared" ref="AV4" si="25">AZ4</f>
        <v>42004</v>
      </c>
      <c r="AW4" s="159">
        <f t="shared" ref="AW4" si="26">AV4</f>
        <v>42004</v>
      </c>
      <c r="AX4" s="163">
        <f t="shared" ref="AX4" si="27">YEAR(AZ4)</f>
        <v>2014</v>
      </c>
      <c r="AY4" s="162">
        <f t="shared" ref="AY4" si="28">AX4</f>
        <v>2014</v>
      </c>
      <c r="AZ4" s="159">
        <f t="shared" ref="AZ4" si="29">EOMONTH(AM4,12)</f>
        <v>42004</v>
      </c>
      <c r="BA4" s="159">
        <f t="shared" ref="BA4" si="30">AZ4</f>
        <v>42004</v>
      </c>
      <c r="BB4" s="159">
        <f t="shared" ref="BB4" si="31">AZ4</f>
        <v>42004</v>
      </c>
      <c r="BC4" s="48">
        <f t="shared" ref="BC4" si="32">AZ4</f>
        <v>42004</v>
      </c>
      <c r="BD4" s="164">
        <f t="shared" ref="BD4" si="33">AZ4</f>
        <v>42004</v>
      </c>
      <c r="BE4" s="161">
        <f t="shared" ref="BE4" si="34">BK4</f>
        <v>2015</v>
      </c>
      <c r="BF4" s="162">
        <f t="shared" ref="BF4" si="35">BK4</f>
        <v>2015</v>
      </c>
      <c r="BG4" s="163">
        <f t="shared" ref="BG4" si="36">BK4</f>
        <v>2015</v>
      </c>
      <c r="BH4" s="162">
        <f t="shared" ref="BH4" si="37">BK4</f>
        <v>2015</v>
      </c>
      <c r="BI4" s="159">
        <f t="shared" ref="BI4" si="38">BM4</f>
        <v>42369</v>
      </c>
      <c r="BJ4" s="159">
        <f t="shared" ref="BJ4" si="39">BI4</f>
        <v>42369</v>
      </c>
      <c r="BK4" s="163">
        <f t="shared" ref="BK4" si="40">YEAR(BM4)</f>
        <v>2015</v>
      </c>
      <c r="BL4" s="162">
        <f t="shared" ref="BL4" si="41">BK4</f>
        <v>2015</v>
      </c>
      <c r="BM4" s="159">
        <f t="shared" ref="BM4" si="42">EOMONTH(AZ4,12)</f>
        <v>42369</v>
      </c>
      <c r="BN4" s="159">
        <f t="shared" ref="BN4" si="43">BM4</f>
        <v>42369</v>
      </c>
      <c r="BO4" s="159">
        <f t="shared" ref="BO4" si="44">BM4</f>
        <v>42369</v>
      </c>
      <c r="BP4" s="48">
        <f t="shared" ref="BP4" si="45">BM4</f>
        <v>42369</v>
      </c>
      <c r="BQ4" s="164">
        <f t="shared" ref="BQ4" si="46">BM4</f>
        <v>42369</v>
      </c>
      <c r="BR4" s="161">
        <f t="shared" ref="BR4" si="47">BX4</f>
        <v>2016</v>
      </c>
      <c r="BS4" s="162">
        <f t="shared" ref="BS4" si="48">BX4</f>
        <v>2016</v>
      </c>
      <c r="BT4" s="163">
        <f t="shared" ref="BT4" si="49">BX4</f>
        <v>2016</v>
      </c>
      <c r="BU4" s="162">
        <f t="shared" ref="BU4" si="50">BX4</f>
        <v>2016</v>
      </c>
      <c r="BV4" s="159">
        <f t="shared" ref="BV4" si="51">BZ4</f>
        <v>42735</v>
      </c>
      <c r="BW4" s="159">
        <f t="shared" ref="BW4" si="52">BV4</f>
        <v>42735</v>
      </c>
      <c r="BX4" s="163">
        <f t="shared" ref="BX4" si="53">YEAR(BZ4)</f>
        <v>2016</v>
      </c>
      <c r="BY4" s="162">
        <f t="shared" ref="BY4" si="54">BX4</f>
        <v>2016</v>
      </c>
      <c r="BZ4" s="159">
        <f t="shared" ref="BZ4" si="55">EOMONTH(BM4,12)</f>
        <v>42735</v>
      </c>
      <c r="CA4" s="159">
        <f t="shared" ref="CA4" si="56">BZ4</f>
        <v>42735</v>
      </c>
      <c r="CB4" s="159">
        <f t="shared" ref="CB4" si="57">BZ4</f>
        <v>42735</v>
      </c>
      <c r="CC4" s="48">
        <f t="shared" ref="CC4" si="58">BZ4</f>
        <v>42735</v>
      </c>
      <c r="CD4" s="164">
        <f t="shared" ref="CD4" si="59">BZ4</f>
        <v>42735</v>
      </c>
      <c r="CE4" s="161">
        <f t="shared" ref="CE4" si="60">CK4</f>
        <v>2017</v>
      </c>
      <c r="CF4" s="162">
        <f t="shared" ref="CF4" si="61">CK4</f>
        <v>2017</v>
      </c>
      <c r="CG4" s="163">
        <f t="shared" ref="CG4" si="62">CK4</f>
        <v>2017</v>
      </c>
      <c r="CH4" s="162">
        <f t="shared" ref="CH4" si="63">CK4</f>
        <v>2017</v>
      </c>
      <c r="CI4" s="159">
        <f t="shared" ref="CI4" si="64">CM4</f>
        <v>43100</v>
      </c>
      <c r="CJ4" s="159">
        <f t="shared" ref="CJ4" si="65">CI4</f>
        <v>43100</v>
      </c>
      <c r="CK4" s="163">
        <f t="shared" ref="CK4" si="66">YEAR(CM4)</f>
        <v>2017</v>
      </c>
      <c r="CL4" s="162">
        <f t="shared" ref="CL4" si="67">CK4</f>
        <v>2017</v>
      </c>
      <c r="CM4" s="159">
        <f t="shared" ref="CM4" si="68">EOMONTH(BZ4,12)</f>
        <v>43100</v>
      </c>
      <c r="CN4" s="159">
        <f t="shared" ref="CN4" si="69">CM4</f>
        <v>43100</v>
      </c>
      <c r="CO4" s="159">
        <f t="shared" ref="CO4" si="70">CM4</f>
        <v>43100</v>
      </c>
      <c r="CP4" s="48">
        <f t="shared" ref="CP4" si="71">CM4</f>
        <v>43100</v>
      </c>
      <c r="CQ4" s="164">
        <f t="shared" ref="CQ4" si="72">CM4</f>
        <v>43100</v>
      </c>
      <c r="CR4" s="161">
        <f t="shared" ref="CR4" si="73">CX4</f>
        <v>2018</v>
      </c>
      <c r="CS4" s="162">
        <f t="shared" ref="CS4" si="74">CX4</f>
        <v>2018</v>
      </c>
      <c r="CT4" s="163">
        <f t="shared" ref="CT4" si="75">CX4</f>
        <v>2018</v>
      </c>
      <c r="CU4" s="162">
        <f t="shared" ref="CU4" si="76">CX4</f>
        <v>2018</v>
      </c>
      <c r="CV4" s="159">
        <f t="shared" ref="CV4" si="77">CZ4</f>
        <v>43465</v>
      </c>
      <c r="CW4" s="159">
        <f t="shared" ref="CW4" si="78">CV4</f>
        <v>43465</v>
      </c>
      <c r="CX4" s="163">
        <f t="shared" ref="CX4" si="79">YEAR(CZ4)</f>
        <v>2018</v>
      </c>
      <c r="CY4" s="162">
        <f t="shared" ref="CY4" si="80">CX4</f>
        <v>2018</v>
      </c>
      <c r="CZ4" s="159">
        <f t="shared" ref="CZ4" si="81">EOMONTH(CM4,12)</f>
        <v>43465</v>
      </c>
      <c r="DA4" s="159">
        <f t="shared" ref="DA4" si="82">CZ4</f>
        <v>43465</v>
      </c>
      <c r="DB4" s="159">
        <f t="shared" ref="DB4" si="83">CZ4</f>
        <v>43465</v>
      </c>
      <c r="DC4" s="48">
        <f t="shared" ref="DC4" si="84">CZ4</f>
        <v>43465</v>
      </c>
      <c r="DD4" s="164">
        <f t="shared" ref="DD4" si="85">CZ4</f>
        <v>43465</v>
      </c>
      <c r="DE4" s="161">
        <f t="shared" ref="DE4" si="86">DK4</f>
        <v>2019</v>
      </c>
      <c r="DF4" s="162">
        <f t="shared" ref="DF4" si="87">DK4</f>
        <v>2019</v>
      </c>
      <c r="DG4" s="163">
        <f t="shared" ref="DG4" si="88">DK4</f>
        <v>2019</v>
      </c>
      <c r="DH4" s="162">
        <f t="shared" ref="DH4" si="89">DK4</f>
        <v>2019</v>
      </c>
      <c r="DI4" s="159">
        <f t="shared" ref="DI4" si="90">DM4</f>
        <v>43830</v>
      </c>
      <c r="DJ4" s="159">
        <f t="shared" ref="DJ4" si="91">DI4</f>
        <v>43830</v>
      </c>
      <c r="DK4" s="163">
        <f t="shared" ref="DK4" si="92">YEAR(DM4)</f>
        <v>2019</v>
      </c>
      <c r="DL4" s="162">
        <f t="shared" ref="DL4" si="93">DK4</f>
        <v>2019</v>
      </c>
      <c r="DM4" s="159">
        <f t="shared" ref="DM4" si="94">EOMONTH(CZ4,12)</f>
        <v>43830</v>
      </c>
      <c r="DN4" s="159">
        <f t="shared" ref="DN4" si="95">DM4</f>
        <v>43830</v>
      </c>
      <c r="DO4" s="159">
        <f t="shared" ref="DO4" si="96">DM4</f>
        <v>43830</v>
      </c>
      <c r="DP4" s="48">
        <f t="shared" ref="DP4" si="97">DM4</f>
        <v>43830</v>
      </c>
      <c r="DQ4" s="164">
        <f t="shared" ref="DQ4" si="98">DM4</f>
        <v>43830</v>
      </c>
      <c r="DR4" s="161">
        <f t="shared" ref="DR4" si="99">DX4</f>
        <v>2020</v>
      </c>
      <c r="DS4" s="162">
        <f t="shared" ref="DS4" si="100">DX4</f>
        <v>2020</v>
      </c>
      <c r="DT4" s="163">
        <f t="shared" ref="DT4" si="101">DX4</f>
        <v>2020</v>
      </c>
      <c r="DU4" s="162">
        <f t="shared" ref="DU4" si="102">DX4</f>
        <v>2020</v>
      </c>
      <c r="DV4" s="159">
        <f t="shared" ref="DV4" si="103">DZ4</f>
        <v>44196</v>
      </c>
      <c r="DW4" s="159">
        <f t="shared" ref="DW4" si="104">DV4</f>
        <v>44196</v>
      </c>
      <c r="DX4" s="163">
        <f t="shared" ref="DX4" si="105">YEAR(DZ4)</f>
        <v>2020</v>
      </c>
      <c r="DY4" s="162">
        <f t="shared" ref="DY4" si="106">DX4</f>
        <v>2020</v>
      </c>
      <c r="DZ4" s="159">
        <f t="shared" ref="DZ4" si="107">EOMONTH(DM4,12)</f>
        <v>44196</v>
      </c>
      <c r="EA4" s="159">
        <f t="shared" ref="EA4" si="108">DZ4</f>
        <v>44196</v>
      </c>
      <c r="EB4" s="159">
        <f t="shared" ref="EB4" si="109">DZ4</f>
        <v>44196</v>
      </c>
      <c r="EC4" s="48">
        <f t="shared" ref="EC4" si="110">DZ4</f>
        <v>44196</v>
      </c>
      <c r="ED4" s="164">
        <f t="shared" ref="ED4" si="111">DZ4</f>
        <v>44196</v>
      </c>
    </row>
    <row r="5" spans="1:134" x14ac:dyDescent="0.3">
      <c r="A5" s="185"/>
      <c r="B5" s="186" t="s">
        <v>451</v>
      </c>
      <c r="C5" s="187"/>
      <c r="D5" s="188"/>
      <c r="E5" s="189"/>
      <c r="F5" s="190"/>
      <c r="G5" s="191"/>
      <c r="H5" s="192"/>
      <c r="I5" s="193"/>
      <c r="J5" s="194"/>
      <c r="K5" s="165">
        <f>IF(AND(G5&gt;0,G5&lt;=1,H5=0),1,IF(H5&gt;=1,1,IF(AND(H5&gt;0,H5&lt;1),H5,IF(AND(G5&gt;1,OR(H5=0,H5="")),ROUND(1/G5,4),0))))</f>
        <v>0</v>
      </c>
      <c r="L5" s="166">
        <f>IF(AND(E5&gt;0,F5&gt;0,OR(G5&gt;0,H5&gt;0)),ROUND((E5-I5)*K5,2),IF(AND(E5&lt;0,F5&gt;0,OR(G5&gt;0,H5&gt;0)),ROUND(E5*K5,2),0))</f>
        <v>0</v>
      </c>
      <c r="M5" s="167">
        <f>IF(AND(E5-O5&gt;=0,F5&gt;0,YEAR(M$4)&gt;=YEAR(F5)),E5-O5,IF(AND(E5-O5&lt;0,F5&gt;0,YEAR(M$4)&gt;=YEAR(F5)),E5-O5,0))</f>
        <v>0</v>
      </c>
      <c r="N5" s="167"/>
      <c r="O5" s="167">
        <f>IF(AND(YEAR(F5)&lt;=YEAR(M$4),E5&lt;1000,E5&gt;-1000,F5&gt;0,K5=1),E5-I5,IF(AND(YEAR(F5)&lt;=YEAR(M$4),E5&gt;0,F5&gt;0,K5&gt;0,E5&gt;L5*(YEAR(M$4)-YEAR(F5))+ROUND((L5/12)*(13-MONTH(F5)),2)+I5),L5*(YEAR(M$4)-YEAR(F5))+ROUND((L5/12)*(13-MONTH(F5)),2),IF(AND(YEAR(F5)&lt;=YEAR(M$4),E5&gt;0,F5&gt;0,K5&gt;0,E5&lt;=(L5*(YEAR(M$4)-YEAR(F5)+ROUND((L5/12)*(13-MONTH(F5)),2)))+I5),E5-I5,IF(AND(YEAR(F5)&lt;=YEAR(M$4),E5&lt;0,F5&gt;0,K5&gt;0,E5&lt;L5*(YEAR(M$4)-YEAR(F5))+ROUND((L5/12)*(13-MONTH(F5)),2)+I5),L5*(YEAR(M$4)-YEAR(F5))+ROUND((L5/12)*(13-MONTH(F5)),2),IF(AND(YEAR(F5)&lt;=YEAR(M$4),E5&lt;0,F5&gt;0,K5&gt;0,E5&lt;=(L5*(YEAR(M$4)-YEAR(F5)+ROUND((L5/12)*(13-MONTH(F5)),2)))),E5,0)))))</f>
        <v>0</v>
      </c>
      <c r="P5" s="168"/>
      <c r="Q5" s="167">
        <f>IF(AND($F5&gt;0,$F5&lt;=O$4),$E5,0)</f>
        <v>0</v>
      </c>
      <c r="R5" s="169">
        <f>IF(YEAR($F5)=R$4,$E5,0)</f>
        <v>0</v>
      </c>
      <c r="S5" s="167">
        <f>IF($J5&lt;&gt;"H",R5,0)</f>
        <v>0</v>
      </c>
      <c r="T5" s="167">
        <f>IF(R5&lt;&gt;0,ROUND(R5*(DAYS360($F5,Z$4)/DAYS360(M$4,Z$4)),2),0)</f>
        <v>0</v>
      </c>
      <c r="U5" s="167">
        <f>IF($J5&lt;&gt;"H",T5,0)</f>
        <v>0</v>
      </c>
      <c r="V5" s="167">
        <f>IF(AND($F5&gt;0,$F5&lt;=Z$4),$E5,0)</f>
        <v>0</v>
      </c>
      <c r="W5" s="167">
        <f>IF(X5&lt;&gt;0,ROUND(X5/$L5*V5,2),0)</f>
        <v>0</v>
      </c>
      <c r="X5" s="167">
        <f>IF(AND(YEAR($F5)=YEAR(Z$4),$E5&lt;1000,$E5&gt;-1000,$F5&gt;0,$K5=1),$E5-$I5,IF(AND(YEAR($F5)=YEAR(Z$4),$F5&gt;0,$K5&gt;0),ROUND(($L5/12)*(13-MONTH($F5)),2),IF(AND(YEAR($F5)&lt;YEAR(Z$4),$E5&gt;0,$F5&gt;0,$K5&gt;0,M5&gt;$L5+$I5),$L5,IF(AND(YEAR($F5)&lt;YEAR(Z$4),$E5&gt;0,$F5&gt;0,$K5&gt;0,M5&gt;0,M5&lt;=$L5+$I5),M5-$I5,IF(AND(YEAR($F5)&lt;YEAR(Z$4),$E5&lt;0,$F5&gt;0,$K5&gt;0,M5&lt;0,M5&lt;=$L5),$L5,IF(AND(YEAR($F5)&lt;YEAR(Z$4),$E5&lt;0,$F5&gt;0,$K5&gt;0,M5&lt;0,M5&gt;$L5),M5,0))))))</f>
        <v>0</v>
      </c>
      <c r="Y5" s="167">
        <f>IF($J5&lt;&gt;"H",X5,0)</f>
        <v>0</v>
      </c>
      <c r="Z5" s="167">
        <f>IF(AND(YEAR(Z$4)=YEAR($F5),$E5&gt;0,$F5&gt;0,$E5-X5&gt;=0),$E5-X5,IF(AND(YEAR(Z$4)&gt;YEAR($F5),$E5&gt;0,$F5&gt;0,M5-X5&gt;=0),M5-X5,IF(AND(YEAR(Z$4)=YEAR($F5),$E5&lt;0,$F5&gt;0,$E5-X5&lt;0),$E5-X5,IF(AND(YEAR(Z$4)&gt;YEAR($F5),$E5&lt;0,$F5&gt;0,M5-X5&lt;=0),M5-X5,0))))</f>
        <v>0</v>
      </c>
      <c r="AA5" s="167">
        <f>IF($J5&lt;&gt;"H",Z5,0)</f>
        <v>0</v>
      </c>
      <c r="AB5" s="170">
        <f>O5+X5</f>
        <v>0</v>
      </c>
      <c r="AC5" s="167">
        <f>IF(AND(R5&lt;&gt;0,$J5="H",$L5=0),T5,IF(AND(YEAR(Z$4)&gt;YEAR($F5),$J5="H",$F5&gt;0,$L5=0),$E5,0))</f>
        <v>0</v>
      </c>
      <c r="AD5" s="171">
        <f>IF(AND(YEAR(Z$4)&gt;=YEAR($F5),$E5&gt;0,$F5&gt;0,X5&gt;0,$J5="H"),ROUND(X5/$L5*$E5,2),IF(AND(YEAR(Z$4)&gt;=YEAR($F5),$E5&lt;0,$F5&gt;0,X5&lt;0,$J5="H"),ROUND(X5/$L5*$E5,2),0))</f>
        <v>0</v>
      </c>
      <c r="AE5" s="169">
        <f t="shared" ref="AE5:BE20" si="112">IF(YEAR($F5)=AE$4,$E5,0)</f>
        <v>0</v>
      </c>
      <c r="AF5" s="167">
        <f t="shared" ref="AF5:AF20" si="113">IF($J5&lt;&gt;"H",AE5,0)</f>
        <v>0</v>
      </c>
      <c r="AG5" s="167">
        <f t="shared" ref="AG5:AG68" si="114">IF(AE5&lt;&gt;0,ROUND(AE5*(DAYS360($F5,AM$4)/DAYS360(Z$4,AM$4)),2),0)</f>
        <v>0</v>
      </c>
      <c r="AH5" s="167">
        <f t="shared" ref="AH5:AH20" si="115">IF($J5&lt;&gt;"H",AG5,0)</f>
        <v>0</v>
      </c>
      <c r="AI5" s="167">
        <f t="shared" ref="AI5:AI68" si="116">IF(AND($F5&gt;0,$F5&lt;=AM$4),$E5,0)</f>
        <v>0</v>
      </c>
      <c r="AJ5" s="167">
        <f t="shared" ref="AJ5:AJ20" si="117">IF(AK5&lt;&gt;0,ROUND(AK5/$L5*AI5,2),0)</f>
        <v>0</v>
      </c>
      <c r="AK5" s="167">
        <f t="shared" ref="AK5:AK68" si="118">IF(AND(YEAR($F5)=YEAR(AM$4),$E5&lt;1000,$E5&gt;-1000,$F5&gt;0,$K5=1),$E5-$I5,IF(AND(YEAR($F5)=YEAR(AM$4),$F5&gt;0,$K5&gt;0),ROUND(($L5/12)*(13-MONTH($F5)),2),IF(AND(YEAR($F5)&lt;YEAR(AM$4),$E5&gt;0,$F5&gt;0,$K5&gt;0,Z5&gt;$L5+$I5),$L5,IF(AND(YEAR($F5)&lt;YEAR(AM$4),$E5&gt;0,$F5&gt;0,$K5&gt;0,Z5&gt;0,Z5&lt;=$L5+$I5),Z5-$I5,IF(AND(YEAR($F5)&lt;YEAR(AM$4),$E5&lt;0,$F5&gt;0,$K5&gt;0,Z5&lt;0,Z5&lt;=$L5),$L5,IF(AND(YEAR($F5)&lt;YEAR(AM$4),$E5&lt;0,$F5&gt;0,$K5&gt;0,Z5&lt;0,Z5&gt;$L5),Z5,0))))))</f>
        <v>0</v>
      </c>
      <c r="AL5" s="167">
        <f t="shared" ref="AL5:AL20" si="119">IF($J5&lt;&gt;"H",AK5,0)</f>
        <v>0</v>
      </c>
      <c r="AM5" s="167">
        <f t="shared" ref="AM5:AM68" si="120">IF(AND(YEAR(AM$4)=YEAR($F5),$E5&gt;0,$F5&gt;0,$E5-AK5&gt;=0),$E5-AK5,IF(AND(YEAR(AM$4)&gt;YEAR($F5),$E5&gt;0,$F5&gt;0,Z5-AK5&gt;=0),Z5-AK5,IF(AND(YEAR(AM$4)=YEAR($F5),$E5&lt;0,$F5&gt;0,$E5-AK5&lt;0),$E5-AK5,IF(AND(YEAR(AM$4)&gt;YEAR($F5),$E5&lt;0,$F5&gt;0,Z5-AK5&lt;=0),Z5-AK5,0))))</f>
        <v>0</v>
      </c>
      <c r="AN5" s="167">
        <f t="shared" ref="AN5:AN20" si="121">IF($J5&lt;&gt;"H",AM5,0)</f>
        <v>0</v>
      </c>
      <c r="AO5" s="170">
        <f t="shared" ref="AO5:AO68" si="122">AB5+AK5</f>
        <v>0</v>
      </c>
      <c r="AP5" s="167">
        <f t="shared" ref="AP5:AP68" si="123">IF(AND(AE5&lt;&gt;0,$J5="H",$L5=0),AG5,IF(AND(YEAR(AM$4)&gt;YEAR($F5),$J5="H",$F5&gt;0,$L5=0),$E5,0))</f>
        <v>0</v>
      </c>
      <c r="AQ5" s="171">
        <f t="shared" ref="AQ5:AQ68" si="124">IF(AND(YEAR(AM$4)&gt;=YEAR($F5),$E5&gt;0,$F5&gt;0,AK5&gt;0,$J5="H"),ROUND(AK5/$L5*$E5,2),IF(AND(YEAR(AM$4)&gt;=YEAR($F5),$E5&lt;0,$F5&gt;0,AK5&lt;0,$J5="H"),ROUND(AK5/$L5*$E5,2),0))</f>
        <v>0</v>
      </c>
      <c r="AR5" s="169">
        <f t="shared" ref="AR5" si="125">IF(YEAR($F5)=AR$4,$E5,0)</f>
        <v>0</v>
      </c>
      <c r="AS5" s="167">
        <f t="shared" ref="AS5:AS20" si="126">IF($J5&lt;&gt;"H",AR5,0)</f>
        <v>0</v>
      </c>
      <c r="AT5" s="167">
        <f t="shared" ref="AT5:AT68" si="127">IF(AR5&lt;&gt;0,ROUND(AR5*(DAYS360($F5,AZ$4)/DAYS360(AM$4,AZ$4)),2),0)</f>
        <v>0</v>
      </c>
      <c r="AU5" s="167">
        <f t="shared" ref="AU5:AU20" si="128">IF($J5&lt;&gt;"H",AT5,0)</f>
        <v>0</v>
      </c>
      <c r="AV5" s="167">
        <f t="shared" ref="AV5:AV68" si="129">IF(AND($F5&gt;0,$F5&lt;=AZ$4),$E5,0)</f>
        <v>0</v>
      </c>
      <c r="AW5" s="167">
        <f t="shared" ref="AW5:AW20" si="130">IF(AX5&lt;&gt;0,ROUND(AX5/$L5*AV5,2),0)</f>
        <v>0</v>
      </c>
      <c r="AX5" s="167">
        <f t="shared" ref="AX5:AX68" si="131">IF(AND(YEAR($F5)=YEAR(AZ$4),$E5&lt;1000,$E5&gt;-1000,$F5&gt;0,$K5=1),$E5-$I5,IF(AND(YEAR($F5)=YEAR(AZ$4),$F5&gt;0,$K5&gt;0),ROUND(($L5/12)*(13-MONTH($F5)),2),IF(AND(YEAR($F5)&lt;YEAR(AZ$4),$E5&gt;0,$F5&gt;0,$K5&gt;0,AM5&gt;$L5+$I5),$L5,IF(AND(YEAR($F5)&lt;YEAR(AZ$4),$E5&gt;0,$F5&gt;0,$K5&gt;0,AM5&gt;0,AM5&lt;=$L5+$I5),AM5-$I5,IF(AND(YEAR($F5)&lt;YEAR(AZ$4),$E5&lt;0,$F5&gt;0,$K5&gt;0,AM5&lt;0,AM5&lt;=$L5),$L5,IF(AND(YEAR($F5)&lt;YEAR(AZ$4),$E5&lt;0,$F5&gt;0,$K5&gt;0,AM5&lt;0,AM5&gt;$L5),AM5,0))))))</f>
        <v>0</v>
      </c>
      <c r="AY5" s="167">
        <f t="shared" ref="AY5:AY20" si="132">IF($J5&lt;&gt;"H",AX5,0)</f>
        <v>0</v>
      </c>
      <c r="AZ5" s="167">
        <f t="shared" ref="AZ5:AZ68" si="133">IF(AND(YEAR(AZ$4)=YEAR($F5),$E5&gt;0,$F5&gt;0,$E5-AX5&gt;=0),$E5-AX5,IF(AND(YEAR(AZ$4)&gt;YEAR($F5),$E5&gt;0,$F5&gt;0,AM5-AX5&gt;=0),AM5-AX5,IF(AND(YEAR(AZ$4)=YEAR($F5),$E5&lt;0,$F5&gt;0,$E5-AX5&lt;0),$E5-AX5,IF(AND(YEAR(AZ$4)&gt;YEAR($F5),$E5&lt;0,$F5&gt;0,AM5-AX5&lt;=0),AM5-AX5,0))))</f>
        <v>0</v>
      </c>
      <c r="BA5" s="167">
        <f t="shared" ref="BA5:BA20" si="134">IF($J5&lt;&gt;"H",AZ5,0)</f>
        <v>0</v>
      </c>
      <c r="BB5" s="170">
        <f t="shared" ref="BB5:BB68" si="135">AO5+AX5</f>
        <v>0</v>
      </c>
      <c r="BC5" s="167">
        <f t="shared" ref="BC5:BC68" si="136">IF(AND(AR5&lt;&gt;0,$J5="H",$L5=0),AT5,IF(AND(YEAR(AZ$4)&gt;YEAR($F5),$J5="H",$F5&gt;0,$L5=0),$E5,0))</f>
        <v>0</v>
      </c>
      <c r="BD5" s="171">
        <f t="shared" ref="BD5:BD68" si="137">IF(AND(YEAR(AZ$4)&gt;=YEAR($F5),$E5&gt;0,$F5&gt;0,AX5&gt;0,$J5="H"),ROUND(AX5/$L5*$E5,2),IF(AND(YEAR(AZ$4)&gt;=YEAR($F5),$E5&lt;0,$F5&gt;0,AX5&lt;0,$J5="H"),ROUND(AX5/$L5*$E5,2),0))</f>
        <v>0</v>
      </c>
      <c r="BE5" s="169">
        <f t="shared" ref="BE5" si="138">IF(YEAR($F5)=BE$4,$E5,0)</f>
        <v>0</v>
      </c>
      <c r="BF5" s="167">
        <f t="shared" ref="BF5:BF20" si="139">IF($J5&lt;&gt;"H",BE5,0)</f>
        <v>0</v>
      </c>
      <c r="BG5" s="167">
        <f t="shared" ref="BG5:BG68" si="140">IF(BE5&lt;&gt;0,ROUND(BE5*(DAYS360($F5,BM$4)/DAYS360(AZ$4,BM$4)),2),0)</f>
        <v>0</v>
      </c>
      <c r="BH5" s="167">
        <f t="shared" ref="BH5:BH20" si="141">IF($J5&lt;&gt;"H",BG5,0)</f>
        <v>0</v>
      </c>
      <c r="BI5" s="167">
        <f t="shared" ref="BI5:BI68" si="142">IF(AND($F5&gt;0,$F5&lt;=BM$4),$E5,0)</f>
        <v>0</v>
      </c>
      <c r="BJ5" s="167">
        <f t="shared" ref="BJ5:BJ20" si="143">IF(BK5&lt;&gt;0,ROUND(BK5/$L5*BI5,2),0)</f>
        <v>0</v>
      </c>
      <c r="BK5" s="167">
        <f t="shared" ref="BK5:BK68" si="144">IF(AND(YEAR($F5)=YEAR(BM$4),$E5&lt;1000,$E5&gt;-1000,$F5&gt;0,$K5=1),$E5-$I5,IF(AND(YEAR($F5)=YEAR(BM$4),$F5&gt;0,$K5&gt;0),ROUND(($L5/12)*(13-MONTH($F5)),2),IF(AND(YEAR($F5)&lt;YEAR(BM$4),$E5&gt;0,$F5&gt;0,$K5&gt;0,AZ5&gt;$L5+$I5),$L5,IF(AND(YEAR($F5)&lt;YEAR(BM$4),$E5&gt;0,$F5&gt;0,$K5&gt;0,AZ5&gt;0,AZ5&lt;=$L5+$I5),AZ5-$I5,IF(AND(YEAR($F5)&lt;YEAR(BM$4),$E5&lt;0,$F5&gt;0,$K5&gt;0,AZ5&lt;0,AZ5&lt;=$L5),$L5,IF(AND(YEAR($F5)&lt;YEAR(BM$4),$E5&lt;0,$F5&gt;0,$K5&gt;0,AZ5&lt;0,AZ5&gt;$L5),AZ5,0))))))</f>
        <v>0</v>
      </c>
      <c r="BL5" s="167">
        <f t="shared" ref="BL5:BL20" si="145">IF($J5&lt;&gt;"H",BK5,0)</f>
        <v>0</v>
      </c>
      <c r="BM5" s="167">
        <f t="shared" ref="BM5:BM68" si="146">IF(AND(YEAR(BM$4)=YEAR($F5),$E5&gt;0,$F5&gt;0,$E5-BK5&gt;=0),$E5-BK5,IF(AND(YEAR(BM$4)&gt;YEAR($F5),$E5&gt;0,$F5&gt;0,AZ5-BK5&gt;=0),AZ5-BK5,IF(AND(YEAR(BM$4)=YEAR($F5),$E5&lt;0,$F5&gt;0,$E5-BK5&lt;0),$E5-BK5,IF(AND(YEAR(BM$4)&gt;YEAR($F5),$E5&lt;0,$F5&gt;0,AZ5-BK5&lt;=0),AZ5-BK5,0))))</f>
        <v>0</v>
      </c>
      <c r="BN5" s="167">
        <f t="shared" ref="BN5:BN20" si="147">IF($J5&lt;&gt;"H",BM5,0)</f>
        <v>0</v>
      </c>
      <c r="BO5" s="170">
        <f t="shared" ref="BO5:BO68" si="148">BB5+BK5</f>
        <v>0</v>
      </c>
      <c r="BP5" s="167">
        <f t="shared" ref="BP5:BP68" si="149">IF(AND(BE5&lt;&gt;0,$J5="H",$L5=0),BG5,IF(AND(YEAR(BM$4)&gt;YEAR($F5),$J5="H",$F5&gt;0,$L5=0),$E5,0))</f>
        <v>0</v>
      </c>
      <c r="BQ5" s="171">
        <f t="shared" ref="BQ5:BQ68" si="150">IF(AND(YEAR(BM$4)&gt;=YEAR($F5),$E5&gt;0,$F5&gt;0,BK5&gt;0,$J5="H"),ROUND(BK5/$L5*$E5,2),IF(AND(YEAR(BM$4)&gt;=YEAR($F5),$E5&lt;0,$F5&gt;0,BK5&lt;0,$J5="H"),ROUND(BK5/$L5*$E5,2),0))</f>
        <v>0</v>
      </c>
      <c r="BR5" s="169">
        <f t="shared" ref="BR5:CR20" si="151">IF(YEAR($F5)=BR$4,$E5,0)</f>
        <v>0</v>
      </c>
      <c r="BS5" s="167">
        <f t="shared" ref="BS5:BS20" si="152">IF($J5&lt;&gt;"H",BR5,0)</f>
        <v>0</v>
      </c>
      <c r="BT5" s="167">
        <f t="shared" ref="BT5:BT68" si="153">IF(BR5&lt;&gt;0,ROUND(BR5*(DAYS360($F5,BZ$4)/DAYS360(BM$4,BZ$4)),2),0)</f>
        <v>0</v>
      </c>
      <c r="BU5" s="167">
        <f t="shared" ref="BU5:BU20" si="154">IF($J5&lt;&gt;"H",BT5,0)</f>
        <v>0</v>
      </c>
      <c r="BV5" s="167">
        <f t="shared" ref="BV5:BV68" si="155">IF(AND($F5&gt;0,$F5&lt;=BZ$4),$E5,0)</f>
        <v>0</v>
      </c>
      <c r="BW5" s="167">
        <f t="shared" ref="BW5:BW20" si="156">IF(BX5&lt;&gt;0,ROUND(BX5/$L5*BV5,2),0)</f>
        <v>0</v>
      </c>
      <c r="BX5" s="167">
        <f t="shared" ref="BX5:BX68" si="157">IF(AND(YEAR($F5)=YEAR(BZ$4),$E5&lt;1000,$E5&gt;-1000,$F5&gt;0,$K5=1),$E5-$I5,IF(AND(YEAR($F5)=YEAR(BZ$4),$F5&gt;0,$K5&gt;0),ROUND(($L5/12)*(13-MONTH($F5)),2),IF(AND(YEAR($F5)&lt;YEAR(BZ$4),$E5&gt;0,$F5&gt;0,$K5&gt;0,BM5&gt;$L5+$I5),$L5,IF(AND(YEAR($F5)&lt;YEAR(BZ$4),$E5&gt;0,$F5&gt;0,$K5&gt;0,BM5&gt;0,BM5&lt;=$L5+$I5),BM5-$I5,IF(AND(YEAR($F5)&lt;YEAR(BZ$4),$E5&lt;0,$F5&gt;0,$K5&gt;0,BM5&lt;0,BM5&lt;=$L5),$L5,IF(AND(YEAR($F5)&lt;YEAR(BZ$4),$E5&lt;0,$F5&gt;0,$K5&gt;0,BM5&lt;0,BM5&gt;$L5),BM5,0))))))</f>
        <v>0</v>
      </c>
      <c r="BY5" s="167">
        <f t="shared" ref="BY5:BY20" si="158">IF($J5&lt;&gt;"H",BX5,0)</f>
        <v>0</v>
      </c>
      <c r="BZ5" s="167">
        <f t="shared" ref="BZ5:BZ68" si="159">IF(AND(YEAR(BZ$4)=YEAR($F5),$E5&gt;0,$F5&gt;0,$E5-BX5&gt;=0),$E5-BX5,IF(AND(YEAR(BZ$4)&gt;YEAR($F5),$E5&gt;0,$F5&gt;0,BM5-BX5&gt;=0),BM5-BX5,IF(AND(YEAR(BZ$4)=YEAR($F5),$E5&lt;0,$F5&gt;0,$E5-BX5&lt;0),$E5-BX5,IF(AND(YEAR(BZ$4)&gt;YEAR($F5),$E5&lt;0,$F5&gt;0,BM5-BX5&lt;=0),BM5-BX5,0))))</f>
        <v>0</v>
      </c>
      <c r="CA5" s="167">
        <f t="shared" ref="CA5:CA20" si="160">IF($J5&lt;&gt;"H",BZ5,0)</f>
        <v>0</v>
      </c>
      <c r="CB5" s="170">
        <f t="shared" ref="CB5:CB68" si="161">BO5+BX5</f>
        <v>0</v>
      </c>
      <c r="CC5" s="167">
        <f t="shared" ref="CC5:CC68" si="162">IF(AND(BR5&lt;&gt;0,$J5="H",$L5=0),BT5,IF(AND(YEAR(BZ$4)&gt;YEAR($F5),$J5="H",$F5&gt;0,$L5=0),$E5,0))</f>
        <v>0</v>
      </c>
      <c r="CD5" s="171">
        <f t="shared" ref="CD5:CD68" si="163">IF(AND(YEAR(BZ$4)&gt;=YEAR($F5),$E5&gt;0,$F5&gt;0,BX5&gt;0,$J5="H"),ROUND(BX5/$L5*$E5,2),IF(AND(YEAR(BZ$4)&gt;=YEAR($F5),$E5&lt;0,$F5&gt;0,BX5&lt;0,$J5="H"),ROUND(BX5/$L5*$E5,2),0))</f>
        <v>0</v>
      </c>
      <c r="CE5" s="169">
        <f t="shared" ref="CE5" si="164">IF(YEAR($F5)=CE$4,$E5,0)</f>
        <v>0</v>
      </c>
      <c r="CF5" s="167">
        <f t="shared" ref="CF5:CF20" si="165">IF($J5&lt;&gt;"H",CE5,0)</f>
        <v>0</v>
      </c>
      <c r="CG5" s="167">
        <f t="shared" ref="CG5:CG68" si="166">IF(CE5&lt;&gt;0,ROUND(CE5*(DAYS360($F5,CM$4)/DAYS360(BZ$4,CM$4)),2),0)</f>
        <v>0</v>
      </c>
      <c r="CH5" s="167">
        <f t="shared" ref="CH5:CH20" si="167">IF($J5&lt;&gt;"H",CG5,0)</f>
        <v>0</v>
      </c>
      <c r="CI5" s="167">
        <f t="shared" ref="CI5:CI68" si="168">IF(AND($F5&gt;0,$F5&lt;=CM$4),$E5,0)</f>
        <v>0</v>
      </c>
      <c r="CJ5" s="167">
        <f t="shared" ref="CJ5:CJ20" si="169">IF(CK5&lt;&gt;0,ROUND(CK5/$L5*CI5,2),0)</f>
        <v>0</v>
      </c>
      <c r="CK5" s="167">
        <f t="shared" ref="CK5:CK68" si="170">IF(AND(YEAR($F5)=YEAR(CM$4),$E5&lt;1000,$E5&gt;-1000,$F5&gt;0,$K5=1),$E5-$I5,IF(AND(YEAR($F5)=YEAR(CM$4),$F5&gt;0,$K5&gt;0),ROUND(($L5/12)*(13-MONTH($F5)),2),IF(AND(YEAR($F5)&lt;YEAR(CM$4),$E5&gt;0,$F5&gt;0,$K5&gt;0,BZ5&gt;$L5+$I5),$L5,IF(AND(YEAR($F5)&lt;YEAR(CM$4),$E5&gt;0,$F5&gt;0,$K5&gt;0,BZ5&gt;0,BZ5&lt;=$L5+$I5),BZ5-$I5,IF(AND(YEAR($F5)&lt;YEAR(CM$4),$E5&lt;0,$F5&gt;0,$K5&gt;0,BZ5&lt;0,BZ5&lt;=$L5),$L5,IF(AND(YEAR($F5)&lt;YEAR(CM$4),$E5&lt;0,$F5&gt;0,$K5&gt;0,BZ5&lt;0,BZ5&gt;$L5),BZ5,0))))))</f>
        <v>0</v>
      </c>
      <c r="CL5" s="167">
        <f t="shared" ref="CL5:CL20" si="171">IF($J5&lt;&gt;"H",CK5,0)</f>
        <v>0</v>
      </c>
      <c r="CM5" s="167">
        <f t="shared" ref="CM5:CM68" si="172">IF(AND(YEAR(CM$4)=YEAR($F5),$E5&gt;0,$F5&gt;0,$E5-CK5&gt;=0),$E5-CK5,IF(AND(YEAR(CM$4)&gt;YEAR($F5),$E5&gt;0,$F5&gt;0,BZ5-CK5&gt;=0),BZ5-CK5,IF(AND(YEAR(CM$4)=YEAR($F5),$E5&lt;0,$F5&gt;0,$E5-CK5&lt;0),$E5-CK5,IF(AND(YEAR(CM$4)&gt;YEAR($F5),$E5&lt;0,$F5&gt;0,BZ5-CK5&lt;=0),BZ5-CK5,0))))</f>
        <v>0</v>
      </c>
      <c r="CN5" s="167">
        <f t="shared" ref="CN5:CN20" si="173">IF($J5&lt;&gt;"H",CM5,0)</f>
        <v>0</v>
      </c>
      <c r="CO5" s="170">
        <f t="shared" ref="CO5:CO68" si="174">CB5+CK5</f>
        <v>0</v>
      </c>
      <c r="CP5" s="167">
        <f t="shared" ref="CP5:CP68" si="175">IF(AND(CE5&lt;&gt;0,$J5="H",$L5=0),CG5,IF(AND(YEAR(CM$4)&gt;YEAR($F5),$J5="H",$F5&gt;0,$L5=0),$E5,0))</f>
        <v>0</v>
      </c>
      <c r="CQ5" s="171">
        <f t="shared" ref="CQ5:CQ68" si="176">IF(AND(YEAR(CM$4)&gt;=YEAR($F5),$E5&gt;0,$F5&gt;0,CK5&gt;0,$J5="H"),ROUND(CK5/$L5*$E5,2),IF(AND(YEAR(CM$4)&gt;=YEAR($F5),$E5&lt;0,$F5&gt;0,CK5&lt;0,$J5="H"),ROUND(CK5/$L5*$E5,2),0))</f>
        <v>0</v>
      </c>
      <c r="CR5" s="169">
        <f t="shared" ref="CR5" si="177">IF(YEAR($F5)=CR$4,$E5,0)</f>
        <v>0</v>
      </c>
      <c r="CS5" s="167">
        <f t="shared" ref="CS5:CS20" si="178">IF($J5&lt;&gt;"H",CR5,0)</f>
        <v>0</v>
      </c>
      <c r="CT5" s="167">
        <f t="shared" ref="CT5:CT68" si="179">IF(CR5&lt;&gt;0,ROUND(CR5*(DAYS360($F5,CZ$4)/DAYS360(CM$4,CZ$4)),2),0)</f>
        <v>0</v>
      </c>
      <c r="CU5" s="167">
        <f t="shared" ref="CU5:CU20" si="180">IF($J5&lt;&gt;"H",CT5,0)</f>
        <v>0</v>
      </c>
      <c r="CV5" s="167">
        <f t="shared" ref="CV5:CV68" si="181">IF(AND($F5&gt;0,$F5&lt;=CZ$4),$E5,0)</f>
        <v>0</v>
      </c>
      <c r="CW5" s="167">
        <f t="shared" ref="CW5:CW20" si="182">IF(CX5&lt;&gt;0,ROUND(CX5/$L5*CV5,2),0)</f>
        <v>0</v>
      </c>
      <c r="CX5" s="167">
        <f t="shared" ref="CX5:CX68" si="183">IF(AND(YEAR($F5)=YEAR(CZ$4),$E5&lt;1000,$E5&gt;-1000,$F5&gt;0,$K5=1),$E5-$I5,IF(AND(YEAR($F5)=YEAR(CZ$4),$F5&gt;0,$K5&gt;0),ROUND(($L5/12)*(13-MONTH($F5)),2),IF(AND(YEAR($F5)&lt;YEAR(CZ$4),$E5&gt;0,$F5&gt;0,$K5&gt;0,CM5&gt;$L5+$I5),$L5,IF(AND(YEAR($F5)&lt;YEAR(CZ$4),$E5&gt;0,$F5&gt;0,$K5&gt;0,CM5&gt;0,CM5&lt;=$L5+$I5),CM5-$I5,IF(AND(YEAR($F5)&lt;YEAR(CZ$4),$E5&lt;0,$F5&gt;0,$K5&gt;0,CM5&lt;0,CM5&lt;=$L5),$L5,IF(AND(YEAR($F5)&lt;YEAR(CZ$4),$E5&lt;0,$F5&gt;0,$K5&gt;0,CM5&lt;0,CM5&gt;$L5),CM5,0))))))</f>
        <v>0</v>
      </c>
      <c r="CY5" s="167">
        <f t="shared" ref="CY5:CY20" si="184">IF($J5&lt;&gt;"H",CX5,0)</f>
        <v>0</v>
      </c>
      <c r="CZ5" s="167">
        <f t="shared" ref="CZ5:CZ68" si="185">IF(AND(YEAR(CZ$4)=YEAR($F5),$E5&gt;0,$F5&gt;0,$E5-CX5&gt;=0),$E5-CX5,IF(AND(YEAR(CZ$4)&gt;YEAR($F5),$E5&gt;0,$F5&gt;0,CM5-CX5&gt;=0),CM5-CX5,IF(AND(YEAR(CZ$4)=YEAR($F5),$E5&lt;0,$F5&gt;0,$E5-CX5&lt;0),$E5-CX5,IF(AND(YEAR(CZ$4)&gt;YEAR($F5),$E5&lt;0,$F5&gt;0,CM5-CX5&lt;=0),CM5-CX5,0))))</f>
        <v>0</v>
      </c>
      <c r="DA5" s="167">
        <f t="shared" ref="DA5:DA20" si="186">IF($J5&lt;&gt;"H",CZ5,0)</f>
        <v>0</v>
      </c>
      <c r="DB5" s="170">
        <f t="shared" ref="DB5:DB68" si="187">CO5+CX5</f>
        <v>0</v>
      </c>
      <c r="DC5" s="167">
        <f t="shared" ref="DC5:DC68" si="188">IF(AND(CR5&lt;&gt;0,$J5="H",$L5=0),CT5,IF(AND(YEAR(CZ$4)&gt;YEAR($F5),$J5="H",$F5&gt;0,$L5=0),$E5,0))</f>
        <v>0</v>
      </c>
      <c r="DD5" s="171">
        <f t="shared" ref="DD5:DD68" si="189">IF(AND(YEAR(CZ$4)&gt;=YEAR($F5),$E5&gt;0,$F5&gt;0,CX5&gt;0,$J5="H"),ROUND(CX5/$L5*$E5,2),IF(AND(YEAR(CZ$4)&gt;=YEAR($F5),$E5&lt;0,$F5&gt;0,CX5&lt;0,$J5="H"),ROUND(CX5/$L5*$E5,2),0))</f>
        <v>0</v>
      </c>
      <c r="DE5" s="169">
        <f t="shared" ref="DE5:DR20" si="190">IF(YEAR($F5)=DE$4,$E5,0)</f>
        <v>0</v>
      </c>
      <c r="DF5" s="167">
        <f t="shared" ref="DF5:DF20" si="191">IF($J5&lt;&gt;"H",DE5,0)</f>
        <v>0</v>
      </c>
      <c r="DG5" s="167">
        <f t="shared" ref="DG5:DG68" si="192">IF(DE5&lt;&gt;0,ROUND(DE5*(DAYS360($F5,DM$4)/DAYS360(CZ$4,DM$4)),2),0)</f>
        <v>0</v>
      </c>
      <c r="DH5" s="167">
        <f t="shared" ref="DH5:DH20" si="193">IF($J5&lt;&gt;"H",DG5,0)</f>
        <v>0</v>
      </c>
      <c r="DI5" s="167">
        <f t="shared" ref="DI5:DI68" si="194">IF(AND($F5&gt;0,$F5&lt;=DM$4),$E5,0)</f>
        <v>0</v>
      </c>
      <c r="DJ5" s="167">
        <f t="shared" ref="DJ5:DJ20" si="195">IF(DK5&lt;&gt;0,ROUND(DK5/$L5*DI5,2),0)</f>
        <v>0</v>
      </c>
      <c r="DK5" s="167">
        <f t="shared" ref="DK5:DK68" si="196">IF(AND(YEAR($F5)=YEAR(DM$4),$E5&lt;1000,$E5&gt;-1000,$F5&gt;0,$K5=1),$E5-$I5,IF(AND(YEAR($F5)=YEAR(DM$4),$F5&gt;0,$K5&gt;0),ROUND(($L5/12)*(13-MONTH($F5)),2),IF(AND(YEAR($F5)&lt;YEAR(DM$4),$E5&gt;0,$F5&gt;0,$K5&gt;0,CZ5&gt;$L5+$I5),$L5,IF(AND(YEAR($F5)&lt;YEAR(DM$4),$E5&gt;0,$F5&gt;0,$K5&gt;0,CZ5&gt;0,CZ5&lt;=$L5+$I5),CZ5-$I5,IF(AND(YEAR($F5)&lt;YEAR(DM$4),$E5&lt;0,$F5&gt;0,$K5&gt;0,CZ5&lt;0,CZ5&lt;=$L5),$L5,IF(AND(YEAR($F5)&lt;YEAR(DM$4),$E5&lt;0,$F5&gt;0,$K5&gt;0,CZ5&lt;0,CZ5&gt;$L5),CZ5,0))))))</f>
        <v>0</v>
      </c>
      <c r="DL5" s="167">
        <f t="shared" ref="DL5:DL20" si="197">IF($J5&lt;&gt;"H",DK5,0)</f>
        <v>0</v>
      </c>
      <c r="DM5" s="167">
        <f t="shared" ref="DM5:DM68" si="198">IF(AND(YEAR(DM$4)=YEAR($F5),$E5&gt;0,$F5&gt;0,$E5-DK5&gt;=0),$E5-DK5,IF(AND(YEAR(DM$4)&gt;YEAR($F5),$E5&gt;0,$F5&gt;0,CZ5-DK5&gt;=0),CZ5-DK5,IF(AND(YEAR(DM$4)=YEAR($F5),$E5&lt;0,$F5&gt;0,$E5-DK5&lt;0),$E5-DK5,IF(AND(YEAR(DM$4)&gt;YEAR($F5),$E5&lt;0,$F5&gt;0,CZ5-DK5&lt;=0),CZ5-DK5,0))))</f>
        <v>0</v>
      </c>
      <c r="DN5" s="167">
        <f t="shared" ref="DN5:DN20" si="199">IF($J5&lt;&gt;"H",DM5,0)</f>
        <v>0</v>
      </c>
      <c r="DO5" s="170">
        <f t="shared" ref="DO5:DO68" si="200">DB5+DK5</f>
        <v>0</v>
      </c>
      <c r="DP5" s="167">
        <f t="shared" ref="DP5:DP68" si="201">IF(AND(DE5&lt;&gt;0,$J5="H",$L5=0),DG5,IF(AND(YEAR(DM$4)&gt;YEAR($F5),$J5="H",$F5&gt;0,$L5=0),$E5,0))</f>
        <v>0</v>
      </c>
      <c r="DQ5" s="171">
        <f t="shared" ref="DQ5:DQ68" si="202">IF(AND(YEAR(DM$4)&gt;=YEAR($F5),$E5&gt;0,$F5&gt;0,DK5&gt;0,$J5="H"),ROUND(DK5/$L5*$E5,2),IF(AND(YEAR(DM$4)&gt;=YEAR($F5),$E5&lt;0,$F5&gt;0,DK5&lt;0,$J5="H"),ROUND(DK5/$L5*$E5,2),0))</f>
        <v>0</v>
      </c>
      <c r="DR5" s="169">
        <f t="shared" ref="DR5" si="203">IF(YEAR($F5)=DR$4,$E5,0)</f>
        <v>0</v>
      </c>
      <c r="DS5" s="167">
        <f t="shared" ref="DS5:DS20" si="204">IF($J5&lt;&gt;"H",DR5,0)</f>
        <v>0</v>
      </c>
      <c r="DT5" s="167">
        <f t="shared" ref="DT5:DT68" si="205">IF(DR5&lt;&gt;0,ROUND(DR5*(DAYS360($F5,DZ$4)/DAYS360(DM$4,DZ$4)),2),0)</f>
        <v>0</v>
      </c>
      <c r="DU5" s="167">
        <f t="shared" ref="DU5:DU20" si="206">IF($J5&lt;&gt;"H",DT5,0)</f>
        <v>0</v>
      </c>
      <c r="DV5" s="167">
        <f t="shared" ref="DV5:DV68" si="207">IF(AND($F5&gt;0,$F5&lt;=DZ$4),$E5,0)</f>
        <v>0</v>
      </c>
      <c r="DW5" s="167">
        <f t="shared" ref="DW5:DW20" si="208">IF(DX5&lt;&gt;0,ROUND(DX5/$L5*DV5,2),0)</f>
        <v>0</v>
      </c>
      <c r="DX5" s="167">
        <f t="shared" ref="DX5:DX68" si="209">IF(AND(YEAR($F5)=YEAR(DZ$4),$E5&lt;1000,$E5&gt;-1000,$F5&gt;0,$K5=1),$E5-$I5,IF(AND(YEAR($F5)=YEAR(DZ$4),$F5&gt;0,$K5&gt;0),ROUND(($L5/12)*(13-MONTH($F5)),2),IF(AND(YEAR($F5)&lt;YEAR(DZ$4),$E5&gt;0,$F5&gt;0,$K5&gt;0,DM5&gt;$L5+$I5),$L5,IF(AND(YEAR($F5)&lt;YEAR(DZ$4),$E5&gt;0,$F5&gt;0,$K5&gt;0,DM5&gt;0,DM5&lt;=$L5+$I5),DM5-$I5,IF(AND(YEAR($F5)&lt;YEAR(DZ$4),$E5&lt;0,$F5&gt;0,$K5&gt;0,DM5&lt;0,DM5&lt;=$L5),$L5,IF(AND(YEAR($F5)&lt;YEAR(DZ$4),$E5&lt;0,$F5&gt;0,$K5&gt;0,DM5&lt;0,DM5&gt;$L5),DM5,0))))))</f>
        <v>0</v>
      </c>
      <c r="DY5" s="167">
        <f t="shared" ref="DY5:DY20" si="210">IF($J5&lt;&gt;"H",DX5,0)</f>
        <v>0</v>
      </c>
      <c r="DZ5" s="167">
        <f t="shared" ref="DZ5:DZ68" si="211">IF(AND(YEAR(DZ$4)=YEAR($F5),$E5&gt;0,$F5&gt;0,$E5-DX5&gt;=0),$E5-DX5,IF(AND(YEAR(DZ$4)&gt;YEAR($F5),$E5&gt;0,$F5&gt;0,DM5-DX5&gt;=0),DM5-DX5,IF(AND(YEAR(DZ$4)=YEAR($F5),$E5&lt;0,$F5&gt;0,$E5-DX5&lt;0),$E5-DX5,IF(AND(YEAR(DZ$4)&gt;YEAR($F5),$E5&lt;0,$F5&gt;0,DM5-DX5&lt;=0),DM5-DX5,0))))</f>
        <v>0</v>
      </c>
      <c r="EA5" s="167">
        <f t="shared" ref="EA5:EA20" si="212">IF($J5&lt;&gt;"H",DZ5,0)</f>
        <v>0</v>
      </c>
      <c r="EB5" s="170">
        <f t="shared" ref="EB5:EB68" si="213">DO5+DX5</f>
        <v>0</v>
      </c>
      <c r="EC5" s="167">
        <f t="shared" ref="EC5:EC68" si="214">IF(AND(DR5&lt;&gt;0,$J5="H",$L5=0),DT5,IF(AND(YEAR(DZ$4)&gt;YEAR($F5),$J5="H",$F5&gt;0,$L5=0),$E5,0))</f>
        <v>0</v>
      </c>
      <c r="ED5" s="171">
        <f t="shared" ref="ED5:ED68" si="215">IF(AND(YEAR(DZ$4)&gt;=YEAR($F5),$E5&gt;0,$F5&gt;0,DX5&gt;0,$J5="H"),ROUND(DX5/$L5*$E5,2),IF(AND(YEAR(DZ$4)&gt;=YEAR($F5),$E5&lt;0,$F5&gt;0,DX5&lt;0,$J5="H"),ROUND(DX5/$L5*$E5,2),0))</f>
        <v>0</v>
      </c>
    </row>
    <row r="6" spans="1:134" x14ac:dyDescent="0.3">
      <c r="A6" s="185"/>
      <c r="B6" s="186"/>
      <c r="C6" s="186"/>
      <c r="D6" s="224"/>
      <c r="E6" s="189"/>
      <c r="F6" s="225"/>
      <c r="G6" s="191"/>
      <c r="H6" s="192"/>
      <c r="I6" s="193"/>
      <c r="J6" s="194"/>
      <c r="K6" s="165">
        <f t="shared" ref="K6:K69" si="216">IF(AND(G6&gt;0,G6&lt;=1,H6=0),1,IF(H6&gt;=1,1,IF(AND(H6&gt;0,H6&lt;1),H6,IF(AND(G6&gt;1,OR(H6=0,H6="")),ROUND(1/G6,4),0))))</f>
        <v>0</v>
      </c>
      <c r="L6" s="166">
        <f t="shared" ref="L6:L69" si="217">IF(AND(E6&gt;0,F6&gt;0,OR(G6&gt;0,H6&gt;0)),ROUND((E6-I6)*K6,2),IF(AND(E6&lt;0,F6&gt;0,OR(G6&gt;0,H6&gt;0)),ROUND(E6*K6,2),0))</f>
        <v>0</v>
      </c>
      <c r="M6" s="167">
        <f t="shared" ref="M6:M69" si="218">IF(AND(E6-O6&gt;=0,F6&gt;0,YEAR(M$4)&gt;=YEAR(F6)),E6-O6,IF(AND(E6-O6&lt;0,F6&gt;0,YEAR(M$4)&gt;=YEAR(F6)),E6-O6,0))</f>
        <v>0</v>
      </c>
      <c r="N6" s="167"/>
      <c r="O6" s="167">
        <f t="shared" ref="O6:O69" si="219">IF(AND(YEAR(F6)&lt;=YEAR(M$4),E6&lt;1000,E6&gt;-1000,F6&gt;0,K6=1),E6-I6,IF(AND(YEAR(F6)&lt;=YEAR(M$4),E6&gt;0,F6&gt;0,K6&gt;0,E6&gt;L6*(YEAR(M$4)-YEAR(F6))+ROUND((L6/12)*(13-MONTH(F6)),2)+I6),L6*(YEAR(M$4)-YEAR(F6))+ROUND((L6/12)*(13-MONTH(F6)),2),IF(AND(YEAR(F6)&lt;=YEAR(M$4),E6&gt;0,F6&gt;0,K6&gt;0,E6&lt;=(L6*(YEAR(M$4)-YEAR(F6)+ROUND((L6/12)*(13-MONTH(F6)),2)))+I6),E6-I6,IF(AND(YEAR(F6)&lt;=YEAR(M$4),E6&lt;0,F6&gt;0,K6&gt;0,E6&lt;L6*(YEAR(M$4)-YEAR(F6))+ROUND((L6/12)*(13-MONTH(F6)),2)+I6),L6*(YEAR(M$4)-YEAR(F6))+ROUND((L6/12)*(13-MONTH(F6)),2),IF(AND(YEAR(F6)&lt;=YEAR(M$4),E6&lt;0,F6&gt;0,K6&gt;0,E6&lt;=(L6*(YEAR(M$4)-YEAR(F6)+ROUND((L6/12)*(13-MONTH(F6)),2)))),E6,0)))))</f>
        <v>0</v>
      </c>
      <c r="P6" s="168"/>
      <c r="Q6" s="167">
        <f t="shared" ref="Q6:Q69" si="220">IF(AND($F6&gt;0,$F6&lt;=O$4),$E6,0)</f>
        <v>0</v>
      </c>
      <c r="R6" s="169">
        <f t="shared" ref="R6:R69" si="221">IF(YEAR($F6)=R$4,$E6,0)</f>
        <v>0</v>
      </c>
      <c r="S6" s="167">
        <f t="shared" ref="S6:S69" si="222">IF($J6&lt;&gt;"H",R6,0)</f>
        <v>0</v>
      </c>
      <c r="T6" s="167">
        <f t="shared" ref="T6:T69" si="223">IF(R6&lt;&gt;0,ROUND(R6*(DAYS360($F6,Z$4)/DAYS360(M$4,Z$4)),2),0)</f>
        <v>0</v>
      </c>
      <c r="U6" s="167">
        <f t="shared" ref="U6:U69" si="224">IF($J6&lt;&gt;"H",T6,0)</f>
        <v>0</v>
      </c>
      <c r="V6" s="167">
        <f t="shared" ref="V6:V69" si="225">IF(AND($F6&gt;0,$F6&lt;=Z$4),$E6,0)</f>
        <v>0</v>
      </c>
      <c r="W6" s="167">
        <f t="shared" ref="W6:W69" si="226">IF(X6&lt;&gt;0,ROUND(X6/$L6*V6,2),0)</f>
        <v>0</v>
      </c>
      <c r="X6" s="167">
        <f t="shared" ref="X6:X69" si="227">IF(AND(YEAR($F6)=YEAR(Z$4),$E6&lt;1000,$E6&gt;-1000,$F6&gt;0,$K6=1),$E6-$I6,IF(AND(YEAR($F6)=YEAR(Z$4),$F6&gt;0,$K6&gt;0),ROUND(($L6/12)*(13-MONTH($F6)),2),IF(AND(YEAR($F6)&lt;YEAR(Z$4),$E6&gt;0,$F6&gt;0,$K6&gt;0,M6&gt;$L6+$I6),$L6,IF(AND(YEAR($F6)&lt;YEAR(Z$4),$E6&gt;0,$F6&gt;0,$K6&gt;0,M6&gt;0,M6&lt;=$L6+$I6),M6-$I6,IF(AND(YEAR($F6)&lt;YEAR(Z$4),$E6&lt;0,$F6&gt;0,$K6&gt;0,M6&lt;0,M6&lt;=$L6),$L6,IF(AND(YEAR($F6)&lt;YEAR(Z$4),$E6&lt;0,$F6&gt;0,$K6&gt;0,M6&lt;0,M6&gt;$L6),M6,0))))))</f>
        <v>0</v>
      </c>
      <c r="Y6" s="167">
        <f t="shared" ref="Y6:Y69" si="228">IF($J6&lt;&gt;"H",X6,0)</f>
        <v>0</v>
      </c>
      <c r="Z6" s="167">
        <f t="shared" ref="Z6:Z69" si="229">IF(AND(YEAR(Z$4)=YEAR($F6),$E6&gt;0,$F6&gt;0,$E6-X6&gt;=0),$E6-X6,IF(AND(YEAR(Z$4)&gt;YEAR($F6),$E6&gt;0,$F6&gt;0,M6-X6&gt;=0),M6-X6,IF(AND(YEAR(Z$4)=YEAR($F6),$E6&lt;0,$F6&gt;0,$E6-X6&lt;0),$E6-X6,IF(AND(YEAR(Z$4)&gt;YEAR($F6),$E6&lt;0,$F6&gt;0,M6-X6&lt;=0),M6-X6,0))))</f>
        <v>0</v>
      </c>
      <c r="AA6" s="167">
        <f t="shared" ref="AA6:AA69" si="230">IF($J6&lt;&gt;"H",Z6,0)</f>
        <v>0</v>
      </c>
      <c r="AB6" s="170">
        <f t="shared" ref="AB6:AB69" si="231">O6+X6</f>
        <v>0</v>
      </c>
      <c r="AC6" s="167">
        <f t="shared" ref="AC6:AC69" si="232">IF(AND(R6&lt;&gt;0,$J6="H",$L6=0),T6,IF(AND(YEAR(Z$4)&gt;YEAR($F6),$J6="H",$F6&gt;0,$L6=0),$E6,0))</f>
        <v>0</v>
      </c>
      <c r="AD6" s="171">
        <f t="shared" ref="AD6:AD69" si="233">IF(AND(YEAR(Z$4)&gt;=YEAR($F6),$E6&gt;0,$F6&gt;0,X6&gt;0,$J6="H"),ROUND(X6/$L6*$E6,2),IF(AND(YEAR(Z$4)&gt;=YEAR($F6),$E6&lt;0,$F6&gt;0,X6&lt;0,$J6="H"),ROUND(X6/$L6*$E6,2),0))</f>
        <v>0</v>
      </c>
      <c r="AE6" s="169">
        <f t="shared" si="112"/>
        <v>0</v>
      </c>
      <c r="AF6" s="167">
        <f t="shared" si="113"/>
        <v>0</v>
      </c>
      <c r="AG6" s="167">
        <f t="shared" si="114"/>
        <v>0</v>
      </c>
      <c r="AH6" s="167">
        <f t="shared" si="115"/>
        <v>0</v>
      </c>
      <c r="AI6" s="167">
        <f t="shared" si="116"/>
        <v>0</v>
      </c>
      <c r="AJ6" s="167">
        <f t="shared" si="117"/>
        <v>0</v>
      </c>
      <c r="AK6" s="167">
        <f t="shared" si="118"/>
        <v>0</v>
      </c>
      <c r="AL6" s="167">
        <f t="shared" si="119"/>
        <v>0</v>
      </c>
      <c r="AM6" s="167">
        <f t="shared" si="120"/>
        <v>0</v>
      </c>
      <c r="AN6" s="167">
        <f t="shared" si="121"/>
        <v>0</v>
      </c>
      <c r="AO6" s="170">
        <f t="shared" si="122"/>
        <v>0</v>
      </c>
      <c r="AP6" s="167">
        <f t="shared" si="123"/>
        <v>0</v>
      </c>
      <c r="AQ6" s="171">
        <f t="shared" si="124"/>
        <v>0</v>
      </c>
      <c r="AR6" s="169">
        <f t="shared" si="112"/>
        <v>0</v>
      </c>
      <c r="AS6" s="167">
        <f t="shared" si="126"/>
        <v>0</v>
      </c>
      <c r="AT6" s="167">
        <f t="shared" si="127"/>
        <v>0</v>
      </c>
      <c r="AU6" s="167">
        <f t="shared" si="128"/>
        <v>0</v>
      </c>
      <c r="AV6" s="167">
        <f t="shared" si="129"/>
        <v>0</v>
      </c>
      <c r="AW6" s="167">
        <f t="shared" si="130"/>
        <v>0</v>
      </c>
      <c r="AX6" s="167">
        <f t="shared" si="131"/>
        <v>0</v>
      </c>
      <c r="AY6" s="167">
        <f t="shared" si="132"/>
        <v>0</v>
      </c>
      <c r="AZ6" s="167">
        <f t="shared" si="133"/>
        <v>0</v>
      </c>
      <c r="BA6" s="167">
        <f t="shared" si="134"/>
        <v>0</v>
      </c>
      <c r="BB6" s="170">
        <f t="shared" si="135"/>
        <v>0</v>
      </c>
      <c r="BC6" s="167">
        <f t="shared" si="136"/>
        <v>0</v>
      </c>
      <c r="BD6" s="171">
        <f t="shared" si="137"/>
        <v>0</v>
      </c>
      <c r="BE6" s="169">
        <f t="shared" si="112"/>
        <v>0</v>
      </c>
      <c r="BF6" s="167">
        <f t="shared" si="139"/>
        <v>0</v>
      </c>
      <c r="BG6" s="167">
        <f t="shared" si="140"/>
        <v>0</v>
      </c>
      <c r="BH6" s="167">
        <f t="shared" si="141"/>
        <v>0</v>
      </c>
      <c r="BI6" s="167">
        <f t="shared" si="142"/>
        <v>0</v>
      </c>
      <c r="BJ6" s="167">
        <f t="shared" si="143"/>
        <v>0</v>
      </c>
      <c r="BK6" s="167">
        <f t="shared" si="144"/>
        <v>0</v>
      </c>
      <c r="BL6" s="167">
        <f t="shared" si="145"/>
        <v>0</v>
      </c>
      <c r="BM6" s="167">
        <f t="shared" si="146"/>
        <v>0</v>
      </c>
      <c r="BN6" s="167">
        <f t="shared" si="147"/>
        <v>0</v>
      </c>
      <c r="BO6" s="170">
        <f t="shared" si="148"/>
        <v>0</v>
      </c>
      <c r="BP6" s="167">
        <f t="shared" si="149"/>
        <v>0</v>
      </c>
      <c r="BQ6" s="171">
        <f t="shared" si="150"/>
        <v>0</v>
      </c>
      <c r="BR6" s="169">
        <f t="shared" si="151"/>
        <v>0</v>
      </c>
      <c r="BS6" s="167">
        <f t="shared" si="152"/>
        <v>0</v>
      </c>
      <c r="BT6" s="167">
        <f t="shared" si="153"/>
        <v>0</v>
      </c>
      <c r="BU6" s="167">
        <f t="shared" si="154"/>
        <v>0</v>
      </c>
      <c r="BV6" s="167">
        <f t="shared" si="155"/>
        <v>0</v>
      </c>
      <c r="BW6" s="167">
        <f t="shared" si="156"/>
        <v>0</v>
      </c>
      <c r="BX6" s="167">
        <f t="shared" si="157"/>
        <v>0</v>
      </c>
      <c r="BY6" s="167">
        <f t="shared" si="158"/>
        <v>0</v>
      </c>
      <c r="BZ6" s="167">
        <f t="shared" si="159"/>
        <v>0</v>
      </c>
      <c r="CA6" s="167">
        <f t="shared" si="160"/>
        <v>0</v>
      </c>
      <c r="CB6" s="170">
        <f t="shared" si="161"/>
        <v>0</v>
      </c>
      <c r="CC6" s="167">
        <f t="shared" si="162"/>
        <v>0</v>
      </c>
      <c r="CD6" s="171">
        <f t="shared" si="163"/>
        <v>0</v>
      </c>
      <c r="CE6" s="169">
        <f t="shared" si="151"/>
        <v>0</v>
      </c>
      <c r="CF6" s="167">
        <f t="shared" si="165"/>
        <v>0</v>
      </c>
      <c r="CG6" s="167">
        <f t="shared" si="166"/>
        <v>0</v>
      </c>
      <c r="CH6" s="167">
        <f t="shared" si="167"/>
        <v>0</v>
      </c>
      <c r="CI6" s="167">
        <f t="shared" si="168"/>
        <v>0</v>
      </c>
      <c r="CJ6" s="167">
        <f t="shared" si="169"/>
        <v>0</v>
      </c>
      <c r="CK6" s="167">
        <f t="shared" si="170"/>
        <v>0</v>
      </c>
      <c r="CL6" s="167">
        <f t="shared" si="171"/>
        <v>0</v>
      </c>
      <c r="CM6" s="167">
        <f t="shared" si="172"/>
        <v>0</v>
      </c>
      <c r="CN6" s="167">
        <f t="shared" si="173"/>
        <v>0</v>
      </c>
      <c r="CO6" s="170">
        <f t="shared" si="174"/>
        <v>0</v>
      </c>
      <c r="CP6" s="167">
        <f t="shared" si="175"/>
        <v>0</v>
      </c>
      <c r="CQ6" s="171">
        <f t="shared" si="176"/>
        <v>0</v>
      </c>
      <c r="CR6" s="169">
        <f t="shared" si="151"/>
        <v>0</v>
      </c>
      <c r="CS6" s="167">
        <f t="shared" si="178"/>
        <v>0</v>
      </c>
      <c r="CT6" s="167">
        <f t="shared" si="179"/>
        <v>0</v>
      </c>
      <c r="CU6" s="167">
        <f t="shared" si="180"/>
        <v>0</v>
      </c>
      <c r="CV6" s="167">
        <f t="shared" si="181"/>
        <v>0</v>
      </c>
      <c r="CW6" s="167">
        <f t="shared" si="182"/>
        <v>0</v>
      </c>
      <c r="CX6" s="167">
        <f t="shared" si="183"/>
        <v>0</v>
      </c>
      <c r="CY6" s="167">
        <f t="shared" si="184"/>
        <v>0</v>
      </c>
      <c r="CZ6" s="167">
        <f t="shared" si="185"/>
        <v>0</v>
      </c>
      <c r="DA6" s="167">
        <f t="shared" si="186"/>
        <v>0</v>
      </c>
      <c r="DB6" s="170">
        <f t="shared" si="187"/>
        <v>0</v>
      </c>
      <c r="DC6" s="167">
        <f t="shared" si="188"/>
        <v>0</v>
      </c>
      <c r="DD6" s="171">
        <f t="shared" si="189"/>
        <v>0</v>
      </c>
      <c r="DE6" s="169">
        <f t="shared" si="190"/>
        <v>0</v>
      </c>
      <c r="DF6" s="167">
        <f t="shared" si="191"/>
        <v>0</v>
      </c>
      <c r="DG6" s="167">
        <f t="shared" si="192"/>
        <v>0</v>
      </c>
      <c r="DH6" s="167">
        <f t="shared" si="193"/>
        <v>0</v>
      </c>
      <c r="DI6" s="167">
        <f t="shared" si="194"/>
        <v>0</v>
      </c>
      <c r="DJ6" s="167">
        <f t="shared" si="195"/>
        <v>0</v>
      </c>
      <c r="DK6" s="167">
        <f t="shared" si="196"/>
        <v>0</v>
      </c>
      <c r="DL6" s="167">
        <f t="shared" si="197"/>
        <v>0</v>
      </c>
      <c r="DM6" s="167">
        <f t="shared" si="198"/>
        <v>0</v>
      </c>
      <c r="DN6" s="167">
        <f t="shared" si="199"/>
        <v>0</v>
      </c>
      <c r="DO6" s="170">
        <f t="shared" si="200"/>
        <v>0</v>
      </c>
      <c r="DP6" s="167">
        <f t="shared" si="201"/>
        <v>0</v>
      </c>
      <c r="DQ6" s="171">
        <f t="shared" si="202"/>
        <v>0</v>
      </c>
      <c r="DR6" s="169">
        <f t="shared" si="190"/>
        <v>0</v>
      </c>
      <c r="DS6" s="167">
        <f t="shared" si="204"/>
        <v>0</v>
      </c>
      <c r="DT6" s="167">
        <f t="shared" si="205"/>
        <v>0</v>
      </c>
      <c r="DU6" s="167">
        <f t="shared" si="206"/>
        <v>0</v>
      </c>
      <c r="DV6" s="167">
        <f t="shared" si="207"/>
        <v>0</v>
      </c>
      <c r="DW6" s="167">
        <f t="shared" si="208"/>
        <v>0</v>
      </c>
      <c r="DX6" s="167">
        <f t="shared" si="209"/>
        <v>0</v>
      </c>
      <c r="DY6" s="167">
        <f t="shared" si="210"/>
        <v>0</v>
      </c>
      <c r="DZ6" s="167">
        <f t="shared" si="211"/>
        <v>0</v>
      </c>
      <c r="EA6" s="167">
        <f t="shared" si="212"/>
        <v>0</v>
      </c>
      <c r="EB6" s="170">
        <f t="shared" si="213"/>
        <v>0</v>
      </c>
      <c r="EC6" s="167">
        <f t="shared" si="214"/>
        <v>0</v>
      </c>
      <c r="ED6" s="171">
        <f t="shared" si="215"/>
        <v>0</v>
      </c>
    </row>
    <row r="7" spans="1:134" x14ac:dyDescent="0.3">
      <c r="A7" s="185"/>
      <c r="B7" s="186" t="s">
        <v>966</v>
      </c>
      <c r="C7" s="186"/>
      <c r="D7" s="224"/>
      <c r="E7" s="189"/>
      <c r="F7" s="225"/>
      <c r="G7" s="191"/>
      <c r="H7" s="192"/>
      <c r="I7" s="193"/>
      <c r="J7" s="194"/>
      <c r="K7" s="165">
        <f t="shared" si="216"/>
        <v>0</v>
      </c>
      <c r="L7" s="166">
        <f t="shared" si="217"/>
        <v>0</v>
      </c>
      <c r="M7" s="167">
        <f t="shared" si="218"/>
        <v>0</v>
      </c>
      <c r="N7" s="167"/>
      <c r="O7" s="167">
        <f t="shared" si="219"/>
        <v>0</v>
      </c>
      <c r="P7" s="168"/>
      <c r="Q7" s="167">
        <f t="shared" si="220"/>
        <v>0</v>
      </c>
      <c r="R7" s="169">
        <f t="shared" si="221"/>
        <v>0</v>
      </c>
      <c r="S7" s="167">
        <f t="shared" si="222"/>
        <v>0</v>
      </c>
      <c r="T7" s="167">
        <f t="shared" si="223"/>
        <v>0</v>
      </c>
      <c r="U7" s="167">
        <f t="shared" si="224"/>
        <v>0</v>
      </c>
      <c r="V7" s="167">
        <f t="shared" si="225"/>
        <v>0</v>
      </c>
      <c r="W7" s="167">
        <f t="shared" si="226"/>
        <v>0</v>
      </c>
      <c r="X7" s="167">
        <f t="shared" si="227"/>
        <v>0</v>
      </c>
      <c r="Y7" s="167">
        <f t="shared" si="228"/>
        <v>0</v>
      </c>
      <c r="Z7" s="167">
        <f t="shared" si="229"/>
        <v>0</v>
      </c>
      <c r="AA7" s="167">
        <f t="shared" si="230"/>
        <v>0</v>
      </c>
      <c r="AB7" s="170">
        <f t="shared" si="231"/>
        <v>0</v>
      </c>
      <c r="AC7" s="167">
        <f t="shared" si="232"/>
        <v>0</v>
      </c>
      <c r="AD7" s="171">
        <f t="shared" si="233"/>
        <v>0</v>
      </c>
      <c r="AE7" s="169">
        <f t="shared" si="112"/>
        <v>0</v>
      </c>
      <c r="AF7" s="167">
        <f t="shared" si="113"/>
        <v>0</v>
      </c>
      <c r="AG7" s="167">
        <f t="shared" si="114"/>
        <v>0</v>
      </c>
      <c r="AH7" s="167">
        <f t="shared" si="115"/>
        <v>0</v>
      </c>
      <c r="AI7" s="167">
        <f t="shared" si="116"/>
        <v>0</v>
      </c>
      <c r="AJ7" s="167">
        <f t="shared" si="117"/>
        <v>0</v>
      </c>
      <c r="AK7" s="167">
        <f t="shared" si="118"/>
        <v>0</v>
      </c>
      <c r="AL7" s="167">
        <f t="shared" si="119"/>
        <v>0</v>
      </c>
      <c r="AM7" s="167">
        <f t="shared" si="120"/>
        <v>0</v>
      </c>
      <c r="AN7" s="167">
        <f t="shared" si="121"/>
        <v>0</v>
      </c>
      <c r="AO7" s="170">
        <f t="shared" si="122"/>
        <v>0</v>
      </c>
      <c r="AP7" s="167">
        <f t="shared" si="123"/>
        <v>0</v>
      </c>
      <c r="AQ7" s="171">
        <f t="shared" si="124"/>
        <v>0</v>
      </c>
      <c r="AR7" s="169">
        <f t="shared" si="112"/>
        <v>0</v>
      </c>
      <c r="AS7" s="167">
        <f t="shared" si="126"/>
        <v>0</v>
      </c>
      <c r="AT7" s="167">
        <f t="shared" si="127"/>
        <v>0</v>
      </c>
      <c r="AU7" s="167">
        <f t="shared" si="128"/>
        <v>0</v>
      </c>
      <c r="AV7" s="167">
        <f t="shared" si="129"/>
        <v>0</v>
      </c>
      <c r="AW7" s="167">
        <f t="shared" si="130"/>
        <v>0</v>
      </c>
      <c r="AX7" s="167">
        <f t="shared" si="131"/>
        <v>0</v>
      </c>
      <c r="AY7" s="167">
        <f t="shared" si="132"/>
        <v>0</v>
      </c>
      <c r="AZ7" s="167">
        <f t="shared" si="133"/>
        <v>0</v>
      </c>
      <c r="BA7" s="167">
        <f t="shared" si="134"/>
        <v>0</v>
      </c>
      <c r="BB7" s="170">
        <f t="shared" si="135"/>
        <v>0</v>
      </c>
      <c r="BC7" s="167">
        <f t="shared" si="136"/>
        <v>0</v>
      </c>
      <c r="BD7" s="171">
        <f t="shared" si="137"/>
        <v>0</v>
      </c>
      <c r="BE7" s="169">
        <f t="shared" si="112"/>
        <v>0</v>
      </c>
      <c r="BF7" s="167">
        <f t="shared" si="139"/>
        <v>0</v>
      </c>
      <c r="BG7" s="167">
        <f t="shared" si="140"/>
        <v>0</v>
      </c>
      <c r="BH7" s="167">
        <f t="shared" si="141"/>
        <v>0</v>
      </c>
      <c r="BI7" s="167">
        <f t="shared" si="142"/>
        <v>0</v>
      </c>
      <c r="BJ7" s="167">
        <f t="shared" si="143"/>
        <v>0</v>
      </c>
      <c r="BK7" s="167">
        <f t="shared" si="144"/>
        <v>0</v>
      </c>
      <c r="BL7" s="167">
        <f t="shared" si="145"/>
        <v>0</v>
      </c>
      <c r="BM7" s="167">
        <f t="shared" si="146"/>
        <v>0</v>
      </c>
      <c r="BN7" s="167">
        <f t="shared" si="147"/>
        <v>0</v>
      </c>
      <c r="BO7" s="170">
        <f t="shared" si="148"/>
        <v>0</v>
      </c>
      <c r="BP7" s="167">
        <f t="shared" si="149"/>
        <v>0</v>
      </c>
      <c r="BQ7" s="171">
        <f t="shared" si="150"/>
        <v>0</v>
      </c>
      <c r="BR7" s="169">
        <f t="shared" si="151"/>
        <v>0</v>
      </c>
      <c r="BS7" s="167">
        <f t="shared" si="152"/>
        <v>0</v>
      </c>
      <c r="BT7" s="167">
        <f t="shared" si="153"/>
        <v>0</v>
      </c>
      <c r="BU7" s="167">
        <f t="shared" si="154"/>
        <v>0</v>
      </c>
      <c r="BV7" s="167">
        <f t="shared" si="155"/>
        <v>0</v>
      </c>
      <c r="BW7" s="167">
        <f t="shared" si="156"/>
        <v>0</v>
      </c>
      <c r="BX7" s="167">
        <f t="shared" si="157"/>
        <v>0</v>
      </c>
      <c r="BY7" s="167">
        <f t="shared" si="158"/>
        <v>0</v>
      </c>
      <c r="BZ7" s="167">
        <f t="shared" si="159"/>
        <v>0</v>
      </c>
      <c r="CA7" s="167">
        <f t="shared" si="160"/>
        <v>0</v>
      </c>
      <c r="CB7" s="170">
        <f t="shared" si="161"/>
        <v>0</v>
      </c>
      <c r="CC7" s="167">
        <f t="shared" si="162"/>
        <v>0</v>
      </c>
      <c r="CD7" s="171">
        <f t="shared" si="163"/>
        <v>0</v>
      </c>
      <c r="CE7" s="169">
        <f t="shared" si="151"/>
        <v>0</v>
      </c>
      <c r="CF7" s="167">
        <f t="shared" si="165"/>
        <v>0</v>
      </c>
      <c r="CG7" s="167">
        <f t="shared" si="166"/>
        <v>0</v>
      </c>
      <c r="CH7" s="167">
        <f t="shared" si="167"/>
        <v>0</v>
      </c>
      <c r="CI7" s="167">
        <f t="shared" si="168"/>
        <v>0</v>
      </c>
      <c r="CJ7" s="167">
        <f t="shared" si="169"/>
        <v>0</v>
      </c>
      <c r="CK7" s="167">
        <f t="shared" si="170"/>
        <v>0</v>
      </c>
      <c r="CL7" s="167">
        <f t="shared" si="171"/>
        <v>0</v>
      </c>
      <c r="CM7" s="167">
        <f t="shared" si="172"/>
        <v>0</v>
      </c>
      <c r="CN7" s="167">
        <f t="shared" si="173"/>
        <v>0</v>
      </c>
      <c r="CO7" s="170">
        <f t="shared" si="174"/>
        <v>0</v>
      </c>
      <c r="CP7" s="167">
        <f t="shared" si="175"/>
        <v>0</v>
      </c>
      <c r="CQ7" s="171">
        <f t="shared" si="176"/>
        <v>0</v>
      </c>
      <c r="CR7" s="169">
        <f t="shared" si="151"/>
        <v>0</v>
      </c>
      <c r="CS7" s="167">
        <f t="shared" si="178"/>
        <v>0</v>
      </c>
      <c r="CT7" s="167">
        <f t="shared" si="179"/>
        <v>0</v>
      </c>
      <c r="CU7" s="167">
        <f t="shared" si="180"/>
        <v>0</v>
      </c>
      <c r="CV7" s="167">
        <f t="shared" si="181"/>
        <v>0</v>
      </c>
      <c r="CW7" s="167">
        <f t="shared" si="182"/>
        <v>0</v>
      </c>
      <c r="CX7" s="167">
        <f t="shared" si="183"/>
        <v>0</v>
      </c>
      <c r="CY7" s="167">
        <f t="shared" si="184"/>
        <v>0</v>
      </c>
      <c r="CZ7" s="167">
        <f t="shared" si="185"/>
        <v>0</v>
      </c>
      <c r="DA7" s="167">
        <f t="shared" si="186"/>
        <v>0</v>
      </c>
      <c r="DB7" s="170">
        <f t="shared" si="187"/>
        <v>0</v>
      </c>
      <c r="DC7" s="167">
        <f t="shared" si="188"/>
        <v>0</v>
      </c>
      <c r="DD7" s="171">
        <f t="shared" si="189"/>
        <v>0</v>
      </c>
      <c r="DE7" s="169">
        <f t="shared" si="190"/>
        <v>0</v>
      </c>
      <c r="DF7" s="167">
        <f t="shared" si="191"/>
        <v>0</v>
      </c>
      <c r="DG7" s="167">
        <f t="shared" si="192"/>
        <v>0</v>
      </c>
      <c r="DH7" s="167">
        <f t="shared" si="193"/>
        <v>0</v>
      </c>
      <c r="DI7" s="167">
        <f t="shared" si="194"/>
        <v>0</v>
      </c>
      <c r="DJ7" s="167">
        <f t="shared" si="195"/>
        <v>0</v>
      </c>
      <c r="DK7" s="167">
        <f t="shared" si="196"/>
        <v>0</v>
      </c>
      <c r="DL7" s="167">
        <f t="shared" si="197"/>
        <v>0</v>
      </c>
      <c r="DM7" s="167">
        <f t="shared" si="198"/>
        <v>0</v>
      </c>
      <c r="DN7" s="167">
        <f t="shared" si="199"/>
        <v>0</v>
      </c>
      <c r="DO7" s="170">
        <f t="shared" si="200"/>
        <v>0</v>
      </c>
      <c r="DP7" s="167">
        <f t="shared" si="201"/>
        <v>0</v>
      </c>
      <c r="DQ7" s="171">
        <f t="shared" si="202"/>
        <v>0</v>
      </c>
      <c r="DR7" s="169">
        <f t="shared" si="190"/>
        <v>0</v>
      </c>
      <c r="DS7" s="167">
        <f t="shared" si="204"/>
        <v>0</v>
      </c>
      <c r="DT7" s="167">
        <f t="shared" si="205"/>
        <v>0</v>
      </c>
      <c r="DU7" s="167">
        <f t="shared" si="206"/>
        <v>0</v>
      </c>
      <c r="DV7" s="167">
        <f t="shared" si="207"/>
        <v>0</v>
      </c>
      <c r="DW7" s="167">
        <f t="shared" si="208"/>
        <v>0</v>
      </c>
      <c r="DX7" s="167">
        <f t="shared" si="209"/>
        <v>0</v>
      </c>
      <c r="DY7" s="167">
        <f t="shared" si="210"/>
        <v>0</v>
      </c>
      <c r="DZ7" s="167">
        <f t="shared" si="211"/>
        <v>0</v>
      </c>
      <c r="EA7" s="167">
        <f t="shared" si="212"/>
        <v>0</v>
      </c>
      <c r="EB7" s="170">
        <f t="shared" si="213"/>
        <v>0</v>
      </c>
      <c r="EC7" s="167">
        <f t="shared" si="214"/>
        <v>0</v>
      </c>
      <c r="ED7" s="171">
        <f t="shared" si="215"/>
        <v>0</v>
      </c>
    </row>
    <row r="8" spans="1:134" x14ac:dyDescent="0.3">
      <c r="A8" s="185">
        <v>1963</v>
      </c>
      <c r="B8" s="186" t="s">
        <v>472</v>
      </c>
      <c r="C8" s="186"/>
      <c r="D8" s="224" t="s">
        <v>110</v>
      </c>
      <c r="E8" s="189">
        <v>200000</v>
      </c>
      <c r="F8" s="225">
        <v>23193</v>
      </c>
      <c r="G8" s="191">
        <v>50</v>
      </c>
      <c r="H8" s="192"/>
      <c r="I8" s="193"/>
      <c r="J8" s="194"/>
      <c r="K8" s="165">
        <f t="shared" si="216"/>
        <v>0.02</v>
      </c>
      <c r="L8" s="166">
        <f t="shared" si="217"/>
        <v>4000</v>
      </c>
      <c r="M8" s="167">
        <f t="shared" si="218"/>
        <v>6000</v>
      </c>
      <c r="N8" s="167"/>
      <c r="O8" s="167">
        <f t="shared" si="219"/>
        <v>194000</v>
      </c>
      <c r="P8" s="168"/>
      <c r="Q8" s="167">
        <f t="shared" si="220"/>
        <v>200000</v>
      </c>
      <c r="R8" s="169">
        <f t="shared" si="221"/>
        <v>0</v>
      </c>
      <c r="S8" s="167">
        <f t="shared" si="222"/>
        <v>0</v>
      </c>
      <c r="T8" s="167">
        <f t="shared" si="223"/>
        <v>0</v>
      </c>
      <c r="U8" s="167">
        <f t="shared" si="224"/>
        <v>0</v>
      </c>
      <c r="V8" s="167">
        <f t="shared" si="225"/>
        <v>200000</v>
      </c>
      <c r="W8" s="167">
        <f t="shared" si="226"/>
        <v>200000</v>
      </c>
      <c r="X8" s="167">
        <f t="shared" si="227"/>
        <v>4000</v>
      </c>
      <c r="Y8" s="167">
        <f t="shared" si="228"/>
        <v>4000</v>
      </c>
      <c r="Z8" s="167">
        <f t="shared" si="229"/>
        <v>2000</v>
      </c>
      <c r="AA8" s="167">
        <f t="shared" si="230"/>
        <v>2000</v>
      </c>
      <c r="AB8" s="170">
        <f t="shared" si="231"/>
        <v>198000</v>
      </c>
      <c r="AC8" s="167">
        <f t="shared" si="232"/>
        <v>0</v>
      </c>
      <c r="AD8" s="171">
        <f t="shared" si="233"/>
        <v>0</v>
      </c>
      <c r="AE8" s="169">
        <f t="shared" si="112"/>
        <v>0</v>
      </c>
      <c r="AF8" s="167">
        <f t="shared" si="113"/>
        <v>0</v>
      </c>
      <c r="AG8" s="167">
        <f t="shared" si="114"/>
        <v>0</v>
      </c>
      <c r="AH8" s="167">
        <f t="shared" si="115"/>
        <v>0</v>
      </c>
      <c r="AI8" s="167">
        <f t="shared" si="116"/>
        <v>200000</v>
      </c>
      <c r="AJ8" s="167">
        <f t="shared" si="117"/>
        <v>100000</v>
      </c>
      <c r="AK8" s="167">
        <f t="shared" si="118"/>
        <v>2000</v>
      </c>
      <c r="AL8" s="167">
        <f t="shared" si="119"/>
        <v>2000</v>
      </c>
      <c r="AM8" s="167">
        <f t="shared" si="120"/>
        <v>0</v>
      </c>
      <c r="AN8" s="167">
        <f t="shared" si="121"/>
        <v>0</v>
      </c>
      <c r="AO8" s="170">
        <f t="shared" si="122"/>
        <v>200000</v>
      </c>
      <c r="AP8" s="167">
        <f t="shared" si="123"/>
        <v>0</v>
      </c>
      <c r="AQ8" s="171">
        <f t="shared" si="124"/>
        <v>0</v>
      </c>
      <c r="AR8" s="169">
        <f t="shared" si="112"/>
        <v>0</v>
      </c>
      <c r="AS8" s="167">
        <f t="shared" si="126"/>
        <v>0</v>
      </c>
      <c r="AT8" s="167">
        <f t="shared" si="127"/>
        <v>0</v>
      </c>
      <c r="AU8" s="167">
        <f t="shared" si="128"/>
        <v>0</v>
      </c>
      <c r="AV8" s="167">
        <f t="shared" si="129"/>
        <v>200000</v>
      </c>
      <c r="AW8" s="167">
        <f t="shared" si="130"/>
        <v>0</v>
      </c>
      <c r="AX8" s="167">
        <f t="shared" si="131"/>
        <v>0</v>
      </c>
      <c r="AY8" s="167">
        <f t="shared" si="132"/>
        <v>0</v>
      </c>
      <c r="AZ8" s="167">
        <f t="shared" si="133"/>
        <v>0</v>
      </c>
      <c r="BA8" s="167">
        <f t="shared" si="134"/>
        <v>0</v>
      </c>
      <c r="BB8" s="170">
        <f t="shared" si="135"/>
        <v>200000</v>
      </c>
      <c r="BC8" s="167">
        <f t="shared" si="136"/>
        <v>0</v>
      </c>
      <c r="BD8" s="171">
        <f t="shared" si="137"/>
        <v>0</v>
      </c>
      <c r="BE8" s="169">
        <f t="shared" si="112"/>
        <v>0</v>
      </c>
      <c r="BF8" s="167">
        <f t="shared" si="139"/>
        <v>0</v>
      </c>
      <c r="BG8" s="167">
        <f t="shared" si="140"/>
        <v>0</v>
      </c>
      <c r="BH8" s="167">
        <f t="shared" si="141"/>
        <v>0</v>
      </c>
      <c r="BI8" s="167">
        <f t="shared" si="142"/>
        <v>200000</v>
      </c>
      <c r="BJ8" s="167">
        <f t="shared" si="143"/>
        <v>0</v>
      </c>
      <c r="BK8" s="167">
        <f t="shared" si="144"/>
        <v>0</v>
      </c>
      <c r="BL8" s="167">
        <f t="shared" si="145"/>
        <v>0</v>
      </c>
      <c r="BM8" s="167">
        <f t="shared" si="146"/>
        <v>0</v>
      </c>
      <c r="BN8" s="167">
        <f t="shared" si="147"/>
        <v>0</v>
      </c>
      <c r="BO8" s="170">
        <f t="shared" si="148"/>
        <v>200000</v>
      </c>
      <c r="BP8" s="167">
        <f t="shared" si="149"/>
        <v>0</v>
      </c>
      <c r="BQ8" s="171">
        <f t="shared" si="150"/>
        <v>0</v>
      </c>
      <c r="BR8" s="169">
        <f t="shared" si="151"/>
        <v>0</v>
      </c>
      <c r="BS8" s="167">
        <f t="shared" si="152"/>
        <v>0</v>
      </c>
      <c r="BT8" s="167">
        <f t="shared" si="153"/>
        <v>0</v>
      </c>
      <c r="BU8" s="167">
        <f t="shared" si="154"/>
        <v>0</v>
      </c>
      <c r="BV8" s="167">
        <f t="shared" si="155"/>
        <v>200000</v>
      </c>
      <c r="BW8" s="167">
        <f t="shared" si="156"/>
        <v>0</v>
      </c>
      <c r="BX8" s="167">
        <f t="shared" si="157"/>
        <v>0</v>
      </c>
      <c r="BY8" s="167">
        <f t="shared" si="158"/>
        <v>0</v>
      </c>
      <c r="BZ8" s="167">
        <f t="shared" si="159"/>
        <v>0</v>
      </c>
      <c r="CA8" s="167">
        <f t="shared" si="160"/>
        <v>0</v>
      </c>
      <c r="CB8" s="170">
        <f t="shared" si="161"/>
        <v>200000</v>
      </c>
      <c r="CC8" s="167">
        <f t="shared" si="162"/>
        <v>0</v>
      </c>
      <c r="CD8" s="171">
        <f t="shared" si="163"/>
        <v>0</v>
      </c>
      <c r="CE8" s="169">
        <f t="shared" si="151"/>
        <v>0</v>
      </c>
      <c r="CF8" s="167">
        <f t="shared" si="165"/>
        <v>0</v>
      </c>
      <c r="CG8" s="167">
        <f t="shared" si="166"/>
        <v>0</v>
      </c>
      <c r="CH8" s="167">
        <f t="shared" si="167"/>
        <v>0</v>
      </c>
      <c r="CI8" s="167">
        <f t="shared" si="168"/>
        <v>200000</v>
      </c>
      <c r="CJ8" s="167">
        <f t="shared" si="169"/>
        <v>0</v>
      </c>
      <c r="CK8" s="167">
        <f t="shared" si="170"/>
        <v>0</v>
      </c>
      <c r="CL8" s="167">
        <f t="shared" si="171"/>
        <v>0</v>
      </c>
      <c r="CM8" s="167">
        <f t="shared" si="172"/>
        <v>0</v>
      </c>
      <c r="CN8" s="167">
        <f t="shared" si="173"/>
        <v>0</v>
      </c>
      <c r="CO8" s="170">
        <f t="shared" si="174"/>
        <v>200000</v>
      </c>
      <c r="CP8" s="167">
        <f t="shared" si="175"/>
        <v>0</v>
      </c>
      <c r="CQ8" s="171">
        <f t="shared" si="176"/>
        <v>0</v>
      </c>
      <c r="CR8" s="169">
        <f t="shared" si="151"/>
        <v>0</v>
      </c>
      <c r="CS8" s="167">
        <f t="shared" si="178"/>
        <v>0</v>
      </c>
      <c r="CT8" s="167">
        <f t="shared" si="179"/>
        <v>0</v>
      </c>
      <c r="CU8" s="167">
        <f t="shared" si="180"/>
        <v>0</v>
      </c>
      <c r="CV8" s="167">
        <f t="shared" si="181"/>
        <v>200000</v>
      </c>
      <c r="CW8" s="167">
        <f t="shared" si="182"/>
        <v>0</v>
      </c>
      <c r="CX8" s="167">
        <f t="shared" si="183"/>
        <v>0</v>
      </c>
      <c r="CY8" s="167">
        <f t="shared" si="184"/>
        <v>0</v>
      </c>
      <c r="CZ8" s="167">
        <f t="shared" si="185"/>
        <v>0</v>
      </c>
      <c r="DA8" s="167">
        <f t="shared" si="186"/>
        <v>0</v>
      </c>
      <c r="DB8" s="170">
        <f t="shared" si="187"/>
        <v>200000</v>
      </c>
      <c r="DC8" s="167">
        <f t="shared" si="188"/>
        <v>0</v>
      </c>
      <c r="DD8" s="171">
        <f t="shared" si="189"/>
        <v>0</v>
      </c>
      <c r="DE8" s="169">
        <f t="shared" si="190"/>
        <v>0</v>
      </c>
      <c r="DF8" s="167">
        <f t="shared" si="191"/>
        <v>0</v>
      </c>
      <c r="DG8" s="167">
        <f t="shared" si="192"/>
        <v>0</v>
      </c>
      <c r="DH8" s="167">
        <f t="shared" si="193"/>
        <v>0</v>
      </c>
      <c r="DI8" s="167">
        <f t="shared" si="194"/>
        <v>200000</v>
      </c>
      <c r="DJ8" s="167">
        <f t="shared" si="195"/>
        <v>0</v>
      </c>
      <c r="DK8" s="167">
        <f t="shared" si="196"/>
        <v>0</v>
      </c>
      <c r="DL8" s="167">
        <f t="shared" si="197"/>
        <v>0</v>
      </c>
      <c r="DM8" s="167">
        <f t="shared" si="198"/>
        <v>0</v>
      </c>
      <c r="DN8" s="167">
        <f t="shared" si="199"/>
        <v>0</v>
      </c>
      <c r="DO8" s="170">
        <f t="shared" si="200"/>
        <v>200000</v>
      </c>
      <c r="DP8" s="167">
        <f t="shared" si="201"/>
        <v>0</v>
      </c>
      <c r="DQ8" s="171">
        <f t="shared" si="202"/>
        <v>0</v>
      </c>
      <c r="DR8" s="169">
        <f t="shared" si="190"/>
        <v>0</v>
      </c>
      <c r="DS8" s="167">
        <f t="shared" si="204"/>
        <v>0</v>
      </c>
      <c r="DT8" s="167">
        <f t="shared" si="205"/>
        <v>0</v>
      </c>
      <c r="DU8" s="167">
        <f t="shared" si="206"/>
        <v>0</v>
      </c>
      <c r="DV8" s="167">
        <f t="shared" si="207"/>
        <v>200000</v>
      </c>
      <c r="DW8" s="167">
        <f t="shared" si="208"/>
        <v>0</v>
      </c>
      <c r="DX8" s="167">
        <f t="shared" si="209"/>
        <v>0</v>
      </c>
      <c r="DY8" s="167">
        <f t="shared" si="210"/>
        <v>0</v>
      </c>
      <c r="DZ8" s="167">
        <f t="shared" si="211"/>
        <v>0</v>
      </c>
      <c r="EA8" s="167">
        <f t="shared" si="212"/>
        <v>0</v>
      </c>
      <c r="EB8" s="170">
        <f t="shared" si="213"/>
        <v>200000</v>
      </c>
      <c r="EC8" s="167">
        <f t="shared" si="214"/>
        <v>0</v>
      </c>
      <c r="ED8" s="171">
        <f t="shared" si="215"/>
        <v>0</v>
      </c>
    </row>
    <row r="9" spans="1:134" x14ac:dyDescent="0.3">
      <c r="A9" s="196">
        <v>1986</v>
      </c>
      <c r="B9" s="533" t="s">
        <v>472</v>
      </c>
      <c r="C9" s="533"/>
      <c r="D9" s="224" t="s">
        <v>110</v>
      </c>
      <c r="E9" s="189">
        <v>1500000</v>
      </c>
      <c r="F9" s="190">
        <v>32112</v>
      </c>
      <c r="G9" s="191">
        <v>50</v>
      </c>
      <c r="H9" s="192"/>
      <c r="I9" s="193"/>
      <c r="J9" s="194"/>
      <c r="K9" s="165">
        <f t="shared" si="216"/>
        <v>0.02</v>
      </c>
      <c r="L9" s="166">
        <f t="shared" si="217"/>
        <v>30000</v>
      </c>
      <c r="M9" s="167">
        <f t="shared" si="218"/>
        <v>777500</v>
      </c>
      <c r="N9" s="167"/>
      <c r="O9" s="167">
        <f t="shared" si="219"/>
        <v>722500</v>
      </c>
      <c r="P9" s="168"/>
      <c r="Q9" s="167">
        <f t="shared" si="220"/>
        <v>1500000</v>
      </c>
      <c r="R9" s="169">
        <f t="shared" si="221"/>
        <v>0</v>
      </c>
      <c r="S9" s="167">
        <f t="shared" si="222"/>
        <v>0</v>
      </c>
      <c r="T9" s="167">
        <f t="shared" si="223"/>
        <v>0</v>
      </c>
      <c r="U9" s="167">
        <f t="shared" si="224"/>
        <v>0</v>
      </c>
      <c r="V9" s="167">
        <f t="shared" si="225"/>
        <v>1500000</v>
      </c>
      <c r="W9" s="167">
        <f t="shared" si="226"/>
        <v>1500000</v>
      </c>
      <c r="X9" s="167">
        <f t="shared" si="227"/>
        <v>30000</v>
      </c>
      <c r="Y9" s="167">
        <f t="shared" si="228"/>
        <v>30000</v>
      </c>
      <c r="Z9" s="167">
        <f t="shared" si="229"/>
        <v>747500</v>
      </c>
      <c r="AA9" s="167">
        <f t="shared" si="230"/>
        <v>747500</v>
      </c>
      <c r="AB9" s="170">
        <f t="shared" si="231"/>
        <v>752500</v>
      </c>
      <c r="AC9" s="167">
        <f t="shared" si="232"/>
        <v>0</v>
      </c>
      <c r="AD9" s="171">
        <f t="shared" si="233"/>
        <v>0</v>
      </c>
      <c r="AE9" s="169">
        <f t="shared" si="112"/>
        <v>0</v>
      </c>
      <c r="AF9" s="167">
        <f t="shared" si="113"/>
        <v>0</v>
      </c>
      <c r="AG9" s="167">
        <f t="shared" si="114"/>
        <v>0</v>
      </c>
      <c r="AH9" s="167">
        <f t="shared" si="115"/>
        <v>0</v>
      </c>
      <c r="AI9" s="167">
        <f t="shared" si="116"/>
        <v>1500000</v>
      </c>
      <c r="AJ9" s="167">
        <f t="shared" si="117"/>
        <v>1500000</v>
      </c>
      <c r="AK9" s="167">
        <f t="shared" si="118"/>
        <v>30000</v>
      </c>
      <c r="AL9" s="167">
        <f t="shared" si="119"/>
        <v>30000</v>
      </c>
      <c r="AM9" s="167">
        <f t="shared" si="120"/>
        <v>717500</v>
      </c>
      <c r="AN9" s="167">
        <f t="shared" si="121"/>
        <v>717500</v>
      </c>
      <c r="AO9" s="170">
        <f t="shared" si="122"/>
        <v>782500</v>
      </c>
      <c r="AP9" s="167">
        <f t="shared" si="123"/>
        <v>0</v>
      </c>
      <c r="AQ9" s="171">
        <f t="shared" si="124"/>
        <v>0</v>
      </c>
      <c r="AR9" s="169">
        <f t="shared" si="112"/>
        <v>0</v>
      </c>
      <c r="AS9" s="167">
        <f t="shared" si="126"/>
        <v>0</v>
      </c>
      <c r="AT9" s="167">
        <f t="shared" si="127"/>
        <v>0</v>
      </c>
      <c r="AU9" s="167">
        <f t="shared" si="128"/>
        <v>0</v>
      </c>
      <c r="AV9" s="167">
        <f t="shared" si="129"/>
        <v>1500000</v>
      </c>
      <c r="AW9" s="167">
        <f t="shared" si="130"/>
        <v>1500000</v>
      </c>
      <c r="AX9" s="167">
        <f t="shared" si="131"/>
        <v>30000</v>
      </c>
      <c r="AY9" s="167">
        <f t="shared" si="132"/>
        <v>30000</v>
      </c>
      <c r="AZ9" s="167">
        <f t="shared" si="133"/>
        <v>687500</v>
      </c>
      <c r="BA9" s="167">
        <f t="shared" si="134"/>
        <v>687500</v>
      </c>
      <c r="BB9" s="170">
        <f t="shared" si="135"/>
        <v>812500</v>
      </c>
      <c r="BC9" s="167">
        <f t="shared" si="136"/>
        <v>0</v>
      </c>
      <c r="BD9" s="171">
        <f t="shared" si="137"/>
        <v>0</v>
      </c>
      <c r="BE9" s="169">
        <f t="shared" si="112"/>
        <v>0</v>
      </c>
      <c r="BF9" s="167">
        <f t="shared" si="139"/>
        <v>0</v>
      </c>
      <c r="BG9" s="167">
        <f t="shared" si="140"/>
        <v>0</v>
      </c>
      <c r="BH9" s="167">
        <f t="shared" si="141"/>
        <v>0</v>
      </c>
      <c r="BI9" s="167">
        <f t="shared" si="142"/>
        <v>1500000</v>
      </c>
      <c r="BJ9" s="167">
        <f t="shared" si="143"/>
        <v>1500000</v>
      </c>
      <c r="BK9" s="167">
        <f t="shared" si="144"/>
        <v>30000</v>
      </c>
      <c r="BL9" s="167">
        <f t="shared" si="145"/>
        <v>30000</v>
      </c>
      <c r="BM9" s="167">
        <f t="shared" si="146"/>
        <v>657500</v>
      </c>
      <c r="BN9" s="167">
        <f t="shared" si="147"/>
        <v>657500</v>
      </c>
      <c r="BO9" s="170">
        <f t="shared" si="148"/>
        <v>842500</v>
      </c>
      <c r="BP9" s="167">
        <f t="shared" si="149"/>
        <v>0</v>
      </c>
      <c r="BQ9" s="171">
        <f t="shared" si="150"/>
        <v>0</v>
      </c>
      <c r="BR9" s="169">
        <f t="shared" si="151"/>
        <v>0</v>
      </c>
      <c r="BS9" s="167">
        <f t="shared" si="152"/>
        <v>0</v>
      </c>
      <c r="BT9" s="167">
        <f t="shared" si="153"/>
        <v>0</v>
      </c>
      <c r="BU9" s="167">
        <f t="shared" si="154"/>
        <v>0</v>
      </c>
      <c r="BV9" s="167">
        <f t="shared" si="155"/>
        <v>1500000</v>
      </c>
      <c r="BW9" s="167">
        <f t="shared" si="156"/>
        <v>1500000</v>
      </c>
      <c r="BX9" s="167">
        <f t="shared" si="157"/>
        <v>30000</v>
      </c>
      <c r="BY9" s="167">
        <f t="shared" si="158"/>
        <v>30000</v>
      </c>
      <c r="BZ9" s="167">
        <f t="shared" si="159"/>
        <v>627500</v>
      </c>
      <c r="CA9" s="167">
        <f t="shared" si="160"/>
        <v>627500</v>
      </c>
      <c r="CB9" s="170">
        <f t="shared" si="161"/>
        <v>872500</v>
      </c>
      <c r="CC9" s="167">
        <f t="shared" si="162"/>
        <v>0</v>
      </c>
      <c r="CD9" s="171">
        <f t="shared" si="163"/>
        <v>0</v>
      </c>
      <c r="CE9" s="169">
        <f t="shared" si="151"/>
        <v>0</v>
      </c>
      <c r="CF9" s="167">
        <f t="shared" si="165"/>
        <v>0</v>
      </c>
      <c r="CG9" s="167">
        <f t="shared" si="166"/>
        <v>0</v>
      </c>
      <c r="CH9" s="167">
        <f t="shared" si="167"/>
        <v>0</v>
      </c>
      <c r="CI9" s="167">
        <f t="shared" si="168"/>
        <v>1500000</v>
      </c>
      <c r="CJ9" s="167">
        <f t="shared" si="169"/>
        <v>1500000</v>
      </c>
      <c r="CK9" s="167">
        <f t="shared" si="170"/>
        <v>30000</v>
      </c>
      <c r="CL9" s="167">
        <f t="shared" si="171"/>
        <v>30000</v>
      </c>
      <c r="CM9" s="167">
        <f t="shared" si="172"/>
        <v>597500</v>
      </c>
      <c r="CN9" s="167">
        <f t="shared" si="173"/>
        <v>597500</v>
      </c>
      <c r="CO9" s="170">
        <f t="shared" si="174"/>
        <v>902500</v>
      </c>
      <c r="CP9" s="167">
        <f t="shared" si="175"/>
        <v>0</v>
      </c>
      <c r="CQ9" s="171">
        <f t="shared" si="176"/>
        <v>0</v>
      </c>
      <c r="CR9" s="169">
        <f t="shared" si="151"/>
        <v>0</v>
      </c>
      <c r="CS9" s="167">
        <f t="shared" si="178"/>
        <v>0</v>
      </c>
      <c r="CT9" s="167">
        <f t="shared" si="179"/>
        <v>0</v>
      </c>
      <c r="CU9" s="167">
        <f t="shared" si="180"/>
        <v>0</v>
      </c>
      <c r="CV9" s="167">
        <f t="shared" si="181"/>
        <v>1500000</v>
      </c>
      <c r="CW9" s="167">
        <f t="shared" si="182"/>
        <v>1500000</v>
      </c>
      <c r="CX9" s="167">
        <f t="shared" si="183"/>
        <v>30000</v>
      </c>
      <c r="CY9" s="167">
        <f t="shared" si="184"/>
        <v>30000</v>
      </c>
      <c r="CZ9" s="167">
        <f t="shared" si="185"/>
        <v>567500</v>
      </c>
      <c r="DA9" s="167">
        <f t="shared" si="186"/>
        <v>567500</v>
      </c>
      <c r="DB9" s="170">
        <f t="shared" si="187"/>
        <v>932500</v>
      </c>
      <c r="DC9" s="167">
        <f t="shared" si="188"/>
        <v>0</v>
      </c>
      <c r="DD9" s="171">
        <f t="shared" si="189"/>
        <v>0</v>
      </c>
      <c r="DE9" s="169">
        <f t="shared" si="190"/>
        <v>0</v>
      </c>
      <c r="DF9" s="167">
        <f t="shared" si="191"/>
        <v>0</v>
      </c>
      <c r="DG9" s="167">
        <f t="shared" si="192"/>
        <v>0</v>
      </c>
      <c r="DH9" s="167">
        <f t="shared" si="193"/>
        <v>0</v>
      </c>
      <c r="DI9" s="167">
        <f t="shared" si="194"/>
        <v>1500000</v>
      </c>
      <c r="DJ9" s="167">
        <f t="shared" si="195"/>
        <v>1500000</v>
      </c>
      <c r="DK9" s="167">
        <f t="shared" si="196"/>
        <v>30000</v>
      </c>
      <c r="DL9" s="167">
        <f t="shared" si="197"/>
        <v>30000</v>
      </c>
      <c r="DM9" s="167">
        <f t="shared" si="198"/>
        <v>537500</v>
      </c>
      <c r="DN9" s="167">
        <f t="shared" si="199"/>
        <v>537500</v>
      </c>
      <c r="DO9" s="170">
        <f t="shared" si="200"/>
        <v>962500</v>
      </c>
      <c r="DP9" s="167">
        <f t="shared" si="201"/>
        <v>0</v>
      </c>
      <c r="DQ9" s="171">
        <f t="shared" si="202"/>
        <v>0</v>
      </c>
      <c r="DR9" s="169">
        <f t="shared" si="190"/>
        <v>0</v>
      </c>
      <c r="DS9" s="167">
        <f t="shared" si="204"/>
        <v>0</v>
      </c>
      <c r="DT9" s="167">
        <f t="shared" si="205"/>
        <v>0</v>
      </c>
      <c r="DU9" s="167">
        <f t="shared" si="206"/>
        <v>0</v>
      </c>
      <c r="DV9" s="167">
        <f t="shared" si="207"/>
        <v>1500000</v>
      </c>
      <c r="DW9" s="167">
        <f t="shared" si="208"/>
        <v>1500000</v>
      </c>
      <c r="DX9" s="167">
        <f t="shared" si="209"/>
        <v>30000</v>
      </c>
      <c r="DY9" s="167">
        <f t="shared" si="210"/>
        <v>30000</v>
      </c>
      <c r="DZ9" s="167">
        <f t="shared" si="211"/>
        <v>507500</v>
      </c>
      <c r="EA9" s="167">
        <f t="shared" si="212"/>
        <v>507500</v>
      </c>
      <c r="EB9" s="170">
        <f t="shared" si="213"/>
        <v>992500</v>
      </c>
      <c r="EC9" s="167">
        <f t="shared" si="214"/>
        <v>0</v>
      </c>
      <c r="ED9" s="171">
        <f t="shared" si="215"/>
        <v>0</v>
      </c>
    </row>
    <row r="10" spans="1:134" x14ac:dyDescent="0.3">
      <c r="A10" s="196">
        <v>1990</v>
      </c>
      <c r="B10" s="533" t="s">
        <v>472</v>
      </c>
      <c r="C10" s="533"/>
      <c r="D10" s="224" t="s">
        <v>110</v>
      </c>
      <c r="E10" s="189">
        <v>580000</v>
      </c>
      <c r="F10" s="190">
        <v>32112</v>
      </c>
      <c r="G10" s="191">
        <v>50</v>
      </c>
      <c r="H10" s="192"/>
      <c r="I10" s="193"/>
      <c r="J10" s="194"/>
      <c r="K10" s="165">
        <f t="shared" si="216"/>
        <v>0.02</v>
      </c>
      <c r="L10" s="166">
        <f t="shared" si="217"/>
        <v>11600</v>
      </c>
      <c r="M10" s="167">
        <f t="shared" si="218"/>
        <v>300633.33</v>
      </c>
      <c r="N10" s="167"/>
      <c r="O10" s="167">
        <f t="shared" si="219"/>
        <v>279366.67</v>
      </c>
      <c r="P10" s="168"/>
      <c r="Q10" s="167">
        <f t="shared" si="220"/>
        <v>580000</v>
      </c>
      <c r="R10" s="169">
        <f t="shared" si="221"/>
        <v>0</v>
      </c>
      <c r="S10" s="167">
        <f t="shared" si="222"/>
        <v>0</v>
      </c>
      <c r="T10" s="167">
        <f t="shared" si="223"/>
        <v>0</v>
      </c>
      <c r="U10" s="167">
        <f t="shared" si="224"/>
        <v>0</v>
      </c>
      <c r="V10" s="167">
        <f t="shared" si="225"/>
        <v>580000</v>
      </c>
      <c r="W10" s="167">
        <f t="shared" si="226"/>
        <v>580000</v>
      </c>
      <c r="X10" s="167">
        <f t="shared" si="227"/>
        <v>11600</v>
      </c>
      <c r="Y10" s="167">
        <f t="shared" si="228"/>
        <v>11600</v>
      </c>
      <c r="Z10" s="167">
        <f t="shared" si="229"/>
        <v>289033.33</v>
      </c>
      <c r="AA10" s="167">
        <f t="shared" si="230"/>
        <v>289033.33</v>
      </c>
      <c r="AB10" s="170">
        <f t="shared" si="231"/>
        <v>290966.67</v>
      </c>
      <c r="AC10" s="167">
        <f t="shared" si="232"/>
        <v>0</v>
      </c>
      <c r="AD10" s="171">
        <f t="shared" si="233"/>
        <v>0</v>
      </c>
      <c r="AE10" s="169">
        <f t="shared" si="112"/>
        <v>0</v>
      </c>
      <c r="AF10" s="167">
        <f t="shared" si="113"/>
        <v>0</v>
      </c>
      <c r="AG10" s="167">
        <f t="shared" si="114"/>
        <v>0</v>
      </c>
      <c r="AH10" s="167">
        <f t="shared" si="115"/>
        <v>0</v>
      </c>
      <c r="AI10" s="167">
        <f t="shared" si="116"/>
        <v>580000</v>
      </c>
      <c r="AJ10" s="167">
        <f t="shared" si="117"/>
        <v>580000</v>
      </c>
      <c r="AK10" s="167">
        <f t="shared" si="118"/>
        <v>11600</v>
      </c>
      <c r="AL10" s="167">
        <f t="shared" si="119"/>
        <v>11600</v>
      </c>
      <c r="AM10" s="167">
        <f t="shared" si="120"/>
        <v>277433.33</v>
      </c>
      <c r="AN10" s="167">
        <f t="shared" si="121"/>
        <v>277433.33</v>
      </c>
      <c r="AO10" s="170">
        <f t="shared" si="122"/>
        <v>302566.67</v>
      </c>
      <c r="AP10" s="167">
        <f t="shared" si="123"/>
        <v>0</v>
      </c>
      <c r="AQ10" s="171">
        <f t="shared" si="124"/>
        <v>0</v>
      </c>
      <c r="AR10" s="169">
        <f t="shared" si="112"/>
        <v>0</v>
      </c>
      <c r="AS10" s="167">
        <f t="shared" si="126"/>
        <v>0</v>
      </c>
      <c r="AT10" s="167">
        <f t="shared" si="127"/>
        <v>0</v>
      </c>
      <c r="AU10" s="167">
        <f t="shared" si="128"/>
        <v>0</v>
      </c>
      <c r="AV10" s="167">
        <f t="shared" si="129"/>
        <v>580000</v>
      </c>
      <c r="AW10" s="167">
        <f t="shared" si="130"/>
        <v>580000</v>
      </c>
      <c r="AX10" s="167">
        <f t="shared" si="131"/>
        <v>11600</v>
      </c>
      <c r="AY10" s="167">
        <f t="shared" si="132"/>
        <v>11600</v>
      </c>
      <c r="AZ10" s="167">
        <f t="shared" si="133"/>
        <v>265833.33</v>
      </c>
      <c r="BA10" s="167">
        <f t="shared" si="134"/>
        <v>265833.33</v>
      </c>
      <c r="BB10" s="170">
        <f t="shared" si="135"/>
        <v>314166.67</v>
      </c>
      <c r="BC10" s="167">
        <f t="shared" si="136"/>
        <v>0</v>
      </c>
      <c r="BD10" s="171">
        <f t="shared" si="137"/>
        <v>0</v>
      </c>
      <c r="BE10" s="169">
        <f t="shared" si="112"/>
        <v>0</v>
      </c>
      <c r="BF10" s="167">
        <f t="shared" si="139"/>
        <v>0</v>
      </c>
      <c r="BG10" s="167">
        <f t="shared" si="140"/>
        <v>0</v>
      </c>
      <c r="BH10" s="167">
        <f t="shared" si="141"/>
        <v>0</v>
      </c>
      <c r="BI10" s="167">
        <f t="shared" si="142"/>
        <v>580000</v>
      </c>
      <c r="BJ10" s="167">
        <f t="shared" si="143"/>
        <v>580000</v>
      </c>
      <c r="BK10" s="167">
        <f t="shared" si="144"/>
        <v>11600</v>
      </c>
      <c r="BL10" s="167">
        <f t="shared" si="145"/>
        <v>11600</v>
      </c>
      <c r="BM10" s="167">
        <f t="shared" si="146"/>
        <v>254233.33000000002</v>
      </c>
      <c r="BN10" s="167">
        <f t="shared" si="147"/>
        <v>254233.33000000002</v>
      </c>
      <c r="BO10" s="170">
        <f t="shared" si="148"/>
        <v>325766.67</v>
      </c>
      <c r="BP10" s="167">
        <f t="shared" si="149"/>
        <v>0</v>
      </c>
      <c r="BQ10" s="171">
        <f t="shared" si="150"/>
        <v>0</v>
      </c>
      <c r="BR10" s="169">
        <f t="shared" si="151"/>
        <v>0</v>
      </c>
      <c r="BS10" s="167">
        <f t="shared" si="152"/>
        <v>0</v>
      </c>
      <c r="BT10" s="167">
        <f t="shared" si="153"/>
        <v>0</v>
      </c>
      <c r="BU10" s="167">
        <f t="shared" si="154"/>
        <v>0</v>
      </c>
      <c r="BV10" s="167">
        <f t="shared" si="155"/>
        <v>580000</v>
      </c>
      <c r="BW10" s="167">
        <f t="shared" si="156"/>
        <v>580000</v>
      </c>
      <c r="BX10" s="167">
        <f t="shared" si="157"/>
        <v>11600</v>
      </c>
      <c r="BY10" s="167">
        <f t="shared" si="158"/>
        <v>11600</v>
      </c>
      <c r="BZ10" s="167">
        <f t="shared" si="159"/>
        <v>242633.33000000002</v>
      </c>
      <c r="CA10" s="167">
        <f t="shared" si="160"/>
        <v>242633.33000000002</v>
      </c>
      <c r="CB10" s="170">
        <f t="shared" si="161"/>
        <v>337366.67</v>
      </c>
      <c r="CC10" s="167">
        <f t="shared" si="162"/>
        <v>0</v>
      </c>
      <c r="CD10" s="171">
        <f t="shared" si="163"/>
        <v>0</v>
      </c>
      <c r="CE10" s="169">
        <f t="shared" si="151"/>
        <v>0</v>
      </c>
      <c r="CF10" s="167">
        <f t="shared" si="165"/>
        <v>0</v>
      </c>
      <c r="CG10" s="167">
        <f t="shared" si="166"/>
        <v>0</v>
      </c>
      <c r="CH10" s="167">
        <f t="shared" si="167"/>
        <v>0</v>
      </c>
      <c r="CI10" s="167">
        <f t="shared" si="168"/>
        <v>580000</v>
      </c>
      <c r="CJ10" s="167">
        <f t="shared" si="169"/>
        <v>580000</v>
      </c>
      <c r="CK10" s="167">
        <f t="shared" si="170"/>
        <v>11600</v>
      </c>
      <c r="CL10" s="167">
        <f t="shared" si="171"/>
        <v>11600</v>
      </c>
      <c r="CM10" s="167">
        <f t="shared" si="172"/>
        <v>231033.33000000002</v>
      </c>
      <c r="CN10" s="167">
        <f t="shared" si="173"/>
        <v>231033.33000000002</v>
      </c>
      <c r="CO10" s="170">
        <f t="shared" si="174"/>
        <v>348966.67</v>
      </c>
      <c r="CP10" s="167">
        <f t="shared" si="175"/>
        <v>0</v>
      </c>
      <c r="CQ10" s="171">
        <f t="shared" si="176"/>
        <v>0</v>
      </c>
      <c r="CR10" s="169">
        <f t="shared" si="151"/>
        <v>0</v>
      </c>
      <c r="CS10" s="167">
        <f t="shared" si="178"/>
        <v>0</v>
      </c>
      <c r="CT10" s="167">
        <f t="shared" si="179"/>
        <v>0</v>
      </c>
      <c r="CU10" s="167">
        <f t="shared" si="180"/>
        <v>0</v>
      </c>
      <c r="CV10" s="167">
        <f t="shared" si="181"/>
        <v>580000</v>
      </c>
      <c r="CW10" s="167">
        <f t="shared" si="182"/>
        <v>580000</v>
      </c>
      <c r="CX10" s="167">
        <f t="shared" si="183"/>
        <v>11600</v>
      </c>
      <c r="CY10" s="167">
        <f t="shared" si="184"/>
        <v>11600</v>
      </c>
      <c r="CZ10" s="167">
        <f t="shared" si="185"/>
        <v>219433.33000000002</v>
      </c>
      <c r="DA10" s="167">
        <f t="shared" si="186"/>
        <v>219433.33000000002</v>
      </c>
      <c r="DB10" s="170">
        <f t="shared" si="187"/>
        <v>360566.67</v>
      </c>
      <c r="DC10" s="167">
        <f t="shared" si="188"/>
        <v>0</v>
      </c>
      <c r="DD10" s="171">
        <f t="shared" si="189"/>
        <v>0</v>
      </c>
      <c r="DE10" s="169">
        <f t="shared" si="190"/>
        <v>0</v>
      </c>
      <c r="DF10" s="167">
        <f t="shared" si="191"/>
        <v>0</v>
      </c>
      <c r="DG10" s="167">
        <f t="shared" si="192"/>
        <v>0</v>
      </c>
      <c r="DH10" s="167">
        <f t="shared" si="193"/>
        <v>0</v>
      </c>
      <c r="DI10" s="167">
        <f t="shared" si="194"/>
        <v>580000</v>
      </c>
      <c r="DJ10" s="167">
        <f t="shared" si="195"/>
        <v>580000</v>
      </c>
      <c r="DK10" s="167">
        <f t="shared" si="196"/>
        <v>11600</v>
      </c>
      <c r="DL10" s="167">
        <f t="shared" si="197"/>
        <v>11600</v>
      </c>
      <c r="DM10" s="167">
        <f t="shared" si="198"/>
        <v>207833.33000000002</v>
      </c>
      <c r="DN10" s="167">
        <f t="shared" si="199"/>
        <v>207833.33000000002</v>
      </c>
      <c r="DO10" s="170">
        <f t="shared" si="200"/>
        <v>372166.67</v>
      </c>
      <c r="DP10" s="167">
        <f t="shared" si="201"/>
        <v>0</v>
      </c>
      <c r="DQ10" s="171">
        <f t="shared" si="202"/>
        <v>0</v>
      </c>
      <c r="DR10" s="169">
        <f t="shared" si="190"/>
        <v>0</v>
      </c>
      <c r="DS10" s="167">
        <f t="shared" si="204"/>
        <v>0</v>
      </c>
      <c r="DT10" s="167">
        <f t="shared" si="205"/>
        <v>0</v>
      </c>
      <c r="DU10" s="167">
        <f t="shared" si="206"/>
        <v>0</v>
      </c>
      <c r="DV10" s="167">
        <f t="shared" si="207"/>
        <v>580000</v>
      </c>
      <c r="DW10" s="167">
        <f t="shared" si="208"/>
        <v>580000</v>
      </c>
      <c r="DX10" s="167">
        <f t="shared" si="209"/>
        <v>11600</v>
      </c>
      <c r="DY10" s="167">
        <f t="shared" si="210"/>
        <v>11600</v>
      </c>
      <c r="DZ10" s="167">
        <f t="shared" si="211"/>
        <v>196233.33000000002</v>
      </c>
      <c r="EA10" s="167">
        <f t="shared" si="212"/>
        <v>196233.33000000002</v>
      </c>
      <c r="EB10" s="170">
        <f t="shared" si="213"/>
        <v>383766.67</v>
      </c>
      <c r="EC10" s="167">
        <f t="shared" si="214"/>
        <v>0</v>
      </c>
      <c r="ED10" s="171">
        <f t="shared" si="215"/>
        <v>0</v>
      </c>
    </row>
    <row r="11" spans="1:134" x14ac:dyDescent="0.3">
      <c r="A11" s="196">
        <v>2000</v>
      </c>
      <c r="B11" s="533" t="s">
        <v>472</v>
      </c>
      <c r="C11" s="533"/>
      <c r="D11" s="224" t="s">
        <v>110</v>
      </c>
      <c r="E11" s="189">
        <v>100000</v>
      </c>
      <c r="F11" s="190">
        <v>36708</v>
      </c>
      <c r="G11" s="191">
        <v>50</v>
      </c>
      <c r="H11" s="192"/>
      <c r="I11" s="193"/>
      <c r="J11" s="194"/>
      <c r="K11" s="165">
        <f t="shared" si="216"/>
        <v>0.02</v>
      </c>
      <c r="L11" s="166">
        <f t="shared" si="217"/>
        <v>2000</v>
      </c>
      <c r="M11" s="167">
        <f t="shared" si="218"/>
        <v>77000</v>
      </c>
      <c r="N11" s="167"/>
      <c r="O11" s="167">
        <f t="shared" si="219"/>
        <v>23000</v>
      </c>
      <c r="P11" s="168"/>
      <c r="Q11" s="167">
        <f t="shared" si="220"/>
        <v>100000</v>
      </c>
      <c r="R11" s="169">
        <f t="shared" si="221"/>
        <v>0</v>
      </c>
      <c r="S11" s="167">
        <f t="shared" si="222"/>
        <v>0</v>
      </c>
      <c r="T11" s="167">
        <f t="shared" si="223"/>
        <v>0</v>
      </c>
      <c r="U11" s="167">
        <f t="shared" si="224"/>
        <v>0</v>
      </c>
      <c r="V11" s="167">
        <f t="shared" si="225"/>
        <v>100000</v>
      </c>
      <c r="W11" s="167">
        <f t="shared" si="226"/>
        <v>100000</v>
      </c>
      <c r="X11" s="167">
        <f t="shared" si="227"/>
        <v>2000</v>
      </c>
      <c r="Y11" s="167">
        <f t="shared" si="228"/>
        <v>2000</v>
      </c>
      <c r="Z11" s="167">
        <f t="shared" si="229"/>
        <v>75000</v>
      </c>
      <c r="AA11" s="167">
        <f t="shared" si="230"/>
        <v>75000</v>
      </c>
      <c r="AB11" s="170">
        <f t="shared" si="231"/>
        <v>25000</v>
      </c>
      <c r="AC11" s="167">
        <f t="shared" si="232"/>
        <v>0</v>
      </c>
      <c r="AD11" s="171">
        <f t="shared" si="233"/>
        <v>0</v>
      </c>
      <c r="AE11" s="169">
        <f t="shared" si="112"/>
        <v>0</v>
      </c>
      <c r="AF11" s="167">
        <f t="shared" si="113"/>
        <v>0</v>
      </c>
      <c r="AG11" s="167">
        <f t="shared" si="114"/>
        <v>0</v>
      </c>
      <c r="AH11" s="167">
        <f t="shared" si="115"/>
        <v>0</v>
      </c>
      <c r="AI11" s="167">
        <f t="shared" si="116"/>
        <v>100000</v>
      </c>
      <c r="AJ11" s="167">
        <f t="shared" si="117"/>
        <v>100000</v>
      </c>
      <c r="AK11" s="167">
        <f t="shared" si="118"/>
        <v>2000</v>
      </c>
      <c r="AL11" s="167">
        <f t="shared" si="119"/>
        <v>2000</v>
      </c>
      <c r="AM11" s="167">
        <f t="shared" si="120"/>
        <v>73000</v>
      </c>
      <c r="AN11" s="167">
        <f t="shared" si="121"/>
        <v>73000</v>
      </c>
      <c r="AO11" s="170">
        <f t="shared" si="122"/>
        <v>27000</v>
      </c>
      <c r="AP11" s="167">
        <f t="shared" si="123"/>
        <v>0</v>
      </c>
      <c r="AQ11" s="171">
        <f t="shared" si="124"/>
        <v>0</v>
      </c>
      <c r="AR11" s="169">
        <f t="shared" si="112"/>
        <v>0</v>
      </c>
      <c r="AS11" s="167">
        <f t="shared" si="126"/>
        <v>0</v>
      </c>
      <c r="AT11" s="167">
        <f t="shared" si="127"/>
        <v>0</v>
      </c>
      <c r="AU11" s="167">
        <f t="shared" si="128"/>
        <v>0</v>
      </c>
      <c r="AV11" s="167">
        <f t="shared" si="129"/>
        <v>100000</v>
      </c>
      <c r="AW11" s="167">
        <f t="shared" si="130"/>
        <v>100000</v>
      </c>
      <c r="AX11" s="167">
        <f t="shared" si="131"/>
        <v>2000</v>
      </c>
      <c r="AY11" s="167">
        <f t="shared" si="132"/>
        <v>2000</v>
      </c>
      <c r="AZ11" s="167">
        <f t="shared" si="133"/>
        <v>71000</v>
      </c>
      <c r="BA11" s="167">
        <f t="shared" si="134"/>
        <v>71000</v>
      </c>
      <c r="BB11" s="170">
        <f t="shared" si="135"/>
        <v>29000</v>
      </c>
      <c r="BC11" s="167">
        <f t="shared" si="136"/>
        <v>0</v>
      </c>
      <c r="BD11" s="171">
        <f t="shared" si="137"/>
        <v>0</v>
      </c>
      <c r="BE11" s="169">
        <f t="shared" si="112"/>
        <v>0</v>
      </c>
      <c r="BF11" s="167">
        <f t="shared" si="139"/>
        <v>0</v>
      </c>
      <c r="BG11" s="167">
        <f t="shared" si="140"/>
        <v>0</v>
      </c>
      <c r="BH11" s="167">
        <f t="shared" si="141"/>
        <v>0</v>
      </c>
      <c r="BI11" s="167">
        <f t="shared" si="142"/>
        <v>100000</v>
      </c>
      <c r="BJ11" s="167">
        <f t="shared" si="143"/>
        <v>100000</v>
      </c>
      <c r="BK11" s="167">
        <f t="shared" si="144"/>
        <v>2000</v>
      </c>
      <c r="BL11" s="167">
        <f t="shared" si="145"/>
        <v>2000</v>
      </c>
      <c r="BM11" s="167">
        <f t="shared" si="146"/>
        <v>69000</v>
      </c>
      <c r="BN11" s="167">
        <f t="shared" si="147"/>
        <v>69000</v>
      </c>
      <c r="BO11" s="170">
        <f t="shared" si="148"/>
        <v>31000</v>
      </c>
      <c r="BP11" s="167">
        <f t="shared" si="149"/>
        <v>0</v>
      </c>
      <c r="BQ11" s="171">
        <f t="shared" si="150"/>
        <v>0</v>
      </c>
      <c r="BR11" s="169">
        <f t="shared" si="151"/>
        <v>0</v>
      </c>
      <c r="BS11" s="167">
        <f t="shared" si="152"/>
        <v>0</v>
      </c>
      <c r="BT11" s="167">
        <f t="shared" si="153"/>
        <v>0</v>
      </c>
      <c r="BU11" s="167">
        <f t="shared" si="154"/>
        <v>0</v>
      </c>
      <c r="BV11" s="167">
        <f t="shared" si="155"/>
        <v>100000</v>
      </c>
      <c r="BW11" s="167">
        <f t="shared" si="156"/>
        <v>100000</v>
      </c>
      <c r="BX11" s="167">
        <f t="shared" si="157"/>
        <v>2000</v>
      </c>
      <c r="BY11" s="167">
        <f t="shared" si="158"/>
        <v>2000</v>
      </c>
      <c r="BZ11" s="167">
        <f t="shared" si="159"/>
        <v>67000</v>
      </c>
      <c r="CA11" s="167">
        <f t="shared" si="160"/>
        <v>67000</v>
      </c>
      <c r="CB11" s="170">
        <f t="shared" si="161"/>
        <v>33000</v>
      </c>
      <c r="CC11" s="167">
        <f t="shared" si="162"/>
        <v>0</v>
      </c>
      <c r="CD11" s="171">
        <f t="shared" si="163"/>
        <v>0</v>
      </c>
      <c r="CE11" s="169">
        <f t="shared" si="151"/>
        <v>0</v>
      </c>
      <c r="CF11" s="167">
        <f t="shared" si="165"/>
        <v>0</v>
      </c>
      <c r="CG11" s="167">
        <f t="shared" si="166"/>
        <v>0</v>
      </c>
      <c r="CH11" s="167">
        <f t="shared" si="167"/>
        <v>0</v>
      </c>
      <c r="CI11" s="167">
        <f t="shared" si="168"/>
        <v>100000</v>
      </c>
      <c r="CJ11" s="167">
        <f t="shared" si="169"/>
        <v>100000</v>
      </c>
      <c r="CK11" s="167">
        <f t="shared" si="170"/>
        <v>2000</v>
      </c>
      <c r="CL11" s="167">
        <f t="shared" si="171"/>
        <v>2000</v>
      </c>
      <c r="CM11" s="167">
        <f t="shared" si="172"/>
        <v>65000</v>
      </c>
      <c r="CN11" s="167">
        <f t="shared" si="173"/>
        <v>65000</v>
      </c>
      <c r="CO11" s="170">
        <f t="shared" si="174"/>
        <v>35000</v>
      </c>
      <c r="CP11" s="167">
        <f t="shared" si="175"/>
        <v>0</v>
      </c>
      <c r="CQ11" s="171">
        <f t="shared" si="176"/>
        <v>0</v>
      </c>
      <c r="CR11" s="169">
        <f t="shared" si="151"/>
        <v>0</v>
      </c>
      <c r="CS11" s="167">
        <f t="shared" si="178"/>
        <v>0</v>
      </c>
      <c r="CT11" s="167">
        <f t="shared" si="179"/>
        <v>0</v>
      </c>
      <c r="CU11" s="167">
        <f t="shared" si="180"/>
        <v>0</v>
      </c>
      <c r="CV11" s="167">
        <f t="shared" si="181"/>
        <v>100000</v>
      </c>
      <c r="CW11" s="167">
        <f t="shared" si="182"/>
        <v>100000</v>
      </c>
      <c r="CX11" s="167">
        <f t="shared" si="183"/>
        <v>2000</v>
      </c>
      <c r="CY11" s="167">
        <f t="shared" si="184"/>
        <v>2000</v>
      </c>
      <c r="CZ11" s="167">
        <f t="shared" si="185"/>
        <v>63000</v>
      </c>
      <c r="DA11" s="167">
        <f t="shared" si="186"/>
        <v>63000</v>
      </c>
      <c r="DB11" s="170">
        <f t="shared" si="187"/>
        <v>37000</v>
      </c>
      <c r="DC11" s="167">
        <f t="shared" si="188"/>
        <v>0</v>
      </c>
      <c r="DD11" s="171">
        <f t="shared" si="189"/>
        <v>0</v>
      </c>
      <c r="DE11" s="169">
        <f t="shared" si="190"/>
        <v>0</v>
      </c>
      <c r="DF11" s="167">
        <f t="shared" si="191"/>
        <v>0</v>
      </c>
      <c r="DG11" s="167">
        <f t="shared" si="192"/>
        <v>0</v>
      </c>
      <c r="DH11" s="167">
        <f t="shared" si="193"/>
        <v>0</v>
      </c>
      <c r="DI11" s="167">
        <f t="shared" si="194"/>
        <v>100000</v>
      </c>
      <c r="DJ11" s="167">
        <f t="shared" si="195"/>
        <v>100000</v>
      </c>
      <c r="DK11" s="167">
        <f t="shared" si="196"/>
        <v>2000</v>
      </c>
      <c r="DL11" s="167">
        <f t="shared" si="197"/>
        <v>2000</v>
      </c>
      <c r="DM11" s="167">
        <f t="shared" si="198"/>
        <v>61000</v>
      </c>
      <c r="DN11" s="167">
        <f t="shared" si="199"/>
        <v>61000</v>
      </c>
      <c r="DO11" s="170">
        <f t="shared" si="200"/>
        <v>39000</v>
      </c>
      <c r="DP11" s="167">
        <f t="shared" si="201"/>
        <v>0</v>
      </c>
      <c r="DQ11" s="171">
        <f t="shared" si="202"/>
        <v>0</v>
      </c>
      <c r="DR11" s="169">
        <f t="shared" si="190"/>
        <v>0</v>
      </c>
      <c r="DS11" s="167">
        <f t="shared" si="204"/>
        <v>0</v>
      </c>
      <c r="DT11" s="167">
        <f t="shared" si="205"/>
        <v>0</v>
      </c>
      <c r="DU11" s="167">
        <f t="shared" si="206"/>
        <v>0</v>
      </c>
      <c r="DV11" s="167">
        <f t="shared" si="207"/>
        <v>100000</v>
      </c>
      <c r="DW11" s="167">
        <f t="shared" si="208"/>
        <v>100000</v>
      </c>
      <c r="DX11" s="167">
        <f t="shared" si="209"/>
        <v>2000</v>
      </c>
      <c r="DY11" s="167">
        <f t="shared" si="210"/>
        <v>2000</v>
      </c>
      <c r="DZ11" s="167">
        <f t="shared" si="211"/>
        <v>59000</v>
      </c>
      <c r="EA11" s="167">
        <f t="shared" si="212"/>
        <v>59000</v>
      </c>
      <c r="EB11" s="170">
        <f t="shared" si="213"/>
        <v>41000</v>
      </c>
      <c r="EC11" s="167">
        <f t="shared" si="214"/>
        <v>0</v>
      </c>
      <c r="ED11" s="171">
        <f t="shared" si="215"/>
        <v>0</v>
      </c>
    </row>
    <row r="12" spans="1:134" x14ac:dyDescent="0.3">
      <c r="A12" s="196">
        <v>2009</v>
      </c>
      <c r="B12" s="533" t="s">
        <v>472</v>
      </c>
      <c r="C12" s="533"/>
      <c r="D12" s="224" t="s">
        <v>110</v>
      </c>
      <c r="E12" s="189">
        <v>100000</v>
      </c>
      <c r="F12" s="190">
        <v>39995</v>
      </c>
      <c r="G12" s="191">
        <v>50</v>
      </c>
      <c r="H12" s="192"/>
      <c r="I12" s="193"/>
      <c r="J12" s="194"/>
      <c r="K12" s="165">
        <f t="shared" si="216"/>
        <v>0.02</v>
      </c>
      <c r="L12" s="166">
        <f t="shared" si="217"/>
        <v>2000</v>
      </c>
      <c r="M12" s="167">
        <f t="shared" si="218"/>
        <v>95000</v>
      </c>
      <c r="N12" s="167"/>
      <c r="O12" s="167">
        <f t="shared" si="219"/>
        <v>5000</v>
      </c>
      <c r="P12" s="168"/>
      <c r="Q12" s="167">
        <f t="shared" si="220"/>
        <v>100000</v>
      </c>
      <c r="R12" s="169">
        <f t="shared" si="221"/>
        <v>0</v>
      </c>
      <c r="S12" s="167">
        <f t="shared" si="222"/>
        <v>0</v>
      </c>
      <c r="T12" s="167">
        <f t="shared" si="223"/>
        <v>0</v>
      </c>
      <c r="U12" s="167">
        <f t="shared" si="224"/>
        <v>0</v>
      </c>
      <c r="V12" s="167">
        <f t="shared" si="225"/>
        <v>100000</v>
      </c>
      <c r="W12" s="167">
        <f t="shared" si="226"/>
        <v>100000</v>
      </c>
      <c r="X12" s="167">
        <f t="shared" si="227"/>
        <v>2000</v>
      </c>
      <c r="Y12" s="167">
        <f t="shared" si="228"/>
        <v>2000</v>
      </c>
      <c r="Z12" s="167">
        <f t="shared" si="229"/>
        <v>93000</v>
      </c>
      <c r="AA12" s="167">
        <f t="shared" si="230"/>
        <v>93000</v>
      </c>
      <c r="AB12" s="170">
        <f t="shared" si="231"/>
        <v>7000</v>
      </c>
      <c r="AC12" s="167">
        <f t="shared" si="232"/>
        <v>0</v>
      </c>
      <c r="AD12" s="171">
        <f t="shared" si="233"/>
        <v>0</v>
      </c>
      <c r="AE12" s="169">
        <f t="shared" si="112"/>
        <v>0</v>
      </c>
      <c r="AF12" s="167">
        <f t="shared" si="113"/>
        <v>0</v>
      </c>
      <c r="AG12" s="167">
        <f t="shared" si="114"/>
        <v>0</v>
      </c>
      <c r="AH12" s="167">
        <f t="shared" si="115"/>
        <v>0</v>
      </c>
      <c r="AI12" s="167">
        <f t="shared" si="116"/>
        <v>100000</v>
      </c>
      <c r="AJ12" s="167">
        <f t="shared" si="117"/>
        <v>100000</v>
      </c>
      <c r="AK12" s="167">
        <f t="shared" si="118"/>
        <v>2000</v>
      </c>
      <c r="AL12" s="167">
        <f t="shared" si="119"/>
        <v>2000</v>
      </c>
      <c r="AM12" s="167">
        <f t="shared" si="120"/>
        <v>91000</v>
      </c>
      <c r="AN12" s="167">
        <f t="shared" si="121"/>
        <v>91000</v>
      </c>
      <c r="AO12" s="170">
        <f t="shared" si="122"/>
        <v>9000</v>
      </c>
      <c r="AP12" s="167">
        <f t="shared" si="123"/>
        <v>0</v>
      </c>
      <c r="AQ12" s="171">
        <f t="shared" si="124"/>
        <v>0</v>
      </c>
      <c r="AR12" s="169">
        <f t="shared" si="112"/>
        <v>0</v>
      </c>
      <c r="AS12" s="167">
        <f t="shared" si="126"/>
        <v>0</v>
      </c>
      <c r="AT12" s="167">
        <f t="shared" si="127"/>
        <v>0</v>
      </c>
      <c r="AU12" s="167">
        <f t="shared" si="128"/>
        <v>0</v>
      </c>
      <c r="AV12" s="167">
        <f t="shared" si="129"/>
        <v>100000</v>
      </c>
      <c r="AW12" s="167">
        <f t="shared" si="130"/>
        <v>100000</v>
      </c>
      <c r="AX12" s="167">
        <f t="shared" si="131"/>
        <v>2000</v>
      </c>
      <c r="AY12" s="167">
        <f t="shared" si="132"/>
        <v>2000</v>
      </c>
      <c r="AZ12" s="167">
        <f t="shared" si="133"/>
        <v>89000</v>
      </c>
      <c r="BA12" s="167">
        <f t="shared" si="134"/>
        <v>89000</v>
      </c>
      <c r="BB12" s="170">
        <f t="shared" si="135"/>
        <v>11000</v>
      </c>
      <c r="BC12" s="167">
        <f t="shared" si="136"/>
        <v>0</v>
      </c>
      <c r="BD12" s="171">
        <f t="shared" si="137"/>
        <v>0</v>
      </c>
      <c r="BE12" s="169">
        <f t="shared" si="112"/>
        <v>0</v>
      </c>
      <c r="BF12" s="167">
        <f t="shared" si="139"/>
        <v>0</v>
      </c>
      <c r="BG12" s="167">
        <f t="shared" si="140"/>
        <v>0</v>
      </c>
      <c r="BH12" s="167">
        <f t="shared" si="141"/>
        <v>0</v>
      </c>
      <c r="BI12" s="167">
        <f t="shared" si="142"/>
        <v>100000</v>
      </c>
      <c r="BJ12" s="167">
        <f t="shared" si="143"/>
        <v>100000</v>
      </c>
      <c r="BK12" s="167">
        <f t="shared" si="144"/>
        <v>2000</v>
      </c>
      <c r="BL12" s="167">
        <f t="shared" si="145"/>
        <v>2000</v>
      </c>
      <c r="BM12" s="167">
        <f t="shared" si="146"/>
        <v>87000</v>
      </c>
      <c r="BN12" s="167">
        <f t="shared" si="147"/>
        <v>87000</v>
      </c>
      <c r="BO12" s="170">
        <f t="shared" si="148"/>
        <v>13000</v>
      </c>
      <c r="BP12" s="167">
        <f t="shared" si="149"/>
        <v>0</v>
      </c>
      <c r="BQ12" s="171">
        <f t="shared" si="150"/>
        <v>0</v>
      </c>
      <c r="BR12" s="169">
        <f t="shared" si="151"/>
        <v>0</v>
      </c>
      <c r="BS12" s="167">
        <f t="shared" si="152"/>
        <v>0</v>
      </c>
      <c r="BT12" s="167">
        <f t="shared" si="153"/>
        <v>0</v>
      </c>
      <c r="BU12" s="167">
        <f t="shared" si="154"/>
        <v>0</v>
      </c>
      <c r="BV12" s="167">
        <f t="shared" si="155"/>
        <v>100000</v>
      </c>
      <c r="BW12" s="167">
        <f t="shared" si="156"/>
        <v>100000</v>
      </c>
      <c r="BX12" s="167">
        <f t="shared" si="157"/>
        <v>2000</v>
      </c>
      <c r="BY12" s="167">
        <f t="shared" si="158"/>
        <v>2000</v>
      </c>
      <c r="BZ12" s="167">
        <f t="shared" si="159"/>
        <v>85000</v>
      </c>
      <c r="CA12" s="167">
        <f t="shared" si="160"/>
        <v>85000</v>
      </c>
      <c r="CB12" s="170">
        <f t="shared" si="161"/>
        <v>15000</v>
      </c>
      <c r="CC12" s="167">
        <f t="shared" si="162"/>
        <v>0</v>
      </c>
      <c r="CD12" s="171">
        <f t="shared" si="163"/>
        <v>0</v>
      </c>
      <c r="CE12" s="169">
        <f t="shared" si="151"/>
        <v>0</v>
      </c>
      <c r="CF12" s="167">
        <f t="shared" si="165"/>
        <v>0</v>
      </c>
      <c r="CG12" s="167">
        <f t="shared" si="166"/>
        <v>0</v>
      </c>
      <c r="CH12" s="167">
        <f t="shared" si="167"/>
        <v>0</v>
      </c>
      <c r="CI12" s="167">
        <f t="shared" si="168"/>
        <v>100000</v>
      </c>
      <c r="CJ12" s="167">
        <f t="shared" si="169"/>
        <v>100000</v>
      </c>
      <c r="CK12" s="167">
        <f t="shared" si="170"/>
        <v>2000</v>
      </c>
      <c r="CL12" s="167">
        <f t="shared" si="171"/>
        <v>2000</v>
      </c>
      <c r="CM12" s="167">
        <f t="shared" si="172"/>
        <v>83000</v>
      </c>
      <c r="CN12" s="167">
        <f t="shared" si="173"/>
        <v>83000</v>
      </c>
      <c r="CO12" s="170">
        <f t="shared" si="174"/>
        <v>17000</v>
      </c>
      <c r="CP12" s="167">
        <f t="shared" si="175"/>
        <v>0</v>
      </c>
      <c r="CQ12" s="171">
        <f t="shared" si="176"/>
        <v>0</v>
      </c>
      <c r="CR12" s="169">
        <f t="shared" si="151"/>
        <v>0</v>
      </c>
      <c r="CS12" s="167">
        <f t="shared" si="178"/>
        <v>0</v>
      </c>
      <c r="CT12" s="167">
        <f t="shared" si="179"/>
        <v>0</v>
      </c>
      <c r="CU12" s="167">
        <f t="shared" si="180"/>
        <v>0</v>
      </c>
      <c r="CV12" s="167">
        <f t="shared" si="181"/>
        <v>100000</v>
      </c>
      <c r="CW12" s="167">
        <f t="shared" si="182"/>
        <v>100000</v>
      </c>
      <c r="CX12" s="167">
        <f t="shared" si="183"/>
        <v>2000</v>
      </c>
      <c r="CY12" s="167">
        <f t="shared" si="184"/>
        <v>2000</v>
      </c>
      <c r="CZ12" s="167">
        <f t="shared" si="185"/>
        <v>81000</v>
      </c>
      <c r="DA12" s="167">
        <f t="shared" si="186"/>
        <v>81000</v>
      </c>
      <c r="DB12" s="170">
        <f t="shared" si="187"/>
        <v>19000</v>
      </c>
      <c r="DC12" s="167">
        <f t="shared" si="188"/>
        <v>0</v>
      </c>
      <c r="DD12" s="171">
        <f t="shared" si="189"/>
        <v>0</v>
      </c>
      <c r="DE12" s="169">
        <f t="shared" si="190"/>
        <v>0</v>
      </c>
      <c r="DF12" s="167">
        <f t="shared" si="191"/>
        <v>0</v>
      </c>
      <c r="DG12" s="167">
        <f t="shared" si="192"/>
        <v>0</v>
      </c>
      <c r="DH12" s="167">
        <f t="shared" si="193"/>
        <v>0</v>
      </c>
      <c r="DI12" s="167">
        <f t="shared" si="194"/>
        <v>100000</v>
      </c>
      <c r="DJ12" s="167">
        <f t="shared" si="195"/>
        <v>100000</v>
      </c>
      <c r="DK12" s="167">
        <f t="shared" si="196"/>
        <v>2000</v>
      </c>
      <c r="DL12" s="167">
        <f t="shared" si="197"/>
        <v>2000</v>
      </c>
      <c r="DM12" s="167">
        <f t="shared" si="198"/>
        <v>79000</v>
      </c>
      <c r="DN12" s="167">
        <f t="shared" si="199"/>
        <v>79000</v>
      </c>
      <c r="DO12" s="170">
        <f t="shared" si="200"/>
        <v>21000</v>
      </c>
      <c r="DP12" s="167">
        <f t="shared" si="201"/>
        <v>0</v>
      </c>
      <c r="DQ12" s="171">
        <f t="shared" si="202"/>
        <v>0</v>
      </c>
      <c r="DR12" s="169">
        <f t="shared" si="190"/>
        <v>0</v>
      </c>
      <c r="DS12" s="167">
        <f t="shared" si="204"/>
        <v>0</v>
      </c>
      <c r="DT12" s="167">
        <f t="shared" si="205"/>
        <v>0</v>
      </c>
      <c r="DU12" s="167">
        <f t="shared" si="206"/>
        <v>0</v>
      </c>
      <c r="DV12" s="167">
        <f t="shared" si="207"/>
        <v>100000</v>
      </c>
      <c r="DW12" s="167">
        <f t="shared" si="208"/>
        <v>100000</v>
      </c>
      <c r="DX12" s="167">
        <f t="shared" si="209"/>
        <v>2000</v>
      </c>
      <c r="DY12" s="167">
        <f t="shared" si="210"/>
        <v>2000</v>
      </c>
      <c r="DZ12" s="167">
        <f t="shared" si="211"/>
        <v>77000</v>
      </c>
      <c r="EA12" s="167">
        <f t="shared" si="212"/>
        <v>77000</v>
      </c>
      <c r="EB12" s="170">
        <f t="shared" si="213"/>
        <v>23000</v>
      </c>
      <c r="EC12" s="167">
        <f t="shared" si="214"/>
        <v>0</v>
      </c>
      <c r="ED12" s="171">
        <f t="shared" si="215"/>
        <v>0</v>
      </c>
    </row>
    <row r="13" spans="1:134" x14ac:dyDescent="0.3">
      <c r="A13" s="196"/>
      <c r="B13" s="186"/>
      <c r="C13" s="186"/>
      <c r="D13" s="188"/>
      <c r="E13" s="189"/>
      <c r="F13" s="190"/>
      <c r="G13" s="191"/>
      <c r="H13" s="192"/>
      <c r="I13" s="193"/>
      <c r="J13" s="194"/>
      <c r="K13" s="165">
        <f t="shared" si="216"/>
        <v>0</v>
      </c>
      <c r="L13" s="166">
        <f t="shared" si="217"/>
        <v>0</v>
      </c>
      <c r="M13" s="167">
        <f t="shared" si="218"/>
        <v>0</v>
      </c>
      <c r="N13" s="167"/>
      <c r="O13" s="167">
        <f t="shared" si="219"/>
        <v>0</v>
      </c>
      <c r="P13" s="168"/>
      <c r="Q13" s="167">
        <f t="shared" si="220"/>
        <v>0</v>
      </c>
      <c r="R13" s="169">
        <f t="shared" si="221"/>
        <v>0</v>
      </c>
      <c r="S13" s="167">
        <f t="shared" si="222"/>
        <v>0</v>
      </c>
      <c r="T13" s="167">
        <f t="shared" si="223"/>
        <v>0</v>
      </c>
      <c r="U13" s="167">
        <f t="shared" si="224"/>
        <v>0</v>
      </c>
      <c r="V13" s="167">
        <f t="shared" si="225"/>
        <v>0</v>
      </c>
      <c r="W13" s="167">
        <f t="shared" si="226"/>
        <v>0</v>
      </c>
      <c r="X13" s="167">
        <f t="shared" si="227"/>
        <v>0</v>
      </c>
      <c r="Y13" s="167">
        <f t="shared" si="228"/>
        <v>0</v>
      </c>
      <c r="Z13" s="167">
        <f t="shared" si="229"/>
        <v>0</v>
      </c>
      <c r="AA13" s="167">
        <f t="shared" si="230"/>
        <v>0</v>
      </c>
      <c r="AB13" s="170">
        <f t="shared" si="231"/>
        <v>0</v>
      </c>
      <c r="AC13" s="167">
        <f t="shared" si="232"/>
        <v>0</v>
      </c>
      <c r="AD13" s="171">
        <f t="shared" si="233"/>
        <v>0</v>
      </c>
      <c r="AE13" s="169">
        <f t="shared" si="112"/>
        <v>0</v>
      </c>
      <c r="AF13" s="167">
        <f t="shared" si="113"/>
        <v>0</v>
      </c>
      <c r="AG13" s="167">
        <f t="shared" si="114"/>
        <v>0</v>
      </c>
      <c r="AH13" s="167">
        <f t="shared" si="115"/>
        <v>0</v>
      </c>
      <c r="AI13" s="167">
        <f t="shared" si="116"/>
        <v>0</v>
      </c>
      <c r="AJ13" s="167">
        <f t="shared" si="117"/>
        <v>0</v>
      </c>
      <c r="AK13" s="167">
        <f t="shared" si="118"/>
        <v>0</v>
      </c>
      <c r="AL13" s="167">
        <f t="shared" si="119"/>
        <v>0</v>
      </c>
      <c r="AM13" s="167">
        <f t="shared" si="120"/>
        <v>0</v>
      </c>
      <c r="AN13" s="167">
        <f t="shared" si="121"/>
        <v>0</v>
      </c>
      <c r="AO13" s="170">
        <f t="shared" si="122"/>
        <v>0</v>
      </c>
      <c r="AP13" s="167">
        <f t="shared" si="123"/>
        <v>0</v>
      </c>
      <c r="AQ13" s="171">
        <f t="shared" si="124"/>
        <v>0</v>
      </c>
      <c r="AR13" s="169">
        <f t="shared" si="112"/>
        <v>0</v>
      </c>
      <c r="AS13" s="167">
        <f t="shared" si="126"/>
        <v>0</v>
      </c>
      <c r="AT13" s="167">
        <f t="shared" si="127"/>
        <v>0</v>
      </c>
      <c r="AU13" s="167">
        <f t="shared" si="128"/>
        <v>0</v>
      </c>
      <c r="AV13" s="167">
        <f t="shared" si="129"/>
        <v>0</v>
      </c>
      <c r="AW13" s="167">
        <f t="shared" si="130"/>
        <v>0</v>
      </c>
      <c r="AX13" s="167">
        <f t="shared" si="131"/>
        <v>0</v>
      </c>
      <c r="AY13" s="167">
        <f t="shared" si="132"/>
        <v>0</v>
      </c>
      <c r="AZ13" s="167">
        <f t="shared" si="133"/>
        <v>0</v>
      </c>
      <c r="BA13" s="167">
        <f t="shared" si="134"/>
        <v>0</v>
      </c>
      <c r="BB13" s="170">
        <f t="shared" si="135"/>
        <v>0</v>
      </c>
      <c r="BC13" s="167">
        <f t="shared" si="136"/>
        <v>0</v>
      </c>
      <c r="BD13" s="171">
        <f t="shared" si="137"/>
        <v>0</v>
      </c>
      <c r="BE13" s="169">
        <f t="shared" si="112"/>
        <v>0</v>
      </c>
      <c r="BF13" s="167">
        <f t="shared" si="139"/>
        <v>0</v>
      </c>
      <c r="BG13" s="167">
        <f t="shared" si="140"/>
        <v>0</v>
      </c>
      <c r="BH13" s="167">
        <f t="shared" si="141"/>
        <v>0</v>
      </c>
      <c r="BI13" s="167">
        <f t="shared" si="142"/>
        <v>0</v>
      </c>
      <c r="BJ13" s="167">
        <f t="shared" si="143"/>
        <v>0</v>
      </c>
      <c r="BK13" s="167">
        <f t="shared" si="144"/>
        <v>0</v>
      </c>
      <c r="BL13" s="167">
        <f t="shared" si="145"/>
        <v>0</v>
      </c>
      <c r="BM13" s="167">
        <f t="shared" si="146"/>
        <v>0</v>
      </c>
      <c r="BN13" s="167">
        <f t="shared" si="147"/>
        <v>0</v>
      </c>
      <c r="BO13" s="170">
        <f t="shared" si="148"/>
        <v>0</v>
      </c>
      <c r="BP13" s="167">
        <f t="shared" si="149"/>
        <v>0</v>
      </c>
      <c r="BQ13" s="171">
        <f t="shared" si="150"/>
        <v>0</v>
      </c>
      <c r="BR13" s="169">
        <f t="shared" si="151"/>
        <v>0</v>
      </c>
      <c r="BS13" s="167">
        <f t="shared" si="152"/>
        <v>0</v>
      </c>
      <c r="BT13" s="167">
        <f t="shared" si="153"/>
        <v>0</v>
      </c>
      <c r="BU13" s="167">
        <f t="shared" si="154"/>
        <v>0</v>
      </c>
      <c r="BV13" s="167">
        <f t="shared" si="155"/>
        <v>0</v>
      </c>
      <c r="BW13" s="167">
        <f t="shared" si="156"/>
        <v>0</v>
      </c>
      <c r="BX13" s="167">
        <f t="shared" si="157"/>
        <v>0</v>
      </c>
      <c r="BY13" s="167">
        <f t="shared" si="158"/>
        <v>0</v>
      </c>
      <c r="BZ13" s="167">
        <f t="shared" si="159"/>
        <v>0</v>
      </c>
      <c r="CA13" s="167">
        <f t="shared" si="160"/>
        <v>0</v>
      </c>
      <c r="CB13" s="170">
        <f t="shared" si="161"/>
        <v>0</v>
      </c>
      <c r="CC13" s="167">
        <f t="shared" si="162"/>
        <v>0</v>
      </c>
      <c r="CD13" s="171">
        <f t="shared" si="163"/>
        <v>0</v>
      </c>
      <c r="CE13" s="169">
        <f t="shared" si="151"/>
        <v>0</v>
      </c>
      <c r="CF13" s="167">
        <f t="shared" si="165"/>
        <v>0</v>
      </c>
      <c r="CG13" s="167">
        <f t="shared" si="166"/>
        <v>0</v>
      </c>
      <c r="CH13" s="167">
        <f t="shared" si="167"/>
        <v>0</v>
      </c>
      <c r="CI13" s="167">
        <f t="shared" si="168"/>
        <v>0</v>
      </c>
      <c r="CJ13" s="167">
        <f t="shared" si="169"/>
        <v>0</v>
      </c>
      <c r="CK13" s="167">
        <f t="shared" si="170"/>
        <v>0</v>
      </c>
      <c r="CL13" s="167">
        <f t="shared" si="171"/>
        <v>0</v>
      </c>
      <c r="CM13" s="167">
        <f t="shared" si="172"/>
        <v>0</v>
      </c>
      <c r="CN13" s="167">
        <f t="shared" si="173"/>
        <v>0</v>
      </c>
      <c r="CO13" s="170">
        <f t="shared" si="174"/>
        <v>0</v>
      </c>
      <c r="CP13" s="167">
        <f t="shared" si="175"/>
        <v>0</v>
      </c>
      <c r="CQ13" s="171">
        <f t="shared" si="176"/>
        <v>0</v>
      </c>
      <c r="CR13" s="169">
        <f t="shared" si="151"/>
        <v>0</v>
      </c>
      <c r="CS13" s="167">
        <f t="shared" si="178"/>
        <v>0</v>
      </c>
      <c r="CT13" s="167">
        <f t="shared" si="179"/>
        <v>0</v>
      </c>
      <c r="CU13" s="167">
        <f t="shared" si="180"/>
        <v>0</v>
      </c>
      <c r="CV13" s="167">
        <f t="shared" si="181"/>
        <v>0</v>
      </c>
      <c r="CW13" s="167">
        <f t="shared" si="182"/>
        <v>0</v>
      </c>
      <c r="CX13" s="167">
        <f t="shared" si="183"/>
        <v>0</v>
      </c>
      <c r="CY13" s="167">
        <f t="shared" si="184"/>
        <v>0</v>
      </c>
      <c r="CZ13" s="167">
        <f t="shared" si="185"/>
        <v>0</v>
      </c>
      <c r="DA13" s="167">
        <f t="shared" si="186"/>
        <v>0</v>
      </c>
      <c r="DB13" s="170">
        <f t="shared" si="187"/>
        <v>0</v>
      </c>
      <c r="DC13" s="167">
        <f t="shared" si="188"/>
        <v>0</v>
      </c>
      <c r="DD13" s="171">
        <f t="shared" si="189"/>
        <v>0</v>
      </c>
      <c r="DE13" s="169">
        <f t="shared" si="190"/>
        <v>0</v>
      </c>
      <c r="DF13" s="167">
        <f t="shared" si="191"/>
        <v>0</v>
      </c>
      <c r="DG13" s="167">
        <f t="shared" si="192"/>
        <v>0</v>
      </c>
      <c r="DH13" s="167">
        <f t="shared" si="193"/>
        <v>0</v>
      </c>
      <c r="DI13" s="167">
        <f t="shared" si="194"/>
        <v>0</v>
      </c>
      <c r="DJ13" s="167">
        <f t="shared" si="195"/>
        <v>0</v>
      </c>
      <c r="DK13" s="167">
        <f t="shared" si="196"/>
        <v>0</v>
      </c>
      <c r="DL13" s="167">
        <f t="shared" si="197"/>
        <v>0</v>
      </c>
      <c r="DM13" s="167">
        <f t="shared" si="198"/>
        <v>0</v>
      </c>
      <c r="DN13" s="167">
        <f t="shared" si="199"/>
        <v>0</v>
      </c>
      <c r="DO13" s="170">
        <f t="shared" si="200"/>
        <v>0</v>
      </c>
      <c r="DP13" s="167">
        <f t="shared" si="201"/>
        <v>0</v>
      </c>
      <c r="DQ13" s="171">
        <f t="shared" si="202"/>
        <v>0</v>
      </c>
      <c r="DR13" s="169">
        <f t="shared" si="190"/>
        <v>0</v>
      </c>
      <c r="DS13" s="167">
        <f t="shared" si="204"/>
        <v>0</v>
      </c>
      <c r="DT13" s="167">
        <f t="shared" si="205"/>
        <v>0</v>
      </c>
      <c r="DU13" s="167">
        <f t="shared" si="206"/>
        <v>0</v>
      </c>
      <c r="DV13" s="167">
        <f t="shared" si="207"/>
        <v>0</v>
      </c>
      <c r="DW13" s="167">
        <f t="shared" si="208"/>
        <v>0</v>
      </c>
      <c r="DX13" s="167">
        <f t="shared" si="209"/>
        <v>0</v>
      </c>
      <c r="DY13" s="167">
        <f t="shared" si="210"/>
        <v>0</v>
      </c>
      <c r="DZ13" s="167">
        <f t="shared" si="211"/>
        <v>0</v>
      </c>
      <c r="EA13" s="167">
        <f t="shared" si="212"/>
        <v>0</v>
      </c>
      <c r="EB13" s="170">
        <f t="shared" si="213"/>
        <v>0</v>
      </c>
      <c r="EC13" s="167">
        <f t="shared" si="214"/>
        <v>0</v>
      </c>
      <c r="ED13" s="171">
        <f t="shared" si="215"/>
        <v>0</v>
      </c>
    </row>
    <row r="14" spans="1:134" x14ac:dyDescent="0.3">
      <c r="A14" s="196"/>
      <c r="B14" s="534" t="s">
        <v>473</v>
      </c>
      <c r="C14" s="534"/>
      <c r="D14" s="188"/>
      <c r="E14" s="189"/>
      <c r="F14" s="190"/>
      <c r="G14" s="191"/>
      <c r="H14" s="192"/>
      <c r="I14" s="193"/>
      <c r="J14" s="194"/>
      <c r="K14" s="165">
        <f t="shared" si="216"/>
        <v>0</v>
      </c>
      <c r="L14" s="166">
        <f t="shared" si="217"/>
        <v>0</v>
      </c>
      <c r="M14" s="167">
        <f t="shared" si="218"/>
        <v>0</v>
      </c>
      <c r="N14" s="167"/>
      <c r="O14" s="167">
        <f t="shared" si="219"/>
        <v>0</v>
      </c>
      <c r="P14" s="168"/>
      <c r="Q14" s="167">
        <f t="shared" si="220"/>
        <v>0</v>
      </c>
      <c r="R14" s="169">
        <f t="shared" si="221"/>
        <v>0</v>
      </c>
      <c r="S14" s="167">
        <f t="shared" si="222"/>
        <v>0</v>
      </c>
      <c r="T14" s="167">
        <f t="shared" si="223"/>
        <v>0</v>
      </c>
      <c r="U14" s="167">
        <f t="shared" si="224"/>
        <v>0</v>
      </c>
      <c r="V14" s="167">
        <f t="shared" si="225"/>
        <v>0</v>
      </c>
      <c r="W14" s="167">
        <f t="shared" si="226"/>
        <v>0</v>
      </c>
      <c r="X14" s="167">
        <f t="shared" si="227"/>
        <v>0</v>
      </c>
      <c r="Y14" s="167">
        <f t="shared" si="228"/>
        <v>0</v>
      </c>
      <c r="Z14" s="167">
        <f t="shared" si="229"/>
        <v>0</v>
      </c>
      <c r="AA14" s="167">
        <f t="shared" si="230"/>
        <v>0</v>
      </c>
      <c r="AB14" s="170">
        <f t="shared" si="231"/>
        <v>0</v>
      </c>
      <c r="AC14" s="167">
        <f t="shared" si="232"/>
        <v>0</v>
      </c>
      <c r="AD14" s="171">
        <f t="shared" si="233"/>
        <v>0</v>
      </c>
      <c r="AE14" s="169">
        <f t="shared" si="112"/>
        <v>0</v>
      </c>
      <c r="AF14" s="167">
        <f t="shared" si="113"/>
        <v>0</v>
      </c>
      <c r="AG14" s="167">
        <f t="shared" si="114"/>
        <v>0</v>
      </c>
      <c r="AH14" s="167">
        <f t="shared" si="115"/>
        <v>0</v>
      </c>
      <c r="AI14" s="167">
        <f t="shared" si="116"/>
        <v>0</v>
      </c>
      <c r="AJ14" s="167">
        <f t="shared" si="117"/>
        <v>0</v>
      </c>
      <c r="AK14" s="167">
        <f t="shared" si="118"/>
        <v>0</v>
      </c>
      <c r="AL14" s="167">
        <f t="shared" si="119"/>
        <v>0</v>
      </c>
      <c r="AM14" s="167">
        <f t="shared" si="120"/>
        <v>0</v>
      </c>
      <c r="AN14" s="167">
        <f t="shared" si="121"/>
        <v>0</v>
      </c>
      <c r="AO14" s="170">
        <f t="shared" si="122"/>
        <v>0</v>
      </c>
      <c r="AP14" s="167">
        <f t="shared" si="123"/>
        <v>0</v>
      </c>
      <c r="AQ14" s="171">
        <f t="shared" si="124"/>
        <v>0</v>
      </c>
      <c r="AR14" s="169">
        <f t="shared" si="112"/>
        <v>0</v>
      </c>
      <c r="AS14" s="167">
        <f t="shared" si="126"/>
        <v>0</v>
      </c>
      <c r="AT14" s="167">
        <f t="shared" si="127"/>
        <v>0</v>
      </c>
      <c r="AU14" s="167">
        <f t="shared" si="128"/>
        <v>0</v>
      </c>
      <c r="AV14" s="167">
        <f t="shared" si="129"/>
        <v>0</v>
      </c>
      <c r="AW14" s="167">
        <f t="shared" si="130"/>
        <v>0</v>
      </c>
      <c r="AX14" s="167">
        <f t="shared" si="131"/>
        <v>0</v>
      </c>
      <c r="AY14" s="167">
        <f t="shared" si="132"/>
        <v>0</v>
      </c>
      <c r="AZ14" s="167">
        <f t="shared" si="133"/>
        <v>0</v>
      </c>
      <c r="BA14" s="167">
        <f t="shared" si="134"/>
        <v>0</v>
      </c>
      <c r="BB14" s="170">
        <f t="shared" si="135"/>
        <v>0</v>
      </c>
      <c r="BC14" s="167">
        <f t="shared" si="136"/>
        <v>0</v>
      </c>
      <c r="BD14" s="171">
        <f t="shared" si="137"/>
        <v>0</v>
      </c>
      <c r="BE14" s="169">
        <f t="shared" si="112"/>
        <v>0</v>
      </c>
      <c r="BF14" s="167">
        <f t="shared" si="139"/>
        <v>0</v>
      </c>
      <c r="BG14" s="167">
        <f t="shared" si="140"/>
        <v>0</v>
      </c>
      <c r="BH14" s="167">
        <f t="shared" si="141"/>
        <v>0</v>
      </c>
      <c r="BI14" s="167">
        <f t="shared" si="142"/>
        <v>0</v>
      </c>
      <c r="BJ14" s="167">
        <f t="shared" si="143"/>
        <v>0</v>
      </c>
      <c r="BK14" s="167">
        <f t="shared" si="144"/>
        <v>0</v>
      </c>
      <c r="BL14" s="167">
        <f t="shared" si="145"/>
        <v>0</v>
      </c>
      <c r="BM14" s="167">
        <f t="shared" si="146"/>
        <v>0</v>
      </c>
      <c r="BN14" s="167">
        <f t="shared" si="147"/>
        <v>0</v>
      </c>
      <c r="BO14" s="170">
        <f t="shared" si="148"/>
        <v>0</v>
      </c>
      <c r="BP14" s="167">
        <f t="shared" si="149"/>
        <v>0</v>
      </c>
      <c r="BQ14" s="171">
        <f t="shared" si="150"/>
        <v>0</v>
      </c>
      <c r="BR14" s="169">
        <f t="shared" si="151"/>
        <v>0</v>
      </c>
      <c r="BS14" s="167">
        <f t="shared" si="152"/>
        <v>0</v>
      </c>
      <c r="BT14" s="167">
        <f t="shared" si="153"/>
        <v>0</v>
      </c>
      <c r="BU14" s="167">
        <f t="shared" si="154"/>
        <v>0</v>
      </c>
      <c r="BV14" s="167">
        <f t="shared" si="155"/>
        <v>0</v>
      </c>
      <c r="BW14" s="167">
        <f t="shared" si="156"/>
        <v>0</v>
      </c>
      <c r="BX14" s="167">
        <f t="shared" si="157"/>
        <v>0</v>
      </c>
      <c r="BY14" s="167">
        <f t="shared" si="158"/>
        <v>0</v>
      </c>
      <c r="BZ14" s="167">
        <f t="shared" si="159"/>
        <v>0</v>
      </c>
      <c r="CA14" s="167">
        <f t="shared" si="160"/>
        <v>0</v>
      </c>
      <c r="CB14" s="170">
        <f t="shared" si="161"/>
        <v>0</v>
      </c>
      <c r="CC14" s="167">
        <f t="shared" si="162"/>
        <v>0</v>
      </c>
      <c r="CD14" s="171">
        <f t="shared" si="163"/>
        <v>0</v>
      </c>
      <c r="CE14" s="169">
        <f t="shared" si="151"/>
        <v>0</v>
      </c>
      <c r="CF14" s="167">
        <f t="shared" si="165"/>
        <v>0</v>
      </c>
      <c r="CG14" s="167">
        <f t="shared" si="166"/>
        <v>0</v>
      </c>
      <c r="CH14" s="167">
        <f t="shared" si="167"/>
        <v>0</v>
      </c>
      <c r="CI14" s="167">
        <f t="shared" si="168"/>
        <v>0</v>
      </c>
      <c r="CJ14" s="167">
        <f t="shared" si="169"/>
        <v>0</v>
      </c>
      <c r="CK14" s="167">
        <f t="shared" si="170"/>
        <v>0</v>
      </c>
      <c r="CL14" s="167">
        <f t="shared" si="171"/>
        <v>0</v>
      </c>
      <c r="CM14" s="167">
        <f t="shared" si="172"/>
        <v>0</v>
      </c>
      <c r="CN14" s="167">
        <f t="shared" si="173"/>
        <v>0</v>
      </c>
      <c r="CO14" s="170">
        <f t="shared" si="174"/>
        <v>0</v>
      </c>
      <c r="CP14" s="167">
        <f t="shared" si="175"/>
        <v>0</v>
      </c>
      <c r="CQ14" s="171">
        <f t="shared" si="176"/>
        <v>0</v>
      </c>
      <c r="CR14" s="169">
        <f t="shared" si="151"/>
        <v>0</v>
      </c>
      <c r="CS14" s="167">
        <f t="shared" si="178"/>
        <v>0</v>
      </c>
      <c r="CT14" s="167">
        <f t="shared" si="179"/>
        <v>0</v>
      </c>
      <c r="CU14" s="167">
        <f t="shared" si="180"/>
        <v>0</v>
      </c>
      <c r="CV14" s="167">
        <f t="shared" si="181"/>
        <v>0</v>
      </c>
      <c r="CW14" s="167">
        <f t="shared" si="182"/>
        <v>0</v>
      </c>
      <c r="CX14" s="167">
        <f t="shared" si="183"/>
        <v>0</v>
      </c>
      <c r="CY14" s="167">
        <f t="shared" si="184"/>
        <v>0</v>
      </c>
      <c r="CZ14" s="167">
        <f t="shared" si="185"/>
        <v>0</v>
      </c>
      <c r="DA14" s="167">
        <f t="shared" si="186"/>
        <v>0</v>
      </c>
      <c r="DB14" s="170">
        <f t="shared" si="187"/>
        <v>0</v>
      </c>
      <c r="DC14" s="167">
        <f t="shared" si="188"/>
        <v>0</v>
      </c>
      <c r="DD14" s="171">
        <f t="shared" si="189"/>
        <v>0</v>
      </c>
      <c r="DE14" s="169">
        <f t="shared" si="190"/>
        <v>0</v>
      </c>
      <c r="DF14" s="167">
        <f t="shared" si="191"/>
        <v>0</v>
      </c>
      <c r="DG14" s="167">
        <f t="shared" si="192"/>
        <v>0</v>
      </c>
      <c r="DH14" s="167">
        <f t="shared" si="193"/>
        <v>0</v>
      </c>
      <c r="DI14" s="167">
        <f t="shared" si="194"/>
        <v>0</v>
      </c>
      <c r="DJ14" s="167">
        <f t="shared" si="195"/>
        <v>0</v>
      </c>
      <c r="DK14" s="167">
        <f t="shared" si="196"/>
        <v>0</v>
      </c>
      <c r="DL14" s="167">
        <f t="shared" si="197"/>
        <v>0</v>
      </c>
      <c r="DM14" s="167">
        <f t="shared" si="198"/>
        <v>0</v>
      </c>
      <c r="DN14" s="167">
        <f t="shared" si="199"/>
        <v>0</v>
      </c>
      <c r="DO14" s="170">
        <f t="shared" si="200"/>
        <v>0</v>
      </c>
      <c r="DP14" s="167">
        <f t="shared" si="201"/>
        <v>0</v>
      </c>
      <c r="DQ14" s="171">
        <f t="shared" si="202"/>
        <v>0</v>
      </c>
      <c r="DR14" s="169">
        <f t="shared" si="190"/>
        <v>0</v>
      </c>
      <c r="DS14" s="167">
        <f t="shared" si="204"/>
        <v>0</v>
      </c>
      <c r="DT14" s="167">
        <f t="shared" si="205"/>
        <v>0</v>
      </c>
      <c r="DU14" s="167">
        <f t="shared" si="206"/>
        <v>0</v>
      </c>
      <c r="DV14" s="167">
        <f t="shared" si="207"/>
        <v>0</v>
      </c>
      <c r="DW14" s="167">
        <f t="shared" si="208"/>
        <v>0</v>
      </c>
      <c r="DX14" s="167">
        <f t="shared" si="209"/>
        <v>0</v>
      </c>
      <c r="DY14" s="167">
        <f t="shared" si="210"/>
        <v>0</v>
      </c>
      <c r="DZ14" s="167">
        <f t="shared" si="211"/>
        <v>0</v>
      </c>
      <c r="EA14" s="167">
        <f t="shared" si="212"/>
        <v>0</v>
      </c>
      <c r="EB14" s="170">
        <f t="shared" si="213"/>
        <v>0</v>
      </c>
      <c r="EC14" s="167">
        <f t="shared" si="214"/>
        <v>0</v>
      </c>
      <c r="ED14" s="171">
        <f t="shared" si="215"/>
        <v>0</v>
      </c>
    </row>
    <row r="15" spans="1:134" x14ac:dyDescent="0.3">
      <c r="A15" s="196">
        <v>1999</v>
      </c>
      <c r="B15" s="196" t="s">
        <v>472</v>
      </c>
      <c r="C15" s="196"/>
      <c r="D15" s="188" t="s">
        <v>113</v>
      </c>
      <c r="E15" s="189">
        <v>40000</v>
      </c>
      <c r="F15" s="190">
        <v>36342</v>
      </c>
      <c r="G15" s="191">
        <v>50</v>
      </c>
      <c r="H15" s="192"/>
      <c r="I15" s="193"/>
      <c r="J15" s="194"/>
      <c r="K15" s="165">
        <f t="shared" si="216"/>
        <v>0.02</v>
      </c>
      <c r="L15" s="166">
        <f t="shared" si="217"/>
        <v>800</v>
      </c>
      <c r="M15" s="167">
        <f t="shared" si="218"/>
        <v>30000</v>
      </c>
      <c r="N15" s="167"/>
      <c r="O15" s="167">
        <f t="shared" si="219"/>
        <v>10000</v>
      </c>
      <c r="P15" s="168"/>
      <c r="Q15" s="167">
        <f t="shared" si="220"/>
        <v>40000</v>
      </c>
      <c r="R15" s="169">
        <f t="shared" si="221"/>
        <v>0</v>
      </c>
      <c r="S15" s="167">
        <f t="shared" si="222"/>
        <v>0</v>
      </c>
      <c r="T15" s="167">
        <f t="shared" si="223"/>
        <v>0</v>
      </c>
      <c r="U15" s="167">
        <f t="shared" si="224"/>
        <v>0</v>
      </c>
      <c r="V15" s="167">
        <f t="shared" si="225"/>
        <v>40000</v>
      </c>
      <c r="W15" s="167">
        <f t="shared" si="226"/>
        <v>40000</v>
      </c>
      <c r="X15" s="167">
        <f t="shared" si="227"/>
        <v>800</v>
      </c>
      <c r="Y15" s="167">
        <f t="shared" si="228"/>
        <v>800</v>
      </c>
      <c r="Z15" s="167">
        <f t="shared" si="229"/>
        <v>29200</v>
      </c>
      <c r="AA15" s="167">
        <f t="shared" si="230"/>
        <v>29200</v>
      </c>
      <c r="AB15" s="170">
        <f t="shared" si="231"/>
        <v>10800</v>
      </c>
      <c r="AC15" s="167">
        <f t="shared" si="232"/>
        <v>0</v>
      </c>
      <c r="AD15" s="171">
        <f t="shared" si="233"/>
        <v>0</v>
      </c>
      <c r="AE15" s="169">
        <f t="shared" si="112"/>
        <v>0</v>
      </c>
      <c r="AF15" s="167">
        <f t="shared" si="113"/>
        <v>0</v>
      </c>
      <c r="AG15" s="167">
        <f t="shared" si="114"/>
        <v>0</v>
      </c>
      <c r="AH15" s="167">
        <f t="shared" si="115"/>
        <v>0</v>
      </c>
      <c r="AI15" s="167">
        <f t="shared" si="116"/>
        <v>40000</v>
      </c>
      <c r="AJ15" s="167">
        <f t="shared" si="117"/>
        <v>40000</v>
      </c>
      <c r="AK15" s="167">
        <f t="shared" si="118"/>
        <v>800</v>
      </c>
      <c r="AL15" s="167">
        <f t="shared" si="119"/>
        <v>800</v>
      </c>
      <c r="AM15" s="167">
        <f t="shared" si="120"/>
        <v>28400</v>
      </c>
      <c r="AN15" s="167">
        <f t="shared" si="121"/>
        <v>28400</v>
      </c>
      <c r="AO15" s="170">
        <f t="shared" si="122"/>
        <v>11600</v>
      </c>
      <c r="AP15" s="167">
        <f t="shared" si="123"/>
        <v>0</v>
      </c>
      <c r="AQ15" s="171">
        <f t="shared" si="124"/>
        <v>0</v>
      </c>
      <c r="AR15" s="169">
        <f t="shared" si="112"/>
        <v>0</v>
      </c>
      <c r="AS15" s="167">
        <f t="shared" si="126"/>
        <v>0</v>
      </c>
      <c r="AT15" s="167">
        <f t="shared" si="127"/>
        <v>0</v>
      </c>
      <c r="AU15" s="167">
        <f t="shared" si="128"/>
        <v>0</v>
      </c>
      <c r="AV15" s="167">
        <f t="shared" si="129"/>
        <v>40000</v>
      </c>
      <c r="AW15" s="167">
        <f t="shared" si="130"/>
        <v>40000</v>
      </c>
      <c r="AX15" s="167">
        <f t="shared" si="131"/>
        <v>800</v>
      </c>
      <c r="AY15" s="167">
        <f t="shared" si="132"/>
        <v>800</v>
      </c>
      <c r="AZ15" s="167">
        <f t="shared" si="133"/>
        <v>27600</v>
      </c>
      <c r="BA15" s="167">
        <f t="shared" si="134"/>
        <v>27600</v>
      </c>
      <c r="BB15" s="170">
        <f t="shared" si="135"/>
        <v>12400</v>
      </c>
      <c r="BC15" s="167">
        <f t="shared" si="136"/>
        <v>0</v>
      </c>
      <c r="BD15" s="171">
        <f t="shared" si="137"/>
        <v>0</v>
      </c>
      <c r="BE15" s="169">
        <f t="shared" si="112"/>
        <v>0</v>
      </c>
      <c r="BF15" s="167">
        <f t="shared" si="139"/>
        <v>0</v>
      </c>
      <c r="BG15" s="167">
        <f t="shared" si="140"/>
        <v>0</v>
      </c>
      <c r="BH15" s="167">
        <f t="shared" si="141"/>
        <v>0</v>
      </c>
      <c r="BI15" s="167">
        <f t="shared" si="142"/>
        <v>40000</v>
      </c>
      <c r="BJ15" s="167">
        <f t="shared" si="143"/>
        <v>40000</v>
      </c>
      <c r="BK15" s="167">
        <f t="shared" si="144"/>
        <v>800</v>
      </c>
      <c r="BL15" s="167">
        <f t="shared" si="145"/>
        <v>800</v>
      </c>
      <c r="BM15" s="167">
        <f t="shared" si="146"/>
        <v>26800</v>
      </c>
      <c r="BN15" s="167">
        <f t="shared" si="147"/>
        <v>26800</v>
      </c>
      <c r="BO15" s="170">
        <f t="shared" si="148"/>
        <v>13200</v>
      </c>
      <c r="BP15" s="167">
        <f t="shared" si="149"/>
        <v>0</v>
      </c>
      <c r="BQ15" s="171">
        <f t="shared" si="150"/>
        <v>0</v>
      </c>
      <c r="BR15" s="169">
        <f t="shared" si="151"/>
        <v>0</v>
      </c>
      <c r="BS15" s="167">
        <f t="shared" si="152"/>
        <v>0</v>
      </c>
      <c r="BT15" s="167">
        <f t="shared" si="153"/>
        <v>0</v>
      </c>
      <c r="BU15" s="167">
        <f t="shared" si="154"/>
        <v>0</v>
      </c>
      <c r="BV15" s="167">
        <f t="shared" si="155"/>
        <v>40000</v>
      </c>
      <c r="BW15" s="167">
        <f t="shared" si="156"/>
        <v>40000</v>
      </c>
      <c r="BX15" s="167">
        <f t="shared" si="157"/>
        <v>800</v>
      </c>
      <c r="BY15" s="167">
        <f t="shared" si="158"/>
        <v>800</v>
      </c>
      <c r="BZ15" s="167">
        <f t="shared" si="159"/>
        <v>26000</v>
      </c>
      <c r="CA15" s="167">
        <f t="shared" si="160"/>
        <v>26000</v>
      </c>
      <c r="CB15" s="170">
        <f t="shared" si="161"/>
        <v>14000</v>
      </c>
      <c r="CC15" s="167">
        <f t="shared" si="162"/>
        <v>0</v>
      </c>
      <c r="CD15" s="171">
        <f t="shared" si="163"/>
        <v>0</v>
      </c>
      <c r="CE15" s="169">
        <f t="shared" si="151"/>
        <v>0</v>
      </c>
      <c r="CF15" s="167">
        <f t="shared" si="165"/>
        <v>0</v>
      </c>
      <c r="CG15" s="167">
        <f t="shared" si="166"/>
        <v>0</v>
      </c>
      <c r="CH15" s="167">
        <f t="shared" si="167"/>
        <v>0</v>
      </c>
      <c r="CI15" s="167">
        <f t="shared" si="168"/>
        <v>40000</v>
      </c>
      <c r="CJ15" s="167">
        <f t="shared" si="169"/>
        <v>40000</v>
      </c>
      <c r="CK15" s="167">
        <f t="shared" si="170"/>
        <v>800</v>
      </c>
      <c r="CL15" s="167">
        <f t="shared" si="171"/>
        <v>800</v>
      </c>
      <c r="CM15" s="167">
        <f t="shared" si="172"/>
        <v>25200</v>
      </c>
      <c r="CN15" s="167">
        <f t="shared" si="173"/>
        <v>25200</v>
      </c>
      <c r="CO15" s="170">
        <f t="shared" si="174"/>
        <v>14800</v>
      </c>
      <c r="CP15" s="167">
        <f t="shared" si="175"/>
        <v>0</v>
      </c>
      <c r="CQ15" s="171">
        <f t="shared" si="176"/>
        <v>0</v>
      </c>
      <c r="CR15" s="169">
        <f t="shared" si="151"/>
        <v>0</v>
      </c>
      <c r="CS15" s="167">
        <f t="shared" si="178"/>
        <v>0</v>
      </c>
      <c r="CT15" s="167">
        <f t="shared" si="179"/>
        <v>0</v>
      </c>
      <c r="CU15" s="167">
        <f t="shared" si="180"/>
        <v>0</v>
      </c>
      <c r="CV15" s="167">
        <f t="shared" si="181"/>
        <v>40000</v>
      </c>
      <c r="CW15" s="167">
        <f t="shared" si="182"/>
        <v>40000</v>
      </c>
      <c r="CX15" s="167">
        <f t="shared" si="183"/>
        <v>800</v>
      </c>
      <c r="CY15" s="167">
        <f t="shared" si="184"/>
        <v>800</v>
      </c>
      <c r="CZ15" s="167">
        <f t="shared" si="185"/>
        <v>24400</v>
      </c>
      <c r="DA15" s="167">
        <f t="shared" si="186"/>
        <v>24400</v>
      </c>
      <c r="DB15" s="170">
        <f t="shared" si="187"/>
        <v>15600</v>
      </c>
      <c r="DC15" s="167">
        <f t="shared" si="188"/>
        <v>0</v>
      </c>
      <c r="DD15" s="171">
        <f t="shared" si="189"/>
        <v>0</v>
      </c>
      <c r="DE15" s="169">
        <f t="shared" si="190"/>
        <v>0</v>
      </c>
      <c r="DF15" s="167">
        <f t="shared" si="191"/>
        <v>0</v>
      </c>
      <c r="DG15" s="167">
        <f t="shared" si="192"/>
        <v>0</v>
      </c>
      <c r="DH15" s="167">
        <f t="shared" si="193"/>
        <v>0</v>
      </c>
      <c r="DI15" s="167">
        <f t="shared" si="194"/>
        <v>40000</v>
      </c>
      <c r="DJ15" s="167">
        <f t="shared" si="195"/>
        <v>40000</v>
      </c>
      <c r="DK15" s="167">
        <f t="shared" si="196"/>
        <v>800</v>
      </c>
      <c r="DL15" s="167">
        <f t="shared" si="197"/>
        <v>800</v>
      </c>
      <c r="DM15" s="167">
        <f t="shared" si="198"/>
        <v>23600</v>
      </c>
      <c r="DN15" s="167">
        <f t="shared" si="199"/>
        <v>23600</v>
      </c>
      <c r="DO15" s="170">
        <f t="shared" si="200"/>
        <v>16400</v>
      </c>
      <c r="DP15" s="167">
        <f t="shared" si="201"/>
        <v>0</v>
      </c>
      <c r="DQ15" s="171">
        <f t="shared" si="202"/>
        <v>0</v>
      </c>
      <c r="DR15" s="169">
        <f t="shared" si="190"/>
        <v>0</v>
      </c>
      <c r="DS15" s="167">
        <f t="shared" si="204"/>
        <v>0</v>
      </c>
      <c r="DT15" s="167">
        <f t="shared" si="205"/>
        <v>0</v>
      </c>
      <c r="DU15" s="167">
        <f t="shared" si="206"/>
        <v>0</v>
      </c>
      <c r="DV15" s="167">
        <f t="shared" si="207"/>
        <v>40000</v>
      </c>
      <c r="DW15" s="167">
        <f t="shared" si="208"/>
        <v>40000</v>
      </c>
      <c r="DX15" s="167">
        <f t="shared" si="209"/>
        <v>800</v>
      </c>
      <c r="DY15" s="167">
        <f t="shared" si="210"/>
        <v>800</v>
      </c>
      <c r="DZ15" s="167">
        <f t="shared" si="211"/>
        <v>22800</v>
      </c>
      <c r="EA15" s="167">
        <f t="shared" si="212"/>
        <v>22800</v>
      </c>
      <c r="EB15" s="170">
        <f t="shared" si="213"/>
        <v>17200</v>
      </c>
      <c r="EC15" s="167">
        <f t="shared" si="214"/>
        <v>0</v>
      </c>
      <c r="ED15" s="171">
        <f t="shared" si="215"/>
        <v>0</v>
      </c>
    </row>
    <row r="16" spans="1:134" x14ac:dyDescent="0.3">
      <c r="A16" s="196">
        <v>2003</v>
      </c>
      <c r="B16" s="196" t="s">
        <v>472</v>
      </c>
      <c r="C16" s="196"/>
      <c r="D16" s="188" t="s">
        <v>113</v>
      </c>
      <c r="E16" s="189">
        <v>50000</v>
      </c>
      <c r="F16" s="190">
        <v>37803</v>
      </c>
      <c r="G16" s="191">
        <v>50</v>
      </c>
      <c r="H16" s="192"/>
      <c r="I16" s="193"/>
      <c r="J16" s="194"/>
      <c r="K16" s="165">
        <f t="shared" si="216"/>
        <v>0.02</v>
      </c>
      <c r="L16" s="166">
        <f t="shared" si="217"/>
        <v>1000</v>
      </c>
      <c r="M16" s="167">
        <f t="shared" si="218"/>
        <v>41500</v>
      </c>
      <c r="N16" s="167"/>
      <c r="O16" s="167">
        <f t="shared" si="219"/>
        <v>8500</v>
      </c>
      <c r="P16" s="168"/>
      <c r="Q16" s="167">
        <f t="shared" si="220"/>
        <v>50000</v>
      </c>
      <c r="R16" s="169">
        <f t="shared" si="221"/>
        <v>0</v>
      </c>
      <c r="S16" s="167">
        <f t="shared" si="222"/>
        <v>0</v>
      </c>
      <c r="T16" s="167">
        <f t="shared" si="223"/>
        <v>0</v>
      </c>
      <c r="U16" s="167">
        <f t="shared" si="224"/>
        <v>0</v>
      </c>
      <c r="V16" s="167">
        <f t="shared" si="225"/>
        <v>50000</v>
      </c>
      <c r="W16" s="167">
        <f t="shared" si="226"/>
        <v>50000</v>
      </c>
      <c r="X16" s="167">
        <f t="shared" si="227"/>
        <v>1000</v>
      </c>
      <c r="Y16" s="167">
        <f t="shared" si="228"/>
        <v>1000</v>
      </c>
      <c r="Z16" s="167">
        <f t="shared" si="229"/>
        <v>40500</v>
      </c>
      <c r="AA16" s="167">
        <f t="shared" si="230"/>
        <v>40500</v>
      </c>
      <c r="AB16" s="170">
        <f t="shared" si="231"/>
        <v>9500</v>
      </c>
      <c r="AC16" s="167">
        <f t="shared" si="232"/>
        <v>0</v>
      </c>
      <c r="AD16" s="171">
        <f t="shared" si="233"/>
        <v>0</v>
      </c>
      <c r="AE16" s="169">
        <f t="shared" si="112"/>
        <v>0</v>
      </c>
      <c r="AF16" s="167">
        <f t="shared" si="113"/>
        <v>0</v>
      </c>
      <c r="AG16" s="167">
        <f t="shared" si="114"/>
        <v>0</v>
      </c>
      <c r="AH16" s="167">
        <f t="shared" si="115"/>
        <v>0</v>
      </c>
      <c r="AI16" s="167">
        <f t="shared" si="116"/>
        <v>50000</v>
      </c>
      <c r="AJ16" s="167">
        <f t="shared" si="117"/>
        <v>50000</v>
      </c>
      <c r="AK16" s="167">
        <f t="shared" si="118"/>
        <v>1000</v>
      </c>
      <c r="AL16" s="167">
        <f t="shared" si="119"/>
        <v>1000</v>
      </c>
      <c r="AM16" s="167">
        <f t="shared" si="120"/>
        <v>39500</v>
      </c>
      <c r="AN16" s="167">
        <f t="shared" si="121"/>
        <v>39500</v>
      </c>
      <c r="AO16" s="170">
        <f t="shared" si="122"/>
        <v>10500</v>
      </c>
      <c r="AP16" s="167">
        <f t="shared" si="123"/>
        <v>0</v>
      </c>
      <c r="AQ16" s="171">
        <f t="shared" si="124"/>
        <v>0</v>
      </c>
      <c r="AR16" s="169">
        <f t="shared" si="112"/>
        <v>0</v>
      </c>
      <c r="AS16" s="167">
        <f t="shared" si="126"/>
        <v>0</v>
      </c>
      <c r="AT16" s="167">
        <f t="shared" si="127"/>
        <v>0</v>
      </c>
      <c r="AU16" s="167">
        <f t="shared" si="128"/>
        <v>0</v>
      </c>
      <c r="AV16" s="167">
        <f t="shared" si="129"/>
        <v>50000</v>
      </c>
      <c r="AW16" s="167">
        <f t="shared" si="130"/>
        <v>50000</v>
      </c>
      <c r="AX16" s="167">
        <f t="shared" si="131"/>
        <v>1000</v>
      </c>
      <c r="AY16" s="167">
        <f t="shared" si="132"/>
        <v>1000</v>
      </c>
      <c r="AZ16" s="167">
        <f t="shared" si="133"/>
        <v>38500</v>
      </c>
      <c r="BA16" s="167">
        <f t="shared" si="134"/>
        <v>38500</v>
      </c>
      <c r="BB16" s="170">
        <f t="shared" si="135"/>
        <v>11500</v>
      </c>
      <c r="BC16" s="167">
        <f t="shared" si="136"/>
        <v>0</v>
      </c>
      <c r="BD16" s="171">
        <f t="shared" si="137"/>
        <v>0</v>
      </c>
      <c r="BE16" s="169">
        <f t="shared" si="112"/>
        <v>0</v>
      </c>
      <c r="BF16" s="167">
        <f t="shared" si="139"/>
        <v>0</v>
      </c>
      <c r="BG16" s="167">
        <f t="shared" si="140"/>
        <v>0</v>
      </c>
      <c r="BH16" s="167">
        <f t="shared" si="141"/>
        <v>0</v>
      </c>
      <c r="BI16" s="167">
        <f t="shared" si="142"/>
        <v>50000</v>
      </c>
      <c r="BJ16" s="167">
        <f t="shared" si="143"/>
        <v>50000</v>
      </c>
      <c r="BK16" s="167">
        <f t="shared" si="144"/>
        <v>1000</v>
      </c>
      <c r="BL16" s="167">
        <f t="shared" si="145"/>
        <v>1000</v>
      </c>
      <c r="BM16" s="167">
        <f t="shared" si="146"/>
        <v>37500</v>
      </c>
      <c r="BN16" s="167">
        <f t="shared" si="147"/>
        <v>37500</v>
      </c>
      <c r="BO16" s="170">
        <f t="shared" si="148"/>
        <v>12500</v>
      </c>
      <c r="BP16" s="167">
        <f t="shared" si="149"/>
        <v>0</v>
      </c>
      <c r="BQ16" s="171">
        <f t="shared" si="150"/>
        <v>0</v>
      </c>
      <c r="BR16" s="169">
        <f t="shared" si="151"/>
        <v>0</v>
      </c>
      <c r="BS16" s="167">
        <f t="shared" si="152"/>
        <v>0</v>
      </c>
      <c r="BT16" s="167">
        <f t="shared" si="153"/>
        <v>0</v>
      </c>
      <c r="BU16" s="167">
        <f t="shared" si="154"/>
        <v>0</v>
      </c>
      <c r="BV16" s="167">
        <f t="shared" si="155"/>
        <v>50000</v>
      </c>
      <c r="BW16" s="167">
        <f t="shared" si="156"/>
        <v>50000</v>
      </c>
      <c r="BX16" s="167">
        <f t="shared" si="157"/>
        <v>1000</v>
      </c>
      <c r="BY16" s="167">
        <f t="shared" si="158"/>
        <v>1000</v>
      </c>
      <c r="BZ16" s="167">
        <f t="shared" si="159"/>
        <v>36500</v>
      </c>
      <c r="CA16" s="167">
        <f t="shared" si="160"/>
        <v>36500</v>
      </c>
      <c r="CB16" s="170">
        <f t="shared" si="161"/>
        <v>13500</v>
      </c>
      <c r="CC16" s="167">
        <f t="shared" si="162"/>
        <v>0</v>
      </c>
      <c r="CD16" s="171">
        <f t="shared" si="163"/>
        <v>0</v>
      </c>
      <c r="CE16" s="169">
        <f t="shared" si="151"/>
        <v>0</v>
      </c>
      <c r="CF16" s="167">
        <f t="shared" si="165"/>
        <v>0</v>
      </c>
      <c r="CG16" s="167">
        <f t="shared" si="166"/>
        <v>0</v>
      </c>
      <c r="CH16" s="167">
        <f t="shared" si="167"/>
        <v>0</v>
      </c>
      <c r="CI16" s="167">
        <f t="shared" si="168"/>
        <v>50000</v>
      </c>
      <c r="CJ16" s="167">
        <f t="shared" si="169"/>
        <v>50000</v>
      </c>
      <c r="CK16" s="167">
        <f t="shared" si="170"/>
        <v>1000</v>
      </c>
      <c r="CL16" s="167">
        <f t="shared" si="171"/>
        <v>1000</v>
      </c>
      <c r="CM16" s="167">
        <f t="shared" si="172"/>
        <v>35500</v>
      </c>
      <c r="CN16" s="167">
        <f t="shared" si="173"/>
        <v>35500</v>
      </c>
      <c r="CO16" s="170">
        <f t="shared" si="174"/>
        <v>14500</v>
      </c>
      <c r="CP16" s="167">
        <f t="shared" si="175"/>
        <v>0</v>
      </c>
      <c r="CQ16" s="171">
        <f t="shared" si="176"/>
        <v>0</v>
      </c>
      <c r="CR16" s="169">
        <f t="shared" si="151"/>
        <v>0</v>
      </c>
      <c r="CS16" s="167">
        <f t="shared" si="178"/>
        <v>0</v>
      </c>
      <c r="CT16" s="167">
        <f t="shared" si="179"/>
        <v>0</v>
      </c>
      <c r="CU16" s="167">
        <f t="shared" si="180"/>
        <v>0</v>
      </c>
      <c r="CV16" s="167">
        <f t="shared" si="181"/>
        <v>50000</v>
      </c>
      <c r="CW16" s="167">
        <f t="shared" si="182"/>
        <v>50000</v>
      </c>
      <c r="CX16" s="167">
        <f t="shared" si="183"/>
        <v>1000</v>
      </c>
      <c r="CY16" s="167">
        <f t="shared" si="184"/>
        <v>1000</v>
      </c>
      <c r="CZ16" s="167">
        <f t="shared" si="185"/>
        <v>34500</v>
      </c>
      <c r="DA16" s="167">
        <f t="shared" si="186"/>
        <v>34500</v>
      </c>
      <c r="DB16" s="170">
        <f t="shared" si="187"/>
        <v>15500</v>
      </c>
      <c r="DC16" s="167">
        <f t="shared" si="188"/>
        <v>0</v>
      </c>
      <c r="DD16" s="171">
        <f t="shared" si="189"/>
        <v>0</v>
      </c>
      <c r="DE16" s="169">
        <f t="shared" si="190"/>
        <v>0</v>
      </c>
      <c r="DF16" s="167">
        <f t="shared" si="191"/>
        <v>0</v>
      </c>
      <c r="DG16" s="167">
        <f t="shared" si="192"/>
        <v>0</v>
      </c>
      <c r="DH16" s="167">
        <f t="shared" si="193"/>
        <v>0</v>
      </c>
      <c r="DI16" s="167">
        <f t="shared" si="194"/>
        <v>50000</v>
      </c>
      <c r="DJ16" s="167">
        <f t="shared" si="195"/>
        <v>50000</v>
      </c>
      <c r="DK16" s="167">
        <f t="shared" si="196"/>
        <v>1000</v>
      </c>
      <c r="DL16" s="167">
        <f t="shared" si="197"/>
        <v>1000</v>
      </c>
      <c r="DM16" s="167">
        <f t="shared" si="198"/>
        <v>33500</v>
      </c>
      <c r="DN16" s="167">
        <f t="shared" si="199"/>
        <v>33500</v>
      </c>
      <c r="DO16" s="170">
        <f t="shared" si="200"/>
        <v>16500</v>
      </c>
      <c r="DP16" s="167">
        <f t="shared" si="201"/>
        <v>0</v>
      </c>
      <c r="DQ16" s="171">
        <f t="shared" si="202"/>
        <v>0</v>
      </c>
      <c r="DR16" s="169">
        <f t="shared" si="190"/>
        <v>0</v>
      </c>
      <c r="DS16" s="167">
        <f t="shared" si="204"/>
        <v>0</v>
      </c>
      <c r="DT16" s="167">
        <f t="shared" si="205"/>
        <v>0</v>
      </c>
      <c r="DU16" s="167">
        <f t="shared" si="206"/>
        <v>0</v>
      </c>
      <c r="DV16" s="167">
        <f t="shared" si="207"/>
        <v>50000</v>
      </c>
      <c r="DW16" s="167">
        <f t="shared" si="208"/>
        <v>50000</v>
      </c>
      <c r="DX16" s="167">
        <f t="shared" si="209"/>
        <v>1000</v>
      </c>
      <c r="DY16" s="167">
        <f t="shared" si="210"/>
        <v>1000</v>
      </c>
      <c r="DZ16" s="167">
        <f t="shared" si="211"/>
        <v>32500</v>
      </c>
      <c r="EA16" s="167">
        <f t="shared" si="212"/>
        <v>32500</v>
      </c>
      <c r="EB16" s="170">
        <f t="shared" si="213"/>
        <v>17500</v>
      </c>
      <c r="EC16" s="167">
        <f t="shared" si="214"/>
        <v>0</v>
      </c>
      <c r="ED16" s="171">
        <f t="shared" si="215"/>
        <v>0</v>
      </c>
    </row>
    <row r="17" spans="1:134" x14ac:dyDescent="0.3">
      <c r="A17" s="196"/>
      <c r="B17" s="196"/>
      <c r="C17" s="196"/>
      <c r="D17" s="188"/>
      <c r="E17" s="189"/>
      <c r="F17" s="190"/>
      <c r="G17" s="191"/>
      <c r="H17" s="192"/>
      <c r="I17" s="193"/>
      <c r="J17" s="194"/>
      <c r="K17" s="165">
        <f t="shared" si="216"/>
        <v>0</v>
      </c>
      <c r="L17" s="166">
        <f t="shared" si="217"/>
        <v>0</v>
      </c>
      <c r="M17" s="167">
        <f t="shared" si="218"/>
        <v>0</v>
      </c>
      <c r="N17" s="167"/>
      <c r="O17" s="167">
        <f t="shared" si="219"/>
        <v>0</v>
      </c>
      <c r="P17" s="168"/>
      <c r="Q17" s="167">
        <f t="shared" si="220"/>
        <v>0</v>
      </c>
      <c r="R17" s="169">
        <f t="shared" si="221"/>
        <v>0</v>
      </c>
      <c r="S17" s="167">
        <f t="shared" si="222"/>
        <v>0</v>
      </c>
      <c r="T17" s="167">
        <f t="shared" si="223"/>
        <v>0</v>
      </c>
      <c r="U17" s="167">
        <f t="shared" si="224"/>
        <v>0</v>
      </c>
      <c r="V17" s="167">
        <f t="shared" si="225"/>
        <v>0</v>
      </c>
      <c r="W17" s="167">
        <f t="shared" si="226"/>
        <v>0</v>
      </c>
      <c r="X17" s="167">
        <f t="shared" si="227"/>
        <v>0</v>
      </c>
      <c r="Y17" s="167">
        <f t="shared" si="228"/>
        <v>0</v>
      </c>
      <c r="Z17" s="167">
        <f t="shared" si="229"/>
        <v>0</v>
      </c>
      <c r="AA17" s="167">
        <f t="shared" si="230"/>
        <v>0</v>
      </c>
      <c r="AB17" s="170">
        <f t="shared" si="231"/>
        <v>0</v>
      </c>
      <c r="AC17" s="167">
        <f t="shared" si="232"/>
        <v>0</v>
      </c>
      <c r="AD17" s="171">
        <f t="shared" si="233"/>
        <v>0</v>
      </c>
      <c r="AE17" s="169">
        <f t="shared" si="112"/>
        <v>0</v>
      </c>
      <c r="AF17" s="167">
        <f t="shared" si="113"/>
        <v>0</v>
      </c>
      <c r="AG17" s="167">
        <f t="shared" si="114"/>
        <v>0</v>
      </c>
      <c r="AH17" s="167">
        <f t="shared" si="115"/>
        <v>0</v>
      </c>
      <c r="AI17" s="167">
        <f t="shared" si="116"/>
        <v>0</v>
      </c>
      <c r="AJ17" s="167">
        <f t="shared" si="117"/>
        <v>0</v>
      </c>
      <c r="AK17" s="167">
        <f t="shared" si="118"/>
        <v>0</v>
      </c>
      <c r="AL17" s="167">
        <f t="shared" si="119"/>
        <v>0</v>
      </c>
      <c r="AM17" s="167">
        <f t="shared" si="120"/>
        <v>0</v>
      </c>
      <c r="AN17" s="167">
        <f t="shared" si="121"/>
        <v>0</v>
      </c>
      <c r="AO17" s="170">
        <f t="shared" si="122"/>
        <v>0</v>
      </c>
      <c r="AP17" s="167">
        <f t="shared" si="123"/>
        <v>0</v>
      </c>
      <c r="AQ17" s="171">
        <f t="shared" si="124"/>
        <v>0</v>
      </c>
      <c r="AR17" s="169">
        <f t="shared" si="112"/>
        <v>0</v>
      </c>
      <c r="AS17" s="167">
        <f t="shared" si="126"/>
        <v>0</v>
      </c>
      <c r="AT17" s="167">
        <f t="shared" si="127"/>
        <v>0</v>
      </c>
      <c r="AU17" s="167">
        <f t="shared" si="128"/>
        <v>0</v>
      </c>
      <c r="AV17" s="167">
        <f t="shared" si="129"/>
        <v>0</v>
      </c>
      <c r="AW17" s="167">
        <f t="shared" si="130"/>
        <v>0</v>
      </c>
      <c r="AX17" s="167">
        <f t="shared" si="131"/>
        <v>0</v>
      </c>
      <c r="AY17" s="167">
        <f t="shared" si="132"/>
        <v>0</v>
      </c>
      <c r="AZ17" s="167">
        <f t="shared" si="133"/>
        <v>0</v>
      </c>
      <c r="BA17" s="167">
        <f t="shared" si="134"/>
        <v>0</v>
      </c>
      <c r="BB17" s="170">
        <f t="shared" si="135"/>
        <v>0</v>
      </c>
      <c r="BC17" s="167">
        <f t="shared" si="136"/>
        <v>0</v>
      </c>
      <c r="BD17" s="171">
        <f t="shared" si="137"/>
        <v>0</v>
      </c>
      <c r="BE17" s="169">
        <f t="shared" si="112"/>
        <v>0</v>
      </c>
      <c r="BF17" s="167">
        <f t="shared" si="139"/>
        <v>0</v>
      </c>
      <c r="BG17" s="167">
        <f t="shared" si="140"/>
        <v>0</v>
      </c>
      <c r="BH17" s="167">
        <f t="shared" si="141"/>
        <v>0</v>
      </c>
      <c r="BI17" s="167">
        <f t="shared" si="142"/>
        <v>0</v>
      </c>
      <c r="BJ17" s="167">
        <f t="shared" si="143"/>
        <v>0</v>
      </c>
      <c r="BK17" s="167">
        <f t="shared" si="144"/>
        <v>0</v>
      </c>
      <c r="BL17" s="167">
        <f t="shared" si="145"/>
        <v>0</v>
      </c>
      <c r="BM17" s="167">
        <f t="shared" si="146"/>
        <v>0</v>
      </c>
      <c r="BN17" s="167">
        <f t="shared" si="147"/>
        <v>0</v>
      </c>
      <c r="BO17" s="170">
        <f t="shared" si="148"/>
        <v>0</v>
      </c>
      <c r="BP17" s="167">
        <f t="shared" si="149"/>
        <v>0</v>
      </c>
      <c r="BQ17" s="171">
        <f t="shared" si="150"/>
        <v>0</v>
      </c>
      <c r="BR17" s="169">
        <f t="shared" si="151"/>
        <v>0</v>
      </c>
      <c r="BS17" s="167">
        <f t="shared" si="152"/>
        <v>0</v>
      </c>
      <c r="BT17" s="167">
        <f t="shared" si="153"/>
        <v>0</v>
      </c>
      <c r="BU17" s="167">
        <f t="shared" si="154"/>
        <v>0</v>
      </c>
      <c r="BV17" s="167">
        <f t="shared" si="155"/>
        <v>0</v>
      </c>
      <c r="BW17" s="167">
        <f t="shared" si="156"/>
        <v>0</v>
      </c>
      <c r="BX17" s="167">
        <f t="shared" si="157"/>
        <v>0</v>
      </c>
      <c r="BY17" s="167">
        <f t="shared" si="158"/>
        <v>0</v>
      </c>
      <c r="BZ17" s="167">
        <f t="shared" si="159"/>
        <v>0</v>
      </c>
      <c r="CA17" s="167">
        <f t="shared" si="160"/>
        <v>0</v>
      </c>
      <c r="CB17" s="170">
        <f t="shared" si="161"/>
        <v>0</v>
      </c>
      <c r="CC17" s="167">
        <f t="shared" si="162"/>
        <v>0</v>
      </c>
      <c r="CD17" s="171">
        <f t="shared" si="163"/>
        <v>0</v>
      </c>
      <c r="CE17" s="169">
        <f t="shared" si="151"/>
        <v>0</v>
      </c>
      <c r="CF17" s="167">
        <f t="shared" si="165"/>
        <v>0</v>
      </c>
      <c r="CG17" s="167">
        <f t="shared" si="166"/>
        <v>0</v>
      </c>
      <c r="CH17" s="167">
        <f t="shared" si="167"/>
        <v>0</v>
      </c>
      <c r="CI17" s="167">
        <f t="shared" si="168"/>
        <v>0</v>
      </c>
      <c r="CJ17" s="167">
        <f t="shared" si="169"/>
        <v>0</v>
      </c>
      <c r="CK17" s="167">
        <f t="shared" si="170"/>
        <v>0</v>
      </c>
      <c r="CL17" s="167">
        <f t="shared" si="171"/>
        <v>0</v>
      </c>
      <c r="CM17" s="167">
        <f t="shared" si="172"/>
        <v>0</v>
      </c>
      <c r="CN17" s="167">
        <f t="shared" si="173"/>
        <v>0</v>
      </c>
      <c r="CO17" s="170">
        <f t="shared" si="174"/>
        <v>0</v>
      </c>
      <c r="CP17" s="167">
        <f t="shared" si="175"/>
        <v>0</v>
      </c>
      <c r="CQ17" s="171">
        <f t="shared" si="176"/>
        <v>0</v>
      </c>
      <c r="CR17" s="169">
        <f t="shared" si="151"/>
        <v>0</v>
      </c>
      <c r="CS17" s="167">
        <f t="shared" si="178"/>
        <v>0</v>
      </c>
      <c r="CT17" s="167">
        <f t="shared" si="179"/>
        <v>0</v>
      </c>
      <c r="CU17" s="167">
        <f t="shared" si="180"/>
        <v>0</v>
      </c>
      <c r="CV17" s="167">
        <f t="shared" si="181"/>
        <v>0</v>
      </c>
      <c r="CW17" s="167">
        <f t="shared" si="182"/>
        <v>0</v>
      </c>
      <c r="CX17" s="167">
        <f t="shared" si="183"/>
        <v>0</v>
      </c>
      <c r="CY17" s="167">
        <f t="shared" si="184"/>
        <v>0</v>
      </c>
      <c r="CZ17" s="167">
        <f t="shared" si="185"/>
        <v>0</v>
      </c>
      <c r="DA17" s="167">
        <f t="shared" si="186"/>
        <v>0</v>
      </c>
      <c r="DB17" s="170">
        <f t="shared" si="187"/>
        <v>0</v>
      </c>
      <c r="DC17" s="167">
        <f t="shared" si="188"/>
        <v>0</v>
      </c>
      <c r="DD17" s="171">
        <f t="shared" si="189"/>
        <v>0</v>
      </c>
      <c r="DE17" s="169">
        <f t="shared" si="190"/>
        <v>0</v>
      </c>
      <c r="DF17" s="167">
        <f t="shared" si="191"/>
        <v>0</v>
      </c>
      <c r="DG17" s="167">
        <f t="shared" si="192"/>
        <v>0</v>
      </c>
      <c r="DH17" s="167">
        <f t="shared" si="193"/>
        <v>0</v>
      </c>
      <c r="DI17" s="167">
        <f t="shared" si="194"/>
        <v>0</v>
      </c>
      <c r="DJ17" s="167">
        <f t="shared" si="195"/>
        <v>0</v>
      </c>
      <c r="DK17" s="167">
        <f t="shared" si="196"/>
        <v>0</v>
      </c>
      <c r="DL17" s="167">
        <f t="shared" si="197"/>
        <v>0</v>
      </c>
      <c r="DM17" s="167">
        <f t="shared" si="198"/>
        <v>0</v>
      </c>
      <c r="DN17" s="167">
        <f t="shared" si="199"/>
        <v>0</v>
      </c>
      <c r="DO17" s="170">
        <f t="shared" si="200"/>
        <v>0</v>
      </c>
      <c r="DP17" s="167">
        <f t="shared" si="201"/>
        <v>0</v>
      </c>
      <c r="DQ17" s="171">
        <f t="shared" si="202"/>
        <v>0</v>
      </c>
      <c r="DR17" s="169">
        <f t="shared" si="190"/>
        <v>0</v>
      </c>
      <c r="DS17" s="167">
        <f t="shared" si="204"/>
        <v>0</v>
      </c>
      <c r="DT17" s="167">
        <f t="shared" si="205"/>
        <v>0</v>
      </c>
      <c r="DU17" s="167">
        <f t="shared" si="206"/>
        <v>0</v>
      </c>
      <c r="DV17" s="167">
        <f t="shared" si="207"/>
        <v>0</v>
      </c>
      <c r="DW17" s="167">
        <f t="shared" si="208"/>
        <v>0</v>
      </c>
      <c r="DX17" s="167">
        <f t="shared" si="209"/>
        <v>0</v>
      </c>
      <c r="DY17" s="167">
        <f t="shared" si="210"/>
        <v>0</v>
      </c>
      <c r="DZ17" s="167">
        <f t="shared" si="211"/>
        <v>0</v>
      </c>
      <c r="EA17" s="167">
        <f t="shared" si="212"/>
        <v>0</v>
      </c>
      <c r="EB17" s="170">
        <f t="shared" si="213"/>
        <v>0</v>
      </c>
      <c r="EC17" s="167">
        <f t="shared" si="214"/>
        <v>0</v>
      </c>
      <c r="ED17" s="171">
        <f t="shared" si="215"/>
        <v>0</v>
      </c>
    </row>
    <row r="18" spans="1:134" x14ac:dyDescent="0.3">
      <c r="A18" s="196"/>
      <c r="B18" s="196" t="s">
        <v>474</v>
      </c>
      <c r="C18" s="196"/>
      <c r="D18" s="188"/>
      <c r="E18" s="189"/>
      <c r="F18" s="190"/>
      <c r="G18" s="191"/>
      <c r="H18" s="192"/>
      <c r="I18" s="193"/>
      <c r="J18" s="194"/>
      <c r="K18" s="165">
        <f t="shared" si="216"/>
        <v>0</v>
      </c>
      <c r="L18" s="166">
        <f t="shared" si="217"/>
        <v>0</v>
      </c>
      <c r="M18" s="167">
        <f t="shared" si="218"/>
        <v>0</v>
      </c>
      <c r="N18" s="167"/>
      <c r="O18" s="167">
        <f t="shared" si="219"/>
        <v>0</v>
      </c>
      <c r="P18" s="168"/>
      <c r="Q18" s="167">
        <f t="shared" si="220"/>
        <v>0</v>
      </c>
      <c r="R18" s="169">
        <f t="shared" si="221"/>
        <v>0</v>
      </c>
      <c r="S18" s="167">
        <f t="shared" si="222"/>
        <v>0</v>
      </c>
      <c r="T18" s="167">
        <f t="shared" si="223"/>
        <v>0</v>
      </c>
      <c r="U18" s="167">
        <f t="shared" si="224"/>
        <v>0</v>
      </c>
      <c r="V18" s="167">
        <f t="shared" si="225"/>
        <v>0</v>
      </c>
      <c r="W18" s="167">
        <f t="shared" si="226"/>
        <v>0</v>
      </c>
      <c r="X18" s="167">
        <f t="shared" si="227"/>
        <v>0</v>
      </c>
      <c r="Y18" s="167">
        <f t="shared" si="228"/>
        <v>0</v>
      </c>
      <c r="Z18" s="167">
        <f t="shared" si="229"/>
        <v>0</v>
      </c>
      <c r="AA18" s="167">
        <f t="shared" si="230"/>
        <v>0</v>
      </c>
      <c r="AB18" s="170">
        <f t="shared" si="231"/>
        <v>0</v>
      </c>
      <c r="AC18" s="167">
        <f t="shared" si="232"/>
        <v>0</v>
      </c>
      <c r="AD18" s="171">
        <f t="shared" si="233"/>
        <v>0</v>
      </c>
      <c r="AE18" s="169">
        <f t="shared" si="112"/>
        <v>0</v>
      </c>
      <c r="AF18" s="167">
        <f t="shared" si="113"/>
        <v>0</v>
      </c>
      <c r="AG18" s="167">
        <f t="shared" si="114"/>
        <v>0</v>
      </c>
      <c r="AH18" s="167">
        <f t="shared" si="115"/>
        <v>0</v>
      </c>
      <c r="AI18" s="167">
        <f t="shared" si="116"/>
        <v>0</v>
      </c>
      <c r="AJ18" s="167">
        <f t="shared" si="117"/>
        <v>0</v>
      </c>
      <c r="AK18" s="167">
        <f t="shared" si="118"/>
        <v>0</v>
      </c>
      <c r="AL18" s="167">
        <f t="shared" si="119"/>
        <v>0</v>
      </c>
      <c r="AM18" s="167">
        <f t="shared" si="120"/>
        <v>0</v>
      </c>
      <c r="AN18" s="167">
        <f t="shared" si="121"/>
        <v>0</v>
      </c>
      <c r="AO18" s="170">
        <f t="shared" si="122"/>
        <v>0</v>
      </c>
      <c r="AP18" s="167">
        <f t="shared" si="123"/>
        <v>0</v>
      </c>
      <c r="AQ18" s="171">
        <f t="shared" si="124"/>
        <v>0</v>
      </c>
      <c r="AR18" s="169">
        <f t="shared" si="112"/>
        <v>0</v>
      </c>
      <c r="AS18" s="167">
        <f t="shared" si="126"/>
        <v>0</v>
      </c>
      <c r="AT18" s="167">
        <f t="shared" si="127"/>
        <v>0</v>
      </c>
      <c r="AU18" s="167">
        <f t="shared" si="128"/>
        <v>0</v>
      </c>
      <c r="AV18" s="167">
        <f t="shared" si="129"/>
        <v>0</v>
      </c>
      <c r="AW18" s="167">
        <f t="shared" si="130"/>
        <v>0</v>
      </c>
      <c r="AX18" s="167">
        <f t="shared" si="131"/>
        <v>0</v>
      </c>
      <c r="AY18" s="167">
        <f t="shared" si="132"/>
        <v>0</v>
      </c>
      <c r="AZ18" s="167">
        <f t="shared" si="133"/>
        <v>0</v>
      </c>
      <c r="BA18" s="167">
        <f t="shared" si="134"/>
        <v>0</v>
      </c>
      <c r="BB18" s="170">
        <f t="shared" si="135"/>
        <v>0</v>
      </c>
      <c r="BC18" s="167">
        <f t="shared" si="136"/>
        <v>0</v>
      </c>
      <c r="BD18" s="171">
        <f t="shared" si="137"/>
        <v>0</v>
      </c>
      <c r="BE18" s="169">
        <f t="shared" si="112"/>
        <v>0</v>
      </c>
      <c r="BF18" s="167">
        <f t="shared" si="139"/>
        <v>0</v>
      </c>
      <c r="BG18" s="167">
        <f t="shared" si="140"/>
        <v>0</v>
      </c>
      <c r="BH18" s="167">
        <f t="shared" si="141"/>
        <v>0</v>
      </c>
      <c r="BI18" s="167">
        <f t="shared" si="142"/>
        <v>0</v>
      </c>
      <c r="BJ18" s="167">
        <f t="shared" si="143"/>
        <v>0</v>
      </c>
      <c r="BK18" s="167">
        <f t="shared" si="144"/>
        <v>0</v>
      </c>
      <c r="BL18" s="167">
        <f t="shared" si="145"/>
        <v>0</v>
      </c>
      <c r="BM18" s="167">
        <f t="shared" si="146"/>
        <v>0</v>
      </c>
      <c r="BN18" s="167">
        <f t="shared" si="147"/>
        <v>0</v>
      </c>
      <c r="BO18" s="170">
        <f t="shared" si="148"/>
        <v>0</v>
      </c>
      <c r="BP18" s="167">
        <f t="shared" si="149"/>
        <v>0</v>
      </c>
      <c r="BQ18" s="171">
        <f t="shared" si="150"/>
        <v>0</v>
      </c>
      <c r="BR18" s="169">
        <f t="shared" si="151"/>
        <v>0</v>
      </c>
      <c r="BS18" s="167">
        <f t="shared" si="152"/>
        <v>0</v>
      </c>
      <c r="BT18" s="167">
        <f t="shared" si="153"/>
        <v>0</v>
      </c>
      <c r="BU18" s="167">
        <f t="shared" si="154"/>
        <v>0</v>
      </c>
      <c r="BV18" s="167">
        <f t="shared" si="155"/>
        <v>0</v>
      </c>
      <c r="BW18" s="167">
        <f t="shared" si="156"/>
        <v>0</v>
      </c>
      <c r="BX18" s="167">
        <f t="shared" si="157"/>
        <v>0</v>
      </c>
      <c r="BY18" s="167">
        <f t="shared" si="158"/>
        <v>0</v>
      </c>
      <c r="BZ18" s="167">
        <f t="shared" si="159"/>
        <v>0</v>
      </c>
      <c r="CA18" s="167">
        <f t="shared" si="160"/>
        <v>0</v>
      </c>
      <c r="CB18" s="170">
        <f t="shared" si="161"/>
        <v>0</v>
      </c>
      <c r="CC18" s="167">
        <f t="shared" si="162"/>
        <v>0</v>
      </c>
      <c r="CD18" s="171">
        <f t="shared" si="163"/>
        <v>0</v>
      </c>
      <c r="CE18" s="169">
        <f t="shared" si="151"/>
        <v>0</v>
      </c>
      <c r="CF18" s="167">
        <f t="shared" si="165"/>
        <v>0</v>
      </c>
      <c r="CG18" s="167">
        <f t="shared" si="166"/>
        <v>0</v>
      </c>
      <c r="CH18" s="167">
        <f t="shared" si="167"/>
        <v>0</v>
      </c>
      <c r="CI18" s="167">
        <f t="shared" si="168"/>
        <v>0</v>
      </c>
      <c r="CJ18" s="167">
        <f t="shared" si="169"/>
        <v>0</v>
      </c>
      <c r="CK18" s="167">
        <f t="shared" si="170"/>
        <v>0</v>
      </c>
      <c r="CL18" s="167">
        <f t="shared" si="171"/>
        <v>0</v>
      </c>
      <c r="CM18" s="167">
        <f t="shared" si="172"/>
        <v>0</v>
      </c>
      <c r="CN18" s="167">
        <f t="shared" si="173"/>
        <v>0</v>
      </c>
      <c r="CO18" s="170">
        <f t="shared" si="174"/>
        <v>0</v>
      </c>
      <c r="CP18" s="167">
        <f t="shared" si="175"/>
        <v>0</v>
      </c>
      <c r="CQ18" s="171">
        <f t="shared" si="176"/>
        <v>0</v>
      </c>
      <c r="CR18" s="169">
        <f t="shared" si="151"/>
        <v>0</v>
      </c>
      <c r="CS18" s="167">
        <f t="shared" si="178"/>
        <v>0</v>
      </c>
      <c r="CT18" s="167">
        <f t="shared" si="179"/>
        <v>0</v>
      </c>
      <c r="CU18" s="167">
        <f t="shared" si="180"/>
        <v>0</v>
      </c>
      <c r="CV18" s="167">
        <f t="shared" si="181"/>
        <v>0</v>
      </c>
      <c r="CW18" s="167">
        <f t="shared" si="182"/>
        <v>0</v>
      </c>
      <c r="CX18" s="167">
        <f t="shared" si="183"/>
        <v>0</v>
      </c>
      <c r="CY18" s="167">
        <f t="shared" si="184"/>
        <v>0</v>
      </c>
      <c r="CZ18" s="167">
        <f t="shared" si="185"/>
        <v>0</v>
      </c>
      <c r="DA18" s="167">
        <f t="shared" si="186"/>
        <v>0</v>
      </c>
      <c r="DB18" s="170">
        <f t="shared" si="187"/>
        <v>0</v>
      </c>
      <c r="DC18" s="167">
        <f t="shared" si="188"/>
        <v>0</v>
      </c>
      <c r="DD18" s="171">
        <f t="shared" si="189"/>
        <v>0</v>
      </c>
      <c r="DE18" s="169">
        <f t="shared" si="190"/>
        <v>0</v>
      </c>
      <c r="DF18" s="167">
        <f t="shared" si="191"/>
        <v>0</v>
      </c>
      <c r="DG18" s="167">
        <f t="shared" si="192"/>
        <v>0</v>
      </c>
      <c r="DH18" s="167">
        <f t="shared" si="193"/>
        <v>0</v>
      </c>
      <c r="DI18" s="167">
        <f t="shared" si="194"/>
        <v>0</v>
      </c>
      <c r="DJ18" s="167">
        <f t="shared" si="195"/>
        <v>0</v>
      </c>
      <c r="DK18" s="167">
        <f t="shared" si="196"/>
        <v>0</v>
      </c>
      <c r="DL18" s="167">
        <f t="shared" si="197"/>
        <v>0</v>
      </c>
      <c r="DM18" s="167">
        <f t="shared" si="198"/>
        <v>0</v>
      </c>
      <c r="DN18" s="167">
        <f t="shared" si="199"/>
        <v>0</v>
      </c>
      <c r="DO18" s="170">
        <f t="shared" si="200"/>
        <v>0</v>
      </c>
      <c r="DP18" s="167">
        <f t="shared" si="201"/>
        <v>0</v>
      </c>
      <c r="DQ18" s="171">
        <f t="shared" si="202"/>
        <v>0</v>
      </c>
      <c r="DR18" s="169">
        <f t="shared" si="190"/>
        <v>0</v>
      </c>
      <c r="DS18" s="167">
        <f t="shared" si="204"/>
        <v>0</v>
      </c>
      <c r="DT18" s="167">
        <f t="shared" si="205"/>
        <v>0</v>
      </c>
      <c r="DU18" s="167">
        <f t="shared" si="206"/>
        <v>0</v>
      </c>
      <c r="DV18" s="167">
        <f t="shared" si="207"/>
        <v>0</v>
      </c>
      <c r="DW18" s="167">
        <f t="shared" si="208"/>
        <v>0</v>
      </c>
      <c r="DX18" s="167">
        <f t="shared" si="209"/>
        <v>0</v>
      </c>
      <c r="DY18" s="167">
        <f t="shared" si="210"/>
        <v>0</v>
      </c>
      <c r="DZ18" s="167">
        <f t="shared" si="211"/>
        <v>0</v>
      </c>
      <c r="EA18" s="167">
        <f t="shared" si="212"/>
        <v>0</v>
      </c>
      <c r="EB18" s="170">
        <f t="shared" si="213"/>
        <v>0</v>
      </c>
      <c r="EC18" s="167">
        <f t="shared" si="214"/>
        <v>0</v>
      </c>
      <c r="ED18" s="171">
        <f t="shared" si="215"/>
        <v>0</v>
      </c>
    </row>
    <row r="19" spans="1:134" x14ac:dyDescent="0.3">
      <c r="A19" s="196">
        <v>1999</v>
      </c>
      <c r="B19" s="196" t="s">
        <v>472</v>
      </c>
      <c r="C19" s="196"/>
      <c r="D19" s="188" t="s">
        <v>107</v>
      </c>
      <c r="E19" s="189">
        <v>50000</v>
      </c>
      <c r="F19" s="190">
        <v>36342</v>
      </c>
      <c r="G19" s="191">
        <v>50</v>
      </c>
      <c r="H19" s="192"/>
      <c r="I19" s="193"/>
      <c r="J19" s="194"/>
      <c r="K19" s="165">
        <f t="shared" si="216"/>
        <v>0.02</v>
      </c>
      <c r="L19" s="166">
        <f t="shared" si="217"/>
        <v>1000</v>
      </c>
      <c r="M19" s="167">
        <f t="shared" si="218"/>
        <v>37500</v>
      </c>
      <c r="N19" s="167"/>
      <c r="O19" s="167">
        <f t="shared" si="219"/>
        <v>12500</v>
      </c>
      <c r="P19" s="168"/>
      <c r="Q19" s="167">
        <f t="shared" si="220"/>
        <v>50000</v>
      </c>
      <c r="R19" s="169">
        <f t="shared" si="221"/>
        <v>0</v>
      </c>
      <c r="S19" s="167">
        <f t="shared" si="222"/>
        <v>0</v>
      </c>
      <c r="T19" s="167">
        <f t="shared" si="223"/>
        <v>0</v>
      </c>
      <c r="U19" s="167">
        <f t="shared" si="224"/>
        <v>0</v>
      </c>
      <c r="V19" s="167">
        <f t="shared" si="225"/>
        <v>50000</v>
      </c>
      <c r="W19" s="167">
        <f t="shared" si="226"/>
        <v>50000</v>
      </c>
      <c r="X19" s="167">
        <f t="shared" si="227"/>
        <v>1000</v>
      </c>
      <c r="Y19" s="167">
        <f t="shared" si="228"/>
        <v>1000</v>
      </c>
      <c r="Z19" s="167">
        <f t="shared" si="229"/>
        <v>36500</v>
      </c>
      <c r="AA19" s="167">
        <f t="shared" si="230"/>
        <v>36500</v>
      </c>
      <c r="AB19" s="170">
        <f t="shared" si="231"/>
        <v>13500</v>
      </c>
      <c r="AC19" s="167">
        <f t="shared" si="232"/>
        <v>0</v>
      </c>
      <c r="AD19" s="171">
        <f t="shared" si="233"/>
        <v>0</v>
      </c>
      <c r="AE19" s="169">
        <f t="shared" si="112"/>
        <v>0</v>
      </c>
      <c r="AF19" s="167">
        <f t="shared" si="113"/>
        <v>0</v>
      </c>
      <c r="AG19" s="167">
        <f t="shared" si="114"/>
        <v>0</v>
      </c>
      <c r="AH19" s="167">
        <f t="shared" si="115"/>
        <v>0</v>
      </c>
      <c r="AI19" s="167">
        <f t="shared" si="116"/>
        <v>50000</v>
      </c>
      <c r="AJ19" s="167">
        <f t="shared" si="117"/>
        <v>50000</v>
      </c>
      <c r="AK19" s="167">
        <f t="shared" si="118"/>
        <v>1000</v>
      </c>
      <c r="AL19" s="167">
        <f t="shared" si="119"/>
        <v>1000</v>
      </c>
      <c r="AM19" s="167">
        <f t="shared" si="120"/>
        <v>35500</v>
      </c>
      <c r="AN19" s="167">
        <f t="shared" si="121"/>
        <v>35500</v>
      </c>
      <c r="AO19" s="170">
        <f t="shared" si="122"/>
        <v>14500</v>
      </c>
      <c r="AP19" s="167">
        <f t="shared" si="123"/>
        <v>0</v>
      </c>
      <c r="AQ19" s="171">
        <f t="shared" si="124"/>
        <v>0</v>
      </c>
      <c r="AR19" s="169">
        <f t="shared" si="112"/>
        <v>0</v>
      </c>
      <c r="AS19" s="167">
        <f t="shared" si="126"/>
        <v>0</v>
      </c>
      <c r="AT19" s="167">
        <f t="shared" si="127"/>
        <v>0</v>
      </c>
      <c r="AU19" s="167">
        <f t="shared" si="128"/>
        <v>0</v>
      </c>
      <c r="AV19" s="167">
        <f t="shared" si="129"/>
        <v>50000</v>
      </c>
      <c r="AW19" s="167">
        <f t="shared" si="130"/>
        <v>50000</v>
      </c>
      <c r="AX19" s="167">
        <f t="shared" si="131"/>
        <v>1000</v>
      </c>
      <c r="AY19" s="167">
        <f t="shared" si="132"/>
        <v>1000</v>
      </c>
      <c r="AZ19" s="167">
        <f t="shared" si="133"/>
        <v>34500</v>
      </c>
      <c r="BA19" s="167">
        <f t="shared" si="134"/>
        <v>34500</v>
      </c>
      <c r="BB19" s="170">
        <f t="shared" si="135"/>
        <v>15500</v>
      </c>
      <c r="BC19" s="167">
        <f t="shared" si="136"/>
        <v>0</v>
      </c>
      <c r="BD19" s="171">
        <f t="shared" si="137"/>
        <v>0</v>
      </c>
      <c r="BE19" s="169">
        <f t="shared" si="112"/>
        <v>0</v>
      </c>
      <c r="BF19" s="167">
        <f t="shared" si="139"/>
        <v>0</v>
      </c>
      <c r="BG19" s="167">
        <f t="shared" si="140"/>
        <v>0</v>
      </c>
      <c r="BH19" s="167">
        <f t="shared" si="141"/>
        <v>0</v>
      </c>
      <c r="BI19" s="167">
        <f t="shared" si="142"/>
        <v>50000</v>
      </c>
      <c r="BJ19" s="167">
        <f t="shared" si="143"/>
        <v>50000</v>
      </c>
      <c r="BK19" s="167">
        <f t="shared" si="144"/>
        <v>1000</v>
      </c>
      <c r="BL19" s="167">
        <f t="shared" si="145"/>
        <v>1000</v>
      </c>
      <c r="BM19" s="167">
        <f t="shared" si="146"/>
        <v>33500</v>
      </c>
      <c r="BN19" s="167">
        <f t="shared" si="147"/>
        <v>33500</v>
      </c>
      <c r="BO19" s="170">
        <f t="shared" si="148"/>
        <v>16500</v>
      </c>
      <c r="BP19" s="167">
        <f t="shared" si="149"/>
        <v>0</v>
      </c>
      <c r="BQ19" s="171">
        <f t="shared" si="150"/>
        <v>0</v>
      </c>
      <c r="BR19" s="169">
        <f t="shared" si="151"/>
        <v>0</v>
      </c>
      <c r="BS19" s="167">
        <f t="shared" si="152"/>
        <v>0</v>
      </c>
      <c r="BT19" s="167">
        <f t="shared" si="153"/>
        <v>0</v>
      </c>
      <c r="BU19" s="167">
        <f t="shared" si="154"/>
        <v>0</v>
      </c>
      <c r="BV19" s="167">
        <f t="shared" si="155"/>
        <v>50000</v>
      </c>
      <c r="BW19" s="167">
        <f t="shared" si="156"/>
        <v>50000</v>
      </c>
      <c r="BX19" s="167">
        <f t="shared" si="157"/>
        <v>1000</v>
      </c>
      <c r="BY19" s="167">
        <f t="shared" si="158"/>
        <v>1000</v>
      </c>
      <c r="BZ19" s="167">
        <f t="shared" si="159"/>
        <v>32500</v>
      </c>
      <c r="CA19" s="167">
        <f t="shared" si="160"/>
        <v>32500</v>
      </c>
      <c r="CB19" s="170">
        <f t="shared" si="161"/>
        <v>17500</v>
      </c>
      <c r="CC19" s="167">
        <f t="shared" si="162"/>
        <v>0</v>
      </c>
      <c r="CD19" s="171">
        <f t="shared" si="163"/>
        <v>0</v>
      </c>
      <c r="CE19" s="169">
        <f t="shared" si="151"/>
        <v>0</v>
      </c>
      <c r="CF19" s="167">
        <f t="shared" si="165"/>
        <v>0</v>
      </c>
      <c r="CG19" s="167">
        <f t="shared" si="166"/>
        <v>0</v>
      </c>
      <c r="CH19" s="167">
        <f t="shared" si="167"/>
        <v>0</v>
      </c>
      <c r="CI19" s="167">
        <f t="shared" si="168"/>
        <v>50000</v>
      </c>
      <c r="CJ19" s="167">
        <f t="shared" si="169"/>
        <v>50000</v>
      </c>
      <c r="CK19" s="167">
        <f t="shared" si="170"/>
        <v>1000</v>
      </c>
      <c r="CL19" s="167">
        <f t="shared" si="171"/>
        <v>1000</v>
      </c>
      <c r="CM19" s="167">
        <f t="shared" si="172"/>
        <v>31500</v>
      </c>
      <c r="CN19" s="167">
        <f t="shared" si="173"/>
        <v>31500</v>
      </c>
      <c r="CO19" s="170">
        <f t="shared" si="174"/>
        <v>18500</v>
      </c>
      <c r="CP19" s="167">
        <f t="shared" si="175"/>
        <v>0</v>
      </c>
      <c r="CQ19" s="171">
        <f t="shared" si="176"/>
        <v>0</v>
      </c>
      <c r="CR19" s="169">
        <f t="shared" si="151"/>
        <v>0</v>
      </c>
      <c r="CS19" s="167">
        <f t="shared" si="178"/>
        <v>0</v>
      </c>
      <c r="CT19" s="167">
        <f t="shared" si="179"/>
        <v>0</v>
      </c>
      <c r="CU19" s="167">
        <f t="shared" si="180"/>
        <v>0</v>
      </c>
      <c r="CV19" s="167">
        <f t="shared" si="181"/>
        <v>50000</v>
      </c>
      <c r="CW19" s="167">
        <f t="shared" si="182"/>
        <v>50000</v>
      </c>
      <c r="CX19" s="167">
        <f t="shared" si="183"/>
        <v>1000</v>
      </c>
      <c r="CY19" s="167">
        <f t="shared" si="184"/>
        <v>1000</v>
      </c>
      <c r="CZ19" s="167">
        <f t="shared" si="185"/>
        <v>30500</v>
      </c>
      <c r="DA19" s="167">
        <f t="shared" si="186"/>
        <v>30500</v>
      </c>
      <c r="DB19" s="170">
        <f t="shared" si="187"/>
        <v>19500</v>
      </c>
      <c r="DC19" s="167">
        <f t="shared" si="188"/>
        <v>0</v>
      </c>
      <c r="DD19" s="171">
        <f t="shared" si="189"/>
        <v>0</v>
      </c>
      <c r="DE19" s="169">
        <f t="shared" si="190"/>
        <v>0</v>
      </c>
      <c r="DF19" s="167">
        <f t="shared" si="191"/>
        <v>0</v>
      </c>
      <c r="DG19" s="167">
        <f t="shared" si="192"/>
        <v>0</v>
      </c>
      <c r="DH19" s="167">
        <f t="shared" si="193"/>
        <v>0</v>
      </c>
      <c r="DI19" s="167">
        <f t="shared" si="194"/>
        <v>50000</v>
      </c>
      <c r="DJ19" s="167">
        <f t="shared" si="195"/>
        <v>50000</v>
      </c>
      <c r="DK19" s="167">
        <f t="shared" si="196"/>
        <v>1000</v>
      </c>
      <c r="DL19" s="167">
        <f t="shared" si="197"/>
        <v>1000</v>
      </c>
      <c r="DM19" s="167">
        <f t="shared" si="198"/>
        <v>29500</v>
      </c>
      <c r="DN19" s="167">
        <f t="shared" si="199"/>
        <v>29500</v>
      </c>
      <c r="DO19" s="170">
        <f t="shared" si="200"/>
        <v>20500</v>
      </c>
      <c r="DP19" s="167">
        <f t="shared" si="201"/>
        <v>0</v>
      </c>
      <c r="DQ19" s="171">
        <f t="shared" si="202"/>
        <v>0</v>
      </c>
      <c r="DR19" s="169">
        <f t="shared" si="190"/>
        <v>0</v>
      </c>
      <c r="DS19" s="167">
        <f t="shared" si="204"/>
        <v>0</v>
      </c>
      <c r="DT19" s="167">
        <f t="shared" si="205"/>
        <v>0</v>
      </c>
      <c r="DU19" s="167">
        <f t="shared" si="206"/>
        <v>0</v>
      </c>
      <c r="DV19" s="167">
        <f t="shared" si="207"/>
        <v>50000</v>
      </c>
      <c r="DW19" s="167">
        <f t="shared" si="208"/>
        <v>50000</v>
      </c>
      <c r="DX19" s="167">
        <f t="shared" si="209"/>
        <v>1000</v>
      </c>
      <c r="DY19" s="167">
        <f t="shared" si="210"/>
        <v>1000</v>
      </c>
      <c r="DZ19" s="167">
        <f t="shared" si="211"/>
        <v>28500</v>
      </c>
      <c r="EA19" s="167">
        <f t="shared" si="212"/>
        <v>28500</v>
      </c>
      <c r="EB19" s="170">
        <f t="shared" si="213"/>
        <v>21500</v>
      </c>
      <c r="EC19" s="167">
        <f t="shared" si="214"/>
        <v>0</v>
      </c>
      <c r="ED19" s="171">
        <f t="shared" si="215"/>
        <v>0</v>
      </c>
    </row>
    <row r="20" spans="1:134" x14ac:dyDescent="0.3">
      <c r="A20" s="196">
        <v>2003</v>
      </c>
      <c r="B20" s="196" t="s">
        <v>472</v>
      </c>
      <c r="C20" s="196"/>
      <c r="D20" s="188" t="s">
        <v>107</v>
      </c>
      <c r="E20" s="189">
        <v>81000</v>
      </c>
      <c r="F20" s="190">
        <v>37803</v>
      </c>
      <c r="G20" s="191">
        <v>50</v>
      </c>
      <c r="H20" s="192"/>
      <c r="I20" s="193"/>
      <c r="J20" s="194"/>
      <c r="K20" s="165">
        <f t="shared" si="216"/>
        <v>0.02</v>
      </c>
      <c r="L20" s="166">
        <f t="shared" si="217"/>
        <v>1620</v>
      </c>
      <c r="M20" s="167">
        <f t="shared" si="218"/>
        <v>67230</v>
      </c>
      <c r="N20" s="167"/>
      <c r="O20" s="167">
        <f t="shared" si="219"/>
        <v>13770</v>
      </c>
      <c r="P20" s="168"/>
      <c r="Q20" s="167">
        <f t="shared" si="220"/>
        <v>81000</v>
      </c>
      <c r="R20" s="169">
        <f t="shared" si="221"/>
        <v>0</v>
      </c>
      <c r="S20" s="167">
        <f t="shared" si="222"/>
        <v>0</v>
      </c>
      <c r="T20" s="167">
        <f t="shared" si="223"/>
        <v>0</v>
      </c>
      <c r="U20" s="167">
        <f t="shared" si="224"/>
        <v>0</v>
      </c>
      <c r="V20" s="167">
        <f t="shared" si="225"/>
        <v>81000</v>
      </c>
      <c r="W20" s="167">
        <f t="shared" si="226"/>
        <v>81000</v>
      </c>
      <c r="X20" s="167">
        <f t="shared" si="227"/>
        <v>1620</v>
      </c>
      <c r="Y20" s="167">
        <f t="shared" si="228"/>
        <v>1620</v>
      </c>
      <c r="Z20" s="167">
        <f t="shared" si="229"/>
        <v>65610</v>
      </c>
      <c r="AA20" s="167">
        <f t="shared" si="230"/>
        <v>65610</v>
      </c>
      <c r="AB20" s="170">
        <f t="shared" si="231"/>
        <v>15390</v>
      </c>
      <c r="AC20" s="167">
        <f t="shared" si="232"/>
        <v>0</v>
      </c>
      <c r="AD20" s="171">
        <f t="shared" si="233"/>
        <v>0</v>
      </c>
      <c r="AE20" s="169">
        <f t="shared" si="112"/>
        <v>0</v>
      </c>
      <c r="AF20" s="167">
        <f t="shared" si="113"/>
        <v>0</v>
      </c>
      <c r="AG20" s="167">
        <f t="shared" si="114"/>
        <v>0</v>
      </c>
      <c r="AH20" s="167">
        <f t="shared" si="115"/>
        <v>0</v>
      </c>
      <c r="AI20" s="167">
        <f t="shared" si="116"/>
        <v>81000</v>
      </c>
      <c r="AJ20" s="167">
        <f t="shared" si="117"/>
        <v>81000</v>
      </c>
      <c r="AK20" s="167">
        <f t="shared" si="118"/>
        <v>1620</v>
      </c>
      <c r="AL20" s="167">
        <f t="shared" si="119"/>
        <v>1620</v>
      </c>
      <c r="AM20" s="167">
        <f t="shared" si="120"/>
        <v>63990</v>
      </c>
      <c r="AN20" s="167">
        <f t="shared" si="121"/>
        <v>63990</v>
      </c>
      <c r="AO20" s="170">
        <f t="shared" si="122"/>
        <v>17010</v>
      </c>
      <c r="AP20" s="167">
        <f t="shared" si="123"/>
        <v>0</v>
      </c>
      <c r="AQ20" s="171">
        <f t="shared" si="124"/>
        <v>0</v>
      </c>
      <c r="AR20" s="169">
        <f t="shared" si="112"/>
        <v>0</v>
      </c>
      <c r="AS20" s="167">
        <f t="shared" si="126"/>
        <v>0</v>
      </c>
      <c r="AT20" s="167">
        <f t="shared" si="127"/>
        <v>0</v>
      </c>
      <c r="AU20" s="167">
        <f t="shared" si="128"/>
        <v>0</v>
      </c>
      <c r="AV20" s="167">
        <f t="shared" si="129"/>
        <v>81000</v>
      </c>
      <c r="AW20" s="167">
        <f t="shared" si="130"/>
        <v>81000</v>
      </c>
      <c r="AX20" s="167">
        <f t="shared" si="131"/>
        <v>1620</v>
      </c>
      <c r="AY20" s="167">
        <f t="shared" si="132"/>
        <v>1620</v>
      </c>
      <c r="AZ20" s="167">
        <f t="shared" si="133"/>
        <v>62370</v>
      </c>
      <c r="BA20" s="167">
        <f t="shared" si="134"/>
        <v>62370</v>
      </c>
      <c r="BB20" s="170">
        <f t="shared" si="135"/>
        <v>18630</v>
      </c>
      <c r="BC20" s="167">
        <f t="shared" si="136"/>
        <v>0</v>
      </c>
      <c r="BD20" s="171">
        <f t="shared" si="137"/>
        <v>0</v>
      </c>
      <c r="BE20" s="169">
        <f t="shared" si="112"/>
        <v>0</v>
      </c>
      <c r="BF20" s="167">
        <f t="shared" si="139"/>
        <v>0</v>
      </c>
      <c r="BG20" s="167">
        <f t="shared" si="140"/>
        <v>0</v>
      </c>
      <c r="BH20" s="167">
        <f t="shared" si="141"/>
        <v>0</v>
      </c>
      <c r="BI20" s="167">
        <f t="shared" si="142"/>
        <v>81000</v>
      </c>
      <c r="BJ20" s="167">
        <f t="shared" si="143"/>
        <v>81000</v>
      </c>
      <c r="BK20" s="167">
        <f t="shared" si="144"/>
        <v>1620</v>
      </c>
      <c r="BL20" s="167">
        <f t="shared" si="145"/>
        <v>1620</v>
      </c>
      <c r="BM20" s="167">
        <f t="shared" si="146"/>
        <v>60750</v>
      </c>
      <c r="BN20" s="167">
        <f t="shared" si="147"/>
        <v>60750</v>
      </c>
      <c r="BO20" s="170">
        <f t="shared" si="148"/>
        <v>20250</v>
      </c>
      <c r="BP20" s="167">
        <f t="shared" si="149"/>
        <v>0</v>
      </c>
      <c r="BQ20" s="171">
        <f t="shared" si="150"/>
        <v>0</v>
      </c>
      <c r="BR20" s="169">
        <f t="shared" si="151"/>
        <v>0</v>
      </c>
      <c r="BS20" s="167">
        <f t="shared" si="152"/>
        <v>0</v>
      </c>
      <c r="BT20" s="167">
        <f t="shared" si="153"/>
        <v>0</v>
      </c>
      <c r="BU20" s="167">
        <f t="shared" si="154"/>
        <v>0</v>
      </c>
      <c r="BV20" s="167">
        <f t="shared" si="155"/>
        <v>81000</v>
      </c>
      <c r="BW20" s="167">
        <f t="shared" si="156"/>
        <v>81000</v>
      </c>
      <c r="BX20" s="167">
        <f t="shared" si="157"/>
        <v>1620</v>
      </c>
      <c r="BY20" s="167">
        <f t="shared" si="158"/>
        <v>1620</v>
      </c>
      <c r="BZ20" s="167">
        <f t="shared" si="159"/>
        <v>59130</v>
      </c>
      <c r="CA20" s="167">
        <f t="shared" si="160"/>
        <v>59130</v>
      </c>
      <c r="CB20" s="170">
        <f t="shared" si="161"/>
        <v>21870</v>
      </c>
      <c r="CC20" s="167">
        <f t="shared" si="162"/>
        <v>0</v>
      </c>
      <c r="CD20" s="171">
        <f t="shared" si="163"/>
        <v>0</v>
      </c>
      <c r="CE20" s="169">
        <f t="shared" si="151"/>
        <v>0</v>
      </c>
      <c r="CF20" s="167">
        <f t="shared" si="165"/>
        <v>0</v>
      </c>
      <c r="CG20" s="167">
        <f t="shared" si="166"/>
        <v>0</v>
      </c>
      <c r="CH20" s="167">
        <f t="shared" si="167"/>
        <v>0</v>
      </c>
      <c r="CI20" s="167">
        <f t="shared" si="168"/>
        <v>81000</v>
      </c>
      <c r="CJ20" s="167">
        <f t="shared" si="169"/>
        <v>81000</v>
      </c>
      <c r="CK20" s="167">
        <f t="shared" si="170"/>
        <v>1620</v>
      </c>
      <c r="CL20" s="167">
        <f t="shared" si="171"/>
        <v>1620</v>
      </c>
      <c r="CM20" s="167">
        <f t="shared" si="172"/>
        <v>57510</v>
      </c>
      <c r="CN20" s="167">
        <f t="shared" si="173"/>
        <v>57510</v>
      </c>
      <c r="CO20" s="170">
        <f t="shared" si="174"/>
        <v>23490</v>
      </c>
      <c r="CP20" s="167">
        <f t="shared" si="175"/>
        <v>0</v>
      </c>
      <c r="CQ20" s="171">
        <f t="shared" si="176"/>
        <v>0</v>
      </c>
      <c r="CR20" s="169">
        <f t="shared" si="151"/>
        <v>0</v>
      </c>
      <c r="CS20" s="167">
        <f t="shared" si="178"/>
        <v>0</v>
      </c>
      <c r="CT20" s="167">
        <f t="shared" si="179"/>
        <v>0</v>
      </c>
      <c r="CU20" s="167">
        <f t="shared" si="180"/>
        <v>0</v>
      </c>
      <c r="CV20" s="167">
        <f t="shared" si="181"/>
        <v>81000</v>
      </c>
      <c r="CW20" s="167">
        <f t="shared" si="182"/>
        <v>81000</v>
      </c>
      <c r="CX20" s="167">
        <f t="shared" si="183"/>
        <v>1620</v>
      </c>
      <c r="CY20" s="167">
        <f t="shared" si="184"/>
        <v>1620</v>
      </c>
      <c r="CZ20" s="167">
        <f t="shared" si="185"/>
        <v>55890</v>
      </c>
      <c r="DA20" s="167">
        <f t="shared" si="186"/>
        <v>55890</v>
      </c>
      <c r="DB20" s="170">
        <f t="shared" si="187"/>
        <v>25110</v>
      </c>
      <c r="DC20" s="167">
        <f t="shared" si="188"/>
        <v>0</v>
      </c>
      <c r="DD20" s="171">
        <f t="shared" si="189"/>
        <v>0</v>
      </c>
      <c r="DE20" s="169">
        <f t="shared" si="190"/>
        <v>0</v>
      </c>
      <c r="DF20" s="167">
        <f t="shared" si="191"/>
        <v>0</v>
      </c>
      <c r="DG20" s="167">
        <f t="shared" si="192"/>
        <v>0</v>
      </c>
      <c r="DH20" s="167">
        <f t="shared" si="193"/>
        <v>0</v>
      </c>
      <c r="DI20" s="167">
        <f t="shared" si="194"/>
        <v>81000</v>
      </c>
      <c r="DJ20" s="167">
        <f t="shared" si="195"/>
        <v>81000</v>
      </c>
      <c r="DK20" s="167">
        <f t="shared" si="196"/>
        <v>1620</v>
      </c>
      <c r="DL20" s="167">
        <f t="shared" si="197"/>
        <v>1620</v>
      </c>
      <c r="DM20" s="167">
        <f t="shared" si="198"/>
        <v>54270</v>
      </c>
      <c r="DN20" s="167">
        <f t="shared" si="199"/>
        <v>54270</v>
      </c>
      <c r="DO20" s="170">
        <f t="shared" si="200"/>
        <v>26730</v>
      </c>
      <c r="DP20" s="167">
        <f t="shared" si="201"/>
        <v>0</v>
      </c>
      <c r="DQ20" s="171">
        <f t="shared" si="202"/>
        <v>0</v>
      </c>
      <c r="DR20" s="169">
        <f t="shared" si="190"/>
        <v>0</v>
      </c>
      <c r="DS20" s="167">
        <f t="shared" si="204"/>
        <v>0</v>
      </c>
      <c r="DT20" s="167">
        <f t="shared" si="205"/>
        <v>0</v>
      </c>
      <c r="DU20" s="167">
        <f t="shared" si="206"/>
        <v>0</v>
      </c>
      <c r="DV20" s="167">
        <f t="shared" si="207"/>
        <v>81000</v>
      </c>
      <c r="DW20" s="167">
        <f t="shared" si="208"/>
        <v>81000</v>
      </c>
      <c r="DX20" s="167">
        <f t="shared" si="209"/>
        <v>1620</v>
      </c>
      <c r="DY20" s="167">
        <f t="shared" si="210"/>
        <v>1620</v>
      </c>
      <c r="DZ20" s="167">
        <f t="shared" si="211"/>
        <v>52650</v>
      </c>
      <c r="EA20" s="167">
        <f t="shared" si="212"/>
        <v>52650</v>
      </c>
      <c r="EB20" s="170">
        <f t="shared" si="213"/>
        <v>28350</v>
      </c>
      <c r="EC20" s="167">
        <f t="shared" si="214"/>
        <v>0</v>
      </c>
      <c r="ED20" s="171">
        <f t="shared" si="215"/>
        <v>0</v>
      </c>
    </row>
    <row r="21" spans="1:134" x14ac:dyDescent="0.3">
      <c r="A21" s="196"/>
      <c r="B21" s="196"/>
      <c r="C21" s="196"/>
      <c r="D21" s="188"/>
      <c r="E21" s="189"/>
      <c r="F21" s="190"/>
      <c r="G21" s="191"/>
      <c r="H21" s="192"/>
      <c r="I21" s="193"/>
      <c r="J21" s="194"/>
      <c r="K21" s="165">
        <f t="shared" si="216"/>
        <v>0</v>
      </c>
      <c r="L21" s="166">
        <f t="shared" si="217"/>
        <v>0</v>
      </c>
      <c r="M21" s="167">
        <f t="shared" si="218"/>
        <v>0</v>
      </c>
      <c r="N21" s="167"/>
      <c r="O21" s="167">
        <f t="shared" si="219"/>
        <v>0</v>
      </c>
      <c r="P21" s="168"/>
      <c r="Q21" s="167">
        <f t="shared" si="220"/>
        <v>0</v>
      </c>
      <c r="R21" s="169">
        <f t="shared" si="221"/>
        <v>0</v>
      </c>
      <c r="S21" s="167">
        <f t="shared" si="222"/>
        <v>0</v>
      </c>
      <c r="T21" s="167">
        <f t="shared" si="223"/>
        <v>0</v>
      </c>
      <c r="U21" s="167">
        <f t="shared" si="224"/>
        <v>0</v>
      </c>
      <c r="V21" s="167">
        <f t="shared" si="225"/>
        <v>0</v>
      </c>
      <c r="W21" s="167">
        <f t="shared" si="226"/>
        <v>0</v>
      </c>
      <c r="X21" s="167">
        <f t="shared" si="227"/>
        <v>0</v>
      </c>
      <c r="Y21" s="167">
        <f t="shared" si="228"/>
        <v>0</v>
      </c>
      <c r="Z21" s="167">
        <f t="shared" si="229"/>
        <v>0</v>
      </c>
      <c r="AA21" s="167">
        <f t="shared" si="230"/>
        <v>0</v>
      </c>
      <c r="AB21" s="170">
        <f t="shared" si="231"/>
        <v>0</v>
      </c>
      <c r="AC21" s="167">
        <f t="shared" si="232"/>
        <v>0</v>
      </c>
      <c r="AD21" s="171">
        <f t="shared" si="233"/>
        <v>0</v>
      </c>
      <c r="AE21" s="169">
        <f t="shared" ref="AE21:CE36" si="234">IF(YEAR($F21)=AE$4,$E21,0)</f>
        <v>0</v>
      </c>
      <c r="AF21" s="167">
        <f t="shared" ref="AF21:AF84" si="235">IF($J21&lt;&gt;"H",AE21,0)</f>
        <v>0</v>
      </c>
      <c r="AG21" s="167">
        <f t="shared" si="114"/>
        <v>0</v>
      </c>
      <c r="AH21" s="167">
        <f t="shared" ref="AH21:AH84" si="236">IF($J21&lt;&gt;"H",AG21,0)</f>
        <v>0</v>
      </c>
      <c r="AI21" s="167">
        <f t="shared" si="116"/>
        <v>0</v>
      </c>
      <c r="AJ21" s="167">
        <f t="shared" ref="AJ21:AJ84" si="237">IF(AK21&lt;&gt;0,ROUND(AK21/$L21*AI21,2),0)</f>
        <v>0</v>
      </c>
      <c r="AK21" s="167">
        <f t="shared" si="118"/>
        <v>0</v>
      </c>
      <c r="AL21" s="167">
        <f t="shared" ref="AL21:AL84" si="238">IF($J21&lt;&gt;"H",AK21,0)</f>
        <v>0</v>
      </c>
      <c r="AM21" s="167">
        <f t="shared" si="120"/>
        <v>0</v>
      </c>
      <c r="AN21" s="167">
        <f t="shared" ref="AN21:AN84" si="239">IF($J21&lt;&gt;"H",AM21,0)</f>
        <v>0</v>
      </c>
      <c r="AO21" s="170">
        <f t="shared" si="122"/>
        <v>0</v>
      </c>
      <c r="AP21" s="167">
        <f t="shared" si="123"/>
        <v>0</v>
      </c>
      <c r="AQ21" s="171">
        <f t="shared" si="124"/>
        <v>0</v>
      </c>
      <c r="AR21" s="169">
        <f t="shared" si="234"/>
        <v>0</v>
      </c>
      <c r="AS21" s="167">
        <f t="shared" ref="AS21:AS84" si="240">IF($J21&lt;&gt;"H",AR21,0)</f>
        <v>0</v>
      </c>
      <c r="AT21" s="167">
        <f t="shared" si="127"/>
        <v>0</v>
      </c>
      <c r="AU21" s="167">
        <f t="shared" ref="AU21:AU84" si="241">IF($J21&lt;&gt;"H",AT21,0)</f>
        <v>0</v>
      </c>
      <c r="AV21" s="167">
        <f t="shared" si="129"/>
        <v>0</v>
      </c>
      <c r="AW21" s="167">
        <f t="shared" ref="AW21:AW84" si="242">IF(AX21&lt;&gt;0,ROUND(AX21/$L21*AV21,2),0)</f>
        <v>0</v>
      </c>
      <c r="AX21" s="167">
        <f t="shared" si="131"/>
        <v>0</v>
      </c>
      <c r="AY21" s="167">
        <f t="shared" ref="AY21:AY84" si="243">IF($J21&lt;&gt;"H",AX21,0)</f>
        <v>0</v>
      </c>
      <c r="AZ21" s="167">
        <f t="shared" si="133"/>
        <v>0</v>
      </c>
      <c r="BA21" s="167">
        <f t="shared" ref="BA21:BA84" si="244">IF($J21&lt;&gt;"H",AZ21,0)</f>
        <v>0</v>
      </c>
      <c r="BB21" s="170">
        <f t="shared" si="135"/>
        <v>0</v>
      </c>
      <c r="BC21" s="167">
        <f t="shared" si="136"/>
        <v>0</v>
      </c>
      <c r="BD21" s="171">
        <f t="shared" si="137"/>
        <v>0</v>
      </c>
      <c r="BE21" s="169">
        <f t="shared" si="234"/>
        <v>0</v>
      </c>
      <c r="BF21" s="167">
        <f t="shared" ref="BF21:BF84" si="245">IF($J21&lt;&gt;"H",BE21,0)</f>
        <v>0</v>
      </c>
      <c r="BG21" s="167">
        <f t="shared" si="140"/>
        <v>0</v>
      </c>
      <c r="BH21" s="167">
        <f t="shared" ref="BH21:BH84" si="246">IF($J21&lt;&gt;"H",BG21,0)</f>
        <v>0</v>
      </c>
      <c r="BI21" s="167">
        <f t="shared" si="142"/>
        <v>0</v>
      </c>
      <c r="BJ21" s="167">
        <f t="shared" ref="BJ21:BJ84" si="247">IF(BK21&lt;&gt;0,ROUND(BK21/$L21*BI21,2),0)</f>
        <v>0</v>
      </c>
      <c r="BK21" s="167">
        <f t="shared" si="144"/>
        <v>0</v>
      </c>
      <c r="BL21" s="167">
        <f t="shared" ref="BL21:BL84" si="248">IF($J21&lt;&gt;"H",BK21,0)</f>
        <v>0</v>
      </c>
      <c r="BM21" s="167">
        <f t="shared" si="146"/>
        <v>0</v>
      </c>
      <c r="BN21" s="167">
        <f t="shared" ref="BN21:BN84" si="249">IF($J21&lt;&gt;"H",BM21,0)</f>
        <v>0</v>
      </c>
      <c r="BO21" s="170">
        <f t="shared" si="148"/>
        <v>0</v>
      </c>
      <c r="BP21" s="167">
        <f t="shared" si="149"/>
        <v>0</v>
      </c>
      <c r="BQ21" s="171">
        <f t="shared" si="150"/>
        <v>0</v>
      </c>
      <c r="BR21" s="169">
        <f t="shared" si="234"/>
        <v>0</v>
      </c>
      <c r="BS21" s="167">
        <f t="shared" ref="BS21:BS84" si="250">IF($J21&lt;&gt;"H",BR21,0)</f>
        <v>0</v>
      </c>
      <c r="BT21" s="167">
        <f t="shared" si="153"/>
        <v>0</v>
      </c>
      <c r="BU21" s="167">
        <f t="shared" ref="BU21:BU84" si="251">IF($J21&lt;&gt;"H",BT21,0)</f>
        <v>0</v>
      </c>
      <c r="BV21" s="167">
        <f t="shared" si="155"/>
        <v>0</v>
      </c>
      <c r="BW21" s="167">
        <f t="shared" ref="BW21:BW84" si="252">IF(BX21&lt;&gt;0,ROUND(BX21/$L21*BV21,2),0)</f>
        <v>0</v>
      </c>
      <c r="BX21" s="167">
        <f t="shared" si="157"/>
        <v>0</v>
      </c>
      <c r="BY21" s="167">
        <f t="shared" ref="BY21:BY84" si="253">IF($J21&lt;&gt;"H",BX21,0)</f>
        <v>0</v>
      </c>
      <c r="BZ21" s="167">
        <f t="shared" si="159"/>
        <v>0</v>
      </c>
      <c r="CA21" s="167">
        <f t="shared" ref="CA21:CA84" si="254">IF($J21&lt;&gt;"H",BZ21,0)</f>
        <v>0</v>
      </c>
      <c r="CB21" s="170">
        <f t="shared" si="161"/>
        <v>0</v>
      </c>
      <c r="CC21" s="167">
        <f t="shared" si="162"/>
        <v>0</v>
      </c>
      <c r="CD21" s="171">
        <f t="shared" si="163"/>
        <v>0</v>
      </c>
      <c r="CE21" s="169">
        <f t="shared" si="234"/>
        <v>0</v>
      </c>
      <c r="CF21" s="167">
        <f t="shared" ref="CF21:CF84" si="255">IF($J21&lt;&gt;"H",CE21,0)</f>
        <v>0</v>
      </c>
      <c r="CG21" s="167">
        <f t="shared" si="166"/>
        <v>0</v>
      </c>
      <c r="CH21" s="167">
        <f t="shared" ref="CH21:CH84" si="256">IF($J21&lt;&gt;"H",CG21,0)</f>
        <v>0</v>
      </c>
      <c r="CI21" s="167">
        <f t="shared" si="168"/>
        <v>0</v>
      </c>
      <c r="CJ21" s="167">
        <f t="shared" ref="CJ21:CJ84" si="257">IF(CK21&lt;&gt;0,ROUND(CK21/$L21*CI21,2),0)</f>
        <v>0</v>
      </c>
      <c r="CK21" s="167">
        <f t="shared" si="170"/>
        <v>0</v>
      </c>
      <c r="CL21" s="167">
        <f t="shared" ref="CL21:CL84" si="258">IF($J21&lt;&gt;"H",CK21,0)</f>
        <v>0</v>
      </c>
      <c r="CM21" s="167">
        <f t="shared" si="172"/>
        <v>0</v>
      </c>
      <c r="CN21" s="167">
        <f t="shared" ref="CN21:CN84" si="259">IF($J21&lt;&gt;"H",CM21,0)</f>
        <v>0</v>
      </c>
      <c r="CO21" s="170">
        <f t="shared" si="174"/>
        <v>0</v>
      </c>
      <c r="CP21" s="167">
        <f t="shared" si="175"/>
        <v>0</v>
      </c>
      <c r="CQ21" s="171">
        <f t="shared" si="176"/>
        <v>0</v>
      </c>
      <c r="CR21" s="169">
        <f t="shared" ref="CR21:DR36" si="260">IF(YEAR($F21)=CR$4,$E21,0)</f>
        <v>0</v>
      </c>
      <c r="CS21" s="167">
        <f t="shared" ref="CS21:CS84" si="261">IF($J21&lt;&gt;"H",CR21,0)</f>
        <v>0</v>
      </c>
      <c r="CT21" s="167">
        <f t="shared" si="179"/>
        <v>0</v>
      </c>
      <c r="CU21" s="167">
        <f t="shared" ref="CU21:CU84" si="262">IF($J21&lt;&gt;"H",CT21,0)</f>
        <v>0</v>
      </c>
      <c r="CV21" s="167">
        <f t="shared" si="181"/>
        <v>0</v>
      </c>
      <c r="CW21" s="167">
        <f t="shared" ref="CW21:CW84" si="263">IF(CX21&lt;&gt;0,ROUND(CX21/$L21*CV21,2),0)</f>
        <v>0</v>
      </c>
      <c r="CX21" s="167">
        <f t="shared" si="183"/>
        <v>0</v>
      </c>
      <c r="CY21" s="167">
        <f t="shared" ref="CY21:CY84" si="264">IF($J21&lt;&gt;"H",CX21,0)</f>
        <v>0</v>
      </c>
      <c r="CZ21" s="167">
        <f t="shared" si="185"/>
        <v>0</v>
      </c>
      <c r="DA21" s="167">
        <f t="shared" ref="DA21:DA84" si="265">IF($J21&lt;&gt;"H",CZ21,0)</f>
        <v>0</v>
      </c>
      <c r="DB21" s="170">
        <f t="shared" si="187"/>
        <v>0</v>
      </c>
      <c r="DC21" s="167">
        <f t="shared" si="188"/>
        <v>0</v>
      </c>
      <c r="DD21" s="171">
        <f t="shared" si="189"/>
        <v>0</v>
      </c>
      <c r="DE21" s="169">
        <f t="shared" si="260"/>
        <v>0</v>
      </c>
      <c r="DF21" s="167">
        <f t="shared" ref="DF21:DF84" si="266">IF($J21&lt;&gt;"H",DE21,0)</f>
        <v>0</v>
      </c>
      <c r="DG21" s="167">
        <f t="shared" si="192"/>
        <v>0</v>
      </c>
      <c r="DH21" s="167">
        <f t="shared" ref="DH21:DH84" si="267">IF($J21&lt;&gt;"H",DG21,0)</f>
        <v>0</v>
      </c>
      <c r="DI21" s="167">
        <f t="shared" si="194"/>
        <v>0</v>
      </c>
      <c r="DJ21" s="167">
        <f t="shared" ref="DJ21:DJ84" si="268">IF(DK21&lt;&gt;0,ROUND(DK21/$L21*DI21,2),0)</f>
        <v>0</v>
      </c>
      <c r="DK21" s="167">
        <f t="shared" si="196"/>
        <v>0</v>
      </c>
      <c r="DL21" s="167">
        <f t="shared" ref="DL21:DL84" si="269">IF($J21&lt;&gt;"H",DK21,0)</f>
        <v>0</v>
      </c>
      <c r="DM21" s="167">
        <f t="shared" si="198"/>
        <v>0</v>
      </c>
      <c r="DN21" s="167">
        <f t="shared" ref="DN21:DN84" si="270">IF($J21&lt;&gt;"H",DM21,0)</f>
        <v>0</v>
      </c>
      <c r="DO21" s="170">
        <f t="shared" si="200"/>
        <v>0</v>
      </c>
      <c r="DP21" s="167">
        <f t="shared" si="201"/>
        <v>0</v>
      </c>
      <c r="DQ21" s="171">
        <f t="shared" si="202"/>
        <v>0</v>
      </c>
      <c r="DR21" s="169">
        <f t="shared" si="260"/>
        <v>0</v>
      </c>
      <c r="DS21" s="167">
        <f t="shared" ref="DS21:DS84" si="271">IF($J21&lt;&gt;"H",DR21,0)</f>
        <v>0</v>
      </c>
      <c r="DT21" s="167">
        <f t="shared" si="205"/>
        <v>0</v>
      </c>
      <c r="DU21" s="167">
        <f t="shared" ref="DU21:DU84" si="272">IF($J21&lt;&gt;"H",DT21,0)</f>
        <v>0</v>
      </c>
      <c r="DV21" s="167">
        <f t="shared" si="207"/>
        <v>0</v>
      </c>
      <c r="DW21" s="167">
        <f t="shared" ref="DW21:DW84" si="273">IF(DX21&lt;&gt;0,ROUND(DX21/$L21*DV21,2),0)</f>
        <v>0</v>
      </c>
      <c r="DX21" s="167">
        <f t="shared" si="209"/>
        <v>0</v>
      </c>
      <c r="DY21" s="167">
        <f t="shared" ref="DY21:DY84" si="274">IF($J21&lt;&gt;"H",DX21,0)</f>
        <v>0</v>
      </c>
      <c r="DZ21" s="167">
        <f t="shared" si="211"/>
        <v>0</v>
      </c>
      <c r="EA21" s="167">
        <f t="shared" ref="EA21:EA84" si="275">IF($J21&lt;&gt;"H",DZ21,0)</f>
        <v>0</v>
      </c>
      <c r="EB21" s="170">
        <f t="shared" si="213"/>
        <v>0</v>
      </c>
      <c r="EC21" s="167">
        <f t="shared" si="214"/>
        <v>0</v>
      </c>
      <c r="ED21" s="171">
        <f t="shared" si="215"/>
        <v>0</v>
      </c>
    </row>
    <row r="22" spans="1:134" x14ac:dyDescent="0.3">
      <c r="A22" s="196"/>
      <c r="B22" s="196"/>
      <c r="C22" s="196"/>
      <c r="D22" s="188"/>
      <c r="E22" s="189"/>
      <c r="F22" s="190"/>
      <c r="G22" s="191"/>
      <c r="H22" s="192"/>
      <c r="I22" s="193"/>
      <c r="J22" s="194"/>
      <c r="K22" s="165">
        <f t="shared" si="216"/>
        <v>0</v>
      </c>
      <c r="L22" s="166">
        <f t="shared" si="217"/>
        <v>0</v>
      </c>
      <c r="M22" s="167">
        <f t="shared" si="218"/>
        <v>0</v>
      </c>
      <c r="N22" s="167"/>
      <c r="O22" s="167">
        <f t="shared" si="219"/>
        <v>0</v>
      </c>
      <c r="P22" s="168"/>
      <c r="Q22" s="167">
        <f t="shared" si="220"/>
        <v>0</v>
      </c>
      <c r="R22" s="169">
        <f t="shared" si="221"/>
        <v>0</v>
      </c>
      <c r="S22" s="167">
        <f t="shared" si="222"/>
        <v>0</v>
      </c>
      <c r="T22" s="167">
        <f t="shared" si="223"/>
        <v>0</v>
      </c>
      <c r="U22" s="167">
        <f t="shared" si="224"/>
        <v>0</v>
      </c>
      <c r="V22" s="167">
        <f t="shared" si="225"/>
        <v>0</v>
      </c>
      <c r="W22" s="167">
        <f t="shared" si="226"/>
        <v>0</v>
      </c>
      <c r="X22" s="167">
        <f t="shared" si="227"/>
        <v>0</v>
      </c>
      <c r="Y22" s="167">
        <f t="shared" si="228"/>
        <v>0</v>
      </c>
      <c r="Z22" s="167">
        <f t="shared" si="229"/>
        <v>0</v>
      </c>
      <c r="AA22" s="167">
        <f t="shared" si="230"/>
        <v>0</v>
      </c>
      <c r="AB22" s="170">
        <f t="shared" si="231"/>
        <v>0</v>
      </c>
      <c r="AC22" s="167">
        <f t="shared" si="232"/>
        <v>0</v>
      </c>
      <c r="AD22" s="171">
        <f t="shared" si="233"/>
        <v>0</v>
      </c>
      <c r="AE22" s="169">
        <f t="shared" si="234"/>
        <v>0</v>
      </c>
      <c r="AF22" s="167">
        <f t="shared" si="235"/>
        <v>0</v>
      </c>
      <c r="AG22" s="167">
        <f t="shared" si="114"/>
        <v>0</v>
      </c>
      <c r="AH22" s="167">
        <f t="shared" si="236"/>
        <v>0</v>
      </c>
      <c r="AI22" s="167">
        <f t="shared" si="116"/>
        <v>0</v>
      </c>
      <c r="AJ22" s="167">
        <f t="shared" si="237"/>
        <v>0</v>
      </c>
      <c r="AK22" s="167">
        <f t="shared" si="118"/>
        <v>0</v>
      </c>
      <c r="AL22" s="167">
        <f t="shared" si="238"/>
        <v>0</v>
      </c>
      <c r="AM22" s="167">
        <f t="shared" si="120"/>
        <v>0</v>
      </c>
      <c r="AN22" s="167">
        <f t="shared" si="239"/>
        <v>0</v>
      </c>
      <c r="AO22" s="170">
        <f t="shared" si="122"/>
        <v>0</v>
      </c>
      <c r="AP22" s="167">
        <f t="shared" si="123"/>
        <v>0</v>
      </c>
      <c r="AQ22" s="171">
        <f t="shared" si="124"/>
        <v>0</v>
      </c>
      <c r="AR22" s="169">
        <f t="shared" si="234"/>
        <v>0</v>
      </c>
      <c r="AS22" s="167">
        <f t="shared" si="240"/>
        <v>0</v>
      </c>
      <c r="AT22" s="167">
        <f t="shared" si="127"/>
        <v>0</v>
      </c>
      <c r="AU22" s="167">
        <f t="shared" si="241"/>
        <v>0</v>
      </c>
      <c r="AV22" s="167">
        <f t="shared" si="129"/>
        <v>0</v>
      </c>
      <c r="AW22" s="167">
        <f t="shared" si="242"/>
        <v>0</v>
      </c>
      <c r="AX22" s="167">
        <f t="shared" si="131"/>
        <v>0</v>
      </c>
      <c r="AY22" s="167">
        <f t="shared" si="243"/>
        <v>0</v>
      </c>
      <c r="AZ22" s="167">
        <f t="shared" si="133"/>
        <v>0</v>
      </c>
      <c r="BA22" s="167">
        <f t="shared" si="244"/>
        <v>0</v>
      </c>
      <c r="BB22" s="170">
        <f t="shared" si="135"/>
        <v>0</v>
      </c>
      <c r="BC22" s="167">
        <f t="shared" si="136"/>
        <v>0</v>
      </c>
      <c r="BD22" s="171">
        <f t="shared" si="137"/>
        <v>0</v>
      </c>
      <c r="BE22" s="169">
        <f t="shared" si="234"/>
        <v>0</v>
      </c>
      <c r="BF22" s="167">
        <f t="shared" si="245"/>
        <v>0</v>
      </c>
      <c r="BG22" s="167">
        <f t="shared" si="140"/>
        <v>0</v>
      </c>
      <c r="BH22" s="167">
        <f t="shared" si="246"/>
        <v>0</v>
      </c>
      <c r="BI22" s="167">
        <f t="shared" si="142"/>
        <v>0</v>
      </c>
      <c r="BJ22" s="167">
        <f t="shared" si="247"/>
        <v>0</v>
      </c>
      <c r="BK22" s="167">
        <f t="shared" si="144"/>
        <v>0</v>
      </c>
      <c r="BL22" s="167">
        <f t="shared" si="248"/>
        <v>0</v>
      </c>
      <c r="BM22" s="167">
        <f t="shared" si="146"/>
        <v>0</v>
      </c>
      <c r="BN22" s="167">
        <f t="shared" si="249"/>
        <v>0</v>
      </c>
      <c r="BO22" s="170">
        <f t="shared" si="148"/>
        <v>0</v>
      </c>
      <c r="BP22" s="167">
        <f t="shared" si="149"/>
        <v>0</v>
      </c>
      <c r="BQ22" s="171">
        <f t="shared" si="150"/>
        <v>0</v>
      </c>
      <c r="BR22" s="169">
        <f t="shared" si="234"/>
        <v>0</v>
      </c>
      <c r="BS22" s="167">
        <f t="shared" si="250"/>
        <v>0</v>
      </c>
      <c r="BT22" s="167">
        <f t="shared" si="153"/>
        <v>0</v>
      </c>
      <c r="BU22" s="167">
        <f t="shared" si="251"/>
        <v>0</v>
      </c>
      <c r="BV22" s="167">
        <f t="shared" si="155"/>
        <v>0</v>
      </c>
      <c r="BW22" s="167">
        <f t="shared" si="252"/>
        <v>0</v>
      </c>
      <c r="BX22" s="167">
        <f t="shared" si="157"/>
        <v>0</v>
      </c>
      <c r="BY22" s="167">
        <f t="shared" si="253"/>
        <v>0</v>
      </c>
      <c r="BZ22" s="167">
        <f t="shared" si="159"/>
        <v>0</v>
      </c>
      <c r="CA22" s="167">
        <f t="shared" si="254"/>
        <v>0</v>
      </c>
      <c r="CB22" s="170">
        <f t="shared" si="161"/>
        <v>0</v>
      </c>
      <c r="CC22" s="167">
        <f t="shared" si="162"/>
        <v>0</v>
      </c>
      <c r="CD22" s="171">
        <f t="shared" si="163"/>
        <v>0</v>
      </c>
      <c r="CE22" s="169">
        <f t="shared" si="234"/>
        <v>0</v>
      </c>
      <c r="CF22" s="167">
        <f t="shared" si="255"/>
        <v>0</v>
      </c>
      <c r="CG22" s="167">
        <f t="shared" si="166"/>
        <v>0</v>
      </c>
      <c r="CH22" s="167">
        <f t="shared" si="256"/>
        <v>0</v>
      </c>
      <c r="CI22" s="167">
        <f t="shared" si="168"/>
        <v>0</v>
      </c>
      <c r="CJ22" s="167">
        <f t="shared" si="257"/>
        <v>0</v>
      </c>
      <c r="CK22" s="167">
        <f t="shared" si="170"/>
        <v>0</v>
      </c>
      <c r="CL22" s="167">
        <f t="shared" si="258"/>
        <v>0</v>
      </c>
      <c r="CM22" s="167">
        <f t="shared" si="172"/>
        <v>0</v>
      </c>
      <c r="CN22" s="167">
        <f t="shared" si="259"/>
        <v>0</v>
      </c>
      <c r="CO22" s="170">
        <f t="shared" si="174"/>
        <v>0</v>
      </c>
      <c r="CP22" s="167">
        <f t="shared" si="175"/>
        <v>0</v>
      </c>
      <c r="CQ22" s="171">
        <f t="shared" si="176"/>
        <v>0</v>
      </c>
      <c r="CR22" s="169">
        <f t="shared" si="260"/>
        <v>0</v>
      </c>
      <c r="CS22" s="167">
        <f t="shared" si="261"/>
        <v>0</v>
      </c>
      <c r="CT22" s="167">
        <f t="shared" si="179"/>
        <v>0</v>
      </c>
      <c r="CU22" s="167">
        <f t="shared" si="262"/>
        <v>0</v>
      </c>
      <c r="CV22" s="167">
        <f t="shared" si="181"/>
        <v>0</v>
      </c>
      <c r="CW22" s="167">
        <f t="shared" si="263"/>
        <v>0</v>
      </c>
      <c r="CX22" s="167">
        <f t="shared" si="183"/>
        <v>0</v>
      </c>
      <c r="CY22" s="167">
        <f t="shared" si="264"/>
        <v>0</v>
      </c>
      <c r="CZ22" s="167">
        <f t="shared" si="185"/>
        <v>0</v>
      </c>
      <c r="DA22" s="167">
        <f t="shared" si="265"/>
        <v>0</v>
      </c>
      <c r="DB22" s="170">
        <f t="shared" si="187"/>
        <v>0</v>
      </c>
      <c r="DC22" s="167">
        <f t="shared" si="188"/>
        <v>0</v>
      </c>
      <c r="DD22" s="171">
        <f t="shared" si="189"/>
        <v>0</v>
      </c>
      <c r="DE22" s="169">
        <f t="shared" si="260"/>
        <v>0</v>
      </c>
      <c r="DF22" s="167">
        <f t="shared" si="266"/>
        <v>0</v>
      </c>
      <c r="DG22" s="167">
        <f t="shared" si="192"/>
        <v>0</v>
      </c>
      <c r="DH22" s="167">
        <f t="shared" si="267"/>
        <v>0</v>
      </c>
      <c r="DI22" s="167">
        <f t="shared" si="194"/>
        <v>0</v>
      </c>
      <c r="DJ22" s="167">
        <f t="shared" si="268"/>
        <v>0</v>
      </c>
      <c r="DK22" s="167">
        <f t="shared" si="196"/>
        <v>0</v>
      </c>
      <c r="DL22" s="167">
        <f t="shared" si="269"/>
        <v>0</v>
      </c>
      <c r="DM22" s="167">
        <f t="shared" si="198"/>
        <v>0</v>
      </c>
      <c r="DN22" s="167">
        <f t="shared" si="270"/>
        <v>0</v>
      </c>
      <c r="DO22" s="170">
        <f t="shared" si="200"/>
        <v>0</v>
      </c>
      <c r="DP22" s="167">
        <f t="shared" si="201"/>
        <v>0</v>
      </c>
      <c r="DQ22" s="171">
        <f t="shared" si="202"/>
        <v>0</v>
      </c>
      <c r="DR22" s="169">
        <f t="shared" si="260"/>
        <v>0</v>
      </c>
      <c r="DS22" s="167">
        <f t="shared" si="271"/>
        <v>0</v>
      </c>
      <c r="DT22" s="167">
        <f t="shared" si="205"/>
        <v>0</v>
      </c>
      <c r="DU22" s="167">
        <f t="shared" si="272"/>
        <v>0</v>
      </c>
      <c r="DV22" s="167">
        <f t="shared" si="207"/>
        <v>0</v>
      </c>
      <c r="DW22" s="167">
        <f t="shared" si="273"/>
        <v>0</v>
      </c>
      <c r="DX22" s="167">
        <f t="shared" si="209"/>
        <v>0</v>
      </c>
      <c r="DY22" s="167">
        <f t="shared" si="274"/>
        <v>0</v>
      </c>
      <c r="DZ22" s="167">
        <f t="shared" si="211"/>
        <v>0</v>
      </c>
      <c r="EA22" s="167">
        <f t="shared" si="275"/>
        <v>0</v>
      </c>
      <c r="EB22" s="170">
        <f t="shared" si="213"/>
        <v>0</v>
      </c>
      <c r="EC22" s="167">
        <f t="shared" si="214"/>
        <v>0</v>
      </c>
      <c r="ED22" s="171">
        <f t="shared" si="215"/>
        <v>0</v>
      </c>
    </row>
    <row r="23" spans="1:134" x14ac:dyDescent="0.3">
      <c r="A23" s="196"/>
      <c r="B23" s="196"/>
      <c r="C23" s="196"/>
      <c r="D23" s="188"/>
      <c r="E23" s="189"/>
      <c r="F23" s="190"/>
      <c r="G23" s="191"/>
      <c r="H23" s="192"/>
      <c r="I23" s="193"/>
      <c r="J23" s="194"/>
      <c r="K23" s="165">
        <f t="shared" si="216"/>
        <v>0</v>
      </c>
      <c r="L23" s="166">
        <f t="shared" si="217"/>
        <v>0</v>
      </c>
      <c r="M23" s="167">
        <f t="shared" si="218"/>
        <v>0</v>
      </c>
      <c r="N23" s="167"/>
      <c r="O23" s="167">
        <f t="shared" si="219"/>
        <v>0</v>
      </c>
      <c r="P23" s="168"/>
      <c r="Q23" s="167">
        <f t="shared" si="220"/>
        <v>0</v>
      </c>
      <c r="R23" s="169">
        <f t="shared" si="221"/>
        <v>0</v>
      </c>
      <c r="S23" s="167">
        <f t="shared" si="222"/>
        <v>0</v>
      </c>
      <c r="T23" s="167">
        <f t="shared" si="223"/>
        <v>0</v>
      </c>
      <c r="U23" s="167">
        <f t="shared" si="224"/>
        <v>0</v>
      </c>
      <c r="V23" s="167">
        <f t="shared" si="225"/>
        <v>0</v>
      </c>
      <c r="W23" s="167">
        <f t="shared" si="226"/>
        <v>0</v>
      </c>
      <c r="X23" s="167">
        <f t="shared" si="227"/>
        <v>0</v>
      </c>
      <c r="Y23" s="167">
        <f t="shared" si="228"/>
        <v>0</v>
      </c>
      <c r="Z23" s="167">
        <f t="shared" si="229"/>
        <v>0</v>
      </c>
      <c r="AA23" s="167">
        <f t="shared" si="230"/>
        <v>0</v>
      </c>
      <c r="AB23" s="170">
        <f t="shared" si="231"/>
        <v>0</v>
      </c>
      <c r="AC23" s="167">
        <f t="shared" si="232"/>
        <v>0</v>
      </c>
      <c r="AD23" s="171">
        <f t="shared" si="233"/>
        <v>0</v>
      </c>
      <c r="AE23" s="169">
        <f t="shared" si="234"/>
        <v>0</v>
      </c>
      <c r="AF23" s="167">
        <f t="shared" si="235"/>
        <v>0</v>
      </c>
      <c r="AG23" s="167">
        <f t="shared" si="114"/>
        <v>0</v>
      </c>
      <c r="AH23" s="167">
        <f t="shared" si="236"/>
        <v>0</v>
      </c>
      <c r="AI23" s="167">
        <f t="shared" si="116"/>
        <v>0</v>
      </c>
      <c r="AJ23" s="167">
        <f t="shared" si="237"/>
        <v>0</v>
      </c>
      <c r="AK23" s="167">
        <f t="shared" si="118"/>
        <v>0</v>
      </c>
      <c r="AL23" s="167">
        <f t="shared" si="238"/>
        <v>0</v>
      </c>
      <c r="AM23" s="167">
        <f t="shared" si="120"/>
        <v>0</v>
      </c>
      <c r="AN23" s="167">
        <f t="shared" si="239"/>
        <v>0</v>
      </c>
      <c r="AO23" s="170">
        <f t="shared" si="122"/>
        <v>0</v>
      </c>
      <c r="AP23" s="167">
        <f t="shared" si="123"/>
        <v>0</v>
      </c>
      <c r="AQ23" s="171">
        <f t="shared" si="124"/>
        <v>0</v>
      </c>
      <c r="AR23" s="169">
        <f t="shared" si="234"/>
        <v>0</v>
      </c>
      <c r="AS23" s="167">
        <f t="shared" si="240"/>
        <v>0</v>
      </c>
      <c r="AT23" s="167">
        <f t="shared" si="127"/>
        <v>0</v>
      </c>
      <c r="AU23" s="167">
        <f t="shared" si="241"/>
        <v>0</v>
      </c>
      <c r="AV23" s="167">
        <f t="shared" si="129"/>
        <v>0</v>
      </c>
      <c r="AW23" s="167">
        <f t="shared" si="242"/>
        <v>0</v>
      </c>
      <c r="AX23" s="167">
        <f t="shared" si="131"/>
        <v>0</v>
      </c>
      <c r="AY23" s="167">
        <f t="shared" si="243"/>
        <v>0</v>
      </c>
      <c r="AZ23" s="167">
        <f t="shared" si="133"/>
        <v>0</v>
      </c>
      <c r="BA23" s="167">
        <f t="shared" si="244"/>
        <v>0</v>
      </c>
      <c r="BB23" s="170">
        <f t="shared" si="135"/>
        <v>0</v>
      </c>
      <c r="BC23" s="167">
        <f t="shared" si="136"/>
        <v>0</v>
      </c>
      <c r="BD23" s="171">
        <f t="shared" si="137"/>
        <v>0</v>
      </c>
      <c r="BE23" s="169">
        <f t="shared" si="234"/>
        <v>0</v>
      </c>
      <c r="BF23" s="167">
        <f t="shared" si="245"/>
        <v>0</v>
      </c>
      <c r="BG23" s="167">
        <f t="shared" si="140"/>
        <v>0</v>
      </c>
      <c r="BH23" s="167">
        <f t="shared" si="246"/>
        <v>0</v>
      </c>
      <c r="BI23" s="167">
        <f t="shared" si="142"/>
        <v>0</v>
      </c>
      <c r="BJ23" s="167">
        <f t="shared" si="247"/>
        <v>0</v>
      </c>
      <c r="BK23" s="167">
        <f t="shared" si="144"/>
        <v>0</v>
      </c>
      <c r="BL23" s="167">
        <f t="shared" si="248"/>
        <v>0</v>
      </c>
      <c r="BM23" s="167">
        <f t="shared" si="146"/>
        <v>0</v>
      </c>
      <c r="BN23" s="167">
        <f t="shared" si="249"/>
        <v>0</v>
      </c>
      <c r="BO23" s="170">
        <f t="shared" si="148"/>
        <v>0</v>
      </c>
      <c r="BP23" s="167">
        <f t="shared" si="149"/>
        <v>0</v>
      </c>
      <c r="BQ23" s="171">
        <f t="shared" si="150"/>
        <v>0</v>
      </c>
      <c r="BR23" s="169">
        <f t="shared" si="234"/>
        <v>0</v>
      </c>
      <c r="BS23" s="167">
        <f t="shared" si="250"/>
        <v>0</v>
      </c>
      <c r="BT23" s="167">
        <f t="shared" si="153"/>
        <v>0</v>
      </c>
      <c r="BU23" s="167">
        <f t="shared" si="251"/>
        <v>0</v>
      </c>
      <c r="BV23" s="167">
        <f t="shared" si="155"/>
        <v>0</v>
      </c>
      <c r="BW23" s="167">
        <f t="shared" si="252"/>
        <v>0</v>
      </c>
      <c r="BX23" s="167">
        <f t="shared" si="157"/>
        <v>0</v>
      </c>
      <c r="BY23" s="167">
        <f t="shared" si="253"/>
        <v>0</v>
      </c>
      <c r="BZ23" s="167">
        <f t="shared" si="159"/>
        <v>0</v>
      </c>
      <c r="CA23" s="167">
        <f t="shared" si="254"/>
        <v>0</v>
      </c>
      <c r="CB23" s="170">
        <f t="shared" si="161"/>
        <v>0</v>
      </c>
      <c r="CC23" s="167">
        <f t="shared" si="162"/>
        <v>0</v>
      </c>
      <c r="CD23" s="171">
        <f t="shared" si="163"/>
        <v>0</v>
      </c>
      <c r="CE23" s="169">
        <f t="shared" si="234"/>
        <v>0</v>
      </c>
      <c r="CF23" s="167">
        <f t="shared" si="255"/>
        <v>0</v>
      </c>
      <c r="CG23" s="167">
        <f t="shared" si="166"/>
        <v>0</v>
      </c>
      <c r="CH23" s="167">
        <f t="shared" si="256"/>
        <v>0</v>
      </c>
      <c r="CI23" s="167">
        <f t="shared" si="168"/>
        <v>0</v>
      </c>
      <c r="CJ23" s="167">
        <f t="shared" si="257"/>
        <v>0</v>
      </c>
      <c r="CK23" s="167">
        <f t="shared" si="170"/>
        <v>0</v>
      </c>
      <c r="CL23" s="167">
        <f t="shared" si="258"/>
        <v>0</v>
      </c>
      <c r="CM23" s="167">
        <f t="shared" si="172"/>
        <v>0</v>
      </c>
      <c r="CN23" s="167">
        <f t="shared" si="259"/>
        <v>0</v>
      </c>
      <c r="CO23" s="170">
        <f t="shared" si="174"/>
        <v>0</v>
      </c>
      <c r="CP23" s="167">
        <f t="shared" si="175"/>
        <v>0</v>
      </c>
      <c r="CQ23" s="171">
        <f t="shared" si="176"/>
        <v>0</v>
      </c>
      <c r="CR23" s="169">
        <f t="shared" si="260"/>
        <v>0</v>
      </c>
      <c r="CS23" s="167">
        <f t="shared" si="261"/>
        <v>0</v>
      </c>
      <c r="CT23" s="167">
        <f t="shared" si="179"/>
        <v>0</v>
      </c>
      <c r="CU23" s="167">
        <f t="shared" si="262"/>
        <v>0</v>
      </c>
      <c r="CV23" s="167">
        <f t="shared" si="181"/>
        <v>0</v>
      </c>
      <c r="CW23" s="167">
        <f t="shared" si="263"/>
        <v>0</v>
      </c>
      <c r="CX23" s="167">
        <f t="shared" si="183"/>
        <v>0</v>
      </c>
      <c r="CY23" s="167">
        <f t="shared" si="264"/>
        <v>0</v>
      </c>
      <c r="CZ23" s="167">
        <f t="shared" si="185"/>
        <v>0</v>
      </c>
      <c r="DA23" s="167">
        <f t="shared" si="265"/>
        <v>0</v>
      </c>
      <c r="DB23" s="170">
        <f t="shared" si="187"/>
        <v>0</v>
      </c>
      <c r="DC23" s="167">
        <f t="shared" si="188"/>
        <v>0</v>
      </c>
      <c r="DD23" s="171">
        <f t="shared" si="189"/>
        <v>0</v>
      </c>
      <c r="DE23" s="169">
        <f t="shared" si="260"/>
        <v>0</v>
      </c>
      <c r="DF23" s="167">
        <f t="shared" si="266"/>
        <v>0</v>
      </c>
      <c r="DG23" s="167">
        <f t="shared" si="192"/>
        <v>0</v>
      </c>
      <c r="DH23" s="167">
        <f t="shared" si="267"/>
        <v>0</v>
      </c>
      <c r="DI23" s="167">
        <f t="shared" si="194"/>
        <v>0</v>
      </c>
      <c r="DJ23" s="167">
        <f t="shared" si="268"/>
        <v>0</v>
      </c>
      <c r="DK23" s="167">
        <f t="shared" si="196"/>
        <v>0</v>
      </c>
      <c r="DL23" s="167">
        <f t="shared" si="269"/>
        <v>0</v>
      </c>
      <c r="DM23" s="167">
        <f t="shared" si="198"/>
        <v>0</v>
      </c>
      <c r="DN23" s="167">
        <f t="shared" si="270"/>
        <v>0</v>
      </c>
      <c r="DO23" s="170">
        <f t="shared" si="200"/>
        <v>0</v>
      </c>
      <c r="DP23" s="167">
        <f t="shared" si="201"/>
        <v>0</v>
      </c>
      <c r="DQ23" s="171">
        <f t="shared" si="202"/>
        <v>0</v>
      </c>
      <c r="DR23" s="169">
        <f t="shared" si="260"/>
        <v>0</v>
      </c>
      <c r="DS23" s="167">
        <f t="shared" si="271"/>
        <v>0</v>
      </c>
      <c r="DT23" s="167">
        <f t="shared" si="205"/>
        <v>0</v>
      </c>
      <c r="DU23" s="167">
        <f t="shared" si="272"/>
        <v>0</v>
      </c>
      <c r="DV23" s="167">
        <f t="shared" si="207"/>
        <v>0</v>
      </c>
      <c r="DW23" s="167">
        <f t="shared" si="273"/>
        <v>0</v>
      </c>
      <c r="DX23" s="167">
        <f t="shared" si="209"/>
        <v>0</v>
      </c>
      <c r="DY23" s="167">
        <f t="shared" si="274"/>
        <v>0</v>
      </c>
      <c r="DZ23" s="167">
        <f t="shared" si="211"/>
        <v>0</v>
      </c>
      <c r="EA23" s="167">
        <f t="shared" si="275"/>
        <v>0</v>
      </c>
      <c r="EB23" s="170">
        <f t="shared" si="213"/>
        <v>0</v>
      </c>
      <c r="EC23" s="167">
        <f t="shared" si="214"/>
        <v>0</v>
      </c>
      <c r="ED23" s="171">
        <f t="shared" si="215"/>
        <v>0</v>
      </c>
    </row>
    <row r="24" spans="1:134" x14ac:dyDescent="0.3">
      <c r="A24" s="196"/>
      <c r="B24" s="196"/>
      <c r="C24" s="196"/>
      <c r="D24" s="188"/>
      <c r="E24" s="189"/>
      <c r="F24" s="190"/>
      <c r="G24" s="191"/>
      <c r="H24" s="192"/>
      <c r="I24" s="193"/>
      <c r="J24" s="194"/>
      <c r="K24" s="165">
        <f t="shared" si="216"/>
        <v>0</v>
      </c>
      <c r="L24" s="166">
        <f t="shared" si="217"/>
        <v>0</v>
      </c>
      <c r="M24" s="167">
        <f t="shared" si="218"/>
        <v>0</v>
      </c>
      <c r="N24" s="167"/>
      <c r="O24" s="167">
        <f t="shared" si="219"/>
        <v>0</v>
      </c>
      <c r="P24" s="168"/>
      <c r="Q24" s="167">
        <f t="shared" si="220"/>
        <v>0</v>
      </c>
      <c r="R24" s="169">
        <f t="shared" si="221"/>
        <v>0</v>
      </c>
      <c r="S24" s="167">
        <f t="shared" si="222"/>
        <v>0</v>
      </c>
      <c r="T24" s="167">
        <f t="shared" si="223"/>
        <v>0</v>
      </c>
      <c r="U24" s="167">
        <f t="shared" si="224"/>
        <v>0</v>
      </c>
      <c r="V24" s="167">
        <f t="shared" si="225"/>
        <v>0</v>
      </c>
      <c r="W24" s="167">
        <f t="shared" si="226"/>
        <v>0</v>
      </c>
      <c r="X24" s="167">
        <f t="shared" si="227"/>
        <v>0</v>
      </c>
      <c r="Y24" s="167">
        <f t="shared" si="228"/>
        <v>0</v>
      </c>
      <c r="Z24" s="167">
        <f t="shared" si="229"/>
        <v>0</v>
      </c>
      <c r="AA24" s="167">
        <f t="shared" si="230"/>
        <v>0</v>
      </c>
      <c r="AB24" s="170">
        <f t="shared" si="231"/>
        <v>0</v>
      </c>
      <c r="AC24" s="167">
        <f t="shared" si="232"/>
        <v>0</v>
      </c>
      <c r="AD24" s="171">
        <f t="shared" si="233"/>
        <v>0</v>
      </c>
      <c r="AE24" s="169">
        <f t="shared" si="234"/>
        <v>0</v>
      </c>
      <c r="AF24" s="167">
        <f t="shared" si="235"/>
        <v>0</v>
      </c>
      <c r="AG24" s="167">
        <f t="shared" si="114"/>
        <v>0</v>
      </c>
      <c r="AH24" s="167">
        <f t="shared" si="236"/>
        <v>0</v>
      </c>
      <c r="AI24" s="167">
        <f t="shared" si="116"/>
        <v>0</v>
      </c>
      <c r="AJ24" s="167">
        <f t="shared" si="237"/>
        <v>0</v>
      </c>
      <c r="AK24" s="167">
        <f t="shared" si="118"/>
        <v>0</v>
      </c>
      <c r="AL24" s="167">
        <f t="shared" si="238"/>
        <v>0</v>
      </c>
      <c r="AM24" s="167">
        <f t="shared" si="120"/>
        <v>0</v>
      </c>
      <c r="AN24" s="167">
        <f t="shared" si="239"/>
        <v>0</v>
      </c>
      <c r="AO24" s="170">
        <f t="shared" si="122"/>
        <v>0</v>
      </c>
      <c r="AP24" s="167">
        <f t="shared" si="123"/>
        <v>0</v>
      </c>
      <c r="AQ24" s="171">
        <f t="shared" si="124"/>
        <v>0</v>
      </c>
      <c r="AR24" s="169">
        <f t="shared" si="234"/>
        <v>0</v>
      </c>
      <c r="AS24" s="167">
        <f t="shared" si="240"/>
        <v>0</v>
      </c>
      <c r="AT24" s="167">
        <f t="shared" si="127"/>
        <v>0</v>
      </c>
      <c r="AU24" s="167">
        <f t="shared" si="241"/>
        <v>0</v>
      </c>
      <c r="AV24" s="167">
        <f t="shared" si="129"/>
        <v>0</v>
      </c>
      <c r="AW24" s="167">
        <f t="shared" si="242"/>
        <v>0</v>
      </c>
      <c r="AX24" s="167">
        <f t="shared" si="131"/>
        <v>0</v>
      </c>
      <c r="AY24" s="167">
        <f t="shared" si="243"/>
        <v>0</v>
      </c>
      <c r="AZ24" s="167">
        <f t="shared" si="133"/>
        <v>0</v>
      </c>
      <c r="BA24" s="167">
        <f t="shared" si="244"/>
        <v>0</v>
      </c>
      <c r="BB24" s="170">
        <f t="shared" si="135"/>
        <v>0</v>
      </c>
      <c r="BC24" s="167">
        <f t="shared" si="136"/>
        <v>0</v>
      </c>
      <c r="BD24" s="171">
        <f t="shared" si="137"/>
        <v>0</v>
      </c>
      <c r="BE24" s="169">
        <f t="shared" si="234"/>
        <v>0</v>
      </c>
      <c r="BF24" s="167">
        <f t="shared" si="245"/>
        <v>0</v>
      </c>
      <c r="BG24" s="167">
        <f t="shared" si="140"/>
        <v>0</v>
      </c>
      <c r="BH24" s="167">
        <f t="shared" si="246"/>
        <v>0</v>
      </c>
      <c r="BI24" s="167">
        <f t="shared" si="142"/>
        <v>0</v>
      </c>
      <c r="BJ24" s="167">
        <f t="shared" si="247"/>
        <v>0</v>
      </c>
      <c r="BK24" s="167">
        <f t="shared" si="144"/>
        <v>0</v>
      </c>
      <c r="BL24" s="167">
        <f t="shared" si="248"/>
        <v>0</v>
      </c>
      <c r="BM24" s="167">
        <f t="shared" si="146"/>
        <v>0</v>
      </c>
      <c r="BN24" s="167">
        <f t="shared" si="249"/>
        <v>0</v>
      </c>
      <c r="BO24" s="170">
        <f t="shared" si="148"/>
        <v>0</v>
      </c>
      <c r="BP24" s="167">
        <f t="shared" si="149"/>
        <v>0</v>
      </c>
      <c r="BQ24" s="171">
        <f t="shared" si="150"/>
        <v>0</v>
      </c>
      <c r="BR24" s="169">
        <f t="shared" si="234"/>
        <v>0</v>
      </c>
      <c r="BS24" s="167">
        <f t="shared" si="250"/>
        <v>0</v>
      </c>
      <c r="BT24" s="167">
        <f t="shared" si="153"/>
        <v>0</v>
      </c>
      <c r="BU24" s="167">
        <f t="shared" si="251"/>
        <v>0</v>
      </c>
      <c r="BV24" s="167">
        <f t="shared" si="155"/>
        <v>0</v>
      </c>
      <c r="BW24" s="167">
        <f t="shared" si="252"/>
        <v>0</v>
      </c>
      <c r="BX24" s="167">
        <f t="shared" si="157"/>
        <v>0</v>
      </c>
      <c r="BY24" s="167">
        <f t="shared" si="253"/>
        <v>0</v>
      </c>
      <c r="BZ24" s="167">
        <f t="shared" si="159"/>
        <v>0</v>
      </c>
      <c r="CA24" s="167">
        <f t="shared" si="254"/>
        <v>0</v>
      </c>
      <c r="CB24" s="170">
        <f t="shared" si="161"/>
        <v>0</v>
      </c>
      <c r="CC24" s="167">
        <f t="shared" si="162"/>
        <v>0</v>
      </c>
      <c r="CD24" s="171">
        <f t="shared" si="163"/>
        <v>0</v>
      </c>
      <c r="CE24" s="169">
        <f t="shared" si="234"/>
        <v>0</v>
      </c>
      <c r="CF24" s="167">
        <f t="shared" si="255"/>
        <v>0</v>
      </c>
      <c r="CG24" s="167">
        <f t="shared" si="166"/>
        <v>0</v>
      </c>
      <c r="CH24" s="167">
        <f t="shared" si="256"/>
        <v>0</v>
      </c>
      <c r="CI24" s="167">
        <f t="shared" si="168"/>
        <v>0</v>
      </c>
      <c r="CJ24" s="167">
        <f t="shared" si="257"/>
        <v>0</v>
      </c>
      <c r="CK24" s="167">
        <f t="shared" si="170"/>
        <v>0</v>
      </c>
      <c r="CL24" s="167">
        <f t="shared" si="258"/>
        <v>0</v>
      </c>
      <c r="CM24" s="167">
        <f t="shared" si="172"/>
        <v>0</v>
      </c>
      <c r="CN24" s="167">
        <f t="shared" si="259"/>
        <v>0</v>
      </c>
      <c r="CO24" s="170">
        <f t="shared" si="174"/>
        <v>0</v>
      </c>
      <c r="CP24" s="167">
        <f t="shared" si="175"/>
        <v>0</v>
      </c>
      <c r="CQ24" s="171">
        <f t="shared" si="176"/>
        <v>0</v>
      </c>
      <c r="CR24" s="169">
        <f t="shared" si="260"/>
        <v>0</v>
      </c>
      <c r="CS24" s="167">
        <f t="shared" si="261"/>
        <v>0</v>
      </c>
      <c r="CT24" s="167">
        <f t="shared" si="179"/>
        <v>0</v>
      </c>
      <c r="CU24" s="167">
        <f t="shared" si="262"/>
        <v>0</v>
      </c>
      <c r="CV24" s="167">
        <f t="shared" si="181"/>
        <v>0</v>
      </c>
      <c r="CW24" s="167">
        <f t="shared" si="263"/>
        <v>0</v>
      </c>
      <c r="CX24" s="167">
        <f t="shared" si="183"/>
        <v>0</v>
      </c>
      <c r="CY24" s="167">
        <f t="shared" si="264"/>
        <v>0</v>
      </c>
      <c r="CZ24" s="167">
        <f t="shared" si="185"/>
        <v>0</v>
      </c>
      <c r="DA24" s="167">
        <f t="shared" si="265"/>
        <v>0</v>
      </c>
      <c r="DB24" s="170">
        <f t="shared" si="187"/>
        <v>0</v>
      </c>
      <c r="DC24" s="167">
        <f t="shared" si="188"/>
        <v>0</v>
      </c>
      <c r="DD24" s="171">
        <f t="shared" si="189"/>
        <v>0</v>
      </c>
      <c r="DE24" s="169">
        <f t="shared" si="260"/>
        <v>0</v>
      </c>
      <c r="DF24" s="167">
        <f t="shared" si="266"/>
        <v>0</v>
      </c>
      <c r="DG24" s="167">
        <f t="shared" si="192"/>
        <v>0</v>
      </c>
      <c r="DH24" s="167">
        <f t="shared" si="267"/>
        <v>0</v>
      </c>
      <c r="DI24" s="167">
        <f t="shared" si="194"/>
        <v>0</v>
      </c>
      <c r="DJ24" s="167">
        <f t="shared" si="268"/>
        <v>0</v>
      </c>
      <c r="DK24" s="167">
        <f t="shared" si="196"/>
        <v>0</v>
      </c>
      <c r="DL24" s="167">
        <f t="shared" si="269"/>
        <v>0</v>
      </c>
      <c r="DM24" s="167">
        <f t="shared" si="198"/>
        <v>0</v>
      </c>
      <c r="DN24" s="167">
        <f t="shared" si="270"/>
        <v>0</v>
      </c>
      <c r="DO24" s="170">
        <f t="shared" si="200"/>
        <v>0</v>
      </c>
      <c r="DP24" s="167">
        <f t="shared" si="201"/>
        <v>0</v>
      </c>
      <c r="DQ24" s="171">
        <f t="shared" si="202"/>
        <v>0</v>
      </c>
      <c r="DR24" s="169">
        <f t="shared" si="260"/>
        <v>0</v>
      </c>
      <c r="DS24" s="167">
        <f t="shared" si="271"/>
        <v>0</v>
      </c>
      <c r="DT24" s="167">
        <f t="shared" si="205"/>
        <v>0</v>
      </c>
      <c r="DU24" s="167">
        <f t="shared" si="272"/>
        <v>0</v>
      </c>
      <c r="DV24" s="167">
        <f t="shared" si="207"/>
        <v>0</v>
      </c>
      <c r="DW24" s="167">
        <f t="shared" si="273"/>
        <v>0</v>
      </c>
      <c r="DX24" s="167">
        <f t="shared" si="209"/>
        <v>0</v>
      </c>
      <c r="DY24" s="167">
        <f t="shared" si="274"/>
        <v>0</v>
      </c>
      <c r="DZ24" s="167">
        <f t="shared" si="211"/>
        <v>0</v>
      </c>
      <c r="EA24" s="167">
        <f t="shared" si="275"/>
        <v>0</v>
      </c>
      <c r="EB24" s="170">
        <f t="shared" si="213"/>
        <v>0</v>
      </c>
      <c r="EC24" s="167">
        <f t="shared" si="214"/>
        <v>0</v>
      </c>
      <c r="ED24" s="171">
        <f t="shared" si="215"/>
        <v>0</v>
      </c>
    </row>
    <row r="25" spans="1:134" x14ac:dyDescent="0.3">
      <c r="A25" s="196"/>
      <c r="B25" s="186"/>
      <c r="C25" s="186"/>
      <c r="D25" s="188"/>
      <c r="E25" s="189"/>
      <c r="F25" s="190"/>
      <c r="G25" s="191"/>
      <c r="H25" s="192"/>
      <c r="I25" s="193"/>
      <c r="J25" s="194"/>
      <c r="K25" s="165">
        <f t="shared" si="216"/>
        <v>0</v>
      </c>
      <c r="L25" s="166">
        <f t="shared" si="217"/>
        <v>0</v>
      </c>
      <c r="M25" s="167">
        <f t="shared" si="218"/>
        <v>0</v>
      </c>
      <c r="N25" s="167"/>
      <c r="O25" s="167">
        <f t="shared" si="219"/>
        <v>0</v>
      </c>
      <c r="P25" s="168"/>
      <c r="Q25" s="167">
        <f t="shared" si="220"/>
        <v>0</v>
      </c>
      <c r="R25" s="169">
        <f t="shared" si="221"/>
        <v>0</v>
      </c>
      <c r="S25" s="167">
        <f t="shared" si="222"/>
        <v>0</v>
      </c>
      <c r="T25" s="167">
        <f t="shared" si="223"/>
        <v>0</v>
      </c>
      <c r="U25" s="167">
        <f t="shared" si="224"/>
        <v>0</v>
      </c>
      <c r="V25" s="167">
        <f t="shared" si="225"/>
        <v>0</v>
      </c>
      <c r="W25" s="167">
        <f t="shared" si="226"/>
        <v>0</v>
      </c>
      <c r="X25" s="167">
        <f t="shared" si="227"/>
        <v>0</v>
      </c>
      <c r="Y25" s="167">
        <f t="shared" si="228"/>
        <v>0</v>
      </c>
      <c r="Z25" s="167">
        <f t="shared" si="229"/>
        <v>0</v>
      </c>
      <c r="AA25" s="167">
        <f t="shared" si="230"/>
        <v>0</v>
      </c>
      <c r="AB25" s="170">
        <f t="shared" si="231"/>
        <v>0</v>
      </c>
      <c r="AC25" s="167">
        <f t="shared" si="232"/>
        <v>0</v>
      </c>
      <c r="AD25" s="171">
        <f t="shared" si="233"/>
        <v>0</v>
      </c>
      <c r="AE25" s="169">
        <f t="shared" si="234"/>
        <v>0</v>
      </c>
      <c r="AF25" s="167">
        <f t="shared" si="235"/>
        <v>0</v>
      </c>
      <c r="AG25" s="167">
        <f t="shared" si="114"/>
        <v>0</v>
      </c>
      <c r="AH25" s="167">
        <f t="shared" si="236"/>
        <v>0</v>
      </c>
      <c r="AI25" s="167">
        <f t="shared" si="116"/>
        <v>0</v>
      </c>
      <c r="AJ25" s="167">
        <f t="shared" si="237"/>
        <v>0</v>
      </c>
      <c r="AK25" s="167">
        <f t="shared" si="118"/>
        <v>0</v>
      </c>
      <c r="AL25" s="167">
        <f t="shared" si="238"/>
        <v>0</v>
      </c>
      <c r="AM25" s="167">
        <f t="shared" si="120"/>
        <v>0</v>
      </c>
      <c r="AN25" s="167">
        <f t="shared" si="239"/>
        <v>0</v>
      </c>
      <c r="AO25" s="170">
        <f t="shared" si="122"/>
        <v>0</v>
      </c>
      <c r="AP25" s="167">
        <f t="shared" si="123"/>
        <v>0</v>
      </c>
      <c r="AQ25" s="171">
        <f t="shared" si="124"/>
        <v>0</v>
      </c>
      <c r="AR25" s="169">
        <f t="shared" si="234"/>
        <v>0</v>
      </c>
      <c r="AS25" s="167">
        <f t="shared" si="240"/>
        <v>0</v>
      </c>
      <c r="AT25" s="167">
        <f t="shared" si="127"/>
        <v>0</v>
      </c>
      <c r="AU25" s="167">
        <f t="shared" si="241"/>
        <v>0</v>
      </c>
      <c r="AV25" s="167">
        <f t="shared" si="129"/>
        <v>0</v>
      </c>
      <c r="AW25" s="167">
        <f t="shared" si="242"/>
        <v>0</v>
      </c>
      <c r="AX25" s="167">
        <f t="shared" si="131"/>
        <v>0</v>
      </c>
      <c r="AY25" s="167">
        <f t="shared" si="243"/>
        <v>0</v>
      </c>
      <c r="AZ25" s="167">
        <f t="shared" si="133"/>
        <v>0</v>
      </c>
      <c r="BA25" s="167">
        <f t="shared" si="244"/>
        <v>0</v>
      </c>
      <c r="BB25" s="170">
        <f t="shared" si="135"/>
        <v>0</v>
      </c>
      <c r="BC25" s="167">
        <f t="shared" si="136"/>
        <v>0</v>
      </c>
      <c r="BD25" s="171">
        <f t="shared" si="137"/>
        <v>0</v>
      </c>
      <c r="BE25" s="169">
        <f t="shared" si="234"/>
        <v>0</v>
      </c>
      <c r="BF25" s="167">
        <f t="shared" si="245"/>
        <v>0</v>
      </c>
      <c r="BG25" s="167">
        <f t="shared" si="140"/>
        <v>0</v>
      </c>
      <c r="BH25" s="167">
        <f t="shared" si="246"/>
        <v>0</v>
      </c>
      <c r="BI25" s="167">
        <f t="shared" si="142"/>
        <v>0</v>
      </c>
      <c r="BJ25" s="167">
        <f t="shared" si="247"/>
        <v>0</v>
      </c>
      <c r="BK25" s="167">
        <f t="shared" si="144"/>
        <v>0</v>
      </c>
      <c r="BL25" s="167">
        <f t="shared" si="248"/>
        <v>0</v>
      </c>
      <c r="BM25" s="167">
        <f t="shared" si="146"/>
        <v>0</v>
      </c>
      <c r="BN25" s="167">
        <f t="shared" si="249"/>
        <v>0</v>
      </c>
      <c r="BO25" s="170">
        <f t="shared" si="148"/>
        <v>0</v>
      </c>
      <c r="BP25" s="167">
        <f t="shared" si="149"/>
        <v>0</v>
      </c>
      <c r="BQ25" s="171">
        <f t="shared" si="150"/>
        <v>0</v>
      </c>
      <c r="BR25" s="169">
        <f t="shared" si="234"/>
        <v>0</v>
      </c>
      <c r="BS25" s="167">
        <f t="shared" si="250"/>
        <v>0</v>
      </c>
      <c r="BT25" s="167">
        <f t="shared" si="153"/>
        <v>0</v>
      </c>
      <c r="BU25" s="167">
        <f t="shared" si="251"/>
        <v>0</v>
      </c>
      <c r="BV25" s="167">
        <f t="shared" si="155"/>
        <v>0</v>
      </c>
      <c r="BW25" s="167">
        <f t="shared" si="252"/>
        <v>0</v>
      </c>
      <c r="BX25" s="167">
        <f t="shared" si="157"/>
        <v>0</v>
      </c>
      <c r="BY25" s="167">
        <f t="shared" si="253"/>
        <v>0</v>
      </c>
      <c r="BZ25" s="167">
        <f t="shared" si="159"/>
        <v>0</v>
      </c>
      <c r="CA25" s="167">
        <f t="shared" si="254"/>
        <v>0</v>
      </c>
      <c r="CB25" s="170">
        <f t="shared" si="161"/>
        <v>0</v>
      </c>
      <c r="CC25" s="167">
        <f t="shared" si="162"/>
        <v>0</v>
      </c>
      <c r="CD25" s="171">
        <f t="shared" si="163"/>
        <v>0</v>
      </c>
      <c r="CE25" s="169">
        <f t="shared" si="234"/>
        <v>0</v>
      </c>
      <c r="CF25" s="167">
        <f t="shared" si="255"/>
        <v>0</v>
      </c>
      <c r="CG25" s="167">
        <f t="shared" si="166"/>
        <v>0</v>
      </c>
      <c r="CH25" s="167">
        <f t="shared" si="256"/>
        <v>0</v>
      </c>
      <c r="CI25" s="167">
        <f t="shared" si="168"/>
        <v>0</v>
      </c>
      <c r="CJ25" s="167">
        <f t="shared" si="257"/>
        <v>0</v>
      </c>
      <c r="CK25" s="167">
        <f t="shared" si="170"/>
        <v>0</v>
      </c>
      <c r="CL25" s="167">
        <f t="shared" si="258"/>
        <v>0</v>
      </c>
      <c r="CM25" s="167">
        <f t="shared" si="172"/>
        <v>0</v>
      </c>
      <c r="CN25" s="167">
        <f t="shared" si="259"/>
        <v>0</v>
      </c>
      <c r="CO25" s="170">
        <f t="shared" si="174"/>
        <v>0</v>
      </c>
      <c r="CP25" s="167">
        <f t="shared" si="175"/>
        <v>0</v>
      </c>
      <c r="CQ25" s="171">
        <f t="shared" si="176"/>
        <v>0</v>
      </c>
      <c r="CR25" s="169">
        <f t="shared" si="260"/>
        <v>0</v>
      </c>
      <c r="CS25" s="167">
        <f t="shared" si="261"/>
        <v>0</v>
      </c>
      <c r="CT25" s="167">
        <f t="shared" si="179"/>
        <v>0</v>
      </c>
      <c r="CU25" s="167">
        <f t="shared" si="262"/>
        <v>0</v>
      </c>
      <c r="CV25" s="167">
        <f t="shared" si="181"/>
        <v>0</v>
      </c>
      <c r="CW25" s="167">
        <f t="shared" si="263"/>
        <v>0</v>
      </c>
      <c r="CX25" s="167">
        <f t="shared" si="183"/>
        <v>0</v>
      </c>
      <c r="CY25" s="167">
        <f t="shared" si="264"/>
        <v>0</v>
      </c>
      <c r="CZ25" s="167">
        <f t="shared" si="185"/>
        <v>0</v>
      </c>
      <c r="DA25" s="167">
        <f t="shared" si="265"/>
        <v>0</v>
      </c>
      <c r="DB25" s="170">
        <f t="shared" si="187"/>
        <v>0</v>
      </c>
      <c r="DC25" s="167">
        <f t="shared" si="188"/>
        <v>0</v>
      </c>
      <c r="DD25" s="171">
        <f t="shared" si="189"/>
        <v>0</v>
      </c>
      <c r="DE25" s="169">
        <f t="shared" si="260"/>
        <v>0</v>
      </c>
      <c r="DF25" s="167">
        <f t="shared" si="266"/>
        <v>0</v>
      </c>
      <c r="DG25" s="167">
        <f t="shared" si="192"/>
        <v>0</v>
      </c>
      <c r="DH25" s="167">
        <f t="shared" si="267"/>
        <v>0</v>
      </c>
      <c r="DI25" s="167">
        <f t="shared" si="194"/>
        <v>0</v>
      </c>
      <c r="DJ25" s="167">
        <f t="shared" si="268"/>
        <v>0</v>
      </c>
      <c r="DK25" s="167">
        <f t="shared" si="196"/>
        <v>0</v>
      </c>
      <c r="DL25" s="167">
        <f t="shared" si="269"/>
        <v>0</v>
      </c>
      <c r="DM25" s="167">
        <f t="shared" si="198"/>
        <v>0</v>
      </c>
      <c r="DN25" s="167">
        <f t="shared" si="270"/>
        <v>0</v>
      </c>
      <c r="DO25" s="170">
        <f t="shared" si="200"/>
        <v>0</v>
      </c>
      <c r="DP25" s="167">
        <f t="shared" si="201"/>
        <v>0</v>
      </c>
      <c r="DQ25" s="171">
        <f t="shared" si="202"/>
        <v>0</v>
      </c>
      <c r="DR25" s="169">
        <f t="shared" si="260"/>
        <v>0</v>
      </c>
      <c r="DS25" s="167">
        <f t="shared" si="271"/>
        <v>0</v>
      </c>
      <c r="DT25" s="167">
        <f t="shared" si="205"/>
        <v>0</v>
      </c>
      <c r="DU25" s="167">
        <f t="shared" si="272"/>
        <v>0</v>
      </c>
      <c r="DV25" s="167">
        <f t="shared" si="207"/>
        <v>0</v>
      </c>
      <c r="DW25" s="167">
        <f t="shared" si="273"/>
        <v>0</v>
      </c>
      <c r="DX25" s="167">
        <f t="shared" si="209"/>
        <v>0</v>
      </c>
      <c r="DY25" s="167">
        <f t="shared" si="274"/>
        <v>0</v>
      </c>
      <c r="DZ25" s="167">
        <f t="shared" si="211"/>
        <v>0</v>
      </c>
      <c r="EA25" s="167">
        <f t="shared" si="275"/>
        <v>0</v>
      </c>
      <c r="EB25" s="170">
        <f t="shared" si="213"/>
        <v>0</v>
      </c>
      <c r="EC25" s="167">
        <f t="shared" si="214"/>
        <v>0</v>
      </c>
      <c r="ED25" s="171">
        <f t="shared" si="215"/>
        <v>0</v>
      </c>
    </row>
    <row r="26" spans="1:134" x14ac:dyDescent="0.3">
      <c r="A26" s="196"/>
      <c r="B26" s="196"/>
      <c r="C26" s="196"/>
      <c r="D26" s="188"/>
      <c r="E26" s="189"/>
      <c r="F26" s="190"/>
      <c r="G26" s="191"/>
      <c r="H26" s="192"/>
      <c r="I26" s="193"/>
      <c r="J26" s="194"/>
      <c r="K26" s="165">
        <f t="shared" si="216"/>
        <v>0</v>
      </c>
      <c r="L26" s="166">
        <f t="shared" si="217"/>
        <v>0</v>
      </c>
      <c r="M26" s="167">
        <f t="shared" si="218"/>
        <v>0</v>
      </c>
      <c r="N26" s="167"/>
      <c r="O26" s="167">
        <f t="shared" si="219"/>
        <v>0</v>
      </c>
      <c r="P26" s="168"/>
      <c r="Q26" s="167">
        <f t="shared" si="220"/>
        <v>0</v>
      </c>
      <c r="R26" s="169">
        <f t="shared" si="221"/>
        <v>0</v>
      </c>
      <c r="S26" s="167">
        <f t="shared" si="222"/>
        <v>0</v>
      </c>
      <c r="T26" s="167">
        <f t="shared" si="223"/>
        <v>0</v>
      </c>
      <c r="U26" s="167">
        <f t="shared" si="224"/>
        <v>0</v>
      </c>
      <c r="V26" s="167">
        <f t="shared" si="225"/>
        <v>0</v>
      </c>
      <c r="W26" s="167">
        <f t="shared" si="226"/>
        <v>0</v>
      </c>
      <c r="X26" s="167">
        <f t="shared" si="227"/>
        <v>0</v>
      </c>
      <c r="Y26" s="167">
        <f t="shared" si="228"/>
        <v>0</v>
      </c>
      <c r="Z26" s="167">
        <f t="shared" si="229"/>
        <v>0</v>
      </c>
      <c r="AA26" s="167">
        <f t="shared" si="230"/>
        <v>0</v>
      </c>
      <c r="AB26" s="170">
        <f t="shared" si="231"/>
        <v>0</v>
      </c>
      <c r="AC26" s="167">
        <f t="shared" si="232"/>
        <v>0</v>
      </c>
      <c r="AD26" s="171">
        <f t="shared" si="233"/>
        <v>0</v>
      </c>
      <c r="AE26" s="169">
        <f t="shared" si="234"/>
        <v>0</v>
      </c>
      <c r="AF26" s="167">
        <f t="shared" si="235"/>
        <v>0</v>
      </c>
      <c r="AG26" s="167">
        <f t="shared" si="114"/>
        <v>0</v>
      </c>
      <c r="AH26" s="167">
        <f t="shared" si="236"/>
        <v>0</v>
      </c>
      <c r="AI26" s="167">
        <f t="shared" si="116"/>
        <v>0</v>
      </c>
      <c r="AJ26" s="167">
        <f t="shared" si="237"/>
        <v>0</v>
      </c>
      <c r="AK26" s="167">
        <f t="shared" si="118"/>
        <v>0</v>
      </c>
      <c r="AL26" s="167">
        <f t="shared" si="238"/>
        <v>0</v>
      </c>
      <c r="AM26" s="167">
        <f t="shared" si="120"/>
        <v>0</v>
      </c>
      <c r="AN26" s="167">
        <f t="shared" si="239"/>
        <v>0</v>
      </c>
      <c r="AO26" s="170">
        <f t="shared" si="122"/>
        <v>0</v>
      </c>
      <c r="AP26" s="167">
        <f t="shared" si="123"/>
        <v>0</v>
      </c>
      <c r="AQ26" s="171">
        <f t="shared" si="124"/>
        <v>0</v>
      </c>
      <c r="AR26" s="169">
        <f t="shared" si="234"/>
        <v>0</v>
      </c>
      <c r="AS26" s="167">
        <f t="shared" si="240"/>
        <v>0</v>
      </c>
      <c r="AT26" s="167">
        <f t="shared" si="127"/>
        <v>0</v>
      </c>
      <c r="AU26" s="167">
        <f t="shared" si="241"/>
        <v>0</v>
      </c>
      <c r="AV26" s="167">
        <f t="shared" si="129"/>
        <v>0</v>
      </c>
      <c r="AW26" s="167">
        <f t="shared" si="242"/>
        <v>0</v>
      </c>
      <c r="AX26" s="167">
        <f t="shared" si="131"/>
        <v>0</v>
      </c>
      <c r="AY26" s="167">
        <f t="shared" si="243"/>
        <v>0</v>
      </c>
      <c r="AZ26" s="167">
        <f t="shared" si="133"/>
        <v>0</v>
      </c>
      <c r="BA26" s="167">
        <f t="shared" si="244"/>
        <v>0</v>
      </c>
      <c r="BB26" s="170">
        <f t="shared" si="135"/>
        <v>0</v>
      </c>
      <c r="BC26" s="167">
        <f t="shared" si="136"/>
        <v>0</v>
      </c>
      <c r="BD26" s="171">
        <f t="shared" si="137"/>
        <v>0</v>
      </c>
      <c r="BE26" s="169">
        <f t="shared" si="234"/>
        <v>0</v>
      </c>
      <c r="BF26" s="167">
        <f t="shared" si="245"/>
        <v>0</v>
      </c>
      <c r="BG26" s="167">
        <f t="shared" si="140"/>
        <v>0</v>
      </c>
      <c r="BH26" s="167">
        <f t="shared" si="246"/>
        <v>0</v>
      </c>
      <c r="BI26" s="167">
        <f t="shared" si="142"/>
        <v>0</v>
      </c>
      <c r="BJ26" s="167">
        <f t="shared" si="247"/>
        <v>0</v>
      </c>
      <c r="BK26" s="167">
        <f t="shared" si="144"/>
        <v>0</v>
      </c>
      <c r="BL26" s="167">
        <f t="shared" si="248"/>
        <v>0</v>
      </c>
      <c r="BM26" s="167">
        <f t="shared" si="146"/>
        <v>0</v>
      </c>
      <c r="BN26" s="167">
        <f t="shared" si="249"/>
        <v>0</v>
      </c>
      <c r="BO26" s="170">
        <f t="shared" si="148"/>
        <v>0</v>
      </c>
      <c r="BP26" s="167">
        <f t="shared" si="149"/>
        <v>0</v>
      </c>
      <c r="BQ26" s="171">
        <f t="shared" si="150"/>
        <v>0</v>
      </c>
      <c r="BR26" s="169">
        <f t="shared" si="234"/>
        <v>0</v>
      </c>
      <c r="BS26" s="167">
        <f t="shared" si="250"/>
        <v>0</v>
      </c>
      <c r="BT26" s="167">
        <f t="shared" si="153"/>
        <v>0</v>
      </c>
      <c r="BU26" s="167">
        <f t="shared" si="251"/>
        <v>0</v>
      </c>
      <c r="BV26" s="167">
        <f t="shared" si="155"/>
        <v>0</v>
      </c>
      <c r="BW26" s="167">
        <f t="shared" si="252"/>
        <v>0</v>
      </c>
      <c r="BX26" s="167">
        <f t="shared" si="157"/>
        <v>0</v>
      </c>
      <c r="BY26" s="167">
        <f t="shared" si="253"/>
        <v>0</v>
      </c>
      <c r="BZ26" s="167">
        <f t="shared" si="159"/>
        <v>0</v>
      </c>
      <c r="CA26" s="167">
        <f t="shared" si="254"/>
        <v>0</v>
      </c>
      <c r="CB26" s="170">
        <f t="shared" si="161"/>
        <v>0</v>
      </c>
      <c r="CC26" s="167">
        <f t="shared" si="162"/>
        <v>0</v>
      </c>
      <c r="CD26" s="171">
        <f t="shared" si="163"/>
        <v>0</v>
      </c>
      <c r="CE26" s="169">
        <f t="shared" si="234"/>
        <v>0</v>
      </c>
      <c r="CF26" s="167">
        <f t="shared" si="255"/>
        <v>0</v>
      </c>
      <c r="CG26" s="167">
        <f t="shared" si="166"/>
        <v>0</v>
      </c>
      <c r="CH26" s="167">
        <f t="shared" si="256"/>
        <v>0</v>
      </c>
      <c r="CI26" s="167">
        <f t="shared" si="168"/>
        <v>0</v>
      </c>
      <c r="CJ26" s="167">
        <f t="shared" si="257"/>
        <v>0</v>
      </c>
      <c r="CK26" s="167">
        <f t="shared" si="170"/>
        <v>0</v>
      </c>
      <c r="CL26" s="167">
        <f t="shared" si="258"/>
        <v>0</v>
      </c>
      <c r="CM26" s="167">
        <f t="shared" si="172"/>
        <v>0</v>
      </c>
      <c r="CN26" s="167">
        <f t="shared" si="259"/>
        <v>0</v>
      </c>
      <c r="CO26" s="170">
        <f t="shared" si="174"/>
        <v>0</v>
      </c>
      <c r="CP26" s="167">
        <f t="shared" si="175"/>
        <v>0</v>
      </c>
      <c r="CQ26" s="171">
        <f t="shared" si="176"/>
        <v>0</v>
      </c>
      <c r="CR26" s="169">
        <f t="shared" si="260"/>
        <v>0</v>
      </c>
      <c r="CS26" s="167">
        <f t="shared" si="261"/>
        <v>0</v>
      </c>
      <c r="CT26" s="167">
        <f t="shared" si="179"/>
        <v>0</v>
      </c>
      <c r="CU26" s="167">
        <f t="shared" si="262"/>
        <v>0</v>
      </c>
      <c r="CV26" s="167">
        <f t="shared" si="181"/>
        <v>0</v>
      </c>
      <c r="CW26" s="167">
        <f t="shared" si="263"/>
        <v>0</v>
      </c>
      <c r="CX26" s="167">
        <f t="shared" si="183"/>
        <v>0</v>
      </c>
      <c r="CY26" s="167">
        <f t="shared" si="264"/>
        <v>0</v>
      </c>
      <c r="CZ26" s="167">
        <f t="shared" si="185"/>
        <v>0</v>
      </c>
      <c r="DA26" s="167">
        <f t="shared" si="265"/>
        <v>0</v>
      </c>
      <c r="DB26" s="170">
        <f t="shared" si="187"/>
        <v>0</v>
      </c>
      <c r="DC26" s="167">
        <f t="shared" si="188"/>
        <v>0</v>
      </c>
      <c r="DD26" s="171">
        <f t="shared" si="189"/>
        <v>0</v>
      </c>
      <c r="DE26" s="169">
        <f t="shared" si="260"/>
        <v>0</v>
      </c>
      <c r="DF26" s="167">
        <f t="shared" si="266"/>
        <v>0</v>
      </c>
      <c r="DG26" s="167">
        <f t="shared" si="192"/>
        <v>0</v>
      </c>
      <c r="DH26" s="167">
        <f t="shared" si="267"/>
        <v>0</v>
      </c>
      <c r="DI26" s="167">
        <f t="shared" si="194"/>
        <v>0</v>
      </c>
      <c r="DJ26" s="167">
        <f t="shared" si="268"/>
        <v>0</v>
      </c>
      <c r="DK26" s="167">
        <f t="shared" si="196"/>
        <v>0</v>
      </c>
      <c r="DL26" s="167">
        <f t="shared" si="269"/>
        <v>0</v>
      </c>
      <c r="DM26" s="167">
        <f t="shared" si="198"/>
        <v>0</v>
      </c>
      <c r="DN26" s="167">
        <f t="shared" si="270"/>
        <v>0</v>
      </c>
      <c r="DO26" s="170">
        <f t="shared" si="200"/>
        <v>0</v>
      </c>
      <c r="DP26" s="167">
        <f t="shared" si="201"/>
        <v>0</v>
      </c>
      <c r="DQ26" s="171">
        <f t="shared" si="202"/>
        <v>0</v>
      </c>
      <c r="DR26" s="169">
        <f t="shared" si="260"/>
        <v>0</v>
      </c>
      <c r="DS26" s="167">
        <f t="shared" si="271"/>
        <v>0</v>
      </c>
      <c r="DT26" s="167">
        <f t="shared" si="205"/>
        <v>0</v>
      </c>
      <c r="DU26" s="167">
        <f t="shared" si="272"/>
        <v>0</v>
      </c>
      <c r="DV26" s="167">
        <f t="shared" si="207"/>
        <v>0</v>
      </c>
      <c r="DW26" s="167">
        <f t="shared" si="273"/>
        <v>0</v>
      </c>
      <c r="DX26" s="167">
        <f t="shared" si="209"/>
        <v>0</v>
      </c>
      <c r="DY26" s="167">
        <f t="shared" si="274"/>
        <v>0</v>
      </c>
      <c r="DZ26" s="167">
        <f t="shared" si="211"/>
        <v>0</v>
      </c>
      <c r="EA26" s="167">
        <f t="shared" si="275"/>
        <v>0</v>
      </c>
      <c r="EB26" s="170">
        <f t="shared" si="213"/>
        <v>0</v>
      </c>
      <c r="EC26" s="167">
        <f t="shared" si="214"/>
        <v>0</v>
      </c>
      <c r="ED26" s="171">
        <f t="shared" si="215"/>
        <v>0</v>
      </c>
    </row>
    <row r="27" spans="1:134" x14ac:dyDescent="0.3">
      <c r="A27" s="196"/>
      <c r="B27" s="196"/>
      <c r="C27" s="196"/>
      <c r="D27" s="188"/>
      <c r="E27" s="189"/>
      <c r="F27" s="190"/>
      <c r="G27" s="191"/>
      <c r="H27" s="192"/>
      <c r="I27" s="193"/>
      <c r="J27" s="194"/>
      <c r="K27" s="165">
        <f t="shared" si="216"/>
        <v>0</v>
      </c>
      <c r="L27" s="166">
        <f t="shared" si="217"/>
        <v>0</v>
      </c>
      <c r="M27" s="167">
        <f t="shared" si="218"/>
        <v>0</v>
      </c>
      <c r="N27" s="167"/>
      <c r="O27" s="167">
        <f t="shared" si="219"/>
        <v>0</v>
      </c>
      <c r="P27" s="168"/>
      <c r="Q27" s="167">
        <f t="shared" si="220"/>
        <v>0</v>
      </c>
      <c r="R27" s="169">
        <f t="shared" si="221"/>
        <v>0</v>
      </c>
      <c r="S27" s="167">
        <f t="shared" si="222"/>
        <v>0</v>
      </c>
      <c r="T27" s="167">
        <f t="shared" si="223"/>
        <v>0</v>
      </c>
      <c r="U27" s="167">
        <f t="shared" si="224"/>
        <v>0</v>
      </c>
      <c r="V27" s="167">
        <f t="shared" si="225"/>
        <v>0</v>
      </c>
      <c r="W27" s="167">
        <f t="shared" si="226"/>
        <v>0</v>
      </c>
      <c r="X27" s="167">
        <f t="shared" si="227"/>
        <v>0</v>
      </c>
      <c r="Y27" s="167">
        <f t="shared" si="228"/>
        <v>0</v>
      </c>
      <c r="Z27" s="167">
        <f t="shared" si="229"/>
        <v>0</v>
      </c>
      <c r="AA27" s="167">
        <f t="shared" si="230"/>
        <v>0</v>
      </c>
      <c r="AB27" s="170">
        <f t="shared" si="231"/>
        <v>0</v>
      </c>
      <c r="AC27" s="167">
        <f t="shared" si="232"/>
        <v>0</v>
      </c>
      <c r="AD27" s="171">
        <f t="shared" si="233"/>
        <v>0</v>
      </c>
      <c r="AE27" s="169">
        <f t="shared" si="234"/>
        <v>0</v>
      </c>
      <c r="AF27" s="167">
        <f t="shared" si="235"/>
        <v>0</v>
      </c>
      <c r="AG27" s="167">
        <f t="shared" si="114"/>
        <v>0</v>
      </c>
      <c r="AH27" s="167">
        <f t="shared" si="236"/>
        <v>0</v>
      </c>
      <c r="AI27" s="167">
        <f t="shared" si="116"/>
        <v>0</v>
      </c>
      <c r="AJ27" s="167">
        <f t="shared" si="237"/>
        <v>0</v>
      </c>
      <c r="AK27" s="167">
        <f t="shared" si="118"/>
        <v>0</v>
      </c>
      <c r="AL27" s="167">
        <f t="shared" si="238"/>
        <v>0</v>
      </c>
      <c r="AM27" s="167">
        <f t="shared" si="120"/>
        <v>0</v>
      </c>
      <c r="AN27" s="167">
        <f t="shared" si="239"/>
        <v>0</v>
      </c>
      <c r="AO27" s="170">
        <f t="shared" si="122"/>
        <v>0</v>
      </c>
      <c r="AP27" s="167">
        <f t="shared" si="123"/>
        <v>0</v>
      </c>
      <c r="AQ27" s="171">
        <f t="shared" si="124"/>
        <v>0</v>
      </c>
      <c r="AR27" s="169">
        <f t="shared" si="234"/>
        <v>0</v>
      </c>
      <c r="AS27" s="167">
        <f t="shared" si="240"/>
        <v>0</v>
      </c>
      <c r="AT27" s="167">
        <f t="shared" si="127"/>
        <v>0</v>
      </c>
      <c r="AU27" s="167">
        <f t="shared" si="241"/>
        <v>0</v>
      </c>
      <c r="AV27" s="167">
        <f t="shared" si="129"/>
        <v>0</v>
      </c>
      <c r="AW27" s="167">
        <f t="shared" si="242"/>
        <v>0</v>
      </c>
      <c r="AX27" s="167">
        <f t="shared" si="131"/>
        <v>0</v>
      </c>
      <c r="AY27" s="167">
        <f t="shared" si="243"/>
        <v>0</v>
      </c>
      <c r="AZ27" s="167">
        <f t="shared" si="133"/>
        <v>0</v>
      </c>
      <c r="BA27" s="167">
        <f t="shared" si="244"/>
        <v>0</v>
      </c>
      <c r="BB27" s="170">
        <f t="shared" si="135"/>
        <v>0</v>
      </c>
      <c r="BC27" s="167">
        <f t="shared" si="136"/>
        <v>0</v>
      </c>
      <c r="BD27" s="171">
        <f t="shared" si="137"/>
        <v>0</v>
      </c>
      <c r="BE27" s="169">
        <f t="shared" si="234"/>
        <v>0</v>
      </c>
      <c r="BF27" s="167">
        <f t="shared" si="245"/>
        <v>0</v>
      </c>
      <c r="BG27" s="167">
        <f t="shared" si="140"/>
        <v>0</v>
      </c>
      <c r="BH27" s="167">
        <f t="shared" si="246"/>
        <v>0</v>
      </c>
      <c r="BI27" s="167">
        <f t="shared" si="142"/>
        <v>0</v>
      </c>
      <c r="BJ27" s="167">
        <f t="shared" si="247"/>
        <v>0</v>
      </c>
      <c r="BK27" s="167">
        <f t="shared" si="144"/>
        <v>0</v>
      </c>
      <c r="BL27" s="167">
        <f t="shared" si="248"/>
        <v>0</v>
      </c>
      <c r="BM27" s="167">
        <f t="shared" si="146"/>
        <v>0</v>
      </c>
      <c r="BN27" s="167">
        <f t="shared" si="249"/>
        <v>0</v>
      </c>
      <c r="BO27" s="170">
        <f t="shared" si="148"/>
        <v>0</v>
      </c>
      <c r="BP27" s="167">
        <f t="shared" si="149"/>
        <v>0</v>
      </c>
      <c r="BQ27" s="171">
        <f t="shared" si="150"/>
        <v>0</v>
      </c>
      <c r="BR27" s="169">
        <f t="shared" si="234"/>
        <v>0</v>
      </c>
      <c r="BS27" s="167">
        <f t="shared" si="250"/>
        <v>0</v>
      </c>
      <c r="BT27" s="167">
        <f t="shared" si="153"/>
        <v>0</v>
      </c>
      <c r="BU27" s="167">
        <f t="shared" si="251"/>
        <v>0</v>
      </c>
      <c r="BV27" s="167">
        <f t="shared" si="155"/>
        <v>0</v>
      </c>
      <c r="BW27" s="167">
        <f t="shared" si="252"/>
        <v>0</v>
      </c>
      <c r="BX27" s="167">
        <f t="shared" si="157"/>
        <v>0</v>
      </c>
      <c r="BY27" s="167">
        <f t="shared" si="253"/>
        <v>0</v>
      </c>
      <c r="BZ27" s="167">
        <f t="shared" si="159"/>
        <v>0</v>
      </c>
      <c r="CA27" s="167">
        <f t="shared" si="254"/>
        <v>0</v>
      </c>
      <c r="CB27" s="170">
        <f t="shared" si="161"/>
        <v>0</v>
      </c>
      <c r="CC27" s="167">
        <f t="shared" si="162"/>
        <v>0</v>
      </c>
      <c r="CD27" s="171">
        <f t="shared" si="163"/>
        <v>0</v>
      </c>
      <c r="CE27" s="169">
        <f t="shared" si="234"/>
        <v>0</v>
      </c>
      <c r="CF27" s="167">
        <f t="shared" si="255"/>
        <v>0</v>
      </c>
      <c r="CG27" s="167">
        <f t="shared" si="166"/>
        <v>0</v>
      </c>
      <c r="CH27" s="167">
        <f t="shared" si="256"/>
        <v>0</v>
      </c>
      <c r="CI27" s="167">
        <f t="shared" si="168"/>
        <v>0</v>
      </c>
      <c r="CJ27" s="167">
        <f t="shared" si="257"/>
        <v>0</v>
      </c>
      <c r="CK27" s="167">
        <f t="shared" si="170"/>
        <v>0</v>
      </c>
      <c r="CL27" s="167">
        <f t="shared" si="258"/>
        <v>0</v>
      </c>
      <c r="CM27" s="167">
        <f t="shared" si="172"/>
        <v>0</v>
      </c>
      <c r="CN27" s="167">
        <f t="shared" si="259"/>
        <v>0</v>
      </c>
      <c r="CO27" s="170">
        <f t="shared" si="174"/>
        <v>0</v>
      </c>
      <c r="CP27" s="167">
        <f t="shared" si="175"/>
        <v>0</v>
      </c>
      <c r="CQ27" s="171">
        <f t="shared" si="176"/>
        <v>0</v>
      </c>
      <c r="CR27" s="169">
        <f t="shared" si="260"/>
        <v>0</v>
      </c>
      <c r="CS27" s="167">
        <f t="shared" si="261"/>
        <v>0</v>
      </c>
      <c r="CT27" s="167">
        <f t="shared" si="179"/>
        <v>0</v>
      </c>
      <c r="CU27" s="167">
        <f t="shared" si="262"/>
        <v>0</v>
      </c>
      <c r="CV27" s="167">
        <f t="shared" si="181"/>
        <v>0</v>
      </c>
      <c r="CW27" s="167">
        <f t="shared" si="263"/>
        <v>0</v>
      </c>
      <c r="CX27" s="167">
        <f t="shared" si="183"/>
        <v>0</v>
      </c>
      <c r="CY27" s="167">
        <f t="shared" si="264"/>
        <v>0</v>
      </c>
      <c r="CZ27" s="167">
        <f t="shared" si="185"/>
        <v>0</v>
      </c>
      <c r="DA27" s="167">
        <f t="shared" si="265"/>
        <v>0</v>
      </c>
      <c r="DB27" s="170">
        <f t="shared" si="187"/>
        <v>0</v>
      </c>
      <c r="DC27" s="167">
        <f t="shared" si="188"/>
        <v>0</v>
      </c>
      <c r="DD27" s="171">
        <f t="shared" si="189"/>
        <v>0</v>
      </c>
      <c r="DE27" s="169">
        <f t="shared" si="260"/>
        <v>0</v>
      </c>
      <c r="DF27" s="167">
        <f t="shared" si="266"/>
        <v>0</v>
      </c>
      <c r="DG27" s="167">
        <f t="shared" si="192"/>
        <v>0</v>
      </c>
      <c r="DH27" s="167">
        <f t="shared" si="267"/>
        <v>0</v>
      </c>
      <c r="DI27" s="167">
        <f t="shared" si="194"/>
        <v>0</v>
      </c>
      <c r="DJ27" s="167">
        <f t="shared" si="268"/>
        <v>0</v>
      </c>
      <c r="DK27" s="167">
        <f t="shared" si="196"/>
        <v>0</v>
      </c>
      <c r="DL27" s="167">
        <f t="shared" si="269"/>
        <v>0</v>
      </c>
      <c r="DM27" s="167">
        <f t="shared" si="198"/>
        <v>0</v>
      </c>
      <c r="DN27" s="167">
        <f t="shared" si="270"/>
        <v>0</v>
      </c>
      <c r="DO27" s="170">
        <f t="shared" si="200"/>
        <v>0</v>
      </c>
      <c r="DP27" s="167">
        <f t="shared" si="201"/>
        <v>0</v>
      </c>
      <c r="DQ27" s="171">
        <f t="shared" si="202"/>
        <v>0</v>
      </c>
      <c r="DR27" s="169">
        <f t="shared" si="260"/>
        <v>0</v>
      </c>
      <c r="DS27" s="167">
        <f t="shared" si="271"/>
        <v>0</v>
      </c>
      <c r="DT27" s="167">
        <f t="shared" si="205"/>
        <v>0</v>
      </c>
      <c r="DU27" s="167">
        <f t="shared" si="272"/>
        <v>0</v>
      </c>
      <c r="DV27" s="167">
        <f t="shared" si="207"/>
        <v>0</v>
      </c>
      <c r="DW27" s="167">
        <f t="shared" si="273"/>
        <v>0</v>
      </c>
      <c r="DX27" s="167">
        <f t="shared" si="209"/>
        <v>0</v>
      </c>
      <c r="DY27" s="167">
        <f t="shared" si="274"/>
        <v>0</v>
      </c>
      <c r="DZ27" s="167">
        <f t="shared" si="211"/>
        <v>0</v>
      </c>
      <c r="EA27" s="167">
        <f t="shared" si="275"/>
        <v>0</v>
      </c>
      <c r="EB27" s="170">
        <f t="shared" si="213"/>
        <v>0</v>
      </c>
      <c r="EC27" s="167">
        <f t="shared" si="214"/>
        <v>0</v>
      </c>
      <c r="ED27" s="171">
        <f t="shared" si="215"/>
        <v>0</v>
      </c>
    </row>
    <row r="28" spans="1:134" x14ac:dyDescent="0.3">
      <c r="A28" s="196"/>
      <c r="B28" s="186"/>
      <c r="C28" s="186"/>
      <c r="D28" s="188"/>
      <c r="E28" s="189"/>
      <c r="F28" s="190"/>
      <c r="G28" s="191"/>
      <c r="H28" s="192"/>
      <c r="I28" s="193"/>
      <c r="J28" s="194"/>
      <c r="K28" s="165">
        <f t="shared" si="216"/>
        <v>0</v>
      </c>
      <c r="L28" s="166">
        <f t="shared" si="217"/>
        <v>0</v>
      </c>
      <c r="M28" s="167">
        <f t="shared" si="218"/>
        <v>0</v>
      </c>
      <c r="N28" s="167"/>
      <c r="O28" s="167">
        <f t="shared" si="219"/>
        <v>0</v>
      </c>
      <c r="P28" s="168"/>
      <c r="Q28" s="167">
        <f t="shared" si="220"/>
        <v>0</v>
      </c>
      <c r="R28" s="169">
        <f t="shared" si="221"/>
        <v>0</v>
      </c>
      <c r="S28" s="167">
        <f t="shared" si="222"/>
        <v>0</v>
      </c>
      <c r="T28" s="167">
        <f t="shared" si="223"/>
        <v>0</v>
      </c>
      <c r="U28" s="167">
        <f t="shared" si="224"/>
        <v>0</v>
      </c>
      <c r="V28" s="167">
        <f t="shared" si="225"/>
        <v>0</v>
      </c>
      <c r="W28" s="167">
        <f t="shared" si="226"/>
        <v>0</v>
      </c>
      <c r="X28" s="167">
        <f t="shared" si="227"/>
        <v>0</v>
      </c>
      <c r="Y28" s="167">
        <f t="shared" si="228"/>
        <v>0</v>
      </c>
      <c r="Z28" s="167">
        <f t="shared" si="229"/>
        <v>0</v>
      </c>
      <c r="AA28" s="167">
        <f t="shared" si="230"/>
        <v>0</v>
      </c>
      <c r="AB28" s="170">
        <f t="shared" si="231"/>
        <v>0</v>
      </c>
      <c r="AC28" s="167">
        <f t="shared" si="232"/>
        <v>0</v>
      </c>
      <c r="AD28" s="171">
        <f t="shared" si="233"/>
        <v>0</v>
      </c>
      <c r="AE28" s="169">
        <f t="shared" si="234"/>
        <v>0</v>
      </c>
      <c r="AF28" s="167">
        <f t="shared" si="235"/>
        <v>0</v>
      </c>
      <c r="AG28" s="167">
        <f t="shared" si="114"/>
        <v>0</v>
      </c>
      <c r="AH28" s="167">
        <f t="shared" si="236"/>
        <v>0</v>
      </c>
      <c r="AI28" s="167">
        <f t="shared" si="116"/>
        <v>0</v>
      </c>
      <c r="AJ28" s="167">
        <f t="shared" si="237"/>
        <v>0</v>
      </c>
      <c r="AK28" s="167">
        <f t="shared" si="118"/>
        <v>0</v>
      </c>
      <c r="AL28" s="167">
        <f t="shared" si="238"/>
        <v>0</v>
      </c>
      <c r="AM28" s="167">
        <f t="shared" si="120"/>
        <v>0</v>
      </c>
      <c r="AN28" s="167">
        <f t="shared" si="239"/>
        <v>0</v>
      </c>
      <c r="AO28" s="170">
        <f t="shared" si="122"/>
        <v>0</v>
      </c>
      <c r="AP28" s="167">
        <f t="shared" si="123"/>
        <v>0</v>
      </c>
      <c r="AQ28" s="171">
        <f t="shared" si="124"/>
        <v>0</v>
      </c>
      <c r="AR28" s="169">
        <f t="shared" si="234"/>
        <v>0</v>
      </c>
      <c r="AS28" s="167">
        <f t="shared" si="240"/>
        <v>0</v>
      </c>
      <c r="AT28" s="167">
        <f t="shared" si="127"/>
        <v>0</v>
      </c>
      <c r="AU28" s="167">
        <f t="shared" si="241"/>
        <v>0</v>
      </c>
      <c r="AV28" s="167">
        <f t="shared" si="129"/>
        <v>0</v>
      </c>
      <c r="AW28" s="167">
        <f t="shared" si="242"/>
        <v>0</v>
      </c>
      <c r="AX28" s="167">
        <f t="shared" si="131"/>
        <v>0</v>
      </c>
      <c r="AY28" s="167">
        <f t="shared" si="243"/>
        <v>0</v>
      </c>
      <c r="AZ28" s="167">
        <f t="shared" si="133"/>
        <v>0</v>
      </c>
      <c r="BA28" s="167">
        <f t="shared" si="244"/>
        <v>0</v>
      </c>
      <c r="BB28" s="170">
        <f t="shared" si="135"/>
        <v>0</v>
      </c>
      <c r="BC28" s="167">
        <f t="shared" si="136"/>
        <v>0</v>
      </c>
      <c r="BD28" s="171">
        <f t="shared" si="137"/>
        <v>0</v>
      </c>
      <c r="BE28" s="169">
        <f t="shared" si="234"/>
        <v>0</v>
      </c>
      <c r="BF28" s="167">
        <f t="shared" si="245"/>
        <v>0</v>
      </c>
      <c r="BG28" s="167">
        <f t="shared" si="140"/>
        <v>0</v>
      </c>
      <c r="BH28" s="167">
        <f t="shared" si="246"/>
        <v>0</v>
      </c>
      <c r="BI28" s="167">
        <f t="shared" si="142"/>
        <v>0</v>
      </c>
      <c r="BJ28" s="167">
        <f t="shared" si="247"/>
        <v>0</v>
      </c>
      <c r="BK28" s="167">
        <f t="shared" si="144"/>
        <v>0</v>
      </c>
      <c r="BL28" s="167">
        <f t="shared" si="248"/>
        <v>0</v>
      </c>
      <c r="BM28" s="167">
        <f t="shared" si="146"/>
        <v>0</v>
      </c>
      <c r="BN28" s="167">
        <f t="shared" si="249"/>
        <v>0</v>
      </c>
      <c r="BO28" s="170">
        <f t="shared" si="148"/>
        <v>0</v>
      </c>
      <c r="BP28" s="167">
        <f t="shared" si="149"/>
        <v>0</v>
      </c>
      <c r="BQ28" s="171">
        <f t="shared" si="150"/>
        <v>0</v>
      </c>
      <c r="BR28" s="169">
        <f t="shared" si="234"/>
        <v>0</v>
      </c>
      <c r="BS28" s="167">
        <f t="shared" si="250"/>
        <v>0</v>
      </c>
      <c r="BT28" s="167">
        <f t="shared" si="153"/>
        <v>0</v>
      </c>
      <c r="BU28" s="167">
        <f t="shared" si="251"/>
        <v>0</v>
      </c>
      <c r="BV28" s="167">
        <f t="shared" si="155"/>
        <v>0</v>
      </c>
      <c r="BW28" s="167">
        <f t="shared" si="252"/>
        <v>0</v>
      </c>
      <c r="BX28" s="167">
        <f t="shared" si="157"/>
        <v>0</v>
      </c>
      <c r="BY28" s="167">
        <f t="shared" si="253"/>
        <v>0</v>
      </c>
      <c r="BZ28" s="167">
        <f t="shared" si="159"/>
        <v>0</v>
      </c>
      <c r="CA28" s="167">
        <f t="shared" si="254"/>
        <v>0</v>
      </c>
      <c r="CB28" s="170">
        <f t="shared" si="161"/>
        <v>0</v>
      </c>
      <c r="CC28" s="167">
        <f t="shared" si="162"/>
        <v>0</v>
      </c>
      <c r="CD28" s="171">
        <f t="shared" si="163"/>
        <v>0</v>
      </c>
      <c r="CE28" s="169">
        <f t="shared" si="234"/>
        <v>0</v>
      </c>
      <c r="CF28" s="167">
        <f t="shared" si="255"/>
        <v>0</v>
      </c>
      <c r="CG28" s="167">
        <f t="shared" si="166"/>
        <v>0</v>
      </c>
      <c r="CH28" s="167">
        <f t="shared" si="256"/>
        <v>0</v>
      </c>
      <c r="CI28" s="167">
        <f t="shared" si="168"/>
        <v>0</v>
      </c>
      <c r="CJ28" s="167">
        <f t="shared" si="257"/>
        <v>0</v>
      </c>
      <c r="CK28" s="167">
        <f t="shared" si="170"/>
        <v>0</v>
      </c>
      <c r="CL28" s="167">
        <f t="shared" si="258"/>
        <v>0</v>
      </c>
      <c r="CM28" s="167">
        <f t="shared" si="172"/>
        <v>0</v>
      </c>
      <c r="CN28" s="167">
        <f t="shared" si="259"/>
        <v>0</v>
      </c>
      <c r="CO28" s="170">
        <f t="shared" si="174"/>
        <v>0</v>
      </c>
      <c r="CP28" s="167">
        <f t="shared" si="175"/>
        <v>0</v>
      </c>
      <c r="CQ28" s="171">
        <f t="shared" si="176"/>
        <v>0</v>
      </c>
      <c r="CR28" s="169">
        <f t="shared" si="260"/>
        <v>0</v>
      </c>
      <c r="CS28" s="167">
        <f t="shared" si="261"/>
        <v>0</v>
      </c>
      <c r="CT28" s="167">
        <f t="shared" si="179"/>
        <v>0</v>
      </c>
      <c r="CU28" s="167">
        <f t="shared" si="262"/>
        <v>0</v>
      </c>
      <c r="CV28" s="167">
        <f t="shared" si="181"/>
        <v>0</v>
      </c>
      <c r="CW28" s="167">
        <f t="shared" si="263"/>
        <v>0</v>
      </c>
      <c r="CX28" s="167">
        <f t="shared" si="183"/>
        <v>0</v>
      </c>
      <c r="CY28" s="167">
        <f t="shared" si="264"/>
        <v>0</v>
      </c>
      <c r="CZ28" s="167">
        <f t="shared" si="185"/>
        <v>0</v>
      </c>
      <c r="DA28" s="167">
        <f t="shared" si="265"/>
        <v>0</v>
      </c>
      <c r="DB28" s="170">
        <f t="shared" si="187"/>
        <v>0</v>
      </c>
      <c r="DC28" s="167">
        <f t="shared" si="188"/>
        <v>0</v>
      </c>
      <c r="DD28" s="171">
        <f t="shared" si="189"/>
        <v>0</v>
      </c>
      <c r="DE28" s="169">
        <f t="shared" si="260"/>
        <v>0</v>
      </c>
      <c r="DF28" s="167">
        <f t="shared" si="266"/>
        <v>0</v>
      </c>
      <c r="DG28" s="167">
        <f t="shared" si="192"/>
        <v>0</v>
      </c>
      <c r="DH28" s="167">
        <f t="shared" si="267"/>
        <v>0</v>
      </c>
      <c r="DI28" s="167">
        <f t="shared" si="194"/>
        <v>0</v>
      </c>
      <c r="DJ28" s="167">
        <f t="shared" si="268"/>
        <v>0</v>
      </c>
      <c r="DK28" s="167">
        <f t="shared" si="196"/>
        <v>0</v>
      </c>
      <c r="DL28" s="167">
        <f t="shared" si="269"/>
        <v>0</v>
      </c>
      <c r="DM28" s="167">
        <f t="shared" si="198"/>
        <v>0</v>
      </c>
      <c r="DN28" s="167">
        <f t="shared" si="270"/>
        <v>0</v>
      </c>
      <c r="DO28" s="170">
        <f t="shared" si="200"/>
        <v>0</v>
      </c>
      <c r="DP28" s="167">
        <f t="shared" si="201"/>
        <v>0</v>
      </c>
      <c r="DQ28" s="171">
        <f t="shared" si="202"/>
        <v>0</v>
      </c>
      <c r="DR28" s="169">
        <f t="shared" si="260"/>
        <v>0</v>
      </c>
      <c r="DS28" s="167">
        <f t="shared" si="271"/>
        <v>0</v>
      </c>
      <c r="DT28" s="167">
        <f t="shared" si="205"/>
        <v>0</v>
      </c>
      <c r="DU28" s="167">
        <f t="shared" si="272"/>
        <v>0</v>
      </c>
      <c r="DV28" s="167">
        <f t="shared" si="207"/>
        <v>0</v>
      </c>
      <c r="DW28" s="167">
        <f t="shared" si="273"/>
        <v>0</v>
      </c>
      <c r="DX28" s="167">
        <f t="shared" si="209"/>
        <v>0</v>
      </c>
      <c r="DY28" s="167">
        <f t="shared" si="274"/>
        <v>0</v>
      </c>
      <c r="DZ28" s="167">
        <f t="shared" si="211"/>
        <v>0</v>
      </c>
      <c r="EA28" s="167">
        <f t="shared" si="275"/>
        <v>0</v>
      </c>
      <c r="EB28" s="170">
        <f t="shared" si="213"/>
        <v>0</v>
      </c>
      <c r="EC28" s="167">
        <f t="shared" si="214"/>
        <v>0</v>
      </c>
      <c r="ED28" s="171">
        <f t="shared" si="215"/>
        <v>0</v>
      </c>
    </row>
    <row r="29" spans="1:134" x14ac:dyDescent="0.3">
      <c r="A29" s="196"/>
      <c r="B29" s="186"/>
      <c r="C29" s="186"/>
      <c r="D29" s="188"/>
      <c r="E29" s="189"/>
      <c r="F29" s="190"/>
      <c r="G29" s="191"/>
      <c r="H29" s="192"/>
      <c r="I29" s="193"/>
      <c r="J29" s="194"/>
      <c r="K29" s="165">
        <f t="shared" si="216"/>
        <v>0</v>
      </c>
      <c r="L29" s="166">
        <f t="shared" si="217"/>
        <v>0</v>
      </c>
      <c r="M29" s="167">
        <f t="shared" si="218"/>
        <v>0</v>
      </c>
      <c r="N29" s="167"/>
      <c r="O29" s="167">
        <f t="shared" si="219"/>
        <v>0</v>
      </c>
      <c r="P29" s="168"/>
      <c r="Q29" s="167">
        <f t="shared" si="220"/>
        <v>0</v>
      </c>
      <c r="R29" s="169">
        <f t="shared" si="221"/>
        <v>0</v>
      </c>
      <c r="S29" s="167">
        <f t="shared" si="222"/>
        <v>0</v>
      </c>
      <c r="T29" s="167">
        <f t="shared" si="223"/>
        <v>0</v>
      </c>
      <c r="U29" s="167">
        <f t="shared" si="224"/>
        <v>0</v>
      </c>
      <c r="V29" s="167">
        <f t="shared" si="225"/>
        <v>0</v>
      </c>
      <c r="W29" s="167">
        <f t="shared" si="226"/>
        <v>0</v>
      </c>
      <c r="X29" s="167">
        <f t="shared" si="227"/>
        <v>0</v>
      </c>
      <c r="Y29" s="167">
        <f t="shared" si="228"/>
        <v>0</v>
      </c>
      <c r="Z29" s="167">
        <f t="shared" si="229"/>
        <v>0</v>
      </c>
      <c r="AA29" s="167">
        <f t="shared" si="230"/>
        <v>0</v>
      </c>
      <c r="AB29" s="170">
        <f t="shared" si="231"/>
        <v>0</v>
      </c>
      <c r="AC29" s="167">
        <f t="shared" si="232"/>
        <v>0</v>
      </c>
      <c r="AD29" s="171">
        <f t="shared" si="233"/>
        <v>0</v>
      </c>
      <c r="AE29" s="169">
        <f t="shared" si="234"/>
        <v>0</v>
      </c>
      <c r="AF29" s="167">
        <f t="shared" si="235"/>
        <v>0</v>
      </c>
      <c r="AG29" s="167">
        <f t="shared" si="114"/>
        <v>0</v>
      </c>
      <c r="AH29" s="167">
        <f t="shared" si="236"/>
        <v>0</v>
      </c>
      <c r="AI29" s="167">
        <f t="shared" si="116"/>
        <v>0</v>
      </c>
      <c r="AJ29" s="167">
        <f t="shared" si="237"/>
        <v>0</v>
      </c>
      <c r="AK29" s="167">
        <f t="shared" si="118"/>
        <v>0</v>
      </c>
      <c r="AL29" s="167">
        <f t="shared" si="238"/>
        <v>0</v>
      </c>
      <c r="AM29" s="167">
        <f t="shared" si="120"/>
        <v>0</v>
      </c>
      <c r="AN29" s="167">
        <f t="shared" si="239"/>
        <v>0</v>
      </c>
      <c r="AO29" s="170">
        <f t="shared" si="122"/>
        <v>0</v>
      </c>
      <c r="AP29" s="167">
        <f t="shared" si="123"/>
        <v>0</v>
      </c>
      <c r="AQ29" s="171">
        <f t="shared" si="124"/>
        <v>0</v>
      </c>
      <c r="AR29" s="169">
        <f t="shared" si="234"/>
        <v>0</v>
      </c>
      <c r="AS29" s="167">
        <f t="shared" si="240"/>
        <v>0</v>
      </c>
      <c r="AT29" s="167">
        <f t="shared" si="127"/>
        <v>0</v>
      </c>
      <c r="AU29" s="167">
        <f t="shared" si="241"/>
        <v>0</v>
      </c>
      <c r="AV29" s="167">
        <f t="shared" si="129"/>
        <v>0</v>
      </c>
      <c r="AW29" s="167">
        <f t="shared" si="242"/>
        <v>0</v>
      </c>
      <c r="AX29" s="167">
        <f t="shared" si="131"/>
        <v>0</v>
      </c>
      <c r="AY29" s="167">
        <f t="shared" si="243"/>
        <v>0</v>
      </c>
      <c r="AZ29" s="167">
        <f t="shared" si="133"/>
        <v>0</v>
      </c>
      <c r="BA29" s="167">
        <f t="shared" si="244"/>
        <v>0</v>
      </c>
      <c r="BB29" s="170">
        <f t="shared" si="135"/>
        <v>0</v>
      </c>
      <c r="BC29" s="167">
        <f t="shared" si="136"/>
        <v>0</v>
      </c>
      <c r="BD29" s="171">
        <f t="shared" si="137"/>
        <v>0</v>
      </c>
      <c r="BE29" s="169">
        <f t="shared" si="234"/>
        <v>0</v>
      </c>
      <c r="BF29" s="167">
        <f t="shared" si="245"/>
        <v>0</v>
      </c>
      <c r="BG29" s="167">
        <f t="shared" si="140"/>
        <v>0</v>
      </c>
      <c r="BH29" s="167">
        <f t="shared" si="246"/>
        <v>0</v>
      </c>
      <c r="BI29" s="167">
        <f t="shared" si="142"/>
        <v>0</v>
      </c>
      <c r="BJ29" s="167">
        <f t="shared" si="247"/>
        <v>0</v>
      </c>
      <c r="BK29" s="167">
        <f t="shared" si="144"/>
        <v>0</v>
      </c>
      <c r="BL29" s="167">
        <f t="shared" si="248"/>
        <v>0</v>
      </c>
      <c r="BM29" s="167">
        <f t="shared" si="146"/>
        <v>0</v>
      </c>
      <c r="BN29" s="167">
        <f t="shared" si="249"/>
        <v>0</v>
      </c>
      <c r="BO29" s="170">
        <f t="shared" si="148"/>
        <v>0</v>
      </c>
      <c r="BP29" s="167">
        <f t="shared" si="149"/>
        <v>0</v>
      </c>
      <c r="BQ29" s="171">
        <f t="shared" si="150"/>
        <v>0</v>
      </c>
      <c r="BR29" s="169">
        <f t="shared" si="234"/>
        <v>0</v>
      </c>
      <c r="BS29" s="167">
        <f t="shared" si="250"/>
        <v>0</v>
      </c>
      <c r="BT29" s="167">
        <f t="shared" si="153"/>
        <v>0</v>
      </c>
      <c r="BU29" s="167">
        <f t="shared" si="251"/>
        <v>0</v>
      </c>
      <c r="BV29" s="167">
        <f t="shared" si="155"/>
        <v>0</v>
      </c>
      <c r="BW29" s="167">
        <f t="shared" si="252"/>
        <v>0</v>
      </c>
      <c r="BX29" s="167">
        <f t="shared" si="157"/>
        <v>0</v>
      </c>
      <c r="BY29" s="167">
        <f t="shared" si="253"/>
        <v>0</v>
      </c>
      <c r="BZ29" s="167">
        <f t="shared" si="159"/>
        <v>0</v>
      </c>
      <c r="CA29" s="167">
        <f t="shared" si="254"/>
        <v>0</v>
      </c>
      <c r="CB29" s="170">
        <f t="shared" si="161"/>
        <v>0</v>
      </c>
      <c r="CC29" s="167">
        <f t="shared" si="162"/>
        <v>0</v>
      </c>
      <c r="CD29" s="171">
        <f t="shared" si="163"/>
        <v>0</v>
      </c>
      <c r="CE29" s="169">
        <f t="shared" si="234"/>
        <v>0</v>
      </c>
      <c r="CF29" s="167">
        <f t="shared" si="255"/>
        <v>0</v>
      </c>
      <c r="CG29" s="167">
        <f t="shared" si="166"/>
        <v>0</v>
      </c>
      <c r="CH29" s="167">
        <f t="shared" si="256"/>
        <v>0</v>
      </c>
      <c r="CI29" s="167">
        <f t="shared" si="168"/>
        <v>0</v>
      </c>
      <c r="CJ29" s="167">
        <f t="shared" si="257"/>
        <v>0</v>
      </c>
      <c r="CK29" s="167">
        <f t="shared" si="170"/>
        <v>0</v>
      </c>
      <c r="CL29" s="167">
        <f t="shared" si="258"/>
        <v>0</v>
      </c>
      <c r="CM29" s="167">
        <f t="shared" si="172"/>
        <v>0</v>
      </c>
      <c r="CN29" s="167">
        <f t="shared" si="259"/>
        <v>0</v>
      </c>
      <c r="CO29" s="170">
        <f t="shared" si="174"/>
        <v>0</v>
      </c>
      <c r="CP29" s="167">
        <f t="shared" si="175"/>
        <v>0</v>
      </c>
      <c r="CQ29" s="171">
        <f t="shared" si="176"/>
        <v>0</v>
      </c>
      <c r="CR29" s="169">
        <f t="shared" si="260"/>
        <v>0</v>
      </c>
      <c r="CS29" s="167">
        <f t="shared" si="261"/>
        <v>0</v>
      </c>
      <c r="CT29" s="167">
        <f t="shared" si="179"/>
        <v>0</v>
      </c>
      <c r="CU29" s="167">
        <f t="shared" si="262"/>
        <v>0</v>
      </c>
      <c r="CV29" s="167">
        <f t="shared" si="181"/>
        <v>0</v>
      </c>
      <c r="CW29" s="167">
        <f t="shared" si="263"/>
        <v>0</v>
      </c>
      <c r="CX29" s="167">
        <f t="shared" si="183"/>
        <v>0</v>
      </c>
      <c r="CY29" s="167">
        <f t="shared" si="264"/>
        <v>0</v>
      </c>
      <c r="CZ29" s="167">
        <f t="shared" si="185"/>
        <v>0</v>
      </c>
      <c r="DA29" s="167">
        <f t="shared" si="265"/>
        <v>0</v>
      </c>
      <c r="DB29" s="170">
        <f t="shared" si="187"/>
        <v>0</v>
      </c>
      <c r="DC29" s="167">
        <f t="shared" si="188"/>
        <v>0</v>
      </c>
      <c r="DD29" s="171">
        <f t="shared" si="189"/>
        <v>0</v>
      </c>
      <c r="DE29" s="169">
        <f t="shared" si="260"/>
        <v>0</v>
      </c>
      <c r="DF29" s="167">
        <f t="shared" si="266"/>
        <v>0</v>
      </c>
      <c r="DG29" s="167">
        <f t="shared" si="192"/>
        <v>0</v>
      </c>
      <c r="DH29" s="167">
        <f t="shared" si="267"/>
        <v>0</v>
      </c>
      <c r="DI29" s="167">
        <f t="shared" si="194"/>
        <v>0</v>
      </c>
      <c r="DJ29" s="167">
        <f t="shared" si="268"/>
        <v>0</v>
      </c>
      <c r="DK29" s="167">
        <f t="shared" si="196"/>
        <v>0</v>
      </c>
      <c r="DL29" s="167">
        <f t="shared" si="269"/>
        <v>0</v>
      </c>
      <c r="DM29" s="167">
        <f t="shared" si="198"/>
        <v>0</v>
      </c>
      <c r="DN29" s="167">
        <f t="shared" si="270"/>
        <v>0</v>
      </c>
      <c r="DO29" s="170">
        <f t="shared" si="200"/>
        <v>0</v>
      </c>
      <c r="DP29" s="167">
        <f t="shared" si="201"/>
        <v>0</v>
      </c>
      <c r="DQ29" s="171">
        <f t="shared" si="202"/>
        <v>0</v>
      </c>
      <c r="DR29" s="169">
        <f t="shared" si="260"/>
        <v>0</v>
      </c>
      <c r="DS29" s="167">
        <f t="shared" si="271"/>
        <v>0</v>
      </c>
      <c r="DT29" s="167">
        <f t="shared" si="205"/>
        <v>0</v>
      </c>
      <c r="DU29" s="167">
        <f t="shared" si="272"/>
        <v>0</v>
      </c>
      <c r="DV29" s="167">
        <f t="shared" si="207"/>
        <v>0</v>
      </c>
      <c r="DW29" s="167">
        <f t="shared" si="273"/>
        <v>0</v>
      </c>
      <c r="DX29" s="167">
        <f t="shared" si="209"/>
        <v>0</v>
      </c>
      <c r="DY29" s="167">
        <f t="shared" si="274"/>
        <v>0</v>
      </c>
      <c r="DZ29" s="167">
        <f t="shared" si="211"/>
        <v>0</v>
      </c>
      <c r="EA29" s="167">
        <f t="shared" si="275"/>
        <v>0</v>
      </c>
      <c r="EB29" s="170">
        <f t="shared" si="213"/>
        <v>0</v>
      </c>
      <c r="EC29" s="167">
        <f t="shared" si="214"/>
        <v>0</v>
      </c>
      <c r="ED29" s="171">
        <f t="shared" si="215"/>
        <v>0</v>
      </c>
    </row>
    <row r="30" spans="1:134" x14ac:dyDescent="0.3">
      <c r="A30" s="196"/>
      <c r="B30" s="186"/>
      <c r="C30" s="186"/>
      <c r="D30" s="188"/>
      <c r="E30" s="189"/>
      <c r="F30" s="190"/>
      <c r="G30" s="191"/>
      <c r="H30" s="192"/>
      <c r="I30" s="193"/>
      <c r="J30" s="194"/>
      <c r="K30" s="165">
        <f t="shared" si="216"/>
        <v>0</v>
      </c>
      <c r="L30" s="166">
        <f t="shared" si="217"/>
        <v>0</v>
      </c>
      <c r="M30" s="167">
        <f t="shared" si="218"/>
        <v>0</v>
      </c>
      <c r="N30" s="167"/>
      <c r="O30" s="167">
        <f t="shared" si="219"/>
        <v>0</v>
      </c>
      <c r="P30" s="168"/>
      <c r="Q30" s="167">
        <f t="shared" si="220"/>
        <v>0</v>
      </c>
      <c r="R30" s="169">
        <f t="shared" si="221"/>
        <v>0</v>
      </c>
      <c r="S30" s="167">
        <f t="shared" si="222"/>
        <v>0</v>
      </c>
      <c r="T30" s="167">
        <f t="shared" si="223"/>
        <v>0</v>
      </c>
      <c r="U30" s="167">
        <f t="shared" si="224"/>
        <v>0</v>
      </c>
      <c r="V30" s="167">
        <f t="shared" si="225"/>
        <v>0</v>
      </c>
      <c r="W30" s="167">
        <f t="shared" si="226"/>
        <v>0</v>
      </c>
      <c r="X30" s="167">
        <f t="shared" si="227"/>
        <v>0</v>
      </c>
      <c r="Y30" s="167">
        <f t="shared" si="228"/>
        <v>0</v>
      </c>
      <c r="Z30" s="167">
        <f t="shared" si="229"/>
        <v>0</v>
      </c>
      <c r="AA30" s="167">
        <f t="shared" si="230"/>
        <v>0</v>
      </c>
      <c r="AB30" s="170">
        <f t="shared" si="231"/>
        <v>0</v>
      </c>
      <c r="AC30" s="167">
        <f t="shared" si="232"/>
        <v>0</v>
      </c>
      <c r="AD30" s="171">
        <f t="shared" si="233"/>
        <v>0</v>
      </c>
      <c r="AE30" s="169">
        <f t="shared" si="234"/>
        <v>0</v>
      </c>
      <c r="AF30" s="167">
        <f t="shared" si="235"/>
        <v>0</v>
      </c>
      <c r="AG30" s="167">
        <f t="shared" si="114"/>
        <v>0</v>
      </c>
      <c r="AH30" s="167">
        <f t="shared" si="236"/>
        <v>0</v>
      </c>
      <c r="AI30" s="167">
        <f t="shared" si="116"/>
        <v>0</v>
      </c>
      <c r="AJ30" s="167">
        <f t="shared" si="237"/>
        <v>0</v>
      </c>
      <c r="AK30" s="167">
        <f t="shared" si="118"/>
        <v>0</v>
      </c>
      <c r="AL30" s="167">
        <f t="shared" si="238"/>
        <v>0</v>
      </c>
      <c r="AM30" s="167">
        <f t="shared" si="120"/>
        <v>0</v>
      </c>
      <c r="AN30" s="167">
        <f t="shared" si="239"/>
        <v>0</v>
      </c>
      <c r="AO30" s="170">
        <f t="shared" si="122"/>
        <v>0</v>
      </c>
      <c r="AP30" s="167">
        <f t="shared" si="123"/>
        <v>0</v>
      </c>
      <c r="AQ30" s="171">
        <f t="shared" si="124"/>
        <v>0</v>
      </c>
      <c r="AR30" s="169">
        <f t="shared" si="234"/>
        <v>0</v>
      </c>
      <c r="AS30" s="167">
        <f t="shared" si="240"/>
        <v>0</v>
      </c>
      <c r="AT30" s="167">
        <f t="shared" si="127"/>
        <v>0</v>
      </c>
      <c r="AU30" s="167">
        <f t="shared" si="241"/>
        <v>0</v>
      </c>
      <c r="AV30" s="167">
        <f t="shared" si="129"/>
        <v>0</v>
      </c>
      <c r="AW30" s="167">
        <f t="shared" si="242"/>
        <v>0</v>
      </c>
      <c r="AX30" s="167">
        <f t="shared" si="131"/>
        <v>0</v>
      </c>
      <c r="AY30" s="167">
        <f t="shared" si="243"/>
        <v>0</v>
      </c>
      <c r="AZ30" s="167">
        <f t="shared" si="133"/>
        <v>0</v>
      </c>
      <c r="BA30" s="167">
        <f t="shared" si="244"/>
        <v>0</v>
      </c>
      <c r="BB30" s="170">
        <f t="shared" si="135"/>
        <v>0</v>
      </c>
      <c r="BC30" s="167">
        <f t="shared" si="136"/>
        <v>0</v>
      </c>
      <c r="BD30" s="171">
        <f t="shared" si="137"/>
        <v>0</v>
      </c>
      <c r="BE30" s="169">
        <f t="shared" si="234"/>
        <v>0</v>
      </c>
      <c r="BF30" s="167">
        <f t="shared" si="245"/>
        <v>0</v>
      </c>
      <c r="BG30" s="167">
        <f t="shared" si="140"/>
        <v>0</v>
      </c>
      <c r="BH30" s="167">
        <f t="shared" si="246"/>
        <v>0</v>
      </c>
      <c r="BI30" s="167">
        <f t="shared" si="142"/>
        <v>0</v>
      </c>
      <c r="BJ30" s="167">
        <f t="shared" si="247"/>
        <v>0</v>
      </c>
      <c r="BK30" s="167">
        <f t="shared" si="144"/>
        <v>0</v>
      </c>
      <c r="BL30" s="167">
        <f t="shared" si="248"/>
        <v>0</v>
      </c>
      <c r="BM30" s="167">
        <f t="shared" si="146"/>
        <v>0</v>
      </c>
      <c r="BN30" s="167">
        <f t="shared" si="249"/>
        <v>0</v>
      </c>
      <c r="BO30" s="170">
        <f t="shared" si="148"/>
        <v>0</v>
      </c>
      <c r="BP30" s="167">
        <f t="shared" si="149"/>
        <v>0</v>
      </c>
      <c r="BQ30" s="171">
        <f t="shared" si="150"/>
        <v>0</v>
      </c>
      <c r="BR30" s="169">
        <f t="shared" si="234"/>
        <v>0</v>
      </c>
      <c r="BS30" s="167">
        <f t="shared" si="250"/>
        <v>0</v>
      </c>
      <c r="BT30" s="167">
        <f t="shared" si="153"/>
        <v>0</v>
      </c>
      <c r="BU30" s="167">
        <f t="shared" si="251"/>
        <v>0</v>
      </c>
      <c r="BV30" s="167">
        <f t="shared" si="155"/>
        <v>0</v>
      </c>
      <c r="BW30" s="167">
        <f t="shared" si="252"/>
        <v>0</v>
      </c>
      <c r="BX30" s="167">
        <f t="shared" si="157"/>
        <v>0</v>
      </c>
      <c r="BY30" s="167">
        <f t="shared" si="253"/>
        <v>0</v>
      </c>
      <c r="BZ30" s="167">
        <f t="shared" si="159"/>
        <v>0</v>
      </c>
      <c r="CA30" s="167">
        <f t="shared" si="254"/>
        <v>0</v>
      </c>
      <c r="CB30" s="170">
        <f t="shared" si="161"/>
        <v>0</v>
      </c>
      <c r="CC30" s="167">
        <f t="shared" si="162"/>
        <v>0</v>
      </c>
      <c r="CD30" s="171">
        <f t="shared" si="163"/>
        <v>0</v>
      </c>
      <c r="CE30" s="169">
        <f t="shared" si="234"/>
        <v>0</v>
      </c>
      <c r="CF30" s="167">
        <f t="shared" si="255"/>
        <v>0</v>
      </c>
      <c r="CG30" s="167">
        <f t="shared" si="166"/>
        <v>0</v>
      </c>
      <c r="CH30" s="167">
        <f t="shared" si="256"/>
        <v>0</v>
      </c>
      <c r="CI30" s="167">
        <f t="shared" si="168"/>
        <v>0</v>
      </c>
      <c r="CJ30" s="167">
        <f t="shared" si="257"/>
        <v>0</v>
      </c>
      <c r="CK30" s="167">
        <f t="shared" si="170"/>
        <v>0</v>
      </c>
      <c r="CL30" s="167">
        <f t="shared" si="258"/>
        <v>0</v>
      </c>
      <c r="CM30" s="167">
        <f t="shared" si="172"/>
        <v>0</v>
      </c>
      <c r="CN30" s="167">
        <f t="shared" si="259"/>
        <v>0</v>
      </c>
      <c r="CO30" s="170">
        <f t="shared" si="174"/>
        <v>0</v>
      </c>
      <c r="CP30" s="167">
        <f t="shared" si="175"/>
        <v>0</v>
      </c>
      <c r="CQ30" s="171">
        <f t="shared" si="176"/>
        <v>0</v>
      </c>
      <c r="CR30" s="169">
        <f t="shared" si="260"/>
        <v>0</v>
      </c>
      <c r="CS30" s="167">
        <f t="shared" si="261"/>
        <v>0</v>
      </c>
      <c r="CT30" s="167">
        <f t="shared" si="179"/>
        <v>0</v>
      </c>
      <c r="CU30" s="167">
        <f t="shared" si="262"/>
        <v>0</v>
      </c>
      <c r="CV30" s="167">
        <f t="shared" si="181"/>
        <v>0</v>
      </c>
      <c r="CW30" s="167">
        <f t="shared" si="263"/>
        <v>0</v>
      </c>
      <c r="CX30" s="167">
        <f t="shared" si="183"/>
        <v>0</v>
      </c>
      <c r="CY30" s="167">
        <f t="shared" si="264"/>
        <v>0</v>
      </c>
      <c r="CZ30" s="167">
        <f t="shared" si="185"/>
        <v>0</v>
      </c>
      <c r="DA30" s="167">
        <f t="shared" si="265"/>
        <v>0</v>
      </c>
      <c r="DB30" s="170">
        <f t="shared" si="187"/>
        <v>0</v>
      </c>
      <c r="DC30" s="167">
        <f t="shared" si="188"/>
        <v>0</v>
      </c>
      <c r="DD30" s="171">
        <f t="shared" si="189"/>
        <v>0</v>
      </c>
      <c r="DE30" s="169">
        <f t="shared" si="260"/>
        <v>0</v>
      </c>
      <c r="DF30" s="167">
        <f t="shared" si="266"/>
        <v>0</v>
      </c>
      <c r="DG30" s="167">
        <f t="shared" si="192"/>
        <v>0</v>
      </c>
      <c r="DH30" s="167">
        <f t="shared" si="267"/>
        <v>0</v>
      </c>
      <c r="DI30" s="167">
        <f t="shared" si="194"/>
        <v>0</v>
      </c>
      <c r="DJ30" s="167">
        <f t="shared" si="268"/>
        <v>0</v>
      </c>
      <c r="DK30" s="167">
        <f t="shared" si="196"/>
        <v>0</v>
      </c>
      <c r="DL30" s="167">
        <f t="shared" si="269"/>
        <v>0</v>
      </c>
      <c r="DM30" s="167">
        <f t="shared" si="198"/>
        <v>0</v>
      </c>
      <c r="DN30" s="167">
        <f t="shared" si="270"/>
        <v>0</v>
      </c>
      <c r="DO30" s="170">
        <f t="shared" si="200"/>
        <v>0</v>
      </c>
      <c r="DP30" s="167">
        <f t="shared" si="201"/>
        <v>0</v>
      </c>
      <c r="DQ30" s="171">
        <f t="shared" si="202"/>
        <v>0</v>
      </c>
      <c r="DR30" s="169">
        <f t="shared" si="260"/>
        <v>0</v>
      </c>
      <c r="DS30" s="167">
        <f t="shared" si="271"/>
        <v>0</v>
      </c>
      <c r="DT30" s="167">
        <f t="shared" si="205"/>
        <v>0</v>
      </c>
      <c r="DU30" s="167">
        <f t="shared" si="272"/>
        <v>0</v>
      </c>
      <c r="DV30" s="167">
        <f t="shared" si="207"/>
        <v>0</v>
      </c>
      <c r="DW30" s="167">
        <f t="shared" si="273"/>
        <v>0</v>
      </c>
      <c r="DX30" s="167">
        <f t="shared" si="209"/>
        <v>0</v>
      </c>
      <c r="DY30" s="167">
        <f t="shared" si="274"/>
        <v>0</v>
      </c>
      <c r="DZ30" s="167">
        <f t="shared" si="211"/>
        <v>0</v>
      </c>
      <c r="EA30" s="167">
        <f t="shared" si="275"/>
        <v>0</v>
      </c>
      <c r="EB30" s="170">
        <f t="shared" si="213"/>
        <v>0</v>
      </c>
      <c r="EC30" s="167">
        <f t="shared" si="214"/>
        <v>0</v>
      </c>
      <c r="ED30" s="171">
        <f t="shared" si="215"/>
        <v>0</v>
      </c>
    </row>
    <row r="31" spans="1:134" x14ac:dyDescent="0.3">
      <c r="A31" s="196"/>
      <c r="B31" s="186"/>
      <c r="C31" s="186"/>
      <c r="D31" s="188"/>
      <c r="E31" s="189"/>
      <c r="F31" s="190"/>
      <c r="G31" s="191"/>
      <c r="H31" s="192"/>
      <c r="I31" s="193"/>
      <c r="J31" s="194"/>
      <c r="K31" s="165">
        <f t="shared" si="216"/>
        <v>0</v>
      </c>
      <c r="L31" s="166">
        <f t="shared" si="217"/>
        <v>0</v>
      </c>
      <c r="M31" s="167">
        <f t="shared" si="218"/>
        <v>0</v>
      </c>
      <c r="N31" s="167"/>
      <c r="O31" s="167">
        <f t="shared" si="219"/>
        <v>0</v>
      </c>
      <c r="P31" s="168"/>
      <c r="Q31" s="167">
        <f t="shared" si="220"/>
        <v>0</v>
      </c>
      <c r="R31" s="169">
        <f t="shared" si="221"/>
        <v>0</v>
      </c>
      <c r="S31" s="167">
        <f t="shared" si="222"/>
        <v>0</v>
      </c>
      <c r="T31" s="167">
        <f t="shared" si="223"/>
        <v>0</v>
      </c>
      <c r="U31" s="167">
        <f t="shared" si="224"/>
        <v>0</v>
      </c>
      <c r="V31" s="167">
        <f t="shared" si="225"/>
        <v>0</v>
      </c>
      <c r="W31" s="167">
        <f t="shared" si="226"/>
        <v>0</v>
      </c>
      <c r="X31" s="167">
        <f t="shared" si="227"/>
        <v>0</v>
      </c>
      <c r="Y31" s="167">
        <f t="shared" si="228"/>
        <v>0</v>
      </c>
      <c r="Z31" s="167">
        <f t="shared" si="229"/>
        <v>0</v>
      </c>
      <c r="AA31" s="167">
        <f t="shared" si="230"/>
        <v>0</v>
      </c>
      <c r="AB31" s="170">
        <f t="shared" si="231"/>
        <v>0</v>
      </c>
      <c r="AC31" s="167">
        <f t="shared" si="232"/>
        <v>0</v>
      </c>
      <c r="AD31" s="171">
        <f t="shared" si="233"/>
        <v>0</v>
      </c>
      <c r="AE31" s="169">
        <f t="shared" si="234"/>
        <v>0</v>
      </c>
      <c r="AF31" s="167">
        <f t="shared" si="235"/>
        <v>0</v>
      </c>
      <c r="AG31" s="167">
        <f t="shared" si="114"/>
        <v>0</v>
      </c>
      <c r="AH31" s="167">
        <f t="shared" si="236"/>
        <v>0</v>
      </c>
      <c r="AI31" s="167">
        <f t="shared" si="116"/>
        <v>0</v>
      </c>
      <c r="AJ31" s="167">
        <f t="shared" si="237"/>
        <v>0</v>
      </c>
      <c r="AK31" s="167">
        <f t="shared" si="118"/>
        <v>0</v>
      </c>
      <c r="AL31" s="167">
        <f t="shared" si="238"/>
        <v>0</v>
      </c>
      <c r="AM31" s="167">
        <f t="shared" si="120"/>
        <v>0</v>
      </c>
      <c r="AN31" s="167">
        <f t="shared" si="239"/>
        <v>0</v>
      </c>
      <c r="AO31" s="170">
        <f t="shared" si="122"/>
        <v>0</v>
      </c>
      <c r="AP31" s="167">
        <f t="shared" si="123"/>
        <v>0</v>
      </c>
      <c r="AQ31" s="171">
        <f t="shared" si="124"/>
        <v>0</v>
      </c>
      <c r="AR31" s="169">
        <f t="shared" si="234"/>
        <v>0</v>
      </c>
      <c r="AS31" s="167">
        <f t="shared" si="240"/>
        <v>0</v>
      </c>
      <c r="AT31" s="167">
        <f t="shared" si="127"/>
        <v>0</v>
      </c>
      <c r="AU31" s="167">
        <f t="shared" si="241"/>
        <v>0</v>
      </c>
      <c r="AV31" s="167">
        <f t="shared" si="129"/>
        <v>0</v>
      </c>
      <c r="AW31" s="167">
        <f t="shared" si="242"/>
        <v>0</v>
      </c>
      <c r="AX31" s="167">
        <f t="shared" si="131"/>
        <v>0</v>
      </c>
      <c r="AY31" s="167">
        <f t="shared" si="243"/>
        <v>0</v>
      </c>
      <c r="AZ31" s="167">
        <f t="shared" si="133"/>
        <v>0</v>
      </c>
      <c r="BA31" s="167">
        <f t="shared" si="244"/>
        <v>0</v>
      </c>
      <c r="BB31" s="170">
        <f t="shared" si="135"/>
        <v>0</v>
      </c>
      <c r="BC31" s="167">
        <f t="shared" si="136"/>
        <v>0</v>
      </c>
      <c r="BD31" s="171">
        <f t="shared" si="137"/>
        <v>0</v>
      </c>
      <c r="BE31" s="169">
        <f t="shared" si="234"/>
        <v>0</v>
      </c>
      <c r="BF31" s="167">
        <f t="shared" si="245"/>
        <v>0</v>
      </c>
      <c r="BG31" s="167">
        <f t="shared" si="140"/>
        <v>0</v>
      </c>
      <c r="BH31" s="167">
        <f t="shared" si="246"/>
        <v>0</v>
      </c>
      <c r="BI31" s="167">
        <f t="shared" si="142"/>
        <v>0</v>
      </c>
      <c r="BJ31" s="167">
        <f t="shared" si="247"/>
        <v>0</v>
      </c>
      <c r="BK31" s="167">
        <f t="shared" si="144"/>
        <v>0</v>
      </c>
      <c r="BL31" s="167">
        <f t="shared" si="248"/>
        <v>0</v>
      </c>
      <c r="BM31" s="167">
        <f t="shared" si="146"/>
        <v>0</v>
      </c>
      <c r="BN31" s="167">
        <f t="shared" si="249"/>
        <v>0</v>
      </c>
      <c r="BO31" s="170">
        <f t="shared" si="148"/>
        <v>0</v>
      </c>
      <c r="BP31" s="167">
        <f t="shared" si="149"/>
        <v>0</v>
      </c>
      <c r="BQ31" s="171">
        <f t="shared" si="150"/>
        <v>0</v>
      </c>
      <c r="BR31" s="169">
        <f t="shared" si="234"/>
        <v>0</v>
      </c>
      <c r="BS31" s="167">
        <f t="shared" si="250"/>
        <v>0</v>
      </c>
      <c r="BT31" s="167">
        <f t="shared" si="153"/>
        <v>0</v>
      </c>
      <c r="BU31" s="167">
        <f t="shared" si="251"/>
        <v>0</v>
      </c>
      <c r="BV31" s="167">
        <f t="shared" si="155"/>
        <v>0</v>
      </c>
      <c r="BW31" s="167">
        <f t="shared" si="252"/>
        <v>0</v>
      </c>
      <c r="BX31" s="167">
        <f t="shared" si="157"/>
        <v>0</v>
      </c>
      <c r="BY31" s="167">
        <f t="shared" si="253"/>
        <v>0</v>
      </c>
      <c r="BZ31" s="167">
        <f t="shared" si="159"/>
        <v>0</v>
      </c>
      <c r="CA31" s="167">
        <f t="shared" si="254"/>
        <v>0</v>
      </c>
      <c r="CB31" s="170">
        <f t="shared" si="161"/>
        <v>0</v>
      </c>
      <c r="CC31" s="167">
        <f t="shared" si="162"/>
        <v>0</v>
      </c>
      <c r="CD31" s="171">
        <f t="shared" si="163"/>
        <v>0</v>
      </c>
      <c r="CE31" s="169">
        <f t="shared" si="234"/>
        <v>0</v>
      </c>
      <c r="CF31" s="167">
        <f t="shared" si="255"/>
        <v>0</v>
      </c>
      <c r="CG31" s="167">
        <f t="shared" si="166"/>
        <v>0</v>
      </c>
      <c r="CH31" s="167">
        <f t="shared" si="256"/>
        <v>0</v>
      </c>
      <c r="CI31" s="167">
        <f t="shared" si="168"/>
        <v>0</v>
      </c>
      <c r="CJ31" s="167">
        <f t="shared" si="257"/>
        <v>0</v>
      </c>
      <c r="CK31" s="167">
        <f t="shared" si="170"/>
        <v>0</v>
      </c>
      <c r="CL31" s="167">
        <f t="shared" si="258"/>
        <v>0</v>
      </c>
      <c r="CM31" s="167">
        <f t="shared" si="172"/>
        <v>0</v>
      </c>
      <c r="CN31" s="167">
        <f t="shared" si="259"/>
        <v>0</v>
      </c>
      <c r="CO31" s="170">
        <f t="shared" si="174"/>
        <v>0</v>
      </c>
      <c r="CP31" s="167">
        <f t="shared" si="175"/>
        <v>0</v>
      </c>
      <c r="CQ31" s="171">
        <f t="shared" si="176"/>
        <v>0</v>
      </c>
      <c r="CR31" s="169">
        <f t="shared" si="260"/>
        <v>0</v>
      </c>
      <c r="CS31" s="167">
        <f t="shared" si="261"/>
        <v>0</v>
      </c>
      <c r="CT31" s="167">
        <f t="shared" si="179"/>
        <v>0</v>
      </c>
      <c r="CU31" s="167">
        <f t="shared" si="262"/>
        <v>0</v>
      </c>
      <c r="CV31" s="167">
        <f t="shared" si="181"/>
        <v>0</v>
      </c>
      <c r="CW31" s="167">
        <f t="shared" si="263"/>
        <v>0</v>
      </c>
      <c r="CX31" s="167">
        <f t="shared" si="183"/>
        <v>0</v>
      </c>
      <c r="CY31" s="167">
        <f t="shared" si="264"/>
        <v>0</v>
      </c>
      <c r="CZ31" s="167">
        <f t="shared" si="185"/>
        <v>0</v>
      </c>
      <c r="DA31" s="167">
        <f t="shared" si="265"/>
        <v>0</v>
      </c>
      <c r="DB31" s="170">
        <f t="shared" si="187"/>
        <v>0</v>
      </c>
      <c r="DC31" s="167">
        <f t="shared" si="188"/>
        <v>0</v>
      </c>
      <c r="DD31" s="171">
        <f t="shared" si="189"/>
        <v>0</v>
      </c>
      <c r="DE31" s="169">
        <f t="shared" si="260"/>
        <v>0</v>
      </c>
      <c r="DF31" s="167">
        <f t="shared" si="266"/>
        <v>0</v>
      </c>
      <c r="DG31" s="167">
        <f t="shared" si="192"/>
        <v>0</v>
      </c>
      <c r="DH31" s="167">
        <f t="shared" si="267"/>
        <v>0</v>
      </c>
      <c r="DI31" s="167">
        <f t="shared" si="194"/>
        <v>0</v>
      </c>
      <c r="DJ31" s="167">
        <f t="shared" si="268"/>
        <v>0</v>
      </c>
      <c r="DK31" s="167">
        <f t="shared" si="196"/>
        <v>0</v>
      </c>
      <c r="DL31" s="167">
        <f t="shared" si="269"/>
        <v>0</v>
      </c>
      <c r="DM31" s="167">
        <f t="shared" si="198"/>
        <v>0</v>
      </c>
      <c r="DN31" s="167">
        <f t="shared" si="270"/>
        <v>0</v>
      </c>
      <c r="DO31" s="170">
        <f t="shared" si="200"/>
        <v>0</v>
      </c>
      <c r="DP31" s="167">
        <f t="shared" si="201"/>
        <v>0</v>
      </c>
      <c r="DQ31" s="171">
        <f t="shared" si="202"/>
        <v>0</v>
      </c>
      <c r="DR31" s="169">
        <f t="shared" si="260"/>
        <v>0</v>
      </c>
      <c r="DS31" s="167">
        <f t="shared" si="271"/>
        <v>0</v>
      </c>
      <c r="DT31" s="167">
        <f t="shared" si="205"/>
        <v>0</v>
      </c>
      <c r="DU31" s="167">
        <f t="shared" si="272"/>
        <v>0</v>
      </c>
      <c r="DV31" s="167">
        <f t="shared" si="207"/>
        <v>0</v>
      </c>
      <c r="DW31" s="167">
        <f t="shared" si="273"/>
        <v>0</v>
      </c>
      <c r="DX31" s="167">
        <f t="shared" si="209"/>
        <v>0</v>
      </c>
      <c r="DY31" s="167">
        <f t="shared" si="274"/>
        <v>0</v>
      </c>
      <c r="DZ31" s="167">
        <f t="shared" si="211"/>
        <v>0</v>
      </c>
      <c r="EA31" s="167">
        <f t="shared" si="275"/>
        <v>0</v>
      </c>
      <c r="EB31" s="170">
        <f t="shared" si="213"/>
        <v>0</v>
      </c>
      <c r="EC31" s="167">
        <f t="shared" si="214"/>
        <v>0</v>
      </c>
      <c r="ED31" s="171">
        <f t="shared" si="215"/>
        <v>0</v>
      </c>
    </row>
    <row r="32" spans="1:134" x14ac:dyDescent="0.3">
      <c r="A32" s="196"/>
      <c r="B32" s="186"/>
      <c r="C32" s="186"/>
      <c r="D32" s="188"/>
      <c r="E32" s="189"/>
      <c r="F32" s="190"/>
      <c r="G32" s="191"/>
      <c r="H32" s="192"/>
      <c r="I32" s="193"/>
      <c r="J32" s="194"/>
      <c r="K32" s="165">
        <f t="shared" si="216"/>
        <v>0</v>
      </c>
      <c r="L32" s="166">
        <f t="shared" si="217"/>
        <v>0</v>
      </c>
      <c r="M32" s="167">
        <f t="shared" si="218"/>
        <v>0</v>
      </c>
      <c r="N32" s="167"/>
      <c r="O32" s="167">
        <f t="shared" si="219"/>
        <v>0</v>
      </c>
      <c r="P32" s="168"/>
      <c r="Q32" s="167">
        <f t="shared" si="220"/>
        <v>0</v>
      </c>
      <c r="R32" s="169">
        <f t="shared" si="221"/>
        <v>0</v>
      </c>
      <c r="S32" s="167">
        <f t="shared" si="222"/>
        <v>0</v>
      </c>
      <c r="T32" s="167">
        <f t="shared" si="223"/>
        <v>0</v>
      </c>
      <c r="U32" s="167">
        <f t="shared" si="224"/>
        <v>0</v>
      </c>
      <c r="V32" s="167">
        <f t="shared" si="225"/>
        <v>0</v>
      </c>
      <c r="W32" s="167">
        <f t="shared" si="226"/>
        <v>0</v>
      </c>
      <c r="X32" s="167">
        <f t="shared" si="227"/>
        <v>0</v>
      </c>
      <c r="Y32" s="167">
        <f t="shared" si="228"/>
        <v>0</v>
      </c>
      <c r="Z32" s="167">
        <f t="shared" si="229"/>
        <v>0</v>
      </c>
      <c r="AA32" s="167">
        <f t="shared" si="230"/>
        <v>0</v>
      </c>
      <c r="AB32" s="170">
        <f t="shared" si="231"/>
        <v>0</v>
      </c>
      <c r="AC32" s="167">
        <f t="shared" si="232"/>
        <v>0</v>
      </c>
      <c r="AD32" s="171">
        <f t="shared" si="233"/>
        <v>0</v>
      </c>
      <c r="AE32" s="169">
        <f t="shared" si="234"/>
        <v>0</v>
      </c>
      <c r="AF32" s="167">
        <f t="shared" si="235"/>
        <v>0</v>
      </c>
      <c r="AG32" s="167">
        <f t="shared" si="114"/>
        <v>0</v>
      </c>
      <c r="AH32" s="167">
        <f t="shared" si="236"/>
        <v>0</v>
      </c>
      <c r="AI32" s="167">
        <f t="shared" si="116"/>
        <v>0</v>
      </c>
      <c r="AJ32" s="167">
        <f t="shared" si="237"/>
        <v>0</v>
      </c>
      <c r="AK32" s="167">
        <f t="shared" si="118"/>
        <v>0</v>
      </c>
      <c r="AL32" s="167">
        <f t="shared" si="238"/>
        <v>0</v>
      </c>
      <c r="AM32" s="167">
        <f t="shared" si="120"/>
        <v>0</v>
      </c>
      <c r="AN32" s="167">
        <f t="shared" si="239"/>
        <v>0</v>
      </c>
      <c r="AO32" s="170">
        <f t="shared" si="122"/>
        <v>0</v>
      </c>
      <c r="AP32" s="167">
        <f t="shared" si="123"/>
        <v>0</v>
      </c>
      <c r="AQ32" s="171">
        <f t="shared" si="124"/>
        <v>0</v>
      </c>
      <c r="AR32" s="169">
        <f t="shared" si="234"/>
        <v>0</v>
      </c>
      <c r="AS32" s="167">
        <f t="shared" si="240"/>
        <v>0</v>
      </c>
      <c r="AT32" s="167">
        <f t="shared" si="127"/>
        <v>0</v>
      </c>
      <c r="AU32" s="167">
        <f t="shared" si="241"/>
        <v>0</v>
      </c>
      <c r="AV32" s="167">
        <f t="shared" si="129"/>
        <v>0</v>
      </c>
      <c r="AW32" s="167">
        <f t="shared" si="242"/>
        <v>0</v>
      </c>
      <c r="AX32" s="167">
        <f t="shared" si="131"/>
        <v>0</v>
      </c>
      <c r="AY32" s="167">
        <f t="shared" si="243"/>
        <v>0</v>
      </c>
      <c r="AZ32" s="167">
        <f t="shared" si="133"/>
        <v>0</v>
      </c>
      <c r="BA32" s="167">
        <f t="shared" si="244"/>
        <v>0</v>
      </c>
      <c r="BB32" s="170">
        <f t="shared" si="135"/>
        <v>0</v>
      </c>
      <c r="BC32" s="167">
        <f t="shared" si="136"/>
        <v>0</v>
      </c>
      <c r="BD32" s="171">
        <f t="shared" si="137"/>
        <v>0</v>
      </c>
      <c r="BE32" s="169">
        <f t="shared" si="234"/>
        <v>0</v>
      </c>
      <c r="BF32" s="167">
        <f t="shared" si="245"/>
        <v>0</v>
      </c>
      <c r="BG32" s="167">
        <f t="shared" si="140"/>
        <v>0</v>
      </c>
      <c r="BH32" s="167">
        <f t="shared" si="246"/>
        <v>0</v>
      </c>
      <c r="BI32" s="167">
        <f t="shared" si="142"/>
        <v>0</v>
      </c>
      <c r="BJ32" s="167">
        <f t="shared" si="247"/>
        <v>0</v>
      </c>
      <c r="BK32" s="167">
        <f t="shared" si="144"/>
        <v>0</v>
      </c>
      <c r="BL32" s="167">
        <f t="shared" si="248"/>
        <v>0</v>
      </c>
      <c r="BM32" s="167">
        <f t="shared" si="146"/>
        <v>0</v>
      </c>
      <c r="BN32" s="167">
        <f t="shared" si="249"/>
        <v>0</v>
      </c>
      <c r="BO32" s="170">
        <f t="shared" si="148"/>
        <v>0</v>
      </c>
      <c r="BP32" s="167">
        <f t="shared" si="149"/>
        <v>0</v>
      </c>
      <c r="BQ32" s="171">
        <f t="shared" si="150"/>
        <v>0</v>
      </c>
      <c r="BR32" s="169">
        <f t="shared" si="234"/>
        <v>0</v>
      </c>
      <c r="BS32" s="167">
        <f t="shared" si="250"/>
        <v>0</v>
      </c>
      <c r="BT32" s="167">
        <f t="shared" si="153"/>
        <v>0</v>
      </c>
      <c r="BU32" s="167">
        <f t="shared" si="251"/>
        <v>0</v>
      </c>
      <c r="BV32" s="167">
        <f t="shared" si="155"/>
        <v>0</v>
      </c>
      <c r="BW32" s="167">
        <f t="shared" si="252"/>
        <v>0</v>
      </c>
      <c r="BX32" s="167">
        <f t="shared" si="157"/>
        <v>0</v>
      </c>
      <c r="BY32" s="167">
        <f t="shared" si="253"/>
        <v>0</v>
      </c>
      <c r="BZ32" s="167">
        <f t="shared" si="159"/>
        <v>0</v>
      </c>
      <c r="CA32" s="167">
        <f t="shared" si="254"/>
        <v>0</v>
      </c>
      <c r="CB32" s="170">
        <f t="shared" si="161"/>
        <v>0</v>
      </c>
      <c r="CC32" s="167">
        <f t="shared" si="162"/>
        <v>0</v>
      </c>
      <c r="CD32" s="171">
        <f t="shared" si="163"/>
        <v>0</v>
      </c>
      <c r="CE32" s="169">
        <f t="shared" si="234"/>
        <v>0</v>
      </c>
      <c r="CF32" s="167">
        <f t="shared" si="255"/>
        <v>0</v>
      </c>
      <c r="CG32" s="167">
        <f t="shared" si="166"/>
        <v>0</v>
      </c>
      <c r="CH32" s="167">
        <f t="shared" si="256"/>
        <v>0</v>
      </c>
      <c r="CI32" s="167">
        <f t="shared" si="168"/>
        <v>0</v>
      </c>
      <c r="CJ32" s="167">
        <f t="shared" si="257"/>
        <v>0</v>
      </c>
      <c r="CK32" s="167">
        <f t="shared" si="170"/>
        <v>0</v>
      </c>
      <c r="CL32" s="167">
        <f t="shared" si="258"/>
        <v>0</v>
      </c>
      <c r="CM32" s="167">
        <f t="shared" si="172"/>
        <v>0</v>
      </c>
      <c r="CN32" s="167">
        <f t="shared" si="259"/>
        <v>0</v>
      </c>
      <c r="CO32" s="170">
        <f t="shared" si="174"/>
        <v>0</v>
      </c>
      <c r="CP32" s="167">
        <f t="shared" si="175"/>
        <v>0</v>
      </c>
      <c r="CQ32" s="171">
        <f t="shared" si="176"/>
        <v>0</v>
      </c>
      <c r="CR32" s="169">
        <f t="shared" si="260"/>
        <v>0</v>
      </c>
      <c r="CS32" s="167">
        <f t="shared" si="261"/>
        <v>0</v>
      </c>
      <c r="CT32" s="167">
        <f t="shared" si="179"/>
        <v>0</v>
      </c>
      <c r="CU32" s="167">
        <f t="shared" si="262"/>
        <v>0</v>
      </c>
      <c r="CV32" s="167">
        <f t="shared" si="181"/>
        <v>0</v>
      </c>
      <c r="CW32" s="167">
        <f t="shared" si="263"/>
        <v>0</v>
      </c>
      <c r="CX32" s="167">
        <f t="shared" si="183"/>
        <v>0</v>
      </c>
      <c r="CY32" s="167">
        <f t="shared" si="264"/>
        <v>0</v>
      </c>
      <c r="CZ32" s="167">
        <f t="shared" si="185"/>
        <v>0</v>
      </c>
      <c r="DA32" s="167">
        <f t="shared" si="265"/>
        <v>0</v>
      </c>
      <c r="DB32" s="170">
        <f t="shared" si="187"/>
        <v>0</v>
      </c>
      <c r="DC32" s="167">
        <f t="shared" si="188"/>
        <v>0</v>
      </c>
      <c r="DD32" s="171">
        <f t="shared" si="189"/>
        <v>0</v>
      </c>
      <c r="DE32" s="169">
        <f t="shared" si="260"/>
        <v>0</v>
      </c>
      <c r="DF32" s="167">
        <f t="shared" si="266"/>
        <v>0</v>
      </c>
      <c r="DG32" s="167">
        <f t="shared" si="192"/>
        <v>0</v>
      </c>
      <c r="DH32" s="167">
        <f t="shared" si="267"/>
        <v>0</v>
      </c>
      <c r="DI32" s="167">
        <f t="shared" si="194"/>
        <v>0</v>
      </c>
      <c r="DJ32" s="167">
        <f t="shared" si="268"/>
        <v>0</v>
      </c>
      <c r="DK32" s="167">
        <f t="shared" si="196"/>
        <v>0</v>
      </c>
      <c r="DL32" s="167">
        <f t="shared" si="269"/>
        <v>0</v>
      </c>
      <c r="DM32" s="167">
        <f t="shared" si="198"/>
        <v>0</v>
      </c>
      <c r="DN32" s="167">
        <f t="shared" si="270"/>
        <v>0</v>
      </c>
      <c r="DO32" s="170">
        <f t="shared" si="200"/>
        <v>0</v>
      </c>
      <c r="DP32" s="167">
        <f t="shared" si="201"/>
        <v>0</v>
      </c>
      <c r="DQ32" s="171">
        <f t="shared" si="202"/>
        <v>0</v>
      </c>
      <c r="DR32" s="169">
        <f t="shared" si="260"/>
        <v>0</v>
      </c>
      <c r="DS32" s="167">
        <f t="shared" si="271"/>
        <v>0</v>
      </c>
      <c r="DT32" s="167">
        <f t="shared" si="205"/>
        <v>0</v>
      </c>
      <c r="DU32" s="167">
        <f t="shared" si="272"/>
        <v>0</v>
      </c>
      <c r="DV32" s="167">
        <f t="shared" si="207"/>
        <v>0</v>
      </c>
      <c r="DW32" s="167">
        <f t="shared" si="273"/>
        <v>0</v>
      </c>
      <c r="DX32" s="167">
        <f t="shared" si="209"/>
        <v>0</v>
      </c>
      <c r="DY32" s="167">
        <f t="shared" si="274"/>
        <v>0</v>
      </c>
      <c r="DZ32" s="167">
        <f t="shared" si="211"/>
        <v>0</v>
      </c>
      <c r="EA32" s="167">
        <f t="shared" si="275"/>
        <v>0</v>
      </c>
      <c r="EB32" s="170">
        <f t="shared" si="213"/>
        <v>0</v>
      </c>
      <c r="EC32" s="167">
        <f t="shared" si="214"/>
        <v>0</v>
      </c>
      <c r="ED32" s="171">
        <f t="shared" si="215"/>
        <v>0</v>
      </c>
    </row>
    <row r="33" spans="1:134" x14ac:dyDescent="0.3">
      <c r="A33" s="196"/>
      <c r="B33" s="196"/>
      <c r="C33" s="196"/>
      <c r="D33" s="188"/>
      <c r="E33" s="189"/>
      <c r="F33" s="190"/>
      <c r="G33" s="191"/>
      <c r="H33" s="192"/>
      <c r="I33" s="193"/>
      <c r="J33" s="194"/>
      <c r="K33" s="165">
        <f t="shared" si="216"/>
        <v>0</v>
      </c>
      <c r="L33" s="166">
        <f t="shared" si="217"/>
        <v>0</v>
      </c>
      <c r="M33" s="167">
        <f t="shared" si="218"/>
        <v>0</v>
      </c>
      <c r="N33" s="167"/>
      <c r="O33" s="167">
        <f t="shared" si="219"/>
        <v>0</v>
      </c>
      <c r="P33" s="168"/>
      <c r="Q33" s="167">
        <f t="shared" si="220"/>
        <v>0</v>
      </c>
      <c r="R33" s="169">
        <f t="shared" si="221"/>
        <v>0</v>
      </c>
      <c r="S33" s="167">
        <f t="shared" si="222"/>
        <v>0</v>
      </c>
      <c r="T33" s="167">
        <f t="shared" si="223"/>
        <v>0</v>
      </c>
      <c r="U33" s="167">
        <f t="shared" si="224"/>
        <v>0</v>
      </c>
      <c r="V33" s="167">
        <f t="shared" si="225"/>
        <v>0</v>
      </c>
      <c r="W33" s="167">
        <f t="shared" si="226"/>
        <v>0</v>
      </c>
      <c r="X33" s="167">
        <f t="shared" si="227"/>
        <v>0</v>
      </c>
      <c r="Y33" s="167">
        <f t="shared" si="228"/>
        <v>0</v>
      </c>
      <c r="Z33" s="167">
        <f t="shared" si="229"/>
        <v>0</v>
      </c>
      <c r="AA33" s="167">
        <f t="shared" si="230"/>
        <v>0</v>
      </c>
      <c r="AB33" s="170">
        <f t="shared" si="231"/>
        <v>0</v>
      </c>
      <c r="AC33" s="167">
        <f t="shared" si="232"/>
        <v>0</v>
      </c>
      <c r="AD33" s="171">
        <f t="shared" si="233"/>
        <v>0</v>
      </c>
      <c r="AE33" s="169">
        <f t="shared" si="234"/>
        <v>0</v>
      </c>
      <c r="AF33" s="167">
        <f t="shared" si="235"/>
        <v>0</v>
      </c>
      <c r="AG33" s="167">
        <f t="shared" si="114"/>
        <v>0</v>
      </c>
      <c r="AH33" s="167">
        <f t="shared" si="236"/>
        <v>0</v>
      </c>
      <c r="AI33" s="167">
        <f t="shared" si="116"/>
        <v>0</v>
      </c>
      <c r="AJ33" s="167">
        <f t="shared" si="237"/>
        <v>0</v>
      </c>
      <c r="AK33" s="167">
        <f t="shared" si="118"/>
        <v>0</v>
      </c>
      <c r="AL33" s="167">
        <f t="shared" si="238"/>
        <v>0</v>
      </c>
      <c r="AM33" s="167">
        <f t="shared" si="120"/>
        <v>0</v>
      </c>
      <c r="AN33" s="167">
        <f t="shared" si="239"/>
        <v>0</v>
      </c>
      <c r="AO33" s="170">
        <f t="shared" si="122"/>
        <v>0</v>
      </c>
      <c r="AP33" s="167">
        <f t="shared" si="123"/>
        <v>0</v>
      </c>
      <c r="AQ33" s="171">
        <f t="shared" si="124"/>
        <v>0</v>
      </c>
      <c r="AR33" s="169">
        <f t="shared" si="234"/>
        <v>0</v>
      </c>
      <c r="AS33" s="167">
        <f t="shared" si="240"/>
        <v>0</v>
      </c>
      <c r="AT33" s="167">
        <f t="shared" si="127"/>
        <v>0</v>
      </c>
      <c r="AU33" s="167">
        <f t="shared" si="241"/>
        <v>0</v>
      </c>
      <c r="AV33" s="167">
        <f t="shared" si="129"/>
        <v>0</v>
      </c>
      <c r="AW33" s="167">
        <f t="shared" si="242"/>
        <v>0</v>
      </c>
      <c r="AX33" s="167">
        <f t="shared" si="131"/>
        <v>0</v>
      </c>
      <c r="AY33" s="167">
        <f t="shared" si="243"/>
        <v>0</v>
      </c>
      <c r="AZ33" s="167">
        <f t="shared" si="133"/>
        <v>0</v>
      </c>
      <c r="BA33" s="167">
        <f t="shared" si="244"/>
        <v>0</v>
      </c>
      <c r="BB33" s="170">
        <f t="shared" si="135"/>
        <v>0</v>
      </c>
      <c r="BC33" s="167">
        <f t="shared" si="136"/>
        <v>0</v>
      </c>
      <c r="BD33" s="171">
        <f t="shared" si="137"/>
        <v>0</v>
      </c>
      <c r="BE33" s="169">
        <f t="shared" si="234"/>
        <v>0</v>
      </c>
      <c r="BF33" s="167">
        <f t="shared" si="245"/>
        <v>0</v>
      </c>
      <c r="BG33" s="167">
        <f t="shared" si="140"/>
        <v>0</v>
      </c>
      <c r="BH33" s="167">
        <f t="shared" si="246"/>
        <v>0</v>
      </c>
      <c r="BI33" s="167">
        <f t="shared" si="142"/>
        <v>0</v>
      </c>
      <c r="BJ33" s="167">
        <f t="shared" si="247"/>
        <v>0</v>
      </c>
      <c r="BK33" s="167">
        <f t="shared" si="144"/>
        <v>0</v>
      </c>
      <c r="BL33" s="167">
        <f t="shared" si="248"/>
        <v>0</v>
      </c>
      <c r="BM33" s="167">
        <f t="shared" si="146"/>
        <v>0</v>
      </c>
      <c r="BN33" s="167">
        <f t="shared" si="249"/>
        <v>0</v>
      </c>
      <c r="BO33" s="170">
        <f t="shared" si="148"/>
        <v>0</v>
      </c>
      <c r="BP33" s="167">
        <f t="shared" si="149"/>
        <v>0</v>
      </c>
      <c r="BQ33" s="171">
        <f t="shared" si="150"/>
        <v>0</v>
      </c>
      <c r="BR33" s="169">
        <f t="shared" si="234"/>
        <v>0</v>
      </c>
      <c r="BS33" s="167">
        <f t="shared" si="250"/>
        <v>0</v>
      </c>
      <c r="BT33" s="167">
        <f t="shared" si="153"/>
        <v>0</v>
      </c>
      <c r="BU33" s="167">
        <f t="shared" si="251"/>
        <v>0</v>
      </c>
      <c r="BV33" s="167">
        <f t="shared" si="155"/>
        <v>0</v>
      </c>
      <c r="BW33" s="167">
        <f t="shared" si="252"/>
        <v>0</v>
      </c>
      <c r="BX33" s="167">
        <f t="shared" si="157"/>
        <v>0</v>
      </c>
      <c r="BY33" s="167">
        <f t="shared" si="253"/>
        <v>0</v>
      </c>
      <c r="BZ33" s="167">
        <f t="shared" si="159"/>
        <v>0</v>
      </c>
      <c r="CA33" s="167">
        <f t="shared" si="254"/>
        <v>0</v>
      </c>
      <c r="CB33" s="170">
        <f t="shared" si="161"/>
        <v>0</v>
      </c>
      <c r="CC33" s="167">
        <f t="shared" si="162"/>
        <v>0</v>
      </c>
      <c r="CD33" s="171">
        <f t="shared" si="163"/>
        <v>0</v>
      </c>
      <c r="CE33" s="169">
        <f t="shared" si="234"/>
        <v>0</v>
      </c>
      <c r="CF33" s="167">
        <f t="shared" si="255"/>
        <v>0</v>
      </c>
      <c r="CG33" s="167">
        <f t="shared" si="166"/>
        <v>0</v>
      </c>
      <c r="CH33" s="167">
        <f t="shared" si="256"/>
        <v>0</v>
      </c>
      <c r="CI33" s="167">
        <f t="shared" si="168"/>
        <v>0</v>
      </c>
      <c r="CJ33" s="167">
        <f t="shared" si="257"/>
        <v>0</v>
      </c>
      <c r="CK33" s="167">
        <f t="shared" si="170"/>
        <v>0</v>
      </c>
      <c r="CL33" s="167">
        <f t="shared" si="258"/>
        <v>0</v>
      </c>
      <c r="CM33" s="167">
        <f t="shared" si="172"/>
        <v>0</v>
      </c>
      <c r="CN33" s="167">
        <f t="shared" si="259"/>
        <v>0</v>
      </c>
      <c r="CO33" s="170">
        <f t="shared" si="174"/>
        <v>0</v>
      </c>
      <c r="CP33" s="167">
        <f t="shared" si="175"/>
        <v>0</v>
      </c>
      <c r="CQ33" s="171">
        <f t="shared" si="176"/>
        <v>0</v>
      </c>
      <c r="CR33" s="169">
        <f t="shared" si="260"/>
        <v>0</v>
      </c>
      <c r="CS33" s="167">
        <f t="shared" si="261"/>
        <v>0</v>
      </c>
      <c r="CT33" s="167">
        <f t="shared" si="179"/>
        <v>0</v>
      </c>
      <c r="CU33" s="167">
        <f t="shared" si="262"/>
        <v>0</v>
      </c>
      <c r="CV33" s="167">
        <f t="shared" si="181"/>
        <v>0</v>
      </c>
      <c r="CW33" s="167">
        <f t="shared" si="263"/>
        <v>0</v>
      </c>
      <c r="CX33" s="167">
        <f t="shared" si="183"/>
        <v>0</v>
      </c>
      <c r="CY33" s="167">
        <f t="shared" si="264"/>
        <v>0</v>
      </c>
      <c r="CZ33" s="167">
        <f t="shared" si="185"/>
        <v>0</v>
      </c>
      <c r="DA33" s="167">
        <f t="shared" si="265"/>
        <v>0</v>
      </c>
      <c r="DB33" s="170">
        <f t="shared" si="187"/>
        <v>0</v>
      </c>
      <c r="DC33" s="167">
        <f t="shared" si="188"/>
        <v>0</v>
      </c>
      <c r="DD33" s="171">
        <f t="shared" si="189"/>
        <v>0</v>
      </c>
      <c r="DE33" s="169">
        <f t="shared" si="260"/>
        <v>0</v>
      </c>
      <c r="DF33" s="167">
        <f t="shared" si="266"/>
        <v>0</v>
      </c>
      <c r="DG33" s="167">
        <f t="shared" si="192"/>
        <v>0</v>
      </c>
      <c r="DH33" s="167">
        <f t="shared" si="267"/>
        <v>0</v>
      </c>
      <c r="DI33" s="167">
        <f t="shared" si="194"/>
        <v>0</v>
      </c>
      <c r="DJ33" s="167">
        <f t="shared" si="268"/>
        <v>0</v>
      </c>
      <c r="DK33" s="167">
        <f t="shared" si="196"/>
        <v>0</v>
      </c>
      <c r="DL33" s="167">
        <f t="shared" si="269"/>
        <v>0</v>
      </c>
      <c r="DM33" s="167">
        <f t="shared" si="198"/>
        <v>0</v>
      </c>
      <c r="DN33" s="167">
        <f t="shared" si="270"/>
        <v>0</v>
      </c>
      <c r="DO33" s="170">
        <f t="shared" si="200"/>
        <v>0</v>
      </c>
      <c r="DP33" s="167">
        <f t="shared" si="201"/>
        <v>0</v>
      </c>
      <c r="DQ33" s="171">
        <f t="shared" si="202"/>
        <v>0</v>
      </c>
      <c r="DR33" s="169">
        <f t="shared" si="260"/>
        <v>0</v>
      </c>
      <c r="DS33" s="167">
        <f t="shared" si="271"/>
        <v>0</v>
      </c>
      <c r="DT33" s="167">
        <f t="shared" si="205"/>
        <v>0</v>
      </c>
      <c r="DU33" s="167">
        <f t="shared" si="272"/>
        <v>0</v>
      </c>
      <c r="DV33" s="167">
        <f t="shared" si="207"/>
        <v>0</v>
      </c>
      <c r="DW33" s="167">
        <f t="shared" si="273"/>
        <v>0</v>
      </c>
      <c r="DX33" s="167">
        <f t="shared" si="209"/>
        <v>0</v>
      </c>
      <c r="DY33" s="167">
        <f t="shared" si="274"/>
        <v>0</v>
      </c>
      <c r="DZ33" s="167">
        <f t="shared" si="211"/>
        <v>0</v>
      </c>
      <c r="EA33" s="167">
        <f t="shared" si="275"/>
        <v>0</v>
      </c>
      <c r="EB33" s="170">
        <f t="shared" si="213"/>
        <v>0</v>
      </c>
      <c r="EC33" s="167">
        <f t="shared" si="214"/>
        <v>0</v>
      </c>
      <c r="ED33" s="171">
        <f t="shared" si="215"/>
        <v>0</v>
      </c>
    </row>
    <row r="34" spans="1:134" x14ac:dyDescent="0.3">
      <c r="A34" s="196"/>
      <c r="B34" s="196"/>
      <c r="C34" s="196"/>
      <c r="D34" s="188"/>
      <c r="E34" s="189"/>
      <c r="F34" s="190"/>
      <c r="G34" s="191"/>
      <c r="H34" s="192"/>
      <c r="I34" s="193"/>
      <c r="J34" s="194"/>
      <c r="K34" s="165">
        <f t="shared" si="216"/>
        <v>0</v>
      </c>
      <c r="L34" s="166">
        <f t="shared" si="217"/>
        <v>0</v>
      </c>
      <c r="M34" s="167">
        <f t="shared" si="218"/>
        <v>0</v>
      </c>
      <c r="N34" s="167"/>
      <c r="O34" s="167">
        <f t="shared" si="219"/>
        <v>0</v>
      </c>
      <c r="P34" s="168"/>
      <c r="Q34" s="167">
        <f t="shared" si="220"/>
        <v>0</v>
      </c>
      <c r="R34" s="169">
        <f t="shared" si="221"/>
        <v>0</v>
      </c>
      <c r="S34" s="167">
        <f t="shared" si="222"/>
        <v>0</v>
      </c>
      <c r="T34" s="167">
        <f t="shared" si="223"/>
        <v>0</v>
      </c>
      <c r="U34" s="167">
        <f t="shared" si="224"/>
        <v>0</v>
      </c>
      <c r="V34" s="167">
        <f t="shared" si="225"/>
        <v>0</v>
      </c>
      <c r="W34" s="167">
        <f t="shared" si="226"/>
        <v>0</v>
      </c>
      <c r="X34" s="167">
        <f t="shared" si="227"/>
        <v>0</v>
      </c>
      <c r="Y34" s="167">
        <f t="shared" si="228"/>
        <v>0</v>
      </c>
      <c r="Z34" s="167">
        <f t="shared" si="229"/>
        <v>0</v>
      </c>
      <c r="AA34" s="167">
        <f t="shared" si="230"/>
        <v>0</v>
      </c>
      <c r="AB34" s="170">
        <f t="shared" si="231"/>
        <v>0</v>
      </c>
      <c r="AC34" s="167">
        <f t="shared" si="232"/>
        <v>0</v>
      </c>
      <c r="AD34" s="171">
        <f t="shared" si="233"/>
        <v>0</v>
      </c>
      <c r="AE34" s="169">
        <f t="shared" si="234"/>
        <v>0</v>
      </c>
      <c r="AF34" s="167">
        <f t="shared" si="235"/>
        <v>0</v>
      </c>
      <c r="AG34" s="167">
        <f t="shared" si="114"/>
        <v>0</v>
      </c>
      <c r="AH34" s="167">
        <f t="shared" si="236"/>
        <v>0</v>
      </c>
      <c r="AI34" s="167">
        <f t="shared" si="116"/>
        <v>0</v>
      </c>
      <c r="AJ34" s="167">
        <f t="shared" si="237"/>
        <v>0</v>
      </c>
      <c r="AK34" s="167">
        <f t="shared" si="118"/>
        <v>0</v>
      </c>
      <c r="AL34" s="167">
        <f t="shared" si="238"/>
        <v>0</v>
      </c>
      <c r="AM34" s="167">
        <f t="shared" si="120"/>
        <v>0</v>
      </c>
      <c r="AN34" s="167">
        <f t="shared" si="239"/>
        <v>0</v>
      </c>
      <c r="AO34" s="170">
        <f t="shared" si="122"/>
        <v>0</v>
      </c>
      <c r="AP34" s="167">
        <f t="shared" si="123"/>
        <v>0</v>
      </c>
      <c r="AQ34" s="171">
        <f t="shared" si="124"/>
        <v>0</v>
      </c>
      <c r="AR34" s="169">
        <f t="shared" si="234"/>
        <v>0</v>
      </c>
      <c r="AS34" s="167">
        <f t="shared" si="240"/>
        <v>0</v>
      </c>
      <c r="AT34" s="167">
        <f t="shared" si="127"/>
        <v>0</v>
      </c>
      <c r="AU34" s="167">
        <f t="shared" si="241"/>
        <v>0</v>
      </c>
      <c r="AV34" s="167">
        <f t="shared" si="129"/>
        <v>0</v>
      </c>
      <c r="AW34" s="167">
        <f t="shared" si="242"/>
        <v>0</v>
      </c>
      <c r="AX34" s="167">
        <f t="shared" si="131"/>
        <v>0</v>
      </c>
      <c r="AY34" s="167">
        <f t="shared" si="243"/>
        <v>0</v>
      </c>
      <c r="AZ34" s="167">
        <f t="shared" si="133"/>
        <v>0</v>
      </c>
      <c r="BA34" s="167">
        <f t="shared" si="244"/>
        <v>0</v>
      </c>
      <c r="BB34" s="170">
        <f t="shared" si="135"/>
        <v>0</v>
      </c>
      <c r="BC34" s="167">
        <f t="shared" si="136"/>
        <v>0</v>
      </c>
      <c r="BD34" s="171">
        <f t="shared" si="137"/>
        <v>0</v>
      </c>
      <c r="BE34" s="169">
        <f t="shared" si="234"/>
        <v>0</v>
      </c>
      <c r="BF34" s="167">
        <f t="shared" si="245"/>
        <v>0</v>
      </c>
      <c r="BG34" s="167">
        <f t="shared" si="140"/>
        <v>0</v>
      </c>
      <c r="BH34" s="167">
        <f t="shared" si="246"/>
        <v>0</v>
      </c>
      <c r="BI34" s="167">
        <f t="shared" si="142"/>
        <v>0</v>
      </c>
      <c r="BJ34" s="167">
        <f t="shared" si="247"/>
        <v>0</v>
      </c>
      <c r="BK34" s="167">
        <f t="shared" si="144"/>
        <v>0</v>
      </c>
      <c r="BL34" s="167">
        <f t="shared" si="248"/>
        <v>0</v>
      </c>
      <c r="BM34" s="167">
        <f t="shared" si="146"/>
        <v>0</v>
      </c>
      <c r="BN34" s="167">
        <f t="shared" si="249"/>
        <v>0</v>
      </c>
      <c r="BO34" s="170">
        <f t="shared" si="148"/>
        <v>0</v>
      </c>
      <c r="BP34" s="167">
        <f t="shared" si="149"/>
        <v>0</v>
      </c>
      <c r="BQ34" s="171">
        <f t="shared" si="150"/>
        <v>0</v>
      </c>
      <c r="BR34" s="169">
        <f t="shared" si="234"/>
        <v>0</v>
      </c>
      <c r="BS34" s="167">
        <f t="shared" si="250"/>
        <v>0</v>
      </c>
      <c r="BT34" s="167">
        <f t="shared" si="153"/>
        <v>0</v>
      </c>
      <c r="BU34" s="167">
        <f t="shared" si="251"/>
        <v>0</v>
      </c>
      <c r="BV34" s="167">
        <f t="shared" si="155"/>
        <v>0</v>
      </c>
      <c r="BW34" s="167">
        <f t="shared" si="252"/>
        <v>0</v>
      </c>
      <c r="BX34" s="167">
        <f t="shared" si="157"/>
        <v>0</v>
      </c>
      <c r="BY34" s="167">
        <f t="shared" si="253"/>
        <v>0</v>
      </c>
      <c r="BZ34" s="167">
        <f t="shared" si="159"/>
        <v>0</v>
      </c>
      <c r="CA34" s="167">
        <f t="shared" si="254"/>
        <v>0</v>
      </c>
      <c r="CB34" s="170">
        <f t="shared" si="161"/>
        <v>0</v>
      </c>
      <c r="CC34" s="167">
        <f t="shared" si="162"/>
        <v>0</v>
      </c>
      <c r="CD34" s="171">
        <f t="shared" si="163"/>
        <v>0</v>
      </c>
      <c r="CE34" s="169">
        <f t="shared" si="234"/>
        <v>0</v>
      </c>
      <c r="CF34" s="167">
        <f t="shared" si="255"/>
        <v>0</v>
      </c>
      <c r="CG34" s="167">
        <f t="shared" si="166"/>
        <v>0</v>
      </c>
      <c r="CH34" s="167">
        <f t="shared" si="256"/>
        <v>0</v>
      </c>
      <c r="CI34" s="167">
        <f t="shared" si="168"/>
        <v>0</v>
      </c>
      <c r="CJ34" s="167">
        <f t="shared" si="257"/>
        <v>0</v>
      </c>
      <c r="CK34" s="167">
        <f t="shared" si="170"/>
        <v>0</v>
      </c>
      <c r="CL34" s="167">
        <f t="shared" si="258"/>
        <v>0</v>
      </c>
      <c r="CM34" s="167">
        <f t="shared" si="172"/>
        <v>0</v>
      </c>
      <c r="CN34" s="167">
        <f t="shared" si="259"/>
        <v>0</v>
      </c>
      <c r="CO34" s="170">
        <f t="shared" si="174"/>
        <v>0</v>
      </c>
      <c r="CP34" s="167">
        <f t="shared" si="175"/>
        <v>0</v>
      </c>
      <c r="CQ34" s="171">
        <f t="shared" si="176"/>
        <v>0</v>
      </c>
      <c r="CR34" s="169">
        <f t="shared" si="260"/>
        <v>0</v>
      </c>
      <c r="CS34" s="167">
        <f t="shared" si="261"/>
        <v>0</v>
      </c>
      <c r="CT34" s="167">
        <f t="shared" si="179"/>
        <v>0</v>
      </c>
      <c r="CU34" s="167">
        <f t="shared" si="262"/>
        <v>0</v>
      </c>
      <c r="CV34" s="167">
        <f t="shared" si="181"/>
        <v>0</v>
      </c>
      <c r="CW34" s="167">
        <f t="shared" si="263"/>
        <v>0</v>
      </c>
      <c r="CX34" s="167">
        <f t="shared" si="183"/>
        <v>0</v>
      </c>
      <c r="CY34" s="167">
        <f t="shared" si="264"/>
        <v>0</v>
      </c>
      <c r="CZ34" s="167">
        <f t="shared" si="185"/>
        <v>0</v>
      </c>
      <c r="DA34" s="167">
        <f t="shared" si="265"/>
        <v>0</v>
      </c>
      <c r="DB34" s="170">
        <f t="shared" si="187"/>
        <v>0</v>
      </c>
      <c r="DC34" s="167">
        <f t="shared" si="188"/>
        <v>0</v>
      </c>
      <c r="DD34" s="171">
        <f t="shared" si="189"/>
        <v>0</v>
      </c>
      <c r="DE34" s="169">
        <f t="shared" si="260"/>
        <v>0</v>
      </c>
      <c r="DF34" s="167">
        <f t="shared" si="266"/>
        <v>0</v>
      </c>
      <c r="DG34" s="167">
        <f t="shared" si="192"/>
        <v>0</v>
      </c>
      <c r="DH34" s="167">
        <f t="shared" si="267"/>
        <v>0</v>
      </c>
      <c r="DI34" s="167">
        <f t="shared" si="194"/>
        <v>0</v>
      </c>
      <c r="DJ34" s="167">
        <f t="shared" si="268"/>
        <v>0</v>
      </c>
      <c r="DK34" s="167">
        <f t="shared" si="196"/>
        <v>0</v>
      </c>
      <c r="DL34" s="167">
        <f t="shared" si="269"/>
        <v>0</v>
      </c>
      <c r="DM34" s="167">
        <f t="shared" si="198"/>
        <v>0</v>
      </c>
      <c r="DN34" s="167">
        <f t="shared" si="270"/>
        <v>0</v>
      </c>
      <c r="DO34" s="170">
        <f t="shared" si="200"/>
        <v>0</v>
      </c>
      <c r="DP34" s="167">
        <f t="shared" si="201"/>
        <v>0</v>
      </c>
      <c r="DQ34" s="171">
        <f t="shared" si="202"/>
        <v>0</v>
      </c>
      <c r="DR34" s="169">
        <f t="shared" si="260"/>
        <v>0</v>
      </c>
      <c r="DS34" s="167">
        <f t="shared" si="271"/>
        <v>0</v>
      </c>
      <c r="DT34" s="167">
        <f t="shared" si="205"/>
        <v>0</v>
      </c>
      <c r="DU34" s="167">
        <f t="shared" si="272"/>
        <v>0</v>
      </c>
      <c r="DV34" s="167">
        <f t="shared" si="207"/>
        <v>0</v>
      </c>
      <c r="DW34" s="167">
        <f t="shared" si="273"/>
        <v>0</v>
      </c>
      <c r="DX34" s="167">
        <f t="shared" si="209"/>
        <v>0</v>
      </c>
      <c r="DY34" s="167">
        <f t="shared" si="274"/>
        <v>0</v>
      </c>
      <c r="DZ34" s="167">
        <f t="shared" si="211"/>
        <v>0</v>
      </c>
      <c r="EA34" s="167">
        <f t="shared" si="275"/>
        <v>0</v>
      </c>
      <c r="EB34" s="170">
        <f t="shared" si="213"/>
        <v>0</v>
      </c>
      <c r="EC34" s="167">
        <f t="shared" si="214"/>
        <v>0</v>
      </c>
      <c r="ED34" s="171">
        <f t="shared" si="215"/>
        <v>0</v>
      </c>
    </row>
    <row r="35" spans="1:134" x14ac:dyDescent="0.3">
      <c r="A35" s="196"/>
      <c r="B35" s="196"/>
      <c r="C35" s="196"/>
      <c r="D35" s="188"/>
      <c r="E35" s="624"/>
      <c r="F35" s="190"/>
      <c r="G35" s="625"/>
      <c r="H35" s="192"/>
      <c r="I35" s="193"/>
      <c r="J35" s="194"/>
      <c r="K35" s="165">
        <f t="shared" si="216"/>
        <v>0</v>
      </c>
      <c r="L35" s="166">
        <f t="shared" si="217"/>
        <v>0</v>
      </c>
      <c r="M35" s="167">
        <f t="shared" si="218"/>
        <v>0</v>
      </c>
      <c r="N35" s="167"/>
      <c r="O35" s="167">
        <f t="shared" si="219"/>
        <v>0</v>
      </c>
      <c r="P35" s="168"/>
      <c r="Q35" s="167">
        <f t="shared" si="220"/>
        <v>0</v>
      </c>
      <c r="R35" s="169">
        <f t="shared" si="221"/>
        <v>0</v>
      </c>
      <c r="S35" s="167">
        <f t="shared" si="222"/>
        <v>0</v>
      </c>
      <c r="T35" s="167">
        <f t="shared" si="223"/>
        <v>0</v>
      </c>
      <c r="U35" s="167">
        <f t="shared" si="224"/>
        <v>0</v>
      </c>
      <c r="V35" s="167">
        <f t="shared" si="225"/>
        <v>0</v>
      </c>
      <c r="W35" s="167">
        <f t="shared" si="226"/>
        <v>0</v>
      </c>
      <c r="X35" s="167">
        <f t="shared" si="227"/>
        <v>0</v>
      </c>
      <c r="Y35" s="167">
        <f t="shared" si="228"/>
        <v>0</v>
      </c>
      <c r="Z35" s="167">
        <f t="shared" si="229"/>
        <v>0</v>
      </c>
      <c r="AA35" s="167">
        <f t="shared" si="230"/>
        <v>0</v>
      </c>
      <c r="AB35" s="170">
        <f t="shared" si="231"/>
        <v>0</v>
      </c>
      <c r="AC35" s="167">
        <f t="shared" si="232"/>
        <v>0</v>
      </c>
      <c r="AD35" s="171">
        <f t="shared" si="233"/>
        <v>0</v>
      </c>
      <c r="AE35" s="169">
        <f t="shared" si="234"/>
        <v>0</v>
      </c>
      <c r="AF35" s="167">
        <f t="shared" si="235"/>
        <v>0</v>
      </c>
      <c r="AG35" s="167">
        <f t="shared" si="114"/>
        <v>0</v>
      </c>
      <c r="AH35" s="167">
        <f t="shared" si="236"/>
        <v>0</v>
      </c>
      <c r="AI35" s="167">
        <f t="shared" si="116"/>
        <v>0</v>
      </c>
      <c r="AJ35" s="167">
        <f t="shared" si="237"/>
        <v>0</v>
      </c>
      <c r="AK35" s="167">
        <f t="shared" si="118"/>
        <v>0</v>
      </c>
      <c r="AL35" s="167">
        <f t="shared" si="238"/>
        <v>0</v>
      </c>
      <c r="AM35" s="167">
        <f t="shared" si="120"/>
        <v>0</v>
      </c>
      <c r="AN35" s="167">
        <f t="shared" si="239"/>
        <v>0</v>
      </c>
      <c r="AO35" s="170">
        <f t="shared" si="122"/>
        <v>0</v>
      </c>
      <c r="AP35" s="167">
        <f t="shared" si="123"/>
        <v>0</v>
      </c>
      <c r="AQ35" s="171">
        <f t="shared" si="124"/>
        <v>0</v>
      </c>
      <c r="AR35" s="169">
        <f t="shared" si="234"/>
        <v>0</v>
      </c>
      <c r="AS35" s="167">
        <f t="shared" si="240"/>
        <v>0</v>
      </c>
      <c r="AT35" s="167">
        <f t="shared" si="127"/>
        <v>0</v>
      </c>
      <c r="AU35" s="167">
        <f t="shared" si="241"/>
        <v>0</v>
      </c>
      <c r="AV35" s="167">
        <f t="shared" si="129"/>
        <v>0</v>
      </c>
      <c r="AW35" s="167">
        <f t="shared" si="242"/>
        <v>0</v>
      </c>
      <c r="AX35" s="167">
        <f t="shared" si="131"/>
        <v>0</v>
      </c>
      <c r="AY35" s="167">
        <f t="shared" si="243"/>
        <v>0</v>
      </c>
      <c r="AZ35" s="167">
        <f t="shared" si="133"/>
        <v>0</v>
      </c>
      <c r="BA35" s="167">
        <f t="shared" si="244"/>
        <v>0</v>
      </c>
      <c r="BB35" s="170">
        <f t="shared" si="135"/>
        <v>0</v>
      </c>
      <c r="BC35" s="167">
        <f t="shared" si="136"/>
        <v>0</v>
      </c>
      <c r="BD35" s="171">
        <f t="shared" si="137"/>
        <v>0</v>
      </c>
      <c r="BE35" s="169">
        <f t="shared" si="234"/>
        <v>0</v>
      </c>
      <c r="BF35" s="167">
        <f t="shared" si="245"/>
        <v>0</v>
      </c>
      <c r="BG35" s="167">
        <f t="shared" si="140"/>
        <v>0</v>
      </c>
      <c r="BH35" s="167">
        <f t="shared" si="246"/>
        <v>0</v>
      </c>
      <c r="BI35" s="167">
        <f t="shared" si="142"/>
        <v>0</v>
      </c>
      <c r="BJ35" s="167">
        <f t="shared" si="247"/>
        <v>0</v>
      </c>
      <c r="BK35" s="167">
        <f t="shared" si="144"/>
        <v>0</v>
      </c>
      <c r="BL35" s="167">
        <f t="shared" si="248"/>
        <v>0</v>
      </c>
      <c r="BM35" s="167">
        <f t="shared" si="146"/>
        <v>0</v>
      </c>
      <c r="BN35" s="167">
        <f t="shared" si="249"/>
        <v>0</v>
      </c>
      <c r="BO35" s="170">
        <f t="shared" si="148"/>
        <v>0</v>
      </c>
      <c r="BP35" s="167">
        <f t="shared" si="149"/>
        <v>0</v>
      </c>
      <c r="BQ35" s="171">
        <f t="shared" si="150"/>
        <v>0</v>
      </c>
      <c r="BR35" s="169">
        <f t="shared" si="234"/>
        <v>0</v>
      </c>
      <c r="BS35" s="167">
        <f t="shared" si="250"/>
        <v>0</v>
      </c>
      <c r="BT35" s="167">
        <f t="shared" si="153"/>
        <v>0</v>
      </c>
      <c r="BU35" s="167">
        <f t="shared" si="251"/>
        <v>0</v>
      </c>
      <c r="BV35" s="167">
        <f t="shared" si="155"/>
        <v>0</v>
      </c>
      <c r="BW35" s="167">
        <f t="shared" si="252"/>
        <v>0</v>
      </c>
      <c r="BX35" s="167">
        <f t="shared" si="157"/>
        <v>0</v>
      </c>
      <c r="BY35" s="167">
        <f t="shared" si="253"/>
        <v>0</v>
      </c>
      <c r="BZ35" s="167">
        <f t="shared" si="159"/>
        <v>0</v>
      </c>
      <c r="CA35" s="167">
        <f t="shared" si="254"/>
        <v>0</v>
      </c>
      <c r="CB35" s="170">
        <f t="shared" si="161"/>
        <v>0</v>
      </c>
      <c r="CC35" s="167">
        <f t="shared" si="162"/>
        <v>0</v>
      </c>
      <c r="CD35" s="171">
        <f t="shared" si="163"/>
        <v>0</v>
      </c>
      <c r="CE35" s="169">
        <f t="shared" si="234"/>
        <v>0</v>
      </c>
      <c r="CF35" s="167">
        <f t="shared" si="255"/>
        <v>0</v>
      </c>
      <c r="CG35" s="167">
        <f t="shared" si="166"/>
        <v>0</v>
      </c>
      <c r="CH35" s="167">
        <f t="shared" si="256"/>
        <v>0</v>
      </c>
      <c r="CI35" s="167">
        <f t="shared" si="168"/>
        <v>0</v>
      </c>
      <c r="CJ35" s="167">
        <f t="shared" si="257"/>
        <v>0</v>
      </c>
      <c r="CK35" s="167">
        <f t="shared" si="170"/>
        <v>0</v>
      </c>
      <c r="CL35" s="167">
        <f t="shared" si="258"/>
        <v>0</v>
      </c>
      <c r="CM35" s="167">
        <f t="shared" si="172"/>
        <v>0</v>
      </c>
      <c r="CN35" s="167">
        <f t="shared" si="259"/>
        <v>0</v>
      </c>
      <c r="CO35" s="170">
        <f t="shared" si="174"/>
        <v>0</v>
      </c>
      <c r="CP35" s="167">
        <f t="shared" si="175"/>
        <v>0</v>
      </c>
      <c r="CQ35" s="171">
        <f t="shared" si="176"/>
        <v>0</v>
      </c>
      <c r="CR35" s="169">
        <f t="shared" si="260"/>
        <v>0</v>
      </c>
      <c r="CS35" s="167">
        <f t="shared" si="261"/>
        <v>0</v>
      </c>
      <c r="CT35" s="167">
        <f t="shared" si="179"/>
        <v>0</v>
      </c>
      <c r="CU35" s="167">
        <f t="shared" si="262"/>
        <v>0</v>
      </c>
      <c r="CV35" s="167">
        <f t="shared" si="181"/>
        <v>0</v>
      </c>
      <c r="CW35" s="167">
        <f t="shared" si="263"/>
        <v>0</v>
      </c>
      <c r="CX35" s="167">
        <f t="shared" si="183"/>
        <v>0</v>
      </c>
      <c r="CY35" s="167">
        <f t="shared" si="264"/>
        <v>0</v>
      </c>
      <c r="CZ35" s="167">
        <f t="shared" si="185"/>
        <v>0</v>
      </c>
      <c r="DA35" s="167">
        <f t="shared" si="265"/>
        <v>0</v>
      </c>
      <c r="DB35" s="170">
        <f t="shared" si="187"/>
        <v>0</v>
      </c>
      <c r="DC35" s="167">
        <f t="shared" si="188"/>
        <v>0</v>
      </c>
      <c r="DD35" s="171">
        <f t="shared" si="189"/>
        <v>0</v>
      </c>
      <c r="DE35" s="169">
        <f t="shared" si="260"/>
        <v>0</v>
      </c>
      <c r="DF35" s="167">
        <f t="shared" si="266"/>
        <v>0</v>
      </c>
      <c r="DG35" s="167">
        <f t="shared" si="192"/>
        <v>0</v>
      </c>
      <c r="DH35" s="167">
        <f t="shared" si="267"/>
        <v>0</v>
      </c>
      <c r="DI35" s="167">
        <f t="shared" si="194"/>
        <v>0</v>
      </c>
      <c r="DJ35" s="167">
        <f t="shared" si="268"/>
        <v>0</v>
      </c>
      <c r="DK35" s="167">
        <f t="shared" si="196"/>
        <v>0</v>
      </c>
      <c r="DL35" s="167">
        <f t="shared" si="269"/>
        <v>0</v>
      </c>
      <c r="DM35" s="167">
        <f t="shared" si="198"/>
        <v>0</v>
      </c>
      <c r="DN35" s="167">
        <f t="shared" si="270"/>
        <v>0</v>
      </c>
      <c r="DO35" s="170">
        <f t="shared" si="200"/>
        <v>0</v>
      </c>
      <c r="DP35" s="167">
        <f t="shared" si="201"/>
        <v>0</v>
      </c>
      <c r="DQ35" s="171">
        <f t="shared" si="202"/>
        <v>0</v>
      </c>
      <c r="DR35" s="169">
        <f t="shared" si="260"/>
        <v>0</v>
      </c>
      <c r="DS35" s="167">
        <f t="shared" si="271"/>
        <v>0</v>
      </c>
      <c r="DT35" s="167">
        <f t="shared" si="205"/>
        <v>0</v>
      </c>
      <c r="DU35" s="167">
        <f t="shared" si="272"/>
        <v>0</v>
      </c>
      <c r="DV35" s="167">
        <f t="shared" si="207"/>
        <v>0</v>
      </c>
      <c r="DW35" s="167">
        <f t="shared" si="273"/>
        <v>0</v>
      </c>
      <c r="DX35" s="167">
        <f t="shared" si="209"/>
        <v>0</v>
      </c>
      <c r="DY35" s="167">
        <f t="shared" si="274"/>
        <v>0</v>
      </c>
      <c r="DZ35" s="167">
        <f t="shared" si="211"/>
        <v>0</v>
      </c>
      <c r="EA35" s="167">
        <f t="shared" si="275"/>
        <v>0</v>
      </c>
      <c r="EB35" s="170">
        <f t="shared" si="213"/>
        <v>0</v>
      </c>
      <c r="EC35" s="167">
        <f t="shared" si="214"/>
        <v>0</v>
      </c>
      <c r="ED35" s="171">
        <f t="shared" si="215"/>
        <v>0</v>
      </c>
    </row>
    <row r="36" spans="1:134" x14ac:dyDescent="0.3">
      <c r="A36" s="196"/>
      <c r="B36" s="196"/>
      <c r="C36" s="196"/>
      <c r="D36" s="188"/>
      <c r="E36" s="624"/>
      <c r="F36" s="190"/>
      <c r="G36" s="625"/>
      <c r="H36" s="192"/>
      <c r="I36" s="193"/>
      <c r="J36" s="194"/>
      <c r="K36" s="165">
        <f t="shared" si="216"/>
        <v>0</v>
      </c>
      <c r="L36" s="166">
        <f t="shared" si="217"/>
        <v>0</v>
      </c>
      <c r="M36" s="167">
        <f t="shared" si="218"/>
        <v>0</v>
      </c>
      <c r="N36" s="167"/>
      <c r="O36" s="167">
        <f t="shared" si="219"/>
        <v>0</v>
      </c>
      <c r="P36" s="168"/>
      <c r="Q36" s="167">
        <f t="shared" si="220"/>
        <v>0</v>
      </c>
      <c r="R36" s="169">
        <f t="shared" si="221"/>
        <v>0</v>
      </c>
      <c r="S36" s="167">
        <f t="shared" si="222"/>
        <v>0</v>
      </c>
      <c r="T36" s="167">
        <f t="shared" si="223"/>
        <v>0</v>
      </c>
      <c r="U36" s="167">
        <f t="shared" si="224"/>
        <v>0</v>
      </c>
      <c r="V36" s="167">
        <f t="shared" si="225"/>
        <v>0</v>
      </c>
      <c r="W36" s="167">
        <f t="shared" si="226"/>
        <v>0</v>
      </c>
      <c r="X36" s="167">
        <f t="shared" si="227"/>
        <v>0</v>
      </c>
      <c r="Y36" s="167">
        <f t="shared" si="228"/>
        <v>0</v>
      </c>
      <c r="Z36" s="167">
        <f t="shared" si="229"/>
        <v>0</v>
      </c>
      <c r="AA36" s="167">
        <f t="shared" si="230"/>
        <v>0</v>
      </c>
      <c r="AB36" s="170">
        <f t="shared" si="231"/>
        <v>0</v>
      </c>
      <c r="AC36" s="167">
        <f t="shared" si="232"/>
        <v>0</v>
      </c>
      <c r="AD36" s="171">
        <f t="shared" si="233"/>
        <v>0</v>
      </c>
      <c r="AE36" s="169">
        <f t="shared" si="234"/>
        <v>0</v>
      </c>
      <c r="AF36" s="167">
        <f t="shared" si="235"/>
        <v>0</v>
      </c>
      <c r="AG36" s="167">
        <f t="shared" si="114"/>
        <v>0</v>
      </c>
      <c r="AH36" s="167">
        <f t="shared" si="236"/>
        <v>0</v>
      </c>
      <c r="AI36" s="167">
        <f t="shared" si="116"/>
        <v>0</v>
      </c>
      <c r="AJ36" s="167">
        <f t="shared" si="237"/>
        <v>0</v>
      </c>
      <c r="AK36" s="167">
        <f t="shared" si="118"/>
        <v>0</v>
      </c>
      <c r="AL36" s="167">
        <f t="shared" si="238"/>
        <v>0</v>
      </c>
      <c r="AM36" s="167">
        <f t="shared" si="120"/>
        <v>0</v>
      </c>
      <c r="AN36" s="167">
        <f t="shared" si="239"/>
        <v>0</v>
      </c>
      <c r="AO36" s="170">
        <f t="shared" si="122"/>
        <v>0</v>
      </c>
      <c r="AP36" s="167">
        <f t="shared" si="123"/>
        <v>0</v>
      </c>
      <c r="AQ36" s="171">
        <f t="shared" si="124"/>
        <v>0</v>
      </c>
      <c r="AR36" s="169">
        <f t="shared" si="234"/>
        <v>0</v>
      </c>
      <c r="AS36" s="167">
        <f t="shared" si="240"/>
        <v>0</v>
      </c>
      <c r="AT36" s="167">
        <f t="shared" si="127"/>
        <v>0</v>
      </c>
      <c r="AU36" s="167">
        <f t="shared" si="241"/>
        <v>0</v>
      </c>
      <c r="AV36" s="167">
        <f t="shared" si="129"/>
        <v>0</v>
      </c>
      <c r="AW36" s="167">
        <f t="shared" si="242"/>
        <v>0</v>
      </c>
      <c r="AX36" s="167">
        <f t="shared" si="131"/>
        <v>0</v>
      </c>
      <c r="AY36" s="167">
        <f t="shared" si="243"/>
        <v>0</v>
      </c>
      <c r="AZ36" s="167">
        <f t="shared" si="133"/>
        <v>0</v>
      </c>
      <c r="BA36" s="167">
        <f t="shared" si="244"/>
        <v>0</v>
      </c>
      <c r="BB36" s="170">
        <f t="shared" si="135"/>
        <v>0</v>
      </c>
      <c r="BC36" s="167">
        <f t="shared" si="136"/>
        <v>0</v>
      </c>
      <c r="BD36" s="171">
        <f t="shared" si="137"/>
        <v>0</v>
      </c>
      <c r="BE36" s="169">
        <f t="shared" si="234"/>
        <v>0</v>
      </c>
      <c r="BF36" s="167">
        <f t="shared" si="245"/>
        <v>0</v>
      </c>
      <c r="BG36" s="167">
        <f t="shared" si="140"/>
        <v>0</v>
      </c>
      <c r="BH36" s="167">
        <f t="shared" si="246"/>
        <v>0</v>
      </c>
      <c r="BI36" s="167">
        <f t="shared" si="142"/>
        <v>0</v>
      </c>
      <c r="BJ36" s="167">
        <f t="shared" si="247"/>
        <v>0</v>
      </c>
      <c r="BK36" s="167">
        <f t="shared" si="144"/>
        <v>0</v>
      </c>
      <c r="BL36" s="167">
        <f t="shared" si="248"/>
        <v>0</v>
      </c>
      <c r="BM36" s="167">
        <f t="shared" si="146"/>
        <v>0</v>
      </c>
      <c r="BN36" s="167">
        <f t="shared" si="249"/>
        <v>0</v>
      </c>
      <c r="BO36" s="170">
        <f t="shared" si="148"/>
        <v>0</v>
      </c>
      <c r="BP36" s="167">
        <f t="shared" si="149"/>
        <v>0</v>
      </c>
      <c r="BQ36" s="171">
        <f t="shared" si="150"/>
        <v>0</v>
      </c>
      <c r="BR36" s="169">
        <f t="shared" si="234"/>
        <v>0</v>
      </c>
      <c r="BS36" s="167">
        <f t="shared" si="250"/>
        <v>0</v>
      </c>
      <c r="BT36" s="167">
        <f t="shared" si="153"/>
        <v>0</v>
      </c>
      <c r="BU36" s="167">
        <f t="shared" si="251"/>
        <v>0</v>
      </c>
      <c r="BV36" s="167">
        <f t="shared" si="155"/>
        <v>0</v>
      </c>
      <c r="BW36" s="167">
        <f t="shared" si="252"/>
        <v>0</v>
      </c>
      <c r="BX36" s="167">
        <f t="shared" si="157"/>
        <v>0</v>
      </c>
      <c r="BY36" s="167">
        <f t="shared" si="253"/>
        <v>0</v>
      </c>
      <c r="BZ36" s="167">
        <f t="shared" si="159"/>
        <v>0</v>
      </c>
      <c r="CA36" s="167">
        <f t="shared" si="254"/>
        <v>0</v>
      </c>
      <c r="CB36" s="170">
        <f t="shared" si="161"/>
        <v>0</v>
      </c>
      <c r="CC36" s="167">
        <f t="shared" si="162"/>
        <v>0</v>
      </c>
      <c r="CD36" s="171">
        <f t="shared" si="163"/>
        <v>0</v>
      </c>
      <c r="CE36" s="169">
        <f t="shared" si="234"/>
        <v>0</v>
      </c>
      <c r="CF36" s="167">
        <f t="shared" si="255"/>
        <v>0</v>
      </c>
      <c r="CG36" s="167">
        <f t="shared" si="166"/>
        <v>0</v>
      </c>
      <c r="CH36" s="167">
        <f t="shared" si="256"/>
        <v>0</v>
      </c>
      <c r="CI36" s="167">
        <f t="shared" si="168"/>
        <v>0</v>
      </c>
      <c r="CJ36" s="167">
        <f t="shared" si="257"/>
        <v>0</v>
      </c>
      <c r="CK36" s="167">
        <f t="shared" si="170"/>
        <v>0</v>
      </c>
      <c r="CL36" s="167">
        <f t="shared" si="258"/>
        <v>0</v>
      </c>
      <c r="CM36" s="167">
        <f t="shared" si="172"/>
        <v>0</v>
      </c>
      <c r="CN36" s="167">
        <f t="shared" si="259"/>
        <v>0</v>
      </c>
      <c r="CO36" s="170">
        <f t="shared" si="174"/>
        <v>0</v>
      </c>
      <c r="CP36" s="167">
        <f t="shared" si="175"/>
        <v>0</v>
      </c>
      <c r="CQ36" s="171">
        <f t="shared" si="176"/>
        <v>0</v>
      </c>
      <c r="CR36" s="169">
        <f t="shared" si="260"/>
        <v>0</v>
      </c>
      <c r="CS36" s="167">
        <f t="shared" si="261"/>
        <v>0</v>
      </c>
      <c r="CT36" s="167">
        <f t="shared" si="179"/>
        <v>0</v>
      </c>
      <c r="CU36" s="167">
        <f t="shared" si="262"/>
        <v>0</v>
      </c>
      <c r="CV36" s="167">
        <f t="shared" si="181"/>
        <v>0</v>
      </c>
      <c r="CW36" s="167">
        <f t="shared" si="263"/>
        <v>0</v>
      </c>
      <c r="CX36" s="167">
        <f t="shared" si="183"/>
        <v>0</v>
      </c>
      <c r="CY36" s="167">
        <f t="shared" si="264"/>
        <v>0</v>
      </c>
      <c r="CZ36" s="167">
        <f t="shared" si="185"/>
        <v>0</v>
      </c>
      <c r="DA36" s="167">
        <f t="shared" si="265"/>
        <v>0</v>
      </c>
      <c r="DB36" s="170">
        <f t="shared" si="187"/>
        <v>0</v>
      </c>
      <c r="DC36" s="167">
        <f t="shared" si="188"/>
        <v>0</v>
      </c>
      <c r="DD36" s="171">
        <f t="shared" si="189"/>
        <v>0</v>
      </c>
      <c r="DE36" s="169">
        <f t="shared" si="260"/>
        <v>0</v>
      </c>
      <c r="DF36" s="167">
        <f t="shared" si="266"/>
        <v>0</v>
      </c>
      <c r="DG36" s="167">
        <f t="shared" si="192"/>
        <v>0</v>
      </c>
      <c r="DH36" s="167">
        <f t="shared" si="267"/>
        <v>0</v>
      </c>
      <c r="DI36" s="167">
        <f t="shared" si="194"/>
        <v>0</v>
      </c>
      <c r="DJ36" s="167">
        <f t="shared" si="268"/>
        <v>0</v>
      </c>
      <c r="DK36" s="167">
        <f t="shared" si="196"/>
        <v>0</v>
      </c>
      <c r="DL36" s="167">
        <f t="shared" si="269"/>
        <v>0</v>
      </c>
      <c r="DM36" s="167">
        <f t="shared" si="198"/>
        <v>0</v>
      </c>
      <c r="DN36" s="167">
        <f t="shared" si="270"/>
        <v>0</v>
      </c>
      <c r="DO36" s="170">
        <f t="shared" si="200"/>
        <v>0</v>
      </c>
      <c r="DP36" s="167">
        <f t="shared" si="201"/>
        <v>0</v>
      </c>
      <c r="DQ36" s="171">
        <f t="shared" si="202"/>
        <v>0</v>
      </c>
      <c r="DR36" s="169">
        <f t="shared" si="260"/>
        <v>0</v>
      </c>
      <c r="DS36" s="167">
        <f t="shared" si="271"/>
        <v>0</v>
      </c>
      <c r="DT36" s="167">
        <f t="shared" si="205"/>
        <v>0</v>
      </c>
      <c r="DU36" s="167">
        <f t="shared" si="272"/>
        <v>0</v>
      </c>
      <c r="DV36" s="167">
        <f t="shared" si="207"/>
        <v>0</v>
      </c>
      <c r="DW36" s="167">
        <f t="shared" si="273"/>
        <v>0</v>
      </c>
      <c r="DX36" s="167">
        <f t="shared" si="209"/>
        <v>0</v>
      </c>
      <c r="DY36" s="167">
        <f t="shared" si="274"/>
        <v>0</v>
      </c>
      <c r="DZ36" s="167">
        <f t="shared" si="211"/>
        <v>0</v>
      </c>
      <c r="EA36" s="167">
        <f t="shared" si="275"/>
        <v>0</v>
      </c>
      <c r="EB36" s="170">
        <f t="shared" si="213"/>
        <v>0</v>
      </c>
      <c r="EC36" s="167">
        <f t="shared" si="214"/>
        <v>0</v>
      </c>
      <c r="ED36" s="171">
        <f t="shared" si="215"/>
        <v>0</v>
      </c>
    </row>
    <row r="37" spans="1:134" x14ac:dyDescent="0.3">
      <c r="A37" s="196"/>
      <c r="B37" s="196"/>
      <c r="C37" s="196"/>
      <c r="D37" s="188"/>
      <c r="E37" s="624"/>
      <c r="F37" s="190"/>
      <c r="G37" s="625"/>
      <c r="H37" s="192"/>
      <c r="I37" s="193"/>
      <c r="J37" s="194"/>
      <c r="K37" s="165">
        <f t="shared" si="216"/>
        <v>0</v>
      </c>
      <c r="L37" s="166">
        <f t="shared" si="217"/>
        <v>0</v>
      </c>
      <c r="M37" s="167">
        <f t="shared" si="218"/>
        <v>0</v>
      </c>
      <c r="N37" s="167"/>
      <c r="O37" s="167">
        <f t="shared" si="219"/>
        <v>0</v>
      </c>
      <c r="P37" s="168"/>
      <c r="Q37" s="167">
        <f t="shared" si="220"/>
        <v>0</v>
      </c>
      <c r="R37" s="169">
        <f t="shared" si="221"/>
        <v>0</v>
      </c>
      <c r="S37" s="167">
        <f t="shared" si="222"/>
        <v>0</v>
      </c>
      <c r="T37" s="167">
        <f t="shared" si="223"/>
        <v>0</v>
      </c>
      <c r="U37" s="167">
        <f t="shared" si="224"/>
        <v>0</v>
      </c>
      <c r="V37" s="167">
        <f t="shared" si="225"/>
        <v>0</v>
      </c>
      <c r="W37" s="167">
        <f t="shared" si="226"/>
        <v>0</v>
      </c>
      <c r="X37" s="167">
        <f t="shared" si="227"/>
        <v>0</v>
      </c>
      <c r="Y37" s="167">
        <f t="shared" si="228"/>
        <v>0</v>
      </c>
      <c r="Z37" s="167">
        <f t="shared" si="229"/>
        <v>0</v>
      </c>
      <c r="AA37" s="167">
        <f t="shared" si="230"/>
        <v>0</v>
      </c>
      <c r="AB37" s="170">
        <f t="shared" si="231"/>
        <v>0</v>
      </c>
      <c r="AC37" s="167">
        <f t="shared" si="232"/>
        <v>0</v>
      </c>
      <c r="AD37" s="171">
        <f t="shared" si="233"/>
        <v>0</v>
      </c>
      <c r="AE37" s="169">
        <f t="shared" ref="AE37:CE52" si="276">IF(YEAR($F37)=AE$4,$E37,0)</f>
        <v>0</v>
      </c>
      <c r="AF37" s="167">
        <f t="shared" si="235"/>
        <v>0</v>
      </c>
      <c r="AG37" s="167">
        <f t="shared" si="114"/>
        <v>0</v>
      </c>
      <c r="AH37" s="167">
        <f t="shared" si="236"/>
        <v>0</v>
      </c>
      <c r="AI37" s="167">
        <f t="shared" si="116"/>
        <v>0</v>
      </c>
      <c r="AJ37" s="167">
        <f t="shared" si="237"/>
        <v>0</v>
      </c>
      <c r="AK37" s="167">
        <f t="shared" si="118"/>
        <v>0</v>
      </c>
      <c r="AL37" s="167">
        <f t="shared" si="238"/>
        <v>0</v>
      </c>
      <c r="AM37" s="167">
        <f t="shared" si="120"/>
        <v>0</v>
      </c>
      <c r="AN37" s="167">
        <f t="shared" si="239"/>
        <v>0</v>
      </c>
      <c r="AO37" s="170">
        <f t="shared" si="122"/>
        <v>0</v>
      </c>
      <c r="AP37" s="167">
        <f t="shared" si="123"/>
        <v>0</v>
      </c>
      <c r="AQ37" s="171">
        <f t="shared" si="124"/>
        <v>0</v>
      </c>
      <c r="AR37" s="169">
        <f t="shared" si="276"/>
        <v>0</v>
      </c>
      <c r="AS37" s="167">
        <f t="shared" si="240"/>
        <v>0</v>
      </c>
      <c r="AT37" s="167">
        <f t="shared" si="127"/>
        <v>0</v>
      </c>
      <c r="AU37" s="167">
        <f t="shared" si="241"/>
        <v>0</v>
      </c>
      <c r="AV37" s="167">
        <f t="shared" si="129"/>
        <v>0</v>
      </c>
      <c r="AW37" s="167">
        <f t="shared" si="242"/>
        <v>0</v>
      </c>
      <c r="AX37" s="167">
        <f t="shared" si="131"/>
        <v>0</v>
      </c>
      <c r="AY37" s="167">
        <f t="shared" si="243"/>
        <v>0</v>
      </c>
      <c r="AZ37" s="167">
        <f t="shared" si="133"/>
        <v>0</v>
      </c>
      <c r="BA37" s="167">
        <f t="shared" si="244"/>
        <v>0</v>
      </c>
      <c r="BB37" s="170">
        <f t="shared" si="135"/>
        <v>0</v>
      </c>
      <c r="BC37" s="167">
        <f t="shared" si="136"/>
        <v>0</v>
      </c>
      <c r="BD37" s="171">
        <f t="shared" si="137"/>
        <v>0</v>
      </c>
      <c r="BE37" s="169">
        <f t="shared" si="276"/>
        <v>0</v>
      </c>
      <c r="BF37" s="167">
        <f t="shared" si="245"/>
        <v>0</v>
      </c>
      <c r="BG37" s="167">
        <f t="shared" si="140"/>
        <v>0</v>
      </c>
      <c r="BH37" s="167">
        <f t="shared" si="246"/>
        <v>0</v>
      </c>
      <c r="BI37" s="167">
        <f t="shared" si="142"/>
        <v>0</v>
      </c>
      <c r="BJ37" s="167">
        <f t="shared" si="247"/>
        <v>0</v>
      </c>
      <c r="BK37" s="167">
        <f t="shared" si="144"/>
        <v>0</v>
      </c>
      <c r="BL37" s="167">
        <f t="shared" si="248"/>
        <v>0</v>
      </c>
      <c r="BM37" s="167">
        <f t="shared" si="146"/>
        <v>0</v>
      </c>
      <c r="BN37" s="167">
        <f t="shared" si="249"/>
        <v>0</v>
      </c>
      <c r="BO37" s="170">
        <f t="shared" si="148"/>
        <v>0</v>
      </c>
      <c r="BP37" s="167">
        <f t="shared" si="149"/>
        <v>0</v>
      </c>
      <c r="BQ37" s="171">
        <f t="shared" si="150"/>
        <v>0</v>
      </c>
      <c r="BR37" s="169">
        <f t="shared" si="276"/>
        <v>0</v>
      </c>
      <c r="BS37" s="167">
        <f t="shared" si="250"/>
        <v>0</v>
      </c>
      <c r="BT37" s="167">
        <f t="shared" si="153"/>
        <v>0</v>
      </c>
      <c r="BU37" s="167">
        <f t="shared" si="251"/>
        <v>0</v>
      </c>
      <c r="BV37" s="167">
        <f t="shared" si="155"/>
        <v>0</v>
      </c>
      <c r="BW37" s="167">
        <f t="shared" si="252"/>
        <v>0</v>
      </c>
      <c r="BX37" s="167">
        <f t="shared" si="157"/>
        <v>0</v>
      </c>
      <c r="BY37" s="167">
        <f t="shared" si="253"/>
        <v>0</v>
      </c>
      <c r="BZ37" s="167">
        <f t="shared" si="159"/>
        <v>0</v>
      </c>
      <c r="CA37" s="167">
        <f t="shared" si="254"/>
        <v>0</v>
      </c>
      <c r="CB37" s="170">
        <f t="shared" si="161"/>
        <v>0</v>
      </c>
      <c r="CC37" s="167">
        <f t="shared" si="162"/>
        <v>0</v>
      </c>
      <c r="CD37" s="171">
        <f t="shared" si="163"/>
        <v>0</v>
      </c>
      <c r="CE37" s="169">
        <f t="shared" si="276"/>
        <v>0</v>
      </c>
      <c r="CF37" s="167">
        <f t="shared" si="255"/>
        <v>0</v>
      </c>
      <c r="CG37" s="167">
        <f t="shared" si="166"/>
        <v>0</v>
      </c>
      <c r="CH37" s="167">
        <f t="shared" si="256"/>
        <v>0</v>
      </c>
      <c r="CI37" s="167">
        <f t="shared" si="168"/>
        <v>0</v>
      </c>
      <c r="CJ37" s="167">
        <f t="shared" si="257"/>
        <v>0</v>
      </c>
      <c r="CK37" s="167">
        <f t="shared" si="170"/>
        <v>0</v>
      </c>
      <c r="CL37" s="167">
        <f t="shared" si="258"/>
        <v>0</v>
      </c>
      <c r="CM37" s="167">
        <f t="shared" si="172"/>
        <v>0</v>
      </c>
      <c r="CN37" s="167">
        <f t="shared" si="259"/>
        <v>0</v>
      </c>
      <c r="CO37" s="170">
        <f t="shared" si="174"/>
        <v>0</v>
      </c>
      <c r="CP37" s="167">
        <f t="shared" si="175"/>
        <v>0</v>
      </c>
      <c r="CQ37" s="171">
        <f t="shared" si="176"/>
        <v>0</v>
      </c>
      <c r="CR37" s="169">
        <f t="shared" ref="CR37:DR52" si="277">IF(YEAR($F37)=CR$4,$E37,0)</f>
        <v>0</v>
      </c>
      <c r="CS37" s="167">
        <f t="shared" si="261"/>
        <v>0</v>
      </c>
      <c r="CT37" s="167">
        <f t="shared" si="179"/>
        <v>0</v>
      </c>
      <c r="CU37" s="167">
        <f t="shared" si="262"/>
        <v>0</v>
      </c>
      <c r="CV37" s="167">
        <f t="shared" si="181"/>
        <v>0</v>
      </c>
      <c r="CW37" s="167">
        <f t="shared" si="263"/>
        <v>0</v>
      </c>
      <c r="CX37" s="167">
        <f t="shared" si="183"/>
        <v>0</v>
      </c>
      <c r="CY37" s="167">
        <f t="shared" si="264"/>
        <v>0</v>
      </c>
      <c r="CZ37" s="167">
        <f t="shared" si="185"/>
        <v>0</v>
      </c>
      <c r="DA37" s="167">
        <f t="shared" si="265"/>
        <v>0</v>
      </c>
      <c r="DB37" s="170">
        <f t="shared" si="187"/>
        <v>0</v>
      </c>
      <c r="DC37" s="167">
        <f t="shared" si="188"/>
        <v>0</v>
      </c>
      <c r="DD37" s="171">
        <f t="shared" si="189"/>
        <v>0</v>
      </c>
      <c r="DE37" s="169">
        <f t="shared" si="277"/>
        <v>0</v>
      </c>
      <c r="DF37" s="167">
        <f t="shared" si="266"/>
        <v>0</v>
      </c>
      <c r="DG37" s="167">
        <f t="shared" si="192"/>
        <v>0</v>
      </c>
      <c r="DH37" s="167">
        <f t="shared" si="267"/>
        <v>0</v>
      </c>
      <c r="DI37" s="167">
        <f t="shared" si="194"/>
        <v>0</v>
      </c>
      <c r="DJ37" s="167">
        <f t="shared" si="268"/>
        <v>0</v>
      </c>
      <c r="DK37" s="167">
        <f t="shared" si="196"/>
        <v>0</v>
      </c>
      <c r="DL37" s="167">
        <f t="shared" si="269"/>
        <v>0</v>
      </c>
      <c r="DM37" s="167">
        <f t="shared" si="198"/>
        <v>0</v>
      </c>
      <c r="DN37" s="167">
        <f t="shared" si="270"/>
        <v>0</v>
      </c>
      <c r="DO37" s="170">
        <f t="shared" si="200"/>
        <v>0</v>
      </c>
      <c r="DP37" s="167">
        <f t="shared" si="201"/>
        <v>0</v>
      </c>
      <c r="DQ37" s="171">
        <f t="shared" si="202"/>
        <v>0</v>
      </c>
      <c r="DR37" s="169">
        <f t="shared" si="277"/>
        <v>0</v>
      </c>
      <c r="DS37" s="167">
        <f t="shared" si="271"/>
        <v>0</v>
      </c>
      <c r="DT37" s="167">
        <f t="shared" si="205"/>
        <v>0</v>
      </c>
      <c r="DU37" s="167">
        <f t="shared" si="272"/>
        <v>0</v>
      </c>
      <c r="DV37" s="167">
        <f t="shared" si="207"/>
        <v>0</v>
      </c>
      <c r="DW37" s="167">
        <f t="shared" si="273"/>
        <v>0</v>
      </c>
      <c r="DX37" s="167">
        <f t="shared" si="209"/>
        <v>0</v>
      </c>
      <c r="DY37" s="167">
        <f t="shared" si="274"/>
        <v>0</v>
      </c>
      <c r="DZ37" s="167">
        <f t="shared" si="211"/>
        <v>0</v>
      </c>
      <c r="EA37" s="167">
        <f t="shared" si="275"/>
        <v>0</v>
      </c>
      <c r="EB37" s="170">
        <f t="shared" si="213"/>
        <v>0</v>
      </c>
      <c r="EC37" s="167">
        <f t="shared" si="214"/>
        <v>0</v>
      </c>
      <c r="ED37" s="171">
        <f t="shared" si="215"/>
        <v>0</v>
      </c>
    </row>
    <row r="38" spans="1:134" x14ac:dyDescent="0.3">
      <c r="A38" s="196"/>
      <c r="B38" s="196"/>
      <c r="C38" s="196"/>
      <c r="D38" s="188"/>
      <c r="E38" s="624"/>
      <c r="F38" s="190"/>
      <c r="G38" s="625"/>
      <c r="H38" s="192"/>
      <c r="I38" s="193"/>
      <c r="J38" s="194"/>
      <c r="K38" s="165">
        <f t="shared" si="216"/>
        <v>0</v>
      </c>
      <c r="L38" s="166">
        <f t="shared" si="217"/>
        <v>0</v>
      </c>
      <c r="M38" s="167">
        <f t="shared" si="218"/>
        <v>0</v>
      </c>
      <c r="N38" s="167"/>
      <c r="O38" s="167">
        <f t="shared" si="219"/>
        <v>0</v>
      </c>
      <c r="P38" s="168"/>
      <c r="Q38" s="167">
        <f t="shared" si="220"/>
        <v>0</v>
      </c>
      <c r="R38" s="169">
        <f t="shared" si="221"/>
        <v>0</v>
      </c>
      <c r="S38" s="167">
        <f t="shared" si="222"/>
        <v>0</v>
      </c>
      <c r="T38" s="167">
        <f t="shared" si="223"/>
        <v>0</v>
      </c>
      <c r="U38" s="167">
        <f t="shared" si="224"/>
        <v>0</v>
      </c>
      <c r="V38" s="167">
        <f t="shared" si="225"/>
        <v>0</v>
      </c>
      <c r="W38" s="167">
        <f t="shared" si="226"/>
        <v>0</v>
      </c>
      <c r="X38" s="167">
        <f t="shared" si="227"/>
        <v>0</v>
      </c>
      <c r="Y38" s="167">
        <f t="shared" si="228"/>
        <v>0</v>
      </c>
      <c r="Z38" s="167">
        <f t="shared" si="229"/>
        <v>0</v>
      </c>
      <c r="AA38" s="167">
        <f t="shared" si="230"/>
        <v>0</v>
      </c>
      <c r="AB38" s="170">
        <f t="shared" si="231"/>
        <v>0</v>
      </c>
      <c r="AC38" s="167">
        <f t="shared" si="232"/>
        <v>0</v>
      </c>
      <c r="AD38" s="171">
        <f t="shared" si="233"/>
        <v>0</v>
      </c>
      <c r="AE38" s="169">
        <f t="shared" si="276"/>
        <v>0</v>
      </c>
      <c r="AF38" s="167">
        <f t="shared" si="235"/>
        <v>0</v>
      </c>
      <c r="AG38" s="167">
        <f t="shared" si="114"/>
        <v>0</v>
      </c>
      <c r="AH38" s="167">
        <f t="shared" si="236"/>
        <v>0</v>
      </c>
      <c r="AI38" s="167">
        <f t="shared" si="116"/>
        <v>0</v>
      </c>
      <c r="AJ38" s="167">
        <f t="shared" si="237"/>
        <v>0</v>
      </c>
      <c r="AK38" s="167">
        <f t="shared" si="118"/>
        <v>0</v>
      </c>
      <c r="AL38" s="167">
        <f t="shared" si="238"/>
        <v>0</v>
      </c>
      <c r="AM38" s="167">
        <f t="shared" si="120"/>
        <v>0</v>
      </c>
      <c r="AN38" s="167">
        <f t="shared" si="239"/>
        <v>0</v>
      </c>
      <c r="AO38" s="170">
        <f t="shared" si="122"/>
        <v>0</v>
      </c>
      <c r="AP38" s="167">
        <f t="shared" si="123"/>
        <v>0</v>
      </c>
      <c r="AQ38" s="171">
        <f t="shared" si="124"/>
        <v>0</v>
      </c>
      <c r="AR38" s="169">
        <f t="shared" si="276"/>
        <v>0</v>
      </c>
      <c r="AS38" s="167">
        <f t="shared" si="240"/>
        <v>0</v>
      </c>
      <c r="AT38" s="167">
        <f t="shared" si="127"/>
        <v>0</v>
      </c>
      <c r="AU38" s="167">
        <f t="shared" si="241"/>
        <v>0</v>
      </c>
      <c r="AV38" s="167">
        <f t="shared" si="129"/>
        <v>0</v>
      </c>
      <c r="AW38" s="167">
        <f t="shared" si="242"/>
        <v>0</v>
      </c>
      <c r="AX38" s="167">
        <f t="shared" si="131"/>
        <v>0</v>
      </c>
      <c r="AY38" s="167">
        <f t="shared" si="243"/>
        <v>0</v>
      </c>
      <c r="AZ38" s="167">
        <f t="shared" si="133"/>
        <v>0</v>
      </c>
      <c r="BA38" s="167">
        <f t="shared" si="244"/>
        <v>0</v>
      </c>
      <c r="BB38" s="170">
        <f t="shared" si="135"/>
        <v>0</v>
      </c>
      <c r="BC38" s="167">
        <f t="shared" si="136"/>
        <v>0</v>
      </c>
      <c r="BD38" s="171">
        <f t="shared" si="137"/>
        <v>0</v>
      </c>
      <c r="BE38" s="169">
        <f t="shared" si="276"/>
        <v>0</v>
      </c>
      <c r="BF38" s="167">
        <f t="shared" si="245"/>
        <v>0</v>
      </c>
      <c r="BG38" s="167">
        <f t="shared" si="140"/>
        <v>0</v>
      </c>
      <c r="BH38" s="167">
        <f t="shared" si="246"/>
        <v>0</v>
      </c>
      <c r="BI38" s="167">
        <f t="shared" si="142"/>
        <v>0</v>
      </c>
      <c r="BJ38" s="167">
        <f t="shared" si="247"/>
        <v>0</v>
      </c>
      <c r="BK38" s="167">
        <f t="shared" si="144"/>
        <v>0</v>
      </c>
      <c r="BL38" s="167">
        <f t="shared" si="248"/>
        <v>0</v>
      </c>
      <c r="BM38" s="167">
        <f t="shared" si="146"/>
        <v>0</v>
      </c>
      <c r="BN38" s="167">
        <f t="shared" si="249"/>
        <v>0</v>
      </c>
      <c r="BO38" s="170">
        <f t="shared" si="148"/>
        <v>0</v>
      </c>
      <c r="BP38" s="167">
        <f t="shared" si="149"/>
        <v>0</v>
      </c>
      <c r="BQ38" s="171">
        <f t="shared" si="150"/>
        <v>0</v>
      </c>
      <c r="BR38" s="169">
        <f t="shared" si="276"/>
        <v>0</v>
      </c>
      <c r="BS38" s="167">
        <f t="shared" si="250"/>
        <v>0</v>
      </c>
      <c r="BT38" s="167">
        <f t="shared" si="153"/>
        <v>0</v>
      </c>
      <c r="BU38" s="167">
        <f t="shared" si="251"/>
        <v>0</v>
      </c>
      <c r="BV38" s="167">
        <f t="shared" si="155"/>
        <v>0</v>
      </c>
      <c r="BW38" s="167">
        <f t="shared" si="252"/>
        <v>0</v>
      </c>
      <c r="BX38" s="167">
        <f t="shared" si="157"/>
        <v>0</v>
      </c>
      <c r="BY38" s="167">
        <f t="shared" si="253"/>
        <v>0</v>
      </c>
      <c r="BZ38" s="167">
        <f t="shared" si="159"/>
        <v>0</v>
      </c>
      <c r="CA38" s="167">
        <f t="shared" si="254"/>
        <v>0</v>
      </c>
      <c r="CB38" s="170">
        <f t="shared" si="161"/>
        <v>0</v>
      </c>
      <c r="CC38" s="167">
        <f t="shared" si="162"/>
        <v>0</v>
      </c>
      <c r="CD38" s="171">
        <f t="shared" si="163"/>
        <v>0</v>
      </c>
      <c r="CE38" s="169">
        <f t="shared" si="276"/>
        <v>0</v>
      </c>
      <c r="CF38" s="167">
        <f t="shared" si="255"/>
        <v>0</v>
      </c>
      <c r="CG38" s="167">
        <f t="shared" si="166"/>
        <v>0</v>
      </c>
      <c r="CH38" s="167">
        <f t="shared" si="256"/>
        <v>0</v>
      </c>
      <c r="CI38" s="167">
        <f t="shared" si="168"/>
        <v>0</v>
      </c>
      <c r="CJ38" s="167">
        <f t="shared" si="257"/>
        <v>0</v>
      </c>
      <c r="CK38" s="167">
        <f t="shared" si="170"/>
        <v>0</v>
      </c>
      <c r="CL38" s="167">
        <f t="shared" si="258"/>
        <v>0</v>
      </c>
      <c r="CM38" s="167">
        <f t="shared" si="172"/>
        <v>0</v>
      </c>
      <c r="CN38" s="167">
        <f t="shared" si="259"/>
        <v>0</v>
      </c>
      <c r="CO38" s="170">
        <f t="shared" si="174"/>
        <v>0</v>
      </c>
      <c r="CP38" s="167">
        <f t="shared" si="175"/>
        <v>0</v>
      </c>
      <c r="CQ38" s="171">
        <f t="shared" si="176"/>
        <v>0</v>
      </c>
      <c r="CR38" s="169">
        <f t="shared" si="277"/>
        <v>0</v>
      </c>
      <c r="CS38" s="167">
        <f t="shared" si="261"/>
        <v>0</v>
      </c>
      <c r="CT38" s="167">
        <f t="shared" si="179"/>
        <v>0</v>
      </c>
      <c r="CU38" s="167">
        <f t="shared" si="262"/>
        <v>0</v>
      </c>
      <c r="CV38" s="167">
        <f t="shared" si="181"/>
        <v>0</v>
      </c>
      <c r="CW38" s="167">
        <f t="shared" si="263"/>
        <v>0</v>
      </c>
      <c r="CX38" s="167">
        <f t="shared" si="183"/>
        <v>0</v>
      </c>
      <c r="CY38" s="167">
        <f t="shared" si="264"/>
        <v>0</v>
      </c>
      <c r="CZ38" s="167">
        <f t="shared" si="185"/>
        <v>0</v>
      </c>
      <c r="DA38" s="167">
        <f t="shared" si="265"/>
        <v>0</v>
      </c>
      <c r="DB38" s="170">
        <f t="shared" si="187"/>
        <v>0</v>
      </c>
      <c r="DC38" s="167">
        <f t="shared" si="188"/>
        <v>0</v>
      </c>
      <c r="DD38" s="171">
        <f t="shared" si="189"/>
        <v>0</v>
      </c>
      <c r="DE38" s="169">
        <f t="shared" si="277"/>
        <v>0</v>
      </c>
      <c r="DF38" s="167">
        <f t="shared" si="266"/>
        <v>0</v>
      </c>
      <c r="DG38" s="167">
        <f t="shared" si="192"/>
        <v>0</v>
      </c>
      <c r="DH38" s="167">
        <f t="shared" si="267"/>
        <v>0</v>
      </c>
      <c r="DI38" s="167">
        <f t="shared" si="194"/>
        <v>0</v>
      </c>
      <c r="DJ38" s="167">
        <f t="shared" si="268"/>
        <v>0</v>
      </c>
      <c r="DK38" s="167">
        <f t="shared" si="196"/>
        <v>0</v>
      </c>
      <c r="DL38" s="167">
        <f t="shared" si="269"/>
        <v>0</v>
      </c>
      <c r="DM38" s="167">
        <f t="shared" si="198"/>
        <v>0</v>
      </c>
      <c r="DN38" s="167">
        <f t="shared" si="270"/>
        <v>0</v>
      </c>
      <c r="DO38" s="170">
        <f t="shared" si="200"/>
        <v>0</v>
      </c>
      <c r="DP38" s="167">
        <f t="shared" si="201"/>
        <v>0</v>
      </c>
      <c r="DQ38" s="171">
        <f t="shared" si="202"/>
        <v>0</v>
      </c>
      <c r="DR38" s="169">
        <f t="shared" si="277"/>
        <v>0</v>
      </c>
      <c r="DS38" s="167">
        <f t="shared" si="271"/>
        <v>0</v>
      </c>
      <c r="DT38" s="167">
        <f t="shared" si="205"/>
        <v>0</v>
      </c>
      <c r="DU38" s="167">
        <f t="shared" si="272"/>
        <v>0</v>
      </c>
      <c r="DV38" s="167">
        <f t="shared" si="207"/>
        <v>0</v>
      </c>
      <c r="DW38" s="167">
        <f t="shared" si="273"/>
        <v>0</v>
      </c>
      <c r="DX38" s="167">
        <f t="shared" si="209"/>
        <v>0</v>
      </c>
      <c r="DY38" s="167">
        <f t="shared" si="274"/>
        <v>0</v>
      </c>
      <c r="DZ38" s="167">
        <f t="shared" si="211"/>
        <v>0</v>
      </c>
      <c r="EA38" s="167">
        <f t="shared" si="275"/>
        <v>0</v>
      </c>
      <c r="EB38" s="170">
        <f t="shared" si="213"/>
        <v>0</v>
      </c>
      <c r="EC38" s="167">
        <f t="shared" si="214"/>
        <v>0</v>
      </c>
      <c r="ED38" s="171">
        <f t="shared" si="215"/>
        <v>0</v>
      </c>
    </row>
    <row r="39" spans="1:134" x14ac:dyDescent="0.3">
      <c r="A39" s="196"/>
      <c r="B39" s="196"/>
      <c r="C39" s="196"/>
      <c r="D39" s="188"/>
      <c r="E39" s="624"/>
      <c r="F39" s="190"/>
      <c r="G39" s="625"/>
      <c r="H39" s="192"/>
      <c r="I39" s="193"/>
      <c r="J39" s="194"/>
      <c r="K39" s="165">
        <f t="shared" si="216"/>
        <v>0</v>
      </c>
      <c r="L39" s="166">
        <f t="shared" si="217"/>
        <v>0</v>
      </c>
      <c r="M39" s="167">
        <f t="shared" si="218"/>
        <v>0</v>
      </c>
      <c r="N39" s="167"/>
      <c r="O39" s="167">
        <f t="shared" si="219"/>
        <v>0</v>
      </c>
      <c r="P39" s="168"/>
      <c r="Q39" s="167">
        <f t="shared" si="220"/>
        <v>0</v>
      </c>
      <c r="R39" s="169">
        <f t="shared" si="221"/>
        <v>0</v>
      </c>
      <c r="S39" s="167">
        <f t="shared" si="222"/>
        <v>0</v>
      </c>
      <c r="T39" s="167">
        <f t="shared" si="223"/>
        <v>0</v>
      </c>
      <c r="U39" s="167">
        <f t="shared" si="224"/>
        <v>0</v>
      </c>
      <c r="V39" s="167">
        <f t="shared" si="225"/>
        <v>0</v>
      </c>
      <c r="W39" s="167">
        <f t="shared" si="226"/>
        <v>0</v>
      </c>
      <c r="X39" s="167">
        <f t="shared" si="227"/>
        <v>0</v>
      </c>
      <c r="Y39" s="167">
        <f t="shared" si="228"/>
        <v>0</v>
      </c>
      <c r="Z39" s="167">
        <f t="shared" si="229"/>
        <v>0</v>
      </c>
      <c r="AA39" s="167">
        <f t="shared" si="230"/>
        <v>0</v>
      </c>
      <c r="AB39" s="170">
        <f t="shared" si="231"/>
        <v>0</v>
      </c>
      <c r="AC39" s="167">
        <f t="shared" si="232"/>
        <v>0</v>
      </c>
      <c r="AD39" s="171">
        <f t="shared" si="233"/>
        <v>0</v>
      </c>
      <c r="AE39" s="169">
        <f t="shared" si="276"/>
        <v>0</v>
      </c>
      <c r="AF39" s="167">
        <f t="shared" si="235"/>
        <v>0</v>
      </c>
      <c r="AG39" s="167">
        <f t="shared" si="114"/>
        <v>0</v>
      </c>
      <c r="AH39" s="167">
        <f t="shared" si="236"/>
        <v>0</v>
      </c>
      <c r="AI39" s="167">
        <f t="shared" si="116"/>
        <v>0</v>
      </c>
      <c r="AJ39" s="167">
        <f t="shared" si="237"/>
        <v>0</v>
      </c>
      <c r="AK39" s="167">
        <f t="shared" si="118"/>
        <v>0</v>
      </c>
      <c r="AL39" s="167">
        <f t="shared" si="238"/>
        <v>0</v>
      </c>
      <c r="AM39" s="167">
        <f t="shared" si="120"/>
        <v>0</v>
      </c>
      <c r="AN39" s="167">
        <f t="shared" si="239"/>
        <v>0</v>
      </c>
      <c r="AO39" s="170">
        <f t="shared" si="122"/>
        <v>0</v>
      </c>
      <c r="AP39" s="167">
        <f t="shared" si="123"/>
        <v>0</v>
      </c>
      <c r="AQ39" s="171">
        <f t="shared" si="124"/>
        <v>0</v>
      </c>
      <c r="AR39" s="169">
        <f t="shared" si="276"/>
        <v>0</v>
      </c>
      <c r="AS39" s="167">
        <f t="shared" si="240"/>
        <v>0</v>
      </c>
      <c r="AT39" s="167">
        <f t="shared" si="127"/>
        <v>0</v>
      </c>
      <c r="AU39" s="167">
        <f t="shared" si="241"/>
        <v>0</v>
      </c>
      <c r="AV39" s="167">
        <f t="shared" si="129"/>
        <v>0</v>
      </c>
      <c r="AW39" s="167">
        <f t="shared" si="242"/>
        <v>0</v>
      </c>
      <c r="AX39" s="167">
        <f t="shared" si="131"/>
        <v>0</v>
      </c>
      <c r="AY39" s="167">
        <f t="shared" si="243"/>
        <v>0</v>
      </c>
      <c r="AZ39" s="167">
        <f t="shared" si="133"/>
        <v>0</v>
      </c>
      <c r="BA39" s="167">
        <f t="shared" si="244"/>
        <v>0</v>
      </c>
      <c r="BB39" s="170">
        <f t="shared" si="135"/>
        <v>0</v>
      </c>
      <c r="BC39" s="167">
        <f t="shared" si="136"/>
        <v>0</v>
      </c>
      <c r="BD39" s="171">
        <f t="shared" si="137"/>
        <v>0</v>
      </c>
      <c r="BE39" s="169">
        <f t="shared" si="276"/>
        <v>0</v>
      </c>
      <c r="BF39" s="167">
        <f t="shared" si="245"/>
        <v>0</v>
      </c>
      <c r="BG39" s="167">
        <f t="shared" si="140"/>
        <v>0</v>
      </c>
      <c r="BH39" s="167">
        <f t="shared" si="246"/>
        <v>0</v>
      </c>
      <c r="BI39" s="167">
        <f t="shared" si="142"/>
        <v>0</v>
      </c>
      <c r="BJ39" s="167">
        <f t="shared" si="247"/>
        <v>0</v>
      </c>
      <c r="BK39" s="167">
        <f t="shared" si="144"/>
        <v>0</v>
      </c>
      <c r="BL39" s="167">
        <f t="shared" si="248"/>
        <v>0</v>
      </c>
      <c r="BM39" s="167">
        <f t="shared" si="146"/>
        <v>0</v>
      </c>
      <c r="BN39" s="167">
        <f t="shared" si="249"/>
        <v>0</v>
      </c>
      <c r="BO39" s="170">
        <f t="shared" si="148"/>
        <v>0</v>
      </c>
      <c r="BP39" s="167">
        <f t="shared" si="149"/>
        <v>0</v>
      </c>
      <c r="BQ39" s="171">
        <f t="shared" si="150"/>
        <v>0</v>
      </c>
      <c r="BR39" s="169">
        <f t="shared" si="276"/>
        <v>0</v>
      </c>
      <c r="BS39" s="167">
        <f t="shared" si="250"/>
        <v>0</v>
      </c>
      <c r="BT39" s="167">
        <f t="shared" si="153"/>
        <v>0</v>
      </c>
      <c r="BU39" s="167">
        <f t="shared" si="251"/>
        <v>0</v>
      </c>
      <c r="BV39" s="167">
        <f t="shared" si="155"/>
        <v>0</v>
      </c>
      <c r="BW39" s="167">
        <f t="shared" si="252"/>
        <v>0</v>
      </c>
      <c r="BX39" s="167">
        <f t="shared" si="157"/>
        <v>0</v>
      </c>
      <c r="BY39" s="167">
        <f t="shared" si="253"/>
        <v>0</v>
      </c>
      <c r="BZ39" s="167">
        <f t="shared" si="159"/>
        <v>0</v>
      </c>
      <c r="CA39" s="167">
        <f t="shared" si="254"/>
        <v>0</v>
      </c>
      <c r="CB39" s="170">
        <f t="shared" si="161"/>
        <v>0</v>
      </c>
      <c r="CC39" s="167">
        <f t="shared" si="162"/>
        <v>0</v>
      </c>
      <c r="CD39" s="171">
        <f t="shared" si="163"/>
        <v>0</v>
      </c>
      <c r="CE39" s="169">
        <f t="shared" si="276"/>
        <v>0</v>
      </c>
      <c r="CF39" s="167">
        <f t="shared" si="255"/>
        <v>0</v>
      </c>
      <c r="CG39" s="167">
        <f t="shared" si="166"/>
        <v>0</v>
      </c>
      <c r="CH39" s="167">
        <f t="shared" si="256"/>
        <v>0</v>
      </c>
      <c r="CI39" s="167">
        <f t="shared" si="168"/>
        <v>0</v>
      </c>
      <c r="CJ39" s="167">
        <f t="shared" si="257"/>
        <v>0</v>
      </c>
      <c r="CK39" s="167">
        <f t="shared" si="170"/>
        <v>0</v>
      </c>
      <c r="CL39" s="167">
        <f t="shared" si="258"/>
        <v>0</v>
      </c>
      <c r="CM39" s="167">
        <f t="shared" si="172"/>
        <v>0</v>
      </c>
      <c r="CN39" s="167">
        <f t="shared" si="259"/>
        <v>0</v>
      </c>
      <c r="CO39" s="170">
        <f t="shared" si="174"/>
        <v>0</v>
      </c>
      <c r="CP39" s="167">
        <f t="shared" si="175"/>
        <v>0</v>
      </c>
      <c r="CQ39" s="171">
        <f t="shared" si="176"/>
        <v>0</v>
      </c>
      <c r="CR39" s="169">
        <f t="shared" si="277"/>
        <v>0</v>
      </c>
      <c r="CS39" s="167">
        <f t="shared" si="261"/>
        <v>0</v>
      </c>
      <c r="CT39" s="167">
        <f t="shared" si="179"/>
        <v>0</v>
      </c>
      <c r="CU39" s="167">
        <f t="shared" si="262"/>
        <v>0</v>
      </c>
      <c r="CV39" s="167">
        <f t="shared" si="181"/>
        <v>0</v>
      </c>
      <c r="CW39" s="167">
        <f t="shared" si="263"/>
        <v>0</v>
      </c>
      <c r="CX39" s="167">
        <f t="shared" si="183"/>
        <v>0</v>
      </c>
      <c r="CY39" s="167">
        <f t="shared" si="264"/>
        <v>0</v>
      </c>
      <c r="CZ39" s="167">
        <f t="shared" si="185"/>
        <v>0</v>
      </c>
      <c r="DA39" s="167">
        <f t="shared" si="265"/>
        <v>0</v>
      </c>
      <c r="DB39" s="170">
        <f t="shared" si="187"/>
        <v>0</v>
      </c>
      <c r="DC39" s="167">
        <f t="shared" si="188"/>
        <v>0</v>
      </c>
      <c r="DD39" s="171">
        <f t="shared" si="189"/>
        <v>0</v>
      </c>
      <c r="DE39" s="169">
        <f t="shared" si="277"/>
        <v>0</v>
      </c>
      <c r="DF39" s="167">
        <f t="shared" si="266"/>
        <v>0</v>
      </c>
      <c r="DG39" s="167">
        <f t="shared" si="192"/>
        <v>0</v>
      </c>
      <c r="DH39" s="167">
        <f t="shared" si="267"/>
        <v>0</v>
      </c>
      <c r="DI39" s="167">
        <f t="shared" si="194"/>
        <v>0</v>
      </c>
      <c r="DJ39" s="167">
        <f t="shared" si="268"/>
        <v>0</v>
      </c>
      <c r="DK39" s="167">
        <f t="shared" si="196"/>
        <v>0</v>
      </c>
      <c r="DL39" s="167">
        <f t="shared" si="269"/>
        <v>0</v>
      </c>
      <c r="DM39" s="167">
        <f t="shared" si="198"/>
        <v>0</v>
      </c>
      <c r="DN39" s="167">
        <f t="shared" si="270"/>
        <v>0</v>
      </c>
      <c r="DO39" s="170">
        <f t="shared" si="200"/>
        <v>0</v>
      </c>
      <c r="DP39" s="167">
        <f t="shared" si="201"/>
        <v>0</v>
      </c>
      <c r="DQ39" s="171">
        <f t="shared" si="202"/>
        <v>0</v>
      </c>
      <c r="DR39" s="169">
        <f t="shared" si="277"/>
        <v>0</v>
      </c>
      <c r="DS39" s="167">
        <f t="shared" si="271"/>
        <v>0</v>
      </c>
      <c r="DT39" s="167">
        <f t="shared" si="205"/>
        <v>0</v>
      </c>
      <c r="DU39" s="167">
        <f t="shared" si="272"/>
        <v>0</v>
      </c>
      <c r="DV39" s="167">
        <f t="shared" si="207"/>
        <v>0</v>
      </c>
      <c r="DW39" s="167">
        <f t="shared" si="273"/>
        <v>0</v>
      </c>
      <c r="DX39" s="167">
        <f t="shared" si="209"/>
        <v>0</v>
      </c>
      <c r="DY39" s="167">
        <f t="shared" si="274"/>
        <v>0</v>
      </c>
      <c r="DZ39" s="167">
        <f t="shared" si="211"/>
        <v>0</v>
      </c>
      <c r="EA39" s="167">
        <f t="shared" si="275"/>
        <v>0</v>
      </c>
      <c r="EB39" s="170">
        <f t="shared" si="213"/>
        <v>0</v>
      </c>
      <c r="EC39" s="167">
        <f t="shared" si="214"/>
        <v>0</v>
      </c>
      <c r="ED39" s="171">
        <f t="shared" si="215"/>
        <v>0</v>
      </c>
    </row>
    <row r="40" spans="1:134" x14ac:dyDescent="0.3">
      <c r="A40" s="196"/>
      <c r="B40" s="196"/>
      <c r="C40" s="196"/>
      <c r="D40" s="188"/>
      <c r="E40" s="624"/>
      <c r="F40" s="190"/>
      <c r="G40" s="625"/>
      <c r="H40" s="192"/>
      <c r="I40" s="193"/>
      <c r="J40" s="194"/>
      <c r="K40" s="165">
        <f t="shared" si="216"/>
        <v>0</v>
      </c>
      <c r="L40" s="166">
        <f t="shared" si="217"/>
        <v>0</v>
      </c>
      <c r="M40" s="167">
        <f t="shared" si="218"/>
        <v>0</v>
      </c>
      <c r="N40" s="167"/>
      <c r="O40" s="167">
        <f t="shared" si="219"/>
        <v>0</v>
      </c>
      <c r="P40" s="168"/>
      <c r="Q40" s="167">
        <f t="shared" si="220"/>
        <v>0</v>
      </c>
      <c r="R40" s="169">
        <f t="shared" si="221"/>
        <v>0</v>
      </c>
      <c r="S40" s="167">
        <f t="shared" si="222"/>
        <v>0</v>
      </c>
      <c r="T40" s="167">
        <f t="shared" si="223"/>
        <v>0</v>
      </c>
      <c r="U40" s="167">
        <f t="shared" si="224"/>
        <v>0</v>
      </c>
      <c r="V40" s="167">
        <f t="shared" si="225"/>
        <v>0</v>
      </c>
      <c r="W40" s="167">
        <f t="shared" si="226"/>
        <v>0</v>
      </c>
      <c r="X40" s="167">
        <f t="shared" si="227"/>
        <v>0</v>
      </c>
      <c r="Y40" s="167">
        <f t="shared" si="228"/>
        <v>0</v>
      </c>
      <c r="Z40" s="167">
        <f t="shared" si="229"/>
        <v>0</v>
      </c>
      <c r="AA40" s="167">
        <f t="shared" si="230"/>
        <v>0</v>
      </c>
      <c r="AB40" s="170">
        <f t="shared" si="231"/>
        <v>0</v>
      </c>
      <c r="AC40" s="167">
        <f t="shared" si="232"/>
        <v>0</v>
      </c>
      <c r="AD40" s="171">
        <f t="shared" si="233"/>
        <v>0</v>
      </c>
      <c r="AE40" s="169">
        <f t="shared" si="276"/>
        <v>0</v>
      </c>
      <c r="AF40" s="167">
        <f t="shared" si="235"/>
        <v>0</v>
      </c>
      <c r="AG40" s="167">
        <f t="shared" si="114"/>
        <v>0</v>
      </c>
      <c r="AH40" s="167">
        <f t="shared" si="236"/>
        <v>0</v>
      </c>
      <c r="AI40" s="167">
        <f t="shared" si="116"/>
        <v>0</v>
      </c>
      <c r="AJ40" s="167">
        <f t="shared" si="237"/>
        <v>0</v>
      </c>
      <c r="AK40" s="167">
        <f t="shared" si="118"/>
        <v>0</v>
      </c>
      <c r="AL40" s="167">
        <f t="shared" si="238"/>
        <v>0</v>
      </c>
      <c r="AM40" s="167">
        <f t="shared" si="120"/>
        <v>0</v>
      </c>
      <c r="AN40" s="167">
        <f t="shared" si="239"/>
        <v>0</v>
      </c>
      <c r="AO40" s="170">
        <f t="shared" si="122"/>
        <v>0</v>
      </c>
      <c r="AP40" s="167">
        <f t="shared" si="123"/>
        <v>0</v>
      </c>
      <c r="AQ40" s="171">
        <f t="shared" si="124"/>
        <v>0</v>
      </c>
      <c r="AR40" s="169">
        <f t="shared" si="276"/>
        <v>0</v>
      </c>
      <c r="AS40" s="167">
        <f t="shared" si="240"/>
        <v>0</v>
      </c>
      <c r="AT40" s="167">
        <f t="shared" si="127"/>
        <v>0</v>
      </c>
      <c r="AU40" s="167">
        <f t="shared" si="241"/>
        <v>0</v>
      </c>
      <c r="AV40" s="167">
        <f t="shared" si="129"/>
        <v>0</v>
      </c>
      <c r="AW40" s="167">
        <f t="shared" si="242"/>
        <v>0</v>
      </c>
      <c r="AX40" s="167">
        <f t="shared" si="131"/>
        <v>0</v>
      </c>
      <c r="AY40" s="167">
        <f t="shared" si="243"/>
        <v>0</v>
      </c>
      <c r="AZ40" s="167">
        <f t="shared" si="133"/>
        <v>0</v>
      </c>
      <c r="BA40" s="167">
        <f t="shared" si="244"/>
        <v>0</v>
      </c>
      <c r="BB40" s="170">
        <f t="shared" si="135"/>
        <v>0</v>
      </c>
      <c r="BC40" s="167">
        <f t="shared" si="136"/>
        <v>0</v>
      </c>
      <c r="BD40" s="171">
        <f t="shared" si="137"/>
        <v>0</v>
      </c>
      <c r="BE40" s="169">
        <f t="shared" si="276"/>
        <v>0</v>
      </c>
      <c r="BF40" s="167">
        <f t="shared" si="245"/>
        <v>0</v>
      </c>
      <c r="BG40" s="167">
        <f t="shared" si="140"/>
        <v>0</v>
      </c>
      <c r="BH40" s="167">
        <f t="shared" si="246"/>
        <v>0</v>
      </c>
      <c r="BI40" s="167">
        <f t="shared" si="142"/>
        <v>0</v>
      </c>
      <c r="BJ40" s="167">
        <f t="shared" si="247"/>
        <v>0</v>
      </c>
      <c r="BK40" s="167">
        <f t="shared" si="144"/>
        <v>0</v>
      </c>
      <c r="BL40" s="167">
        <f t="shared" si="248"/>
        <v>0</v>
      </c>
      <c r="BM40" s="167">
        <f t="shared" si="146"/>
        <v>0</v>
      </c>
      <c r="BN40" s="167">
        <f t="shared" si="249"/>
        <v>0</v>
      </c>
      <c r="BO40" s="170">
        <f t="shared" si="148"/>
        <v>0</v>
      </c>
      <c r="BP40" s="167">
        <f t="shared" si="149"/>
        <v>0</v>
      </c>
      <c r="BQ40" s="171">
        <f t="shared" si="150"/>
        <v>0</v>
      </c>
      <c r="BR40" s="169">
        <f t="shared" si="276"/>
        <v>0</v>
      </c>
      <c r="BS40" s="167">
        <f t="shared" si="250"/>
        <v>0</v>
      </c>
      <c r="BT40" s="167">
        <f t="shared" si="153"/>
        <v>0</v>
      </c>
      <c r="BU40" s="167">
        <f t="shared" si="251"/>
        <v>0</v>
      </c>
      <c r="BV40" s="167">
        <f t="shared" si="155"/>
        <v>0</v>
      </c>
      <c r="BW40" s="167">
        <f t="shared" si="252"/>
        <v>0</v>
      </c>
      <c r="BX40" s="167">
        <f t="shared" si="157"/>
        <v>0</v>
      </c>
      <c r="BY40" s="167">
        <f t="shared" si="253"/>
        <v>0</v>
      </c>
      <c r="BZ40" s="167">
        <f t="shared" si="159"/>
        <v>0</v>
      </c>
      <c r="CA40" s="167">
        <f t="shared" si="254"/>
        <v>0</v>
      </c>
      <c r="CB40" s="170">
        <f t="shared" si="161"/>
        <v>0</v>
      </c>
      <c r="CC40" s="167">
        <f t="shared" si="162"/>
        <v>0</v>
      </c>
      <c r="CD40" s="171">
        <f t="shared" si="163"/>
        <v>0</v>
      </c>
      <c r="CE40" s="169">
        <f t="shared" si="276"/>
        <v>0</v>
      </c>
      <c r="CF40" s="167">
        <f t="shared" si="255"/>
        <v>0</v>
      </c>
      <c r="CG40" s="167">
        <f t="shared" si="166"/>
        <v>0</v>
      </c>
      <c r="CH40" s="167">
        <f t="shared" si="256"/>
        <v>0</v>
      </c>
      <c r="CI40" s="167">
        <f t="shared" si="168"/>
        <v>0</v>
      </c>
      <c r="CJ40" s="167">
        <f t="shared" si="257"/>
        <v>0</v>
      </c>
      <c r="CK40" s="167">
        <f t="shared" si="170"/>
        <v>0</v>
      </c>
      <c r="CL40" s="167">
        <f t="shared" si="258"/>
        <v>0</v>
      </c>
      <c r="CM40" s="167">
        <f t="shared" si="172"/>
        <v>0</v>
      </c>
      <c r="CN40" s="167">
        <f t="shared" si="259"/>
        <v>0</v>
      </c>
      <c r="CO40" s="170">
        <f t="shared" si="174"/>
        <v>0</v>
      </c>
      <c r="CP40" s="167">
        <f t="shared" si="175"/>
        <v>0</v>
      </c>
      <c r="CQ40" s="171">
        <f t="shared" si="176"/>
        <v>0</v>
      </c>
      <c r="CR40" s="169">
        <f t="shared" si="277"/>
        <v>0</v>
      </c>
      <c r="CS40" s="167">
        <f t="shared" si="261"/>
        <v>0</v>
      </c>
      <c r="CT40" s="167">
        <f t="shared" si="179"/>
        <v>0</v>
      </c>
      <c r="CU40" s="167">
        <f t="shared" si="262"/>
        <v>0</v>
      </c>
      <c r="CV40" s="167">
        <f t="shared" si="181"/>
        <v>0</v>
      </c>
      <c r="CW40" s="167">
        <f t="shared" si="263"/>
        <v>0</v>
      </c>
      <c r="CX40" s="167">
        <f t="shared" si="183"/>
        <v>0</v>
      </c>
      <c r="CY40" s="167">
        <f t="shared" si="264"/>
        <v>0</v>
      </c>
      <c r="CZ40" s="167">
        <f t="shared" si="185"/>
        <v>0</v>
      </c>
      <c r="DA40" s="167">
        <f t="shared" si="265"/>
        <v>0</v>
      </c>
      <c r="DB40" s="170">
        <f t="shared" si="187"/>
        <v>0</v>
      </c>
      <c r="DC40" s="167">
        <f t="shared" si="188"/>
        <v>0</v>
      </c>
      <c r="DD40" s="171">
        <f t="shared" si="189"/>
        <v>0</v>
      </c>
      <c r="DE40" s="169">
        <f t="shared" si="277"/>
        <v>0</v>
      </c>
      <c r="DF40" s="167">
        <f t="shared" si="266"/>
        <v>0</v>
      </c>
      <c r="DG40" s="167">
        <f t="shared" si="192"/>
        <v>0</v>
      </c>
      <c r="DH40" s="167">
        <f t="shared" si="267"/>
        <v>0</v>
      </c>
      <c r="DI40" s="167">
        <f t="shared" si="194"/>
        <v>0</v>
      </c>
      <c r="DJ40" s="167">
        <f t="shared" si="268"/>
        <v>0</v>
      </c>
      <c r="DK40" s="167">
        <f t="shared" si="196"/>
        <v>0</v>
      </c>
      <c r="DL40" s="167">
        <f t="shared" si="269"/>
        <v>0</v>
      </c>
      <c r="DM40" s="167">
        <f t="shared" si="198"/>
        <v>0</v>
      </c>
      <c r="DN40" s="167">
        <f t="shared" si="270"/>
        <v>0</v>
      </c>
      <c r="DO40" s="170">
        <f t="shared" si="200"/>
        <v>0</v>
      </c>
      <c r="DP40" s="167">
        <f t="shared" si="201"/>
        <v>0</v>
      </c>
      <c r="DQ40" s="171">
        <f t="shared" si="202"/>
        <v>0</v>
      </c>
      <c r="DR40" s="169">
        <f t="shared" si="277"/>
        <v>0</v>
      </c>
      <c r="DS40" s="167">
        <f t="shared" si="271"/>
        <v>0</v>
      </c>
      <c r="DT40" s="167">
        <f t="shared" si="205"/>
        <v>0</v>
      </c>
      <c r="DU40" s="167">
        <f t="shared" si="272"/>
        <v>0</v>
      </c>
      <c r="DV40" s="167">
        <f t="shared" si="207"/>
        <v>0</v>
      </c>
      <c r="DW40" s="167">
        <f t="shared" si="273"/>
        <v>0</v>
      </c>
      <c r="DX40" s="167">
        <f t="shared" si="209"/>
        <v>0</v>
      </c>
      <c r="DY40" s="167">
        <f t="shared" si="274"/>
        <v>0</v>
      </c>
      <c r="DZ40" s="167">
        <f t="shared" si="211"/>
        <v>0</v>
      </c>
      <c r="EA40" s="167">
        <f t="shared" si="275"/>
        <v>0</v>
      </c>
      <c r="EB40" s="170">
        <f t="shared" si="213"/>
        <v>0</v>
      </c>
      <c r="EC40" s="167">
        <f t="shared" si="214"/>
        <v>0</v>
      </c>
      <c r="ED40" s="171">
        <f t="shared" si="215"/>
        <v>0</v>
      </c>
    </row>
    <row r="41" spans="1:134" x14ac:dyDescent="0.3">
      <c r="A41" s="196"/>
      <c r="B41" s="196"/>
      <c r="C41" s="196"/>
      <c r="D41" s="188"/>
      <c r="E41" s="624"/>
      <c r="F41" s="190"/>
      <c r="G41" s="625"/>
      <c r="H41" s="192"/>
      <c r="I41" s="193"/>
      <c r="J41" s="194"/>
      <c r="K41" s="165">
        <f t="shared" si="216"/>
        <v>0</v>
      </c>
      <c r="L41" s="166">
        <f t="shared" si="217"/>
        <v>0</v>
      </c>
      <c r="M41" s="167">
        <f t="shared" si="218"/>
        <v>0</v>
      </c>
      <c r="N41" s="167"/>
      <c r="O41" s="167">
        <f t="shared" si="219"/>
        <v>0</v>
      </c>
      <c r="P41" s="168"/>
      <c r="Q41" s="167">
        <f t="shared" si="220"/>
        <v>0</v>
      </c>
      <c r="R41" s="169">
        <f t="shared" si="221"/>
        <v>0</v>
      </c>
      <c r="S41" s="167">
        <f t="shared" si="222"/>
        <v>0</v>
      </c>
      <c r="T41" s="167">
        <f t="shared" si="223"/>
        <v>0</v>
      </c>
      <c r="U41" s="167">
        <f t="shared" si="224"/>
        <v>0</v>
      </c>
      <c r="V41" s="167">
        <f t="shared" si="225"/>
        <v>0</v>
      </c>
      <c r="W41" s="167">
        <f t="shared" si="226"/>
        <v>0</v>
      </c>
      <c r="X41" s="167">
        <f t="shared" si="227"/>
        <v>0</v>
      </c>
      <c r="Y41" s="167">
        <f t="shared" si="228"/>
        <v>0</v>
      </c>
      <c r="Z41" s="167">
        <f t="shared" si="229"/>
        <v>0</v>
      </c>
      <c r="AA41" s="167">
        <f t="shared" si="230"/>
        <v>0</v>
      </c>
      <c r="AB41" s="170">
        <f t="shared" si="231"/>
        <v>0</v>
      </c>
      <c r="AC41" s="167">
        <f t="shared" si="232"/>
        <v>0</v>
      </c>
      <c r="AD41" s="171">
        <f t="shared" si="233"/>
        <v>0</v>
      </c>
      <c r="AE41" s="169">
        <f t="shared" si="276"/>
        <v>0</v>
      </c>
      <c r="AF41" s="167">
        <f t="shared" si="235"/>
        <v>0</v>
      </c>
      <c r="AG41" s="167">
        <f t="shared" si="114"/>
        <v>0</v>
      </c>
      <c r="AH41" s="167">
        <f t="shared" si="236"/>
        <v>0</v>
      </c>
      <c r="AI41" s="167">
        <f t="shared" si="116"/>
        <v>0</v>
      </c>
      <c r="AJ41" s="167">
        <f t="shared" si="237"/>
        <v>0</v>
      </c>
      <c r="AK41" s="167">
        <f t="shared" si="118"/>
        <v>0</v>
      </c>
      <c r="AL41" s="167">
        <f t="shared" si="238"/>
        <v>0</v>
      </c>
      <c r="AM41" s="167">
        <f t="shared" si="120"/>
        <v>0</v>
      </c>
      <c r="AN41" s="167">
        <f t="shared" si="239"/>
        <v>0</v>
      </c>
      <c r="AO41" s="170">
        <f t="shared" si="122"/>
        <v>0</v>
      </c>
      <c r="AP41" s="167">
        <f t="shared" si="123"/>
        <v>0</v>
      </c>
      <c r="AQ41" s="171">
        <f t="shared" si="124"/>
        <v>0</v>
      </c>
      <c r="AR41" s="169">
        <f t="shared" si="276"/>
        <v>0</v>
      </c>
      <c r="AS41" s="167">
        <f t="shared" si="240"/>
        <v>0</v>
      </c>
      <c r="AT41" s="167">
        <f t="shared" si="127"/>
        <v>0</v>
      </c>
      <c r="AU41" s="167">
        <f t="shared" si="241"/>
        <v>0</v>
      </c>
      <c r="AV41" s="167">
        <f t="shared" si="129"/>
        <v>0</v>
      </c>
      <c r="AW41" s="167">
        <f t="shared" si="242"/>
        <v>0</v>
      </c>
      <c r="AX41" s="167">
        <f t="shared" si="131"/>
        <v>0</v>
      </c>
      <c r="AY41" s="167">
        <f t="shared" si="243"/>
        <v>0</v>
      </c>
      <c r="AZ41" s="167">
        <f t="shared" si="133"/>
        <v>0</v>
      </c>
      <c r="BA41" s="167">
        <f t="shared" si="244"/>
        <v>0</v>
      </c>
      <c r="BB41" s="170">
        <f t="shared" si="135"/>
        <v>0</v>
      </c>
      <c r="BC41" s="167">
        <f t="shared" si="136"/>
        <v>0</v>
      </c>
      <c r="BD41" s="171">
        <f t="shared" si="137"/>
        <v>0</v>
      </c>
      <c r="BE41" s="169">
        <f t="shared" si="276"/>
        <v>0</v>
      </c>
      <c r="BF41" s="167">
        <f t="shared" si="245"/>
        <v>0</v>
      </c>
      <c r="BG41" s="167">
        <f t="shared" si="140"/>
        <v>0</v>
      </c>
      <c r="BH41" s="167">
        <f t="shared" si="246"/>
        <v>0</v>
      </c>
      <c r="BI41" s="167">
        <f t="shared" si="142"/>
        <v>0</v>
      </c>
      <c r="BJ41" s="167">
        <f t="shared" si="247"/>
        <v>0</v>
      </c>
      <c r="BK41" s="167">
        <f t="shared" si="144"/>
        <v>0</v>
      </c>
      <c r="BL41" s="167">
        <f t="shared" si="248"/>
        <v>0</v>
      </c>
      <c r="BM41" s="167">
        <f t="shared" si="146"/>
        <v>0</v>
      </c>
      <c r="BN41" s="167">
        <f t="shared" si="249"/>
        <v>0</v>
      </c>
      <c r="BO41" s="170">
        <f t="shared" si="148"/>
        <v>0</v>
      </c>
      <c r="BP41" s="167">
        <f t="shared" si="149"/>
        <v>0</v>
      </c>
      <c r="BQ41" s="171">
        <f t="shared" si="150"/>
        <v>0</v>
      </c>
      <c r="BR41" s="169">
        <f t="shared" si="276"/>
        <v>0</v>
      </c>
      <c r="BS41" s="167">
        <f t="shared" si="250"/>
        <v>0</v>
      </c>
      <c r="BT41" s="167">
        <f t="shared" si="153"/>
        <v>0</v>
      </c>
      <c r="BU41" s="167">
        <f t="shared" si="251"/>
        <v>0</v>
      </c>
      <c r="BV41" s="167">
        <f t="shared" si="155"/>
        <v>0</v>
      </c>
      <c r="BW41" s="167">
        <f t="shared" si="252"/>
        <v>0</v>
      </c>
      <c r="BX41" s="167">
        <f t="shared" si="157"/>
        <v>0</v>
      </c>
      <c r="BY41" s="167">
        <f t="shared" si="253"/>
        <v>0</v>
      </c>
      <c r="BZ41" s="167">
        <f t="shared" si="159"/>
        <v>0</v>
      </c>
      <c r="CA41" s="167">
        <f t="shared" si="254"/>
        <v>0</v>
      </c>
      <c r="CB41" s="170">
        <f t="shared" si="161"/>
        <v>0</v>
      </c>
      <c r="CC41" s="167">
        <f t="shared" si="162"/>
        <v>0</v>
      </c>
      <c r="CD41" s="171">
        <f t="shared" si="163"/>
        <v>0</v>
      </c>
      <c r="CE41" s="169">
        <f t="shared" si="276"/>
        <v>0</v>
      </c>
      <c r="CF41" s="167">
        <f t="shared" si="255"/>
        <v>0</v>
      </c>
      <c r="CG41" s="167">
        <f t="shared" si="166"/>
        <v>0</v>
      </c>
      <c r="CH41" s="167">
        <f t="shared" si="256"/>
        <v>0</v>
      </c>
      <c r="CI41" s="167">
        <f t="shared" si="168"/>
        <v>0</v>
      </c>
      <c r="CJ41" s="167">
        <f t="shared" si="257"/>
        <v>0</v>
      </c>
      <c r="CK41" s="167">
        <f t="shared" si="170"/>
        <v>0</v>
      </c>
      <c r="CL41" s="167">
        <f t="shared" si="258"/>
        <v>0</v>
      </c>
      <c r="CM41" s="167">
        <f t="shared" si="172"/>
        <v>0</v>
      </c>
      <c r="CN41" s="167">
        <f t="shared" si="259"/>
        <v>0</v>
      </c>
      <c r="CO41" s="170">
        <f t="shared" si="174"/>
        <v>0</v>
      </c>
      <c r="CP41" s="167">
        <f t="shared" si="175"/>
        <v>0</v>
      </c>
      <c r="CQ41" s="171">
        <f t="shared" si="176"/>
        <v>0</v>
      </c>
      <c r="CR41" s="169">
        <f t="shared" si="277"/>
        <v>0</v>
      </c>
      <c r="CS41" s="167">
        <f t="shared" si="261"/>
        <v>0</v>
      </c>
      <c r="CT41" s="167">
        <f t="shared" si="179"/>
        <v>0</v>
      </c>
      <c r="CU41" s="167">
        <f t="shared" si="262"/>
        <v>0</v>
      </c>
      <c r="CV41" s="167">
        <f t="shared" si="181"/>
        <v>0</v>
      </c>
      <c r="CW41" s="167">
        <f t="shared" si="263"/>
        <v>0</v>
      </c>
      <c r="CX41" s="167">
        <f t="shared" si="183"/>
        <v>0</v>
      </c>
      <c r="CY41" s="167">
        <f t="shared" si="264"/>
        <v>0</v>
      </c>
      <c r="CZ41" s="167">
        <f t="shared" si="185"/>
        <v>0</v>
      </c>
      <c r="DA41" s="167">
        <f t="shared" si="265"/>
        <v>0</v>
      </c>
      <c r="DB41" s="170">
        <f t="shared" si="187"/>
        <v>0</v>
      </c>
      <c r="DC41" s="167">
        <f t="shared" si="188"/>
        <v>0</v>
      </c>
      <c r="DD41" s="171">
        <f t="shared" si="189"/>
        <v>0</v>
      </c>
      <c r="DE41" s="169">
        <f t="shared" si="277"/>
        <v>0</v>
      </c>
      <c r="DF41" s="167">
        <f t="shared" si="266"/>
        <v>0</v>
      </c>
      <c r="DG41" s="167">
        <f t="shared" si="192"/>
        <v>0</v>
      </c>
      <c r="DH41" s="167">
        <f t="shared" si="267"/>
        <v>0</v>
      </c>
      <c r="DI41" s="167">
        <f t="shared" si="194"/>
        <v>0</v>
      </c>
      <c r="DJ41" s="167">
        <f t="shared" si="268"/>
        <v>0</v>
      </c>
      <c r="DK41" s="167">
        <f t="shared" si="196"/>
        <v>0</v>
      </c>
      <c r="DL41" s="167">
        <f t="shared" si="269"/>
        <v>0</v>
      </c>
      <c r="DM41" s="167">
        <f t="shared" si="198"/>
        <v>0</v>
      </c>
      <c r="DN41" s="167">
        <f t="shared" si="270"/>
        <v>0</v>
      </c>
      <c r="DO41" s="170">
        <f t="shared" si="200"/>
        <v>0</v>
      </c>
      <c r="DP41" s="167">
        <f t="shared" si="201"/>
        <v>0</v>
      </c>
      <c r="DQ41" s="171">
        <f t="shared" si="202"/>
        <v>0</v>
      </c>
      <c r="DR41" s="169">
        <f t="shared" si="277"/>
        <v>0</v>
      </c>
      <c r="DS41" s="167">
        <f t="shared" si="271"/>
        <v>0</v>
      </c>
      <c r="DT41" s="167">
        <f t="shared" si="205"/>
        <v>0</v>
      </c>
      <c r="DU41" s="167">
        <f t="shared" si="272"/>
        <v>0</v>
      </c>
      <c r="DV41" s="167">
        <f t="shared" si="207"/>
        <v>0</v>
      </c>
      <c r="DW41" s="167">
        <f t="shared" si="273"/>
        <v>0</v>
      </c>
      <c r="DX41" s="167">
        <f t="shared" si="209"/>
        <v>0</v>
      </c>
      <c r="DY41" s="167">
        <f t="shared" si="274"/>
        <v>0</v>
      </c>
      <c r="DZ41" s="167">
        <f t="shared" si="211"/>
        <v>0</v>
      </c>
      <c r="EA41" s="167">
        <f t="shared" si="275"/>
        <v>0</v>
      </c>
      <c r="EB41" s="170">
        <f t="shared" si="213"/>
        <v>0</v>
      </c>
      <c r="EC41" s="167">
        <f t="shared" si="214"/>
        <v>0</v>
      </c>
      <c r="ED41" s="171">
        <f t="shared" si="215"/>
        <v>0</v>
      </c>
    </row>
    <row r="42" spans="1:134" x14ac:dyDescent="0.3">
      <c r="A42" s="196"/>
      <c r="B42" s="196"/>
      <c r="C42" s="196"/>
      <c r="D42" s="188"/>
      <c r="E42" s="624"/>
      <c r="F42" s="190"/>
      <c r="G42" s="625"/>
      <c r="H42" s="192"/>
      <c r="I42" s="193"/>
      <c r="J42" s="194"/>
      <c r="K42" s="165">
        <f t="shared" si="216"/>
        <v>0</v>
      </c>
      <c r="L42" s="166">
        <f t="shared" si="217"/>
        <v>0</v>
      </c>
      <c r="M42" s="167">
        <f t="shared" si="218"/>
        <v>0</v>
      </c>
      <c r="N42" s="167"/>
      <c r="O42" s="167">
        <f t="shared" si="219"/>
        <v>0</v>
      </c>
      <c r="P42" s="168"/>
      <c r="Q42" s="167">
        <f t="shared" si="220"/>
        <v>0</v>
      </c>
      <c r="R42" s="169">
        <f t="shared" si="221"/>
        <v>0</v>
      </c>
      <c r="S42" s="167">
        <f t="shared" si="222"/>
        <v>0</v>
      </c>
      <c r="T42" s="167">
        <f t="shared" si="223"/>
        <v>0</v>
      </c>
      <c r="U42" s="167">
        <f t="shared" si="224"/>
        <v>0</v>
      </c>
      <c r="V42" s="167">
        <f t="shared" si="225"/>
        <v>0</v>
      </c>
      <c r="W42" s="167">
        <f t="shared" si="226"/>
        <v>0</v>
      </c>
      <c r="X42" s="167">
        <f t="shared" si="227"/>
        <v>0</v>
      </c>
      <c r="Y42" s="167">
        <f t="shared" si="228"/>
        <v>0</v>
      </c>
      <c r="Z42" s="167">
        <f t="shared" si="229"/>
        <v>0</v>
      </c>
      <c r="AA42" s="167">
        <f t="shared" si="230"/>
        <v>0</v>
      </c>
      <c r="AB42" s="170">
        <f t="shared" si="231"/>
        <v>0</v>
      </c>
      <c r="AC42" s="167">
        <f t="shared" si="232"/>
        <v>0</v>
      </c>
      <c r="AD42" s="171">
        <f t="shared" si="233"/>
        <v>0</v>
      </c>
      <c r="AE42" s="169">
        <f t="shared" si="276"/>
        <v>0</v>
      </c>
      <c r="AF42" s="167">
        <f t="shared" si="235"/>
        <v>0</v>
      </c>
      <c r="AG42" s="167">
        <f t="shared" si="114"/>
        <v>0</v>
      </c>
      <c r="AH42" s="167">
        <f t="shared" si="236"/>
        <v>0</v>
      </c>
      <c r="AI42" s="167">
        <f t="shared" si="116"/>
        <v>0</v>
      </c>
      <c r="AJ42" s="167">
        <f t="shared" si="237"/>
        <v>0</v>
      </c>
      <c r="AK42" s="167">
        <f t="shared" si="118"/>
        <v>0</v>
      </c>
      <c r="AL42" s="167">
        <f t="shared" si="238"/>
        <v>0</v>
      </c>
      <c r="AM42" s="167">
        <f t="shared" si="120"/>
        <v>0</v>
      </c>
      <c r="AN42" s="167">
        <f t="shared" si="239"/>
        <v>0</v>
      </c>
      <c r="AO42" s="170">
        <f t="shared" si="122"/>
        <v>0</v>
      </c>
      <c r="AP42" s="167">
        <f t="shared" si="123"/>
        <v>0</v>
      </c>
      <c r="AQ42" s="171">
        <f t="shared" si="124"/>
        <v>0</v>
      </c>
      <c r="AR42" s="169">
        <f t="shared" si="276"/>
        <v>0</v>
      </c>
      <c r="AS42" s="167">
        <f t="shared" si="240"/>
        <v>0</v>
      </c>
      <c r="AT42" s="167">
        <f t="shared" si="127"/>
        <v>0</v>
      </c>
      <c r="AU42" s="167">
        <f t="shared" si="241"/>
        <v>0</v>
      </c>
      <c r="AV42" s="167">
        <f t="shared" si="129"/>
        <v>0</v>
      </c>
      <c r="AW42" s="167">
        <f t="shared" si="242"/>
        <v>0</v>
      </c>
      <c r="AX42" s="167">
        <f t="shared" si="131"/>
        <v>0</v>
      </c>
      <c r="AY42" s="167">
        <f t="shared" si="243"/>
        <v>0</v>
      </c>
      <c r="AZ42" s="167">
        <f t="shared" si="133"/>
        <v>0</v>
      </c>
      <c r="BA42" s="167">
        <f t="shared" si="244"/>
        <v>0</v>
      </c>
      <c r="BB42" s="170">
        <f t="shared" si="135"/>
        <v>0</v>
      </c>
      <c r="BC42" s="167">
        <f t="shared" si="136"/>
        <v>0</v>
      </c>
      <c r="BD42" s="171">
        <f t="shared" si="137"/>
        <v>0</v>
      </c>
      <c r="BE42" s="169">
        <f t="shared" si="276"/>
        <v>0</v>
      </c>
      <c r="BF42" s="167">
        <f t="shared" si="245"/>
        <v>0</v>
      </c>
      <c r="BG42" s="167">
        <f t="shared" si="140"/>
        <v>0</v>
      </c>
      <c r="BH42" s="167">
        <f t="shared" si="246"/>
        <v>0</v>
      </c>
      <c r="BI42" s="167">
        <f t="shared" si="142"/>
        <v>0</v>
      </c>
      <c r="BJ42" s="167">
        <f t="shared" si="247"/>
        <v>0</v>
      </c>
      <c r="BK42" s="167">
        <f t="shared" si="144"/>
        <v>0</v>
      </c>
      <c r="BL42" s="167">
        <f t="shared" si="248"/>
        <v>0</v>
      </c>
      <c r="BM42" s="167">
        <f t="shared" si="146"/>
        <v>0</v>
      </c>
      <c r="BN42" s="167">
        <f t="shared" si="249"/>
        <v>0</v>
      </c>
      <c r="BO42" s="170">
        <f t="shared" si="148"/>
        <v>0</v>
      </c>
      <c r="BP42" s="167">
        <f t="shared" si="149"/>
        <v>0</v>
      </c>
      <c r="BQ42" s="171">
        <f t="shared" si="150"/>
        <v>0</v>
      </c>
      <c r="BR42" s="169">
        <f t="shared" si="276"/>
        <v>0</v>
      </c>
      <c r="BS42" s="167">
        <f t="shared" si="250"/>
        <v>0</v>
      </c>
      <c r="BT42" s="167">
        <f t="shared" si="153"/>
        <v>0</v>
      </c>
      <c r="BU42" s="167">
        <f t="shared" si="251"/>
        <v>0</v>
      </c>
      <c r="BV42" s="167">
        <f t="shared" si="155"/>
        <v>0</v>
      </c>
      <c r="BW42" s="167">
        <f t="shared" si="252"/>
        <v>0</v>
      </c>
      <c r="BX42" s="167">
        <f t="shared" si="157"/>
        <v>0</v>
      </c>
      <c r="BY42" s="167">
        <f t="shared" si="253"/>
        <v>0</v>
      </c>
      <c r="BZ42" s="167">
        <f t="shared" si="159"/>
        <v>0</v>
      </c>
      <c r="CA42" s="167">
        <f t="shared" si="254"/>
        <v>0</v>
      </c>
      <c r="CB42" s="170">
        <f t="shared" si="161"/>
        <v>0</v>
      </c>
      <c r="CC42" s="167">
        <f t="shared" si="162"/>
        <v>0</v>
      </c>
      <c r="CD42" s="171">
        <f t="shared" si="163"/>
        <v>0</v>
      </c>
      <c r="CE42" s="169">
        <f t="shared" si="276"/>
        <v>0</v>
      </c>
      <c r="CF42" s="167">
        <f t="shared" si="255"/>
        <v>0</v>
      </c>
      <c r="CG42" s="167">
        <f t="shared" si="166"/>
        <v>0</v>
      </c>
      <c r="CH42" s="167">
        <f t="shared" si="256"/>
        <v>0</v>
      </c>
      <c r="CI42" s="167">
        <f t="shared" si="168"/>
        <v>0</v>
      </c>
      <c r="CJ42" s="167">
        <f t="shared" si="257"/>
        <v>0</v>
      </c>
      <c r="CK42" s="167">
        <f t="shared" si="170"/>
        <v>0</v>
      </c>
      <c r="CL42" s="167">
        <f t="shared" si="258"/>
        <v>0</v>
      </c>
      <c r="CM42" s="167">
        <f t="shared" si="172"/>
        <v>0</v>
      </c>
      <c r="CN42" s="167">
        <f t="shared" si="259"/>
        <v>0</v>
      </c>
      <c r="CO42" s="170">
        <f t="shared" si="174"/>
        <v>0</v>
      </c>
      <c r="CP42" s="167">
        <f t="shared" si="175"/>
        <v>0</v>
      </c>
      <c r="CQ42" s="171">
        <f t="shared" si="176"/>
        <v>0</v>
      </c>
      <c r="CR42" s="169">
        <f t="shared" si="277"/>
        <v>0</v>
      </c>
      <c r="CS42" s="167">
        <f t="shared" si="261"/>
        <v>0</v>
      </c>
      <c r="CT42" s="167">
        <f t="shared" si="179"/>
        <v>0</v>
      </c>
      <c r="CU42" s="167">
        <f t="shared" si="262"/>
        <v>0</v>
      </c>
      <c r="CV42" s="167">
        <f t="shared" si="181"/>
        <v>0</v>
      </c>
      <c r="CW42" s="167">
        <f t="shared" si="263"/>
        <v>0</v>
      </c>
      <c r="CX42" s="167">
        <f t="shared" si="183"/>
        <v>0</v>
      </c>
      <c r="CY42" s="167">
        <f t="shared" si="264"/>
        <v>0</v>
      </c>
      <c r="CZ42" s="167">
        <f t="shared" si="185"/>
        <v>0</v>
      </c>
      <c r="DA42" s="167">
        <f t="shared" si="265"/>
        <v>0</v>
      </c>
      <c r="DB42" s="170">
        <f t="shared" si="187"/>
        <v>0</v>
      </c>
      <c r="DC42" s="167">
        <f t="shared" si="188"/>
        <v>0</v>
      </c>
      <c r="DD42" s="171">
        <f t="shared" si="189"/>
        <v>0</v>
      </c>
      <c r="DE42" s="169">
        <f t="shared" si="277"/>
        <v>0</v>
      </c>
      <c r="DF42" s="167">
        <f t="shared" si="266"/>
        <v>0</v>
      </c>
      <c r="DG42" s="167">
        <f t="shared" si="192"/>
        <v>0</v>
      </c>
      <c r="DH42" s="167">
        <f t="shared" si="267"/>
        <v>0</v>
      </c>
      <c r="DI42" s="167">
        <f t="shared" si="194"/>
        <v>0</v>
      </c>
      <c r="DJ42" s="167">
        <f t="shared" si="268"/>
        <v>0</v>
      </c>
      <c r="DK42" s="167">
        <f t="shared" si="196"/>
        <v>0</v>
      </c>
      <c r="DL42" s="167">
        <f t="shared" si="269"/>
        <v>0</v>
      </c>
      <c r="DM42" s="167">
        <f t="shared" si="198"/>
        <v>0</v>
      </c>
      <c r="DN42" s="167">
        <f t="shared" si="270"/>
        <v>0</v>
      </c>
      <c r="DO42" s="170">
        <f t="shared" si="200"/>
        <v>0</v>
      </c>
      <c r="DP42" s="167">
        <f t="shared" si="201"/>
        <v>0</v>
      </c>
      <c r="DQ42" s="171">
        <f t="shared" si="202"/>
        <v>0</v>
      </c>
      <c r="DR42" s="169">
        <f t="shared" si="277"/>
        <v>0</v>
      </c>
      <c r="DS42" s="167">
        <f t="shared" si="271"/>
        <v>0</v>
      </c>
      <c r="DT42" s="167">
        <f t="shared" si="205"/>
        <v>0</v>
      </c>
      <c r="DU42" s="167">
        <f t="shared" si="272"/>
        <v>0</v>
      </c>
      <c r="DV42" s="167">
        <f t="shared" si="207"/>
        <v>0</v>
      </c>
      <c r="DW42" s="167">
        <f t="shared" si="273"/>
        <v>0</v>
      </c>
      <c r="DX42" s="167">
        <f t="shared" si="209"/>
        <v>0</v>
      </c>
      <c r="DY42" s="167">
        <f t="shared" si="274"/>
        <v>0</v>
      </c>
      <c r="DZ42" s="167">
        <f t="shared" si="211"/>
        <v>0</v>
      </c>
      <c r="EA42" s="167">
        <f t="shared" si="275"/>
        <v>0</v>
      </c>
      <c r="EB42" s="170">
        <f t="shared" si="213"/>
        <v>0</v>
      </c>
      <c r="EC42" s="167">
        <f t="shared" si="214"/>
        <v>0</v>
      </c>
      <c r="ED42" s="171">
        <f t="shared" si="215"/>
        <v>0</v>
      </c>
    </row>
    <row r="43" spans="1:134" x14ac:dyDescent="0.3">
      <c r="A43" s="196"/>
      <c r="B43" s="196"/>
      <c r="C43" s="196"/>
      <c r="D43" s="188"/>
      <c r="E43" s="624"/>
      <c r="F43" s="190"/>
      <c r="G43" s="625"/>
      <c r="H43" s="192"/>
      <c r="I43" s="193"/>
      <c r="J43" s="194"/>
      <c r="K43" s="165">
        <f t="shared" si="216"/>
        <v>0</v>
      </c>
      <c r="L43" s="166">
        <f t="shared" si="217"/>
        <v>0</v>
      </c>
      <c r="M43" s="167">
        <f t="shared" si="218"/>
        <v>0</v>
      </c>
      <c r="N43" s="167"/>
      <c r="O43" s="167">
        <f t="shared" si="219"/>
        <v>0</v>
      </c>
      <c r="P43" s="168"/>
      <c r="Q43" s="167">
        <f t="shared" si="220"/>
        <v>0</v>
      </c>
      <c r="R43" s="169">
        <f t="shared" si="221"/>
        <v>0</v>
      </c>
      <c r="S43" s="167">
        <f t="shared" si="222"/>
        <v>0</v>
      </c>
      <c r="T43" s="167">
        <f t="shared" si="223"/>
        <v>0</v>
      </c>
      <c r="U43" s="167">
        <f t="shared" si="224"/>
        <v>0</v>
      </c>
      <c r="V43" s="167">
        <f t="shared" si="225"/>
        <v>0</v>
      </c>
      <c r="W43" s="167">
        <f t="shared" si="226"/>
        <v>0</v>
      </c>
      <c r="X43" s="167">
        <f t="shared" si="227"/>
        <v>0</v>
      </c>
      <c r="Y43" s="167">
        <f t="shared" si="228"/>
        <v>0</v>
      </c>
      <c r="Z43" s="167">
        <f t="shared" si="229"/>
        <v>0</v>
      </c>
      <c r="AA43" s="167">
        <f t="shared" si="230"/>
        <v>0</v>
      </c>
      <c r="AB43" s="170">
        <f t="shared" si="231"/>
        <v>0</v>
      </c>
      <c r="AC43" s="167">
        <f t="shared" si="232"/>
        <v>0</v>
      </c>
      <c r="AD43" s="171">
        <f t="shared" si="233"/>
        <v>0</v>
      </c>
      <c r="AE43" s="169">
        <f t="shared" si="276"/>
        <v>0</v>
      </c>
      <c r="AF43" s="167">
        <f t="shared" si="235"/>
        <v>0</v>
      </c>
      <c r="AG43" s="167">
        <f t="shared" si="114"/>
        <v>0</v>
      </c>
      <c r="AH43" s="167">
        <f t="shared" si="236"/>
        <v>0</v>
      </c>
      <c r="AI43" s="167">
        <f t="shared" si="116"/>
        <v>0</v>
      </c>
      <c r="AJ43" s="167">
        <f t="shared" si="237"/>
        <v>0</v>
      </c>
      <c r="AK43" s="167">
        <f t="shared" si="118"/>
        <v>0</v>
      </c>
      <c r="AL43" s="167">
        <f t="shared" si="238"/>
        <v>0</v>
      </c>
      <c r="AM43" s="167">
        <f t="shared" si="120"/>
        <v>0</v>
      </c>
      <c r="AN43" s="167">
        <f t="shared" si="239"/>
        <v>0</v>
      </c>
      <c r="AO43" s="170">
        <f t="shared" si="122"/>
        <v>0</v>
      </c>
      <c r="AP43" s="167">
        <f t="shared" si="123"/>
        <v>0</v>
      </c>
      <c r="AQ43" s="171">
        <f t="shared" si="124"/>
        <v>0</v>
      </c>
      <c r="AR43" s="169">
        <f t="shared" si="276"/>
        <v>0</v>
      </c>
      <c r="AS43" s="167">
        <f t="shared" si="240"/>
        <v>0</v>
      </c>
      <c r="AT43" s="167">
        <f t="shared" si="127"/>
        <v>0</v>
      </c>
      <c r="AU43" s="167">
        <f t="shared" si="241"/>
        <v>0</v>
      </c>
      <c r="AV43" s="167">
        <f t="shared" si="129"/>
        <v>0</v>
      </c>
      <c r="AW43" s="167">
        <f t="shared" si="242"/>
        <v>0</v>
      </c>
      <c r="AX43" s="167">
        <f t="shared" si="131"/>
        <v>0</v>
      </c>
      <c r="AY43" s="167">
        <f t="shared" si="243"/>
        <v>0</v>
      </c>
      <c r="AZ43" s="167">
        <f t="shared" si="133"/>
        <v>0</v>
      </c>
      <c r="BA43" s="167">
        <f t="shared" si="244"/>
        <v>0</v>
      </c>
      <c r="BB43" s="170">
        <f t="shared" si="135"/>
        <v>0</v>
      </c>
      <c r="BC43" s="167">
        <f t="shared" si="136"/>
        <v>0</v>
      </c>
      <c r="BD43" s="171">
        <f t="shared" si="137"/>
        <v>0</v>
      </c>
      <c r="BE43" s="169">
        <f t="shared" si="276"/>
        <v>0</v>
      </c>
      <c r="BF43" s="167">
        <f t="shared" si="245"/>
        <v>0</v>
      </c>
      <c r="BG43" s="167">
        <f t="shared" si="140"/>
        <v>0</v>
      </c>
      <c r="BH43" s="167">
        <f t="shared" si="246"/>
        <v>0</v>
      </c>
      <c r="BI43" s="167">
        <f t="shared" si="142"/>
        <v>0</v>
      </c>
      <c r="BJ43" s="167">
        <f t="shared" si="247"/>
        <v>0</v>
      </c>
      <c r="BK43" s="167">
        <f t="shared" si="144"/>
        <v>0</v>
      </c>
      <c r="BL43" s="167">
        <f t="shared" si="248"/>
        <v>0</v>
      </c>
      <c r="BM43" s="167">
        <f t="shared" si="146"/>
        <v>0</v>
      </c>
      <c r="BN43" s="167">
        <f t="shared" si="249"/>
        <v>0</v>
      </c>
      <c r="BO43" s="170">
        <f t="shared" si="148"/>
        <v>0</v>
      </c>
      <c r="BP43" s="167">
        <f t="shared" si="149"/>
        <v>0</v>
      </c>
      <c r="BQ43" s="171">
        <f t="shared" si="150"/>
        <v>0</v>
      </c>
      <c r="BR43" s="169">
        <f t="shared" si="276"/>
        <v>0</v>
      </c>
      <c r="BS43" s="167">
        <f t="shared" si="250"/>
        <v>0</v>
      </c>
      <c r="BT43" s="167">
        <f t="shared" si="153"/>
        <v>0</v>
      </c>
      <c r="BU43" s="167">
        <f t="shared" si="251"/>
        <v>0</v>
      </c>
      <c r="BV43" s="167">
        <f t="shared" si="155"/>
        <v>0</v>
      </c>
      <c r="BW43" s="167">
        <f t="shared" si="252"/>
        <v>0</v>
      </c>
      <c r="BX43" s="167">
        <f t="shared" si="157"/>
        <v>0</v>
      </c>
      <c r="BY43" s="167">
        <f t="shared" si="253"/>
        <v>0</v>
      </c>
      <c r="BZ43" s="167">
        <f t="shared" si="159"/>
        <v>0</v>
      </c>
      <c r="CA43" s="167">
        <f t="shared" si="254"/>
        <v>0</v>
      </c>
      <c r="CB43" s="170">
        <f t="shared" si="161"/>
        <v>0</v>
      </c>
      <c r="CC43" s="167">
        <f t="shared" si="162"/>
        <v>0</v>
      </c>
      <c r="CD43" s="171">
        <f t="shared" si="163"/>
        <v>0</v>
      </c>
      <c r="CE43" s="169">
        <f t="shared" si="276"/>
        <v>0</v>
      </c>
      <c r="CF43" s="167">
        <f t="shared" si="255"/>
        <v>0</v>
      </c>
      <c r="CG43" s="167">
        <f t="shared" si="166"/>
        <v>0</v>
      </c>
      <c r="CH43" s="167">
        <f t="shared" si="256"/>
        <v>0</v>
      </c>
      <c r="CI43" s="167">
        <f t="shared" si="168"/>
        <v>0</v>
      </c>
      <c r="CJ43" s="167">
        <f t="shared" si="257"/>
        <v>0</v>
      </c>
      <c r="CK43" s="167">
        <f t="shared" si="170"/>
        <v>0</v>
      </c>
      <c r="CL43" s="167">
        <f t="shared" si="258"/>
        <v>0</v>
      </c>
      <c r="CM43" s="167">
        <f t="shared" si="172"/>
        <v>0</v>
      </c>
      <c r="CN43" s="167">
        <f t="shared" si="259"/>
        <v>0</v>
      </c>
      <c r="CO43" s="170">
        <f t="shared" si="174"/>
        <v>0</v>
      </c>
      <c r="CP43" s="167">
        <f t="shared" si="175"/>
        <v>0</v>
      </c>
      <c r="CQ43" s="171">
        <f t="shared" si="176"/>
        <v>0</v>
      </c>
      <c r="CR43" s="169">
        <f t="shared" si="277"/>
        <v>0</v>
      </c>
      <c r="CS43" s="167">
        <f t="shared" si="261"/>
        <v>0</v>
      </c>
      <c r="CT43" s="167">
        <f t="shared" si="179"/>
        <v>0</v>
      </c>
      <c r="CU43" s="167">
        <f t="shared" si="262"/>
        <v>0</v>
      </c>
      <c r="CV43" s="167">
        <f t="shared" si="181"/>
        <v>0</v>
      </c>
      <c r="CW43" s="167">
        <f t="shared" si="263"/>
        <v>0</v>
      </c>
      <c r="CX43" s="167">
        <f t="shared" si="183"/>
        <v>0</v>
      </c>
      <c r="CY43" s="167">
        <f t="shared" si="264"/>
        <v>0</v>
      </c>
      <c r="CZ43" s="167">
        <f t="shared" si="185"/>
        <v>0</v>
      </c>
      <c r="DA43" s="167">
        <f t="shared" si="265"/>
        <v>0</v>
      </c>
      <c r="DB43" s="170">
        <f t="shared" si="187"/>
        <v>0</v>
      </c>
      <c r="DC43" s="167">
        <f t="shared" si="188"/>
        <v>0</v>
      </c>
      <c r="DD43" s="171">
        <f t="shared" si="189"/>
        <v>0</v>
      </c>
      <c r="DE43" s="169">
        <f t="shared" si="277"/>
        <v>0</v>
      </c>
      <c r="DF43" s="167">
        <f t="shared" si="266"/>
        <v>0</v>
      </c>
      <c r="DG43" s="167">
        <f t="shared" si="192"/>
        <v>0</v>
      </c>
      <c r="DH43" s="167">
        <f t="shared" si="267"/>
        <v>0</v>
      </c>
      <c r="DI43" s="167">
        <f t="shared" si="194"/>
        <v>0</v>
      </c>
      <c r="DJ43" s="167">
        <f t="shared" si="268"/>
        <v>0</v>
      </c>
      <c r="DK43" s="167">
        <f t="shared" si="196"/>
        <v>0</v>
      </c>
      <c r="DL43" s="167">
        <f t="shared" si="269"/>
        <v>0</v>
      </c>
      <c r="DM43" s="167">
        <f t="shared" si="198"/>
        <v>0</v>
      </c>
      <c r="DN43" s="167">
        <f t="shared" si="270"/>
        <v>0</v>
      </c>
      <c r="DO43" s="170">
        <f t="shared" si="200"/>
        <v>0</v>
      </c>
      <c r="DP43" s="167">
        <f t="shared" si="201"/>
        <v>0</v>
      </c>
      <c r="DQ43" s="171">
        <f t="shared" si="202"/>
        <v>0</v>
      </c>
      <c r="DR43" s="169">
        <f t="shared" si="277"/>
        <v>0</v>
      </c>
      <c r="DS43" s="167">
        <f t="shared" si="271"/>
        <v>0</v>
      </c>
      <c r="DT43" s="167">
        <f t="shared" si="205"/>
        <v>0</v>
      </c>
      <c r="DU43" s="167">
        <f t="shared" si="272"/>
        <v>0</v>
      </c>
      <c r="DV43" s="167">
        <f t="shared" si="207"/>
        <v>0</v>
      </c>
      <c r="DW43" s="167">
        <f t="shared" si="273"/>
        <v>0</v>
      </c>
      <c r="DX43" s="167">
        <f t="shared" si="209"/>
        <v>0</v>
      </c>
      <c r="DY43" s="167">
        <f t="shared" si="274"/>
        <v>0</v>
      </c>
      <c r="DZ43" s="167">
        <f t="shared" si="211"/>
        <v>0</v>
      </c>
      <c r="EA43" s="167">
        <f t="shared" si="275"/>
        <v>0</v>
      </c>
      <c r="EB43" s="170">
        <f t="shared" si="213"/>
        <v>0</v>
      </c>
      <c r="EC43" s="167">
        <f t="shared" si="214"/>
        <v>0</v>
      </c>
      <c r="ED43" s="171">
        <f t="shared" si="215"/>
        <v>0</v>
      </c>
    </row>
    <row r="44" spans="1:134" x14ac:dyDescent="0.3">
      <c r="A44" s="196"/>
      <c r="B44" s="196"/>
      <c r="C44" s="196"/>
      <c r="D44" s="188"/>
      <c r="E44" s="624"/>
      <c r="F44" s="190"/>
      <c r="G44" s="625"/>
      <c r="H44" s="192"/>
      <c r="I44" s="193"/>
      <c r="J44" s="194"/>
      <c r="K44" s="165">
        <f t="shared" si="216"/>
        <v>0</v>
      </c>
      <c r="L44" s="166">
        <f t="shared" si="217"/>
        <v>0</v>
      </c>
      <c r="M44" s="167">
        <f t="shared" si="218"/>
        <v>0</v>
      </c>
      <c r="N44" s="167"/>
      <c r="O44" s="167">
        <f t="shared" si="219"/>
        <v>0</v>
      </c>
      <c r="P44" s="168"/>
      <c r="Q44" s="167">
        <f t="shared" si="220"/>
        <v>0</v>
      </c>
      <c r="R44" s="169">
        <f t="shared" si="221"/>
        <v>0</v>
      </c>
      <c r="S44" s="167">
        <f t="shared" si="222"/>
        <v>0</v>
      </c>
      <c r="T44" s="167">
        <f t="shared" si="223"/>
        <v>0</v>
      </c>
      <c r="U44" s="167">
        <f t="shared" si="224"/>
        <v>0</v>
      </c>
      <c r="V44" s="167">
        <f t="shared" si="225"/>
        <v>0</v>
      </c>
      <c r="W44" s="167">
        <f t="shared" si="226"/>
        <v>0</v>
      </c>
      <c r="X44" s="167">
        <f t="shared" si="227"/>
        <v>0</v>
      </c>
      <c r="Y44" s="167">
        <f t="shared" si="228"/>
        <v>0</v>
      </c>
      <c r="Z44" s="167">
        <f t="shared" si="229"/>
        <v>0</v>
      </c>
      <c r="AA44" s="167">
        <f t="shared" si="230"/>
        <v>0</v>
      </c>
      <c r="AB44" s="170">
        <f t="shared" si="231"/>
        <v>0</v>
      </c>
      <c r="AC44" s="167">
        <f t="shared" si="232"/>
        <v>0</v>
      </c>
      <c r="AD44" s="171">
        <f t="shared" si="233"/>
        <v>0</v>
      </c>
      <c r="AE44" s="169">
        <f t="shared" si="276"/>
        <v>0</v>
      </c>
      <c r="AF44" s="167">
        <f t="shared" si="235"/>
        <v>0</v>
      </c>
      <c r="AG44" s="167">
        <f t="shared" si="114"/>
        <v>0</v>
      </c>
      <c r="AH44" s="167">
        <f t="shared" si="236"/>
        <v>0</v>
      </c>
      <c r="AI44" s="167">
        <f t="shared" si="116"/>
        <v>0</v>
      </c>
      <c r="AJ44" s="167">
        <f t="shared" si="237"/>
        <v>0</v>
      </c>
      <c r="AK44" s="167">
        <f t="shared" si="118"/>
        <v>0</v>
      </c>
      <c r="AL44" s="167">
        <f t="shared" si="238"/>
        <v>0</v>
      </c>
      <c r="AM44" s="167">
        <f t="shared" si="120"/>
        <v>0</v>
      </c>
      <c r="AN44" s="167">
        <f t="shared" si="239"/>
        <v>0</v>
      </c>
      <c r="AO44" s="170">
        <f t="shared" si="122"/>
        <v>0</v>
      </c>
      <c r="AP44" s="167">
        <f t="shared" si="123"/>
        <v>0</v>
      </c>
      <c r="AQ44" s="171">
        <f t="shared" si="124"/>
        <v>0</v>
      </c>
      <c r="AR44" s="169">
        <f t="shared" si="276"/>
        <v>0</v>
      </c>
      <c r="AS44" s="167">
        <f t="shared" si="240"/>
        <v>0</v>
      </c>
      <c r="AT44" s="167">
        <f t="shared" si="127"/>
        <v>0</v>
      </c>
      <c r="AU44" s="167">
        <f t="shared" si="241"/>
        <v>0</v>
      </c>
      <c r="AV44" s="167">
        <f t="shared" si="129"/>
        <v>0</v>
      </c>
      <c r="AW44" s="167">
        <f t="shared" si="242"/>
        <v>0</v>
      </c>
      <c r="AX44" s="167">
        <f t="shared" si="131"/>
        <v>0</v>
      </c>
      <c r="AY44" s="167">
        <f t="shared" si="243"/>
        <v>0</v>
      </c>
      <c r="AZ44" s="167">
        <f t="shared" si="133"/>
        <v>0</v>
      </c>
      <c r="BA44" s="167">
        <f t="shared" si="244"/>
        <v>0</v>
      </c>
      <c r="BB44" s="170">
        <f t="shared" si="135"/>
        <v>0</v>
      </c>
      <c r="BC44" s="167">
        <f t="shared" si="136"/>
        <v>0</v>
      </c>
      <c r="BD44" s="171">
        <f t="shared" si="137"/>
        <v>0</v>
      </c>
      <c r="BE44" s="169">
        <f t="shared" si="276"/>
        <v>0</v>
      </c>
      <c r="BF44" s="167">
        <f t="shared" si="245"/>
        <v>0</v>
      </c>
      <c r="BG44" s="167">
        <f t="shared" si="140"/>
        <v>0</v>
      </c>
      <c r="BH44" s="167">
        <f t="shared" si="246"/>
        <v>0</v>
      </c>
      <c r="BI44" s="167">
        <f t="shared" si="142"/>
        <v>0</v>
      </c>
      <c r="BJ44" s="167">
        <f t="shared" si="247"/>
        <v>0</v>
      </c>
      <c r="BK44" s="167">
        <f t="shared" si="144"/>
        <v>0</v>
      </c>
      <c r="BL44" s="167">
        <f t="shared" si="248"/>
        <v>0</v>
      </c>
      <c r="BM44" s="167">
        <f t="shared" si="146"/>
        <v>0</v>
      </c>
      <c r="BN44" s="167">
        <f t="shared" si="249"/>
        <v>0</v>
      </c>
      <c r="BO44" s="170">
        <f t="shared" si="148"/>
        <v>0</v>
      </c>
      <c r="BP44" s="167">
        <f t="shared" si="149"/>
        <v>0</v>
      </c>
      <c r="BQ44" s="171">
        <f t="shared" si="150"/>
        <v>0</v>
      </c>
      <c r="BR44" s="169">
        <f t="shared" si="276"/>
        <v>0</v>
      </c>
      <c r="BS44" s="167">
        <f t="shared" si="250"/>
        <v>0</v>
      </c>
      <c r="BT44" s="167">
        <f t="shared" si="153"/>
        <v>0</v>
      </c>
      <c r="BU44" s="167">
        <f t="shared" si="251"/>
        <v>0</v>
      </c>
      <c r="BV44" s="167">
        <f t="shared" si="155"/>
        <v>0</v>
      </c>
      <c r="BW44" s="167">
        <f t="shared" si="252"/>
        <v>0</v>
      </c>
      <c r="BX44" s="167">
        <f t="shared" si="157"/>
        <v>0</v>
      </c>
      <c r="BY44" s="167">
        <f t="shared" si="253"/>
        <v>0</v>
      </c>
      <c r="BZ44" s="167">
        <f t="shared" si="159"/>
        <v>0</v>
      </c>
      <c r="CA44" s="167">
        <f t="shared" si="254"/>
        <v>0</v>
      </c>
      <c r="CB44" s="170">
        <f t="shared" si="161"/>
        <v>0</v>
      </c>
      <c r="CC44" s="167">
        <f t="shared" si="162"/>
        <v>0</v>
      </c>
      <c r="CD44" s="171">
        <f t="shared" si="163"/>
        <v>0</v>
      </c>
      <c r="CE44" s="169">
        <f t="shared" si="276"/>
        <v>0</v>
      </c>
      <c r="CF44" s="167">
        <f t="shared" si="255"/>
        <v>0</v>
      </c>
      <c r="CG44" s="167">
        <f t="shared" si="166"/>
        <v>0</v>
      </c>
      <c r="CH44" s="167">
        <f t="shared" si="256"/>
        <v>0</v>
      </c>
      <c r="CI44" s="167">
        <f t="shared" si="168"/>
        <v>0</v>
      </c>
      <c r="CJ44" s="167">
        <f t="shared" si="257"/>
        <v>0</v>
      </c>
      <c r="CK44" s="167">
        <f t="shared" si="170"/>
        <v>0</v>
      </c>
      <c r="CL44" s="167">
        <f t="shared" si="258"/>
        <v>0</v>
      </c>
      <c r="CM44" s="167">
        <f t="shared" si="172"/>
        <v>0</v>
      </c>
      <c r="CN44" s="167">
        <f t="shared" si="259"/>
        <v>0</v>
      </c>
      <c r="CO44" s="170">
        <f t="shared" si="174"/>
        <v>0</v>
      </c>
      <c r="CP44" s="167">
        <f t="shared" si="175"/>
        <v>0</v>
      </c>
      <c r="CQ44" s="171">
        <f t="shared" si="176"/>
        <v>0</v>
      </c>
      <c r="CR44" s="169">
        <f t="shared" si="277"/>
        <v>0</v>
      </c>
      <c r="CS44" s="167">
        <f t="shared" si="261"/>
        <v>0</v>
      </c>
      <c r="CT44" s="167">
        <f t="shared" si="179"/>
        <v>0</v>
      </c>
      <c r="CU44" s="167">
        <f t="shared" si="262"/>
        <v>0</v>
      </c>
      <c r="CV44" s="167">
        <f t="shared" si="181"/>
        <v>0</v>
      </c>
      <c r="CW44" s="167">
        <f t="shared" si="263"/>
        <v>0</v>
      </c>
      <c r="CX44" s="167">
        <f t="shared" si="183"/>
        <v>0</v>
      </c>
      <c r="CY44" s="167">
        <f t="shared" si="264"/>
        <v>0</v>
      </c>
      <c r="CZ44" s="167">
        <f t="shared" si="185"/>
        <v>0</v>
      </c>
      <c r="DA44" s="167">
        <f t="shared" si="265"/>
        <v>0</v>
      </c>
      <c r="DB44" s="170">
        <f t="shared" si="187"/>
        <v>0</v>
      </c>
      <c r="DC44" s="167">
        <f t="shared" si="188"/>
        <v>0</v>
      </c>
      <c r="DD44" s="171">
        <f t="shared" si="189"/>
        <v>0</v>
      </c>
      <c r="DE44" s="169">
        <f t="shared" si="277"/>
        <v>0</v>
      </c>
      <c r="DF44" s="167">
        <f t="shared" si="266"/>
        <v>0</v>
      </c>
      <c r="DG44" s="167">
        <f t="shared" si="192"/>
        <v>0</v>
      </c>
      <c r="DH44" s="167">
        <f t="shared" si="267"/>
        <v>0</v>
      </c>
      <c r="DI44" s="167">
        <f t="shared" si="194"/>
        <v>0</v>
      </c>
      <c r="DJ44" s="167">
        <f t="shared" si="268"/>
        <v>0</v>
      </c>
      <c r="DK44" s="167">
        <f t="shared" si="196"/>
        <v>0</v>
      </c>
      <c r="DL44" s="167">
        <f t="shared" si="269"/>
        <v>0</v>
      </c>
      <c r="DM44" s="167">
        <f t="shared" si="198"/>
        <v>0</v>
      </c>
      <c r="DN44" s="167">
        <f t="shared" si="270"/>
        <v>0</v>
      </c>
      <c r="DO44" s="170">
        <f t="shared" si="200"/>
        <v>0</v>
      </c>
      <c r="DP44" s="167">
        <f t="shared" si="201"/>
        <v>0</v>
      </c>
      <c r="DQ44" s="171">
        <f t="shared" si="202"/>
        <v>0</v>
      </c>
      <c r="DR44" s="169">
        <f t="shared" si="277"/>
        <v>0</v>
      </c>
      <c r="DS44" s="167">
        <f t="shared" si="271"/>
        <v>0</v>
      </c>
      <c r="DT44" s="167">
        <f t="shared" si="205"/>
        <v>0</v>
      </c>
      <c r="DU44" s="167">
        <f t="shared" si="272"/>
        <v>0</v>
      </c>
      <c r="DV44" s="167">
        <f t="shared" si="207"/>
        <v>0</v>
      </c>
      <c r="DW44" s="167">
        <f t="shared" si="273"/>
        <v>0</v>
      </c>
      <c r="DX44" s="167">
        <f t="shared" si="209"/>
        <v>0</v>
      </c>
      <c r="DY44" s="167">
        <f t="shared" si="274"/>
        <v>0</v>
      </c>
      <c r="DZ44" s="167">
        <f t="shared" si="211"/>
        <v>0</v>
      </c>
      <c r="EA44" s="167">
        <f t="shared" si="275"/>
        <v>0</v>
      </c>
      <c r="EB44" s="170">
        <f t="shared" si="213"/>
        <v>0</v>
      </c>
      <c r="EC44" s="167">
        <f t="shared" si="214"/>
        <v>0</v>
      </c>
      <c r="ED44" s="171">
        <f t="shared" si="215"/>
        <v>0</v>
      </c>
    </row>
    <row r="45" spans="1:134" x14ac:dyDescent="0.3">
      <c r="A45" s="196"/>
      <c r="B45" s="196"/>
      <c r="C45" s="196"/>
      <c r="D45" s="95"/>
      <c r="E45" s="624"/>
      <c r="F45" s="190"/>
      <c r="G45" s="625"/>
      <c r="H45" s="192"/>
      <c r="I45" s="193"/>
      <c r="J45" s="194"/>
      <c r="K45" s="165">
        <f t="shared" si="216"/>
        <v>0</v>
      </c>
      <c r="L45" s="166">
        <f t="shared" si="217"/>
        <v>0</v>
      </c>
      <c r="M45" s="167">
        <f t="shared" si="218"/>
        <v>0</v>
      </c>
      <c r="N45" s="167"/>
      <c r="O45" s="167">
        <f t="shared" si="219"/>
        <v>0</v>
      </c>
      <c r="P45" s="168"/>
      <c r="Q45" s="167">
        <f t="shared" si="220"/>
        <v>0</v>
      </c>
      <c r="R45" s="169">
        <f t="shared" si="221"/>
        <v>0</v>
      </c>
      <c r="S45" s="167">
        <f t="shared" si="222"/>
        <v>0</v>
      </c>
      <c r="T45" s="167">
        <f t="shared" si="223"/>
        <v>0</v>
      </c>
      <c r="U45" s="167">
        <f t="shared" si="224"/>
        <v>0</v>
      </c>
      <c r="V45" s="167">
        <f t="shared" si="225"/>
        <v>0</v>
      </c>
      <c r="W45" s="167">
        <f t="shared" si="226"/>
        <v>0</v>
      </c>
      <c r="X45" s="167">
        <f t="shared" si="227"/>
        <v>0</v>
      </c>
      <c r="Y45" s="167">
        <f t="shared" si="228"/>
        <v>0</v>
      </c>
      <c r="Z45" s="167">
        <f t="shared" si="229"/>
        <v>0</v>
      </c>
      <c r="AA45" s="167">
        <f t="shared" si="230"/>
        <v>0</v>
      </c>
      <c r="AB45" s="170">
        <f t="shared" si="231"/>
        <v>0</v>
      </c>
      <c r="AC45" s="167">
        <f t="shared" si="232"/>
        <v>0</v>
      </c>
      <c r="AD45" s="171">
        <f t="shared" si="233"/>
        <v>0</v>
      </c>
      <c r="AE45" s="169">
        <f t="shared" si="276"/>
        <v>0</v>
      </c>
      <c r="AF45" s="167">
        <f t="shared" si="235"/>
        <v>0</v>
      </c>
      <c r="AG45" s="167">
        <f t="shared" si="114"/>
        <v>0</v>
      </c>
      <c r="AH45" s="167">
        <f t="shared" si="236"/>
        <v>0</v>
      </c>
      <c r="AI45" s="167">
        <f t="shared" si="116"/>
        <v>0</v>
      </c>
      <c r="AJ45" s="167">
        <f t="shared" si="237"/>
        <v>0</v>
      </c>
      <c r="AK45" s="167">
        <f t="shared" si="118"/>
        <v>0</v>
      </c>
      <c r="AL45" s="167">
        <f t="shared" si="238"/>
        <v>0</v>
      </c>
      <c r="AM45" s="167">
        <f t="shared" si="120"/>
        <v>0</v>
      </c>
      <c r="AN45" s="167">
        <f t="shared" si="239"/>
        <v>0</v>
      </c>
      <c r="AO45" s="170">
        <f t="shared" si="122"/>
        <v>0</v>
      </c>
      <c r="AP45" s="167">
        <f t="shared" si="123"/>
        <v>0</v>
      </c>
      <c r="AQ45" s="171">
        <f t="shared" si="124"/>
        <v>0</v>
      </c>
      <c r="AR45" s="169">
        <f t="shared" si="276"/>
        <v>0</v>
      </c>
      <c r="AS45" s="167">
        <f t="shared" si="240"/>
        <v>0</v>
      </c>
      <c r="AT45" s="167">
        <f t="shared" si="127"/>
        <v>0</v>
      </c>
      <c r="AU45" s="167">
        <f t="shared" si="241"/>
        <v>0</v>
      </c>
      <c r="AV45" s="167">
        <f t="shared" si="129"/>
        <v>0</v>
      </c>
      <c r="AW45" s="167">
        <f t="shared" si="242"/>
        <v>0</v>
      </c>
      <c r="AX45" s="167">
        <f t="shared" si="131"/>
        <v>0</v>
      </c>
      <c r="AY45" s="167">
        <f t="shared" si="243"/>
        <v>0</v>
      </c>
      <c r="AZ45" s="167">
        <f t="shared" si="133"/>
        <v>0</v>
      </c>
      <c r="BA45" s="167">
        <f t="shared" si="244"/>
        <v>0</v>
      </c>
      <c r="BB45" s="170">
        <f t="shared" si="135"/>
        <v>0</v>
      </c>
      <c r="BC45" s="167">
        <f t="shared" si="136"/>
        <v>0</v>
      </c>
      <c r="BD45" s="171">
        <f t="shared" si="137"/>
        <v>0</v>
      </c>
      <c r="BE45" s="169">
        <f t="shared" si="276"/>
        <v>0</v>
      </c>
      <c r="BF45" s="167">
        <f t="shared" si="245"/>
        <v>0</v>
      </c>
      <c r="BG45" s="167">
        <f t="shared" si="140"/>
        <v>0</v>
      </c>
      <c r="BH45" s="167">
        <f t="shared" si="246"/>
        <v>0</v>
      </c>
      <c r="BI45" s="167">
        <f t="shared" si="142"/>
        <v>0</v>
      </c>
      <c r="BJ45" s="167">
        <f t="shared" si="247"/>
        <v>0</v>
      </c>
      <c r="BK45" s="167">
        <f t="shared" si="144"/>
        <v>0</v>
      </c>
      <c r="BL45" s="167">
        <f t="shared" si="248"/>
        <v>0</v>
      </c>
      <c r="BM45" s="167">
        <f t="shared" si="146"/>
        <v>0</v>
      </c>
      <c r="BN45" s="167">
        <f t="shared" si="249"/>
        <v>0</v>
      </c>
      <c r="BO45" s="170">
        <f t="shared" si="148"/>
        <v>0</v>
      </c>
      <c r="BP45" s="167">
        <f t="shared" si="149"/>
        <v>0</v>
      </c>
      <c r="BQ45" s="171">
        <f t="shared" si="150"/>
        <v>0</v>
      </c>
      <c r="BR45" s="169">
        <f t="shared" si="276"/>
        <v>0</v>
      </c>
      <c r="BS45" s="167">
        <f t="shared" si="250"/>
        <v>0</v>
      </c>
      <c r="BT45" s="167">
        <f t="shared" si="153"/>
        <v>0</v>
      </c>
      <c r="BU45" s="167">
        <f t="shared" si="251"/>
        <v>0</v>
      </c>
      <c r="BV45" s="167">
        <f t="shared" si="155"/>
        <v>0</v>
      </c>
      <c r="BW45" s="167">
        <f t="shared" si="252"/>
        <v>0</v>
      </c>
      <c r="BX45" s="167">
        <f t="shared" si="157"/>
        <v>0</v>
      </c>
      <c r="BY45" s="167">
        <f t="shared" si="253"/>
        <v>0</v>
      </c>
      <c r="BZ45" s="167">
        <f t="shared" si="159"/>
        <v>0</v>
      </c>
      <c r="CA45" s="167">
        <f t="shared" si="254"/>
        <v>0</v>
      </c>
      <c r="CB45" s="170">
        <f t="shared" si="161"/>
        <v>0</v>
      </c>
      <c r="CC45" s="167">
        <f t="shared" si="162"/>
        <v>0</v>
      </c>
      <c r="CD45" s="171">
        <f t="shared" si="163"/>
        <v>0</v>
      </c>
      <c r="CE45" s="169">
        <f t="shared" si="276"/>
        <v>0</v>
      </c>
      <c r="CF45" s="167">
        <f t="shared" si="255"/>
        <v>0</v>
      </c>
      <c r="CG45" s="167">
        <f t="shared" si="166"/>
        <v>0</v>
      </c>
      <c r="CH45" s="167">
        <f t="shared" si="256"/>
        <v>0</v>
      </c>
      <c r="CI45" s="167">
        <f t="shared" si="168"/>
        <v>0</v>
      </c>
      <c r="CJ45" s="167">
        <f t="shared" si="257"/>
        <v>0</v>
      </c>
      <c r="CK45" s="167">
        <f t="shared" si="170"/>
        <v>0</v>
      </c>
      <c r="CL45" s="167">
        <f t="shared" si="258"/>
        <v>0</v>
      </c>
      <c r="CM45" s="167">
        <f t="shared" si="172"/>
        <v>0</v>
      </c>
      <c r="CN45" s="167">
        <f t="shared" si="259"/>
        <v>0</v>
      </c>
      <c r="CO45" s="170">
        <f t="shared" si="174"/>
        <v>0</v>
      </c>
      <c r="CP45" s="167">
        <f t="shared" si="175"/>
        <v>0</v>
      </c>
      <c r="CQ45" s="171">
        <f t="shared" si="176"/>
        <v>0</v>
      </c>
      <c r="CR45" s="169">
        <f t="shared" si="277"/>
        <v>0</v>
      </c>
      <c r="CS45" s="167">
        <f t="shared" si="261"/>
        <v>0</v>
      </c>
      <c r="CT45" s="167">
        <f t="shared" si="179"/>
        <v>0</v>
      </c>
      <c r="CU45" s="167">
        <f t="shared" si="262"/>
        <v>0</v>
      </c>
      <c r="CV45" s="167">
        <f t="shared" si="181"/>
        <v>0</v>
      </c>
      <c r="CW45" s="167">
        <f t="shared" si="263"/>
        <v>0</v>
      </c>
      <c r="CX45" s="167">
        <f t="shared" si="183"/>
        <v>0</v>
      </c>
      <c r="CY45" s="167">
        <f t="shared" si="264"/>
        <v>0</v>
      </c>
      <c r="CZ45" s="167">
        <f t="shared" si="185"/>
        <v>0</v>
      </c>
      <c r="DA45" s="167">
        <f t="shared" si="265"/>
        <v>0</v>
      </c>
      <c r="DB45" s="170">
        <f t="shared" si="187"/>
        <v>0</v>
      </c>
      <c r="DC45" s="167">
        <f t="shared" si="188"/>
        <v>0</v>
      </c>
      <c r="DD45" s="171">
        <f t="shared" si="189"/>
        <v>0</v>
      </c>
      <c r="DE45" s="169">
        <f t="shared" si="277"/>
        <v>0</v>
      </c>
      <c r="DF45" s="167">
        <f t="shared" si="266"/>
        <v>0</v>
      </c>
      <c r="DG45" s="167">
        <f t="shared" si="192"/>
        <v>0</v>
      </c>
      <c r="DH45" s="167">
        <f t="shared" si="267"/>
        <v>0</v>
      </c>
      <c r="DI45" s="167">
        <f t="shared" si="194"/>
        <v>0</v>
      </c>
      <c r="DJ45" s="167">
        <f t="shared" si="268"/>
        <v>0</v>
      </c>
      <c r="DK45" s="167">
        <f t="shared" si="196"/>
        <v>0</v>
      </c>
      <c r="DL45" s="167">
        <f t="shared" si="269"/>
        <v>0</v>
      </c>
      <c r="DM45" s="167">
        <f t="shared" si="198"/>
        <v>0</v>
      </c>
      <c r="DN45" s="167">
        <f t="shared" si="270"/>
        <v>0</v>
      </c>
      <c r="DO45" s="170">
        <f t="shared" si="200"/>
        <v>0</v>
      </c>
      <c r="DP45" s="167">
        <f t="shared" si="201"/>
        <v>0</v>
      </c>
      <c r="DQ45" s="171">
        <f t="shared" si="202"/>
        <v>0</v>
      </c>
      <c r="DR45" s="169">
        <f t="shared" si="277"/>
        <v>0</v>
      </c>
      <c r="DS45" s="167">
        <f t="shared" si="271"/>
        <v>0</v>
      </c>
      <c r="DT45" s="167">
        <f t="shared" si="205"/>
        <v>0</v>
      </c>
      <c r="DU45" s="167">
        <f t="shared" si="272"/>
        <v>0</v>
      </c>
      <c r="DV45" s="167">
        <f t="shared" si="207"/>
        <v>0</v>
      </c>
      <c r="DW45" s="167">
        <f t="shared" si="273"/>
        <v>0</v>
      </c>
      <c r="DX45" s="167">
        <f t="shared" si="209"/>
        <v>0</v>
      </c>
      <c r="DY45" s="167">
        <f t="shared" si="274"/>
        <v>0</v>
      </c>
      <c r="DZ45" s="167">
        <f t="shared" si="211"/>
        <v>0</v>
      </c>
      <c r="EA45" s="167">
        <f t="shared" si="275"/>
        <v>0</v>
      </c>
      <c r="EB45" s="170">
        <f t="shared" si="213"/>
        <v>0</v>
      </c>
      <c r="EC45" s="167">
        <f t="shared" si="214"/>
        <v>0</v>
      </c>
      <c r="ED45" s="171">
        <f t="shared" si="215"/>
        <v>0</v>
      </c>
    </row>
    <row r="46" spans="1:134" x14ac:dyDescent="0.3">
      <c r="A46" s="196"/>
      <c r="B46" s="196"/>
      <c r="C46" s="196"/>
      <c r="D46" s="188"/>
      <c r="E46" s="624"/>
      <c r="F46" s="190"/>
      <c r="G46" s="625"/>
      <c r="H46" s="192"/>
      <c r="I46" s="193"/>
      <c r="J46" s="194"/>
      <c r="K46" s="165">
        <f t="shared" si="216"/>
        <v>0</v>
      </c>
      <c r="L46" s="166">
        <f t="shared" si="217"/>
        <v>0</v>
      </c>
      <c r="M46" s="167">
        <f t="shared" si="218"/>
        <v>0</v>
      </c>
      <c r="N46" s="167"/>
      <c r="O46" s="167">
        <f t="shared" si="219"/>
        <v>0</v>
      </c>
      <c r="P46" s="168"/>
      <c r="Q46" s="167">
        <f t="shared" si="220"/>
        <v>0</v>
      </c>
      <c r="R46" s="169">
        <f t="shared" si="221"/>
        <v>0</v>
      </c>
      <c r="S46" s="167">
        <f t="shared" si="222"/>
        <v>0</v>
      </c>
      <c r="T46" s="167">
        <f t="shared" si="223"/>
        <v>0</v>
      </c>
      <c r="U46" s="167">
        <f t="shared" si="224"/>
        <v>0</v>
      </c>
      <c r="V46" s="167">
        <f t="shared" si="225"/>
        <v>0</v>
      </c>
      <c r="W46" s="167">
        <f t="shared" si="226"/>
        <v>0</v>
      </c>
      <c r="X46" s="167">
        <f t="shared" si="227"/>
        <v>0</v>
      </c>
      <c r="Y46" s="167">
        <f t="shared" si="228"/>
        <v>0</v>
      </c>
      <c r="Z46" s="167">
        <f t="shared" si="229"/>
        <v>0</v>
      </c>
      <c r="AA46" s="167">
        <f t="shared" si="230"/>
        <v>0</v>
      </c>
      <c r="AB46" s="170">
        <f t="shared" si="231"/>
        <v>0</v>
      </c>
      <c r="AC46" s="167">
        <f t="shared" si="232"/>
        <v>0</v>
      </c>
      <c r="AD46" s="171">
        <f t="shared" si="233"/>
        <v>0</v>
      </c>
      <c r="AE46" s="169">
        <f t="shared" si="276"/>
        <v>0</v>
      </c>
      <c r="AF46" s="167">
        <f t="shared" si="235"/>
        <v>0</v>
      </c>
      <c r="AG46" s="167">
        <f t="shared" si="114"/>
        <v>0</v>
      </c>
      <c r="AH46" s="167">
        <f t="shared" si="236"/>
        <v>0</v>
      </c>
      <c r="AI46" s="167">
        <f t="shared" si="116"/>
        <v>0</v>
      </c>
      <c r="AJ46" s="167">
        <f t="shared" si="237"/>
        <v>0</v>
      </c>
      <c r="AK46" s="167">
        <f t="shared" si="118"/>
        <v>0</v>
      </c>
      <c r="AL46" s="167">
        <f t="shared" si="238"/>
        <v>0</v>
      </c>
      <c r="AM46" s="167">
        <f t="shared" si="120"/>
        <v>0</v>
      </c>
      <c r="AN46" s="167">
        <f t="shared" si="239"/>
        <v>0</v>
      </c>
      <c r="AO46" s="170">
        <f t="shared" si="122"/>
        <v>0</v>
      </c>
      <c r="AP46" s="167">
        <f t="shared" si="123"/>
        <v>0</v>
      </c>
      <c r="AQ46" s="171">
        <f t="shared" si="124"/>
        <v>0</v>
      </c>
      <c r="AR46" s="169">
        <f t="shared" si="276"/>
        <v>0</v>
      </c>
      <c r="AS46" s="167">
        <f t="shared" si="240"/>
        <v>0</v>
      </c>
      <c r="AT46" s="167">
        <f t="shared" si="127"/>
        <v>0</v>
      </c>
      <c r="AU46" s="167">
        <f t="shared" si="241"/>
        <v>0</v>
      </c>
      <c r="AV46" s="167">
        <f t="shared" si="129"/>
        <v>0</v>
      </c>
      <c r="AW46" s="167">
        <f t="shared" si="242"/>
        <v>0</v>
      </c>
      <c r="AX46" s="167">
        <f t="shared" si="131"/>
        <v>0</v>
      </c>
      <c r="AY46" s="167">
        <f t="shared" si="243"/>
        <v>0</v>
      </c>
      <c r="AZ46" s="167">
        <f t="shared" si="133"/>
        <v>0</v>
      </c>
      <c r="BA46" s="167">
        <f t="shared" si="244"/>
        <v>0</v>
      </c>
      <c r="BB46" s="170">
        <f t="shared" si="135"/>
        <v>0</v>
      </c>
      <c r="BC46" s="167">
        <f t="shared" si="136"/>
        <v>0</v>
      </c>
      <c r="BD46" s="171">
        <f t="shared" si="137"/>
        <v>0</v>
      </c>
      <c r="BE46" s="169">
        <f t="shared" si="276"/>
        <v>0</v>
      </c>
      <c r="BF46" s="167">
        <f t="shared" si="245"/>
        <v>0</v>
      </c>
      <c r="BG46" s="167">
        <f t="shared" si="140"/>
        <v>0</v>
      </c>
      <c r="BH46" s="167">
        <f t="shared" si="246"/>
        <v>0</v>
      </c>
      <c r="BI46" s="167">
        <f t="shared" si="142"/>
        <v>0</v>
      </c>
      <c r="BJ46" s="167">
        <f t="shared" si="247"/>
        <v>0</v>
      </c>
      <c r="BK46" s="167">
        <f t="shared" si="144"/>
        <v>0</v>
      </c>
      <c r="BL46" s="167">
        <f t="shared" si="248"/>
        <v>0</v>
      </c>
      <c r="BM46" s="167">
        <f t="shared" si="146"/>
        <v>0</v>
      </c>
      <c r="BN46" s="167">
        <f t="shared" si="249"/>
        <v>0</v>
      </c>
      <c r="BO46" s="170">
        <f t="shared" si="148"/>
        <v>0</v>
      </c>
      <c r="BP46" s="167">
        <f t="shared" si="149"/>
        <v>0</v>
      </c>
      <c r="BQ46" s="171">
        <f t="shared" si="150"/>
        <v>0</v>
      </c>
      <c r="BR46" s="169">
        <f t="shared" si="276"/>
        <v>0</v>
      </c>
      <c r="BS46" s="167">
        <f t="shared" si="250"/>
        <v>0</v>
      </c>
      <c r="BT46" s="167">
        <f t="shared" si="153"/>
        <v>0</v>
      </c>
      <c r="BU46" s="167">
        <f t="shared" si="251"/>
        <v>0</v>
      </c>
      <c r="BV46" s="167">
        <f t="shared" si="155"/>
        <v>0</v>
      </c>
      <c r="BW46" s="167">
        <f t="shared" si="252"/>
        <v>0</v>
      </c>
      <c r="BX46" s="167">
        <f t="shared" si="157"/>
        <v>0</v>
      </c>
      <c r="BY46" s="167">
        <f t="shared" si="253"/>
        <v>0</v>
      </c>
      <c r="BZ46" s="167">
        <f t="shared" si="159"/>
        <v>0</v>
      </c>
      <c r="CA46" s="167">
        <f t="shared" si="254"/>
        <v>0</v>
      </c>
      <c r="CB46" s="170">
        <f t="shared" si="161"/>
        <v>0</v>
      </c>
      <c r="CC46" s="167">
        <f t="shared" si="162"/>
        <v>0</v>
      </c>
      <c r="CD46" s="171">
        <f t="shared" si="163"/>
        <v>0</v>
      </c>
      <c r="CE46" s="169">
        <f t="shared" si="276"/>
        <v>0</v>
      </c>
      <c r="CF46" s="167">
        <f t="shared" si="255"/>
        <v>0</v>
      </c>
      <c r="CG46" s="167">
        <f t="shared" si="166"/>
        <v>0</v>
      </c>
      <c r="CH46" s="167">
        <f t="shared" si="256"/>
        <v>0</v>
      </c>
      <c r="CI46" s="167">
        <f t="shared" si="168"/>
        <v>0</v>
      </c>
      <c r="CJ46" s="167">
        <f t="shared" si="257"/>
        <v>0</v>
      </c>
      <c r="CK46" s="167">
        <f t="shared" si="170"/>
        <v>0</v>
      </c>
      <c r="CL46" s="167">
        <f t="shared" si="258"/>
        <v>0</v>
      </c>
      <c r="CM46" s="167">
        <f t="shared" si="172"/>
        <v>0</v>
      </c>
      <c r="CN46" s="167">
        <f t="shared" si="259"/>
        <v>0</v>
      </c>
      <c r="CO46" s="170">
        <f t="shared" si="174"/>
        <v>0</v>
      </c>
      <c r="CP46" s="167">
        <f t="shared" si="175"/>
        <v>0</v>
      </c>
      <c r="CQ46" s="171">
        <f t="shared" si="176"/>
        <v>0</v>
      </c>
      <c r="CR46" s="169">
        <f t="shared" si="277"/>
        <v>0</v>
      </c>
      <c r="CS46" s="167">
        <f t="shared" si="261"/>
        <v>0</v>
      </c>
      <c r="CT46" s="167">
        <f t="shared" si="179"/>
        <v>0</v>
      </c>
      <c r="CU46" s="167">
        <f t="shared" si="262"/>
        <v>0</v>
      </c>
      <c r="CV46" s="167">
        <f t="shared" si="181"/>
        <v>0</v>
      </c>
      <c r="CW46" s="167">
        <f t="shared" si="263"/>
        <v>0</v>
      </c>
      <c r="CX46" s="167">
        <f t="shared" si="183"/>
        <v>0</v>
      </c>
      <c r="CY46" s="167">
        <f t="shared" si="264"/>
        <v>0</v>
      </c>
      <c r="CZ46" s="167">
        <f t="shared" si="185"/>
        <v>0</v>
      </c>
      <c r="DA46" s="167">
        <f t="shared" si="265"/>
        <v>0</v>
      </c>
      <c r="DB46" s="170">
        <f t="shared" si="187"/>
        <v>0</v>
      </c>
      <c r="DC46" s="167">
        <f t="shared" si="188"/>
        <v>0</v>
      </c>
      <c r="DD46" s="171">
        <f t="shared" si="189"/>
        <v>0</v>
      </c>
      <c r="DE46" s="169">
        <f t="shared" si="277"/>
        <v>0</v>
      </c>
      <c r="DF46" s="167">
        <f t="shared" si="266"/>
        <v>0</v>
      </c>
      <c r="DG46" s="167">
        <f t="shared" si="192"/>
        <v>0</v>
      </c>
      <c r="DH46" s="167">
        <f t="shared" si="267"/>
        <v>0</v>
      </c>
      <c r="DI46" s="167">
        <f t="shared" si="194"/>
        <v>0</v>
      </c>
      <c r="DJ46" s="167">
        <f t="shared" si="268"/>
        <v>0</v>
      </c>
      <c r="DK46" s="167">
        <f t="shared" si="196"/>
        <v>0</v>
      </c>
      <c r="DL46" s="167">
        <f t="shared" si="269"/>
        <v>0</v>
      </c>
      <c r="DM46" s="167">
        <f t="shared" si="198"/>
        <v>0</v>
      </c>
      <c r="DN46" s="167">
        <f t="shared" si="270"/>
        <v>0</v>
      </c>
      <c r="DO46" s="170">
        <f t="shared" si="200"/>
        <v>0</v>
      </c>
      <c r="DP46" s="167">
        <f t="shared" si="201"/>
        <v>0</v>
      </c>
      <c r="DQ46" s="171">
        <f t="shared" si="202"/>
        <v>0</v>
      </c>
      <c r="DR46" s="169">
        <f t="shared" si="277"/>
        <v>0</v>
      </c>
      <c r="DS46" s="167">
        <f t="shared" si="271"/>
        <v>0</v>
      </c>
      <c r="DT46" s="167">
        <f t="shared" si="205"/>
        <v>0</v>
      </c>
      <c r="DU46" s="167">
        <f t="shared" si="272"/>
        <v>0</v>
      </c>
      <c r="DV46" s="167">
        <f t="shared" si="207"/>
        <v>0</v>
      </c>
      <c r="DW46" s="167">
        <f t="shared" si="273"/>
        <v>0</v>
      </c>
      <c r="DX46" s="167">
        <f t="shared" si="209"/>
        <v>0</v>
      </c>
      <c r="DY46" s="167">
        <f t="shared" si="274"/>
        <v>0</v>
      </c>
      <c r="DZ46" s="167">
        <f t="shared" si="211"/>
        <v>0</v>
      </c>
      <c r="EA46" s="167">
        <f t="shared" si="275"/>
        <v>0</v>
      </c>
      <c r="EB46" s="170">
        <f t="shared" si="213"/>
        <v>0</v>
      </c>
      <c r="EC46" s="167">
        <f t="shared" si="214"/>
        <v>0</v>
      </c>
      <c r="ED46" s="171">
        <f t="shared" si="215"/>
        <v>0</v>
      </c>
    </row>
    <row r="47" spans="1:134" x14ac:dyDescent="0.3">
      <c r="A47" s="196"/>
      <c r="B47" s="196"/>
      <c r="C47" s="196"/>
      <c r="D47" s="188"/>
      <c r="E47" s="624"/>
      <c r="F47" s="190"/>
      <c r="G47" s="625"/>
      <c r="H47" s="192"/>
      <c r="I47" s="193"/>
      <c r="J47" s="194"/>
      <c r="K47" s="165">
        <f t="shared" si="216"/>
        <v>0</v>
      </c>
      <c r="L47" s="166">
        <f t="shared" si="217"/>
        <v>0</v>
      </c>
      <c r="M47" s="167">
        <f t="shared" si="218"/>
        <v>0</v>
      </c>
      <c r="N47" s="167"/>
      <c r="O47" s="167">
        <f t="shared" si="219"/>
        <v>0</v>
      </c>
      <c r="P47" s="168"/>
      <c r="Q47" s="167">
        <f t="shared" si="220"/>
        <v>0</v>
      </c>
      <c r="R47" s="169">
        <f t="shared" si="221"/>
        <v>0</v>
      </c>
      <c r="S47" s="167">
        <f t="shared" si="222"/>
        <v>0</v>
      </c>
      <c r="T47" s="167">
        <f t="shared" si="223"/>
        <v>0</v>
      </c>
      <c r="U47" s="167">
        <f t="shared" si="224"/>
        <v>0</v>
      </c>
      <c r="V47" s="167">
        <f t="shared" si="225"/>
        <v>0</v>
      </c>
      <c r="W47" s="167">
        <f t="shared" si="226"/>
        <v>0</v>
      </c>
      <c r="X47" s="167">
        <f t="shared" si="227"/>
        <v>0</v>
      </c>
      <c r="Y47" s="167">
        <f t="shared" si="228"/>
        <v>0</v>
      </c>
      <c r="Z47" s="167">
        <f t="shared" si="229"/>
        <v>0</v>
      </c>
      <c r="AA47" s="167">
        <f t="shared" si="230"/>
        <v>0</v>
      </c>
      <c r="AB47" s="170">
        <f t="shared" si="231"/>
        <v>0</v>
      </c>
      <c r="AC47" s="167">
        <f t="shared" si="232"/>
        <v>0</v>
      </c>
      <c r="AD47" s="171">
        <f t="shared" si="233"/>
        <v>0</v>
      </c>
      <c r="AE47" s="169">
        <f t="shared" si="276"/>
        <v>0</v>
      </c>
      <c r="AF47" s="167">
        <f t="shared" si="235"/>
        <v>0</v>
      </c>
      <c r="AG47" s="167">
        <f t="shared" si="114"/>
        <v>0</v>
      </c>
      <c r="AH47" s="167">
        <f t="shared" si="236"/>
        <v>0</v>
      </c>
      <c r="AI47" s="167">
        <f t="shared" si="116"/>
        <v>0</v>
      </c>
      <c r="AJ47" s="167">
        <f t="shared" si="237"/>
        <v>0</v>
      </c>
      <c r="AK47" s="167">
        <f t="shared" si="118"/>
        <v>0</v>
      </c>
      <c r="AL47" s="167">
        <f t="shared" si="238"/>
        <v>0</v>
      </c>
      <c r="AM47" s="167">
        <f t="shared" si="120"/>
        <v>0</v>
      </c>
      <c r="AN47" s="167">
        <f t="shared" si="239"/>
        <v>0</v>
      </c>
      <c r="AO47" s="170">
        <f t="shared" si="122"/>
        <v>0</v>
      </c>
      <c r="AP47" s="167">
        <f t="shared" si="123"/>
        <v>0</v>
      </c>
      <c r="AQ47" s="171">
        <f t="shared" si="124"/>
        <v>0</v>
      </c>
      <c r="AR47" s="169">
        <f t="shared" si="276"/>
        <v>0</v>
      </c>
      <c r="AS47" s="167">
        <f t="shared" si="240"/>
        <v>0</v>
      </c>
      <c r="AT47" s="167">
        <f t="shared" si="127"/>
        <v>0</v>
      </c>
      <c r="AU47" s="167">
        <f t="shared" si="241"/>
        <v>0</v>
      </c>
      <c r="AV47" s="167">
        <f t="shared" si="129"/>
        <v>0</v>
      </c>
      <c r="AW47" s="167">
        <f t="shared" si="242"/>
        <v>0</v>
      </c>
      <c r="AX47" s="167">
        <f t="shared" si="131"/>
        <v>0</v>
      </c>
      <c r="AY47" s="167">
        <f t="shared" si="243"/>
        <v>0</v>
      </c>
      <c r="AZ47" s="167">
        <f t="shared" si="133"/>
        <v>0</v>
      </c>
      <c r="BA47" s="167">
        <f t="shared" si="244"/>
        <v>0</v>
      </c>
      <c r="BB47" s="170">
        <f t="shared" si="135"/>
        <v>0</v>
      </c>
      <c r="BC47" s="167">
        <f t="shared" si="136"/>
        <v>0</v>
      </c>
      <c r="BD47" s="171">
        <f t="shared" si="137"/>
        <v>0</v>
      </c>
      <c r="BE47" s="169">
        <f t="shared" si="276"/>
        <v>0</v>
      </c>
      <c r="BF47" s="167">
        <f t="shared" si="245"/>
        <v>0</v>
      </c>
      <c r="BG47" s="167">
        <f t="shared" si="140"/>
        <v>0</v>
      </c>
      <c r="BH47" s="167">
        <f t="shared" si="246"/>
        <v>0</v>
      </c>
      <c r="BI47" s="167">
        <f t="shared" si="142"/>
        <v>0</v>
      </c>
      <c r="BJ47" s="167">
        <f t="shared" si="247"/>
        <v>0</v>
      </c>
      <c r="BK47" s="167">
        <f t="shared" si="144"/>
        <v>0</v>
      </c>
      <c r="BL47" s="167">
        <f t="shared" si="248"/>
        <v>0</v>
      </c>
      <c r="BM47" s="167">
        <f t="shared" si="146"/>
        <v>0</v>
      </c>
      <c r="BN47" s="167">
        <f t="shared" si="249"/>
        <v>0</v>
      </c>
      <c r="BO47" s="170">
        <f t="shared" si="148"/>
        <v>0</v>
      </c>
      <c r="BP47" s="167">
        <f t="shared" si="149"/>
        <v>0</v>
      </c>
      <c r="BQ47" s="171">
        <f t="shared" si="150"/>
        <v>0</v>
      </c>
      <c r="BR47" s="169">
        <f t="shared" si="276"/>
        <v>0</v>
      </c>
      <c r="BS47" s="167">
        <f t="shared" si="250"/>
        <v>0</v>
      </c>
      <c r="BT47" s="167">
        <f t="shared" si="153"/>
        <v>0</v>
      </c>
      <c r="BU47" s="167">
        <f t="shared" si="251"/>
        <v>0</v>
      </c>
      <c r="BV47" s="167">
        <f t="shared" si="155"/>
        <v>0</v>
      </c>
      <c r="BW47" s="167">
        <f t="shared" si="252"/>
        <v>0</v>
      </c>
      <c r="BX47" s="167">
        <f t="shared" si="157"/>
        <v>0</v>
      </c>
      <c r="BY47" s="167">
        <f t="shared" si="253"/>
        <v>0</v>
      </c>
      <c r="BZ47" s="167">
        <f t="shared" si="159"/>
        <v>0</v>
      </c>
      <c r="CA47" s="167">
        <f t="shared" si="254"/>
        <v>0</v>
      </c>
      <c r="CB47" s="170">
        <f t="shared" si="161"/>
        <v>0</v>
      </c>
      <c r="CC47" s="167">
        <f t="shared" si="162"/>
        <v>0</v>
      </c>
      <c r="CD47" s="171">
        <f t="shared" si="163"/>
        <v>0</v>
      </c>
      <c r="CE47" s="169">
        <f t="shared" si="276"/>
        <v>0</v>
      </c>
      <c r="CF47" s="167">
        <f t="shared" si="255"/>
        <v>0</v>
      </c>
      <c r="CG47" s="167">
        <f t="shared" si="166"/>
        <v>0</v>
      </c>
      <c r="CH47" s="167">
        <f t="shared" si="256"/>
        <v>0</v>
      </c>
      <c r="CI47" s="167">
        <f t="shared" si="168"/>
        <v>0</v>
      </c>
      <c r="CJ47" s="167">
        <f t="shared" si="257"/>
        <v>0</v>
      </c>
      <c r="CK47" s="167">
        <f t="shared" si="170"/>
        <v>0</v>
      </c>
      <c r="CL47" s="167">
        <f t="shared" si="258"/>
        <v>0</v>
      </c>
      <c r="CM47" s="167">
        <f t="shared" si="172"/>
        <v>0</v>
      </c>
      <c r="CN47" s="167">
        <f t="shared" si="259"/>
        <v>0</v>
      </c>
      <c r="CO47" s="170">
        <f t="shared" si="174"/>
        <v>0</v>
      </c>
      <c r="CP47" s="167">
        <f t="shared" si="175"/>
        <v>0</v>
      </c>
      <c r="CQ47" s="171">
        <f t="shared" si="176"/>
        <v>0</v>
      </c>
      <c r="CR47" s="169">
        <f t="shared" si="277"/>
        <v>0</v>
      </c>
      <c r="CS47" s="167">
        <f t="shared" si="261"/>
        <v>0</v>
      </c>
      <c r="CT47" s="167">
        <f t="shared" si="179"/>
        <v>0</v>
      </c>
      <c r="CU47" s="167">
        <f t="shared" si="262"/>
        <v>0</v>
      </c>
      <c r="CV47" s="167">
        <f t="shared" si="181"/>
        <v>0</v>
      </c>
      <c r="CW47" s="167">
        <f t="shared" si="263"/>
        <v>0</v>
      </c>
      <c r="CX47" s="167">
        <f t="shared" si="183"/>
        <v>0</v>
      </c>
      <c r="CY47" s="167">
        <f t="shared" si="264"/>
        <v>0</v>
      </c>
      <c r="CZ47" s="167">
        <f t="shared" si="185"/>
        <v>0</v>
      </c>
      <c r="DA47" s="167">
        <f t="shared" si="265"/>
        <v>0</v>
      </c>
      <c r="DB47" s="170">
        <f t="shared" si="187"/>
        <v>0</v>
      </c>
      <c r="DC47" s="167">
        <f t="shared" si="188"/>
        <v>0</v>
      </c>
      <c r="DD47" s="171">
        <f t="shared" si="189"/>
        <v>0</v>
      </c>
      <c r="DE47" s="169">
        <f t="shared" si="277"/>
        <v>0</v>
      </c>
      <c r="DF47" s="167">
        <f t="shared" si="266"/>
        <v>0</v>
      </c>
      <c r="DG47" s="167">
        <f t="shared" si="192"/>
        <v>0</v>
      </c>
      <c r="DH47" s="167">
        <f t="shared" si="267"/>
        <v>0</v>
      </c>
      <c r="DI47" s="167">
        <f t="shared" si="194"/>
        <v>0</v>
      </c>
      <c r="DJ47" s="167">
        <f t="shared" si="268"/>
        <v>0</v>
      </c>
      <c r="DK47" s="167">
        <f t="shared" si="196"/>
        <v>0</v>
      </c>
      <c r="DL47" s="167">
        <f t="shared" si="269"/>
        <v>0</v>
      </c>
      <c r="DM47" s="167">
        <f t="shared" si="198"/>
        <v>0</v>
      </c>
      <c r="DN47" s="167">
        <f t="shared" si="270"/>
        <v>0</v>
      </c>
      <c r="DO47" s="170">
        <f t="shared" si="200"/>
        <v>0</v>
      </c>
      <c r="DP47" s="167">
        <f t="shared" si="201"/>
        <v>0</v>
      </c>
      <c r="DQ47" s="171">
        <f t="shared" si="202"/>
        <v>0</v>
      </c>
      <c r="DR47" s="169">
        <f t="shared" si="277"/>
        <v>0</v>
      </c>
      <c r="DS47" s="167">
        <f t="shared" si="271"/>
        <v>0</v>
      </c>
      <c r="DT47" s="167">
        <f t="shared" si="205"/>
        <v>0</v>
      </c>
      <c r="DU47" s="167">
        <f t="shared" si="272"/>
        <v>0</v>
      </c>
      <c r="DV47" s="167">
        <f t="shared" si="207"/>
        <v>0</v>
      </c>
      <c r="DW47" s="167">
        <f t="shared" si="273"/>
        <v>0</v>
      </c>
      <c r="DX47" s="167">
        <f t="shared" si="209"/>
        <v>0</v>
      </c>
      <c r="DY47" s="167">
        <f t="shared" si="274"/>
        <v>0</v>
      </c>
      <c r="DZ47" s="167">
        <f t="shared" si="211"/>
        <v>0</v>
      </c>
      <c r="EA47" s="167">
        <f t="shared" si="275"/>
        <v>0</v>
      </c>
      <c r="EB47" s="170">
        <f t="shared" si="213"/>
        <v>0</v>
      </c>
      <c r="EC47" s="167">
        <f t="shared" si="214"/>
        <v>0</v>
      </c>
      <c r="ED47" s="171">
        <f t="shared" si="215"/>
        <v>0</v>
      </c>
    </row>
    <row r="48" spans="1:134" x14ac:dyDescent="0.3">
      <c r="A48" s="196"/>
      <c r="B48" s="196"/>
      <c r="C48" s="196"/>
      <c r="D48" s="188"/>
      <c r="E48" s="624"/>
      <c r="F48" s="190"/>
      <c r="G48" s="625"/>
      <c r="H48" s="192"/>
      <c r="I48" s="193"/>
      <c r="J48" s="194"/>
      <c r="K48" s="165">
        <f t="shared" si="216"/>
        <v>0</v>
      </c>
      <c r="L48" s="166">
        <f t="shared" si="217"/>
        <v>0</v>
      </c>
      <c r="M48" s="167">
        <f t="shared" si="218"/>
        <v>0</v>
      </c>
      <c r="N48" s="167"/>
      <c r="O48" s="167">
        <f t="shared" si="219"/>
        <v>0</v>
      </c>
      <c r="P48" s="168"/>
      <c r="Q48" s="167">
        <f t="shared" si="220"/>
        <v>0</v>
      </c>
      <c r="R48" s="169">
        <f t="shared" si="221"/>
        <v>0</v>
      </c>
      <c r="S48" s="167">
        <f t="shared" si="222"/>
        <v>0</v>
      </c>
      <c r="T48" s="167">
        <f t="shared" si="223"/>
        <v>0</v>
      </c>
      <c r="U48" s="167">
        <f t="shared" si="224"/>
        <v>0</v>
      </c>
      <c r="V48" s="167">
        <f t="shared" si="225"/>
        <v>0</v>
      </c>
      <c r="W48" s="167">
        <f t="shared" si="226"/>
        <v>0</v>
      </c>
      <c r="X48" s="167">
        <f t="shared" si="227"/>
        <v>0</v>
      </c>
      <c r="Y48" s="167">
        <f t="shared" si="228"/>
        <v>0</v>
      </c>
      <c r="Z48" s="167">
        <f t="shared" si="229"/>
        <v>0</v>
      </c>
      <c r="AA48" s="167">
        <f t="shared" si="230"/>
        <v>0</v>
      </c>
      <c r="AB48" s="170">
        <f t="shared" si="231"/>
        <v>0</v>
      </c>
      <c r="AC48" s="167">
        <f t="shared" si="232"/>
        <v>0</v>
      </c>
      <c r="AD48" s="171">
        <f t="shared" si="233"/>
        <v>0</v>
      </c>
      <c r="AE48" s="169">
        <f t="shared" si="276"/>
        <v>0</v>
      </c>
      <c r="AF48" s="167">
        <f t="shared" si="235"/>
        <v>0</v>
      </c>
      <c r="AG48" s="167">
        <f t="shared" si="114"/>
        <v>0</v>
      </c>
      <c r="AH48" s="167">
        <f t="shared" si="236"/>
        <v>0</v>
      </c>
      <c r="AI48" s="167">
        <f t="shared" si="116"/>
        <v>0</v>
      </c>
      <c r="AJ48" s="167">
        <f t="shared" si="237"/>
        <v>0</v>
      </c>
      <c r="AK48" s="167">
        <f t="shared" si="118"/>
        <v>0</v>
      </c>
      <c r="AL48" s="167">
        <f t="shared" si="238"/>
        <v>0</v>
      </c>
      <c r="AM48" s="167">
        <f t="shared" si="120"/>
        <v>0</v>
      </c>
      <c r="AN48" s="167">
        <f t="shared" si="239"/>
        <v>0</v>
      </c>
      <c r="AO48" s="170">
        <f t="shared" si="122"/>
        <v>0</v>
      </c>
      <c r="AP48" s="167">
        <f t="shared" si="123"/>
        <v>0</v>
      </c>
      <c r="AQ48" s="171">
        <f t="shared" si="124"/>
        <v>0</v>
      </c>
      <c r="AR48" s="169">
        <f t="shared" si="276"/>
        <v>0</v>
      </c>
      <c r="AS48" s="167">
        <f t="shared" si="240"/>
        <v>0</v>
      </c>
      <c r="AT48" s="167">
        <f t="shared" si="127"/>
        <v>0</v>
      </c>
      <c r="AU48" s="167">
        <f t="shared" si="241"/>
        <v>0</v>
      </c>
      <c r="AV48" s="167">
        <f t="shared" si="129"/>
        <v>0</v>
      </c>
      <c r="AW48" s="167">
        <f t="shared" si="242"/>
        <v>0</v>
      </c>
      <c r="AX48" s="167">
        <f t="shared" si="131"/>
        <v>0</v>
      </c>
      <c r="AY48" s="167">
        <f t="shared" si="243"/>
        <v>0</v>
      </c>
      <c r="AZ48" s="167">
        <f t="shared" si="133"/>
        <v>0</v>
      </c>
      <c r="BA48" s="167">
        <f t="shared" si="244"/>
        <v>0</v>
      </c>
      <c r="BB48" s="170">
        <f t="shared" si="135"/>
        <v>0</v>
      </c>
      <c r="BC48" s="167">
        <f t="shared" si="136"/>
        <v>0</v>
      </c>
      <c r="BD48" s="171">
        <f t="shared" si="137"/>
        <v>0</v>
      </c>
      <c r="BE48" s="169">
        <f t="shared" si="276"/>
        <v>0</v>
      </c>
      <c r="BF48" s="167">
        <f t="shared" si="245"/>
        <v>0</v>
      </c>
      <c r="BG48" s="167">
        <f t="shared" si="140"/>
        <v>0</v>
      </c>
      <c r="BH48" s="167">
        <f t="shared" si="246"/>
        <v>0</v>
      </c>
      <c r="BI48" s="167">
        <f t="shared" si="142"/>
        <v>0</v>
      </c>
      <c r="BJ48" s="167">
        <f t="shared" si="247"/>
        <v>0</v>
      </c>
      <c r="BK48" s="167">
        <f t="shared" si="144"/>
        <v>0</v>
      </c>
      <c r="BL48" s="167">
        <f t="shared" si="248"/>
        <v>0</v>
      </c>
      <c r="BM48" s="167">
        <f t="shared" si="146"/>
        <v>0</v>
      </c>
      <c r="BN48" s="167">
        <f t="shared" si="249"/>
        <v>0</v>
      </c>
      <c r="BO48" s="170">
        <f t="shared" si="148"/>
        <v>0</v>
      </c>
      <c r="BP48" s="167">
        <f t="shared" si="149"/>
        <v>0</v>
      </c>
      <c r="BQ48" s="171">
        <f t="shared" si="150"/>
        <v>0</v>
      </c>
      <c r="BR48" s="169">
        <f t="shared" si="276"/>
        <v>0</v>
      </c>
      <c r="BS48" s="167">
        <f t="shared" si="250"/>
        <v>0</v>
      </c>
      <c r="BT48" s="167">
        <f t="shared" si="153"/>
        <v>0</v>
      </c>
      <c r="BU48" s="167">
        <f t="shared" si="251"/>
        <v>0</v>
      </c>
      <c r="BV48" s="167">
        <f t="shared" si="155"/>
        <v>0</v>
      </c>
      <c r="BW48" s="167">
        <f t="shared" si="252"/>
        <v>0</v>
      </c>
      <c r="BX48" s="167">
        <f t="shared" si="157"/>
        <v>0</v>
      </c>
      <c r="BY48" s="167">
        <f t="shared" si="253"/>
        <v>0</v>
      </c>
      <c r="BZ48" s="167">
        <f t="shared" si="159"/>
        <v>0</v>
      </c>
      <c r="CA48" s="167">
        <f t="shared" si="254"/>
        <v>0</v>
      </c>
      <c r="CB48" s="170">
        <f t="shared" si="161"/>
        <v>0</v>
      </c>
      <c r="CC48" s="167">
        <f t="shared" si="162"/>
        <v>0</v>
      </c>
      <c r="CD48" s="171">
        <f t="shared" si="163"/>
        <v>0</v>
      </c>
      <c r="CE48" s="169">
        <f t="shared" si="276"/>
        <v>0</v>
      </c>
      <c r="CF48" s="167">
        <f t="shared" si="255"/>
        <v>0</v>
      </c>
      <c r="CG48" s="167">
        <f t="shared" si="166"/>
        <v>0</v>
      </c>
      <c r="CH48" s="167">
        <f t="shared" si="256"/>
        <v>0</v>
      </c>
      <c r="CI48" s="167">
        <f t="shared" si="168"/>
        <v>0</v>
      </c>
      <c r="CJ48" s="167">
        <f t="shared" si="257"/>
        <v>0</v>
      </c>
      <c r="CK48" s="167">
        <f t="shared" si="170"/>
        <v>0</v>
      </c>
      <c r="CL48" s="167">
        <f t="shared" si="258"/>
        <v>0</v>
      </c>
      <c r="CM48" s="167">
        <f t="shared" si="172"/>
        <v>0</v>
      </c>
      <c r="CN48" s="167">
        <f t="shared" si="259"/>
        <v>0</v>
      </c>
      <c r="CO48" s="170">
        <f t="shared" si="174"/>
        <v>0</v>
      </c>
      <c r="CP48" s="167">
        <f t="shared" si="175"/>
        <v>0</v>
      </c>
      <c r="CQ48" s="171">
        <f t="shared" si="176"/>
        <v>0</v>
      </c>
      <c r="CR48" s="169">
        <f t="shared" si="277"/>
        <v>0</v>
      </c>
      <c r="CS48" s="167">
        <f t="shared" si="261"/>
        <v>0</v>
      </c>
      <c r="CT48" s="167">
        <f t="shared" si="179"/>
        <v>0</v>
      </c>
      <c r="CU48" s="167">
        <f t="shared" si="262"/>
        <v>0</v>
      </c>
      <c r="CV48" s="167">
        <f t="shared" si="181"/>
        <v>0</v>
      </c>
      <c r="CW48" s="167">
        <f t="shared" si="263"/>
        <v>0</v>
      </c>
      <c r="CX48" s="167">
        <f t="shared" si="183"/>
        <v>0</v>
      </c>
      <c r="CY48" s="167">
        <f t="shared" si="264"/>
        <v>0</v>
      </c>
      <c r="CZ48" s="167">
        <f t="shared" si="185"/>
        <v>0</v>
      </c>
      <c r="DA48" s="167">
        <f t="shared" si="265"/>
        <v>0</v>
      </c>
      <c r="DB48" s="170">
        <f t="shared" si="187"/>
        <v>0</v>
      </c>
      <c r="DC48" s="167">
        <f t="shared" si="188"/>
        <v>0</v>
      </c>
      <c r="DD48" s="171">
        <f t="shared" si="189"/>
        <v>0</v>
      </c>
      <c r="DE48" s="169">
        <f t="shared" si="277"/>
        <v>0</v>
      </c>
      <c r="DF48" s="167">
        <f t="shared" si="266"/>
        <v>0</v>
      </c>
      <c r="DG48" s="167">
        <f t="shared" si="192"/>
        <v>0</v>
      </c>
      <c r="DH48" s="167">
        <f t="shared" si="267"/>
        <v>0</v>
      </c>
      <c r="DI48" s="167">
        <f t="shared" si="194"/>
        <v>0</v>
      </c>
      <c r="DJ48" s="167">
        <f t="shared" si="268"/>
        <v>0</v>
      </c>
      <c r="DK48" s="167">
        <f t="shared" si="196"/>
        <v>0</v>
      </c>
      <c r="DL48" s="167">
        <f t="shared" si="269"/>
        <v>0</v>
      </c>
      <c r="DM48" s="167">
        <f t="shared" si="198"/>
        <v>0</v>
      </c>
      <c r="DN48" s="167">
        <f t="shared" si="270"/>
        <v>0</v>
      </c>
      <c r="DO48" s="170">
        <f t="shared" si="200"/>
        <v>0</v>
      </c>
      <c r="DP48" s="167">
        <f t="shared" si="201"/>
        <v>0</v>
      </c>
      <c r="DQ48" s="171">
        <f t="shared" si="202"/>
        <v>0</v>
      </c>
      <c r="DR48" s="169">
        <f t="shared" si="277"/>
        <v>0</v>
      </c>
      <c r="DS48" s="167">
        <f t="shared" si="271"/>
        <v>0</v>
      </c>
      <c r="DT48" s="167">
        <f t="shared" si="205"/>
        <v>0</v>
      </c>
      <c r="DU48" s="167">
        <f t="shared" si="272"/>
        <v>0</v>
      </c>
      <c r="DV48" s="167">
        <f t="shared" si="207"/>
        <v>0</v>
      </c>
      <c r="DW48" s="167">
        <f t="shared" si="273"/>
        <v>0</v>
      </c>
      <c r="DX48" s="167">
        <f t="shared" si="209"/>
        <v>0</v>
      </c>
      <c r="DY48" s="167">
        <f t="shared" si="274"/>
        <v>0</v>
      </c>
      <c r="DZ48" s="167">
        <f t="shared" si="211"/>
        <v>0</v>
      </c>
      <c r="EA48" s="167">
        <f t="shared" si="275"/>
        <v>0</v>
      </c>
      <c r="EB48" s="170">
        <f t="shared" si="213"/>
        <v>0</v>
      </c>
      <c r="EC48" s="167">
        <f t="shared" si="214"/>
        <v>0</v>
      </c>
      <c r="ED48" s="171">
        <f t="shared" si="215"/>
        <v>0</v>
      </c>
    </row>
    <row r="49" spans="1:134" x14ac:dyDescent="0.3">
      <c r="A49" s="196"/>
      <c r="B49" s="196"/>
      <c r="C49" s="196"/>
      <c r="D49" s="188"/>
      <c r="E49" s="624"/>
      <c r="F49" s="190"/>
      <c r="G49" s="625"/>
      <c r="H49" s="192"/>
      <c r="I49" s="193"/>
      <c r="J49" s="194"/>
      <c r="K49" s="165">
        <f t="shared" si="216"/>
        <v>0</v>
      </c>
      <c r="L49" s="166">
        <f t="shared" si="217"/>
        <v>0</v>
      </c>
      <c r="M49" s="167">
        <f t="shared" si="218"/>
        <v>0</v>
      </c>
      <c r="N49" s="167"/>
      <c r="O49" s="167">
        <f t="shared" si="219"/>
        <v>0</v>
      </c>
      <c r="P49" s="168"/>
      <c r="Q49" s="167">
        <f t="shared" si="220"/>
        <v>0</v>
      </c>
      <c r="R49" s="169">
        <f t="shared" si="221"/>
        <v>0</v>
      </c>
      <c r="S49" s="167">
        <f t="shared" si="222"/>
        <v>0</v>
      </c>
      <c r="T49" s="167">
        <f t="shared" si="223"/>
        <v>0</v>
      </c>
      <c r="U49" s="167">
        <f t="shared" si="224"/>
        <v>0</v>
      </c>
      <c r="V49" s="167">
        <f t="shared" si="225"/>
        <v>0</v>
      </c>
      <c r="W49" s="167">
        <f t="shared" si="226"/>
        <v>0</v>
      </c>
      <c r="X49" s="167">
        <f t="shared" si="227"/>
        <v>0</v>
      </c>
      <c r="Y49" s="167">
        <f t="shared" si="228"/>
        <v>0</v>
      </c>
      <c r="Z49" s="167">
        <f t="shared" si="229"/>
        <v>0</v>
      </c>
      <c r="AA49" s="167">
        <f t="shared" si="230"/>
        <v>0</v>
      </c>
      <c r="AB49" s="170">
        <f t="shared" si="231"/>
        <v>0</v>
      </c>
      <c r="AC49" s="167">
        <f t="shared" si="232"/>
        <v>0</v>
      </c>
      <c r="AD49" s="171">
        <f t="shared" si="233"/>
        <v>0</v>
      </c>
      <c r="AE49" s="169">
        <f t="shared" si="276"/>
        <v>0</v>
      </c>
      <c r="AF49" s="167">
        <f t="shared" si="235"/>
        <v>0</v>
      </c>
      <c r="AG49" s="167">
        <f t="shared" si="114"/>
        <v>0</v>
      </c>
      <c r="AH49" s="167">
        <f t="shared" si="236"/>
        <v>0</v>
      </c>
      <c r="AI49" s="167">
        <f t="shared" si="116"/>
        <v>0</v>
      </c>
      <c r="AJ49" s="167">
        <f t="shared" si="237"/>
        <v>0</v>
      </c>
      <c r="AK49" s="167">
        <f t="shared" si="118"/>
        <v>0</v>
      </c>
      <c r="AL49" s="167">
        <f t="shared" si="238"/>
        <v>0</v>
      </c>
      <c r="AM49" s="167">
        <f t="shared" si="120"/>
        <v>0</v>
      </c>
      <c r="AN49" s="167">
        <f t="shared" si="239"/>
        <v>0</v>
      </c>
      <c r="AO49" s="170">
        <f t="shared" si="122"/>
        <v>0</v>
      </c>
      <c r="AP49" s="167">
        <f t="shared" si="123"/>
        <v>0</v>
      </c>
      <c r="AQ49" s="171">
        <f t="shared" si="124"/>
        <v>0</v>
      </c>
      <c r="AR49" s="169">
        <f t="shared" si="276"/>
        <v>0</v>
      </c>
      <c r="AS49" s="167">
        <f t="shared" si="240"/>
        <v>0</v>
      </c>
      <c r="AT49" s="167">
        <f t="shared" si="127"/>
        <v>0</v>
      </c>
      <c r="AU49" s="167">
        <f t="shared" si="241"/>
        <v>0</v>
      </c>
      <c r="AV49" s="167">
        <f t="shared" si="129"/>
        <v>0</v>
      </c>
      <c r="AW49" s="167">
        <f t="shared" si="242"/>
        <v>0</v>
      </c>
      <c r="AX49" s="167">
        <f t="shared" si="131"/>
        <v>0</v>
      </c>
      <c r="AY49" s="167">
        <f t="shared" si="243"/>
        <v>0</v>
      </c>
      <c r="AZ49" s="167">
        <f t="shared" si="133"/>
        <v>0</v>
      </c>
      <c r="BA49" s="167">
        <f t="shared" si="244"/>
        <v>0</v>
      </c>
      <c r="BB49" s="170">
        <f t="shared" si="135"/>
        <v>0</v>
      </c>
      <c r="BC49" s="167">
        <f t="shared" si="136"/>
        <v>0</v>
      </c>
      <c r="BD49" s="171">
        <f t="shared" si="137"/>
        <v>0</v>
      </c>
      <c r="BE49" s="169">
        <f t="shared" si="276"/>
        <v>0</v>
      </c>
      <c r="BF49" s="167">
        <f t="shared" si="245"/>
        <v>0</v>
      </c>
      <c r="BG49" s="167">
        <f t="shared" si="140"/>
        <v>0</v>
      </c>
      <c r="BH49" s="167">
        <f t="shared" si="246"/>
        <v>0</v>
      </c>
      <c r="BI49" s="167">
        <f t="shared" si="142"/>
        <v>0</v>
      </c>
      <c r="BJ49" s="167">
        <f t="shared" si="247"/>
        <v>0</v>
      </c>
      <c r="BK49" s="167">
        <f t="shared" si="144"/>
        <v>0</v>
      </c>
      <c r="BL49" s="167">
        <f t="shared" si="248"/>
        <v>0</v>
      </c>
      <c r="BM49" s="167">
        <f t="shared" si="146"/>
        <v>0</v>
      </c>
      <c r="BN49" s="167">
        <f t="shared" si="249"/>
        <v>0</v>
      </c>
      <c r="BO49" s="170">
        <f t="shared" si="148"/>
        <v>0</v>
      </c>
      <c r="BP49" s="167">
        <f t="shared" si="149"/>
        <v>0</v>
      </c>
      <c r="BQ49" s="171">
        <f t="shared" si="150"/>
        <v>0</v>
      </c>
      <c r="BR49" s="169">
        <f t="shared" si="276"/>
        <v>0</v>
      </c>
      <c r="BS49" s="167">
        <f t="shared" si="250"/>
        <v>0</v>
      </c>
      <c r="BT49" s="167">
        <f t="shared" si="153"/>
        <v>0</v>
      </c>
      <c r="BU49" s="167">
        <f t="shared" si="251"/>
        <v>0</v>
      </c>
      <c r="BV49" s="167">
        <f t="shared" si="155"/>
        <v>0</v>
      </c>
      <c r="BW49" s="167">
        <f t="shared" si="252"/>
        <v>0</v>
      </c>
      <c r="BX49" s="167">
        <f t="shared" si="157"/>
        <v>0</v>
      </c>
      <c r="BY49" s="167">
        <f t="shared" si="253"/>
        <v>0</v>
      </c>
      <c r="BZ49" s="167">
        <f t="shared" si="159"/>
        <v>0</v>
      </c>
      <c r="CA49" s="167">
        <f t="shared" si="254"/>
        <v>0</v>
      </c>
      <c r="CB49" s="170">
        <f t="shared" si="161"/>
        <v>0</v>
      </c>
      <c r="CC49" s="167">
        <f t="shared" si="162"/>
        <v>0</v>
      </c>
      <c r="CD49" s="171">
        <f t="shared" si="163"/>
        <v>0</v>
      </c>
      <c r="CE49" s="169">
        <f t="shared" si="276"/>
        <v>0</v>
      </c>
      <c r="CF49" s="167">
        <f t="shared" si="255"/>
        <v>0</v>
      </c>
      <c r="CG49" s="167">
        <f t="shared" si="166"/>
        <v>0</v>
      </c>
      <c r="CH49" s="167">
        <f t="shared" si="256"/>
        <v>0</v>
      </c>
      <c r="CI49" s="167">
        <f t="shared" si="168"/>
        <v>0</v>
      </c>
      <c r="CJ49" s="167">
        <f t="shared" si="257"/>
        <v>0</v>
      </c>
      <c r="CK49" s="167">
        <f t="shared" si="170"/>
        <v>0</v>
      </c>
      <c r="CL49" s="167">
        <f t="shared" si="258"/>
        <v>0</v>
      </c>
      <c r="CM49" s="167">
        <f t="shared" si="172"/>
        <v>0</v>
      </c>
      <c r="CN49" s="167">
        <f t="shared" si="259"/>
        <v>0</v>
      </c>
      <c r="CO49" s="170">
        <f t="shared" si="174"/>
        <v>0</v>
      </c>
      <c r="CP49" s="167">
        <f t="shared" si="175"/>
        <v>0</v>
      </c>
      <c r="CQ49" s="171">
        <f t="shared" si="176"/>
        <v>0</v>
      </c>
      <c r="CR49" s="169">
        <f t="shared" si="277"/>
        <v>0</v>
      </c>
      <c r="CS49" s="167">
        <f t="shared" si="261"/>
        <v>0</v>
      </c>
      <c r="CT49" s="167">
        <f t="shared" si="179"/>
        <v>0</v>
      </c>
      <c r="CU49" s="167">
        <f t="shared" si="262"/>
        <v>0</v>
      </c>
      <c r="CV49" s="167">
        <f t="shared" si="181"/>
        <v>0</v>
      </c>
      <c r="CW49" s="167">
        <f t="shared" si="263"/>
        <v>0</v>
      </c>
      <c r="CX49" s="167">
        <f t="shared" si="183"/>
        <v>0</v>
      </c>
      <c r="CY49" s="167">
        <f t="shared" si="264"/>
        <v>0</v>
      </c>
      <c r="CZ49" s="167">
        <f t="shared" si="185"/>
        <v>0</v>
      </c>
      <c r="DA49" s="167">
        <f t="shared" si="265"/>
        <v>0</v>
      </c>
      <c r="DB49" s="170">
        <f t="shared" si="187"/>
        <v>0</v>
      </c>
      <c r="DC49" s="167">
        <f t="shared" si="188"/>
        <v>0</v>
      </c>
      <c r="DD49" s="171">
        <f t="shared" si="189"/>
        <v>0</v>
      </c>
      <c r="DE49" s="169">
        <f t="shared" si="277"/>
        <v>0</v>
      </c>
      <c r="DF49" s="167">
        <f t="shared" si="266"/>
        <v>0</v>
      </c>
      <c r="DG49" s="167">
        <f t="shared" si="192"/>
        <v>0</v>
      </c>
      <c r="DH49" s="167">
        <f t="shared" si="267"/>
        <v>0</v>
      </c>
      <c r="DI49" s="167">
        <f t="shared" si="194"/>
        <v>0</v>
      </c>
      <c r="DJ49" s="167">
        <f t="shared" si="268"/>
        <v>0</v>
      </c>
      <c r="DK49" s="167">
        <f t="shared" si="196"/>
        <v>0</v>
      </c>
      <c r="DL49" s="167">
        <f t="shared" si="269"/>
        <v>0</v>
      </c>
      <c r="DM49" s="167">
        <f t="shared" si="198"/>
        <v>0</v>
      </c>
      <c r="DN49" s="167">
        <f t="shared" si="270"/>
        <v>0</v>
      </c>
      <c r="DO49" s="170">
        <f t="shared" si="200"/>
        <v>0</v>
      </c>
      <c r="DP49" s="167">
        <f t="shared" si="201"/>
        <v>0</v>
      </c>
      <c r="DQ49" s="171">
        <f t="shared" si="202"/>
        <v>0</v>
      </c>
      <c r="DR49" s="169">
        <f t="shared" si="277"/>
        <v>0</v>
      </c>
      <c r="DS49" s="167">
        <f t="shared" si="271"/>
        <v>0</v>
      </c>
      <c r="DT49" s="167">
        <f t="shared" si="205"/>
        <v>0</v>
      </c>
      <c r="DU49" s="167">
        <f t="shared" si="272"/>
        <v>0</v>
      </c>
      <c r="DV49" s="167">
        <f t="shared" si="207"/>
        <v>0</v>
      </c>
      <c r="DW49" s="167">
        <f t="shared" si="273"/>
        <v>0</v>
      </c>
      <c r="DX49" s="167">
        <f t="shared" si="209"/>
        <v>0</v>
      </c>
      <c r="DY49" s="167">
        <f t="shared" si="274"/>
        <v>0</v>
      </c>
      <c r="DZ49" s="167">
        <f t="shared" si="211"/>
        <v>0</v>
      </c>
      <c r="EA49" s="167">
        <f t="shared" si="275"/>
        <v>0</v>
      </c>
      <c r="EB49" s="170">
        <f t="shared" si="213"/>
        <v>0</v>
      </c>
      <c r="EC49" s="167">
        <f t="shared" si="214"/>
        <v>0</v>
      </c>
      <c r="ED49" s="171">
        <f t="shared" si="215"/>
        <v>0</v>
      </c>
    </row>
    <row r="50" spans="1:134" x14ac:dyDescent="0.3">
      <c r="A50" s="196"/>
      <c r="B50" s="196"/>
      <c r="C50" s="196"/>
      <c r="D50" s="188"/>
      <c r="E50" s="624"/>
      <c r="F50" s="190"/>
      <c r="G50" s="625"/>
      <c r="H50" s="192"/>
      <c r="I50" s="193"/>
      <c r="J50" s="194"/>
      <c r="K50" s="165">
        <f t="shared" si="216"/>
        <v>0</v>
      </c>
      <c r="L50" s="166">
        <f t="shared" si="217"/>
        <v>0</v>
      </c>
      <c r="M50" s="167">
        <f t="shared" si="218"/>
        <v>0</v>
      </c>
      <c r="N50" s="167"/>
      <c r="O50" s="167">
        <f t="shared" si="219"/>
        <v>0</v>
      </c>
      <c r="P50" s="168"/>
      <c r="Q50" s="167">
        <f t="shared" si="220"/>
        <v>0</v>
      </c>
      <c r="R50" s="169">
        <f t="shared" si="221"/>
        <v>0</v>
      </c>
      <c r="S50" s="167">
        <f t="shared" si="222"/>
        <v>0</v>
      </c>
      <c r="T50" s="167">
        <f t="shared" si="223"/>
        <v>0</v>
      </c>
      <c r="U50" s="167">
        <f t="shared" si="224"/>
        <v>0</v>
      </c>
      <c r="V50" s="167">
        <f t="shared" si="225"/>
        <v>0</v>
      </c>
      <c r="W50" s="167">
        <f t="shared" si="226"/>
        <v>0</v>
      </c>
      <c r="X50" s="167">
        <f t="shared" si="227"/>
        <v>0</v>
      </c>
      <c r="Y50" s="167">
        <f t="shared" si="228"/>
        <v>0</v>
      </c>
      <c r="Z50" s="167">
        <f t="shared" si="229"/>
        <v>0</v>
      </c>
      <c r="AA50" s="167">
        <f t="shared" si="230"/>
        <v>0</v>
      </c>
      <c r="AB50" s="170">
        <f t="shared" si="231"/>
        <v>0</v>
      </c>
      <c r="AC50" s="167">
        <f t="shared" si="232"/>
        <v>0</v>
      </c>
      <c r="AD50" s="171">
        <f t="shared" si="233"/>
        <v>0</v>
      </c>
      <c r="AE50" s="169">
        <f t="shared" si="276"/>
        <v>0</v>
      </c>
      <c r="AF50" s="167">
        <f t="shared" si="235"/>
        <v>0</v>
      </c>
      <c r="AG50" s="167">
        <f t="shared" si="114"/>
        <v>0</v>
      </c>
      <c r="AH50" s="167">
        <f t="shared" si="236"/>
        <v>0</v>
      </c>
      <c r="AI50" s="167">
        <f t="shared" si="116"/>
        <v>0</v>
      </c>
      <c r="AJ50" s="167">
        <f t="shared" si="237"/>
        <v>0</v>
      </c>
      <c r="AK50" s="167">
        <f t="shared" si="118"/>
        <v>0</v>
      </c>
      <c r="AL50" s="167">
        <f t="shared" si="238"/>
        <v>0</v>
      </c>
      <c r="AM50" s="167">
        <f t="shared" si="120"/>
        <v>0</v>
      </c>
      <c r="AN50" s="167">
        <f t="shared" si="239"/>
        <v>0</v>
      </c>
      <c r="AO50" s="170">
        <f t="shared" si="122"/>
        <v>0</v>
      </c>
      <c r="AP50" s="167">
        <f t="shared" si="123"/>
        <v>0</v>
      </c>
      <c r="AQ50" s="171">
        <f t="shared" si="124"/>
        <v>0</v>
      </c>
      <c r="AR50" s="169">
        <f t="shared" si="276"/>
        <v>0</v>
      </c>
      <c r="AS50" s="167">
        <f t="shared" si="240"/>
        <v>0</v>
      </c>
      <c r="AT50" s="167">
        <f t="shared" si="127"/>
        <v>0</v>
      </c>
      <c r="AU50" s="167">
        <f t="shared" si="241"/>
        <v>0</v>
      </c>
      <c r="AV50" s="167">
        <f t="shared" si="129"/>
        <v>0</v>
      </c>
      <c r="AW50" s="167">
        <f t="shared" si="242"/>
        <v>0</v>
      </c>
      <c r="AX50" s="167">
        <f t="shared" si="131"/>
        <v>0</v>
      </c>
      <c r="AY50" s="167">
        <f t="shared" si="243"/>
        <v>0</v>
      </c>
      <c r="AZ50" s="167">
        <f t="shared" si="133"/>
        <v>0</v>
      </c>
      <c r="BA50" s="167">
        <f t="shared" si="244"/>
        <v>0</v>
      </c>
      <c r="BB50" s="170">
        <f t="shared" si="135"/>
        <v>0</v>
      </c>
      <c r="BC50" s="167">
        <f t="shared" si="136"/>
        <v>0</v>
      </c>
      <c r="BD50" s="171">
        <f t="shared" si="137"/>
        <v>0</v>
      </c>
      <c r="BE50" s="169">
        <f t="shared" si="276"/>
        <v>0</v>
      </c>
      <c r="BF50" s="167">
        <f t="shared" si="245"/>
        <v>0</v>
      </c>
      <c r="BG50" s="167">
        <f t="shared" si="140"/>
        <v>0</v>
      </c>
      <c r="BH50" s="167">
        <f t="shared" si="246"/>
        <v>0</v>
      </c>
      <c r="BI50" s="167">
        <f t="shared" si="142"/>
        <v>0</v>
      </c>
      <c r="BJ50" s="167">
        <f t="shared" si="247"/>
        <v>0</v>
      </c>
      <c r="BK50" s="167">
        <f t="shared" si="144"/>
        <v>0</v>
      </c>
      <c r="BL50" s="167">
        <f t="shared" si="248"/>
        <v>0</v>
      </c>
      <c r="BM50" s="167">
        <f t="shared" si="146"/>
        <v>0</v>
      </c>
      <c r="BN50" s="167">
        <f t="shared" si="249"/>
        <v>0</v>
      </c>
      <c r="BO50" s="170">
        <f t="shared" si="148"/>
        <v>0</v>
      </c>
      <c r="BP50" s="167">
        <f t="shared" si="149"/>
        <v>0</v>
      </c>
      <c r="BQ50" s="171">
        <f t="shared" si="150"/>
        <v>0</v>
      </c>
      <c r="BR50" s="169">
        <f t="shared" si="276"/>
        <v>0</v>
      </c>
      <c r="BS50" s="167">
        <f t="shared" si="250"/>
        <v>0</v>
      </c>
      <c r="BT50" s="167">
        <f t="shared" si="153"/>
        <v>0</v>
      </c>
      <c r="BU50" s="167">
        <f t="shared" si="251"/>
        <v>0</v>
      </c>
      <c r="BV50" s="167">
        <f t="shared" si="155"/>
        <v>0</v>
      </c>
      <c r="BW50" s="167">
        <f t="shared" si="252"/>
        <v>0</v>
      </c>
      <c r="BX50" s="167">
        <f t="shared" si="157"/>
        <v>0</v>
      </c>
      <c r="BY50" s="167">
        <f t="shared" si="253"/>
        <v>0</v>
      </c>
      <c r="BZ50" s="167">
        <f t="shared" si="159"/>
        <v>0</v>
      </c>
      <c r="CA50" s="167">
        <f t="shared" si="254"/>
        <v>0</v>
      </c>
      <c r="CB50" s="170">
        <f t="shared" si="161"/>
        <v>0</v>
      </c>
      <c r="CC50" s="167">
        <f t="shared" si="162"/>
        <v>0</v>
      </c>
      <c r="CD50" s="171">
        <f t="shared" si="163"/>
        <v>0</v>
      </c>
      <c r="CE50" s="169">
        <f t="shared" si="276"/>
        <v>0</v>
      </c>
      <c r="CF50" s="167">
        <f t="shared" si="255"/>
        <v>0</v>
      </c>
      <c r="CG50" s="167">
        <f t="shared" si="166"/>
        <v>0</v>
      </c>
      <c r="CH50" s="167">
        <f t="shared" si="256"/>
        <v>0</v>
      </c>
      <c r="CI50" s="167">
        <f t="shared" si="168"/>
        <v>0</v>
      </c>
      <c r="CJ50" s="167">
        <f t="shared" si="257"/>
        <v>0</v>
      </c>
      <c r="CK50" s="167">
        <f t="shared" si="170"/>
        <v>0</v>
      </c>
      <c r="CL50" s="167">
        <f t="shared" si="258"/>
        <v>0</v>
      </c>
      <c r="CM50" s="167">
        <f t="shared" si="172"/>
        <v>0</v>
      </c>
      <c r="CN50" s="167">
        <f t="shared" si="259"/>
        <v>0</v>
      </c>
      <c r="CO50" s="170">
        <f t="shared" si="174"/>
        <v>0</v>
      </c>
      <c r="CP50" s="167">
        <f t="shared" si="175"/>
        <v>0</v>
      </c>
      <c r="CQ50" s="171">
        <f t="shared" si="176"/>
        <v>0</v>
      </c>
      <c r="CR50" s="169">
        <f t="shared" si="277"/>
        <v>0</v>
      </c>
      <c r="CS50" s="167">
        <f t="shared" si="261"/>
        <v>0</v>
      </c>
      <c r="CT50" s="167">
        <f t="shared" si="179"/>
        <v>0</v>
      </c>
      <c r="CU50" s="167">
        <f t="shared" si="262"/>
        <v>0</v>
      </c>
      <c r="CV50" s="167">
        <f t="shared" si="181"/>
        <v>0</v>
      </c>
      <c r="CW50" s="167">
        <f t="shared" si="263"/>
        <v>0</v>
      </c>
      <c r="CX50" s="167">
        <f t="shared" si="183"/>
        <v>0</v>
      </c>
      <c r="CY50" s="167">
        <f t="shared" si="264"/>
        <v>0</v>
      </c>
      <c r="CZ50" s="167">
        <f t="shared" si="185"/>
        <v>0</v>
      </c>
      <c r="DA50" s="167">
        <f t="shared" si="265"/>
        <v>0</v>
      </c>
      <c r="DB50" s="170">
        <f t="shared" si="187"/>
        <v>0</v>
      </c>
      <c r="DC50" s="167">
        <f t="shared" si="188"/>
        <v>0</v>
      </c>
      <c r="DD50" s="171">
        <f t="shared" si="189"/>
        <v>0</v>
      </c>
      <c r="DE50" s="169">
        <f t="shared" si="277"/>
        <v>0</v>
      </c>
      <c r="DF50" s="167">
        <f t="shared" si="266"/>
        <v>0</v>
      </c>
      <c r="DG50" s="167">
        <f t="shared" si="192"/>
        <v>0</v>
      </c>
      <c r="DH50" s="167">
        <f t="shared" si="267"/>
        <v>0</v>
      </c>
      <c r="DI50" s="167">
        <f t="shared" si="194"/>
        <v>0</v>
      </c>
      <c r="DJ50" s="167">
        <f t="shared" si="268"/>
        <v>0</v>
      </c>
      <c r="DK50" s="167">
        <f t="shared" si="196"/>
        <v>0</v>
      </c>
      <c r="DL50" s="167">
        <f t="shared" si="269"/>
        <v>0</v>
      </c>
      <c r="DM50" s="167">
        <f t="shared" si="198"/>
        <v>0</v>
      </c>
      <c r="DN50" s="167">
        <f t="shared" si="270"/>
        <v>0</v>
      </c>
      <c r="DO50" s="170">
        <f t="shared" si="200"/>
        <v>0</v>
      </c>
      <c r="DP50" s="167">
        <f t="shared" si="201"/>
        <v>0</v>
      </c>
      <c r="DQ50" s="171">
        <f t="shared" si="202"/>
        <v>0</v>
      </c>
      <c r="DR50" s="169">
        <f t="shared" si="277"/>
        <v>0</v>
      </c>
      <c r="DS50" s="167">
        <f t="shared" si="271"/>
        <v>0</v>
      </c>
      <c r="DT50" s="167">
        <f t="shared" si="205"/>
        <v>0</v>
      </c>
      <c r="DU50" s="167">
        <f t="shared" si="272"/>
        <v>0</v>
      </c>
      <c r="DV50" s="167">
        <f t="shared" si="207"/>
        <v>0</v>
      </c>
      <c r="DW50" s="167">
        <f t="shared" si="273"/>
        <v>0</v>
      </c>
      <c r="DX50" s="167">
        <f t="shared" si="209"/>
        <v>0</v>
      </c>
      <c r="DY50" s="167">
        <f t="shared" si="274"/>
        <v>0</v>
      </c>
      <c r="DZ50" s="167">
        <f t="shared" si="211"/>
        <v>0</v>
      </c>
      <c r="EA50" s="167">
        <f t="shared" si="275"/>
        <v>0</v>
      </c>
      <c r="EB50" s="170">
        <f t="shared" si="213"/>
        <v>0</v>
      </c>
      <c r="EC50" s="167">
        <f t="shared" si="214"/>
        <v>0</v>
      </c>
      <c r="ED50" s="171">
        <f t="shared" si="215"/>
        <v>0</v>
      </c>
    </row>
    <row r="51" spans="1:134" x14ac:dyDescent="0.3">
      <c r="A51" s="196"/>
      <c r="B51" s="196"/>
      <c r="C51" s="196"/>
      <c r="D51" s="188"/>
      <c r="E51" s="624"/>
      <c r="F51" s="190"/>
      <c r="G51" s="625"/>
      <c r="H51" s="192"/>
      <c r="I51" s="193"/>
      <c r="J51" s="194"/>
      <c r="K51" s="165">
        <f t="shared" si="216"/>
        <v>0</v>
      </c>
      <c r="L51" s="166">
        <f t="shared" si="217"/>
        <v>0</v>
      </c>
      <c r="M51" s="167">
        <f t="shared" si="218"/>
        <v>0</v>
      </c>
      <c r="N51" s="167"/>
      <c r="O51" s="167">
        <f t="shared" si="219"/>
        <v>0</v>
      </c>
      <c r="P51" s="168"/>
      <c r="Q51" s="167">
        <f t="shared" si="220"/>
        <v>0</v>
      </c>
      <c r="R51" s="169">
        <f t="shared" si="221"/>
        <v>0</v>
      </c>
      <c r="S51" s="167">
        <f t="shared" si="222"/>
        <v>0</v>
      </c>
      <c r="T51" s="167">
        <f t="shared" si="223"/>
        <v>0</v>
      </c>
      <c r="U51" s="167">
        <f t="shared" si="224"/>
        <v>0</v>
      </c>
      <c r="V51" s="167">
        <f t="shared" si="225"/>
        <v>0</v>
      </c>
      <c r="W51" s="167">
        <f t="shared" si="226"/>
        <v>0</v>
      </c>
      <c r="X51" s="167">
        <f t="shared" si="227"/>
        <v>0</v>
      </c>
      <c r="Y51" s="167">
        <f t="shared" si="228"/>
        <v>0</v>
      </c>
      <c r="Z51" s="167">
        <f t="shared" si="229"/>
        <v>0</v>
      </c>
      <c r="AA51" s="167">
        <f t="shared" si="230"/>
        <v>0</v>
      </c>
      <c r="AB51" s="170">
        <f t="shared" si="231"/>
        <v>0</v>
      </c>
      <c r="AC51" s="167">
        <f t="shared" si="232"/>
        <v>0</v>
      </c>
      <c r="AD51" s="171">
        <f t="shared" si="233"/>
        <v>0</v>
      </c>
      <c r="AE51" s="169">
        <f t="shared" si="276"/>
        <v>0</v>
      </c>
      <c r="AF51" s="167">
        <f t="shared" si="235"/>
        <v>0</v>
      </c>
      <c r="AG51" s="167">
        <f t="shared" si="114"/>
        <v>0</v>
      </c>
      <c r="AH51" s="167">
        <f t="shared" si="236"/>
        <v>0</v>
      </c>
      <c r="AI51" s="167">
        <f t="shared" si="116"/>
        <v>0</v>
      </c>
      <c r="AJ51" s="167">
        <f t="shared" si="237"/>
        <v>0</v>
      </c>
      <c r="AK51" s="167">
        <f t="shared" si="118"/>
        <v>0</v>
      </c>
      <c r="AL51" s="167">
        <f t="shared" si="238"/>
        <v>0</v>
      </c>
      <c r="AM51" s="167">
        <f t="shared" si="120"/>
        <v>0</v>
      </c>
      <c r="AN51" s="167">
        <f t="shared" si="239"/>
        <v>0</v>
      </c>
      <c r="AO51" s="170">
        <f t="shared" si="122"/>
        <v>0</v>
      </c>
      <c r="AP51" s="167">
        <f t="shared" si="123"/>
        <v>0</v>
      </c>
      <c r="AQ51" s="171">
        <f t="shared" si="124"/>
        <v>0</v>
      </c>
      <c r="AR51" s="169">
        <f t="shared" si="276"/>
        <v>0</v>
      </c>
      <c r="AS51" s="167">
        <f t="shared" si="240"/>
        <v>0</v>
      </c>
      <c r="AT51" s="167">
        <f t="shared" si="127"/>
        <v>0</v>
      </c>
      <c r="AU51" s="167">
        <f t="shared" si="241"/>
        <v>0</v>
      </c>
      <c r="AV51" s="167">
        <f t="shared" si="129"/>
        <v>0</v>
      </c>
      <c r="AW51" s="167">
        <f t="shared" si="242"/>
        <v>0</v>
      </c>
      <c r="AX51" s="167">
        <f t="shared" si="131"/>
        <v>0</v>
      </c>
      <c r="AY51" s="167">
        <f t="shared" si="243"/>
        <v>0</v>
      </c>
      <c r="AZ51" s="167">
        <f t="shared" si="133"/>
        <v>0</v>
      </c>
      <c r="BA51" s="167">
        <f t="shared" si="244"/>
        <v>0</v>
      </c>
      <c r="BB51" s="170">
        <f t="shared" si="135"/>
        <v>0</v>
      </c>
      <c r="BC51" s="167">
        <f t="shared" si="136"/>
        <v>0</v>
      </c>
      <c r="BD51" s="171">
        <f t="shared" si="137"/>
        <v>0</v>
      </c>
      <c r="BE51" s="169">
        <f t="shared" si="276"/>
        <v>0</v>
      </c>
      <c r="BF51" s="167">
        <f t="shared" si="245"/>
        <v>0</v>
      </c>
      <c r="BG51" s="167">
        <f t="shared" si="140"/>
        <v>0</v>
      </c>
      <c r="BH51" s="167">
        <f t="shared" si="246"/>
        <v>0</v>
      </c>
      <c r="BI51" s="167">
        <f t="shared" si="142"/>
        <v>0</v>
      </c>
      <c r="BJ51" s="167">
        <f t="shared" si="247"/>
        <v>0</v>
      </c>
      <c r="BK51" s="167">
        <f t="shared" si="144"/>
        <v>0</v>
      </c>
      <c r="BL51" s="167">
        <f t="shared" si="248"/>
        <v>0</v>
      </c>
      <c r="BM51" s="167">
        <f t="shared" si="146"/>
        <v>0</v>
      </c>
      <c r="BN51" s="167">
        <f t="shared" si="249"/>
        <v>0</v>
      </c>
      <c r="BO51" s="170">
        <f t="shared" si="148"/>
        <v>0</v>
      </c>
      <c r="BP51" s="167">
        <f t="shared" si="149"/>
        <v>0</v>
      </c>
      <c r="BQ51" s="171">
        <f t="shared" si="150"/>
        <v>0</v>
      </c>
      <c r="BR51" s="169">
        <f t="shared" si="276"/>
        <v>0</v>
      </c>
      <c r="BS51" s="167">
        <f t="shared" si="250"/>
        <v>0</v>
      </c>
      <c r="BT51" s="167">
        <f t="shared" si="153"/>
        <v>0</v>
      </c>
      <c r="BU51" s="167">
        <f t="shared" si="251"/>
        <v>0</v>
      </c>
      <c r="BV51" s="167">
        <f t="shared" si="155"/>
        <v>0</v>
      </c>
      <c r="BW51" s="167">
        <f t="shared" si="252"/>
        <v>0</v>
      </c>
      <c r="BX51" s="167">
        <f t="shared" si="157"/>
        <v>0</v>
      </c>
      <c r="BY51" s="167">
        <f t="shared" si="253"/>
        <v>0</v>
      </c>
      <c r="BZ51" s="167">
        <f t="shared" si="159"/>
        <v>0</v>
      </c>
      <c r="CA51" s="167">
        <f t="shared" si="254"/>
        <v>0</v>
      </c>
      <c r="CB51" s="170">
        <f t="shared" si="161"/>
        <v>0</v>
      </c>
      <c r="CC51" s="167">
        <f t="shared" si="162"/>
        <v>0</v>
      </c>
      <c r="CD51" s="171">
        <f t="shared" si="163"/>
        <v>0</v>
      </c>
      <c r="CE51" s="169">
        <f t="shared" si="276"/>
        <v>0</v>
      </c>
      <c r="CF51" s="167">
        <f t="shared" si="255"/>
        <v>0</v>
      </c>
      <c r="CG51" s="167">
        <f t="shared" si="166"/>
        <v>0</v>
      </c>
      <c r="CH51" s="167">
        <f t="shared" si="256"/>
        <v>0</v>
      </c>
      <c r="CI51" s="167">
        <f t="shared" si="168"/>
        <v>0</v>
      </c>
      <c r="CJ51" s="167">
        <f t="shared" si="257"/>
        <v>0</v>
      </c>
      <c r="CK51" s="167">
        <f t="shared" si="170"/>
        <v>0</v>
      </c>
      <c r="CL51" s="167">
        <f t="shared" si="258"/>
        <v>0</v>
      </c>
      <c r="CM51" s="167">
        <f t="shared" si="172"/>
        <v>0</v>
      </c>
      <c r="CN51" s="167">
        <f t="shared" si="259"/>
        <v>0</v>
      </c>
      <c r="CO51" s="170">
        <f t="shared" si="174"/>
        <v>0</v>
      </c>
      <c r="CP51" s="167">
        <f t="shared" si="175"/>
        <v>0</v>
      </c>
      <c r="CQ51" s="171">
        <f t="shared" si="176"/>
        <v>0</v>
      </c>
      <c r="CR51" s="169">
        <f t="shared" si="277"/>
        <v>0</v>
      </c>
      <c r="CS51" s="167">
        <f t="shared" si="261"/>
        <v>0</v>
      </c>
      <c r="CT51" s="167">
        <f t="shared" si="179"/>
        <v>0</v>
      </c>
      <c r="CU51" s="167">
        <f t="shared" si="262"/>
        <v>0</v>
      </c>
      <c r="CV51" s="167">
        <f t="shared" si="181"/>
        <v>0</v>
      </c>
      <c r="CW51" s="167">
        <f t="shared" si="263"/>
        <v>0</v>
      </c>
      <c r="CX51" s="167">
        <f t="shared" si="183"/>
        <v>0</v>
      </c>
      <c r="CY51" s="167">
        <f t="shared" si="264"/>
        <v>0</v>
      </c>
      <c r="CZ51" s="167">
        <f t="shared" si="185"/>
        <v>0</v>
      </c>
      <c r="DA51" s="167">
        <f t="shared" si="265"/>
        <v>0</v>
      </c>
      <c r="DB51" s="170">
        <f t="shared" si="187"/>
        <v>0</v>
      </c>
      <c r="DC51" s="167">
        <f t="shared" si="188"/>
        <v>0</v>
      </c>
      <c r="DD51" s="171">
        <f t="shared" si="189"/>
        <v>0</v>
      </c>
      <c r="DE51" s="169">
        <f t="shared" si="277"/>
        <v>0</v>
      </c>
      <c r="DF51" s="167">
        <f t="shared" si="266"/>
        <v>0</v>
      </c>
      <c r="DG51" s="167">
        <f t="shared" si="192"/>
        <v>0</v>
      </c>
      <c r="DH51" s="167">
        <f t="shared" si="267"/>
        <v>0</v>
      </c>
      <c r="DI51" s="167">
        <f t="shared" si="194"/>
        <v>0</v>
      </c>
      <c r="DJ51" s="167">
        <f t="shared" si="268"/>
        <v>0</v>
      </c>
      <c r="DK51" s="167">
        <f t="shared" si="196"/>
        <v>0</v>
      </c>
      <c r="DL51" s="167">
        <f t="shared" si="269"/>
        <v>0</v>
      </c>
      <c r="DM51" s="167">
        <f t="shared" si="198"/>
        <v>0</v>
      </c>
      <c r="DN51" s="167">
        <f t="shared" si="270"/>
        <v>0</v>
      </c>
      <c r="DO51" s="170">
        <f t="shared" si="200"/>
        <v>0</v>
      </c>
      <c r="DP51" s="167">
        <f t="shared" si="201"/>
        <v>0</v>
      </c>
      <c r="DQ51" s="171">
        <f t="shared" si="202"/>
        <v>0</v>
      </c>
      <c r="DR51" s="169">
        <f t="shared" si="277"/>
        <v>0</v>
      </c>
      <c r="DS51" s="167">
        <f t="shared" si="271"/>
        <v>0</v>
      </c>
      <c r="DT51" s="167">
        <f t="shared" si="205"/>
        <v>0</v>
      </c>
      <c r="DU51" s="167">
        <f t="shared" si="272"/>
        <v>0</v>
      </c>
      <c r="DV51" s="167">
        <f t="shared" si="207"/>
        <v>0</v>
      </c>
      <c r="DW51" s="167">
        <f t="shared" si="273"/>
        <v>0</v>
      </c>
      <c r="DX51" s="167">
        <f t="shared" si="209"/>
        <v>0</v>
      </c>
      <c r="DY51" s="167">
        <f t="shared" si="274"/>
        <v>0</v>
      </c>
      <c r="DZ51" s="167">
        <f t="shared" si="211"/>
        <v>0</v>
      </c>
      <c r="EA51" s="167">
        <f t="shared" si="275"/>
        <v>0</v>
      </c>
      <c r="EB51" s="170">
        <f t="shared" si="213"/>
        <v>0</v>
      </c>
      <c r="EC51" s="167">
        <f t="shared" si="214"/>
        <v>0</v>
      </c>
      <c r="ED51" s="171">
        <f t="shared" si="215"/>
        <v>0</v>
      </c>
    </row>
    <row r="52" spans="1:134" x14ac:dyDescent="0.3">
      <c r="A52" s="196"/>
      <c r="B52" s="196"/>
      <c r="C52" s="196"/>
      <c r="D52" s="188"/>
      <c r="E52" s="624"/>
      <c r="F52" s="190"/>
      <c r="G52" s="625"/>
      <c r="H52" s="192"/>
      <c r="I52" s="193"/>
      <c r="J52" s="194"/>
      <c r="K52" s="165">
        <f t="shared" si="216"/>
        <v>0</v>
      </c>
      <c r="L52" s="166">
        <f t="shared" si="217"/>
        <v>0</v>
      </c>
      <c r="M52" s="167">
        <f t="shared" si="218"/>
        <v>0</v>
      </c>
      <c r="N52" s="167"/>
      <c r="O52" s="167">
        <f t="shared" si="219"/>
        <v>0</v>
      </c>
      <c r="P52" s="168"/>
      <c r="Q52" s="167">
        <f t="shared" si="220"/>
        <v>0</v>
      </c>
      <c r="R52" s="169">
        <f t="shared" si="221"/>
        <v>0</v>
      </c>
      <c r="S52" s="167">
        <f t="shared" si="222"/>
        <v>0</v>
      </c>
      <c r="T52" s="167">
        <f t="shared" si="223"/>
        <v>0</v>
      </c>
      <c r="U52" s="167">
        <f t="shared" si="224"/>
        <v>0</v>
      </c>
      <c r="V52" s="167">
        <f t="shared" si="225"/>
        <v>0</v>
      </c>
      <c r="W52" s="167">
        <f t="shared" si="226"/>
        <v>0</v>
      </c>
      <c r="X52" s="167">
        <f t="shared" si="227"/>
        <v>0</v>
      </c>
      <c r="Y52" s="167">
        <f t="shared" si="228"/>
        <v>0</v>
      </c>
      <c r="Z52" s="167">
        <f t="shared" si="229"/>
        <v>0</v>
      </c>
      <c r="AA52" s="167">
        <f t="shared" si="230"/>
        <v>0</v>
      </c>
      <c r="AB52" s="170">
        <f t="shared" si="231"/>
        <v>0</v>
      </c>
      <c r="AC52" s="167">
        <f t="shared" si="232"/>
        <v>0</v>
      </c>
      <c r="AD52" s="171">
        <f t="shared" si="233"/>
        <v>0</v>
      </c>
      <c r="AE52" s="169">
        <f t="shared" si="276"/>
        <v>0</v>
      </c>
      <c r="AF52" s="167">
        <f t="shared" si="235"/>
        <v>0</v>
      </c>
      <c r="AG52" s="167">
        <f t="shared" si="114"/>
        <v>0</v>
      </c>
      <c r="AH52" s="167">
        <f t="shared" si="236"/>
        <v>0</v>
      </c>
      <c r="AI52" s="167">
        <f t="shared" si="116"/>
        <v>0</v>
      </c>
      <c r="AJ52" s="167">
        <f t="shared" si="237"/>
        <v>0</v>
      </c>
      <c r="AK52" s="167">
        <f t="shared" si="118"/>
        <v>0</v>
      </c>
      <c r="AL52" s="167">
        <f t="shared" si="238"/>
        <v>0</v>
      </c>
      <c r="AM52" s="167">
        <f t="shared" si="120"/>
        <v>0</v>
      </c>
      <c r="AN52" s="167">
        <f t="shared" si="239"/>
        <v>0</v>
      </c>
      <c r="AO52" s="170">
        <f t="shared" si="122"/>
        <v>0</v>
      </c>
      <c r="AP52" s="167">
        <f t="shared" si="123"/>
        <v>0</v>
      </c>
      <c r="AQ52" s="171">
        <f t="shared" si="124"/>
        <v>0</v>
      </c>
      <c r="AR52" s="169">
        <f t="shared" si="276"/>
        <v>0</v>
      </c>
      <c r="AS52" s="167">
        <f t="shared" si="240"/>
        <v>0</v>
      </c>
      <c r="AT52" s="167">
        <f t="shared" si="127"/>
        <v>0</v>
      </c>
      <c r="AU52" s="167">
        <f t="shared" si="241"/>
        <v>0</v>
      </c>
      <c r="AV52" s="167">
        <f t="shared" si="129"/>
        <v>0</v>
      </c>
      <c r="AW52" s="167">
        <f t="shared" si="242"/>
        <v>0</v>
      </c>
      <c r="AX52" s="167">
        <f t="shared" si="131"/>
        <v>0</v>
      </c>
      <c r="AY52" s="167">
        <f t="shared" si="243"/>
        <v>0</v>
      </c>
      <c r="AZ52" s="167">
        <f t="shared" si="133"/>
        <v>0</v>
      </c>
      <c r="BA52" s="167">
        <f t="shared" si="244"/>
        <v>0</v>
      </c>
      <c r="BB52" s="170">
        <f t="shared" si="135"/>
        <v>0</v>
      </c>
      <c r="BC52" s="167">
        <f t="shared" si="136"/>
        <v>0</v>
      </c>
      <c r="BD52" s="171">
        <f t="shared" si="137"/>
        <v>0</v>
      </c>
      <c r="BE52" s="169">
        <f t="shared" si="276"/>
        <v>0</v>
      </c>
      <c r="BF52" s="167">
        <f t="shared" si="245"/>
        <v>0</v>
      </c>
      <c r="BG52" s="167">
        <f t="shared" si="140"/>
        <v>0</v>
      </c>
      <c r="BH52" s="167">
        <f t="shared" si="246"/>
        <v>0</v>
      </c>
      <c r="BI52" s="167">
        <f t="shared" si="142"/>
        <v>0</v>
      </c>
      <c r="BJ52" s="167">
        <f t="shared" si="247"/>
        <v>0</v>
      </c>
      <c r="BK52" s="167">
        <f t="shared" si="144"/>
        <v>0</v>
      </c>
      <c r="BL52" s="167">
        <f t="shared" si="248"/>
        <v>0</v>
      </c>
      <c r="BM52" s="167">
        <f t="shared" si="146"/>
        <v>0</v>
      </c>
      <c r="BN52" s="167">
        <f t="shared" si="249"/>
        <v>0</v>
      </c>
      <c r="BO52" s="170">
        <f t="shared" si="148"/>
        <v>0</v>
      </c>
      <c r="BP52" s="167">
        <f t="shared" si="149"/>
        <v>0</v>
      </c>
      <c r="BQ52" s="171">
        <f t="shared" si="150"/>
        <v>0</v>
      </c>
      <c r="BR52" s="169">
        <f t="shared" si="276"/>
        <v>0</v>
      </c>
      <c r="BS52" s="167">
        <f t="shared" si="250"/>
        <v>0</v>
      </c>
      <c r="BT52" s="167">
        <f t="shared" si="153"/>
        <v>0</v>
      </c>
      <c r="BU52" s="167">
        <f t="shared" si="251"/>
        <v>0</v>
      </c>
      <c r="BV52" s="167">
        <f t="shared" si="155"/>
        <v>0</v>
      </c>
      <c r="BW52" s="167">
        <f t="shared" si="252"/>
        <v>0</v>
      </c>
      <c r="BX52" s="167">
        <f t="shared" si="157"/>
        <v>0</v>
      </c>
      <c r="BY52" s="167">
        <f t="shared" si="253"/>
        <v>0</v>
      </c>
      <c r="BZ52" s="167">
        <f t="shared" si="159"/>
        <v>0</v>
      </c>
      <c r="CA52" s="167">
        <f t="shared" si="254"/>
        <v>0</v>
      </c>
      <c r="CB52" s="170">
        <f t="shared" si="161"/>
        <v>0</v>
      </c>
      <c r="CC52" s="167">
        <f t="shared" si="162"/>
        <v>0</v>
      </c>
      <c r="CD52" s="171">
        <f t="shared" si="163"/>
        <v>0</v>
      </c>
      <c r="CE52" s="169">
        <f t="shared" si="276"/>
        <v>0</v>
      </c>
      <c r="CF52" s="167">
        <f t="shared" si="255"/>
        <v>0</v>
      </c>
      <c r="CG52" s="167">
        <f t="shared" si="166"/>
        <v>0</v>
      </c>
      <c r="CH52" s="167">
        <f t="shared" si="256"/>
        <v>0</v>
      </c>
      <c r="CI52" s="167">
        <f t="shared" si="168"/>
        <v>0</v>
      </c>
      <c r="CJ52" s="167">
        <f t="shared" si="257"/>
        <v>0</v>
      </c>
      <c r="CK52" s="167">
        <f t="shared" si="170"/>
        <v>0</v>
      </c>
      <c r="CL52" s="167">
        <f t="shared" si="258"/>
        <v>0</v>
      </c>
      <c r="CM52" s="167">
        <f t="shared" si="172"/>
        <v>0</v>
      </c>
      <c r="CN52" s="167">
        <f t="shared" si="259"/>
        <v>0</v>
      </c>
      <c r="CO52" s="170">
        <f t="shared" si="174"/>
        <v>0</v>
      </c>
      <c r="CP52" s="167">
        <f t="shared" si="175"/>
        <v>0</v>
      </c>
      <c r="CQ52" s="171">
        <f t="shared" si="176"/>
        <v>0</v>
      </c>
      <c r="CR52" s="169">
        <f t="shared" si="277"/>
        <v>0</v>
      </c>
      <c r="CS52" s="167">
        <f t="shared" si="261"/>
        <v>0</v>
      </c>
      <c r="CT52" s="167">
        <f t="shared" si="179"/>
        <v>0</v>
      </c>
      <c r="CU52" s="167">
        <f t="shared" si="262"/>
        <v>0</v>
      </c>
      <c r="CV52" s="167">
        <f t="shared" si="181"/>
        <v>0</v>
      </c>
      <c r="CW52" s="167">
        <f t="shared" si="263"/>
        <v>0</v>
      </c>
      <c r="CX52" s="167">
        <f t="shared" si="183"/>
        <v>0</v>
      </c>
      <c r="CY52" s="167">
        <f t="shared" si="264"/>
        <v>0</v>
      </c>
      <c r="CZ52" s="167">
        <f t="shared" si="185"/>
        <v>0</v>
      </c>
      <c r="DA52" s="167">
        <f t="shared" si="265"/>
        <v>0</v>
      </c>
      <c r="DB52" s="170">
        <f t="shared" si="187"/>
        <v>0</v>
      </c>
      <c r="DC52" s="167">
        <f t="shared" si="188"/>
        <v>0</v>
      </c>
      <c r="DD52" s="171">
        <f t="shared" si="189"/>
        <v>0</v>
      </c>
      <c r="DE52" s="169">
        <f t="shared" si="277"/>
        <v>0</v>
      </c>
      <c r="DF52" s="167">
        <f t="shared" si="266"/>
        <v>0</v>
      </c>
      <c r="DG52" s="167">
        <f t="shared" si="192"/>
        <v>0</v>
      </c>
      <c r="DH52" s="167">
        <f t="shared" si="267"/>
        <v>0</v>
      </c>
      <c r="DI52" s="167">
        <f t="shared" si="194"/>
        <v>0</v>
      </c>
      <c r="DJ52" s="167">
        <f t="shared" si="268"/>
        <v>0</v>
      </c>
      <c r="DK52" s="167">
        <f t="shared" si="196"/>
        <v>0</v>
      </c>
      <c r="DL52" s="167">
        <f t="shared" si="269"/>
        <v>0</v>
      </c>
      <c r="DM52" s="167">
        <f t="shared" si="198"/>
        <v>0</v>
      </c>
      <c r="DN52" s="167">
        <f t="shared" si="270"/>
        <v>0</v>
      </c>
      <c r="DO52" s="170">
        <f t="shared" si="200"/>
        <v>0</v>
      </c>
      <c r="DP52" s="167">
        <f t="shared" si="201"/>
        <v>0</v>
      </c>
      <c r="DQ52" s="171">
        <f t="shared" si="202"/>
        <v>0</v>
      </c>
      <c r="DR52" s="169">
        <f t="shared" si="277"/>
        <v>0</v>
      </c>
      <c r="DS52" s="167">
        <f t="shared" si="271"/>
        <v>0</v>
      </c>
      <c r="DT52" s="167">
        <f t="shared" si="205"/>
        <v>0</v>
      </c>
      <c r="DU52" s="167">
        <f t="shared" si="272"/>
        <v>0</v>
      </c>
      <c r="DV52" s="167">
        <f t="shared" si="207"/>
        <v>0</v>
      </c>
      <c r="DW52" s="167">
        <f t="shared" si="273"/>
        <v>0</v>
      </c>
      <c r="DX52" s="167">
        <f t="shared" si="209"/>
        <v>0</v>
      </c>
      <c r="DY52" s="167">
        <f t="shared" si="274"/>
        <v>0</v>
      </c>
      <c r="DZ52" s="167">
        <f t="shared" si="211"/>
        <v>0</v>
      </c>
      <c r="EA52" s="167">
        <f t="shared" si="275"/>
        <v>0</v>
      </c>
      <c r="EB52" s="170">
        <f t="shared" si="213"/>
        <v>0</v>
      </c>
      <c r="EC52" s="167">
        <f t="shared" si="214"/>
        <v>0</v>
      </c>
      <c r="ED52" s="171">
        <f t="shared" si="215"/>
        <v>0</v>
      </c>
    </row>
    <row r="53" spans="1:134" x14ac:dyDescent="0.3">
      <c r="A53" s="196"/>
      <c r="B53" s="196"/>
      <c r="C53" s="196"/>
      <c r="D53" s="188"/>
      <c r="E53" s="624"/>
      <c r="F53" s="190"/>
      <c r="G53" s="625"/>
      <c r="H53" s="192"/>
      <c r="I53" s="193"/>
      <c r="J53" s="194"/>
      <c r="K53" s="165">
        <f t="shared" si="216"/>
        <v>0</v>
      </c>
      <c r="L53" s="166">
        <f t="shared" si="217"/>
        <v>0</v>
      </c>
      <c r="M53" s="167">
        <f t="shared" si="218"/>
        <v>0</v>
      </c>
      <c r="N53" s="167"/>
      <c r="O53" s="167">
        <f t="shared" si="219"/>
        <v>0</v>
      </c>
      <c r="P53" s="168"/>
      <c r="Q53" s="167">
        <f t="shared" si="220"/>
        <v>0</v>
      </c>
      <c r="R53" s="169">
        <f t="shared" si="221"/>
        <v>0</v>
      </c>
      <c r="S53" s="167">
        <f t="shared" si="222"/>
        <v>0</v>
      </c>
      <c r="T53" s="167">
        <f t="shared" si="223"/>
        <v>0</v>
      </c>
      <c r="U53" s="167">
        <f t="shared" si="224"/>
        <v>0</v>
      </c>
      <c r="V53" s="167">
        <f t="shared" si="225"/>
        <v>0</v>
      </c>
      <c r="W53" s="167">
        <f t="shared" si="226"/>
        <v>0</v>
      </c>
      <c r="X53" s="167">
        <f t="shared" si="227"/>
        <v>0</v>
      </c>
      <c r="Y53" s="167">
        <f t="shared" si="228"/>
        <v>0</v>
      </c>
      <c r="Z53" s="167">
        <f t="shared" si="229"/>
        <v>0</v>
      </c>
      <c r="AA53" s="167">
        <f t="shared" si="230"/>
        <v>0</v>
      </c>
      <c r="AB53" s="170">
        <f t="shared" si="231"/>
        <v>0</v>
      </c>
      <c r="AC53" s="167">
        <f t="shared" si="232"/>
        <v>0</v>
      </c>
      <c r="AD53" s="171">
        <f t="shared" si="233"/>
        <v>0</v>
      </c>
      <c r="AE53" s="169">
        <f t="shared" ref="AE53:CE68" si="278">IF(YEAR($F53)=AE$4,$E53,0)</f>
        <v>0</v>
      </c>
      <c r="AF53" s="167">
        <f t="shared" si="235"/>
        <v>0</v>
      </c>
      <c r="AG53" s="167">
        <f t="shared" si="114"/>
        <v>0</v>
      </c>
      <c r="AH53" s="167">
        <f t="shared" si="236"/>
        <v>0</v>
      </c>
      <c r="AI53" s="167">
        <f t="shared" si="116"/>
        <v>0</v>
      </c>
      <c r="AJ53" s="167">
        <f t="shared" si="237"/>
        <v>0</v>
      </c>
      <c r="AK53" s="167">
        <f t="shared" si="118"/>
        <v>0</v>
      </c>
      <c r="AL53" s="167">
        <f t="shared" si="238"/>
        <v>0</v>
      </c>
      <c r="AM53" s="167">
        <f t="shared" si="120"/>
        <v>0</v>
      </c>
      <c r="AN53" s="167">
        <f t="shared" si="239"/>
        <v>0</v>
      </c>
      <c r="AO53" s="170">
        <f t="shared" si="122"/>
        <v>0</v>
      </c>
      <c r="AP53" s="167">
        <f t="shared" si="123"/>
        <v>0</v>
      </c>
      <c r="AQ53" s="171">
        <f t="shared" si="124"/>
        <v>0</v>
      </c>
      <c r="AR53" s="169">
        <f t="shared" si="278"/>
        <v>0</v>
      </c>
      <c r="AS53" s="167">
        <f t="shared" si="240"/>
        <v>0</v>
      </c>
      <c r="AT53" s="167">
        <f t="shared" si="127"/>
        <v>0</v>
      </c>
      <c r="AU53" s="167">
        <f t="shared" si="241"/>
        <v>0</v>
      </c>
      <c r="AV53" s="167">
        <f t="shared" si="129"/>
        <v>0</v>
      </c>
      <c r="AW53" s="167">
        <f t="shared" si="242"/>
        <v>0</v>
      </c>
      <c r="AX53" s="167">
        <f t="shared" si="131"/>
        <v>0</v>
      </c>
      <c r="AY53" s="167">
        <f t="shared" si="243"/>
        <v>0</v>
      </c>
      <c r="AZ53" s="167">
        <f t="shared" si="133"/>
        <v>0</v>
      </c>
      <c r="BA53" s="167">
        <f t="shared" si="244"/>
        <v>0</v>
      </c>
      <c r="BB53" s="170">
        <f t="shared" si="135"/>
        <v>0</v>
      </c>
      <c r="BC53" s="167">
        <f t="shared" si="136"/>
        <v>0</v>
      </c>
      <c r="BD53" s="171">
        <f t="shared" si="137"/>
        <v>0</v>
      </c>
      <c r="BE53" s="169">
        <f t="shared" si="278"/>
        <v>0</v>
      </c>
      <c r="BF53" s="167">
        <f t="shared" si="245"/>
        <v>0</v>
      </c>
      <c r="BG53" s="167">
        <f t="shared" si="140"/>
        <v>0</v>
      </c>
      <c r="BH53" s="167">
        <f t="shared" si="246"/>
        <v>0</v>
      </c>
      <c r="BI53" s="167">
        <f t="shared" si="142"/>
        <v>0</v>
      </c>
      <c r="BJ53" s="167">
        <f t="shared" si="247"/>
        <v>0</v>
      </c>
      <c r="BK53" s="167">
        <f t="shared" si="144"/>
        <v>0</v>
      </c>
      <c r="BL53" s="167">
        <f t="shared" si="248"/>
        <v>0</v>
      </c>
      <c r="BM53" s="167">
        <f t="shared" si="146"/>
        <v>0</v>
      </c>
      <c r="BN53" s="167">
        <f t="shared" si="249"/>
        <v>0</v>
      </c>
      <c r="BO53" s="170">
        <f t="shared" si="148"/>
        <v>0</v>
      </c>
      <c r="BP53" s="167">
        <f t="shared" si="149"/>
        <v>0</v>
      </c>
      <c r="BQ53" s="171">
        <f t="shared" si="150"/>
        <v>0</v>
      </c>
      <c r="BR53" s="169">
        <f t="shared" si="278"/>
        <v>0</v>
      </c>
      <c r="BS53" s="167">
        <f t="shared" si="250"/>
        <v>0</v>
      </c>
      <c r="BT53" s="167">
        <f t="shared" si="153"/>
        <v>0</v>
      </c>
      <c r="BU53" s="167">
        <f t="shared" si="251"/>
        <v>0</v>
      </c>
      <c r="BV53" s="167">
        <f t="shared" si="155"/>
        <v>0</v>
      </c>
      <c r="BW53" s="167">
        <f t="shared" si="252"/>
        <v>0</v>
      </c>
      <c r="BX53" s="167">
        <f t="shared" si="157"/>
        <v>0</v>
      </c>
      <c r="BY53" s="167">
        <f t="shared" si="253"/>
        <v>0</v>
      </c>
      <c r="BZ53" s="167">
        <f t="shared" si="159"/>
        <v>0</v>
      </c>
      <c r="CA53" s="167">
        <f t="shared" si="254"/>
        <v>0</v>
      </c>
      <c r="CB53" s="170">
        <f t="shared" si="161"/>
        <v>0</v>
      </c>
      <c r="CC53" s="167">
        <f t="shared" si="162"/>
        <v>0</v>
      </c>
      <c r="CD53" s="171">
        <f t="shared" si="163"/>
        <v>0</v>
      </c>
      <c r="CE53" s="169">
        <f t="shared" si="278"/>
        <v>0</v>
      </c>
      <c r="CF53" s="167">
        <f t="shared" si="255"/>
        <v>0</v>
      </c>
      <c r="CG53" s="167">
        <f t="shared" si="166"/>
        <v>0</v>
      </c>
      <c r="CH53" s="167">
        <f t="shared" si="256"/>
        <v>0</v>
      </c>
      <c r="CI53" s="167">
        <f t="shared" si="168"/>
        <v>0</v>
      </c>
      <c r="CJ53" s="167">
        <f t="shared" si="257"/>
        <v>0</v>
      </c>
      <c r="CK53" s="167">
        <f t="shared" si="170"/>
        <v>0</v>
      </c>
      <c r="CL53" s="167">
        <f t="shared" si="258"/>
        <v>0</v>
      </c>
      <c r="CM53" s="167">
        <f t="shared" si="172"/>
        <v>0</v>
      </c>
      <c r="CN53" s="167">
        <f t="shared" si="259"/>
        <v>0</v>
      </c>
      <c r="CO53" s="170">
        <f t="shared" si="174"/>
        <v>0</v>
      </c>
      <c r="CP53" s="167">
        <f t="shared" si="175"/>
        <v>0</v>
      </c>
      <c r="CQ53" s="171">
        <f t="shared" si="176"/>
        <v>0</v>
      </c>
      <c r="CR53" s="169">
        <f t="shared" ref="CR53:DR68" si="279">IF(YEAR($F53)=CR$4,$E53,0)</f>
        <v>0</v>
      </c>
      <c r="CS53" s="167">
        <f t="shared" si="261"/>
        <v>0</v>
      </c>
      <c r="CT53" s="167">
        <f t="shared" si="179"/>
        <v>0</v>
      </c>
      <c r="CU53" s="167">
        <f t="shared" si="262"/>
        <v>0</v>
      </c>
      <c r="CV53" s="167">
        <f t="shared" si="181"/>
        <v>0</v>
      </c>
      <c r="CW53" s="167">
        <f t="shared" si="263"/>
        <v>0</v>
      </c>
      <c r="CX53" s="167">
        <f t="shared" si="183"/>
        <v>0</v>
      </c>
      <c r="CY53" s="167">
        <f t="shared" si="264"/>
        <v>0</v>
      </c>
      <c r="CZ53" s="167">
        <f t="shared" si="185"/>
        <v>0</v>
      </c>
      <c r="DA53" s="167">
        <f t="shared" si="265"/>
        <v>0</v>
      </c>
      <c r="DB53" s="170">
        <f t="shared" si="187"/>
        <v>0</v>
      </c>
      <c r="DC53" s="167">
        <f t="shared" si="188"/>
        <v>0</v>
      </c>
      <c r="DD53" s="171">
        <f t="shared" si="189"/>
        <v>0</v>
      </c>
      <c r="DE53" s="169">
        <f t="shared" si="279"/>
        <v>0</v>
      </c>
      <c r="DF53" s="167">
        <f t="shared" si="266"/>
        <v>0</v>
      </c>
      <c r="DG53" s="167">
        <f t="shared" si="192"/>
        <v>0</v>
      </c>
      <c r="DH53" s="167">
        <f t="shared" si="267"/>
        <v>0</v>
      </c>
      <c r="DI53" s="167">
        <f t="shared" si="194"/>
        <v>0</v>
      </c>
      <c r="DJ53" s="167">
        <f t="shared" si="268"/>
        <v>0</v>
      </c>
      <c r="DK53" s="167">
        <f t="shared" si="196"/>
        <v>0</v>
      </c>
      <c r="DL53" s="167">
        <f t="shared" si="269"/>
        <v>0</v>
      </c>
      <c r="DM53" s="167">
        <f t="shared" si="198"/>
        <v>0</v>
      </c>
      <c r="DN53" s="167">
        <f t="shared" si="270"/>
        <v>0</v>
      </c>
      <c r="DO53" s="170">
        <f t="shared" si="200"/>
        <v>0</v>
      </c>
      <c r="DP53" s="167">
        <f t="shared" si="201"/>
        <v>0</v>
      </c>
      <c r="DQ53" s="171">
        <f t="shared" si="202"/>
        <v>0</v>
      </c>
      <c r="DR53" s="169">
        <f t="shared" si="279"/>
        <v>0</v>
      </c>
      <c r="DS53" s="167">
        <f t="shared" si="271"/>
        <v>0</v>
      </c>
      <c r="DT53" s="167">
        <f t="shared" si="205"/>
        <v>0</v>
      </c>
      <c r="DU53" s="167">
        <f t="shared" si="272"/>
        <v>0</v>
      </c>
      <c r="DV53" s="167">
        <f t="shared" si="207"/>
        <v>0</v>
      </c>
      <c r="DW53" s="167">
        <f t="shared" si="273"/>
        <v>0</v>
      </c>
      <c r="DX53" s="167">
        <f t="shared" si="209"/>
        <v>0</v>
      </c>
      <c r="DY53" s="167">
        <f t="shared" si="274"/>
        <v>0</v>
      </c>
      <c r="DZ53" s="167">
        <f t="shared" si="211"/>
        <v>0</v>
      </c>
      <c r="EA53" s="167">
        <f t="shared" si="275"/>
        <v>0</v>
      </c>
      <c r="EB53" s="170">
        <f t="shared" si="213"/>
        <v>0</v>
      </c>
      <c r="EC53" s="167">
        <f t="shared" si="214"/>
        <v>0</v>
      </c>
      <c r="ED53" s="171">
        <f t="shared" si="215"/>
        <v>0</v>
      </c>
    </row>
    <row r="54" spans="1:134" x14ac:dyDescent="0.3">
      <c r="A54" s="196"/>
      <c r="B54" s="196"/>
      <c r="C54" s="196"/>
      <c r="D54" s="188"/>
      <c r="E54" s="624"/>
      <c r="F54" s="190"/>
      <c r="G54" s="625"/>
      <c r="H54" s="192"/>
      <c r="I54" s="193"/>
      <c r="J54" s="194"/>
      <c r="K54" s="165">
        <f t="shared" si="216"/>
        <v>0</v>
      </c>
      <c r="L54" s="166">
        <f t="shared" si="217"/>
        <v>0</v>
      </c>
      <c r="M54" s="167">
        <f t="shared" si="218"/>
        <v>0</v>
      </c>
      <c r="N54" s="167"/>
      <c r="O54" s="167">
        <f t="shared" si="219"/>
        <v>0</v>
      </c>
      <c r="P54" s="168"/>
      <c r="Q54" s="167">
        <f t="shared" si="220"/>
        <v>0</v>
      </c>
      <c r="R54" s="169">
        <f t="shared" si="221"/>
        <v>0</v>
      </c>
      <c r="S54" s="167">
        <f t="shared" si="222"/>
        <v>0</v>
      </c>
      <c r="T54" s="167">
        <f t="shared" si="223"/>
        <v>0</v>
      </c>
      <c r="U54" s="167">
        <f t="shared" si="224"/>
        <v>0</v>
      </c>
      <c r="V54" s="167">
        <f t="shared" si="225"/>
        <v>0</v>
      </c>
      <c r="W54" s="167">
        <f t="shared" si="226"/>
        <v>0</v>
      </c>
      <c r="X54" s="167">
        <f t="shared" si="227"/>
        <v>0</v>
      </c>
      <c r="Y54" s="167">
        <f t="shared" si="228"/>
        <v>0</v>
      </c>
      <c r="Z54" s="167">
        <f t="shared" si="229"/>
        <v>0</v>
      </c>
      <c r="AA54" s="167">
        <f t="shared" si="230"/>
        <v>0</v>
      </c>
      <c r="AB54" s="170">
        <f t="shared" si="231"/>
        <v>0</v>
      </c>
      <c r="AC54" s="167">
        <f t="shared" si="232"/>
        <v>0</v>
      </c>
      <c r="AD54" s="171">
        <f t="shared" si="233"/>
        <v>0</v>
      </c>
      <c r="AE54" s="169">
        <f t="shared" si="278"/>
        <v>0</v>
      </c>
      <c r="AF54" s="167">
        <f t="shared" si="235"/>
        <v>0</v>
      </c>
      <c r="AG54" s="167">
        <f t="shared" si="114"/>
        <v>0</v>
      </c>
      <c r="AH54" s="167">
        <f t="shared" si="236"/>
        <v>0</v>
      </c>
      <c r="AI54" s="167">
        <f t="shared" si="116"/>
        <v>0</v>
      </c>
      <c r="AJ54" s="167">
        <f t="shared" si="237"/>
        <v>0</v>
      </c>
      <c r="AK54" s="167">
        <f t="shared" si="118"/>
        <v>0</v>
      </c>
      <c r="AL54" s="167">
        <f t="shared" si="238"/>
        <v>0</v>
      </c>
      <c r="AM54" s="167">
        <f t="shared" si="120"/>
        <v>0</v>
      </c>
      <c r="AN54" s="167">
        <f t="shared" si="239"/>
        <v>0</v>
      </c>
      <c r="AO54" s="170">
        <f t="shared" si="122"/>
        <v>0</v>
      </c>
      <c r="AP54" s="167">
        <f t="shared" si="123"/>
        <v>0</v>
      </c>
      <c r="AQ54" s="171">
        <f t="shared" si="124"/>
        <v>0</v>
      </c>
      <c r="AR54" s="169">
        <f t="shared" si="278"/>
        <v>0</v>
      </c>
      <c r="AS54" s="167">
        <f t="shared" si="240"/>
        <v>0</v>
      </c>
      <c r="AT54" s="167">
        <f t="shared" si="127"/>
        <v>0</v>
      </c>
      <c r="AU54" s="167">
        <f t="shared" si="241"/>
        <v>0</v>
      </c>
      <c r="AV54" s="167">
        <f t="shared" si="129"/>
        <v>0</v>
      </c>
      <c r="AW54" s="167">
        <f t="shared" si="242"/>
        <v>0</v>
      </c>
      <c r="AX54" s="167">
        <f t="shared" si="131"/>
        <v>0</v>
      </c>
      <c r="AY54" s="167">
        <f t="shared" si="243"/>
        <v>0</v>
      </c>
      <c r="AZ54" s="167">
        <f t="shared" si="133"/>
        <v>0</v>
      </c>
      <c r="BA54" s="167">
        <f t="shared" si="244"/>
        <v>0</v>
      </c>
      <c r="BB54" s="170">
        <f t="shared" si="135"/>
        <v>0</v>
      </c>
      <c r="BC54" s="167">
        <f t="shared" si="136"/>
        <v>0</v>
      </c>
      <c r="BD54" s="171">
        <f t="shared" si="137"/>
        <v>0</v>
      </c>
      <c r="BE54" s="169">
        <f t="shared" si="278"/>
        <v>0</v>
      </c>
      <c r="BF54" s="167">
        <f t="shared" si="245"/>
        <v>0</v>
      </c>
      <c r="BG54" s="167">
        <f t="shared" si="140"/>
        <v>0</v>
      </c>
      <c r="BH54" s="167">
        <f t="shared" si="246"/>
        <v>0</v>
      </c>
      <c r="BI54" s="167">
        <f t="shared" si="142"/>
        <v>0</v>
      </c>
      <c r="BJ54" s="167">
        <f t="shared" si="247"/>
        <v>0</v>
      </c>
      <c r="BK54" s="167">
        <f t="shared" si="144"/>
        <v>0</v>
      </c>
      <c r="BL54" s="167">
        <f t="shared" si="248"/>
        <v>0</v>
      </c>
      <c r="BM54" s="167">
        <f t="shared" si="146"/>
        <v>0</v>
      </c>
      <c r="BN54" s="167">
        <f t="shared" si="249"/>
        <v>0</v>
      </c>
      <c r="BO54" s="170">
        <f t="shared" si="148"/>
        <v>0</v>
      </c>
      <c r="BP54" s="167">
        <f t="shared" si="149"/>
        <v>0</v>
      </c>
      <c r="BQ54" s="171">
        <f t="shared" si="150"/>
        <v>0</v>
      </c>
      <c r="BR54" s="169">
        <f t="shared" si="278"/>
        <v>0</v>
      </c>
      <c r="BS54" s="167">
        <f t="shared" si="250"/>
        <v>0</v>
      </c>
      <c r="BT54" s="167">
        <f t="shared" si="153"/>
        <v>0</v>
      </c>
      <c r="BU54" s="167">
        <f t="shared" si="251"/>
        <v>0</v>
      </c>
      <c r="BV54" s="167">
        <f t="shared" si="155"/>
        <v>0</v>
      </c>
      <c r="BW54" s="167">
        <f t="shared" si="252"/>
        <v>0</v>
      </c>
      <c r="BX54" s="167">
        <f t="shared" si="157"/>
        <v>0</v>
      </c>
      <c r="BY54" s="167">
        <f t="shared" si="253"/>
        <v>0</v>
      </c>
      <c r="BZ54" s="167">
        <f t="shared" si="159"/>
        <v>0</v>
      </c>
      <c r="CA54" s="167">
        <f t="shared" si="254"/>
        <v>0</v>
      </c>
      <c r="CB54" s="170">
        <f t="shared" si="161"/>
        <v>0</v>
      </c>
      <c r="CC54" s="167">
        <f t="shared" si="162"/>
        <v>0</v>
      </c>
      <c r="CD54" s="171">
        <f t="shared" si="163"/>
        <v>0</v>
      </c>
      <c r="CE54" s="169">
        <f t="shared" si="278"/>
        <v>0</v>
      </c>
      <c r="CF54" s="167">
        <f t="shared" si="255"/>
        <v>0</v>
      </c>
      <c r="CG54" s="167">
        <f t="shared" si="166"/>
        <v>0</v>
      </c>
      <c r="CH54" s="167">
        <f t="shared" si="256"/>
        <v>0</v>
      </c>
      <c r="CI54" s="167">
        <f t="shared" si="168"/>
        <v>0</v>
      </c>
      <c r="CJ54" s="167">
        <f t="shared" si="257"/>
        <v>0</v>
      </c>
      <c r="CK54" s="167">
        <f t="shared" si="170"/>
        <v>0</v>
      </c>
      <c r="CL54" s="167">
        <f t="shared" si="258"/>
        <v>0</v>
      </c>
      <c r="CM54" s="167">
        <f t="shared" si="172"/>
        <v>0</v>
      </c>
      <c r="CN54" s="167">
        <f t="shared" si="259"/>
        <v>0</v>
      </c>
      <c r="CO54" s="170">
        <f t="shared" si="174"/>
        <v>0</v>
      </c>
      <c r="CP54" s="167">
        <f t="shared" si="175"/>
        <v>0</v>
      </c>
      <c r="CQ54" s="171">
        <f t="shared" si="176"/>
        <v>0</v>
      </c>
      <c r="CR54" s="169">
        <f t="shared" si="279"/>
        <v>0</v>
      </c>
      <c r="CS54" s="167">
        <f t="shared" si="261"/>
        <v>0</v>
      </c>
      <c r="CT54" s="167">
        <f t="shared" si="179"/>
        <v>0</v>
      </c>
      <c r="CU54" s="167">
        <f t="shared" si="262"/>
        <v>0</v>
      </c>
      <c r="CV54" s="167">
        <f t="shared" si="181"/>
        <v>0</v>
      </c>
      <c r="CW54" s="167">
        <f t="shared" si="263"/>
        <v>0</v>
      </c>
      <c r="CX54" s="167">
        <f t="shared" si="183"/>
        <v>0</v>
      </c>
      <c r="CY54" s="167">
        <f t="shared" si="264"/>
        <v>0</v>
      </c>
      <c r="CZ54" s="167">
        <f t="shared" si="185"/>
        <v>0</v>
      </c>
      <c r="DA54" s="167">
        <f t="shared" si="265"/>
        <v>0</v>
      </c>
      <c r="DB54" s="170">
        <f t="shared" si="187"/>
        <v>0</v>
      </c>
      <c r="DC54" s="167">
        <f t="shared" si="188"/>
        <v>0</v>
      </c>
      <c r="DD54" s="171">
        <f t="shared" si="189"/>
        <v>0</v>
      </c>
      <c r="DE54" s="169">
        <f t="shared" si="279"/>
        <v>0</v>
      </c>
      <c r="DF54" s="167">
        <f t="shared" si="266"/>
        <v>0</v>
      </c>
      <c r="DG54" s="167">
        <f t="shared" si="192"/>
        <v>0</v>
      </c>
      <c r="DH54" s="167">
        <f t="shared" si="267"/>
        <v>0</v>
      </c>
      <c r="DI54" s="167">
        <f t="shared" si="194"/>
        <v>0</v>
      </c>
      <c r="DJ54" s="167">
        <f t="shared" si="268"/>
        <v>0</v>
      </c>
      <c r="DK54" s="167">
        <f t="shared" si="196"/>
        <v>0</v>
      </c>
      <c r="DL54" s="167">
        <f t="shared" si="269"/>
        <v>0</v>
      </c>
      <c r="DM54" s="167">
        <f t="shared" si="198"/>
        <v>0</v>
      </c>
      <c r="DN54" s="167">
        <f t="shared" si="270"/>
        <v>0</v>
      </c>
      <c r="DO54" s="170">
        <f t="shared" si="200"/>
        <v>0</v>
      </c>
      <c r="DP54" s="167">
        <f t="shared" si="201"/>
        <v>0</v>
      </c>
      <c r="DQ54" s="171">
        <f t="shared" si="202"/>
        <v>0</v>
      </c>
      <c r="DR54" s="169">
        <f t="shared" si="279"/>
        <v>0</v>
      </c>
      <c r="DS54" s="167">
        <f t="shared" si="271"/>
        <v>0</v>
      </c>
      <c r="DT54" s="167">
        <f t="shared" si="205"/>
        <v>0</v>
      </c>
      <c r="DU54" s="167">
        <f t="shared" si="272"/>
        <v>0</v>
      </c>
      <c r="DV54" s="167">
        <f t="shared" si="207"/>
        <v>0</v>
      </c>
      <c r="DW54" s="167">
        <f t="shared" si="273"/>
        <v>0</v>
      </c>
      <c r="DX54" s="167">
        <f t="shared" si="209"/>
        <v>0</v>
      </c>
      <c r="DY54" s="167">
        <f t="shared" si="274"/>
        <v>0</v>
      </c>
      <c r="DZ54" s="167">
        <f t="shared" si="211"/>
        <v>0</v>
      </c>
      <c r="EA54" s="167">
        <f t="shared" si="275"/>
        <v>0</v>
      </c>
      <c r="EB54" s="170">
        <f t="shared" si="213"/>
        <v>0</v>
      </c>
      <c r="EC54" s="167">
        <f t="shared" si="214"/>
        <v>0</v>
      </c>
      <c r="ED54" s="171">
        <f t="shared" si="215"/>
        <v>0</v>
      </c>
    </row>
    <row r="55" spans="1:134" x14ac:dyDescent="0.3">
      <c r="A55" s="196"/>
      <c r="B55" s="196"/>
      <c r="C55" s="196"/>
      <c r="D55" s="188"/>
      <c r="E55" s="624"/>
      <c r="F55" s="190"/>
      <c r="G55" s="625"/>
      <c r="H55" s="192"/>
      <c r="I55" s="193"/>
      <c r="J55" s="194"/>
      <c r="K55" s="165">
        <f t="shared" si="216"/>
        <v>0</v>
      </c>
      <c r="L55" s="166">
        <f t="shared" si="217"/>
        <v>0</v>
      </c>
      <c r="M55" s="167">
        <f t="shared" si="218"/>
        <v>0</v>
      </c>
      <c r="N55" s="167"/>
      <c r="O55" s="167">
        <f t="shared" si="219"/>
        <v>0</v>
      </c>
      <c r="P55" s="168"/>
      <c r="Q55" s="167">
        <f t="shared" si="220"/>
        <v>0</v>
      </c>
      <c r="R55" s="169">
        <f t="shared" si="221"/>
        <v>0</v>
      </c>
      <c r="S55" s="167">
        <f t="shared" si="222"/>
        <v>0</v>
      </c>
      <c r="T55" s="167">
        <f t="shared" si="223"/>
        <v>0</v>
      </c>
      <c r="U55" s="167">
        <f t="shared" si="224"/>
        <v>0</v>
      </c>
      <c r="V55" s="167">
        <f t="shared" si="225"/>
        <v>0</v>
      </c>
      <c r="W55" s="167">
        <f t="shared" si="226"/>
        <v>0</v>
      </c>
      <c r="X55" s="167">
        <f t="shared" si="227"/>
        <v>0</v>
      </c>
      <c r="Y55" s="167">
        <f t="shared" si="228"/>
        <v>0</v>
      </c>
      <c r="Z55" s="167">
        <f t="shared" si="229"/>
        <v>0</v>
      </c>
      <c r="AA55" s="167">
        <f t="shared" si="230"/>
        <v>0</v>
      </c>
      <c r="AB55" s="170">
        <f t="shared" si="231"/>
        <v>0</v>
      </c>
      <c r="AC55" s="167">
        <f t="shared" si="232"/>
        <v>0</v>
      </c>
      <c r="AD55" s="171">
        <f t="shared" si="233"/>
        <v>0</v>
      </c>
      <c r="AE55" s="169">
        <f t="shared" si="278"/>
        <v>0</v>
      </c>
      <c r="AF55" s="167">
        <f t="shared" si="235"/>
        <v>0</v>
      </c>
      <c r="AG55" s="167">
        <f t="shared" si="114"/>
        <v>0</v>
      </c>
      <c r="AH55" s="167">
        <f t="shared" si="236"/>
        <v>0</v>
      </c>
      <c r="AI55" s="167">
        <f t="shared" si="116"/>
        <v>0</v>
      </c>
      <c r="AJ55" s="167">
        <f t="shared" si="237"/>
        <v>0</v>
      </c>
      <c r="AK55" s="167">
        <f t="shared" si="118"/>
        <v>0</v>
      </c>
      <c r="AL55" s="167">
        <f t="shared" si="238"/>
        <v>0</v>
      </c>
      <c r="AM55" s="167">
        <f t="shared" si="120"/>
        <v>0</v>
      </c>
      <c r="AN55" s="167">
        <f t="shared" si="239"/>
        <v>0</v>
      </c>
      <c r="AO55" s="170">
        <f t="shared" si="122"/>
        <v>0</v>
      </c>
      <c r="AP55" s="167">
        <f t="shared" si="123"/>
        <v>0</v>
      </c>
      <c r="AQ55" s="171">
        <f t="shared" si="124"/>
        <v>0</v>
      </c>
      <c r="AR55" s="169">
        <f t="shared" si="278"/>
        <v>0</v>
      </c>
      <c r="AS55" s="167">
        <f t="shared" si="240"/>
        <v>0</v>
      </c>
      <c r="AT55" s="167">
        <f t="shared" si="127"/>
        <v>0</v>
      </c>
      <c r="AU55" s="167">
        <f t="shared" si="241"/>
        <v>0</v>
      </c>
      <c r="AV55" s="167">
        <f t="shared" si="129"/>
        <v>0</v>
      </c>
      <c r="AW55" s="167">
        <f t="shared" si="242"/>
        <v>0</v>
      </c>
      <c r="AX55" s="167">
        <f t="shared" si="131"/>
        <v>0</v>
      </c>
      <c r="AY55" s="167">
        <f t="shared" si="243"/>
        <v>0</v>
      </c>
      <c r="AZ55" s="167">
        <f t="shared" si="133"/>
        <v>0</v>
      </c>
      <c r="BA55" s="167">
        <f t="shared" si="244"/>
        <v>0</v>
      </c>
      <c r="BB55" s="170">
        <f t="shared" si="135"/>
        <v>0</v>
      </c>
      <c r="BC55" s="167">
        <f t="shared" si="136"/>
        <v>0</v>
      </c>
      <c r="BD55" s="171">
        <f t="shared" si="137"/>
        <v>0</v>
      </c>
      <c r="BE55" s="169">
        <f t="shared" si="278"/>
        <v>0</v>
      </c>
      <c r="BF55" s="167">
        <f t="shared" si="245"/>
        <v>0</v>
      </c>
      <c r="BG55" s="167">
        <f t="shared" si="140"/>
        <v>0</v>
      </c>
      <c r="BH55" s="167">
        <f t="shared" si="246"/>
        <v>0</v>
      </c>
      <c r="BI55" s="167">
        <f t="shared" si="142"/>
        <v>0</v>
      </c>
      <c r="BJ55" s="167">
        <f t="shared" si="247"/>
        <v>0</v>
      </c>
      <c r="BK55" s="167">
        <f t="shared" si="144"/>
        <v>0</v>
      </c>
      <c r="BL55" s="167">
        <f t="shared" si="248"/>
        <v>0</v>
      </c>
      <c r="BM55" s="167">
        <f t="shared" si="146"/>
        <v>0</v>
      </c>
      <c r="BN55" s="167">
        <f t="shared" si="249"/>
        <v>0</v>
      </c>
      <c r="BO55" s="170">
        <f t="shared" si="148"/>
        <v>0</v>
      </c>
      <c r="BP55" s="167">
        <f t="shared" si="149"/>
        <v>0</v>
      </c>
      <c r="BQ55" s="171">
        <f t="shared" si="150"/>
        <v>0</v>
      </c>
      <c r="BR55" s="169">
        <f t="shared" si="278"/>
        <v>0</v>
      </c>
      <c r="BS55" s="167">
        <f t="shared" si="250"/>
        <v>0</v>
      </c>
      <c r="BT55" s="167">
        <f t="shared" si="153"/>
        <v>0</v>
      </c>
      <c r="BU55" s="167">
        <f t="shared" si="251"/>
        <v>0</v>
      </c>
      <c r="BV55" s="167">
        <f t="shared" si="155"/>
        <v>0</v>
      </c>
      <c r="BW55" s="167">
        <f t="shared" si="252"/>
        <v>0</v>
      </c>
      <c r="BX55" s="167">
        <f t="shared" si="157"/>
        <v>0</v>
      </c>
      <c r="BY55" s="167">
        <f t="shared" si="253"/>
        <v>0</v>
      </c>
      <c r="BZ55" s="167">
        <f t="shared" si="159"/>
        <v>0</v>
      </c>
      <c r="CA55" s="167">
        <f t="shared" si="254"/>
        <v>0</v>
      </c>
      <c r="CB55" s="170">
        <f t="shared" si="161"/>
        <v>0</v>
      </c>
      <c r="CC55" s="167">
        <f t="shared" si="162"/>
        <v>0</v>
      </c>
      <c r="CD55" s="171">
        <f t="shared" si="163"/>
        <v>0</v>
      </c>
      <c r="CE55" s="169">
        <f t="shared" si="278"/>
        <v>0</v>
      </c>
      <c r="CF55" s="167">
        <f t="shared" si="255"/>
        <v>0</v>
      </c>
      <c r="CG55" s="167">
        <f t="shared" si="166"/>
        <v>0</v>
      </c>
      <c r="CH55" s="167">
        <f t="shared" si="256"/>
        <v>0</v>
      </c>
      <c r="CI55" s="167">
        <f t="shared" si="168"/>
        <v>0</v>
      </c>
      <c r="CJ55" s="167">
        <f t="shared" si="257"/>
        <v>0</v>
      </c>
      <c r="CK55" s="167">
        <f t="shared" si="170"/>
        <v>0</v>
      </c>
      <c r="CL55" s="167">
        <f t="shared" si="258"/>
        <v>0</v>
      </c>
      <c r="CM55" s="167">
        <f t="shared" si="172"/>
        <v>0</v>
      </c>
      <c r="CN55" s="167">
        <f t="shared" si="259"/>
        <v>0</v>
      </c>
      <c r="CO55" s="170">
        <f t="shared" si="174"/>
        <v>0</v>
      </c>
      <c r="CP55" s="167">
        <f t="shared" si="175"/>
        <v>0</v>
      </c>
      <c r="CQ55" s="171">
        <f t="shared" si="176"/>
        <v>0</v>
      </c>
      <c r="CR55" s="169">
        <f t="shared" si="279"/>
        <v>0</v>
      </c>
      <c r="CS55" s="167">
        <f t="shared" si="261"/>
        <v>0</v>
      </c>
      <c r="CT55" s="167">
        <f t="shared" si="179"/>
        <v>0</v>
      </c>
      <c r="CU55" s="167">
        <f t="shared" si="262"/>
        <v>0</v>
      </c>
      <c r="CV55" s="167">
        <f t="shared" si="181"/>
        <v>0</v>
      </c>
      <c r="CW55" s="167">
        <f t="shared" si="263"/>
        <v>0</v>
      </c>
      <c r="CX55" s="167">
        <f t="shared" si="183"/>
        <v>0</v>
      </c>
      <c r="CY55" s="167">
        <f t="shared" si="264"/>
        <v>0</v>
      </c>
      <c r="CZ55" s="167">
        <f t="shared" si="185"/>
        <v>0</v>
      </c>
      <c r="DA55" s="167">
        <f t="shared" si="265"/>
        <v>0</v>
      </c>
      <c r="DB55" s="170">
        <f t="shared" si="187"/>
        <v>0</v>
      </c>
      <c r="DC55" s="167">
        <f t="shared" si="188"/>
        <v>0</v>
      </c>
      <c r="DD55" s="171">
        <f t="shared" si="189"/>
        <v>0</v>
      </c>
      <c r="DE55" s="169">
        <f t="shared" si="279"/>
        <v>0</v>
      </c>
      <c r="DF55" s="167">
        <f t="shared" si="266"/>
        <v>0</v>
      </c>
      <c r="DG55" s="167">
        <f t="shared" si="192"/>
        <v>0</v>
      </c>
      <c r="DH55" s="167">
        <f t="shared" si="267"/>
        <v>0</v>
      </c>
      <c r="DI55" s="167">
        <f t="shared" si="194"/>
        <v>0</v>
      </c>
      <c r="DJ55" s="167">
        <f t="shared" si="268"/>
        <v>0</v>
      </c>
      <c r="DK55" s="167">
        <f t="shared" si="196"/>
        <v>0</v>
      </c>
      <c r="DL55" s="167">
        <f t="shared" si="269"/>
        <v>0</v>
      </c>
      <c r="DM55" s="167">
        <f t="shared" si="198"/>
        <v>0</v>
      </c>
      <c r="DN55" s="167">
        <f t="shared" si="270"/>
        <v>0</v>
      </c>
      <c r="DO55" s="170">
        <f t="shared" si="200"/>
        <v>0</v>
      </c>
      <c r="DP55" s="167">
        <f t="shared" si="201"/>
        <v>0</v>
      </c>
      <c r="DQ55" s="171">
        <f t="shared" si="202"/>
        <v>0</v>
      </c>
      <c r="DR55" s="169">
        <f t="shared" si="279"/>
        <v>0</v>
      </c>
      <c r="DS55" s="167">
        <f t="shared" si="271"/>
        <v>0</v>
      </c>
      <c r="DT55" s="167">
        <f t="shared" si="205"/>
        <v>0</v>
      </c>
      <c r="DU55" s="167">
        <f t="shared" si="272"/>
        <v>0</v>
      </c>
      <c r="DV55" s="167">
        <f t="shared" si="207"/>
        <v>0</v>
      </c>
      <c r="DW55" s="167">
        <f t="shared" si="273"/>
        <v>0</v>
      </c>
      <c r="DX55" s="167">
        <f t="shared" si="209"/>
        <v>0</v>
      </c>
      <c r="DY55" s="167">
        <f t="shared" si="274"/>
        <v>0</v>
      </c>
      <c r="DZ55" s="167">
        <f t="shared" si="211"/>
        <v>0</v>
      </c>
      <c r="EA55" s="167">
        <f t="shared" si="275"/>
        <v>0</v>
      </c>
      <c r="EB55" s="170">
        <f t="shared" si="213"/>
        <v>0</v>
      </c>
      <c r="EC55" s="167">
        <f t="shared" si="214"/>
        <v>0</v>
      </c>
      <c r="ED55" s="171">
        <f t="shared" si="215"/>
        <v>0</v>
      </c>
    </row>
    <row r="56" spans="1:134" x14ac:dyDescent="0.3">
      <c r="A56" s="196"/>
      <c r="B56" s="196"/>
      <c r="C56" s="196"/>
      <c r="D56" s="95"/>
      <c r="E56" s="99"/>
      <c r="F56" s="97"/>
      <c r="G56" s="98"/>
      <c r="H56" s="192"/>
      <c r="I56" s="193"/>
      <c r="J56" s="194"/>
      <c r="K56" s="165">
        <f t="shared" si="216"/>
        <v>0</v>
      </c>
      <c r="L56" s="166">
        <f t="shared" si="217"/>
        <v>0</v>
      </c>
      <c r="M56" s="167">
        <f t="shared" si="218"/>
        <v>0</v>
      </c>
      <c r="N56" s="167"/>
      <c r="O56" s="167">
        <f t="shared" si="219"/>
        <v>0</v>
      </c>
      <c r="P56" s="168"/>
      <c r="Q56" s="167">
        <f t="shared" si="220"/>
        <v>0</v>
      </c>
      <c r="R56" s="169">
        <f t="shared" si="221"/>
        <v>0</v>
      </c>
      <c r="S56" s="167">
        <f t="shared" si="222"/>
        <v>0</v>
      </c>
      <c r="T56" s="167">
        <f t="shared" si="223"/>
        <v>0</v>
      </c>
      <c r="U56" s="167">
        <f t="shared" si="224"/>
        <v>0</v>
      </c>
      <c r="V56" s="167">
        <f t="shared" si="225"/>
        <v>0</v>
      </c>
      <c r="W56" s="167">
        <f t="shared" si="226"/>
        <v>0</v>
      </c>
      <c r="X56" s="167">
        <f t="shared" si="227"/>
        <v>0</v>
      </c>
      <c r="Y56" s="167">
        <f t="shared" si="228"/>
        <v>0</v>
      </c>
      <c r="Z56" s="167">
        <f t="shared" si="229"/>
        <v>0</v>
      </c>
      <c r="AA56" s="167">
        <f t="shared" si="230"/>
        <v>0</v>
      </c>
      <c r="AB56" s="170">
        <f t="shared" si="231"/>
        <v>0</v>
      </c>
      <c r="AC56" s="167">
        <f t="shared" si="232"/>
        <v>0</v>
      </c>
      <c r="AD56" s="171">
        <f t="shared" si="233"/>
        <v>0</v>
      </c>
      <c r="AE56" s="169">
        <f t="shared" si="278"/>
        <v>0</v>
      </c>
      <c r="AF56" s="167">
        <f t="shared" si="235"/>
        <v>0</v>
      </c>
      <c r="AG56" s="167">
        <f t="shared" si="114"/>
        <v>0</v>
      </c>
      <c r="AH56" s="167">
        <f t="shared" si="236"/>
        <v>0</v>
      </c>
      <c r="AI56" s="167">
        <f t="shared" si="116"/>
        <v>0</v>
      </c>
      <c r="AJ56" s="167">
        <f t="shared" si="237"/>
        <v>0</v>
      </c>
      <c r="AK56" s="167">
        <f t="shared" si="118"/>
        <v>0</v>
      </c>
      <c r="AL56" s="167">
        <f t="shared" si="238"/>
        <v>0</v>
      </c>
      <c r="AM56" s="167">
        <f t="shared" si="120"/>
        <v>0</v>
      </c>
      <c r="AN56" s="167">
        <f t="shared" si="239"/>
        <v>0</v>
      </c>
      <c r="AO56" s="170">
        <f t="shared" si="122"/>
        <v>0</v>
      </c>
      <c r="AP56" s="167">
        <f t="shared" si="123"/>
        <v>0</v>
      </c>
      <c r="AQ56" s="171">
        <f t="shared" si="124"/>
        <v>0</v>
      </c>
      <c r="AR56" s="169">
        <f t="shared" si="278"/>
        <v>0</v>
      </c>
      <c r="AS56" s="167">
        <f t="shared" si="240"/>
        <v>0</v>
      </c>
      <c r="AT56" s="167">
        <f t="shared" si="127"/>
        <v>0</v>
      </c>
      <c r="AU56" s="167">
        <f t="shared" si="241"/>
        <v>0</v>
      </c>
      <c r="AV56" s="167">
        <f t="shared" si="129"/>
        <v>0</v>
      </c>
      <c r="AW56" s="167">
        <f t="shared" si="242"/>
        <v>0</v>
      </c>
      <c r="AX56" s="167">
        <f t="shared" si="131"/>
        <v>0</v>
      </c>
      <c r="AY56" s="167">
        <f t="shared" si="243"/>
        <v>0</v>
      </c>
      <c r="AZ56" s="167">
        <f t="shared" si="133"/>
        <v>0</v>
      </c>
      <c r="BA56" s="167">
        <f t="shared" si="244"/>
        <v>0</v>
      </c>
      <c r="BB56" s="170">
        <f t="shared" si="135"/>
        <v>0</v>
      </c>
      <c r="BC56" s="167">
        <f t="shared" si="136"/>
        <v>0</v>
      </c>
      <c r="BD56" s="171">
        <f t="shared" si="137"/>
        <v>0</v>
      </c>
      <c r="BE56" s="169">
        <f t="shared" si="278"/>
        <v>0</v>
      </c>
      <c r="BF56" s="167">
        <f t="shared" si="245"/>
        <v>0</v>
      </c>
      <c r="BG56" s="167">
        <f t="shared" si="140"/>
        <v>0</v>
      </c>
      <c r="BH56" s="167">
        <f t="shared" si="246"/>
        <v>0</v>
      </c>
      <c r="BI56" s="167">
        <f t="shared" si="142"/>
        <v>0</v>
      </c>
      <c r="BJ56" s="167">
        <f t="shared" si="247"/>
        <v>0</v>
      </c>
      <c r="BK56" s="167">
        <f t="shared" si="144"/>
        <v>0</v>
      </c>
      <c r="BL56" s="167">
        <f t="shared" si="248"/>
        <v>0</v>
      </c>
      <c r="BM56" s="167">
        <f t="shared" si="146"/>
        <v>0</v>
      </c>
      <c r="BN56" s="167">
        <f t="shared" si="249"/>
        <v>0</v>
      </c>
      <c r="BO56" s="170">
        <f t="shared" si="148"/>
        <v>0</v>
      </c>
      <c r="BP56" s="167">
        <f t="shared" si="149"/>
        <v>0</v>
      </c>
      <c r="BQ56" s="171">
        <f t="shared" si="150"/>
        <v>0</v>
      </c>
      <c r="BR56" s="169">
        <f t="shared" si="278"/>
        <v>0</v>
      </c>
      <c r="BS56" s="167">
        <f t="shared" si="250"/>
        <v>0</v>
      </c>
      <c r="BT56" s="167">
        <f t="shared" si="153"/>
        <v>0</v>
      </c>
      <c r="BU56" s="167">
        <f t="shared" si="251"/>
        <v>0</v>
      </c>
      <c r="BV56" s="167">
        <f t="shared" si="155"/>
        <v>0</v>
      </c>
      <c r="BW56" s="167">
        <f t="shared" si="252"/>
        <v>0</v>
      </c>
      <c r="BX56" s="167">
        <f t="shared" si="157"/>
        <v>0</v>
      </c>
      <c r="BY56" s="167">
        <f t="shared" si="253"/>
        <v>0</v>
      </c>
      <c r="BZ56" s="167">
        <f t="shared" si="159"/>
        <v>0</v>
      </c>
      <c r="CA56" s="167">
        <f t="shared" si="254"/>
        <v>0</v>
      </c>
      <c r="CB56" s="170">
        <f t="shared" si="161"/>
        <v>0</v>
      </c>
      <c r="CC56" s="167">
        <f t="shared" si="162"/>
        <v>0</v>
      </c>
      <c r="CD56" s="171">
        <f t="shared" si="163"/>
        <v>0</v>
      </c>
      <c r="CE56" s="169">
        <f t="shared" si="278"/>
        <v>0</v>
      </c>
      <c r="CF56" s="167">
        <f t="shared" si="255"/>
        <v>0</v>
      </c>
      <c r="CG56" s="167">
        <f t="shared" si="166"/>
        <v>0</v>
      </c>
      <c r="CH56" s="167">
        <f t="shared" si="256"/>
        <v>0</v>
      </c>
      <c r="CI56" s="167">
        <f t="shared" si="168"/>
        <v>0</v>
      </c>
      <c r="CJ56" s="167">
        <f t="shared" si="257"/>
        <v>0</v>
      </c>
      <c r="CK56" s="167">
        <f t="shared" si="170"/>
        <v>0</v>
      </c>
      <c r="CL56" s="167">
        <f t="shared" si="258"/>
        <v>0</v>
      </c>
      <c r="CM56" s="167">
        <f t="shared" si="172"/>
        <v>0</v>
      </c>
      <c r="CN56" s="167">
        <f t="shared" si="259"/>
        <v>0</v>
      </c>
      <c r="CO56" s="170">
        <f t="shared" si="174"/>
        <v>0</v>
      </c>
      <c r="CP56" s="167">
        <f t="shared" si="175"/>
        <v>0</v>
      </c>
      <c r="CQ56" s="171">
        <f t="shared" si="176"/>
        <v>0</v>
      </c>
      <c r="CR56" s="169">
        <f t="shared" si="279"/>
        <v>0</v>
      </c>
      <c r="CS56" s="167">
        <f t="shared" si="261"/>
        <v>0</v>
      </c>
      <c r="CT56" s="167">
        <f t="shared" si="179"/>
        <v>0</v>
      </c>
      <c r="CU56" s="167">
        <f t="shared" si="262"/>
        <v>0</v>
      </c>
      <c r="CV56" s="167">
        <f t="shared" si="181"/>
        <v>0</v>
      </c>
      <c r="CW56" s="167">
        <f t="shared" si="263"/>
        <v>0</v>
      </c>
      <c r="CX56" s="167">
        <f t="shared" si="183"/>
        <v>0</v>
      </c>
      <c r="CY56" s="167">
        <f t="shared" si="264"/>
        <v>0</v>
      </c>
      <c r="CZ56" s="167">
        <f t="shared" si="185"/>
        <v>0</v>
      </c>
      <c r="DA56" s="167">
        <f t="shared" si="265"/>
        <v>0</v>
      </c>
      <c r="DB56" s="170">
        <f t="shared" si="187"/>
        <v>0</v>
      </c>
      <c r="DC56" s="167">
        <f t="shared" si="188"/>
        <v>0</v>
      </c>
      <c r="DD56" s="171">
        <f t="shared" si="189"/>
        <v>0</v>
      </c>
      <c r="DE56" s="169">
        <f t="shared" si="279"/>
        <v>0</v>
      </c>
      <c r="DF56" s="167">
        <f t="shared" si="266"/>
        <v>0</v>
      </c>
      <c r="DG56" s="167">
        <f t="shared" si="192"/>
        <v>0</v>
      </c>
      <c r="DH56" s="167">
        <f t="shared" si="267"/>
        <v>0</v>
      </c>
      <c r="DI56" s="167">
        <f t="shared" si="194"/>
        <v>0</v>
      </c>
      <c r="DJ56" s="167">
        <f t="shared" si="268"/>
        <v>0</v>
      </c>
      <c r="DK56" s="167">
        <f t="shared" si="196"/>
        <v>0</v>
      </c>
      <c r="DL56" s="167">
        <f t="shared" si="269"/>
        <v>0</v>
      </c>
      <c r="DM56" s="167">
        <f t="shared" si="198"/>
        <v>0</v>
      </c>
      <c r="DN56" s="167">
        <f t="shared" si="270"/>
        <v>0</v>
      </c>
      <c r="DO56" s="170">
        <f t="shared" si="200"/>
        <v>0</v>
      </c>
      <c r="DP56" s="167">
        <f t="shared" si="201"/>
        <v>0</v>
      </c>
      <c r="DQ56" s="171">
        <f t="shared" si="202"/>
        <v>0</v>
      </c>
      <c r="DR56" s="169">
        <f t="shared" si="279"/>
        <v>0</v>
      </c>
      <c r="DS56" s="167">
        <f t="shared" si="271"/>
        <v>0</v>
      </c>
      <c r="DT56" s="167">
        <f t="shared" si="205"/>
        <v>0</v>
      </c>
      <c r="DU56" s="167">
        <f t="shared" si="272"/>
        <v>0</v>
      </c>
      <c r="DV56" s="167">
        <f t="shared" si="207"/>
        <v>0</v>
      </c>
      <c r="DW56" s="167">
        <f t="shared" si="273"/>
        <v>0</v>
      </c>
      <c r="DX56" s="167">
        <f t="shared" si="209"/>
        <v>0</v>
      </c>
      <c r="DY56" s="167">
        <f t="shared" si="274"/>
        <v>0</v>
      </c>
      <c r="DZ56" s="167">
        <f t="shared" si="211"/>
        <v>0</v>
      </c>
      <c r="EA56" s="167">
        <f t="shared" si="275"/>
        <v>0</v>
      </c>
      <c r="EB56" s="170">
        <f t="shared" si="213"/>
        <v>0</v>
      </c>
      <c r="EC56" s="167">
        <f t="shared" si="214"/>
        <v>0</v>
      </c>
      <c r="ED56" s="171">
        <f t="shared" si="215"/>
        <v>0</v>
      </c>
    </row>
    <row r="57" spans="1:134" x14ac:dyDescent="0.3">
      <c r="A57" s="196"/>
      <c r="B57" s="196"/>
      <c r="C57" s="196"/>
      <c r="D57" s="188"/>
      <c r="E57" s="624"/>
      <c r="F57" s="190"/>
      <c r="G57" s="625"/>
      <c r="H57" s="192"/>
      <c r="I57" s="193"/>
      <c r="J57" s="194"/>
      <c r="K57" s="165">
        <f t="shared" si="216"/>
        <v>0</v>
      </c>
      <c r="L57" s="166">
        <f t="shared" si="217"/>
        <v>0</v>
      </c>
      <c r="M57" s="167">
        <f t="shared" si="218"/>
        <v>0</v>
      </c>
      <c r="N57" s="167"/>
      <c r="O57" s="167">
        <f t="shared" si="219"/>
        <v>0</v>
      </c>
      <c r="P57" s="168"/>
      <c r="Q57" s="167">
        <f t="shared" si="220"/>
        <v>0</v>
      </c>
      <c r="R57" s="169">
        <f t="shared" si="221"/>
        <v>0</v>
      </c>
      <c r="S57" s="167">
        <f t="shared" si="222"/>
        <v>0</v>
      </c>
      <c r="T57" s="167">
        <f t="shared" si="223"/>
        <v>0</v>
      </c>
      <c r="U57" s="167">
        <f t="shared" si="224"/>
        <v>0</v>
      </c>
      <c r="V57" s="167">
        <f t="shared" si="225"/>
        <v>0</v>
      </c>
      <c r="W57" s="167">
        <f t="shared" si="226"/>
        <v>0</v>
      </c>
      <c r="X57" s="167">
        <f t="shared" si="227"/>
        <v>0</v>
      </c>
      <c r="Y57" s="167">
        <f t="shared" si="228"/>
        <v>0</v>
      </c>
      <c r="Z57" s="167">
        <f t="shared" si="229"/>
        <v>0</v>
      </c>
      <c r="AA57" s="167">
        <f t="shared" si="230"/>
        <v>0</v>
      </c>
      <c r="AB57" s="170">
        <f t="shared" si="231"/>
        <v>0</v>
      </c>
      <c r="AC57" s="167">
        <f t="shared" si="232"/>
        <v>0</v>
      </c>
      <c r="AD57" s="171">
        <f t="shared" si="233"/>
        <v>0</v>
      </c>
      <c r="AE57" s="169">
        <f t="shared" si="278"/>
        <v>0</v>
      </c>
      <c r="AF57" s="167">
        <f t="shared" si="235"/>
        <v>0</v>
      </c>
      <c r="AG57" s="167">
        <f t="shared" si="114"/>
        <v>0</v>
      </c>
      <c r="AH57" s="167">
        <f t="shared" si="236"/>
        <v>0</v>
      </c>
      <c r="AI57" s="167">
        <f t="shared" si="116"/>
        <v>0</v>
      </c>
      <c r="AJ57" s="167">
        <f t="shared" si="237"/>
        <v>0</v>
      </c>
      <c r="AK57" s="167">
        <f t="shared" si="118"/>
        <v>0</v>
      </c>
      <c r="AL57" s="167">
        <f t="shared" si="238"/>
        <v>0</v>
      </c>
      <c r="AM57" s="167">
        <f t="shared" si="120"/>
        <v>0</v>
      </c>
      <c r="AN57" s="167">
        <f t="shared" si="239"/>
        <v>0</v>
      </c>
      <c r="AO57" s="170">
        <f t="shared" si="122"/>
        <v>0</v>
      </c>
      <c r="AP57" s="167">
        <f t="shared" si="123"/>
        <v>0</v>
      </c>
      <c r="AQ57" s="171">
        <f t="shared" si="124"/>
        <v>0</v>
      </c>
      <c r="AR57" s="169">
        <f t="shared" si="278"/>
        <v>0</v>
      </c>
      <c r="AS57" s="167">
        <f t="shared" si="240"/>
        <v>0</v>
      </c>
      <c r="AT57" s="167">
        <f t="shared" si="127"/>
        <v>0</v>
      </c>
      <c r="AU57" s="167">
        <f t="shared" si="241"/>
        <v>0</v>
      </c>
      <c r="AV57" s="167">
        <f t="shared" si="129"/>
        <v>0</v>
      </c>
      <c r="AW57" s="167">
        <f t="shared" si="242"/>
        <v>0</v>
      </c>
      <c r="AX57" s="167">
        <f t="shared" si="131"/>
        <v>0</v>
      </c>
      <c r="AY57" s="167">
        <f t="shared" si="243"/>
        <v>0</v>
      </c>
      <c r="AZ57" s="167">
        <f t="shared" si="133"/>
        <v>0</v>
      </c>
      <c r="BA57" s="167">
        <f t="shared" si="244"/>
        <v>0</v>
      </c>
      <c r="BB57" s="170">
        <f t="shared" si="135"/>
        <v>0</v>
      </c>
      <c r="BC57" s="167">
        <f t="shared" si="136"/>
        <v>0</v>
      </c>
      <c r="BD57" s="171">
        <f t="shared" si="137"/>
        <v>0</v>
      </c>
      <c r="BE57" s="169">
        <f t="shared" si="278"/>
        <v>0</v>
      </c>
      <c r="BF57" s="167">
        <f t="shared" si="245"/>
        <v>0</v>
      </c>
      <c r="BG57" s="167">
        <f t="shared" si="140"/>
        <v>0</v>
      </c>
      <c r="BH57" s="167">
        <f t="shared" si="246"/>
        <v>0</v>
      </c>
      <c r="BI57" s="167">
        <f t="shared" si="142"/>
        <v>0</v>
      </c>
      <c r="BJ57" s="167">
        <f t="shared" si="247"/>
        <v>0</v>
      </c>
      <c r="BK57" s="167">
        <f t="shared" si="144"/>
        <v>0</v>
      </c>
      <c r="BL57" s="167">
        <f t="shared" si="248"/>
        <v>0</v>
      </c>
      <c r="BM57" s="167">
        <f t="shared" si="146"/>
        <v>0</v>
      </c>
      <c r="BN57" s="167">
        <f t="shared" si="249"/>
        <v>0</v>
      </c>
      <c r="BO57" s="170">
        <f t="shared" si="148"/>
        <v>0</v>
      </c>
      <c r="BP57" s="167">
        <f t="shared" si="149"/>
        <v>0</v>
      </c>
      <c r="BQ57" s="171">
        <f t="shared" si="150"/>
        <v>0</v>
      </c>
      <c r="BR57" s="169">
        <f t="shared" si="278"/>
        <v>0</v>
      </c>
      <c r="BS57" s="167">
        <f t="shared" si="250"/>
        <v>0</v>
      </c>
      <c r="BT57" s="167">
        <f t="shared" si="153"/>
        <v>0</v>
      </c>
      <c r="BU57" s="167">
        <f t="shared" si="251"/>
        <v>0</v>
      </c>
      <c r="BV57" s="167">
        <f t="shared" si="155"/>
        <v>0</v>
      </c>
      <c r="BW57" s="167">
        <f t="shared" si="252"/>
        <v>0</v>
      </c>
      <c r="BX57" s="167">
        <f t="shared" si="157"/>
        <v>0</v>
      </c>
      <c r="BY57" s="167">
        <f t="shared" si="253"/>
        <v>0</v>
      </c>
      <c r="BZ57" s="167">
        <f t="shared" si="159"/>
        <v>0</v>
      </c>
      <c r="CA57" s="167">
        <f t="shared" si="254"/>
        <v>0</v>
      </c>
      <c r="CB57" s="170">
        <f t="shared" si="161"/>
        <v>0</v>
      </c>
      <c r="CC57" s="167">
        <f t="shared" si="162"/>
        <v>0</v>
      </c>
      <c r="CD57" s="171">
        <f t="shared" si="163"/>
        <v>0</v>
      </c>
      <c r="CE57" s="169">
        <f t="shared" si="278"/>
        <v>0</v>
      </c>
      <c r="CF57" s="167">
        <f t="shared" si="255"/>
        <v>0</v>
      </c>
      <c r="CG57" s="167">
        <f t="shared" si="166"/>
        <v>0</v>
      </c>
      <c r="CH57" s="167">
        <f t="shared" si="256"/>
        <v>0</v>
      </c>
      <c r="CI57" s="167">
        <f t="shared" si="168"/>
        <v>0</v>
      </c>
      <c r="CJ57" s="167">
        <f t="shared" si="257"/>
        <v>0</v>
      </c>
      <c r="CK57" s="167">
        <f t="shared" si="170"/>
        <v>0</v>
      </c>
      <c r="CL57" s="167">
        <f t="shared" si="258"/>
        <v>0</v>
      </c>
      <c r="CM57" s="167">
        <f t="shared" si="172"/>
        <v>0</v>
      </c>
      <c r="CN57" s="167">
        <f t="shared" si="259"/>
        <v>0</v>
      </c>
      <c r="CO57" s="170">
        <f t="shared" si="174"/>
        <v>0</v>
      </c>
      <c r="CP57" s="167">
        <f t="shared" si="175"/>
        <v>0</v>
      </c>
      <c r="CQ57" s="171">
        <f t="shared" si="176"/>
        <v>0</v>
      </c>
      <c r="CR57" s="169">
        <f t="shared" si="279"/>
        <v>0</v>
      </c>
      <c r="CS57" s="167">
        <f t="shared" si="261"/>
        <v>0</v>
      </c>
      <c r="CT57" s="167">
        <f t="shared" si="179"/>
        <v>0</v>
      </c>
      <c r="CU57" s="167">
        <f t="shared" si="262"/>
        <v>0</v>
      </c>
      <c r="CV57" s="167">
        <f t="shared" si="181"/>
        <v>0</v>
      </c>
      <c r="CW57" s="167">
        <f t="shared" si="263"/>
        <v>0</v>
      </c>
      <c r="CX57" s="167">
        <f t="shared" si="183"/>
        <v>0</v>
      </c>
      <c r="CY57" s="167">
        <f t="shared" si="264"/>
        <v>0</v>
      </c>
      <c r="CZ57" s="167">
        <f t="shared" si="185"/>
        <v>0</v>
      </c>
      <c r="DA57" s="167">
        <f t="shared" si="265"/>
        <v>0</v>
      </c>
      <c r="DB57" s="170">
        <f t="shared" si="187"/>
        <v>0</v>
      </c>
      <c r="DC57" s="167">
        <f t="shared" si="188"/>
        <v>0</v>
      </c>
      <c r="DD57" s="171">
        <f t="shared" si="189"/>
        <v>0</v>
      </c>
      <c r="DE57" s="169">
        <f t="shared" si="279"/>
        <v>0</v>
      </c>
      <c r="DF57" s="167">
        <f t="shared" si="266"/>
        <v>0</v>
      </c>
      <c r="DG57" s="167">
        <f t="shared" si="192"/>
        <v>0</v>
      </c>
      <c r="DH57" s="167">
        <f t="shared" si="267"/>
        <v>0</v>
      </c>
      <c r="DI57" s="167">
        <f t="shared" si="194"/>
        <v>0</v>
      </c>
      <c r="DJ57" s="167">
        <f t="shared" si="268"/>
        <v>0</v>
      </c>
      <c r="DK57" s="167">
        <f t="shared" si="196"/>
        <v>0</v>
      </c>
      <c r="DL57" s="167">
        <f t="shared" si="269"/>
        <v>0</v>
      </c>
      <c r="DM57" s="167">
        <f t="shared" si="198"/>
        <v>0</v>
      </c>
      <c r="DN57" s="167">
        <f t="shared" si="270"/>
        <v>0</v>
      </c>
      <c r="DO57" s="170">
        <f t="shared" si="200"/>
        <v>0</v>
      </c>
      <c r="DP57" s="167">
        <f t="shared" si="201"/>
        <v>0</v>
      </c>
      <c r="DQ57" s="171">
        <f t="shared" si="202"/>
        <v>0</v>
      </c>
      <c r="DR57" s="169">
        <f t="shared" si="279"/>
        <v>0</v>
      </c>
      <c r="DS57" s="167">
        <f t="shared" si="271"/>
        <v>0</v>
      </c>
      <c r="DT57" s="167">
        <f t="shared" si="205"/>
        <v>0</v>
      </c>
      <c r="DU57" s="167">
        <f t="shared" si="272"/>
        <v>0</v>
      </c>
      <c r="DV57" s="167">
        <f t="shared" si="207"/>
        <v>0</v>
      </c>
      <c r="DW57" s="167">
        <f t="shared" si="273"/>
        <v>0</v>
      </c>
      <c r="DX57" s="167">
        <f t="shared" si="209"/>
        <v>0</v>
      </c>
      <c r="DY57" s="167">
        <f t="shared" si="274"/>
        <v>0</v>
      </c>
      <c r="DZ57" s="167">
        <f t="shared" si="211"/>
        <v>0</v>
      </c>
      <c r="EA57" s="167">
        <f t="shared" si="275"/>
        <v>0</v>
      </c>
      <c r="EB57" s="170">
        <f t="shared" si="213"/>
        <v>0</v>
      </c>
      <c r="EC57" s="167">
        <f t="shared" si="214"/>
        <v>0</v>
      </c>
      <c r="ED57" s="171">
        <f t="shared" si="215"/>
        <v>0</v>
      </c>
    </row>
    <row r="58" spans="1:134" x14ac:dyDescent="0.3">
      <c r="A58" s="196"/>
      <c r="B58" s="196"/>
      <c r="C58" s="196"/>
      <c r="D58" s="188"/>
      <c r="E58" s="624"/>
      <c r="F58" s="190"/>
      <c r="G58" s="625"/>
      <c r="H58" s="192"/>
      <c r="I58" s="193"/>
      <c r="J58" s="194"/>
      <c r="K58" s="165">
        <f t="shared" si="216"/>
        <v>0</v>
      </c>
      <c r="L58" s="166">
        <f t="shared" si="217"/>
        <v>0</v>
      </c>
      <c r="M58" s="167">
        <f t="shared" si="218"/>
        <v>0</v>
      </c>
      <c r="N58" s="167"/>
      <c r="O58" s="167">
        <f t="shared" si="219"/>
        <v>0</v>
      </c>
      <c r="P58" s="168"/>
      <c r="Q58" s="167">
        <f t="shared" si="220"/>
        <v>0</v>
      </c>
      <c r="R58" s="169">
        <f t="shared" si="221"/>
        <v>0</v>
      </c>
      <c r="S58" s="167">
        <f t="shared" si="222"/>
        <v>0</v>
      </c>
      <c r="T58" s="167">
        <f t="shared" si="223"/>
        <v>0</v>
      </c>
      <c r="U58" s="167">
        <f t="shared" si="224"/>
        <v>0</v>
      </c>
      <c r="V58" s="167">
        <f t="shared" si="225"/>
        <v>0</v>
      </c>
      <c r="W58" s="167">
        <f t="shared" si="226"/>
        <v>0</v>
      </c>
      <c r="X58" s="167">
        <f t="shared" si="227"/>
        <v>0</v>
      </c>
      <c r="Y58" s="167">
        <f t="shared" si="228"/>
        <v>0</v>
      </c>
      <c r="Z58" s="167">
        <f t="shared" si="229"/>
        <v>0</v>
      </c>
      <c r="AA58" s="167">
        <f t="shared" si="230"/>
        <v>0</v>
      </c>
      <c r="AB58" s="170">
        <f t="shared" si="231"/>
        <v>0</v>
      </c>
      <c r="AC58" s="167">
        <f t="shared" si="232"/>
        <v>0</v>
      </c>
      <c r="AD58" s="171">
        <f t="shared" si="233"/>
        <v>0</v>
      </c>
      <c r="AE58" s="169">
        <f t="shared" si="278"/>
        <v>0</v>
      </c>
      <c r="AF58" s="167">
        <f t="shared" si="235"/>
        <v>0</v>
      </c>
      <c r="AG58" s="167">
        <f t="shared" si="114"/>
        <v>0</v>
      </c>
      <c r="AH58" s="167">
        <f t="shared" si="236"/>
        <v>0</v>
      </c>
      <c r="AI58" s="167">
        <f t="shared" si="116"/>
        <v>0</v>
      </c>
      <c r="AJ58" s="167">
        <f t="shared" si="237"/>
        <v>0</v>
      </c>
      <c r="AK58" s="167">
        <f t="shared" si="118"/>
        <v>0</v>
      </c>
      <c r="AL58" s="167">
        <f t="shared" si="238"/>
        <v>0</v>
      </c>
      <c r="AM58" s="167">
        <f t="shared" si="120"/>
        <v>0</v>
      </c>
      <c r="AN58" s="167">
        <f t="shared" si="239"/>
        <v>0</v>
      </c>
      <c r="AO58" s="170">
        <f t="shared" si="122"/>
        <v>0</v>
      </c>
      <c r="AP58" s="167">
        <f t="shared" si="123"/>
        <v>0</v>
      </c>
      <c r="AQ58" s="171">
        <f t="shared" si="124"/>
        <v>0</v>
      </c>
      <c r="AR58" s="169">
        <f t="shared" si="278"/>
        <v>0</v>
      </c>
      <c r="AS58" s="167">
        <f t="shared" si="240"/>
        <v>0</v>
      </c>
      <c r="AT58" s="167">
        <f t="shared" si="127"/>
        <v>0</v>
      </c>
      <c r="AU58" s="167">
        <f t="shared" si="241"/>
        <v>0</v>
      </c>
      <c r="AV58" s="167">
        <f t="shared" si="129"/>
        <v>0</v>
      </c>
      <c r="AW58" s="167">
        <f t="shared" si="242"/>
        <v>0</v>
      </c>
      <c r="AX58" s="167">
        <f t="shared" si="131"/>
        <v>0</v>
      </c>
      <c r="AY58" s="167">
        <f t="shared" si="243"/>
        <v>0</v>
      </c>
      <c r="AZ58" s="167">
        <f t="shared" si="133"/>
        <v>0</v>
      </c>
      <c r="BA58" s="167">
        <f t="shared" si="244"/>
        <v>0</v>
      </c>
      <c r="BB58" s="170">
        <f t="shared" si="135"/>
        <v>0</v>
      </c>
      <c r="BC58" s="167">
        <f t="shared" si="136"/>
        <v>0</v>
      </c>
      <c r="BD58" s="171">
        <f t="shared" si="137"/>
        <v>0</v>
      </c>
      <c r="BE58" s="169">
        <f t="shared" si="278"/>
        <v>0</v>
      </c>
      <c r="BF58" s="167">
        <f t="shared" si="245"/>
        <v>0</v>
      </c>
      <c r="BG58" s="167">
        <f t="shared" si="140"/>
        <v>0</v>
      </c>
      <c r="BH58" s="167">
        <f t="shared" si="246"/>
        <v>0</v>
      </c>
      <c r="BI58" s="167">
        <f t="shared" si="142"/>
        <v>0</v>
      </c>
      <c r="BJ58" s="167">
        <f t="shared" si="247"/>
        <v>0</v>
      </c>
      <c r="BK58" s="167">
        <f t="shared" si="144"/>
        <v>0</v>
      </c>
      <c r="BL58" s="167">
        <f t="shared" si="248"/>
        <v>0</v>
      </c>
      <c r="BM58" s="167">
        <f t="shared" si="146"/>
        <v>0</v>
      </c>
      <c r="BN58" s="167">
        <f t="shared" si="249"/>
        <v>0</v>
      </c>
      <c r="BO58" s="170">
        <f t="shared" si="148"/>
        <v>0</v>
      </c>
      <c r="BP58" s="167">
        <f t="shared" si="149"/>
        <v>0</v>
      </c>
      <c r="BQ58" s="171">
        <f t="shared" si="150"/>
        <v>0</v>
      </c>
      <c r="BR58" s="169">
        <f t="shared" si="278"/>
        <v>0</v>
      </c>
      <c r="BS58" s="167">
        <f t="shared" si="250"/>
        <v>0</v>
      </c>
      <c r="BT58" s="167">
        <f t="shared" si="153"/>
        <v>0</v>
      </c>
      <c r="BU58" s="167">
        <f t="shared" si="251"/>
        <v>0</v>
      </c>
      <c r="BV58" s="167">
        <f t="shared" si="155"/>
        <v>0</v>
      </c>
      <c r="BW58" s="167">
        <f t="shared" si="252"/>
        <v>0</v>
      </c>
      <c r="BX58" s="167">
        <f t="shared" si="157"/>
        <v>0</v>
      </c>
      <c r="BY58" s="167">
        <f t="shared" si="253"/>
        <v>0</v>
      </c>
      <c r="BZ58" s="167">
        <f t="shared" si="159"/>
        <v>0</v>
      </c>
      <c r="CA58" s="167">
        <f t="shared" si="254"/>
        <v>0</v>
      </c>
      <c r="CB58" s="170">
        <f t="shared" si="161"/>
        <v>0</v>
      </c>
      <c r="CC58" s="167">
        <f t="shared" si="162"/>
        <v>0</v>
      </c>
      <c r="CD58" s="171">
        <f t="shared" si="163"/>
        <v>0</v>
      </c>
      <c r="CE58" s="169">
        <f t="shared" si="278"/>
        <v>0</v>
      </c>
      <c r="CF58" s="167">
        <f t="shared" si="255"/>
        <v>0</v>
      </c>
      <c r="CG58" s="167">
        <f t="shared" si="166"/>
        <v>0</v>
      </c>
      <c r="CH58" s="167">
        <f t="shared" si="256"/>
        <v>0</v>
      </c>
      <c r="CI58" s="167">
        <f t="shared" si="168"/>
        <v>0</v>
      </c>
      <c r="CJ58" s="167">
        <f t="shared" si="257"/>
        <v>0</v>
      </c>
      <c r="CK58" s="167">
        <f t="shared" si="170"/>
        <v>0</v>
      </c>
      <c r="CL58" s="167">
        <f t="shared" si="258"/>
        <v>0</v>
      </c>
      <c r="CM58" s="167">
        <f t="shared" si="172"/>
        <v>0</v>
      </c>
      <c r="CN58" s="167">
        <f t="shared" si="259"/>
        <v>0</v>
      </c>
      <c r="CO58" s="170">
        <f t="shared" si="174"/>
        <v>0</v>
      </c>
      <c r="CP58" s="167">
        <f t="shared" si="175"/>
        <v>0</v>
      </c>
      <c r="CQ58" s="171">
        <f t="shared" si="176"/>
        <v>0</v>
      </c>
      <c r="CR58" s="169">
        <f t="shared" si="279"/>
        <v>0</v>
      </c>
      <c r="CS58" s="167">
        <f t="shared" si="261"/>
        <v>0</v>
      </c>
      <c r="CT58" s="167">
        <f t="shared" si="179"/>
        <v>0</v>
      </c>
      <c r="CU58" s="167">
        <f t="shared" si="262"/>
        <v>0</v>
      </c>
      <c r="CV58" s="167">
        <f t="shared" si="181"/>
        <v>0</v>
      </c>
      <c r="CW58" s="167">
        <f t="shared" si="263"/>
        <v>0</v>
      </c>
      <c r="CX58" s="167">
        <f t="shared" si="183"/>
        <v>0</v>
      </c>
      <c r="CY58" s="167">
        <f t="shared" si="264"/>
        <v>0</v>
      </c>
      <c r="CZ58" s="167">
        <f t="shared" si="185"/>
        <v>0</v>
      </c>
      <c r="DA58" s="167">
        <f t="shared" si="265"/>
        <v>0</v>
      </c>
      <c r="DB58" s="170">
        <f t="shared" si="187"/>
        <v>0</v>
      </c>
      <c r="DC58" s="167">
        <f t="shared" si="188"/>
        <v>0</v>
      </c>
      <c r="DD58" s="171">
        <f t="shared" si="189"/>
        <v>0</v>
      </c>
      <c r="DE58" s="169">
        <f t="shared" si="279"/>
        <v>0</v>
      </c>
      <c r="DF58" s="167">
        <f t="shared" si="266"/>
        <v>0</v>
      </c>
      <c r="DG58" s="167">
        <f t="shared" si="192"/>
        <v>0</v>
      </c>
      <c r="DH58" s="167">
        <f t="shared" si="267"/>
        <v>0</v>
      </c>
      <c r="DI58" s="167">
        <f t="shared" si="194"/>
        <v>0</v>
      </c>
      <c r="DJ58" s="167">
        <f t="shared" si="268"/>
        <v>0</v>
      </c>
      <c r="DK58" s="167">
        <f t="shared" si="196"/>
        <v>0</v>
      </c>
      <c r="DL58" s="167">
        <f t="shared" si="269"/>
        <v>0</v>
      </c>
      <c r="DM58" s="167">
        <f t="shared" si="198"/>
        <v>0</v>
      </c>
      <c r="DN58" s="167">
        <f t="shared" si="270"/>
        <v>0</v>
      </c>
      <c r="DO58" s="170">
        <f t="shared" si="200"/>
        <v>0</v>
      </c>
      <c r="DP58" s="167">
        <f t="shared" si="201"/>
        <v>0</v>
      </c>
      <c r="DQ58" s="171">
        <f t="shared" si="202"/>
        <v>0</v>
      </c>
      <c r="DR58" s="169">
        <f t="shared" si="279"/>
        <v>0</v>
      </c>
      <c r="DS58" s="167">
        <f t="shared" si="271"/>
        <v>0</v>
      </c>
      <c r="DT58" s="167">
        <f t="shared" si="205"/>
        <v>0</v>
      </c>
      <c r="DU58" s="167">
        <f t="shared" si="272"/>
        <v>0</v>
      </c>
      <c r="DV58" s="167">
        <f t="shared" si="207"/>
        <v>0</v>
      </c>
      <c r="DW58" s="167">
        <f t="shared" si="273"/>
        <v>0</v>
      </c>
      <c r="DX58" s="167">
        <f t="shared" si="209"/>
        <v>0</v>
      </c>
      <c r="DY58" s="167">
        <f t="shared" si="274"/>
        <v>0</v>
      </c>
      <c r="DZ58" s="167">
        <f t="shared" si="211"/>
        <v>0</v>
      </c>
      <c r="EA58" s="167">
        <f t="shared" si="275"/>
        <v>0</v>
      </c>
      <c r="EB58" s="170">
        <f t="shared" si="213"/>
        <v>0</v>
      </c>
      <c r="EC58" s="167">
        <f t="shared" si="214"/>
        <v>0</v>
      </c>
      <c r="ED58" s="171">
        <f t="shared" si="215"/>
        <v>0</v>
      </c>
    </row>
    <row r="59" spans="1:134" x14ac:dyDescent="0.3">
      <c r="A59" s="196"/>
      <c r="B59" s="196"/>
      <c r="C59" s="196"/>
      <c r="D59" s="188"/>
      <c r="E59" s="624"/>
      <c r="F59" s="190"/>
      <c r="G59" s="625"/>
      <c r="H59" s="192"/>
      <c r="I59" s="193"/>
      <c r="J59" s="194"/>
      <c r="K59" s="165">
        <f t="shared" si="216"/>
        <v>0</v>
      </c>
      <c r="L59" s="166">
        <f t="shared" si="217"/>
        <v>0</v>
      </c>
      <c r="M59" s="167">
        <f t="shared" si="218"/>
        <v>0</v>
      </c>
      <c r="N59" s="167"/>
      <c r="O59" s="167">
        <f t="shared" si="219"/>
        <v>0</v>
      </c>
      <c r="P59" s="168"/>
      <c r="Q59" s="167">
        <f t="shared" si="220"/>
        <v>0</v>
      </c>
      <c r="R59" s="169">
        <f t="shared" si="221"/>
        <v>0</v>
      </c>
      <c r="S59" s="167">
        <f t="shared" si="222"/>
        <v>0</v>
      </c>
      <c r="T59" s="167">
        <f t="shared" si="223"/>
        <v>0</v>
      </c>
      <c r="U59" s="167">
        <f t="shared" si="224"/>
        <v>0</v>
      </c>
      <c r="V59" s="167">
        <f t="shared" si="225"/>
        <v>0</v>
      </c>
      <c r="W59" s="167">
        <f t="shared" si="226"/>
        <v>0</v>
      </c>
      <c r="X59" s="167">
        <f t="shared" si="227"/>
        <v>0</v>
      </c>
      <c r="Y59" s="167">
        <f t="shared" si="228"/>
        <v>0</v>
      </c>
      <c r="Z59" s="167">
        <f t="shared" si="229"/>
        <v>0</v>
      </c>
      <c r="AA59" s="167">
        <f t="shared" si="230"/>
        <v>0</v>
      </c>
      <c r="AB59" s="170">
        <f t="shared" si="231"/>
        <v>0</v>
      </c>
      <c r="AC59" s="167">
        <f t="shared" si="232"/>
        <v>0</v>
      </c>
      <c r="AD59" s="171">
        <f t="shared" si="233"/>
        <v>0</v>
      </c>
      <c r="AE59" s="169">
        <f t="shared" si="278"/>
        <v>0</v>
      </c>
      <c r="AF59" s="167">
        <f t="shared" si="235"/>
        <v>0</v>
      </c>
      <c r="AG59" s="167">
        <f t="shared" si="114"/>
        <v>0</v>
      </c>
      <c r="AH59" s="167">
        <f t="shared" si="236"/>
        <v>0</v>
      </c>
      <c r="AI59" s="167">
        <f t="shared" si="116"/>
        <v>0</v>
      </c>
      <c r="AJ59" s="167">
        <f t="shared" si="237"/>
        <v>0</v>
      </c>
      <c r="AK59" s="167">
        <f t="shared" si="118"/>
        <v>0</v>
      </c>
      <c r="AL59" s="167">
        <f t="shared" si="238"/>
        <v>0</v>
      </c>
      <c r="AM59" s="167">
        <f t="shared" si="120"/>
        <v>0</v>
      </c>
      <c r="AN59" s="167">
        <f t="shared" si="239"/>
        <v>0</v>
      </c>
      <c r="AO59" s="170">
        <f t="shared" si="122"/>
        <v>0</v>
      </c>
      <c r="AP59" s="167">
        <f t="shared" si="123"/>
        <v>0</v>
      </c>
      <c r="AQ59" s="171">
        <f t="shared" si="124"/>
        <v>0</v>
      </c>
      <c r="AR59" s="169">
        <f t="shared" si="278"/>
        <v>0</v>
      </c>
      <c r="AS59" s="167">
        <f t="shared" si="240"/>
        <v>0</v>
      </c>
      <c r="AT59" s="167">
        <f t="shared" si="127"/>
        <v>0</v>
      </c>
      <c r="AU59" s="167">
        <f t="shared" si="241"/>
        <v>0</v>
      </c>
      <c r="AV59" s="167">
        <f t="shared" si="129"/>
        <v>0</v>
      </c>
      <c r="AW59" s="167">
        <f t="shared" si="242"/>
        <v>0</v>
      </c>
      <c r="AX59" s="167">
        <f t="shared" si="131"/>
        <v>0</v>
      </c>
      <c r="AY59" s="167">
        <f t="shared" si="243"/>
        <v>0</v>
      </c>
      <c r="AZ59" s="167">
        <f t="shared" si="133"/>
        <v>0</v>
      </c>
      <c r="BA59" s="167">
        <f t="shared" si="244"/>
        <v>0</v>
      </c>
      <c r="BB59" s="170">
        <f t="shared" si="135"/>
        <v>0</v>
      </c>
      <c r="BC59" s="167">
        <f t="shared" si="136"/>
        <v>0</v>
      </c>
      <c r="BD59" s="171">
        <f t="shared" si="137"/>
        <v>0</v>
      </c>
      <c r="BE59" s="169">
        <f t="shared" si="278"/>
        <v>0</v>
      </c>
      <c r="BF59" s="167">
        <f t="shared" si="245"/>
        <v>0</v>
      </c>
      <c r="BG59" s="167">
        <f t="shared" si="140"/>
        <v>0</v>
      </c>
      <c r="BH59" s="167">
        <f t="shared" si="246"/>
        <v>0</v>
      </c>
      <c r="BI59" s="167">
        <f t="shared" si="142"/>
        <v>0</v>
      </c>
      <c r="BJ59" s="167">
        <f t="shared" si="247"/>
        <v>0</v>
      </c>
      <c r="BK59" s="167">
        <f t="shared" si="144"/>
        <v>0</v>
      </c>
      <c r="BL59" s="167">
        <f t="shared" si="248"/>
        <v>0</v>
      </c>
      <c r="BM59" s="167">
        <f t="shared" si="146"/>
        <v>0</v>
      </c>
      <c r="BN59" s="167">
        <f t="shared" si="249"/>
        <v>0</v>
      </c>
      <c r="BO59" s="170">
        <f t="shared" si="148"/>
        <v>0</v>
      </c>
      <c r="BP59" s="167">
        <f t="shared" si="149"/>
        <v>0</v>
      </c>
      <c r="BQ59" s="171">
        <f t="shared" si="150"/>
        <v>0</v>
      </c>
      <c r="BR59" s="169">
        <f t="shared" si="278"/>
        <v>0</v>
      </c>
      <c r="BS59" s="167">
        <f t="shared" si="250"/>
        <v>0</v>
      </c>
      <c r="BT59" s="167">
        <f t="shared" si="153"/>
        <v>0</v>
      </c>
      <c r="BU59" s="167">
        <f t="shared" si="251"/>
        <v>0</v>
      </c>
      <c r="BV59" s="167">
        <f t="shared" si="155"/>
        <v>0</v>
      </c>
      <c r="BW59" s="167">
        <f t="shared" si="252"/>
        <v>0</v>
      </c>
      <c r="BX59" s="167">
        <f t="shared" si="157"/>
        <v>0</v>
      </c>
      <c r="BY59" s="167">
        <f t="shared" si="253"/>
        <v>0</v>
      </c>
      <c r="BZ59" s="167">
        <f t="shared" si="159"/>
        <v>0</v>
      </c>
      <c r="CA59" s="167">
        <f t="shared" si="254"/>
        <v>0</v>
      </c>
      <c r="CB59" s="170">
        <f t="shared" si="161"/>
        <v>0</v>
      </c>
      <c r="CC59" s="167">
        <f t="shared" si="162"/>
        <v>0</v>
      </c>
      <c r="CD59" s="171">
        <f t="shared" si="163"/>
        <v>0</v>
      </c>
      <c r="CE59" s="169">
        <f t="shared" si="278"/>
        <v>0</v>
      </c>
      <c r="CF59" s="167">
        <f t="shared" si="255"/>
        <v>0</v>
      </c>
      <c r="CG59" s="167">
        <f t="shared" si="166"/>
        <v>0</v>
      </c>
      <c r="CH59" s="167">
        <f t="shared" si="256"/>
        <v>0</v>
      </c>
      <c r="CI59" s="167">
        <f t="shared" si="168"/>
        <v>0</v>
      </c>
      <c r="CJ59" s="167">
        <f t="shared" si="257"/>
        <v>0</v>
      </c>
      <c r="CK59" s="167">
        <f t="shared" si="170"/>
        <v>0</v>
      </c>
      <c r="CL59" s="167">
        <f t="shared" si="258"/>
        <v>0</v>
      </c>
      <c r="CM59" s="167">
        <f t="shared" si="172"/>
        <v>0</v>
      </c>
      <c r="CN59" s="167">
        <f t="shared" si="259"/>
        <v>0</v>
      </c>
      <c r="CO59" s="170">
        <f t="shared" si="174"/>
        <v>0</v>
      </c>
      <c r="CP59" s="167">
        <f t="shared" si="175"/>
        <v>0</v>
      </c>
      <c r="CQ59" s="171">
        <f t="shared" si="176"/>
        <v>0</v>
      </c>
      <c r="CR59" s="169">
        <f t="shared" si="279"/>
        <v>0</v>
      </c>
      <c r="CS59" s="167">
        <f t="shared" si="261"/>
        <v>0</v>
      </c>
      <c r="CT59" s="167">
        <f t="shared" si="179"/>
        <v>0</v>
      </c>
      <c r="CU59" s="167">
        <f t="shared" si="262"/>
        <v>0</v>
      </c>
      <c r="CV59" s="167">
        <f t="shared" si="181"/>
        <v>0</v>
      </c>
      <c r="CW59" s="167">
        <f t="shared" si="263"/>
        <v>0</v>
      </c>
      <c r="CX59" s="167">
        <f t="shared" si="183"/>
        <v>0</v>
      </c>
      <c r="CY59" s="167">
        <f t="shared" si="264"/>
        <v>0</v>
      </c>
      <c r="CZ59" s="167">
        <f t="shared" si="185"/>
        <v>0</v>
      </c>
      <c r="DA59" s="167">
        <f t="shared" si="265"/>
        <v>0</v>
      </c>
      <c r="DB59" s="170">
        <f t="shared" si="187"/>
        <v>0</v>
      </c>
      <c r="DC59" s="167">
        <f t="shared" si="188"/>
        <v>0</v>
      </c>
      <c r="DD59" s="171">
        <f t="shared" si="189"/>
        <v>0</v>
      </c>
      <c r="DE59" s="169">
        <f t="shared" si="279"/>
        <v>0</v>
      </c>
      <c r="DF59" s="167">
        <f t="shared" si="266"/>
        <v>0</v>
      </c>
      <c r="DG59" s="167">
        <f t="shared" si="192"/>
        <v>0</v>
      </c>
      <c r="DH59" s="167">
        <f t="shared" si="267"/>
        <v>0</v>
      </c>
      <c r="DI59" s="167">
        <f t="shared" si="194"/>
        <v>0</v>
      </c>
      <c r="DJ59" s="167">
        <f t="shared" si="268"/>
        <v>0</v>
      </c>
      <c r="DK59" s="167">
        <f t="shared" si="196"/>
        <v>0</v>
      </c>
      <c r="DL59" s="167">
        <f t="shared" si="269"/>
        <v>0</v>
      </c>
      <c r="DM59" s="167">
        <f t="shared" si="198"/>
        <v>0</v>
      </c>
      <c r="DN59" s="167">
        <f t="shared" si="270"/>
        <v>0</v>
      </c>
      <c r="DO59" s="170">
        <f t="shared" si="200"/>
        <v>0</v>
      </c>
      <c r="DP59" s="167">
        <f t="shared" si="201"/>
        <v>0</v>
      </c>
      <c r="DQ59" s="171">
        <f t="shared" si="202"/>
        <v>0</v>
      </c>
      <c r="DR59" s="169">
        <f t="shared" si="279"/>
        <v>0</v>
      </c>
      <c r="DS59" s="167">
        <f t="shared" si="271"/>
        <v>0</v>
      </c>
      <c r="DT59" s="167">
        <f t="shared" si="205"/>
        <v>0</v>
      </c>
      <c r="DU59" s="167">
        <f t="shared" si="272"/>
        <v>0</v>
      </c>
      <c r="DV59" s="167">
        <f t="shared" si="207"/>
        <v>0</v>
      </c>
      <c r="DW59" s="167">
        <f t="shared" si="273"/>
        <v>0</v>
      </c>
      <c r="DX59" s="167">
        <f t="shared" si="209"/>
        <v>0</v>
      </c>
      <c r="DY59" s="167">
        <f t="shared" si="274"/>
        <v>0</v>
      </c>
      <c r="DZ59" s="167">
        <f t="shared" si="211"/>
        <v>0</v>
      </c>
      <c r="EA59" s="167">
        <f t="shared" si="275"/>
        <v>0</v>
      </c>
      <c r="EB59" s="170">
        <f t="shared" si="213"/>
        <v>0</v>
      </c>
      <c r="EC59" s="167">
        <f t="shared" si="214"/>
        <v>0</v>
      </c>
      <c r="ED59" s="171">
        <f t="shared" si="215"/>
        <v>0</v>
      </c>
    </row>
    <row r="60" spans="1:134" x14ac:dyDescent="0.3">
      <c r="A60" s="196"/>
      <c r="B60" s="196"/>
      <c r="C60" s="196"/>
      <c r="D60" s="188"/>
      <c r="E60" s="624"/>
      <c r="F60" s="190"/>
      <c r="G60" s="625"/>
      <c r="H60" s="192"/>
      <c r="I60" s="193"/>
      <c r="J60" s="194"/>
      <c r="K60" s="165">
        <f t="shared" si="216"/>
        <v>0</v>
      </c>
      <c r="L60" s="166">
        <f t="shared" si="217"/>
        <v>0</v>
      </c>
      <c r="M60" s="167">
        <f t="shared" si="218"/>
        <v>0</v>
      </c>
      <c r="N60" s="167"/>
      <c r="O60" s="167">
        <f t="shared" si="219"/>
        <v>0</v>
      </c>
      <c r="P60" s="168"/>
      <c r="Q60" s="167">
        <f t="shared" si="220"/>
        <v>0</v>
      </c>
      <c r="R60" s="169">
        <f t="shared" si="221"/>
        <v>0</v>
      </c>
      <c r="S60" s="167">
        <f t="shared" si="222"/>
        <v>0</v>
      </c>
      <c r="T60" s="167">
        <f t="shared" si="223"/>
        <v>0</v>
      </c>
      <c r="U60" s="167">
        <f t="shared" si="224"/>
        <v>0</v>
      </c>
      <c r="V60" s="167">
        <f t="shared" si="225"/>
        <v>0</v>
      </c>
      <c r="W60" s="167">
        <f t="shared" si="226"/>
        <v>0</v>
      </c>
      <c r="X60" s="167">
        <f t="shared" si="227"/>
        <v>0</v>
      </c>
      <c r="Y60" s="167">
        <f t="shared" si="228"/>
        <v>0</v>
      </c>
      <c r="Z60" s="167">
        <f t="shared" si="229"/>
        <v>0</v>
      </c>
      <c r="AA60" s="167">
        <f t="shared" si="230"/>
        <v>0</v>
      </c>
      <c r="AB60" s="170">
        <f t="shared" si="231"/>
        <v>0</v>
      </c>
      <c r="AC60" s="167">
        <f t="shared" si="232"/>
        <v>0</v>
      </c>
      <c r="AD60" s="171">
        <f t="shared" si="233"/>
        <v>0</v>
      </c>
      <c r="AE60" s="169">
        <f t="shared" si="278"/>
        <v>0</v>
      </c>
      <c r="AF60" s="167">
        <f t="shared" si="235"/>
        <v>0</v>
      </c>
      <c r="AG60" s="167">
        <f t="shared" si="114"/>
        <v>0</v>
      </c>
      <c r="AH60" s="167">
        <f t="shared" si="236"/>
        <v>0</v>
      </c>
      <c r="AI60" s="167">
        <f t="shared" si="116"/>
        <v>0</v>
      </c>
      <c r="AJ60" s="167">
        <f t="shared" si="237"/>
        <v>0</v>
      </c>
      <c r="AK60" s="167">
        <f t="shared" si="118"/>
        <v>0</v>
      </c>
      <c r="AL60" s="167">
        <f t="shared" si="238"/>
        <v>0</v>
      </c>
      <c r="AM60" s="167">
        <f t="shared" si="120"/>
        <v>0</v>
      </c>
      <c r="AN60" s="167">
        <f t="shared" si="239"/>
        <v>0</v>
      </c>
      <c r="AO60" s="170">
        <f t="shared" si="122"/>
        <v>0</v>
      </c>
      <c r="AP60" s="167">
        <f t="shared" si="123"/>
        <v>0</v>
      </c>
      <c r="AQ60" s="171">
        <f t="shared" si="124"/>
        <v>0</v>
      </c>
      <c r="AR60" s="169">
        <f t="shared" si="278"/>
        <v>0</v>
      </c>
      <c r="AS60" s="167">
        <f t="shared" si="240"/>
        <v>0</v>
      </c>
      <c r="AT60" s="167">
        <f t="shared" si="127"/>
        <v>0</v>
      </c>
      <c r="AU60" s="167">
        <f t="shared" si="241"/>
        <v>0</v>
      </c>
      <c r="AV60" s="167">
        <f t="shared" si="129"/>
        <v>0</v>
      </c>
      <c r="AW60" s="167">
        <f t="shared" si="242"/>
        <v>0</v>
      </c>
      <c r="AX60" s="167">
        <f t="shared" si="131"/>
        <v>0</v>
      </c>
      <c r="AY60" s="167">
        <f t="shared" si="243"/>
        <v>0</v>
      </c>
      <c r="AZ60" s="167">
        <f t="shared" si="133"/>
        <v>0</v>
      </c>
      <c r="BA60" s="167">
        <f t="shared" si="244"/>
        <v>0</v>
      </c>
      <c r="BB60" s="170">
        <f t="shared" si="135"/>
        <v>0</v>
      </c>
      <c r="BC60" s="167">
        <f t="shared" si="136"/>
        <v>0</v>
      </c>
      <c r="BD60" s="171">
        <f t="shared" si="137"/>
        <v>0</v>
      </c>
      <c r="BE60" s="169">
        <f t="shared" si="278"/>
        <v>0</v>
      </c>
      <c r="BF60" s="167">
        <f t="shared" si="245"/>
        <v>0</v>
      </c>
      <c r="BG60" s="167">
        <f t="shared" si="140"/>
        <v>0</v>
      </c>
      <c r="BH60" s="167">
        <f t="shared" si="246"/>
        <v>0</v>
      </c>
      <c r="BI60" s="167">
        <f t="shared" si="142"/>
        <v>0</v>
      </c>
      <c r="BJ60" s="167">
        <f t="shared" si="247"/>
        <v>0</v>
      </c>
      <c r="BK60" s="167">
        <f t="shared" si="144"/>
        <v>0</v>
      </c>
      <c r="BL60" s="167">
        <f t="shared" si="248"/>
        <v>0</v>
      </c>
      <c r="BM60" s="167">
        <f t="shared" si="146"/>
        <v>0</v>
      </c>
      <c r="BN60" s="167">
        <f t="shared" si="249"/>
        <v>0</v>
      </c>
      <c r="BO60" s="170">
        <f t="shared" si="148"/>
        <v>0</v>
      </c>
      <c r="BP60" s="167">
        <f t="shared" si="149"/>
        <v>0</v>
      </c>
      <c r="BQ60" s="171">
        <f t="shared" si="150"/>
        <v>0</v>
      </c>
      <c r="BR60" s="169">
        <f t="shared" si="278"/>
        <v>0</v>
      </c>
      <c r="BS60" s="167">
        <f t="shared" si="250"/>
        <v>0</v>
      </c>
      <c r="BT60" s="167">
        <f t="shared" si="153"/>
        <v>0</v>
      </c>
      <c r="BU60" s="167">
        <f t="shared" si="251"/>
        <v>0</v>
      </c>
      <c r="BV60" s="167">
        <f t="shared" si="155"/>
        <v>0</v>
      </c>
      <c r="BW60" s="167">
        <f t="shared" si="252"/>
        <v>0</v>
      </c>
      <c r="BX60" s="167">
        <f t="shared" si="157"/>
        <v>0</v>
      </c>
      <c r="BY60" s="167">
        <f t="shared" si="253"/>
        <v>0</v>
      </c>
      <c r="BZ60" s="167">
        <f t="shared" si="159"/>
        <v>0</v>
      </c>
      <c r="CA60" s="167">
        <f t="shared" si="254"/>
        <v>0</v>
      </c>
      <c r="CB60" s="170">
        <f t="shared" si="161"/>
        <v>0</v>
      </c>
      <c r="CC60" s="167">
        <f t="shared" si="162"/>
        <v>0</v>
      </c>
      <c r="CD60" s="171">
        <f t="shared" si="163"/>
        <v>0</v>
      </c>
      <c r="CE60" s="169">
        <f t="shared" si="278"/>
        <v>0</v>
      </c>
      <c r="CF60" s="167">
        <f t="shared" si="255"/>
        <v>0</v>
      </c>
      <c r="CG60" s="167">
        <f t="shared" si="166"/>
        <v>0</v>
      </c>
      <c r="CH60" s="167">
        <f t="shared" si="256"/>
        <v>0</v>
      </c>
      <c r="CI60" s="167">
        <f t="shared" si="168"/>
        <v>0</v>
      </c>
      <c r="CJ60" s="167">
        <f t="shared" si="257"/>
        <v>0</v>
      </c>
      <c r="CK60" s="167">
        <f t="shared" si="170"/>
        <v>0</v>
      </c>
      <c r="CL60" s="167">
        <f t="shared" si="258"/>
        <v>0</v>
      </c>
      <c r="CM60" s="167">
        <f t="shared" si="172"/>
        <v>0</v>
      </c>
      <c r="CN60" s="167">
        <f t="shared" si="259"/>
        <v>0</v>
      </c>
      <c r="CO60" s="170">
        <f t="shared" si="174"/>
        <v>0</v>
      </c>
      <c r="CP60" s="167">
        <f t="shared" si="175"/>
        <v>0</v>
      </c>
      <c r="CQ60" s="171">
        <f t="shared" si="176"/>
        <v>0</v>
      </c>
      <c r="CR60" s="169">
        <f t="shared" si="279"/>
        <v>0</v>
      </c>
      <c r="CS60" s="167">
        <f t="shared" si="261"/>
        <v>0</v>
      </c>
      <c r="CT60" s="167">
        <f t="shared" si="179"/>
        <v>0</v>
      </c>
      <c r="CU60" s="167">
        <f t="shared" si="262"/>
        <v>0</v>
      </c>
      <c r="CV60" s="167">
        <f t="shared" si="181"/>
        <v>0</v>
      </c>
      <c r="CW60" s="167">
        <f t="shared" si="263"/>
        <v>0</v>
      </c>
      <c r="CX60" s="167">
        <f t="shared" si="183"/>
        <v>0</v>
      </c>
      <c r="CY60" s="167">
        <f t="shared" si="264"/>
        <v>0</v>
      </c>
      <c r="CZ60" s="167">
        <f t="shared" si="185"/>
        <v>0</v>
      </c>
      <c r="DA60" s="167">
        <f t="shared" si="265"/>
        <v>0</v>
      </c>
      <c r="DB60" s="170">
        <f t="shared" si="187"/>
        <v>0</v>
      </c>
      <c r="DC60" s="167">
        <f t="shared" si="188"/>
        <v>0</v>
      </c>
      <c r="DD60" s="171">
        <f t="shared" si="189"/>
        <v>0</v>
      </c>
      <c r="DE60" s="169">
        <f t="shared" si="279"/>
        <v>0</v>
      </c>
      <c r="DF60" s="167">
        <f t="shared" si="266"/>
        <v>0</v>
      </c>
      <c r="DG60" s="167">
        <f t="shared" si="192"/>
        <v>0</v>
      </c>
      <c r="DH60" s="167">
        <f t="shared" si="267"/>
        <v>0</v>
      </c>
      <c r="DI60" s="167">
        <f t="shared" si="194"/>
        <v>0</v>
      </c>
      <c r="DJ60" s="167">
        <f t="shared" si="268"/>
        <v>0</v>
      </c>
      <c r="DK60" s="167">
        <f t="shared" si="196"/>
        <v>0</v>
      </c>
      <c r="DL60" s="167">
        <f t="shared" si="269"/>
        <v>0</v>
      </c>
      <c r="DM60" s="167">
        <f t="shared" si="198"/>
        <v>0</v>
      </c>
      <c r="DN60" s="167">
        <f t="shared" si="270"/>
        <v>0</v>
      </c>
      <c r="DO60" s="170">
        <f t="shared" si="200"/>
        <v>0</v>
      </c>
      <c r="DP60" s="167">
        <f t="shared" si="201"/>
        <v>0</v>
      </c>
      <c r="DQ60" s="171">
        <f t="shared" si="202"/>
        <v>0</v>
      </c>
      <c r="DR60" s="169">
        <f t="shared" si="279"/>
        <v>0</v>
      </c>
      <c r="DS60" s="167">
        <f t="shared" si="271"/>
        <v>0</v>
      </c>
      <c r="DT60" s="167">
        <f t="shared" si="205"/>
        <v>0</v>
      </c>
      <c r="DU60" s="167">
        <f t="shared" si="272"/>
        <v>0</v>
      </c>
      <c r="DV60" s="167">
        <f t="shared" si="207"/>
        <v>0</v>
      </c>
      <c r="DW60" s="167">
        <f t="shared" si="273"/>
        <v>0</v>
      </c>
      <c r="DX60" s="167">
        <f t="shared" si="209"/>
        <v>0</v>
      </c>
      <c r="DY60" s="167">
        <f t="shared" si="274"/>
        <v>0</v>
      </c>
      <c r="DZ60" s="167">
        <f t="shared" si="211"/>
        <v>0</v>
      </c>
      <c r="EA60" s="167">
        <f t="shared" si="275"/>
        <v>0</v>
      </c>
      <c r="EB60" s="170">
        <f t="shared" si="213"/>
        <v>0</v>
      </c>
      <c r="EC60" s="167">
        <f t="shared" si="214"/>
        <v>0</v>
      </c>
      <c r="ED60" s="171">
        <f t="shared" si="215"/>
        <v>0</v>
      </c>
    </row>
    <row r="61" spans="1:134" x14ac:dyDescent="0.3">
      <c r="A61" s="196"/>
      <c r="B61" s="196"/>
      <c r="C61" s="196"/>
      <c r="D61" s="188"/>
      <c r="E61" s="624"/>
      <c r="F61" s="190"/>
      <c r="G61" s="625"/>
      <c r="H61" s="192"/>
      <c r="I61" s="193"/>
      <c r="J61" s="194"/>
      <c r="K61" s="165">
        <f t="shared" si="216"/>
        <v>0</v>
      </c>
      <c r="L61" s="166">
        <f t="shared" si="217"/>
        <v>0</v>
      </c>
      <c r="M61" s="167">
        <f t="shared" si="218"/>
        <v>0</v>
      </c>
      <c r="N61" s="167"/>
      <c r="O61" s="167">
        <f t="shared" si="219"/>
        <v>0</v>
      </c>
      <c r="P61" s="168"/>
      <c r="Q61" s="167">
        <f t="shared" si="220"/>
        <v>0</v>
      </c>
      <c r="R61" s="169">
        <f t="shared" si="221"/>
        <v>0</v>
      </c>
      <c r="S61" s="167">
        <f t="shared" si="222"/>
        <v>0</v>
      </c>
      <c r="T61" s="167">
        <f t="shared" si="223"/>
        <v>0</v>
      </c>
      <c r="U61" s="167">
        <f t="shared" si="224"/>
        <v>0</v>
      </c>
      <c r="V61" s="167">
        <f t="shared" si="225"/>
        <v>0</v>
      </c>
      <c r="W61" s="167">
        <f t="shared" si="226"/>
        <v>0</v>
      </c>
      <c r="X61" s="167">
        <f t="shared" si="227"/>
        <v>0</v>
      </c>
      <c r="Y61" s="167">
        <f t="shared" si="228"/>
        <v>0</v>
      </c>
      <c r="Z61" s="167">
        <f t="shared" si="229"/>
        <v>0</v>
      </c>
      <c r="AA61" s="167">
        <f t="shared" si="230"/>
        <v>0</v>
      </c>
      <c r="AB61" s="170">
        <f t="shared" si="231"/>
        <v>0</v>
      </c>
      <c r="AC61" s="167">
        <f t="shared" si="232"/>
        <v>0</v>
      </c>
      <c r="AD61" s="171">
        <f t="shared" si="233"/>
        <v>0</v>
      </c>
      <c r="AE61" s="169">
        <f t="shared" si="278"/>
        <v>0</v>
      </c>
      <c r="AF61" s="167">
        <f t="shared" si="235"/>
        <v>0</v>
      </c>
      <c r="AG61" s="167">
        <f t="shared" si="114"/>
        <v>0</v>
      </c>
      <c r="AH61" s="167">
        <f t="shared" si="236"/>
        <v>0</v>
      </c>
      <c r="AI61" s="167">
        <f t="shared" si="116"/>
        <v>0</v>
      </c>
      <c r="AJ61" s="167">
        <f t="shared" si="237"/>
        <v>0</v>
      </c>
      <c r="AK61" s="167">
        <f t="shared" si="118"/>
        <v>0</v>
      </c>
      <c r="AL61" s="167">
        <f t="shared" si="238"/>
        <v>0</v>
      </c>
      <c r="AM61" s="167">
        <f t="shared" si="120"/>
        <v>0</v>
      </c>
      <c r="AN61" s="167">
        <f t="shared" si="239"/>
        <v>0</v>
      </c>
      <c r="AO61" s="170">
        <f t="shared" si="122"/>
        <v>0</v>
      </c>
      <c r="AP61" s="167">
        <f t="shared" si="123"/>
        <v>0</v>
      </c>
      <c r="AQ61" s="171">
        <f t="shared" si="124"/>
        <v>0</v>
      </c>
      <c r="AR61" s="169">
        <f t="shared" si="278"/>
        <v>0</v>
      </c>
      <c r="AS61" s="167">
        <f t="shared" si="240"/>
        <v>0</v>
      </c>
      <c r="AT61" s="167">
        <f t="shared" si="127"/>
        <v>0</v>
      </c>
      <c r="AU61" s="167">
        <f t="shared" si="241"/>
        <v>0</v>
      </c>
      <c r="AV61" s="167">
        <f t="shared" si="129"/>
        <v>0</v>
      </c>
      <c r="AW61" s="167">
        <f t="shared" si="242"/>
        <v>0</v>
      </c>
      <c r="AX61" s="167">
        <f t="shared" si="131"/>
        <v>0</v>
      </c>
      <c r="AY61" s="167">
        <f t="shared" si="243"/>
        <v>0</v>
      </c>
      <c r="AZ61" s="167">
        <f t="shared" si="133"/>
        <v>0</v>
      </c>
      <c r="BA61" s="167">
        <f t="shared" si="244"/>
        <v>0</v>
      </c>
      <c r="BB61" s="170">
        <f t="shared" si="135"/>
        <v>0</v>
      </c>
      <c r="BC61" s="167">
        <f t="shared" si="136"/>
        <v>0</v>
      </c>
      <c r="BD61" s="171">
        <f t="shared" si="137"/>
        <v>0</v>
      </c>
      <c r="BE61" s="169">
        <f t="shared" si="278"/>
        <v>0</v>
      </c>
      <c r="BF61" s="167">
        <f t="shared" si="245"/>
        <v>0</v>
      </c>
      <c r="BG61" s="167">
        <f t="shared" si="140"/>
        <v>0</v>
      </c>
      <c r="BH61" s="167">
        <f t="shared" si="246"/>
        <v>0</v>
      </c>
      <c r="BI61" s="167">
        <f t="shared" si="142"/>
        <v>0</v>
      </c>
      <c r="BJ61" s="167">
        <f t="shared" si="247"/>
        <v>0</v>
      </c>
      <c r="BK61" s="167">
        <f t="shared" si="144"/>
        <v>0</v>
      </c>
      <c r="BL61" s="167">
        <f t="shared" si="248"/>
        <v>0</v>
      </c>
      <c r="BM61" s="167">
        <f t="shared" si="146"/>
        <v>0</v>
      </c>
      <c r="BN61" s="167">
        <f t="shared" si="249"/>
        <v>0</v>
      </c>
      <c r="BO61" s="170">
        <f t="shared" si="148"/>
        <v>0</v>
      </c>
      <c r="BP61" s="167">
        <f t="shared" si="149"/>
        <v>0</v>
      </c>
      <c r="BQ61" s="171">
        <f t="shared" si="150"/>
        <v>0</v>
      </c>
      <c r="BR61" s="169">
        <f t="shared" si="278"/>
        <v>0</v>
      </c>
      <c r="BS61" s="167">
        <f t="shared" si="250"/>
        <v>0</v>
      </c>
      <c r="BT61" s="167">
        <f t="shared" si="153"/>
        <v>0</v>
      </c>
      <c r="BU61" s="167">
        <f t="shared" si="251"/>
        <v>0</v>
      </c>
      <c r="BV61" s="167">
        <f t="shared" si="155"/>
        <v>0</v>
      </c>
      <c r="BW61" s="167">
        <f t="shared" si="252"/>
        <v>0</v>
      </c>
      <c r="BX61" s="167">
        <f t="shared" si="157"/>
        <v>0</v>
      </c>
      <c r="BY61" s="167">
        <f t="shared" si="253"/>
        <v>0</v>
      </c>
      <c r="BZ61" s="167">
        <f t="shared" si="159"/>
        <v>0</v>
      </c>
      <c r="CA61" s="167">
        <f t="shared" si="254"/>
        <v>0</v>
      </c>
      <c r="CB61" s="170">
        <f t="shared" si="161"/>
        <v>0</v>
      </c>
      <c r="CC61" s="167">
        <f t="shared" si="162"/>
        <v>0</v>
      </c>
      <c r="CD61" s="171">
        <f t="shared" si="163"/>
        <v>0</v>
      </c>
      <c r="CE61" s="169">
        <f t="shared" si="278"/>
        <v>0</v>
      </c>
      <c r="CF61" s="167">
        <f t="shared" si="255"/>
        <v>0</v>
      </c>
      <c r="CG61" s="167">
        <f t="shared" si="166"/>
        <v>0</v>
      </c>
      <c r="CH61" s="167">
        <f t="shared" si="256"/>
        <v>0</v>
      </c>
      <c r="CI61" s="167">
        <f t="shared" si="168"/>
        <v>0</v>
      </c>
      <c r="CJ61" s="167">
        <f t="shared" si="257"/>
        <v>0</v>
      </c>
      <c r="CK61" s="167">
        <f t="shared" si="170"/>
        <v>0</v>
      </c>
      <c r="CL61" s="167">
        <f t="shared" si="258"/>
        <v>0</v>
      </c>
      <c r="CM61" s="167">
        <f t="shared" si="172"/>
        <v>0</v>
      </c>
      <c r="CN61" s="167">
        <f t="shared" si="259"/>
        <v>0</v>
      </c>
      <c r="CO61" s="170">
        <f t="shared" si="174"/>
        <v>0</v>
      </c>
      <c r="CP61" s="167">
        <f t="shared" si="175"/>
        <v>0</v>
      </c>
      <c r="CQ61" s="171">
        <f t="shared" si="176"/>
        <v>0</v>
      </c>
      <c r="CR61" s="169">
        <f t="shared" si="279"/>
        <v>0</v>
      </c>
      <c r="CS61" s="167">
        <f t="shared" si="261"/>
        <v>0</v>
      </c>
      <c r="CT61" s="167">
        <f t="shared" si="179"/>
        <v>0</v>
      </c>
      <c r="CU61" s="167">
        <f t="shared" si="262"/>
        <v>0</v>
      </c>
      <c r="CV61" s="167">
        <f t="shared" si="181"/>
        <v>0</v>
      </c>
      <c r="CW61" s="167">
        <f t="shared" si="263"/>
        <v>0</v>
      </c>
      <c r="CX61" s="167">
        <f t="shared" si="183"/>
        <v>0</v>
      </c>
      <c r="CY61" s="167">
        <f t="shared" si="264"/>
        <v>0</v>
      </c>
      <c r="CZ61" s="167">
        <f t="shared" si="185"/>
        <v>0</v>
      </c>
      <c r="DA61" s="167">
        <f t="shared" si="265"/>
        <v>0</v>
      </c>
      <c r="DB61" s="170">
        <f t="shared" si="187"/>
        <v>0</v>
      </c>
      <c r="DC61" s="167">
        <f t="shared" si="188"/>
        <v>0</v>
      </c>
      <c r="DD61" s="171">
        <f t="shared" si="189"/>
        <v>0</v>
      </c>
      <c r="DE61" s="169">
        <f t="shared" si="279"/>
        <v>0</v>
      </c>
      <c r="DF61" s="167">
        <f t="shared" si="266"/>
        <v>0</v>
      </c>
      <c r="DG61" s="167">
        <f t="shared" si="192"/>
        <v>0</v>
      </c>
      <c r="DH61" s="167">
        <f t="shared" si="267"/>
        <v>0</v>
      </c>
      <c r="DI61" s="167">
        <f t="shared" si="194"/>
        <v>0</v>
      </c>
      <c r="DJ61" s="167">
        <f t="shared" si="268"/>
        <v>0</v>
      </c>
      <c r="DK61" s="167">
        <f t="shared" si="196"/>
        <v>0</v>
      </c>
      <c r="DL61" s="167">
        <f t="shared" si="269"/>
        <v>0</v>
      </c>
      <c r="DM61" s="167">
        <f t="shared" si="198"/>
        <v>0</v>
      </c>
      <c r="DN61" s="167">
        <f t="shared" si="270"/>
        <v>0</v>
      </c>
      <c r="DO61" s="170">
        <f t="shared" si="200"/>
        <v>0</v>
      </c>
      <c r="DP61" s="167">
        <f t="shared" si="201"/>
        <v>0</v>
      </c>
      <c r="DQ61" s="171">
        <f t="shared" si="202"/>
        <v>0</v>
      </c>
      <c r="DR61" s="169">
        <f t="shared" si="279"/>
        <v>0</v>
      </c>
      <c r="DS61" s="167">
        <f t="shared" si="271"/>
        <v>0</v>
      </c>
      <c r="DT61" s="167">
        <f t="shared" si="205"/>
        <v>0</v>
      </c>
      <c r="DU61" s="167">
        <f t="shared" si="272"/>
        <v>0</v>
      </c>
      <c r="DV61" s="167">
        <f t="shared" si="207"/>
        <v>0</v>
      </c>
      <c r="DW61" s="167">
        <f t="shared" si="273"/>
        <v>0</v>
      </c>
      <c r="DX61" s="167">
        <f t="shared" si="209"/>
        <v>0</v>
      </c>
      <c r="DY61" s="167">
        <f t="shared" si="274"/>
        <v>0</v>
      </c>
      <c r="DZ61" s="167">
        <f t="shared" si="211"/>
        <v>0</v>
      </c>
      <c r="EA61" s="167">
        <f t="shared" si="275"/>
        <v>0</v>
      </c>
      <c r="EB61" s="170">
        <f t="shared" si="213"/>
        <v>0</v>
      </c>
      <c r="EC61" s="167">
        <f t="shared" si="214"/>
        <v>0</v>
      </c>
      <c r="ED61" s="171">
        <f t="shared" si="215"/>
        <v>0</v>
      </c>
    </row>
    <row r="62" spans="1:134" x14ac:dyDescent="0.3">
      <c r="A62" s="196"/>
      <c r="B62" s="196"/>
      <c r="C62" s="196"/>
      <c r="D62" s="188"/>
      <c r="E62" s="624"/>
      <c r="F62" s="190"/>
      <c r="G62" s="625"/>
      <c r="H62" s="192"/>
      <c r="I62" s="193"/>
      <c r="J62" s="194"/>
      <c r="K62" s="165">
        <f t="shared" si="216"/>
        <v>0</v>
      </c>
      <c r="L62" s="166">
        <f t="shared" si="217"/>
        <v>0</v>
      </c>
      <c r="M62" s="167">
        <f t="shared" si="218"/>
        <v>0</v>
      </c>
      <c r="N62" s="167"/>
      <c r="O62" s="167">
        <f t="shared" si="219"/>
        <v>0</v>
      </c>
      <c r="P62" s="168"/>
      <c r="Q62" s="167">
        <f t="shared" si="220"/>
        <v>0</v>
      </c>
      <c r="R62" s="169">
        <f t="shared" si="221"/>
        <v>0</v>
      </c>
      <c r="S62" s="167">
        <f t="shared" si="222"/>
        <v>0</v>
      </c>
      <c r="T62" s="167">
        <f t="shared" si="223"/>
        <v>0</v>
      </c>
      <c r="U62" s="167">
        <f t="shared" si="224"/>
        <v>0</v>
      </c>
      <c r="V62" s="167">
        <f t="shared" si="225"/>
        <v>0</v>
      </c>
      <c r="W62" s="167">
        <f t="shared" si="226"/>
        <v>0</v>
      </c>
      <c r="X62" s="167">
        <f t="shared" si="227"/>
        <v>0</v>
      </c>
      <c r="Y62" s="167">
        <f t="shared" si="228"/>
        <v>0</v>
      </c>
      <c r="Z62" s="167">
        <f t="shared" si="229"/>
        <v>0</v>
      </c>
      <c r="AA62" s="167">
        <f t="shared" si="230"/>
        <v>0</v>
      </c>
      <c r="AB62" s="170">
        <f t="shared" si="231"/>
        <v>0</v>
      </c>
      <c r="AC62" s="167">
        <f t="shared" si="232"/>
        <v>0</v>
      </c>
      <c r="AD62" s="171">
        <f t="shared" si="233"/>
        <v>0</v>
      </c>
      <c r="AE62" s="169">
        <f t="shared" si="278"/>
        <v>0</v>
      </c>
      <c r="AF62" s="167">
        <f t="shared" si="235"/>
        <v>0</v>
      </c>
      <c r="AG62" s="167">
        <f t="shared" si="114"/>
        <v>0</v>
      </c>
      <c r="AH62" s="167">
        <f t="shared" si="236"/>
        <v>0</v>
      </c>
      <c r="AI62" s="167">
        <f t="shared" si="116"/>
        <v>0</v>
      </c>
      <c r="AJ62" s="167">
        <f t="shared" si="237"/>
        <v>0</v>
      </c>
      <c r="AK62" s="167">
        <f t="shared" si="118"/>
        <v>0</v>
      </c>
      <c r="AL62" s="167">
        <f t="shared" si="238"/>
        <v>0</v>
      </c>
      <c r="AM62" s="167">
        <f t="shared" si="120"/>
        <v>0</v>
      </c>
      <c r="AN62" s="167">
        <f t="shared" si="239"/>
        <v>0</v>
      </c>
      <c r="AO62" s="170">
        <f t="shared" si="122"/>
        <v>0</v>
      </c>
      <c r="AP62" s="167">
        <f t="shared" si="123"/>
        <v>0</v>
      </c>
      <c r="AQ62" s="171">
        <f t="shared" si="124"/>
        <v>0</v>
      </c>
      <c r="AR62" s="169">
        <f t="shared" si="278"/>
        <v>0</v>
      </c>
      <c r="AS62" s="167">
        <f t="shared" si="240"/>
        <v>0</v>
      </c>
      <c r="AT62" s="167">
        <f t="shared" si="127"/>
        <v>0</v>
      </c>
      <c r="AU62" s="167">
        <f t="shared" si="241"/>
        <v>0</v>
      </c>
      <c r="AV62" s="167">
        <f t="shared" si="129"/>
        <v>0</v>
      </c>
      <c r="AW62" s="167">
        <f t="shared" si="242"/>
        <v>0</v>
      </c>
      <c r="AX62" s="167">
        <f t="shared" si="131"/>
        <v>0</v>
      </c>
      <c r="AY62" s="167">
        <f t="shared" si="243"/>
        <v>0</v>
      </c>
      <c r="AZ62" s="167">
        <f t="shared" si="133"/>
        <v>0</v>
      </c>
      <c r="BA62" s="167">
        <f t="shared" si="244"/>
        <v>0</v>
      </c>
      <c r="BB62" s="170">
        <f t="shared" si="135"/>
        <v>0</v>
      </c>
      <c r="BC62" s="167">
        <f t="shared" si="136"/>
        <v>0</v>
      </c>
      <c r="BD62" s="171">
        <f t="shared" si="137"/>
        <v>0</v>
      </c>
      <c r="BE62" s="169">
        <f t="shared" si="278"/>
        <v>0</v>
      </c>
      <c r="BF62" s="167">
        <f t="shared" si="245"/>
        <v>0</v>
      </c>
      <c r="BG62" s="167">
        <f t="shared" si="140"/>
        <v>0</v>
      </c>
      <c r="BH62" s="167">
        <f t="shared" si="246"/>
        <v>0</v>
      </c>
      <c r="BI62" s="167">
        <f t="shared" si="142"/>
        <v>0</v>
      </c>
      <c r="BJ62" s="167">
        <f t="shared" si="247"/>
        <v>0</v>
      </c>
      <c r="BK62" s="167">
        <f t="shared" si="144"/>
        <v>0</v>
      </c>
      <c r="BL62" s="167">
        <f t="shared" si="248"/>
        <v>0</v>
      </c>
      <c r="BM62" s="167">
        <f t="shared" si="146"/>
        <v>0</v>
      </c>
      <c r="BN62" s="167">
        <f t="shared" si="249"/>
        <v>0</v>
      </c>
      <c r="BO62" s="170">
        <f t="shared" si="148"/>
        <v>0</v>
      </c>
      <c r="BP62" s="167">
        <f t="shared" si="149"/>
        <v>0</v>
      </c>
      <c r="BQ62" s="171">
        <f t="shared" si="150"/>
        <v>0</v>
      </c>
      <c r="BR62" s="169">
        <f t="shared" si="278"/>
        <v>0</v>
      </c>
      <c r="BS62" s="167">
        <f t="shared" si="250"/>
        <v>0</v>
      </c>
      <c r="BT62" s="167">
        <f t="shared" si="153"/>
        <v>0</v>
      </c>
      <c r="BU62" s="167">
        <f t="shared" si="251"/>
        <v>0</v>
      </c>
      <c r="BV62" s="167">
        <f t="shared" si="155"/>
        <v>0</v>
      </c>
      <c r="BW62" s="167">
        <f t="shared" si="252"/>
        <v>0</v>
      </c>
      <c r="BX62" s="167">
        <f t="shared" si="157"/>
        <v>0</v>
      </c>
      <c r="BY62" s="167">
        <f t="shared" si="253"/>
        <v>0</v>
      </c>
      <c r="BZ62" s="167">
        <f t="shared" si="159"/>
        <v>0</v>
      </c>
      <c r="CA62" s="167">
        <f t="shared" si="254"/>
        <v>0</v>
      </c>
      <c r="CB62" s="170">
        <f t="shared" si="161"/>
        <v>0</v>
      </c>
      <c r="CC62" s="167">
        <f t="shared" si="162"/>
        <v>0</v>
      </c>
      <c r="CD62" s="171">
        <f t="shared" si="163"/>
        <v>0</v>
      </c>
      <c r="CE62" s="169">
        <f t="shared" si="278"/>
        <v>0</v>
      </c>
      <c r="CF62" s="167">
        <f t="shared" si="255"/>
        <v>0</v>
      </c>
      <c r="CG62" s="167">
        <f t="shared" si="166"/>
        <v>0</v>
      </c>
      <c r="CH62" s="167">
        <f t="shared" si="256"/>
        <v>0</v>
      </c>
      <c r="CI62" s="167">
        <f t="shared" si="168"/>
        <v>0</v>
      </c>
      <c r="CJ62" s="167">
        <f t="shared" si="257"/>
        <v>0</v>
      </c>
      <c r="CK62" s="167">
        <f t="shared" si="170"/>
        <v>0</v>
      </c>
      <c r="CL62" s="167">
        <f t="shared" si="258"/>
        <v>0</v>
      </c>
      <c r="CM62" s="167">
        <f t="shared" si="172"/>
        <v>0</v>
      </c>
      <c r="CN62" s="167">
        <f t="shared" si="259"/>
        <v>0</v>
      </c>
      <c r="CO62" s="170">
        <f t="shared" si="174"/>
        <v>0</v>
      </c>
      <c r="CP62" s="167">
        <f t="shared" si="175"/>
        <v>0</v>
      </c>
      <c r="CQ62" s="171">
        <f t="shared" si="176"/>
        <v>0</v>
      </c>
      <c r="CR62" s="169">
        <f t="shared" si="279"/>
        <v>0</v>
      </c>
      <c r="CS62" s="167">
        <f t="shared" si="261"/>
        <v>0</v>
      </c>
      <c r="CT62" s="167">
        <f t="shared" si="179"/>
        <v>0</v>
      </c>
      <c r="CU62" s="167">
        <f t="shared" si="262"/>
        <v>0</v>
      </c>
      <c r="CV62" s="167">
        <f t="shared" si="181"/>
        <v>0</v>
      </c>
      <c r="CW62" s="167">
        <f t="shared" si="263"/>
        <v>0</v>
      </c>
      <c r="CX62" s="167">
        <f t="shared" si="183"/>
        <v>0</v>
      </c>
      <c r="CY62" s="167">
        <f t="shared" si="264"/>
        <v>0</v>
      </c>
      <c r="CZ62" s="167">
        <f t="shared" si="185"/>
        <v>0</v>
      </c>
      <c r="DA62" s="167">
        <f t="shared" si="265"/>
        <v>0</v>
      </c>
      <c r="DB62" s="170">
        <f t="shared" si="187"/>
        <v>0</v>
      </c>
      <c r="DC62" s="167">
        <f t="shared" si="188"/>
        <v>0</v>
      </c>
      <c r="DD62" s="171">
        <f t="shared" si="189"/>
        <v>0</v>
      </c>
      <c r="DE62" s="169">
        <f t="shared" si="279"/>
        <v>0</v>
      </c>
      <c r="DF62" s="167">
        <f t="shared" si="266"/>
        <v>0</v>
      </c>
      <c r="DG62" s="167">
        <f t="shared" si="192"/>
        <v>0</v>
      </c>
      <c r="DH62" s="167">
        <f t="shared" si="267"/>
        <v>0</v>
      </c>
      <c r="DI62" s="167">
        <f t="shared" si="194"/>
        <v>0</v>
      </c>
      <c r="DJ62" s="167">
        <f t="shared" si="268"/>
        <v>0</v>
      </c>
      <c r="DK62" s="167">
        <f t="shared" si="196"/>
        <v>0</v>
      </c>
      <c r="DL62" s="167">
        <f t="shared" si="269"/>
        <v>0</v>
      </c>
      <c r="DM62" s="167">
        <f t="shared" si="198"/>
        <v>0</v>
      </c>
      <c r="DN62" s="167">
        <f t="shared" si="270"/>
        <v>0</v>
      </c>
      <c r="DO62" s="170">
        <f t="shared" si="200"/>
        <v>0</v>
      </c>
      <c r="DP62" s="167">
        <f t="shared" si="201"/>
        <v>0</v>
      </c>
      <c r="DQ62" s="171">
        <f t="shared" si="202"/>
        <v>0</v>
      </c>
      <c r="DR62" s="169">
        <f t="shared" si="279"/>
        <v>0</v>
      </c>
      <c r="DS62" s="167">
        <f t="shared" si="271"/>
        <v>0</v>
      </c>
      <c r="DT62" s="167">
        <f t="shared" si="205"/>
        <v>0</v>
      </c>
      <c r="DU62" s="167">
        <f t="shared" si="272"/>
        <v>0</v>
      </c>
      <c r="DV62" s="167">
        <f t="shared" si="207"/>
        <v>0</v>
      </c>
      <c r="DW62" s="167">
        <f t="shared" si="273"/>
        <v>0</v>
      </c>
      <c r="DX62" s="167">
        <f t="shared" si="209"/>
        <v>0</v>
      </c>
      <c r="DY62" s="167">
        <f t="shared" si="274"/>
        <v>0</v>
      </c>
      <c r="DZ62" s="167">
        <f t="shared" si="211"/>
        <v>0</v>
      </c>
      <c r="EA62" s="167">
        <f t="shared" si="275"/>
        <v>0</v>
      </c>
      <c r="EB62" s="170">
        <f t="shared" si="213"/>
        <v>0</v>
      </c>
      <c r="EC62" s="167">
        <f t="shared" si="214"/>
        <v>0</v>
      </c>
      <c r="ED62" s="171">
        <f t="shared" si="215"/>
        <v>0</v>
      </c>
    </row>
    <row r="63" spans="1:134" x14ac:dyDescent="0.3">
      <c r="A63" s="196"/>
      <c r="B63" s="196"/>
      <c r="C63" s="196"/>
      <c r="D63" s="188"/>
      <c r="E63" s="624"/>
      <c r="F63" s="190"/>
      <c r="G63" s="625"/>
      <c r="H63" s="192"/>
      <c r="I63" s="193"/>
      <c r="J63" s="194"/>
      <c r="K63" s="165">
        <f t="shared" si="216"/>
        <v>0</v>
      </c>
      <c r="L63" s="166">
        <f t="shared" si="217"/>
        <v>0</v>
      </c>
      <c r="M63" s="167">
        <f t="shared" si="218"/>
        <v>0</v>
      </c>
      <c r="N63" s="167"/>
      <c r="O63" s="167">
        <f t="shared" si="219"/>
        <v>0</v>
      </c>
      <c r="P63" s="168"/>
      <c r="Q63" s="167">
        <f t="shared" si="220"/>
        <v>0</v>
      </c>
      <c r="R63" s="169">
        <f t="shared" si="221"/>
        <v>0</v>
      </c>
      <c r="S63" s="167">
        <f t="shared" si="222"/>
        <v>0</v>
      </c>
      <c r="T63" s="167">
        <f t="shared" si="223"/>
        <v>0</v>
      </c>
      <c r="U63" s="167">
        <f t="shared" si="224"/>
        <v>0</v>
      </c>
      <c r="V63" s="167">
        <f t="shared" si="225"/>
        <v>0</v>
      </c>
      <c r="W63" s="167">
        <f t="shared" si="226"/>
        <v>0</v>
      </c>
      <c r="X63" s="167">
        <f t="shared" si="227"/>
        <v>0</v>
      </c>
      <c r="Y63" s="167">
        <f t="shared" si="228"/>
        <v>0</v>
      </c>
      <c r="Z63" s="167">
        <f t="shared" si="229"/>
        <v>0</v>
      </c>
      <c r="AA63" s="167">
        <f t="shared" si="230"/>
        <v>0</v>
      </c>
      <c r="AB63" s="170">
        <f t="shared" si="231"/>
        <v>0</v>
      </c>
      <c r="AC63" s="167">
        <f t="shared" si="232"/>
        <v>0</v>
      </c>
      <c r="AD63" s="171">
        <f t="shared" si="233"/>
        <v>0</v>
      </c>
      <c r="AE63" s="169">
        <f t="shared" si="278"/>
        <v>0</v>
      </c>
      <c r="AF63" s="167">
        <f t="shared" si="235"/>
        <v>0</v>
      </c>
      <c r="AG63" s="167">
        <f t="shared" si="114"/>
        <v>0</v>
      </c>
      <c r="AH63" s="167">
        <f t="shared" si="236"/>
        <v>0</v>
      </c>
      <c r="AI63" s="167">
        <f t="shared" si="116"/>
        <v>0</v>
      </c>
      <c r="AJ63" s="167">
        <f t="shared" si="237"/>
        <v>0</v>
      </c>
      <c r="AK63" s="167">
        <f t="shared" si="118"/>
        <v>0</v>
      </c>
      <c r="AL63" s="167">
        <f t="shared" si="238"/>
        <v>0</v>
      </c>
      <c r="AM63" s="167">
        <f t="shared" si="120"/>
        <v>0</v>
      </c>
      <c r="AN63" s="167">
        <f t="shared" si="239"/>
        <v>0</v>
      </c>
      <c r="AO63" s="170">
        <f t="shared" si="122"/>
        <v>0</v>
      </c>
      <c r="AP63" s="167">
        <f t="shared" si="123"/>
        <v>0</v>
      </c>
      <c r="AQ63" s="171">
        <f t="shared" si="124"/>
        <v>0</v>
      </c>
      <c r="AR63" s="169">
        <f t="shared" si="278"/>
        <v>0</v>
      </c>
      <c r="AS63" s="167">
        <f t="shared" si="240"/>
        <v>0</v>
      </c>
      <c r="AT63" s="167">
        <f t="shared" si="127"/>
        <v>0</v>
      </c>
      <c r="AU63" s="167">
        <f t="shared" si="241"/>
        <v>0</v>
      </c>
      <c r="AV63" s="167">
        <f t="shared" si="129"/>
        <v>0</v>
      </c>
      <c r="AW63" s="167">
        <f t="shared" si="242"/>
        <v>0</v>
      </c>
      <c r="AX63" s="167">
        <f t="shared" si="131"/>
        <v>0</v>
      </c>
      <c r="AY63" s="167">
        <f t="shared" si="243"/>
        <v>0</v>
      </c>
      <c r="AZ63" s="167">
        <f t="shared" si="133"/>
        <v>0</v>
      </c>
      <c r="BA63" s="167">
        <f t="shared" si="244"/>
        <v>0</v>
      </c>
      <c r="BB63" s="170">
        <f t="shared" si="135"/>
        <v>0</v>
      </c>
      <c r="BC63" s="167">
        <f t="shared" si="136"/>
        <v>0</v>
      </c>
      <c r="BD63" s="171">
        <f t="shared" si="137"/>
        <v>0</v>
      </c>
      <c r="BE63" s="169">
        <f t="shared" si="278"/>
        <v>0</v>
      </c>
      <c r="BF63" s="167">
        <f t="shared" si="245"/>
        <v>0</v>
      </c>
      <c r="BG63" s="167">
        <f t="shared" si="140"/>
        <v>0</v>
      </c>
      <c r="BH63" s="167">
        <f t="shared" si="246"/>
        <v>0</v>
      </c>
      <c r="BI63" s="167">
        <f t="shared" si="142"/>
        <v>0</v>
      </c>
      <c r="BJ63" s="167">
        <f t="shared" si="247"/>
        <v>0</v>
      </c>
      <c r="BK63" s="167">
        <f t="shared" si="144"/>
        <v>0</v>
      </c>
      <c r="BL63" s="167">
        <f t="shared" si="248"/>
        <v>0</v>
      </c>
      <c r="BM63" s="167">
        <f t="shared" si="146"/>
        <v>0</v>
      </c>
      <c r="BN63" s="167">
        <f t="shared" si="249"/>
        <v>0</v>
      </c>
      <c r="BO63" s="170">
        <f t="shared" si="148"/>
        <v>0</v>
      </c>
      <c r="BP63" s="167">
        <f t="shared" si="149"/>
        <v>0</v>
      </c>
      <c r="BQ63" s="171">
        <f t="shared" si="150"/>
        <v>0</v>
      </c>
      <c r="BR63" s="169">
        <f t="shared" si="278"/>
        <v>0</v>
      </c>
      <c r="BS63" s="167">
        <f t="shared" si="250"/>
        <v>0</v>
      </c>
      <c r="BT63" s="167">
        <f t="shared" si="153"/>
        <v>0</v>
      </c>
      <c r="BU63" s="167">
        <f t="shared" si="251"/>
        <v>0</v>
      </c>
      <c r="BV63" s="167">
        <f t="shared" si="155"/>
        <v>0</v>
      </c>
      <c r="BW63" s="167">
        <f t="shared" si="252"/>
        <v>0</v>
      </c>
      <c r="BX63" s="167">
        <f t="shared" si="157"/>
        <v>0</v>
      </c>
      <c r="BY63" s="167">
        <f t="shared" si="253"/>
        <v>0</v>
      </c>
      <c r="BZ63" s="167">
        <f t="shared" si="159"/>
        <v>0</v>
      </c>
      <c r="CA63" s="167">
        <f t="shared" si="254"/>
        <v>0</v>
      </c>
      <c r="CB63" s="170">
        <f t="shared" si="161"/>
        <v>0</v>
      </c>
      <c r="CC63" s="167">
        <f t="shared" si="162"/>
        <v>0</v>
      </c>
      <c r="CD63" s="171">
        <f t="shared" si="163"/>
        <v>0</v>
      </c>
      <c r="CE63" s="169">
        <f t="shared" si="278"/>
        <v>0</v>
      </c>
      <c r="CF63" s="167">
        <f t="shared" si="255"/>
        <v>0</v>
      </c>
      <c r="CG63" s="167">
        <f t="shared" si="166"/>
        <v>0</v>
      </c>
      <c r="CH63" s="167">
        <f t="shared" si="256"/>
        <v>0</v>
      </c>
      <c r="CI63" s="167">
        <f t="shared" si="168"/>
        <v>0</v>
      </c>
      <c r="CJ63" s="167">
        <f t="shared" si="257"/>
        <v>0</v>
      </c>
      <c r="CK63" s="167">
        <f t="shared" si="170"/>
        <v>0</v>
      </c>
      <c r="CL63" s="167">
        <f t="shared" si="258"/>
        <v>0</v>
      </c>
      <c r="CM63" s="167">
        <f t="shared" si="172"/>
        <v>0</v>
      </c>
      <c r="CN63" s="167">
        <f t="shared" si="259"/>
        <v>0</v>
      </c>
      <c r="CO63" s="170">
        <f t="shared" si="174"/>
        <v>0</v>
      </c>
      <c r="CP63" s="167">
        <f t="shared" si="175"/>
        <v>0</v>
      </c>
      <c r="CQ63" s="171">
        <f t="shared" si="176"/>
        <v>0</v>
      </c>
      <c r="CR63" s="169">
        <f t="shared" si="279"/>
        <v>0</v>
      </c>
      <c r="CS63" s="167">
        <f t="shared" si="261"/>
        <v>0</v>
      </c>
      <c r="CT63" s="167">
        <f t="shared" si="179"/>
        <v>0</v>
      </c>
      <c r="CU63" s="167">
        <f t="shared" si="262"/>
        <v>0</v>
      </c>
      <c r="CV63" s="167">
        <f t="shared" si="181"/>
        <v>0</v>
      </c>
      <c r="CW63" s="167">
        <f t="shared" si="263"/>
        <v>0</v>
      </c>
      <c r="CX63" s="167">
        <f t="shared" si="183"/>
        <v>0</v>
      </c>
      <c r="CY63" s="167">
        <f t="shared" si="264"/>
        <v>0</v>
      </c>
      <c r="CZ63" s="167">
        <f t="shared" si="185"/>
        <v>0</v>
      </c>
      <c r="DA63" s="167">
        <f t="shared" si="265"/>
        <v>0</v>
      </c>
      <c r="DB63" s="170">
        <f t="shared" si="187"/>
        <v>0</v>
      </c>
      <c r="DC63" s="167">
        <f t="shared" si="188"/>
        <v>0</v>
      </c>
      <c r="DD63" s="171">
        <f t="shared" si="189"/>
        <v>0</v>
      </c>
      <c r="DE63" s="169">
        <f t="shared" si="279"/>
        <v>0</v>
      </c>
      <c r="DF63" s="167">
        <f t="shared" si="266"/>
        <v>0</v>
      </c>
      <c r="DG63" s="167">
        <f t="shared" si="192"/>
        <v>0</v>
      </c>
      <c r="DH63" s="167">
        <f t="shared" si="267"/>
        <v>0</v>
      </c>
      <c r="DI63" s="167">
        <f t="shared" si="194"/>
        <v>0</v>
      </c>
      <c r="DJ63" s="167">
        <f t="shared" si="268"/>
        <v>0</v>
      </c>
      <c r="DK63" s="167">
        <f t="shared" si="196"/>
        <v>0</v>
      </c>
      <c r="DL63" s="167">
        <f t="shared" si="269"/>
        <v>0</v>
      </c>
      <c r="DM63" s="167">
        <f t="shared" si="198"/>
        <v>0</v>
      </c>
      <c r="DN63" s="167">
        <f t="shared" si="270"/>
        <v>0</v>
      </c>
      <c r="DO63" s="170">
        <f t="shared" si="200"/>
        <v>0</v>
      </c>
      <c r="DP63" s="167">
        <f t="shared" si="201"/>
        <v>0</v>
      </c>
      <c r="DQ63" s="171">
        <f t="shared" si="202"/>
        <v>0</v>
      </c>
      <c r="DR63" s="169">
        <f t="shared" si="279"/>
        <v>0</v>
      </c>
      <c r="DS63" s="167">
        <f t="shared" si="271"/>
        <v>0</v>
      </c>
      <c r="DT63" s="167">
        <f t="shared" si="205"/>
        <v>0</v>
      </c>
      <c r="DU63" s="167">
        <f t="shared" si="272"/>
        <v>0</v>
      </c>
      <c r="DV63" s="167">
        <f t="shared" si="207"/>
        <v>0</v>
      </c>
      <c r="DW63" s="167">
        <f t="shared" si="273"/>
        <v>0</v>
      </c>
      <c r="DX63" s="167">
        <f t="shared" si="209"/>
        <v>0</v>
      </c>
      <c r="DY63" s="167">
        <f t="shared" si="274"/>
        <v>0</v>
      </c>
      <c r="DZ63" s="167">
        <f t="shared" si="211"/>
        <v>0</v>
      </c>
      <c r="EA63" s="167">
        <f t="shared" si="275"/>
        <v>0</v>
      </c>
      <c r="EB63" s="170">
        <f t="shared" si="213"/>
        <v>0</v>
      </c>
      <c r="EC63" s="167">
        <f t="shared" si="214"/>
        <v>0</v>
      </c>
      <c r="ED63" s="171">
        <f t="shared" si="215"/>
        <v>0</v>
      </c>
    </row>
    <row r="64" spans="1:134" x14ac:dyDescent="0.3">
      <c r="A64" s="196"/>
      <c r="B64" s="196"/>
      <c r="C64" s="196"/>
      <c r="D64" s="188"/>
      <c r="E64" s="624"/>
      <c r="F64" s="190"/>
      <c r="G64" s="625"/>
      <c r="H64" s="192"/>
      <c r="I64" s="193"/>
      <c r="J64" s="194"/>
      <c r="K64" s="165">
        <f t="shared" si="216"/>
        <v>0</v>
      </c>
      <c r="L64" s="166">
        <f t="shared" si="217"/>
        <v>0</v>
      </c>
      <c r="M64" s="167">
        <f t="shared" si="218"/>
        <v>0</v>
      </c>
      <c r="N64" s="167"/>
      <c r="O64" s="167">
        <f t="shared" si="219"/>
        <v>0</v>
      </c>
      <c r="P64" s="168"/>
      <c r="Q64" s="167">
        <f t="shared" si="220"/>
        <v>0</v>
      </c>
      <c r="R64" s="169">
        <f t="shared" si="221"/>
        <v>0</v>
      </c>
      <c r="S64" s="167">
        <f t="shared" si="222"/>
        <v>0</v>
      </c>
      <c r="T64" s="167">
        <f t="shared" si="223"/>
        <v>0</v>
      </c>
      <c r="U64" s="167">
        <f t="shared" si="224"/>
        <v>0</v>
      </c>
      <c r="V64" s="167">
        <f t="shared" si="225"/>
        <v>0</v>
      </c>
      <c r="W64" s="167">
        <f t="shared" si="226"/>
        <v>0</v>
      </c>
      <c r="X64" s="167">
        <f t="shared" si="227"/>
        <v>0</v>
      </c>
      <c r="Y64" s="167">
        <f t="shared" si="228"/>
        <v>0</v>
      </c>
      <c r="Z64" s="167">
        <f t="shared" si="229"/>
        <v>0</v>
      </c>
      <c r="AA64" s="167">
        <f t="shared" si="230"/>
        <v>0</v>
      </c>
      <c r="AB64" s="170">
        <f t="shared" si="231"/>
        <v>0</v>
      </c>
      <c r="AC64" s="167">
        <f t="shared" si="232"/>
        <v>0</v>
      </c>
      <c r="AD64" s="171">
        <f t="shared" si="233"/>
        <v>0</v>
      </c>
      <c r="AE64" s="169">
        <f t="shared" si="278"/>
        <v>0</v>
      </c>
      <c r="AF64" s="167">
        <f t="shared" si="235"/>
        <v>0</v>
      </c>
      <c r="AG64" s="167">
        <f t="shared" si="114"/>
        <v>0</v>
      </c>
      <c r="AH64" s="167">
        <f t="shared" si="236"/>
        <v>0</v>
      </c>
      <c r="AI64" s="167">
        <f t="shared" si="116"/>
        <v>0</v>
      </c>
      <c r="AJ64" s="167">
        <f t="shared" si="237"/>
        <v>0</v>
      </c>
      <c r="AK64" s="167">
        <f t="shared" si="118"/>
        <v>0</v>
      </c>
      <c r="AL64" s="167">
        <f t="shared" si="238"/>
        <v>0</v>
      </c>
      <c r="AM64" s="167">
        <f t="shared" si="120"/>
        <v>0</v>
      </c>
      <c r="AN64" s="167">
        <f t="shared" si="239"/>
        <v>0</v>
      </c>
      <c r="AO64" s="170">
        <f t="shared" si="122"/>
        <v>0</v>
      </c>
      <c r="AP64" s="167">
        <f t="shared" si="123"/>
        <v>0</v>
      </c>
      <c r="AQ64" s="171">
        <f t="shared" si="124"/>
        <v>0</v>
      </c>
      <c r="AR64" s="169">
        <f t="shared" si="278"/>
        <v>0</v>
      </c>
      <c r="AS64" s="167">
        <f t="shared" si="240"/>
        <v>0</v>
      </c>
      <c r="AT64" s="167">
        <f t="shared" si="127"/>
        <v>0</v>
      </c>
      <c r="AU64" s="167">
        <f t="shared" si="241"/>
        <v>0</v>
      </c>
      <c r="AV64" s="167">
        <f t="shared" si="129"/>
        <v>0</v>
      </c>
      <c r="AW64" s="167">
        <f t="shared" si="242"/>
        <v>0</v>
      </c>
      <c r="AX64" s="167">
        <f t="shared" si="131"/>
        <v>0</v>
      </c>
      <c r="AY64" s="167">
        <f t="shared" si="243"/>
        <v>0</v>
      </c>
      <c r="AZ64" s="167">
        <f t="shared" si="133"/>
        <v>0</v>
      </c>
      <c r="BA64" s="167">
        <f t="shared" si="244"/>
        <v>0</v>
      </c>
      <c r="BB64" s="170">
        <f t="shared" si="135"/>
        <v>0</v>
      </c>
      <c r="BC64" s="167">
        <f t="shared" si="136"/>
        <v>0</v>
      </c>
      <c r="BD64" s="171">
        <f t="shared" si="137"/>
        <v>0</v>
      </c>
      <c r="BE64" s="169">
        <f t="shared" si="278"/>
        <v>0</v>
      </c>
      <c r="BF64" s="167">
        <f t="shared" si="245"/>
        <v>0</v>
      </c>
      <c r="BG64" s="167">
        <f t="shared" si="140"/>
        <v>0</v>
      </c>
      <c r="BH64" s="167">
        <f t="shared" si="246"/>
        <v>0</v>
      </c>
      <c r="BI64" s="167">
        <f t="shared" si="142"/>
        <v>0</v>
      </c>
      <c r="BJ64" s="167">
        <f t="shared" si="247"/>
        <v>0</v>
      </c>
      <c r="BK64" s="167">
        <f t="shared" si="144"/>
        <v>0</v>
      </c>
      <c r="BL64" s="167">
        <f t="shared" si="248"/>
        <v>0</v>
      </c>
      <c r="BM64" s="167">
        <f t="shared" si="146"/>
        <v>0</v>
      </c>
      <c r="BN64" s="167">
        <f t="shared" si="249"/>
        <v>0</v>
      </c>
      <c r="BO64" s="170">
        <f t="shared" si="148"/>
        <v>0</v>
      </c>
      <c r="BP64" s="167">
        <f t="shared" si="149"/>
        <v>0</v>
      </c>
      <c r="BQ64" s="171">
        <f t="shared" si="150"/>
        <v>0</v>
      </c>
      <c r="BR64" s="169">
        <f t="shared" si="278"/>
        <v>0</v>
      </c>
      <c r="BS64" s="167">
        <f t="shared" si="250"/>
        <v>0</v>
      </c>
      <c r="BT64" s="167">
        <f t="shared" si="153"/>
        <v>0</v>
      </c>
      <c r="BU64" s="167">
        <f t="shared" si="251"/>
        <v>0</v>
      </c>
      <c r="BV64" s="167">
        <f t="shared" si="155"/>
        <v>0</v>
      </c>
      <c r="BW64" s="167">
        <f t="shared" si="252"/>
        <v>0</v>
      </c>
      <c r="BX64" s="167">
        <f t="shared" si="157"/>
        <v>0</v>
      </c>
      <c r="BY64" s="167">
        <f t="shared" si="253"/>
        <v>0</v>
      </c>
      <c r="BZ64" s="167">
        <f t="shared" si="159"/>
        <v>0</v>
      </c>
      <c r="CA64" s="167">
        <f t="shared" si="254"/>
        <v>0</v>
      </c>
      <c r="CB64" s="170">
        <f t="shared" si="161"/>
        <v>0</v>
      </c>
      <c r="CC64" s="167">
        <f t="shared" si="162"/>
        <v>0</v>
      </c>
      <c r="CD64" s="171">
        <f t="shared" si="163"/>
        <v>0</v>
      </c>
      <c r="CE64" s="169">
        <f t="shared" si="278"/>
        <v>0</v>
      </c>
      <c r="CF64" s="167">
        <f t="shared" si="255"/>
        <v>0</v>
      </c>
      <c r="CG64" s="167">
        <f t="shared" si="166"/>
        <v>0</v>
      </c>
      <c r="CH64" s="167">
        <f t="shared" si="256"/>
        <v>0</v>
      </c>
      <c r="CI64" s="167">
        <f t="shared" si="168"/>
        <v>0</v>
      </c>
      <c r="CJ64" s="167">
        <f t="shared" si="257"/>
        <v>0</v>
      </c>
      <c r="CK64" s="167">
        <f t="shared" si="170"/>
        <v>0</v>
      </c>
      <c r="CL64" s="167">
        <f t="shared" si="258"/>
        <v>0</v>
      </c>
      <c r="CM64" s="167">
        <f t="shared" si="172"/>
        <v>0</v>
      </c>
      <c r="CN64" s="167">
        <f t="shared" si="259"/>
        <v>0</v>
      </c>
      <c r="CO64" s="170">
        <f t="shared" si="174"/>
        <v>0</v>
      </c>
      <c r="CP64" s="167">
        <f t="shared" si="175"/>
        <v>0</v>
      </c>
      <c r="CQ64" s="171">
        <f t="shared" si="176"/>
        <v>0</v>
      </c>
      <c r="CR64" s="169">
        <f t="shared" si="279"/>
        <v>0</v>
      </c>
      <c r="CS64" s="167">
        <f t="shared" si="261"/>
        <v>0</v>
      </c>
      <c r="CT64" s="167">
        <f t="shared" si="179"/>
        <v>0</v>
      </c>
      <c r="CU64" s="167">
        <f t="shared" si="262"/>
        <v>0</v>
      </c>
      <c r="CV64" s="167">
        <f t="shared" si="181"/>
        <v>0</v>
      </c>
      <c r="CW64" s="167">
        <f t="shared" si="263"/>
        <v>0</v>
      </c>
      <c r="CX64" s="167">
        <f t="shared" si="183"/>
        <v>0</v>
      </c>
      <c r="CY64" s="167">
        <f t="shared" si="264"/>
        <v>0</v>
      </c>
      <c r="CZ64" s="167">
        <f t="shared" si="185"/>
        <v>0</v>
      </c>
      <c r="DA64" s="167">
        <f t="shared" si="265"/>
        <v>0</v>
      </c>
      <c r="DB64" s="170">
        <f t="shared" si="187"/>
        <v>0</v>
      </c>
      <c r="DC64" s="167">
        <f t="shared" si="188"/>
        <v>0</v>
      </c>
      <c r="DD64" s="171">
        <f t="shared" si="189"/>
        <v>0</v>
      </c>
      <c r="DE64" s="169">
        <f t="shared" si="279"/>
        <v>0</v>
      </c>
      <c r="DF64" s="167">
        <f t="shared" si="266"/>
        <v>0</v>
      </c>
      <c r="DG64" s="167">
        <f t="shared" si="192"/>
        <v>0</v>
      </c>
      <c r="DH64" s="167">
        <f t="shared" si="267"/>
        <v>0</v>
      </c>
      <c r="DI64" s="167">
        <f t="shared" si="194"/>
        <v>0</v>
      </c>
      <c r="DJ64" s="167">
        <f t="shared" si="268"/>
        <v>0</v>
      </c>
      <c r="DK64" s="167">
        <f t="shared" si="196"/>
        <v>0</v>
      </c>
      <c r="DL64" s="167">
        <f t="shared" si="269"/>
        <v>0</v>
      </c>
      <c r="DM64" s="167">
        <f t="shared" si="198"/>
        <v>0</v>
      </c>
      <c r="DN64" s="167">
        <f t="shared" si="270"/>
        <v>0</v>
      </c>
      <c r="DO64" s="170">
        <f t="shared" si="200"/>
        <v>0</v>
      </c>
      <c r="DP64" s="167">
        <f t="shared" si="201"/>
        <v>0</v>
      </c>
      <c r="DQ64" s="171">
        <f t="shared" si="202"/>
        <v>0</v>
      </c>
      <c r="DR64" s="169">
        <f t="shared" si="279"/>
        <v>0</v>
      </c>
      <c r="DS64" s="167">
        <f t="shared" si="271"/>
        <v>0</v>
      </c>
      <c r="DT64" s="167">
        <f t="shared" si="205"/>
        <v>0</v>
      </c>
      <c r="DU64" s="167">
        <f t="shared" si="272"/>
        <v>0</v>
      </c>
      <c r="DV64" s="167">
        <f t="shared" si="207"/>
        <v>0</v>
      </c>
      <c r="DW64" s="167">
        <f t="shared" si="273"/>
        <v>0</v>
      </c>
      <c r="DX64" s="167">
        <f t="shared" si="209"/>
        <v>0</v>
      </c>
      <c r="DY64" s="167">
        <f t="shared" si="274"/>
        <v>0</v>
      </c>
      <c r="DZ64" s="167">
        <f t="shared" si="211"/>
        <v>0</v>
      </c>
      <c r="EA64" s="167">
        <f t="shared" si="275"/>
        <v>0</v>
      </c>
      <c r="EB64" s="170">
        <f t="shared" si="213"/>
        <v>0</v>
      </c>
      <c r="EC64" s="167">
        <f t="shared" si="214"/>
        <v>0</v>
      </c>
      <c r="ED64" s="171">
        <f t="shared" si="215"/>
        <v>0</v>
      </c>
    </row>
    <row r="65" spans="1:134" x14ac:dyDescent="0.3">
      <c r="A65" s="196"/>
      <c r="B65" s="196"/>
      <c r="C65" s="196"/>
      <c r="D65" s="188"/>
      <c r="E65" s="624"/>
      <c r="F65" s="190"/>
      <c r="G65" s="625"/>
      <c r="H65" s="192"/>
      <c r="I65" s="193"/>
      <c r="J65" s="194"/>
      <c r="K65" s="165">
        <f t="shared" si="216"/>
        <v>0</v>
      </c>
      <c r="L65" s="166">
        <f t="shared" si="217"/>
        <v>0</v>
      </c>
      <c r="M65" s="167">
        <f t="shared" si="218"/>
        <v>0</v>
      </c>
      <c r="N65" s="167"/>
      <c r="O65" s="167">
        <f t="shared" si="219"/>
        <v>0</v>
      </c>
      <c r="P65" s="168"/>
      <c r="Q65" s="167">
        <f t="shared" si="220"/>
        <v>0</v>
      </c>
      <c r="R65" s="169">
        <f t="shared" si="221"/>
        <v>0</v>
      </c>
      <c r="S65" s="167">
        <f t="shared" si="222"/>
        <v>0</v>
      </c>
      <c r="T65" s="167">
        <f t="shared" si="223"/>
        <v>0</v>
      </c>
      <c r="U65" s="167">
        <f t="shared" si="224"/>
        <v>0</v>
      </c>
      <c r="V65" s="167">
        <f t="shared" si="225"/>
        <v>0</v>
      </c>
      <c r="W65" s="167">
        <f t="shared" si="226"/>
        <v>0</v>
      </c>
      <c r="X65" s="167">
        <f t="shared" si="227"/>
        <v>0</v>
      </c>
      <c r="Y65" s="167">
        <f t="shared" si="228"/>
        <v>0</v>
      </c>
      <c r="Z65" s="167">
        <f t="shared" si="229"/>
        <v>0</v>
      </c>
      <c r="AA65" s="167">
        <f t="shared" si="230"/>
        <v>0</v>
      </c>
      <c r="AB65" s="170">
        <f t="shared" si="231"/>
        <v>0</v>
      </c>
      <c r="AC65" s="167">
        <f t="shared" si="232"/>
        <v>0</v>
      </c>
      <c r="AD65" s="171">
        <f t="shared" si="233"/>
        <v>0</v>
      </c>
      <c r="AE65" s="169">
        <f t="shared" si="278"/>
        <v>0</v>
      </c>
      <c r="AF65" s="167">
        <f t="shared" si="235"/>
        <v>0</v>
      </c>
      <c r="AG65" s="167">
        <f t="shared" si="114"/>
        <v>0</v>
      </c>
      <c r="AH65" s="167">
        <f t="shared" si="236"/>
        <v>0</v>
      </c>
      <c r="AI65" s="167">
        <f t="shared" si="116"/>
        <v>0</v>
      </c>
      <c r="AJ65" s="167">
        <f t="shared" si="237"/>
        <v>0</v>
      </c>
      <c r="AK65" s="167">
        <f t="shared" si="118"/>
        <v>0</v>
      </c>
      <c r="AL65" s="167">
        <f t="shared" si="238"/>
        <v>0</v>
      </c>
      <c r="AM65" s="167">
        <f t="shared" si="120"/>
        <v>0</v>
      </c>
      <c r="AN65" s="167">
        <f t="shared" si="239"/>
        <v>0</v>
      </c>
      <c r="AO65" s="170">
        <f t="shared" si="122"/>
        <v>0</v>
      </c>
      <c r="AP65" s="167">
        <f t="shared" si="123"/>
        <v>0</v>
      </c>
      <c r="AQ65" s="171">
        <f t="shared" si="124"/>
        <v>0</v>
      </c>
      <c r="AR65" s="169">
        <f t="shared" si="278"/>
        <v>0</v>
      </c>
      <c r="AS65" s="167">
        <f t="shared" si="240"/>
        <v>0</v>
      </c>
      <c r="AT65" s="167">
        <f t="shared" si="127"/>
        <v>0</v>
      </c>
      <c r="AU65" s="167">
        <f t="shared" si="241"/>
        <v>0</v>
      </c>
      <c r="AV65" s="167">
        <f t="shared" si="129"/>
        <v>0</v>
      </c>
      <c r="AW65" s="167">
        <f t="shared" si="242"/>
        <v>0</v>
      </c>
      <c r="AX65" s="167">
        <f t="shared" si="131"/>
        <v>0</v>
      </c>
      <c r="AY65" s="167">
        <f t="shared" si="243"/>
        <v>0</v>
      </c>
      <c r="AZ65" s="167">
        <f t="shared" si="133"/>
        <v>0</v>
      </c>
      <c r="BA65" s="167">
        <f t="shared" si="244"/>
        <v>0</v>
      </c>
      <c r="BB65" s="170">
        <f t="shared" si="135"/>
        <v>0</v>
      </c>
      <c r="BC65" s="167">
        <f t="shared" si="136"/>
        <v>0</v>
      </c>
      <c r="BD65" s="171">
        <f t="shared" si="137"/>
        <v>0</v>
      </c>
      <c r="BE65" s="169">
        <f t="shared" si="278"/>
        <v>0</v>
      </c>
      <c r="BF65" s="167">
        <f t="shared" si="245"/>
        <v>0</v>
      </c>
      <c r="BG65" s="167">
        <f t="shared" si="140"/>
        <v>0</v>
      </c>
      <c r="BH65" s="167">
        <f t="shared" si="246"/>
        <v>0</v>
      </c>
      <c r="BI65" s="167">
        <f t="shared" si="142"/>
        <v>0</v>
      </c>
      <c r="BJ65" s="167">
        <f t="shared" si="247"/>
        <v>0</v>
      </c>
      <c r="BK65" s="167">
        <f t="shared" si="144"/>
        <v>0</v>
      </c>
      <c r="BL65" s="167">
        <f t="shared" si="248"/>
        <v>0</v>
      </c>
      <c r="BM65" s="167">
        <f t="shared" si="146"/>
        <v>0</v>
      </c>
      <c r="BN65" s="167">
        <f t="shared" si="249"/>
        <v>0</v>
      </c>
      <c r="BO65" s="170">
        <f t="shared" si="148"/>
        <v>0</v>
      </c>
      <c r="BP65" s="167">
        <f t="shared" si="149"/>
        <v>0</v>
      </c>
      <c r="BQ65" s="171">
        <f t="shared" si="150"/>
        <v>0</v>
      </c>
      <c r="BR65" s="169">
        <f t="shared" si="278"/>
        <v>0</v>
      </c>
      <c r="BS65" s="167">
        <f t="shared" si="250"/>
        <v>0</v>
      </c>
      <c r="BT65" s="167">
        <f t="shared" si="153"/>
        <v>0</v>
      </c>
      <c r="BU65" s="167">
        <f t="shared" si="251"/>
        <v>0</v>
      </c>
      <c r="BV65" s="167">
        <f t="shared" si="155"/>
        <v>0</v>
      </c>
      <c r="BW65" s="167">
        <f t="shared" si="252"/>
        <v>0</v>
      </c>
      <c r="BX65" s="167">
        <f t="shared" si="157"/>
        <v>0</v>
      </c>
      <c r="BY65" s="167">
        <f t="shared" si="253"/>
        <v>0</v>
      </c>
      <c r="BZ65" s="167">
        <f t="shared" si="159"/>
        <v>0</v>
      </c>
      <c r="CA65" s="167">
        <f t="shared" si="254"/>
        <v>0</v>
      </c>
      <c r="CB65" s="170">
        <f t="shared" si="161"/>
        <v>0</v>
      </c>
      <c r="CC65" s="167">
        <f t="shared" si="162"/>
        <v>0</v>
      </c>
      <c r="CD65" s="171">
        <f t="shared" si="163"/>
        <v>0</v>
      </c>
      <c r="CE65" s="169">
        <f t="shared" si="278"/>
        <v>0</v>
      </c>
      <c r="CF65" s="167">
        <f t="shared" si="255"/>
        <v>0</v>
      </c>
      <c r="CG65" s="167">
        <f t="shared" si="166"/>
        <v>0</v>
      </c>
      <c r="CH65" s="167">
        <f t="shared" si="256"/>
        <v>0</v>
      </c>
      <c r="CI65" s="167">
        <f t="shared" si="168"/>
        <v>0</v>
      </c>
      <c r="CJ65" s="167">
        <f t="shared" si="257"/>
        <v>0</v>
      </c>
      <c r="CK65" s="167">
        <f t="shared" si="170"/>
        <v>0</v>
      </c>
      <c r="CL65" s="167">
        <f t="shared" si="258"/>
        <v>0</v>
      </c>
      <c r="CM65" s="167">
        <f t="shared" si="172"/>
        <v>0</v>
      </c>
      <c r="CN65" s="167">
        <f t="shared" si="259"/>
        <v>0</v>
      </c>
      <c r="CO65" s="170">
        <f t="shared" si="174"/>
        <v>0</v>
      </c>
      <c r="CP65" s="167">
        <f t="shared" si="175"/>
        <v>0</v>
      </c>
      <c r="CQ65" s="171">
        <f t="shared" si="176"/>
        <v>0</v>
      </c>
      <c r="CR65" s="169">
        <f t="shared" si="279"/>
        <v>0</v>
      </c>
      <c r="CS65" s="167">
        <f t="shared" si="261"/>
        <v>0</v>
      </c>
      <c r="CT65" s="167">
        <f t="shared" si="179"/>
        <v>0</v>
      </c>
      <c r="CU65" s="167">
        <f t="shared" si="262"/>
        <v>0</v>
      </c>
      <c r="CV65" s="167">
        <f t="shared" si="181"/>
        <v>0</v>
      </c>
      <c r="CW65" s="167">
        <f t="shared" si="263"/>
        <v>0</v>
      </c>
      <c r="CX65" s="167">
        <f t="shared" si="183"/>
        <v>0</v>
      </c>
      <c r="CY65" s="167">
        <f t="shared" si="264"/>
        <v>0</v>
      </c>
      <c r="CZ65" s="167">
        <f t="shared" si="185"/>
        <v>0</v>
      </c>
      <c r="DA65" s="167">
        <f t="shared" si="265"/>
        <v>0</v>
      </c>
      <c r="DB65" s="170">
        <f t="shared" si="187"/>
        <v>0</v>
      </c>
      <c r="DC65" s="167">
        <f t="shared" si="188"/>
        <v>0</v>
      </c>
      <c r="DD65" s="171">
        <f t="shared" si="189"/>
        <v>0</v>
      </c>
      <c r="DE65" s="169">
        <f t="shared" si="279"/>
        <v>0</v>
      </c>
      <c r="DF65" s="167">
        <f t="shared" si="266"/>
        <v>0</v>
      </c>
      <c r="DG65" s="167">
        <f t="shared" si="192"/>
        <v>0</v>
      </c>
      <c r="DH65" s="167">
        <f t="shared" si="267"/>
        <v>0</v>
      </c>
      <c r="DI65" s="167">
        <f t="shared" si="194"/>
        <v>0</v>
      </c>
      <c r="DJ65" s="167">
        <f t="shared" si="268"/>
        <v>0</v>
      </c>
      <c r="DK65" s="167">
        <f t="shared" si="196"/>
        <v>0</v>
      </c>
      <c r="DL65" s="167">
        <f t="shared" si="269"/>
        <v>0</v>
      </c>
      <c r="DM65" s="167">
        <f t="shared" si="198"/>
        <v>0</v>
      </c>
      <c r="DN65" s="167">
        <f t="shared" si="270"/>
        <v>0</v>
      </c>
      <c r="DO65" s="170">
        <f t="shared" si="200"/>
        <v>0</v>
      </c>
      <c r="DP65" s="167">
        <f t="shared" si="201"/>
        <v>0</v>
      </c>
      <c r="DQ65" s="171">
        <f t="shared" si="202"/>
        <v>0</v>
      </c>
      <c r="DR65" s="169">
        <f t="shared" si="279"/>
        <v>0</v>
      </c>
      <c r="DS65" s="167">
        <f t="shared" si="271"/>
        <v>0</v>
      </c>
      <c r="DT65" s="167">
        <f t="shared" si="205"/>
        <v>0</v>
      </c>
      <c r="DU65" s="167">
        <f t="shared" si="272"/>
        <v>0</v>
      </c>
      <c r="DV65" s="167">
        <f t="shared" si="207"/>
        <v>0</v>
      </c>
      <c r="DW65" s="167">
        <f t="shared" si="273"/>
        <v>0</v>
      </c>
      <c r="DX65" s="167">
        <f t="shared" si="209"/>
        <v>0</v>
      </c>
      <c r="DY65" s="167">
        <f t="shared" si="274"/>
        <v>0</v>
      </c>
      <c r="DZ65" s="167">
        <f t="shared" si="211"/>
        <v>0</v>
      </c>
      <c r="EA65" s="167">
        <f t="shared" si="275"/>
        <v>0</v>
      </c>
      <c r="EB65" s="170">
        <f t="shared" si="213"/>
        <v>0</v>
      </c>
      <c r="EC65" s="167">
        <f t="shared" si="214"/>
        <v>0</v>
      </c>
      <c r="ED65" s="171">
        <f t="shared" si="215"/>
        <v>0</v>
      </c>
    </row>
    <row r="66" spans="1:134" x14ac:dyDescent="0.3">
      <c r="A66" s="196"/>
      <c r="B66" s="196"/>
      <c r="C66" s="196"/>
      <c r="D66" s="188"/>
      <c r="E66" s="624"/>
      <c r="F66" s="190"/>
      <c r="G66" s="625"/>
      <c r="H66" s="192"/>
      <c r="I66" s="193"/>
      <c r="J66" s="194"/>
      <c r="K66" s="165">
        <f t="shared" si="216"/>
        <v>0</v>
      </c>
      <c r="L66" s="166">
        <f t="shared" si="217"/>
        <v>0</v>
      </c>
      <c r="M66" s="167">
        <f t="shared" si="218"/>
        <v>0</v>
      </c>
      <c r="N66" s="167"/>
      <c r="O66" s="167">
        <f t="shared" si="219"/>
        <v>0</v>
      </c>
      <c r="P66" s="168"/>
      <c r="Q66" s="167">
        <f t="shared" si="220"/>
        <v>0</v>
      </c>
      <c r="R66" s="169">
        <f t="shared" si="221"/>
        <v>0</v>
      </c>
      <c r="S66" s="167">
        <f t="shared" si="222"/>
        <v>0</v>
      </c>
      <c r="T66" s="167">
        <f t="shared" si="223"/>
        <v>0</v>
      </c>
      <c r="U66" s="167">
        <f t="shared" si="224"/>
        <v>0</v>
      </c>
      <c r="V66" s="167">
        <f t="shared" si="225"/>
        <v>0</v>
      </c>
      <c r="W66" s="167">
        <f t="shared" si="226"/>
        <v>0</v>
      </c>
      <c r="X66" s="167">
        <f t="shared" si="227"/>
        <v>0</v>
      </c>
      <c r="Y66" s="167">
        <f t="shared" si="228"/>
        <v>0</v>
      </c>
      <c r="Z66" s="167">
        <f t="shared" si="229"/>
        <v>0</v>
      </c>
      <c r="AA66" s="167">
        <f t="shared" si="230"/>
        <v>0</v>
      </c>
      <c r="AB66" s="170">
        <f t="shared" si="231"/>
        <v>0</v>
      </c>
      <c r="AC66" s="167">
        <f t="shared" si="232"/>
        <v>0</v>
      </c>
      <c r="AD66" s="171">
        <f t="shared" si="233"/>
        <v>0</v>
      </c>
      <c r="AE66" s="169">
        <f t="shared" si="278"/>
        <v>0</v>
      </c>
      <c r="AF66" s="167">
        <f t="shared" si="235"/>
        <v>0</v>
      </c>
      <c r="AG66" s="167">
        <f t="shared" si="114"/>
        <v>0</v>
      </c>
      <c r="AH66" s="167">
        <f t="shared" si="236"/>
        <v>0</v>
      </c>
      <c r="AI66" s="167">
        <f t="shared" si="116"/>
        <v>0</v>
      </c>
      <c r="AJ66" s="167">
        <f t="shared" si="237"/>
        <v>0</v>
      </c>
      <c r="AK66" s="167">
        <f t="shared" si="118"/>
        <v>0</v>
      </c>
      <c r="AL66" s="167">
        <f t="shared" si="238"/>
        <v>0</v>
      </c>
      <c r="AM66" s="167">
        <f t="shared" si="120"/>
        <v>0</v>
      </c>
      <c r="AN66" s="167">
        <f t="shared" si="239"/>
        <v>0</v>
      </c>
      <c r="AO66" s="170">
        <f t="shared" si="122"/>
        <v>0</v>
      </c>
      <c r="AP66" s="167">
        <f t="shared" si="123"/>
        <v>0</v>
      </c>
      <c r="AQ66" s="171">
        <f t="shared" si="124"/>
        <v>0</v>
      </c>
      <c r="AR66" s="169">
        <f t="shared" si="278"/>
        <v>0</v>
      </c>
      <c r="AS66" s="167">
        <f t="shared" si="240"/>
        <v>0</v>
      </c>
      <c r="AT66" s="167">
        <f t="shared" si="127"/>
        <v>0</v>
      </c>
      <c r="AU66" s="167">
        <f t="shared" si="241"/>
        <v>0</v>
      </c>
      <c r="AV66" s="167">
        <f t="shared" si="129"/>
        <v>0</v>
      </c>
      <c r="AW66" s="167">
        <f t="shared" si="242"/>
        <v>0</v>
      </c>
      <c r="AX66" s="167">
        <f t="shared" si="131"/>
        <v>0</v>
      </c>
      <c r="AY66" s="167">
        <f t="shared" si="243"/>
        <v>0</v>
      </c>
      <c r="AZ66" s="167">
        <f t="shared" si="133"/>
        <v>0</v>
      </c>
      <c r="BA66" s="167">
        <f t="shared" si="244"/>
        <v>0</v>
      </c>
      <c r="BB66" s="170">
        <f t="shared" si="135"/>
        <v>0</v>
      </c>
      <c r="BC66" s="167">
        <f t="shared" si="136"/>
        <v>0</v>
      </c>
      <c r="BD66" s="171">
        <f t="shared" si="137"/>
        <v>0</v>
      </c>
      <c r="BE66" s="169">
        <f t="shared" si="278"/>
        <v>0</v>
      </c>
      <c r="BF66" s="167">
        <f t="shared" si="245"/>
        <v>0</v>
      </c>
      <c r="BG66" s="167">
        <f t="shared" si="140"/>
        <v>0</v>
      </c>
      <c r="BH66" s="167">
        <f t="shared" si="246"/>
        <v>0</v>
      </c>
      <c r="BI66" s="167">
        <f t="shared" si="142"/>
        <v>0</v>
      </c>
      <c r="BJ66" s="167">
        <f t="shared" si="247"/>
        <v>0</v>
      </c>
      <c r="BK66" s="167">
        <f t="shared" si="144"/>
        <v>0</v>
      </c>
      <c r="BL66" s="167">
        <f t="shared" si="248"/>
        <v>0</v>
      </c>
      <c r="BM66" s="167">
        <f t="shared" si="146"/>
        <v>0</v>
      </c>
      <c r="BN66" s="167">
        <f t="shared" si="249"/>
        <v>0</v>
      </c>
      <c r="BO66" s="170">
        <f t="shared" si="148"/>
        <v>0</v>
      </c>
      <c r="BP66" s="167">
        <f t="shared" si="149"/>
        <v>0</v>
      </c>
      <c r="BQ66" s="171">
        <f t="shared" si="150"/>
        <v>0</v>
      </c>
      <c r="BR66" s="169">
        <f t="shared" si="278"/>
        <v>0</v>
      </c>
      <c r="BS66" s="167">
        <f t="shared" si="250"/>
        <v>0</v>
      </c>
      <c r="BT66" s="167">
        <f t="shared" si="153"/>
        <v>0</v>
      </c>
      <c r="BU66" s="167">
        <f t="shared" si="251"/>
        <v>0</v>
      </c>
      <c r="BV66" s="167">
        <f t="shared" si="155"/>
        <v>0</v>
      </c>
      <c r="BW66" s="167">
        <f t="shared" si="252"/>
        <v>0</v>
      </c>
      <c r="BX66" s="167">
        <f t="shared" si="157"/>
        <v>0</v>
      </c>
      <c r="BY66" s="167">
        <f t="shared" si="253"/>
        <v>0</v>
      </c>
      <c r="BZ66" s="167">
        <f t="shared" si="159"/>
        <v>0</v>
      </c>
      <c r="CA66" s="167">
        <f t="shared" si="254"/>
        <v>0</v>
      </c>
      <c r="CB66" s="170">
        <f t="shared" si="161"/>
        <v>0</v>
      </c>
      <c r="CC66" s="167">
        <f t="shared" si="162"/>
        <v>0</v>
      </c>
      <c r="CD66" s="171">
        <f t="shared" si="163"/>
        <v>0</v>
      </c>
      <c r="CE66" s="169">
        <f t="shared" si="278"/>
        <v>0</v>
      </c>
      <c r="CF66" s="167">
        <f t="shared" si="255"/>
        <v>0</v>
      </c>
      <c r="CG66" s="167">
        <f t="shared" si="166"/>
        <v>0</v>
      </c>
      <c r="CH66" s="167">
        <f t="shared" si="256"/>
        <v>0</v>
      </c>
      <c r="CI66" s="167">
        <f t="shared" si="168"/>
        <v>0</v>
      </c>
      <c r="CJ66" s="167">
        <f t="shared" si="257"/>
        <v>0</v>
      </c>
      <c r="CK66" s="167">
        <f t="shared" si="170"/>
        <v>0</v>
      </c>
      <c r="CL66" s="167">
        <f t="shared" si="258"/>
        <v>0</v>
      </c>
      <c r="CM66" s="167">
        <f t="shared" si="172"/>
        <v>0</v>
      </c>
      <c r="CN66" s="167">
        <f t="shared" si="259"/>
        <v>0</v>
      </c>
      <c r="CO66" s="170">
        <f t="shared" si="174"/>
        <v>0</v>
      </c>
      <c r="CP66" s="167">
        <f t="shared" si="175"/>
        <v>0</v>
      </c>
      <c r="CQ66" s="171">
        <f t="shared" si="176"/>
        <v>0</v>
      </c>
      <c r="CR66" s="169">
        <f t="shared" si="279"/>
        <v>0</v>
      </c>
      <c r="CS66" s="167">
        <f t="shared" si="261"/>
        <v>0</v>
      </c>
      <c r="CT66" s="167">
        <f t="shared" si="179"/>
        <v>0</v>
      </c>
      <c r="CU66" s="167">
        <f t="shared" si="262"/>
        <v>0</v>
      </c>
      <c r="CV66" s="167">
        <f t="shared" si="181"/>
        <v>0</v>
      </c>
      <c r="CW66" s="167">
        <f t="shared" si="263"/>
        <v>0</v>
      </c>
      <c r="CX66" s="167">
        <f t="shared" si="183"/>
        <v>0</v>
      </c>
      <c r="CY66" s="167">
        <f t="shared" si="264"/>
        <v>0</v>
      </c>
      <c r="CZ66" s="167">
        <f t="shared" si="185"/>
        <v>0</v>
      </c>
      <c r="DA66" s="167">
        <f t="shared" si="265"/>
        <v>0</v>
      </c>
      <c r="DB66" s="170">
        <f t="shared" si="187"/>
        <v>0</v>
      </c>
      <c r="DC66" s="167">
        <f t="shared" si="188"/>
        <v>0</v>
      </c>
      <c r="DD66" s="171">
        <f t="shared" si="189"/>
        <v>0</v>
      </c>
      <c r="DE66" s="169">
        <f t="shared" si="279"/>
        <v>0</v>
      </c>
      <c r="DF66" s="167">
        <f t="shared" si="266"/>
        <v>0</v>
      </c>
      <c r="DG66" s="167">
        <f t="shared" si="192"/>
        <v>0</v>
      </c>
      <c r="DH66" s="167">
        <f t="shared" si="267"/>
        <v>0</v>
      </c>
      <c r="DI66" s="167">
        <f t="shared" si="194"/>
        <v>0</v>
      </c>
      <c r="DJ66" s="167">
        <f t="shared" si="268"/>
        <v>0</v>
      </c>
      <c r="DK66" s="167">
        <f t="shared" si="196"/>
        <v>0</v>
      </c>
      <c r="DL66" s="167">
        <f t="shared" si="269"/>
        <v>0</v>
      </c>
      <c r="DM66" s="167">
        <f t="shared" si="198"/>
        <v>0</v>
      </c>
      <c r="DN66" s="167">
        <f t="shared" si="270"/>
        <v>0</v>
      </c>
      <c r="DO66" s="170">
        <f t="shared" si="200"/>
        <v>0</v>
      </c>
      <c r="DP66" s="167">
        <f t="shared" si="201"/>
        <v>0</v>
      </c>
      <c r="DQ66" s="171">
        <f t="shared" si="202"/>
        <v>0</v>
      </c>
      <c r="DR66" s="169">
        <f t="shared" si="279"/>
        <v>0</v>
      </c>
      <c r="DS66" s="167">
        <f t="shared" si="271"/>
        <v>0</v>
      </c>
      <c r="DT66" s="167">
        <f t="shared" si="205"/>
        <v>0</v>
      </c>
      <c r="DU66" s="167">
        <f t="shared" si="272"/>
        <v>0</v>
      </c>
      <c r="DV66" s="167">
        <f t="shared" si="207"/>
        <v>0</v>
      </c>
      <c r="DW66" s="167">
        <f t="shared" si="273"/>
        <v>0</v>
      </c>
      <c r="DX66" s="167">
        <f t="shared" si="209"/>
        <v>0</v>
      </c>
      <c r="DY66" s="167">
        <f t="shared" si="274"/>
        <v>0</v>
      </c>
      <c r="DZ66" s="167">
        <f t="shared" si="211"/>
        <v>0</v>
      </c>
      <c r="EA66" s="167">
        <f t="shared" si="275"/>
        <v>0</v>
      </c>
      <c r="EB66" s="170">
        <f t="shared" si="213"/>
        <v>0</v>
      </c>
      <c r="EC66" s="167">
        <f t="shared" si="214"/>
        <v>0</v>
      </c>
      <c r="ED66" s="171">
        <f t="shared" si="215"/>
        <v>0</v>
      </c>
    </row>
    <row r="67" spans="1:134" x14ac:dyDescent="0.3">
      <c r="A67" s="196"/>
      <c r="B67" s="196"/>
      <c r="C67" s="196"/>
      <c r="D67" s="95"/>
      <c r="E67" s="99"/>
      <c r="F67" s="97"/>
      <c r="G67" s="98"/>
      <c r="H67" s="192"/>
      <c r="I67" s="193"/>
      <c r="J67" s="194"/>
      <c r="K67" s="165">
        <f t="shared" si="216"/>
        <v>0</v>
      </c>
      <c r="L67" s="166">
        <f t="shared" si="217"/>
        <v>0</v>
      </c>
      <c r="M67" s="167">
        <f t="shared" si="218"/>
        <v>0</v>
      </c>
      <c r="N67" s="167"/>
      <c r="O67" s="167">
        <f t="shared" si="219"/>
        <v>0</v>
      </c>
      <c r="P67" s="168"/>
      <c r="Q67" s="167">
        <f t="shared" si="220"/>
        <v>0</v>
      </c>
      <c r="R67" s="169">
        <f t="shared" si="221"/>
        <v>0</v>
      </c>
      <c r="S67" s="167">
        <f t="shared" si="222"/>
        <v>0</v>
      </c>
      <c r="T67" s="167">
        <f t="shared" si="223"/>
        <v>0</v>
      </c>
      <c r="U67" s="167">
        <f t="shared" si="224"/>
        <v>0</v>
      </c>
      <c r="V67" s="167">
        <f t="shared" si="225"/>
        <v>0</v>
      </c>
      <c r="W67" s="167">
        <f t="shared" si="226"/>
        <v>0</v>
      </c>
      <c r="X67" s="167">
        <f t="shared" si="227"/>
        <v>0</v>
      </c>
      <c r="Y67" s="167">
        <f t="shared" si="228"/>
        <v>0</v>
      </c>
      <c r="Z67" s="167">
        <f t="shared" si="229"/>
        <v>0</v>
      </c>
      <c r="AA67" s="167">
        <f t="shared" si="230"/>
        <v>0</v>
      </c>
      <c r="AB67" s="170">
        <f t="shared" si="231"/>
        <v>0</v>
      </c>
      <c r="AC67" s="167">
        <f t="shared" si="232"/>
        <v>0</v>
      </c>
      <c r="AD67" s="171">
        <f t="shared" si="233"/>
        <v>0</v>
      </c>
      <c r="AE67" s="169">
        <f t="shared" si="278"/>
        <v>0</v>
      </c>
      <c r="AF67" s="167">
        <f t="shared" si="235"/>
        <v>0</v>
      </c>
      <c r="AG67" s="167">
        <f t="shared" si="114"/>
        <v>0</v>
      </c>
      <c r="AH67" s="167">
        <f t="shared" si="236"/>
        <v>0</v>
      </c>
      <c r="AI67" s="167">
        <f t="shared" si="116"/>
        <v>0</v>
      </c>
      <c r="AJ67" s="167">
        <f t="shared" si="237"/>
        <v>0</v>
      </c>
      <c r="AK67" s="167">
        <f t="shared" si="118"/>
        <v>0</v>
      </c>
      <c r="AL67" s="167">
        <f t="shared" si="238"/>
        <v>0</v>
      </c>
      <c r="AM67" s="167">
        <f t="shared" si="120"/>
        <v>0</v>
      </c>
      <c r="AN67" s="167">
        <f t="shared" si="239"/>
        <v>0</v>
      </c>
      <c r="AO67" s="170">
        <f t="shared" si="122"/>
        <v>0</v>
      </c>
      <c r="AP67" s="167">
        <f t="shared" si="123"/>
        <v>0</v>
      </c>
      <c r="AQ67" s="171">
        <f t="shared" si="124"/>
        <v>0</v>
      </c>
      <c r="AR67" s="169">
        <f t="shared" si="278"/>
        <v>0</v>
      </c>
      <c r="AS67" s="167">
        <f t="shared" si="240"/>
        <v>0</v>
      </c>
      <c r="AT67" s="167">
        <f t="shared" si="127"/>
        <v>0</v>
      </c>
      <c r="AU67" s="167">
        <f t="shared" si="241"/>
        <v>0</v>
      </c>
      <c r="AV67" s="167">
        <f t="shared" si="129"/>
        <v>0</v>
      </c>
      <c r="AW67" s="167">
        <f t="shared" si="242"/>
        <v>0</v>
      </c>
      <c r="AX67" s="167">
        <f t="shared" si="131"/>
        <v>0</v>
      </c>
      <c r="AY67" s="167">
        <f t="shared" si="243"/>
        <v>0</v>
      </c>
      <c r="AZ67" s="167">
        <f t="shared" si="133"/>
        <v>0</v>
      </c>
      <c r="BA67" s="167">
        <f t="shared" si="244"/>
        <v>0</v>
      </c>
      <c r="BB67" s="170">
        <f t="shared" si="135"/>
        <v>0</v>
      </c>
      <c r="BC67" s="167">
        <f t="shared" si="136"/>
        <v>0</v>
      </c>
      <c r="BD67" s="171">
        <f t="shared" si="137"/>
        <v>0</v>
      </c>
      <c r="BE67" s="169">
        <f t="shared" si="278"/>
        <v>0</v>
      </c>
      <c r="BF67" s="167">
        <f t="shared" si="245"/>
        <v>0</v>
      </c>
      <c r="BG67" s="167">
        <f t="shared" si="140"/>
        <v>0</v>
      </c>
      <c r="BH67" s="167">
        <f t="shared" si="246"/>
        <v>0</v>
      </c>
      <c r="BI67" s="167">
        <f t="shared" si="142"/>
        <v>0</v>
      </c>
      <c r="BJ67" s="167">
        <f t="shared" si="247"/>
        <v>0</v>
      </c>
      <c r="BK67" s="167">
        <f t="shared" si="144"/>
        <v>0</v>
      </c>
      <c r="BL67" s="167">
        <f t="shared" si="248"/>
        <v>0</v>
      </c>
      <c r="BM67" s="167">
        <f t="shared" si="146"/>
        <v>0</v>
      </c>
      <c r="BN67" s="167">
        <f t="shared" si="249"/>
        <v>0</v>
      </c>
      <c r="BO67" s="170">
        <f t="shared" si="148"/>
        <v>0</v>
      </c>
      <c r="BP67" s="167">
        <f t="shared" si="149"/>
        <v>0</v>
      </c>
      <c r="BQ67" s="171">
        <f t="shared" si="150"/>
        <v>0</v>
      </c>
      <c r="BR67" s="169">
        <f t="shared" si="278"/>
        <v>0</v>
      </c>
      <c r="BS67" s="167">
        <f t="shared" si="250"/>
        <v>0</v>
      </c>
      <c r="BT67" s="167">
        <f t="shared" si="153"/>
        <v>0</v>
      </c>
      <c r="BU67" s="167">
        <f t="shared" si="251"/>
        <v>0</v>
      </c>
      <c r="BV67" s="167">
        <f t="shared" si="155"/>
        <v>0</v>
      </c>
      <c r="BW67" s="167">
        <f t="shared" si="252"/>
        <v>0</v>
      </c>
      <c r="BX67" s="167">
        <f t="shared" si="157"/>
        <v>0</v>
      </c>
      <c r="BY67" s="167">
        <f t="shared" si="253"/>
        <v>0</v>
      </c>
      <c r="BZ67" s="167">
        <f t="shared" si="159"/>
        <v>0</v>
      </c>
      <c r="CA67" s="167">
        <f t="shared" si="254"/>
        <v>0</v>
      </c>
      <c r="CB67" s="170">
        <f t="shared" si="161"/>
        <v>0</v>
      </c>
      <c r="CC67" s="167">
        <f t="shared" si="162"/>
        <v>0</v>
      </c>
      <c r="CD67" s="171">
        <f t="shared" si="163"/>
        <v>0</v>
      </c>
      <c r="CE67" s="169">
        <f t="shared" si="278"/>
        <v>0</v>
      </c>
      <c r="CF67" s="167">
        <f t="shared" si="255"/>
        <v>0</v>
      </c>
      <c r="CG67" s="167">
        <f t="shared" si="166"/>
        <v>0</v>
      </c>
      <c r="CH67" s="167">
        <f t="shared" si="256"/>
        <v>0</v>
      </c>
      <c r="CI67" s="167">
        <f t="shared" si="168"/>
        <v>0</v>
      </c>
      <c r="CJ67" s="167">
        <f t="shared" si="257"/>
        <v>0</v>
      </c>
      <c r="CK67" s="167">
        <f t="shared" si="170"/>
        <v>0</v>
      </c>
      <c r="CL67" s="167">
        <f t="shared" si="258"/>
        <v>0</v>
      </c>
      <c r="CM67" s="167">
        <f t="shared" si="172"/>
        <v>0</v>
      </c>
      <c r="CN67" s="167">
        <f t="shared" si="259"/>
        <v>0</v>
      </c>
      <c r="CO67" s="170">
        <f t="shared" si="174"/>
        <v>0</v>
      </c>
      <c r="CP67" s="167">
        <f t="shared" si="175"/>
        <v>0</v>
      </c>
      <c r="CQ67" s="171">
        <f t="shared" si="176"/>
        <v>0</v>
      </c>
      <c r="CR67" s="169">
        <f t="shared" si="279"/>
        <v>0</v>
      </c>
      <c r="CS67" s="167">
        <f t="shared" si="261"/>
        <v>0</v>
      </c>
      <c r="CT67" s="167">
        <f t="shared" si="179"/>
        <v>0</v>
      </c>
      <c r="CU67" s="167">
        <f t="shared" si="262"/>
        <v>0</v>
      </c>
      <c r="CV67" s="167">
        <f t="shared" si="181"/>
        <v>0</v>
      </c>
      <c r="CW67" s="167">
        <f t="shared" si="263"/>
        <v>0</v>
      </c>
      <c r="CX67" s="167">
        <f t="shared" si="183"/>
        <v>0</v>
      </c>
      <c r="CY67" s="167">
        <f t="shared" si="264"/>
        <v>0</v>
      </c>
      <c r="CZ67" s="167">
        <f t="shared" si="185"/>
        <v>0</v>
      </c>
      <c r="DA67" s="167">
        <f t="shared" si="265"/>
        <v>0</v>
      </c>
      <c r="DB67" s="170">
        <f t="shared" si="187"/>
        <v>0</v>
      </c>
      <c r="DC67" s="167">
        <f t="shared" si="188"/>
        <v>0</v>
      </c>
      <c r="DD67" s="171">
        <f t="shared" si="189"/>
        <v>0</v>
      </c>
      <c r="DE67" s="169">
        <f t="shared" si="279"/>
        <v>0</v>
      </c>
      <c r="DF67" s="167">
        <f t="shared" si="266"/>
        <v>0</v>
      </c>
      <c r="DG67" s="167">
        <f t="shared" si="192"/>
        <v>0</v>
      </c>
      <c r="DH67" s="167">
        <f t="shared" si="267"/>
        <v>0</v>
      </c>
      <c r="DI67" s="167">
        <f t="shared" si="194"/>
        <v>0</v>
      </c>
      <c r="DJ67" s="167">
        <f t="shared" si="268"/>
        <v>0</v>
      </c>
      <c r="DK67" s="167">
        <f t="shared" si="196"/>
        <v>0</v>
      </c>
      <c r="DL67" s="167">
        <f t="shared" si="269"/>
        <v>0</v>
      </c>
      <c r="DM67" s="167">
        <f t="shared" si="198"/>
        <v>0</v>
      </c>
      <c r="DN67" s="167">
        <f t="shared" si="270"/>
        <v>0</v>
      </c>
      <c r="DO67" s="170">
        <f t="shared" si="200"/>
        <v>0</v>
      </c>
      <c r="DP67" s="167">
        <f t="shared" si="201"/>
        <v>0</v>
      </c>
      <c r="DQ67" s="171">
        <f t="shared" si="202"/>
        <v>0</v>
      </c>
      <c r="DR67" s="169">
        <f t="shared" si="279"/>
        <v>0</v>
      </c>
      <c r="DS67" s="167">
        <f t="shared" si="271"/>
        <v>0</v>
      </c>
      <c r="DT67" s="167">
        <f t="shared" si="205"/>
        <v>0</v>
      </c>
      <c r="DU67" s="167">
        <f t="shared" si="272"/>
        <v>0</v>
      </c>
      <c r="DV67" s="167">
        <f t="shared" si="207"/>
        <v>0</v>
      </c>
      <c r="DW67" s="167">
        <f t="shared" si="273"/>
        <v>0</v>
      </c>
      <c r="DX67" s="167">
        <f t="shared" si="209"/>
        <v>0</v>
      </c>
      <c r="DY67" s="167">
        <f t="shared" si="274"/>
        <v>0</v>
      </c>
      <c r="DZ67" s="167">
        <f t="shared" si="211"/>
        <v>0</v>
      </c>
      <c r="EA67" s="167">
        <f t="shared" si="275"/>
        <v>0</v>
      </c>
      <c r="EB67" s="170">
        <f t="shared" si="213"/>
        <v>0</v>
      </c>
      <c r="EC67" s="167">
        <f t="shared" si="214"/>
        <v>0</v>
      </c>
      <c r="ED67" s="171">
        <f t="shared" si="215"/>
        <v>0</v>
      </c>
    </row>
    <row r="68" spans="1:134" x14ac:dyDescent="0.3">
      <c r="A68" s="196"/>
      <c r="B68" s="196"/>
      <c r="C68" s="196"/>
      <c r="D68" s="188"/>
      <c r="E68" s="624"/>
      <c r="F68" s="190"/>
      <c r="G68" s="625"/>
      <c r="H68" s="192"/>
      <c r="I68" s="193"/>
      <c r="J68" s="194"/>
      <c r="K68" s="165">
        <f t="shared" si="216"/>
        <v>0</v>
      </c>
      <c r="L68" s="166">
        <f t="shared" si="217"/>
        <v>0</v>
      </c>
      <c r="M68" s="167">
        <f t="shared" si="218"/>
        <v>0</v>
      </c>
      <c r="N68" s="167"/>
      <c r="O68" s="167">
        <f t="shared" si="219"/>
        <v>0</v>
      </c>
      <c r="P68" s="168"/>
      <c r="Q68" s="167">
        <f t="shared" si="220"/>
        <v>0</v>
      </c>
      <c r="R68" s="169">
        <f t="shared" si="221"/>
        <v>0</v>
      </c>
      <c r="S68" s="167">
        <f t="shared" si="222"/>
        <v>0</v>
      </c>
      <c r="T68" s="167">
        <f t="shared" si="223"/>
        <v>0</v>
      </c>
      <c r="U68" s="167">
        <f t="shared" si="224"/>
        <v>0</v>
      </c>
      <c r="V68" s="167">
        <f t="shared" si="225"/>
        <v>0</v>
      </c>
      <c r="W68" s="167">
        <f t="shared" si="226"/>
        <v>0</v>
      </c>
      <c r="X68" s="167">
        <f t="shared" si="227"/>
        <v>0</v>
      </c>
      <c r="Y68" s="167">
        <f t="shared" si="228"/>
        <v>0</v>
      </c>
      <c r="Z68" s="167">
        <f t="shared" si="229"/>
        <v>0</v>
      </c>
      <c r="AA68" s="167">
        <f t="shared" si="230"/>
        <v>0</v>
      </c>
      <c r="AB68" s="170">
        <f t="shared" si="231"/>
        <v>0</v>
      </c>
      <c r="AC68" s="167">
        <f t="shared" si="232"/>
        <v>0</v>
      </c>
      <c r="AD68" s="171">
        <f t="shared" si="233"/>
        <v>0</v>
      </c>
      <c r="AE68" s="169">
        <f t="shared" si="278"/>
        <v>0</v>
      </c>
      <c r="AF68" s="167">
        <f t="shared" si="235"/>
        <v>0</v>
      </c>
      <c r="AG68" s="167">
        <f t="shared" si="114"/>
        <v>0</v>
      </c>
      <c r="AH68" s="167">
        <f t="shared" si="236"/>
        <v>0</v>
      </c>
      <c r="AI68" s="167">
        <f t="shared" si="116"/>
        <v>0</v>
      </c>
      <c r="AJ68" s="167">
        <f t="shared" si="237"/>
        <v>0</v>
      </c>
      <c r="AK68" s="167">
        <f t="shared" si="118"/>
        <v>0</v>
      </c>
      <c r="AL68" s="167">
        <f t="shared" si="238"/>
        <v>0</v>
      </c>
      <c r="AM68" s="167">
        <f t="shared" si="120"/>
        <v>0</v>
      </c>
      <c r="AN68" s="167">
        <f t="shared" si="239"/>
        <v>0</v>
      </c>
      <c r="AO68" s="170">
        <f t="shared" si="122"/>
        <v>0</v>
      </c>
      <c r="AP68" s="167">
        <f t="shared" si="123"/>
        <v>0</v>
      </c>
      <c r="AQ68" s="171">
        <f t="shared" si="124"/>
        <v>0</v>
      </c>
      <c r="AR68" s="169">
        <f t="shared" si="278"/>
        <v>0</v>
      </c>
      <c r="AS68" s="167">
        <f t="shared" si="240"/>
        <v>0</v>
      </c>
      <c r="AT68" s="167">
        <f t="shared" si="127"/>
        <v>0</v>
      </c>
      <c r="AU68" s="167">
        <f t="shared" si="241"/>
        <v>0</v>
      </c>
      <c r="AV68" s="167">
        <f t="shared" si="129"/>
        <v>0</v>
      </c>
      <c r="AW68" s="167">
        <f t="shared" si="242"/>
        <v>0</v>
      </c>
      <c r="AX68" s="167">
        <f t="shared" si="131"/>
        <v>0</v>
      </c>
      <c r="AY68" s="167">
        <f t="shared" si="243"/>
        <v>0</v>
      </c>
      <c r="AZ68" s="167">
        <f t="shared" si="133"/>
        <v>0</v>
      </c>
      <c r="BA68" s="167">
        <f t="shared" si="244"/>
        <v>0</v>
      </c>
      <c r="BB68" s="170">
        <f t="shared" si="135"/>
        <v>0</v>
      </c>
      <c r="BC68" s="167">
        <f t="shared" si="136"/>
        <v>0</v>
      </c>
      <c r="BD68" s="171">
        <f t="shared" si="137"/>
        <v>0</v>
      </c>
      <c r="BE68" s="169">
        <f t="shared" si="278"/>
        <v>0</v>
      </c>
      <c r="BF68" s="167">
        <f t="shared" si="245"/>
        <v>0</v>
      </c>
      <c r="BG68" s="167">
        <f t="shared" si="140"/>
        <v>0</v>
      </c>
      <c r="BH68" s="167">
        <f t="shared" si="246"/>
        <v>0</v>
      </c>
      <c r="BI68" s="167">
        <f t="shared" si="142"/>
        <v>0</v>
      </c>
      <c r="BJ68" s="167">
        <f t="shared" si="247"/>
        <v>0</v>
      </c>
      <c r="BK68" s="167">
        <f t="shared" si="144"/>
        <v>0</v>
      </c>
      <c r="BL68" s="167">
        <f t="shared" si="248"/>
        <v>0</v>
      </c>
      <c r="BM68" s="167">
        <f t="shared" si="146"/>
        <v>0</v>
      </c>
      <c r="BN68" s="167">
        <f t="shared" si="249"/>
        <v>0</v>
      </c>
      <c r="BO68" s="170">
        <f t="shared" si="148"/>
        <v>0</v>
      </c>
      <c r="BP68" s="167">
        <f t="shared" si="149"/>
        <v>0</v>
      </c>
      <c r="BQ68" s="171">
        <f t="shared" si="150"/>
        <v>0</v>
      </c>
      <c r="BR68" s="169">
        <f t="shared" si="278"/>
        <v>0</v>
      </c>
      <c r="BS68" s="167">
        <f t="shared" si="250"/>
        <v>0</v>
      </c>
      <c r="BT68" s="167">
        <f t="shared" si="153"/>
        <v>0</v>
      </c>
      <c r="BU68" s="167">
        <f t="shared" si="251"/>
        <v>0</v>
      </c>
      <c r="BV68" s="167">
        <f t="shared" si="155"/>
        <v>0</v>
      </c>
      <c r="BW68" s="167">
        <f t="shared" si="252"/>
        <v>0</v>
      </c>
      <c r="BX68" s="167">
        <f t="shared" si="157"/>
        <v>0</v>
      </c>
      <c r="BY68" s="167">
        <f t="shared" si="253"/>
        <v>0</v>
      </c>
      <c r="BZ68" s="167">
        <f t="shared" si="159"/>
        <v>0</v>
      </c>
      <c r="CA68" s="167">
        <f t="shared" si="254"/>
        <v>0</v>
      </c>
      <c r="CB68" s="170">
        <f t="shared" si="161"/>
        <v>0</v>
      </c>
      <c r="CC68" s="167">
        <f t="shared" si="162"/>
        <v>0</v>
      </c>
      <c r="CD68" s="171">
        <f t="shared" si="163"/>
        <v>0</v>
      </c>
      <c r="CE68" s="169">
        <f t="shared" si="278"/>
        <v>0</v>
      </c>
      <c r="CF68" s="167">
        <f t="shared" si="255"/>
        <v>0</v>
      </c>
      <c r="CG68" s="167">
        <f t="shared" si="166"/>
        <v>0</v>
      </c>
      <c r="CH68" s="167">
        <f t="shared" si="256"/>
        <v>0</v>
      </c>
      <c r="CI68" s="167">
        <f t="shared" si="168"/>
        <v>0</v>
      </c>
      <c r="CJ68" s="167">
        <f t="shared" si="257"/>
        <v>0</v>
      </c>
      <c r="CK68" s="167">
        <f t="shared" si="170"/>
        <v>0</v>
      </c>
      <c r="CL68" s="167">
        <f t="shared" si="258"/>
        <v>0</v>
      </c>
      <c r="CM68" s="167">
        <f t="shared" si="172"/>
        <v>0</v>
      </c>
      <c r="CN68" s="167">
        <f t="shared" si="259"/>
        <v>0</v>
      </c>
      <c r="CO68" s="170">
        <f t="shared" si="174"/>
        <v>0</v>
      </c>
      <c r="CP68" s="167">
        <f t="shared" si="175"/>
        <v>0</v>
      </c>
      <c r="CQ68" s="171">
        <f t="shared" si="176"/>
        <v>0</v>
      </c>
      <c r="CR68" s="169">
        <f t="shared" si="279"/>
        <v>0</v>
      </c>
      <c r="CS68" s="167">
        <f t="shared" si="261"/>
        <v>0</v>
      </c>
      <c r="CT68" s="167">
        <f t="shared" si="179"/>
        <v>0</v>
      </c>
      <c r="CU68" s="167">
        <f t="shared" si="262"/>
        <v>0</v>
      </c>
      <c r="CV68" s="167">
        <f t="shared" si="181"/>
        <v>0</v>
      </c>
      <c r="CW68" s="167">
        <f t="shared" si="263"/>
        <v>0</v>
      </c>
      <c r="CX68" s="167">
        <f t="shared" si="183"/>
        <v>0</v>
      </c>
      <c r="CY68" s="167">
        <f t="shared" si="264"/>
        <v>0</v>
      </c>
      <c r="CZ68" s="167">
        <f t="shared" si="185"/>
        <v>0</v>
      </c>
      <c r="DA68" s="167">
        <f t="shared" si="265"/>
        <v>0</v>
      </c>
      <c r="DB68" s="170">
        <f t="shared" si="187"/>
        <v>0</v>
      </c>
      <c r="DC68" s="167">
        <f t="shared" si="188"/>
        <v>0</v>
      </c>
      <c r="DD68" s="171">
        <f t="shared" si="189"/>
        <v>0</v>
      </c>
      <c r="DE68" s="169">
        <f t="shared" si="279"/>
        <v>0</v>
      </c>
      <c r="DF68" s="167">
        <f t="shared" si="266"/>
        <v>0</v>
      </c>
      <c r="DG68" s="167">
        <f t="shared" si="192"/>
        <v>0</v>
      </c>
      <c r="DH68" s="167">
        <f t="shared" si="267"/>
        <v>0</v>
      </c>
      <c r="DI68" s="167">
        <f t="shared" si="194"/>
        <v>0</v>
      </c>
      <c r="DJ68" s="167">
        <f t="shared" si="268"/>
        <v>0</v>
      </c>
      <c r="DK68" s="167">
        <f t="shared" si="196"/>
        <v>0</v>
      </c>
      <c r="DL68" s="167">
        <f t="shared" si="269"/>
        <v>0</v>
      </c>
      <c r="DM68" s="167">
        <f t="shared" si="198"/>
        <v>0</v>
      </c>
      <c r="DN68" s="167">
        <f t="shared" si="270"/>
        <v>0</v>
      </c>
      <c r="DO68" s="170">
        <f t="shared" si="200"/>
        <v>0</v>
      </c>
      <c r="DP68" s="167">
        <f t="shared" si="201"/>
        <v>0</v>
      </c>
      <c r="DQ68" s="171">
        <f t="shared" si="202"/>
        <v>0</v>
      </c>
      <c r="DR68" s="169">
        <f t="shared" si="279"/>
        <v>0</v>
      </c>
      <c r="DS68" s="167">
        <f t="shared" si="271"/>
        <v>0</v>
      </c>
      <c r="DT68" s="167">
        <f t="shared" si="205"/>
        <v>0</v>
      </c>
      <c r="DU68" s="167">
        <f t="shared" si="272"/>
        <v>0</v>
      </c>
      <c r="DV68" s="167">
        <f t="shared" si="207"/>
        <v>0</v>
      </c>
      <c r="DW68" s="167">
        <f t="shared" si="273"/>
        <v>0</v>
      </c>
      <c r="DX68" s="167">
        <f t="shared" si="209"/>
        <v>0</v>
      </c>
      <c r="DY68" s="167">
        <f t="shared" si="274"/>
        <v>0</v>
      </c>
      <c r="DZ68" s="167">
        <f t="shared" si="211"/>
        <v>0</v>
      </c>
      <c r="EA68" s="167">
        <f t="shared" si="275"/>
        <v>0</v>
      </c>
      <c r="EB68" s="170">
        <f t="shared" si="213"/>
        <v>0</v>
      </c>
      <c r="EC68" s="167">
        <f t="shared" si="214"/>
        <v>0</v>
      </c>
      <c r="ED68" s="171">
        <f t="shared" si="215"/>
        <v>0</v>
      </c>
    </row>
    <row r="69" spans="1:134" x14ac:dyDescent="0.3">
      <c r="A69" s="196"/>
      <c r="B69" s="196"/>
      <c r="C69" s="196"/>
      <c r="D69" s="188"/>
      <c r="E69" s="624"/>
      <c r="F69" s="190"/>
      <c r="G69" s="625"/>
      <c r="H69" s="192"/>
      <c r="I69" s="193"/>
      <c r="J69" s="194"/>
      <c r="K69" s="165">
        <f t="shared" si="216"/>
        <v>0</v>
      </c>
      <c r="L69" s="166">
        <f t="shared" si="217"/>
        <v>0</v>
      </c>
      <c r="M69" s="167">
        <f t="shared" si="218"/>
        <v>0</v>
      </c>
      <c r="N69" s="167"/>
      <c r="O69" s="167">
        <f t="shared" si="219"/>
        <v>0</v>
      </c>
      <c r="P69" s="168"/>
      <c r="Q69" s="167">
        <f t="shared" si="220"/>
        <v>0</v>
      </c>
      <c r="R69" s="169">
        <f t="shared" si="221"/>
        <v>0</v>
      </c>
      <c r="S69" s="167">
        <f t="shared" si="222"/>
        <v>0</v>
      </c>
      <c r="T69" s="167">
        <f t="shared" si="223"/>
        <v>0</v>
      </c>
      <c r="U69" s="167">
        <f t="shared" si="224"/>
        <v>0</v>
      </c>
      <c r="V69" s="167">
        <f t="shared" si="225"/>
        <v>0</v>
      </c>
      <c r="W69" s="167">
        <f t="shared" si="226"/>
        <v>0</v>
      </c>
      <c r="X69" s="167">
        <f t="shared" si="227"/>
        <v>0</v>
      </c>
      <c r="Y69" s="167">
        <f t="shared" si="228"/>
        <v>0</v>
      </c>
      <c r="Z69" s="167">
        <f t="shared" si="229"/>
        <v>0</v>
      </c>
      <c r="AA69" s="167">
        <f t="shared" si="230"/>
        <v>0</v>
      </c>
      <c r="AB69" s="170">
        <f t="shared" si="231"/>
        <v>0</v>
      </c>
      <c r="AC69" s="167">
        <f t="shared" si="232"/>
        <v>0</v>
      </c>
      <c r="AD69" s="171">
        <f t="shared" si="233"/>
        <v>0</v>
      </c>
      <c r="AE69" s="169">
        <f t="shared" ref="AE69:CE84" si="280">IF(YEAR($F69)=AE$4,$E69,0)</f>
        <v>0</v>
      </c>
      <c r="AF69" s="167">
        <f t="shared" si="235"/>
        <v>0</v>
      </c>
      <c r="AG69" s="167">
        <f t="shared" ref="AG69:AG125" si="281">IF(AE69&lt;&gt;0,ROUND(AE69*(DAYS360($F69,AM$4)/DAYS360(Z$4,AM$4)),2),0)</f>
        <v>0</v>
      </c>
      <c r="AH69" s="167">
        <f t="shared" si="236"/>
        <v>0</v>
      </c>
      <c r="AI69" s="167">
        <f t="shared" ref="AI69:AI125" si="282">IF(AND($F69&gt;0,$F69&lt;=AM$4),$E69,0)</f>
        <v>0</v>
      </c>
      <c r="AJ69" s="167">
        <f t="shared" si="237"/>
        <v>0</v>
      </c>
      <c r="AK69" s="167">
        <f t="shared" ref="AK69:AK125" si="283">IF(AND(YEAR($F69)=YEAR(AM$4),$E69&lt;1000,$E69&gt;-1000,$F69&gt;0,$K69=1),$E69-$I69,IF(AND(YEAR($F69)=YEAR(AM$4),$F69&gt;0,$K69&gt;0),ROUND(($L69/12)*(13-MONTH($F69)),2),IF(AND(YEAR($F69)&lt;YEAR(AM$4),$E69&gt;0,$F69&gt;0,$K69&gt;0,Z69&gt;$L69+$I69),$L69,IF(AND(YEAR($F69)&lt;YEAR(AM$4),$E69&gt;0,$F69&gt;0,$K69&gt;0,Z69&gt;0,Z69&lt;=$L69+$I69),Z69-$I69,IF(AND(YEAR($F69)&lt;YEAR(AM$4),$E69&lt;0,$F69&gt;0,$K69&gt;0,Z69&lt;0,Z69&lt;=$L69),$L69,IF(AND(YEAR($F69)&lt;YEAR(AM$4),$E69&lt;0,$F69&gt;0,$K69&gt;0,Z69&lt;0,Z69&gt;$L69),Z69,0))))))</f>
        <v>0</v>
      </c>
      <c r="AL69" s="167">
        <f t="shared" si="238"/>
        <v>0</v>
      </c>
      <c r="AM69" s="167">
        <f t="shared" ref="AM69:AM125" si="284">IF(AND(YEAR(AM$4)=YEAR($F69),$E69&gt;0,$F69&gt;0,$E69-AK69&gt;=0),$E69-AK69,IF(AND(YEAR(AM$4)&gt;YEAR($F69),$E69&gt;0,$F69&gt;0,Z69-AK69&gt;=0),Z69-AK69,IF(AND(YEAR(AM$4)=YEAR($F69),$E69&lt;0,$F69&gt;0,$E69-AK69&lt;0),$E69-AK69,IF(AND(YEAR(AM$4)&gt;YEAR($F69),$E69&lt;0,$F69&gt;0,Z69-AK69&lt;=0),Z69-AK69,0))))</f>
        <v>0</v>
      </c>
      <c r="AN69" s="167">
        <f t="shared" si="239"/>
        <v>0</v>
      </c>
      <c r="AO69" s="170">
        <f t="shared" ref="AO69:AO125" si="285">AB69+AK69</f>
        <v>0</v>
      </c>
      <c r="AP69" s="167">
        <f t="shared" ref="AP69:AP125" si="286">IF(AND(AE69&lt;&gt;0,$J69="H",$L69=0),AG69,IF(AND(YEAR(AM$4)&gt;YEAR($F69),$J69="H",$F69&gt;0,$L69=0),$E69,0))</f>
        <v>0</v>
      </c>
      <c r="AQ69" s="171">
        <f t="shared" ref="AQ69:AQ125" si="287">IF(AND(YEAR(AM$4)&gt;=YEAR($F69),$E69&gt;0,$F69&gt;0,AK69&gt;0,$J69="H"),ROUND(AK69/$L69*$E69,2),IF(AND(YEAR(AM$4)&gt;=YEAR($F69),$E69&lt;0,$F69&gt;0,AK69&lt;0,$J69="H"),ROUND(AK69/$L69*$E69,2),0))</f>
        <v>0</v>
      </c>
      <c r="AR69" s="169">
        <f t="shared" si="280"/>
        <v>0</v>
      </c>
      <c r="AS69" s="167">
        <f t="shared" si="240"/>
        <v>0</v>
      </c>
      <c r="AT69" s="167">
        <f t="shared" ref="AT69:AT125" si="288">IF(AR69&lt;&gt;0,ROUND(AR69*(DAYS360($F69,AZ$4)/DAYS360(AM$4,AZ$4)),2),0)</f>
        <v>0</v>
      </c>
      <c r="AU69" s="167">
        <f t="shared" si="241"/>
        <v>0</v>
      </c>
      <c r="AV69" s="167">
        <f t="shared" ref="AV69:AV125" si="289">IF(AND($F69&gt;0,$F69&lt;=AZ$4),$E69,0)</f>
        <v>0</v>
      </c>
      <c r="AW69" s="167">
        <f t="shared" si="242"/>
        <v>0</v>
      </c>
      <c r="AX69" s="167">
        <f t="shared" ref="AX69:AX125" si="290">IF(AND(YEAR($F69)=YEAR(AZ$4),$E69&lt;1000,$E69&gt;-1000,$F69&gt;0,$K69=1),$E69-$I69,IF(AND(YEAR($F69)=YEAR(AZ$4),$F69&gt;0,$K69&gt;0),ROUND(($L69/12)*(13-MONTH($F69)),2),IF(AND(YEAR($F69)&lt;YEAR(AZ$4),$E69&gt;0,$F69&gt;0,$K69&gt;0,AM69&gt;$L69+$I69),$L69,IF(AND(YEAR($F69)&lt;YEAR(AZ$4),$E69&gt;0,$F69&gt;0,$K69&gt;0,AM69&gt;0,AM69&lt;=$L69+$I69),AM69-$I69,IF(AND(YEAR($F69)&lt;YEAR(AZ$4),$E69&lt;0,$F69&gt;0,$K69&gt;0,AM69&lt;0,AM69&lt;=$L69),$L69,IF(AND(YEAR($F69)&lt;YEAR(AZ$4),$E69&lt;0,$F69&gt;0,$K69&gt;0,AM69&lt;0,AM69&gt;$L69),AM69,0))))))</f>
        <v>0</v>
      </c>
      <c r="AY69" s="167">
        <f t="shared" si="243"/>
        <v>0</v>
      </c>
      <c r="AZ69" s="167">
        <f t="shared" ref="AZ69:AZ125" si="291">IF(AND(YEAR(AZ$4)=YEAR($F69),$E69&gt;0,$F69&gt;0,$E69-AX69&gt;=0),$E69-AX69,IF(AND(YEAR(AZ$4)&gt;YEAR($F69),$E69&gt;0,$F69&gt;0,AM69-AX69&gt;=0),AM69-AX69,IF(AND(YEAR(AZ$4)=YEAR($F69),$E69&lt;0,$F69&gt;0,$E69-AX69&lt;0),$E69-AX69,IF(AND(YEAR(AZ$4)&gt;YEAR($F69),$E69&lt;0,$F69&gt;0,AM69-AX69&lt;=0),AM69-AX69,0))))</f>
        <v>0</v>
      </c>
      <c r="BA69" s="167">
        <f t="shared" si="244"/>
        <v>0</v>
      </c>
      <c r="BB69" s="170">
        <f t="shared" ref="BB69:BB125" si="292">AO69+AX69</f>
        <v>0</v>
      </c>
      <c r="BC69" s="167">
        <f t="shared" ref="BC69:BC125" si="293">IF(AND(AR69&lt;&gt;0,$J69="H",$L69=0),AT69,IF(AND(YEAR(AZ$4)&gt;YEAR($F69),$J69="H",$F69&gt;0,$L69=0),$E69,0))</f>
        <v>0</v>
      </c>
      <c r="BD69" s="171">
        <f t="shared" ref="BD69:BD125" si="294">IF(AND(YEAR(AZ$4)&gt;=YEAR($F69),$E69&gt;0,$F69&gt;0,AX69&gt;0,$J69="H"),ROUND(AX69/$L69*$E69,2),IF(AND(YEAR(AZ$4)&gt;=YEAR($F69),$E69&lt;0,$F69&gt;0,AX69&lt;0,$J69="H"),ROUND(AX69/$L69*$E69,2),0))</f>
        <v>0</v>
      </c>
      <c r="BE69" s="169">
        <f t="shared" si="280"/>
        <v>0</v>
      </c>
      <c r="BF69" s="167">
        <f t="shared" si="245"/>
        <v>0</v>
      </c>
      <c r="BG69" s="167">
        <f t="shared" ref="BG69:BG125" si="295">IF(BE69&lt;&gt;0,ROUND(BE69*(DAYS360($F69,BM$4)/DAYS360(AZ$4,BM$4)),2),0)</f>
        <v>0</v>
      </c>
      <c r="BH69" s="167">
        <f t="shared" si="246"/>
        <v>0</v>
      </c>
      <c r="BI69" s="167">
        <f t="shared" ref="BI69:BI125" si="296">IF(AND($F69&gt;0,$F69&lt;=BM$4),$E69,0)</f>
        <v>0</v>
      </c>
      <c r="BJ69" s="167">
        <f t="shared" si="247"/>
        <v>0</v>
      </c>
      <c r="BK69" s="167">
        <f t="shared" ref="BK69:BK125" si="297">IF(AND(YEAR($F69)=YEAR(BM$4),$E69&lt;1000,$E69&gt;-1000,$F69&gt;0,$K69=1),$E69-$I69,IF(AND(YEAR($F69)=YEAR(BM$4),$F69&gt;0,$K69&gt;0),ROUND(($L69/12)*(13-MONTH($F69)),2),IF(AND(YEAR($F69)&lt;YEAR(BM$4),$E69&gt;0,$F69&gt;0,$K69&gt;0,AZ69&gt;$L69+$I69),$L69,IF(AND(YEAR($F69)&lt;YEAR(BM$4),$E69&gt;0,$F69&gt;0,$K69&gt;0,AZ69&gt;0,AZ69&lt;=$L69+$I69),AZ69-$I69,IF(AND(YEAR($F69)&lt;YEAR(BM$4),$E69&lt;0,$F69&gt;0,$K69&gt;0,AZ69&lt;0,AZ69&lt;=$L69),$L69,IF(AND(YEAR($F69)&lt;YEAR(BM$4),$E69&lt;0,$F69&gt;0,$K69&gt;0,AZ69&lt;0,AZ69&gt;$L69),AZ69,0))))))</f>
        <v>0</v>
      </c>
      <c r="BL69" s="167">
        <f t="shared" si="248"/>
        <v>0</v>
      </c>
      <c r="BM69" s="167">
        <f t="shared" ref="BM69:BM125" si="298">IF(AND(YEAR(BM$4)=YEAR($F69),$E69&gt;0,$F69&gt;0,$E69-BK69&gt;=0),$E69-BK69,IF(AND(YEAR(BM$4)&gt;YEAR($F69),$E69&gt;0,$F69&gt;0,AZ69-BK69&gt;=0),AZ69-BK69,IF(AND(YEAR(BM$4)=YEAR($F69),$E69&lt;0,$F69&gt;0,$E69-BK69&lt;0),$E69-BK69,IF(AND(YEAR(BM$4)&gt;YEAR($F69),$E69&lt;0,$F69&gt;0,AZ69-BK69&lt;=0),AZ69-BK69,0))))</f>
        <v>0</v>
      </c>
      <c r="BN69" s="167">
        <f t="shared" si="249"/>
        <v>0</v>
      </c>
      <c r="BO69" s="170">
        <f t="shared" ref="BO69:BO125" si="299">BB69+BK69</f>
        <v>0</v>
      </c>
      <c r="BP69" s="167">
        <f t="shared" ref="BP69:BP125" si="300">IF(AND(BE69&lt;&gt;0,$J69="H",$L69=0),BG69,IF(AND(YEAR(BM$4)&gt;YEAR($F69),$J69="H",$F69&gt;0,$L69=0),$E69,0))</f>
        <v>0</v>
      </c>
      <c r="BQ69" s="171">
        <f t="shared" ref="BQ69:BQ125" si="301">IF(AND(YEAR(BM$4)&gt;=YEAR($F69),$E69&gt;0,$F69&gt;0,BK69&gt;0,$J69="H"),ROUND(BK69/$L69*$E69,2),IF(AND(YEAR(BM$4)&gt;=YEAR($F69),$E69&lt;0,$F69&gt;0,BK69&lt;0,$J69="H"),ROUND(BK69/$L69*$E69,2),0))</f>
        <v>0</v>
      </c>
      <c r="BR69" s="169">
        <f t="shared" si="280"/>
        <v>0</v>
      </c>
      <c r="BS69" s="167">
        <f t="shared" si="250"/>
        <v>0</v>
      </c>
      <c r="BT69" s="167">
        <f t="shared" ref="BT69:BT125" si="302">IF(BR69&lt;&gt;0,ROUND(BR69*(DAYS360($F69,BZ$4)/DAYS360(BM$4,BZ$4)),2),0)</f>
        <v>0</v>
      </c>
      <c r="BU69" s="167">
        <f t="shared" si="251"/>
        <v>0</v>
      </c>
      <c r="BV69" s="167">
        <f t="shared" ref="BV69:BV125" si="303">IF(AND($F69&gt;0,$F69&lt;=BZ$4),$E69,0)</f>
        <v>0</v>
      </c>
      <c r="BW69" s="167">
        <f t="shared" si="252"/>
        <v>0</v>
      </c>
      <c r="BX69" s="167">
        <f t="shared" ref="BX69:BX125" si="304">IF(AND(YEAR($F69)=YEAR(BZ$4),$E69&lt;1000,$E69&gt;-1000,$F69&gt;0,$K69=1),$E69-$I69,IF(AND(YEAR($F69)=YEAR(BZ$4),$F69&gt;0,$K69&gt;0),ROUND(($L69/12)*(13-MONTH($F69)),2),IF(AND(YEAR($F69)&lt;YEAR(BZ$4),$E69&gt;0,$F69&gt;0,$K69&gt;0,BM69&gt;$L69+$I69),$L69,IF(AND(YEAR($F69)&lt;YEAR(BZ$4),$E69&gt;0,$F69&gt;0,$K69&gt;0,BM69&gt;0,BM69&lt;=$L69+$I69),BM69-$I69,IF(AND(YEAR($F69)&lt;YEAR(BZ$4),$E69&lt;0,$F69&gt;0,$K69&gt;0,BM69&lt;0,BM69&lt;=$L69),$L69,IF(AND(YEAR($F69)&lt;YEAR(BZ$4),$E69&lt;0,$F69&gt;0,$K69&gt;0,BM69&lt;0,BM69&gt;$L69),BM69,0))))))</f>
        <v>0</v>
      </c>
      <c r="BY69" s="167">
        <f t="shared" si="253"/>
        <v>0</v>
      </c>
      <c r="BZ69" s="167">
        <f t="shared" ref="BZ69:BZ125" si="305">IF(AND(YEAR(BZ$4)=YEAR($F69),$E69&gt;0,$F69&gt;0,$E69-BX69&gt;=0),$E69-BX69,IF(AND(YEAR(BZ$4)&gt;YEAR($F69),$E69&gt;0,$F69&gt;0,BM69-BX69&gt;=0),BM69-BX69,IF(AND(YEAR(BZ$4)=YEAR($F69),$E69&lt;0,$F69&gt;0,$E69-BX69&lt;0),$E69-BX69,IF(AND(YEAR(BZ$4)&gt;YEAR($F69),$E69&lt;0,$F69&gt;0,BM69-BX69&lt;=0),BM69-BX69,0))))</f>
        <v>0</v>
      </c>
      <c r="CA69" s="167">
        <f t="shared" si="254"/>
        <v>0</v>
      </c>
      <c r="CB69" s="170">
        <f t="shared" ref="CB69:CB125" si="306">BO69+BX69</f>
        <v>0</v>
      </c>
      <c r="CC69" s="167">
        <f t="shared" ref="CC69:CC125" si="307">IF(AND(BR69&lt;&gt;0,$J69="H",$L69=0),BT69,IF(AND(YEAR(BZ$4)&gt;YEAR($F69),$J69="H",$F69&gt;0,$L69=0),$E69,0))</f>
        <v>0</v>
      </c>
      <c r="CD69" s="171">
        <f t="shared" ref="CD69:CD125" si="308">IF(AND(YEAR(BZ$4)&gt;=YEAR($F69),$E69&gt;0,$F69&gt;0,BX69&gt;0,$J69="H"),ROUND(BX69/$L69*$E69,2),IF(AND(YEAR(BZ$4)&gt;=YEAR($F69),$E69&lt;0,$F69&gt;0,BX69&lt;0,$J69="H"),ROUND(BX69/$L69*$E69,2),0))</f>
        <v>0</v>
      </c>
      <c r="CE69" s="169">
        <f t="shared" si="280"/>
        <v>0</v>
      </c>
      <c r="CF69" s="167">
        <f t="shared" si="255"/>
        <v>0</v>
      </c>
      <c r="CG69" s="167">
        <f t="shared" ref="CG69:CG125" si="309">IF(CE69&lt;&gt;0,ROUND(CE69*(DAYS360($F69,CM$4)/DAYS360(BZ$4,CM$4)),2),0)</f>
        <v>0</v>
      </c>
      <c r="CH69" s="167">
        <f t="shared" si="256"/>
        <v>0</v>
      </c>
      <c r="CI69" s="167">
        <f t="shared" ref="CI69:CI125" si="310">IF(AND($F69&gt;0,$F69&lt;=CM$4),$E69,0)</f>
        <v>0</v>
      </c>
      <c r="CJ69" s="167">
        <f t="shared" si="257"/>
        <v>0</v>
      </c>
      <c r="CK69" s="167">
        <f t="shared" ref="CK69:CK125" si="311">IF(AND(YEAR($F69)=YEAR(CM$4),$E69&lt;1000,$E69&gt;-1000,$F69&gt;0,$K69=1),$E69-$I69,IF(AND(YEAR($F69)=YEAR(CM$4),$F69&gt;0,$K69&gt;0),ROUND(($L69/12)*(13-MONTH($F69)),2),IF(AND(YEAR($F69)&lt;YEAR(CM$4),$E69&gt;0,$F69&gt;0,$K69&gt;0,BZ69&gt;$L69+$I69),$L69,IF(AND(YEAR($F69)&lt;YEAR(CM$4),$E69&gt;0,$F69&gt;0,$K69&gt;0,BZ69&gt;0,BZ69&lt;=$L69+$I69),BZ69-$I69,IF(AND(YEAR($F69)&lt;YEAR(CM$4),$E69&lt;0,$F69&gt;0,$K69&gt;0,BZ69&lt;0,BZ69&lt;=$L69),$L69,IF(AND(YEAR($F69)&lt;YEAR(CM$4),$E69&lt;0,$F69&gt;0,$K69&gt;0,BZ69&lt;0,BZ69&gt;$L69),BZ69,0))))))</f>
        <v>0</v>
      </c>
      <c r="CL69" s="167">
        <f t="shared" si="258"/>
        <v>0</v>
      </c>
      <c r="CM69" s="167">
        <f t="shared" ref="CM69:CM125" si="312">IF(AND(YEAR(CM$4)=YEAR($F69),$E69&gt;0,$F69&gt;0,$E69-CK69&gt;=0),$E69-CK69,IF(AND(YEAR(CM$4)&gt;YEAR($F69),$E69&gt;0,$F69&gt;0,BZ69-CK69&gt;=0),BZ69-CK69,IF(AND(YEAR(CM$4)=YEAR($F69),$E69&lt;0,$F69&gt;0,$E69-CK69&lt;0),$E69-CK69,IF(AND(YEAR(CM$4)&gt;YEAR($F69),$E69&lt;0,$F69&gt;0,BZ69-CK69&lt;=0),BZ69-CK69,0))))</f>
        <v>0</v>
      </c>
      <c r="CN69" s="167">
        <f t="shared" si="259"/>
        <v>0</v>
      </c>
      <c r="CO69" s="170">
        <f t="shared" ref="CO69:CO125" si="313">CB69+CK69</f>
        <v>0</v>
      </c>
      <c r="CP69" s="167">
        <f t="shared" ref="CP69:CP125" si="314">IF(AND(CE69&lt;&gt;0,$J69="H",$L69=0),CG69,IF(AND(YEAR(CM$4)&gt;YEAR($F69),$J69="H",$F69&gt;0,$L69=0),$E69,0))</f>
        <v>0</v>
      </c>
      <c r="CQ69" s="171">
        <f t="shared" ref="CQ69:CQ125" si="315">IF(AND(YEAR(CM$4)&gt;=YEAR($F69),$E69&gt;0,$F69&gt;0,CK69&gt;0,$J69="H"),ROUND(CK69/$L69*$E69,2),IF(AND(YEAR(CM$4)&gt;=YEAR($F69),$E69&lt;0,$F69&gt;0,CK69&lt;0,$J69="H"),ROUND(CK69/$L69*$E69,2),0))</f>
        <v>0</v>
      </c>
      <c r="CR69" s="169">
        <f t="shared" ref="CR69:DR84" si="316">IF(YEAR($F69)=CR$4,$E69,0)</f>
        <v>0</v>
      </c>
      <c r="CS69" s="167">
        <f t="shared" si="261"/>
        <v>0</v>
      </c>
      <c r="CT69" s="167">
        <f t="shared" ref="CT69:CT125" si="317">IF(CR69&lt;&gt;0,ROUND(CR69*(DAYS360($F69,CZ$4)/DAYS360(CM$4,CZ$4)),2),0)</f>
        <v>0</v>
      </c>
      <c r="CU69" s="167">
        <f t="shared" si="262"/>
        <v>0</v>
      </c>
      <c r="CV69" s="167">
        <f t="shared" ref="CV69:CV125" si="318">IF(AND($F69&gt;0,$F69&lt;=CZ$4),$E69,0)</f>
        <v>0</v>
      </c>
      <c r="CW69" s="167">
        <f t="shared" si="263"/>
        <v>0</v>
      </c>
      <c r="CX69" s="167">
        <f t="shared" ref="CX69:CX125" si="319">IF(AND(YEAR($F69)=YEAR(CZ$4),$E69&lt;1000,$E69&gt;-1000,$F69&gt;0,$K69=1),$E69-$I69,IF(AND(YEAR($F69)=YEAR(CZ$4),$F69&gt;0,$K69&gt;0),ROUND(($L69/12)*(13-MONTH($F69)),2),IF(AND(YEAR($F69)&lt;YEAR(CZ$4),$E69&gt;0,$F69&gt;0,$K69&gt;0,CM69&gt;$L69+$I69),$L69,IF(AND(YEAR($F69)&lt;YEAR(CZ$4),$E69&gt;0,$F69&gt;0,$K69&gt;0,CM69&gt;0,CM69&lt;=$L69+$I69),CM69-$I69,IF(AND(YEAR($F69)&lt;YEAR(CZ$4),$E69&lt;0,$F69&gt;0,$K69&gt;0,CM69&lt;0,CM69&lt;=$L69),$L69,IF(AND(YEAR($F69)&lt;YEAR(CZ$4),$E69&lt;0,$F69&gt;0,$K69&gt;0,CM69&lt;0,CM69&gt;$L69),CM69,0))))))</f>
        <v>0</v>
      </c>
      <c r="CY69" s="167">
        <f t="shared" si="264"/>
        <v>0</v>
      </c>
      <c r="CZ69" s="167">
        <f t="shared" ref="CZ69:CZ125" si="320">IF(AND(YEAR(CZ$4)=YEAR($F69),$E69&gt;0,$F69&gt;0,$E69-CX69&gt;=0),$E69-CX69,IF(AND(YEAR(CZ$4)&gt;YEAR($F69),$E69&gt;0,$F69&gt;0,CM69-CX69&gt;=0),CM69-CX69,IF(AND(YEAR(CZ$4)=YEAR($F69),$E69&lt;0,$F69&gt;0,$E69-CX69&lt;0),$E69-CX69,IF(AND(YEAR(CZ$4)&gt;YEAR($F69),$E69&lt;0,$F69&gt;0,CM69-CX69&lt;=0),CM69-CX69,0))))</f>
        <v>0</v>
      </c>
      <c r="DA69" s="167">
        <f t="shared" si="265"/>
        <v>0</v>
      </c>
      <c r="DB69" s="170">
        <f t="shared" ref="DB69:DB125" si="321">CO69+CX69</f>
        <v>0</v>
      </c>
      <c r="DC69" s="167">
        <f t="shared" ref="DC69:DC125" si="322">IF(AND(CR69&lt;&gt;0,$J69="H",$L69=0),CT69,IF(AND(YEAR(CZ$4)&gt;YEAR($F69),$J69="H",$F69&gt;0,$L69=0),$E69,0))</f>
        <v>0</v>
      </c>
      <c r="DD69" s="171">
        <f t="shared" ref="DD69:DD125" si="323">IF(AND(YEAR(CZ$4)&gt;=YEAR($F69),$E69&gt;0,$F69&gt;0,CX69&gt;0,$J69="H"),ROUND(CX69/$L69*$E69,2),IF(AND(YEAR(CZ$4)&gt;=YEAR($F69),$E69&lt;0,$F69&gt;0,CX69&lt;0,$J69="H"),ROUND(CX69/$L69*$E69,2),0))</f>
        <v>0</v>
      </c>
      <c r="DE69" s="169">
        <f t="shared" si="316"/>
        <v>0</v>
      </c>
      <c r="DF69" s="167">
        <f t="shared" si="266"/>
        <v>0</v>
      </c>
      <c r="DG69" s="167">
        <f t="shared" ref="DG69:DG125" si="324">IF(DE69&lt;&gt;0,ROUND(DE69*(DAYS360($F69,DM$4)/DAYS360(CZ$4,DM$4)),2),0)</f>
        <v>0</v>
      </c>
      <c r="DH69" s="167">
        <f t="shared" si="267"/>
        <v>0</v>
      </c>
      <c r="DI69" s="167">
        <f t="shared" ref="DI69:DI125" si="325">IF(AND($F69&gt;0,$F69&lt;=DM$4),$E69,0)</f>
        <v>0</v>
      </c>
      <c r="DJ69" s="167">
        <f t="shared" si="268"/>
        <v>0</v>
      </c>
      <c r="DK69" s="167">
        <f t="shared" ref="DK69:DK125" si="326">IF(AND(YEAR($F69)=YEAR(DM$4),$E69&lt;1000,$E69&gt;-1000,$F69&gt;0,$K69=1),$E69-$I69,IF(AND(YEAR($F69)=YEAR(DM$4),$F69&gt;0,$K69&gt;0),ROUND(($L69/12)*(13-MONTH($F69)),2),IF(AND(YEAR($F69)&lt;YEAR(DM$4),$E69&gt;0,$F69&gt;0,$K69&gt;0,CZ69&gt;$L69+$I69),$L69,IF(AND(YEAR($F69)&lt;YEAR(DM$4),$E69&gt;0,$F69&gt;0,$K69&gt;0,CZ69&gt;0,CZ69&lt;=$L69+$I69),CZ69-$I69,IF(AND(YEAR($F69)&lt;YEAR(DM$4),$E69&lt;0,$F69&gt;0,$K69&gt;0,CZ69&lt;0,CZ69&lt;=$L69),$L69,IF(AND(YEAR($F69)&lt;YEAR(DM$4),$E69&lt;0,$F69&gt;0,$K69&gt;0,CZ69&lt;0,CZ69&gt;$L69),CZ69,0))))))</f>
        <v>0</v>
      </c>
      <c r="DL69" s="167">
        <f t="shared" si="269"/>
        <v>0</v>
      </c>
      <c r="DM69" s="167">
        <f t="shared" ref="DM69:DM125" si="327">IF(AND(YEAR(DM$4)=YEAR($F69),$E69&gt;0,$F69&gt;0,$E69-DK69&gt;=0),$E69-DK69,IF(AND(YEAR(DM$4)&gt;YEAR($F69),$E69&gt;0,$F69&gt;0,CZ69-DK69&gt;=0),CZ69-DK69,IF(AND(YEAR(DM$4)=YEAR($F69),$E69&lt;0,$F69&gt;0,$E69-DK69&lt;0),$E69-DK69,IF(AND(YEAR(DM$4)&gt;YEAR($F69),$E69&lt;0,$F69&gt;0,CZ69-DK69&lt;=0),CZ69-DK69,0))))</f>
        <v>0</v>
      </c>
      <c r="DN69" s="167">
        <f t="shared" si="270"/>
        <v>0</v>
      </c>
      <c r="DO69" s="170">
        <f t="shared" ref="DO69:DO125" si="328">DB69+DK69</f>
        <v>0</v>
      </c>
      <c r="DP69" s="167">
        <f t="shared" ref="DP69:DP125" si="329">IF(AND(DE69&lt;&gt;0,$J69="H",$L69=0),DG69,IF(AND(YEAR(DM$4)&gt;YEAR($F69),$J69="H",$F69&gt;0,$L69=0),$E69,0))</f>
        <v>0</v>
      </c>
      <c r="DQ69" s="171">
        <f t="shared" ref="DQ69:DQ125" si="330">IF(AND(YEAR(DM$4)&gt;=YEAR($F69),$E69&gt;0,$F69&gt;0,DK69&gt;0,$J69="H"),ROUND(DK69/$L69*$E69,2),IF(AND(YEAR(DM$4)&gt;=YEAR($F69),$E69&lt;0,$F69&gt;0,DK69&lt;0,$J69="H"),ROUND(DK69/$L69*$E69,2),0))</f>
        <v>0</v>
      </c>
      <c r="DR69" s="169">
        <f t="shared" si="316"/>
        <v>0</v>
      </c>
      <c r="DS69" s="167">
        <f t="shared" si="271"/>
        <v>0</v>
      </c>
      <c r="DT69" s="167">
        <f t="shared" ref="DT69:DT125" si="331">IF(DR69&lt;&gt;0,ROUND(DR69*(DAYS360($F69,DZ$4)/DAYS360(DM$4,DZ$4)),2),0)</f>
        <v>0</v>
      </c>
      <c r="DU69" s="167">
        <f t="shared" si="272"/>
        <v>0</v>
      </c>
      <c r="DV69" s="167">
        <f t="shared" ref="DV69:DV125" si="332">IF(AND($F69&gt;0,$F69&lt;=DZ$4),$E69,0)</f>
        <v>0</v>
      </c>
      <c r="DW69" s="167">
        <f t="shared" si="273"/>
        <v>0</v>
      </c>
      <c r="DX69" s="167">
        <f t="shared" ref="DX69:DX125" si="333">IF(AND(YEAR($F69)=YEAR(DZ$4),$E69&lt;1000,$E69&gt;-1000,$F69&gt;0,$K69=1),$E69-$I69,IF(AND(YEAR($F69)=YEAR(DZ$4),$F69&gt;0,$K69&gt;0),ROUND(($L69/12)*(13-MONTH($F69)),2),IF(AND(YEAR($F69)&lt;YEAR(DZ$4),$E69&gt;0,$F69&gt;0,$K69&gt;0,DM69&gt;$L69+$I69),$L69,IF(AND(YEAR($F69)&lt;YEAR(DZ$4),$E69&gt;0,$F69&gt;0,$K69&gt;0,DM69&gt;0,DM69&lt;=$L69+$I69),DM69-$I69,IF(AND(YEAR($F69)&lt;YEAR(DZ$4),$E69&lt;0,$F69&gt;0,$K69&gt;0,DM69&lt;0,DM69&lt;=$L69),$L69,IF(AND(YEAR($F69)&lt;YEAR(DZ$4),$E69&lt;0,$F69&gt;0,$K69&gt;0,DM69&lt;0,DM69&gt;$L69),DM69,0))))))</f>
        <v>0</v>
      </c>
      <c r="DY69" s="167">
        <f t="shared" si="274"/>
        <v>0</v>
      </c>
      <c r="DZ69" s="167">
        <f t="shared" ref="DZ69:DZ125" si="334">IF(AND(YEAR(DZ$4)=YEAR($F69),$E69&gt;0,$F69&gt;0,$E69-DX69&gt;=0),$E69-DX69,IF(AND(YEAR(DZ$4)&gt;YEAR($F69),$E69&gt;0,$F69&gt;0,DM69-DX69&gt;=0),DM69-DX69,IF(AND(YEAR(DZ$4)=YEAR($F69),$E69&lt;0,$F69&gt;0,$E69-DX69&lt;0),$E69-DX69,IF(AND(YEAR(DZ$4)&gt;YEAR($F69),$E69&lt;0,$F69&gt;0,DM69-DX69&lt;=0),DM69-DX69,0))))</f>
        <v>0</v>
      </c>
      <c r="EA69" s="167">
        <f t="shared" si="275"/>
        <v>0</v>
      </c>
      <c r="EB69" s="170">
        <f t="shared" ref="EB69:EB125" si="335">DO69+DX69</f>
        <v>0</v>
      </c>
      <c r="EC69" s="167">
        <f t="shared" ref="EC69:EC125" si="336">IF(AND(DR69&lt;&gt;0,$J69="H",$L69=0),DT69,IF(AND(YEAR(DZ$4)&gt;YEAR($F69),$J69="H",$F69&gt;0,$L69=0),$E69,0))</f>
        <v>0</v>
      </c>
      <c r="ED69" s="171">
        <f t="shared" ref="ED69:ED125" si="337">IF(AND(YEAR(DZ$4)&gt;=YEAR($F69),$E69&gt;0,$F69&gt;0,DX69&gt;0,$J69="H"),ROUND(DX69/$L69*$E69,2),IF(AND(YEAR(DZ$4)&gt;=YEAR($F69),$E69&lt;0,$F69&gt;0,DX69&lt;0,$J69="H"),ROUND(DX69/$L69*$E69,2),0))</f>
        <v>0</v>
      </c>
    </row>
    <row r="70" spans="1:134" x14ac:dyDescent="0.3">
      <c r="A70" s="196"/>
      <c r="B70" s="196"/>
      <c r="C70" s="196"/>
      <c r="D70" s="188"/>
      <c r="E70" s="624"/>
      <c r="F70" s="190"/>
      <c r="G70" s="625"/>
      <c r="H70" s="192"/>
      <c r="I70" s="193"/>
      <c r="J70" s="194"/>
      <c r="K70" s="165">
        <f t="shared" ref="K70:K125" si="338">IF(AND(G70&gt;0,G70&lt;=1,H70=0),1,IF(H70&gt;=1,1,IF(AND(H70&gt;0,H70&lt;1),H70,IF(AND(G70&gt;1,OR(H70=0,H70="")),ROUND(1/G70,4),0))))</f>
        <v>0</v>
      </c>
      <c r="L70" s="166">
        <f t="shared" ref="L70:L125" si="339">IF(AND(E70&gt;0,F70&gt;0,OR(G70&gt;0,H70&gt;0)),ROUND((E70-I70)*K70,2),IF(AND(E70&lt;0,F70&gt;0,OR(G70&gt;0,H70&gt;0)),ROUND(E70*K70,2),0))</f>
        <v>0</v>
      </c>
      <c r="M70" s="167">
        <f t="shared" ref="M70:M125" si="340">IF(AND(E70-O70&gt;=0,F70&gt;0,YEAR(M$4)&gt;=YEAR(F70)),E70-O70,IF(AND(E70-O70&lt;0,F70&gt;0,YEAR(M$4)&gt;=YEAR(F70)),E70-O70,0))</f>
        <v>0</v>
      </c>
      <c r="N70" s="167"/>
      <c r="O70" s="167">
        <f t="shared" ref="O70:O125" si="341">IF(AND(YEAR(F70)&lt;=YEAR(M$4),E70&lt;1000,E70&gt;-1000,F70&gt;0,K70=1),E70-I70,IF(AND(YEAR(F70)&lt;=YEAR(M$4),E70&gt;0,F70&gt;0,K70&gt;0,E70&gt;L70*(YEAR(M$4)-YEAR(F70))+ROUND((L70/12)*(13-MONTH(F70)),2)+I70),L70*(YEAR(M$4)-YEAR(F70))+ROUND((L70/12)*(13-MONTH(F70)),2),IF(AND(YEAR(F70)&lt;=YEAR(M$4),E70&gt;0,F70&gt;0,K70&gt;0,E70&lt;=(L70*(YEAR(M$4)-YEAR(F70)+ROUND((L70/12)*(13-MONTH(F70)),2)))+I70),E70-I70,IF(AND(YEAR(F70)&lt;=YEAR(M$4),E70&lt;0,F70&gt;0,K70&gt;0,E70&lt;L70*(YEAR(M$4)-YEAR(F70))+ROUND((L70/12)*(13-MONTH(F70)),2)+I70),L70*(YEAR(M$4)-YEAR(F70))+ROUND((L70/12)*(13-MONTH(F70)),2),IF(AND(YEAR(F70)&lt;=YEAR(M$4),E70&lt;0,F70&gt;0,K70&gt;0,E70&lt;=(L70*(YEAR(M$4)-YEAR(F70)+ROUND((L70/12)*(13-MONTH(F70)),2)))),E70,0)))))</f>
        <v>0</v>
      </c>
      <c r="P70" s="168"/>
      <c r="Q70" s="167">
        <f t="shared" ref="Q70:Q125" si="342">IF(AND($F70&gt;0,$F70&lt;=O$4),$E70,0)</f>
        <v>0</v>
      </c>
      <c r="R70" s="169">
        <f t="shared" ref="R70:R125" si="343">IF(YEAR($F70)=R$4,$E70,0)</f>
        <v>0</v>
      </c>
      <c r="S70" s="167">
        <f t="shared" ref="S70:S125" si="344">IF($J70&lt;&gt;"H",R70,0)</f>
        <v>0</v>
      </c>
      <c r="T70" s="167">
        <f t="shared" ref="T70:T125" si="345">IF(R70&lt;&gt;0,ROUND(R70*(DAYS360($F70,Z$4)/DAYS360(M$4,Z$4)),2),0)</f>
        <v>0</v>
      </c>
      <c r="U70" s="167">
        <f t="shared" ref="U70:U125" si="346">IF($J70&lt;&gt;"H",T70,0)</f>
        <v>0</v>
      </c>
      <c r="V70" s="167">
        <f t="shared" ref="V70:V125" si="347">IF(AND($F70&gt;0,$F70&lt;=Z$4),$E70,0)</f>
        <v>0</v>
      </c>
      <c r="W70" s="167">
        <f t="shared" ref="W70:W125" si="348">IF(X70&lt;&gt;0,ROUND(X70/$L70*V70,2),0)</f>
        <v>0</v>
      </c>
      <c r="X70" s="167">
        <f t="shared" ref="X70:X125" si="349">IF(AND(YEAR($F70)=YEAR(Z$4),$E70&lt;1000,$E70&gt;-1000,$F70&gt;0,$K70=1),$E70-$I70,IF(AND(YEAR($F70)=YEAR(Z$4),$F70&gt;0,$K70&gt;0),ROUND(($L70/12)*(13-MONTH($F70)),2),IF(AND(YEAR($F70)&lt;YEAR(Z$4),$E70&gt;0,$F70&gt;0,$K70&gt;0,M70&gt;$L70+$I70),$L70,IF(AND(YEAR($F70)&lt;YEAR(Z$4),$E70&gt;0,$F70&gt;0,$K70&gt;0,M70&gt;0,M70&lt;=$L70+$I70),M70-$I70,IF(AND(YEAR($F70)&lt;YEAR(Z$4),$E70&lt;0,$F70&gt;0,$K70&gt;0,M70&lt;0,M70&lt;=$L70),$L70,IF(AND(YEAR($F70)&lt;YEAR(Z$4),$E70&lt;0,$F70&gt;0,$K70&gt;0,M70&lt;0,M70&gt;$L70),M70,0))))))</f>
        <v>0</v>
      </c>
      <c r="Y70" s="167">
        <f t="shared" ref="Y70:Y125" si="350">IF($J70&lt;&gt;"H",X70,0)</f>
        <v>0</v>
      </c>
      <c r="Z70" s="167">
        <f t="shared" ref="Z70:Z125" si="351">IF(AND(YEAR(Z$4)=YEAR($F70),$E70&gt;0,$F70&gt;0,$E70-X70&gt;=0),$E70-X70,IF(AND(YEAR(Z$4)&gt;YEAR($F70),$E70&gt;0,$F70&gt;0,M70-X70&gt;=0),M70-X70,IF(AND(YEAR(Z$4)=YEAR($F70),$E70&lt;0,$F70&gt;0,$E70-X70&lt;0),$E70-X70,IF(AND(YEAR(Z$4)&gt;YEAR($F70),$E70&lt;0,$F70&gt;0,M70-X70&lt;=0),M70-X70,0))))</f>
        <v>0</v>
      </c>
      <c r="AA70" s="167">
        <f t="shared" ref="AA70:AA125" si="352">IF($J70&lt;&gt;"H",Z70,0)</f>
        <v>0</v>
      </c>
      <c r="AB70" s="170">
        <f t="shared" ref="AB70:AB125" si="353">O70+X70</f>
        <v>0</v>
      </c>
      <c r="AC70" s="167">
        <f t="shared" ref="AC70:AC125" si="354">IF(AND(R70&lt;&gt;0,$J70="H",$L70=0),T70,IF(AND(YEAR(Z$4)&gt;YEAR($F70),$J70="H",$F70&gt;0,$L70=0),$E70,0))</f>
        <v>0</v>
      </c>
      <c r="AD70" s="171">
        <f t="shared" ref="AD70:AD125" si="355">IF(AND(YEAR(Z$4)&gt;=YEAR($F70),$E70&gt;0,$F70&gt;0,X70&gt;0,$J70="H"),ROUND(X70/$L70*$E70,2),IF(AND(YEAR(Z$4)&gt;=YEAR($F70),$E70&lt;0,$F70&gt;0,X70&lt;0,$J70="H"),ROUND(X70/$L70*$E70,2),0))</f>
        <v>0</v>
      </c>
      <c r="AE70" s="169">
        <f t="shared" si="280"/>
        <v>0</v>
      </c>
      <c r="AF70" s="167">
        <f t="shared" si="235"/>
        <v>0</v>
      </c>
      <c r="AG70" s="167">
        <f t="shared" si="281"/>
        <v>0</v>
      </c>
      <c r="AH70" s="167">
        <f t="shared" si="236"/>
        <v>0</v>
      </c>
      <c r="AI70" s="167">
        <f t="shared" si="282"/>
        <v>0</v>
      </c>
      <c r="AJ70" s="167">
        <f t="shared" si="237"/>
        <v>0</v>
      </c>
      <c r="AK70" s="167">
        <f t="shared" si="283"/>
        <v>0</v>
      </c>
      <c r="AL70" s="167">
        <f t="shared" si="238"/>
        <v>0</v>
      </c>
      <c r="AM70" s="167">
        <f t="shared" si="284"/>
        <v>0</v>
      </c>
      <c r="AN70" s="167">
        <f t="shared" si="239"/>
        <v>0</v>
      </c>
      <c r="AO70" s="170">
        <f t="shared" si="285"/>
        <v>0</v>
      </c>
      <c r="AP70" s="167">
        <f t="shared" si="286"/>
        <v>0</v>
      </c>
      <c r="AQ70" s="171">
        <f t="shared" si="287"/>
        <v>0</v>
      </c>
      <c r="AR70" s="169">
        <f t="shared" si="280"/>
        <v>0</v>
      </c>
      <c r="AS70" s="167">
        <f t="shared" si="240"/>
        <v>0</v>
      </c>
      <c r="AT70" s="167">
        <f t="shared" si="288"/>
        <v>0</v>
      </c>
      <c r="AU70" s="167">
        <f t="shared" si="241"/>
        <v>0</v>
      </c>
      <c r="AV70" s="167">
        <f t="shared" si="289"/>
        <v>0</v>
      </c>
      <c r="AW70" s="167">
        <f t="shared" si="242"/>
        <v>0</v>
      </c>
      <c r="AX70" s="167">
        <f t="shared" si="290"/>
        <v>0</v>
      </c>
      <c r="AY70" s="167">
        <f t="shared" si="243"/>
        <v>0</v>
      </c>
      <c r="AZ70" s="167">
        <f t="shared" si="291"/>
        <v>0</v>
      </c>
      <c r="BA70" s="167">
        <f t="shared" si="244"/>
        <v>0</v>
      </c>
      <c r="BB70" s="170">
        <f t="shared" si="292"/>
        <v>0</v>
      </c>
      <c r="BC70" s="167">
        <f t="shared" si="293"/>
        <v>0</v>
      </c>
      <c r="BD70" s="171">
        <f t="shared" si="294"/>
        <v>0</v>
      </c>
      <c r="BE70" s="169">
        <f t="shared" si="280"/>
        <v>0</v>
      </c>
      <c r="BF70" s="167">
        <f t="shared" si="245"/>
        <v>0</v>
      </c>
      <c r="BG70" s="167">
        <f t="shared" si="295"/>
        <v>0</v>
      </c>
      <c r="BH70" s="167">
        <f t="shared" si="246"/>
        <v>0</v>
      </c>
      <c r="BI70" s="167">
        <f t="shared" si="296"/>
        <v>0</v>
      </c>
      <c r="BJ70" s="167">
        <f t="shared" si="247"/>
        <v>0</v>
      </c>
      <c r="BK70" s="167">
        <f t="shared" si="297"/>
        <v>0</v>
      </c>
      <c r="BL70" s="167">
        <f t="shared" si="248"/>
        <v>0</v>
      </c>
      <c r="BM70" s="167">
        <f t="shared" si="298"/>
        <v>0</v>
      </c>
      <c r="BN70" s="167">
        <f t="shared" si="249"/>
        <v>0</v>
      </c>
      <c r="BO70" s="170">
        <f t="shared" si="299"/>
        <v>0</v>
      </c>
      <c r="BP70" s="167">
        <f t="shared" si="300"/>
        <v>0</v>
      </c>
      <c r="BQ70" s="171">
        <f t="shared" si="301"/>
        <v>0</v>
      </c>
      <c r="BR70" s="169">
        <f t="shared" si="280"/>
        <v>0</v>
      </c>
      <c r="BS70" s="167">
        <f t="shared" si="250"/>
        <v>0</v>
      </c>
      <c r="BT70" s="167">
        <f t="shared" si="302"/>
        <v>0</v>
      </c>
      <c r="BU70" s="167">
        <f t="shared" si="251"/>
        <v>0</v>
      </c>
      <c r="BV70" s="167">
        <f t="shared" si="303"/>
        <v>0</v>
      </c>
      <c r="BW70" s="167">
        <f t="shared" si="252"/>
        <v>0</v>
      </c>
      <c r="BX70" s="167">
        <f t="shared" si="304"/>
        <v>0</v>
      </c>
      <c r="BY70" s="167">
        <f t="shared" si="253"/>
        <v>0</v>
      </c>
      <c r="BZ70" s="167">
        <f t="shared" si="305"/>
        <v>0</v>
      </c>
      <c r="CA70" s="167">
        <f t="shared" si="254"/>
        <v>0</v>
      </c>
      <c r="CB70" s="170">
        <f t="shared" si="306"/>
        <v>0</v>
      </c>
      <c r="CC70" s="167">
        <f t="shared" si="307"/>
        <v>0</v>
      </c>
      <c r="CD70" s="171">
        <f t="shared" si="308"/>
        <v>0</v>
      </c>
      <c r="CE70" s="169">
        <f t="shared" si="280"/>
        <v>0</v>
      </c>
      <c r="CF70" s="167">
        <f t="shared" si="255"/>
        <v>0</v>
      </c>
      <c r="CG70" s="167">
        <f t="shared" si="309"/>
        <v>0</v>
      </c>
      <c r="CH70" s="167">
        <f t="shared" si="256"/>
        <v>0</v>
      </c>
      <c r="CI70" s="167">
        <f t="shared" si="310"/>
        <v>0</v>
      </c>
      <c r="CJ70" s="167">
        <f t="shared" si="257"/>
        <v>0</v>
      </c>
      <c r="CK70" s="167">
        <f t="shared" si="311"/>
        <v>0</v>
      </c>
      <c r="CL70" s="167">
        <f t="shared" si="258"/>
        <v>0</v>
      </c>
      <c r="CM70" s="167">
        <f t="shared" si="312"/>
        <v>0</v>
      </c>
      <c r="CN70" s="167">
        <f t="shared" si="259"/>
        <v>0</v>
      </c>
      <c r="CO70" s="170">
        <f t="shared" si="313"/>
        <v>0</v>
      </c>
      <c r="CP70" s="167">
        <f t="shared" si="314"/>
        <v>0</v>
      </c>
      <c r="CQ70" s="171">
        <f t="shared" si="315"/>
        <v>0</v>
      </c>
      <c r="CR70" s="169">
        <f t="shared" si="316"/>
        <v>0</v>
      </c>
      <c r="CS70" s="167">
        <f t="shared" si="261"/>
        <v>0</v>
      </c>
      <c r="CT70" s="167">
        <f t="shared" si="317"/>
        <v>0</v>
      </c>
      <c r="CU70" s="167">
        <f t="shared" si="262"/>
        <v>0</v>
      </c>
      <c r="CV70" s="167">
        <f t="shared" si="318"/>
        <v>0</v>
      </c>
      <c r="CW70" s="167">
        <f t="shared" si="263"/>
        <v>0</v>
      </c>
      <c r="CX70" s="167">
        <f t="shared" si="319"/>
        <v>0</v>
      </c>
      <c r="CY70" s="167">
        <f t="shared" si="264"/>
        <v>0</v>
      </c>
      <c r="CZ70" s="167">
        <f t="shared" si="320"/>
        <v>0</v>
      </c>
      <c r="DA70" s="167">
        <f t="shared" si="265"/>
        <v>0</v>
      </c>
      <c r="DB70" s="170">
        <f t="shared" si="321"/>
        <v>0</v>
      </c>
      <c r="DC70" s="167">
        <f t="shared" si="322"/>
        <v>0</v>
      </c>
      <c r="DD70" s="171">
        <f t="shared" si="323"/>
        <v>0</v>
      </c>
      <c r="DE70" s="169">
        <f t="shared" si="316"/>
        <v>0</v>
      </c>
      <c r="DF70" s="167">
        <f t="shared" si="266"/>
        <v>0</v>
      </c>
      <c r="DG70" s="167">
        <f t="shared" si="324"/>
        <v>0</v>
      </c>
      <c r="DH70" s="167">
        <f t="shared" si="267"/>
        <v>0</v>
      </c>
      <c r="DI70" s="167">
        <f t="shared" si="325"/>
        <v>0</v>
      </c>
      <c r="DJ70" s="167">
        <f t="shared" si="268"/>
        <v>0</v>
      </c>
      <c r="DK70" s="167">
        <f t="shared" si="326"/>
        <v>0</v>
      </c>
      <c r="DL70" s="167">
        <f t="shared" si="269"/>
        <v>0</v>
      </c>
      <c r="DM70" s="167">
        <f t="shared" si="327"/>
        <v>0</v>
      </c>
      <c r="DN70" s="167">
        <f t="shared" si="270"/>
        <v>0</v>
      </c>
      <c r="DO70" s="170">
        <f t="shared" si="328"/>
        <v>0</v>
      </c>
      <c r="DP70" s="167">
        <f t="shared" si="329"/>
        <v>0</v>
      </c>
      <c r="DQ70" s="171">
        <f t="shared" si="330"/>
        <v>0</v>
      </c>
      <c r="DR70" s="169">
        <f t="shared" si="316"/>
        <v>0</v>
      </c>
      <c r="DS70" s="167">
        <f t="shared" si="271"/>
        <v>0</v>
      </c>
      <c r="DT70" s="167">
        <f t="shared" si="331"/>
        <v>0</v>
      </c>
      <c r="DU70" s="167">
        <f t="shared" si="272"/>
        <v>0</v>
      </c>
      <c r="DV70" s="167">
        <f t="shared" si="332"/>
        <v>0</v>
      </c>
      <c r="DW70" s="167">
        <f t="shared" si="273"/>
        <v>0</v>
      </c>
      <c r="DX70" s="167">
        <f t="shared" si="333"/>
        <v>0</v>
      </c>
      <c r="DY70" s="167">
        <f t="shared" si="274"/>
        <v>0</v>
      </c>
      <c r="DZ70" s="167">
        <f t="shared" si="334"/>
        <v>0</v>
      </c>
      <c r="EA70" s="167">
        <f t="shared" si="275"/>
        <v>0</v>
      </c>
      <c r="EB70" s="170">
        <f t="shared" si="335"/>
        <v>0</v>
      </c>
      <c r="EC70" s="167">
        <f t="shared" si="336"/>
        <v>0</v>
      </c>
      <c r="ED70" s="171">
        <f t="shared" si="337"/>
        <v>0</v>
      </c>
    </row>
    <row r="71" spans="1:134" x14ac:dyDescent="0.3">
      <c r="A71" s="196"/>
      <c r="B71" s="196"/>
      <c r="C71" s="196"/>
      <c r="D71" s="188"/>
      <c r="E71" s="624"/>
      <c r="F71" s="190"/>
      <c r="G71" s="625"/>
      <c r="H71" s="192"/>
      <c r="I71" s="193"/>
      <c r="J71" s="194"/>
      <c r="K71" s="165">
        <f t="shared" si="338"/>
        <v>0</v>
      </c>
      <c r="L71" s="166">
        <f t="shared" si="339"/>
        <v>0</v>
      </c>
      <c r="M71" s="167">
        <f t="shared" si="340"/>
        <v>0</v>
      </c>
      <c r="N71" s="167"/>
      <c r="O71" s="167">
        <f t="shared" si="341"/>
        <v>0</v>
      </c>
      <c r="P71" s="168"/>
      <c r="Q71" s="167">
        <f t="shared" si="342"/>
        <v>0</v>
      </c>
      <c r="R71" s="169">
        <f t="shared" si="343"/>
        <v>0</v>
      </c>
      <c r="S71" s="167">
        <f t="shared" si="344"/>
        <v>0</v>
      </c>
      <c r="T71" s="167">
        <f t="shared" si="345"/>
        <v>0</v>
      </c>
      <c r="U71" s="167">
        <f t="shared" si="346"/>
        <v>0</v>
      </c>
      <c r="V71" s="167">
        <f t="shared" si="347"/>
        <v>0</v>
      </c>
      <c r="W71" s="167">
        <f t="shared" si="348"/>
        <v>0</v>
      </c>
      <c r="X71" s="167">
        <f t="shared" si="349"/>
        <v>0</v>
      </c>
      <c r="Y71" s="167">
        <f t="shared" si="350"/>
        <v>0</v>
      </c>
      <c r="Z71" s="167">
        <f t="shared" si="351"/>
        <v>0</v>
      </c>
      <c r="AA71" s="167">
        <f t="shared" si="352"/>
        <v>0</v>
      </c>
      <c r="AB71" s="170">
        <f t="shared" si="353"/>
        <v>0</v>
      </c>
      <c r="AC71" s="167">
        <f t="shared" si="354"/>
        <v>0</v>
      </c>
      <c r="AD71" s="171">
        <f t="shared" si="355"/>
        <v>0</v>
      </c>
      <c r="AE71" s="169">
        <f t="shared" si="280"/>
        <v>0</v>
      </c>
      <c r="AF71" s="167">
        <f t="shared" si="235"/>
        <v>0</v>
      </c>
      <c r="AG71" s="167">
        <f t="shared" si="281"/>
        <v>0</v>
      </c>
      <c r="AH71" s="167">
        <f t="shared" si="236"/>
        <v>0</v>
      </c>
      <c r="AI71" s="167">
        <f t="shared" si="282"/>
        <v>0</v>
      </c>
      <c r="AJ71" s="167">
        <f t="shared" si="237"/>
        <v>0</v>
      </c>
      <c r="AK71" s="167">
        <f t="shared" si="283"/>
        <v>0</v>
      </c>
      <c r="AL71" s="167">
        <f t="shared" si="238"/>
        <v>0</v>
      </c>
      <c r="AM71" s="167">
        <f t="shared" si="284"/>
        <v>0</v>
      </c>
      <c r="AN71" s="167">
        <f t="shared" si="239"/>
        <v>0</v>
      </c>
      <c r="AO71" s="170">
        <f t="shared" si="285"/>
        <v>0</v>
      </c>
      <c r="AP71" s="167">
        <f t="shared" si="286"/>
        <v>0</v>
      </c>
      <c r="AQ71" s="171">
        <f t="shared" si="287"/>
        <v>0</v>
      </c>
      <c r="AR71" s="169">
        <f t="shared" si="280"/>
        <v>0</v>
      </c>
      <c r="AS71" s="167">
        <f t="shared" si="240"/>
        <v>0</v>
      </c>
      <c r="AT71" s="167">
        <f t="shared" si="288"/>
        <v>0</v>
      </c>
      <c r="AU71" s="167">
        <f t="shared" si="241"/>
        <v>0</v>
      </c>
      <c r="AV71" s="167">
        <f t="shared" si="289"/>
        <v>0</v>
      </c>
      <c r="AW71" s="167">
        <f t="shared" si="242"/>
        <v>0</v>
      </c>
      <c r="AX71" s="167">
        <f t="shared" si="290"/>
        <v>0</v>
      </c>
      <c r="AY71" s="167">
        <f t="shared" si="243"/>
        <v>0</v>
      </c>
      <c r="AZ71" s="167">
        <f t="shared" si="291"/>
        <v>0</v>
      </c>
      <c r="BA71" s="167">
        <f t="shared" si="244"/>
        <v>0</v>
      </c>
      <c r="BB71" s="170">
        <f t="shared" si="292"/>
        <v>0</v>
      </c>
      <c r="BC71" s="167">
        <f t="shared" si="293"/>
        <v>0</v>
      </c>
      <c r="BD71" s="171">
        <f t="shared" si="294"/>
        <v>0</v>
      </c>
      <c r="BE71" s="169">
        <f t="shared" si="280"/>
        <v>0</v>
      </c>
      <c r="BF71" s="167">
        <f t="shared" si="245"/>
        <v>0</v>
      </c>
      <c r="BG71" s="167">
        <f t="shared" si="295"/>
        <v>0</v>
      </c>
      <c r="BH71" s="167">
        <f t="shared" si="246"/>
        <v>0</v>
      </c>
      <c r="BI71" s="167">
        <f t="shared" si="296"/>
        <v>0</v>
      </c>
      <c r="BJ71" s="167">
        <f t="shared" si="247"/>
        <v>0</v>
      </c>
      <c r="BK71" s="167">
        <f t="shared" si="297"/>
        <v>0</v>
      </c>
      <c r="BL71" s="167">
        <f t="shared" si="248"/>
        <v>0</v>
      </c>
      <c r="BM71" s="167">
        <f t="shared" si="298"/>
        <v>0</v>
      </c>
      <c r="BN71" s="167">
        <f t="shared" si="249"/>
        <v>0</v>
      </c>
      <c r="BO71" s="170">
        <f t="shared" si="299"/>
        <v>0</v>
      </c>
      <c r="BP71" s="167">
        <f t="shared" si="300"/>
        <v>0</v>
      </c>
      <c r="BQ71" s="171">
        <f t="shared" si="301"/>
        <v>0</v>
      </c>
      <c r="BR71" s="169">
        <f t="shared" si="280"/>
        <v>0</v>
      </c>
      <c r="BS71" s="167">
        <f t="shared" si="250"/>
        <v>0</v>
      </c>
      <c r="BT71" s="167">
        <f t="shared" si="302"/>
        <v>0</v>
      </c>
      <c r="BU71" s="167">
        <f t="shared" si="251"/>
        <v>0</v>
      </c>
      <c r="BV71" s="167">
        <f t="shared" si="303"/>
        <v>0</v>
      </c>
      <c r="BW71" s="167">
        <f t="shared" si="252"/>
        <v>0</v>
      </c>
      <c r="BX71" s="167">
        <f t="shared" si="304"/>
        <v>0</v>
      </c>
      <c r="BY71" s="167">
        <f t="shared" si="253"/>
        <v>0</v>
      </c>
      <c r="BZ71" s="167">
        <f t="shared" si="305"/>
        <v>0</v>
      </c>
      <c r="CA71" s="167">
        <f t="shared" si="254"/>
        <v>0</v>
      </c>
      <c r="CB71" s="170">
        <f t="shared" si="306"/>
        <v>0</v>
      </c>
      <c r="CC71" s="167">
        <f t="shared" si="307"/>
        <v>0</v>
      </c>
      <c r="CD71" s="171">
        <f t="shared" si="308"/>
        <v>0</v>
      </c>
      <c r="CE71" s="169">
        <f t="shared" si="280"/>
        <v>0</v>
      </c>
      <c r="CF71" s="167">
        <f t="shared" si="255"/>
        <v>0</v>
      </c>
      <c r="CG71" s="167">
        <f t="shared" si="309"/>
        <v>0</v>
      </c>
      <c r="CH71" s="167">
        <f t="shared" si="256"/>
        <v>0</v>
      </c>
      <c r="CI71" s="167">
        <f t="shared" si="310"/>
        <v>0</v>
      </c>
      <c r="CJ71" s="167">
        <f t="shared" si="257"/>
        <v>0</v>
      </c>
      <c r="CK71" s="167">
        <f t="shared" si="311"/>
        <v>0</v>
      </c>
      <c r="CL71" s="167">
        <f t="shared" si="258"/>
        <v>0</v>
      </c>
      <c r="CM71" s="167">
        <f t="shared" si="312"/>
        <v>0</v>
      </c>
      <c r="CN71" s="167">
        <f t="shared" si="259"/>
        <v>0</v>
      </c>
      <c r="CO71" s="170">
        <f t="shared" si="313"/>
        <v>0</v>
      </c>
      <c r="CP71" s="167">
        <f t="shared" si="314"/>
        <v>0</v>
      </c>
      <c r="CQ71" s="171">
        <f t="shared" si="315"/>
        <v>0</v>
      </c>
      <c r="CR71" s="169">
        <f t="shared" si="316"/>
        <v>0</v>
      </c>
      <c r="CS71" s="167">
        <f t="shared" si="261"/>
        <v>0</v>
      </c>
      <c r="CT71" s="167">
        <f t="shared" si="317"/>
        <v>0</v>
      </c>
      <c r="CU71" s="167">
        <f t="shared" si="262"/>
        <v>0</v>
      </c>
      <c r="CV71" s="167">
        <f t="shared" si="318"/>
        <v>0</v>
      </c>
      <c r="CW71" s="167">
        <f t="shared" si="263"/>
        <v>0</v>
      </c>
      <c r="CX71" s="167">
        <f t="shared" si="319"/>
        <v>0</v>
      </c>
      <c r="CY71" s="167">
        <f t="shared" si="264"/>
        <v>0</v>
      </c>
      <c r="CZ71" s="167">
        <f t="shared" si="320"/>
        <v>0</v>
      </c>
      <c r="DA71" s="167">
        <f t="shared" si="265"/>
        <v>0</v>
      </c>
      <c r="DB71" s="170">
        <f t="shared" si="321"/>
        <v>0</v>
      </c>
      <c r="DC71" s="167">
        <f t="shared" si="322"/>
        <v>0</v>
      </c>
      <c r="DD71" s="171">
        <f t="shared" si="323"/>
        <v>0</v>
      </c>
      <c r="DE71" s="169">
        <f t="shared" si="316"/>
        <v>0</v>
      </c>
      <c r="DF71" s="167">
        <f t="shared" si="266"/>
        <v>0</v>
      </c>
      <c r="DG71" s="167">
        <f t="shared" si="324"/>
        <v>0</v>
      </c>
      <c r="DH71" s="167">
        <f t="shared" si="267"/>
        <v>0</v>
      </c>
      <c r="DI71" s="167">
        <f t="shared" si="325"/>
        <v>0</v>
      </c>
      <c r="DJ71" s="167">
        <f t="shared" si="268"/>
        <v>0</v>
      </c>
      <c r="DK71" s="167">
        <f t="shared" si="326"/>
        <v>0</v>
      </c>
      <c r="DL71" s="167">
        <f t="shared" si="269"/>
        <v>0</v>
      </c>
      <c r="DM71" s="167">
        <f t="shared" si="327"/>
        <v>0</v>
      </c>
      <c r="DN71" s="167">
        <f t="shared" si="270"/>
        <v>0</v>
      </c>
      <c r="DO71" s="170">
        <f t="shared" si="328"/>
        <v>0</v>
      </c>
      <c r="DP71" s="167">
        <f t="shared" si="329"/>
        <v>0</v>
      </c>
      <c r="DQ71" s="171">
        <f t="shared" si="330"/>
        <v>0</v>
      </c>
      <c r="DR71" s="169">
        <f t="shared" si="316"/>
        <v>0</v>
      </c>
      <c r="DS71" s="167">
        <f t="shared" si="271"/>
        <v>0</v>
      </c>
      <c r="DT71" s="167">
        <f t="shared" si="331"/>
        <v>0</v>
      </c>
      <c r="DU71" s="167">
        <f t="shared" si="272"/>
        <v>0</v>
      </c>
      <c r="DV71" s="167">
        <f t="shared" si="332"/>
        <v>0</v>
      </c>
      <c r="DW71" s="167">
        <f t="shared" si="273"/>
        <v>0</v>
      </c>
      <c r="DX71" s="167">
        <f t="shared" si="333"/>
        <v>0</v>
      </c>
      <c r="DY71" s="167">
        <f t="shared" si="274"/>
        <v>0</v>
      </c>
      <c r="DZ71" s="167">
        <f t="shared" si="334"/>
        <v>0</v>
      </c>
      <c r="EA71" s="167">
        <f t="shared" si="275"/>
        <v>0</v>
      </c>
      <c r="EB71" s="170">
        <f t="shared" si="335"/>
        <v>0</v>
      </c>
      <c r="EC71" s="167">
        <f t="shared" si="336"/>
        <v>0</v>
      </c>
      <c r="ED71" s="171">
        <f t="shared" si="337"/>
        <v>0</v>
      </c>
    </row>
    <row r="72" spans="1:134" x14ac:dyDescent="0.3">
      <c r="A72" s="185"/>
      <c r="B72" s="186"/>
      <c r="C72" s="187"/>
      <c r="D72" s="188"/>
      <c r="E72" s="189"/>
      <c r="F72" s="190"/>
      <c r="G72" s="191"/>
      <c r="H72" s="192"/>
      <c r="I72" s="193"/>
      <c r="J72" s="194"/>
      <c r="K72" s="165">
        <f t="shared" si="338"/>
        <v>0</v>
      </c>
      <c r="L72" s="166">
        <f t="shared" si="339"/>
        <v>0</v>
      </c>
      <c r="M72" s="167">
        <f t="shared" si="340"/>
        <v>0</v>
      </c>
      <c r="N72" s="167"/>
      <c r="O72" s="167">
        <f t="shared" si="341"/>
        <v>0</v>
      </c>
      <c r="P72" s="168"/>
      <c r="Q72" s="167">
        <f t="shared" si="342"/>
        <v>0</v>
      </c>
      <c r="R72" s="169">
        <f t="shared" si="343"/>
        <v>0</v>
      </c>
      <c r="S72" s="167">
        <f t="shared" si="344"/>
        <v>0</v>
      </c>
      <c r="T72" s="167">
        <f t="shared" si="345"/>
        <v>0</v>
      </c>
      <c r="U72" s="167">
        <f t="shared" si="346"/>
        <v>0</v>
      </c>
      <c r="V72" s="167">
        <f t="shared" si="347"/>
        <v>0</v>
      </c>
      <c r="W72" s="167">
        <f t="shared" si="348"/>
        <v>0</v>
      </c>
      <c r="X72" s="167">
        <f t="shared" si="349"/>
        <v>0</v>
      </c>
      <c r="Y72" s="167">
        <f t="shared" si="350"/>
        <v>0</v>
      </c>
      <c r="Z72" s="167">
        <f t="shared" si="351"/>
        <v>0</v>
      </c>
      <c r="AA72" s="167">
        <f t="shared" si="352"/>
        <v>0</v>
      </c>
      <c r="AB72" s="170">
        <f t="shared" si="353"/>
        <v>0</v>
      </c>
      <c r="AC72" s="167">
        <f t="shared" si="354"/>
        <v>0</v>
      </c>
      <c r="AD72" s="171">
        <f t="shared" si="355"/>
        <v>0</v>
      </c>
      <c r="AE72" s="169">
        <f t="shared" si="280"/>
        <v>0</v>
      </c>
      <c r="AF72" s="167">
        <f t="shared" si="235"/>
        <v>0</v>
      </c>
      <c r="AG72" s="167">
        <f t="shared" si="281"/>
        <v>0</v>
      </c>
      <c r="AH72" s="167">
        <f t="shared" si="236"/>
        <v>0</v>
      </c>
      <c r="AI72" s="167">
        <f t="shared" si="282"/>
        <v>0</v>
      </c>
      <c r="AJ72" s="167">
        <f t="shared" si="237"/>
        <v>0</v>
      </c>
      <c r="AK72" s="167">
        <f t="shared" si="283"/>
        <v>0</v>
      </c>
      <c r="AL72" s="167">
        <f t="shared" si="238"/>
        <v>0</v>
      </c>
      <c r="AM72" s="167">
        <f t="shared" si="284"/>
        <v>0</v>
      </c>
      <c r="AN72" s="167">
        <f t="shared" si="239"/>
        <v>0</v>
      </c>
      <c r="AO72" s="170">
        <f t="shared" si="285"/>
        <v>0</v>
      </c>
      <c r="AP72" s="167">
        <f t="shared" si="286"/>
        <v>0</v>
      </c>
      <c r="AQ72" s="171">
        <f t="shared" si="287"/>
        <v>0</v>
      </c>
      <c r="AR72" s="169">
        <f t="shared" si="280"/>
        <v>0</v>
      </c>
      <c r="AS72" s="167">
        <f t="shared" si="240"/>
        <v>0</v>
      </c>
      <c r="AT72" s="167">
        <f t="shared" si="288"/>
        <v>0</v>
      </c>
      <c r="AU72" s="167">
        <f t="shared" si="241"/>
        <v>0</v>
      </c>
      <c r="AV72" s="167">
        <f t="shared" si="289"/>
        <v>0</v>
      </c>
      <c r="AW72" s="167">
        <f t="shared" si="242"/>
        <v>0</v>
      </c>
      <c r="AX72" s="167">
        <f t="shared" si="290"/>
        <v>0</v>
      </c>
      <c r="AY72" s="167">
        <f t="shared" si="243"/>
        <v>0</v>
      </c>
      <c r="AZ72" s="167">
        <f t="shared" si="291"/>
        <v>0</v>
      </c>
      <c r="BA72" s="167">
        <f t="shared" si="244"/>
        <v>0</v>
      </c>
      <c r="BB72" s="170">
        <f t="shared" si="292"/>
        <v>0</v>
      </c>
      <c r="BC72" s="167">
        <f t="shared" si="293"/>
        <v>0</v>
      </c>
      <c r="BD72" s="171">
        <f t="shared" si="294"/>
        <v>0</v>
      </c>
      <c r="BE72" s="169">
        <f t="shared" si="280"/>
        <v>0</v>
      </c>
      <c r="BF72" s="167">
        <f t="shared" si="245"/>
        <v>0</v>
      </c>
      <c r="BG72" s="167">
        <f t="shared" si="295"/>
        <v>0</v>
      </c>
      <c r="BH72" s="167">
        <f t="shared" si="246"/>
        <v>0</v>
      </c>
      <c r="BI72" s="167">
        <f t="shared" si="296"/>
        <v>0</v>
      </c>
      <c r="BJ72" s="167">
        <f t="shared" si="247"/>
        <v>0</v>
      </c>
      <c r="BK72" s="167">
        <f t="shared" si="297"/>
        <v>0</v>
      </c>
      <c r="BL72" s="167">
        <f t="shared" si="248"/>
        <v>0</v>
      </c>
      <c r="BM72" s="167">
        <f t="shared" si="298"/>
        <v>0</v>
      </c>
      <c r="BN72" s="167">
        <f t="shared" si="249"/>
        <v>0</v>
      </c>
      <c r="BO72" s="170">
        <f t="shared" si="299"/>
        <v>0</v>
      </c>
      <c r="BP72" s="167">
        <f t="shared" si="300"/>
        <v>0</v>
      </c>
      <c r="BQ72" s="171">
        <f t="shared" si="301"/>
        <v>0</v>
      </c>
      <c r="BR72" s="169">
        <f t="shared" si="280"/>
        <v>0</v>
      </c>
      <c r="BS72" s="167">
        <f t="shared" si="250"/>
        <v>0</v>
      </c>
      <c r="BT72" s="167">
        <f t="shared" si="302"/>
        <v>0</v>
      </c>
      <c r="BU72" s="167">
        <f t="shared" si="251"/>
        <v>0</v>
      </c>
      <c r="BV72" s="167">
        <f t="shared" si="303"/>
        <v>0</v>
      </c>
      <c r="BW72" s="167">
        <f t="shared" si="252"/>
        <v>0</v>
      </c>
      <c r="BX72" s="167">
        <f t="shared" si="304"/>
        <v>0</v>
      </c>
      <c r="BY72" s="167">
        <f t="shared" si="253"/>
        <v>0</v>
      </c>
      <c r="BZ72" s="167">
        <f t="shared" si="305"/>
        <v>0</v>
      </c>
      <c r="CA72" s="167">
        <f t="shared" si="254"/>
        <v>0</v>
      </c>
      <c r="CB72" s="170">
        <f t="shared" si="306"/>
        <v>0</v>
      </c>
      <c r="CC72" s="167">
        <f t="shared" si="307"/>
        <v>0</v>
      </c>
      <c r="CD72" s="171">
        <f t="shared" si="308"/>
        <v>0</v>
      </c>
      <c r="CE72" s="169">
        <f t="shared" si="280"/>
        <v>0</v>
      </c>
      <c r="CF72" s="167">
        <f t="shared" si="255"/>
        <v>0</v>
      </c>
      <c r="CG72" s="167">
        <f t="shared" si="309"/>
        <v>0</v>
      </c>
      <c r="CH72" s="167">
        <f t="shared" si="256"/>
        <v>0</v>
      </c>
      <c r="CI72" s="167">
        <f t="shared" si="310"/>
        <v>0</v>
      </c>
      <c r="CJ72" s="167">
        <f t="shared" si="257"/>
        <v>0</v>
      </c>
      <c r="CK72" s="167">
        <f t="shared" si="311"/>
        <v>0</v>
      </c>
      <c r="CL72" s="167">
        <f t="shared" si="258"/>
        <v>0</v>
      </c>
      <c r="CM72" s="167">
        <f t="shared" si="312"/>
        <v>0</v>
      </c>
      <c r="CN72" s="167">
        <f t="shared" si="259"/>
        <v>0</v>
      </c>
      <c r="CO72" s="170">
        <f t="shared" si="313"/>
        <v>0</v>
      </c>
      <c r="CP72" s="167">
        <f t="shared" si="314"/>
        <v>0</v>
      </c>
      <c r="CQ72" s="171">
        <f t="shared" si="315"/>
        <v>0</v>
      </c>
      <c r="CR72" s="169">
        <f t="shared" si="316"/>
        <v>0</v>
      </c>
      <c r="CS72" s="167">
        <f t="shared" si="261"/>
        <v>0</v>
      </c>
      <c r="CT72" s="167">
        <f t="shared" si="317"/>
        <v>0</v>
      </c>
      <c r="CU72" s="167">
        <f t="shared" si="262"/>
        <v>0</v>
      </c>
      <c r="CV72" s="167">
        <f t="shared" si="318"/>
        <v>0</v>
      </c>
      <c r="CW72" s="167">
        <f t="shared" si="263"/>
        <v>0</v>
      </c>
      <c r="CX72" s="167">
        <f t="shared" si="319"/>
        <v>0</v>
      </c>
      <c r="CY72" s="167">
        <f t="shared" si="264"/>
        <v>0</v>
      </c>
      <c r="CZ72" s="167">
        <f t="shared" si="320"/>
        <v>0</v>
      </c>
      <c r="DA72" s="167">
        <f t="shared" si="265"/>
        <v>0</v>
      </c>
      <c r="DB72" s="170">
        <f t="shared" si="321"/>
        <v>0</v>
      </c>
      <c r="DC72" s="167">
        <f t="shared" si="322"/>
        <v>0</v>
      </c>
      <c r="DD72" s="171">
        <f t="shared" si="323"/>
        <v>0</v>
      </c>
      <c r="DE72" s="169">
        <f t="shared" si="316"/>
        <v>0</v>
      </c>
      <c r="DF72" s="167">
        <f t="shared" si="266"/>
        <v>0</v>
      </c>
      <c r="DG72" s="167">
        <f t="shared" si="324"/>
        <v>0</v>
      </c>
      <c r="DH72" s="167">
        <f t="shared" si="267"/>
        <v>0</v>
      </c>
      <c r="DI72" s="167">
        <f t="shared" si="325"/>
        <v>0</v>
      </c>
      <c r="DJ72" s="167">
        <f t="shared" si="268"/>
        <v>0</v>
      </c>
      <c r="DK72" s="167">
        <f t="shared" si="326"/>
        <v>0</v>
      </c>
      <c r="DL72" s="167">
        <f t="shared" si="269"/>
        <v>0</v>
      </c>
      <c r="DM72" s="167">
        <f t="shared" si="327"/>
        <v>0</v>
      </c>
      <c r="DN72" s="167">
        <f t="shared" si="270"/>
        <v>0</v>
      </c>
      <c r="DO72" s="170">
        <f t="shared" si="328"/>
        <v>0</v>
      </c>
      <c r="DP72" s="167">
        <f t="shared" si="329"/>
        <v>0</v>
      </c>
      <c r="DQ72" s="171">
        <f t="shared" si="330"/>
        <v>0</v>
      </c>
      <c r="DR72" s="169">
        <f t="shared" si="316"/>
        <v>0</v>
      </c>
      <c r="DS72" s="167">
        <f t="shared" si="271"/>
        <v>0</v>
      </c>
      <c r="DT72" s="167">
        <f t="shared" si="331"/>
        <v>0</v>
      </c>
      <c r="DU72" s="167">
        <f t="shared" si="272"/>
        <v>0</v>
      </c>
      <c r="DV72" s="167">
        <f t="shared" si="332"/>
        <v>0</v>
      </c>
      <c r="DW72" s="167">
        <f t="shared" si="273"/>
        <v>0</v>
      </c>
      <c r="DX72" s="167">
        <f t="shared" si="333"/>
        <v>0</v>
      </c>
      <c r="DY72" s="167">
        <f t="shared" si="274"/>
        <v>0</v>
      </c>
      <c r="DZ72" s="167">
        <f t="shared" si="334"/>
        <v>0</v>
      </c>
      <c r="EA72" s="167">
        <f t="shared" si="275"/>
        <v>0</v>
      </c>
      <c r="EB72" s="170">
        <f t="shared" si="335"/>
        <v>0</v>
      </c>
      <c r="EC72" s="167">
        <f t="shared" si="336"/>
        <v>0</v>
      </c>
      <c r="ED72" s="171">
        <f t="shared" si="337"/>
        <v>0</v>
      </c>
    </row>
    <row r="73" spans="1:134" x14ac:dyDescent="0.3">
      <c r="A73" s="185"/>
      <c r="B73" s="186"/>
      <c r="C73" s="187"/>
      <c r="D73" s="188"/>
      <c r="E73" s="189"/>
      <c r="F73" s="190"/>
      <c r="G73" s="191"/>
      <c r="H73" s="192"/>
      <c r="I73" s="193"/>
      <c r="J73" s="194"/>
      <c r="K73" s="165">
        <f t="shared" si="338"/>
        <v>0</v>
      </c>
      <c r="L73" s="166">
        <f t="shared" si="339"/>
        <v>0</v>
      </c>
      <c r="M73" s="167">
        <f t="shared" si="340"/>
        <v>0</v>
      </c>
      <c r="N73" s="167"/>
      <c r="O73" s="167">
        <f t="shared" si="341"/>
        <v>0</v>
      </c>
      <c r="P73" s="168"/>
      <c r="Q73" s="167">
        <f t="shared" si="342"/>
        <v>0</v>
      </c>
      <c r="R73" s="169">
        <f t="shared" si="343"/>
        <v>0</v>
      </c>
      <c r="S73" s="167">
        <f t="shared" si="344"/>
        <v>0</v>
      </c>
      <c r="T73" s="167">
        <f t="shared" si="345"/>
        <v>0</v>
      </c>
      <c r="U73" s="167">
        <f t="shared" si="346"/>
        <v>0</v>
      </c>
      <c r="V73" s="167">
        <f t="shared" si="347"/>
        <v>0</v>
      </c>
      <c r="W73" s="167">
        <f t="shared" si="348"/>
        <v>0</v>
      </c>
      <c r="X73" s="167">
        <f t="shared" si="349"/>
        <v>0</v>
      </c>
      <c r="Y73" s="167">
        <f t="shared" si="350"/>
        <v>0</v>
      </c>
      <c r="Z73" s="167">
        <f t="shared" si="351"/>
        <v>0</v>
      </c>
      <c r="AA73" s="167">
        <f t="shared" si="352"/>
        <v>0</v>
      </c>
      <c r="AB73" s="170">
        <f t="shared" si="353"/>
        <v>0</v>
      </c>
      <c r="AC73" s="167">
        <f t="shared" si="354"/>
        <v>0</v>
      </c>
      <c r="AD73" s="171">
        <f t="shared" si="355"/>
        <v>0</v>
      </c>
      <c r="AE73" s="169">
        <f t="shared" si="280"/>
        <v>0</v>
      </c>
      <c r="AF73" s="167">
        <f t="shared" si="235"/>
        <v>0</v>
      </c>
      <c r="AG73" s="167">
        <f t="shared" si="281"/>
        <v>0</v>
      </c>
      <c r="AH73" s="167">
        <f t="shared" si="236"/>
        <v>0</v>
      </c>
      <c r="AI73" s="167">
        <f t="shared" si="282"/>
        <v>0</v>
      </c>
      <c r="AJ73" s="167">
        <f t="shared" si="237"/>
        <v>0</v>
      </c>
      <c r="AK73" s="167">
        <f t="shared" si="283"/>
        <v>0</v>
      </c>
      <c r="AL73" s="167">
        <f t="shared" si="238"/>
        <v>0</v>
      </c>
      <c r="AM73" s="167">
        <f t="shared" si="284"/>
        <v>0</v>
      </c>
      <c r="AN73" s="167">
        <f t="shared" si="239"/>
        <v>0</v>
      </c>
      <c r="AO73" s="170">
        <f t="shared" si="285"/>
        <v>0</v>
      </c>
      <c r="AP73" s="167">
        <f t="shared" si="286"/>
        <v>0</v>
      </c>
      <c r="AQ73" s="171">
        <f t="shared" si="287"/>
        <v>0</v>
      </c>
      <c r="AR73" s="169">
        <f t="shared" si="280"/>
        <v>0</v>
      </c>
      <c r="AS73" s="167">
        <f t="shared" si="240"/>
        <v>0</v>
      </c>
      <c r="AT73" s="167">
        <f t="shared" si="288"/>
        <v>0</v>
      </c>
      <c r="AU73" s="167">
        <f t="shared" si="241"/>
        <v>0</v>
      </c>
      <c r="AV73" s="167">
        <f t="shared" si="289"/>
        <v>0</v>
      </c>
      <c r="AW73" s="167">
        <f t="shared" si="242"/>
        <v>0</v>
      </c>
      <c r="AX73" s="167">
        <f t="shared" si="290"/>
        <v>0</v>
      </c>
      <c r="AY73" s="167">
        <f t="shared" si="243"/>
        <v>0</v>
      </c>
      <c r="AZ73" s="167">
        <f t="shared" si="291"/>
        <v>0</v>
      </c>
      <c r="BA73" s="167">
        <f t="shared" si="244"/>
        <v>0</v>
      </c>
      <c r="BB73" s="170">
        <f t="shared" si="292"/>
        <v>0</v>
      </c>
      <c r="BC73" s="167">
        <f t="shared" si="293"/>
        <v>0</v>
      </c>
      <c r="BD73" s="171">
        <f t="shared" si="294"/>
        <v>0</v>
      </c>
      <c r="BE73" s="169">
        <f t="shared" si="280"/>
        <v>0</v>
      </c>
      <c r="BF73" s="167">
        <f t="shared" si="245"/>
        <v>0</v>
      </c>
      <c r="BG73" s="167">
        <f t="shared" si="295"/>
        <v>0</v>
      </c>
      <c r="BH73" s="167">
        <f t="shared" si="246"/>
        <v>0</v>
      </c>
      <c r="BI73" s="167">
        <f t="shared" si="296"/>
        <v>0</v>
      </c>
      <c r="BJ73" s="167">
        <f t="shared" si="247"/>
        <v>0</v>
      </c>
      <c r="BK73" s="167">
        <f t="shared" si="297"/>
        <v>0</v>
      </c>
      <c r="BL73" s="167">
        <f t="shared" si="248"/>
        <v>0</v>
      </c>
      <c r="BM73" s="167">
        <f t="shared" si="298"/>
        <v>0</v>
      </c>
      <c r="BN73" s="167">
        <f t="shared" si="249"/>
        <v>0</v>
      </c>
      <c r="BO73" s="170">
        <f t="shared" si="299"/>
        <v>0</v>
      </c>
      <c r="BP73" s="167">
        <f t="shared" si="300"/>
        <v>0</v>
      </c>
      <c r="BQ73" s="171">
        <f t="shared" si="301"/>
        <v>0</v>
      </c>
      <c r="BR73" s="169">
        <f t="shared" si="280"/>
        <v>0</v>
      </c>
      <c r="BS73" s="167">
        <f t="shared" si="250"/>
        <v>0</v>
      </c>
      <c r="BT73" s="167">
        <f t="shared" si="302"/>
        <v>0</v>
      </c>
      <c r="BU73" s="167">
        <f t="shared" si="251"/>
        <v>0</v>
      </c>
      <c r="BV73" s="167">
        <f t="shared" si="303"/>
        <v>0</v>
      </c>
      <c r="BW73" s="167">
        <f t="shared" si="252"/>
        <v>0</v>
      </c>
      <c r="BX73" s="167">
        <f t="shared" si="304"/>
        <v>0</v>
      </c>
      <c r="BY73" s="167">
        <f t="shared" si="253"/>
        <v>0</v>
      </c>
      <c r="BZ73" s="167">
        <f t="shared" si="305"/>
        <v>0</v>
      </c>
      <c r="CA73" s="167">
        <f t="shared" si="254"/>
        <v>0</v>
      </c>
      <c r="CB73" s="170">
        <f t="shared" si="306"/>
        <v>0</v>
      </c>
      <c r="CC73" s="167">
        <f t="shared" si="307"/>
        <v>0</v>
      </c>
      <c r="CD73" s="171">
        <f t="shared" si="308"/>
        <v>0</v>
      </c>
      <c r="CE73" s="169">
        <f t="shared" si="280"/>
        <v>0</v>
      </c>
      <c r="CF73" s="167">
        <f t="shared" si="255"/>
        <v>0</v>
      </c>
      <c r="CG73" s="167">
        <f t="shared" si="309"/>
        <v>0</v>
      </c>
      <c r="CH73" s="167">
        <f t="shared" si="256"/>
        <v>0</v>
      </c>
      <c r="CI73" s="167">
        <f t="shared" si="310"/>
        <v>0</v>
      </c>
      <c r="CJ73" s="167">
        <f t="shared" si="257"/>
        <v>0</v>
      </c>
      <c r="CK73" s="167">
        <f t="shared" si="311"/>
        <v>0</v>
      </c>
      <c r="CL73" s="167">
        <f t="shared" si="258"/>
        <v>0</v>
      </c>
      <c r="CM73" s="167">
        <f t="shared" si="312"/>
        <v>0</v>
      </c>
      <c r="CN73" s="167">
        <f t="shared" si="259"/>
        <v>0</v>
      </c>
      <c r="CO73" s="170">
        <f t="shared" si="313"/>
        <v>0</v>
      </c>
      <c r="CP73" s="167">
        <f t="shared" si="314"/>
        <v>0</v>
      </c>
      <c r="CQ73" s="171">
        <f t="shared" si="315"/>
        <v>0</v>
      </c>
      <c r="CR73" s="169">
        <f t="shared" si="316"/>
        <v>0</v>
      </c>
      <c r="CS73" s="167">
        <f t="shared" si="261"/>
        <v>0</v>
      </c>
      <c r="CT73" s="167">
        <f t="shared" si="317"/>
        <v>0</v>
      </c>
      <c r="CU73" s="167">
        <f t="shared" si="262"/>
        <v>0</v>
      </c>
      <c r="CV73" s="167">
        <f t="shared" si="318"/>
        <v>0</v>
      </c>
      <c r="CW73" s="167">
        <f t="shared" si="263"/>
        <v>0</v>
      </c>
      <c r="CX73" s="167">
        <f t="shared" si="319"/>
        <v>0</v>
      </c>
      <c r="CY73" s="167">
        <f t="shared" si="264"/>
        <v>0</v>
      </c>
      <c r="CZ73" s="167">
        <f t="shared" si="320"/>
        <v>0</v>
      </c>
      <c r="DA73" s="167">
        <f t="shared" si="265"/>
        <v>0</v>
      </c>
      <c r="DB73" s="170">
        <f t="shared" si="321"/>
        <v>0</v>
      </c>
      <c r="DC73" s="167">
        <f t="shared" si="322"/>
        <v>0</v>
      </c>
      <c r="DD73" s="171">
        <f t="shared" si="323"/>
        <v>0</v>
      </c>
      <c r="DE73" s="169">
        <f t="shared" si="316"/>
        <v>0</v>
      </c>
      <c r="DF73" s="167">
        <f t="shared" si="266"/>
        <v>0</v>
      </c>
      <c r="DG73" s="167">
        <f t="shared" si="324"/>
        <v>0</v>
      </c>
      <c r="DH73" s="167">
        <f t="shared" si="267"/>
        <v>0</v>
      </c>
      <c r="DI73" s="167">
        <f t="shared" si="325"/>
        <v>0</v>
      </c>
      <c r="DJ73" s="167">
        <f t="shared" si="268"/>
        <v>0</v>
      </c>
      <c r="DK73" s="167">
        <f t="shared" si="326"/>
        <v>0</v>
      </c>
      <c r="DL73" s="167">
        <f t="shared" si="269"/>
        <v>0</v>
      </c>
      <c r="DM73" s="167">
        <f t="shared" si="327"/>
        <v>0</v>
      </c>
      <c r="DN73" s="167">
        <f t="shared" si="270"/>
        <v>0</v>
      </c>
      <c r="DO73" s="170">
        <f t="shared" si="328"/>
        <v>0</v>
      </c>
      <c r="DP73" s="167">
        <f t="shared" si="329"/>
        <v>0</v>
      </c>
      <c r="DQ73" s="171">
        <f t="shared" si="330"/>
        <v>0</v>
      </c>
      <c r="DR73" s="169">
        <f t="shared" si="316"/>
        <v>0</v>
      </c>
      <c r="DS73" s="167">
        <f t="shared" si="271"/>
        <v>0</v>
      </c>
      <c r="DT73" s="167">
        <f t="shared" si="331"/>
        <v>0</v>
      </c>
      <c r="DU73" s="167">
        <f t="shared" si="272"/>
        <v>0</v>
      </c>
      <c r="DV73" s="167">
        <f t="shared" si="332"/>
        <v>0</v>
      </c>
      <c r="DW73" s="167">
        <f t="shared" si="273"/>
        <v>0</v>
      </c>
      <c r="DX73" s="167">
        <f t="shared" si="333"/>
        <v>0</v>
      </c>
      <c r="DY73" s="167">
        <f t="shared" si="274"/>
        <v>0</v>
      </c>
      <c r="DZ73" s="167">
        <f t="shared" si="334"/>
        <v>0</v>
      </c>
      <c r="EA73" s="167">
        <f t="shared" si="275"/>
        <v>0</v>
      </c>
      <c r="EB73" s="170">
        <f t="shared" si="335"/>
        <v>0</v>
      </c>
      <c r="EC73" s="167">
        <f t="shared" si="336"/>
        <v>0</v>
      </c>
      <c r="ED73" s="171">
        <f t="shared" si="337"/>
        <v>0</v>
      </c>
    </row>
    <row r="74" spans="1:134" x14ac:dyDescent="0.3">
      <c r="A74" s="185"/>
      <c r="B74" s="186"/>
      <c r="C74" s="187"/>
      <c r="D74" s="188"/>
      <c r="E74" s="189"/>
      <c r="F74" s="190"/>
      <c r="G74" s="191"/>
      <c r="H74" s="192"/>
      <c r="I74" s="193"/>
      <c r="J74" s="194"/>
      <c r="K74" s="165">
        <f t="shared" si="338"/>
        <v>0</v>
      </c>
      <c r="L74" s="166">
        <f t="shared" si="339"/>
        <v>0</v>
      </c>
      <c r="M74" s="167">
        <f t="shared" si="340"/>
        <v>0</v>
      </c>
      <c r="N74" s="167"/>
      <c r="O74" s="167">
        <f t="shared" si="341"/>
        <v>0</v>
      </c>
      <c r="P74" s="168"/>
      <c r="Q74" s="167">
        <f t="shared" si="342"/>
        <v>0</v>
      </c>
      <c r="R74" s="169">
        <f t="shared" si="343"/>
        <v>0</v>
      </c>
      <c r="S74" s="167">
        <f t="shared" si="344"/>
        <v>0</v>
      </c>
      <c r="T74" s="167">
        <f t="shared" si="345"/>
        <v>0</v>
      </c>
      <c r="U74" s="167">
        <f t="shared" si="346"/>
        <v>0</v>
      </c>
      <c r="V74" s="167">
        <f t="shared" si="347"/>
        <v>0</v>
      </c>
      <c r="W74" s="167">
        <f t="shared" si="348"/>
        <v>0</v>
      </c>
      <c r="X74" s="167">
        <f t="shared" si="349"/>
        <v>0</v>
      </c>
      <c r="Y74" s="167">
        <f t="shared" si="350"/>
        <v>0</v>
      </c>
      <c r="Z74" s="167">
        <f t="shared" si="351"/>
        <v>0</v>
      </c>
      <c r="AA74" s="167">
        <f t="shared" si="352"/>
        <v>0</v>
      </c>
      <c r="AB74" s="170">
        <f t="shared" si="353"/>
        <v>0</v>
      </c>
      <c r="AC74" s="167">
        <f t="shared" si="354"/>
        <v>0</v>
      </c>
      <c r="AD74" s="171">
        <f t="shared" si="355"/>
        <v>0</v>
      </c>
      <c r="AE74" s="169">
        <f t="shared" si="280"/>
        <v>0</v>
      </c>
      <c r="AF74" s="167">
        <f t="shared" si="235"/>
        <v>0</v>
      </c>
      <c r="AG74" s="167">
        <f t="shared" si="281"/>
        <v>0</v>
      </c>
      <c r="AH74" s="167">
        <f t="shared" si="236"/>
        <v>0</v>
      </c>
      <c r="AI74" s="167">
        <f t="shared" si="282"/>
        <v>0</v>
      </c>
      <c r="AJ74" s="167">
        <f t="shared" si="237"/>
        <v>0</v>
      </c>
      <c r="AK74" s="167">
        <f t="shared" si="283"/>
        <v>0</v>
      </c>
      <c r="AL74" s="167">
        <f t="shared" si="238"/>
        <v>0</v>
      </c>
      <c r="AM74" s="167">
        <f t="shared" si="284"/>
        <v>0</v>
      </c>
      <c r="AN74" s="167">
        <f t="shared" si="239"/>
        <v>0</v>
      </c>
      <c r="AO74" s="170">
        <f t="shared" si="285"/>
        <v>0</v>
      </c>
      <c r="AP74" s="167">
        <f t="shared" si="286"/>
        <v>0</v>
      </c>
      <c r="AQ74" s="171">
        <f t="shared" si="287"/>
        <v>0</v>
      </c>
      <c r="AR74" s="169">
        <f t="shared" si="280"/>
        <v>0</v>
      </c>
      <c r="AS74" s="167">
        <f t="shared" si="240"/>
        <v>0</v>
      </c>
      <c r="AT74" s="167">
        <f t="shared" si="288"/>
        <v>0</v>
      </c>
      <c r="AU74" s="167">
        <f t="shared" si="241"/>
        <v>0</v>
      </c>
      <c r="AV74" s="167">
        <f t="shared" si="289"/>
        <v>0</v>
      </c>
      <c r="AW74" s="167">
        <f t="shared" si="242"/>
        <v>0</v>
      </c>
      <c r="AX74" s="167">
        <f t="shared" si="290"/>
        <v>0</v>
      </c>
      <c r="AY74" s="167">
        <f t="shared" si="243"/>
        <v>0</v>
      </c>
      <c r="AZ74" s="167">
        <f t="shared" si="291"/>
        <v>0</v>
      </c>
      <c r="BA74" s="167">
        <f t="shared" si="244"/>
        <v>0</v>
      </c>
      <c r="BB74" s="170">
        <f t="shared" si="292"/>
        <v>0</v>
      </c>
      <c r="BC74" s="167">
        <f t="shared" si="293"/>
        <v>0</v>
      </c>
      <c r="BD74" s="171">
        <f t="shared" si="294"/>
        <v>0</v>
      </c>
      <c r="BE74" s="169">
        <f t="shared" si="280"/>
        <v>0</v>
      </c>
      <c r="BF74" s="167">
        <f t="shared" si="245"/>
        <v>0</v>
      </c>
      <c r="BG74" s="167">
        <f t="shared" si="295"/>
        <v>0</v>
      </c>
      <c r="BH74" s="167">
        <f t="shared" si="246"/>
        <v>0</v>
      </c>
      <c r="BI74" s="167">
        <f t="shared" si="296"/>
        <v>0</v>
      </c>
      <c r="BJ74" s="167">
        <f t="shared" si="247"/>
        <v>0</v>
      </c>
      <c r="BK74" s="167">
        <f t="shared" si="297"/>
        <v>0</v>
      </c>
      <c r="BL74" s="167">
        <f t="shared" si="248"/>
        <v>0</v>
      </c>
      <c r="BM74" s="167">
        <f t="shared" si="298"/>
        <v>0</v>
      </c>
      <c r="BN74" s="167">
        <f t="shared" si="249"/>
        <v>0</v>
      </c>
      <c r="BO74" s="170">
        <f t="shared" si="299"/>
        <v>0</v>
      </c>
      <c r="BP74" s="167">
        <f t="shared" si="300"/>
        <v>0</v>
      </c>
      <c r="BQ74" s="171">
        <f t="shared" si="301"/>
        <v>0</v>
      </c>
      <c r="BR74" s="169">
        <f t="shared" si="280"/>
        <v>0</v>
      </c>
      <c r="BS74" s="167">
        <f t="shared" si="250"/>
        <v>0</v>
      </c>
      <c r="BT74" s="167">
        <f t="shared" si="302"/>
        <v>0</v>
      </c>
      <c r="BU74" s="167">
        <f t="shared" si="251"/>
        <v>0</v>
      </c>
      <c r="BV74" s="167">
        <f t="shared" si="303"/>
        <v>0</v>
      </c>
      <c r="BW74" s="167">
        <f t="shared" si="252"/>
        <v>0</v>
      </c>
      <c r="BX74" s="167">
        <f t="shared" si="304"/>
        <v>0</v>
      </c>
      <c r="BY74" s="167">
        <f t="shared" si="253"/>
        <v>0</v>
      </c>
      <c r="BZ74" s="167">
        <f t="shared" si="305"/>
        <v>0</v>
      </c>
      <c r="CA74" s="167">
        <f t="shared" si="254"/>
        <v>0</v>
      </c>
      <c r="CB74" s="170">
        <f t="shared" si="306"/>
        <v>0</v>
      </c>
      <c r="CC74" s="167">
        <f t="shared" si="307"/>
        <v>0</v>
      </c>
      <c r="CD74" s="171">
        <f t="shared" si="308"/>
        <v>0</v>
      </c>
      <c r="CE74" s="169">
        <f t="shared" si="280"/>
        <v>0</v>
      </c>
      <c r="CF74" s="167">
        <f t="shared" si="255"/>
        <v>0</v>
      </c>
      <c r="CG74" s="167">
        <f t="shared" si="309"/>
        <v>0</v>
      </c>
      <c r="CH74" s="167">
        <f t="shared" si="256"/>
        <v>0</v>
      </c>
      <c r="CI74" s="167">
        <f t="shared" si="310"/>
        <v>0</v>
      </c>
      <c r="CJ74" s="167">
        <f t="shared" si="257"/>
        <v>0</v>
      </c>
      <c r="CK74" s="167">
        <f t="shared" si="311"/>
        <v>0</v>
      </c>
      <c r="CL74" s="167">
        <f t="shared" si="258"/>
        <v>0</v>
      </c>
      <c r="CM74" s="167">
        <f t="shared" si="312"/>
        <v>0</v>
      </c>
      <c r="CN74" s="167">
        <f t="shared" si="259"/>
        <v>0</v>
      </c>
      <c r="CO74" s="170">
        <f t="shared" si="313"/>
        <v>0</v>
      </c>
      <c r="CP74" s="167">
        <f t="shared" si="314"/>
        <v>0</v>
      </c>
      <c r="CQ74" s="171">
        <f t="shared" si="315"/>
        <v>0</v>
      </c>
      <c r="CR74" s="169">
        <f t="shared" si="316"/>
        <v>0</v>
      </c>
      <c r="CS74" s="167">
        <f t="shared" si="261"/>
        <v>0</v>
      </c>
      <c r="CT74" s="167">
        <f t="shared" si="317"/>
        <v>0</v>
      </c>
      <c r="CU74" s="167">
        <f t="shared" si="262"/>
        <v>0</v>
      </c>
      <c r="CV74" s="167">
        <f t="shared" si="318"/>
        <v>0</v>
      </c>
      <c r="CW74" s="167">
        <f t="shared" si="263"/>
        <v>0</v>
      </c>
      <c r="CX74" s="167">
        <f t="shared" si="319"/>
        <v>0</v>
      </c>
      <c r="CY74" s="167">
        <f t="shared" si="264"/>
        <v>0</v>
      </c>
      <c r="CZ74" s="167">
        <f t="shared" si="320"/>
        <v>0</v>
      </c>
      <c r="DA74" s="167">
        <f t="shared" si="265"/>
        <v>0</v>
      </c>
      <c r="DB74" s="170">
        <f t="shared" si="321"/>
        <v>0</v>
      </c>
      <c r="DC74" s="167">
        <f t="shared" si="322"/>
        <v>0</v>
      </c>
      <c r="DD74" s="171">
        <f t="shared" si="323"/>
        <v>0</v>
      </c>
      <c r="DE74" s="169">
        <f t="shared" si="316"/>
        <v>0</v>
      </c>
      <c r="DF74" s="167">
        <f t="shared" si="266"/>
        <v>0</v>
      </c>
      <c r="DG74" s="167">
        <f t="shared" si="324"/>
        <v>0</v>
      </c>
      <c r="DH74" s="167">
        <f t="shared" si="267"/>
        <v>0</v>
      </c>
      <c r="DI74" s="167">
        <f t="shared" si="325"/>
        <v>0</v>
      </c>
      <c r="DJ74" s="167">
        <f t="shared" si="268"/>
        <v>0</v>
      </c>
      <c r="DK74" s="167">
        <f t="shared" si="326"/>
        <v>0</v>
      </c>
      <c r="DL74" s="167">
        <f t="shared" si="269"/>
        <v>0</v>
      </c>
      <c r="DM74" s="167">
        <f t="shared" si="327"/>
        <v>0</v>
      </c>
      <c r="DN74" s="167">
        <f t="shared" si="270"/>
        <v>0</v>
      </c>
      <c r="DO74" s="170">
        <f t="shared" si="328"/>
        <v>0</v>
      </c>
      <c r="DP74" s="167">
        <f t="shared" si="329"/>
        <v>0</v>
      </c>
      <c r="DQ74" s="171">
        <f t="shared" si="330"/>
        <v>0</v>
      </c>
      <c r="DR74" s="169">
        <f t="shared" si="316"/>
        <v>0</v>
      </c>
      <c r="DS74" s="167">
        <f t="shared" si="271"/>
        <v>0</v>
      </c>
      <c r="DT74" s="167">
        <f t="shared" si="331"/>
        <v>0</v>
      </c>
      <c r="DU74" s="167">
        <f t="shared" si="272"/>
        <v>0</v>
      </c>
      <c r="DV74" s="167">
        <f t="shared" si="332"/>
        <v>0</v>
      </c>
      <c r="DW74" s="167">
        <f t="shared" si="273"/>
        <v>0</v>
      </c>
      <c r="DX74" s="167">
        <f t="shared" si="333"/>
        <v>0</v>
      </c>
      <c r="DY74" s="167">
        <f t="shared" si="274"/>
        <v>0</v>
      </c>
      <c r="DZ74" s="167">
        <f t="shared" si="334"/>
        <v>0</v>
      </c>
      <c r="EA74" s="167">
        <f t="shared" si="275"/>
        <v>0</v>
      </c>
      <c r="EB74" s="170">
        <f t="shared" si="335"/>
        <v>0</v>
      </c>
      <c r="EC74" s="167">
        <f t="shared" si="336"/>
        <v>0</v>
      </c>
      <c r="ED74" s="171">
        <f t="shared" si="337"/>
        <v>0</v>
      </c>
    </row>
    <row r="75" spans="1:134" x14ac:dyDescent="0.3">
      <c r="A75" s="185"/>
      <c r="B75" s="186"/>
      <c r="C75" s="187"/>
      <c r="D75" s="188"/>
      <c r="E75" s="189"/>
      <c r="F75" s="190"/>
      <c r="G75" s="191"/>
      <c r="H75" s="192"/>
      <c r="I75" s="193"/>
      <c r="J75" s="194"/>
      <c r="K75" s="165">
        <f t="shared" si="338"/>
        <v>0</v>
      </c>
      <c r="L75" s="166">
        <f t="shared" si="339"/>
        <v>0</v>
      </c>
      <c r="M75" s="167">
        <f t="shared" si="340"/>
        <v>0</v>
      </c>
      <c r="N75" s="167"/>
      <c r="O75" s="167">
        <f t="shared" si="341"/>
        <v>0</v>
      </c>
      <c r="P75" s="168"/>
      <c r="Q75" s="167">
        <f t="shared" si="342"/>
        <v>0</v>
      </c>
      <c r="R75" s="169">
        <f t="shared" si="343"/>
        <v>0</v>
      </c>
      <c r="S75" s="167">
        <f t="shared" si="344"/>
        <v>0</v>
      </c>
      <c r="T75" s="167">
        <f t="shared" si="345"/>
        <v>0</v>
      </c>
      <c r="U75" s="167">
        <f t="shared" si="346"/>
        <v>0</v>
      </c>
      <c r="V75" s="167">
        <f t="shared" si="347"/>
        <v>0</v>
      </c>
      <c r="W75" s="167">
        <f t="shared" si="348"/>
        <v>0</v>
      </c>
      <c r="X75" s="167">
        <f t="shared" si="349"/>
        <v>0</v>
      </c>
      <c r="Y75" s="167">
        <f t="shared" si="350"/>
        <v>0</v>
      </c>
      <c r="Z75" s="167">
        <f t="shared" si="351"/>
        <v>0</v>
      </c>
      <c r="AA75" s="167">
        <f t="shared" si="352"/>
        <v>0</v>
      </c>
      <c r="AB75" s="170">
        <f t="shared" si="353"/>
        <v>0</v>
      </c>
      <c r="AC75" s="167">
        <f t="shared" si="354"/>
        <v>0</v>
      </c>
      <c r="AD75" s="171">
        <f t="shared" si="355"/>
        <v>0</v>
      </c>
      <c r="AE75" s="169">
        <f t="shared" si="280"/>
        <v>0</v>
      </c>
      <c r="AF75" s="167">
        <f t="shared" si="235"/>
        <v>0</v>
      </c>
      <c r="AG75" s="167">
        <f t="shared" si="281"/>
        <v>0</v>
      </c>
      <c r="AH75" s="167">
        <f t="shared" si="236"/>
        <v>0</v>
      </c>
      <c r="AI75" s="167">
        <f t="shared" si="282"/>
        <v>0</v>
      </c>
      <c r="AJ75" s="167">
        <f t="shared" si="237"/>
        <v>0</v>
      </c>
      <c r="AK75" s="167">
        <f t="shared" si="283"/>
        <v>0</v>
      </c>
      <c r="AL75" s="167">
        <f t="shared" si="238"/>
        <v>0</v>
      </c>
      <c r="AM75" s="167">
        <f t="shared" si="284"/>
        <v>0</v>
      </c>
      <c r="AN75" s="167">
        <f t="shared" si="239"/>
        <v>0</v>
      </c>
      <c r="AO75" s="170">
        <f t="shared" si="285"/>
        <v>0</v>
      </c>
      <c r="AP75" s="167">
        <f t="shared" si="286"/>
        <v>0</v>
      </c>
      <c r="AQ75" s="171">
        <f t="shared" si="287"/>
        <v>0</v>
      </c>
      <c r="AR75" s="169">
        <f t="shared" si="280"/>
        <v>0</v>
      </c>
      <c r="AS75" s="167">
        <f t="shared" si="240"/>
        <v>0</v>
      </c>
      <c r="AT75" s="167">
        <f t="shared" si="288"/>
        <v>0</v>
      </c>
      <c r="AU75" s="167">
        <f t="shared" si="241"/>
        <v>0</v>
      </c>
      <c r="AV75" s="167">
        <f t="shared" si="289"/>
        <v>0</v>
      </c>
      <c r="AW75" s="167">
        <f t="shared" si="242"/>
        <v>0</v>
      </c>
      <c r="AX75" s="167">
        <f t="shared" si="290"/>
        <v>0</v>
      </c>
      <c r="AY75" s="167">
        <f t="shared" si="243"/>
        <v>0</v>
      </c>
      <c r="AZ75" s="167">
        <f t="shared" si="291"/>
        <v>0</v>
      </c>
      <c r="BA75" s="167">
        <f t="shared" si="244"/>
        <v>0</v>
      </c>
      <c r="BB75" s="170">
        <f t="shared" si="292"/>
        <v>0</v>
      </c>
      <c r="BC75" s="167">
        <f t="shared" si="293"/>
        <v>0</v>
      </c>
      <c r="BD75" s="171">
        <f t="shared" si="294"/>
        <v>0</v>
      </c>
      <c r="BE75" s="169">
        <f t="shared" si="280"/>
        <v>0</v>
      </c>
      <c r="BF75" s="167">
        <f t="shared" si="245"/>
        <v>0</v>
      </c>
      <c r="BG75" s="167">
        <f t="shared" si="295"/>
        <v>0</v>
      </c>
      <c r="BH75" s="167">
        <f t="shared" si="246"/>
        <v>0</v>
      </c>
      <c r="BI75" s="167">
        <f t="shared" si="296"/>
        <v>0</v>
      </c>
      <c r="BJ75" s="167">
        <f t="shared" si="247"/>
        <v>0</v>
      </c>
      <c r="BK75" s="167">
        <f t="shared" si="297"/>
        <v>0</v>
      </c>
      <c r="BL75" s="167">
        <f t="shared" si="248"/>
        <v>0</v>
      </c>
      <c r="BM75" s="167">
        <f t="shared" si="298"/>
        <v>0</v>
      </c>
      <c r="BN75" s="167">
        <f t="shared" si="249"/>
        <v>0</v>
      </c>
      <c r="BO75" s="170">
        <f t="shared" si="299"/>
        <v>0</v>
      </c>
      <c r="BP75" s="167">
        <f t="shared" si="300"/>
        <v>0</v>
      </c>
      <c r="BQ75" s="171">
        <f t="shared" si="301"/>
        <v>0</v>
      </c>
      <c r="BR75" s="169">
        <f t="shared" si="280"/>
        <v>0</v>
      </c>
      <c r="BS75" s="167">
        <f t="shared" si="250"/>
        <v>0</v>
      </c>
      <c r="BT75" s="167">
        <f t="shared" si="302"/>
        <v>0</v>
      </c>
      <c r="BU75" s="167">
        <f t="shared" si="251"/>
        <v>0</v>
      </c>
      <c r="BV75" s="167">
        <f t="shared" si="303"/>
        <v>0</v>
      </c>
      <c r="BW75" s="167">
        <f t="shared" si="252"/>
        <v>0</v>
      </c>
      <c r="BX75" s="167">
        <f t="shared" si="304"/>
        <v>0</v>
      </c>
      <c r="BY75" s="167">
        <f t="shared" si="253"/>
        <v>0</v>
      </c>
      <c r="BZ75" s="167">
        <f t="shared" si="305"/>
        <v>0</v>
      </c>
      <c r="CA75" s="167">
        <f t="shared" si="254"/>
        <v>0</v>
      </c>
      <c r="CB75" s="170">
        <f t="shared" si="306"/>
        <v>0</v>
      </c>
      <c r="CC75" s="167">
        <f t="shared" si="307"/>
        <v>0</v>
      </c>
      <c r="CD75" s="171">
        <f t="shared" si="308"/>
        <v>0</v>
      </c>
      <c r="CE75" s="169">
        <f t="shared" si="280"/>
        <v>0</v>
      </c>
      <c r="CF75" s="167">
        <f t="shared" si="255"/>
        <v>0</v>
      </c>
      <c r="CG75" s="167">
        <f t="shared" si="309"/>
        <v>0</v>
      </c>
      <c r="CH75" s="167">
        <f t="shared" si="256"/>
        <v>0</v>
      </c>
      <c r="CI75" s="167">
        <f t="shared" si="310"/>
        <v>0</v>
      </c>
      <c r="CJ75" s="167">
        <f t="shared" si="257"/>
        <v>0</v>
      </c>
      <c r="CK75" s="167">
        <f t="shared" si="311"/>
        <v>0</v>
      </c>
      <c r="CL75" s="167">
        <f t="shared" si="258"/>
        <v>0</v>
      </c>
      <c r="CM75" s="167">
        <f t="shared" si="312"/>
        <v>0</v>
      </c>
      <c r="CN75" s="167">
        <f t="shared" si="259"/>
        <v>0</v>
      </c>
      <c r="CO75" s="170">
        <f t="shared" si="313"/>
        <v>0</v>
      </c>
      <c r="CP75" s="167">
        <f t="shared" si="314"/>
        <v>0</v>
      </c>
      <c r="CQ75" s="171">
        <f t="shared" si="315"/>
        <v>0</v>
      </c>
      <c r="CR75" s="169">
        <f t="shared" si="316"/>
        <v>0</v>
      </c>
      <c r="CS75" s="167">
        <f t="shared" si="261"/>
        <v>0</v>
      </c>
      <c r="CT75" s="167">
        <f t="shared" si="317"/>
        <v>0</v>
      </c>
      <c r="CU75" s="167">
        <f t="shared" si="262"/>
        <v>0</v>
      </c>
      <c r="CV75" s="167">
        <f t="shared" si="318"/>
        <v>0</v>
      </c>
      <c r="CW75" s="167">
        <f t="shared" si="263"/>
        <v>0</v>
      </c>
      <c r="CX75" s="167">
        <f t="shared" si="319"/>
        <v>0</v>
      </c>
      <c r="CY75" s="167">
        <f t="shared" si="264"/>
        <v>0</v>
      </c>
      <c r="CZ75" s="167">
        <f t="shared" si="320"/>
        <v>0</v>
      </c>
      <c r="DA75" s="167">
        <f t="shared" si="265"/>
        <v>0</v>
      </c>
      <c r="DB75" s="170">
        <f t="shared" si="321"/>
        <v>0</v>
      </c>
      <c r="DC75" s="167">
        <f t="shared" si="322"/>
        <v>0</v>
      </c>
      <c r="DD75" s="171">
        <f t="shared" si="323"/>
        <v>0</v>
      </c>
      <c r="DE75" s="169">
        <f t="shared" si="316"/>
        <v>0</v>
      </c>
      <c r="DF75" s="167">
        <f t="shared" si="266"/>
        <v>0</v>
      </c>
      <c r="DG75" s="167">
        <f t="shared" si="324"/>
        <v>0</v>
      </c>
      <c r="DH75" s="167">
        <f t="shared" si="267"/>
        <v>0</v>
      </c>
      <c r="DI75" s="167">
        <f t="shared" si="325"/>
        <v>0</v>
      </c>
      <c r="DJ75" s="167">
        <f t="shared" si="268"/>
        <v>0</v>
      </c>
      <c r="DK75" s="167">
        <f t="shared" si="326"/>
        <v>0</v>
      </c>
      <c r="DL75" s="167">
        <f t="shared" si="269"/>
        <v>0</v>
      </c>
      <c r="DM75" s="167">
        <f t="shared" si="327"/>
        <v>0</v>
      </c>
      <c r="DN75" s="167">
        <f t="shared" si="270"/>
        <v>0</v>
      </c>
      <c r="DO75" s="170">
        <f t="shared" si="328"/>
        <v>0</v>
      </c>
      <c r="DP75" s="167">
        <f t="shared" si="329"/>
        <v>0</v>
      </c>
      <c r="DQ75" s="171">
        <f t="shared" si="330"/>
        <v>0</v>
      </c>
      <c r="DR75" s="169">
        <f t="shared" si="316"/>
        <v>0</v>
      </c>
      <c r="DS75" s="167">
        <f t="shared" si="271"/>
        <v>0</v>
      </c>
      <c r="DT75" s="167">
        <f t="shared" si="331"/>
        <v>0</v>
      </c>
      <c r="DU75" s="167">
        <f t="shared" si="272"/>
        <v>0</v>
      </c>
      <c r="DV75" s="167">
        <f t="shared" si="332"/>
        <v>0</v>
      </c>
      <c r="DW75" s="167">
        <f t="shared" si="273"/>
        <v>0</v>
      </c>
      <c r="DX75" s="167">
        <f t="shared" si="333"/>
        <v>0</v>
      </c>
      <c r="DY75" s="167">
        <f t="shared" si="274"/>
        <v>0</v>
      </c>
      <c r="DZ75" s="167">
        <f t="shared" si="334"/>
        <v>0</v>
      </c>
      <c r="EA75" s="167">
        <f t="shared" si="275"/>
        <v>0</v>
      </c>
      <c r="EB75" s="170">
        <f t="shared" si="335"/>
        <v>0</v>
      </c>
      <c r="EC75" s="167">
        <f t="shared" si="336"/>
        <v>0</v>
      </c>
      <c r="ED75" s="171">
        <f t="shared" si="337"/>
        <v>0</v>
      </c>
    </row>
    <row r="76" spans="1:134" x14ac:dyDescent="0.3">
      <c r="A76" s="185"/>
      <c r="B76" s="186"/>
      <c r="C76" s="187"/>
      <c r="D76" s="188"/>
      <c r="E76" s="189"/>
      <c r="F76" s="190"/>
      <c r="G76" s="191"/>
      <c r="H76" s="192"/>
      <c r="I76" s="193"/>
      <c r="J76" s="194"/>
      <c r="K76" s="165">
        <f t="shared" si="338"/>
        <v>0</v>
      </c>
      <c r="L76" s="166">
        <f t="shared" si="339"/>
        <v>0</v>
      </c>
      <c r="M76" s="167">
        <f t="shared" si="340"/>
        <v>0</v>
      </c>
      <c r="N76" s="167"/>
      <c r="O76" s="167">
        <f t="shared" si="341"/>
        <v>0</v>
      </c>
      <c r="P76" s="168"/>
      <c r="Q76" s="167">
        <f t="shared" si="342"/>
        <v>0</v>
      </c>
      <c r="R76" s="169">
        <f t="shared" si="343"/>
        <v>0</v>
      </c>
      <c r="S76" s="167">
        <f t="shared" si="344"/>
        <v>0</v>
      </c>
      <c r="T76" s="167">
        <f t="shared" si="345"/>
        <v>0</v>
      </c>
      <c r="U76" s="167">
        <f t="shared" si="346"/>
        <v>0</v>
      </c>
      <c r="V76" s="167">
        <f t="shared" si="347"/>
        <v>0</v>
      </c>
      <c r="W76" s="167">
        <f t="shared" si="348"/>
        <v>0</v>
      </c>
      <c r="X76" s="167">
        <f t="shared" si="349"/>
        <v>0</v>
      </c>
      <c r="Y76" s="167">
        <f t="shared" si="350"/>
        <v>0</v>
      </c>
      <c r="Z76" s="167">
        <f t="shared" si="351"/>
        <v>0</v>
      </c>
      <c r="AA76" s="167">
        <f t="shared" si="352"/>
        <v>0</v>
      </c>
      <c r="AB76" s="170">
        <f t="shared" si="353"/>
        <v>0</v>
      </c>
      <c r="AC76" s="167">
        <f t="shared" si="354"/>
        <v>0</v>
      </c>
      <c r="AD76" s="171">
        <f t="shared" si="355"/>
        <v>0</v>
      </c>
      <c r="AE76" s="169">
        <f t="shared" si="280"/>
        <v>0</v>
      </c>
      <c r="AF76" s="167">
        <f t="shared" si="235"/>
        <v>0</v>
      </c>
      <c r="AG76" s="167">
        <f t="shared" si="281"/>
        <v>0</v>
      </c>
      <c r="AH76" s="167">
        <f t="shared" si="236"/>
        <v>0</v>
      </c>
      <c r="AI76" s="167">
        <f t="shared" si="282"/>
        <v>0</v>
      </c>
      <c r="AJ76" s="167">
        <f t="shared" si="237"/>
        <v>0</v>
      </c>
      <c r="AK76" s="167">
        <f t="shared" si="283"/>
        <v>0</v>
      </c>
      <c r="AL76" s="167">
        <f t="shared" si="238"/>
        <v>0</v>
      </c>
      <c r="AM76" s="167">
        <f t="shared" si="284"/>
        <v>0</v>
      </c>
      <c r="AN76" s="167">
        <f t="shared" si="239"/>
        <v>0</v>
      </c>
      <c r="AO76" s="170">
        <f t="shared" si="285"/>
        <v>0</v>
      </c>
      <c r="AP76" s="167">
        <f t="shared" si="286"/>
        <v>0</v>
      </c>
      <c r="AQ76" s="171">
        <f t="shared" si="287"/>
        <v>0</v>
      </c>
      <c r="AR76" s="169">
        <f t="shared" si="280"/>
        <v>0</v>
      </c>
      <c r="AS76" s="167">
        <f t="shared" si="240"/>
        <v>0</v>
      </c>
      <c r="AT76" s="167">
        <f t="shared" si="288"/>
        <v>0</v>
      </c>
      <c r="AU76" s="167">
        <f t="shared" si="241"/>
        <v>0</v>
      </c>
      <c r="AV76" s="167">
        <f t="shared" si="289"/>
        <v>0</v>
      </c>
      <c r="AW76" s="167">
        <f t="shared" si="242"/>
        <v>0</v>
      </c>
      <c r="AX76" s="167">
        <f t="shared" si="290"/>
        <v>0</v>
      </c>
      <c r="AY76" s="167">
        <f t="shared" si="243"/>
        <v>0</v>
      </c>
      <c r="AZ76" s="167">
        <f t="shared" si="291"/>
        <v>0</v>
      </c>
      <c r="BA76" s="167">
        <f t="shared" si="244"/>
        <v>0</v>
      </c>
      <c r="BB76" s="170">
        <f t="shared" si="292"/>
        <v>0</v>
      </c>
      <c r="BC76" s="167">
        <f t="shared" si="293"/>
        <v>0</v>
      </c>
      <c r="BD76" s="171">
        <f t="shared" si="294"/>
        <v>0</v>
      </c>
      <c r="BE76" s="169">
        <f t="shared" si="280"/>
        <v>0</v>
      </c>
      <c r="BF76" s="167">
        <f t="shared" si="245"/>
        <v>0</v>
      </c>
      <c r="BG76" s="167">
        <f t="shared" si="295"/>
        <v>0</v>
      </c>
      <c r="BH76" s="167">
        <f t="shared" si="246"/>
        <v>0</v>
      </c>
      <c r="BI76" s="167">
        <f t="shared" si="296"/>
        <v>0</v>
      </c>
      <c r="BJ76" s="167">
        <f t="shared" si="247"/>
        <v>0</v>
      </c>
      <c r="BK76" s="167">
        <f t="shared" si="297"/>
        <v>0</v>
      </c>
      <c r="BL76" s="167">
        <f t="shared" si="248"/>
        <v>0</v>
      </c>
      <c r="BM76" s="167">
        <f t="shared" si="298"/>
        <v>0</v>
      </c>
      <c r="BN76" s="167">
        <f t="shared" si="249"/>
        <v>0</v>
      </c>
      <c r="BO76" s="170">
        <f t="shared" si="299"/>
        <v>0</v>
      </c>
      <c r="BP76" s="167">
        <f t="shared" si="300"/>
        <v>0</v>
      </c>
      <c r="BQ76" s="171">
        <f t="shared" si="301"/>
        <v>0</v>
      </c>
      <c r="BR76" s="169">
        <f t="shared" si="280"/>
        <v>0</v>
      </c>
      <c r="BS76" s="167">
        <f t="shared" si="250"/>
        <v>0</v>
      </c>
      <c r="BT76" s="167">
        <f t="shared" si="302"/>
        <v>0</v>
      </c>
      <c r="BU76" s="167">
        <f t="shared" si="251"/>
        <v>0</v>
      </c>
      <c r="BV76" s="167">
        <f t="shared" si="303"/>
        <v>0</v>
      </c>
      <c r="BW76" s="167">
        <f t="shared" si="252"/>
        <v>0</v>
      </c>
      <c r="BX76" s="167">
        <f t="shared" si="304"/>
        <v>0</v>
      </c>
      <c r="BY76" s="167">
        <f t="shared" si="253"/>
        <v>0</v>
      </c>
      <c r="BZ76" s="167">
        <f t="shared" si="305"/>
        <v>0</v>
      </c>
      <c r="CA76" s="167">
        <f t="shared" si="254"/>
        <v>0</v>
      </c>
      <c r="CB76" s="170">
        <f t="shared" si="306"/>
        <v>0</v>
      </c>
      <c r="CC76" s="167">
        <f t="shared" si="307"/>
        <v>0</v>
      </c>
      <c r="CD76" s="171">
        <f t="shared" si="308"/>
        <v>0</v>
      </c>
      <c r="CE76" s="169">
        <f t="shared" si="280"/>
        <v>0</v>
      </c>
      <c r="CF76" s="167">
        <f t="shared" si="255"/>
        <v>0</v>
      </c>
      <c r="CG76" s="167">
        <f t="shared" si="309"/>
        <v>0</v>
      </c>
      <c r="CH76" s="167">
        <f t="shared" si="256"/>
        <v>0</v>
      </c>
      <c r="CI76" s="167">
        <f t="shared" si="310"/>
        <v>0</v>
      </c>
      <c r="CJ76" s="167">
        <f t="shared" si="257"/>
        <v>0</v>
      </c>
      <c r="CK76" s="167">
        <f t="shared" si="311"/>
        <v>0</v>
      </c>
      <c r="CL76" s="167">
        <f t="shared" si="258"/>
        <v>0</v>
      </c>
      <c r="CM76" s="167">
        <f t="shared" si="312"/>
        <v>0</v>
      </c>
      <c r="CN76" s="167">
        <f t="shared" si="259"/>
        <v>0</v>
      </c>
      <c r="CO76" s="170">
        <f t="shared" si="313"/>
        <v>0</v>
      </c>
      <c r="CP76" s="167">
        <f t="shared" si="314"/>
        <v>0</v>
      </c>
      <c r="CQ76" s="171">
        <f t="shared" si="315"/>
        <v>0</v>
      </c>
      <c r="CR76" s="169">
        <f t="shared" si="316"/>
        <v>0</v>
      </c>
      <c r="CS76" s="167">
        <f t="shared" si="261"/>
        <v>0</v>
      </c>
      <c r="CT76" s="167">
        <f t="shared" si="317"/>
        <v>0</v>
      </c>
      <c r="CU76" s="167">
        <f t="shared" si="262"/>
        <v>0</v>
      </c>
      <c r="CV76" s="167">
        <f t="shared" si="318"/>
        <v>0</v>
      </c>
      <c r="CW76" s="167">
        <f t="shared" si="263"/>
        <v>0</v>
      </c>
      <c r="CX76" s="167">
        <f t="shared" si="319"/>
        <v>0</v>
      </c>
      <c r="CY76" s="167">
        <f t="shared" si="264"/>
        <v>0</v>
      </c>
      <c r="CZ76" s="167">
        <f t="shared" si="320"/>
        <v>0</v>
      </c>
      <c r="DA76" s="167">
        <f t="shared" si="265"/>
        <v>0</v>
      </c>
      <c r="DB76" s="170">
        <f t="shared" si="321"/>
        <v>0</v>
      </c>
      <c r="DC76" s="167">
        <f t="shared" si="322"/>
        <v>0</v>
      </c>
      <c r="DD76" s="171">
        <f t="shared" si="323"/>
        <v>0</v>
      </c>
      <c r="DE76" s="169">
        <f t="shared" si="316"/>
        <v>0</v>
      </c>
      <c r="DF76" s="167">
        <f t="shared" si="266"/>
        <v>0</v>
      </c>
      <c r="DG76" s="167">
        <f t="shared" si="324"/>
        <v>0</v>
      </c>
      <c r="DH76" s="167">
        <f t="shared" si="267"/>
        <v>0</v>
      </c>
      <c r="DI76" s="167">
        <f t="shared" si="325"/>
        <v>0</v>
      </c>
      <c r="DJ76" s="167">
        <f t="shared" si="268"/>
        <v>0</v>
      </c>
      <c r="DK76" s="167">
        <f t="shared" si="326"/>
        <v>0</v>
      </c>
      <c r="DL76" s="167">
        <f t="shared" si="269"/>
        <v>0</v>
      </c>
      <c r="DM76" s="167">
        <f t="shared" si="327"/>
        <v>0</v>
      </c>
      <c r="DN76" s="167">
        <f t="shared" si="270"/>
        <v>0</v>
      </c>
      <c r="DO76" s="170">
        <f t="shared" si="328"/>
        <v>0</v>
      </c>
      <c r="DP76" s="167">
        <f t="shared" si="329"/>
        <v>0</v>
      </c>
      <c r="DQ76" s="171">
        <f t="shared" si="330"/>
        <v>0</v>
      </c>
      <c r="DR76" s="169">
        <f t="shared" si="316"/>
        <v>0</v>
      </c>
      <c r="DS76" s="167">
        <f t="shared" si="271"/>
        <v>0</v>
      </c>
      <c r="DT76" s="167">
        <f t="shared" si="331"/>
        <v>0</v>
      </c>
      <c r="DU76" s="167">
        <f t="shared" si="272"/>
        <v>0</v>
      </c>
      <c r="DV76" s="167">
        <f t="shared" si="332"/>
        <v>0</v>
      </c>
      <c r="DW76" s="167">
        <f t="shared" si="273"/>
        <v>0</v>
      </c>
      <c r="DX76" s="167">
        <f t="shared" si="333"/>
        <v>0</v>
      </c>
      <c r="DY76" s="167">
        <f t="shared" si="274"/>
        <v>0</v>
      </c>
      <c r="DZ76" s="167">
        <f t="shared" si="334"/>
        <v>0</v>
      </c>
      <c r="EA76" s="167">
        <f t="shared" si="275"/>
        <v>0</v>
      </c>
      <c r="EB76" s="170">
        <f t="shared" si="335"/>
        <v>0</v>
      </c>
      <c r="EC76" s="167">
        <f t="shared" si="336"/>
        <v>0</v>
      </c>
      <c r="ED76" s="171">
        <f t="shared" si="337"/>
        <v>0</v>
      </c>
    </row>
    <row r="77" spans="1:134" x14ac:dyDescent="0.3">
      <c r="A77" s="185"/>
      <c r="B77" s="186"/>
      <c r="C77" s="187"/>
      <c r="D77" s="188"/>
      <c r="E77" s="189"/>
      <c r="F77" s="190"/>
      <c r="G77" s="191"/>
      <c r="H77" s="192"/>
      <c r="I77" s="193"/>
      <c r="J77" s="194"/>
      <c r="K77" s="165">
        <f t="shared" si="338"/>
        <v>0</v>
      </c>
      <c r="L77" s="166">
        <f t="shared" si="339"/>
        <v>0</v>
      </c>
      <c r="M77" s="167">
        <f t="shared" si="340"/>
        <v>0</v>
      </c>
      <c r="N77" s="167"/>
      <c r="O77" s="167">
        <f t="shared" si="341"/>
        <v>0</v>
      </c>
      <c r="P77" s="168"/>
      <c r="Q77" s="167">
        <f t="shared" si="342"/>
        <v>0</v>
      </c>
      <c r="R77" s="169">
        <f t="shared" si="343"/>
        <v>0</v>
      </c>
      <c r="S77" s="167">
        <f t="shared" si="344"/>
        <v>0</v>
      </c>
      <c r="T77" s="167">
        <f t="shared" si="345"/>
        <v>0</v>
      </c>
      <c r="U77" s="167">
        <f t="shared" si="346"/>
        <v>0</v>
      </c>
      <c r="V77" s="167">
        <f t="shared" si="347"/>
        <v>0</v>
      </c>
      <c r="W77" s="167">
        <f t="shared" si="348"/>
        <v>0</v>
      </c>
      <c r="X77" s="167">
        <f t="shared" si="349"/>
        <v>0</v>
      </c>
      <c r="Y77" s="167">
        <f t="shared" si="350"/>
        <v>0</v>
      </c>
      <c r="Z77" s="167">
        <f t="shared" si="351"/>
        <v>0</v>
      </c>
      <c r="AA77" s="167">
        <f t="shared" si="352"/>
        <v>0</v>
      </c>
      <c r="AB77" s="170">
        <f t="shared" si="353"/>
        <v>0</v>
      </c>
      <c r="AC77" s="167">
        <f t="shared" si="354"/>
        <v>0</v>
      </c>
      <c r="AD77" s="171">
        <f t="shared" si="355"/>
        <v>0</v>
      </c>
      <c r="AE77" s="169">
        <f t="shared" si="280"/>
        <v>0</v>
      </c>
      <c r="AF77" s="167">
        <f t="shared" si="235"/>
        <v>0</v>
      </c>
      <c r="AG77" s="167">
        <f t="shared" si="281"/>
        <v>0</v>
      </c>
      <c r="AH77" s="167">
        <f t="shared" si="236"/>
        <v>0</v>
      </c>
      <c r="AI77" s="167">
        <f t="shared" si="282"/>
        <v>0</v>
      </c>
      <c r="AJ77" s="167">
        <f t="shared" si="237"/>
        <v>0</v>
      </c>
      <c r="AK77" s="167">
        <f t="shared" si="283"/>
        <v>0</v>
      </c>
      <c r="AL77" s="167">
        <f t="shared" si="238"/>
        <v>0</v>
      </c>
      <c r="AM77" s="167">
        <f t="shared" si="284"/>
        <v>0</v>
      </c>
      <c r="AN77" s="167">
        <f t="shared" si="239"/>
        <v>0</v>
      </c>
      <c r="AO77" s="170">
        <f t="shared" si="285"/>
        <v>0</v>
      </c>
      <c r="AP77" s="167">
        <f t="shared" si="286"/>
        <v>0</v>
      </c>
      <c r="AQ77" s="171">
        <f t="shared" si="287"/>
        <v>0</v>
      </c>
      <c r="AR77" s="169">
        <f t="shared" si="280"/>
        <v>0</v>
      </c>
      <c r="AS77" s="167">
        <f t="shared" si="240"/>
        <v>0</v>
      </c>
      <c r="AT77" s="167">
        <f t="shared" si="288"/>
        <v>0</v>
      </c>
      <c r="AU77" s="167">
        <f t="shared" si="241"/>
        <v>0</v>
      </c>
      <c r="AV77" s="167">
        <f t="shared" si="289"/>
        <v>0</v>
      </c>
      <c r="AW77" s="167">
        <f t="shared" si="242"/>
        <v>0</v>
      </c>
      <c r="AX77" s="167">
        <f t="shared" si="290"/>
        <v>0</v>
      </c>
      <c r="AY77" s="167">
        <f t="shared" si="243"/>
        <v>0</v>
      </c>
      <c r="AZ77" s="167">
        <f t="shared" si="291"/>
        <v>0</v>
      </c>
      <c r="BA77" s="167">
        <f t="shared" si="244"/>
        <v>0</v>
      </c>
      <c r="BB77" s="170">
        <f t="shared" si="292"/>
        <v>0</v>
      </c>
      <c r="BC77" s="167">
        <f t="shared" si="293"/>
        <v>0</v>
      </c>
      <c r="BD77" s="171">
        <f t="shared" si="294"/>
        <v>0</v>
      </c>
      <c r="BE77" s="169">
        <f t="shared" si="280"/>
        <v>0</v>
      </c>
      <c r="BF77" s="167">
        <f t="shared" si="245"/>
        <v>0</v>
      </c>
      <c r="BG77" s="167">
        <f t="shared" si="295"/>
        <v>0</v>
      </c>
      <c r="BH77" s="167">
        <f t="shared" si="246"/>
        <v>0</v>
      </c>
      <c r="BI77" s="167">
        <f t="shared" si="296"/>
        <v>0</v>
      </c>
      <c r="BJ77" s="167">
        <f t="shared" si="247"/>
        <v>0</v>
      </c>
      <c r="BK77" s="167">
        <f t="shared" si="297"/>
        <v>0</v>
      </c>
      <c r="BL77" s="167">
        <f t="shared" si="248"/>
        <v>0</v>
      </c>
      <c r="BM77" s="167">
        <f t="shared" si="298"/>
        <v>0</v>
      </c>
      <c r="BN77" s="167">
        <f t="shared" si="249"/>
        <v>0</v>
      </c>
      <c r="BO77" s="170">
        <f t="shared" si="299"/>
        <v>0</v>
      </c>
      <c r="BP77" s="167">
        <f t="shared" si="300"/>
        <v>0</v>
      </c>
      <c r="BQ77" s="171">
        <f t="shared" si="301"/>
        <v>0</v>
      </c>
      <c r="BR77" s="169">
        <f t="shared" si="280"/>
        <v>0</v>
      </c>
      <c r="BS77" s="167">
        <f t="shared" si="250"/>
        <v>0</v>
      </c>
      <c r="BT77" s="167">
        <f t="shared" si="302"/>
        <v>0</v>
      </c>
      <c r="BU77" s="167">
        <f t="shared" si="251"/>
        <v>0</v>
      </c>
      <c r="BV77" s="167">
        <f t="shared" si="303"/>
        <v>0</v>
      </c>
      <c r="BW77" s="167">
        <f t="shared" si="252"/>
        <v>0</v>
      </c>
      <c r="BX77" s="167">
        <f t="shared" si="304"/>
        <v>0</v>
      </c>
      <c r="BY77" s="167">
        <f t="shared" si="253"/>
        <v>0</v>
      </c>
      <c r="BZ77" s="167">
        <f t="shared" si="305"/>
        <v>0</v>
      </c>
      <c r="CA77" s="167">
        <f t="shared" si="254"/>
        <v>0</v>
      </c>
      <c r="CB77" s="170">
        <f t="shared" si="306"/>
        <v>0</v>
      </c>
      <c r="CC77" s="167">
        <f t="shared" si="307"/>
        <v>0</v>
      </c>
      <c r="CD77" s="171">
        <f t="shared" si="308"/>
        <v>0</v>
      </c>
      <c r="CE77" s="169">
        <f t="shared" si="280"/>
        <v>0</v>
      </c>
      <c r="CF77" s="167">
        <f t="shared" si="255"/>
        <v>0</v>
      </c>
      <c r="CG77" s="167">
        <f t="shared" si="309"/>
        <v>0</v>
      </c>
      <c r="CH77" s="167">
        <f t="shared" si="256"/>
        <v>0</v>
      </c>
      <c r="CI77" s="167">
        <f t="shared" si="310"/>
        <v>0</v>
      </c>
      <c r="CJ77" s="167">
        <f t="shared" si="257"/>
        <v>0</v>
      </c>
      <c r="CK77" s="167">
        <f t="shared" si="311"/>
        <v>0</v>
      </c>
      <c r="CL77" s="167">
        <f t="shared" si="258"/>
        <v>0</v>
      </c>
      <c r="CM77" s="167">
        <f t="shared" si="312"/>
        <v>0</v>
      </c>
      <c r="CN77" s="167">
        <f t="shared" si="259"/>
        <v>0</v>
      </c>
      <c r="CO77" s="170">
        <f t="shared" si="313"/>
        <v>0</v>
      </c>
      <c r="CP77" s="167">
        <f t="shared" si="314"/>
        <v>0</v>
      </c>
      <c r="CQ77" s="171">
        <f t="shared" si="315"/>
        <v>0</v>
      </c>
      <c r="CR77" s="169">
        <f t="shared" si="316"/>
        <v>0</v>
      </c>
      <c r="CS77" s="167">
        <f t="shared" si="261"/>
        <v>0</v>
      </c>
      <c r="CT77" s="167">
        <f t="shared" si="317"/>
        <v>0</v>
      </c>
      <c r="CU77" s="167">
        <f t="shared" si="262"/>
        <v>0</v>
      </c>
      <c r="CV77" s="167">
        <f t="shared" si="318"/>
        <v>0</v>
      </c>
      <c r="CW77" s="167">
        <f t="shared" si="263"/>
        <v>0</v>
      </c>
      <c r="CX77" s="167">
        <f t="shared" si="319"/>
        <v>0</v>
      </c>
      <c r="CY77" s="167">
        <f t="shared" si="264"/>
        <v>0</v>
      </c>
      <c r="CZ77" s="167">
        <f t="shared" si="320"/>
        <v>0</v>
      </c>
      <c r="DA77" s="167">
        <f t="shared" si="265"/>
        <v>0</v>
      </c>
      <c r="DB77" s="170">
        <f t="shared" si="321"/>
        <v>0</v>
      </c>
      <c r="DC77" s="167">
        <f t="shared" si="322"/>
        <v>0</v>
      </c>
      <c r="DD77" s="171">
        <f t="shared" si="323"/>
        <v>0</v>
      </c>
      <c r="DE77" s="169">
        <f t="shared" si="316"/>
        <v>0</v>
      </c>
      <c r="DF77" s="167">
        <f t="shared" si="266"/>
        <v>0</v>
      </c>
      <c r="DG77" s="167">
        <f t="shared" si="324"/>
        <v>0</v>
      </c>
      <c r="DH77" s="167">
        <f t="shared" si="267"/>
        <v>0</v>
      </c>
      <c r="DI77" s="167">
        <f t="shared" si="325"/>
        <v>0</v>
      </c>
      <c r="DJ77" s="167">
        <f t="shared" si="268"/>
        <v>0</v>
      </c>
      <c r="DK77" s="167">
        <f t="shared" si="326"/>
        <v>0</v>
      </c>
      <c r="DL77" s="167">
        <f t="shared" si="269"/>
        <v>0</v>
      </c>
      <c r="DM77" s="167">
        <f t="shared" si="327"/>
        <v>0</v>
      </c>
      <c r="DN77" s="167">
        <f t="shared" si="270"/>
        <v>0</v>
      </c>
      <c r="DO77" s="170">
        <f t="shared" si="328"/>
        <v>0</v>
      </c>
      <c r="DP77" s="167">
        <f t="shared" si="329"/>
        <v>0</v>
      </c>
      <c r="DQ77" s="171">
        <f t="shared" si="330"/>
        <v>0</v>
      </c>
      <c r="DR77" s="169">
        <f t="shared" si="316"/>
        <v>0</v>
      </c>
      <c r="DS77" s="167">
        <f t="shared" si="271"/>
        <v>0</v>
      </c>
      <c r="DT77" s="167">
        <f t="shared" si="331"/>
        <v>0</v>
      </c>
      <c r="DU77" s="167">
        <f t="shared" si="272"/>
        <v>0</v>
      </c>
      <c r="DV77" s="167">
        <f t="shared" si="332"/>
        <v>0</v>
      </c>
      <c r="DW77" s="167">
        <f t="shared" si="273"/>
        <v>0</v>
      </c>
      <c r="DX77" s="167">
        <f t="shared" si="333"/>
        <v>0</v>
      </c>
      <c r="DY77" s="167">
        <f t="shared" si="274"/>
        <v>0</v>
      </c>
      <c r="DZ77" s="167">
        <f t="shared" si="334"/>
        <v>0</v>
      </c>
      <c r="EA77" s="167">
        <f t="shared" si="275"/>
        <v>0</v>
      </c>
      <c r="EB77" s="170">
        <f t="shared" si="335"/>
        <v>0</v>
      </c>
      <c r="EC77" s="167">
        <f t="shared" si="336"/>
        <v>0</v>
      </c>
      <c r="ED77" s="171">
        <f t="shared" si="337"/>
        <v>0</v>
      </c>
    </row>
    <row r="78" spans="1:134" x14ac:dyDescent="0.3">
      <c r="A78" s="185"/>
      <c r="B78" s="186"/>
      <c r="C78" s="187"/>
      <c r="D78" s="188"/>
      <c r="E78" s="189"/>
      <c r="F78" s="190"/>
      <c r="G78" s="191"/>
      <c r="H78" s="192"/>
      <c r="I78" s="193"/>
      <c r="J78" s="194"/>
      <c r="K78" s="165">
        <f t="shared" si="338"/>
        <v>0</v>
      </c>
      <c r="L78" s="166">
        <f t="shared" si="339"/>
        <v>0</v>
      </c>
      <c r="M78" s="167">
        <f t="shared" si="340"/>
        <v>0</v>
      </c>
      <c r="N78" s="167"/>
      <c r="O78" s="167">
        <f t="shared" si="341"/>
        <v>0</v>
      </c>
      <c r="P78" s="168"/>
      <c r="Q78" s="167">
        <f t="shared" si="342"/>
        <v>0</v>
      </c>
      <c r="R78" s="169">
        <f t="shared" si="343"/>
        <v>0</v>
      </c>
      <c r="S78" s="167">
        <f t="shared" si="344"/>
        <v>0</v>
      </c>
      <c r="T78" s="167">
        <f t="shared" si="345"/>
        <v>0</v>
      </c>
      <c r="U78" s="167">
        <f t="shared" si="346"/>
        <v>0</v>
      </c>
      <c r="V78" s="167">
        <f t="shared" si="347"/>
        <v>0</v>
      </c>
      <c r="W78" s="167">
        <f t="shared" si="348"/>
        <v>0</v>
      </c>
      <c r="X78" s="167">
        <f t="shared" si="349"/>
        <v>0</v>
      </c>
      <c r="Y78" s="167">
        <f t="shared" si="350"/>
        <v>0</v>
      </c>
      <c r="Z78" s="167">
        <f t="shared" si="351"/>
        <v>0</v>
      </c>
      <c r="AA78" s="167">
        <f t="shared" si="352"/>
        <v>0</v>
      </c>
      <c r="AB78" s="170">
        <f t="shared" si="353"/>
        <v>0</v>
      </c>
      <c r="AC78" s="167">
        <f t="shared" si="354"/>
        <v>0</v>
      </c>
      <c r="AD78" s="171">
        <f t="shared" si="355"/>
        <v>0</v>
      </c>
      <c r="AE78" s="169">
        <f t="shared" si="280"/>
        <v>0</v>
      </c>
      <c r="AF78" s="167">
        <f t="shared" si="235"/>
        <v>0</v>
      </c>
      <c r="AG78" s="167">
        <f t="shared" si="281"/>
        <v>0</v>
      </c>
      <c r="AH78" s="167">
        <f t="shared" si="236"/>
        <v>0</v>
      </c>
      <c r="AI78" s="167">
        <f t="shared" si="282"/>
        <v>0</v>
      </c>
      <c r="AJ78" s="167">
        <f t="shared" si="237"/>
        <v>0</v>
      </c>
      <c r="AK78" s="167">
        <f t="shared" si="283"/>
        <v>0</v>
      </c>
      <c r="AL78" s="167">
        <f t="shared" si="238"/>
        <v>0</v>
      </c>
      <c r="AM78" s="167">
        <f t="shared" si="284"/>
        <v>0</v>
      </c>
      <c r="AN78" s="167">
        <f t="shared" si="239"/>
        <v>0</v>
      </c>
      <c r="AO78" s="170">
        <f t="shared" si="285"/>
        <v>0</v>
      </c>
      <c r="AP78" s="167">
        <f t="shared" si="286"/>
        <v>0</v>
      </c>
      <c r="AQ78" s="171">
        <f t="shared" si="287"/>
        <v>0</v>
      </c>
      <c r="AR78" s="169">
        <f t="shared" si="280"/>
        <v>0</v>
      </c>
      <c r="AS78" s="167">
        <f t="shared" si="240"/>
        <v>0</v>
      </c>
      <c r="AT78" s="167">
        <f t="shared" si="288"/>
        <v>0</v>
      </c>
      <c r="AU78" s="167">
        <f t="shared" si="241"/>
        <v>0</v>
      </c>
      <c r="AV78" s="167">
        <f t="shared" si="289"/>
        <v>0</v>
      </c>
      <c r="AW78" s="167">
        <f t="shared" si="242"/>
        <v>0</v>
      </c>
      <c r="AX78" s="167">
        <f t="shared" si="290"/>
        <v>0</v>
      </c>
      <c r="AY78" s="167">
        <f t="shared" si="243"/>
        <v>0</v>
      </c>
      <c r="AZ78" s="167">
        <f t="shared" si="291"/>
        <v>0</v>
      </c>
      <c r="BA78" s="167">
        <f t="shared" si="244"/>
        <v>0</v>
      </c>
      <c r="BB78" s="170">
        <f t="shared" si="292"/>
        <v>0</v>
      </c>
      <c r="BC78" s="167">
        <f t="shared" si="293"/>
        <v>0</v>
      </c>
      <c r="BD78" s="171">
        <f t="shared" si="294"/>
        <v>0</v>
      </c>
      <c r="BE78" s="169">
        <f t="shared" si="280"/>
        <v>0</v>
      </c>
      <c r="BF78" s="167">
        <f t="shared" si="245"/>
        <v>0</v>
      </c>
      <c r="BG78" s="167">
        <f t="shared" si="295"/>
        <v>0</v>
      </c>
      <c r="BH78" s="167">
        <f t="shared" si="246"/>
        <v>0</v>
      </c>
      <c r="BI78" s="167">
        <f t="shared" si="296"/>
        <v>0</v>
      </c>
      <c r="BJ78" s="167">
        <f t="shared" si="247"/>
        <v>0</v>
      </c>
      <c r="BK78" s="167">
        <f t="shared" si="297"/>
        <v>0</v>
      </c>
      <c r="BL78" s="167">
        <f t="shared" si="248"/>
        <v>0</v>
      </c>
      <c r="BM78" s="167">
        <f t="shared" si="298"/>
        <v>0</v>
      </c>
      <c r="BN78" s="167">
        <f t="shared" si="249"/>
        <v>0</v>
      </c>
      <c r="BO78" s="170">
        <f t="shared" si="299"/>
        <v>0</v>
      </c>
      <c r="BP78" s="167">
        <f t="shared" si="300"/>
        <v>0</v>
      </c>
      <c r="BQ78" s="171">
        <f t="shared" si="301"/>
        <v>0</v>
      </c>
      <c r="BR78" s="169">
        <f t="shared" si="280"/>
        <v>0</v>
      </c>
      <c r="BS78" s="167">
        <f t="shared" si="250"/>
        <v>0</v>
      </c>
      <c r="BT78" s="167">
        <f t="shared" si="302"/>
        <v>0</v>
      </c>
      <c r="BU78" s="167">
        <f t="shared" si="251"/>
        <v>0</v>
      </c>
      <c r="BV78" s="167">
        <f t="shared" si="303"/>
        <v>0</v>
      </c>
      <c r="BW78" s="167">
        <f t="shared" si="252"/>
        <v>0</v>
      </c>
      <c r="BX78" s="167">
        <f t="shared" si="304"/>
        <v>0</v>
      </c>
      <c r="BY78" s="167">
        <f t="shared" si="253"/>
        <v>0</v>
      </c>
      <c r="BZ78" s="167">
        <f t="shared" si="305"/>
        <v>0</v>
      </c>
      <c r="CA78" s="167">
        <f t="shared" si="254"/>
        <v>0</v>
      </c>
      <c r="CB78" s="170">
        <f t="shared" si="306"/>
        <v>0</v>
      </c>
      <c r="CC78" s="167">
        <f t="shared" si="307"/>
        <v>0</v>
      </c>
      <c r="CD78" s="171">
        <f t="shared" si="308"/>
        <v>0</v>
      </c>
      <c r="CE78" s="169">
        <f t="shared" si="280"/>
        <v>0</v>
      </c>
      <c r="CF78" s="167">
        <f t="shared" si="255"/>
        <v>0</v>
      </c>
      <c r="CG78" s="167">
        <f t="shared" si="309"/>
        <v>0</v>
      </c>
      <c r="CH78" s="167">
        <f t="shared" si="256"/>
        <v>0</v>
      </c>
      <c r="CI78" s="167">
        <f t="shared" si="310"/>
        <v>0</v>
      </c>
      <c r="CJ78" s="167">
        <f t="shared" si="257"/>
        <v>0</v>
      </c>
      <c r="CK78" s="167">
        <f t="shared" si="311"/>
        <v>0</v>
      </c>
      <c r="CL78" s="167">
        <f t="shared" si="258"/>
        <v>0</v>
      </c>
      <c r="CM78" s="167">
        <f t="shared" si="312"/>
        <v>0</v>
      </c>
      <c r="CN78" s="167">
        <f t="shared" si="259"/>
        <v>0</v>
      </c>
      <c r="CO78" s="170">
        <f t="shared" si="313"/>
        <v>0</v>
      </c>
      <c r="CP78" s="167">
        <f t="shared" si="314"/>
        <v>0</v>
      </c>
      <c r="CQ78" s="171">
        <f t="shared" si="315"/>
        <v>0</v>
      </c>
      <c r="CR78" s="169">
        <f t="shared" si="316"/>
        <v>0</v>
      </c>
      <c r="CS78" s="167">
        <f t="shared" si="261"/>
        <v>0</v>
      </c>
      <c r="CT78" s="167">
        <f t="shared" si="317"/>
        <v>0</v>
      </c>
      <c r="CU78" s="167">
        <f t="shared" si="262"/>
        <v>0</v>
      </c>
      <c r="CV78" s="167">
        <f t="shared" si="318"/>
        <v>0</v>
      </c>
      <c r="CW78" s="167">
        <f t="shared" si="263"/>
        <v>0</v>
      </c>
      <c r="CX78" s="167">
        <f t="shared" si="319"/>
        <v>0</v>
      </c>
      <c r="CY78" s="167">
        <f t="shared" si="264"/>
        <v>0</v>
      </c>
      <c r="CZ78" s="167">
        <f t="shared" si="320"/>
        <v>0</v>
      </c>
      <c r="DA78" s="167">
        <f t="shared" si="265"/>
        <v>0</v>
      </c>
      <c r="DB78" s="170">
        <f t="shared" si="321"/>
        <v>0</v>
      </c>
      <c r="DC78" s="167">
        <f t="shared" si="322"/>
        <v>0</v>
      </c>
      <c r="DD78" s="171">
        <f t="shared" si="323"/>
        <v>0</v>
      </c>
      <c r="DE78" s="169">
        <f t="shared" si="316"/>
        <v>0</v>
      </c>
      <c r="DF78" s="167">
        <f t="shared" si="266"/>
        <v>0</v>
      </c>
      <c r="DG78" s="167">
        <f t="shared" si="324"/>
        <v>0</v>
      </c>
      <c r="DH78" s="167">
        <f t="shared" si="267"/>
        <v>0</v>
      </c>
      <c r="DI78" s="167">
        <f t="shared" si="325"/>
        <v>0</v>
      </c>
      <c r="DJ78" s="167">
        <f t="shared" si="268"/>
        <v>0</v>
      </c>
      <c r="DK78" s="167">
        <f t="shared" si="326"/>
        <v>0</v>
      </c>
      <c r="DL78" s="167">
        <f t="shared" si="269"/>
        <v>0</v>
      </c>
      <c r="DM78" s="167">
        <f t="shared" si="327"/>
        <v>0</v>
      </c>
      <c r="DN78" s="167">
        <f t="shared" si="270"/>
        <v>0</v>
      </c>
      <c r="DO78" s="170">
        <f t="shared" si="328"/>
        <v>0</v>
      </c>
      <c r="DP78" s="167">
        <f t="shared" si="329"/>
        <v>0</v>
      </c>
      <c r="DQ78" s="171">
        <f t="shared" si="330"/>
        <v>0</v>
      </c>
      <c r="DR78" s="169">
        <f t="shared" si="316"/>
        <v>0</v>
      </c>
      <c r="DS78" s="167">
        <f t="shared" si="271"/>
        <v>0</v>
      </c>
      <c r="DT78" s="167">
        <f t="shared" si="331"/>
        <v>0</v>
      </c>
      <c r="DU78" s="167">
        <f t="shared" si="272"/>
        <v>0</v>
      </c>
      <c r="DV78" s="167">
        <f t="shared" si="332"/>
        <v>0</v>
      </c>
      <c r="DW78" s="167">
        <f t="shared" si="273"/>
        <v>0</v>
      </c>
      <c r="DX78" s="167">
        <f t="shared" si="333"/>
        <v>0</v>
      </c>
      <c r="DY78" s="167">
        <f t="shared" si="274"/>
        <v>0</v>
      </c>
      <c r="DZ78" s="167">
        <f t="shared" si="334"/>
        <v>0</v>
      </c>
      <c r="EA78" s="167">
        <f t="shared" si="275"/>
        <v>0</v>
      </c>
      <c r="EB78" s="170">
        <f t="shared" si="335"/>
        <v>0</v>
      </c>
      <c r="EC78" s="167">
        <f t="shared" si="336"/>
        <v>0</v>
      </c>
      <c r="ED78" s="171">
        <f t="shared" si="337"/>
        <v>0</v>
      </c>
    </row>
    <row r="79" spans="1:134" x14ac:dyDescent="0.3">
      <c r="A79" s="185"/>
      <c r="B79" s="186"/>
      <c r="C79" s="187"/>
      <c r="D79" s="188"/>
      <c r="E79" s="189"/>
      <c r="F79" s="190"/>
      <c r="G79" s="191"/>
      <c r="H79" s="192"/>
      <c r="I79" s="193"/>
      <c r="J79" s="194"/>
      <c r="K79" s="165">
        <f t="shared" si="338"/>
        <v>0</v>
      </c>
      <c r="L79" s="166">
        <f t="shared" si="339"/>
        <v>0</v>
      </c>
      <c r="M79" s="167">
        <f t="shared" si="340"/>
        <v>0</v>
      </c>
      <c r="N79" s="167"/>
      <c r="O79" s="167">
        <f t="shared" si="341"/>
        <v>0</v>
      </c>
      <c r="P79" s="168"/>
      <c r="Q79" s="167">
        <f t="shared" si="342"/>
        <v>0</v>
      </c>
      <c r="R79" s="169">
        <f t="shared" si="343"/>
        <v>0</v>
      </c>
      <c r="S79" s="167">
        <f t="shared" si="344"/>
        <v>0</v>
      </c>
      <c r="T79" s="167">
        <f t="shared" si="345"/>
        <v>0</v>
      </c>
      <c r="U79" s="167">
        <f t="shared" si="346"/>
        <v>0</v>
      </c>
      <c r="V79" s="167">
        <f t="shared" si="347"/>
        <v>0</v>
      </c>
      <c r="W79" s="167">
        <f t="shared" si="348"/>
        <v>0</v>
      </c>
      <c r="X79" s="167">
        <f t="shared" si="349"/>
        <v>0</v>
      </c>
      <c r="Y79" s="167">
        <f t="shared" si="350"/>
        <v>0</v>
      </c>
      <c r="Z79" s="167">
        <f t="shared" si="351"/>
        <v>0</v>
      </c>
      <c r="AA79" s="167">
        <f t="shared" si="352"/>
        <v>0</v>
      </c>
      <c r="AB79" s="170">
        <f t="shared" si="353"/>
        <v>0</v>
      </c>
      <c r="AC79" s="167">
        <f t="shared" si="354"/>
        <v>0</v>
      </c>
      <c r="AD79" s="171">
        <f t="shared" si="355"/>
        <v>0</v>
      </c>
      <c r="AE79" s="169">
        <f t="shared" si="280"/>
        <v>0</v>
      </c>
      <c r="AF79" s="167">
        <f t="shared" si="235"/>
        <v>0</v>
      </c>
      <c r="AG79" s="167">
        <f t="shared" si="281"/>
        <v>0</v>
      </c>
      <c r="AH79" s="167">
        <f t="shared" si="236"/>
        <v>0</v>
      </c>
      <c r="AI79" s="167">
        <f t="shared" si="282"/>
        <v>0</v>
      </c>
      <c r="AJ79" s="167">
        <f t="shared" si="237"/>
        <v>0</v>
      </c>
      <c r="AK79" s="167">
        <f t="shared" si="283"/>
        <v>0</v>
      </c>
      <c r="AL79" s="167">
        <f t="shared" si="238"/>
        <v>0</v>
      </c>
      <c r="AM79" s="167">
        <f t="shared" si="284"/>
        <v>0</v>
      </c>
      <c r="AN79" s="167">
        <f t="shared" si="239"/>
        <v>0</v>
      </c>
      <c r="AO79" s="170">
        <f t="shared" si="285"/>
        <v>0</v>
      </c>
      <c r="AP79" s="167">
        <f t="shared" si="286"/>
        <v>0</v>
      </c>
      <c r="AQ79" s="171">
        <f t="shared" si="287"/>
        <v>0</v>
      </c>
      <c r="AR79" s="169">
        <f t="shared" si="280"/>
        <v>0</v>
      </c>
      <c r="AS79" s="167">
        <f t="shared" si="240"/>
        <v>0</v>
      </c>
      <c r="AT79" s="167">
        <f t="shared" si="288"/>
        <v>0</v>
      </c>
      <c r="AU79" s="167">
        <f t="shared" si="241"/>
        <v>0</v>
      </c>
      <c r="AV79" s="167">
        <f t="shared" si="289"/>
        <v>0</v>
      </c>
      <c r="AW79" s="167">
        <f t="shared" si="242"/>
        <v>0</v>
      </c>
      <c r="AX79" s="167">
        <f t="shared" si="290"/>
        <v>0</v>
      </c>
      <c r="AY79" s="167">
        <f t="shared" si="243"/>
        <v>0</v>
      </c>
      <c r="AZ79" s="167">
        <f t="shared" si="291"/>
        <v>0</v>
      </c>
      <c r="BA79" s="167">
        <f t="shared" si="244"/>
        <v>0</v>
      </c>
      <c r="BB79" s="170">
        <f t="shared" si="292"/>
        <v>0</v>
      </c>
      <c r="BC79" s="167">
        <f t="shared" si="293"/>
        <v>0</v>
      </c>
      <c r="BD79" s="171">
        <f t="shared" si="294"/>
        <v>0</v>
      </c>
      <c r="BE79" s="169">
        <f t="shared" si="280"/>
        <v>0</v>
      </c>
      <c r="BF79" s="167">
        <f t="shared" si="245"/>
        <v>0</v>
      </c>
      <c r="BG79" s="167">
        <f t="shared" si="295"/>
        <v>0</v>
      </c>
      <c r="BH79" s="167">
        <f t="shared" si="246"/>
        <v>0</v>
      </c>
      <c r="BI79" s="167">
        <f t="shared" si="296"/>
        <v>0</v>
      </c>
      <c r="BJ79" s="167">
        <f t="shared" si="247"/>
        <v>0</v>
      </c>
      <c r="BK79" s="167">
        <f t="shared" si="297"/>
        <v>0</v>
      </c>
      <c r="BL79" s="167">
        <f t="shared" si="248"/>
        <v>0</v>
      </c>
      <c r="BM79" s="167">
        <f t="shared" si="298"/>
        <v>0</v>
      </c>
      <c r="BN79" s="167">
        <f t="shared" si="249"/>
        <v>0</v>
      </c>
      <c r="BO79" s="170">
        <f t="shared" si="299"/>
        <v>0</v>
      </c>
      <c r="BP79" s="167">
        <f t="shared" si="300"/>
        <v>0</v>
      </c>
      <c r="BQ79" s="171">
        <f t="shared" si="301"/>
        <v>0</v>
      </c>
      <c r="BR79" s="169">
        <f t="shared" si="280"/>
        <v>0</v>
      </c>
      <c r="BS79" s="167">
        <f t="shared" si="250"/>
        <v>0</v>
      </c>
      <c r="BT79" s="167">
        <f t="shared" si="302"/>
        <v>0</v>
      </c>
      <c r="BU79" s="167">
        <f t="shared" si="251"/>
        <v>0</v>
      </c>
      <c r="BV79" s="167">
        <f t="shared" si="303"/>
        <v>0</v>
      </c>
      <c r="BW79" s="167">
        <f t="shared" si="252"/>
        <v>0</v>
      </c>
      <c r="BX79" s="167">
        <f t="shared" si="304"/>
        <v>0</v>
      </c>
      <c r="BY79" s="167">
        <f t="shared" si="253"/>
        <v>0</v>
      </c>
      <c r="BZ79" s="167">
        <f t="shared" si="305"/>
        <v>0</v>
      </c>
      <c r="CA79" s="167">
        <f t="shared" si="254"/>
        <v>0</v>
      </c>
      <c r="CB79" s="170">
        <f t="shared" si="306"/>
        <v>0</v>
      </c>
      <c r="CC79" s="167">
        <f t="shared" si="307"/>
        <v>0</v>
      </c>
      <c r="CD79" s="171">
        <f t="shared" si="308"/>
        <v>0</v>
      </c>
      <c r="CE79" s="169">
        <f t="shared" si="280"/>
        <v>0</v>
      </c>
      <c r="CF79" s="167">
        <f t="shared" si="255"/>
        <v>0</v>
      </c>
      <c r="CG79" s="167">
        <f t="shared" si="309"/>
        <v>0</v>
      </c>
      <c r="CH79" s="167">
        <f t="shared" si="256"/>
        <v>0</v>
      </c>
      <c r="CI79" s="167">
        <f t="shared" si="310"/>
        <v>0</v>
      </c>
      <c r="CJ79" s="167">
        <f t="shared" si="257"/>
        <v>0</v>
      </c>
      <c r="CK79" s="167">
        <f t="shared" si="311"/>
        <v>0</v>
      </c>
      <c r="CL79" s="167">
        <f t="shared" si="258"/>
        <v>0</v>
      </c>
      <c r="CM79" s="167">
        <f t="shared" si="312"/>
        <v>0</v>
      </c>
      <c r="CN79" s="167">
        <f t="shared" si="259"/>
        <v>0</v>
      </c>
      <c r="CO79" s="170">
        <f t="shared" si="313"/>
        <v>0</v>
      </c>
      <c r="CP79" s="167">
        <f t="shared" si="314"/>
        <v>0</v>
      </c>
      <c r="CQ79" s="171">
        <f t="shared" si="315"/>
        <v>0</v>
      </c>
      <c r="CR79" s="169">
        <f t="shared" si="316"/>
        <v>0</v>
      </c>
      <c r="CS79" s="167">
        <f t="shared" si="261"/>
        <v>0</v>
      </c>
      <c r="CT79" s="167">
        <f t="shared" si="317"/>
        <v>0</v>
      </c>
      <c r="CU79" s="167">
        <f t="shared" si="262"/>
        <v>0</v>
      </c>
      <c r="CV79" s="167">
        <f t="shared" si="318"/>
        <v>0</v>
      </c>
      <c r="CW79" s="167">
        <f t="shared" si="263"/>
        <v>0</v>
      </c>
      <c r="CX79" s="167">
        <f t="shared" si="319"/>
        <v>0</v>
      </c>
      <c r="CY79" s="167">
        <f t="shared" si="264"/>
        <v>0</v>
      </c>
      <c r="CZ79" s="167">
        <f t="shared" si="320"/>
        <v>0</v>
      </c>
      <c r="DA79" s="167">
        <f t="shared" si="265"/>
        <v>0</v>
      </c>
      <c r="DB79" s="170">
        <f t="shared" si="321"/>
        <v>0</v>
      </c>
      <c r="DC79" s="167">
        <f t="shared" si="322"/>
        <v>0</v>
      </c>
      <c r="DD79" s="171">
        <f t="shared" si="323"/>
        <v>0</v>
      </c>
      <c r="DE79" s="169">
        <f t="shared" si="316"/>
        <v>0</v>
      </c>
      <c r="DF79" s="167">
        <f t="shared" si="266"/>
        <v>0</v>
      </c>
      <c r="DG79" s="167">
        <f t="shared" si="324"/>
        <v>0</v>
      </c>
      <c r="DH79" s="167">
        <f t="shared" si="267"/>
        <v>0</v>
      </c>
      <c r="DI79" s="167">
        <f t="shared" si="325"/>
        <v>0</v>
      </c>
      <c r="DJ79" s="167">
        <f t="shared" si="268"/>
        <v>0</v>
      </c>
      <c r="DK79" s="167">
        <f t="shared" si="326"/>
        <v>0</v>
      </c>
      <c r="DL79" s="167">
        <f t="shared" si="269"/>
        <v>0</v>
      </c>
      <c r="DM79" s="167">
        <f t="shared" si="327"/>
        <v>0</v>
      </c>
      <c r="DN79" s="167">
        <f t="shared" si="270"/>
        <v>0</v>
      </c>
      <c r="DO79" s="170">
        <f t="shared" si="328"/>
        <v>0</v>
      </c>
      <c r="DP79" s="167">
        <f t="shared" si="329"/>
        <v>0</v>
      </c>
      <c r="DQ79" s="171">
        <f t="shared" si="330"/>
        <v>0</v>
      </c>
      <c r="DR79" s="169">
        <f t="shared" si="316"/>
        <v>0</v>
      </c>
      <c r="DS79" s="167">
        <f t="shared" si="271"/>
        <v>0</v>
      </c>
      <c r="DT79" s="167">
        <f t="shared" si="331"/>
        <v>0</v>
      </c>
      <c r="DU79" s="167">
        <f t="shared" si="272"/>
        <v>0</v>
      </c>
      <c r="DV79" s="167">
        <f t="shared" si="332"/>
        <v>0</v>
      </c>
      <c r="DW79" s="167">
        <f t="shared" si="273"/>
        <v>0</v>
      </c>
      <c r="DX79" s="167">
        <f t="shared" si="333"/>
        <v>0</v>
      </c>
      <c r="DY79" s="167">
        <f t="shared" si="274"/>
        <v>0</v>
      </c>
      <c r="DZ79" s="167">
        <f t="shared" si="334"/>
        <v>0</v>
      </c>
      <c r="EA79" s="167">
        <f t="shared" si="275"/>
        <v>0</v>
      </c>
      <c r="EB79" s="170">
        <f t="shared" si="335"/>
        <v>0</v>
      </c>
      <c r="EC79" s="167">
        <f t="shared" si="336"/>
        <v>0</v>
      </c>
      <c r="ED79" s="171">
        <f t="shared" si="337"/>
        <v>0</v>
      </c>
    </row>
    <row r="80" spans="1:134" x14ac:dyDescent="0.3">
      <c r="A80" s="185"/>
      <c r="B80" s="186"/>
      <c r="C80" s="187"/>
      <c r="D80" s="188"/>
      <c r="E80" s="189"/>
      <c r="F80" s="190"/>
      <c r="G80" s="191"/>
      <c r="H80" s="192"/>
      <c r="I80" s="193"/>
      <c r="J80" s="194"/>
      <c r="K80" s="165">
        <f t="shared" si="338"/>
        <v>0</v>
      </c>
      <c r="L80" s="166">
        <f t="shared" si="339"/>
        <v>0</v>
      </c>
      <c r="M80" s="167">
        <f t="shared" si="340"/>
        <v>0</v>
      </c>
      <c r="N80" s="167"/>
      <c r="O80" s="167">
        <f t="shared" si="341"/>
        <v>0</v>
      </c>
      <c r="P80" s="168"/>
      <c r="Q80" s="167">
        <f t="shared" si="342"/>
        <v>0</v>
      </c>
      <c r="R80" s="169">
        <f t="shared" si="343"/>
        <v>0</v>
      </c>
      <c r="S80" s="167">
        <f t="shared" si="344"/>
        <v>0</v>
      </c>
      <c r="T80" s="167">
        <f t="shared" si="345"/>
        <v>0</v>
      </c>
      <c r="U80" s="167">
        <f t="shared" si="346"/>
        <v>0</v>
      </c>
      <c r="V80" s="167">
        <f t="shared" si="347"/>
        <v>0</v>
      </c>
      <c r="W80" s="167">
        <f t="shared" si="348"/>
        <v>0</v>
      </c>
      <c r="X80" s="167">
        <f t="shared" si="349"/>
        <v>0</v>
      </c>
      <c r="Y80" s="167">
        <f t="shared" si="350"/>
        <v>0</v>
      </c>
      <c r="Z80" s="167">
        <f t="shared" si="351"/>
        <v>0</v>
      </c>
      <c r="AA80" s="167">
        <f t="shared" si="352"/>
        <v>0</v>
      </c>
      <c r="AB80" s="170">
        <f t="shared" si="353"/>
        <v>0</v>
      </c>
      <c r="AC80" s="167">
        <f t="shared" si="354"/>
        <v>0</v>
      </c>
      <c r="AD80" s="171">
        <f t="shared" si="355"/>
        <v>0</v>
      </c>
      <c r="AE80" s="169">
        <f t="shared" si="280"/>
        <v>0</v>
      </c>
      <c r="AF80" s="167">
        <f t="shared" si="235"/>
        <v>0</v>
      </c>
      <c r="AG80" s="167">
        <f t="shared" si="281"/>
        <v>0</v>
      </c>
      <c r="AH80" s="167">
        <f t="shared" si="236"/>
        <v>0</v>
      </c>
      <c r="AI80" s="167">
        <f t="shared" si="282"/>
        <v>0</v>
      </c>
      <c r="AJ80" s="167">
        <f t="shared" si="237"/>
        <v>0</v>
      </c>
      <c r="AK80" s="167">
        <f t="shared" si="283"/>
        <v>0</v>
      </c>
      <c r="AL80" s="167">
        <f t="shared" si="238"/>
        <v>0</v>
      </c>
      <c r="AM80" s="167">
        <f t="shared" si="284"/>
        <v>0</v>
      </c>
      <c r="AN80" s="167">
        <f t="shared" si="239"/>
        <v>0</v>
      </c>
      <c r="AO80" s="170">
        <f t="shared" si="285"/>
        <v>0</v>
      </c>
      <c r="AP80" s="167">
        <f t="shared" si="286"/>
        <v>0</v>
      </c>
      <c r="AQ80" s="171">
        <f t="shared" si="287"/>
        <v>0</v>
      </c>
      <c r="AR80" s="169">
        <f t="shared" si="280"/>
        <v>0</v>
      </c>
      <c r="AS80" s="167">
        <f t="shared" si="240"/>
        <v>0</v>
      </c>
      <c r="AT80" s="167">
        <f t="shared" si="288"/>
        <v>0</v>
      </c>
      <c r="AU80" s="167">
        <f t="shared" si="241"/>
        <v>0</v>
      </c>
      <c r="AV80" s="167">
        <f t="shared" si="289"/>
        <v>0</v>
      </c>
      <c r="AW80" s="167">
        <f t="shared" si="242"/>
        <v>0</v>
      </c>
      <c r="AX80" s="167">
        <f t="shared" si="290"/>
        <v>0</v>
      </c>
      <c r="AY80" s="167">
        <f t="shared" si="243"/>
        <v>0</v>
      </c>
      <c r="AZ80" s="167">
        <f t="shared" si="291"/>
        <v>0</v>
      </c>
      <c r="BA80" s="167">
        <f t="shared" si="244"/>
        <v>0</v>
      </c>
      <c r="BB80" s="170">
        <f t="shared" si="292"/>
        <v>0</v>
      </c>
      <c r="BC80" s="167">
        <f t="shared" si="293"/>
        <v>0</v>
      </c>
      <c r="BD80" s="171">
        <f t="shared" si="294"/>
        <v>0</v>
      </c>
      <c r="BE80" s="169">
        <f t="shared" si="280"/>
        <v>0</v>
      </c>
      <c r="BF80" s="167">
        <f t="shared" si="245"/>
        <v>0</v>
      </c>
      <c r="BG80" s="167">
        <f t="shared" si="295"/>
        <v>0</v>
      </c>
      <c r="BH80" s="167">
        <f t="shared" si="246"/>
        <v>0</v>
      </c>
      <c r="BI80" s="167">
        <f t="shared" si="296"/>
        <v>0</v>
      </c>
      <c r="BJ80" s="167">
        <f t="shared" si="247"/>
        <v>0</v>
      </c>
      <c r="BK80" s="167">
        <f t="shared" si="297"/>
        <v>0</v>
      </c>
      <c r="BL80" s="167">
        <f t="shared" si="248"/>
        <v>0</v>
      </c>
      <c r="BM80" s="167">
        <f t="shared" si="298"/>
        <v>0</v>
      </c>
      <c r="BN80" s="167">
        <f t="shared" si="249"/>
        <v>0</v>
      </c>
      <c r="BO80" s="170">
        <f t="shared" si="299"/>
        <v>0</v>
      </c>
      <c r="BP80" s="167">
        <f t="shared" si="300"/>
        <v>0</v>
      </c>
      <c r="BQ80" s="171">
        <f t="shared" si="301"/>
        <v>0</v>
      </c>
      <c r="BR80" s="169">
        <f t="shared" si="280"/>
        <v>0</v>
      </c>
      <c r="BS80" s="167">
        <f t="shared" si="250"/>
        <v>0</v>
      </c>
      <c r="BT80" s="167">
        <f t="shared" si="302"/>
        <v>0</v>
      </c>
      <c r="BU80" s="167">
        <f t="shared" si="251"/>
        <v>0</v>
      </c>
      <c r="BV80" s="167">
        <f t="shared" si="303"/>
        <v>0</v>
      </c>
      <c r="BW80" s="167">
        <f t="shared" si="252"/>
        <v>0</v>
      </c>
      <c r="BX80" s="167">
        <f t="shared" si="304"/>
        <v>0</v>
      </c>
      <c r="BY80" s="167">
        <f t="shared" si="253"/>
        <v>0</v>
      </c>
      <c r="BZ80" s="167">
        <f t="shared" si="305"/>
        <v>0</v>
      </c>
      <c r="CA80" s="167">
        <f t="shared" si="254"/>
        <v>0</v>
      </c>
      <c r="CB80" s="170">
        <f t="shared" si="306"/>
        <v>0</v>
      </c>
      <c r="CC80" s="167">
        <f t="shared" si="307"/>
        <v>0</v>
      </c>
      <c r="CD80" s="171">
        <f t="shared" si="308"/>
        <v>0</v>
      </c>
      <c r="CE80" s="169">
        <f t="shared" si="280"/>
        <v>0</v>
      </c>
      <c r="CF80" s="167">
        <f t="shared" si="255"/>
        <v>0</v>
      </c>
      <c r="CG80" s="167">
        <f t="shared" si="309"/>
        <v>0</v>
      </c>
      <c r="CH80" s="167">
        <f t="shared" si="256"/>
        <v>0</v>
      </c>
      <c r="CI80" s="167">
        <f t="shared" si="310"/>
        <v>0</v>
      </c>
      <c r="CJ80" s="167">
        <f t="shared" si="257"/>
        <v>0</v>
      </c>
      <c r="CK80" s="167">
        <f t="shared" si="311"/>
        <v>0</v>
      </c>
      <c r="CL80" s="167">
        <f t="shared" si="258"/>
        <v>0</v>
      </c>
      <c r="CM80" s="167">
        <f t="shared" si="312"/>
        <v>0</v>
      </c>
      <c r="CN80" s="167">
        <f t="shared" si="259"/>
        <v>0</v>
      </c>
      <c r="CO80" s="170">
        <f t="shared" si="313"/>
        <v>0</v>
      </c>
      <c r="CP80" s="167">
        <f t="shared" si="314"/>
        <v>0</v>
      </c>
      <c r="CQ80" s="171">
        <f t="shared" si="315"/>
        <v>0</v>
      </c>
      <c r="CR80" s="169">
        <f t="shared" si="316"/>
        <v>0</v>
      </c>
      <c r="CS80" s="167">
        <f t="shared" si="261"/>
        <v>0</v>
      </c>
      <c r="CT80" s="167">
        <f t="shared" si="317"/>
        <v>0</v>
      </c>
      <c r="CU80" s="167">
        <f t="shared" si="262"/>
        <v>0</v>
      </c>
      <c r="CV80" s="167">
        <f t="shared" si="318"/>
        <v>0</v>
      </c>
      <c r="CW80" s="167">
        <f t="shared" si="263"/>
        <v>0</v>
      </c>
      <c r="CX80" s="167">
        <f t="shared" si="319"/>
        <v>0</v>
      </c>
      <c r="CY80" s="167">
        <f t="shared" si="264"/>
        <v>0</v>
      </c>
      <c r="CZ80" s="167">
        <f t="shared" si="320"/>
        <v>0</v>
      </c>
      <c r="DA80" s="167">
        <f t="shared" si="265"/>
        <v>0</v>
      </c>
      <c r="DB80" s="170">
        <f t="shared" si="321"/>
        <v>0</v>
      </c>
      <c r="DC80" s="167">
        <f t="shared" si="322"/>
        <v>0</v>
      </c>
      <c r="DD80" s="171">
        <f t="shared" si="323"/>
        <v>0</v>
      </c>
      <c r="DE80" s="169">
        <f t="shared" si="316"/>
        <v>0</v>
      </c>
      <c r="DF80" s="167">
        <f t="shared" si="266"/>
        <v>0</v>
      </c>
      <c r="DG80" s="167">
        <f t="shared" si="324"/>
        <v>0</v>
      </c>
      <c r="DH80" s="167">
        <f t="shared" si="267"/>
        <v>0</v>
      </c>
      <c r="DI80" s="167">
        <f t="shared" si="325"/>
        <v>0</v>
      </c>
      <c r="DJ80" s="167">
        <f t="shared" si="268"/>
        <v>0</v>
      </c>
      <c r="DK80" s="167">
        <f t="shared" si="326"/>
        <v>0</v>
      </c>
      <c r="DL80" s="167">
        <f t="shared" si="269"/>
        <v>0</v>
      </c>
      <c r="DM80" s="167">
        <f t="shared" si="327"/>
        <v>0</v>
      </c>
      <c r="DN80" s="167">
        <f t="shared" si="270"/>
        <v>0</v>
      </c>
      <c r="DO80" s="170">
        <f t="shared" si="328"/>
        <v>0</v>
      </c>
      <c r="DP80" s="167">
        <f t="shared" si="329"/>
        <v>0</v>
      </c>
      <c r="DQ80" s="171">
        <f t="shared" si="330"/>
        <v>0</v>
      </c>
      <c r="DR80" s="169">
        <f t="shared" si="316"/>
        <v>0</v>
      </c>
      <c r="DS80" s="167">
        <f t="shared" si="271"/>
        <v>0</v>
      </c>
      <c r="DT80" s="167">
        <f t="shared" si="331"/>
        <v>0</v>
      </c>
      <c r="DU80" s="167">
        <f t="shared" si="272"/>
        <v>0</v>
      </c>
      <c r="DV80" s="167">
        <f t="shared" si="332"/>
        <v>0</v>
      </c>
      <c r="DW80" s="167">
        <f t="shared" si="273"/>
        <v>0</v>
      </c>
      <c r="DX80" s="167">
        <f t="shared" si="333"/>
        <v>0</v>
      </c>
      <c r="DY80" s="167">
        <f t="shared" si="274"/>
        <v>0</v>
      </c>
      <c r="DZ80" s="167">
        <f t="shared" si="334"/>
        <v>0</v>
      </c>
      <c r="EA80" s="167">
        <f t="shared" si="275"/>
        <v>0</v>
      </c>
      <c r="EB80" s="170">
        <f t="shared" si="335"/>
        <v>0</v>
      </c>
      <c r="EC80" s="167">
        <f t="shared" si="336"/>
        <v>0</v>
      </c>
      <c r="ED80" s="171">
        <f t="shared" si="337"/>
        <v>0</v>
      </c>
    </row>
    <row r="81" spans="1:134" x14ac:dyDescent="0.3">
      <c r="A81" s="185"/>
      <c r="B81" s="186"/>
      <c r="C81" s="187"/>
      <c r="D81" s="188"/>
      <c r="E81" s="189"/>
      <c r="F81" s="190"/>
      <c r="G81" s="191"/>
      <c r="H81" s="192"/>
      <c r="I81" s="193"/>
      <c r="J81" s="194"/>
      <c r="K81" s="165">
        <f t="shared" si="338"/>
        <v>0</v>
      </c>
      <c r="L81" s="166">
        <f t="shared" si="339"/>
        <v>0</v>
      </c>
      <c r="M81" s="167">
        <f t="shared" si="340"/>
        <v>0</v>
      </c>
      <c r="N81" s="167"/>
      <c r="O81" s="167">
        <f t="shared" si="341"/>
        <v>0</v>
      </c>
      <c r="P81" s="168"/>
      <c r="Q81" s="167">
        <f t="shared" si="342"/>
        <v>0</v>
      </c>
      <c r="R81" s="169">
        <f t="shared" si="343"/>
        <v>0</v>
      </c>
      <c r="S81" s="167">
        <f t="shared" si="344"/>
        <v>0</v>
      </c>
      <c r="T81" s="167">
        <f t="shared" si="345"/>
        <v>0</v>
      </c>
      <c r="U81" s="167">
        <f t="shared" si="346"/>
        <v>0</v>
      </c>
      <c r="V81" s="167">
        <f t="shared" si="347"/>
        <v>0</v>
      </c>
      <c r="W81" s="167">
        <f t="shared" si="348"/>
        <v>0</v>
      </c>
      <c r="X81" s="167">
        <f t="shared" si="349"/>
        <v>0</v>
      </c>
      <c r="Y81" s="167">
        <f t="shared" si="350"/>
        <v>0</v>
      </c>
      <c r="Z81" s="167">
        <f t="shared" si="351"/>
        <v>0</v>
      </c>
      <c r="AA81" s="167">
        <f t="shared" si="352"/>
        <v>0</v>
      </c>
      <c r="AB81" s="170">
        <f t="shared" si="353"/>
        <v>0</v>
      </c>
      <c r="AC81" s="167">
        <f t="shared" si="354"/>
        <v>0</v>
      </c>
      <c r="AD81" s="171">
        <f t="shared" si="355"/>
        <v>0</v>
      </c>
      <c r="AE81" s="169">
        <f t="shared" si="280"/>
        <v>0</v>
      </c>
      <c r="AF81" s="167">
        <f t="shared" si="235"/>
        <v>0</v>
      </c>
      <c r="AG81" s="167">
        <f t="shared" si="281"/>
        <v>0</v>
      </c>
      <c r="AH81" s="167">
        <f t="shared" si="236"/>
        <v>0</v>
      </c>
      <c r="AI81" s="167">
        <f t="shared" si="282"/>
        <v>0</v>
      </c>
      <c r="AJ81" s="167">
        <f t="shared" si="237"/>
        <v>0</v>
      </c>
      <c r="AK81" s="167">
        <f t="shared" si="283"/>
        <v>0</v>
      </c>
      <c r="AL81" s="167">
        <f t="shared" si="238"/>
        <v>0</v>
      </c>
      <c r="AM81" s="167">
        <f t="shared" si="284"/>
        <v>0</v>
      </c>
      <c r="AN81" s="167">
        <f t="shared" si="239"/>
        <v>0</v>
      </c>
      <c r="AO81" s="170">
        <f t="shared" si="285"/>
        <v>0</v>
      </c>
      <c r="AP81" s="167">
        <f t="shared" si="286"/>
        <v>0</v>
      </c>
      <c r="AQ81" s="171">
        <f t="shared" si="287"/>
        <v>0</v>
      </c>
      <c r="AR81" s="169">
        <f t="shared" si="280"/>
        <v>0</v>
      </c>
      <c r="AS81" s="167">
        <f t="shared" si="240"/>
        <v>0</v>
      </c>
      <c r="AT81" s="167">
        <f t="shared" si="288"/>
        <v>0</v>
      </c>
      <c r="AU81" s="167">
        <f t="shared" si="241"/>
        <v>0</v>
      </c>
      <c r="AV81" s="167">
        <f t="shared" si="289"/>
        <v>0</v>
      </c>
      <c r="AW81" s="167">
        <f t="shared" si="242"/>
        <v>0</v>
      </c>
      <c r="AX81" s="167">
        <f t="shared" si="290"/>
        <v>0</v>
      </c>
      <c r="AY81" s="167">
        <f t="shared" si="243"/>
        <v>0</v>
      </c>
      <c r="AZ81" s="167">
        <f t="shared" si="291"/>
        <v>0</v>
      </c>
      <c r="BA81" s="167">
        <f t="shared" si="244"/>
        <v>0</v>
      </c>
      <c r="BB81" s="170">
        <f t="shared" si="292"/>
        <v>0</v>
      </c>
      <c r="BC81" s="167">
        <f t="shared" si="293"/>
        <v>0</v>
      </c>
      <c r="BD81" s="171">
        <f t="shared" si="294"/>
        <v>0</v>
      </c>
      <c r="BE81" s="169">
        <f t="shared" si="280"/>
        <v>0</v>
      </c>
      <c r="BF81" s="167">
        <f t="shared" si="245"/>
        <v>0</v>
      </c>
      <c r="BG81" s="167">
        <f t="shared" si="295"/>
        <v>0</v>
      </c>
      <c r="BH81" s="167">
        <f t="shared" si="246"/>
        <v>0</v>
      </c>
      <c r="BI81" s="167">
        <f t="shared" si="296"/>
        <v>0</v>
      </c>
      <c r="BJ81" s="167">
        <f t="shared" si="247"/>
        <v>0</v>
      </c>
      <c r="BK81" s="167">
        <f t="shared" si="297"/>
        <v>0</v>
      </c>
      <c r="BL81" s="167">
        <f t="shared" si="248"/>
        <v>0</v>
      </c>
      <c r="BM81" s="167">
        <f t="shared" si="298"/>
        <v>0</v>
      </c>
      <c r="BN81" s="167">
        <f t="shared" si="249"/>
        <v>0</v>
      </c>
      <c r="BO81" s="170">
        <f t="shared" si="299"/>
        <v>0</v>
      </c>
      <c r="BP81" s="167">
        <f t="shared" si="300"/>
        <v>0</v>
      </c>
      <c r="BQ81" s="171">
        <f t="shared" si="301"/>
        <v>0</v>
      </c>
      <c r="BR81" s="169">
        <f t="shared" si="280"/>
        <v>0</v>
      </c>
      <c r="BS81" s="167">
        <f t="shared" si="250"/>
        <v>0</v>
      </c>
      <c r="BT81" s="167">
        <f t="shared" si="302"/>
        <v>0</v>
      </c>
      <c r="BU81" s="167">
        <f t="shared" si="251"/>
        <v>0</v>
      </c>
      <c r="BV81" s="167">
        <f t="shared" si="303"/>
        <v>0</v>
      </c>
      <c r="BW81" s="167">
        <f t="shared" si="252"/>
        <v>0</v>
      </c>
      <c r="BX81" s="167">
        <f t="shared" si="304"/>
        <v>0</v>
      </c>
      <c r="BY81" s="167">
        <f t="shared" si="253"/>
        <v>0</v>
      </c>
      <c r="BZ81" s="167">
        <f t="shared" si="305"/>
        <v>0</v>
      </c>
      <c r="CA81" s="167">
        <f t="shared" si="254"/>
        <v>0</v>
      </c>
      <c r="CB81" s="170">
        <f t="shared" si="306"/>
        <v>0</v>
      </c>
      <c r="CC81" s="167">
        <f t="shared" si="307"/>
        <v>0</v>
      </c>
      <c r="CD81" s="171">
        <f t="shared" si="308"/>
        <v>0</v>
      </c>
      <c r="CE81" s="169">
        <f t="shared" si="280"/>
        <v>0</v>
      </c>
      <c r="CF81" s="167">
        <f t="shared" si="255"/>
        <v>0</v>
      </c>
      <c r="CG81" s="167">
        <f t="shared" si="309"/>
        <v>0</v>
      </c>
      <c r="CH81" s="167">
        <f t="shared" si="256"/>
        <v>0</v>
      </c>
      <c r="CI81" s="167">
        <f t="shared" si="310"/>
        <v>0</v>
      </c>
      <c r="CJ81" s="167">
        <f t="shared" si="257"/>
        <v>0</v>
      </c>
      <c r="CK81" s="167">
        <f t="shared" si="311"/>
        <v>0</v>
      </c>
      <c r="CL81" s="167">
        <f t="shared" si="258"/>
        <v>0</v>
      </c>
      <c r="CM81" s="167">
        <f t="shared" si="312"/>
        <v>0</v>
      </c>
      <c r="CN81" s="167">
        <f t="shared" si="259"/>
        <v>0</v>
      </c>
      <c r="CO81" s="170">
        <f t="shared" si="313"/>
        <v>0</v>
      </c>
      <c r="CP81" s="167">
        <f t="shared" si="314"/>
        <v>0</v>
      </c>
      <c r="CQ81" s="171">
        <f t="shared" si="315"/>
        <v>0</v>
      </c>
      <c r="CR81" s="169">
        <f t="shared" si="316"/>
        <v>0</v>
      </c>
      <c r="CS81" s="167">
        <f t="shared" si="261"/>
        <v>0</v>
      </c>
      <c r="CT81" s="167">
        <f t="shared" si="317"/>
        <v>0</v>
      </c>
      <c r="CU81" s="167">
        <f t="shared" si="262"/>
        <v>0</v>
      </c>
      <c r="CV81" s="167">
        <f t="shared" si="318"/>
        <v>0</v>
      </c>
      <c r="CW81" s="167">
        <f t="shared" si="263"/>
        <v>0</v>
      </c>
      <c r="CX81" s="167">
        <f t="shared" si="319"/>
        <v>0</v>
      </c>
      <c r="CY81" s="167">
        <f t="shared" si="264"/>
        <v>0</v>
      </c>
      <c r="CZ81" s="167">
        <f t="shared" si="320"/>
        <v>0</v>
      </c>
      <c r="DA81" s="167">
        <f t="shared" si="265"/>
        <v>0</v>
      </c>
      <c r="DB81" s="170">
        <f t="shared" si="321"/>
        <v>0</v>
      </c>
      <c r="DC81" s="167">
        <f t="shared" si="322"/>
        <v>0</v>
      </c>
      <c r="DD81" s="171">
        <f t="shared" si="323"/>
        <v>0</v>
      </c>
      <c r="DE81" s="169">
        <f t="shared" si="316"/>
        <v>0</v>
      </c>
      <c r="DF81" s="167">
        <f t="shared" si="266"/>
        <v>0</v>
      </c>
      <c r="DG81" s="167">
        <f t="shared" si="324"/>
        <v>0</v>
      </c>
      <c r="DH81" s="167">
        <f t="shared" si="267"/>
        <v>0</v>
      </c>
      <c r="DI81" s="167">
        <f t="shared" si="325"/>
        <v>0</v>
      </c>
      <c r="DJ81" s="167">
        <f t="shared" si="268"/>
        <v>0</v>
      </c>
      <c r="DK81" s="167">
        <f t="shared" si="326"/>
        <v>0</v>
      </c>
      <c r="DL81" s="167">
        <f t="shared" si="269"/>
        <v>0</v>
      </c>
      <c r="DM81" s="167">
        <f t="shared" si="327"/>
        <v>0</v>
      </c>
      <c r="DN81" s="167">
        <f t="shared" si="270"/>
        <v>0</v>
      </c>
      <c r="DO81" s="170">
        <f t="shared" si="328"/>
        <v>0</v>
      </c>
      <c r="DP81" s="167">
        <f t="shared" si="329"/>
        <v>0</v>
      </c>
      <c r="DQ81" s="171">
        <f t="shared" si="330"/>
        <v>0</v>
      </c>
      <c r="DR81" s="169">
        <f t="shared" si="316"/>
        <v>0</v>
      </c>
      <c r="DS81" s="167">
        <f t="shared" si="271"/>
        <v>0</v>
      </c>
      <c r="DT81" s="167">
        <f t="shared" si="331"/>
        <v>0</v>
      </c>
      <c r="DU81" s="167">
        <f t="shared" si="272"/>
        <v>0</v>
      </c>
      <c r="DV81" s="167">
        <f t="shared" si="332"/>
        <v>0</v>
      </c>
      <c r="DW81" s="167">
        <f t="shared" si="273"/>
        <v>0</v>
      </c>
      <c r="DX81" s="167">
        <f t="shared" si="333"/>
        <v>0</v>
      </c>
      <c r="DY81" s="167">
        <f t="shared" si="274"/>
        <v>0</v>
      </c>
      <c r="DZ81" s="167">
        <f t="shared" si="334"/>
        <v>0</v>
      </c>
      <c r="EA81" s="167">
        <f t="shared" si="275"/>
        <v>0</v>
      </c>
      <c r="EB81" s="170">
        <f t="shared" si="335"/>
        <v>0</v>
      </c>
      <c r="EC81" s="167">
        <f t="shared" si="336"/>
        <v>0</v>
      </c>
      <c r="ED81" s="171">
        <f t="shared" si="337"/>
        <v>0</v>
      </c>
    </row>
    <row r="82" spans="1:134" x14ac:dyDescent="0.3">
      <c r="A82" s="185"/>
      <c r="B82" s="186"/>
      <c r="C82" s="187"/>
      <c r="D82" s="188"/>
      <c r="E82" s="189"/>
      <c r="F82" s="190"/>
      <c r="G82" s="191"/>
      <c r="H82" s="192"/>
      <c r="I82" s="193"/>
      <c r="J82" s="194"/>
      <c r="K82" s="165">
        <f t="shared" si="338"/>
        <v>0</v>
      </c>
      <c r="L82" s="166">
        <f t="shared" si="339"/>
        <v>0</v>
      </c>
      <c r="M82" s="167">
        <f t="shared" si="340"/>
        <v>0</v>
      </c>
      <c r="N82" s="167"/>
      <c r="O82" s="167">
        <f t="shared" si="341"/>
        <v>0</v>
      </c>
      <c r="P82" s="168"/>
      <c r="Q82" s="167">
        <f t="shared" si="342"/>
        <v>0</v>
      </c>
      <c r="R82" s="169">
        <f t="shared" si="343"/>
        <v>0</v>
      </c>
      <c r="S82" s="167">
        <f t="shared" si="344"/>
        <v>0</v>
      </c>
      <c r="T82" s="167">
        <f t="shared" si="345"/>
        <v>0</v>
      </c>
      <c r="U82" s="167">
        <f t="shared" si="346"/>
        <v>0</v>
      </c>
      <c r="V82" s="167">
        <f t="shared" si="347"/>
        <v>0</v>
      </c>
      <c r="W82" s="167">
        <f t="shared" si="348"/>
        <v>0</v>
      </c>
      <c r="X82" s="167">
        <f t="shared" si="349"/>
        <v>0</v>
      </c>
      <c r="Y82" s="167">
        <f t="shared" si="350"/>
        <v>0</v>
      </c>
      <c r="Z82" s="167">
        <f t="shared" si="351"/>
        <v>0</v>
      </c>
      <c r="AA82" s="167">
        <f t="shared" si="352"/>
        <v>0</v>
      </c>
      <c r="AB82" s="170">
        <f t="shared" si="353"/>
        <v>0</v>
      </c>
      <c r="AC82" s="167">
        <f t="shared" si="354"/>
        <v>0</v>
      </c>
      <c r="AD82" s="171">
        <f t="shared" si="355"/>
        <v>0</v>
      </c>
      <c r="AE82" s="169">
        <f t="shared" si="280"/>
        <v>0</v>
      </c>
      <c r="AF82" s="167">
        <f t="shared" si="235"/>
        <v>0</v>
      </c>
      <c r="AG82" s="167">
        <f t="shared" si="281"/>
        <v>0</v>
      </c>
      <c r="AH82" s="167">
        <f t="shared" si="236"/>
        <v>0</v>
      </c>
      <c r="AI82" s="167">
        <f t="shared" si="282"/>
        <v>0</v>
      </c>
      <c r="AJ82" s="167">
        <f t="shared" si="237"/>
        <v>0</v>
      </c>
      <c r="AK82" s="167">
        <f t="shared" si="283"/>
        <v>0</v>
      </c>
      <c r="AL82" s="167">
        <f t="shared" si="238"/>
        <v>0</v>
      </c>
      <c r="AM82" s="167">
        <f t="shared" si="284"/>
        <v>0</v>
      </c>
      <c r="AN82" s="167">
        <f t="shared" si="239"/>
        <v>0</v>
      </c>
      <c r="AO82" s="170">
        <f t="shared" si="285"/>
        <v>0</v>
      </c>
      <c r="AP82" s="167">
        <f t="shared" si="286"/>
        <v>0</v>
      </c>
      <c r="AQ82" s="171">
        <f t="shared" si="287"/>
        <v>0</v>
      </c>
      <c r="AR82" s="169">
        <f t="shared" si="280"/>
        <v>0</v>
      </c>
      <c r="AS82" s="167">
        <f t="shared" si="240"/>
        <v>0</v>
      </c>
      <c r="AT82" s="167">
        <f t="shared" si="288"/>
        <v>0</v>
      </c>
      <c r="AU82" s="167">
        <f t="shared" si="241"/>
        <v>0</v>
      </c>
      <c r="AV82" s="167">
        <f t="shared" si="289"/>
        <v>0</v>
      </c>
      <c r="AW82" s="167">
        <f t="shared" si="242"/>
        <v>0</v>
      </c>
      <c r="AX82" s="167">
        <f t="shared" si="290"/>
        <v>0</v>
      </c>
      <c r="AY82" s="167">
        <f t="shared" si="243"/>
        <v>0</v>
      </c>
      <c r="AZ82" s="167">
        <f t="shared" si="291"/>
        <v>0</v>
      </c>
      <c r="BA82" s="167">
        <f t="shared" si="244"/>
        <v>0</v>
      </c>
      <c r="BB82" s="170">
        <f t="shared" si="292"/>
        <v>0</v>
      </c>
      <c r="BC82" s="167">
        <f t="shared" si="293"/>
        <v>0</v>
      </c>
      <c r="BD82" s="171">
        <f t="shared" si="294"/>
        <v>0</v>
      </c>
      <c r="BE82" s="169">
        <f t="shared" si="280"/>
        <v>0</v>
      </c>
      <c r="BF82" s="167">
        <f t="shared" si="245"/>
        <v>0</v>
      </c>
      <c r="BG82" s="167">
        <f t="shared" si="295"/>
        <v>0</v>
      </c>
      <c r="BH82" s="167">
        <f t="shared" si="246"/>
        <v>0</v>
      </c>
      <c r="BI82" s="167">
        <f t="shared" si="296"/>
        <v>0</v>
      </c>
      <c r="BJ82" s="167">
        <f t="shared" si="247"/>
        <v>0</v>
      </c>
      <c r="BK82" s="167">
        <f t="shared" si="297"/>
        <v>0</v>
      </c>
      <c r="BL82" s="167">
        <f t="shared" si="248"/>
        <v>0</v>
      </c>
      <c r="BM82" s="167">
        <f t="shared" si="298"/>
        <v>0</v>
      </c>
      <c r="BN82" s="167">
        <f t="shared" si="249"/>
        <v>0</v>
      </c>
      <c r="BO82" s="170">
        <f t="shared" si="299"/>
        <v>0</v>
      </c>
      <c r="BP82" s="167">
        <f t="shared" si="300"/>
        <v>0</v>
      </c>
      <c r="BQ82" s="171">
        <f t="shared" si="301"/>
        <v>0</v>
      </c>
      <c r="BR82" s="169">
        <f t="shared" si="280"/>
        <v>0</v>
      </c>
      <c r="BS82" s="167">
        <f t="shared" si="250"/>
        <v>0</v>
      </c>
      <c r="BT82" s="167">
        <f t="shared" si="302"/>
        <v>0</v>
      </c>
      <c r="BU82" s="167">
        <f t="shared" si="251"/>
        <v>0</v>
      </c>
      <c r="BV82" s="167">
        <f t="shared" si="303"/>
        <v>0</v>
      </c>
      <c r="BW82" s="167">
        <f t="shared" si="252"/>
        <v>0</v>
      </c>
      <c r="BX82" s="167">
        <f t="shared" si="304"/>
        <v>0</v>
      </c>
      <c r="BY82" s="167">
        <f t="shared" si="253"/>
        <v>0</v>
      </c>
      <c r="BZ82" s="167">
        <f t="shared" si="305"/>
        <v>0</v>
      </c>
      <c r="CA82" s="167">
        <f t="shared" si="254"/>
        <v>0</v>
      </c>
      <c r="CB82" s="170">
        <f t="shared" si="306"/>
        <v>0</v>
      </c>
      <c r="CC82" s="167">
        <f t="shared" si="307"/>
        <v>0</v>
      </c>
      <c r="CD82" s="171">
        <f t="shared" si="308"/>
        <v>0</v>
      </c>
      <c r="CE82" s="169">
        <f t="shared" si="280"/>
        <v>0</v>
      </c>
      <c r="CF82" s="167">
        <f t="shared" si="255"/>
        <v>0</v>
      </c>
      <c r="CG82" s="167">
        <f t="shared" si="309"/>
        <v>0</v>
      </c>
      <c r="CH82" s="167">
        <f t="shared" si="256"/>
        <v>0</v>
      </c>
      <c r="CI82" s="167">
        <f t="shared" si="310"/>
        <v>0</v>
      </c>
      <c r="CJ82" s="167">
        <f t="shared" si="257"/>
        <v>0</v>
      </c>
      <c r="CK82" s="167">
        <f t="shared" si="311"/>
        <v>0</v>
      </c>
      <c r="CL82" s="167">
        <f t="shared" si="258"/>
        <v>0</v>
      </c>
      <c r="CM82" s="167">
        <f t="shared" si="312"/>
        <v>0</v>
      </c>
      <c r="CN82" s="167">
        <f t="shared" si="259"/>
        <v>0</v>
      </c>
      <c r="CO82" s="170">
        <f t="shared" si="313"/>
        <v>0</v>
      </c>
      <c r="CP82" s="167">
        <f t="shared" si="314"/>
        <v>0</v>
      </c>
      <c r="CQ82" s="171">
        <f t="shared" si="315"/>
        <v>0</v>
      </c>
      <c r="CR82" s="169">
        <f t="shared" si="316"/>
        <v>0</v>
      </c>
      <c r="CS82" s="167">
        <f t="shared" si="261"/>
        <v>0</v>
      </c>
      <c r="CT82" s="167">
        <f t="shared" si="317"/>
        <v>0</v>
      </c>
      <c r="CU82" s="167">
        <f t="shared" si="262"/>
        <v>0</v>
      </c>
      <c r="CV82" s="167">
        <f t="shared" si="318"/>
        <v>0</v>
      </c>
      <c r="CW82" s="167">
        <f t="shared" si="263"/>
        <v>0</v>
      </c>
      <c r="CX82" s="167">
        <f t="shared" si="319"/>
        <v>0</v>
      </c>
      <c r="CY82" s="167">
        <f t="shared" si="264"/>
        <v>0</v>
      </c>
      <c r="CZ82" s="167">
        <f t="shared" si="320"/>
        <v>0</v>
      </c>
      <c r="DA82" s="167">
        <f t="shared" si="265"/>
        <v>0</v>
      </c>
      <c r="DB82" s="170">
        <f t="shared" si="321"/>
        <v>0</v>
      </c>
      <c r="DC82" s="167">
        <f t="shared" si="322"/>
        <v>0</v>
      </c>
      <c r="DD82" s="171">
        <f t="shared" si="323"/>
        <v>0</v>
      </c>
      <c r="DE82" s="169">
        <f t="shared" si="316"/>
        <v>0</v>
      </c>
      <c r="DF82" s="167">
        <f t="shared" si="266"/>
        <v>0</v>
      </c>
      <c r="DG82" s="167">
        <f t="shared" si="324"/>
        <v>0</v>
      </c>
      <c r="DH82" s="167">
        <f t="shared" si="267"/>
        <v>0</v>
      </c>
      <c r="DI82" s="167">
        <f t="shared" si="325"/>
        <v>0</v>
      </c>
      <c r="DJ82" s="167">
        <f t="shared" si="268"/>
        <v>0</v>
      </c>
      <c r="DK82" s="167">
        <f t="shared" si="326"/>
        <v>0</v>
      </c>
      <c r="DL82" s="167">
        <f t="shared" si="269"/>
        <v>0</v>
      </c>
      <c r="DM82" s="167">
        <f t="shared" si="327"/>
        <v>0</v>
      </c>
      <c r="DN82" s="167">
        <f t="shared" si="270"/>
        <v>0</v>
      </c>
      <c r="DO82" s="170">
        <f t="shared" si="328"/>
        <v>0</v>
      </c>
      <c r="DP82" s="167">
        <f t="shared" si="329"/>
        <v>0</v>
      </c>
      <c r="DQ82" s="171">
        <f t="shared" si="330"/>
        <v>0</v>
      </c>
      <c r="DR82" s="169">
        <f t="shared" si="316"/>
        <v>0</v>
      </c>
      <c r="DS82" s="167">
        <f t="shared" si="271"/>
        <v>0</v>
      </c>
      <c r="DT82" s="167">
        <f t="shared" si="331"/>
        <v>0</v>
      </c>
      <c r="DU82" s="167">
        <f t="shared" si="272"/>
        <v>0</v>
      </c>
      <c r="DV82" s="167">
        <f t="shared" si="332"/>
        <v>0</v>
      </c>
      <c r="DW82" s="167">
        <f t="shared" si="273"/>
        <v>0</v>
      </c>
      <c r="DX82" s="167">
        <f t="shared" si="333"/>
        <v>0</v>
      </c>
      <c r="DY82" s="167">
        <f t="shared" si="274"/>
        <v>0</v>
      </c>
      <c r="DZ82" s="167">
        <f t="shared" si="334"/>
        <v>0</v>
      </c>
      <c r="EA82" s="167">
        <f t="shared" si="275"/>
        <v>0</v>
      </c>
      <c r="EB82" s="170">
        <f t="shared" si="335"/>
        <v>0</v>
      </c>
      <c r="EC82" s="167">
        <f t="shared" si="336"/>
        <v>0</v>
      </c>
      <c r="ED82" s="171">
        <f t="shared" si="337"/>
        <v>0</v>
      </c>
    </row>
    <row r="83" spans="1:134" x14ac:dyDescent="0.3">
      <c r="A83" s="185"/>
      <c r="B83" s="186"/>
      <c r="C83" s="187"/>
      <c r="D83" s="188"/>
      <c r="E83" s="189"/>
      <c r="F83" s="190"/>
      <c r="G83" s="191"/>
      <c r="H83" s="192"/>
      <c r="I83" s="193"/>
      <c r="J83" s="194"/>
      <c r="K83" s="165">
        <f t="shared" si="338"/>
        <v>0</v>
      </c>
      <c r="L83" s="166">
        <f t="shared" si="339"/>
        <v>0</v>
      </c>
      <c r="M83" s="167">
        <f t="shared" si="340"/>
        <v>0</v>
      </c>
      <c r="N83" s="167"/>
      <c r="O83" s="167">
        <f t="shared" si="341"/>
        <v>0</v>
      </c>
      <c r="P83" s="168"/>
      <c r="Q83" s="167">
        <f t="shared" si="342"/>
        <v>0</v>
      </c>
      <c r="R83" s="169">
        <f t="shared" si="343"/>
        <v>0</v>
      </c>
      <c r="S83" s="167">
        <f t="shared" si="344"/>
        <v>0</v>
      </c>
      <c r="T83" s="167">
        <f t="shared" si="345"/>
        <v>0</v>
      </c>
      <c r="U83" s="167">
        <f t="shared" si="346"/>
        <v>0</v>
      </c>
      <c r="V83" s="167">
        <f t="shared" si="347"/>
        <v>0</v>
      </c>
      <c r="W83" s="167">
        <f t="shared" si="348"/>
        <v>0</v>
      </c>
      <c r="X83" s="167">
        <f t="shared" si="349"/>
        <v>0</v>
      </c>
      <c r="Y83" s="167">
        <f t="shared" si="350"/>
        <v>0</v>
      </c>
      <c r="Z83" s="167">
        <f t="shared" si="351"/>
        <v>0</v>
      </c>
      <c r="AA83" s="167">
        <f t="shared" si="352"/>
        <v>0</v>
      </c>
      <c r="AB83" s="170">
        <f t="shared" si="353"/>
        <v>0</v>
      </c>
      <c r="AC83" s="167">
        <f t="shared" si="354"/>
        <v>0</v>
      </c>
      <c r="AD83" s="171">
        <f t="shared" si="355"/>
        <v>0</v>
      </c>
      <c r="AE83" s="169">
        <f t="shared" si="280"/>
        <v>0</v>
      </c>
      <c r="AF83" s="167">
        <f t="shared" si="235"/>
        <v>0</v>
      </c>
      <c r="AG83" s="167">
        <f t="shared" si="281"/>
        <v>0</v>
      </c>
      <c r="AH83" s="167">
        <f t="shared" si="236"/>
        <v>0</v>
      </c>
      <c r="AI83" s="167">
        <f t="shared" si="282"/>
        <v>0</v>
      </c>
      <c r="AJ83" s="167">
        <f t="shared" si="237"/>
        <v>0</v>
      </c>
      <c r="AK83" s="167">
        <f t="shared" si="283"/>
        <v>0</v>
      </c>
      <c r="AL83" s="167">
        <f t="shared" si="238"/>
        <v>0</v>
      </c>
      <c r="AM83" s="167">
        <f t="shared" si="284"/>
        <v>0</v>
      </c>
      <c r="AN83" s="167">
        <f t="shared" si="239"/>
        <v>0</v>
      </c>
      <c r="AO83" s="170">
        <f t="shared" si="285"/>
        <v>0</v>
      </c>
      <c r="AP83" s="167">
        <f t="shared" si="286"/>
        <v>0</v>
      </c>
      <c r="AQ83" s="171">
        <f t="shared" si="287"/>
        <v>0</v>
      </c>
      <c r="AR83" s="169">
        <f t="shared" si="280"/>
        <v>0</v>
      </c>
      <c r="AS83" s="167">
        <f t="shared" si="240"/>
        <v>0</v>
      </c>
      <c r="AT83" s="167">
        <f t="shared" si="288"/>
        <v>0</v>
      </c>
      <c r="AU83" s="167">
        <f t="shared" si="241"/>
        <v>0</v>
      </c>
      <c r="AV83" s="167">
        <f t="shared" si="289"/>
        <v>0</v>
      </c>
      <c r="AW83" s="167">
        <f t="shared" si="242"/>
        <v>0</v>
      </c>
      <c r="AX83" s="167">
        <f t="shared" si="290"/>
        <v>0</v>
      </c>
      <c r="AY83" s="167">
        <f t="shared" si="243"/>
        <v>0</v>
      </c>
      <c r="AZ83" s="167">
        <f t="shared" si="291"/>
        <v>0</v>
      </c>
      <c r="BA83" s="167">
        <f t="shared" si="244"/>
        <v>0</v>
      </c>
      <c r="BB83" s="170">
        <f t="shared" si="292"/>
        <v>0</v>
      </c>
      <c r="BC83" s="167">
        <f t="shared" si="293"/>
        <v>0</v>
      </c>
      <c r="BD83" s="171">
        <f t="shared" si="294"/>
        <v>0</v>
      </c>
      <c r="BE83" s="169">
        <f t="shared" si="280"/>
        <v>0</v>
      </c>
      <c r="BF83" s="167">
        <f t="shared" si="245"/>
        <v>0</v>
      </c>
      <c r="BG83" s="167">
        <f t="shared" si="295"/>
        <v>0</v>
      </c>
      <c r="BH83" s="167">
        <f t="shared" si="246"/>
        <v>0</v>
      </c>
      <c r="BI83" s="167">
        <f t="shared" si="296"/>
        <v>0</v>
      </c>
      <c r="BJ83" s="167">
        <f t="shared" si="247"/>
        <v>0</v>
      </c>
      <c r="BK83" s="167">
        <f t="shared" si="297"/>
        <v>0</v>
      </c>
      <c r="BL83" s="167">
        <f t="shared" si="248"/>
        <v>0</v>
      </c>
      <c r="BM83" s="167">
        <f t="shared" si="298"/>
        <v>0</v>
      </c>
      <c r="BN83" s="167">
        <f t="shared" si="249"/>
        <v>0</v>
      </c>
      <c r="BO83" s="170">
        <f t="shared" si="299"/>
        <v>0</v>
      </c>
      <c r="BP83" s="167">
        <f t="shared" si="300"/>
        <v>0</v>
      </c>
      <c r="BQ83" s="171">
        <f t="shared" si="301"/>
        <v>0</v>
      </c>
      <c r="BR83" s="169">
        <f t="shared" si="280"/>
        <v>0</v>
      </c>
      <c r="BS83" s="167">
        <f t="shared" si="250"/>
        <v>0</v>
      </c>
      <c r="BT83" s="167">
        <f t="shared" si="302"/>
        <v>0</v>
      </c>
      <c r="BU83" s="167">
        <f t="shared" si="251"/>
        <v>0</v>
      </c>
      <c r="BV83" s="167">
        <f t="shared" si="303"/>
        <v>0</v>
      </c>
      <c r="BW83" s="167">
        <f t="shared" si="252"/>
        <v>0</v>
      </c>
      <c r="BX83" s="167">
        <f t="shared" si="304"/>
        <v>0</v>
      </c>
      <c r="BY83" s="167">
        <f t="shared" si="253"/>
        <v>0</v>
      </c>
      <c r="BZ83" s="167">
        <f t="shared" si="305"/>
        <v>0</v>
      </c>
      <c r="CA83" s="167">
        <f t="shared" si="254"/>
        <v>0</v>
      </c>
      <c r="CB83" s="170">
        <f t="shared" si="306"/>
        <v>0</v>
      </c>
      <c r="CC83" s="167">
        <f t="shared" si="307"/>
        <v>0</v>
      </c>
      <c r="CD83" s="171">
        <f t="shared" si="308"/>
        <v>0</v>
      </c>
      <c r="CE83" s="169">
        <f t="shared" si="280"/>
        <v>0</v>
      </c>
      <c r="CF83" s="167">
        <f t="shared" si="255"/>
        <v>0</v>
      </c>
      <c r="CG83" s="167">
        <f t="shared" si="309"/>
        <v>0</v>
      </c>
      <c r="CH83" s="167">
        <f t="shared" si="256"/>
        <v>0</v>
      </c>
      <c r="CI83" s="167">
        <f t="shared" si="310"/>
        <v>0</v>
      </c>
      <c r="CJ83" s="167">
        <f t="shared" si="257"/>
        <v>0</v>
      </c>
      <c r="CK83" s="167">
        <f t="shared" si="311"/>
        <v>0</v>
      </c>
      <c r="CL83" s="167">
        <f t="shared" si="258"/>
        <v>0</v>
      </c>
      <c r="CM83" s="167">
        <f t="shared" si="312"/>
        <v>0</v>
      </c>
      <c r="CN83" s="167">
        <f t="shared" si="259"/>
        <v>0</v>
      </c>
      <c r="CO83" s="170">
        <f t="shared" si="313"/>
        <v>0</v>
      </c>
      <c r="CP83" s="167">
        <f t="shared" si="314"/>
        <v>0</v>
      </c>
      <c r="CQ83" s="171">
        <f t="shared" si="315"/>
        <v>0</v>
      </c>
      <c r="CR83" s="169">
        <f t="shared" si="316"/>
        <v>0</v>
      </c>
      <c r="CS83" s="167">
        <f t="shared" si="261"/>
        <v>0</v>
      </c>
      <c r="CT83" s="167">
        <f t="shared" si="317"/>
        <v>0</v>
      </c>
      <c r="CU83" s="167">
        <f t="shared" si="262"/>
        <v>0</v>
      </c>
      <c r="CV83" s="167">
        <f t="shared" si="318"/>
        <v>0</v>
      </c>
      <c r="CW83" s="167">
        <f t="shared" si="263"/>
        <v>0</v>
      </c>
      <c r="CX83" s="167">
        <f t="shared" si="319"/>
        <v>0</v>
      </c>
      <c r="CY83" s="167">
        <f t="shared" si="264"/>
        <v>0</v>
      </c>
      <c r="CZ83" s="167">
        <f t="shared" si="320"/>
        <v>0</v>
      </c>
      <c r="DA83" s="167">
        <f t="shared" si="265"/>
        <v>0</v>
      </c>
      <c r="DB83" s="170">
        <f t="shared" si="321"/>
        <v>0</v>
      </c>
      <c r="DC83" s="167">
        <f t="shared" si="322"/>
        <v>0</v>
      </c>
      <c r="DD83" s="171">
        <f t="shared" si="323"/>
        <v>0</v>
      </c>
      <c r="DE83" s="169">
        <f t="shared" si="316"/>
        <v>0</v>
      </c>
      <c r="DF83" s="167">
        <f t="shared" si="266"/>
        <v>0</v>
      </c>
      <c r="DG83" s="167">
        <f t="shared" si="324"/>
        <v>0</v>
      </c>
      <c r="DH83" s="167">
        <f t="shared" si="267"/>
        <v>0</v>
      </c>
      <c r="DI83" s="167">
        <f t="shared" si="325"/>
        <v>0</v>
      </c>
      <c r="DJ83" s="167">
        <f t="shared" si="268"/>
        <v>0</v>
      </c>
      <c r="DK83" s="167">
        <f t="shared" si="326"/>
        <v>0</v>
      </c>
      <c r="DL83" s="167">
        <f t="shared" si="269"/>
        <v>0</v>
      </c>
      <c r="DM83" s="167">
        <f t="shared" si="327"/>
        <v>0</v>
      </c>
      <c r="DN83" s="167">
        <f t="shared" si="270"/>
        <v>0</v>
      </c>
      <c r="DO83" s="170">
        <f t="shared" si="328"/>
        <v>0</v>
      </c>
      <c r="DP83" s="167">
        <f t="shared" si="329"/>
        <v>0</v>
      </c>
      <c r="DQ83" s="171">
        <f t="shared" si="330"/>
        <v>0</v>
      </c>
      <c r="DR83" s="169">
        <f t="shared" si="316"/>
        <v>0</v>
      </c>
      <c r="DS83" s="167">
        <f t="shared" si="271"/>
        <v>0</v>
      </c>
      <c r="DT83" s="167">
        <f t="shared" si="331"/>
        <v>0</v>
      </c>
      <c r="DU83" s="167">
        <f t="shared" si="272"/>
        <v>0</v>
      </c>
      <c r="DV83" s="167">
        <f t="shared" si="332"/>
        <v>0</v>
      </c>
      <c r="DW83" s="167">
        <f t="shared" si="273"/>
        <v>0</v>
      </c>
      <c r="DX83" s="167">
        <f t="shared" si="333"/>
        <v>0</v>
      </c>
      <c r="DY83" s="167">
        <f t="shared" si="274"/>
        <v>0</v>
      </c>
      <c r="DZ83" s="167">
        <f t="shared" si="334"/>
        <v>0</v>
      </c>
      <c r="EA83" s="167">
        <f t="shared" si="275"/>
        <v>0</v>
      </c>
      <c r="EB83" s="170">
        <f t="shared" si="335"/>
        <v>0</v>
      </c>
      <c r="EC83" s="167">
        <f t="shared" si="336"/>
        <v>0</v>
      </c>
      <c r="ED83" s="171">
        <f t="shared" si="337"/>
        <v>0</v>
      </c>
    </row>
    <row r="84" spans="1:134" x14ac:dyDescent="0.3">
      <c r="A84" s="185"/>
      <c r="B84" s="186"/>
      <c r="C84" s="187"/>
      <c r="D84" s="188"/>
      <c r="E84" s="189"/>
      <c r="F84" s="190"/>
      <c r="G84" s="191"/>
      <c r="H84" s="192"/>
      <c r="I84" s="193"/>
      <c r="J84" s="194"/>
      <c r="K84" s="165">
        <f t="shared" si="338"/>
        <v>0</v>
      </c>
      <c r="L84" s="166">
        <f t="shared" si="339"/>
        <v>0</v>
      </c>
      <c r="M84" s="167">
        <f t="shared" si="340"/>
        <v>0</v>
      </c>
      <c r="N84" s="167"/>
      <c r="O84" s="167">
        <f t="shared" si="341"/>
        <v>0</v>
      </c>
      <c r="P84" s="168"/>
      <c r="Q84" s="167">
        <f t="shared" si="342"/>
        <v>0</v>
      </c>
      <c r="R84" s="169">
        <f t="shared" si="343"/>
        <v>0</v>
      </c>
      <c r="S84" s="167">
        <f t="shared" si="344"/>
        <v>0</v>
      </c>
      <c r="T84" s="167">
        <f t="shared" si="345"/>
        <v>0</v>
      </c>
      <c r="U84" s="167">
        <f t="shared" si="346"/>
        <v>0</v>
      </c>
      <c r="V84" s="167">
        <f t="shared" si="347"/>
        <v>0</v>
      </c>
      <c r="W84" s="167">
        <f t="shared" si="348"/>
        <v>0</v>
      </c>
      <c r="X84" s="167">
        <f t="shared" si="349"/>
        <v>0</v>
      </c>
      <c r="Y84" s="167">
        <f t="shared" si="350"/>
        <v>0</v>
      </c>
      <c r="Z84" s="167">
        <f t="shared" si="351"/>
        <v>0</v>
      </c>
      <c r="AA84" s="167">
        <f t="shared" si="352"/>
        <v>0</v>
      </c>
      <c r="AB84" s="170">
        <f t="shared" si="353"/>
        <v>0</v>
      </c>
      <c r="AC84" s="167">
        <f t="shared" si="354"/>
        <v>0</v>
      </c>
      <c r="AD84" s="171">
        <f t="shared" si="355"/>
        <v>0</v>
      </c>
      <c r="AE84" s="169">
        <f t="shared" si="280"/>
        <v>0</v>
      </c>
      <c r="AF84" s="167">
        <f t="shared" si="235"/>
        <v>0</v>
      </c>
      <c r="AG84" s="167">
        <f t="shared" si="281"/>
        <v>0</v>
      </c>
      <c r="AH84" s="167">
        <f t="shared" si="236"/>
        <v>0</v>
      </c>
      <c r="AI84" s="167">
        <f t="shared" si="282"/>
        <v>0</v>
      </c>
      <c r="AJ84" s="167">
        <f t="shared" si="237"/>
        <v>0</v>
      </c>
      <c r="AK84" s="167">
        <f t="shared" si="283"/>
        <v>0</v>
      </c>
      <c r="AL84" s="167">
        <f t="shared" si="238"/>
        <v>0</v>
      </c>
      <c r="AM84" s="167">
        <f t="shared" si="284"/>
        <v>0</v>
      </c>
      <c r="AN84" s="167">
        <f t="shared" si="239"/>
        <v>0</v>
      </c>
      <c r="AO84" s="170">
        <f t="shared" si="285"/>
        <v>0</v>
      </c>
      <c r="AP84" s="167">
        <f t="shared" si="286"/>
        <v>0</v>
      </c>
      <c r="AQ84" s="171">
        <f t="shared" si="287"/>
        <v>0</v>
      </c>
      <c r="AR84" s="169">
        <f t="shared" si="280"/>
        <v>0</v>
      </c>
      <c r="AS84" s="167">
        <f t="shared" si="240"/>
        <v>0</v>
      </c>
      <c r="AT84" s="167">
        <f t="shared" si="288"/>
        <v>0</v>
      </c>
      <c r="AU84" s="167">
        <f t="shared" si="241"/>
        <v>0</v>
      </c>
      <c r="AV84" s="167">
        <f t="shared" si="289"/>
        <v>0</v>
      </c>
      <c r="AW84" s="167">
        <f t="shared" si="242"/>
        <v>0</v>
      </c>
      <c r="AX84" s="167">
        <f t="shared" si="290"/>
        <v>0</v>
      </c>
      <c r="AY84" s="167">
        <f t="shared" si="243"/>
        <v>0</v>
      </c>
      <c r="AZ84" s="167">
        <f t="shared" si="291"/>
        <v>0</v>
      </c>
      <c r="BA84" s="167">
        <f t="shared" si="244"/>
        <v>0</v>
      </c>
      <c r="BB84" s="170">
        <f t="shared" si="292"/>
        <v>0</v>
      </c>
      <c r="BC84" s="167">
        <f t="shared" si="293"/>
        <v>0</v>
      </c>
      <c r="BD84" s="171">
        <f t="shared" si="294"/>
        <v>0</v>
      </c>
      <c r="BE84" s="169">
        <f t="shared" si="280"/>
        <v>0</v>
      </c>
      <c r="BF84" s="167">
        <f t="shared" si="245"/>
        <v>0</v>
      </c>
      <c r="BG84" s="167">
        <f t="shared" si="295"/>
        <v>0</v>
      </c>
      <c r="BH84" s="167">
        <f t="shared" si="246"/>
        <v>0</v>
      </c>
      <c r="BI84" s="167">
        <f t="shared" si="296"/>
        <v>0</v>
      </c>
      <c r="BJ84" s="167">
        <f t="shared" si="247"/>
        <v>0</v>
      </c>
      <c r="BK84" s="167">
        <f t="shared" si="297"/>
        <v>0</v>
      </c>
      <c r="BL84" s="167">
        <f t="shared" si="248"/>
        <v>0</v>
      </c>
      <c r="BM84" s="167">
        <f t="shared" si="298"/>
        <v>0</v>
      </c>
      <c r="BN84" s="167">
        <f t="shared" si="249"/>
        <v>0</v>
      </c>
      <c r="BO84" s="170">
        <f t="shared" si="299"/>
        <v>0</v>
      </c>
      <c r="BP84" s="167">
        <f t="shared" si="300"/>
        <v>0</v>
      </c>
      <c r="BQ84" s="171">
        <f t="shared" si="301"/>
        <v>0</v>
      </c>
      <c r="BR84" s="169">
        <f t="shared" si="280"/>
        <v>0</v>
      </c>
      <c r="BS84" s="167">
        <f t="shared" si="250"/>
        <v>0</v>
      </c>
      <c r="BT84" s="167">
        <f t="shared" si="302"/>
        <v>0</v>
      </c>
      <c r="BU84" s="167">
        <f t="shared" si="251"/>
        <v>0</v>
      </c>
      <c r="BV84" s="167">
        <f t="shared" si="303"/>
        <v>0</v>
      </c>
      <c r="BW84" s="167">
        <f t="shared" si="252"/>
        <v>0</v>
      </c>
      <c r="BX84" s="167">
        <f t="shared" si="304"/>
        <v>0</v>
      </c>
      <c r="BY84" s="167">
        <f t="shared" si="253"/>
        <v>0</v>
      </c>
      <c r="BZ84" s="167">
        <f t="shared" si="305"/>
        <v>0</v>
      </c>
      <c r="CA84" s="167">
        <f t="shared" si="254"/>
        <v>0</v>
      </c>
      <c r="CB84" s="170">
        <f t="shared" si="306"/>
        <v>0</v>
      </c>
      <c r="CC84" s="167">
        <f t="shared" si="307"/>
        <v>0</v>
      </c>
      <c r="CD84" s="171">
        <f t="shared" si="308"/>
        <v>0</v>
      </c>
      <c r="CE84" s="169">
        <f t="shared" si="280"/>
        <v>0</v>
      </c>
      <c r="CF84" s="167">
        <f t="shared" si="255"/>
        <v>0</v>
      </c>
      <c r="CG84" s="167">
        <f t="shared" si="309"/>
        <v>0</v>
      </c>
      <c r="CH84" s="167">
        <f t="shared" si="256"/>
        <v>0</v>
      </c>
      <c r="CI84" s="167">
        <f t="shared" si="310"/>
        <v>0</v>
      </c>
      <c r="CJ84" s="167">
        <f t="shared" si="257"/>
        <v>0</v>
      </c>
      <c r="CK84" s="167">
        <f t="shared" si="311"/>
        <v>0</v>
      </c>
      <c r="CL84" s="167">
        <f t="shared" si="258"/>
        <v>0</v>
      </c>
      <c r="CM84" s="167">
        <f t="shared" si="312"/>
        <v>0</v>
      </c>
      <c r="CN84" s="167">
        <f t="shared" si="259"/>
        <v>0</v>
      </c>
      <c r="CO84" s="170">
        <f t="shared" si="313"/>
        <v>0</v>
      </c>
      <c r="CP84" s="167">
        <f t="shared" si="314"/>
        <v>0</v>
      </c>
      <c r="CQ84" s="171">
        <f t="shared" si="315"/>
        <v>0</v>
      </c>
      <c r="CR84" s="169">
        <f t="shared" si="316"/>
        <v>0</v>
      </c>
      <c r="CS84" s="167">
        <f t="shared" si="261"/>
        <v>0</v>
      </c>
      <c r="CT84" s="167">
        <f t="shared" si="317"/>
        <v>0</v>
      </c>
      <c r="CU84" s="167">
        <f t="shared" si="262"/>
        <v>0</v>
      </c>
      <c r="CV84" s="167">
        <f t="shared" si="318"/>
        <v>0</v>
      </c>
      <c r="CW84" s="167">
        <f t="shared" si="263"/>
        <v>0</v>
      </c>
      <c r="CX84" s="167">
        <f t="shared" si="319"/>
        <v>0</v>
      </c>
      <c r="CY84" s="167">
        <f t="shared" si="264"/>
        <v>0</v>
      </c>
      <c r="CZ84" s="167">
        <f t="shared" si="320"/>
        <v>0</v>
      </c>
      <c r="DA84" s="167">
        <f t="shared" si="265"/>
        <v>0</v>
      </c>
      <c r="DB84" s="170">
        <f t="shared" si="321"/>
        <v>0</v>
      </c>
      <c r="DC84" s="167">
        <f t="shared" si="322"/>
        <v>0</v>
      </c>
      <c r="DD84" s="171">
        <f t="shared" si="323"/>
        <v>0</v>
      </c>
      <c r="DE84" s="169">
        <f t="shared" si="316"/>
        <v>0</v>
      </c>
      <c r="DF84" s="167">
        <f t="shared" si="266"/>
        <v>0</v>
      </c>
      <c r="DG84" s="167">
        <f t="shared" si="324"/>
        <v>0</v>
      </c>
      <c r="DH84" s="167">
        <f t="shared" si="267"/>
        <v>0</v>
      </c>
      <c r="DI84" s="167">
        <f t="shared" si="325"/>
        <v>0</v>
      </c>
      <c r="DJ84" s="167">
        <f t="shared" si="268"/>
        <v>0</v>
      </c>
      <c r="DK84" s="167">
        <f t="shared" si="326"/>
        <v>0</v>
      </c>
      <c r="DL84" s="167">
        <f t="shared" si="269"/>
        <v>0</v>
      </c>
      <c r="DM84" s="167">
        <f t="shared" si="327"/>
        <v>0</v>
      </c>
      <c r="DN84" s="167">
        <f t="shared" si="270"/>
        <v>0</v>
      </c>
      <c r="DO84" s="170">
        <f t="shared" si="328"/>
        <v>0</v>
      </c>
      <c r="DP84" s="167">
        <f t="shared" si="329"/>
        <v>0</v>
      </c>
      <c r="DQ84" s="171">
        <f t="shared" si="330"/>
        <v>0</v>
      </c>
      <c r="DR84" s="169">
        <f t="shared" si="316"/>
        <v>0</v>
      </c>
      <c r="DS84" s="167">
        <f t="shared" si="271"/>
        <v>0</v>
      </c>
      <c r="DT84" s="167">
        <f t="shared" si="331"/>
        <v>0</v>
      </c>
      <c r="DU84" s="167">
        <f t="shared" si="272"/>
        <v>0</v>
      </c>
      <c r="DV84" s="167">
        <f t="shared" si="332"/>
        <v>0</v>
      </c>
      <c r="DW84" s="167">
        <f t="shared" si="273"/>
        <v>0</v>
      </c>
      <c r="DX84" s="167">
        <f t="shared" si="333"/>
        <v>0</v>
      </c>
      <c r="DY84" s="167">
        <f t="shared" si="274"/>
        <v>0</v>
      </c>
      <c r="DZ84" s="167">
        <f t="shared" si="334"/>
        <v>0</v>
      </c>
      <c r="EA84" s="167">
        <f t="shared" si="275"/>
        <v>0</v>
      </c>
      <c r="EB84" s="170">
        <f t="shared" si="335"/>
        <v>0</v>
      </c>
      <c r="EC84" s="167">
        <f t="shared" si="336"/>
        <v>0</v>
      </c>
      <c r="ED84" s="171">
        <f t="shared" si="337"/>
        <v>0</v>
      </c>
    </row>
    <row r="85" spans="1:134" x14ac:dyDescent="0.3">
      <c r="A85" s="185"/>
      <c r="B85" s="186"/>
      <c r="C85" s="187"/>
      <c r="D85" s="188"/>
      <c r="E85" s="189"/>
      <c r="F85" s="190"/>
      <c r="G85" s="191"/>
      <c r="H85" s="192"/>
      <c r="I85" s="193"/>
      <c r="J85" s="194"/>
      <c r="K85" s="165">
        <f t="shared" si="338"/>
        <v>0</v>
      </c>
      <c r="L85" s="166">
        <f t="shared" si="339"/>
        <v>0</v>
      </c>
      <c r="M85" s="167">
        <f t="shared" si="340"/>
        <v>0</v>
      </c>
      <c r="N85" s="167"/>
      <c r="O85" s="167">
        <f t="shared" si="341"/>
        <v>0</v>
      </c>
      <c r="P85" s="168"/>
      <c r="Q85" s="167">
        <f t="shared" si="342"/>
        <v>0</v>
      </c>
      <c r="R85" s="169">
        <f t="shared" si="343"/>
        <v>0</v>
      </c>
      <c r="S85" s="167">
        <f t="shared" si="344"/>
        <v>0</v>
      </c>
      <c r="T85" s="167">
        <f t="shared" si="345"/>
        <v>0</v>
      </c>
      <c r="U85" s="167">
        <f t="shared" si="346"/>
        <v>0</v>
      </c>
      <c r="V85" s="167">
        <f t="shared" si="347"/>
        <v>0</v>
      </c>
      <c r="W85" s="167">
        <f t="shared" si="348"/>
        <v>0</v>
      </c>
      <c r="X85" s="167">
        <f t="shared" si="349"/>
        <v>0</v>
      </c>
      <c r="Y85" s="167">
        <f t="shared" si="350"/>
        <v>0</v>
      </c>
      <c r="Z85" s="167">
        <f t="shared" si="351"/>
        <v>0</v>
      </c>
      <c r="AA85" s="167">
        <f t="shared" si="352"/>
        <v>0</v>
      </c>
      <c r="AB85" s="170">
        <f t="shared" si="353"/>
        <v>0</v>
      </c>
      <c r="AC85" s="167">
        <f t="shared" si="354"/>
        <v>0</v>
      </c>
      <c r="AD85" s="171">
        <f t="shared" si="355"/>
        <v>0</v>
      </c>
      <c r="AE85" s="169">
        <f t="shared" ref="AE85:CE100" si="356">IF(YEAR($F85)=AE$4,$E85,0)</f>
        <v>0</v>
      </c>
      <c r="AF85" s="167">
        <f t="shared" ref="AF85:AF125" si="357">IF($J85&lt;&gt;"H",AE85,0)</f>
        <v>0</v>
      </c>
      <c r="AG85" s="167">
        <f t="shared" si="281"/>
        <v>0</v>
      </c>
      <c r="AH85" s="167">
        <f t="shared" ref="AH85:AH125" si="358">IF($J85&lt;&gt;"H",AG85,0)</f>
        <v>0</v>
      </c>
      <c r="AI85" s="167">
        <f t="shared" si="282"/>
        <v>0</v>
      </c>
      <c r="AJ85" s="167">
        <f t="shared" ref="AJ85:AJ125" si="359">IF(AK85&lt;&gt;0,ROUND(AK85/$L85*AI85,2),0)</f>
        <v>0</v>
      </c>
      <c r="AK85" s="167">
        <f t="shared" si="283"/>
        <v>0</v>
      </c>
      <c r="AL85" s="167">
        <f t="shared" ref="AL85:AL125" si="360">IF($J85&lt;&gt;"H",AK85,0)</f>
        <v>0</v>
      </c>
      <c r="AM85" s="167">
        <f t="shared" si="284"/>
        <v>0</v>
      </c>
      <c r="AN85" s="167">
        <f t="shared" ref="AN85:AN125" si="361">IF($J85&lt;&gt;"H",AM85,0)</f>
        <v>0</v>
      </c>
      <c r="AO85" s="170">
        <f t="shared" si="285"/>
        <v>0</v>
      </c>
      <c r="AP85" s="167">
        <f t="shared" si="286"/>
        <v>0</v>
      </c>
      <c r="AQ85" s="171">
        <f t="shared" si="287"/>
        <v>0</v>
      </c>
      <c r="AR85" s="169">
        <f t="shared" si="356"/>
        <v>0</v>
      </c>
      <c r="AS85" s="167">
        <f t="shared" ref="AS85:AS125" si="362">IF($J85&lt;&gt;"H",AR85,0)</f>
        <v>0</v>
      </c>
      <c r="AT85" s="167">
        <f t="shared" si="288"/>
        <v>0</v>
      </c>
      <c r="AU85" s="167">
        <f t="shared" ref="AU85:AU125" si="363">IF($J85&lt;&gt;"H",AT85,0)</f>
        <v>0</v>
      </c>
      <c r="AV85" s="167">
        <f t="shared" si="289"/>
        <v>0</v>
      </c>
      <c r="AW85" s="167">
        <f t="shared" ref="AW85:AW125" si="364">IF(AX85&lt;&gt;0,ROUND(AX85/$L85*AV85,2),0)</f>
        <v>0</v>
      </c>
      <c r="AX85" s="167">
        <f t="shared" si="290"/>
        <v>0</v>
      </c>
      <c r="AY85" s="167">
        <f t="shared" ref="AY85:AY125" si="365">IF($J85&lt;&gt;"H",AX85,0)</f>
        <v>0</v>
      </c>
      <c r="AZ85" s="167">
        <f t="shared" si="291"/>
        <v>0</v>
      </c>
      <c r="BA85" s="167">
        <f t="shared" ref="BA85:BA125" si="366">IF($J85&lt;&gt;"H",AZ85,0)</f>
        <v>0</v>
      </c>
      <c r="BB85" s="170">
        <f t="shared" si="292"/>
        <v>0</v>
      </c>
      <c r="BC85" s="167">
        <f t="shared" si="293"/>
        <v>0</v>
      </c>
      <c r="BD85" s="171">
        <f t="shared" si="294"/>
        <v>0</v>
      </c>
      <c r="BE85" s="169">
        <f t="shared" si="356"/>
        <v>0</v>
      </c>
      <c r="BF85" s="167">
        <f t="shared" ref="BF85:BF125" si="367">IF($J85&lt;&gt;"H",BE85,0)</f>
        <v>0</v>
      </c>
      <c r="BG85" s="167">
        <f t="shared" si="295"/>
        <v>0</v>
      </c>
      <c r="BH85" s="167">
        <f t="shared" ref="BH85:BH125" si="368">IF($J85&lt;&gt;"H",BG85,0)</f>
        <v>0</v>
      </c>
      <c r="BI85" s="167">
        <f t="shared" si="296"/>
        <v>0</v>
      </c>
      <c r="BJ85" s="167">
        <f t="shared" ref="BJ85:BJ125" si="369">IF(BK85&lt;&gt;0,ROUND(BK85/$L85*BI85,2),0)</f>
        <v>0</v>
      </c>
      <c r="BK85" s="167">
        <f t="shared" si="297"/>
        <v>0</v>
      </c>
      <c r="BL85" s="167">
        <f t="shared" ref="BL85:BL125" si="370">IF($J85&lt;&gt;"H",BK85,0)</f>
        <v>0</v>
      </c>
      <c r="BM85" s="167">
        <f t="shared" si="298"/>
        <v>0</v>
      </c>
      <c r="BN85" s="167">
        <f t="shared" ref="BN85:BN125" si="371">IF($J85&lt;&gt;"H",BM85,0)</f>
        <v>0</v>
      </c>
      <c r="BO85" s="170">
        <f t="shared" si="299"/>
        <v>0</v>
      </c>
      <c r="BP85" s="167">
        <f t="shared" si="300"/>
        <v>0</v>
      </c>
      <c r="BQ85" s="171">
        <f t="shared" si="301"/>
        <v>0</v>
      </c>
      <c r="BR85" s="169">
        <f t="shared" si="356"/>
        <v>0</v>
      </c>
      <c r="BS85" s="167">
        <f t="shared" ref="BS85:BS125" si="372">IF($J85&lt;&gt;"H",BR85,0)</f>
        <v>0</v>
      </c>
      <c r="BT85" s="167">
        <f t="shared" si="302"/>
        <v>0</v>
      </c>
      <c r="BU85" s="167">
        <f t="shared" ref="BU85:BU125" si="373">IF($J85&lt;&gt;"H",BT85,0)</f>
        <v>0</v>
      </c>
      <c r="BV85" s="167">
        <f t="shared" si="303"/>
        <v>0</v>
      </c>
      <c r="BW85" s="167">
        <f t="shared" ref="BW85:BW125" si="374">IF(BX85&lt;&gt;0,ROUND(BX85/$L85*BV85,2),0)</f>
        <v>0</v>
      </c>
      <c r="BX85" s="167">
        <f t="shared" si="304"/>
        <v>0</v>
      </c>
      <c r="BY85" s="167">
        <f t="shared" ref="BY85:BY125" si="375">IF($J85&lt;&gt;"H",BX85,0)</f>
        <v>0</v>
      </c>
      <c r="BZ85" s="167">
        <f t="shared" si="305"/>
        <v>0</v>
      </c>
      <c r="CA85" s="167">
        <f t="shared" ref="CA85:CA125" si="376">IF($J85&lt;&gt;"H",BZ85,0)</f>
        <v>0</v>
      </c>
      <c r="CB85" s="170">
        <f t="shared" si="306"/>
        <v>0</v>
      </c>
      <c r="CC85" s="167">
        <f t="shared" si="307"/>
        <v>0</v>
      </c>
      <c r="CD85" s="171">
        <f t="shared" si="308"/>
        <v>0</v>
      </c>
      <c r="CE85" s="169">
        <f t="shared" si="356"/>
        <v>0</v>
      </c>
      <c r="CF85" s="167">
        <f t="shared" ref="CF85:CF125" si="377">IF($J85&lt;&gt;"H",CE85,0)</f>
        <v>0</v>
      </c>
      <c r="CG85" s="167">
        <f t="shared" si="309"/>
        <v>0</v>
      </c>
      <c r="CH85" s="167">
        <f t="shared" ref="CH85:CH125" si="378">IF($J85&lt;&gt;"H",CG85,0)</f>
        <v>0</v>
      </c>
      <c r="CI85" s="167">
        <f t="shared" si="310"/>
        <v>0</v>
      </c>
      <c r="CJ85" s="167">
        <f t="shared" ref="CJ85:CJ125" si="379">IF(CK85&lt;&gt;0,ROUND(CK85/$L85*CI85,2),0)</f>
        <v>0</v>
      </c>
      <c r="CK85" s="167">
        <f t="shared" si="311"/>
        <v>0</v>
      </c>
      <c r="CL85" s="167">
        <f t="shared" ref="CL85:CL125" si="380">IF($J85&lt;&gt;"H",CK85,0)</f>
        <v>0</v>
      </c>
      <c r="CM85" s="167">
        <f t="shared" si="312"/>
        <v>0</v>
      </c>
      <c r="CN85" s="167">
        <f t="shared" ref="CN85:CN125" si="381">IF($J85&lt;&gt;"H",CM85,0)</f>
        <v>0</v>
      </c>
      <c r="CO85" s="170">
        <f t="shared" si="313"/>
        <v>0</v>
      </c>
      <c r="CP85" s="167">
        <f t="shared" si="314"/>
        <v>0</v>
      </c>
      <c r="CQ85" s="171">
        <f t="shared" si="315"/>
        <v>0</v>
      </c>
      <c r="CR85" s="169">
        <f t="shared" ref="CR85:DR100" si="382">IF(YEAR($F85)=CR$4,$E85,0)</f>
        <v>0</v>
      </c>
      <c r="CS85" s="167">
        <f t="shared" ref="CS85:CS125" si="383">IF($J85&lt;&gt;"H",CR85,0)</f>
        <v>0</v>
      </c>
      <c r="CT85" s="167">
        <f t="shared" si="317"/>
        <v>0</v>
      </c>
      <c r="CU85" s="167">
        <f t="shared" ref="CU85:CU125" si="384">IF($J85&lt;&gt;"H",CT85,0)</f>
        <v>0</v>
      </c>
      <c r="CV85" s="167">
        <f t="shared" si="318"/>
        <v>0</v>
      </c>
      <c r="CW85" s="167">
        <f t="shared" ref="CW85:CW125" si="385">IF(CX85&lt;&gt;0,ROUND(CX85/$L85*CV85,2),0)</f>
        <v>0</v>
      </c>
      <c r="CX85" s="167">
        <f t="shared" si="319"/>
        <v>0</v>
      </c>
      <c r="CY85" s="167">
        <f t="shared" ref="CY85:CY125" si="386">IF($J85&lt;&gt;"H",CX85,0)</f>
        <v>0</v>
      </c>
      <c r="CZ85" s="167">
        <f t="shared" si="320"/>
        <v>0</v>
      </c>
      <c r="DA85" s="167">
        <f t="shared" ref="DA85:DA125" si="387">IF($J85&lt;&gt;"H",CZ85,0)</f>
        <v>0</v>
      </c>
      <c r="DB85" s="170">
        <f t="shared" si="321"/>
        <v>0</v>
      </c>
      <c r="DC85" s="167">
        <f t="shared" si="322"/>
        <v>0</v>
      </c>
      <c r="DD85" s="171">
        <f t="shared" si="323"/>
        <v>0</v>
      </c>
      <c r="DE85" s="169">
        <f t="shared" si="382"/>
        <v>0</v>
      </c>
      <c r="DF85" s="167">
        <f t="shared" ref="DF85:DF125" si="388">IF($J85&lt;&gt;"H",DE85,0)</f>
        <v>0</v>
      </c>
      <c r="DG85" s="167">
        <f t="shared" si="324"/>
        <v>0</v>
      </c>
      <c r="DH85" s="167">
        <f t="shared" ref="DH85:DH125" si="389">IF($J85&lt;&gt;"H",DG85,0)</f>
        <v>0</v>
      </c>
      <c r="DI85" s="167">
        <f t="shared" si="325"/>
        <v>0</v>
      </c>
      <c r="DJ85" s="167">
        <f t="shared" ref="DJ85:DJ125" si="390">IF(DK85&lt;&gt;0,ROUND(DK85/$L85*DI85,2),0)</f>
        <v>0</v>
      </c>
      <c r="DK85" s="167">
        <f t="shared" si="326"/>
        <v>0</v>
      </c>
      <c r="DL85" s="167">
        <f t="shared" ref="DL85:DL125" si="391">IF($J85&lt;&gt;"H",DK85,0)</f>
        <v>0</v>
      </c>
      <c r="DM85" s="167">
        <f t="shared" si="327"/>
        <v>0</v>
      </c>
      <c r="DN85" s="167">
        <f t="shared" ref="DN85:DN125" si="392">IF($J85&lt;&gt;"H",DM85,0)</f>
        <v>0</v>
      </c>
      <c r="DO85" s="170">
        <f t="shared" si="328"/>
        <v>0</v>
      </c>
      <c r="DP85" s="167">
        <f t="shared" si="329"/>
        <v>0</v>
      </c>
      <c r="DQ85" s="171">
        <f t="shared" si="330"/>
        <v>0</v>
      </c>
      <c r="DR85" s="169">
        <f t="shared" si="382"/>
        <v>0</v>
      </c>
      <c r="DS85" s="167">
        <f t="shared" ref="DS85:DS125" si="393">IF($J85&lt;&gt;"H",DR85,0)</f>
        <v>0</v>
      </c>
      <c r="DT85" s="167">
        <f t="shared" si="331"/>
        <v>0</v>
      </c>
      <c r="DU85" s="167">
        <f t="shared" ref="DU85:DU125" si="394">IF($J85&lt;&gt;"H",DT85,0)</f>
        <v>0</v>
      </c>
      <c r="DV85" s="167">
        <f t="shared" si="332"/>
        <v>0</v>
      </c>
      <c r="DW85" s="167">
        <f t="shared" ref="DW85:DW125" si="395">IF(DX85&lt;&gt;0,ROUND(DX85/$L85*DV85,2),0)</f>
        <v>0</v>
      </c>
      <c r="DX85" s="167">
        <f t="shared" si="333"/>
        <v>0</v>
      </c>
      <c r="DY85" s="167">
        <f t="shared" ref="DY85:DY125" si="396">IF($J85&lt;&gt;"H",DX85,0)</f>
        <v>0</v>
      </c>
      <c r="DZ85" s="167">
        <f t="shared" si="334"/>
        <v>0</v>
      </c>
      <c r="EA85" s="167">
        <f t="shared" ref="EA85:EA125" si="397">IF($J85&lt;&gt;"H",DZ85,0)</f>
        <v>0</v>
      </c>
      <c r="EB85" s="170">
        <f t="shared" si="335"/>
        <v>0</v>
      </c>
      <c r="EC85" s="167">
        <f t="shared" si="336"/>
        <v>0</v>
      </c>
      <c r="ED85" s="171">
        <f t="shared" si="337"/>
        <v>0</v>
      </c>
    </row>
    <row r="86" spans="1:134" x14ac:dyDescent="0.3">
      <c r="A86" s="185"/>
      <c r="B86" s="186"/>
      <c r="C86" s="187"/>
      <c r="D86" s="188"/>
      <c r="E86" s="189"/>
      <c r="F86" s="190"/>
      <c r="G86" s="191"/>
      <c r="H86" s="192"/>
      <c r="I86" s="193"/>
      <c r="J86" s="194"/>
      <c r="K86" s="165">
        <f t="shared" si="338"/>
        <v>0</v>
      </c>
      <c r="L86" s="166">
        <f t="shared" si="339"/>
        <v>0</v>
      </c>
      <c r="M86" s="167">
        <f t="shared" si="340"/>
        <v>0</v>
      </c>
      <c r="N86" s="167"/>
      <c r="O86" s="167">
        <f t="shared" si="341"/>
        <v>0</v>
      </c>
      <c r="P86" s="168"/>
      <c r="Q86" s="167">
        <f t="shared" si="342"/>
        <v>0</v>
      </c>
      <c r="R86" s="169">
        <f t="shared" si="343"/>
        <v>0</v>
      </c>
      <c r="S86" s="167">
        <f t="shared" si="344"/>
        <v>0</v>
      </c>
      <c r="T86" s="167">
        <f t="shared" si="345"/>
        <v>0</v>
      </c>
      <c r="U86" s="167">
        <f t="shared" si="346"/>
        <v>0</v>
      </c>
      <c r="V86" s="167">
        <f t="shared" si="347"/>
        <v>0</v>
      </c>
      <c r="W86" s="167">
        <f t="shared" si="348"/>
        <v>0</v>
      </c>
      <c r="X86" s="167">
        <f t="shared" si="349"/>
        <v>0</v>
      </c>
      <c r="Y86" s="167">
        <f t="shared" si="350"/>
        <v>0</v>
      </c>
      <c r="Z86" s="167">
        <f t="shared" si="351"/>
        <v>0</v>
      </c>
      <c r="AA86" s="167">
        <f t="shared" si="352"/>
        <v>0</v>
      </c>
      <c r="AB86" s="170">
        <f t="shared" si="353"/>
        <v>0</v>
      </c>
      <c r="AC86" s="167">
        <f t="shared" si="354"/>
        <v>0</v>
      </c>
      <c r="AD86" s="171">
        <f t="shared" si="355"/>
        <v>0</v>
      </c>
      <c r="AE86" s="169">
        <f t="shared" si="356"/>
        <v>0</v>
      </c>
      <c r="AF86" s="167">
        <f t="shared" si="357"/>
        <v>0</v>
      </c>
      <c r="AG86" s="167">
        <f t="shared" si="281"/>
        <v>0</v>
      </c>
      <c r="AH86" s="167">
        <f t="shared" si="358"/>
        <v>0</v>
      </c>
      <c r="AI86" s="167">
        <f t="shared" si="282"/>
        <v>0</v>
      </c>
      <c r="AJ86" s="167">
        <f t="shared" si="359"/>
        <v>0</v>
      </c>
      <c r="AK86" s="167">
        <f t="shared" si="283"/>
        <v>0</v>
      </c>
      <c r="AL86" s="167">
        <f t="shared" si="360"/>
        <v>0</v>
      </c>
      <c r="AM86" s="167">
        <f t="shared" si="284"/>
        <v>0</v>
      </c>
      <c r="AN86" s="167">
        <f t="shared" si="361"/>
        <v>0</v>
      </c>
      <c r="AO86" s="170">
        <f t="shared" si="285"/>
        <v>0</v>
      </c>
      <c r="AP86" s="167">
        <f t="shared" si="286"/>
        <v>0</v>
      </c>
      <c r="AQ86" s="171">
        <f t="shared" si="287"/>
        <v>0</v>
      </c>
      <c r="AR86" s="169">
        <f t="shared" si="356"/>
        <v>0</v>
      </c>
      <c r="AS86" s="167">
        <f t="shared" si="362"/>
        <v>0</v>
      </c>
      <c r="AT86" s="167">
        <f t="shared" si="288"/>
        <v>0</v>
      </c>
      <c r="AU86" s="167">
        <f t="shared" si="363"/>
        <v>0</v>
      </c>
      <c r="AV86" s="167">
        <f t="shared" si="289"/>
        <v>0</v>
      </c>
      <c r="AW86" s="167">
        <f t="shared" si="364"/>
        <v>0</v>
      </c>
      <c r="AX86" s="167">
        <f t="shared" si="290"/>
        <v>0</v>
      </c>
      <c r="AY86" s="167">
        <f t="shared" si="365"/>
        <v>0</v>
      </c>
      <c r="AZ86" s="167">
        <f t="shared" si="291"/>
        <v>0</v>
      </c>
      <c r="BA86" s="167">
        <f t="shared" si="366"/>
        <v>0</v>
      </c>
      <c r="BB86" s="170">
        <f t="shared" si="292"/>
        <v>0</v>
      </c>
      <c r="BC86" s="167">
        <f t="shared" si="293"/>
        <v>0</v>
      </c>
      <c r="BD86" s="171">
        <f t="shared" si="294"/>
        <v>0</v>
      </c>
      <c r="BE86" s="169">
        <f t="shared" si="356"/>
        <v>0</v>
      </c>
      <c r="BF86" s="167">
        <f t="shared" si="367"/>
        <v>0</v>
      </c>
      <c r="BG86" s="167">
        <f t="shared" si="295"/>
        <v>0</v>
      </c>
      <c r="BH86" s="167">
        <f t="shared" si="368"/>
        <v>0</v>
      </c>
      <c r="BI86" s="167">
        <f t="shared" si="296"/>
        <v>0</v>
      </c>
      <c r="BJ86" s="167">
        <f t="shared" si="369"/>
        <v>0</v>
      </c>
      <c r="BK86" s="167">
        <f t="shared" si="297"/>
        <v>0</v>
      </c>
      <c r="BL86" s="167">
        <f t="shared" si="370"/>
        <v>0</v>
      </c>
      <c r="BM86" s="167">
        <f t="shared" si="298"/>
        <v>0</v>
      </c>
      <c r="BN86" s="167">
        <f t="shared" si="371"/>
        <v>0</v>
      </c>
      <c r="BO86" s="170">
        <f t="shared" si="299"/>
        <v>0</v>
      </c>
      <c r="BP86" s="167">
        <f t="shared" si="300"/>
        <v>0</v>
      </c>
      <c r="BQ86" s="171">
        <f t="shared" si="301"/>
        <v>0</v>
      </c>
      <c r="BR86" s="169">
        <f t="shared" si="356"/>
        <v>0</v>
      </c>
      <c r="BS86" s="167">
        <f t="shared" si="372"/>
        <v>0</v>
      </c>
      <c r="BT86" s="167">
        <f t="shared" si="302"/>
        <v>0</v>
      </c>
      <c r="BU86" s="167">
        <f t="shared" si="373"/>
        <v>0</v>
      </c>
      <c r="BV86" s="167">
        <f t="shared" si="303"/>
        <v>0</v>
      </c>
      <c r="BW86" s="167">
        <f t="shared" si="374"/>
        <v>0</v>
      </c>
      <c r="BX86" s="167">
        <f t="shared" si="304"/>
        <v>0</v>
      </c>
      <c r="BY86" s="167">
        <f t="shared" si="375"/>
        <v>0</v>
      </c>
      <c r="BZ86" s="167">
        <f t="shared" si="305"/>
        <v>0</v>
      </c>
      <c r="CA86" s="167">
        <f t="shared" si="376"/>
        <v>0</v>
      </c>
      <c r="CB86" s="170">
        <f t="shared" si="306"/>
        <v>0</v>
      </c>
      <c r="CC86" s="167">
        <f t="shared" si="307"/>
        <v>0</v>
      </c>
      <c r="CD86" s="171">
        <f t="shared" si="308"/>
        <v>0</v>
      </c>
      <c r="CE86" s="169">
        <f t="shared" si="356"/>
        <v>0</v>
      </c>
      <c r="CF86" s="167">
        <f t="shared" si="377"/>
        <v>0</v>
      </c>
      <c r="CG86" s="167">
        <f t="shared" si="309"/>
        <v>0</v>
      </c>
      <c r="CH86" s="167">
        <f t="shared" si="378"/>
        <v>0</v>
      </c>
      <c r="CI86" s="167">
        <f t="shared" si="310"/>
        <v>0</v>
      </c>
      <c r="CJ86" s="167">
        <f t="shared" si="379"/>
        <v>0</v>
      </c>
      <c r="CK86" s="167">
        <f t="shared" si="311"/>
        <v>0</v>
      </c>
      <c r="CL86" s="167">
        <f t="shared" si="380"/>
        <v>0</v>
      </c>
      <c r="CM86" s="167">
        <f t="shared" si="312"/>
        <v>0</v>
      </c>
      <c r="CN86" s="167">
        <f t="shared" si="381"/>
        <v>0</v>
      </c>
      <c r="CO86" s="170">
        <f t="shared" si="313"/>
        <v>0</v>
      </c>
      <c r="CP86" s="167">
        <f t="shared" si="314"/>
        <v>0</v>
      </c>
      <c r="CQ86" s="171">
        <f t="shared" si="315"/>
        <v>0</v>
      </c>
      <c r="CR86" s="169">
        <f t="shared" si="382"/>
        <v>0</v>
      </c>
      <c r="CS86" s="167">
        <f t="shared" si="383"/>
        <v>0</v>
      </c>
      <c r="CT86" s="167">
        <f t="shared" si="317"/>
        <v>0</v>
      </c>
      <c r="CU86" s="167">
        <f t="shared" si="384"/>
        <v>0</v>
      </c>
      <c r="CV86" s="167">
        <f t="shared" si="318"/>
        <v>0</v>
      </c>
      <c r="CW86" s="167">
        <f t="shared" si="385"/>
        <v>0</v>
      </c>
      <c r="CX86" s="167">
        <f t="shared" si="319"/>
        <v>0</v>
      </c>
      <c r="CY86" s="167">
        <f t="shared" si="386"/>
        <v>0</v>
      </c>
      <c r="CZ86" s="167">
        <f t="shared" si="320"/>
        <v>0</v>
      </c>
      <c r="DA86" s="167">
        <f t="shared" si="387"/>
        <v>0</v>
      </c>
      <c r="DB86" s="170">
        <f t="shared" si="321"/>
        <v>0</v>
      </c>
      <c r="DC86" s="167">
        <f t="shared" si="322"/>
        <v>0</v>
      </c>
      <c r="DD86" s="171">
        <f t="shared" si="323"/>
        <v>0</v>
      </c>
      <c r="DE86" s="169">
        <f t="shared" si="382"/>
        <v>0</v>
      </c>
      <c r="DF86" s="167">
        <f t="shared" si="388"/>
        <v>0</v>
      </c>
      <c r="DG86" s="167">
        <f t="shared" si="324"/>
        <v>0</v>
      </c>
      <c r="DH86" s="167">
        <f t="shared" si="389"/>
        <v>0</v>
      </c>
      <c r="DI86" s="167">
        <f t="shared" si="325"/>
        <v>0</v>
      </c>
      <c r="DJ86" s="167">
        <f t="shared" si="390"/>
        <v>0</v>
      </c>
      <c r="DK86" s="167">
        <f t="shared" si="326"/>
        <v>0</v>
      </c>
      <c r="DL86" s="167">
        <f t="shared" si="391"/>
        <v>0</v>
      </c>
      <c r="DM86" s="167">
        <f t="shared" si="327"/>
        <v>0</v>
      </c>
      <c r="DN86" s="167">
        <f t="shared" si="392"/>
        <v>0</v>
      </c>
      <c r="DO86" s="170">
        <f t="shared" si="328"/>
        <v>0</v>
      </c>
      <c r="DP86" s="167">
        <f t="shared" si="329"/>
        <v>0</v>
      </c>
      <c r="DQ86" s="171">
        <f t="shared" si="330"/>
        <v>0</v>
      </c>
      <c r="DR86" s="169">
        <f t="shared" si="382"/>
        <v>0</v>
      </c>
      <c r="DS86" s="167">
        <f t="shared" si="393"/>
        <v>0</v>
      </c>
      <c r="DT86" s="167">
        <f t="shared" si="331"/>
        <v>0</v>
      </c>
      <c r="DU86" s="167">
        <f t="shared" si="394"/>
        <v>0</v>
      </c>
      <c r="DV86" s="167">
        <f t="shared" si="332"/>
        <v>0</v>
      </c>
      <c r="DW86" s="167">
        <f t="shared" si="395"/>
        <v>0</v>
      </c>
      <c r="DX86" s="167">
        <f t="shared" si="333"/>
        <v>0</v>
      </c>
      <c r="DY86" s="167">
        <f t="shared" si="396"/>
        <v>0</v>
      </c>
      <c r="DZ86" s="167">
        <f t="shared" si="334"/>
        <v>0</v>
      </c>
      <c r="EA86" s="167">
        <f t="shared" si="397"/>
        <v>0</v>
      </c>
      <c r="EB86" s="170">
        <f t="shared" si="335"/>
        <v>0</v>
      </c>
      <c r="EC86" s="167">
        <f t="shared" si="336"/>
        <v>0</v>
      </c>
      <c r="ED86" s="171">
        <f t="shared" si="337"/>
        <v>0</v>
      </c>
    </row>
    <row r="87" spans="1:134" x14ac:dyDescent="0.3">
      <c r="A87" s="185"/>
      <c r="B87" s="186"/>
      <c r="C87" s="187"/>
      <c r="D87" s="188"/>
      <c r="E87" s="189"/>
      <c r="F87" s="190"/>
      <c r="G87" s="191"/>
      <c r="H87" s="192"/>
      <c r="I87" s="193"/>
      <c r="J87" s="194"/>
      <c r="K87" s="165">
        <f t="shared" si="338"/>
        <v>0</v>
      </c>
      <c r="L87" s="166">
        <f t="shared" si="339"/>
        <v>0</v>
      </c>
      <c r="M87" s="167">
        <f t="shared" si="340"/>
        <v>0</v>
      </c>
      <c r="N87" s="167"/>
      <c r="O87" s="167">
        <f t="shared" si="341"/>
        <v>0</v>
      </c>
      <c r="P87" s="168"/>
      <c r="Q87" s="167">
        <f t="shared" si="342"/>
        <v>0</v>
      </c>
      <c r="R87" s="169">
        <f t="shared" si="343"/>
        <v>0</v>
      </c>
      <c r="S87" s="167">
        <f t="shared" si="344"/>
        <v>0</v>
      </c>
      <c r="T87" s="167">
        <f t="shared" si="345"/>
        <v>0</v>
      </c>
      <c r="U87" s="167">
        <f t="shared" si="346"/>
        <v>0</v>
      </c>
      <c r="V87" s="167">
        <f t="shared" si="347"/>
        <v>0</v>
      </c>
      <c r="W87" s="167">
        <f t="shared" si="348"/>
        <v>0</v>
      </c>
      <c r="X87" s="167">
        <f t="shared" si="349"/>
        <v>0</v>
      </c>
      <c r="Y87" s="167">
        <f t="shared" si="350"/>
        <v>0</v>
      </c>
      <c r="Z87" s="167">
        <f t="shared" si="351"/>
        <v>0</v>
      </c>
      <c r="AA87" s="167">
        <f t="shared" si="352"/>
        <v>0</v>
      </c>
      <c r="AB87" s="170">
        <f t="shared" si="353"/>
        <v>0</v>
      </c>
      <c r="AC87" s="167">
        <f t="shared" si="354"/>
        <v>0</v>
      </c>
      <c r="AD87" s="171">
        <f t="shared" si="355"/>
        <v>0</v>
      </c>
      <c r="AE87" s="169">
        <f t="shared" si="356"/>
        <v>0</v>
      </c>
      <c r="AF87" s="167">
        <f t="shared" si="357"/>
        <v>0</v>
      </c>
      <c r="AG87" s="167">
        <f t="shared" si="281"/>
        <v>0</v>
      </c>
      <c r="AH87" s="167">
        <f t="shared" si="358"/>
        <v>0</v>
      </c>
      <c r="AI87" s="167">
        <f t="shared" si="282"/>
        <v>0</v>
      </c>
      <c r="AJ87" s="167">
        <f t="shared" si="359"/>
        <v>0</v>
      </c>
      <c r="AK87" s="167">
        <f t="shared" si="283"/>
        <v>0</v>
      </c>
      <c r="AL87" s="167">
        <f t="shared" si="360"/>
        <v>0</v>
      </c>
      <c r="AM87" s="167">
        <f t="shared" si="284"/>
        <v>0</v>
      </c>
      <c r="AN87" s="167">
        <f t="shared" si="361"/>
        <v>0</v>
      </c>
      <c r="AO87" s="170">
        <f t="shared" si="285"/>
        <v>0</v>
      </c>
      <c r="AP87" s="167">
        <f t="shared" si="286"/>
        <v>0</v>
      </c>
      <c r="AQ87" s="171">
        <f t="shared" si="287"/>
        <v>0</v>
      </c>
      <c r="AR87" s="169">
        <f t="shared" si="356"/>
        <v>0</v>
      </c>
      <c r="AS87" s="167">
        <f t="shared" si="362"/>
        <v>0</v>
      </c>
      <c r="AT87" s="167">
        <f t="shared" si="288"/>
        <v>0</v>
      </c>
      <c r="AU87" s="167">
        <f t="shared" si="363"/>
        <v>0</v>
      </c>
      <c r="AV87" s="167">
        <f t="shared" si="289"/>
        <v>0</v>
      </c>
      <c r="AW87" s="167">
        <f t="shared" si="364"/>
        <v>0</v>
      </c>
      <c r="AX87" s="167">
        <f t="shared" si="290"/>
        <v>0</v>
      </c>
      <c r="AY87" s="167">
        <f t="shared" si="365"/>
        <v>0</v>
      </c>
      <c r="AZ87" s="167">
        <f t="shared" si="291"/>
        <v>0</v>
      </c>
      <c r="BA87" s="167">
        <f t="shared" si="366"/>
        <v>0</v>
      </c>
      <c r="BB87" s="170">
        <f t="shared" si="292"/>
        <v>0</v>
      </c>
      <c r="BC87" s="167">
        <f t="shared" si="293"/>
        <v>0</v>
      </c>
      <c r="BD87" s="171">
        <f t="shared" si="294"/>
        <v>0</v>
      </c>
      <c r="BE87" s="169">
        <f t="shared" si="356"/>
        <v>0</v>
      </c>
      <c r="BF87" s="167">
        <f t="shared" si="367"/>
        <v>0</v>
      </c>
      <c r="BG87" s="167">
        <f t="shared" si="295"/>
        <v>0</v>
      </c>
      <c r="BH87" s="167">
        <f t="shared" si="368"/>
        <v>0</v>
      </c>
      <c r="BI87" s="167">
        <f t="shared" si="296"/>
        <v>0</v>
      </c>
      <c r="BJ87" s="167">
        <f t="shared" si="369"/>
        <v>0</v>
      </c>
      <c r="BK87" s="167">
        <f t="shared" si="297"/>
        <v>0</v>
      </c>
      <c r="BL87" s="167">
        <f t="shared" si="370"/>
        <v>0</v>
      </c>
      <c r="BM87" s="167">
        <f t="shared" si="298"/>
        <v>0</v>
      </c>
      <c r="BN87" s="167">
        <f t="shared" si="371"/>
        <v>0</v>
      </c>
      <c r="BO87" s="170">
        <f t="shared" si="299"/>
        <v>0</v>
      </c>
      <c r="BP87" s="167">
        <f t="shared" si="300"/>
        <v>0</v>
      </c>
      <c r="BQ87" s="171">
        <f t="shared" si="301"/>
        <v>0</v>
      </c>
      <c r="BR87" s="169">
        <f t="shared" si="356"/>
        <v>0</v>
      </c>
      <c r="BS87" s="167">
        <f t="shared" si="372"/>
        <v>0</v>
      </c>
      <c r="BT87" s="167">
        <f t="shared" si="302"/>
        <v>0</v>
      </c>
      <c r="BU87" s="167">
        <f t="shared" si="373"/>
        <v>0</v>
      </c>
      <c r="BV87" s="167">
        <f t="shared" si="303"/>
        <v>0</v>
      </c>
      <c r="BW87" s="167">
        <f t="shared" si="374"/>
        <v>0</v>
      </c>
      <c r="BX87" s="167">
        <f t="shared" si="304"/>
        <v>0</v>
      </c>
      <c r="BY87" s="167">
        <f t="shared" si="375"/>
        <v>0</v>
      </c>
      <c r="BZ87" s="167">
        <f t="shared" si="305"/>
        <v>0</v>
      </c>
      <c r="CA87" s="167">
        <f t="shared" si="376"/>
        <v>0</v>
      </c>
      <c r="CB87" s="170">
        <f t="shared" si="306"/>
        <v>0</v>
      </c>
      <c r="CC87" s="167">
        <f t="shared" si="307"/>
        <v>0</v>
      </c>
      <c r="CD87" s="171">
        <f t="shared" si="308"/>
        <v>0</v>
      </c>
      <c r="CE87" s="169">
        <f t="shared" si="356"/>
        <v>0</v>
      </c>
      <c r="CF87" s="167">
        <f t="shared" si="377"/>
        <v>0</v>
      </c>
      <c r="CG87" s="167">
        <f t="shared" si="309"/>
        <v>0</v>
      </c>
      <c r="CH87" s="167">
        <f t="shared" si="378"/>
        <v>0</v>
      </c>
      <c r="CI87" s="167">
        <f t="shared" si="310"/>
        <v>0</v>
      </c>
      <c r="CJ87" s="167">
        <f t="shared" si="379"/>
        <v>0</v>
      </c>
      <c r="CK87" s="167">
        <f t="shared" si="311"/>
        <v>0</v>
      </c>
      <c r="CL87" s="167">
        <f t="shared" si="380"/>
        <v>0</v>
      </c>
      <c r="CM87" s="167">
        <f t="shared" si="312"/>
        <v>0</v>
      </c>
      <c r="CN87" s="167">
        <f t="shared" si="381"/>
        <v>0</v>
      </c>
      <c r="CO87" s="170">
        <f t="shared" si="313"/>
        <v>0</v>
      </c>
      <c r="CP87" s="167">
        <f t="shared" si="314"/>
        <v>0</v>
      </c>
      <c r="CQ87" s="171">
        <f t="shared" si="315"/>
        <v>0</v>
      </c>
      <c r="CR87" s="169">
        <f t="shared" si="382"/>
        <v>0</v>
      </c>
      <c r="CS87" s="167">
        <f t="shared" si="383"/>
        <v>0</v>
      </c>
      <c r="CT87" s="167">
        <f t="shared" si="317"/>
        <v>0</v>
      </c>
      <c r="CU87" s="167">
        <f t="shared" si="384"/>
        <v>0</v>
      </c>
      <c r="CV87" s="167">
        <f t="shared" si="318"/>
        <v>0</v>
      </c>
      <c r="CW87" s="167">
        <f t="shared" si="385"/>
        <v>0</v>
      </c>
      <c r="CX87" s="167">
        <f t="shared" si="319"/>
        <v>0</v>
      </c>
      <c r="CY87" s="167">
        <f t="shared" si="386"/>
        <v>0</v>
      </c>
      <c r="CZ87" s="167">
        <f t="shared" si="320"/>
        <v>0</v>
      </c>
      <c r="DA87" s="167">
        <f t="shared" si="387"/>
        <v>0</v>
      </c>
      <c r="DB87" s="170">
        <f t="shared" si="321"/>
        <v>0</v>
      </c>
      <c r="DC87" s="167">
        <f t="shared" si="322"/>
        <v>0</v>
      </c>
      <c r="DD87" s="171">
        <f t="shared" si="323"/>
        <v>0</v>
      </c>
      <c r="DE87" s="169">
        <f t="shared" si="382"/>
        <v>0</v>
      </c>
      <c r="DF87" s="167">
        <f t="shared" si="388"/>
        <v>0</v>
      </c>
      <c r="DG87" s="167">
        <f t="shared" si="324"/>
        <v>0</v>
      </c>
      <c r="DH87" s="167">
        <f t="shared" si="389"/>
        <v>0</v>
      </c>
      <c r="DI87" s="167">
        <f t="shared" si="325"/>
        <v>0</v>
      </c>
      <c r="DJ87" s="167">
        <f t="shared" si="390"/>
        <v>0</v>
      </c>
      <c r="DK87" s="167">
        <f t="shared" si="326"/>
        <v>0</v>
      </c>
      <c r="DL87" s="167">
        <f t="shared" si="391"/>
        <v>0</v>
      </c>
      <c r="DM87" s="167">
        <f t="shared" si="327"/>
        <v>0</v>
      </c>
      <c r="DN87" s="167">
        <f t="shared" si="392"/>
        <v>0</v>
      </c>
      <c r="DO87" s="170">
        <f t="shared" si="328"/>
        <v>0</v>
      </c>
      <c r="DP87" s="167">
        <f t="shared" si="329"/>
        <v>0</v>
      </c>
      <c r="DQ87" s="171">
        <f t="shared" si="330"/>
        <v>0</v>
      </c>
      <c r="DR87" s="169">
        <f t="shared" si="382"/>
        <v>0</v>
      </c>
      <c r="DS87" s="167">
        <f t="shared" si="393"/>
        <v>0</v>
      </c>
      <c r="DT87" s="167">
        <f t="shared" si="331"/>
        <v>0</v>
      </c>
      <c r="DU87" s="167">
        <f t="shared" si="394"/>
        <v>0</v>
      </c>
      <c r="DV87" s="167">
        <f t="shared" si="332"/>
        <v>0</v>
      </c>
      <c r="DW87" s="167">
        <f t="shared" si="395"/>
        <v>0</v>
      </c>
      <c r="DX87" s="167">
        <f t="shared" si="333"/>
        <v>0</v>
      </c>
      <c r="DY87" s="167">
        <f t="shared" si="396"/>
        <v>0</v>
      </c>
      <c r="DZ87" s="167">
        <f t="shared" si="334"/>
        <v>0</v>
      </c>
      <c r="EA87" s="167">
        <f t="shared" si="397"/>
        <v>0</v>
      </c>
      <c r="EB87" s="170">
        <f t="shared" si="335"/>
        <v>0</v>
      </c>
      <c r="EC87" s="167">
        <f t="shared" si="336"/>
        <v>0</v>
      </c>
      <c r="ED87" s="171">
        <f t="shared" si="337"/>
        <v>0</v>
      </c>
    </row>
    <row r="88" spans="1:134" x14ac:dyDescent="0.3">
      <c r="A88" s="185"/>
      <c r="B88" s="186"/>
      <c r="C88" s="187"/>
      <c r="D88" s="188"/>
      <c r="E88" s="189"/>
      <c r="F88" s="190"/>
      <c r="G88" s="191"/>
      <c r="H88" s="192"/>
      <c r="I88" s="193"/>
      <c r="J88" s="194"/>
      <c r="K88" s="165">
        <f t="shared" si="338"/>
        <v>0</v>
      </c>
      <c r="L88" s="166">
        <f t="shared" si="339"/>
        <v>0</v>
      </c>
      <c r="M88" s="167">
        <f t="shared" si="340"/>
        <v>0</v>
      </c>
      <c r="N88" s="167"/>
      <c r="O88" s="167">
        <f t="shared" si="341"/>
        <v>0</v>
      </c>
      <c r="P88" s="168"/>
      <c r="Q88" s="167">
        <f t="shared" si="342"/>
        <v>0</v>
      </c>
      <c r="R88" s="169">
        <f t="shared" si="343"/>
        <v>0</v>
      </c>
      <c r="S88" s="167">
        <f t="shared" si="344"/>
        <v>0</v>
      </c>
      <c r="T88" s="167">
        <f t="shared" si="345"/>
        <v>0</v>
      </c>
      <c r="U88" s="167">
        <f t="shared" si="346"/>
        <v>0</v>
      </c>
      <c r="V88" s="167">
        <f t="shared" si="347"/>
        <v>0</v>
      </c>
      <c r="W88" s="167">
        <f t="shared" si="348"/>
        <v>0</v>
      </c>
      <c r="X88" s="167">
        <f t="shared" si="349"/>
        <v>0</v>
      </c>
      <c r="Y88" s="167">
        <f t="shared" si="350"/>
        <v>0</v>
      </c>
      <c r="Z88" s="167">
        <f t="shared" si="351"/>
        <v>0</v>
      </c>
      <c r="AA88" s="167">
        <f t="shared" si="352"/>
        <v>0</v>
      </c>
      <c r="AB88" s="170">
        <f t="shared" si="353"/>
        <v>0</v>
      </c>
      <c r="AC88" s="167">
        <f t="shared" si="354"/>
        <v>0</v>
      </c>
      <c r="AD88" s="171">
        <f t="shared" si="355"/>
        <v>0</v>
      </c>
      <c r="AE88" s="169">
        <f t="shared" si="356"/>
        <v>0</v>
      </c>
      <c r="AF88" s="167">
        <f t="shared" si="357"/>
        <v>0</v>
      </c>
      <c r="AG88" s="167">
        <f t="shared" si="281"/>
        <v>0</v>
      </c>
      <c r="AH88" s="167">
        <f t="shared" si="358"/>
        <v>0</v>
      </c>
      <c r="AI88" s="167">
        <f t="shared" si="282"/>
        <v>0</v>
      </c>
      <c r="AJ88" s="167">
        <f t="shared" si="359"/>
        <v>0</v>
      </c>
      <c r="AK88" s="167">
        <f t="shared" si="283"/>
        <v>0</v>
      </c>
      <c r="AL88" s="167">
        <f t="shared" si="360"/>
        <v>0</v>
      </c>
      <c r="AM88" s="167">
        <f t="shared" si="284"/>
        <v>0</v>
      </c>
      <c r="AN88" s="167">
        <f t="shared" si="361"/>
        <v>0</v>
      </c>
      <c r="AO88" s="170">
        <f t="shared" si="285"/>
        <v>0</v>
      </c>
      <c r="AP88" s="167">
        <f t="shared" si="286"/>
        <v>0</v>
      </c>
      <c r="AQ88" s="171">
        <f t="shared" si="287"/>
        <v>0</v>
      </c>
      <c r="AR88" s="169">
        <f t="shared" si="356"/>
        <v>0</v>
      </c>
      <c r="AS88" s="167">
        <f t="shared" si="362"/>
        <v>0</v>
      </c>
      <c r="AT88" s="167">
        <f t="shared" si="288"/>
        <v>0</v>
      </c>
      <c r="AU88" s="167">
        <f t="shared" si="363"/>
        <v>0</v>
      </c>
      <c r="AV88" s="167">
        <f t="shared" si="289"/>
        <v>0</v>
      </c>
      <c r="AW88" s="167">
        <f t="shared" si="364"/>
        <v>0</v>
      </c>
      <c r="AX88" s="167">
        <f t="shared" si="290"/>
        <v>0</v>
      </c>
      <c r="AY88" s="167">
        <f t="shared" si="365"/>
        <v>0</v>
      </c>
      <c r="AZ88" s="167">
        <f t="shared" si="291"/>
        <v>0</v>
      </c>
      <c r="BA88" s="167">
        <f t="shared" si="366"/>
        <v>0</v>
      </c>
      <c r="BB88" s="170">
        <f t="shared" si="292"/>
        <v>0</v>
      </c>
      <c r="BC88" s="167">
        <f t="shared" si="293"/>
        <v>0</v>
      </c>
      <c r="BD88" s="171">
        <f t="shared" si="294"/>
        <v>0</v>
      </c>
      <c r="BE88" s="169">
        <f t="shared" si="356"/>
        <v>0</v>
      </c>
      <c r="BF88" s="167">
        <f t="shared" si="367"/>
        <v>0</v>
      </c>
      <c r="BG88" s="167">
        <f t="shared" si="295"/>
        <v>0</v>
      </c>
      <c r="BH88" s="167">
        <f t="shared" si="368"/>
        <v>0</v>
      </c>
      <c r="BI88" s="167">
        <f t="shared" si="296"/>
        <v>0</v>
      </c>
      <c r="BJ88" s="167">
        <f t="shared" si="369"/>
        <v>0</v>
      </c>
      <c r="BK88" s="167">
        <f t="shared" si="297"/>
        <v>0</v>
      </c>
      <c r="BL88" s="167">
        <f t="shared" si="370"/>
        <v>0</v>
      </c>
      <c r="BM88" s="167">
        <f t="shared" si="298"/>
        <v>0</v>
      </c>
      <c r="BN88" s="167">
        <f t="shared" si="371"/>
        <v>0</v>
      </c>
      <c r="BO88" s="170">
        <f t="shared" si="299"/>
        <v>0</v>
      </c>
      <c r="BP88" s="167">
        <f t="shared" si="300"/>
        <v>0</v>
      </c>
      <c r="BQ88" s="171">
        <f t="shared" si="301"/>
        <v>0</v>
      </c>
      <c r="BR88" s="169">
        <f t="shared" si="356"/>
        <v>0</v>
      </c>
      <c r="BS88" s="167">
        <f t="shared" si="372"/>
        <v>0</v>
      </c>
      <c r="BT88" s="167">
        <f t="shared" si="302"/>
        <v>0</v>
      </c>
      <c r="BU88" s="167">
        <f t="shared" si="373"/>
        <v>0</v>
      </c>
      <c r="BV88" s="167">
        <f t="shared" si="303"/>
        <v>0</v>
      </c>
      <c r="BW88" s="167">
        <f t="shared" si="374"/>
        <v>0</v>
      </c>
      <c r="BX88" s="167">
        <f t="shared" si="304"/>
        <v>0</v>
      </c>
      <c r="BY88" s="167">
        <f t="shared" si="375"/>
        <v>0</v>
      </c>
      <c r="BZ88" s="167">
        <f t="shared" si="305"/>
        <v>0</v>
      </c>
      <c r="CA88" s="167">
        <f t="shared" si="376"/>
        <v>0</v>
      </c>
      <c r="CB88" s="170">
        <f t="shared" si="306"/>
        <v>0</v>
      </c>
      <c r="CC88" s="167">
        <f t="shared" si="307"/>
        <v>0</v>
      </c>
      <c r="CD88" s="171">
        <f t="shared" si="308"/>
        <v>0</v>
      </c>
      <c r="CE88" s="169">
        <f t="shared" si="356"/>
        <v>0</v>
      </c>
      <c r="CF88" s="167">
        <f t="shared" si="377"/>
        <v>0</v>
      </c>
      <c r="CG88" s="167">
        <f t="shared" si="309"/>
        <v>0</v>
      </c>
      <c r="CH88" s="167">
        <f t="shared" si="378"/>
        <v>0</v>
      </c>
      <c r="CI88" s="167">
        <f t="shared" si="310"/>
        <v>0</v>
      </c>
      <c r="CJ88" s="167">
        <f t="shared" si="379"/>
        <v>0</v>
      </c>
      <c r="CK88" s="167">
        <f t="shared" si="311"/>
        <v>0</v>
      </c>
      <c r="CL88" s="167">
        <f t="shared" si="380"/>
        <v>0</v>
      </c>
      <c r="CM88" s="167">
        <f t="shared" si="312"/>
        <v>0</v>
      </c>
      <c r="CN88" s="167">
        <f t="shared" si="381"/>
        <v>0</v>
      </c>
      <c r="CO88" s="170">
        <f t="shared" si="313"/>
        <v>0</v>
      </c>
      <c r="CP88" s="167">
        <f t="shared" si="314"/>
        <v>0</v>
      </c>
      <c r="CQ88" s="171">
        <f t="shared" si="315"/>
        <v>0</v>
      </c>
      <c r="CR88" s="169">
        <f t="shared" si="382"/>
        <v>0</v>
      </c>
      <c r="CS88" s="167">
        <f t="shared" si="383"/>
        <v>0</v>
      </c>
      <c r="CT88" s="167">
        <f t="shared" si="317"/>
        <v>0</v>
      </c>
      <c r="CU88" s="167">
        <f t="shared" si="384"/>
        <v>0</v>
      </c>
      <c r="CV88" s="167">
        <f t="shared" si="318"/>
        <v>0</v>
      </c>
      <c r="CW88" s="167">
        <f t="shared" si="385"/>
        <v>0</v>
      </c>
      <c r="CX88" s="167">
        <f t="shared" si="319"/>
        <v>0</v>
      </c>
      <c r="CY88" s="167">
        <f t="shared" si="386"/>
        <v>0</v>
      </c>
      <c r="CZ88" s="167">
        <f t="shared" si="320"/>
        <v>0</v>
      </c>
      <c r="DA88" s="167">
        <f t="shared" si="387"/>
        <v>0</v>
      </c>
      <c r="DB88" s="170">
        <f t="shared" si="321"/>
        <v>0</v>
      </c>
      <c r="DC88" s="167">
        <f t="shared" si="322"/>
        <v>0</v>
      </c>
      <c r="DD88" s="171">
        <f t="shared" si="323"/>
        <v>0</v>
      </c>
      <c r="DE88" s="169">
        <f t="shared" si="382"/>
        <v>0</v>
      </c>
      <c r="DF88" s="167">
        <f t="shared" si="388"/>
        <v>0</v>
      </c>
      <c r="DG88" s="167">
        <f t="shared" si="324"/>
        <v>0</v>
      </c>
      <c r="DH88" s="167">
        <f t="shared" si="389"/>
        <v>0</v>
      </c>
      <c r="DI88" s="167">
        <f t="shared" si="325"/>
        <v>0</v>
      </c>
      <c r="DJ88" s="167">
        <f t="shared" si="390"/>
        <v>0</v>
      </c>
      <c r="DK88" s="167">
        <f t="shared" si="326"/>
        <v>0</v>
      </c>
      <c r="DL88" s="167">
        <f t="shared" si="391"/>
        <v>0</v>
      </c>
      <c r="DM88" s="167">
        <f t="shared" si="327"/>
        <v>0</v>
      </c>
      <c r="DN88" s="167">
        <f t="shared" si="392"/>
        <v>0</v>
      </c>
      <c r="DO88" s="170">
        <f t="shared" si="328"/>
        <v>0</v>
      </c>
      <c r="DP88" s="167">
        <f t="shared" si="329"/>
        <v>0</v>
      </c>
      <c r="DQ88" s="171">
        <f t="shared" si="330"/>
        <v>0</v>
      </c>
      <c r="DR88" s="169">
        <f t="shared" si="382"/>
        <v>0</v>
      </c>
      <c r="DS88" s="167">
        <f t="shared" si="393"/>
        <v>0</v>
      </c>
      <c r="DT88" s="167">
        <f t="shared" si="331"/>
        <v>0</v>
      </c>
      <c r="DU88" s="167">
        <f t="shared" si="394"/>
        <v>0</v>
      </c>
      <c r="DV88" s="167">
        <f t="shared" si="332"/>
        <v>0</v>
      </c>
      <c r="DW88" s="167">
        <f t="shared" si="395"/>
        <v>0</v>
      </c>
      <c r="DX88" s="167">
        <f t="shared" si="333"/>
        <v>0</v>
      </c>
      <c r="DY88" s="167">
        <f t="shared" si="396"/>
        <v>0</v>
      </c>
      <c r="DZ88" s="167">
        <f t="shared" si="334"/>
        <v>0</v>
      </c>
      <c r="EA88" s="167">
        <f t="shared" si="397"/>
        <v>0</v>
      </c>
      <c r="EB88" s="170">
        <f t="shared" si="335"/>
        <v>0</v>
      </c>
      <c r="EC88" s="167">
        <f t="shared" si="336"/>
        <v>0</v>
      </c>
      <c r="ED88" s="171">
        <f t="shared" si="337"/>
        <v>0</v>
      </c>
    </row>
    <row r="89" spans="1:134" x14ac:dyDescent="0.3">
      <c r="A89" s="185"/>
      <c r="B89" s="186"/>
      <c r="C89" s="187"/>
      <c r="D89" s="188"/>
      <c r="E89" s="189"/>
      <c r="F89" s="190"/>
      <c r="G89" s="191"/>
      <c r="H89" s="192"/>
      <c r="I89" s="193"/>
      <c r="J89" s="194"/>
      <c r="K89" s="165">
        <f t="shared" si="338"/>
        <v>0</v>
      </c>
      <c r="L89" s="166">
        <f t="shared" si="339"/>
        <v>0</v>
      </c>
      <c r="M89" s="167">
        <f t="shared" si="340"/>
        <v>0</v>
      </c>
      <c r="N89" s="167"/>
      <c r="O89" s="167">
        <f t="shared" si="341"/>
        <v>0</v>
      </c>
      <c r="P89" s="168"/>
      <c r="Q89" s="167">
        <f t="shared" si="342"/>
        <v>0</v>
      </c>
      <c r="R89" s="169">
        <f t="shared" si="343"/>
        <v>0</v>
      </c>
      <c r="S89" s="167">
        <f t="shared" si="344"/>
        <v>0</v>
      </c>
      <c r="T89" s="167">
        <f t="shared" si="345"/>
        <v>0</v>
      </c>
      <c r="U89" s="167">
        <f t="shared" si="346"/>
        <v>0</v>
      </c>
      <c r="V89" s="167">
        <f t="shared" si="347"/>
        <v>0</v>
      </c>
      <c r="W89" s="167">
        <f t="shared" si="348"/>
        <v>0</v>
      </c>
      <c r="X89" s="167">
        <f t="shared" si="349"/>
        <v>0</v>
      </c>
      <c r="Y89" s="167">
        <f t="shared" si="350"/>
        <v>0</v>
      </c>
      <c r="Z89" s="167">
        <f t="shared" si="351"/>
        <v>0</v>
      </c>
      <c r="AA89" s="167">
        <f t="shared" si="352"/>
        <v>0</v>
      </c>
      <c r="AB89" s="170">
        <f t="shared" si="353"/>
        <v>0</v>
      </c>
      <c r="AC89" s="167">
        <f t="shared" si="354"/>
        <v>0</v>
      </c>
      <c r="AD89" s="171">
        <f t="shared" si="355"/>
        <v>0</v>
      </c>
      <c r="AE89" s="169">
        <f t="shared" si="356"/>
        <v>0</v>
      </c>
      <c r="AF89" s="167">
        <f t="shared" si="357"/>
        <v>0</v>
      </c>
      <c r="AG89" s="167">
        <f t="shared" si="281"/>
        <v>0</v>
      </c>
      <c r="AH89" s="167">
        <f t="shared" si="358"/>
        <v>0</v>
      </c>
      <c r="AI89" s="167">
        <f t="shared" si="282"/>
        <v>0</v>
      </c>
      <c r="AJ89" s="167">
        <f t="shared" si="359"/>
        <v>0</v>
      </c>
      <c r="AK89" s="167">
        <f t="shared" si="283"/>
        <v>0</v>
      </c>
      <c r="AL89" s="167">
        <f t="shared" si="360"/>
        <v>0</v>
      </c>
      <c r="AM89" s="167">
        <f t="shared" si="284"/>
        <v>0</v>
      </c>
      <c r="AN89" s="167">
        <f t="shared" si="361"/>
        <v>0</v>
      </c>
      <c r="AO89" s="170">
        <f t="shared" si="285"/>
        <v>0</v>
      </c>
      <c r="AP89" s="167">
        <f t="shared" si="286"/>
        <v>0</v>
      </c>
      <c r="AQ89" s="171">
        <f t="shared" si="287"/>
        <v>0</v>
      </c>
      <c r="AR89" s="169">
        <f t="shared" si="356"/>
        <v>0</v>
      </c>
      <c r="AS89" s="167">
        <f t="shared" si="362"/>
        <v>0</v>
      </c>
      <c r="AT89" s="167">
        <f t="shared" si="288"/>
        <v>0</v>
      </c>
      <c r="AU89" s="167">
        <f t="shared" si="363"/>
        <v>0</v>
      </c>
      <c r="AV89" s="167">
        <f t="shared" si="289"/>
        <v>0</v>
      </c>
      <c r="AW89" s="167">
        <f t="shared" si="364"/>
        <v>0</v>
      </c>
      <c r="AX89" s="167">
        <f t="shared" si="290"/>
        <v>0</v>
      </c>
      <c r="AY89" s="167">
        <f t="shared" si="365"/>
        <v>0</v>
      </c>
      <c r="AZ89" s="167">
        <f t="shared" si="291"/>
        <v>0</v>
      </c>
      <c r="BA89" s="167">
        <f t="shared" si="366"/>
        <v>0</v>
      </c>
      <c r="BB89" s="170">
        <f t="shared" si="292"/>
        <v>0</v>
      </c>
      <c r="BC89" s="167">
        <f t="shared" si="293"/>
        <v>0</v>
      </c>
      <c r="BD89" s="171">
        <f t="shared" si="294"/>
        <v>0</v>
      </c>
      <c r="BE89" s="169">
        <f t="shared" si="356"/>
        <v>0</v>
      </c>
      <c r="BF89" s="167">
        <f t="shared" si="367"/>
        <v>0</v>
      </c>
      <c r="BG89" s="167">
        <f t="shared" si="295"/>
        <v>0</v>
      </c>
      <c r="BH89" s="167">
        <f t="shared" si="368"/>
        <v>0</v>
      </c>
      <c r="BI89" s="167">
        <f t="shared" si="296"/>
        <v>0</v>
      </c>
      <c r="BJ89" s="167">
        <f t="shared" si="369"/>
        <v>0</v>
      </c>
      <c r="BK89" s="167">
        <f t="shared" si="297"/>
        <v>0</v>
      </c>
      <c r="BL89" s="167">
        <f t="shared" si="370"/>
        <v>0</v>
      </c>
      <c r="BM89" s="167">
        <f t="shared" si="298"/>
        <v>0</v>
      </c>
      <c r="BN89" s="167">
        <f t="shared" si="371"/>
        <v>0</v>
      </c>
      <c r="BO89" s="170">
        <f t="shared" si="299"/>
        <v>0</v>
      </c>
      <c r="BP89" s="167">
        <f t="shared" si="300"/>
        <v>0</v>
      </c>
      <c r="BQ89" s="171">
        <f t="shared" si="301"/>
        <v>0</v>
      </c>
      <c r="BR89" s="169">
        <f t="shared" si="356"/>
        <v>0</v>
      </c>
      <c r="BS89" s="167">
        <f t="shared" si="372"/>
        <v>0</v>
      </c>
      <c r="BT89" s="167">
        <f t="shared" si="302"/>
        <v>0</v>
      </c>
      <c r="BU89" s="167">
        <f t="shared" si="373"/>
        <v>0</v>
      </c>
      <c r="BV89" s="167">
        <f t="shared" si="303"/>
        <v>0</v>
      </c>
      <c r="BW89" s="167">
        <f t="shared" si="374"/>
        <v>0</v>
      </c>
      <c r="BX89" s="167">
        <f t="shared" si="304"/>
        <v>0</v>
      </c>
      <c r="BY89" s="167">
        <f t="shared" si="375"/>
        <v>0</v>
      </c>
      <c r="BZ89" s="167">
        <f t="shared" si="305"/>
        <v>0</v>
      </c>
      <c r="CA89" s="167">
        <f t="shared" si="376"/>
        <v>0</v>
      </c>
      <c r="CB89" s="170">
        <f t="shared" si="306"/>
        <v>0</v>
      </c>
      <c r="CC89" s="167">
        <f t="shared" si="307"/>
        <v>0</v>
      </c>
      <c r="CD89" s="171">
        <f t="shared" si="308"/>
        <v>0</v>
      </c>
      <c r="CE89" s="169">
        <f t="shared" si="356"/>
        <v>0</v>
      </c>
      <c r="CF89" s="167">
        <f t="shared" si="377"/>
        <v>0</v>
      </c>
      <c r="CG89" s="167">
        <f t="shared" si="309"/>
        <v>0</v>
      </c>
      <c r="CH89" s="167">
        <f t="shared" si="378"/>
        <v>0</v>
      </c>
      <c r="CI89" s="167">
        <f t="shared" si="310"/>
        <v>0</v>
      </c>
      <c r="CJ89" s="167">
        <f t="shared" si="379"/>
        <v>0</v>
      </c>
      <c r="CK89" s="167">
        <f t="shared" si="311"/>
        <v>0</v>
      </c>
      <c r="CL89" s="167">
        <f t="shared" si="380"/>
        <v>0</v>
      </c>
      <c r="CM89" s="167">
        <f t="shared" si="312"/>
        <v>0</v>
      </c>
      <c r="CN89" s="167">
        <f t="shared" si="381"/>
        <v>0</v>
      </c>
      <c r="CO89" s="170">
        <f t="shared" si="313"/>
        <v>0</v>
      </c>
      <c r="CP89" s="167">
        <f t="shared" si="314"/>
        <v>0</v>
      </c>
      <c r="CQ89" s="171">
        <f t="shared" si="315"/>
        <v>0</v>
      </c>
      <c r="CR89" s="169">
        <f t="shared" si="382"/>
        <v>0</v>
      </c>
      <c r="CS89" s="167">
        <f t="shared" si="383"/>
        <v>0</v>
      </c>
      <c r="CT89" s="167">
        <f t="shared" si="317"/>
        <v>0</v>
      </c>
      <c r="CU89" s="167">
        <f t="shared" si="384"/>
        <v>0</v>
      </c>
      <c r="CV89" s="167">
        <f t="shared" si="318"/>
        <v>0</v>
      </c>
      <c r="CW89" s="167">
        <f t="shared" si="385"/>
        <v>0</v>
      </c>
      <c r="CX89" s="167">
        <f t="shared" si="319"/>
        <v>0</v>
      </c>
      <c r="CY89" s="167">
        <f t="shared" si="386"/>
        <v>0</v>
      </c>
      <c r="CZ89" s="167">
        <f t="shared" si="320"/>
        <v>0</v>
      </c>
      <c r="DA89" s="167">
        <f t="shared" si="387"/>
        <v>0</v>
      </c>
      <c r="DB89" s="170">
        <f t="shared" si="321"/>
        <v>0</v>
      </c>
      <c r="DC89" s="167">
        <f t="shared" si="322"/>
        <v>0</v>
      </c>
      <c r="DD89" s="171">
        <f t="shared" si="323"/>
        <v>0</v>
      </c>
      <c r="DE89" s="169">
        <f t="shared" si="382"/>
        <v>0</v>
      </c>
      <c r="DF89" s="167">
        <f t="shared" si="388"/>
        <v>0</v>
      </c>
      <c r="DG89" s="167">
        <f t="shared" si="324"/>
        <v>0</v>
      </c>
      <c r="DH89" s="167">
        <f t="shared" si="389"/>
        <v>0</v>
      </c>
      <c r="DI89" s="167">
        <f t="shared" si="325"/>
        <v>0</v>
      </c>
      <c r="DJ89" s="167">
        <f t="shared" si="390"/>
        <v>0</v>
      </c>
      <c r="DK89" s="167">
        <f t="shared" si="326"/>
        <v>0</v>
      </c>
      <c r="DL89" s="167">
        <f t="shared" si="391"/>
        <v>0</v>
      </c>
      <c r="DM89" s="167">
        <f t="shared" si="327"/>
        <v>0</v>
      </c>
      <c r="DN89" s="167">
        <f t="shared" si="392"/>
        <v>0</v>
      </c>
      <c r="DO89" s="170">
        <f t="shared" si="328"/>
        <v>0</v>
      </c>
      <c r="DP89" s="167">
        <f t="shared" si="329"/>
        <v>0</v>
      </c>
      <c r="DQ89" s="171">
        <f t="shared" si="330"/>
        <v>0</v>
      </c>
      <c r="DR89" s="169">
        <f t="shared" si="382"/>
        <v>0</v>
      </c>
      <c r="DS89" s="167">
        <f t="shared" si="393"/>
        <v>0</v>
      </c>
      <c r="DT89" s="167">
        <f t="shared" si="331"/>
        <v>0</v>
      </c>
      <c r="DU89" s="167">
        <f t="shared" si="394"/>
        <v>0</v>
      </c>
      <c r="DV89" s="167">
        <f t="shared" si="332"/>
        <v>0</v>
      </c>
      <c r="DW89" s="167">
        <f t="shared" si="395"/>
        <v>0</v>
      </c>
      <c r="DX89" s="167">
        <f t="shared" si="333"/>
        <v>0</v>
      </c>
      <c r="DY89" s="167">
        <f t="shared" si="396"/>
        <v>0</v>
      </c>
      <c r="DZ89" s="167">
        <f t="shared" si="334"/>
        <v>0</v>
      </c>
      <c r="EA89" s="167">
        <f t="shared" si="397"/>
        <v>0</v>
      </c>
      <c r="EB89" s="170">
        <f t="shared" si="335"/>
        <v>0</v>
      </c>
      <c r="EC89" s="167">
        <f t="shared" si="336"/>
        <v>0</v>
      </c>
      <c r="ED89" s="171">
        <f t="shared" si="337"/>
        <v>0</v>
      </c>
    </row>
    <row r="90" spans="1:134" x14ac:dyDescent="0.3">
      <c r="A90" s="185"/>
      <c r="B90" s="186"/>
      <c r="C90" s="187"/>
      <c r="D90" s="188"/>
      <c r="E90" s="189"/>
      <c r="F90" s="190"/>
      <c r="G90" s="191"/>
      <c r="H90" s="192"/>
      <c r="I90" s="193"/>
      <c r="J90" s="194"/>
      <c r="K90" s="165">
        <f t="shared" si="338"/>
        <v>0</v>
      </c>
      <c r="L90" s="166">
        <f t="shared" si="339"/>
        <v>0</v>
      </c>
      <c r="M90" s="167">
        <f t="shared" si="340"/>
        <v>0</v>
      </c>
      <c r="N90" s="167"/>
      <c r="O90" s="167">
        <f t="shared" si="341"/>
        <v>0</v>
      </c>
      <c r="P90" s="168"/>
      <c r="Q90" s="167">
        <f t="shared" si="342"/>
        <v>0</v>
      </c>
      <c r="R90" s="169">
        <f t="shared" si="343"/>
        <v>0</v>
      </c>
      <c r="S90" s="167">
        <f t="shared" si="344"/>
        <v>0</v>
      </c>
      <c r="T90" s="167">
        <f t="shared" si="345"/>
        <v>0</v>
      </c>
      <c r="U90" s="167">
        <f t="shared" si="346"/>
        <v>0</v>
      </c>
      <c r="V90" s="167">
        <f t="shared" si="347"/>
        <v>0</v>
      </c>
      <c r="W90" s="167">
        <f t="shared" si="348"/>
        <v>0</v>
      </c>
      <c r="X90" s="167">
        <f t="shared" si="349"/>
        <v>0</v>
      </c>
      <c r="Y90" s="167">
        <f t="shared" si="350"/>
        <v>0</v>
      </c>
      <c r="Z90" s="167">
        <f t="shared" si="351"/>
        <v>0</v>
      </c>
      <c r="AA90" s="167">
        <f t="shared" si="352"/>
        <v>0</v>
      </c>
      <c r="AB90" s="170">
        <f t="shared" si="353"/>
        <v>0</v>
      </c>
      <c r="AC90" s="167">
        <f t="shared" si="354"/>
        <v>0</v>
      </c>
      <c r="AD90" s="171">
        <f t="shared" si="355"/>
        <v>0</v>
      </c>
      <c r="AE90" s="169">
        <f t="shared" si="356"/>
        <v>0</v>
      </c>
      <c r="AF90" s="167">
        <f t="shared" si="357"/>
        <v>0</v>
      </c>
      <c r="AG90" s="167">
        <f t="shared" si="281"/>
        <v>0</v>
      </c>
      <c r="AH90" s="167">
        <f t="shared" si="358"/>
        <v>0</v>
      </c>
      <c r="AI90" s="167">
        <f t="shared" si="282"/>
        <v>0</v>
      </c>
      <c r="AJ90" s="167">
        <f t="shared" si="359"/>
        <v>0</v>
      </c>
      <c r="AK90" s="167">
        <f t="shared" si="283"/>
        <v>0</v>
      </c>
      <c r="AL90" s="167">
        <f t="shared" si="360"/>
        <v>0</v>
      </c>
      <c r="AM90" s="167">
        <f t="shared" si="284"/>
        <v>0</v>
      </c>
      <c r="AN90" s="167">
        <f t="shared" si="361"/>
        <v>0</v>
      </c>
      <c r="AO90" s="170">
        <f t="shared" si="285"/>
        <v>0</v>
      </c>
      <c r="AP90" s="167">
        <f t="shared" si="286"/>
        <v>0</v>
      </c>
      <c r="AQ90" s="171">
        <f t="shared" si="287"/>
        <v>0</v>
      </c>
      <c r="AR90" s="169">
        <f t="shared" si="356"/>
        <v>0</v>
      </c>
      <c r="AS90" s="167">
        <f t="shared" si="362"/>
        <v>0</v>
      </c>
      <c r="AT90" s="167">
        <f t="shared" si="288"/>
        <v>0</v>
      </c>
      <c r="AU90" s="167">
        <f t="shared" si="363"/>
        <v>0</v>
      </c>
      <c r="AV90" s="167">
        <f t="shared" si="289"/>
        <v>0</v>
      </c>
      <c r="AW90" s="167">
        <f t="shared" si="364"/>
        <v>0</v>
      </c>
      <c r="AX90" s="167">
        <f t="shared" si="290"/>
        <v>0</v>
      </c>
      <c r="AY90" s="167">
        <f t="shared" si="365"/>
        <v>0</v>
      </c>
      <c r="AZ90" s="167">
        <f t="shared" si="291"/>
        <v>0</v>
      </c>
      <c r="BA90" s="167">
        <f t="shared" si="366"/>
        <v>0</v>
      </c>
      <c r="BB90" s="170">
        <f t="shared" si="292"/>
        <v>0</v>
      </c>
      <c r="BC90" s="167">
        <f t="shared" si="293"/>
        <v>0</v>
      </c>
      <c r="BD90" s="171">
        <f t="shared" si="294"/>
        <v>0</v>
      </c>
      <c r="BE90" s="169">
        <f t="shared" si="356"/>
        <v>0</v>
      </c>
      <c r="BF90" s="167">
        <f t="shared" si="367"/>
        <v>0</v>
      </c>
      <c r="BG90" s="167">
        <f t="shared" si="295"/>
        <v>0</v>
      </c>
      <c r="BH90" s="167">
        <f t="shared" si="368"/>
        <v>0</v>
      </c>
      <c r="BI90" s="167">
        <f t="shared" si="296"/>
        <v>0</v>
      </c>
      <c r="BJ90" s="167">
        <f t="shared" si="369"/>
        <v>0</v>
      </c>
      <c r="BK90" s="167">
        <f t="shared" si="297"/>
        <v>0</v>
      </c>
      <c r="BL90" s="167">
        <f t="shared" si="370"/>
        <v>0</v>
      </c>
      <c r="BM90" s="167">
        <f t="shared" si="298"/>
        <v>0</v>
      </c>
      <c r="BN90" s="167">
        <f t="shared" si="371"/>
        <v>0</v>
      </c>
      <c r="BO90" s="170">
        <f t="shared" si="299"/>
        <v>0</v>
      </c>
      <c r="BP90" s="167">
        <f t="shared" si="300"/>
        <v>0</v>
      </c>
      <c r="BQ90" s="171">
        <f t="shared" si="301"/>
        <v>0</v>
      </c>
      <c r="BR90" s="169">
        <f t="shared" si="356"/>
        <v>0</v>
      </c>
      <c r="BS90" s="167">
        <f t="shared" si="372"/>
        <v>0</v>
      </c>
      <c r="BT90" s="167">
        <f t="shared" si="302"/>
        <v>0</v>
      </c>
      <c r="BU90" s="167">
        <f t="shared" si="373"/>
        <v>0</v>
      </c>
      <c r="BV90" s="167">
        <f t="shared" si="303"/>
        <v>0</v>
      </c>
      <c r="BW90" s="167">
        <f t="shared" si="374"/>
        <v>0</v>
      </c>
      <c r="BX90" s="167">
        <f t="shared" si="304"/>
        <v>0</v>
      </c>
      <c r="BY90" s="167">
        <f t="shared" si="375"/>
        <v>0</v>
      </c>
      <c r="BZ90" s="167">
        <f t="shared" si="305"/>
        <v>0</v>
      </c>
      <c r="CA90" s="167">
        <f t="shared" si="376"/>
        <v>0</v>
      </c>
      <c r="CB90" s="170">
        <f t="shared" si="306"/>
        <v>0</v>
      </c>
      <c r="CC90" s="167">
        <f t="shared" si="307"/>
        <v>0</v>
      </c>
      <c r="CD90" s="171">
        <f t="shared" si="308"/>
        <v>0</v>
      </c>
      <c r="CE90" s="169">
        <f t="shared" si="356"/>
        <v>0</v>
      </c>
      <c r="CF90" s="167">
        <f t="shared" si="377"/>
        <v>0</v>
      </c>
      <c r="CG90" s="167">
        <f t="shared" si="309"/>
        <v>0</v>
      </c>
      <c r="CH90" s="167">
        <f t="shared" si="378"/>
        <v>0</v>
      </c>
      <c r="CI90" s="167">
        <f t="shared" si="310"/>
        <v>0</v>
      </c>
      <c r="CJ90" s="167">
        <f t="shared" si="379"/>
        <v>0</v>
      </c>
      <c r="CK90" s="167">
        <f t="shared" si="311"/>
        <v>0</v>
      </c>
      <c r="CL90" s="167">
        <f t="shared" si="380"/>
        <v>0</v>
      </c>
      <c r="CM90" s="167">
        <f t="shared" si="312"/>
        <v>0</v>
      </c>
      <c r="CN90" s="167">
        <f t="shared" si="381"/>
        <v>0</v>
      </c>
      <c r="CO90" s="170">
        <f t="shared" si="313"/>
        <v>0</v>
      </c>
      <c r="CP90" s="167">
        <f t="shared" si="314"/>
        <v>0</v>
      </c>
      <c r="CQ90" s="171">
        <f t="shared" si="315"/>
        <v>0</v>
      </c>
      <c r="CR90" s="169">
        <f t="shared" si="382"/>
        <v>0</v>
      </c>
      <c r="CS90" s="167">
        <f t="shared" si="383"/>
        <v>0</v>
      </c>
      <c r="CT90" s="167">
        <f t="shared" si="317"/>
        <v>0</v>
      </c>
      <c r="CU90" s="167">
        <f t="shared" si="384"/>
        <v>0</v>
      </c>
      <c r="CV90" s="167">
        <f t="shared" si="318"/>
        <v>0</v>
      </c>
      <c r="CW90" s="167">
        <f t="shared" si="385"/>
        <v>0</v>
      </c>
      <c r="CX90" s="167">
        <f t="shared" si="319"/>
        <v>0</v>
      </c>
      <c r="CY90" s="167">
        <f t="shared" si="386"/>
        <v>0</v>
      </c>
      <c r="CZ90" s="167">
        <f t="shared" si="320"/>
        <v>0</v>
      </c>
      <c r="DA90" s="167">
        <f t="shared" si="387"/>
        <v>0</v>
      </c>
      <c r="DB90" s="170">
        <f t="shared" si="321"/>
        <v>0</v>
      </c>
      <c r="DC90" s="167">
        <f t="shared" si="322"/>
        <v>0</v>
      </c>
      <c r="DD90" s="171">
        <f t="shared" si="323"/>
        <v>0</v>
      </c>
      <c r="DE90" s="169">
        <f t="shared" si="382"/>
        <v>0</v>
      </c>
      <c r="DF90" s="167">
        <f t="shared" si="388"/>
        <v>0</v>
      </c>
      <c r="DG90" s="167">
        <f t="shared" si="324"/>
        <v>0</v>
      </c>
      <c r="DH90" s="167">
        <f t="shared" si="389"/>
        <v>0</v>
      </c>
      <c r="DI90" s="167">
        <f t="shared" si="325"/>
        <v>0</v>
      </c>
      <c r="DJ90" s="167">
        <f t="shared" si="390"/>
        <v>0</v>
      </c>
      <c r="DK90" s="167">
        <f t="shared" si="326"/>
        <v>0</v>
      </c>
      <c r="DL90" s="167">
        <f t="shared" si="391"/>
        <v>0</v>
      </c>
      <c r="DM90" s="167">
        <f t="shared" si="327"/>
        <v>0</v>
      </c>
      <c r="DN90" s="167">
        <f t="shared" si="392"/>
        <v>0</v>
      </c>
      <c r="DO90" s="170">
        <f t="shared" si="328"/>
        <v>0</v>
      </c>
      <c r="DP90" s="167">
        <f t="shared" si="329"/>
        <v>0</v>
      </c>
      <c r="DQ90" s="171">
        <f t="shared" si="330"/>
        <v>0</v>
      </c>
      <c r="DR90" s="169">
        <f t="shared" si="382"/>
        <v>0</v>
      </c>
      <c r="DS90" s="167">
        <f t="shared" si="393"/>
        <v>0</v>
      </c>
      <c r="DT90" s="167">
        <f t="shared" si="331"/>
        <v>0</v>
      </c>
      <c r="DU90" s="167">
        <f t="shared" si="394"/>
        <v>0</v>
      </c>
      <c r="DV90" s="167">
        <f t="shared" si="332"/>
        <v>0</v>
      </c>
      <c r="DW90" s="167">
        <f t="shared" si="395"/>
        <v>0</v>
      </c>
      <c r="DX90" s="167">
        <f t="shared" si="333"/>
        <v>0</v>
      </c>
      <c r="DY90" s="167">
        <f t="shared" si="396"/>
        <v>0</v>
      </c>
      <c r="DZ90" s="167">
        <f t="shared" si="334"/>
        <v>0</v>
      </c>
      <c r="EA90" s="167">
        <f t="shared" si="397"/>
        <v>0</v>
      </c>
      <c r="EB90" s="170">
        <f t="shared" si="335"/>
        <v>0</v>
      </c>
      <c r="EC90" s="167">
        <f t="shared" si="336"/>
        <v>0</v>
      </c>
      <c r="ED90" s="171">
        <f t="shared" si="337"/>
        <v>0</v>
      </c>
    </row>
    <row r="91" spans="1:134" x14ac:dyDescent="0.3">
      <c r="A91" s="185"/>
      <c r="B91" s="186"/>
      <c r="C91" s="187"/>
      <c r="D91" s="188"/>
      <c r="E91" s="189"/>
      <c r="F91" s="190"/>
      <c r="G91" s="191"/>
      <c r="H91" s="192"/>
      <c r="I91" s="193"/>
      <c r="J91" s="194"/>
      <c r="K91" s="165">
        <f t="shared" si="338"/>
        <v>0</v>
      </c>
      <c r="L91" s="166">
        <f t="shared" si="339"/>
        <v>0</v>
      </c>
      <c r="M91" s="167">
        <f t="shared" si="340"/>
        <v>0</v>
      </c>
      <c r="N91" s="167"/>
      <c r="O91" s="167">
        <f t="shared" si="341"/>
        <v>0</v>
      </c>
      <c r="P91" s="168"/>
      <c r="Q91" s="167">
        <f t="shared" si="342"/>
        <v>0</v>
      </c>
      <c r="R91" s="169">
        <f t="shared" si="343"/>
        <v>0</v>
      </c>
      <c r="S91" s="167">
        <f t="shared" si="344"/>
        <v>0</v>
      </c>
      <c r="T91" s="167">
        <f t="shared" si="345"/>
        <v>0</v>
      </c>
      <c r="U91" s="167">
        <f t="shared" si="346"/>
        <v>0</v>
      </c>
      <c r="V91" s="167">
        <f t="shared" si="347"/>
        <v>0</v>
      </c>
      <c r="W91" s="167">
        <f t="shared" si="348"/>
        <v>0</v>
      </c>
      <c r="X91" s="167">
        <f t="shared" si="349"/>
        <v>0</v>
      </c>
      <c r="Y91" s="167">
        <f t="shared" si="350"/>
        <v>0</v>
      </c>
      <c r="Z91" s="167">
        <f t="shared" si="351"/>
        <v>0</v>
      </c>
      <c r="AA91" s="167">
        <f t="shared" si="352"/>
        <v>0</v>
      </c>
      <c r="AB91" s="170">
        <f t="shared" si="353"/>
        <v>0</v>
      </c>
      <c r="AC91" s="167">
        <f t="shared" si="354"/>
        <v>0</v>
      </c>
      <c r="AD91" s="171">
        <f t="shared" si="355"/>
        <v>0</v>
      </c>
      <c r="AE91" s="169">
        <f t="shared" si="356"/>
        <v>0</v>
      </c>
      <c r="AF91" s="167">
        <f t="shared" si="357"/>
        <v>0</v>
      </c>
      <c r="AG91" s="167">
        <f t="shared" si="281"/>
        <v>0</v>
      </c>
      <c r="AH91" s="167">
        <f t="shared" si="358"/>
        <v>0</v>
      </c>
      <c r="AI91" s="167">
        <f t="shared" si="282"/>
        <v>0</v>
      </c>
      <c r="AJ91" s="167">
        <f t="shared" si="359"/>
        <v>0</v>
      </c>
      <c r="AK91" s="167">
        <f t="shared" si="283"/>
        <v>0</v>
      </c>
      <c r="AL91" s="167">
        <f t="shared" si="360"/>
        <v>0</v>
      </c>
      <c r="AM91" s="167">
        <f t="shared" si="284"/>
        <v>0</v>
      </c>
      <c r="AN91" s="167">
        <f t="shared" si="361"/>
        <v>0</v>
      </c>
      <c r="AO91" s="170">
        <f t="shared" si="285"/>
        <v>0</v>
      </c>
      <c r="AP91" s="167">
        <f t="shared" si="286"/>
        <v>0</v>
      </c>
      <c r="AQ91" s="171">
        <f t="shared" si="287"/>
        <v>0</v>
      </c>
      <c r="AR91" s="169">
        <f t="shared" si="356"/>
        <v>0</v>
      </c>
      <c r="AS91" s="167">
        <f t="shared" si="362"/>
        <v>0</v>
      </c>
      <c r="AT91" s="167">
        <f t="shared" si="288"/>
        <v>0</v>
      </c>
      <c r="AU91" s="167">
        <f t="shared" si="363"/>
        <v>0</v>
      </c>
      <c r="AV91" s="167">
        <f t="shared" si="289"/>
        <v>0</v>
      </c>
      <c r="AW91" s="167">
        <f t="shared" si="364"/>
        <v>0</v>
      </c>
      <c r="AX91" s="167">
        <f t="shared" si="290"/>
        <v>0</v>
      </c>
      <c r="AY91" s="167">
        <f t="shared" si="365"/>
        <v>0</v>
      </c>
      <c r="AZ91" s="167">
        <f t="shared" si="291"/>
        <v>0</v>
      </c>
      <c r="BA91" s="167">
        <f t="shared" si="366"/>
        <v>0</v>
      </c>
      <c r="BB91" s="170">
        <f t="shared" si="292"/>
        <v>0</v>
      </c>
      <c r="BC91" s="167">
        <f t="shared" si="293"/>
        <v>0</v>
      </c>
      <c r="BD91" s="171">
        <f t="shared" si="294"/>
        <v>0</v>
      </c>
      <c r="BE91" s="169">
        <f t="shared" si="356"/>
        <v>0</v>
      </c>
      <c r="BF91" s="167">
        <f t="shared" si="367"/>
        <v>0</v>
      </c>
      <c r="BG91" s="167">
        <f t="shared" si="295"/>
        <v>0</v>
      </c>
      <c r="BH91" s="167">
        <f t="shared" si="368"/>
        <v>0</v>
      </c>
      <c r="BI91" s="167">
        <f t="shared" si="296"/>
        <v>0</v>
      </c>
      <c r="BJ91" s="167">
        <f t="shared" si="369"/>
        <v>0</v>
      </c>
      <c r="BK91" s="167">
        <f t="shared" si="297"/>
        <v>0</v>
      </c>
      <c r="BL91" s="167">
        <f t="shared" si="370"/>
        <v>0</v>
      </c>
      <c r="BM91" s="167">
        <f t="shared" si="298"/>
        <v>0</v>
      </c>
      <c r="BN91" s="167">
        <f t="shared" si="371"/>
        <v>0</v>
      </c>
      <c r="BO91" s="170">
        <f t="shared" si="299"/>
        <v>0</v>
      </c>
      <c r="BP91" s="167">
        <f t="shared" si="300"/>
        <v>0</v>
      </c>
      <c r="BQ91" s="171">
        <f t="shared" si="301"/>
        <v>0</v>
      </c>
      <c r="BR91" s="169">
        <f t="shared" si="356"/>
        <v>0</v>
      </c>
      <c r="BS91" s="167">
        <f t="shared" si="372"/>
        <v>0</v>
      </c>
      <c r="BT91" s="167">
        <f t="shared" si="302"/>
        <v>0</v>
      </c>
      <c r="BU91" s="167">
        <f t="shared" si="373"/>
        <v>0</v>
      </c>
      <c r="BV91" s="167">
        <f t="shared" si="303"/>
        <v>0</v>
      </c>
      <c r="BW91" s="167">
        <f t="shared" si="374"/>
        <v>0</v>
      </c>
      <c r="BX91" s="167">
        <f t="shared" si="304"/>
        <v>0</v>
      </c>
      <c r="BY91" s="167">
        <f t="shared" si="375"/>
        <v>0</v>
      </c>
      <c r="BZ91" s="167">
        <f t="shared" si="305"/>
        <v>0</v>
      </c>
      <c r="CA91" s="167">
        <f t="shared" si="376"/>
        <v>0</v>
      </c>
      <c r="CB91" s="170">
        <f t="shared" si="306"/>
        <v>0</v>
      </c>
      <c r="CC91" s="167">
        <f t="shared" si="307"/>
        <v>0</v>
      </c>
      <c r="CD91" s="171">
        <f t="shared" si="308"/>
        <v>0</v>
      </c>
      <c r="CE91" s="169">
        <f t="shared" si="356"/>
        <v>0</v>
      </c>
      <c r="CF91" s="167">
        <f t="shared" si="377"/>
        <v>0</v>
      </c>
      <c r="CG91" s="167">
        <f t="shared" si="309"/>
        <v>0</v>
      </c>
      <c r="CH91" s="167">
        <f t="shared" si="378"/>
        <v>0</v>
      </c>
      <c r="CI91" s="167">
        <f t="shared" si="310"/>
        <v>0</v>
      </c>
      <c r="CJ91" s="167">
        <f t="shared" si="379"/>
        <v>0</v>
      </c>
      <c r="CK91" s="167">
        <f t="shared" si="311"/>
        <v>0</v>
      </c>
      <c r="CL91" s="167">
        <f t="shared" si="380"/>
        <v>0</v>
      </c>
      <c r="CM91" s="167">
        <f t="shared" si="312"/>
        <v>0</v>
      </c>
      <c r="CN91" s="167">
        <f t="shared" si="381"/>
        <v>0</v>
      </c>
      <c r="CO91" s="170">
        <f t="shared" si="313"/>
        <v>0</v>
      </c>
      <c r="CP91" s="167">
        <f t="shared" si="314"/>
        <v>0</v>
      </c>
      <c r="CQ91" s="171">
        <f t="shared" si="315"/>
        <v>0</v>
      </c>
      <c r="CR91" s="169">
        <f t="shared" si="382"/>
        <v>0</v>
      </c>
      <c r="CS91" s="167">
        <f t="shared" si="383"/>
        <v>0</v>
      </c>
      <c r="CT91" s="167">
        <f t="shared" si="317"/>
        <v>0</v>
      </c>
      <c r="CU91" s="167">
        <f t="shared" si="384"/>
        <v>0</v>
      </c>
      <c r="CV91" s="167">
        <f t="shared" si="318"/>
        <v>0</v>
      </c>
      <c r="CW91" s="167">
        <f t="shared" si="385"/>
        <v>0</v>
      </c>
      <c r="CX91" s="167">
        <f t="shared" si="319"/>
        <v>0</v>
      </c>
      <c r="CY91" s="167">
        <f t="shared" si="386"/>
        <v>0</v>
      </c>
      <c r="CZ91" s="167">
        <f t="shared" si="320"/>
        <v>0</v>
      </c>
      <c r="DA91" s="167">
        <f t="shared" si="387"/>
        <v>0</v>
      </c>
      <c r="DB91" s="170">
        <f t="shared" si="321"/>
        <v>0</v>
      </c>
      <c r="DC91" s="167">
        <f t="shared" si="322"/>
        <v>0</v>
      </c>
      <c r="DD91" s="171">
        <f t="shared" si="323"/>
        <v>0</v>
      </c>
      <c r="DE91" s="169">
        <f t="shared" si="382"/>
        <v>0</v>
      </c>
      <c r="DF91" s="167">
        <f t="shared" si="388"/>
        <v>0</v>
      </c>
      <c r="DG91" s="167">
        <f t="shared" si="324"/>
        <v>0</v>
      </c>
      <c r="DH91" s="167">
        <f t="shared" si="389"/>
        <v>0</v>
      </c>
      <c r="DI91" s="167">
        <f t="shared" si="325"/>
        <v>0</v>
      </c>
      <c r="DJ91" s="167">
        <f t="shared" si="390"/>
        <v>0</v>
      </c>
      <c r="DK91" s="167">
        <f t="shared" si="326"/>
        <v>0</v>
      </c>
      <c r="DL91" s="167">
        <f t="shared" si="391"/>
        <v>0</v>
      </c>
      <c r="DM91" s="167">
        <f t="shared" si="327"/>
        <v>0</v>
      </c>
      <c r="DN91" s="167">
        <f t="shared" si="392"/>
        <v>0</v>
      </c>
      <c r="DO91" s="170">
        <f t="shared" si="328"/>
        <v>0</v>
      </c>
      <c r="DP91" s="167">
        <f t="shared" si="329"/>
        <v>0</v>
      </c>
      <c r="DQ91" s="171">
        <f t="shared" si="330"/>
        <v>0</v>
      </c>
      <c r="DR91" s="169">
        <f t="shared" si="382"/>
        <v>0</v>
      </c>
      <c r="DS91" s="167">
        <f t="shared" si="393"/>
        <v>0</v>
      </c>
      <c r="DT91" s="167">
        <f t="shared" si="331"/>
        <v>0</v>
      </c>
      <c r="DU91" s="167">
        <f t="shared" si="394"/>
        <v>0</v>
      </c>
      <c r="DV91" s="167">
        <f t="shared" si="332"/>
        <v>0</v>
      </c>
      <c r="DW91" s="167">
        <f t="shared" si="395"/>
        <v>0</v>
      </c>
      <c r="DX91" s="167">
        <f t="shared" si="333"/>
        <v>0</v>
      </c>
      <c r="DY91" s="167">
        <f t="shared" si="396"/>
        <v>0</v>
      </c>
      <c r="DZ91" s="167">
        <f t="shared" si="334"/>
        <v>0</v>
      </c>
      <c r="EA91" s="167">
        <f t="shared" si="397"/>
        <v>0</v>
      </c>
      <c r="EB91" s="170">
        <f t="shared" si="335"/>
        <v>0</v>
      </c>
      <c r="EC91" s="167">
        <f t="shared" si="336"/>
        <v>0</v>
      </c>
      <c r="ED91" s="171">
        <f t="shared" si="337"/>
        <v>0</v>
      </c>
    </row>
    <row r="92" spans="1:134" x14ac:dyDescent="0.3">
      <c r="A92" s="185"/>
      <c r="B92" s="186"/>
      <c r="C92" s="187"/>
      <c r="D92" s="188"/>
      <c r="E92" s="189"/>
      <c r="F92" s="190"/>
      <c r="G92" s="191"/>
      <c r="H92" s="192"/>
      <c r="I92" s="193"/>
      <c r="J92" s="194"/>
      <c r="K92" s="165">
        <f t="shared" si="338"/>
        <v>0</v>
      </c>
      <c r="L92" s="166">
        <f t="shared" si="339"/>
        <v>0</v>
      </c>
      <c r="M92" s="167">
        <f t="shared" si="340"/>
        <v>0</v>
      </c>
      <c r="N92" s="167"/>
      <c r="O92" s="167">
        <f t="shared" si="341"/>
        <v>0</v>
      </c>
      <c r="P92" s="168"/>
      <c r="Q92" s="167">
        <f t="shared" si="342"/>
        <v>0</v>
      </c>
      <c r="R92" s="169">
        <f t="shared" si="343"/>
        <v>0</v>
      </c>
      <c r="S92" s="167">
        <f t="shared" si="344"/>
        <v>0</v>
      </c>
      <c r="T92" s="167">
        <f t="shared" si="345"/>
        <v>0</v>
      </c>
      <c r="U92" s="167">
        <f t="shared" si="346"/>
        <v>0</v>
      </c>
      <c r="V92" s="167">
        <f t="shared" si="347"/>
        <v>0</v>
      </c>
      <c r="W92" s="167">
        <f t="shared" si="348"/>
        <v>0</v>
      </c>
      <c r="X92" s="167">
        <f t="shared" si="349"/>
        <v>0</v>
      </c>
      <c r="Y92" s="167">
        <f t="shared" si="350"/>
        <v>0</v>
      </c>
      <c r="Z92" s="167">
        <f t="shared" si="351"/>
        <v>0</v>
      </c>
      <c r="AA92" s="167">
        <f t="shared" si="352"/>
        <v>0</v>
      </c>
      <c r="AB92" s="170">
        <f t="shared" si="353"/>
        <v>0</v>
      </c>
      <c r="AC92" s="167">
        <f t="shared" si="354"/>
        <v>0</v>
      </c>
      <c r="AD92" s="171">
        <f t="shared" si="355"/>
        <v>0</v>
      </c>
      <c r="AE92" s="169">
        <f t="shared" si="356"/>
        <v>0</v>
      </c>
      <c r="AF92" s="167">
        <f t="shared" si="357"/>
        <v>0</v>
      </c>
      <c r="AG92" s="167">
        <f t="shared" si="281"/>
        <v>0</v>
      </c>
      <c r="AH92" s="167">
        <f t="shared" si="358"/>
        <v>0</v>
      </c>
      <c r="AI92" s="167">
        <f t="shared" si="282"/>
        <v>0</v>
      </c>
      <c r="AJ92" s="167">
        <f t="shared" si="359"/>
        <v>0</v>
      </c>
      <c r="AK92" s="167">
        <f t="shared" si="283"/>
        <v>0</v>
      </c>
      <c r="AL92" s="167">
        <f t="shared" si="360"/>
        <v>0</v>
      </c>
      <c r="AM92" s="167">
        <f t="shared" si="284"/>
        <v>0</v>
      </c>
      <c r="AN92" s="167">
        <f t="shared" si="361"/>
        <v>0</v>
      </c>
      <c r="AO92" s="170">
        <f t="shared" si="285"/>
        <v>0</v>
      </c>
      <c r="AP92" s="167">
        <f t="shared" si="286"/>
        <v>0</v>
      </c>
      <c r="AQ92" s="171">
        <f t="shared" si="287"/>
        <v>0</v>
      </c>
      <c r="AR92" s="169">
        <f t="shared" si="356"/>
        <v>0</v>
      </c>
      <c r="AS92" s="167">
        <f t="shared" si="362"/>
        <v>0</v>
      </c>
      <c r="AT92" s="167">
        <f t="shared" si="288"/>
        <v>0</v>
      </c>
      <c r="AU92" s="167">
        <f t="shared" si="363"/>
        <v>0</v>
      </c>
      <c r="AV92" s="167">
        <f t="shared" si="289"/>
        <v>0</v>
      </c>
      <c r="AW92" s="167">
        <f t="shared" si="364"/>
        <v>0</v>
      </c>
      <c r="AX92" s="167">
        <f t="shared" si="290"/>
        <v>0</v>
      </c>
      <c r="AY92" s="167">
        <f t="shared" si="365"/>
        <v>0</v>
      </c>
      <c r="AZ92" s="167">
        <f t="shared" si="291"/>
        <v>0</v>
      </c>
      <c r="BA92" s="167">
        <f t="shared" si="366"/>
        <v>0</v>
      </c>
      <c r="BB92" s="170">
        <f t="shared" si="292"/>
        <v>0</v>
      </c>
      <c r="BC92" s="167">
        <f t="shared" si="293"/>
        <v>0</v>
      </c>
      <c r="BD92" s="171">
        <f t="shared" si="294"/>
        <v>0</v>
      </c>
      <c r="BE92" s="169">
        <f t="shared" si="356"/>
        <v>0</v>
      </c>
      <c r="BF92" s="167">
        <f t="shared" si="367"/>
        <v>0</v>
      </c>
      <c r="BG92" s="167">
        <f t="shared" si="295"/>
        <v>0</v>
      </c>
      <c r="BH92" s="167">
        <f t="shared" si="368"/>
        <v>0</v>
      </c>
      <c r="BI92" s="167">
        <f t="shared" si="296"/>
        <v>0</v>
      </c>
      <c r="BJ92" s="167">
        <f t="shared" si="369"/>
        <v>0</v>
      </c>
      <c r="BK92" s="167">
        <f t="shared" si="297"/>
        <v>0</v>
      </c>
      <c r="BL92" s="167">
        <f t="shared" si="370"/>
        <v>0</v>
      </c>
      <c r="BM92" s="167">
        <f t="shared" si="298"/>
        <v>0</v>
      </c>
      <c r="BN92" s="167">
        <f t="shared" si="371"/>
        <v>0</v>
      </c>
      <c r="BO92" s="170">
        <f t="shared" si="299"/>
        <v>0</v>
      </c>
      <c r="BP92" s="167">
        <f t="shared" si="300"/>
        <v>0</v>
      </c>
      <c r="BQ92" s="171">
        <f t="shared" si="301"/>
        <v>0</v>
      </c>
      <c r="BR92" s="169">
        <f t="shared" si="356"/>
        <v>0</v>
      </c>
      <c r="BS92" s="167">
        <f t="shared" si="372"/>
        <v>0</v>
      </c>
      <c r="BT92" s="167">
        <f t="shared" si="302"/>
        <v>0</v>
      </c>
      <c r="BU92" s="167">
        <f t="shared" si="373"/>
        <v>0</v>
      </c>
      <c r="BV92" s="167">
        <f t="shared" si="303"/>
        <v>0</v>
      </c>
      <c r="BW92" s="167">
        <f t="shared" si="374"/>
        <v>0</v>
      </c>
      <c r="BX92" s="167">
        <f t="shared" si="304"/>
        <v>0</v>
      </c>
      <c r="BY92" s="167">
        <f t="shared" si="375"/>
        <v>0</v>
      </c>
      <c r="BZ92" s="167">
        <f t="shared" si="305"/>
        <v>0</v>
      </c>
      <c r="CA92" s="167">
        <f t="shared" si="376"/>
        <v>0</v>
      </c>
      <c r="CB92" s="170">
        <f t="shared" si="306"/>
        <v>0</v>
      </c>
      <c r="CC92" s="167">
        <f t="shared" si="307"/>
        <v>0</v>
      </c>
      <c r="CD92" s="171">
        <f t="shared" si="308"/>
        <v>0</v>
      </c>
      <c r="CE92" s="169">
        <f t="shared" si="356"/>
        <v>0</v>
      </c>
      <c r="CF92" s="167">
        <f t="shared" si="377"/>
        <v>0</v>
      </c>
      <c r="CG92" s="167">
        <f t="shared" si="309"/>
        <v>0</v>
      </c>
      <c r="CH92" s="167">
        <f t="shared" si="378"/>
        <v>0</v>
      </c>
      <c r="CI92" s="167">
        <f t="shared" si="310"/>
        <v>0</v>
      </c>
      <c r="CJ92" s="167">
        <f t="shared" si="379"/>
        <v>0</v>
      </c>
      <c r="CK92" s="167">
        <f t="shared" si="311"/>
        <v>0</v>
      </c>
      <c r="CL92" s="167">
        <f t="shared" si="380"/>
        <v>0</v>
      </c>
      <c r="CM92" s="167">
        <f t="shared" si="312"/>
        <v>0</v>
      </c>
      <c r="CN92" s="167">
        <f t="shared" si="381"/>
        <v>0</v>
      </c>
      <c r="CO92" s="170">
        <f t="shared" si="313"/>
        <v>0</v>
      </c>
      <c r="CP92" s="167">
        <f t="shared" si="314"/>
        <v>0</v>
      </c>
      <c r="CQ92" s="171">
        <f t="shared" si="315"/>
        <v>0</v>
      </c>
      <c r="CR92" s="169">
        <f t="shared" si="382"/>
        <v>0</v>
      </c>
      <c r="CS92" s="167">
        <f t="shared" si="383"/>
        <v>0</v>
      </c>
      <c r="CT92" s="167">
        <f t="shared" si="317"/>
        <v>0</v>
      </c>
      <c r="CU92" s="167">
        <f t="shared" si="384"/>
        <v>0</v>
      </c>
      <c r="CV92" s="167">
        <f t="shared" si="318"/>
        <v>0</v>
      </c>
      <c r="CW92" s="167">
        <f t="shared" si="385"/>
        <v>0</v>
      </c>
      <c r="CX92" s="167">
        <f t="shared" si="319"/>
        <v>0</v>
      </c>
      <c r="CY92" s="167">
        <f t="shared" si="386"/>
        <v>0</v>
      </c>
      <c r="CZ92" s="167">
        <f t="shared" si="320"/>
        <v>0</v>
      </c>
      <c r="DA92" s="167">
        <f t="shared" si="387"/>
        <v>0</v>
      </c>
      <c r="DB92" s="170">
        <f t="shared" si="321"/>
        <v>0</v>
      </c>
      <c r="DC92" s="167">
        <f t="shared" si="322"/>
        <v>0</v>
      </c>
      <c r="DD92" s="171">
        <f t="shared" si="323"/>
        <v>0</v>
      </c>
      <c r="DE92" s="169">
        <f t="shared" si="382"/>
        <v>0</v>
      </c>
      <c r="DF92" s="167">
        <f t="shared" si="388"/>
        <v>0</v>
      </c>
      <c r="DG92" s="167">
        <f t="shared" si="324"/>
        <v>0</v>
      </c>
      <c r="DH92" s="167">
        <f t="shared" si="389"/>
        <v>0</v>
      </c>
      <c r="DI92" s="167">
        <f t="shared" si="325"/>
        <v>0</v>
      </c>
      <c r="DJ92" s="167">
        <f t="shared" si="390"/>
        <v>0</v>
      </c>
      <c r="DK92" s="167">
        <f t="shared" si="326"/>
        <v>0</v>
      </c>
      <c r="DL92" s="167">
        <f t="shared" si="391"/>
        <v>0</v>
      </c>
      <c r="DM92" s="167">
        <f t="shared" si="327"/>
        <v>0</v>
      </c>
      <c r="DN92" s="167">
        <f t="shared" si="392"/>
        <v>0</v>
      </c>
      <c r="DO92" s="170">
        <f t="shared" si="328"/>
        <v>0</v>
      </c>
      <c r="DP92" s="167">
        <f t="shared" si="329"/>
        <v>0</v>
      </c>
      <c r="DQ92" s="171">
        <f t="shared" si="330"/>
        <v>0</v>
      </c>
      <c r="DR92" s="169">
        <f t="shared" si="382"/>
        <v>0</v>
      </c>
      <c r="DS92" s="167">
        <f t="shared" si="393"/>
        <v>0</v>
      </c>
      <c r="DT92" s="167">
        <f t="shared" si="331"/>
        <v>0</v>
      </c>
      <c r="DU92" s="167">
        <f t="shared" si="394"/>
        <v>0</v>
      </c>
      <c r="DV92" s="167">
        <f t="shared" si="332"/>
        <v>0</v>
      </c>
      <c r="DW92" s="167">
        <f t="shared" si="395"/>
        <v>0</v>
      </c>
      <c r="DX92" s="167">
        <f t="shared" si="333"/>
        <v>0</v>
      </c>
      <c r="DY92" s="167">
        <f t="shared" si="396"/>
        <v>0</v>
      </c>
      <c r="DZ92" s="167">
        <f t="shared" si="334"/>
        <v>0</v>
      </c>
      <c r="EA92" s="167">
        <f t="shared" si="397"/>
        <v>0</v>
      </c>
      <c r="EB92" s="170">
        <f t="shared" si="335"/>
        <v>0</v>
      </c>
      <c r="EC92" s="167">
        <f t="shared" si="336"/>
        <v>0</v>
      </c>
      <c r="ED92" s="171">
        <f t="shared" si="337"/>
        <v>0</v>
      </c>
    </row>
    <row r="93" spans="1:134" x14ac:dyDescent="0.3">
      <c r="A93" s="185"/>
      <c r="B93" s="186"/>
      <c r="C93" s="187"/>
      <c r="D93" s="188"/>
      <c r="E93" s="189"/>
      <c r="F93" s="190"/>
      <c r="G93" s="191"/>
      <c r="H93" s="192"/>
      <c r="I93" s="193"/>
      <c r="J93" s="194"/>
      <c r="K93" s="165">
        <f t="shared" si="338"/>
        <v>0</v>
      </c>
      <c r="L93" s="166">
        <f t="shared" si="339"/>
        <v>0</v>
      </c>
      <c r="M93" s="167">
        <f t="shared" si="340"/>
        <v>0</v>
      </c>
      <c r="N93" s="167"/>
      <c r="O93" s="167">
        <f t="shared" si="341"/>
        <v>0</v>
      </c>
      <c r="P93" s="168"/>
      <c r="Q93" s="167">
        <f t="shared" si="342"/>
        <v>0</v>
      </c>
      <c r="R93" s="169">
        <f t="shared" si="343"/>
        <v>0</v>
      </c>
      <c r="S93" s="167">
        <f t="shared" si="344"/>
        <v>0</v>
      </c>
      <c r="T93" s="167">
        <f t="shared" si="345"/>
        <v>0</v>
      </c>
      <c r="U93" s="167">
        <f t="shared" si="346"/>
        <v>0</v>
      </c>
      <c r="V93" s="167">
        <f t="shared" si="347"/>
        <v>0</v>
      </c>
      <c r="W93" s="167">
        <f t="shared" si="348"/>
        <v>0</v>
      </c>
      <c r="X93" s="167">
        <f t="shared" si="349"/>
        <v>0</v>
      </c>
      <c r="Y93" s="167">
        <f t="shared" si="350"/>
        <v>0</v>
      </c>
      <c r="Z93" s="167">
        <f t="shared" si="351"/>
        <v>0</v>
      </c>
      <c r="AA93" s="167">
        <f t="shared" si="352"/>
        <v>0</v>
      </c>
      <c r="AB93" s="170">
        <f t="shared" si="353"/>
        <v>0</v>
      </c>
      <c r="AC93" s="167">
        <f t="shared" si="354"/>
        <v>0</v>
      </c>
      <c r="AD93" s="171">
        <f t="shared" si="355"/>
        <v>0</v>
      </c>
      <c r="AE93" s="169">
        <f t="shared" si="356"/>
        <v>0</v>
      </c>
      <c r="AF93" s="167">
        <f t="shared" si="357"/>
        <v>0</v>
      </c>
      <c r="AG93" s="167">
        <f t="shared" si="281"/>
        <v>0</v>
      </c>
      <c r="AH93" s="167">
        <f t="shared" si="358"/>
        <v>0</v>
      </c>
      <c r="AI93" s="167">
        <f t="shared" si="282"/>
        <v>0</v>
      </c>
      <c r="AJ93" s="167">
        <f t="shared" si="359"/>
        <v>0</v>
      </c>
      <c r="AK93" s="167">
        <f t="shared" si="283"/>
        <v>0</v>
      </c>
      <c r="AL93" s="167">
        <f t="shared" si="360"/>
        <v>0</v>
      </c>
      <c r="AM93" s="167">
        <f t="shared" si="284"/>
        <v>0</v>
      </c>
      <c r="AN93" s="167">
        <f t="shared" si="361"/>
        <v>0</v>
      </c>
      <c r="AO93" s="170">
        <f t="shared" si="285"/>
        <v>0</v>
      </c>
      <c r="AP93" s="167">
        <f t="shared" si="286"/>
        <v>0</v>
      </c>
      <c r="AQ93" s="171">
        <f t="shared" si="287"/>
        <v>0</v>
      </c>
      <c r="AR93" s="169">
        <f t="shared" si="356"/>
        <v>0</v>
      </c>
      <c r="AS93" s="167">
        <f t="shared" si="362"/>
        <v>0</v>
      </c>
      <c r="AT93" s="167">
        <f t="shared" si="288"/>
        <v>0</v>
      </c>
      <c r="AU93" s="167">
        <f t="shared" si="363"/>
        <v>0</v>
      </c>
      <c r="AV93" s="167">
        <f t="shared" si="289"/>
        <v>0</v>
      </c>
      <c r="AW93" s="167">
        <f t="shared" si="364"/>
        <v>0</v>
      </c>
      <c r="AX93" s="167">
        <f t="shared" si="290"/>
        <v>0</v>
      </c>
      <c r="AY93" s="167">
        <f t="shared" si="365"/>
        <v>0</v>
      </c>
      <c r="AZ93" s="167">
        <f t="shared" si="291"/>
        <v>0</v>
      </c>
      <c r="BA93" s="167">
        <f t="shared" si="366"/>
        <v>0</v>
      </c>
      <c r="BB93" s="170">
        <f t="shared" si="292"/>
        <v>0</v>
      </c>
      <c r="BC93" s="167">
        <f t="shared" si="293"/>
        <v>0</v>
      </c>
      <c r="BD93" s="171">
        <f t="shared" si="294"/>
        <v>0</v>
      </c>
      <c r="BE93" s="169">
        <f t="shared" si="356"/>
        <v>0</v>
      </c>
      <c r="BF93" s="167">
        <f t="shared" si="367"/>
        <v>0</v>
      </c>
      <c r="BG93" s="167">
        <f t="shared" si="295"/>
        <v>0</v>
      </c>
      <c r="BH93" s="167">
        <f t="shared" si="368"/>
        <v>0</v>
      </c>
      <c r="BI93" s="167">
        <f t="shared" si="296"/>
        <v>0</v>
      </c>
      <c r="BJ93" s="167">
        <f t="shared" si="369"/>
        <v>0</v>
      </c>
      <c r="BK93" s="167">
        <f t="shared" si="297"/>
        <v>0</v>
      </c>
      <c r="BL93" s="167">
        <f t="shared" si="370"/>
        <v>0</v>
      </c>
      <c r="BM93" s="167">
        <f t="shared" si="298"/>
        <v>0</v>
      </c>
      <c r="BN93" s="167">
        <f t="shared" si="371"/>
        <v>0</v>
      </c>
      <c r="BO93" s="170">
        <f t="shared" si="299"/>
        <v>0</v>
      </c>
      <c r="BP93" s="167">
        <f t="shared" si="300"/>
        <v>0</v>
      </c>
      <c r="BQ93" s="171">
        <f t="shared" si="301"/>
        <v>0</v>
      </c>
      <c r="BR93" s="169">
        <f t="shared" si="356"/>
        <v>0</v>
      </c>
      <c r="BS93" s="167">
        <f t="shared" si="372"/>
        <v>0</v>
      </c>
      <c r="BT93" s="167">
        <f t="shared" si="302"/>
        <v>0</v>
      </c>
      <c r="BU93" s="167">
        <f t="shared" si="373"/>
        <v>0</v>
      </c>
      <c r="BV93" s="167">
        <f t="shared" si="303"/>
        <v>0</v>
      </c>
      <c r="BW93" s="167">
        <f t="shared" si="374"/>
        <v>0</v>
      </c>
      <c r="BX93" s="167">
        <f t="shared" si="304"/>
        <v>0</v>
      </c>
      <c r="BY93" s="167">
        <f t="shared" si="375"/>
        <v>0</v>
      </c>
      <c r="BZ93" s="167">
        <f t="shared" si="305"/>
        <v>0</v>
      </c>
      <c r="CA93" s="167">
        <f t="shared" si="376"/>
        <v>0</v>
      </c>
      <c r="CB93" s="170">
        <f t="shared" si="306"/>
        <v>0</v>
      </c>
      <c r="CC93" s="167">
        <f t="shared" si="307"/>
        <v>0</v>
      </c>
      <c r="CD93" s="171">
        <f t="shared" si="308"/>
        <v>0</v>
      </c>
      <c r="CE93" s="169">
        <f t="shared" si="356"/>
        <v>0</v>
      </c>
      <c r="CF93" s="167">
        <f t="shared" si="377"/>
        <v>0</v>
      </c>
      <c r="CG93" s="167">
        <f t="shared" si="309"/>
        <v>0</v>
      </c>
      <c r="CH93" s="167">
        <f t="shared" si="378"/>
        <v>0</v>
      </c>
      <c r="CI93" s="167">
        <f t="shared" si="310"/>
        <v>0</v>
      </c>
      <c r="CJ93" s="167">
        <f t="shared" si="379"/>
        <v>0</v>
      </c>
      <c r="CK93" s="167">
        <f t="shared" si="311"/>
        <v>0</v>
      </c>
      <c r="CL93" s="167">
        <f t="shared" si="380"/>
        <v>0</v>
      </c>
      <c r="CM93" s="167">
        <f t="shared" si="312"/>
        <v>0</v>
      </c>
      <c r="CN93" s="167">
        <f t="shared" si="381"/>
        <v>0</v>
      </c>
      <c r="CO93" s="170">
        <f t="shared" si="313"/>
        <v>0</v>
      </c>
      <c r="CP93" s="167">
        <f t="shared" si="314"/>
        <v>0</v>
      </c>
      <c r="CQ93" s="171">
        <f t="shared" si="315"/>
        <v>0</v>
      </c>
      <c r="CR93" s="169">
        <f t="shared" si="382"/>
        <v>0</v>
      </c>
      <c r="CS93" s="167">
        <f t="shared" si="383"/>
        <v>0</v>
      </c>
      <c r="CT93" s="167">
        <f t="shared" si="317"/>
        <v>0</v>
      </c>
      <c r="CU93" s="167">
        <f t="shared" si="384"/>
        <v>0</v>
      </c>
      <c r="CV93" s="167">
        <f t="shared" si="318"/>
        <v>0</v>
      </c>
      <c r="CW93" s="167">
        <f t="shared" si="385"/>
        <v>0</v>
      </c>
      <c r="CX93" s="167">
        <f t="shared" si="319"/>
        <v>0</v>
      </c>
      <c r="CY93" s="167">
        <f t="shared" si="386"/>
        <v>0</v>
      </c>
      <c r="CZ93" s="167">
        <f t="shared" si="320"/>
        <v>0</v>
      </c>
      <c r="DA93" s="167">
        <f t="shared" si="387"/>
        <v>0</v>
      </c>
      <c r="DB93" s="170">
        <f t="shared" si="321"/>
        <v>0</v>
      </c>
      <c r="DC93" s="167">
        <f t="shared" si="322"/>
        <v>0</v>
      </c>
      <c r="DD93" s="171">
        <f t="shared" si="323"/>
        <v>0</v>
      </c>
      <c r="DE93" s="169">
        <f t="shared" si="382"/>
        <v>0</v>
      </c>
      <c r="DF93" s="167">
        <f t="shared" si="388"/>
        <v>0</v>
      </c>
      <c r="DG93" s="167">
        <f t="shared" si="324"/>
        <v>0</v>
      </c>
      <c r="DH93" s="167">
        <f t="shared" si="389"/>
        <v>0</v>
      </c>
      <c r="DI93" s="167">
        <f t="shared" si="325"/>
        <v>0</v>
      </c>
      <c r="DJ93" s="167">
        <f t="shared" si="390"/>
        <v>0</v>
      </c>
      <c r="DK93" s="167">
        <f t="shared" si="326"/>
        <v>0</v>
      </c>
      <c r="DL93" s="167">
        <f t="shared" si="391"/>
        <v>0</v>
      </c>
      <c r="DM93" s="167">
        <f t="shared" si="327"/>
        <v>0</v>
      </c>
      <c r="DN93" s="167">
        <f t="shared" si="392"/>
        <v>0</v>
      </c>
      <c r="DO93" s="170">
        <f t="shared" si="328"/>
        <v>0</v>
      </c>
      <c r="DP93" s="167">
        <f t="shared" si="329"/>
        <v>0</v>
      </c>
      <c r="DQ93" s="171">
        <f t="shared" si="330"/>
        <v>0</v>
      </c>
      <c r="DR93" s="169">
        <f t="shared" si="382"/>
        <v>0</v>
      </c>
      <c r="DS93" s="167">
        <f t="shared" si="393"/>
        <v>0</v>
      </c>
      <c r="DT93" s="167">
        <f t="shared" si="331"/>
        <v>0</v>
      </c>
      <c r="DU93" s="167">
        <f t="shared" si="394"/>
        <v>0</v>
      </c>
      <c r="DV93" s="167">
        <f t="shared" si="332"/>
        <v>0</v>
      </c>
      <c r="DW93" s="167">
        <f t="shared" si="395"/>
        <v>0</v>
      </c>
      <c r="DX93" s="167">
        <f t="shared" si="333"/>
        <v>0</v>
      </c>
      <c r="DY93" s="167">
        <f t="shared" si="396"/>
        <v>0</v>
      </c>
      <c r="DZ93" s="167">
        <f t="shared" si="334"/>
        <v>0</v>
      </c>
      <c r="EA93" s="167">
        <f t="shared" si="397"/>
        <v>0</v>
      </c>
      <c r="EB93" s="170">
        <f t="shared" si="335"/>
        <v>0</v>
      </c>
      <c r="EC93" s="167">
        <f t="shared" si="336"/>
        <v>0</v>
      </c>
      <c r="ED93" s="171">
        <f t="shared" si="337"/>
        <v>0</v>
      </c>
    </row>
    <row r="94" spans="1:134" x14ac:dyDescent="0.3">
      <c r="A94" s="185"/>
      <c r="B94" s="186"/>
      <c r="C94" s="187"/>
      <c r="D94" s="188"/>
      <c r="E94" s="189"/>
      <c r="F94" s="190"/>
      <c r="G94" s="191"/>
      <c r="H94" s="192"/>
      <c r="I94" s="193"/>
      <c r="J94" s="194"/>
      <c r="K94" s="165">
        <f t="shared" si="338"/>
        <v>0</v>
      </c>
      <c r="L94" s="166">
        <f t="shared" si="339"/>
        <v>0</v>
      </c>
      <c r="M94" s="167">
        <f t="shared" si="340"/>
        <v>0</v>
      </c>
      <c r="N94" s="167"/>
      <c r="O94" s="167">
        <f t="shared" si="341"/>
        <v>0</v>
      </c>
      <c r="P94" s="168"/>
      <c r="Q94" s="167">
        <f t="shared" si="342"/>
        <v>0</v>
      </c>
      <c r="R94" s="169">
        <f t="shared" si="343"/>
        <v>0</v>
      </c>
      <c r="S94" s="167">
        <f t="shared" si="344"/>
        <v>0</v>
      </c>
      <c r="T94" s="167">
        <f t="shared" si="345"/>
        <v>0</v>
      </c>
      <c r="U94" s="167">
        <f t="shared" si="346"/>
        <v>0</v>
      </c>
      <c r="V94" s="167">
        <f t="shared" si="347"/>
        <v>0</v>
      </c>
      <c r="W94" s="167">
        <f t="shared" si="348"/>
        <v>0</v>
      </c>
      <c r="X94" s="167">
        <f t="shared" si="349"/>
        <v>0</v>
      </c>
      <c r="Y94" s="167">
        <f t="shared" si="350"/>
        <v>0</v>
      </c>
      <c r="Z94" s="167">
        <f t="shared" si="351"/>
        <v>0</v>
      </c>
      <c r="AA94" s="167">
        <f t="shared" si="352"/>
        <v>0</v>
      </c>
      <c r="AB94" s="170">
        <f t="shared" si="353"/>
        <v>0</v>
      </c>
      <c r="AC94" s="167">
        <f t="shared" si="354"/>
        <v>0</v>
      </c>
      <c r="AD94" s="171">
        <f t="shared" si="355"/>
        <v>0</v>
      </c>
      <c r="AE94" s="169">
        <f t="shared" si="356"/>
        <v>0</v>
      </c>
      <c r="AF94" s="167">
        <f t="shared" si="357"/>
        <v>0</v>
      </c>
      <c r="AG94" s="167">
        <f t="shared" si="281"/>
        <v>0</v>
      </c>
      <c r="AH94" s="167">
        <f t="shared" si="358"/>
        <v>0</v>
      </c>
      <c r="AI94" s="167">
        <f t="shared" si="282"/>
        <v>0</v>
      </c>
      <c r="AJ94" s="167">
        <f t="shared" si="359"/>
        <v>0</v>
      </c>
      <c r="AK94" s="167">
        <f t="shared" si="283"/>
        <v>0</v>
      </c>
      <c r="AL94" s="167">
        <f t="shared" si="360"/>
        <v>0</v>
      </c>
      <c r="AM94" s="167">
        <f t="shared" si="284"/>
        <v>0</v>
      </c>
      <c r="AN94" s="167">
        <f t="shared" si="361"/>
        <v>0</v>
      </c>
      <c r="AO94" s="170">
        <f t="shared" si="285"/>
        <v>0</v>
      </c>
      <c r="AP94" s="167">
        <f t="shared" si="286"/>
        <v>0</v>
      </c>
      <c r="AQ94" s="171">
        <f t="shared" si="287"/>
        <v>0</v>
      </c>
      <c r="AR94" s="169">
        <f t="shared" si="356"/>
        <v>0</v>
      </c>
      <c r="AS94" s="167">
        <f t="shared" si="362"/>
        <v>0</v>
      </c>
      <c r="AT94" s="167">
        <f t="shared" si="288"/>
        <v>0</v>
      </c>
      <c r="AU94" s="167">
        <f t="shared" si="363"/>
        <v>0</v>
      </c>
      <c r="AV94" s="167">
        <f t="shared" si="289"/>
        <v>0</v>
      </c>
      <c r="AW94" s="167">
        <f t="shared" si="364"/>
        <v>0</v>
      </c>
      <c r="AX94" s="167">
        <f t="shared" si="290"/>
        <v>0</v>
      </c>
      <c r="AY94" s="167">
        <f t="shared" si="365"/>
        <v>0</v>
      </c>
      <c r="AZ94" s="167">
        <f t="shared" si="291"/>
        <v>0</v>
      </c>
      <c r="BA94" s="167">
        <f t="shared" si="366"/>
        <v>0</v>
      </c>
      <c r="BB94" s="170">
        <f t="shared" si="292"/>
        <v>0</v>
      </c>
      <c r="BC94" s="167">
        <f t="shared" si="293"/>
        <v>0</v>
      </c>
      <c r="BD94" s="171">
        <f t="shared" si="294"/>
        <v>0</v>
      </c>
      <c r="BE94" s="169">
        <f t="shared" si="356"/>
        <v>0</v>
      </c>
      <c r="BF94" s="167">
        <f t="shared" si="367"/>
        <v>0</v>
      </c>
      <c r="BG94" s="167">
        <f t="shared" si="295"/>
        <v>0</v>
      </c>
      <c r="BH94" s="167">
        <f t="shared" si="368"/>
        <v>0</v>
      </c>
      <c r="BI94" s="167">
        <f t="shared" si="296"/>
        <v>0</v>
      </c>
      <c r="BJ94" s="167">
        <f t="shared" si="369"/>
        <v>0</v>
      </c>
      <c r="BK94" s="167">
        <f t="shared" si="297"/>
        <v>0</v>
      </c>
      <c r="BL94" s="167">
        <f t="shared" si="370"/>
        <v>0</v>
      </c>
      <c r="BM94" s="167">
        <f t="shared" si="298"/>
        <v>0</v>
      </c>
      <c r="BN94" s="167">
        <f t="shared" si="371"/>
        <v>0</v>
      </c>
      <c r="BO94" s="170">
        <f t="shared" si="299"/>
        <v>0</v>
      </c>
      <c r="BP94" s="167">
        <f t="shared" si="300"/>
        <v>0</v>
      </c>
      <c r="BQ94" s="171">
        <f t="shared" si="301"/>
        <v>0</v>
      </c>
      <c r="BR94" s="169">
        <f t="shared" si="356"/>
        <v>0</v>
      </c>
      <c r="BS94" s="167">
        <f t="shared" si="372"/>
        <v>0</v>
      </c>
      <c r="BT94" s="167">
        <f t="shared" si="302"/>
        <v>0</v>
      </c>
      <c r="BU94" s="167">
        <f t="shared" si="373"/>
        <v>0</v>
      </c>
      <c r="BV94" s="167">
        <f t="shared" si="303"/>
        <v>0</v>
      </c>
      <c r="BW94" s="167">
        <f t="shared" si="374"/>
        <v>0</v>
      </c>
      <c r="BX94" s="167">
        <f t="shared" si="304"/>
        <v>0</v>
      </c>
      <c r="BY94" s="167">
        <f t="shared" si="375"/>
        <v>0</v>
      </c>
      <c r="BZ94" s="167">
        <f t="shared" si="305"/>
        <v>0</v>
      </c>
      <c r="CA94" s="167">
        <f t="shared" si="376"/>
        <v>0</v>
      </c>
      <c r="CB94" s="170">
        <f t="shared" si="306"/>
        <v>0</v>
      </c>
      <c r="CC94" s="167">
        <f t="shared" si="307"/>
        <v>0</v>
      </c>
      <c r="CD94" s="171">
        <f t="shared" si="308"/>
        <v>0</v>
      </c>
      <c r="CE94" s="169">
        <f t="shared" si="356"/>
        <v>0</v>
      </c>
      <c r="CF94" s="167">
        <f t="shared" si="377"/>
        <v>0</v>
      </c>
      <c r="CG94" s="167">
        <f t="shared" si="309"/>
        <v>0</v>
      </c>
      <c r="CH94" s="167">
        <f t="shared" si="378"/>
        <v>0</v>
      </c>
      <c r="CI94" s="167">
        <f t="shared" si="310"/>
        <v>0</v>
      </c>
      <c r="CJ94" s="167">
        <f t="shared" si="379"/>
        <v>0</v>
      </c>
      <c r="CK94" s="167">
        <f t="shared" si="311"/>
        <v>0</v>
      </c>
      <c r="CL94" s="167">
        <f t="shared" si="380"/>
        <v>0</v>
      </c>
      <c r="CM94" s="167">
        <f t="shared" si="312"/>
        <v>0</v>
      </c>
      <c r="CN94" s="167">
        <f t="shared" si="381"/>
        <v>0</v>
      </c>
      <c r="CO94" s="170">
        <f t="shared" si="313"/>
        <v>0</v>
      </c>
      <c r="CP94" s="167">
        <f t="shared" si="314"/>
        <v>0</v>
      </c>
      <c r="CQ94" s="171">
        <f t="shared" si="315"/>
        <v>0</v>
      </c>
      <c r="CR94" s="169">
        <f t="shared" si="382"/>
        <v>0</v>
      </c>
      <c r="CS94" s="167">
        <f t="shared" si="383"/>
        <v>0</v>
      </c>
      <c r="CT94" s="167">
        <f t="shared" si="317"/>
        <v>0</v>
      </c>
      <c r="CU94" s="167">
        <f t="shared" si="384"/>
        <v>0</v>
      </c>
      <c r="CV94" s="167">
        <f t="shared" si="318"/>
        <v>0</v>
      </c>
      <c r="CW94" s="167">
        <f t="shared" si="385"/>
        <v>0</v>
      </c>
      <c r="CX94" s="167">
        <f t="shared" si="319"/>
        <v>0</v>
      </c>
      <c r="CY94" s="167">
        <f t="shared" si="386"/>
        <v>0</v>
      </c>
      <c r="CZ94" s="167">
        <f t="shared" si="320"/>
        <v>0</v>
      </c>
      <c r="DA94" s="167">
        <f t="shared" si="387"/>
        <v>0</v>
      </c>
      <c r="DB94" s="170">
        <f t="shared" si="321"/>
        <v>0</v>
      </c>
      <c r="DC94" s="167">
        <f t="shared" si="322"/>
        <v>0</v>
      </c>
      <c r="DD94" s="171">
        <f t="shared" si="323"/>
        <v>0</v>
      </c>
      <c r="DE94" s="169">
        <f t="shared" si="382"/>
        <v>0</v>
      </c>
      <c r="DF94" s="167">
        <f t="shared" si="388"/>
        <v>0</v>
      </c>
      <c r="DG94" s="167">
        <f t="shared" si="324"/>
        <v>0</v>
      </c>
      <c r="DH94" s="167">
        <f t="shared" si="389"/>
        <v>0</v>
      </c>
      <c r="DI94" s="167">
        <f t="shared" si="325"/>
        <v>0</v>
      </c>
      <c r="DJ94" s="167">
        <f t="shared" si="390"/>
        <v>0</v>
      </c>
      <c r="DK94" s="167">
        <f t="shared" si="326"/>
        <v>0</v>
      </c>
      <c r="DL94" s="167">
        <f t="shared" si="391"/>
        <v>0</v>
      </c>
      <c r="DM94" s="167">
        <f t="shared" si="327"/>
        <v>0</v>
      </c>
      <c r="DN94" s="167">
        <f t="shared" si="392"/>
        <v>0</v>
      </c>
      <c r="DO94" s="170">
        <f t="shared" si="328"/>
        <v>0</v>
      </c>
      <c r="DP94" s="167">
        <f t="shared" si="329"/>
        <v>0</v>
      </c>
      <c r="DQ94" s="171">
        <f t="shared" si="330"/>
        <v>0</v>
      </c>
      <c r="DR94" s="169">
        <f t="shared" si="382"/>
        <v>0</v>
      </c>
      <c r="DS94" s="167">
        <f t="shared" si="393"/>
        <v>0</v>
      </c>
      <c r="DT94" s="167">
        <f t="shared" si="331"/>
        <v>0</v>
      </c>
      <c r="DU94" s="167">
        <f t="shared" si="394"/>
        <v>0</v>
      </c>
      <c r="DV94" s="167">
        <f t="shared" si="332"/>
        <v>0</v>
      </c>
      <c r="DW94" s="167">
        <f t="shared" si="395"/>
        <v>0</v>
      </c>
      <c r="DX94" s="167">
        <f t="shared" si="333"/>
        <v>0</v>
      </c>
      <c r="DY94" s="167">
        <f t="shared" si="396"/>
        <v>0</v>
      </c>
      <c r="DZ94" s="167">
        <f t="shared" si="334"/>
        <v>0</v>
      </c>
      <c r="EA94" s="167">
        <f t="shared" si="397"/>
        <v>0</v>
      </c>
      <c r="EB94" s="170">
        <f t="shared" si="335"/>
        <v>0</v>
      </c>
      <c r="EC94" s="167">
        <f t="shared" si="336"/>
        <v>0</v>
      </c>
      <c r="ED94" s="171">
        <f t="shared" si="337"/>
        <v>0</v>
      </c>
    </row>
    <row r="95" spans="1:134" x14ac:dyDescent="0.3">
      <c r="A95" s="185"/>
      <c r="B95" s="186"/>
      <c r="C95" s="187"/>
      <c r="D95" s="188"/>
      <c r="E95" s="189"/>
      <c r="F95" s="190"/>
      <c r="G95" s="191"/>
      <c r="H95" s="192"/>
      <c r="I95" s="193"/>
      <c r="J95" s="194"/>
      <c r="K95" s="165">
        <f t="shared" si="338"/>
        <v>0</v>
      </c>
      <c r="L95" s="166">
        <f t="shared" si="339"/>
        <v>0</v>
      </c>
      <c r="M95" s="167">
        <f t="shared" si="340"/>
        <v>0</v>
      </c>
      <c r="N95" s="167"/>
      <c r="O95" s="167">
        <f t="shared" si="341"/>
        <v>0</v>
      </c>
      <c r="P95" s="168"/>
      <c r="Q95" s="167">
        <f t="shared" si="342"/>
        <v>0</v>
      </c>
      <c r="R95" s="169">
        <f t="shared" si="343"/>
        <v>0</v>
      </c>
      <c r="S95" s="167">
        <f t="shared" si="344"/>
        <v>0</v>
      </c>
      <c r="T95" s="167">
        <f t="shared" si="345"/>
        <v>0</v>
      </c>
      <c r="U95" s="167">
        <f t="shared" si="346"/>
        <v>0</v>
      </c>
      <c r="V95" s="167">
        <f t="shared" si="347"/>
        <v>0</v>
      </c>
      <c r="W95" s="167">
        <f t="shared" si="348"/>
        <v>0</v>
      </c>
      <c r="X95" s="167">
        <f t="shared" si="349"/>
        <v>0</v>
      </c>
      <c r="Y95" s="167">
        <f t="shared" si="350"/>
        <v>0</v>
      </c>
      <c r="Z95" s="167">
        <f t="shared" si="351"/>
        <v>0</v>
      </c>
      <c r="AA95" s="167">
        <f t="shared" si="352"/>
        <v>0</v>
      </c>
      <c r="AB95" s="170">
        <f t="shared" si="353"/>
        <v>0</v>
      </c>
      <c r="AC95" s="167">
        <f t="shared" si="354"/>
        <v>0</v>
      </c>
      <c r="AD95" s="171">
        <f t="shared" si="355"/>
        <v>0</v>
      </c>
      <c r="AE95" s="169">
        <f t="shared" si="356"/>
        <v>0</v>
      </c>
      <c r="AF95" s="167">
        <f t="shared" si="357"/>
        <v>0</v>
      </c>
      <c r="AG95" s="167">
        <f t="shared" si="281"/>
        <v>0</v>
      </c>
      <c r="AH95" s="167">
        <f t="shared" si="358"/>
        <v>0</v>
      </c>
      <c r="AI95" s="167">
        <f t="shared" si="282"/>
        <v>0</v>
      </c>
      <c r="AJ95" s="167">
        <f t="shared" si="359"/>
        <v>0</v>
      </c>
      <c r="AK95" s="167">
        <f t="shared" si="283"/>
        <v>0</v>
      </c>
      <c r="AL95" s="167">
        <f t="shared" si="360"/>
        <v>0</v>
      </c>
      <c r="AM95" s="167">
        <f t="shared" si="284"/>
        <v>0</v>
      </c>
      <c r="AN95" s="167">
        <f t="shared" si="361"/>
        <v>0</v>
      </c>
      <c r="AO95" s="170">
        <f t="shared" si="285"/>
        <v>0</v>
      </c>
      <c r="AP95" s="167">
        <f t="shared" si="286"/>
        <v>0</v>
      </c>
      <c r="AQ95" s="171">
        <f t="shared" si="287"/>
        <v>0</v>
      </c>
      <c r="AR95" s="169">
        <f t="shared" si="356"/>
        <v>0</v>
      </c>
      <c r="AS95" s="167">
        <f t="shared" si="362"/>
        <v>0</v>
      </c>
      <c r="AT95" s="167">
        <f t="shared" si="288"/>
        <v>0</v>
      </c>
      <c r="AU95" s="167">
        <f t="shared" si="363"/>
        <v>0</v>
      </c>
      <c r="AV95" s="167">
        <f t="shared" si="289"/>
        <v>0</v>
      </c>
      <c r="AW95" s="167">
        <f t="shared" si="364"/>
        <v>0</v>
      </c>
      <c r="AX95" s="167">
        <f t="shared" si="290"/>
        <v>0</v>
      </c>
      <c r="AY95" s="167">
        <f t="shared" si="365"/>
        <v>0</v>
      </c>
      <c r="AZ95" s="167">
        <f t="shared" si="291"/>
        <v>0</v>
      </c>
      <c r="BA95" s="167">
        <f t="shared" si="366"/>
        <v>0</v>
      </c>
      <c r="BB95" s="170">
        <f t="shared" si="292"/>
        <v>0</v>
      </c>
      <c r="BC95" s="167">
        <f t="shared" si="293"/>
        <v>0</v>
      </c>
      <c r="BD95" s="171">
        <f t="shared" si="294"/>
        <v>0</v>
      </c>
      <c r="BE95" s="169">
        <f t="shared" si="356"/>
        <v>0</v>
      </c>
      <c r="BF95" s="167">
        <f t="shared" si="367"/>
        <v>0</v>
      </c>
      <c r="BG95" s="167">
        <f t="shared" si="295"/>
        <v>0</v>
      </c>
      <c r="BH95" s="167">
        <f t="shared" si="368"/>
        <v>0</v>
      </c>
      <c r="BI95" s="167">
        <f t="shared" si="296"/>
        <v>0</v>
      </c>
      <c r="BJ95" s="167">
        <f t="shared" si="369"/>
        <v>0</v>
      </c>
      <c r="BK95" s="167">
        <f t="shared" si="297"/>
        <v>0</v>
      </c>
      <c r="BL95" s="167">
        <f t="shared" si="370"/>
        <v>0</v>
      </c>
      <c r="BM95" s="167">
        <f t="shared" si="298"/>
        <v>0</v>
      </c>
      <c r="BN95" s="167">
        <f t="shared" si="371"/>
        <v>0</v>
      </c>
      <c r="BO95" s="170">
        <f t="shared" si="299"/>
        <v>0</v>
      </c>
      <c r="BP95" s="167">
        <f t="shared" si="300"/>
        <v>0</v>
      </c>
      <c r="BQ95" s="171">
        <f t="shared" si="301"/>
        <v>0</v>
      </c>
      <c r="BR95" s="169">
        <f t="shared" si="356"/>
        <v>0</v>
      </c>
      <c r="BS95" s="167">
        <f t="shared" si="372"/>
        <v>0</v>
      </c>
      <c r="BT95" s="167">
        <f t="shared" si="302"/>
        <v>0</v>
      </c>
      <c r="BU95" s="167">
        <f t="shared" si="373"/>
        <v>0</v>
      </c>
      <c r="BV95" s="167">
        <f t="shared" si="303"/>
        <v>0</v>
      </c>
      <c r="BW95" s="167">
        <f t="shared" si="374"/>
        <v>0</v>
      </c>
      <c r="BX95" s="167">
        <f t="shared" si="304"/>
        <v>0</v>
      </c>
      <c r="BY95" s="167">
        <f t="shared" si="375"/>
        <v>0</v>
      </c>
      <c r="BZ95" s="167">
        <f t="shared" si="305"/>
        <v>0</v>
      </c>
      <c r="CA95" s="167">
        <f t="shared" si="376"/>
        <v>0</v>
      </c>
      <c r="CB95" s="170">
        <f t="shared" si="306"/>
        <v>0</v>
      </c>
      <c r="CC95" s="167">
        <f t="shared" si="307"/>
        <v>0</v>
      </c>
      <c r="CD95" s="171">
        <f t="shared" si="308"/>
        <v>0</v>
      </c>
      <c r="CE95" s="169">
        <f t="shared" si="356"/>
        <v>0</v>
      </c>
      <c r="CF95" s="167">
        <f t="shared" si="377"/>
        <v>0</v>
      </c>
      <c r="CG95" s="167">
        <f t="shared" si="309"/>
        <v>0</v>
      </c>
      <c r="CH95" s="167">
        <f t="shared" si="378"/>
        <v>0</v>
      </c>
      <c r="CI95" s="167">
        <f t="shared" si="310"/>
        <v>0</v>
      </c>
      <c r="CJ95" s="167">
        <f t="shared" si="379"/>
        <v>0</v>
      </c>
      <c r="CK95" s="167">
        <f t="shared" si="311"/>
        <v>0</v>
      </c>
      <c r="CL95" s="167">
        <f t="shared" si="380"/>
        <v>0</v>
      </c>
      <c r="CM95" s="167">
        <f t="shared" si="312"/>
        <v>0</v>
      </c>
      <c r="CN95" s="167">
        <f t="shared" si="381"/>
        <v>0</v>
      </c>
      <c r="CO95" s="170">
        <f t="shared" si="313"/>
        <v>0</v>
      </c>
      <c r="CP95" s="167">
        <f t="shared" si="314"/>
        <v>0</v>
      </c>
      <c r="CQ95" s="171">
        <f t="shared" si="315"/>
        <v>0</v>
      </c>
      <c r="CR95" s="169">
        <f t="shared" si="382"/>
        <v>0</v>
      </c>
      <c r="CS95" s="167">
        <f t="shared" si="383"/>
        <v>0</v>
      </c>
      <c r="CT95" s="167">
        <f t="shared" si="317"/>
        <v>0</v>
      </c>
      <c r="CU95" s="167">
        <f t="shared" si="384"/>
        <v>0</v>
      </c>
      <c r="CV95" s="167">
        <f t="shared" si="318"/>
        <v>0</v>
      </c>
      <c r="CW95" s="167">
        <f t="shared" si="385"/>
        <v>0</v>
      </c>
      <c r="CX95" s="167">
        <f t="shared" si="319"/>
        <v>0</v>
      </c>
      <c r="CY95" s="167">
        <f t="shared" si="386"/>
        <v>0</v>
      </c>
      <c r="CZ95" s="167">
        <f t="shared" si="320"/>
        <v>0</v>
      </c>
      <c r="DA95" s="167">
        <f t="shared" si="387"/>
        <v>0</v>
      </c>
      <c r="DB95" s="170">
        <f t="shared" si="321"/>
        <v>0</v>
      </c>
      <c r="DC95" s="167">
        <f t="shared" si="322"/>
        <v>0</v>
      </c>
      <c r="DD95" s="171">
        <f t="shared" si="323"/>
        <v>0</v>
      </c>
      <c r="DE95" s="169">
        <f t="shared" si="382"/>
        <v>0</v>
      </c>
      <c r="DF95" s="167">
        <f t="shared" si="388"/>
        <v>0</v>
      </c>
      <c r="DG95" s="167">
        <f t="shared" si="324"/>
        <v>0</v>
      </c>
      <c r="DH95" s="167">
        <f t="shared" si="389"/>
        <v>0</v>
      </c>
      <c r="DI95" s="167">
        <f t="shared" si="325"/>
        <v>0</v>
      </c>
      <c r="DJ95" s="167">
        <f t="shared" si="390"/>
        <v>0</v>
      </c>
      <c r="DK95" s="167">
        <f t="shared" si="326"/>
        <v>0</v>
      </c>
      <c r="DL95" s="167">
        <f t="shared" si="391"/>
        <v>0</v>
      </c>
      <c r="DM95" s="167">
        <f t="shared" si="327"/>
        <v>0</v>
      </c>
      <c r="DN95" s="167">
        <f t="shared" si="392"/>
        <v>0</v>
      </c>
      <c r="DO95" s="170">
        <f t="shared" si="328"/>
        <v>0</v>
      </c>
      <c r="DP95" s="167">
        <f t="shared" si="329"/>
        <v>0</v>
      </c>
      <c r="DQ95" s="171">
        <f t="shared" si="330"/>
        <v>0</v>
      </c>
      <c r="DR95" s="169">
        <f t="shared" si="382"/>
        <v>0</v>
      </c>
      <c r="DS95" s="167">
        <f t="shared" si="393"/>
        <v>0</v>
      </c>
      <c r="DT95" s="167">
        <f t="shared" si="331"/>
        <v>0</v>
      </c>
      <c r="DU95" s="167">
        <f t="shared" si="394"/>
        <v>0</v>
      </c>
      <c r="DV95" s="167">
        <f t="shared" si="332"/>
        <v>0</v>
      </c>
      <c r="DW95" s="167">
        <f t="shared" si="395"/>
        <v>0</v>
      </c>
      <c r="DX95" s="167">
        <f t="shared" si="333"/>
        <v>0</v>
      </c>
      <c r="DY95" s="167">
        <f t="shared" si="396"/>
        <v>0</v>
      </c>
      <c r="DZ95" s="167">
        <f t="shared" si="334"/>
        <v>0</v>
      </c>
      <c r="EA95" s="167">
        <f t="shared" si="397"/>
        <v>0</v>
      </c>
      <c r="EB95" s="170">
        <f t="shared" si="335"/>
        <v>0</v>
      </c>
      <c r="EC95" s="167">
        <f t="shared" si="336"/>
        <v>0</v>
      </c>
      <c r="ED95" s="171">
        <f t="shared" si="337"/>
        <v>0</v>
      </c>
    </row>
    <row r="96" spans="1:134" x14ac:dyDescent="0.3">
      <c r="A96" s="185"/>
      <c r="B96" s="186"/>
      <c r="C96" s="187"/>
      <c r="D96" s="188"/>
      <c r="E96" s="189"/>
      <c r="F96" s="190"/>
      <c r="G96" s="191"/>
      <c r="H96" s="192"/>
      <c r="I96" s="193"/>
      <c r="J96" s="194"/>
      <c r="K96" s="165">
        <f t="shared" si="338"/>
        <v>0</v>
      </c>
      <c r="L96" s="166">
        <f t="shared" si="339"/>
        <v>0</v>
      </c>
      <c r="M96" s="167">
        <f t="shared" si="340"/>
        <v>0</v>
      </c>
      <c r="N96" s="167"/>
      <c r="O96" s="167">
        <f t="shared" si="341"/>
        <v>0</v>
      </c>
      <c r="P96" s="168"/>
      <c r="Q96" s="167">
        <f t="shared" si="342"/>
        <v>0</v>
      </c>
      <c r="R96" s="169">
        <f t="shared" si="343"/>
        <v>0</v>
      </c>
      <c r="S96" s="167">
        <f t="shared" si="344"/>
        <v>0</v>
      </c>
      <c r="T96" s="167">
        <f t="shared" si="345"/>
        <v>0</v>
      </c>
      <c r="U96" s="167">
        <f t="shared" si="346"/>
        <v>0</v>
      </c>
      <c r="V96" s="167">
        <f t="shared" si="347"/>
        <v>0</v>
      </c>
      <c r="W96" s="167">
        <f t="shared" si="348"/>
        <v>0</v>
      </c>
      <c r="X96" s="167">
        <f t="shared" si="349"/>
        <v>0</v>
      </c>
      <c r="Y96" s="167">
        <f t="shared" si="350"/>
        <v>0</v>
      </c>
      <c r="Z96" s="167">
        <f t="shared" si="351"/>
        <v>0</v>
      </c>
      <c r="AA96" s="167">
        <f t="shared" si="352"/>
        <v>0</v>
      </c>
      <c r="AB96" s="170">
        <f t="shared" si="353"/>
        <v>0</v>
      </c>
      <c r="AC96" s="167">
        <f t="shared" si="354"/>
        <v>0</v>
      </c>
      <c r="AD96" s="171">
        <f t="shared" si="355"/>
        <v>0</v>
      </c>
      <c r="AE96" s="169">
        <f t="shared" si="356"/>
        <v>0</v>
      </c>
      <c r="AF96" s="167">
        <f t="shared" si="357"/>
        <v>0</v>
      </c>
      <c r="AG96" s="167">
        <f t="shared" si="281"/>
        <v>0</v>
      </c>
      <c r="AH96" s="167">
        <f t="shared" si="358"/>
        <v>0</v>
      </c>
      <c r="AI96" s="167">
        <f t="shared" si="282"/>
        <v>0</v>
      </c>
      <c r="AJ96" s="167">
        <f t="shared" si="359"/>
        <v>0</v>
      </c>
      <c r="AK96" s="167">
        <f t="shared" si="283"/>
        <v>0</v>
      </c>
      <c r="AL96" s="167">
        <f t="shared" si="360"/>
        <v>0</v>
      </c>
      <c r="AM96" s="167">
        <f t="shared" si="284"/>
        <v>0</v>
      </c>
      <c r="AN96" s="167">
        <f t="shared" si="361"/>
        <v>0</v>
      </c>
      <c r="AO96" s="170">
        <f t="shared" si="285"/>
        <v>0</v>
      </c>
      <c r="AP96" s="167">
        <f t="shared" si="286"/>
        <v>0</v>
      </c>
      <c r="AQ96" s="171">
        <f t="shared" si="287"/>
        <v>0</v>
      </c>
      <c r="AR96" s="169">
        <f t="shared" si="356"/>
        <v>0</v>
      </c>
      <c r="AS96" s="167">
        <f t="shared" si="362"/>
        <v>0</v>
      </c>
      <c r="AT96" s="167">
        <f t="shared" si="288"/>
        <v>0</v>
      </c>
      <c r="AU96" s="167">
        <f t="shared" si="363"/>
        <v>0</v>
      </c>
      <c r="AV96" s="167">
        <f t="shared" si="289"/>
        <v>0</v>
      </c>
      <c r="AW96" s="167">
        <f t="shared" si="364"/>
        <v>0</v>
      </c>
      <c r="AX96" s="167">
        <f t="shared" si="290"/>
        <v>0</v>
      </c>
      <c r="AY96" s="167">
        <f t="shared" si="365"/>
        <v>0</v>
      </c>
      <c r="AZ96" s="167">
        <f t="shared" si="291"/>
        <v>0</v>
      </c>
      <c r="BA96" s="167">
        <f t="shared" si="366"/>
        <v>0</v>
      </c>
      <c r="BB96" s="170">
        <f t="shared" si="292"/>
        <v>0</v>
      </c>
      <c r="BC96" s="167">
        <f t="shared" si="293"/>
        <v>0</v>
      </c>
      <c r="BD96" s="171">
        <f t="shared" si="294"/>
        <v>0</v>
      </c>
      <c r="BE96" s="169">
        <f t="shared" si="356"/>
        <v>0</v>
      </c>
      <c r="BF96" s="167">
        <f t="shared" si="367"/>
        <v>0</v>
      </c>
      <c r="BG96" s="167">
        <f t="shared" si="295"/>
        <v>0</v>
      </c>
      <c r="BH96" s="167">
        <f t="shared" si="368"/>
        <v>0</v>
      </c>
      <c r="BI96" s="167">
        <f t="shared" si="296"/>
        <v>0</v>
      </c>
      <c r="BJ96" s="167">
        <f t="shared" si="369"/>
        <v>0</v>
      </c>
      <c r="BK96" s="167">
        <f t="shared" si="297"/>
        <v>0</v>
      </c>
      <c r="BL96" s="167">
        <f t="shared" si="370"/>
        <v>0</v>
      </c>
      <c r="BM96" s="167">
        <f t="shared" si="298"/>
        <v>0</v>
      </c>
      <c r="BN96" s="167">
        <f t="shared" si="371"/>
        <v>0</v>
      </c>
      <c r="BO96" s="170">
        <f t="shared" si="299"/>
        <v>0</v>
      </c>
      <c r="BP96" s="167">
        <f t="shared" si="300"/>
        <v>0</v>
      </c>
      <c r="BQ96" s="171">
        <f t="shared" si="301"/>
        <v>0</v>
      </c>
      <c r="BR96" s="169">
        <f t="shared" si="356"/>
        <v>0</v>
      </c>
      <c r="BS96" s="167">
        <f t="shared" si="372"/>
        <v>0</v>
      </c>
      <c r="BT96" s="167">
        <f t="shared" si="302"/>
        <v>0</v>
      </c>
      <c r="BU96" s="167">
        <f t="shared" si="373"/>
        <v>0</v>
      </c>
      <c r="BV96" s="167">
        <f t="shared" si="303"/>
        <v>0</v>
      </c>
      <c r="BW96" s="167">
        <f t="shared" si="374"/>
        <v>0</v>
      </c>
      <c r="BX96" s="167">
        <f t="shared" si="304"/>
        <v>0</v>
      </c>
      <c r="BY96" s="167">
        <f t="shared" si="375"/>
        <v>0</v>
      </c>
      <c r="BZ96" s="167">
        <f t="shared" si="305"/>
        <v>0</v>
      </c>
      <c r="CA96" s="167">
        <f t="shared" si="376"/>
        <v>0</v>
      </c>
      <c r="CB96" s="170">
        <f t="shared" si="306"/>
        <v>0</v>
      </c>
      <c r="CC96" s="167">
        <f t="shared" si="307"/>
        <v>0</v>
      </c>
      <c r="CD96" s="171">
        <f t="shared" si="308"/>
        <v>0</v>
      </c>
      <c r="CE96" s="169">
        <f t="shared" si="356"/>
        <v>0</v>
      </c>
      <c r="CF96" s="167">
        <f t="shared" si="377"/>
        <v>0</v>
      </c>
      <c r="CG96" s="167">
        <f t="shared" si="309"/>
        <v>0</v>
      </c>
      <c r="CH96" s="167">
        <f t="shared" si="378"/>
        <v>0</v>
      </c>
      <c r="CI96" s="167">
        <f t="shared" si="310"/>
        <v>0</v>
      </c>
      <c r="CJ96" s="167">
        <f t="shared" si="379"/>
        <v>0</v>
      </c>
      <c r="CK96" s="167">
        <f t="shared" si="311"/>
        <v>0</v>
      </c>
      <c r="CL96" s="167">
        <f t="shared" si="380"/>
        <v>0</v>
      </c>
      <c r="CM96" s="167">
        <f t="shared" si="312"/>
        <v>0</v>
      </c>
      <c r="CN96" s="167">
        <f t="shared" si="381"/>
        <v>0</v>
      </c>
      <c r="CO96" s="170">
        <f t="shared" si="313"/>
        <v>0</v>
      </c>
      <c r="CP96" s="167">
        <f t="shared" si="314"/>
        <v>0</v>
      </c>
      <c r="CQ96" s="171">
        <f t="shared" si="315"/>
        <v>0</v>
      </c>
      <c r="CR96" s="169">
        <f t="shared" si="382"/>
        <v>0</v>
      </c>
      <c r="CS96" s="167">
        <f t="shared" si="383"/>
        <v>0</v>
      </c>
      <c r="CT96" s="167">
        <f t="shared" si="317"/>
        <v>0</v>
      </c>
      <c r="CU96" s="167">
        <f t="shared" si="384"/>
        <v>0</v>
      </c>
      <c r="CV96" s="167">
        <f t="shared" si="318"/>
        <v>0</v>
      </c>
      <c r="CW96" s="167">
        <f t="shared" si="385"/>
        <v>0</v>
      </c>
      <c r="CX96" s="167">
        <f t="shared" si="319"/>
        <v>0</v>
      </c>
      <c r="CY96" s="167">
        <f t="shared" si="386"/>
        <v>0</v>
      </c>
      <c r="CZ96" s="167">
        <f t="shared" si="320"/>
        <v>0</v>
      </c>
      <c r="DA96" s="167">
        <f t="shared" si="387"/>
        <v>0</v>
      </c>
      <c r="DB96" s="170">
        <f t="shared" si="321"/>
        <v>0</v>
      </c>
      <c r="DC96" s="167">
        <f t="shared" si="322"/>
        <v>0</v>
      </c>
      <c r="DD96" s="171">
        <f t="shared" si="323"/>
        <v>0</v>
      </c>
      <c r="DE96" s="169">
        <f t="shared" si="382"/>
        <v>0</v>
      </c>
      <c r="DF96" s="167">
        <f t="shared" si="388"/>
        <v>0</v>
      </c>
      <c r="DG96" s="167">
        <f t="shared" si="324"/>
        <v>0</v>
      </c>
      <c r="DH96" s="167">
        <f t="shared" si="389"/>
        <v>0</v>
      </c>
      <c r="DI96" s="167">
        <f t="shared" si="325"/>
        <v>0</v>
      </c>
      <c r="DJ96" s="167">
        <f t="shared" si="390"/>
        <v>0</v>
      </c>
      <c r="DK96" s="167">
        <f t="shared" si="326"/>
        <v>0</v>
      </c>
      <c r="DL96" s="167">
        <f t="shared" si="391"/>
        <v>0</v>
      </c>
      <c r="DM96" s="167">
        <f t="shared" si="327"/>
        <v>0</v>
      </c>
      <c r="DN96" s="167">
        <f t="shared" si="392"/>
        <v>0</v>
      </c>
      <c r="DO96" s="170">
        <f t="shared" si="328"/>
        <v>0</v>
      </c>
      <c r="DP96" s="167">
        <f t="shared" si="329"/>
        <v>0</v>
      </c>
      <c r="DQ96" s="171">
        <f t="shared" si="330"/>
        <v>0</v>
      </c>
      <c r="DR96" s="169">
        <f t="shared" si="382"/>
        <v>0</v>
      </c>
      <c r="DS96" s="167">
        <f t="shared" si="393"/>
        <v>0</v>
      </c>
      <c r="DT96" s="167">
        <f t="shared" si="331"/>
        <v>0</v>
      </c>
      <c r="DU96" s="167">
        <f t="shared" si="394"/>
        <v>0</v>
      </c>
      <c r="DV96" s="167">
        <f t="shared" si="332"/>
        <v>0</v>
      </c>
      <c r="DW96" s="167">
        <f t="shared" si="395"/>
        <v>0</v>
      </c>
      <c r="DX96" s="167">
        <f t="shared" si="333"/>
        <v>0</v>
      </c>
      <c r="DY96" s="167">
        <f t="shared" si="396"/>
        <v>0</v>
      </c>
      <c r="DZ96" s="167">
        <f t="shared" si="334"/>
        <v>0</v>
      </c>
      <c r="EA96" s="167">
        <f t="shared" si="397"/>
        <v>0</v>
      </c>
      <c r="EB96" s="170">
        <f t="shared" si="335"/>
        <v>0</v>
      </c>
      <c r="EC96" s="167">
        <f t="shared" si="336"/>
        <v>0</v>
      </c>
      <c r="ED96" s="171">
        <f t="shared" si="337"/>
        <v>0</v>
      </c>
    </row>
    <row r="97" spans="1:134" x14ac:dyDescent="0.3">
      <c r="A97" s="185"/>
      <c r="B97" s="186"/>
      <c r="C97" s="187"/>
      <c r="D97" s="188"/>
      <c r="E97" s="189"/>
      <c r="F97" s="190"/>
      <c r="G97" s="191"/>
      <c r="H97" s="192"/>
      <c r="I97" s="193"/>
      <c r="J97" s="194"/>
      <c r="K97" s="165">
        <f t="shared" si="338"/>
        <v>0</v>
      </c>
      <c r="L97" s="166">
        <f t="shared" si="339"/>
        <v>0</v>
      </c>
      <c r="M97" s="167">
        <f t="shared" si="340"/>
        <v>0</v>
      </c>
      <c r="N97" s="167"/>
      <c r="O97" s="167">
        <f t="shared" si="341"/>
        <v>0</v>
      </c>
      <c r="P97" s="168"/>
      <c r="Q97" s="167">
        <f t="shared" si="342"/>
        <v>0</v>
      </c>
      <c r="R97" s="169">
        <f t="shared" si="343"/>
        <v>0</v>
      </c>
      <c r="S97" s="167">
        <f t="shared" si="344"/>
        <v>0</v>
      </c>
      <c r="T97" s="167">
        <f t="shared" si="345"/>
        <v>0</v>
      </c>
      <c r="U97" s="167">
        <f t="shared" si="346"/>
        <v>0</v>
      </c>
      <c r="V97" s="167">
        <f t="shared" si="347"/>
        <v>0</v>
      </c>
      <c r="W97" s="167">
        <f t="shared" si="348"/>
        <v>0</v>
      </c>
      <c r="X97" s="167">
        <f t="shared" si="349"/>
        <v>0</v>
      </c>
      <c r="Y97" s="167">
        <f t="shared" si="350"/>
        <v>0</v>
      </c>
      <c r="Z97" s="167">
        <f t="shared" si="351"/>
        <v>0</v>
      </c>
      <c r="AA97" s="167">
        <f t="shared" si="352"/>
        <v>0</v>
      </c>
      <c r="AB97" s="170">
        <f t="shared" si="353"/>
        <v>0</v>
      </c>
      <c r="AC97" s="167">
        <f t="shared" si="354"/>
        <v>0</v>
      </c>
      <c r="AD97" s="171">
        <f t="shared" si="355"/>
        <v>0</v>
      </c>
      <c r="AE97" s="169">
        <f t="shared" si="356"/>
        <v>0</v>
      </c>
      <c r="AF97" s="167">
        <f t="shared" si="357"/>
        <v>0</v>
      </c>
      <c r="AG97" s="167">
        <f t="shared" si="281"/>
        <v>0</v>
      </c>
      <c r="AH97" s="167">
        <f t="shared" si="358"/>
        <v>0</v>
      </c>
      <c r="AI97" s="167">
        <f t="shared" si="282"/>
        <v>0</v>
      </c>
      <c r="AJ97" s="167">
        <f t="shared" si="359"/>
        <v>0</v>
      </c>
      <c r="AK97" s="167">
        <f t="shared" si="283"/>
        <v>0</v>
      </c>
      <c r="AL97" s="167">
        <f t="shared" si="360"/>
        <v>0</v>
      </c>
      <c r="AM97" s="167">
        <f t="shared" si="284"/>
        <v>0</v>
      </c>
      <c r="AN97" s="167">
        <f t="shared" si="361"/>
        <v>0</v>
      </c>
      <c r="AO97" s="170">
        <f t="shared" si="285"/>
        <v>0</v>
      </c>
      <c r="AP97" s="167">
        <f t="shared" si="286"/>
        <v>0</v>
      </c>
      <c r="AQ97" s="171">
        <f t="shared" si="287"/>
        <v>0</v>
      </c>
      <c r="AR97" s="169">
        <f t="shared" si="356"/>
        <v>0</v>
      </c>
      <c r="AS97" s="167">
        <f t="shared" si="362"/>
        <v>0</v>
      </c>
      <c r="AT97" s="167">
        <f t="shared" si="288"/>
        <v>0</v>
      </c>
      <c r="AU97" s="167">
        <f t="shared" si="363"/>
        <v>0</v>
      </c>
      <c r="AV97" s="167">
        <f t="shared" si="289"/>
        <v>0</v>
      </c>
      <c r="AW97" s="167">
        <f t="shared" si="364"/>
        <v>0</v>
      </c>
      <c r="AX97" s="167">
        <f t="shared" si="290"/>
        <v>0</v>
      </c>
      <c r="AY97" s="167">
        <f t="shared" si="365"/>
        <v>0</v>
      </c>
      <c r="AZ97" s="167">
        <f t="shared" si="291"/>
        <v>0</v>
      </c>
      <c r="BA97" s="167">
        <f t="shared" si="366"/>
        <v>0</v>
      </c>
      <c r="BB97" s="170">
        <f t="shared" si="292"/>
        <v>0</v>
      </c>
      <c r="BC97" s="167">
        <f t="shared" si="293"/>
        <v>0</v>
      </c>
      <c r="BD97" s="171">
        <f t="shared" si="294"/>
        <v>0</v>
      </c>
      <c r="BE97" s="169">
        <f t="shared" si="356"/>
        <v>0</v>
      </c>
      <c r="BF97" s="167">
        <f t="shared" si="367"/>
        <v>0</v>
      </c>
      <c r="BG97" s="167">
        <f t="shared" si="295"/>
        <v>0</v>
      </c>
      <c r="BH97" s="167">
        <f t="shared" si="368"/>
        <v>0</v>
      </c>
      <c r="BI97" s="167">
        <f t="shared" si="296"/>
        <v>0</v>
      </c>
      <c r="BJ97" s="167">
        <f t="shared" si="369"/>
        <v>0</v>
      </c>
      <c r="BK97" s="167">
        <f t="shared" si="297"/>
        <v>0</v>
      </c>
      <c r="BL97" s="167">
        <f t="shared" si="370"/>
        <v>0</v>
      </c>
      <c r="BM97" s="167">
        <f t="shared" si="298"/>
        <v>0</v>
      </c>
      <c r="BN97" s="167">
        <f t="shared" si="371"/>
        <v>0</v>
      </c>
      <c r="BO97" s="170">
        <f t="shared" si="299"/>
        <v>0</v>
      </c>
      <c r="BP97" s="167">
        <f t="shared" si="300"/>
        <v>0</v>
      </c>
      <c r="BQ97" s="171">
        <f t="shared" si="301"/>
        <v>0</v>
      </c>
      <c r="BR97" s="169">
        <f t="shared" si="356"/>
        <v>0</v>
      </c>
      <c r="BS97" s="167">
        <f t="shared" si="372"/>
        <v>0</v>
      </c>
      <c r="BT97" s="167">
        <f t="shared" si="302"/>
        <v>0</v>
      </c>
      <c r="BU97" s="167">
        <f t="shared" si="373"/>
        <v>0</v>
      </c>
      <c r="BV97" s="167">
        <f t="shared" si="303"/>
        <v>0</v>
      </c>
      <c r="BW97" s="167">
        <f t="shared" si="374"/>
        <v>0</v>
      </c>
      <c r="BX97" s="167">
        <f t="shared" si="304"/>
        <v>0</v>
      </c>
      <c r="BY97" s="167">
        <f t="shared" si="375"/>
        <v>0</v>
      </c>
      <c r="BZ97" s="167">
        <f t="shared" si="305"/>
        <v>0</v>
      </c>
      <c r="CA97" s="167">
        <f t="shared" si="376"/>
        <v>0</v>
      </c>
      <c r="CB97" s="170">
        <f t="shared" si="306"/>
        <v>0</v>
      </c>
      <c r="CC97" s="167">
        <f t="shared" si="307"/>
        <v>0</v>
      </c>
      <c r="CD97" s="171">
        <f t="shared" si="308"/>
        <v>0</v>
      </c>
      <c r="CE97" s="169">
        <f t="shared" si="356"/>
        <v>0</v>
      </c>
      <c r="CF97" s="167">
        <f t="shared" si="377"/>
        <v>0</v>
      </c>
      <c r="CG97" s="167">
        <f t="shared" si="309"/>
        <v>0</v>
      </c>
      <c r="CH97" s="167">
        <f t="shared" si="378"/>
        <v>0</v>
      </c>
      <c r="CI97" s="167">
        <f t="shared" si="310"/>
        <v>0</v>
      </c>
      <c r="CJ97" s="167">
        <f t="shared" si="379"/>
        <v>0</v>
      </c>
      <c r="CK97" s="167">
        <f t="shared" si="311"/>
        <v>0</v>
      </c>
      <c r="CL97" s="167">
        <f t="shared" si="380"/>
        <v>0</v>
      </c>
      <c r="CM97" s="167">
        <f t="shared" si="312"/>
        <v>0</v>
      </c>
      <c r="CN97" s="167">
        <f t="shared" si="381"/>
        <v>0</v>
      </c>
      <c r="CO97" s="170">
        <f t="shared" si="313"/>
        <v>0</v>
      </c>
      <c r="CP97" s="167">
        <f t="shared" si="314"/>
        <v>0</v>
      </c>
      <c r="CQ97" s="171">
        <f t="shared" si="315"/>
        <v>0</v>
      </c>
      <c r="CR97" s="169">
        <f t="shared" si="382"/>
        <v>0</v>
      </c>
      <c r="CS97" s="167">
        <f t="shared" si="383"/>
        <v>0</v>
      </c>
      <c r="CT97" s="167">
        <f t="shared" si="317"/>
        <v>0</v>
      </c>
      <c r="CU97" s="167">
        <f t="shared" si="384"/>
        <v>0</v>
      </c>
      <c r="CV97" s="167">
        <f t="shared" si="318"/>
        <v>0</v>
      </c>
      <c r="CW97" s="167">
        <f t="shared" si="385"/>
        <v>0</v>
      </c>
      <c r="CX97" s="167">
        <f t="shared" si="319"/>
        <v>0</v>
      </c>
      <c r="CY97" s="167">
        <f t="shared" si="386"/>
        <v>0</v>
      </c>
      <c r="CZ97" s="167">
        <f t="shared" si="320"/>
        <v>0</v>
      </c>
      <c r="DA97" s="167">
        <f t="shared" si="387"/>
        <v>0</v>
      </c>
      <c r="DB97" s="170">
        <f t="shared" si="321"/>
        <v>0</v>
      </c>
      <c r="DC97" s="167">
        <f t="shared" si="322"/>
        <v>0</v>
      </c>
      <c r="DD97" s="171">
        <f t="shared" si="323"/>
        <v>0</v>
      </c>
      <c r="DE97" s="169">
        <f t="shared" si="382"/>
        <v>0</v>
      </c>
      <c r="DF97" s="167">
        <f t="shared" si="388"/>
        <v>0</v>
      </c>
      <c r="DG97" s="167">
        <f t="shared" si="324"/>
        <v>0</v>
      </c>
      <c r="DH97" s="167">
        <f t="shared" si="389"/>
        <v>0</v>
      </c>
      <c r="DI97" s="167">
        <f t="shared" si="325"/>
        <v>0</v>
      </c>
      <c r="DJ97" s="167">
        <f t="shared" si="390"/>
        <v>0</v>
      </c>
      <c r="DK97" s="167">
        <f t="shared" si="326"/>
        <v>0</v>
      </c>
      <c r="DL97" s="167">
        <f t="shared" si="391"/>
        <v>0</v>
      </c>
      <c r="DM97" s="167">
        <f t="shared" si="327"/>
        <v>0</v>
      </c>
      <c r="DN97" s="167">
        <f t="shared" si="392"/>
        <v>0</v>
      </c>
      <c r="DO97" s="170">
        <f t="shared" si="328"/>
        <v>0</v>
      </c>
      <c r="DP97" s="167">
        <f t="shared" si="329"/>
        <v>0</v>
      </c>
      <c r="DQ97" s="171">
        <f t="shared" si="330"/>
        <v>0</v>
      </c>
      <c r="DR97" s="169">
        <f t="shared" si="382"/>
        <v>0</v>
      </c>
      <c r="DS97" s="167">
        <f t="shared" si="393"/>
        <v>0</v>
      </c>
      <c r="DT97" s="167">
        <f t="shared" si="331"/>
        <v>0</v>
      </c>
      <c r="DU97" s="167">
        <f t="shared" si="394"/>
        <v>0</v>
      </c>
      <c r="DV97" s="167">
        <f t="shared" si="332"/>
        <v>0</v>
      </c>
      <c r="DW97" s="167">
        <f t="shared" si="395"/>
        <v>0</v>
      </c>
      <c r="DX97" s="167">
        <f t="shared" si="333"/>
        <v>0</v>
      </c>
      <c r="DY97" s="167">
        <f t="shared" si="396"/>
        <v>0</v>
      </c>
      <c r="DZ97" s="167">
        <f t="shared" si="334"/>
        <v>0</v>
      </c>
      <c r="EA97" s="167">
        <f t="shared" si="397"/>
        <v>0</v>
      </c>
      <c r="EB97" s="170">
        <f t="shared" si="335"/>
        <v>0</v>
      </c>
      <c r="EC97" s="167">
        <f t="shared" si="336"/>
        <v>0</v>
      </c>
      <c r="ED97" s="171">
        <f t="shared" si="337"/>
        <v>0</v>
      </c>
    </row>
    <row r="98" spans="1:134" x14ac:dyDescent="0.3">
      <c r="A98" s="185"/>
      <c r="B98" s="186"/>
      <c r="C98" s="187"/>
      <c r="D98" s="188"/>
      <c r="E98" s="189"/>
      <c r="F98" s="190"/>
      <c r="G98" s="191"/>
      <c r="H98" s="192"/>
      <c r="I98" s="193"/>
      <c r="J98" s="194"/>
      <c r="K98" s="165">
        <f t="shared" si="338"/>
        <v>0</v>
      </c>
      <c r="L98" s="166">
        <f t="shared" si="339"/>
        <v>0</v>
      </c>
      <c r="M98" s="167">
        <f t="shared" si="340"/>
        <v>0</v>
      </c>
      <c r="N98" s="167"/>
      <c r="O98" s="167">
        <f t="shared" si="341"/>
        <v>0</v>
      </c>
      <c r="P98" s="168"/>
      <c r="Q98" s="167">
        <f t="shared" si="342"/>
        <v>0</v>
      </c>
      <c r="R98" s="169">
        <f t="shared" si="343"/>
        <v>0</v>
      </c>
      <c r="S98" s="167">
        <f t="shared" si="344"/>
        <v>0</v>
      </c>
      <c r="T98" s="167">
        <f t="shared" si="345"/>
        <v>0</v>
      </c>
      <c r="U98" s="167">
        <f t="shared" si="346"/>
        <v>0</v>
      </c>
      <c r="V98" s="167">
        <f t="shared" si="347"/>
        <v>0</v>
      </c>
      <c r="W98" s="167">
        <f t="shared" si="348"/>
        <v>0</v>
      </c>
      <c r="X98" s="167">
        <f t="shared" si="349"/>
        <v>0</v>
      </c>
      <c r="Y98" s="167">
        <f t="shared" si="350"/>
        <v>0</v>
      </c>
      <c r="Z98" s="167">
        <f t="shared" si="351"/>
        <v>0</v>
      </c>
      <c r="AA98" s="167">
        <f t="shared" si="352"/>
        <v>0</v>
      </c>
      <c r="AB98" s="170">
        <f t="shared" si="353"/>
        <v>0</v>
      </c>
      <c r="AC98" s="167">
        <f t="shared" si="354"/>
        <v>0</v>
      </c>
      <c r="AD98" s="171">
        <f t="shared" si="355"/>
        <v>0</v>
      </c>
      <c r="AE98" s="169">
        <f t="shared" si="356"/>
        <v>0</v>
      </c>
      <c r="AF98" s="167">
        <f t="shared" si="357"/>
        <v>0</v>
      </c>
      <c r="AG98" s="167">
        <f t="shared" si="281"/>
        <v>0</v>
      </c>
      <c r="AH98" s="167">
        <f t="shared" si="358"/>
        <v>0</v>
      </c>
      <c r="AI98" s="167">
        <f t="shared" si="282"/>
        <v>0</v>
      </c>
      <c r="AJ98" s="167">
        <f t="shared" si="359"/>
        <v>0</v>
      </c>
      <c r="AK98" s="167">
        <f t="shared" si="283"/>
        <v>0</v>
      </c>
      <c r="AL98" s="167">
        <f t="shared" si="360"/>
        <v>0</v>
      </c>
      <c r="AM98" s="167">
        <f t="shared" si="284"/>
        <v>0</v>
      </c>
      <c r="AN98" s="167">
        <f t="shared" si="361"/>
        <v>0</v>
      </c>
      <c r="AO98" s="170">
        <f t="shared" si="285"/>
        <v>0</v>
      </c>
      <c r="AP98" s="167">
        <f t="shared" si="286"/>
        <v>0</v>
      </c>
      <c r="AQ98" s="171">
        <f t="shared" si="287"/>
        <v>0</v>
      </c>
      <c r="AR98" s="169">
        <f t="shared" si="356"/>
        <v>0</v>
      </c>
      <c r="AS98" s="167">
        <f t="shared" si="362"/>
        <v>0</v>
      </c>
      <c r="AT98" s="167">
        <f t="shared" si="288"/>
        <v>0</v>
      </c>
      <c r="AU98" s="167">
        <f t="shared" si="363"/>
        <v>0</v>
      </c>
      <c r="AV98" s="167">
        <f t="shared" si="289"/>
        <v>0</v>
      </c>
      <c r="AW98" s="167">
        <f t="shared" si="364"/>
        <v>0</v>
      </c>
      <c r="AX98" s="167">
        <f t="shared" si="290"/>
        <v>0</v>
      </c>
      <c r="AY98" s="167">
        <f t="shared" si="365"/>
        <v>0</v>
      </c>
      <c r="AZ98" s="167">
        <f t="shared" si="291"/>
        <v>0</v>
      </c>
      <c r="BA98" s="167">
        <f t="shared" si="366"/>
        <v>0</v>
      </c>
      <c r="BB98" s="170">
        <f t="shared" si="292"/>
        <v>0</v>
      </c>
      <c r="BC98" s="167">
        <f t="shared" si="293"/>
        <v>0</v>
      </c>
      <c r="BD98" s="171">
        <f t="shared" si="294"/>
        <v>0</v>
      </c>
      <c r="BE98" s="169">
        <f t="shared" si="356"/>
        <v>0</v>
      </c>
      <c r="BF98" s="167">
        <f t="shared" si="367"/>
        <v>0</v>
      </c>
      <c r="BG98" s="167">
        <f t="shared" si="295"/>
        <v>0</v>
      </c>
      <c r="BH98" s="167">
        <f t="shared" si="368"/>
        <v>0</v>
      </c>
      <c r="BI98" s="167">
        <f t="shared" si="296"/>
        <v>0</v>
      </c>
      <c r="BJ98" s="167">
        <f t="shared" si="369"/>
        <v>0</v>
      </c>
      <c r="BK98" s="167">
        <f t="shared" si="297"/>
        <v>0</v>
      </c>
      <c r="BL98" s="167">
        <f t="shared" si="370"/>
        <v>0</v>
      </c>
      <c r="BM98" s="167">
        <f t="shared" si="298"/>
        <v>0</v>
      </c>
      <c r="BN98" s="167">
        <f t="shared" si="371"/>
        <v>0</v>
      </c>
      <c r="BO98" s="170">
        <f t="shared" si="299"/>
        <v>0</v>
      </c>
      <c r="BP98" s="167">
        <f t="shared" si="300"/>
        <v>0</v>
      </c>
      <c r="BQ98" s="171">
        <f t="shared" si="301"/>
        <v>0</v>
      </c>
      <c r="BR98" s="169">
        <f t="shared" si="356"/>
        <v>0</v>
      </c>
      <c r="BS98" s="167">
        <f t="shared" si="372"/>
        <v>0</v>
      </c>
      <c r="BT98" s="167">
        <f t="shared" si="302"/>
        <v>0</v>
      </c>
      <c r="BU98" s="167">
        <f t="shared" si="373"/>
        <v>0</v>
      </c>
      <c r="BV98" s="167">
        <f t="shared" si="303"/>
        <v>0</v>
      </c>
      <c r="BW98" s="167">
        <f t="shared" si="374"/>
        <v>0</v>
      </c>
      <c r="BX98" s="167">
        <f t="shared" si="304"/>
        <v>0</v>
      </c>
      <c r="BY98" s="167">
        <f t="shared" si="375"/>
        <v>0</v>
      </c>
      <c r="BZ98" s="167">
        <f t="shared" si="305"/>
        <v>0</v>
      </c>
      <c r="CA98" s="167">
        <f t="shared" si="376"/>
        <v>0</v>
      </c>
      <c r="CB98" s="170">
        <f t="shared" si="306"/>
        <v>0</v>
      </c>
      <c r="CC98" s="167">
        <f t="shared" si="307"/>
        <v>0</v>
      </c>
      <c r="CD98" s="171">
        <f t="shared" si="308"/>
        <v>0</v>
      </c>
      <c r="CE98" s="169">
        <f t="shared" si="356"/>
        <v>0</v>
      </c>
      <c r="CF98" s="167">
        <f t="shared" si="377"/>
        <v>0</v>
      </c>
      <c r="CG98" s="167">
        <f t="shared" si="309"/>
        <v>0</v>
      </c>
      <c r="CH98" s="167">
        <f t="shared" si="378"/>
        <v>0</v>
      </c>
      <c r="CI98" s="167">
        <f t="shared" si="310"/>
        <v>0</v>
      </c>
      <c r="CJ98" s="167">
        <f t="shared" si="379"/>
        <v>0</v>
      </c>
      <c r="CK98" s="167">
        <f t="shared" si="311"/>
        <v>0</v>
      </c>
      <c r="CL98" s="167">
        <f t="shared" si="380"/>
        <v>0</v>
      </c>
      <c r="CM98" s="167">
        <f t="shared" si="312"/>
        <v>0</v>
      </c>
      <c r="CN98" s="167">
        <f t="shared" si="381"/>
        <v>0</v>
      </c>
      <c r="CO98" s="170">
        <f t="shared" si="313"/>
        <v>0</v>
      </c>
      <c r="CP98" s="167">
        <f t="shared" si="314"/>
        <v>0</v>
      </c>
      <c r="CQ98" s="171">
        <f t="shared" si="315"/>
        <v>0</v>
      </c>
      <c r="CR98" s="169">
        <f t="shared" si="382"/>
        <v>0</v>
      </c>
      <c r="CS98" s="167">
        <f t="shared" si="383"/>
        <v>0</v>
      </c>
      <c r="CT98" s="167">
        <f t="shared" si="317"/>
        <v>0</v>
      </c>
      <c r="CU98" s="167">
        <f t="shared" si="384"/>
        <v>0</v>
      </c>
      <c r="CV98" s="167">
        <f t="shared" si="318"/>
        <v>0</v>
      </c>
      <c r="CW98" s="167">
        <f t="shared" si="385"/>
        <v>0</v>
      </c>
      <c r="CX98" s="167">
        <f t="shared" si="319"/>
        <v>0</v>
      </c>
      <c r="CY98" s="167">
        <f t="shared" si="386"/>
        <v>0</v>
      </c>
      <c r="CZ98" s="167">
        <f t="shared" si="320"/>
        <v>0</v>
      </c>
      <c r="DA98" s="167">
        <f t="shared" si="387"/>
        <v>0</v>
      </c>
      <c r="DB98" s="170">
        <f t="shared" si="321"/>
        <v>0</v>
      </c>
      <c r="DC98" s="167">
        <f t="shared" si="322"/>
        <v>0</v>
      </c>
      <c r="DD98" s="171">
        <f t="shared" si="323"/>
        <v>0</v>
      </c>
      <c r="DE98" s="169">
        <f t="shared" si="382"/>
        <v>0</v>
      </c>
      <c r="DF98" s="167">
        <f t="shared" si="388"/>
        <v>0</v>
      </c>
      <c r="DG98" s="167">
        <f t="shared" si="324"/>
        <v>0</v>
      </c>
      <c r="DH98" s="167">
        <f t="shared" si="389"/>
        <v>0</v>
      </c>
      <c r="DI98" s="167">
        <f t="shared" si="325"/>
        <v>0</v>
      </c>
      <c r="DJ98" s="167">
        <f t="shared" si="390"/>
        <v>0</v>
      </c>
      <c r="DK98" s="167">
        <f t="shared" si="326"/>
        <v>0</v>
      </c>
      <c r="DL98" s="167">
        <f t="shared" si="391"/>
        <v>0</v>
      </c>
      <c r="DM98" s="167">
        <f t="shared" si="327"/>
        <v>0</v>
      </c>
      <c r="DN98" s="167">
        <f t="shared" si="392"/>
        <v>0</v>
      </c>
      <c r="DO98" s="170">
        <f t="shared" si="328"/>
        <v>0</v>
      </c>
      <c r="DP98" s="167">
        <f t="shared" si="329"/>
        <v>0</v>
      </c>
      <c r="DQ98" s="171">
        <f t="shared" si="330"/>
        <v>0</v>
      </c>
      <c r="DR98" s="169">
        <f t="shared" si="382"/>
        <v>0</v>
      </c>
      <c r="DS98" s="167">
        <f t="shared" si="393"/>
        <v>0</v>
      </c>
      <c r="DT98" s="167">
        <f t="shared" si="331"/>
        <v>0</v>
      </c>
      <c r="DU98" s="167">
        <f t="shared" si="394"/>
        <v>0</v>
      </c>
      <c r="DV98" s="167">
        <f t="shared" si="332"/>
        <v>0</v>
      </c>
      <c r="DW98" s="167">
        <f t="shared" si="395"/>
        <v>0</v>
      </c>
      <c r="DX98" s="167">
        <f t="shared" si="333"/>
        <v>0</v>
      </c>
      <c r="DY98" s="167">
        <f t="shared" si="396"/>
        <v>0</v>
      </c>
      <c r="DZ98" s="167">
        <f t="shared" si="334"/>
        <v>0</v>
      </c>
      <c r="EA98" s="167">
        <f t="shared" si="397"/>
        <v>0</v>
      </c>
      <c r="EB98" s="170">
        <f t="shared" si="335"/>
        <v>0</v>
      </c>
      <c r="EC98" s="167">
        <f t="shared" si="336"/>
        <v>0</v>
      </c>
      <c r="ED98" s="171">
        <f t="shared" si="337"/>
        <v>0</v>
      </c>
    </row>
    <row r="99" spans="1:134" x14ac:dyDescent="0.3">
      <c r="A99" s="185"/>
      <c r="B99" s="186"/>
      <c r="C99" s="187"/>
      <c r="D99" s="188"/>
      <c r="E99" s="189"/>
      <c r="F99" s="190"/>
      <c r="G99" s="191"/>
      <c r="H99" s="192"/>
      <c r="I99" s="193"/>
      <c r="J99" s="194"/>
      <c r="K99" s="165">
        <f t="shared" si="338"/>
        <v>0</v>
      </c>
      <c r="L99" s="166">
        <f t="shared" si="339"/>
        <v>0</v>
      </c>
      <c r="M99" s="167">
        <f t="shared" si="340"/>
        <v>0</v>
      </c>
      <c r="N99" s="167"/>
      <c r="O99" s="167">
        <f t="shared" si="341"/>
        <v>0</v>
      </c>
      <c r="P99" s="168"/>
      <c r="Q99" s="167">
        <f t="shared" si="342"/>
        <v>0</v>
      </c>
      <c r="R99" s="169">
        <f t="shared" si="343"/>
        <v>0</v>
      </c>
      <c r="S99" s="167">
        <f t="shared" si="344"/>
        <v>0</v>
      </c>
      <c r="T99" s="167">
        <f t="shared" si="345"/>
        <v>0</v>
      </c>
      <c r="U99" s="167">
        <f t="shared" si="346"/>
        <v>0</v>
      </c>
      <c r="V99" s="167">
        <f t="shared" si="347"/>
        <v>0</v>
      </c>
      <c r="W99" s="167">
        <f t="shared" si="348"/>
        <v>0</v>
      </c>
      <c r="X99" s="167">
        <f t="shared" si="349"/>
        <v>0</v>
      </c>
      <c r="Y99" s="167">
        <f t="shared" si="350"/>
        <v>0</v>
      </c>
      <c r="Z99" s="167">
        <f t="shared" si="351"/>
        <v>0</v>
      </c>
      <c r="AA99" s="167">
        <f t="shared" si="352"/>
        <v>0</v>
      </c>
      <c r="AB99" s="170">
        <f t="shared" si="353"/>
        <v>0</v>
      </c>
      <c r="AC99" s="167">
        <f t="shared" si="354"/>
        <v>0</v>
      </c>
      <c r="AD99" s="171">
        <f t="shared" si="355"/>
        <v>0</v>
      </c>
      <c r="AE99" s="169">
        <f t="shared" si="356"/>
        <v>0</v>
      </c>
      <c r="AF99" s="167">
        <f t="shared" si="357"/>
        <v>0</v>
      </c>
      <c r="AG99" s="167">
        <f t="shared" si="281"/>
        <v>0</v>
      </c>
      <c r="AH99" s="167">
        <f t="shared" si="358"/>
        <v>0</v>
      </c>
      <c r="AI99" s="167">
        <f t="shared" si="282"/>
        <v>0</v>
      </c>
      <c r="AJ99" s="167">
        <f t="shared" si="359"/>
        <v>0</v>
      </c>
      <c r="AK99" s="167">
        <f t="shared" si="283"/>
        <v>0</v>
      </c>
      <c r="AL99" s="167">
        <f t="shared" si="360"/>
        <v>0</v>
      </c>
      <c r="AM99" s="167">
        <f t="shared" si="284"/>
        <v>0</v>
      </c>
      <c r="AN99" s="167">
        <f t="shared" si="361"/>
        <v>0</v>
      </c>
      <c r="AO99" s="170">
        <f t="shared" si="285"/>
        <v>0</v>
      </c>
      <c r="AP99" s="167">
        <f t="shared" si="286"/>
        <v>0</v>
      </c>
      <c r="AQ99" s="171">
        <f t="shared" si="287"/>
        <v>0</v>
      </c>
      <c r="AR99" s="169">
        <f t="shared" si="356"/>
        <v>0</v>
      </c>
      <c r="AS99" s="167">
        <f t="shared" si="362"/>
        <v>0</v>
      </c>
      <c r="AT99" s="167">
        <f t="shared" si="288"/>
        <v>0</v>
      </c>
      <c r="AU99" s="167">
        <f t="shared" si="363"/>
        <v>0</v>
      </c>
      <c r="AV99" s="167">
        <f t="shared" si="289"/>
        <v>0</v>
      </c>
      <c r="AW99" s="167">
        <f t="shared" si="364"/>
        <v>0</v>
      </c>
      <c r="AX99" s="167">
        <f t="shared" si="290"/>
        <v>0</v>
      </c>
      <c r="AY99" s="167">
        <f t="shared" si="365"/>
        <v>0</v>
      </c>
      <c r="AZ99" s="167">
        <f t="shared" si="291"/>
        <v>0</v>
      </c>
      <c r="BA99" s="167">
        <f t="shared" si="366"/>
        <v>0</v>
      </c>
      <c r="BB99" s="170">
        <f t="shared" si="292"/>
        <v>0</v>
      </c>
      <c r="BC99" s="167">
        <f t="shared" si="293"/>
        <v>0</v>
      </c>
      <c r="BD99" s="171">
        <f t="shared" si="294"/>
        <v>0</v>
      </c>
      <c r="BE99" s="169">
        <f t="shared" si="356"/>
        <v>0</v>
      </c>
      <c r="BF99" s="167">
        <f t="shared" si="367"/>
        <v>0</v>
      </c>
      <c r="BG99" s="167">
        <f t="shared" si="295"/>
        <v>0</v>
      </c>
      <c r="BH99" s="167">
        <f t="shared" si="368"/>
        <v>0</v>
      </c>
      <c r="BI99" s="167">
        <f t="shared" si="296"/>
        <v>0</v>
      </c>
      <c r="BJ99" s="167">
        <f t="shared" si="369"/>
        <v>0</v>
      </c>
      <c r="BK99" s="167">
        <f t="shared" si="297"/>
        <v>0</v>
      </c>
      <c r="BL99" s="167">
        <f t="shared" si="370"/>
        <v>0</v>
      </c>
      <c r="BM99" s="167">
        <f t="shared" si="298"/>
        <v>0</v>
      </c>
      <c r="BN99" s="167">
        <f t="shared" si="371"/>
        <v>0</v>
      </c>
      <c r="BO99" s="170">
        <f t="shared" si="299"/>
        <v>0</v>
      </c>
      <c r="BP99" s="167">
        <f t="shared" si="300"/>
        <v>0</v>
      </c>
      <c r="BQ99" s="171">
        <f t="shared" si="301"/>
        <v>0</v>
      </c>
      <c r="BR99" s="169">
        <f t="shared" si="356"/>
        <v>0</v>
      </c>
      <c r="BS99" s="167">
        <f t="shared" si="372"/>
        <v>0</v>
      </c>
      <c r="BT99" s="167">
        <f t="shared" si="302"/>
        <v>0</v>
      </c>
      <c r="BU99" s="167">
        <f t="shared" si="373"/>
        <v>0</v>
      </c>
      <c r="BV99" s="167">
        <f t="shared" si="303"/>
        <v>0</v>
      </c>
      <c r="BW99" s="167">
        <f t="shared" si="374"/>
        <v>0</v>
      </c>
      <c r="BX99" s="167">
        <f t="shared" si="304"/>
        <v>0</v>
      </c>
      <c r="BY99" s="167">
        <f t="shared" si="375"/>
        <v>0</v>
      </c>
      <c r="BZ99" s="167">
        <f t="shared" si="305"/>
        <v>0</v>
      </c>
      <c r="CA99" s="167">
        <f t="shared" si="376"/>
        <v>0</v>
      </c>
      <c r="CB99" s="170">
        <f t="shared" si="306"/>
        <v>0</v>
      </c>
      <c r="CC99" s="167">
        <f t="shared" si="307"/>
        <v>0</v>
      </c>
      <c r="CD99" s="171">
        <f t="shared" si="308"/>
        <v>0</v>
      </c>
      <c r="CE99" s="169">
        <f t="shared" si="356"/>
        <v>0</v>
      </c>
      <c r="CF99" s="167">
        <f t="shared" si="377"/>
        <v>0</v>
      </c>
      <c r="CG99" s="167">
        <f t="shared" si="309"/>
        <v>0</v>
      </c>
      <c r="CH99" s="167">
        <f t="shared" si="378"/>
        <v>0</v>
      </c>
      <c r="CI99" s="167">
        <f t="shared" si="310"/>
        <v>0</v>
      </c>
      <c r="CJ99" s="167">
        <f t="shared" si="379"/>
        <v>0</v>
      </c>
      <c r="CK99" s="167">
        <f t="shared" si="311"/>
        <v>0</v>
      </c>
      <c r="CL99" s="167">
        <f t="shared" si="380"/>
        <v>0</v>
      </c>
      <c r="CM99" s="167">
        <f t="shared" si="312"/>
        <v>0</v>
      </c>
      <c r="CN99" s="167">
        <f t="shared" si="381"/>
        <v>0</v>
      </c>
      <c r="CO99" s="170">
        <f t="shared" si="313"/>
        <v>0</v>
      </c>
      <c r="CP99" s="167">
        <f t="shared" si="314"/>
        <v>0</v>
      </c>
      <c r="CQ99" s="171">
        <f t="shared" si="315"/>
        <v>0</v>
      </c>
      <c r="CR99" s="169">
        <f t="shared" si="382"/>
        <v>0</v>
      </c>
      <c r="CS99" s="167">
        <f t="shared" si="383"/>
        <v>0</v>
      </c>
      <c r="CT99" s="167">
        <f t="shared" si="317"/>
        <v>0</v>
      </c>
      <c r="CU99" s="167">
        <f t="shared" si="384"/>
        <v>0</v>
      </c>
      <c r="CV99" s="167">
        <f t="shared" si="318"/>
        <v>0</v>
      </c>
      <c r="CW99" s="167">
        <f t="shared" si="385"/>
        <v>0</v>
      </c>
      <c r="CX99" s="167">
        <f t="shared" si="319"/>
        <v>0</v>
      </c>
      <c r="CY99" s="167">
        <f t="shared" si="386"/>
        <v>0</v>
      </c>
      <c r="CZ99" s="167">
        <f t="shared" si="320"/>
        <v>0</v>
      </c>
      <c r="DA99" s="167">
        <f t="shared" si="387"/>
        <v>0</v>
      </c>
      <c r="DB99" s="170">
        <f t="shared" si="321"/>
        <v>0</v>
      </c>
      <c r="DC99" s="167">
        <f t="shared" si="322"/>
        <v>0</v>
      </c>
      <c r="DD99" s="171">
        <f t="shared" si="323"/>
        <v>0</v>
      </c>
      <c r="DE99" s="169">
        <f t="shared" si="382"/>
        <v>0</v>
      </c>
      <c r="DF99" s="167">
        <f t="shared" si="388"/>
        <v>0</v>
      </c>
      <c r="DG99" s="167">
        <f t="shared" si="324"/>
        <v>0</v>
      </c>
      <c r="DH99" s="167">
        <f t="shared" si="389"/>
        <v>0</v>
      </c>
      <c r="DI99" s="167">
        <f t="shared" si="325"/>
        <v>0</v>
      </c>
      <c r="DJ99" s="167">
        <f t="shared" si="390"/>
        <v>0</v>
      </c>
      <c r="DK99" s="167">
        <f t="shared" si="326"/>
        <v>0</v>
      </c>
      <c r="DL99" s="167">
        <f t="shared" si="391"/>
        <v>0</v>
      </c>
      <c r="DM99" s="167">
        <f t="shared" si="327"/>
        <v>0</v>
      </c>
      <c r="DN99" s="167">
        <f t="shared" si="392"/>
        <v>0</v>
      </c>
      <c r="DO99" s="170">
        <f t="shared" si="328"/>
        <v>0</v>
      </c>
      <c r="DP99" s="167">
        <f t="shared" si="329"/>
        <v>0</v>
      </c>
      <c r="DQ99" s="171">
        <f t="shared" si="330"/>
        <v>0</v>
      </c>
      <c r="DR99" s="169">
        <f t="shared" si="382"/>
        <v>0</v>
      </c>
      <c r="DS99" s="167">
        <f t="shared" si="393"/>
        <v>0</v>
      </c>
      <c r="DT99" s="167">
        <f t="shared" si="331"/>
        <v>0</v>
      </c>
      <c r="DU99" s="167">
        <f t="shared" si="394"/>
        <v>0</v>
      </c>
      <c r="DV99" s="167">
        <f t="shared" si="332"/>
        <v>0</v>
      </c>
      <c r="DW99" s="167">
        <f t="shared" si="395"/>
        <v>0</v>
      </c>
      <c r="DX99" s="167">
        <f t="shared" si="333"/>
        <v>0</v>
      </c>
      <c r="DY99" s="167">
        <f t="shared" si="396"/>
        <v>0</v>
      </c>
      <c r="DZ99" s="167">
        <f t="shared" si="334"/>
        <v>0</v>
      </c>
      <c r="EA99" s="167">
        <f t="shared" si="397"/>
        <v>0</v>
      </c>
      <c r="EB99" s="170">
        <f t="shared" si="335"/>
        <v>0</v>
      </c>
      <c r="EC99" s="167">
        <f t="shared" si="336"/>
        <v>0</v>
      </c>
      <c r="ED99" s="171">
        <f t="shared" si="337"/>
        <v>0</v>
      </c>
    </row>
    <row r="100" spans="1:134" x14ac:dyDescent="0.3">
      <c r="A100" s="185"/>
      <c r="B100" s="186"/>
      <c r="C100" s="187"/>
      <c r="D100" s="188"/>
      <c r="E100" s="189"/>
      <c r="F100" s="190"/>
      <c r="G100" s="191"/>
      <c r="H100" s="192"/>
      <c r="I100" s="193"/>
      <c r="J100" s="194"/>
      <c r="K100" s="165">
        <f t="shared" si="338"/>
        <v>0</v>
      </c>
      <c r="L100" s="166">
        <f t="shared" si="339"/>
        <v>0</v>
      </c>
      <c r="M100" s="167">
        <f t="shared" si="340"/>
        <v>0</v>
      </c>
      <c r="N100" s="167"/>
      <c r="O100" s="167">
        <f t="shared" si="341"/>
        <v>0</v>
      </c>
      <c r="P100" s="168"/>
      <c r="Q100" s="167">
        <f t="shared" si="342"/>
        <v>0</v>
      </c>
      <c r="R100" s="169">
        <f t="shared" si="343"/>
        <v>0</v>
      </c>
      <c r="S100" s="167">
        <f t="shared" si="344"/>
        <v>0</v>
      </c>
      <c r="T100" s="167">
        <f t="shared" si="345"/>
        <v>0</v>
      </c>
      <c r="U100" s="167">
        <f t="shared" si="346"/>
        <v>0</v>
      </c>
      <c r="V100" s="167">
        <f t="shared" si="347"/>
        <v>0</v>
      </c>
      <c r="W100" s="167">
        <f t="shared" si="348"/>
        <v>0</v>
      </c>
      <c r="X100" s="167">
        <f t="shared" si="349"/>
        <v>0</v>
      </c>
      <c r="Y100" s="167">
        <f t="shared" si="350"/>
        <v>0</v>
      </c>
      <c r="Z100" s="167">
        <f t="shared" si="351"/>
        <v>0</v>
      </c>
      <c r="AA100" s="167">
        <f t="shared" si="352"/>
        <v>0</v>
      </c>
      <c r="AB100" s="170">
        <f t="shared" si="353"/>
        <v>0</v>
      </c>
      <c r="AC100" s="167">
        <f t="shared" si="354"/>
        <v>0</v>
      </c>
      <c r="AD100" s="171">
        <f t="shared" si="355"/>
        <v>0</v>
      </c>
      <c r="AE100" s="169">
        <f t="shared" si="356"/>
        <v>0</v>
      </c>
      <c r="AF100" s="167">
        <f t="shared" si="357"/>
        <v>0</v>
      </c>
      <c r="AG100" s="167">
        <f t="shared" si="281"/>
        <v>0</v>
      </c>
      <c r="AH100" s="167">
        <f t="shared" si="358"/>
        <v>0</v>
      </c>
      <c r="AI100" s="167">
        <f t="shared" si="282"/>
        <v>0</v>
      </c>
      <c r="AJ100" s="167">
        <f t="shared" si="359"/>
        <v>0</v>
      </c>
      <c r="AK100" s="167">
        <f t="shared" si="283"/>
        <v>0</v>
      </c>
      <c r="AL100" s="167">
        <f t="shared" si="360"/>
        <v>0</v>
      </c>
      <c r="AM100" s="167">
        <f t="shared" si="284"/>
        <v>0</v>
      </c>
      <c r="AN100" s="167">
        <f t="shared" si="361"/>
        <v>0</v>
      </c>
      <c r="AO100" s="170">
        <f t="shared" si="285"/>
        <v>0</v>
      </c>
      <c r="AP100" s="167">
        <f t="shared" si="286"/>
        <v>0</v>
      </c>
      <c r="AQ100" s="171">
        <f t="shared" si="287"/>
        <v>0</v>
      </c>
      <c r="AR100" s="169">
        <f t="shared" si="356"/>
        <v>0</v>
      </c>
      <c r="AS100" s="167">
        <f t="shared" si="362"/>
        <v>0</v>
      </c>
      <c r="AT100" s="167">
        <f t="shared" si="288"/>
        <v>0</v>
      </c>
      <c r="AU100" s="167">
        <f t="shared" si="363"/>
        <v>0</v>
      </c>
      <c r="AV100" s="167">
        <f t="shared" si="289"/>
        <v>0</v>
      </c>
      <c r="AW100" s="167">
        <f t="shared" si="364"/>
        <v>0</v>
      </c>
      <c r="AX100" s="167">
        <f t="shared" si="290"/>
        <v>0</v>
      </c>
      <c r="AY100" s="167">
        <f t="shared" si="365"/>
        <v>0</v>
      </c>
      <c r="AZ100" s="167">
        <f t="shared" si="291"/>
        <v>0</v>
      </c>
      <c r="BA100" s="167">
        <f t="shared" si="366"/>
        <v>0</v>
      </c>
      <c r="BB100" s="170">
        <f t="shared" si="292"/>
        <v>0</v>
      </c>
      <c r="BC100" s="167">
        <f t="shared" si="293"/>
        <v>0</v>
      </c>
      <c r="BD100" s="171">
        <f t="shared" si="294"/>
        <v>0</v>
      </c>
      <c r="BE100" s="169">
        <f t="shared" si="356"/>
        <v>0</v>
      </c>
      <c r="BF100" s="167">
        <f t="shared" si="367"/>
        <v>0</v>
      </c>
      <c r="BG100" s="167">
        <f t="shared" si="295"/>
        <v>0</v>
      </c>
      <c r="BH100" s="167">
        <f t="shared" si="368"/>
        <v>0</v>
      </c>
      <c r="BI100" s="167">
        <f t="shared" si="296"/>
        <v>0</v>
      </c>
      <c r="BJ100" s="167">
        <f t="shared" si="369"/>
        <v>0</v>
      </c>
      <c r="BK100" s="167">
        <f t="shared" si="297"/>
        <v>0</v>
      </c>
      <c r="BL100" s="167">
        <f t="shared" si="370"/>
        <v>0</v>
      </c>
      <c r="BM100" s="167">
        <f t="shared" si="298"/>
        <v>0</v>
      </c>
      <c r="BN100" s="167">
        <f t="shared" si="371"/>
        <v>0</v>
      </c>
      <c r="BO100" s="170">
        <f t="shared" si="299"/>
        <v>0</v>
      </c>
      <c r="BP100" s="167">
        <f t="shared" si="300"/>
        <v>0</v>
      </c>
      <c r="BQ100" s="171">
        <f t="shared" si="301"/>
        <v>0</v>
      </c>
      <c r="BR100" s="169">
        <f t="shared" si="356"/>
        <v>0</v>
      </c>
      <c r="BS100" s="167">
        <f t="shared" si="372"/>
        <v>0</v>
      </c>
      <c r="BT100" s="167">
        <f t="shared" si="302"/>
        <v>0</v>
      </c>
      <c r="BU100" s="167">
        <f t="shared" si="373"/>
        <v>0</v>
      </c>
      <c r="BV100" s="167">
        <f t="shared" si="303"/>
        <v>0</v>
      </c>
      <c r="BW100" s="167">
        <f t="shared" si="374"/>
        <v>0</v>
      </c>
      <c r="BX100" s="167">
        <f t="shared" si="304"/>
        <v>0</v>
      </c>
      <c r="BY100" s="167">
        <f t="shared" si="375"/>
        <v>0</v>
      </c>
      <c r="BZ100" s="167">
        <f t="shared" si="305"/>
        <v>0</v>
      </c>
      <c r="CA100" s="167">
        <f t="shared" si="376"/>
        <v>0</v>
      </c>
      <c r="CB100" s="170">
        <f t="shared" si="306"/>
        <v>0</v>
      </c>
      <c r="CC100" s="167">
        <f t="shared" si="307"/>
        <v>0</v>
      </c>
      <c r="CD100" s="171">
        <f t="shared" si="308"/>
        <v>0</v>
      </c>
      <c r="CE100" s="169">
        <f t="shared" si="356"/>
        <v>0</v>
      </c>
      <c r="CF100" s="167">
        <f t="shared" si="377"/>
        <v>0</v>
      </c>
      <c r="CG100" s="167">
        <f t="shared" si="309"/>
        <v>0</v>
      </c>
      <c r="CH100" s="167">
        <f t="shared" si="378"/>
        <v>0</v>
      </c>
      <c r="CI100" s="167">
        <f t="shared" si="310"/>
        <v>0</v>
      </c>
      <c r="CJ100" s="167">
        <f t="shared" si="379"/>
        <v>0</v>
      </c>
      <c r="CK100" s="167">
        <f t="shared" si="311"/>
        <v>0</v>
      </c>
      <c r="CL100" s="167">
        <f t="shared" si="380"/>
        <v>0</v>
      </c>
      <c r="CM100" s="167">
        <f t="shared" si="312"/>
        <v>0</v>
      </c>
      <c r="CN100" s="167">
        <f t="shared" si="381"/>
        <v>0</v>
      </c>
      <c r="CO100" s="170">
        <f t="shared" si="313"/>
        <v>0</v>
      </c>
      <c r="CP100" s="167">
        <f t="shared" si="314"/>
        <v>0</v>
      </c>
      <c r="CQ100" s="171">
        <f t="shared" si="315"/>
        <v>0</v>
      </c>
      <c r="CR100" s="169">
        <f t="shared" si="382"/>
        <v>0</v>
      </c>
      <c r="CS100" s="167">
        <f t="shared" si="383"/>
        <v>0</v>
      </c>
      <c r="CT100" s="167">
        <f t="shared" si="317"/>
        <v>0</v>
      </c>
      <c r="CU100" s="167">
        <f t="shared" si="384"/>
        <v>0</v>
      </c>
      <c r="CV100" s="167">
        <f t="shared" si="318"/>
        <v>0</v>
      </c>
      <c r="CW100" s="167">
        <f t="shared" si="385"/>
        <v>0</v>
      </c>
      <c r="CX100" s="167">
        <f t="shared" si="319"/>
        <v>0</v>
      </c>
      <c r="CY100" s="167">
        <f t="shared" si="386"/>
        <v>0</v>
      </c>
      <c r="CZ100" s="167">
        <f t="shared" si="320"/>
        <v>0</v>
      </c>
      <c r="DA100" s="167">
        <f t="shared" si="387"/>
        <v>0</v>
      </c>
      <c r="DB100" s="170">
        <f t="shared" si="321"/>
        <v>0</v>
      </c>
      <c r="DC100" s="167">
        <f t="shared" si="322"/>
        <v>0</v>
      </c>
      <c r="DD100" s="171">
        <f t="shared" si="323"/>
        <v>0</v>
      </c>
      <c r="DE100" s="169">
        <f t="shared" si="382"/>
        <v>0</v>
      </c>
      <c r="DF100" s="167">
        <f t="shared" si="388"/>
        <v>0</v>
      </c>
      <c r="DG100" s="167">
        <f t="shared" si="324"/>
        <v>0</v>
      </c>
      <c r="DH100" s="167">
        <f t="shared" si="389"/>
        <v>0</v>
      </c>
      <c r="DI100" s="167">
        <f t="shared" si="325"/>
        <v>0</v>
      </c>
      <c r="DJ100" s="167">
        <f t="shared" si="390"/>
        <v>0</v>
      </c>
      <c r="DK100" s="167">
        <f t="shared" si="326"/>
        <v>0</v>
      </c>
      <c r="DL100" s="167">
        <f t="shared" si="391"/>
        <v>0</v>
      </c>
      <c r="DM100" s="167">
        <f t="shared" si="327"/>
        <v>0</v>
      </c>
      <c r="DN100" s="167">
        <f t="shared" si="392"/>
        <v>0</v>
      </c>
      <c r="DO100" s="170">
        <f t="shared" si="328"/>
        <v>0</v>
      </c>
      <c r="DP100" s="167">
        <f t="shared" si="329"/>
        <v>0</v>
      </c>
      <c r="DQ100" s="171">
        <f t="shared" si="330"/>
        <v>0</v>
      </c>
      <c r="DR100" s="169">
        <f t="shared" si="382"/>
        <v>0</v>
      </c>
      <c r="DS100" s="167">
        <f t="shared" si="393"/>
        <v>0</v>
      </c>
      <c r="DT100" s="167">
        <f t="shared" si="331"/>
        <v>0</v>
      </c>
      <c r="DU100" s="167">
        <f t="shared" si="394"/>
        <v>0</v>
      </c>
      <c r="DV100" s="167">
        <f t="shared" si="332"/>
        <v>0</v>
      </c>
      <c r="DW100" s="167">
        <f t="shared" si="395"/>
        <v>0</v>
      </c>
      <c r="DX100" s="167">
        <f t="shared" si="333"/>
        <v>0</v>
      </c>
      <c r="DY100" s="167">
        <f t="shared" si="396"/>
        <v>0</v>
      </c>
      <c r="DZ100" s="167">
        <f t="shared" si="334"/>
        <v>0</v>
      </c>
      <c r="EA100" s="167">
        <f t="shared" si="397"/>
        <v>0</v>
      </c>
      <c r="EB100" s="170">
        <f t="shared" si="335"/>
        <v>0</v>
      </c>
      <c r="EC100" s="167">
        <f t="shared" si="336"/>
        <v>0</v>
      </c>
      <c r="ED100" s="171">
        <f t="shared" si="337"/>
        <v>0</v>
      </c>
    </row>
    <row r="101" spans="1:134" x14ac:dyDescent="0.3">
      <c r="A101" s="185"/>
      <c r="B101" s="186"/>
      <c r="C101" s="187"/>
      <c r="D101" s="188"/>
      <c r="E101" s="189"/>
      <c r="F101" s="190"/>
      <c r="G101" s="191"/>
      <c r="H101" s="192"/>
      <c r="I101" s="193"/>
      <c r="J101" s="194"/>
      <c r="K101" s="165">
        <f t="shared" si="338"/>
        <v>0</v>
      </c>
      <c r="L101" s="166">
        <f t="shared" si="339"/>
        <v>0</v>
      </c>
      <c r="M101" s="167">
        <f t="shared" si="340"/>
        <v>0</v>
      </c>
      <c r="N101" s="167"/>
      <c r="O101" s="167">
        <f t="shared" si="341"/>
        <v>0</v>
      </c>
      <c r="P101" s="168"/>
      <c r="Q101" s="167">
        <f t="shared" si="342"/>
        <v>0</v>
      </c>
      <c r="R101" s="169">
        <f t="shared" si="343"/>
        <v>0</v>
      </c>
      <c r="S101" s="167">
        <f t="shared" si="344"/>
        <v>0</v>
      </c>
      <c r="T101" s="167">
        <f t="shared" si="345"/>
        <v>0</v>
      </c>
      <c r="U101" s="167">
        <f t="shared" si="346"/>
        <v>0</v>
      </c>
      <c r="V101" s="167">
        <f t="shared" si="347"/>
        <v>0</v>
      </c>
      <c r="W101" s="167">
        <f t="shared" si="348"/>
        <v>0</v>
      </c>
      <c r="X101" s="167">
        <f t="shared" si="349"/>
        <v>0</v>
      </c>
      <c r="Y101" s="167">
        <f t="shared" si="350"/>
        <v>0</v>
      </c>
      <c r="Z101" s="167">
        <f t="shared" si="351"/>
        <v>0</v>
      </c>
      <c r="AA101" s="167">
        <f t="shared" si="352"/>
        <v>0</v>
      </c>
      <c r="AB101" s="170">
        <f t="shared" si="353"/>
        <v>0</v>
      </c>
      <c r="AC101" s="167">
        <f t="shared" si="354"/>
        <v>0</v>
      </c>
      <c r="AD101" s="171">
        <f t="shared" si="355"/>
        <v>0</v>
      </c>
      <c r="AE101" s="169">
        <f t="shared" ref="AE101:CE116" si="398">IF(YEAR($F101)=AE$4,$E101,0)</f>
        <v>0</v>
      </c>
      <c r="AF101" s="167">
        <f t="shared" si="357"/>
        <v>0</v>
      </c>
      <c r="AG101" s="167">
        <f t="shared" si="281"/>
        <v>0</v>
      </c>
      <c r="AH101" s="167">
        <f t="shared" si="358"/>
        <v>0</v>
      </c>
      <c r="AI101" s="167">
        <f t="shared" si="282"/>
        <v>0</v>
      </c>
      <c r="AJ101" s="167">
        <f t="shared" si="359"/>
        <v>0</v>
      </c>
      <c r="AK101" s="167">
        <f t="shared" si="283"/>
        <v>0</v>
      </c>
      <c r="AL101" s="167">
        <f t="shared" si="360"/>
        <v>0</v>
      </c>
      <c r="AM101" s="167">
        <f t="shared" si="284"/>
        <v>0</v>
      </c>
      <c r="AN101" s="167">
        <f t="shared" si="361"/>
        <v>0</v>
      </c>
      <c r="AO101" s="170">
        <f t="shared" si="285"/>
        <v>0</v>
      </c>
      <c r="AP101" s="167">
        <f t="shared" si="286"/>
        <v>0</v>
      </c>
      <c r="AQ101" s="171">
        <f t="shared" si="287"/>
        <v>0</v>
      </c>
      <c r="AR101" s="169">
        <f t="shared" si="398"/>
        <v>0</v>
      </c>
      <c r="AS101" s="167">
        <f t="shared" si="362"/>
        <v>0</v>
      </c>
      <c r="AT101" s="167">
        <f t="shared" si="288"/>
        <v>0</v>
      </c>
      <c r="AU101" s="167">
        <f t="shared" si="363"/>
        <v>0</v>
      </c>
      <c r="AV101" s="167">
        <f t="shared" si="289"/>
        <v>0</v>
      </c>
      <c r="AW101" s="167">
        <f t="shared" si="364"/>
        <v>0</v>
      </c>
      <c r="AX101" s="167">
        <f t="shared" si="290"/>
        <v>0</v>
      </c>
      <c r="AY101" s="167">
        <f t="shared" si="365"/>
        <v>0</v>
      </c>
      <c r="AZ101" s="167">
        <f t="shared" si="291"/>
        <v>0</v>
      </c>
      <c r="BA101" s="167">
        <f t="shared" si="366"/>
        <v>0</v>
      </c>
      <c r="BB101" s="170">
        <f t="shared" si="292"/>
        <v>0</v>
      </c>
      <c r="BC101" s="167">
        <f t="shared" si="293"/>
        <v>0</v>
      </c>
      <c r="BD101" s="171">
        <f t="shared" si="294"/>
        <v>0</v>
      </c>
      <c r="BE101" s="169">
        <f t="shared" si="398"/>
        <v>0</v>
      </c>
      <c r="BF101" s="167">
        <f t="shared" si="367"/>
        <v>0</v>
      </c>
      <c r="BG101" s="167">
        <f t="shared" si="295"/>
        <v>0</v>
      </c>
      <c r="BH101" s="167">
        <f t="shared" si="368"/>
        <v>0</v>
      </c>
      <c r="BI101" s="167">
        <f t="shared" si="296"/>
        <v>0</v>
      </c>
      <c r="BJ101" s="167">
        <f t="shared" si="369"/>
        <v>0</v>
      </c>
      <c r="BK101" s="167">
        <f t="shared" si="297"/>
        <v>0</v>
      </c>
      <c r="BL101" s="167">
        <f t="shared" si="370"/>
        <v>0</v>
      </c>
      <c r="BM101" s="167">
        <f t="shared" si="298"/>
        <v>0</v>
      </c>
      <c r="BN101" s="167">
        <f t="shared" si="371"/>
        <v>0</v>
      </c>
      <c r="BO101" s="170">
        <f t="shared" si="299"/>
        <v>0</v>
      </c>
      <c r="BP101" s="167">
        <f t="shared" si="300"/>
        <v>0</v>
      </c>
      <c r="BQ101" s="171">
        <f t="shared" si="301"/>
        <v>0</v>
      </c>
      <c r="BR101" s="169">
        <f t="shared" si="398"/>
        <v>0</v>
      </c>
      <c r="BS101" s="167">
        <f t="shared" si="372"/>
        <v>0</v>
      </c>
      <c r="BT101" s="167">
        <f t="shared" si="302"/>
        <v>0</v>
      </c>
      <c r="BU101" s="167">
        <f t="shared" si="373"/>
        <v>0</v>
      </c>
      <c r="BV101" s="167">
        <f t="shared" si="303"/>
        <v>0</v>
      </c>
      <c r="BW101" s="167">
        <f t="shared" si="374"/>
        <v>0</v>
      </c>
      <c r="BX101" s="167">
        <f t="shared" si="304"/>
        <v>0</v>
      </c>
      <c r="BY101" s="167">
        <f t="shared" si="375"/>
        <v>0</v>
      </c>
      <c r="BZ101" s="167">
        <f t="shared" si="305"/>
        <v>0</v>
      </c>
      <c r="CA101" s="167">
        <f t="shared" si="376"/>
        <v>0</v>
      </c>
      <c r="CB101" s="170">
        <f t="shared" si="306"/>
        <v>0</v>
      </c>
      <c r="CC101" s="167">
        <f t="shared" si="307"/>
        <v>0</v>
      </c>
      <c r="CD101" s="171">
        <f t="shared" si="308"/>
        <v>0</v>
      </c>
      <c r="CE101" s="169">
        <f t="shared" si="398"/>
        <v>0</v>
      </c>
      <c r="CF101" s="167">
        <f t="shared" si="377"/>
        <v>0</v>
      </c>
      <c r="CG101" s="167">
        <f t="shared" si="309"/>
        <v>0</v>
      </c>
      <c r="CH101" s="167">
        <f t="shared" si="378"/>
        <v>0</v>
      </c>
      <c r="CI101" s="167">
        <f t="shared" si="310"/>
        <v>0</v>
      </c>
      <c r="CJ101" s="167">
        <f t="shared" si="379"/>
        <v>0</v>
      </c>
      <c r="CK101" s="167">
        <f t="shared" si="311"/>
        <v>0</v>
      </c>
      <c r="CL101" s="167">
        <f t="shared" si="380"/>
        <v>0</v>
      </c>
      <c r="CM101" s="167">
        <f t="shared" si="312"/>
        <v>0</v>
      </c>
      <c r="CN101" s="167">
        <f t="shared" si="381"/>
        <v>0</v>
      </c>
      <c r="CO101" s="170">
        <f t="shared" si="313"/>
        <v>0</v>
      </c>
      <c r="CP101" s="167">
        <f t="shared" si="314"/>
        <v>0</v>
      </c>
      <c r="CQ101" s="171">
        <f t="shared" si="315"/>
        <v>0</v>
      </c>
      <c r="CR101" s="169">
        <f t="shared" ref="CR101:DR116" si="399">IF(YEAR($F101)=CR$4,$E101,0)</f>
        <v>0</v>
      </c>
      <c r="CS101" s="167">
        <f t="shared" si="383"/>
        <v>0</v>
      </c>
      <c r="CT101" s="167">
        <f t="shared" si="317"/>
        <v>0</v>
      </c>
      <c r="CU101" s="167">
        <f t="shared" si="384"/>
        <v>0</v>
      </c>
      <c r="CV101" s="167">
        <f t="shared" si="318"/>
        <v>0</v>
      </c>
      <c r="CW101" s="167">
        <f t="shared" si="385"/>
        <v>0</v>
      </c>
      <c r="CX101" s="167">
        <f t="shared" si="319"/>
        <v>0</v>
      </c>
      <c r="CY101" s="167">
        <f t="shared" si="386"/>
        <v>0</v>
      </c>
      <c r="CZ101" s="167">
        <f t="shared" si="320"/>
        <v>0</v>
      </c>
      <c r="DA101" s="167">
        <f t="shared" si="387"/>
        <v>0</v>
      </c>
      <c r="DB101" s="170">
        <f t="shared" si="321"/>
        <v>0</v>
      </c>
      <c r="DC101" s="167">
        <f t="shared" si="322"/>
        <v>0</v>
      </c>
      <c r="DD101" s="171">
        <f t="shared" si="323"/>
        <v>0</v>
      </c>
      <c r="DE101" s="169">
        <f t="shared" si="399"/>
        <v>0</v>
      </c>
      <c r="DF101" s="167">
        <f t="shared" si="388"/>
        <v>0</v>
      </c>
      <c r="DG101" s="167">
        <f t="shared" si="324"/>
        <v>0</v>
      </c>
      <c r="DH101" s="167">
        <f t="shared" si="389"/>
        <v>0</v>
      </c>
      <c r="DI101" s="167">
        <f t="shared" si="325"/>
        <v>0</v>
      </c>
      <c r="DJ101" s="167">
        <f t="shared" si="390"/>
        <v>0</v>
      </c>
      <c r="DK101" s="167">
        <f t="shared" si="326"/>
        <v>0</v>
      </c>
      <c r="DL101" s="167">
        <f t="shared" si="391"/>
        <v>0</v>
      </c>
      <c r="DM101" s="167">
        <f t="shared" si="327"/>
        <v>0</v>
      </c>
      <c r="DN101" s="167">
        <f t="shared" si="392"/>
        <v>0</v>
      </c>
      <c r="DO101" s="170">
        <f t="shared" si="328"/>
        <v>0</v>
      </c>
      <c r="DP101" s="167">
        <f t="shared" si="329"/>
        <v>0</v>
      </c>
      <c r="DQ101" s="171">
        <f t="shared" si="330"/>
        <v>0</v>
      </c>
      <c r="DR101" s="169">
        <f t="shared" si="399"/>
        <v>0</v>
      </c>
      <c r="DS101" s="167">
        <f t="shared" si="393"/>
        <v>0</v>
      </c>
      <c r="DT101" s="167">
        <f t="shared" si="331"/>
        <v>0</v>
      </c>
      <c r="DU101" s="167">
        <f t="shared" si="394"/>
        <v>0</v>
      </c>
      <c r="DV101" s="167">
        <f t="shared" si="332"/>
        <v>0</v>
      </c>
      <c r="DW101" s="167">
        <f t="shared" si="395"/>
        <v>0</v>
      </c>
      <c r="DX101" s="167">
        <f t="shared" si="333"/>
        <v>0</v>
      </c>
      <c r="DY101" s="167">
        <f t="shared" si="396"/>
        <v>0</v>
      </c>
      <c r="DZ101" s="167">
        <f t="shared" si="334"/>
        <v>0</v>
      </c>
      <c r="EA101" s="167">
        <f t="shared" si="397"/>
        <v>0</v>
      </c>
      <c r="EB101" s="170">
        <f t="shared" si="335"/>
        <v>0</v>
      </c>
      <c r="EC101" s="167">
        <f t="shared" si="336"/>
        <v>0</v>
      </c>
      <c r="ED101" s="171">
        <f t="shared" si="337"/>
        <v>0</v>
      </c>
    </row>
    <row r="102" spans="1:134" x14ac:dyDescent="0.3">
      <c r="A102" s="185"/>
      <c r="B102" s="186"/>
      <c r="C102" s="187"/>
      <c r="D102" s="188"/>
      <c r="E102" s="189"/>
      <c r="F102" s="190"/>
      <c r="G102" s="191"/>
      <c r="H102" s="192"/>
      <c r="I102" s="193"/>
      <c r="J102" s="194"/>
      <c r="K102" s="165">
        <f t="shared" si="338"/>
        <v>0</v>
      </c>
      <c r="L102" s="166">
        <f t="shared" si="339"/>
        <v>0</v>
      </c>
      <c r="M102" s="167">
        <f t="shared" si="340"/>
        <v>0</v>
      </c>
      <c r="N102" s="167"/>
      <c r="O102" s="167">
        <f t="shared" si="341"/>
        <v>0</v>
      </c>
      <c r="P102" s="168"/>
      <c r="Q102" s="167">
        <f t="shared" si="342"/>
        <v>0</v>
      </c>
      <c r="R102" s="169">
        <f t="shared" si="343"/>
        <v>0</v>
      </c>
      <c r="S102" s="167">
        <f t="shared" si="344"/>
        <v>0</v>
      </c>
      <c r="T102" s="167">
        <f t="shared" si="345"/>
        <v>0</v>
      </c>
      <c r="U102" s="167">
        <f t="shared" si="346"/>
        <v>0</v>
      </c>
      <c r="V102" s="167">
        <f t="shared" si="347"/>
        <v>0</v>
      </c>
      <c r="W102" s="167">
        <f t="shared" si="348"/>
        <v>0</v>
      </c>
      <c r="X102" s="167">
        <f t="shared" si="349"/>
        <v>0</v>
      </c>
      <c r="Y102" s="167">
        <f t="shared" si="350"/>
        <v>0</v>
      </c>
      <c r="Z102" s="167">
        <f t="shared" si="351"/>
        <v>0</v>
      </c>
      <c r="AA102" s="167">
        <f t="shared" si="352"/>
        <v>0</v>
      </c>
      <c r="AB102" s="170">
        <f t="shared" si="353"/>
        <v>0</v>
      </c>
      <c r="AC102" s="167">
        <f t="shared" si="354"/>
        <v>0</v>
      </c>
      <c r="AD102" s="171">
        <f t="shared" si="355"/>
        <v>0</v>
      </c>
      <c r="AE102" s="169">
        <f t="shared" si="398"/>
        <v>0</v>
      </c>
      <c r="AF102" s="167">
        <f t="shared" si="357"/>
        <v>0</v>
      </c>
      <c r="AG102" s="167">
        <f t="shared" si="281"/>
        <v>0</v>
      </c>
      <c r="AH102" s="167">
        <f t="shared" si="358"/>
        <v>0</v>
      </c>
      <c r="AI102" s="167">
        <f t="shared" si="282"/>
        <v>0</v>
      </c>
      <c r="AJ102" s="167">
        <f t="shared" si="359"/>
        <v>0</v>
      </c>
      <c r="AK102" s="167">
        <f t="shared" si="283"/>
        <v>0</v>
      </c>
      <c r="AL102" s="167">
        <f t="shared" si="360"/>
        <v>0</v>
      </c>
      <c r="AM102" s="167">
        <f t="shared" si="284"/>
        <v>0</v>
      </c>
      <c r="AN102" s="167">
        <f t="shared" si="361"/>
        <v>0</v>
      </c>
      <c r="AO102" s="170">
        <f t="shared" si="285"/>
        <v>0</v>
      </c>
      <c r="AP102" s="167">
        <f t="shared" si="286"/>
        <v>0</v>
      </c>
      <c r="AQ102" s="171">
        <f t="shared" si="287"/>
        <v>0</v>
      </c>
      <c r="AR102" s="169">
        <f t="shared" si="398"/>
        <v>0</v>
      </c>
      <c r="AS102" s="167">
        <f t="shared" si="362"/>
        <v>0</v>
      </c>
      <c r="AT102" s="167">
        <f t="shared" si="288"/>
        <v>0</v>
      </c>
      <c r="AU102" s="167">
        <f t="shared" si="363"/>
        <v>0</v>
      </c>
      <c r="AV102" s="167">
        <f t="shared" si="289"/>
        <v>0</v>
      </c>
      <c r="AW102" s="167">
        <f t="shared" si="364"/>
        <v>0</v>
      </c>
      <c r="AX102" s="167">
        <f t="shared" si="290"/>
        <v>0</v>
      </c>
      <c r="AY102" s="167">
        <f t="shared" si="365"/>
        <v>0</v>
      </c>
      <c r="AZ102" s="167">
        <f t="shared" si="291"/>
        <v>0</v>
      </c>
      <c r="BA102" s="167">
        <f t="shared" si="366"/>
        <v>0</v>
      </c>
      <c r="BB102" s="170">
        <f t="shared" si="292"/>
        <v>0</v>
      </c>
      <c r="BC102" s="167">
        <f t="shared" si="293"/>
        <v>0</v>
      </c>
      <c r="BD102" s="171">
        <f t="shared" si="294"/>
        <v>0</v>
      </c>
      <c r="BE102" s="169">
        <f t="shared" si="398"/>
        <v>0</v>
      </c>
      <c r="BF102" s="167">
        <f t="shared" si="367"/>
        <v>0</v>
      </c>
      <c r="BG102" s="167">
        <f t="shared" si="295"/>
        <v>0</v>
      </c>
      <c r="BH102" s="167">
        <f t="shared" si="368"/>
        <v>0</v>
      </c>
      <c r="BI102" s="167">
        <f t="shared" si="296"/>
        <v>0</v>
      </c>
      <c r="BJ102" s="167">
        <f t="shared" si="369"/>
        <v>0</v>
      </c>
      <c r="BK102" s="167">
        <f t="shared" si="297"/>
        <v>0</v>
      </c>
      <c r="BL102" s="167">
        <f t="shared" si="370"/>
        <v>0</v>
      </c>
      <c r="BM102" s="167">
        <f t="shared" si="298"/>
        <v>0</v>
      </c>
      <c r="BN102" s="167">
        <f t="shared" si="371"/>
        <v>0</v>
      </c>
      <c r="BO102" s="170">
        <f t="shared" si="299"/>
        <v>0</v>
      </c>
      <c r="BP102" s="167">
        <f t="shared" si="300"/>
        <v>0</v>
      </c>
      <c r="BQ102" s="171">
        <f t="shared" si="301"/>
        <v>0</v>
      </c>
      <c r="BR102" s="169">
        <f t="shared" si="398"/>
        <v>0</v>
      </c>
      <c r="BS102" s="167">
        <f t="shared" si="372"/>
        <v>0</v>
      </c>
      <c r="BT102" s="167">
        <f t="shared" si="302"/>
        <v>0</v>
      </c>
      <c r="BU102" s="167">
        <f t="shared" si="373"/>
        <v>0</v>
      </c>
      <c r="BV102" s="167">
        <f t="shared" si="303"/>
        <v>0</v>
      </c>
      <c r="BW102" s="167">
        <f t="shared" si="374"/>
        <v>0</v>
      </c>
      <c r="BX102" s="167">
        <f t="shared" si="304"/>
        <v>0</v>
      </c>
      <c r="BY102" s="167">
        <f t="shared" si="375"/>
        <v>0</v>
      </c>
      <c r="BZ102" s="167">
        <f t="shared" si="305"/>
        <v>0</v>
      </c>
      <c r="CA102" s="167">
        <f t="shared" si="376"/>
        <v>0</v>
      </c>
      <c r="CB102" s="170">
        <f t="shared" si="306"/>
        <v>0</v>
      </c>
      <c r="CC102" s="167">
        <f t="shared" si="307"/>
        <v>0</v>
      </c>
      <c r="CD102" s="171">
        <f t="shared" si="308"/>
        <v>0</v>
      </c>
      <c r="CE102" s="169">
        <f t="shared" si="398"/>
        <v>0</v>
      </c>
      <c r="CF102" s="167">
        <f t="shared" si="377"/>
        <v>0</v>
      </c>
      <c r="CG102" s="167">
        <f t="shared" si="309"/>
        <v>0</v>
      </c>
      <c r="CH102" s="167">
        <f t="shared" si="378"/>
        <v>0</v>
      </c>
      <c r="CI102" s="167">
        <f t="shared" si="310"/>
        <v>0</v>
      </c>
      <c r="CJ102" s="167">
        <f t="shared" si="379"/>
        <v>0</v>
      </c>
      <c r="CK102" s="167">
        <f t="shared" si="311"/>
        <v>0</v>
      </c>
      <c r="CL102" s="167">
        <f t="shared" si="380"/>
        <v>0</v>
      </c>
      <c r="CM102" s="167">
        <f t="shared" si="312"/>
        <v>0</v>
      </c>
      <c r="CN102" s="167">
        <f t="shared" si="381"/>
        <v>0</v>
      </c>
      <c r="CO102" s="170">
        <f t="shared" si="313"/>
        <v>0</v>
      </c>
      <c r="CP102" s="167">
        <f t="shared" si="314"/>
        <v>0</v>
      </c>
      <c r="CQ102" s="171">
        <f t="shared" si="315"/>
        <v>0</v>
      </c>
      <c r="CR102" s="169">
        <f t="shared" si="399"/>
        <v>0</v>
      </c>
      <c r="CS102" s="167">
        <f t="shared" si="383"/>
        <v>0</v>
      </c>
      <c r="CT102" s="167">
        <f t="shared" si="317"/>
        <v>0</v>
      </c>
      <c r="CU102" s="167">
        <f t="shared" si="384"/>
        <v>0</v>
      </c>
      <c r="CV102" s="167">
        <f t="shared" si="318"/>
        <v>0</v>
      </c>
      <c r="CW102" s="167">
        <f t="shared" si="385"/>
        <v>0</v>
      </c>
      <c r="CX102" s="167">
        <f t="shared" si="319"/>
        <v>0</v>
      </c>
      <c r="CY102" s="167">
        <f t="shared" si="386"/>
        <v>0</v>
      </c>
      <c r="CZ102" s="167">
        <f t="shared" si="320"/>
        <v>0</v>
      </c>
      <c r="DA102" s="167">
        <f t="shared" si="387"/>
        <v>0</v>
      </c>
      <c r="DB102" s="170">
        <f t="shared" si="321"/>
        <v>0</v>
      </c>
      <c r="DC102" s="167">
        <f t="shared" si="322"/>
        <v>0</v>
      </c>
      <c r="DD102" s="171">
        <f t="shared" si="323"/>
        <v>0</v>
      </c>
      <c r="DE102" s="169">
        <f t="shared" si="399"/>
        <v>0</v>
      </c>
      <c r="DF102" s="167">
        <f t="shared" si="388"/>
        <v>0</v>
      </c>
      <c r="DG102" s="167">
        <f t="shared" si="324"/>
        <v>0</v>
      </c>
      <c r="DH102" s="167">
        <f t="shared" si="389"/>
        <v>0</v>
      </c>
      <c r="DI102" s="167">
        <f t="shared" si="325"/>
        <v>0</v>
      </c>
      <c r="DJ102" s="167">
        <f t="shared" si="390"/>
        <v>0</v>
      </c>
      <c r="DK102" s="167">
        <f t="shared" si="326"/>
        <v>0</v>
      </c>
      <c r="DL102" s="167">
        <f t="shared" si="391"/>
        <v>0</v>
      </c>
      <c r="DM102" s="167">
        <f t="shared" si="327"/>
        <v>0</v>
      </c>
      <c r="DN102" s="167">
        <f t="shared" si="392"/>
        <v>0</v>
      </c>
      <c r="DO102" s="170">
        <f t="shared" si="328"/>
        <v>0</v>
      </c>
      <c r="DP102" s="167">
        <f t="shared" si="329"/>
        <v>0</v>
      </c>
      <c r="DQ102" s="171">
        <f t="shared" si="330"/>
        <v>0</v>
      </c>
      <c r="DR102" s="169">
        <f t="shared" si="399"/>
        <v>0</v>
      </c>
      <c r="DS102" s="167">
        <f t="shared" si="393"/>
        <v>0</v>
      </c>
      <c r="DT102" s="167">
        <f t="shared" si="331"/>
        <v>0</v>
      </c>
      <c r="DU102" s="167">
        <f t="shared" si="394"/>
        <v>0</v>
      </c>
      <c r="DV102" s="167">
        <f t="shared" si="332"/>
        <v>0</v>
      </c>
      <c r="DW102" s="167">
        <f t="shared" si="395"/>
        <v>0</v>
      </c>
      <c r="DX102" s="167">
        <f t="shared" si="333"/>
        <v>0</v>
      </c>
      <c r="DY102" s="167">
        <f t="shared" si="396"/>
        <v>0</v>
      </c>
      <c r="DZ102" s="167">
        <f t="shared" si="334"/>
        <v>0</v>
      </c>
      <c r="EA102" s="167">
        <f t="shared" si="397"/>
        <v>0</v>
      </c>
      <c r="EB102" s="170">
        <f t="shared" si="335"/>
        <v>0</v>
      </c>
      <c r="EC102" s="167">
        <f t="shared" si="336"/>
        <v>0</v>
      </c>
      <c r="ED102" s="171">
        <f t="shared" si="337"/>
        <v>0</v>
      </c>
    </row>
    <row r="103" spans="1:134" x14ac:dyDescent="0.3">
      <c r="A103" s="185"/>
      <c r="B103" s="186"/>
      <c r="C103" s="187"/>
      <c r="D103" s="188"/>
      <c r="E103" s="189"/>
      <c r="F103" s="190"/>
      <c r="G103" s="191"/>
      <c r="H103" s="192"/>
      <c r="I103" s="193"/>
      <c r="J103" s="194"/>
      <c r="K103" s="165">
        <f t="shared" si="338"/>
        <v>0</v>
      </c>
      <c r="L103" s="166">
        <f t="shared" si="339"/>
        <v>0</v>
      </c>
      <c r="M103" s="167">
        <f t="shared" si="340"/>
        <v>0</v>
      </c>
      <c r="N103" s="167"/>
      <c r="O103" s="167">
        <f t="shared" si="341"/>
        <v>0</v>
      </c>
      <c r="P103" s="168"/>
      <c r="Q103" s="167">
        <f t="shared" si="342"/>
        <v>0</v>
      </c>
      <c r="R103" s="169">
        <f t="shared" si="343"/>
        <v>0</v>
      </c>
      <c r="S103" s="167">
        <f t="shared" si="344"/>
        <v>0</v>
      </c>
      <c r="T103" s="167">
        <f t="shared" si="345"/>
        <v>0</v>
      </c>
      <c r="U103" s="167">
        <f t="shared" si="346"/>
        <v>0</v>
      </c>
      <c r="V103" s="167">
        <f t="shared" si="347"/>
        <v>0</v>
      </c>
      <c r="W103" s="167">
        <f t="shared" si="348"/>
        <v>0</v>
      </c>
      <c r="X103" s="167">
        <f t="shared" si="349"/>
        <v>0</v>
      </c>
      <c r="Y103" s="167">
        <f t="shared" si="350"/>
        <v>0</v>
      </c>
      <c r="Z103" s="167">
        <f t="shared" si="351"/>
        <v>0</v>
      </c>
      <c r="AA103" s="167">
        <f t="shared" si="352"/>
        <v>0</v>
      </c>
      <c r="AB103" s="170">
        <f t="shared" si="353"/>
        <v>0</v>
      </c>
      <c r="AC103" s="167">
        <f t="shared" si="354"/>
        <v>0</v>
      </c>
      <c r="AD103" s="171">
        <f t="shared" si="355"/>
        <v>0</v>
      </c>
      <c r="AE103" s="169">
        <f t="shared" si="398"/>
        <v>0</v>
      </c>
      <c r="AF103" s="167">
        <f t="shared" si="357"/>
        <v>0</v>
      </c>
      <c r="AG103" s="167">
        <f t="shared" si="281"/>
        <v>0</v>
      </c>
      <c r="AH103" s="167">
        <f t="shared" si="358"/>
        <v>0</v>
      </c>
      <c r="AI103" s="167">
        <f t="shared" si="282"/>
        <v>0</v>
      </c>
      <c r="AJ103" s="167">
        <f t="shared" si="359"/>
        <v>0</v>
      </c>
      <c r="AK103" s="167">
        <f t="shared" si="283"/>
        <v>0</v>
      </c>
      <c r="AL103" s="167">
        <f t="shared" si="360"/>
        <v>0</v>
      </c>
      <c r="AM103" s="167">
        <f t="shared" si="284"/>
        <v>0</v>
      </c>
      <c r="AN103" s="167">
        <f t="shared" si="361"/>
        <v>0</v>
      </c>
      <c r="AO103" s="170">
        <f t="shared" si="285"/>
        <v>0</v>
      </c>
      <c r="AP103" s="167">
        <f t="shared" si="286"/>
        <v>0</v>
      </c>
      <c r="AQ103" s="171">
        <f t="shared" si="287"/>
        <v>0</v>
      </c>
      <c r="AR103" s="169">
        <f t="shared" si="398"/>
        <v>0</v>
      </c>
      <c r="AS103" s="167">
        <f t="shared" si="362"/>
        <v>0</v>
      </c>
      <c r="AT103" s="167">
        <f t="shared" si="288"/>
        <v>0</v>
      </c>
      <c r="AU103" s="167">
        <f t="shared" si="363"/>
        <v>0</v>
      </c>
      <c r="AV103" s="167">
        <f t="shared" si="289"/>
        <v>0</v>
      </c>
      <c r="AW103" s="167">
        <f t="shared" si="364"/>
        <v>0</v>
      </c>
      <c r="AX103" s="167">
        <f t="shared" si="290"/>
        <v>0</v>
      </c>
      <c r="AY103" s="167">
        <f t="shared" si="365"/>
        <v>0</v>
      </c>
      <c r="AZ103" s="167">
        <f t="shared" si="291"/>
        <v>0</v>
      </c>
      <c r="BA103" s="167">
        <f t="shared" si="366"/>
        <v>0</v>
      </c>
      <c r="BB103" s="170">
        <f t="shared" si="292"/>
        <v>0</v>
      </c>
      <c r="BC103" s="167">
        <f t="shared" si="293"/>
        <v>0</v>
      </c>
      <c r="BD103" s="171">
        <f t="shared" si="294"/>
        <v>0</v>
      </c>
      <c r="BE103" s="169">
        <f t="shared" si="398"/>
        <v>0</v>
      </c>
      <c r="BF103" s="167">
        <f t="shared" si="367"/>
        <v>0</v>
      </c>
      <c r="BG103" s="167">
        <f t="shared" si="295"/>
        <v>0</v>
      </c>
      <c r="BH103" s="167">
        <f t="shared" si="368"/>
        <v>0</v>
      </c>
      <c r="BI103" s="167">
        <f t="shared" si="296"/>
        <v>0</v>
      </c>
      <c r="BJ103" s="167">
        <f t="shared" si="369"/>
        <v>0</v>
      </c>
      <c r="BK103" s="167">
        <f t="shared" si="297"/>
        <v>0</v>
      </c>
      <c r="BL103" s="167">
        <f t="shared" si="370"/>
        <v>0</v>
      </c>
      <c r="BM103" s="167">
        <f t="shared" si="298"/>
        <v>0</v>
      </c>
      <c r="BN103" s="167">
        <f t="shared" si="371"/>
        <v>0</v>
      </c>
      <c r="BO103" s="170">
        <f t="shared" si="299"/>
        <v>0</v>
      </c>
      <c r="BP103" s="167">
        <f t="shared" si="300"/>
        <v>0</v>
      </c>
      <c r="BQ103" s="171">
        <f t="shared" si="301"/>
        <v>0</v>
      </c>
      <c r="BR103" s="169">
        <f t="shared" si="398"/>
        <v>0</v>
      </c>
      <c r="BS103" s="167">
        <f t="shared" si="372"/>
        <v>0</v>
      </c>
      <c r="BT103" s="167">
        <f t="shared" si="302"/>
        <v>0</v>
      </c>
      <c r="BU103" s="167">
        <f t="shared" si="373"/>
        <v>0</v>
      </c>
      <c r="BV103" s="167">
        <f t="shared" si="303"/>
        <v>0</v>
      </c>
      <c r="BW103" s="167">
        <f t="shared" si="374"/>
        <v>0</v>
      </c>
      <c r="BX103" s="167">
        <f t="shared" si="304"/>
        <v>0</v>
      </c>
      <c r="BY103" s="167">
        <f t="shared" si="375"/>
        <v>0</v>
      </c>
      <c r="BZ103" s="167">
        <f t="shared" si="305"/>
        <v>0</v>
      </c>
      <c r="CA103" s="167">
        <f t="shared" si="376"/>
        <v>0</v>
      </c>
      <c r="CB103" s="170">
        <f t="shared" si="306"/>
        <v>0</v>
      </c>
      <c r="CC103" s="167">
        <f t="shared" si="307"/>
        <v>0</v>
      </c>
      <c r="CD103" s="171">
        <f t="shared" si="308"/>
        <v>0</v>
      </c>
      <c r="CE103" s="169">
        <f t="shared" si="398"/>
        <v>0</v>
      </c>
      <c r="CF103" s="167">
        <f t="shared" si="377"/>
        <v>0</v>
      </c>
      <c r="CG103" s="167">
        <f t="shared" si="309"/>
        <v>0</v>
      </c>
      <c r="CH103" s="167">
        <f t="shared" si="378"/>
        <v>0</v>
      </c>
      <c r="CI103" s="167">
        <f t="shared" si="310"/>
        <v>0</v>
      </c>
      <c r="CJ103" s="167">
        <f t="shared" si="379"/>
        <v>0</v>
      </c>
      <c r="CK103" s="167">
        <f t="shared" si="311"/>
        <v>0</v>
      </c>
      <c r="CL103" s="167">
        <f t="shared" si="380"/>
        <v>0</v>
      </c>
      <c r="CM103" s="167">
        <f t="shared" si="312"/>
        <v>0</v>
      </c>
      <c r="CN103" s="167">
        <f t="shared" si="381"/>
        <v>0</v>
      </c>
      <c r="CO103" s="170">
        <f t="shared" si="313"/>
        <v>0</v>
      </c>
      <c r="CP103" s="167">
        <f t="shared" si="314"/>
        <v>0</v>
      </c>
      <c r="CQ103" s="171">
        <f t="shared" si="315"/>
        <v>0</v>
      </c>
      <c r="CR103" s="169">
        <f t="shared" si="399"/>
        <v>0</v>
      </c>
      <c r="CS103" s="167">
        <f t="shared" si="383"/>
        <v>0</v>
      </c>
      <c r="CT103" s="167">
        <f t="shared" si="317"/>
        <v>0</v>
      </c>
      <c r="CU103" s="167">
        <f t="shared" si="384"/>
        <v>0</v>
      </c>
      <c r="CV103" s="167">
        <f t="shared" si="318"/>
        <v>0</v>
      </c>
      <c r="CW103" s="167">
        <f t="shared" si="385"/>
        <v>0</v>
      </c>
      <c r="CX103" s="167">
        <f t="shared" si="319"/>
        <v>0</v>
      </c>
      <c r="CY103" s="167">
        <f t="shared" si="386"/>
        <v>0</v>
      </c>
      <c r="CZ103" s="167">
        <f t="shared" si="320"/>
        <v>0</v>
      </c>
      <c r="DA103" s="167">
        <f t="shared" si="387"/>
        <v>0</v>
      </c>
      <c r="DB103" s="170">
        <f t="shared" si="321"/>
        <v>0</v>
      </c>
      <c r="DC103" s="167">
        <f t="shared" si="322"/>
        <v>0</v>
      </c>
      <c r="DD103" s="171">
        <f t="shared" si="323"/>
        <v>0</v>
      </c>
      <c r="DE103" s="169">
        <f t="shared" si="399"/>
        <v>0</v>
      </c>
      <c r="DF103" s="167">
        <f t="shared" si="388"/>
        <v>0</v>
      </c>
      <c r="DG103" s="167">
        <f t="shared" si="324"/>
        <v>0</v>
      </c>
      <c r="DH103" s="167">
        <f t="shared" si="389"/>
        <v>0</v>
      </c>
      <c r="DI103" s="167">
        <f t="shared" si="325"/>
        <v>0</v>
      </c>
      <c r="DJ103" s="167">
        <f t="shared" si="390"/>
        <v>0</v>
      </c>
      <c r="DK103" s="167">
        <f t="shared" si="326"/>
        <v>0</v>
      </c>
      <c r="DL103" s="167">
        <f t="shared" si="391"/>
        <v>0</v>
      </c>
      <c r="DM103" s="167">
        <f t="shared" si="327"/>
        <v>0</v>
      </c>
      <c r="DN103" s="167">
        <f t="shared" si="392"/>
        <v>0</v>
      </c>
      <c r="DO103" s="170">
        <f t="shared" si="328"/>
        <v>0</v>
      </c>
      <c r="DP103" s="167">
        <f t="shared" si="329"/>
        <v>0</v>
      </c>
      <c r="DQ103" s="171">
        <f t="shared" si="330"/>
        <v>0</v>
      </c>
      <c r="DR103" s="169">
        <f t="shared" si="399"/>
        <v>0</v>
      </c>
      <c r="DS103" s="167">
        <f t="shared" si="393"/>
        <v>0</v>
      </c>
      <c r="DT103" s="167">
        <f t="shared" si="331"/>
        <v>0</v>
      </c>
      <c r="DU103" s="167">
        <f t="shared" si="394"/>
        <v>0</v>
      </c>
      <c r="DV103" s="167">
        <f t="shared" si="332"/>
        <v>0</v>
      </c>
      <c r="DW103" s="167">
        <f t="shared" si="395"/>
        <v>0</v>
      </c>
      <c r="DX103" s="167">
        <f t="shared" si="333"/>
        <v>0</v>
      </c>
      <c r="DY103" s="167">
        <f t="shared" si="396"/>
        <v>0</v>
      </c>
      <c r="DZ103" s="167">
        <f t="shared" si="334"/>
        <v>0</v>
      </c>
      <c r="EA103" s="167">
        <f t="shared" si="397"/>
        <v>0</v>
      </c>
      <c r="EB103" s="170">
        <f t="shared" si="335"/>
        <v>0</v>
      </c>
      <c r="EC103" s="167">
        <f t="shared" si="336"/>
        <v>0</v>
      </c>
      <c r="ED103" s="171">
        <f t="shared" si="337"/>
        <v>0</v>
      </c>
    </row>
    <row r="104" spans="1:134" x14ac:dyDescent="0.3">
      <c r="A104" s="185"/>
      <c r="B104" s="186"/>
      <c r="C104" s="187"/>
      <c r="D104" s="188"/>
      <c r="E104" s="189"/>
      <c r="F104" s="190"/>
      <c r="G104" s="191"/>
      <c r="H104" s="192"/>
      <c r="I104" s="193"/>
      <c r="J104" s="194"/>
      <c r="K104" s="165">
        <f t="shared" si="338"/>
        <v>0</v>
      </c>
      <c r="L104" s="166">
        <f t="shared" si="339"/>
        <v>0</v>
      </c>
      <c r="M104" s="167">
        <f t="shared" si="340"/>
        <v>0</v>
      </c>
      <c r="N104" s="167"/>
      <c r="O104" s="167">
        <f t="shared" si="341"/>
        <v>0</v>
      </c>
      <c r="P104" s="168"/>
      <c r="Q104" s="167">
        <f t="shared" si="342"/>
        <v>0</v>
      </c>
      <c r="R104" s="169">
        <f t="shared" si="343"/>
        <v>0</v>
      </c>
      <c r="S104" s="167">
        <f t="shared" si="344"/>
        <v>0</v>
      </c>
      <c r="T104" s="167">
        <f t="shared" si="345"/>
        <v>0</v>
      </c>
      <c r="U104" s="167">
        <f t="shared" si="346"/>
        <v>0</v>
      </c>
      <c r="V104" s="167">
        <f t="shared" si="347"/>
        <v>0</v>
      </c>
      <c r="W104" s="167">
        <f t="shared" si="348"/>
        <v>0</v>
      </c>
      <c r="X104" s="167">
        <f t="shared" si="349"/>
        <v>0</v>
      </c>
      <c r="Y104" s="167">
        <f t="shared" si="350"/>
        <v>0</v>
      </c>
      <c r="Z104" s="167">
        <f t="shared" si="351"/>
        <v>0</v>
      </c>
      <c r="AA104" s="167">
        <f t="shared" si="352"/>
        <v>0</v>
      </c>
      <c r="AB104" s="170">
        <f t="shared" si="353"/>
        <v>0</v>
      </c>
      <c r="AC104" s="167">
        <f t="shared" si="354"/>
        <v>0</v>
      </c>
      <c r="AD104" s="171">
        <f t="shared" si="355"/>
        <v>0</v>
      </c>
      <c r="AE104" s="169">
        <f t="shared" si="398"/>
        <v>0</v>
      </c>
      <c r="AF104" s="167">
        <f t="shared" si="357"/>
        <v>0</v>
      </c>
      <c r="AG104" s="167">
        <f t="shared" si="281"/>
        <v>0</v>
      </c>
      <c r="AH104" s="167">
        <f t="shared" si="358"/>
        <v>0</v>
      </c>
      <c r="AI104" s="167">
        <f t="shared" si="282"/>
        <v>0</v>
      </c>
      <c r="AJ104" s="167">
        <f t="shared" si="359"/>
        <v>0</v>
      </c>
      <c r="AK104" s="167">
        <f t="shared" si="283"/>
        <v>0</v>
      </c>
      <c r="AL104" s="167">
        <f t="shared" si="360"/>
        <v>0</v>
      </c>
      <c r="AM104" s="167">
        <f t="shared" si="284"/>
        <v>0</v>
      </c>
      <c r="AN104" s="167">
        <f t="shared" si="361"/>
        <v>0</v>
      </c>
      <c r="AO104" s="170">
        <f t="shared" si="285"/>
        <v>0</v>
      </c>
      <c r="AP104" s="167">
        <f t="shared" si="286"/>
        <v>0</v>
      </c>
      <c r="AQ104" s="171">
        <f t="shared" si="287"/>
        <v>0</v>
      </c>
      <c r="AR104" s="169">
        <f t="shared" si="398"/>
        <v>0</v>
      </c>
      <c r="AS104" s="167">
        <f t="shared" si="362"/>
        <v>0</v>
      </c>
      <c r="AT104" s="167">
        <f t="shared" si="288"/>
        <v>0</v>
      </c>
      <c r="AU104" s="167">
        <f t="shared" si="363"/>
        <v>0</v>
      </c>
      <c r="AV104" s="167">
        <f t="shared" si="289"/>
        <v>0</v>
      </c>
      <c r="AW104" s="167">
        <f t="shared" si="364"/>
        <v>0</v>
      </c>
      <c r="AX104" s="167">
        <f t="shared" si="290"/>
        <v>0</v>
      </c>
      <c r="AY104" s="167">
        <f t="shared" si="365"/>
        <v>0</v>
      </c>
      <c r="AZ104" s="167">
        <f t="shared" si="291"/>
        <v>0</v>
      </c>
      <c r="BA104" s="167">
        <f t="shared" si="366"/>
        <v>0</v>
      </c>
      <c r="BB104" s="170">
        <f t="shared" si="292"/>
        <v>0</v>
      </c>
      <c r="BC104" s="167">
        <f t="shared" si="293"/>
        <v>0</v>
      </c>
      <c r="BD104" s="171">
        <f t="shared" si="294"/>
        <v>0</v>
      </c>
      <c r="BE104" s="169">
        <f t="shared" si="398"/>
        <v>0</v>
      </c>
      <c r="BF104" s="167">
        <f t="shared" si="367"/>
        <v>0</v>
      </c>
      <c r="BG104" s="167">
        <f t="shared" si="295"/>
        <v>0</v>
      </c>
      <c r="BH104" s="167">
        <f t="shared" si="368"/>
        <v>0</v>
      </c>
      <c r="BI104" s="167">
        <f t="shared" si="296"/>
        <v>0</v>
      </c>
      <c r="BJ104" s="167">
        <f t="shared" si="369"/>
        <v>0</v>
      </c>
      <c r="BK104" s="167">
        <f t="shared" si="297"/>
        <v>0</v>
      </c>
      <c r="BL104" s="167">
        <f t="shared" si="370"/>
        <v>0</v>
      </c>
      <c r="BM104" s="167">
        <f t="shared" si="298"/>
        <v>0</v>
      </c>
      <c r="BN104" s="167">
        <f t="shared" si="371"/>
        <v>0</v>
      </c>
      <c r="BO104" s="170">
        <f t="shared" si="299"/>
        <v>0</v>
      </c>
      <c r="BP104" s="167">
        <f t="shared" si="300"/>
        <v>0</v>
      </c>
      <c r="BQ104" s="171">
        <f t="shared" si="301"/>
        <v>0</v>
      </c>
      <c r="BR104" s="169">
        <f t="shared" si="398"/>
        <v>0</v>
      </c>
      <c r="BS104" s="167">
        <f t="shared" si="372"/>
        <v>0</v>
      </c>
      <c r="BT104" s="167">
        <f t="shared" si="302"/>
        <v>0</v>
      </c>
      <c r="BU104" s="167">
        <f t="shared" si="373"/>
        <v>0</v>
      </c>
      <c r="BV104" s="167">
        <f t="shared" si="303"/>
        <v>0</v>
      </c>
      <c r="BW104" s="167">
        <f t="shared" si="374"/>
        <v>0</v>
      </c>
      <c r="BX104" s="167">
        <f t="shared" si="304"/>
        <v>0</v>
      </c>
      <c r="BY104" s="167">
        <f t="shared" si="375"/>
        <v>0</v>
      </c>
      <c r="BZ104" s="167">
        <f t="shared" si="305"/>
        <v>0</v>
      </c>
      <c r="CA104" s="167">
        <f t="shared" si="376"/>
        <v>0</v>
      </c>
      <c r="CB104" s="170">
        <f t="shared" si="306"/>
        <v>0</v>
      </c>
      <c r="CC104" s="167">
        <f t="shared" si="307"/>
        <v>0</v>
      </c>
      <c r="CD104" s="171">
        <f t="shared" si="308"/>
        <v>0</v>
      </c>
      <c r="CE104" s="169">
        <f t="shared" si="398"/>
        <v>0</v>
      </c>
      <c r="CF104" s="167">
        <f t="shared" si="377"/>
        <v>0</v>
      </c>
      <c r="CG104" s="167">
        <f t="shared" si="309"/>
        <v>0</v>
      </c>
      <c r="CH104" s="167">
        <f t="shared" si="378"/>
        <v>0</v>
      </c>
      <c r="CI104" s="167">
        <f t="shared" si="310"/>
        <v>0</v>
      </c>
      <c r="CJ104" s="167">
        <f t="shared" si="379"/>
        <v>0</v>
      </c>
      <c r="CK104" s="167">
        <f t="shared" si="311"/>
        <v>0</v>
      </c>
      <c r="CL104" s="167">
        <f t="shared" si="380"/>
        <v>0</v>
      </c>
      <c r="CM104" s="167">
        <f t="shared" si="312"/>
        <v>0</v>
      </c>
      <c r="CN104" s="167">
        <f t="shared" si="381"/>
        <v>0</v>
      </c>
      <c r="CO104" s="170">
        <f t="shared" si="313"/>
        <v>0</v>
      </c>
      <c r="CP104" s="167">
        <f t="shared" si="314"/>
        <v>0</v>
      </c>
      <c r="CQ104" s="171">
        <f t="shared" si="315"/>
        <v>0</v>
      </c>
      <c r="CR104" s="169">
        <f t="shared" si="399"/>
        <v>0</v>
      </c>
      <c r="CS104" s="167">
        <f t="shared" si="383"/>
        <v>0</v>
      </c>
      <c r="CT104" s="167">
        <f t="shared" si="317"/>
        <v>0</v>
      </c>
      <c r="CU104" s="167">
        <f t="shared" si="384"/>
        <v>0</v>
      </c>
      <c r="CV104" s="167">
        <f t="shared" si="318"/>
        <v>0</v>
      </c>
      <c r="CW104" s="167">
        <f t="shared" si="385"/>
        <v>0</v>
      </c>
      <c r="CX104" s="167">
        <f t="shared" si="319"/>
        <v>0</v>
      </c>
      <c r="CY104" s="167">
        <f t="shared" si="386"/>
        <v>0</v>
      </c>
      <c r="CZ104" s="167">
        <f t="shared" si="320"/>
        <v>0</v>
      </c>
      <c r="DA104" s="167">
        <f t="shared" si="387"/>
        <v>0</v>
      </c>
      <c r="DB104" s="170">
        <f t="shared" si="321"/>
        <v>0</v>
      </c>
      <c r="DC104" s="167">
        <f t="shared" si="322"/>
        <v>0</v>
      </c>
      <c r="DD104" s="171">
        <f t="shared" si="323"/>
        <v>0</v>
      </c>
      <c r="DE104" s="169">
        <f t="shared" si="399"/>
        <v>0</v>
      </c>
      <c r="DF104" s="167">
        <f t="shared" si="388"/>
        <v>0</v>
      </c>
      <c r="DG104" s="167">
        <f t="shared" si="324"/>
        <v>0</v>
      </c>
      <c r="DH104" s="167">
        <f t="shared" si="389"/>
        <v>0</v>
      </c>
      <c r="DI104" s="167">
        <f t="shared" si="325"/>
        <v>0</v>
      </c>
      <c r="DJ104" s="167">
        <f t="shared" si="390"/>
        <v>0</v>
      </c>
      <c r="DK104" s="167">
        <f t="shared" si="326"/>
        <v>0</v>
      </c>
      <c r="DL104" s="167">
        <f t="shared" si="391"/>
        <v>0</v>
      </c>
      <c r="DM104" s="167">
        <f t="shared" si="327"/>
        <v>0</v>
      </c>
      <c r="DN104" s="167">
        <f t="shared" si="392"/>
        <v>0</v>
      </c>
      <c r="DO104" s="170">
        <f t="shared" si="328"/>
        <v>0</v>
      </c>
      <c r="DP104" s="167">
        <f t="shared" si="329"/>
        <v>0</v>
      </c>
      <c r="DQ104" s="171">
        <f t="shared" si="330"/>
        <v>0</v>
      </c>
      <c r="DR104" s="169">
        <f t="shared" si="399"/>
        <v>0</v>
      </c>
      <c r="DS104" s="167">
        <f t="shared" si="393"/>
        <v>0</v>
      </c>
      <c r="DT104" s="167">
        <f t="shared" si="331"/>
        <v>0</v>
      </c>
      <c r="DU104" s="167">
        <f t="shared" si="394"/>
        <v>0</v>
      </c>
      <c r="DV104" s="167">
        <f t="shared" si="332"/>
        <v>0</v>
      </c>
      <c r="DW104" s="167">
        <f t="shared" si="395"/>
        <v>0</v>
      </c>
      <c r="DX104" s="167">
        <f t="shared" si="333"/>
        <v>0</v>
      </c>
      <c r="DY104" s="167">
        <f t="shared" si="396"/>
        <v>0</v>
      </c>
      <c r="DZ104" s="167">
        <f t="shared" si="334"/>
        <v>0</v>
      </c>
      <c r="EA104" s="167">
        <f t="shared" si="397"/>
        <v>0</v>
      </c>
      <c r="EB104" s="170">
        <f t="shared" si="335"/>
        <v>0</v>
      </c>
      <c r="EC104" s="167">
        <f t="shared" si="336"/>
        <v>0</v>
      </c>
      <c r="ED104" s="171">
        <f t="shared" si="337"/>
        <v>0</v>
      </c>
    </row>
    <row r="105" spans="1:134" x14ac:dyDescent="0.3">
      <c r="A105" s="185"/>
      <c r="B105" s="186"/>
      <c r="C105" s="187"/>
      <c r="D105" s="188"/>
      <c r="E105" s="189"/>
      <c r="F105" s="190"/>
      <c r="G105" s="191"/>
      <c r="H105" s="192"/>
      <c r="I105" s="193"/>
      <c r="J105" s="194"/>
      <c r="K105" s="165">
        <f t="shared" si="338"/>
        <v>0</v>
      </c>
      <c r="L105" s="166">
        <f t="shared" si="339"/>
        <v>0</v>
      </c>
      <c r="M105" s="167">
        <f t="shared" si="340"/>
        <v>0</v>
      </c>
      <c r="N105" s="167"/>
      <c r="O105" s="167">
        <f t="shared" si="341"/>
        <v>0</v>
      </c>
      <c r="P105" s="168"/>
      <c r="Q105" s="167">
        <f t="shared" si="342"/>
        <v>0</v>
      </c>
      <c r="R105" s="169">
        <f t="shared" si="343"/>
        <v>0</v>
      </c>
      <c r="S105" s="167">
        <f t="shared" si="344"/>
        <v>0</v>
      </c>
      <c r="T105" s="167">
        <f t="shared" si="345"/>
        <v>0</v>
      </c>
      <c r="U105" s="167">
        <f t="shared" si="346"/>
        <v>0</v>
      </c>
      <c r="V105" s="167">
        <f t="shared" si="347"/>
        <v>0</v>
      </c>
      <c r="W105" s="167">
        <f t="shared" si="348"/>
        <v>0</v>
      </c>
      <c r="X105" s="167">
        <f t="shared" si="349"/>
        <v>0</v>
      </c>
      <c r="Y105" s="167">
        <f t="shared" si="350"/>
        <v>0</v>
      </c>
      <c r="Z105" s="167">
        <f t="shared" si="351"/>
        <v>0</v>
      </c>
      <c r="AA105" s="167">
        <f t="shared" si="352"/>
        <v>0</v>
      </c>
      <c r="AB105" s="170">
        <f t="shared" si="353"/>
        <v>0</v>
      </c>
      <c r="AC105" s="167">
        <f t="shared" si="354"/>
        <v>0</v>
      </c>
      <c r="AD105" s="171">
        <f t="shared" si="355"/>
        <v>0</v>
      </c>
      <c r="AE105" s="169">
        <f t="shared" si="398"/>
        <v>0</v>
      </c>
      <c r="AF105" s="167">
        <f t="shared" si="357"/>
        <v>0</v>
      </c>
      <c r="AG105" s="167">
        <f t="shared" si="281"/>
        <v>0</v>
      </c>
      <c r="AH105" s="167">
        <f t="shared" si="358"/>
        <v>0</v>
      </c>
      <c r="AI105" s="167">
        <f t="shared" si="282"/>
        <v>0</v>
      </c>
      <c r="AJ105" s="167">
        <f t="shared" si="359"/>
        <v>0</v>
      </c>
      <c r="AK105" s="167">
        <f t="shared" si="283"/>
        <v>0</v>
      </c>
      <c r="AL105" s="167">
        <f t="shared" si="360"/>
        <v>0</v>
      </c>
      <c r="AM105" s="167">
        <f t="shared" si="284"/>
        <v>0</v>
      </c>
      <c r="AN105" s="167">
        <f t="shared" si="361"/>
        <v>0</v>
      </c>
      <c r="AO105" s="170">
        <f t="shared" si="285"/>
        <v>0</v>
      </c>
      <c r="AP105" s="167">
        <f t="shared" si="286"/>
        <v>0</v>
      </c>
      <c r="AQ105" s="171">
        <f t="shared" si="287"/>
        <v>0</v>
      </c>
      <c r="AR105" s="169">
        <f t="shared" si="398"/>
        <v>0</v>
      </c>
      <c r="AS105" s="167">
        <f t="shared" si="362"/>
        <v>0</v>
      </c>
      <c r="AT105" s="167">
        <f t="shared" si="288"/>
        <v>0</v>
      </c>
      <c r="AU105" s="167">
        <f t="shared" si="363"/>
        <v>0</v>
      </c>
      <c r="AV105" s="167">
        <f t="shared" si="289"/>
        <v>0</v>
      </c>
      <c r="AW105" s="167">
        <f t="shared" si="364"/>
        <v>0</v>
      </c>
      <c r="AX105" s="167">
        <f t="shared" si="290"/>
        <v>0</v>
      </c>
      <c r="AY105" s="167">
        <f t="shared" si="365"/>
        <v>0</v>
      </c>
      <c r="AZ105" s="167">
        <f t="shared" si="291"/>
        <v>0</v>
      </c>
      <c r="BA105" s="167">
        <f t="shared" si="366"/>
        <v>0</v>
      </c>
      <c r="BB105" s="170">
        <f t="shared" si="292"/>
        <v>0</v>
      </c>
      <c r="BC105" s="167">
        <f t="shared" si="293"/>
        <v>0</v>
      </c>
      <c r="BD105" s="171">
        <f t="shared" si="294"/>
        <v>0</v>
      </c>
      <c r="BE105" s="169">
        <f t="shared" si="398"/>
        <v>0</v>
      </c>
      <c r="BF105" s="167">
        <f t="shared" si="367"/>
        <v>0</v>
      </c>
      <c r="BG105" s="167">
        <f t="shared" si="295"/>
        <v>0</v>
      </c>
      <c r="BH105" s="167">
        <f t="shared" si="368"/>
        <v>0</v>
      </c>
      <c r="BI105" s="167">
        <f t="shared" si="296"/>
        <v>0</v>
      </c>
      <c r="BJ105" s="167">
        <f t="shared" si="369"/>
        <v>0</v>
      </c>
      <c r="BK105" s="167">
        <f t="shared" si="297"/>
        <v>0</v>
      </c>
      <c r="BL105" s="167">
        <f t="shared" si="370"/>
        <v>0</v>
      </c>
      <c r="BM105" s="167">
        <f t="shared" si="298"/>
        <v>0</v>
      </c>
      <c r="BN105" s="167">
        <f t="shared" si="371"/>
        <v>0</v>
      </c>
      <c r="BO105" s="170">
        <f t="shared" si="299"/>
        <v>0</v>
      </c>
      <c r="BP105" s="167">
        <f t="shared" si="300"/>
        <v>0</v>
      </c>
      <c r="BQ105" s="171">
        <f t="shared" si="301"/>
        <v>0</v>
      </c>
      <c r="BR105" s="169">
        <f t="shared" si="398"/>
        <v>0</v>
      </c>
      <c r="BS105" s="167">
        <f t="shared" si="372"/>
        <v>0</v>
      </c>
      <c r="BT105" s="167">
        <f t="shared" si="302"/>
        <v>0</v>
      </c>
      <c r="BU105" s="167">
        <f t="shared" si="373"/>
        <v>0</v>
      </c>
      <c r="BV105" s="167">
        <f t="shared" si="303"/>
        <v>0</v>
      </c>
      <c r="BW105" s="167">
        <f t="shared" si="374"/>
        <v>0</v>
      </c>
      <c r="BX105" s="167">
        <f t="shared" si="304"/>
        <v>0</v>
      </c>
      <c r="BY105" s="167">
        <f t="shared" si="375"/>
        <v>0</v>
      </c>
      <c r="BZ105" s="167">
        <f t="shared" si="305"/>
        <v>0</v>
      </c>
      <c r="CA105" s="167">
        <f t="shared" si="376"/>
        <v>0</v>
      </c>
      <c r="CB105" s="170">
        <f t="shared" si="306"/>
        <v>0</v>
      </c>
      <c r="CC105" s="167">
        <f t="shared" si="307"/>
        <v>0</v>
      </c>
      <c r="CD105" s="171">
        <f t="shared" si="308"/>
        <v>0</v>
      </c>
      <c r="CE105" s="169">
        <f t="shared" si="398"/>
        <v>0</v>
      </c>
      <c r="CF105" s="167">
        <f t="shared" si="377"/>
        <v>0</v>
      </c>
      <c r="CG105" s="167">
        <f t="shared" si="309"/>
        <v>0</v>
      </c>
      <c r="CH105" s="167">
        <f t="shared" si="378"/>
        <v>0</v>
      </c>
      <c r="CI105" s="167">
        <f t="shared" si="310"/>
        <v>0</v>
      </c>
      <c r="CJ105" s="167">
        <f t="shared" si="379"/>
        <v>0</v>
      </c>
      <c r="CK105" s="167">
        <f t="shared" si="311"/>
        <v>0</v>
      </c>
      <c r="CL105" s="167">
        <f t="shared" si="380"/>
        <v>0</v>
      </c>
      <c r="CM105" s="167">
        <f t="shared" si="312"/>
        <v>0</v>
      </c>
      <c r="CN105" s="167">
        <f t="shared" si="381"/>
        <v>0</v>
      </c>
      <c r="CO105" s="170">
        <f t="shared" si="313"/>
        <v>0</v>
      </c>
      <c r="CP105" s="167">
        <f t="shared" si="314"/>
        <v>0</v>
      </c>
      <c r="CQ105" s="171">
        <f t="shared" si="315"/>
        <v>0</v>
      </c>
      <c r="CR105" s="169">
        <f t="shared" si="399"/>
        <v>0</v>
      </c>
      <c r="CS105" s="167">
        <f t="shared" si="383"/>
        <v>0</v>
      </c>
      <c r="CT105" s="167">
        <f t="shared" si="317"/>
        <v>0</v>
      </c>
      <c r="CU105" s="167">
        <f t="shared" si="384"/>
        <v>0</v>
      </c>
      <c r="CV105" s="167">
        <f t="shared" si="318"/>
        <v>0</v>
      </c>
      <c r="CW105" s="167">
        <f t="shared" si="385"/>
        <v>0</v>
      </c>
      <c r="CX105" s="167">
        <f t="shared" si="319"/>
        <v>0</v>
      </c>
      <c r="CY105" s="167">
        <f t="shared" si="386"/>
        <v>0</v>
      </c>
      <c r="CZ105" s="167">
        <f t="shared" si="320"/>
        <v>0</v>
      </c>
      <c r="DA105" s="167">
        <f t="shared" si="387"/>
        <v>0</v>
      </c>
      <c r="DB105" s="170">
        <f t="shared" si="321"/>
        <v>0</v>
      </c>
      <c r="DC105" s="167">
        <f t="shared" si="322"/>
        <v>0</v>
      </c>
      <c r="DD105" s="171">
        <f t="shared" si="323"/>
        <v>0</v>
      </c>
      <c r="DE105" s="169">
        <f t="shared" si="399"/>
        <v>0</v>
      </c>
      <c r="DF105" s="167">
        <f t="shared" si="388"/>
        <v>0</v>
      </c>
      <c r="DG105" s="167">
        <f t="shared" si="324"/>
        <v>0</v>
      </c>
      <c r="DH105" s="167">
        <f t="shared" si="389"/>
        <v>0</v>
      </c>
      <c r="DI105" s="167">
        <f t="shared" si="325"/>
        <v>0</v>
      </c>
      <c r="DJ105" s="167">
        <f t="shared" si="390"/>
        <v>0</v>
      </c>
      <c r="DK105" s="167">
        <f t="shared" si="326"/>
        <v>0</v>
      </c>
      <c r="DL105" s="167">
        <f t="shared" si="391"/>
        <v>0</v>
      </c>
      <c r="DM105" s="167">
        <f t="shared" si="327"/>
        <v>0</v>
      </c>
      <c r="DN105" s="167">
        <f t="shared" si="392"/>
        <v>0</v>
      </c>
      <c r="DO105" s="170">
        <f t="shared" si="328"/>
        <v>0</v>
      </c>
      <c r="DP105" s="167">
        <f t="shared" si="329"/>
        <v>0</v>
      </c>
      <c r="DQ105" s="171">
        <f t="shared" si="330"/>
        <v>0</v>
      </c>
      <c r="DR105" s="169">
        <f t="shared" si="399"/>
        <v>0</v>
      </c>
      <c r="DS105" s="167">
        <f t="shared" si="393"/>
        <v>0</v>
      </c>
      <c r="DT105" s="167">
        <f t="shared" si="331"/>
        <v>0</v>
      </c>
      <c r="DU105" s="167">
        <f t="shared" si="394"/>
        <v>0</v>
      </c>
      <c r="DV105" s="167">
        <f t="shared" si="332"/>
        <v>0</v>
      </c>
      <c r="DW105" s="167">
        <f t="shared" si="395"/>
        <v>0</v>
      </c>
      <c r="DX105" s="167">
        <f t="shared" si="333"/>
        <v>0</v>
      </c>
      <c r="DY105" s="167">
        <f t="shared" si="396"/>
        <v>0</v>
      </c>
      <c r="DZ105" s="167">
        <f t="shared" si="334"/>
        <v>0</v>
      </c>
      <c r="EA105" s="167">
        <f t="shared" si="397"/>
        <v>0</v>
      </c>
      <c r="EB105" s="170">
        <f t="shared" si="335"/>
        <v>0</v>
      </c>
      <c r="EC105" s="167">
        <f t="shared" si="336"/>
        <v>0</v>
      </c>
      <c r="ED105" s="171">
        <f t="shared" si="337"/>
        <v>0</v>
      </c>
    </row>
    <row r="106" spans="1:134" x14ac:dyDescent="0.3">
      <c r="A106" s="185"/>
      <c r="B106" s="186"/>
      <c r="C106" s="187"/>
      <c r="D106" s="188"/>
      <c r="E106" s="189"/>
      <c r="F106" s="190"/>
      <c r="G106" s="191"/>
      <c r="H106" s="192"/>
      <c r="I106" s="193"/>
      <c r="J106" s="194"/>
      <c r="K106" s="165">
        <f t="shared" si="338"/>
        <v>0</v>
      </c>
      <c r="L106" s="166">
        <f t="shared" si="339"/>
        <v>0</v>
      </c>
      <c r="M106" s="167">
        <f t="shared" si="340"/>
        <v>0</v>
      </c>
      <c r="N106" s="167"/>
      <c r="O106" s="167">
        <f t="shared" si="341"/>
        <v>0</v>
      </c>
      <c r="P106" s="168"/>
      <c r="Q106" s="167">
        <f t="shared" si="342"/>
        <v>0</v>
      </c>
      <c r="R106" s="169">
        <f t="shared" si="343"/>
        <v>0</v>
      </c>
      <c r="S106" s="167">
        <f t="shared" si="344"/>
        <v>0</v>
      </c>
      <c r="T106" s="167">
        <f t="shared" si="345"/>
        <v>0</v>
      </c>
      <c r="U106" s="167">
        <f t="shared" si="346"/>
        <v>0</v>
      </c>
      <c r="V106" s="167">
        <f t="shared" si="347"/>
        <v>0</v>
      </c>
      <c r="W106" s="167">
        <f t="shared" si="348"/>
        <v>0</v>
      </c>
      <c r="X106" s="167">
        <f t="shared" si="349"/>
        <v>0</v>
      </c>
      <c r="Y106" s="167">
        <f t="shared" si="350"/>
        <v>0</v>
      </c>
      <c r="Z106" s="167">
        <f t="shared" si="351"/>
        <v>0</v>
      </c>
      <c r="AA106" s="167">
        <f t="shared" si="352"/>
        <v>0</v>
      </c>
      <c r="AB106" s="170">
        <f t="shared" si="353"/>
        <v>0</v>
      </c>
      <c r="AC106" s="167">
        <f t="shared" si="354"/>
        <v>0</v>
      </c>
      <c r="AD106" s="171">
        <f t="shared" si="355"/>
        <v>0</v>
      </c>
      <c r="AE106" s="169">
        <f t="shared" si="398"/>
        <v>0</v>
      </c>
      <c r="AF106" s="167">
        <f t="shared" si="357"/>
        <v>0</v>
      </c>
      <c r="AG106" s="167">
        <f t="shared" si="281"/>
        <v>0</v>
      </c>
      <c r="AH106" s="167">
        <f t="shared" si="358"/>
        <v>0</v>
      </c>
      <c r="AI106" s="167">
        <f t="shared" si="282"/>
        <v>0</v>
      </c>
      <c r="AJ106" s="167">
        <f t="shared" si="359"/>
        <v>0</v>
      </c>
      <c r="AK106" s="167">
        <f t="shared" si="283"/>
        <v>0</v>
      </c>
      <c r="AL106" s="167">
        <f t="shared" si="360"/>
        <v>0</v>
      </c>
      <c r="AM106" s="167">
        <f t="shared" si="284"/>
        <v>0</v>
      </c>
      <c r="AN106" s="167">
        <f t="shared" si="361"/>
        <v>0</v>
      </c>
      <c r="AO106" s="170">
        <f t="shared" si="285"/>
        <v>0</v>
      </c>
      <c r="AP106" s="167">
        <f t="shared" si="286"/>
        <v>0</v>
      </c>
      <c r="AQ106" s="171">
        <f t="shared" si="287"/>
        <v>0</v>
      </c>
      <c r="AR106" s="169">
        <f t="shared" si="398"/>
        <v>0</v>
      </c>
      <c r="AS106" s="167">
        <f t="shared" si="362"/>
        <v>0</v>
      </c>
      <c r="AT106" s="167">
        <f t="shared" si="288"/>
        <v>0</v>
      </c>
      <c r="AU106" s="167">
        <f t="shared" si="363"/>
        <v>0</v>
      </c>
      <c r="AV106" s="167">
        <f t="shared" si="289"/>
        <v>0</v>
      </c>
      <c r="AW106" s="167">
        <f t="shared" si="364"/>
        <v>0</v>
      </c>
      <c r="AX106" s="167">
        <f t="shared" si="290"/>
        <v>0</v>
      </c>
      <c r="AY106" s="167">
        <f t="shared" si="365"/>
        <v>0</v>
      </c>
      <c r="AZ106" s="167">
        <f t="shared" si="291"/>
        <v>0</v>
      </c>
      <c r="BA106" s="167">
        <f t="shared" si="366"/>
        <v>0</v>
      </c>
      <c r="BB106" s="170">
        <f t="shared" si="292"/>
        <v>0</v>
      </c>
      <c r="BC106" s="167">
        <f t="shared" si="293"/>
        <v>0</v>
      </c>
      <c r="BD106" s="171">
        <f t="shared" si="294"/>
        <v>0</v>
      </c>
      <c r="BE106" s="169">
        <f t="shared" si="398"/>
        <v>0</v>
      </c>
      <c r="BF106" s="167">
        <f t="shared" si="367"/>
        <v>0</v>
      </c>
      <c r="BG106" s="167">
        <f t="shared" si="295"/>
        <v>0</v>
      </c>
      <c r="BH106" s="167">
        <f t="shared" si="368"/>
        <v>0</v>
      </c>
      <c r="BI106" s="167">
        <f t="shared" si="296"/>
        <v>0</v>
      </c>
      <c r="BJ106" s="167">
        <f t="shared" si="369"/>
        <v>0</v>
      </c>
      <c r="BK106" s="167">
        <f t="shared" si="297"/>
        <v>0</v>
      </c>
      <c r="BL106" s="167">
        <f t="shared" si="370"/>
        <v>0</v>
      </c>
      <c r="BM106" s="167">
        <f t="shared" si="298"/>
        <v>0</v>
      </c>
      <c r="BN106" s="167">
        <f t="shared" si="371"/>
        <v>0</v>
      </c>
      <c r="BO106" s="170">
        <f t="shared" si="299"/>
        <v>0</v>
      </c>
      <c r="BP106" s="167">
        <f t="shared" si="300"/>
        <v>0</v>
      </c>
      <c r="BQ106" s="171">
        <f t="shared" si="301"/>
        <v>0</v>
      </c>
      <c r="BR106" s="169">
        <f t="shared" si="398"/>
        <v>0</v>
      </c>
      <c r="BS106" s="167">
        <f t="shared" si="372"/>
        <v>0</v>
      </c>
      <c r="BT106" s="167">
        <f t="shared" si="302"/>
        <v>0</v>
      </c>
      <c r="BU106" s="167">
        <f t="shared" si="373"/>
        <v>0</v>
      </c>
      <c r="BV106" s="167">
        <f t="shared" si="303"/>
        <v>0</v>
      </c>
      <c r="BW106" s="167">
        <f t="shared" si="374"/>
        <v>0</v>
      </c>
      <c r="BX106" s="167">
        <f t="shared" si="304"/>
        <v>0</v>
      </c>
      <c r="BY106" s="167">
        <f t="shared" si="375"/>
        <v>0</v>
      </c>
      <c r="BZ106" s="167">
        <f t="shared" si="305"/>
        <v>0</v>
      </c>
      <c r="CA106" s="167">
        <f t="shared" si="376"/>
        <v>0</v>
      </c>
      <c r="CB106" s="170">
        <f t="shared" si="306"/>
        <v>0</v>
      </c>
      <c r="CC106" s="167">
        <f t="shared" si="307"/>
        <v>0</v>
      </c>
      <c r="CD106" s="171">
        <f t="shared" si="308"/>
        <v>0</v>
      </c>
      <c r="CE106" s="169">
        <f t="shared" si="398"/>
        <v>0</v>
      </c>
      <c r="CF106" s="167">
        <f t="shared" si="377"/>
        <v>0</v>
      </c>
      <c r="CG106" s="167">
        <f t="shared" si="309"/>
        <v>0</v>
      </c>
      <c r="CH106" s="167">
        <f t="shared" si="378"/>
        <v>0</v>
      </c>
      <c r="CI106" s="167">
        <f t="shared" si="310"/>
        <v>0</v>
      </c>
      <c r="CJ106" s="167">
        <f t="shared" si="379"/>
        <v>0</v>
      </c>
      <c r="CK106" s="167">
        <f t="shared" si="311"/>
        <v>0</v>
      </c>
      <c r="CL106" s="167">
        <f t="shared" si="380"/>
        <v>0</v>
      </c>
      <c r="CM106" s="167">
        <f t="shared" si="312"/>
        <v>0</v>
      </c>
      <c r="CN106" s="167">
        <f t="shared" si="381"/>
        <v>0</v>
      </c>
      <c r="CO106" s="170">
        <f t="shared" si="313"/>
        <v>0</v>
      </c>
      <c r="CP106" s="167">
        <f t="shared" si="314"/>
        <v>0</v>
      </c>
      <c r="CQ106" s="171">
        <f t="shared" si="315"/>
        <v>0</v>
      </c>
      <c r="CR106" s="169">
        <f t="shared" si="399"/>
        <v>0</v>
      </c>
      <c r="CS106" s="167">
        <f t="shared" si="383"/>
        <v>0</v>
      </c>
      <c r="CT106" s="167">
        <f t="shared" si="317"/>
        <v>0</v>
      </c>
      <c r="CU106" s="167">
        <f t="shared" si="384"/>
        <v>0</v>
      </c>
      <c r="CV106" s="167">
        <f t="shared" si="318"/>
        <v>0</v>
      </c>
      <c r="CW106" s="167">
        <f t="shared" si="385"/>
        <v>0</v>
      </c>
      <c r="CX106" s="167">
        <f t="shared" si="319"/>
        <v>0</v>
      </c>
      <c r="CY106" s="167">
        <f t="shared" si="386"/>
        <v>0</v>
      </c>
      <c r="CZ106" s="167">
        <f t="shared" si="320"/>
        <v>0</v>
      </c>
      <c r="DA106" s="167">
        <f t="shared" si="387"/>
        <v>0</v>
      </c>
      <c r="DB106" s="170">
        <f t="shared" si="321"/>
        <v>0</v>
      </c>
      <c r="DC106" s="167">
        <f t="shared" si="322"/>
        <v>0</v>
      </c>
      <c r="DD106" s="171">
        <f t="shared" si="323"/>
        <v>0</v>
      </c>
      <c r="DE106" s="169">
        <f t="shared" si="399"/>
        <v>0</v>
      </c>
      <c r="DF106" s="167">
        <f t="shared" si="388"/>
        <v>0</v>
      </c>
      <c r="DG106" s="167">
        <f t="shared" si="324"/>
        <v>0</v>
      </c>
      <c r="DH106" s="167">
        <f t="shared" si="389"/>
        <v>0</v>
      </c>
      <c r="DI106" s="167">
        <f t="shared" si="325"/>
        <v>0</v>
      </c>
      <c r="DJ106" s="167">
        <f t="shared" si="390"/>
        <v>0</v>
      </c>
      <c r="DK106" s="167">
        <f t="shared" si="326"/>
        <v>0</v>
      </c>
      <c r="DL106" s="167">
        <f t="shared" si="391"/>
        <v>0</v>
      </c>
      <c r="DM106" s="167">
        <f t="shared" si="327"/>
        <v>0</v>
      </c>
      <c r="DN106" s="167">
        <f t="shared" si="392"/>
        <v>0</v>
      </c>
      <c r="DO106" s="170">
        <f t="shared" si="328"/>
        <v>0</v>
      </c>
      <c r="DP106" s="167">
        <f t="shared" si="329"/>
        <v>0</v>
      </c>
      <c r="DQ106" s="171">
        <f t="shared" si="330"/>
        <v>0</v>
      </c>
      <c r="DR106" s="169">
        <f t="shared" si="399"/>
        <v>0</v>
      </c>
      <c r="DS106" s="167">
        <f t="shared" si="393"/>
        <v>0</v>
      </c>
      <c r="DT106" s="167">
        <f t="shared" si="331"/>
        <v>0</v>
      </c>
      <c r="DU106" s="167">
        <f t="shared" si="394"/>
        <v>0</v>
      </c>
      <c r="DV106" s="167">
        <f t="shared" si="332"/>
        <v>0</v>
      </c>
      <c r="DW106" s="167">
        <f t="shared" si="395"/>
        <v>0</v>
      </c>
      <c r="DX106" s="167">
        <f t="shared" si="333"/>
        <v>0</v>
      </c>
      <c r="DY106" s="167">
        <f t="shared" si="396"/>
        <v>0</v>
      </c>
      <c r="DZ106" s="167">
        <f t="shared" si="334"/>
        <v>0</v>
      </c>
      <c r="EA106" s="167">
        <f t="shared" si="397"/>
        <v>0</v>
      </c>
      <c r="EB106" s="170">
        <f t="shared" si="335"/>
        <v>0</v>
      </c>
      <c r="EC106" s="167">
        <f t="shared" si="336"/>
        <v>0</v>
      </c>
      <c r="ED106" s="171">
        <f t="shared" si="337"/>
        <v>0</v>
      </c>
    </row>
    <row r="107" spans="1:134" x14ac:dyDescent="0.3">
      <c r="A107" s="185"/>
      <c r="B107" s="186"/>
      <c r="C107" s="187"/>
      <c r="D107" s="188"/>
      <c r="E107" s="189"/>
      <c r="F107" s="190"/>
      <c r="G107" s="191"/>
      <c r="H107" s="192"/>
      <c r="I107" s="193"/>
      <c r="J107" s="194"/>
      <c r="K107" s="165">
        <f t="shared" si="338"/>
        <v>0</v>
      </c>
      <c r="L107" s="166">
        <f t="shared" si="339"/>
        <v>0</v>
      </c>
      <c r="M107" s="167">
        <f t="shared" si="340"/>
        <v>0</v>
      </c>
      <c r="N107" s="167"/>
      <c r="O107" s="167">
        <f t="shared" si="341"/>
        <v>0</v>
      </c>
      <c r="P107" s="168"/>
      <c r="Q107" s="167">
        <f t="shared" si="342"/>
        <v>0</v>
      </c>
      <c r="R107" s="169">
        <f t="shared" si="343"/>
        <v>0</v>
      </c>
      <c r="S107" s="167">
        <f t="shared" si="344"/>
        <v>0</v>
      </c>
      <c r="T107" s="167">
        <f t="shared" si="345"/>
        <v>0</v>
      </c>
      <c r="U107" s="167">
        <f t="shared" si="346"/>
        <v>0</v>
      </c>
      <c r="V107" s="167">
        <f t="shared" si="347"/>
        <v>0</v>
      </c>
      <c r="W107" s="167">
        <f t="shared" si="348"/>
        <v>0</v>
      </c>
      <c r="X107" s="167">
        <f t="shared" si="349"/>
        <v>0</v>
      </c>
      <c r="Y107" s="167">
        <f t="shared" si="350"/>
        <v>0</v>
      </c>
      <c r="Z107" s="167">
        <f t="shared" si="351"/>
        <v>0</v>
      </c>
      <c r="AA107" s="167">
        <f t="shared" si="352"/>
        <v>0</v>
      </c>
      <c r="AB107" s="170">
        <f t="shared" si="353"/>
        <v>0</v>
      </c>
      <c r="AC107" s="167">
        <f t="shared" si="354"/>
        <v>0</v>
      </c>
      <c r="AD107" s="171">
        <f t="shared" si="355"/>
        <v>0</v>
      </c>
      <c r="AE107" s="169">
        <f t="shared" si="398"/>
        <v>0</v>
      </c>
      <c r="AF107" s="167">
        <f t="shared" si="357"/>
        <v>0</v>
      </c>
      <c r="AG107" s="167">
        <f t="shared" si="281"/>
        <v>0</v>
      </c>
      <c r="AH107" s="167">
        <f t="shared" si="358"/>
        <v>0</v>
      </c>
      <c r="AI107" s="167">
        <f t="shared" si="282"/>
        <v>0</v>
      </c>
      <c r="AJ107" s="167">
        <f t="shared" si="359"/>
        <v>0</v>
      </c>
      <c r="AK107" s="167">
        <f t="shared" si="283"/>
        <v>0</v>
      </c>
      <c r="AL107" s="167">
        <f t="shared" si="360"/>
        <v>0</v>
      </c>
      <c r="AM107" s="167">
        <f t="shared" si="284"/>
        <v>0</v>
      </c>
      <c r="AN107" s="167">
        <f t="shared" si="361"/>
        <v>0</v>
      </c>
      <c r="AO107" s="170">
        <f t="shared" si="285"/>
        <v>0</v>
      </c>
      <c r="AP107" s="167">
        <f t="shared" si="286"/>
        <v>0</v>
      </c>
      <c r="AQ107" s="171">
        <f t="shared" si="287"/>
        <v>0</v>
      </c>
      <c r="AR107" s="169">
        <f t="shared" si="398"/>
        <v>0</v>
      </c>
      <c r="AS107" s="167">
        <f t="shared" si="362"/>
        <v>0</v>
      </c>
      <c r="AT107" s="167">
        <f t="shared" si="288"/>
        <v>0</v>
      </c>
      <c r="AU107" s="167">
        <f t="shared" si="363"/>
        <v>0</v>
      </c>
      <c r="AV107" s="167">
        <f t="shared" si="289"/>
        <v>0</v>
      </c>
      <c r="AW107" s="167">
        <f t="shared" si="364"/>
        <v>0</v>
      </c>
      <c r="AX107" s="167">
        <f t="shared" si="290"/>
        <v>0</v>
      </c>
      <c r="AY107" s="167">
        <f t="shared" si="365"/>
        <v>0</v>
      </c>
      <c r="AZ107" s="167">
        <f t="shared" si="291"/>
        <v>0</v>
      </c>
      <c r="BA107" s="167">
        <f t="shared" si="366"/>
        <v>0</v>
      </c>
      <c r="BB107" s="170">
        <f t="shared" si="292"/>
        <v>0</v>
      </c>
      <c r="BC107" s="167">
        <f t="shared" si="293"/>
        <v>0</v>
      </c>
      <c r="BD107" s="171">
        <f t="shared" si="294"/>
        <v>0</v>
      </c>
      <c r="BE107" s="169">
        <f t="shared" si="398"/>
        <v>0</v>
      </c>
      <c r="BF107" s="167">
        <f t="shared" si="367"/>
        <v>0</v>
      </c>
      <c r="BG107" s="167">
        <f t="shared" si="295"/>
        <v>0</v>
      </c>
      <c r="BH107" s="167">
        <f t="shared" si="368"/>
        <v>0</v>
      </c>
      <c r="BI107" s="167">
        <f t="shared" si="296"/>
        <v>0</v>
      </c>
      <c r="BJ107" s="167">
        <f t="shared" si="369"/>
        <v>0</v>
      </c>
      <c r="BK107" s="167">
        <f t="shared" si="297"/>
        <v>0</v>
      </c>
      <c r="BL107" s="167">
        <f t="shared" si="370"/>
        <v>0</v>
      </c>
      <c r="BM107" s="167">
        <f t="shared" si="298"/>
        <v>0</v>
      </c>
      <c r="BN107" s="167">
        <f t="shared" si="371"/>
        <v>0</v>
      </c>
      <c r="BO107" s="170">
        <f t="shared" si="299"/>
        <v>0</v>
      </c>
      <c r="BP107" s="167">
        <f t="shared" si="300"/>
        <v>0</v>
      </c>
      <c r="BQ107" s="171">
        <f t="shared" si="301"/>
        <v>0</v>
      </c>
      <c r="BR107" s="169">
        <f t="shared" si="398"/>
        <v>0</v>
      </c>
      <c r="BS107" s="167">
        <f t="shared" si="372"/>
        <v>0</v>
      </c>
      <c r="BT107" s="167">
        <f t="shared" si="302"/>
        <v>0</v>
      </c>
      <c r="BU107" s="167">
        <f t="shared" si="373"/>
        <v>0</v>
      </c>
      <c r="BV107" s="167">
        <f t="shared" si="303"/>
        <v>0</v>
      </c>
      <c r="BW107" s="167">
        <f t="shared" si="374"/>
        <v>0</v>
      </c>
      <c r="BX107" s="167">
        <f t="shared" si="304"/>
        <v>0</v>
      </c>
      <c r="BY107" s="167">
        <f t="shared" si="375"/>
        <v>0</v>
      </c>
      <c r="BZ107" s="167">
        <f t="shared" si="305"/>
        <v>0</v>
      </c>
      <c r="CA107" s="167">
        <f t="shared" si="376"/>
        <v>0</v>
      </c>
      <c r="CB107" s="170">
        <f t="shared" si="306"/>
        <v>0</v>
      </c>
      <c r="CC107" s="167">
        <f t="shared" si="307"/>
        <v>0</v>
      </c>
      <c r="CD107" s="171">
        <f t="shared" si="308"/>
        <v>0</v>
      </c>
      <c r="CE107" s="169">
        <f t="shared" si="398"/>
        <v>0</v>
      </c>
      <c r="CF107" s="167">
        <f t="shared" si="377"/>
        <v>0</v>
      </c>
      <c r="CG107" s="167">
        <f t="shared" si="309"/>
        <v>0</v>
      </c>
      <c r="CH107" s="167">
        <f t="shared" si="378"/>
        <v>0</v>
      </c>
      <c r="CI107" s="167">
        <f t="shared" si="310"/>
        <v>0</v>
      </c>
      <c r="CJ107" s="167">
        <f t="shared" si="379"/>
        <v>0</v>
      </c>
      <c r="CK107" s="167">
        <f t="shared" si="311"/>
        <v>0</v>
      </c>
      <c r="CL107" s="167">
        <f t="shared" si="380"/>
        <v>0</v>
      </c>
      <c r="CM107" s="167">
        <f t="shared" si="312"/>
        <v>0</v>
      </c>
      <c r="CN107" s="167">
        <f t="shared" si="381"/>
        <v>0</v>
      </c>
      <c r="CO107" s="170">
        <f t="shared" si="313"/>
        <v>0</v>
      </c>
      <c r="CP107" s="167">
        <f t="shared" si="314"/>
        <v>0</v>
      </c>
      <c r="CQ107" s="171">
        <f t="shared" si="315"/>
        <v>0</v>
      </c>
      <c r="CR107" s="169">
        <f t="shared" si="399"/>
        <v>0</v>
      </c>
      <c r="CS107" s="167">
        <f t="shared" si="383"/>
        <v>0</v>
      </c>
      <c r="CT107" s="167">
        <f t="shared" si="317"/>
        <v>0</v>
      </c>
      <c r="CU107" s="167">
        <f t="shared" si="384"/>
        <v>0</v>
      </c>
      <c r="CV107" s="167">
        <f t="shared" si="318"/>
        <v>0</v>
      </c>
      <c r="CW107" s="167">
        <f t="shared" si="385"/>
        <v>0</v>
      </c>
      <c r="CX107" s="167">
        <f t="shared" si="319"/>
        <v>0</v>
      </c>
      <c r="CY107" s="167">
        <f t="shared" si="386"/>
        <v>0</v>
      </c>
      <c r="CZ107" s="167">
        <f t="shared" si="320"/>
        <v>0</v>
      </c>
      <c r="DA107" s="167">
        <f t="shared" si="387"/>
        <v>0</v>
      </c>
      <c r="DB107" s="170">
        <f t="shared" si="321"/>
        <v>0</v>
      </c>
      <c r="DC107" s="167">
        <f t="shared" si="322"/>
        <v>0</v>
      </c>
      <c r="DD107" s="171">
        <f t="shared" si="323"/>
        <v>0</v>
      </c>
      <c r="DE107" s="169">
        <f t="shared" si="399"/>
        <v>0</v>
      </c>
      <c r="DF107" s="167">
        <f t="shared" si="388"/>
        <v>0</v>
      </c>
      <c r="DG107" s="167">
        <f t="shared" si="324"/>
        <v>0</v>
      </c>
      <c r="DH107" s="167">
        <f t="shared" si="389"/>
        <v>0</v>
      </c>
      <c r="DI107" s="167">
        <f t="shared" si="325"/>
        <v>0</v>
      </c>
      <c r="DJ107" s="167">
        <f t="shared" si="390"/>
        <v>0</v>
      </c>
      <c r="DK107" s="167">
        <f t="shared" si="326"/>
        <v>0</v>
      </c>
      <c r="DL107" s="167">
        <f t="shared" si="391"/>
        <v>0</v>
      </c>
      <c r="DM107" s="167">
        <f t="shared" si="327"/>
        <v>0</v>
      </c>
      <c r="DN107" s="167">
        <f t="shared" si="392"/>
        <v>0</v>
      </c>
      <c r="DO107" s="170">
        <f t="shared" si="328"/>
        <v>0</v>
      </c>
      <c r="DP107" s="167">
        <f t="shared" si="329"/>
        <v>0</v>
      </c>
      <c r="DQ107" s="171">
        <f t="shared" si="330"/>
        <v>0</v>
      </c>
      <c r="DR107" s="169">
        <f t="shared" si="399"/>
        <v>0</v>
      </c>
      <c r="DS107" s="167">
        <f t="shared" si="393"/>
        <v>0</v>
      </c>
      <c r="DT107" s="167">
        <f t="shared" si="331"/>
        <v>0</v>
      </c>
      <c r="DU107" s="167">
        <f t="shared" si="394"/>
        <v>0</v>
      </c>
      <c r="DV107" s="167">
        <f t="shared" si="332"/>
        <v>0</v>
      </c>
      <c r="DW107" s="167">
        <f t="shared" si="395"/>
        <v>0</v>
      </c>
      <c r="DX107" s="167">
        <f t="shared" si="333"/>
        <v>0</v>
      </c>
      <c r="DY107" s="167">
        <f t="shared" si="396"/>
        <v>0</v>
      </c>
      <c r="DZ107" s="167">
        <f t="shared" si="334"/>
        <v>0</v>
      </c>
      <c r="EA107" s="167">
        <f t="shared" si="397"/>
        <v>0</v>
      </c>
      <c r="EB107" s="170">
        <f t="shared" si="335"/>
        <v>0</v>
      </c>
      <c r="EC107" s="167">
        <f t="shared" si="336"/>
        <v>0</v>
      </c>
      <c r="ED107" s="171">
        <f t="shared" si="337"/>
        <v>0</v>
      </c>
    </row>
    <row r="108" spans="1:134" x14ac:dyDescent="0.3">
      <c r="A108" s="185"/>
      <c r="B108" s="186"/>
      <c r="C108" s="187"/>
      <c r="D108" s="188"/>
      <c r="E108" s="189"/>
      <c r="F108" s="190"/>
      <c r="G108" s="191"/>
      <c r="H108" s="192"/>
      <c r="I108" s="193"/>
      <c r="J108" s="194"/>
      <c r="K108" s="165">
        <f t="shared" si="338"/>
        <v>0</v>
      </c>
      <c r="L108" s="166">
        <f t="shared" si="339"/>
        <v>0</v>
      </c>
      <c r="M108" s="167">
        <f t="shared" si="340"/>
        <v>0</v>
      </c>
      <c r="N108" s="167"/>
      <c r="O108" s="167">
        <f t="shared" si="341"/>
        <v>0</v>
      </c>
      <c r="P108" s="168"/>
      <c r="Q108" s="167">
        <f t="shared" si="342"/>
        <v>0</v>
      </c>
      <c r="R108" s="169">
        <f t="shared" si="343"/>
        <v>0</v>
      </c>
      <c r="S108" s="167">
        <f t="shared" si="344"/>
        <v>0</v>
      </c>
      <c r="T108" s="167">
        <f t="shared" si="345"/>
        <v>0</v>
      </c>
      <c r="U108" s="167">
        <f t="shared" si="346"/>
        <v>0</v>
      </c>
      <c r="V108" s="167">
        <f t="shared" si="347"/>
        <v>0</v>
      </c>
      <c r="W108" s="167">
        <f t="shared" si="348"/>
        <v>0</v>
      </c>
      <c r="X108" s="167">
        <f t="shared" si="349"/>
        <v>0</v>
      </c>
      <c r="Y108" s="167">
        <f t="shared" si="350"/>
        <v>0</v>
      </c>
      <c r="Z108" s="167">
        <f t="shared" si="351"/>
        <v>0</v>
      </c>
      <c r="AA108" s="167">
        <f t="shared" si="352"/>
        <v>0</v>
      </c>
      <c r="AB108" s="170">
        <f t="shared" si="353"/>
        <v>0</v>
      </c>
      <c r="AC108" s="167">
        <f t="shared" si="354"/>
        <v>0</v>
      </c>
      <c r="AD108" s="171">
        <f t="shared" si="355"/>
        <v>0</v>
      </c>
      <c r="AE108" s="169">
        <f t="shared" si="398"/>
        <v>0</v>
      </c>
      <c r="AF108" s="167">
        <f t="shared" si="357"/>
        <v>0</v>
      </c>
      <c r="AG108" s="167">
        <f t="shared" si="281"/>
        <v>0</v>
      </c>
      <c r="AH108" s="167">
        <f t="shared" si="358"/>
        <v>0</v>
      </c>
      <c r="AI108" s="167">
        <f t="shared" si="282"/>
        <v>0</v>
      </c>
      <c r="AJ108" s="167">
        <f t="shared" si="359"/>
        <v>0</v>
      </c>
      <c r="AK108" s="167">
        <f t="shared" si="283"/>
        <v>0</v>
      </c>
      <c r="AL108" s="167">
        <f t="shared" si="360"/>
        <v>0</v>
      </c>
      <c r="AM108" s="167">
        <f t="shared" si="284"/>
        <v>0</v>
      </c>
      <c r="AN108" s="167">
        <f t="shared" si="361"/>
        <v>0</v>
      </c>
      <c r="AO108" s="170">
        <f t="shared" si="285"/>
        <v>0</v>
      </c>
      <c r="AP108" s="167">
        <f t="shared" si="286"/>
        <v>0</v>
      </c>
      <c r="AQ108" s="171">
        <f t="shared" si="287"/>
        <v>0</v>
      </c>
      <c r="AR108" s="169">
        <f t="shared" si="398"/>
        <v>0</v>
      </c>
      <c r="AS108" s="167">
        <f t="shared" si="362"/>
        <v>0</v>
      </c>
      <c r="AT108" s="167">
        <f t="shared" si="288"/>
        <v>0</v>
      </c>
      <c r="AU108" s="167">
        <f t="shared" si="363"/>
        <v>0</v>
      </c>
      <c r="AV108" s="167">
        <f t="shared" si="289"/>
        <v>0</v>
      </c>
      <c r="AW108" s="167">
        <f t="shared" si="364"/>
        <v>0</v>
      </c>
      <c r="AX108" s="167">
        <f t="shared" si="290"/>
        <v>0</v>
      </c>
      <c r="AY108" s="167">
        <f t="shared" si="365"/>
        <v>0</v>
      </c>
      <c r="AZ108" s="167">
        <f t="shared" si="291"/>
        <v>0</v>
      </c>
      <c r="BA108" s="167">
        <f t="shared" si="366"/>
        <v>0</v>
      </c>
      <c r="BB108" s="170">
        <f t="shared" si="292"/>
        <v>0</v>
      </c>
      <c r="BC108" s="167">
        <f t="shared" si="293"/>
        <v>0</v>
      </c>
      <c r="BD108" s="171">
        <f t="shared" si="294"/>
        <v>0</v>
      </c>
      <c r="BE108" s="169">
        <f t="shared" si="398"/>
        <v>0</v>
      </c>
      <c r="BF108" s="167">
        <f t="shared" si="367"/>
        <v>0</v>
      </c>
      <c r="BG108" s="167">
        <f t="shared" si="295"/>
        <v>0</v>
      </c>
      <c r="BH108" s="167">
        <f t="shared" si="368"/>
        <v>0</v>
      </c>
      <c r="BI108" s="167">
        <f t="shared" si="296"/>
        <v>0</v>
      </c>
      <c r="BJ108" s="167">
        <f t="shared" si="369"/>
        <v>0</v>
      </c>
      <c r="BK108" s="167">
        <f t="shared" si="297"/>
        <v>0</v>
      </c>
      <c r="BL108" s="167">
        <f t="shared" si="370"/>
        <v>0</v>
      </c>
      <c r="BM108" s="167">
        <f t="shared" si="298"/>
        <v>0</v>
      </c>
      <c r="BN108" s="167">
        <f t="shared" si="371"/>
        <v>0</v>
      </c>
      <c r="BO108" s="170">
        <f t="shared" si="299"/>
        <v>0</v>
      </c>
      <c r="BP108" s="167">
        <f t="shared" si="300"/>
        <v>0</v>
      </c>
      <c r="BQ108" s="171">
        <f t="shared" si="301"/>
        <v>0</v>
      </c>
      <c r="BR108" s="169">
        <f t="shared" si="398"/>
        <v>0</v>
      </c>
      <c r="BS108" s="167">
        <f t="shared" si="372"/>
        <v>0</v>
      </c>
      <c r="BT108" s="167">
        <f t="shared" si="302"/>
        <v>0</v>
      </c>
      <c r="BU108" s="167">
        <f t="shared" si="373"/>
        <v>0</v>
      </c>
      <c r="BV108" s="167">
        <f t="shared" si="303"/>
        <v>0</v>
      </c>
      <c r="BW108" s="167">
        <f t="shared" si="374"/>
        <v>0</v>
      </c>
      <c r="BX108" s="167">
        <f t="shared" si="304"/>
        <v>0</v>
      </c>
      <c r="BY108" s="167">
        <f t="shared" si="375"/>
        <v>0</v>
      </c>
      <c r="BZ108" s="167">
        <f t="shared" si="305"/>
        <v>0</v>
      </c>
      <c r="CA108" s="167">
        <f t="shared" si="376"/>
        <v>0</v>
      </c>
      <c r="CB108" s="170">
        <f t="shared" si="306"/>
        <v>0</v>
      </c>
      <c r="CC108" s="167">
        <f t="shared" si="307"/>
        <v>0</v>
      </c>
      <c r="CD108" s="171">
        <f t="shared" si="308"/>
        <v>0</v>
      </c>
      <c r="CE108" s="169">
        <f t="shared" si="398"/>
        <v>0</v>
      </c>
      <c r="CF108" s="167">
        <f t="shared" si="377"/>
        <v>0</v>
      </c>
      <c r="CG108" s="167">
        <f t="shared" si="309"/>
        <v>0</v>
      </c>
      <c r="CH108" s="167">
        <f t="shared" si="378"/>
        <v>0</v>
      </c>
      <c r="CI108" s="167">
        <f t="shared" si="310"/>
        <v>0</v>
      </c>
      <c r="CJ108" s="167">
        <f t="shared" si="379"/>
        <v>0</v>
      </c>
      <c r="CK108" s="167">
        <f t="shared" si="311"/>
        <v>0</v>
      </c>
      <c r="CL108" s="167">
        <f t="shared" si="380"/>
        <v>0</v>
      </c>
      <c r="CM108" s="167">
        <f t="shared" si="312"/>
        <v>0</v>
      </c>
      <c r="CN108" s="167">
        <f t="shared" si="381"/>
        <v>0</v>
      </c>
      <c r="CO108" s="170">
        <f t="shared" si="313"/>
        <v>0</v>
      </c>
      <c r="CP108" s="167">
        <f t="shared" si="314"/>
        <v>0</v>
      </c>
      <c r="CQ108" s="171">
        <f t="shared" si="315"/>
        <v>0</v>
      </c>
      <c r="CR108" s="169">
        <f t="shared" si="399"/>
        <v>0</v>
      </c>
      <c r="CS108" s="167">
        <f t="shared" si="383"/>
        <v>0</v>
      </c>
      <c r="CT108" s="167">
        <f t="shared" si="317"/>
        <v>0</v>
      </c>
      <c r="CU108" s="167">
        <f t="shared" si="384"/>
        <v>0</v>
      </c>
      <c r="CV108" s="167">
        <f t="shared" si="318"/>
        <v>0</v>
      </c>
      <c r="CW108" s="167">
        <f t="shared" si="385"/>
        <v>0</v>
      </c>
      <c r="CX108" s="167">
        <f t="shared" si="319"/>
        <v>0</v>
      </c>
      <c r="CY108" s="167">
        <f t="shared" si="386"/>
        <v>0</v>
      </c>
      <c r="CZ108" s="167">
        <f t="shared" si="320"/>
        <v>0</v>
      </c>
      <c r="DA108" s="167">
        <f t="shared" si="387"/>
        <v>0</v>
      </c>
      <c r="DB108" s="170">
        <f t="shared" si="321"/>
        <v>0</v>
      </c>
      <c r="DC108" s="167">
        <f t="shared" si="322"/>
        <v>0</v>
      </c>
      <c r="DD108" s="171">
        <f t="shared" si="323"/>
        <v>0</v>
      </c>
      <c r="DE108" s="169">
        <f t="shared" si="399"/>
        <v>0</v>
      </c>
      <c r="DF108" s="167">
        <f t="shared" si="388"/>
        <v>0</v>
      </c>
      <c r="DG108" s="167">
        <f t="shared" si="324"/>
        <v>0</v>
      </c>
      <c r="DH108" s="167">
        <f t="shared" si="389"/>
        <v>0</v>
      </c>
      <c r="DI108" s="167">
        <f t="shared" si="325"/>
        <v>0</v>
      </c>
      <c r="DJ108" s="167">
        <f t="shared" si="390"/>
        <v>0</v>
      </c>
      <c r="DK108" s="167">
        <f t="shared" si="326"/>
        <v>0</v>
      </c>
      <c r="DL108" s="167">
        <f t="shared" si="391"/>
        <v>0</v>
      </c>
      <c r="DM108" s="167">
        <f t="shared" si="327"/>
        <v>0</v>
      </c>
      <c r="DN108" s="167">
        <f t="shared" si="392"/>
        <v>0</v>
      </c>
      <c r="DO108" s="170">
        <f t="shared" si="328"/>
        <v>0</v>
      </c>
      <c r="DP108" s="167">
        <f t="shared" si="329"/>
        <v>0</v>
      </c>
      <c r="DQ108" s="171">
        <f t="shared" si="330"/>
        <v>0</v>
      </c>
      <c r="DR108" s="169">
        <f t="shared" si="399"/>
        <v>0</v>
      </c>
      <c r="DS108" s="167">
        <f t="shared" si="393"/>
        <v>0</v>
      </c>
      <c r="DT108" s="167">
        <f t="shared" si="331"/>
        <v>0</v>
      </c>
      <c r="DU108" s="167">
        <f t="shared" si="394"/>
        <v>0</v>
      </c>
      <c r="DV108" s="167">
        <f t="shared" si="332"/>
        <v>0</v>
      </c>
      <c r="DW108" s="167">
        <f t="shared" si="395"/>
        <v>0</v>
      </c>
      <c r="DX108" s="167">
        <f t="shared" si="333"/>
        <v>0</v>
      </c>
      <c r="DY108" s="167">
        <f t="shared" si="396"/>
        <v>0</v>
      </c>
      <c r="DZ108" s="167">
        <f t="shared" si="334"/>
        <v>0</v>
      </c>
      <c r="EA108" s="167">
        <f t="shared" si="397"/>
        <v>0</v>
      </c>
      <c r="EB108" s="170">
        <f t="shared" si="335"/>
        <v>0</v>
      </c>
      <c r="EC108" s="167">
        <f t="shared" si="336"/>
        <v>0</v>
      </c>
      <c r="ED108" s="171">
        <f t="shared" si="337"/>
        <v>0</v>
      </c>
    </row>
    <row r="109" spans="1:134" x14ac:dyDescent="0.3">
      <c r="A109" s="185"/>
      <c r="B109" s="186"/>
      <c r="C109" s="187"/>
      <c r="D109" s="188"/>
      <c r="E109" s="189"/>
      <c r="F109" s="190"/>
      <c r="G109" s="191"/>
      <c r="H109" s="192"/>
      <c r="I109" s="193"/>
      <c r="J109" s="194"/>
      <c r="K109" s="165">
        <f t="shared" si="338"/>
        <v>0</v>
      </c>
      <c r="L109" s="166">
        <f t="shared" si="339"/>
        <v>0</v>
      </c>
      <c r="M109" s="167">
        <f t="shared" si="340"/>
        <v>0</v>
      </c>
      <c r="N109" s="167"/>
      <c r="O109" s="167">
        <f t="shared" si="341"/>
        <v>0</v>
      </c>
      <c r="P109" s="168"/>
      <c r="Q109" s="167">
        <f t="shared" si="342"/>
        <v>0</v>
      </c>
      <c r="R109" s="169">
        <f t="shared" si="343"/>
        <v>0</v>
      </c>
      <c r="S109" s="167">
        <f t="shared" si="344"/>
        <v>0</v>
      </c>
      <c r="T109" s="167">
        <f t="shared" si="345"/>
        <v>0</v>
      </c>
      <c r="U109" s="167">
        <f t="shared" si="346"/>
        <v>0</v>
      </c>
      <c r="V109" s="167">
        <f t="shared" si="347"/>
        <v>0</v>
      </c>
      <c r="W109" s="167">
        <f t="shared" si="348"/>
        <v>0</v>
      </c>
      <c r="X109" s="167">
        <f t="shared" si="349"/>
        <v>0</v>
      </c>
      <c r="Y109" s="167">
        <f t="shared" si="350"/>
        <v>0</v>
      </c>
      <c r="Z109" s="167">
        <f t="shared" si="351"/>
        <v>0</v>
      </c>
      <c r="AA109" s="167">
        <f t="shared" si="352"/>
        <v>0</v>
      </c>
      <c r="AB109" s="170">
        <f t="shared" si="353"/>
        <v>0</v>
      </c>
      <c r="AC109" s="167">
        <f t="shared" si="354"/>
        <v>0</v>
      </c>
      <c r="AD109" s="171">
        <f t="shared" si="355"/>
        <v>0</v>
      </c>
      <c r="AE109" s="169">
        <f t="shared" si="398"/>
        <v>0</v>
      </c>
      <c r="AF109" s="167">
        <f t="shared" si="357"/>
        <v>0</v>
      </c>
      <c r="AG109" s="167">
        <f t="shared" si="281"/>
        <v>0</v>
      </c>
      <c r="AH109" s="167">
        <f t="shared" si="358"/>
        <v>0</v>
      </c>
      <c r="AI109" s="167">
        <f t="shared" si="282"/>
        <v>0</v>
      </c>
      <c r="AJ109" s="167">
        <f t="shared" si="359"/>
        <v>0</v>
      </c>
      <c r="AK109" s="167">
        <f t="shared" si="283"/>
        <v>0</v>
      </c>
      <c r="AL109" s="167">
        <f t="shared" si="360"/>
        <v>0</v>
      </c>
      <c r="AM109" s="167">
        <f t="shared" si="284"/>
        <v>0</v>
      </c>
      <c r="AN109" s="167">
        <f t="shared" si="361"/>
        <v>0</v>
      </c>
      <c r="AO109" s="170">
        <f t="shared" si="285"/>
        <v>0</v>
      </c>
      <c r="AP109" s="167">
        <f t="shared" si="286"/>
        <v>0</v>
      </c>
      <c r="AQ109" s="171">
        <f t="shared" si="287"/>
        <v>0</v>
      </c>
      <c r="AR109" s="169">
        <f t="shared" si="398"/>
        <v>0</v>
      </c>
      <c r="AS109" s="167">
        <f t="shared" si="362"/>
        <v>0</v>
      </c>
      <c r="AT109" s="167">
        <f t="shared" si="288"/>
        <v>0</v>
      </c>
      <c r="AU109" s="167">
        <f t="shared" si="363"/>
        <v>0</v>
      </c>
      <c r="AV109" s="167">
        <f t="shared" si="289"/>
        <v>0</v>
      </c>
      <c r="AW109" s="167">
        <f t="shared" si="364"/>
        <v>0</v>
      </c>
      <c r="AX109" s="167">
        <f t="shared" si="290"/>
        <v>0</v>
      </c>
      <c r="AY109" s="167">
        <f t="shared" si="365"/>
        <v>0</v>
      </c>
      <c r="AZ109" s="167">
        <f t="shared" si="291"/>
        <v>0</v>
      </c>
      <c r="BA109" s="167">
        <f t="shared" si="366"/>
        <v>0</v>
      </c>
      <c r="BB109" s="170">
        <f t="shared" si="292"/>
        <v>0</v>
      </c>
      <c r="BC109" s="167">
        <f t="shared" si="293"/>
        <v>0</v>
      </c>
      <c r="BD109" s="171">
        <f t="shared" si="294"/>
        <v>0</v>
      </c>
      <c r="BE109" s="169">
        <f t="shared" si="398"/>
        <v>0</v>
      </c>
      <c r="BF109" s="167">
        <f t="shared" si="367"/>
        <v>0</v>
      </c>
      <c r="BG109" s="167">
        <f t="shared" si="295"/>
        <v>0</v>
      </c>
      <c r="BH109" s="167">
        <f t="shared" si="368"/>
        <v>0</v>
      </c>
      <c r="BI109" s="167">
        <f t="shared" si="296"/>
        <v>0</v>
      </c>
      <c r="BJ109" s="167">
        <f t="shared" si="369"/>
        <v>0</v>
      </c>
      <c r="BK109" s="167">
        <f t="shared" si="297"/>
        <v>0</v>
      </c>
      <c r="BL109" s="167">
        <f t="shared" si="370"/>
        <v>0</v>
      </c>
      <c r="BM109" s="167">
        <f t="shared" si="298"/>
        <v>0</v>
      </c>
      <c r="BN109" s="167">
        <f t="shared" si="371"/>
        <v>0</v>
      </c>
      <c r="BO109" s="170">
        <f t="shared" si="299"/>
        <v>0</v>
      </c>
      <c r="BP109" s="167">
        <f t="shared" si="300"/>
        <v>0</v>
      </c>
      <c r="BQ109" s="171">
        <f t="shared" si="301"/>
        <v>0</v>
      </c>
      <c r="BR109" s="169">
        <f t="shared" si="398"/>
        <v>0</v>
      </c>
      <c r="BS109" s="167">
        <f t="shared" si="372"/>
        <v>0</v>
      </c>
      <c r="BT109" s="167">
        <f t="shared" si="302"/>
        <v>0</v>
      </c>
      <c r="BU109" s="167">
        <f t="shared" si="373"/>
        <v>0</v>
      </c>
      <c r="BV109" s="167">
        <f t="shared" si="303"/>
        <v>0</v>
      </c>
      <c r="BW109" s="167">
        <f t="shared" si="374"/>
        <v>0</v>
      </c>
      <c r="BX109" s="167">
        <f t="shared" si="304"/>
        <v>0</v>
      </c>
      <c r="BY109" s="167">
        <f t="shared" si="375"/>
        <v>0</v>
      </c>
      <c r="BZ109" s="167">
        <f t="shared" si="305"/>
        <v>0</v>
      </c>
      <c r="CA109" s="167">
        <f t="shared" si="376"/>
        <v>0</v>
      </c>
      <c r="CB109" s="170">
        <f t="shared" si="306"/>
        <v>0</v>
      </c>
      <c r="CC109" s="167">
        <f t="shared" si="307"/>
        <v>0</v>
      </c>
      <c r="CD109" s="171">
        <f t="shared" si="308"/>
        <v>0</v>
      </c>
      <c r="CE109" s="169">
        <f t="shared" si="398"/>
        <v>0</v>
      </c>
      <c r="CF109" s="167">
        <f t="shared" si="377"/>
        <v>0</v>
      </c>
      <c r="CG109" s="167">
        <f t="shared" si="309"/>
        <v>0</v>
      </c>
      <c r="CH109" s="167">
        <f t="shared" si="378"/>
        <v>0</v>
      </c>
      <c r="CI109" s="167">
        <f t="shared" si="310"/>
        <v>0</v>
      </c>
      <c r="CJ109" s="167">
        <f t="shared" si="379"/>
        <v>0</v>
      </c>
      <c r="CK109" s="167">
        <f t="shared" si="311"/>
        <v>0</v>
      </c>
      <c r="CL109" s="167">
        <f t="shared" si="380"/>
        <v>0</v>
      </c>
      <c r="CM109" s="167">
        <f t="shared" si="312"/>
        <v>0</v>
      </c>
      <c r="CN109" s="167">
        <f t="shared" si="381"/>
        <v>0</v>
      </c>
      <c r="CO109" s="170">
        <f t="shared" si="313"/>
        <v>0</v>
      </c>
      <c r="CP109" s="167">
        <f t="shared" si="314"/>
        <v>0</v>
      </c>
      <c r="CQ109" s="171">
        <f t="shared" si="315"/>
        <v>0</v>
      </c>
      <c r="CR109" s="169">
        <f t="shared" si="399"/>
        <v>0</v>
      </c>
      <c r="CS109" s="167">
        <f t="shared" si="383"/>
        <v>0</v>
      </c>
      <c r="CT109" s="167">
        <f t="shared" si="317"/>
        <v>0</v>
      </c>
      <c r="CU109" s="167">
        <f t="shared" si="384"/>
        <v>0</v>
      </c>
      <c r="CV109" s="167">
        <f t="shared" si="318"/>
        <v>0</v>
      </c>
      <c r="CW109" s="167">
        <f t="shared" si="385"/>
        <v>0</v>
      </c>
      <c r="CX109" s="167">
        <f t="shared" si="319"/>
        <v>0</v>
      </c>
      <c r="CY109" s="167">
        <f t="shared" si="386"/>
        <v>0</v>
      </c>
      <c r="CZ109" s="167">
        <f t="shared" si="320"/>
        <v>0</v>
      </c>
      <c r="DA109" s="167">
        <f t="shared" si="387"/>
        <v>0</v>
      </c>
      <c r="DB109" s="170">
        <f t="shared" si="321"/>
        <v>0</v>
      </c>
      <c r="DC109" s="167">
        <f t="shared" si="322"/>
        <v>0</v>
      </c>
      <c r="DD109" s="171">
        <f t="shared" si="323"/>
        <v>0</v>
      </c>
      <c r="DE109" s="169">
        <f t="shared" si="399"/>
        <v>0</v>
      </c>
      <c r="DF109" s="167">
        <f t="shared" si="388"/>
        <v>0</v>
      </c>
      <c r="DG109" s="167">
        <f t="shared" si="324"/>
        <v>0</v>
      </c>
      <c r="DH109" s="167">
        <f t="shared" si="389"/>
        <v>0</v>
      </c>
      <c r="DI109" s="167">
        <f t="shared" si="325"/>
        <v>0</v>
      </c>
      <c r="DJ109" s="167">
        <f t="shared" si="390"/>
        <v>0</v>
      </c>
      <c r="DK109" s="167">
        <f t="shared" si="326"/>
        <v>0</v>
      </c>
      <c r="DL109" s="167">
        <f t="shared" si="391"/>
        <v>0</v>
      </c>
      <c r="DM109" s="167">
        <f t="shared" si="327"/>
        <v>0</v>
      </c>
      <c r="DN109" s="167">
        <f t="shared" si="392"/>
        <v>0</v>
      </c>
      <c r="DO109" s="170">
        <f t="shared" si="328"/>
        <v>0</v>
      </c>
      <c r="DP109" s="167">
        <f t="shared" si="329"/>
        <v>0</v>
      </c>
      <c r="DQ109" s="171">
        <f t="shared" si="330"/>
        <v>0</v>
      </c>
      <c r="DR109" s="169">
        <f t="shared" si="399"/>
        <v>0</v>
      </c>
      <c r="DS109" s="167">
        <f t="shared" si="393"/>
        <v>0</v>
      </c>
      <c r="DT109" s="167">
        <f t="shared" si="331"/>
        <v>0</v>
      </c>
      <c r="DU109" s="167">
        <f t="shared" si="394"/>
        <v>0</v>
      </c>
      <c r="DV109" s="167">
        <f t="shared" si="332"/>
        <v>0</v>
      </c>
      <c r="DW109" s="167">
        <f t="shared" si="395"/>
        <v>0</v>
      </c>
      <c r="DX109" s="167">
        <f t="shared" si="333"/>
        <v>0</v>
      </c>
      <c r="DY109" s="167">
        <f t="shared" si="396"/>
        <v>0</v>
      </c>
      <c r="DZ109" s="167">
        <f t="shared" si="334"/>
        <v>0</v>
      </c>
      <c r="EA109" s="167">
        <f t="shared" si="397"/>
        <v>0</v>
      </c>
      <c r="EB109" s="170">
        <f t="shared" si="335"/>
        <v>0</v>
      </c>
      <c r="EC109" s="167">
        <f t="shared" si="336"/>
        <v>0</v>
      </c>
      <c r="ED109" s="171">
        <f t="shared" si="337"/>
        <v>0</v>
      </c>
    </row>
    <row r="110" spans="1:134" x14ac:dyDescent="0.3">
      <c r="A110" s="185"/>
      <c r="B110" s="186"/>
      <c r="C110" s="187"/>
      <c r="D110" s="188"/>
      <c r="E110" s="189"/>
      <c r="F110" s="190"/>
      <c r="G110" s="191"/>
      <c r="H110" s="192"/>
      <c r="I110" s="193"/>
      <c r="J110" s="194"/>
      <c r="K110" s="165">
        <f t="shared" si="338"/>
        <v>0</v>
      </c>
      <c r="L110" s="166">
        <f t="shared" si="339"/>
        <v>0</v>
      </c>
      <c r="M110" s="167">
        <f t="shared" si="340"/>
        <v>0</v>
      </c>
      <c r="N110" s="167"/>
      <c r="O110" s="167">
        <f t="shared" si="341"/>
        <v>0</v>
      </c>
      <c r="P110" s="168"/>
      <c r="Q110" s="167">
        <f t="shared" si="342"/>
        <v>0</v>
      </c>
      <c r="R110" s="169">
        <f t="shared" si="343"/>
        <v>0</v>
      </c>
      <c r="S110" s="167">
        <f t="shared" si="344"/>
        <v>0</v>
      </c>
      <c r="T110" s="167">
        <f t="shared" si="345"/>
        <v>0</v>
      </c>
      <c r="U110" s="167">
        <f t="shared" si="346"/>
        <v>0</v>
      </c>
      <c r="V110" s="167">
        <f t="shared" si="347"/>
        <v>0</v>
      </c>
      <c r="W110" s="167">
        <f t="shared" si="348"/>
        <v>0</v>
      </c>
      <c r="X110" s="167">
        <f t="shared" si="349"/>
        <v>0</v>
      </c>
      <c r="Y110" s="167">
        <f t="shared" si="350"/>
        <v>0</v>
      </c>
      <c r="Z110" s="167">
        <f t="shared" si="351"/>
        <v>0</v>
      </c>
      <c r="AA110" s="167">
        <f t="shared" si="352"/>
        <v>0</v>
      </c>
      <c r="AB110" s="170">
        <f t="shared" si="353"/>
        <v>0</v>
      </c>
      <c r="AC110" s="167">
        <f t="shared" si="354"/>
        <v>0</v>
      </c>
      <c r="AD110" s="171">
        <f t="shared" si="355"/>
        <v>0</v>
      </c>
      <c r="AE110" s="169">
        <f t="shared" si="398"/>
        <v>0</v>
      </c>
      <c r="AF110" s="167">
        <f t="shared" si="357"/>
        <v>0</v>
      </c>
      <c r="AG110" s="167">
        <f t="shared" si="281"/>
        <v>0</v>
      </c>
      <c r="AH110" s="167">
        <f t="shared" si="358"/>
        <v>0</v>
      </c>
      <c r="AI110" s="167">
        <f t="shared" si="282"/>
        <v>0</v>
      </c>
      <c r="AJ110" s="167">
        <f t="shared" si="359"/>
        <v>0</v>
      </c>
      <c r="AK110" s="167">
        <f t="shared" si="283"/>
        <v>0</v>
      </c>
      <c r="AL110" s="167">
        <f t="shared" si="360"/>
        <v>0</v>
      </c>
      <c r="AM110" s="167">
        <f t="shared" si="284"/>
        <v>0</v>
      </c>
      <c r="AN110" s="167">
        <f t="shared" si="361"/>
        <v>0</v>
      </c>
      <c r="AO110" s="170">
        <f t="shared" si="285"/>
        <v>0</v>
      </c>
      <c r="AP110" s="167">
        <f t="shared" si="286"/>
        <v>0</v>
      </c>
      <c r="AQ110" s="171">
        <f t="shared" si="287"/>
        <v>0</v>
      </c>
      <c r="AR110" s="169">
        <f t="shared" si="398"/>
        <v>0</v>
      </c>
      <c r="AS110" s="167">
        <f t="shared" si="362"/>
        <v>0</v>
      </c>
      <c r="AT110" s="167">
        <f t="shared" si="288"/>
        <v>0</v>
      </c>
      <c r="AU110" s="167">
        <f t="shared" si="363"/>
        <v>0</v>
      </c>
      <c r="AV110" s="167">
        <f t="shared" si="289"/>
        <v>0</v>
      </c>
      <c r="AW110" s="167">
        <f t="shared" si="364"/>
        <v>0</v>
      </c>
      <c r="AX110" s="167">
        <f t="shared" si="290"/>
        <v>0</v>
      </c>
      <c r="AY110" s="167">
        <f t="shared" si="365"/>
        <v>0</v>
      </c>
      <c r="AZ110" s="167">
        <f t="shared" si="291"/>
        <v>0</v>
      </c>
      <c r="BA110" s="167">
        <f t="shared" si="366"/>
        <v>0</v>
      </c>
      <c r="BB110" s="170">
        <f t="shared" si="292"/>
        <v>0</v>
      </c>
      <c r="BC110" s="167">
        <f t="shared" si="293"/>
        <v>0</v>
      </c>
      <c r="BD110" s="171">
        <f t="shared" si="294"/>
        <v>0</v>
      </c>
      <c r="BE110" s="169">
        <f t="shared" si="398"/>
        <v>0</v>
      </c>
      <c r="BF110" s="167">
        <f t="shared" si="367"/>
        <v>0</v>
      </c>
      <c r="BG110" s="167">
        <f t="shared" si="295"/>
        <v>0</v>
      </c>
      <c r="BH110" s="167">
        <f t="shared" si="368"/>
        <v>0</v>
      </c>
      <c r="BI110" s="167">
        <f t="shared" si="296"/>
        <v>0</v>
      </c>
      <c r="BJ110" s="167">
        <f t="shared" si="369"/>
        <v>0</v>
      </c>
      <c r="BK110" s="167">
        <f t="shared" si="297"/>
        <v>0</v>
      </c>
      <c r="BL110" s="167">
        <f t="shared" si="370"/>
        <v>0</v>
      </c>
      <c r="BM110" s="167">
        <f t="shared" si="298"/>
        <v>0</v>
      </c>
      <c r="BN110" s="167">
        <f t="shared" si="371"/>
        <v>0</v>
      </c>
      <c r="BO110" s="170">
        <f t="shared" si="299"/>
        <v>0</v>
      </c>
      <c r="BP110" s="167">
        <f t="shared" si="300"/>
        <v>0</v>
      </c>
      <c r="BQ110" s="171">
        <f t="shared" si="301"/>
        <v>0</v>
      </c>
      <c r="BR110" s="169">
        <f t="shared" si="398"/>
        <v>0</v>
      </c>
      <c r="BS110" s="167">
        <f t="shared" si="372"/>
        <v>0</v>
      </c>
      <c r="BT110" s="167">
        <f t="shared" si="302"/>
        <v>0</v>
      </c>
      <c r="BU110" s="167">
        <f t="shared" si="373"/>
        <v>0</v>
      </c>
      <c r="BV110" s="167">
        <f t="shared" si="303"/>
        <v>0</v>
      </c>
      <c r="BW110" s="167">
        <f t="shared" si="374"/>
        <v>0</v>
      </c>
      <c r="BX110" s="167">
        <f t="shared" si="304"/>
        <v>0</v>
      </c>
      <c r="BY110" s="167">
        <f t="shared" si="375"/>
        <v>0</v>
      </c>
      <c r="BZ110" s="167">
        <f t="shared" si="305"/>
        <v>0</v>
      </c>
      <c r="CA110" s="167">
        <f t="shared" si="376"/>
        <v>0</v>
      </c>
      <c r="CB110" s="170">
        <f t="shared" si="306"/>
        <v>0</v>
      </c>
      <c r="CC110" s="167">
        <f t="shared" si="307"/>
        <v>0</v>
      </c>
      <c r="CD110" s="171">
        <f t="shared" si="308"/>
        <v>0</v>
      </c>
      <c r="CE110" s="169">
        <f t="shared" si="398"/>
        <v>0</v>
      </c>
      <c r="CF110" s="167">
        <f t="shared" si="377"/>
        <v>0</v>
      </c>
      <c r="CG110" s="167">
        <f t="shared" si="309"/>
        <v>0</v>
      </c>
      <c r="CH110" s="167">
        <f t="shared" si="378"/>
        <v>0</v>
      </c>
      <c r="CI110" s="167">
        <f t="shared" si="310"/>
        <v>0</v>
      </c>
      <c r="CJ110" s="167">
        <f t="shared" si="379"/>
        <v>0</v>
      </c>
      <c r="CK110" s="167">
        <f t="shared" si="311"/>
        <v>0</v>
      </c>
      <c r="CL110" s="167">
        <f t="shared" si="380"/>
        <v>0</v>
      </c>
      <c r="CM110" s="167">
        <f t="shared" si="312"/>
        <v>0</v>
      </c>
      <c r="CN110" s="167">
        <f t="shared" si="381"/>
        <v>0</v>
      </c>
      <c r="CO110" s="170">
        <f t="shared" si="313"/>
        <v>0</v>
      </c>
      <c r="CP110" s="167">
        <f t="shared" si="314"/>
        <v>0</v>
      </c>
      <c r="CQ110" s="171">
        <f t="shared" si="315"/>
        <v>0</v>
      </c>
      <c r="CR110" s="169">
        <f t="shared" si="399"/>
        <v>0</v>
      </c>
      <c r="CS110" s="167">
        <f t="shared" si="383"/>
        <v>0</v>
      </c>
      <c r="CT110" s="167">
        <f t="shared" si="317"/>
        <v>0</v>
      </c>
      <c r="CU110" s="167">
        <f t="shared" si="384"/>
        <v>0</v>
      </c>
      <c r="CV110" s="167">
        <f t="shared" si="318"/>
        <v>0</v>
      </c>
      <c r="CW110" s="167">
        <f t="shared" si="385"/>
        <v>0</v>
      </c>
      <c r="CX110" s="167">
        <f t="shared" si="319"/>
        <v>0</v>
      </c>
      <c r="CY110" s="167">
        <f t="shared" si="386"/>
        <v>0</v>
      </c>
      <c r="CZ110" s="167">
        <f t="shared" si="320"/>
        <v>0</v>
      </c>
      <c r="DA110" s="167">
        <f t="shared" si="387"/>
        <v>0</v>
      </c>
      <c r="DB110" s="170">
        <f t="shared" si="321"/>
        <v>0</v>
      </c>
      <c r="DC110" s="167">
        <f t="shared" si="322"/>
        <v>0</v>
      </c>
      <c r="DD110" s="171">
        <f t="shared" si="323"/>
        <v>0</v>
      </c>
      <c r="DE110" s="169">
        <f t="shared" si="399"/>
        <v>0</v>
      </c>
      <c r="DF110" s="167">
        <f t="shared" si="388"/>
        <v>0</v>
      </c>
      <c r="DG110" s="167">
        <f t="shared" si="324"/>
        <v>0</v>
      </c>
      <c r="DH110" s="167">
        <f t="shared" si="389"/>
        <v>0</v>
      </c>
      <c r="DI110" s="167">
        <f t="shared" si="325"/>
        <v>0</v>
      </c>
      <c r="DJ110" s="167">
        <f t="shared" si="390"/>
        <v>0</v>
      </c>
      <c r="DK110" s="167">
        <f t="shared" si="326"/>
        <v>0</v>
      </c>
      <c r="DL110" s="167">
        <f t="shared" si="391"/>
        <v>0</v>
      </c>
      <c r="DM110" s="167">
        <f t="shared" si="327"/>
        <v>0</v>
      </c>
      <c r="DN110" s="167">
        <f t="shared" si="392"/>
        <v>0</v>
      </c>
      <c r="DO110" s="170">
        <f t="shared" si="328"/>
        <v>0</v>
      </c>
      <c r="DP110" s="167">
        <f t="shared" si="329"/>
        <v>0</v>
      </c>
      <c r="DQ110" s="171">
        <f t="shared" si="330"/>
        <v>0</v>
      </c>
      <c r="DR110" s="169">
        <f t="shared" si="399"/>
        <v>0</v>
      </c>
      <c r="DS110" s="167">
        <f t="shared" si="393"/>
        <v>0</v>
      </c>
      <c r="DT110" s="167">
        <f t="shared" si="331"/>
        <v>0</v>
      </c>
      <c r="DU110" s="167">
        <f t="shared" si="394"/>
        <v>0</v>
      </c>
      <c r="DV110" s="167">
        <f t="shared" si="332"/>
        <v>0</v>
      </c>
      <c r="DW110" s="167">
        <f t="shared" si="395"/>
        <v>0</v>
      </c>
      <c r="DX110" s="167">
        <f t="shared" si="333"/>
        <v>0</v>
      </c>
      <c r="DY110" s="167">
        <f t="shared" si="396"/>
        <v>0</v>
      </c>
      <c r="DZ110" s="167">
        <f t="shared" si="334"/>
        <v>0</v>
      </c>
      <c r="EA110" s="167">
        <f t="shared" si="397"/>
        <v>0</v>
      </c>
      <c r="EB110" s="170">
        <f t="shared" si="335"/>
        <v>0</v>
      </c>
      <c r="EC110" s="167">
        <f t="shared" si="336"/>
        <v>0</v>
      </c>
      <c r="ED110" s="171">
        <f t="shared" si="337"/>
        <v>0</v>
      </c>
    </row>
    <row r="111" spans="1:134" x14ac:dyDescent="0.3">
      <c r="A111" s="185"/>
      <c r="B111" s="186"/>
      <c r="C111" s="187"/>
      <c r="D111" s="188"/>
      <c r="E111" s="189"/>
      <c r="F111" s="190"/>
      <c r="G111" s="191"/>
      <c r="H111" s="192"/>
      <c r="I111" s="193"/>
      <c r="J111" s="194"/>
      <c r="K111" s="165">
        <f t="shared" si="338"/>
        <v>0</v>
      </c>
      <c r="L111" s="166">
        <f t="shared" si="339"/>
        <v>0</v>
      </c>
      <c r="M111" s="167">
        <f t="shared" si="340"/>
        <v>0</v>
      </c>
      <c r="N111" s="167"/>
      <c r="O111" s="167">
        <f t="shared" si="341"/>
        <v>0</v>
      </c>
      <c r="P111" s="168"/>
      <c r="Q111" s="167">
        <f t="shared" si="342"/>
        <v>0</v>
      </c>
      <c r="R111" s="169">
        <f t="shared" si="343"/>
        <v>0</v>
      </c>
      <c r="S111" s="167">
        <f t="shared" si="344"/>
        <v>0</v>
      </c>
      <c r="T111" s="167">
        <f t="shared" si="345"/>
        <v>0</v>
      </c>
      <c r="U111" s="167">
        <f t="shared" si="346"/>
        <v>0</v>
      </c>
      <c r="V111" s="167">
        <f t="shared" si="347"/>
        <v>0</v>
      </c>
      <c r="W111" s="167">
        <f t="shared" si="348"/>
        <v>0</v>
      </c>
      <c r="X111" s="167">
        <f t="shared" si="349"/>
        <v>0</v>
      </c>
      <c r="Y111" s="167">
        <f t="shared" si="350"/>
        <v>0</v>
      </c>
      <c r="Z111" s="167">
        <f t="shared" si="351"/>
        <v>0</v>
      </c>
      <c r="AA111" s="167">
        <f t="shared" si="352"/>
        <v>0</v>
      </c>
      <c r="AB111" s="170">
        <f t="shared" si="353"/>
        <v>0</v>
      </c>
      <c r="AC111" s="167">
        <f t="shared" si="354"/>
        <v>0</v>
      </c>
      <c r="AD111" s="171">
        <f t="shared" si="355"/>
        <v>0</v>
      </c>
      <c r="AE111" s="169">
        <f t="shared" si="398"/>
        <v>0</v>
      </c>
      <c r="AF111" s="167">
        <f t="shared" si="357"/>
        <v>0</v>
      </c>
      <c r="AG111" s="167">
        <f t="shared" si="281"/>
        <v>0</v>
      </c>
      <c r="AH111" s="167">
        <f t="shared" si="358"/>
        <v>0</v>
      </c>
      <c r="AI111" s="167">
        <f t="shared" si="282"/>
        <v>0</v>
      </c>
      <c r="AJ111" s="167">
        <f t="shared" si="359"/>
        <v>0</v>
      </c>
      <c r="AK111" s="167">
        <f t="shared" si="283"/>
        <v>0</v>
      </c>
      <c r="AL111" s="167">
        <f t="shared" si="360"/>
        <v>0</v>
      </c>
      <c r="AM111" s="167">
        <f t="shared" si="284"/>
        <v>0</v>
      </c>
      <c r="AN111" s="167">
        <f t="shared" si="361"/>
        <v>0</v>
      </c>
      <c r="AO111" s="170">
        <f t="shared" si="285"/>
        <v>0</v>
      </c>
      <c r="AP111" s="167">
        <f t="shared" si="286"/>
        <v>0</v>
      </c>
      <c r="AQ111" s="171">
        <f t="shared" si="287"/>
        <v>0</v>
      </c>
      <c r="AR111" s="169">
        <f t="shared" si="398"/>
        <v>0</v>
      </c>
      <c r="AS111" s="167">
        <f t="shared" si="362"/>
        <v>0</v>
      </c>
      <c r="AT111" s="167">
        <f t="shared" si="288"/>
        <v>0</v>
      </c>
      <c r="AU111" s="167">
        <f t="shared" si="363"/>
        <v>0</v>
      </c>
      <c r="AV111" s="167">
        <f t="shared" si="289"/>
        <v>0</v>
      </c>
      <c r="AW111" s="167">
        <f t="shared" si="364"/>
        <v>0</v>
      </c>
      <c r="AX111" s="167">
        <f t="shared" si="290"/>
        <v>0</v>
      </c>
      <c r="AY111" s="167">
        <f t="shared" si="365"/>
        <v>0</v>
      </c>
      <c r="AZ111" s="167">
        <f t="shared" si="291"/>
        <v>0</v>
      </c>
      <c r="BA111" s="167">
        <f t="shared" si="366"/>
        <v>0</v>
      </c>
      <c r="BB111" s="170">
        <f t="shared" si="292"/>
        <v>0</v>
      </c>
      <c r="BC111" s="167">
        <f t="shared" si="293"/>
        <v>0</v>
      </c>
      <c r="BD111" s="171">
        <f t="shared" si="294"/>
        <v>0</v>
      </c>
      <c r="BE111" s="169">
        <f t="shared" si="398"/>
        <v>0</v>
      </c>
      <c r="BF111" s="167">
        <f t="shared" si="367"/>
        <v>0</v>
      </c>
      <c r="BG111" s="167">
        <f t="shared" si="295"/>
        <v>0</v>
      </c>
      <c r="BH111" s="167">
        <f t="shared" si="368"/>
        <v>0</v>
      </c>
      <c r="BI111" s="167">
        <f t="shared" si="296"/>
        <v>0</v>
      </c>
      <c r="BJ111" s="167">
        <f t="shared" si="369"/>
        <v>0</v>
      </c>
      <c r="BK111" s="167">
        <f t="shared" si="297"/>
        <v>0</v>
      </c>
      <c r="BL111" s="167">
        <f t="shared" si="370"/>
        <v>0</v>
      </c>
      <c r="BM111" s="167">
        <f t="shared" si="298"/>
        <v>0</v>
      </c>
      <c r="BN111" s="167">
        <f t="shared" si="371"/>
        <v>0</v>
      </c>
      <c r="BO111" s="170">
        <f t="shared" si="299"/>
        <v>0</v>
      </c>
      <c r="BP111" s="167">
        <f t="shared" si="300"/>
        <v>0</v>
      </c>
      <c r="BQ111" s="171">
        <f t="shared" si="301"/>
        <v>0</v>
      </c>
      <c r="BR111" s="169">
        <f t="shared" si="398"/>
        <v>0</v>
      </c>
      <c r="BS111" s="167">
        <f t="shared" si="372"/>
        <v>0</v>
      </c>
      <c r="BT111" s="167">
        <f t="shared" si="302"/>
        <v>0</v>
      </c>
      <c r="BU111" s="167">
        <f t="shared" si="373"/>
        <v>0</v>
      </c>
      <c r="BV111" s="167">
        <f t="shared" si="303"/>
        <v>0</v>
      </c>
      <c r="BW111" s="167">
        <f t="shared" si="374"/>
        <v>0</v>
      </c>
      <c r="BX111" s="167">
        <f t="shared" si="304"/>
        <v>0</v>
      </c>
      <c r="BY111" s="167">
        <f t="shared" si="375"/>
        <v>0</v>
      </c>
      <c r="BZ111" s="167">
        <f t="shared" si="305"/>
        <v>0</v>
      </c>
      <c r="CA111" s="167">
        <f t="shared" si="376"/>
        <v>0</v>
      </c>
      <c r="CB111" s="170">
        <f t="shared" si="306"/>
        <v>0</v>
      </c>
      <c r="CC111" s="167">
        <f t="shared" si="307"/>
        <v>0</v>
      </c>
      <c r="CD111" s="171">
        <f t="shared" si="308"/>
        <v>0</v>
      </c>
      <c r="CE111" s="169">
        <f t="shared" si="398"/>
        <v>0</v>
      </c>
      <c r="CF111" s="167">
        <f t="shared" si="377"/>
        <v>0</v>
      </c>
      <c r="CG111" s="167">
        <f t="shared" si="309"/>
        <v>0</v>
      </c>
      <c r="CH111" s="167">
        <f t="shared" si="378"/>
        <v>0</v>
      </c>
      <c r="CI111" s="167">
        <f t="shared" si="310"/>
        <v>0</v>
      </c>
      <c r="CJ111" s="167">
        <f t="shared" si="379"/>
        <v>0</v>
      </c>
      <c r="CK111" s="167">
        <f t="shared" si="311"/>
        <v>0</v>
      </c>
      <c r="CL111" s="167">
        <f t="shared" si="380"/>
        <v>0</v>
      </c>
      <c r="CM111" s="167">
        <f t="shared" si="312"/>
        <v>0</v>
      </c>
      <c r="CN111" s="167">
        <f t="shared" si="381"/>
        <v>0</v>
      </c>
      <c r="CO111" s="170">
        <f t="shared" si="313"/>
        <v>0</v>
      </c>
      <c r="CP111" s="167">
        <f t="shared" si="314"/>
        <v>0</v>
      </c>
      <c r="CQ111" s="171">
        <f t="shared" si="315"/>
        <v>0</v>
      </c>
      <c r="CR111" s="169">
        <f t="shared" si="399"/>
        <v>0</v>
      </c>
      <c r="CS111" s="167">
        <f t="shared" si="383"/>
        <v>0</v>
      </c>
      <c r="CT111" s="167">
        <f t="shared" si="317"/>
        <v>0</v>
      </c>
      <c r="CU111" s="167">
        <f t="shared" si="384"/>
        <v>0</v>
      </c>
      <c r="CV111" s="167">
        <f t="shared" si="318"/>
        <v>0</v>
      </c>
      <c r="CW111" s="167">
        <f t="shared" si="385"/>
        <v>0</v>
      </c>
      <c r="CX111" s="167">
        <f t="shared" si="319"/>
        <v>0</v>
      </c>
      <c r="CY111" s="167">
        <f t="shared" si="386"/>
        <v>0</v>
      </c>
      <c r="CZ111" s="167">
        <f t="shared" si="320"/>
        <v>0</v>
      </c>
      <c r="DA111" s="167">
        <f t="shared" si="387"/>
        <v>0</v>
      </c>
      <c r="DB111" s="170">
        <f t="shared" si="321"/>
        <v>0</v>
      </c>
      <c r="DC111" s="167">
        <f t="shared" si="322"/>
        <v>0</v>
      </c>
      <c r="DD111" s="171">
        <f t="shared" si="323"/>
        <v>0</v>
      </c>
      <c r="DE111" s="169">
        <f t="shared" si="399"/>
        <v>0</v>
      </c>
      <c r="DF111" s="167">
        <f t="shared" si="388"/>
        <v>0</v>
      </c>
      <c r="DG111" s="167">
        <f t="shared" si="324"/>
        <v>0</v>
      </c>
      <c r="DH111" s="167">
        <f t="shared" si="389"/>
        <v>0</v>
      </c>
      <c r="DI111" s="167">
        <f t="shared" si="325"/>
        <v>0</v>
      </c>
      <c r="DJ111" s="167">
        <f t="shared" si="390"/>
        <v>0</v>
      </c>
      <c r="DK111" s="167">
        <f t="shared" si="326"/>
        <v>0</v>
      </c>
      <c r="DL111" s="167">
        <f t="shared" si="391"/>
        <v>0</v>
      </c>
      <c r="DM111" s="167">
        <f t="shared" si="327"/>
        <v>0</v>
      </c>
      <c r="DN111" s="167">
        <f t="shared" si="392"/>
        <v>0</v>
      </c>
      <c r="DO111" s="170">
        <f t="shared" si="328"/>
        <v>0</v>
      </c>
      <c r="DP111" s="167">
        <f t="shared" si="329"/>
        <v>0</v>
      </c>
      <c r="DQ111" s="171">
        <f t="shared" si="330"/>
        <v>0</v>
      </c>
      <c r="DR111" s="169">
        <f t="shared" si="399"/>
        <v>0</v>
      </c>
      <c r="DS111" s="167">
        <f t="shared" si="393"/>
        <v>0</v>
      </c>
      <c r="DT111" s="167">
        <f t="shared" si="331"/>
        <v>0</v>
      </c>
      <c r="DU111" s="167">
        <f t="shared" si="394"/>
        <v>0</v>
      </c>
      <c r="DV111" s="167">
        <f t="shared" si="332"/>
        <v>0</v>
      </c>
      <c r="DW111" s="167">
        <f t="shared" si="395"/>
        <v>0</v>
      </c>
      <c r="DX111" s="167">
        <f t="shared" si="333"/>
        <v>0</v>
      </c>
      <c r="DY111" s="167">
        <f t="shared" si="396"/>
        <v>0</v>
      </c>
      <c r="DZ111" s="167">
        <f t="shared" si="334"/>
        <v>0</v>
      </c>
      <c r="EA111" s="167">
        <f t="shared" si="397"/>
        <v>0</v>
      </c>
      <c r="EB111" s="170">
        <f t="shared" si="335"/>
        <v>0</v>
      </c>
      <c r="EC111" s="167">
        <f t="shared" si="336"/>
        <v>0</v>
      </c>
      <c r="ED111" s="171">
        <f t="shared" si="337"/>
        <v>0</v>
      </c>
    </row>
    <row r="112" spans="1:134" x14ac:dyDescent="0.3">
      <c r="A112" s="185"/>
      <c r="B112" s="186"/>
      <c r="C112" s="187"/>
      <c r="D112" s="188"/>
      <c r="E112" s="189"/>
      <c r="F112" s="190"/>
      <c r="G112" s="191"/>
      <c r="H112" s="192"/>
      <c r="I112" s="193"/>
      <c r="J112" s="194"/>
      <c r="K112" s="165">
        <f t="shared" si="338"/>
        <v>0</v>
      </c>
      <c r="L112" s="166">
        <f t="shared" si="339"/>
        <v>0</v>
      </c>
      <c r="M112" s="167">
        <f t="shared" si="340"/>
        <v>0</v>
      </c>
      <c r="N112" s="167"/>
      <c r="O112" s="167">
        <f t="shared" si="341"/>
        <v>0</v>
      </c>
      <c r="P112" s="168"/>
      <c r="Q112" s="167">
        <f t="shared" si="342"/>
        <v>0</v>
      </c>
      <c r="R112" s="169">
        <f t="shared" si="343"/>
        <v>0</v>
      </c>
      <c r="S112" s="167">
        <f t="shared" si="344"/>
        <v>0</v>
      </c>
      <c r="T112" s="167">
        <f t="shared" si="345"/>
        <v>0</v>
      </c>
      <c r="U112" s="167">
        <f t="shared" si="346"/>
        <v>0</v>
      </c>
      <c r="V112" s="167">
        <f t="shared" si="347"/>
        <v>0</v>
      </c>
      <c r="W112" s="167">
        <f t="shared" si="348"/>
        <v>0</v>
      </c>
      <c r="X112" s="167">
        <f t="shared" si="349"/>
        <v>0</v>
      </c>
      <c r="Y112" s="167">
        <f t="shared" si="350"/>
        <v>0</v>
      </c>
      <c r="Z112" s="167">
        <f t="shared" si="351"/>
        <v>0</v>
      </c>
      <c r="AA112" s="167">
        <f t="shared" si="352"/>
        <v>0</v>
      </c>
      <c r="AB112" s="170">
        <f t="shared" si="353"/>
        <v>0</v>
      </c>
      <c r="AC112" s="167">
        <f t="shared" si="354"/>
        <v>0</v>
      </c>
      <c r="AD112" s="171">
        <f t="shared" si="355"/>
        <v>0</v>
      </c>
      <c r="AE112" s="169">
        <f t="shared" si="398"/>
        <v>0</v>
      </c>
      <c r="AF112" s="167">
        <f t="shared" si="357"/>
        <v>0</v>
      </c>
      <c r="AG112" s="167">
        <f t="shared" si="281"/>
        <v>0</v>
      </c>
      <c r="AH112" s="167">
        <f t="shared" si="358"/>
        <v>0</v>
      </c>
      <c r="AI112" s="167">
        <f t="shared" si="282"/>
        <v>0</v>
      </c>
      <c r="AJ112" s="167">
        <f t="shared" si="359"/>
        <v>0</v>
      </c>
      <c r="AK112" s="167">
        <f t="shared" si="283"/>
        <v>0</v>
      </c>
      <c r="AL112" s="167">
        <f t="shared" si="360"/>
        <v>0</v>
      </c>
      <c r="AM112" s="167">
        <f t="shared" si="284"/>
        <v>0</v>
      </c>
      <c r="AN112" s="167">
        <f t="shared" si="361"/>
        <v>0</v>
      </c>
      <c r="AO112" s="170">
        <f t="shared" si="285"/>
        <v>0</v>
      </c>
      <c r="AP112" s="167">
        <f t="shared" si="286"/>
        <v>0</v>
      </c>
      <c r="AQ112" s="171">
        <f t="shared" si="287"/>
        <v>0</v>
      </c>
      <c r="AR112" s="169">
        <f t="shared" si="398"/>
        <v>0</v>
      </c>
      <c r="AS112" s="167">
        <f t="shared" si="362"/>
        <v>0</v>
      </c>
      <c r="AT112" s="167">
        <f t="shared" si="288"/>
        <v>0</v>
      </c>
      <c r="AU112" s="167">
        <f t="shared" si="363"/>
        <v>0</v>
      </c>
      <c r="AV112" s="167">
        <f t="shared" si="289"/>
        <v>0</v>
      </c>
      <c r="AW112" s="167">
        <f t="shared" si="364"/>
        <v>0</v>
      </c>
      <c r="AX112" s="167">
        <f t="shared" si="290"/>
        <v>0</v>
      </c>
      <c r="AY112" s="167">
        <f t="shared" si="365"/>
        <v>0</v>
      </c>
      <c r="AZ112" s="167">
        <f t="shared" si="291"/>
        <v>0</v>
      </c>
      <c r="BA112" s="167">
        <f t="shared" si="366"/>
        <v>0</v>
      </c>
      <c r="BB112" s="170">
        <f t="shared" si="292"/>
        <v>0</v>
      </c>
      <c r="BC112" s="167">
        <f t="shared" si="293"/>
        <v>0</v>
      </c>
      <c r="BD112" s="171">
        <f t="shared" si="294"/>
        <v>0</v>
      </c>
      <c r="BE112" s="169">
        <f t="shared" si="398"/>
        <v>0</v>
      </c>
      <c r="BF112" s="167">
        <f t="shared" si="367"/>
        <v>0</v>
      </c>
      <c r="BG112" s="167">
        <f t="shared" si="295"/>
        <v>0</v>
      </c>
      <c r="BH112" s="167">
        <f t="shared" si="368"/>
        <v>0</v>
      </c>
      <c r="BI112" s="167">
        <f t="shared" si="296"/>
        <v>0</v>
      </c>
      <c r="BJ112" s="167">
        <f t="shared" si="369"/>
        <v>0</v>
      </c>
      <c r="BK112" s="167">
        <f t="shared" si="297"/>
        <v>0</v>
      </c>
      <c r="BL112" s="167">
        <f t="shared" si="370"/>
        <v>0</v>
      </c>
      <c r="BM112" s="167">
        <f t="shared" si="298"/>
        <v>0</v>
      </c>
      <c r="BN112" s="167">
        <f t="shared" si="371"/>
        <v>0</v>
      </c>
      <c r="BO112" s="170">
        <f t="shared" si="299"/>
        <v>0</v>
      </c>
      <c r="BP112" s="167">
        <f t="shared" si="300"/>
        <v>0</v>
      </c>
      <c r="BQ112" s="171">
        <f t="shared" si="301"/>
        <v>0</v>
      </c>
      <c r="BR112" s="169">
        <f t="shared" si="398"/>
        <v>0</v>
      </c>
      <c r="BS112" s="167">
        <f t="shared" si="372"/>
        <v>0</v>
      </c>
      <c r="BT112" s="167">
        <f t="shared" si="302"/>
        <v>0</v>
      </c>
      <c r="BU112" s="167">
        <f t="shared" si="373"/>
        <v>0</v>
      </c>
      <c r="BV112" s="167">
        <f t="shared" si="303"/>
        <v>0</v>
      </c>
      <c r="BW112" s="167">
        <f t="shared" si="374"/>
        <v>0</v>
      </c>
      <c r="BX112" s="167">
        <f t="shared" si="304"/>
        <v>0</v>
      </c>
      <c r="BY112" s="167">
        <f t="shared" si="375"/>
        <v>0</v>
      </c>
      <c r="BZ112" s="167">
        <f t="shared" si="305"/>
        <v>0</v>
      </c>
      <c r="CA112" s="167">
        <f t="shared" si="376"/>
        <v>0</v>
      </c>
      <c r="CB112" s="170">
        <f t="shared" si="306"/>
        <v>0</v>
      </c>
      <c r="CC112" s="167">
        <f t="shared" si="307"/>
        <v>0</v>
      </c>
      <c r="CD112" s="171">
        <f t="shared" si="308"/>
        <v>0</v>
      </c>
      <c r="CE112" s="169">
        <f t="shared" si="398"/>
        <v>0</v>
      </c>
      <c r="CF112" s="167">
        <f t="shared" si="377"/>
        <v>0</v>
      </c>
      <c r="CG112" s="167">
        <f t="shared" si="309"/>
        <v>0</v>
      </c>
      <c r="CH112" s="167">
        <f t="shared" si="378"/>
        <v>0</v>
      </c>
      <c r="CI112" s="167">
        <f t="shared" si="310"/>
        <v>0</v>
      </c>
      <c r="CJ112" s="167">
        <f t="shared" si="379"/>
        <v>0</v>
      </c>
      <c r="CK112" s="167">
        <f t="shared" si="311"/>
        <v>0</v>
      </c>
      <c r="CL112" s="167">
        <f t="shared" si="380"/>
        <v>0</v>
      </c>
      <c r="CM112" s="167">
        <f t="shared" si="312"/>
        <v>0</v>
      </c>
      <c r="CN112" s="167">
        <f t="shared" si="381"/>
        <v>0</v>
      </c>
      <c r="CO112" s="170">
        <f t="shared" si="313"/>
        <v>0</v>
      </c>
      <c r="CP112" s="167">
        <f t="shared" si="314"/>
        <v>0</v>
      </c>
      <c r="CQ112" s="171">
        <f t="shared" si="315"/>
        <v>0</v>
      </c>
      <c r="CR112" s="169">
        <f t="shared" si="399"/>
        <v>0</v>
      </c>
      <c r="CS112" s="167">
        <f t="shared" si="383"/>
        <v>0</v>
      </c>
      <c r="CT112" s="167">
        <f t="shared" si="317"/>
        <v>0</v>
      </c>
      <c r="CU112" s="167">
        <f t="shared" si="384"/>
        <v>0</v>
      </c>
      <c r="CV112" s="167">
        <f t="shared" si="318"/>
        <v>0</v>
      </c>
      <c r="CW112" s="167">
        <f t="shared" si="385"/>
        <v>0</v>
      </c>
      <c r="CX112" s="167">
        <f t="shared" si="319"/>
        <v>0</v>
      </c>
      <c r="CY112" s="167">
        <f t="shared" si="386"/>
        <v>0</v>
      </c>
      <c r="CZ112" s="167">
        <f t="shared" si="320"/>
        <v>0</v>
      </c>
      <c r="DA112" s="167">
        <f t="shared" si="387"/>
        <v>0</v>
      </c>
      <c r="DB112" s="170">
        <f t="shared" si="321"/>
        <v>0</v>
      </c>
      <c r="DC112" s="167">
        <f t="shared" si="322"/>
        <v>0</v>
      </c>
      <c r="DD112" s="171">
        <f t="shared" si="323"/>
        <v>0</v>
      </c>
      <c r="DE112" s="169">
        <f t="shared" si="399"/>
        <v>0</v>
      </c>
      <c r="DF112" s="167">
        <f t="shared" si="388"/>
        <v>0</v>
      </c>
      <c r="DG112" s="167">
        <f t="shared" si="324"/>
        <v>0</v>
      </c>
      <c r="DH112" s="167">
        <f t="shared" si="389"/>
        <v>0</v>
      </c>
      <c r="DI112" s="167">
        <f t="shared" si="325"/>
        <v>0</v>
      </c>
      <c r="DJ112" s="167">
        <f t="shared" si="390"/>
        <v>0</v>
      </c>
      <c r="DK112" s="167">
        <f t="shared" si="326"/>
        <v>0</v>
      </c>
      <c r="DL112" s="167">
        <f t="shared" si="391"/>
        <v>0</v>
      </c>
      <c r="DM112" s="167">
        <f t="shared" si="327"/>
        <v>0</v>
      </c>
      <c r="DN112" s="167">
        <f t="shared" si="392"/>
        <v>0</v>
      </c>
      <c r="DO112" s="170">
        <f t="shared" si="328"/>
        <v>0</v>
      </c>
      <c r="DP112" s="167">
        <f t="shared" si="329"/>
        <v>0</v>
      </c>
      <c r="DQ112" s="171">
        <f t="shared" si="330"/>
        <v>0</v>
      </c>
      <c r="DR112" s="169">
        <f t="shared" si="399"/>
        <v>0</v>
      </c>
      <c r="DS112" s="167">
        <f t="shared" si="393"/>
        <v>0</v>
      </c>
      <c r="DT112" s="167">
        <f t="shared" si="331"/>
        <v>0</v>
      </c>
      <c r="DU112" s="167">
        <f t="shared" si="394"/>
        <v>0</v>
      </c>
      <c r="DV112" s="167">
        <f t="shared" si="332"/>
        <v>0</v>
      </c>
      <c r="DW112" s="167">
        <f t="shared" si="395"/>
        <v>0</v>
      </c>
      <c r="DX112" s="167">
        <f t="shared" si="333"/>
        <v>0</v>
      </c>
      <c r="DY112" s="167">
        <f t="shared" si="396"/>
        <v>0</v>
      </c>
      <c r="DZ112" s="167">
        <f t="shared" si="334"/>
        <v>0</v>
      </c>
      <c r="EA112" s="167">
        <f t="shared" si="397"/>
        <v>0</v>
      </c>
      <c r="EB112" s="170">
        <f t="shared" si="335"/>
        <v>0</v>
      </c>
      <c r="EC112" s="167">
        <f t="shared" si="336"/>
        <v>0</v>
      </c>
      <c r="ED112" s="171">
        <f t="shared" si="337"/>
        <v>0</v>
      </c>
    </row>
    <row r="113" spans="1:134" x14ac:dyDescent="0.3">
      <c r="A113" s="185"/>
      <c r="B113" s="186"/>
      <c r="C113" s="187"/>
      <c r="D113" s="188"/>
      <c r="E113" s="189"/>
      <c r="F113" s="190"/>
      <c r="G113" s="191"/>
      <c r="H113" s="192"/>
      <c r="I113" s="193"/>
      <c r="J113" s="194"/>
      <c r="K113" s="165">
        <f t="shared" si="338"/>
        <v>0</v>
      </c>
      <c r="L113" s="166">
        <f t="shared" si="339"/>
        <v>0</v>
      </c>
      <c r="M113" s="167">
        <f t="shared" si="340"/>
        <v>0</v>
      </c>
      <c r="N113" s="167"/>
      <c r="O113" s="167">
        <f t="shared" si="341"/>
        <v>0</v>
      </c>
      <c r="P113" s="168"/>
      <c r="Q113" s="167">
        <f t="shared" si="342"/>
        <v>0</v>
      </c>
      <c r="R113" s="169">
        <f t="shared" si="343"/>
        <v>0</v>
      </c>
      <c r="S113" s="167">
        <f t="shared" si="344"/>
        <v>0</v>
      </c>
      <c r="T113" s="167">
        <f t="shared" si="345"/>
        <v>0</v>
      </c>
      <c r="U113" s="167">
        <f t="shared" si="346"/>
        <v>0</v>
      </c>
      <c r="V113" s="167">
        <f t="shared" si="347"/>
        <v>0</v>
      </c>
      <c r="W113" s="167">
        <f t="shared" si="348"/>
        <v>0</v>
      </c>
      <c r="X113" s="167">
        <f t="shared" si="349"/>
        <v>0</v>
      </c>
      <c r="Y113" s="167">
        <f t="shared" si="350"/>
        <v>0</v>
      </c>
      <c r="Z113" s="167">
        <f t="shared" si="351"/>
        <v>0</v>
      </c>
      <c r="AA113" s="167">
        <f t="shared" si="352"/>
        <v>0</v>
      </c>
      <c r="AB113" s="170">
        <f t="shared" si="353"/>
        <v>0</v>
      </c>
      <c r="AC113" s="167">
        <f t="shared" si="354"/>
        <v>0</v>
      </c>
      <c r="AD113" s="171">
        <f t="shared" si="355"/>
        <v>0</v>
      </c>
      <c r="AE113" s="169">
        <f t="shared" si="398"/>
        <v>0</v>
      </c>
      <c r="AF113" s="167">
        <f t="shared" si="357"/>
        <v>0</v>
      </c>
      <c r="AG113" s="167">
        <f t="shared" si="281"/>
        <v>0</v>
      </c>
      <c r="AH113" s="167">
        <f t="shared" si="358"/>
        <v>0</v>
      </c>
      <c r="AI113" s="167">
        <f t="shared" si="282"/>
        <v>0</v>
      </c>
      <c r="AJ113" s="167">
        <f t="shared" si="359"/>
        <v>0</v>
      </c>
      <c r="AK113" s="167">
        <f t="shared" si="283"/>
        <v>0</v>
      </c>
      <c r="AL113" s="167">
        <f t="shared" si="360"/>
        <v>0</v>
      </c>
      <c r="AM113" s="167">
        <f t="shared" si="284"/>
        <v>0</v>
      </c>
      <c r="AN113" s="167">
        <f t="shared" si="361"/>
        <v>0</v>
      </c>
      <c r="AO113" s="170">
        <f t="shared" si="285"/>
        <v>0</v>
      </c>
      <c r="AP113" s="167">
        <f t="shared" si="286"/>
        <v>0</v>
      </c>
      <c r="AQ113" s="171">
        <f t="shared" si="287"/>
        <v>0</v>
      </c>
      <c r="AR113" s="169">
        <f t="shared" si="398"/>
        <v>0</v>
      </c>
      <c r="AS113" s="167">
        <f t="shared" si="362"/>
        <v>0</v>
      </c>
      <c r="AT113" s="167">
        <f t="shared" si="288"/>
        <v>0</v>
      </c>
      <c r="AU113" s="167">
        <f t="shared" si="363"/>
        <v>0</v>
      </c>
      <c r="AV113" s="167">
        <f t="shared" si="289"/>
        <v>0</v>
      </c>
      <c r="AW113" s="167">
        <f t="shared" si="364"/>
        <v>0</v>
      </c>
      <c r="AX113" s="167">
        <f t="shared" si="290"/>
        <v>0</v>
      </c>
      <c r="AY113" s="167">
        <f t="shared" si="365"/>
        <v>0</v>
      </c>
      <c r="AZ113" s="167">
        <f t="shared" si="291"/>
        <v>0</v>
      </c>
      <c r="BA113" s="167">
        <f t="shared" si="366"/>
        <v>0</v>
      </c>
      <c r="BB113" s="170">
        <f t="shared" si="292"/>
        <v>0</v>
      </c>
      <c r="BC113" s="167">
        <f t="shared" si="293"/>
        <v>0</v>
      </c>
      <c r="BD113" s="171">
        <f t="shared" si="294"/>
        <v>0</v>
      </c>
      <c r="BE113" s="169">
        <f t="shared" si="398"/>
        <v>0</v>
      </c>
      <c r="BF113" s="167">
        <f t="shared" si="367"/>
        <v>0</v>
      </c>
      <c r="BG113" s="167">
        <f t="shared" si="295"/>
        <v>0</v>
      </c>
      <c r="BH113" s="167">
        <f t="shared" si="368"/>
        <v>0</v>
      </c>
      <c r="BI113" s="167">
        <f t="shared" si="296"/>
        <v>0</v>
      </c>
      <c r="BJ113" s="167">
        <f t="shared" si="369"/>
        <v>0</v>
      </c>
      <c r="BK113" s="167">
        <f t="shared" si="297"/>
        <v>0</v>
      </c>
      <c r="BL113" s="167">
        <f t="shared" si="370"/>
        <v>0</v>
      </c>
      <c r="BM113" s="167">
        <f t="shared" si="298"/>
        <v>0</v>
      </c>
      <c r="BN113" s="167">
        <f t="shared" si="371"/>
        <v>0</v>
      </c>
      <c r="BO113" s="170">
        <f t="shared" si="299"/>
        <v>0</v>
      </c>
      <c r="BP113" s="167">
        <f t="shared" si="300"/>
        <v>0</v>
      </c>
      <c r="BQ113" s="171">
        <f t="shared" si="301"/>
        <v>0</v>
      </c>
      <c r="BR113" s="169">
        <f t="shared" si="398"/>
        <v>0</v>
      </c>
      <c r="BS113" s="167">
        <f t="shared" si="372"/>
        <v>0</v>
      </c>
      <c r="BT113" s="167">
        <f t="shared" si="302"/>
        <v>0</v>
      </c>
      <c r="BU113" s="167">
        <f t="shared" si="373"/>
        <v>0</v>
      </c>
      <c r="BV113" s="167">
        <f t="shared" si="303"/>
        <v>0</v>
      </c>
      <c r="BW113" s="167">
        <f t="shared" si="374"/>
        <v>0</v>
      </c>
      <c r="BX113" s="167">
        <f t="shared" si="304"/>
        <v>0</v>
      </c>
      <c r="BY113" s="167">
        <f t="shared" si="375"/>
        <v>0</v>
      </c>
      <c r="BZ113" s="167">
        <f t="shared" si="305"/>
        <v>0</v>
      </c>
      <c r="CA113" s="167">
        <f t="shared" si="376"/>
        <v>0</v>
      </c>
      <c r="CB113" s="170">
        <f t="shared" si="306"/>
        <v>0</v>
      </c>
      <c r="CC113" s="167">
        <f t="shared" si="307"/>
        <v>0</v>
      </c>
      <c r="CD113" s="171">
        <f t="shared" si="308"/>
        <v>0</v>
      </c>
      <c r="CE113" s="169">
        <f t="shared" si="398"/>
        <v>0</v>
      </c>
      <c r="CF113" s="167">
        <f t="shared" si="377"/>
        <v>0</v>
      </c>
      <c r="CG113" s="167">
        <f t="shared" si="309"/>
        <v>0</v>
      </c>
      <c r="CH113" s="167">
        <f t="shared" si="378"/>
        <v>0</v>
      </c>
      <c r="CI113" s="167">
        <f t="shared" si="310"/>
        <v>0</v>
      </c>
      <c r="CJ113" s="167">
        <f t="shared" si="379"/>
        <v>0</v>
      </c>
      <c r="CK113" s="167">
        <f t="shared" si="311"/>
        <v>0</v>
      </c>
      <c r="CL113" s="167">
        <f t="shared" si="380"/>
        <v>0</v>
      </c>
      <c r="CM113" s="167">
        <f t="shared" si="312"/>
        <v>0</v>
      </c>
      <c r="CN113" s="167">
        <f t="shared" si="381"/>
        <v>0</v>
      </c>
      <c r="CO113" s="170">
        <f t="shared" si="313"/>
        <v>0</v>
      </c>
      <c r="CP113" s="167">
        <f t="shared" si="314"/>
        <v>0</v>
      </c>
      <c r="CQ113" s="171">
        <f t="shared" si="315"/>
        <v>0</v>
      </c>
      <c r="CR113" s="169">
        <f t="shared" si="399"/>
        <v>0</v>
      </c>
      <c r="CS113" s="167">
        <f t="shared" si="383"/>
        <v>0</v>
      </c>
      <c r="CT113" s="167">
        <f t="shared" si="317"/>
        <v>0</v>
      </c>
      <c r="CU113" s="167">
        <f t="shared" si="384"/>
        <v>0</v>
      </c>
      <c r="CV113" s="167">
        <f t="shared" si="318"/>
        <v>0</v>
      </c>
      <c r="CW113" s="167">
        <f t="shared" si="385"/>
        <v>0</v>
      </c>
      <c r="CX113" s="167">
        <f t="shared" si="319"/>
        <v>0</v>
      </c>
      <c r="CY113" s="167">
        <f t="shared" si="386"/>
        <v>0</v>
      </c>
      <c r="CZ113" s="167">
        <f t="shared" si="320"/>
        <v>0</v>
      </c>
      <c r="DA113" s="167">
        <f t="shared" si="387"/>
        <v>0</v>
      </c>
      <c r="DB113" s="170">
        <f t="shared" si="321"/>
        <v>0</v>
      </c>
      <c r="DC113" s="167">
        <f t="shared" si="322"/>
        <v>0</v>
      </c>
      <c r="DD113" s="171">
        <f t="shared" si="323"/>
        <v>0</v>
      </c>
      <c r="DE113" s="169">
        <f t="shared" si="399"/>
        <v>0</v>
      </c>
      <c r="DF113" s="167">
        <f t="shared" si="388"/>
        <v>0</v>
      </c>
      <c r="DG113" s="167">
        <f t="shared" si="324"/>
        <v>0</v>
      </c>
      <c r="DH113" s="167">
        <f t="shared" si="389"/>
        <v>0</v>
      </c>
      <c r="DI113" s="167">
        <f t="shared" si="325"/>
        <v>0</v>
      </c>
      <c r="DJ113" s="167">
        <f t="shared" si="390"/>
        <v>0</v>
      </c>
      <c r="DK113" s="167">
        <f t="shared" si="326"/>
        <v>0</v>
      </c>
      <c r="DL113" s="167">
        <f t="shared" si="391"/>
        <v>0</v>
      </c>
      <c r="DM113" s="167">
        <f t="shared" si="327"/>
        <v>0</v>
      </c>
      <c r="DN113" s="167">
        <f t="shared" si="392"/>
        <v>0</v>
      </c>
      <c r="DO113" s="170">
        <f t="shared" si="328"/>
        <v>0</v>
      </c>
      <c r="DP113" s="167">
        <f t="shared" si="329"/>
        <v>0</v>
      </c>
      <c r="DQ113" s="171">
        <f t="shared" si="330"/>
        <v>0</v>
      </c>
      <c r="DR113" s="169">
        <f t="shared" si="399"/>
        <v>0</v>
      </c>
      <c r="DS113" s="167">
        <f t="shared" si="393"/>
        <v>0</v>
      </c>
      <c r="DT113" s="167">
        <f t="shared" si="331"/>
        <v>0</v>
      </c>
      <c r="DU113" s="167">
        <f t="shared" si="394"/>
        <v>0</v>
      </c>
      <c r="DV113" s="167">
        <f t="shared" si="332"/>
        <v>0</v>
      </c>
      <c r="DW113" s="167">
        <f t="shared" si="395"/>
        <v>0</v>
      </c>
      <c r="DX113" s="167">
        <f t="shared" si="333"/>
        <v>0</v>
      </c>
      <c r="DY113" s="167">
        <f t="shared" si="396"/>
        <v>0</v>
      </c>
      <c r="DZ113" s="167">
        <f t="shared" si="334"/>
        <v>0</v>
      </c>
      <c r="EA113" s="167">
        <f t="shared" si="397"/>
        <v>0</v>
      </c>
      <c r="EB113" s="170">
        <f t="shared" si="335"/>
        <v>0</v>
      </c>
      <c r="EC113" s="167">
        <f t="shared" si="336"/>
        <v>0</v>
      </c>
      <c r="ED113" s="171">
        <f t="shared" si="337"/>
        <v>0</v>
      </c>
    </row>
    <row r="114" spans="1:134" x14ac:dyDescent="0.3">
      <c r="A114" s="185"/>
      <c r="B114" s="186"/>
      <c r="C114" s="187"/>
      <c r="D114" s="188"/>
      <c r="E114" s="189"/>
      <c r="F114" s="190"/>
      <c r="G114" s="191"/>
      <c r="H114" s="192"/>
      <c r="I114" s="193"/>
      <c r="J114" s="194"/>
      <c r="K114" s="165">
        <f t="shared" si="338"/>
        <v>0</v>
      </c>
      <c r="L114" s="166">
        <f t="shared" si="339"/>
        <v>0</v>
      </c>
      <c r="M114" s="167">
        <f t="shared" si="340"/>
        <v>0</v>
      </c>
      <c r="N114" s="167"/>
      <c r="O114" s="167">
        <f t="shared" si="341"/>
        <v>0</v>
      </c>
      <c r="P114" s="168"/>
      <c r="Q114" s="167">
        <f t="shared" si="342"/>
        <v>0</v>
      </c>
      <c r="R114" s="169">
        <f t="shared" si="343"/>
        <v>0</v>
      </c>
      <c r="S114" s="167">
        <f t="shared" si="344"/>
        <v>0</v>
      </c>
      <c r="T114" s="167">
        <f t="shared" si="345"/>
        <v>0</v>
      </c>
      <c r="U114" s="167">
        <f t="shared" si="346"/>
        <v>0</v>
      </c>
      <c r="V114" s="167">
        <f t="shared" si="347"/>
        <v>0</v>
      </c>
      <c r="W114" s="167">
        <f t="shared" si="348"/>
        <v>0</v>
      </c>
      <c r="X114" s="167">
        <f t="shared" si="349"/>
        <v>0</v>
      </c>
      <c r="Y114" s="167">
        <f t="shared" si="350"/>
        <v>0</v>
      </c>
      <c r="Z114" s="167">
        <f t="shared" si="351"/>
        <v>0</v>
      </c>
      <c r="AA114" s="167">
        <f t="shared" si="352"/>
        <v>0</v>
      </c>
      <c r="AB114" s="170">
        <f t="shared" si="353"/>
        <v>0</v>
      </c>
      <c r="AC114" s="167">
        <f t="shared" si="354"/>
        <v>0</v>
      </c>
      <c r="AD114" s="171">
        <f t="shared" si="355"/>
        <v>0</v>
      </c>
      <c r="AE114" s="169">
        <f t="shared" si="398"/>
        <v>0</v>
      </c>
      <c r="AF114" s="167">
        <f t="shared" si="357"/>
        <v>0</v>
      </c>
      <c r="AG114" s="167">
        <f t="shared" si="281"/>
        <v>0</v>
      </c>
      <c r="AH114" s="167">
        <f t="shared" si="358"/>
        <v>0</v>
      </c>
      <c r="AI114" s="167">
        <f t="shared" si="282"/>
        <v>0</v>
      </c>
      <c r="AJ114" s="167">
        <f t="shared" si="359"/>
        <v>0</v>
      </c>
      <c r="AK114" s="167">
        <f t="shared" si="283"/>
        <v>0</v>
      </c>
      <c r="AL114" s="167">
        <f t="shared" si="360"/>
        <v>0</v>
      </c>
      <c r="AM114" s="167">
        <f t="shared" si="284"/>
        <v>0</v>
      </c>
      <c r="AN114" s="167">
        <f t="shared" si="361"/>
        <v>0</v>
      </c>
      <c r="AO114" s="170">
        <f t="shared" si="285"/>
        <v>0</v>
      </c>
      <c r="AP114" s="167">
        <f t="shared" si="286"/>
        <v>0</v>
      </c>
      <c r="AQ114" s="171">
        <f t="shared" si="287"/>
        <v>0</v>
      </c>
      <c r="AR114" s="169">
        <f t="shared" si="398"/>
        <v>0</v>
      </c>
      <c r="AS114" s="167">
        <f t="shared" si="362"/>
        <v>0</v>
      </c>
      <c r="AT114" s="167">
        <f t="shared" si="288"/>
        <v>0</v>
      </c>
      <c r="AU114" s="167">
        <f t="shared" si="363"/>
        <v>0</v>
      </c>
      <c r="AV114" s="167">
        <f t="shared" si="289"/>
        <v>0</v>
      </c>
      <c r="AW114" s="167">
        <f t="shared" si="364"/>
        <v>0</v>
      </c>
      <c r="AX114" s="167">
        <f t="shared" si="290"/>
        <v>0</v>
      </c>
      <c r="AY114" s="167">
        <f t="shared" si="365"/>
        <v>0</v>
      </c>
      <c r="AZ114" s="167">
        <f t="shared" si="291"/>
        <v>0</v>
      </c>
      <c r="BA114" s="167">
        <f t="shared" si="366"/>
        <v>0</v>
      </c>
      <c r="BB114" s="170">
        <f t="shared" si="292"/>
        <v>0</v>
      </c>
      <c r="BC114" s="167">
        <f t="shared" si="293"/>
        <v>0</v>
      </c>
      <c r="BD114" s="171">
        <f t="shared" si="294"/>
        <v>0</v>
      </c>
      <c r="BE114" s="169">
        <f t="shared" si="398"/>
        <v>0</v>
      </c>
      <c r="BF114" s="167">
        <f t="shared" si="367"/>
        <v>0</v>
      </c>
      <c r="BG114" s="167">
        <f t="shared" si="295"/>
        <v>0</v>
      </c>
      <c r="BH114" s="167">
        <f t="shared" si="368"/>
        <v>0</v>
      </c>
      <c r="BI114" s="167">
        <f t="shared" si="296"/>
        <v>0</v>
      </c>
      <c r="BJ114" s="167">
        <f t="shared" si="369"/>
        <v>0</v>
      </c>
      <c r="BK114" s="167">
        <f t="shared" si="297"/>
        <v>0</v>
      </c>
      <c r="BL114" s="167">
        <f t="shared" si="370"/>
        <v>0</v>
      </c>
      <c r="BM114" s="167">
        <f t="shared" si="298"/>
        <v>0</v>
      </c>
      <c r="BN114" s="167">
        <f t="shared" si="371"/>
        <v>0</v>
      </c>
      <c r="BO114" s="170">
        <f t="shared" si="299"/>
        <v>0</v>
      </c>
      <c r="BP114" s="167">
        <f t="shared" si="300"/>
        <v>0</v>
      </c>
      <c r="BQ114" s="171">
        <f t="shared" si="301"/>
        <v>0</v>
      </c>
      <c r="BR114" s="169">
        <f t="shared" si="398"/>
        <v>0</v>
      </c>
      <c r="BS114" s="167">
        <f t="shared" si="372"/>
        <v>0</v>
      </c>
      <c r="BT114" s="167">
        <f t="shared" si="302"/>
        <v>0</v>
      </c>
      <c r="BU114" s="167">
        <f t="shared" si="373"/>
        <v>0</v>
      </c>
      <c r="BV114" s="167">
        <f t="shared" si="303"/>
        <v>0</v>
      </c>
      <c r="BW114" s="167">
        <f t="shared" si="374"/>
        <v>0</v>
      </c>
      <c r="BX114" s="167">
        <f t="shared" si="304"/>
        <v>0</v>
      </c>
      <c r="BY114" s="167">
        <f t="shared" si="375"/>
        <v>0</v>
      </c>
      <c r="BZ114" s="167">
        <f t="shared" si="305"/>
        <v>0</v>
      </c>
      <c r="CA114" s="167">
        <f t="shared" si="376"/>
        <v>0</v>
      </c>
      <c r="CB114" s="170">
        <f t="shared" si="306"/>
        <v>0</v>
      </c>
      <c r="CC114" s="167">
        <f t="shared" si="307"/>
        <v>0</v>
      </c>
      <c r="CD114" s="171">
        <f t="shared" si="308"/>
        <v>0</v>
      </c>
      <c r="CE114" s="169">
        <f t="shared" si="398"/>
        <v>0</v>
      </c>
      <c r="CF114" s="167">
        <f t="shared" si="377"/>
        <v>0</v>
      </c>
      <c r="CG114" s="167">
        <f t="shared" si="309"/>
        <v>0</v>
      </c>
      <c r="CH114" s="167">
        <f t="shared" si="378"/>
        <v>0</v>
      </c>
      <c r="CI114" s="167">
        <f t="shared" si="310"/>
        <v>0</v>
      </c>
      <c r="CJ114" s="167">
        <f t="shared" si="379"/>
        <v>0</v>
      </c>
      <c r="CK114" s="167">
        <f t="shared" si="311"/>
        <v>0</v>
      </c>
      <c r="CL114" s="167">
        <f t="shared" si="380"/>
        <v>0</v>
      </c>
      <c r="CM114" s="167">
        <f t="shared" si="312"/>
        <v>0</v>
      </c>
      <c r="CN114" s="167">
        <f t="shared" si="381"/>
        <v>0</v>
      </c>
      <c r="CO114" s="170">
        <f t="shared" si="313"/>
        <v>0</v>
      </c>
      <c r="CP114" s="167">
        <f t="shared" si="314"/>
        <v>0</v>
      </c>
      <c r="CQ114" s="171">
        <f t="shared" si="315"/>
        <v>0</v>
      </c>
      <c r="CR114" s="169">
        <f t="shared" si="399"/>
        <v>0</v>
      </c>
      <c r="CS114" s="167">
        <f t="shared" si="383"/>
        <v>0</v>
      </c>
      <c r="CT114" s="167">
        <f t="shared" si="317"/>
        <v>0</v>
      </c>
      <c r="CU114" s="167">
        <f t="shared" si="384"/>
        <v>0</v>
      </c>
      <c r="CV114" s="167">
        <f t="shared" si="318"/>
        <v>0</v>
      </c>
      <c r="CW114" s="167">
        <f t="shared" si="385"/>
        <v>0</v>
      </c>
      <c r="CX114" s="167">
        <f t="shared" si="319"/>
        <v>0</v>
      </c>
      <c r="CY114" s="167">
        <f t="shared" si="386"/>
        <v>0</v>
      </c>
      <c r="CZ114" s="167">
        <f t="shared" si="320"/>
        <v>0</v>
      </c>
      <c r="DA114" s="167">
        <f t="shared" si="387"/>
        <v>0</v>
      </c>
      <c r="DB114" s="170">
        <f t="shared" si="321"/>
        <v>0</v>
      </c>
      <c r="DC114" s="167">
        <f t="shared" si="322"/>
        <v>0</v>
      </c>
      <c r="DD114" s="171">
        <f t="shared" si="323"/>
        <v>0</v>
      </c>
      <c r="DE114" s="169">
        <f t="shared" si="399"/>
        <v>0</v>
      </c>
      <c r="DF114" s="167">
        <f t="shared" si="388"/>
        <v>0</v>
      </c>
      <c r="DG114" s="167">
        <f t="shared" si="324"/>
        <v>0</v>
      </c>
      <c r="DH114" s="167">
        <f t="shared" si="389"/>
        <v>0</v>
      </c>
      <c r="DI114" s="167">
        <f t="shared" si="325"/>
        <v>0</v>
      </c>
      <c r="DJ114" s="167">
        <f t="shared" si="390"/>
        <v>0</v>
      </c>
      <c r="DK114" s="167">
        <f t="shared" si="326"/>
        <v>0</v>
      </c>
      <c r="DL114" s="167">
        <f t="shared" si="391"/>
        <v>0</v>
      </c>
      <c r="DM114" s="167">
        <f t="shared" si="327"/>
        <v>0</v>
      </c>
      <c r="DN114" s="167">
        <f t="shared" si="392"/>
        <v>0</v>
      </c>
      <c r="DO114" s="170">
        <f t="shared" si="328"/>
        <v>0</v>
      </c>
      <c r="DP114" s="167">
        <f t="shared" si="329"/>
        <v>0</v>
      </c>
      <c r="DQ114" s="171">
        <f t="shared" si="330"/>
        <v>0</v>
      </c>
      <c r="DR114" s="169">
        <f t="shared" si="399"/>
        <v>0</v>
      </c>
      <c r="DS114" s="167">
        <f t="shared" si="393"/>
        <v>0</v>
      </c>
      <c r="DT114" s="167">
        <f t="shared" si="331"/>
        <v>0</v>
      </c>
      <c r="DU114" s="167">
        <f t="shared" si="394"/>
        <v>0</v>
      </c>
      <c r="DV114" s="167">
        <f t="shared" si="332"/>
        <v>0</v>
      </c>
      <c r="DW114" s="167">
        <f t="shared" si="395"/>
        <v>0</v>
      </c>
      <c r="DX114" s="167">
        <f t="shared" si="333"/>
        <v>0</v>
      </c>
      <c r="DY114" s="167">
        <f t="shared" si="396"/>
        <v>0</v>
      </c>
      <c r="DZ114" s="167">
        <f t="shared" si="334"/>
        <v>0</v>
      </c>
      <c r="EA114" s="167">
        <f t="shared" si="397"/>
        <v>0</v>
      </c>
      <c r="EB114" s="170">
        <f t="shared" si="335"/>
        <v>0</v>
      </c>
      <c r="EC114" s="167">
        <f t="shared" si="336"/>
        <v>0</v>
      </c>
      <c r="ED114" s="171">
        <f t="shared" si="337"/>
        <v>0</v>
      </c>
    </row>
    <row r="115" spans="1:134" x14ac:dyDescent="0.3">
      <c r="A115" s="185"/>
      <c r="B115" s="186"/>
      <c r="C115" s="187"/>
      <c r="D115" s="188"/>
      <c r="E115" s="189"/>
      <c r="F115" s="190"/>
      <c r="G115" s="191"/>
      <c r="H115" s="192"/>
      <c r="I115" s="193"/>
      <c r="J115" s="194"/>
      <c r="K115" s="165">
        <f t="shared" si="338"/>
        <v>0</v>
      </c>
      <c r="L115" s="166">
        <f t="shared" si="339"/>
        <v>0</v>
      </c>
      <c r="M115" s="167">
        <f t="shared" si="340"/>
        <v>0</v>
      </c>
      <c r="N115" s="167"/>
      <c r="O115" s="167">
        <f t="shared" si="341"/>
        <v>0</v>
      </c>
      <c r="P115" s="168"/>
      <c r="Q115" s="167">
        <f t="shared" si="342"/>
        <v>0</v>
      </c>
      <c r="R115" s="169">
        <f t="shared" si="343"/>
        <v>0</v>
      </c>
      <c r="S115" s="167">
        <f t="shared" si="344"/>
        <v>0</v>
      </c>
      <c r="T115" s="167">
        <f t="shared" si="345"/>
        <v>0</v>
      </c>
      <c r="U115" s="167">
        <f t="shared" si="346"/>
        <v>0</v>
      </c>
      <c r="V115" s="167">
        <f t="shared" si="347"/>
        <v>0</v>
      </c>
      <c r="W115" s="167">
        <f t="shared" si="348"/>
        <v>0</v>
      </c>
      <c r="X115" s="167">
        <f t="shared" si="349"/>
        <v>0</v>
      </c>
      <c r="Y115" s="167">
        <f t="shared" si="350"/>
        <v>0</v>
      </c>
      <c r="Z115" s="167">
        <f t="shared" si="351"/>
        <v>0</v>
      </c>
      <c r="AA115" s="167">
        <f t="shared" si="352"/>
        <v>0</v>
      </c>
      <c r="AB115" s="170">
        <f t="shared" si="353"/>
        <v>0</v>
      </c>
      <c r="AC115" s="167">
        <f t="shared" si="354"/>
        <v>0</v>
      </c>
      <c r="AD115" s="171">
        <f t="shared" si="355"/>
        <v>0</v>
      </c>
      <c r="AE115" s="169">
        <f t="shared" si="398"/>
        <v>0</v>
      </c>
      <c r="AF115" s="167">
        <f t="shared" si="357"/>
        <v>0</v>
      </c>
      <c r="AG115" s="167">
        <f t="shared" si="281"/>
        <v>0</v>
      </c>
      <c r="AH115" s="167">
        <f t="shared" si="358"/>
        <v>0</v>
      </c>
      <c r="AI115" s="167">
        <f t="shared" si="282"/>
        <v>0</v>
      </c>
      <c r="AJ115" s="167">
        <f t="shared" si="359"/>
        <v>0</v>
      </c>
      <c r="AK115" s="167">
        <f t="shared" si="283"/>
        <v>0</v>
      </c>
      <c r="AL115" s="167">
        <f t="shared" si="360"/>
        <v>0</v>
      </c>
      <c r="AM115" s="167">
        <f t="shared" si="284"/>
        <v>0</v>
      </c>
      <c r="AN115" s="167">
        <f t="shared" si="361"/>
        <v>0</v>
      </c>
      <c r="AO115" s="170">
        <f t="shared" si="285"/>
        <v>0</v>
      </c>
      <c r="AP115" s="167">
        <f t="shared" si="286"/>
        <v>0</v>
      </c>
      <c r="AQ115" s="171">
        <f t="shared" si="287"/>
        <v>0</v>
      </c>
      <c r="AR115" s="169">
        <f t="shared" si="398"/>
        <v>0</v>
      </c>
      <c r="AS115" s="167">
        <f t="shared" si="362"/>
        <v>0</v>
      </c>
      <c r="AT115" s="167">
        <f t="shared" si="288"/>
        <v>0</v>
      </c>
      <c r="AU115" s="167">
        <f t="shared" si="363"/>
        <v>0</v>
      </c>
      <c r="AV115" s="167">
        <f t="shared" si="289"/>
        <v>0</v>
      </c>
      <c r="AW115" s="167">
        <f t="shared" si="364"/>
        <v>0</v>
      </c>
      <c r="AX115" s="167">
        <f t="shared" si="290"/>
        <v>0</v>
      </c>
      <c r="AY115" s="167">
        <f t="shared" si="365"/>
        <v>0</v>
      </c>
      <c r="AZ115" s="167">
        <f t="shared" si="291"/>
        <v>0</v>
      </c>
      <c r="BA115" s="167">
        <f t="shared" si="366"/>
        <v>0</v>
      </c>
      <c r="BB115" s="170">
        <f t="shared" si="292"/>
        <v>0</v>
      </c>
      <c r="BC115" s="167">
        <f t="shared" si="293"/>
        <v>0</v>
      </c>
      <c r="BD115" s="171">
        <f t="shared" si="294"/>
        <v>0</v>
      </c>
      <c r="BE115" s="169">
        <f t="shared" si="398"/>
        <v>0</v>
      </c>
      <c r="BF115" s="167">
        <f t="shared" si="367"/>
        <v>0</v>
      </c>
      <c r="BG115" s="167">
        <f t="shared" si="295"/>
        <v>0</v>
      </c>
      <c r="BH115" s="167">
        <f t="shared" si="368"/>
        <v>0</v>
      </c>
      <c r="BI115" s="167">
        <f t="shared" si="296"/>
        <v>0</v>
      </c>
      <c r="BJ115" s="167">
        <f t="shared" si="369"/>
        <v>0</v>
      </c>
      <c r="BK115" s="167">
        <f t="shared" si="297"/>
        <v>0</v>
      </c>
      <c r="BL115" s="167">
        <f t="shared" si="370"/>
        <v>0</v>
      </c>
      <c r="BM115" s="167">
        <f t="shared" si="298"/>
        <v>0</v>
      </c>
      <c r="BN115" s="167">
        <f t="shared" si="371"/>
        <v>0</v>
      </c>
      <c r="BO115" s="170">
        <f t="shared" si="299"/>
        <v>0</v>
      </c>
      <c r="BP115" s="167">
        <f t="shared" si="300"/>
        <v>0</v>
      </c>
      <c r="BQ115" s="171">
        <f t="shared" si="301"/>
        <v>0</v>
      </c>
      <c r="BR115" s="169">
        <f t="shared" si="398"/>
        <v>0</v>
      </c>
      <c r="BS115" s="167">
        <f t="shared" si="372"/>
        <v>0</v>
      </c>
      <c r="BT115" s="167">
        <f t="shared" si="302"/>
        <v>0</v>
      </c>
      <c r="BU115" s="167">
        <f t="shared" si="373"/>
        <v>0</v>
      </c>
      <c r="BV115" s="167">
        <f t="shared" si="303"/>
        <v>0</v>
      </c>
      <c r="BW115" s="167">
        <f t="shared" si="374"/>
        <v>0</v>
      </c>
      <c r="BX115" s="167">
        <f t="shared" si="304"/>
        <v>0</v>
      </c>
      <c r="BY115" s="167">
        <f t="shared" si="375"/>
        <v>0</v>
      </c>
      <c r="BZ115" s="167">
        <f t="shared" si="305"/>
        <v>0</v>
      </c>
      <c r="CA115" s="167">
        <f t="shared" si="376"/>
        <v>0</v>
      </c>
      <c r="CB115" s="170">
        <f t="shared" si="306"/>
        <v>0</v>
      </c>
      <c r="CC115" s="167">
        <f t="shared" si="307"/>
        <v>0</v>
      </c>
      <c r="CD115" s="171">
        <f t="shared" si="308"/>
        <v>0</v>
      </c>
      <c r="CE115" s="169">
        <f t="shared" si="398"/>
        <v>0</v>
      </c>
      <c r="CF115" s="167">
        <f t="shared" si="377"/>
        <v>0</v>
      </c>
      <c r="CG115" s="167">
        <f t="shared" si="309"/>
        <v>0</v>
      </c>
      <c r="CH115" s="167">
        <f t="shared" si="378"/>
        <v>0</v>
      </c>
      <c r="CI115" s="167">
        <f t="shared" si="310"/>
        <v>0</v>
      </c>
      <c r="CJ115" s="167">
        <f t="shared" si="379"/>
        <v>0</v>
      </c>
      <c r="CK115" s="167">
        <f t="shared" si="311"/>
        <v>0</v>
      </c>
      <c r="CL115" s="167">
        <f t="shared" si="380"/>
        <v>0</v>
      </c>
      <c r="CM115" s="167">
        <f t="shared" si="312"/>
        <v>0</v>
      </c>
      <c r="CN115" s="167">
        <f t="shared" si="381"/>
        <v>0</v>
      </c>
      <c r="CO115" s="170">
        <f t="shared" si="313"/>
        <v>0</v>
      </c>
      <c r="CP115" s="167">
        <f t="shared" si="314"/>
        <v>0</v>
      </c>
      <c r="CQ115" s="171">
        <f t="shared" si="315"/>
        <v>0</v>
      </c>
      <c r="CR115" s="169">
        <f t="shared" si="399"/>
        <v>0</v>
      </c>
      <c r="CS115" s="167">
        <f t="shared" si="383"/>
        <v>0</v>
      </c>
      <c r="CT115" s="167">
        <f t="shared" si="317"/>
        <v>0</v>
      </c>
      <c r="CU115" s="167">
        <f t="shared" si="384"/>
        <v>0</v>
      </c>
      <c r="CV115" s="167">
        <f t="shared" si="318"/>
        <v>0</v>
      </c>
      <c r="CW115" s="167">
        <f t="shared" si="385"/>
        <v>0</v>
      </c>
      <c r="CX115" s="167">
        <f t="shared" si="319"/>
        <v>0</v>
      </c>
      <c r="CY115" s="167">
        <f t="shared" si="386"/>
        <v>0</v>
      </c>
      <c r="CZ115" s="167">
        <f t="shared" si="320"/>
        <v>0</v>
      </c>
      <c r="DA115" s="167">
        <f t="shared" si="387"/>
        <v>0</v>
      </c>
      <c r="DB115" s="170">
        <f t="shared" si="321"/>
        <v>0</v>
      </c>
      <c r="DC115" s="167">
        <f t="shared" si="322"/>
        <v>0</v>
      </c>
      <c r="DD115" s="171">
        <f t="shared" si="323"/>
        <v>0</v>
      </c>
      <c r="DE115" s="169">
        <f t="shared" si="399"/>
        <v>0</v>
      </c>
      <c r="DF115" s="167">
        <f t="shared" si="388"/>
        <v>0</v>
      </c>
      <c r="DG115" s="167">
        <f t="shared" si="324"/>
        <v>0</v>
      </c>
      <c r="DH115" s="167">
        <f t="shared" si="389"/>
        <v>0</v>
      </c>
      <c r="DI115" s="167">
        <f t="shared" si="325"/>
        <v>0</v>
      </c>
      <c r="DJ115" s="167">
        <f t="shared" si="390"/>
        <v>0</v>
      </c>
      <c r="DK115" s="167">
        <f t="shared" si="326"/>
        <v>0</v>
      </c>
      <c r="DL115" s="167">
        <f t="shared" si="391"/>
        <v>0</v>
      </c>
      <c r="DM115" s="167">
        <f t="shared" si="327"/>
        <v>0</v>
      </c>
      <c r="DN115" s="167">
        <f t="shared" si="392"/>
        <v>0</v>
      </c>
      <c r="DO115" s="170">
        <f t="shared" si="328"/>
        <v>0</v>
      </c>
      <c r="DP115" s="167">
        <f t="shared" si="329"/>
        <v>0</v>
      </c>
      <c r="DQ115" s="171">
        <f t="shared" si="330"/>
        <v>0</v>
      </c>
      <c r="DR115" s="169">
        <f t="shared" si="399"/>
        <v>0</v>
      </c>
      <c r="DS115" s="167">
        <f t="shared" si="393"/>
        <v>0</v>
      </c>
      <c r="DT115" s="167">
        <f t="shared" si="331"/>
        <v>0</v>
      </c>
      <c r="DU115" s="167">
        <f t="shared" si="394"/>
        <v>0</v>
      </c>
      <c r="DV115" s="167">
        <f t="shared" si="332"/>
        <v>0</v>
      </c>
      <c r="DW115" s="167">
        <f t="shared" si="395"/>
        <v>0</v>
      </c>
      <c r="DX115" s="167">
        <f t="shared" si="333"/>
        <v>0</v>
      </c>
      <c r="DY115" s="167">
        <f t="shared" si="396"/>
        <v>0</v>
      </c>
      <c r="DZ115" s="167">
        <f t="shared" si="334"/>
        <v>0</v>
      </c>
      <c r="EA115" s="167">
        <f t="shared" si="397"/>
        <v>0</v>
      </c>
      <c r="EB115" s="170">
        <f t="shared" si="335"/>
        <v>0</v>
      </c>
      <c r="EC115" s="167">
        <f t="shared" si="336"/>
        <v>0</v>
      </c>
      <c r="ED115" s="171">
        <f t="shared" si="337"/>
        <v>0</v>
      </c>
    </row>
    <row r="116" spans="1:134" x14ac:dyDescent="0.3">
      <c r="A116" s="185"/>
      <c r="B116" s="186"/>
      <c r="C116" s="187"/>
      <c r="D116" s="188"/>
      <c r="E116" s="189"/>
      <c r="F116" s="190"/>
      <c r="G116" s="191"/>
      <c r="H116" s="192"/>
      <c r="I116" s="193"/>
      <c r="J116" s="194"/>
      <c r="K116" s="165">
        <f t="shared" si="338"/>
        <v>0</v>
      </c>
      <c r="L116" s="166">
        <f t="shared" si="339"/>
        <v>0</v>
      </c>
      <c r="M116" s="167">
        <f t="shared" si="340"/>
        <v>0</v>
      </c>
      <c r="N116" s="167"/>
      <c r="O116" s="167">
        <f t="shared" si="341"/>
        <v>0</v>
      </c>
      <c r="P116" s="168"/>
      <c r="Q116" s="167">
        <f t="shared" si="342"/>
        <v>0</v>
      </c>
      <c r="R116" s="169">
        <f t="shared" si="343"/>
        <v>0</v>
      </c>
      <c r="S116" s="167">
        <f t="shared" si="344"/>
        <v>0</v>
      </c>
      <c r="T116" s="167">
        <f t="shared" si="345"/>
        <v>0</v>
      </c>
      <c r="U116" s="167">
        <f t="shared" si="346"/>
        <v>0</v>
      </c>
      <c r="V116" s="167">
        <f t="shared" si="347"/>
        <v>0</v>
      </c>
      <c r="W116" s="167">
        <f t="shared" si="348"/>
        <v>0</v>
      </c>
      <c r="X116" s="167">
        <f t="shared" si="349"/>
        <v>0</v>
      </c>
      <c r="Y116" s="167">
        <f t="shared" si="350"/>
        <v>0</v>
      </c>
      <c r="Z116" s="167">
        <f t="shared" si="351"/>
        <v>0</v>
      </c>
      <c r="AA116" s="167">
        <f t="shared" si="352"/>
        <v>0</v>
      </c>
      <c r="AB116" s="170">
        <f t="shared" si="353"/>
        <v>0</v>
      </c>
      <c r="AC116" s="167">
        <f t="shared" si="354"/>
        <v>0</v>
      </c>
      <c r="AD116" s="171">
        <f t="shared" si="355"/>
        <v>0</v>
      </c>
      <c r="AE116" s="169">
        <f t="shared" si="398"/>
        <v>0</v>
      </c>
      <c r="AF116" s="167">
        <f t="shared" si="357"/>
        <v>0</v>
      </c>
      <c r="AG116" s="167">
        <f t="shared" si="281"/>
        <v>0</v>
      </c>
      <c r="AH116" s="167">
        <f t="shared" si="358"/>
        <v>0</v>
      </c>
      <c r="AI116" s="167">
        <f t="shared" si="282"/>
        <v>0</v>
      </c>
      <c r="AJ116" s="167">
        <f t="shared" si="359"/>
        <v>0</v>
      </c>
      <c r="AK116" s="167">
        <f t="shared" si="283"/>
        <v>0</v>
      </c>
      <c r="AL116" s="167">
        <f t="shared" si="360"/>
        <v>0</v>
      </c>
      <c r="AM116" s="167">
        <f t="shared" si="284"/>
        <v>0</v>
      </c>
      <c r="AN116" s="167">
        <f t="shared" si="361"/>
        <v>0</v>
      </c>
      <c r="AO116" s="170">
        <f t="shared" si="285"/>
        <v>0</v>
      </c>
      <c r="AP116" s="167">
        <f t="shared" si="286"/>
        <v>0</v>
      </c>
      <c r="AQ116" s="171">
        <f t="shared" si="287"/>
        <v>0</v>
      </c>
      <c r="AR116" s="169">
        <f t="shared" si="398"/>
        <v>0</v>
      </c>
      <c r="AS116" s="167">
        <f t="shared" si="362"/>
        <v>0</v>
      </c>
      <c r="AT116" s="167">
        <f t="shared" si="288"/>
        <v>0</v>
      </c>
      <c r="AU116" s="167">
        <f t="shared" si="363"/>
        <v>0</v>
      </c>
      <c r="AV116" s="167">
        <f t="shared" si="289"/>
        <v>0</v>
      </c>
      <c r="AW116" s="167">
        <f t="shared" si="364"/>
        <v>0</v>
      </c>
      <c r="AX116" s="167">
        <f t="shared" si="290"/>
        <v>0</v>
      </c>
      <c r="AY116" s="167">
        <f t="shared" si="365"/>
        <v>0</v>
      </c>
      <c r="AZ116" s="167">
        <f t="shared" si="291"/>
        <v>0</v>
      </c>
      <c r="BA116" s="167">
        <f t="shared" si="366"/>
        <v>0</v>
      </c>
      <c r="BB116" s="170">
        <f t="shared" si="292"/>
        <v>0</v>
      </c>
      <c r="BC116" s="167">
        <f t="shared" si="293"/>
        <v>0</v>
      </c>
      <c r="BD116" s="171">
        <f t="shared" si="294"/>
        <v>0</v>
      </c>
      <c r="BE116" s="169">
        <f t="shared" si="398"/>
        <v>0</v>
      </c>
      <c r="BF116" s="167">
        <f t="shared" si="367"/>
        <v>0</v>
      </c>
      <c r="BG116" s="167">
        <f t="shared" si="295"/>
        <v>0</v>
      </c>
      <c r="BH116" s="167">
        <f t="shared" si="368"/>
        <v>0</v>
      </c>
      <c r="BI116" s="167">
        <f t="shared" si="296"/>
        <v>0</v>
      </c>
      <c r="BJ116" s="167">
        <f t="shared" si="369"/>
        <v>0</v>
      </c>
      <c r="BK116" s="167">
        <f t="shared" si="297"/>
        <v>0</v>
      </c>
      <c r="BL116" s="167">
        <f t="shared" si="370"/>
        <v>0</v>
      </c>
      <c r="BM116" s="167">
        <f t="shared" si="298"/>
        <v>0</v>
      </c>
      <c r="BN116" s="167">
        <f t="shared" si="371"/>
        <v>0</v>
      </c>
      <c r="BO116" s="170">
        <f t="shared" si="299"/>
        <v>0</v>
      </c>
      <c r="BP116" s="167">
        <f t="shared" si="300"/>
        <v>0</v>
      </c>
      <c r="BQ116" s="171">
        <f t="shared" si="301"/>
        <v>0</v>
      </c>
      <c r="BR116" s="169">
        <f t="shared" si="398"/>
        <v>0</v>
      </c>
      <c r="BS116" s="167">
        <f t="shared" si="372"/>
        <v>0</v>
      </c>
      <c r="BT116" s="167">
        <f t="shared" si="302"/>
        <v>0</v>
      </c>
      <c r="BU116" s="167">
        <f t="shared" si="373"/>
        <v>0</v>
      </c>
      <c r="BV116" s="167">
        <f t="shared" si="303"/>
        <v>0</v>
      </c>
      <c r="BW116" s="167">
        <f t="shared" si="374"/>
        <v>0</v>
      </c>
      <c r="BX116" s="167">
        <f t="shared" si="304"/>
        <v>0</v>
      </c>
      <c r="BY116" s="167">
        <f t="shared" si="375"/>
        <v>0</v>
      </c>
      <c r="BZ116" s="167">
        <f t="shared" si="305"/>
        <v>0</v>
      </c>
      <c r="CA116" s="167">
        <f t="shared" si="376"/>
        <v>0</v>
      </c>
      <c r="CB116" s="170">
        <f t="shared" si="306"/>
        <v>0</v>
      </c>
      <c r="CC116" s="167">
        <f t="shared" si="307"/>
        <v>0</v>
      </c>
      <c r="CD116" s="171">
        <f t="shared" si="308"/>
        <v>0</v>
      </c>
      <c r="CE116" s="169">
        <f t="shared" si="398"/>
        <v>0</v>
      </c>
      <c r="CF116" s="167">
        <f t="shared" si="377"/>
        <v>0</v>
      </c>
      <c r="CG116" s="167">
        <f t="shared" si="309"/>
        <v>0</v>
      </c>
      <c r="CH116" s="167">
        <f t="shared" si="378"/>
        <v>0</v>
      </c>
      <c r="CI116" s="167">
        <f t="shared" si="310"/>
        <v>0</v>
      </c>
      <c r="CJ116" s="167">
        <f t="shared" si="379"/>
        <v>0</v>
      </c>
      <c r="CK116" s="167">
        <f t="shared" si="311"/>
        <v>0</v>
      </c>
      <c r="CL116" s="167">
        <f t="shared" si="380"/>
        <v>0</v>
      </c>
      <c r="CM116" s="167">
        <f t="shared" si="312"/>
        <v>0</v>
      </c>
      <c r="CN116" s="167">
        <f t="shared" si="381"/>
        <v>0</v>
      </c>
      <c r="CO116" s="170">
        <f t="shared" si="313"/>
        <v>0</v>
      </c>
      <c r="CP116" s="167">
        <f t="shared" si="314"/>
        <v>0</v>
      </c>
      <c r="CQ116" s="171">
        <f t="shared" si="315"/>
        <v>0</v>
      </c>
      <c r="CR116" s="169">
        <f t="shared" si="399"/>
        <v>0</v>
      </c>
      <c r="CS116" s="167">
        <f t="shared" si="383"/>
        <v>0</v>
      </c>
      <c r="CT116" s="167">
        <f t="shared" si="317"/>
        <v>0</v>
      </c>
      <c r="CU116" s="167">
        <f t="shared" si="384"/>
        <v>0</v>
      </c>
      <c r="CV116" s="167">
        <f t="shared" si="318"/>
        <v>0</v>
      </c>
      <c r="CW116" s="167">
        <f t="shared" si="385"/>
        <v>0</v>
      </c>
      <c r="CX116" s="167">
        <f t="shared" si="319"/>
        <v>0</v>
      </c>
      <c r="CY116" s="167">
        <f t="shared" si="386"/>
        <v>0</v>
      </c>
      <c r="CZ116" s="167">
        <f t="shared" si="320"/>
        <v>0</v>
      </c>
      <c r="DA116" s="167">
        <f t="shared" si="387"/>
        <v>0</v>
      </c>
      <c r="DB116" s="170">
        <f t="shared" si="321"/>
        <v>0</v>
      </c>
      <c r="DC116" s="167">
        <f t="shared" si="322"/>
        <v>0</v>
      </c>
      <c r="DD116" s="171">
        <f t="shared" si="323"/>
        <v>0</v>
      </c>
      <c r="DE116" s="169">
        <f t="shared" si="399"/>
        <v>0</v>
      </c>
      <c r="DF116" s="167">
        <f t="shared" si="388"/>
        <v>0</v>
      </c>
      <c r="DG116" s="167">
        <f t="shared" si="324"/>
        <v>0</v>
      </c>
      <c r="DH116" s="167">
        <f t="shared" si="389"/>
        <v>0</v>
      </c>
      <c r="DI116" s="167">
        <f t="shared" si="325"/>
        <v>0</v>
      </c>
      <c r="DJ116" s="167">
        <f t="shared" si="390"/>
        <v>0</v>
      </c>
      <c r="DK116" s="167">
        <f t="shared" si="326"/>
        <v>0</v>
      </c>
      <c r="DL116" s="167">
        <f t="shared" si="391"/>
        <v>0</v>
      </c>
      <c r="DM116" s="167">
        <f t="shared" si="327"/>
        <v>0</v>
      </c>
      <c r="DN116" s="167">
        <f t="shared" si="392"/>
        <v>0</v>
      </c>
      <c r="DO116" s="170">
        <f t="shared" si="328"/>
        <v>0</v>
      </c>
      <c r="DP116" s="167">
        <f t="shared" si="329"/>
        <v>0</v>
      </c>
      <c r="DQ116" s="171">
        <f t="shared" si="330"/>
        <v>0</v>
      </c>
      <c r="DR116" s="169">
        <f t="shared" si="399"/>
        <v>0</v>
      </c>
      <c r="DS116" s="167">
        <f t="shared" si="393"/>
        <v>0</v>
      </c>
      <c r="DT116" s="167">
        <f t="shared" si="331"/>
        <v>0</v>
      </c>
      <c r="DU116" s="167">
        <f t="shared" si="394"/>
        <v>0</v>
      </c>
      <c r="DV116" s="167">
        <f t="shared" si="332"/>
        <v>0</v>
      </c>
      <c r="DW116" s="167">
        <f t="shared" si="395"/>
        <v>0</v>
      </c>
      <c r="DX116" s="167">
        <f t="shared" si="333"/>
        <v>0</v>
      </c>
      <c r="DY116" s="167">
        <f t="shared" si="396"/>
        <v>0</v>
      </c>
      <c r="DZ116" s="167">
        <f t="shared" si="334"/>
        <v>0</v>
      </c>
      <c r="EA116" s="167">
        <f t="shared" si="397"/>
        <v>0</v>
      </c>
      <c r="EB116" s="170">
        <f t="shared" si="335"/>
        <v>0</v>
      </c>
      <c r="EC116" s="167">
        <f t="shared" si="336"/>
        <v>0</v>
      </c>
      <c r="ED116" s="171">
        <f t="shared" si="337"/>
        <v>0</v>
      </c>
    </row>
    <row r="117" spans="1:134" x14ac:dyDescent="0.3">
      <c r="A117" s="185"/>
      <c r="B117" s="186"/>
      <c r="C117" s="187"/>
      <c r="D117" s="188"/>
      <c r="E117" s="189"/>
      <c r="F117" s="190"/>
      <c r="G117" s="191"/>
      <c r="H117" s="192"/>
      <c r="I117" s="193"/>
      <c r="J117" s="194"/>
      <c r="K117" s="165">
        <f t="shared" si="338"/>
        <v>0</v>
      </c>
      <c r="L117" s="166">
        <f t="shared" si="339"/>
        <v>0</v>
      </c>
      <c r="M117" s="167">
        <f t="shared" si="340"/>
        <v>0</v>
      </c>
      <c r="N117" s="167"/>
      <c r="O117" s="167">
        <f t="shared" si="341"/>
        <v>0</v>
      </c>
      <c r="P117" s="168"/>
      <c r="Q117" s="167">
        <f t="shared" si="342"/>
        <v>0</v>
      </c>
      <c r="R117" s="169">
        <f t="shared" si="343"/>
        <v>0</v>
      </c>
      <c r="S117" s="167">
        <f t="shared" si="344"/>
        <v>0</v>
      </c>
      <c r="T117" s="167">
        <f t="shared" si="345"/>
        <v>0</v>
      </c>
      <c r="U117" s="167">
        <f t="shared" si="346"/>
        <v>0</v>
      </c>
      <c r="V117" s="167">
        <f t="shared" si="347"/>
        <v>0</v>
      </c>
      <c r="W117" s="167">
        <f t="shared" si="348"/>
        <v>0</v>
      </c>
      <c r="X117" s="167">
        <f t="shared" si="349"/>
        <v>0</v>
      </c>
      <c r="Y117" s="167">
        <f t="shared" si="350"/>
        <v>0</v>
      </c>
      <c r="Z117" s="167">
        <f t="shared" si="351"/>
        <v>0</v>
      </c>
      <c r="AA117" s="167">
        <f t="shared" si="352"/>
        <v>0</v>
      </c>
      <c r="AB117" s="170">
        <f t="shared" si="353"/>
        <v>0</v>
      </c>
      <c r="AC117" s="167">
        <f t="shared" si="354"/>
        <v>0</v>
      </c>
      <c r="AD117" s="171">
        <f t="shared" si="355"/>
        <v>0</v>
      </c>
      <c r="AE117" s="169">
        <f t="shared" ref="AE117:CE125" si="400">IF(YEAR($F117)=AE$4,$E117,0)</f>
        <v>0</v>
      </c>
      <c r="AF117" s="167">
        <f t="shared" si="357"/>
        <v>0</v>
      </c>
      <c r="AG117" s="167">
        <f t="shared" si="281"/>
        <v>0</v>
      </c>
      <c r="AH117" s="167">
        <f t="shared" si="358"/>
        <v>0</v>
      </c>
      <c r="AI117" s="167">
        <f t="shared" si="282"/>
        <v>0</v>
      </c>
      <c r="AJ117" s="167">
        <f t="shared" si="359"/>
        <v>0</v>
      </c>
      <c r="AK117" s="167">
        <f t="shared" si="283"/>
        <v>0</v>
      </c>
      <c r="AL117" s="167">
        <f t="shared" si="360"/>
        <v>0</v>
      </c>
      <c r="AM117" s="167">
        <f t="shared" si="284"/>
        <v>0</v>
      </c>
      <c r="AN117" s="167">
        <f t="shared" si="361"/>
        <v>0</v>
      </c>
      <c r="AO117" s="170">
        <f t="shared" si="285"/>
        <v>0</v>
      </c>
      <c r="AP117" s="167">
        <f t="shared" si="286"/>
        <v>0</v>
      </c>
      <c r="AQ117" s="171">
        <f t="shared" si="287"/>
        <v>0</v>
      </c>
      <c r="AR117" s="169">
        <f t="shared" si="400"/>
        <v>0</v>
      </c>
      <c r="AS117" s="167">
        <f t="shared" si="362"/>
        <v>0</v>
      </c>
      <c r="AT117" s="167">
        <f t="shared" si="288"/>
        <v>0</v>
      </c>
      <c r="AU117" s="167">
        <f t="shared" si="363"/>
        <v>0</v>
      </c>
      <c r="AV117" s="167">
        <f t="shared" si="289"/>
        <v>0</v>
      </c>
      <c r="AW117" s="167">
        <f t="shared" si="364"/>
        <v>0</v>
      </c>
      <c r="AX117" s="167">
        <f t="shared" si="290"/>
        <v>0</v>
      </c>
      <c r="AY117" s="167">
        <f t="shared" si="365"/>
        <v>0</v>
      </c>
      <c r="AZ117" s="167">
        <f t="shared" si="291"/>
        <v>0</v>
      </c>
      <c r="BA117" s="167">
        <f t="shared" si="366"/>
        <v>0</v>
      </c>
      <c r="BB117" s="170">
        <f t="shared" si="292"/>
        <v>0</v>
      </c>
      <c r="BC117" s="167">
        <f t="shared" si="293"/>
        <v>0</v>
      </c>
      <c r="BD117" s="171">
        <f t="shared" si="294"/>
        <v>0</v>
      </c>
      <c r="BE117" s="169">
        <f t="shared" si="400"/>
        <v>0</v>
      </c>
      <c r="BF117" s="167">
        <f t="shared" si="367"/>
        <v>0</v>
      </c>
      <c r="BG117" s="167">
        <f t="shared" si="295"/>
        <v>0</v>
      </c>
      <c r="BH117" s="167">
        <f t="shared" si="368"/>
        <v>0</v>
      </c>
      <c r="BI117" s="167">
        <f t="shared" si="296"/>
        <v>0</v>
      </c>
      <c r="BJ117" s="167">
        <f t="shared" si="369"/>
        <v>0</v>
      </c>
      <c r="BK117" s="167">
        <f t="shared" si="297"/>
        <v>0</v>
      </c>
      <c r="BL117" s="167">
        <f t="shared" si="370"/>
        <v>0</v>
      </c>
      <c r="BM117" s="167">
        <f t="shared" si="298"/>
        <v>0</v>
      </c>
      <c r="BN117" s="167">
        <f t="shared" si="371"/>
        <v>0</v>
      </c>
      <c r="BO117" s="170">
        <f t="shared" si="299"/>
        <v>0</v>
      </c>
      <c r="BP117" s="167">
        <f t="shared" si="300"/>
        <v>0</v>
      </c>
      <c r="BQ117" s="171">
        <f t="shared" si="301"/>
        <v>0</v>
      </c>
      <c r="BR117" s="169">
        <f t="shared" si="400"/>
        <v>0</v>
      </c>
      <c r="BS117" s="167">
        <f t="shared" si="372"/>
        <v>0</v>
      </c>
      <c r="BT117" s="167">
        <f t="shared" si="302"/>
        <v>0</v>
      </c>
      <c r="BU117" s="167">
        <f t="shared" si="373"/>
        <v>0</v>
      </c>
      <c r="BV117" s="167">
        <f t="shared" si="303"/>
        <v>0</v>
      </c>
      <c r="BW117" s="167">
        <f t="shared" si="374"/>
        <v>0</v>
      </c>
      <c r="BX117" s="167">
        <f t="shared" si="304"/>
        <v>0</v>
      </c>
      <c r="BY117" s="167">
        <f t="shared" si="375"/>
        <v>0</v>
      </c>
      <c r="BZ117" s="167">
        <f t="shared" si="305"/>
        <v>0</v>
      </c>
      <c r="CA117" s="167">
        <f t="shared" si="376"/>
        <v>0</v>
      </c>
      <c r="CB117" s="170">
        <f t="shared" si="306"/>
        <v>0</v>
      </c>
      <c r="CC117" s="167">
        <f t="shared" si="307"/>
        <v>0</v>
      </c>
      <c r="CD117" s="171">
        <f t="shared" si="308"/>
        <v>0</v>
      </c>
      <c r="CE117" s="169">
        <f t="shared" si="400"/>
        <v>0</v>
      </c>
      <c r="CF117" s="167">
        <f t="shared" si="377"/>
        <v>0</v>
      </c>
      <c r="CG117" s="167">
        <f t="shared" si="309"/>
        <v>0</v>
      </c>
      <c r="CH117" s="167">
        <f t="shared" si="378"/>
        <v>0</v>
      </c>
      <c r="CI117" s="167">
        <f t="shared" si="310"/>
        <v>0</v>
      </c>
      <c r="CJ117" s="167">
        <f t="shared" si="379"/>
        <v>0</v>
      </c>
      <c r="CK117" s="167">
        <f t="shared" si="311"/>
        <v>0</v>
      </c>
      <c r="CL117" s="167">
        <f t="shared" si="380"/>
        <v>0</v>
      </c>
      <c r="CM117" s="167">
        <f t="shared" si="312"/>
        <v>0</v>
      </c>
      <c r="CN117" s="167">
        <f t="shared" si="381"/>
        <v>0</v>
      </c>
      <c r="CO117" s="170">
        <f t="shared" si="313"/>
        <v>0</v>
      </c>
      <c r="CP117" s="167">
        <f t="shared" si="314"/>
        <v>0</v>
      </c>
      <c r="CQ117" s="171">
        <f t="shared" si="315"/>
        <v>0</v>
      </c>
      <c r="CR117" s="169">
        <f t="shared" ref="CR117:DR125" si="401">IF(YEAR($F117)=CR$4,$E117,0)</f>
        <v>0</v>
      </c>
      <c r="CS117" s="167">
        <f t="shared" si="383"/>
        <v>0</v>
      </c>
      <c r="CT117" s="167">
        <f t="shared" si="317"/>
        <v>0</v>
      </c>
      <c r="CU117" s="167">
        <f t="shared" si="384"/>
        <v>0</v>
      </c>
      <c r="CV117" s="167">
        <f t="shared" si="318"/>
        <v>0</v>
      </c>
      <c r="CW117" s="167">
        <f t="shared" si="385"/>
        <v>0</v>
      </c>
      <c r="CX117" s="167">
        <f t="shared" si="319"/>
        <v>0</v>
      </c>
      <c r="CY117" s="167">
        <f t="shared" si="386"/>
        <v>0</v>
      </c>
      <c r="CZ117" s="167">
        <f t="shared" si="320"/>
        <v>0</v>
      </c>
      <c r="DA117" s="167">
        <f t="shared" si="387"/>
        <v>0</v>
      </c>
      <c r="DB117" s="170">
        <f t="shared" si="321"/>
        <v>0</v>
      </c>
      <c r="DC117" s="167">
        <f t="shared" si="322"/>
        <v>0</v>
      </c>
      <c r="DD117" s="171">
        <f t="shared" si="323"/>
        <v>0</v>
      </c>
      <c r="DE117" s="169">
        <f t="shared" si="401"/>
        <v>0</v>
      </c>
      <c r="DF117" s="167">
        <f t="shared" si="388"/>
        <v>0</v>
      </c>
      <c r="DG117" s="167">
        <f t="shared" si="324"/>
        <v>0</v>
      </c>
      <c r="DH117" s="167">
        <f t="shared" si="389"/>
        <v>0</v>
      </c>
      <c r="DI117" s="167">
        <f t="shared" si="325"/>
        <v>0</v>
      </c>
      <c r="DJ117" s="167">
        <f t="shared" si="390"/>
        <v>0</v>
      </c>
      <c r="DK117" s="167">
        <f t="shared" si="326"/>
        <v>0</v>
      </c>
      <c r="DL117" s="167">
        <f t="shared" si="391"/>
        <v>0</v>
      </c>
      <c r="DM117" s="167">
        <f t="shared" si="327"/>
        <v>0</v>
      </c>
      <c r="DN117" s="167">
        <f t="shared" si="392"/>
        <v>0</v>
      </c>
      <c r="DO117" s="170">
        <f t="shared" si="328"/>
        <v>0</v>
      </c>
      <c r="DP117" s="167">
        <f t="shared" si="329"/>
        <v>0</v>
      </c>
      <c r="DQ117" s="171">
        <f t="shared" si="330"/>
        <v>0</v>
      </c>
      <c r="DR117" s="169">
        <f t="shared" si="401"/>
        <v>0</v>
      </c>
      <c r="DS117" s="167">
        <f t="shared" si="393"/>
        <v>0</v>
      </c>
      <c r="DT117" s="167">
        <f t="shared" si="331"/>
        <v>0</v>
      </c>
      <c r="DU117" s="167">
        <f t="shared" si="394"/>
        <v>0</v>
      </c>
      <c r="DV117" s="167">
        <f t="shared" si="332"/>
        <v>0</v>
      </c>
      <c r="DW117" s="167">
        <f t="shared" si="395"/>
        <v>0</v>
      </c>
      <c r="DX117" s="167">
        <f t="shared" si="333"/>
        <v>0</v>
      </c>
      <c r="DY117" s="167">
        <f t="shared" si="396"/>
        <v>0</v>
      </c>
      <c r="DZ117" s="167">
        <f t="shared" si="334"/>
        <v>0</v>
      </c>
      <c r="EA117" s="167">
        <f t="shared" si="397"/>
        <v>0</v>
      </c>
      <c r="EB117" s="170">
        <f t="shared" si="335"/>
        <v>0</v>
      </c>
      <c r="EC117" s="167">
        <f t="shared" si="336"/>
        <v>0</v>
      </c>
      <c r="ED117" s="171">
        <f t="shared" si="337"/>
        <v>0</v>
      </c>
    </row>
    <row r="118" spans="1:134" x14ac:dyDescent="0.3">
      <c r="A118" s="185"/>
      <c r="B118" s="186"/>
      <c r="C118" s="187"/>
      <c r="D118" s="188"/>
      <c r="E118" s="189"/>
      <c r="F118" s="190"/>
      <c r="G118" s="191"/>
      <c r="H118" s="192"/>
      <c r="I118" s="193"/>
      <c r="J118" s="194"/>
      <c r="K118" s="165">
        <f t="shared" si="338"/>
        <v>0</v>
      </c>
      <c r="L118" s="166">
        <f t="shared" si="339"/>
        <v>0</v>
      </c>
      <c r="M118" s="167">
        <f t="shared" si="340"/>
        <v>0</v>
      </c>
      <c r="N118" s="167"/>
      <c r="O118" s="167">
        <f t="shared" si="341"/>
        <v>0</v>
      </c>
      <c r="P118" s="168"/>
      <c r="Q118" s="167">
        <f t="shared" si="342"/>
        <v>0</v>
      </c>
      <c r="R118" s="169">
        <f t="shared" si="343"/>
        <v>0</v>
      </c>
      <c r="S118" s="167">
        <f t="shared" si="344"/>
        <v>0</v>
      </c>
      <c r="T118" s="167">
        <f t="shared" si="345"/>
        <v>0</v>
      </c>
      <c r="U118" s="167">
        <f t="shared" si="346"/>
        <v>0</v>
      </c>
      <c r="V118" s="167">
        <f t="shared" si="347"/>
        <v>0</v>
      </c>
      <c r="W118" s="167">
        <f t="shared" si="348"/>
        <v>0</v>
      </c>
      <c r="X118" s="167">
        <f t="shared" si="349"/>
        <v>0</v>
      </c>
      <c r="Y118" s="167">
        <f t="shared" si="350"/>
        <v>0</v>
      </c>
      <c r="Z118" s="167">
        <f t="shared" si="351"/>
        <v>0</v>
      </c>
      <c r="AA118" s="167">
        <f t="shared" si="352"/>
        <v>0</v>
      </c>
      <c r="AB118" s="170">
        <f t="shared" si="353"/>
        <v>0</v>
      </c>
      <c r="AC118" s="167">
        <f t="shared" si="354"/>
        <v>0</v>
      </c>
      <c r="AD118" s="171">
        <f t="shared" si="355"/>
        <v>0</v>
      </c>
      <c r="AE118" s="169">
        <f t="shared" si="400"/>
        <v>0</v>
      </c>
      <c r="AF118" s="167">
        <f t="shared" si="357"/>
        <v>0</v>
      </c>
      <c r="AG118" s="167">
        <f t="shared" si="281"/>
        <v>0</v>
      </c>
      <c r="AH118" s="167">
        <f t="shared" si="358"/>
        <v>0</v>
      </c>
      <c r="AI118" s="167">
        <f t="shared" si="282"/>
        <v>0</v>
      </c>
      <c r="AJ118" s="167">
        <f t="shared" si="359"/>
        <v>0</v>
      </c>
      <c r="AK118" s="167">
        <f t="shared" si="283"/>
        <v>0</v>
      </c>
      <c r="AL118" s="167">
        <f t="shared" si="360"/>
        <v>0</v>
      </c>
      <c r="AM118" s="167">
        <f t="shared" si="284"/>
        <v>0</v>
      </c>
      <c r="AN118" s="167">
        <f t="shared" si="361"/>
        <v>0</v>
      </c>
      <c r="AO118" s="170">
        <f t="shared" si="285"/>
        <v>0</v>
      </c>
      <c r="AP118" s="167">
        <f t="shared" si="286"/>
        <v>0</v>
      </c>
      <c r="AQ118" s="171">
        <f t="shared" si="287"/>
        <v>0</v>
      </c>
      <c r="AR118" s="169">
        <f t="shared" si="400"/>
        <v>0</v>
      </c>
      <c r="AS118" s="167">
        <f t="shared" si="362"/>
        <v>0</v>
      </c>
      <c r="AT118" s="167">
        <f t="shared" si="288"/>
        <v>0</v>
      </c>
      <c r="AU118" s="167">
        <f t="shared" si="363"/>
        <v>0</v>
      </c>
      <c r="AV118" s="167">
        <f t="shared" si="289"/>
        <v>0</v>
      </c>
      <c r="AW118" s="167">
        <f t="shared" si="364"/>
        <v>0</v>
      </c>
      <c r="AX118" s="167">
        <f t="shared" si="290"/>
        <v>0</v>
      </c>
      <c r="AY118" s="167">
        <f t="shared" si="365"/>
        <v>0</v>
      </c>
      <c r="AZ118" s="167">
        <f t="shared" si="291"/>
        <v>0</v>
      </c>
      <c r="BA118" s="167">
        <f t="shared" si="366"/>
        <v>0</v>
      </c>
      <c r="BB118" s="170">
        <f t="shared" si="292"/>
        <v>0</v>
      </c>
      <c r="BC118" s="167">
        <f t="shared" si="293"/>
        <v>0</v>
      </c>
      <c r="BD118" s="171">
        <f t="shared" si="294"/>
        <v>0</v>
      </c>
      <c r="BE118" s="169">
        <f t="shared" si="400"/>
        <v>0</v>
      </c>
      <c r="BF118" s="167">
        <f t="shared" si="367"/>
        <v>0</v>
      </c>
      <c r="BG118" s="167">
        <f t="shared" si="295"/>
        <v>0</v>
      </c>
      <c r="BH118" s="167">
        <f t="shared" si="368"/>
        <v>0</v>
      </c>
      <c r="BI118" s="167">
        <f t="shared" si="296"/>
        <v>0</v>
      </c>
      <c r="BJ118" s="167">
        <f t="shared" si="369"/>
        <v>0</v>
      </c>
      <c r="BK118" s="167">
        <f t="shared" si="297"/>
        <v>0</v>
      </c>
      <c r="BL118" s="167">
        <f t="shared" si="370"/>
        <v>0</v>
      </c>
      <c r="BM118" s="167">
        <f t="shared" si="298"/>
        <v>0</v>
      </c>
      <c r="BN118" s="167">
        <f t="shared" si="371"/>
        <v>0</v>
      </c>
      <c r="BO118" s="170">
        <f t="shared" si="299"/>
        <v>0</v>
      </c>
      <c r="BP118" s="167">
        <f t="shared" si="300"/>
        <v>0</v>
      </c>
      <c r="BQ118" s="171">
        <f t="shared" si="301"/>
        <v>0</v>
      </c>
      <c r="BR118" s="169">
        <f t="shared" si="400"/>
        <v>0</v>
      </c>
      <c r="BS118" s="167">
        <f t="shared" si="372"/>
        <v>0</v>
      </c>
      <c r="BT118" s="167">
        <f t="shared" si="302"/>
        <v>0</v>
      </c>
      <c r="BU118" s="167">
        <f t="shared" si="373"/>
        <v>0</v>
      </c>
      <c r="BV118" s="167">
        <f t="shared" si="303"/>
        <v>0</v>
      </c>
      <c r="BW118" s="167">
        <f t="shared" si="374"/>
        <v>0</v>
      </c>
      <c r="BX118" s="167">
        <f t="shared" si="304"/>
        <v>0</v>
      </c>
      <c r="BY118" s="167">
        <f t="shared" si="375"/>
        <v>0</v>
      </c>
      <c r="BZ118" s="167">
        <f t="shared" si="305"/>
        <v>0</v>
      </c>
      <c r="CA118" s="167">
        <f t="shared" si="376"/>
        <v>0</v>
      </c>
      <c r="CB118" s="170">
        <f t="shared" si="306"/>
        <v>0</v>
      </c>
      <c r="CC118" s="167">
        <f t="shared" si="307"/>
        <v>0</v>
      </c>
      <c r="CD118" s="171">
        <f t="shared" si="308"/>
        <v>0</v>
      </c>
      <c r="CE118" s="169">
        <f t="shared" si="400"/>
        <v>0</v>
      </c>
      <c r="CF118" s="167">
        <f t="shared" si="377"/>
        <v>0</v>
      </c>
      <c r="CG118" s="167">
        <f t="shared" si="309"/>
        <v>0</v>
      </c>
      <c r="CH118" s="167">
        <f t="shared" si="378"/>
        <v>0</v>
      </c>
      <c r="CI118" s="167">
        <f t="shared" si="310"/>
        <v>0</v>
      </c>
      <c r="CJ118" s="167">
        <f t="shared" si="379"/>
        <v>0</v>
      </c>
      <c r="CK118" s="167">
        <f t="shared" si="311"/>
        <v>0</v>
      </c>
      <c r="CL118" s="167">
        <f t="shared" si="380"/>
        <v>0</v>
      </c>
      <c r="CM118" s="167">
        <f t="shared" si="312"/>
        <v>0</v>
      </c>
      <c r="CN118" s="167">
        <f t="shared" si="381"/>
        <v>0</v>
      </c>
      <c r="CO118" s="170">
        <f t="shared" si="313"/>
        <v>0</v>
      </c>
      <c r="CP118" s="167">
        <f t="shared" si="314"/>
        <v>0</v>
      </c>
      <c r="CQ118" s="171">
        <f t="shared" si="315"/>
        <v>0</v>
      </c>
      <c r="CR118" s="169">
        <f t="shared" si="401"/>
        <v>0</v>
      </c>
      <c r="CS118" s="167">
        <f t="shared" si="383"/>
        <v>0</v>
      </c>
      <c r="CT118" s="167">
        <f t="shared" si="317"/>
        <v>0</v>
      </c>
      <c r="CU118" s="167">
        <f t="shared" si="384"/>
        <v>0</v>
      </c>
      <c r="CV118" s="167">
        <f t="shared" si="318"/>
        <v>0</v>
      </c>
      <c r="CW118" s="167">
        <f t="shared" si="385"/>
        <v>0</v>
      </c>
      <c r="CX118" s="167">
        <f t="shared" si="319"/>
        <v>0</v>
      </c>
      <c r="CY118" s="167">
        <f t="shared" si="386"/>
        <v>0</v>
      </c>
      <c r="CZ118" s="167">
        <f t="shared" si="320"/>
        <v>0</v>
      </c>
      <c r="DA118" s="167">
        <f t="shared" si="387"/>
        <v>0</v>
      </c>
      <c r="DB118" s="170">
        <f t="shared" si="321"/>
        <v>0</v>
      </c>
      <c r="DC118" s="167">
        <f t="shared" si="322"/>
        <v>0</v>
      </c>
      <c r="DD118" s="171">
        <f t="shared" si="323"/>
        <v>0</v>
      </c>
      <c r="DE118" s="169">
        <f t="shared" si="401"/>
        <v>0</v>
      </c>
      <c r="DF118" s="167">
        <f t="shared" si="388"/>
        <v>0</v>
      </c>
      <c r="DG118" s="167">
        <f t="shared" si="324"/>
        <v>0</v>
      </c>
      <c r="DH118" s="167">
        <f t="shared" si="389"/>
        <v>0</v>
      </c>
      <c r="DI118" s="167">
        <f t="shared" si="325"/>
        <v>0</v>
      </c>
      <c r="DJ118" s="167">
        <f t="shared" si="390"/>
        <v>0</v>
      </c>
      <c r="DK118" s="167">
        <f t="shared" si="326"/>
        <v>0</v>
      </c>
      <c r="DL118" s="167">
        <f t="shared" si="391"/>
        <v>0</v>
      </c>
      <c r="DM118" s="167">
        <f t="shared" si="327"/>
        <v>0</v>
      </c>
      <c r="DN118" s="167">
        <f t="shared" si="392"/>
        <v>0</v>
      </c>
      <c r="DO118" s="170">
        <f t="shared" si="328"/>
        <v>0</v>
      </c>
      <c r="DP118" s="167">
        <f t="shared" si="329"/>
        <v>0</v>
      </c>
      <c r="DQ118" s="171">
        <f t="shared" si="330"/>
        <v>0</v>
      </c>
      <c r="DR118" s="169">
        <f t="shared" si="401"/>
        <v>0</v>
      </c>
      <c r="DS118" s="167">
        <f t="shared" si="393"/>
        <v>0</v>
      </c>
      <c r="DT118" s="167">
        <f t="shared" si="331"/>
        <v>0</v>
      </c>
      <c r="DU118" s="167">
        <f t="shared" si="394"/>
        <v>0</v>
      </c>
      <c r="DV118" s="167">
        <f t="shared" si="332"/>
        <v>0</v>
      </c>
      <c r="DW118" s="167">
        <f t="shared" si="395"/>
        <v>0</v>
      </c>
      <c r="DX118" s="167">
        <f t="shared" si="333"/>
        <v>0</v>
      </c>
      <c r="DY118" s="167">
        <f t="shared" si="396"/>
        <v>0</v>
      </c>
      <c r="DZ118" s="167">
        <f t="shared" si="334"/>
        <v>0</v>
      </c>
      <c r="EA118" s="167">
        <f t="shared" si="397"/>
        <v>0</v>
      </c>
      <c r="EB118" s="170">
        <f t="shared" si="335"/>
        <v>0</v>
      </c>
      <c r="EC118" s="167">
        <f t="shared" si="336"/>
        <v>0</v>
      </c>
      <c r="ED118" s="171">
        <f t="shared" si="337"/>
        <v>0</v>
      </c>
    </row>
    <row r="119" spans="1:134" x14ac:dyDescent="0.3">
      <c r="A119" s="185"/>
      <c r="B119" s="186"/>
      <c r="C119" s="187"/>
      <c r="D119" s="188"/>
      <c r="E119" s="189"/>
      <c r="F119" s="190"/>
      <c r="G119" s="191"/>
      <c r="H119" s="192"/>
      <c r="I119" s="193"/>
      <c r="J119" s="194"/>
      <c r="K119" s="165">
        <f t="shared" si="338"/>
        <v>0</v>
      </c>
      <c r="L119" s="166">
        <f t="shared" si="339"/>
        <v>0</v>
      </c>
      <c r="M119" s="167">
        <f t="shared" si="340"/>
        <v>0</v>
      </c>
      <c r="N119" s="167"/>
      <c r="O119" s="167">
        <f t="shared" si="341"/>
        <v>0</v>
      </c>
      <c r="P119" s="168"/>
      <c r="Q119" s="167">
        <f t="shared" si="342"/>
        <v>0</v>
      </c>
      <c r="R119" s="169">
        <f t="shared" si="343"/>
        <v>0</v>
      </c>
      <c r="S119" s="167">
        <f t="shared" si="344"/>
        <v>0</v>
      </c>
      <c r="T119" s="167">
        <f t="shared" si="345"/>
        <v>0</v>
      </c>
      <c r="U119" s="167">
        <f t="shared" si="346"/>
        <v>0</v>
      </c>
      <c r="V119" s="167">
        <f t="shared" si="347"/>
        <v>0</v>
      </c>
      <c r="W119" s="167">
        <f t="shared" si="348"/>
        <v>0</v>
      </c>
      <c r="X119" s="167">
        <f t="shared" si="349"/>
        <v>0</v>
      </c>
      <c r="Y119" s="167">
        <f t="shared" si="350"/>
        <v>0</v>
      </c>
      <c r="Z119" s="167">
        <f t="shared" si="351"/>
        <v>0</v>
      </c>
      <c r="AA119" s="167">
        <f t="shared" si="352"/>
        <v>0</v>
      </c>
      <c r="AB119" s="170">
        <f t="shared" si="353"/>
        <v>0</v>
      </c>
      <c r="AC119" s="167">
        <f t="shared" si="354"/>
        <v>0</v>
      </c>
      <c r="AD119" s="171">
        <f t="shared" si="355"/>
        <v>0</v>
      </c>
      <c r="AE119" s="169">
        <f t="shared" si="400"/>
        <v>0</v>
      </c>
      <c r="AF119" s="167">
        <f t="shared" si="357"/>
        <v>0</v>
      </c>
      <c r="AG119" s="167">
        <f t="shared" si="281"/>
        <v>0</v>
      </c>
      <c r="AH119" s="167">
        <f t="shared" si="358"/>
        <v>0</v>
      </c>
      <c r="AI119" s="167">
        <f t="shared" si="282"/>
        <v>0</v>
      </c>
      <c r="AJ119" s="167">
        <f t="shared" si="359"/>
        <v>0</v>
      </c>
      <c r="AK119" s="167">
        <f t="shared" si="283"/>
        <v>0</v>
      </c>
      <c r="AL119" s="167">
        <f t="shared" si="360"/>
        <v>0</v>
      </c>
      <c r="AM119" s="167">
        <f t="shared" si="284"/>
        <v>0</v>
      </c>
      <c r="AN119" s="167">
        <f t="shared" si="361"/>
        <v>0</v>
      </c>
      <c r="AO119" s="170">
        <f t="shared" si="285"/>
        <v>0</v>
      </c>
      <c r="AP119" s="167">
        <f t="shared" si="286"/>
        <v>0</v>
      </c>
      <c r="AQ119" s="171">
        <f t="shared" si="287"/>
        <v>0</v>
      </c>
      <c r="AR119" s="169">
        <f t="shared" si="400"/>
        <v>0</v>
      </c>
      <c r="AS119" s="167">
        <f t="shared" si="362"/>
        <v>0</v>
      </c>
      <c r="AT119" s="167">
        <f t="shared" si="288"/>
        <v>0</v>
      </c>
      <c r="AU119" s="167">
        <f t="shared" si="363"/>
        <v>0</v>
      </c>
      <c r="AV119" s="167">
        <f t="shared" si="289"/>
        <v>0</v>
      </c>
      <c r="AW119" s="167">
        <f t="shared" si="364"/>
        <v>0</v>
      </c>
      <c r="AX119" s="167">
        <f t="shared" si="290"/>
        <v>0</v>
      </c>
      <c r="AY119" s="167">
        <f t="shared" si="365"/>
        <v>0</v>
      </c>
      <c r="AZ119" s="167">
        <f t="shared" si="291"/>
        <v>0</v>
      </c>
      <c r="BA119" s="167">
        <f t="shared" si="366"/>
        <v>0</v>
      </c>
      <c r="BB119" s="170">
        <f t="shared" si="292"/>
        <v>0</v>
      </c>
      <c r="BC119" s="167">
        <f t="shared" si="293"/>
        <v>0</v>
      </c>
      <c r="BD119" s="171">
        <f t="shared" si="294"/>
        <v>0</v>
      </c>
      <c r="BE119" s="169">
        <f t="shared" si="400"/>
        <v>0</v>
      </c>
      <c r="BF119" s="167">
        <f t="shared" si="367"/>
        <v>0</v>
      </c>
      <c r="BG119" s="167">
        <f t="shared" si="295"/>
        <v>0</v>
      </c>
      <c r="BH119" s="167">
        <f t="shared" si="368"/>
        <v>0</v>
      </c>
      <c r="BI119" s="167">
        <f t="shared" si="296"/>
        <v>0</v>
      </c>
      <c r="BJ119" s="167">
        <f t="shared" si="369"/>
        <v>0</v>
      </c>
      <c r="BK119" s="167">
        <f t="shared" si="297"/>
        <v>0</v>
      </c>
      <c r="BL119" s="167">
        <f t="shared" si="370"/>
        <v>0</v>
      </c>
      <c r="BM119" s="167">
        <f t="shared" si="298"/>
        <v>0</v>
      </c>
      <c r="BN119" s="167">
        <f t="shared" si="371"/>
        <v>0</v>
      </c>
      <c r="BO119" s="170">
        <f t="shared" si="299"/>
        <v>0</v>
      </c>
      <c r="BP119" s="167">
        <f t="shared" si="300"/>
        <v>0</v>
      </c>
      <c r="BQ119" s="171">
        <f t="shared" si="301"/>
        <v>0</v>
      </c>
      <c r="BR119" s="169">
        <f t="shared" si="400"/>
        <v>0</v>
      </c>
      <c r="BS119" s="167">
        <f t="shared" si="372"/>
        <v>0</v>
      </c>
      <c r="BT119" s="167">
        <f t="shared" si="302"/>
        <v>0</v>
      </c>
      <c r="BU119" s="167">
        <f t="shared" si="373"/>
        <v>0</v>
      </c>
      <c r="BV119" s="167">
        <f t="shared" si="303"/>
        <v>0</v>
      </c>
      <c r="BW119" s="167">
        <f t="shared" si="374"/>
        <v>0</v>
      </c>
      <c r="BX119" s="167">
        <f t="shared" si="304"/>
        <v>0</v>
      </c>
      <c r="BY119" s="167">
        <f t="shared" si="375"/>
        <v>0</v>
      </c>
      <c r="BZ119" s="167">
        <f t="shared" si="305"/>
        <v>0</v>
      </c>
      <c r="CA119" s="167">
        <f t="shared" si="376"/>
        <v>0</v>
      </c>
      <c r="CB119" s="170">
        <f t="shared" si="306"/>
        <v>0</v>
      </c>
      <c r="CC119" s="167">
        <f t="shared" si="307"/>
        <v>0</v>
      </c>
      <c r="CD119" s="171">
        <f t="shared" si="308"/>
        <v>0</v>
      </c>
      <c r="CE119" s="169">
        <f t="shared" si="400"/>
        <v>0</v>
      </c>
      <c r="CF119" s="167">
        <f t="shared" si="377"/>
        <v>0</v>
      </c>
      <c r="CG119" s="167">
        <f t="shared" si="309"/>
        <v>0</v>
      </c>
      <c r="CH119" s="167">
        <f t="shared" si="378"/>
        <v>0</v>
      </c>
      <c r="CI119" s="167">
        <f t="shared" si="310"/>
        <v>0</v>
      </c>
      <c r="CJ119" s="167">
        <f t="shared" si="379"/>
        <v>0</v>
      </c>
      <c r="CK119" s="167">
        <f t="shared" si="311"/>
        <v>0</v>
      </c>
      <c r="CL119" s="167">
        <f t="shared" si="380"/>
        <v>0</v>
      </c>
      <c r="CM119" s="167">
        <f t="shared" si="312"/>
        <v>0</v>
      </c>
      <c r="CN119" s="167">
        <f t="shared" si="381"/>
        <v>0</v>
      </c>
      <c r="CO119" s="170">
        <f t="shared" si="313"/>
        <v>0</v>
      </c>
      <c r="CP119" s="167">
        <f t="shared" si="314"/>
        <v>0</v>
      </c>
      <c r="CQ119" s="171">
        <f t="shared" si="315"/>
        <v>0</v>
      </c>
      <c r="CR119" s="169">
        <f t="shared" si="401"/>
        <v>0</v>
      </c>
      <c r="CS119" s="167">
        <f t="shared" si="383"/>
        <v>0</v>
      </c>
      <c r="CT119" s="167">
        <f t="shared" si="317"/>
        <v>0</v>
      </c>
      <c r="CU119" s="167">
        <f t="shared" si="384"/>
        <v>0</v>
      </c>
      <c r="CV119" s="167">
        <f t="shared" si="318"/>
        <v>0</v>
      </c>
      <c r="CW119" s="167">
        <f t="shared" si="385"/>
        <v>0</v>
      </c>
      <c r="CX119" s="167">
        <f t="shared" si="319"/>
        <v>0</v>
      </c>
      <c r="CY119" s="167">
        <f t="shared" si="386"/>
        <v>0</v>
      </c>
      <c r="CZ119" s="167">
        <f t="shared" si="320"/>
        <v>0</v>
      </c>
      <c r="DA119" s="167">
        <f t="shared" si="387"/>
        <v>0</v>
      </c>
      <c r="DB119" s="170">
        <f t="shared" si="321"/>
        <v>0</v>
      </c>
      <c r="DC119" s="167">
        <f t="shared" si="322"/>
        <v>0</v>
      </c>
      <c r="DD119" s="171">
        <f t="shared" si="323"/>
        <v>0</v>
      </c>
      <c r="DE119" s="169">
        <f t="shared" si="401"/>
        <v>0</v>
      </c>
      <c r="DF119" s="167">
        <f t="shared" si="388"/>
        <v>0</v>
      </c>
      <c r="DG119" s="167">
        <f t="shared" si="324"/>
        <v>0</v>
      </c>
      <c r="DH119" s="167">
        <f t="shared" si="389"/>
        <v>0</v>
      </c>
      <c r="DI119" s="167">
        <f t="shared" si="325"/>
        <v>0</v>
      </c>
      <c r="DJ119" s="167">
        <f t="shared" si="390"/>
        <v>0</v>
      </c>
      <c r="DK119" s="167">
        <f t="shared" si="326"/>
        <v>0</v>
      </c>
      <c r="DL119" s="167">
        <f t="shared" si="391"/>
        <v>0</v>
      </c>
      <c r="DM119" s="167">
        <f t="shared" si="327"/>
        <v>0</v>
      </c>
      <c r="DN119" s="167">
        <f t="shared" si="392"/>
        <v>0</v>
      </c>
      <c r="DO119" s="170">
        <f t="shared" si="328"/>
        <v>0</v>
      </c>
      <c r="DP119" s="167">
        <f t="shared" si="329"/>
        <v>0</v>
      </c>
      <c r="DQ119" s="171">
        <f t="shared" si="330"/>
        <v>0</v>
      </c>
      <c r="DR119" s="169">
        <f t="shared" si="401"/>
        <v>0</v>
      </c>
      <c r="DS119" s="167">
        <f t="shared" si="393"/>
        <v>0</v>
      </c>
      <c r="DT119" s="167">
        <f t="shared" si="331"/>
        <v>0</v>
      </c>
      <c r="DU119" s="167">
        <f t="shared" si="394"/>
        <v>0</v>
      </c>
      <c r="DV119" s="167">
        <f t="shared" si="332"/>
        <v>0</v>
      </c>
      <c r="DW119" s="167">
        <f t="shared" si="395"/>
        <v>0</v>
      </c>
      <c r="DX119" s="167">
        <f t="shared" si="333"/>
        <v>0</v>
      </c>
      <c r="DY119" s="167">
        <f t="shared" si="396"/>
        <v>0</v>
      </c>
      <c r="DZ119" s="167">
        <f t="shared" si="334"/>
        <v>0</v>
      </c>
      <c r="EA119" s="167">
        <f t="shared" si="397"/>
        <v>0</v>
      </c>
      <c r="EB119" s="170">
        <f t="shared" si="335"/>
        <v>0</v>
      </c>
      <c r="EC119" s="167">
        <f t="shared" si="336"/>
        <v>0</v>
      </c>
      <c r="ED119" s="171">
        <f t="shared" si="337"/>
        <v>0</v>
      </c>
    </row>
    <row r="120" spans="1:134" x14ac:dyDescent="0.3">
      <c r="A120" s="185"/>
      <c r="B120" s="186"/>
      <c r="C120" s="187"/>
      <c r="D120" s="188"/>
      <c r="E120" s="189"/>
      <c r="F120" s="190"/>
      <c r="G120" s="191"/>
      <c r="H120" s="192"/>
      <c r="I120" s="193"/>
      <c r="J120" s="194"/>
      <c r="K120" s="165">
        <f t="shared" si="338"/>
        <v>0</v>
      </c>
      <c r="L120" s="166">
        <f t="shared" si="339"/>
        <v>0</v>
      </c>
      <c r="M120" s="167">
        <f t="shared" si="340"/>
        <v>0</v>
      </c>
      <c r="N120" s="167"/>
      <c r="O120" s="167">
        <f t="shared" si="341"/>
        <v>0</v>
      </c>
      <c r="P120" s="168"/>
      <c r="Q120" s="167">
        <f t="shared" si="342"/>
        <v>0</v>
      </c>
      <c r="R120" s="169">
        <f t="shared" si="343"/>
        <v>0</v>
      </c>
      <c r="S120" s="167">
        <f t="shared" si="344"/>
        <v>0</v>
      </c>
      <c r="T120" s="167">
        <f t="shared" si="345"/>
        <v>0</v>
      </c>
      <c r="U120" s="167">
        <f t="shared" si="346"/>
        <v>0</v>
      </c>
      <c r="V120" s="167">
        <f t="shared" si="347"/>
        <v>0</v>
      </c>
      <c r="W120" s="167">
        <f t="shared" si="348"/>
        <v>0</v>
      </c>
      <c r="X120" s="167">
        <f t="shared" si="349"/>
        <v>0</v>
      </c>
      <c r="Y120" s="167">
        <f t="shared" si="350"/>
        <v>0</v>
      </c>
      <c r="Z120" s="167">
        <f t="shared" si="351"/>
        <v>0</v>
      </c>
      <c r="AA120" s="167">
        <f t="shared" si="352"/>
        <v>0</v>
      </c>
      <c r="AB120" s="170">
        <f t="shared" si="353"/>
        <v>0</v>
      </c>
      <c r="AC120" s="167">
        <f t="shared" si="354"/>
        <v>0</v>
      </c>
      <c r="AD120" s="171">
        <f t="shared" si="355"/>
        <v>0</v>
      </c>
      <c r="AE120" s="169">
        <f t="shared" si="400"/>
        <v>0</v>
      </c>
      <c r="AF120" s="167">
        <f t="shared" si="357"/>
        <v>0</v>
      </c>
      <c r="AG120" s="167">
        <f t="shared" si="281"/>
        <v>0</v>
      </c>
      <c r="AH120" s="167">
        <f t="shared" si="358"/>
        <v>0</v>
      </c>
      <c r="AI120" s="167">
        <f t="shared" si="282"/>
        <v>0</v>
      </c>
      <c r="AJ120" s="167">
        <f t="shared" si="359"/>
        <v>0</v>
      </c>
      <c r="AK120" s="167">
        <f t="shared" si="283"/>
        <v>0</v>
      </c>
      <c r="AL120" s="167">
        <f t="shared" si="360"/>
        <v>0</v>
      </c>
      <c r="AM120" s="167">
        <f t="shared" si="284"/>
        <v>0</v>
      </c>
      <c r="AN120" s="167">
        <f t="shared" si="361"/>
        <v>0</v>
      </c>
      <c r="AO120" s="170">
        <f t="shared" si="285"/>
        <v>0</v>
      </c>
      <c r="AP120" s="167">
        <f t="shared" si="286"/>
        <v>0</v>
      </c>
      <c r="AQ120" s="171">
        <f t="shared" si="287"/>
        <v>0</v>
      </c>
      <c r="AR120" s="169">
        <f t="shared" si="400"/>
        <v>0</v>
      </c>
      <c r="AS120" s="167">
        <f t="shared" si="362"/>
        <v>0</v>
      </c>
      <c r="AT120" s="167">
        <f t="shared" si="288"/>
        <v>0</v>
      </c>
      <c r="AU120" s="167">
        <f t="shared" si="363"/>
        <v>0</v>
      </c>
      <c r="AV120" s="167">
        <f t="shared" si="289"/>
        <v>0</v>
      </c>
      <c r="AW120" s="167">
        <f t="shared" si="364"/>
        <v>0</v>
      </c>
      <c r="AX120" s="167">
        <f t="shared" si="290"/>
        <v>0</v>
      </c>
      <c r="AY120" s="167">
        <f t="shared" si="365"/>
        <v>0</v>
      </c>
      <c r="AZ120" s="167">
        <f t="shared" si="291"/>
        <v>0</v>
      </c>
      <c r="BA120" s="167">
        <f t="shared" si="366"/>
        <v>0</v>
      </c>
      <c r="BB120" s="170">
        <f t="shared" si="292"/>
        <v>0</v>
      </c>
      <c r="BC120" s="167">
        <f t="shared" si="293"/>
        <v>0</v>
      </c>
      <c r="BD120" s="171">
        <f t="shared" si="294"/>
        <v>0</v>
      </c>
      <c r="BE120" s="169">
        <f t="shared" si="400"/>
        <v>0</v>
      </c>
      <c r="BF120" s="167">
        <f t="shared" si="367"/>
        <v>0</v>
      </c>
      <c r="BG120" s="167">
        <f t="shared" si="295"/>
        <v>0</v>
      </c>
      <c r="BH120" s="167">
        <f t="shared" si="368"/>
        <v>0</v>
      </c>
      <c r="BI120" s="167">
        <f t="shared" si="296"/>
        <v>0</v>
      </c>
      <c r="BJ120" s="167">
        <f t="shared" si="369"/>
        <v>0</v>
      </c>
      <c r="BK120" s="167">
        <f t="shared" si="297"/>
        <v>0</v>
      </c>
      <c r="BL120" s="167">
        <f t="shared" si="370"/>
        <v>0</v>
      </c>
      <c r="BM120" s="167">
        <f t="shared" si="298"/>
        <v>0</v>
      </c>
      <c r="BN120" s="167">
        <f t="shared" si="371"/>
        <v>0</v>
      </c>
      <c r="BO120" s="170">
        <f t="shared" si="299"/>
        <v>0</v>
      </c>
      <c r="BP120" s="167">
        <f t="shared" si="300"/>
        <v>0</v>
      </c>
      <c r="BQ120" s="171">
        <f t="shared" si="301"/>
        <v>0</v>
      </c>
      <c r="BR120" s="169">
        <f t="shared" si="400"/>
        <v>0</v>
      </c>
      <c r="BS120" s="167">
        <f t="shared" si="372"/>
        <v>0</v>
      </c>
      <c r="BT120" s="167">
        <f t="shared" si="302"/>
        <v>0</v>
      </c>
      <c r="BU120" s="167">
        <f t="shared" si="373"/>
        <v>0</v>
      </c>
      <c r="BV120" s="167">
        <f t="shared" si="303"/>
        <v>0</v>
      </c>
      <c r="BW120" s="167">
        <f t="shared" si="374"/>
        <v>0</v>
      </c>
      <c r="BX120" s="167">
        <f t="shared" si="304"/>
        <v>0</v>
      </c>
      <c r="BY120" s="167">
        <f t="shared" si="375"/>
        <v>0</v>
      </c>
      <c r="BZ120" s="167">
        <f t="shared" si="305"/>
        <v>0</v>
      </c>
      <c r="CA120" s="167">
        <f t="shared" si="376"/>
        <v>0</v>
      </c>
      <c r="CB120" s="170">
        <f t="shared" si="306"/>
        <v>0</v>
      </c>
      <c r="CC120" s="167">
        <f t="shared" si="307"/>
        <v>0</v>
      </c>
      <c r="CD120" s="171">
        <f t="shared" si="308"/>
        <v>0</v>
      </c>
      <c r="CE120" s="169">
        <f t="shared" si="400"/>
        <v>0</v>
      </c>
      <c r="CF120" s="167">
        <f t="shared" si="377"/>
        <v>0</v>
      </c>
      <c r="CG120" s="167">
        <f t="shared" si="309"/>
        <v>0</v>
      </c>
      <c r="CH120" s="167">
        <f t="shared" si="378"/>
        <v>0</v>
      </c>
      <c r="CI120" s="167">
        <f t="shared" si="310"/>
        <v>0</v>
      </c>
      <c r="CJ120" s="167">
        <f t="shared" si="379"/>
        <v>0</v>
      </c>
      <c r="CK120" s="167">
        <f t="shared" si="311"/>
        <v>0</v>
      </c>
      <c r="CL120" s="167">
        <f t="shared" si="380"/>
        <v>0</v>
      </c>
      <c r="CM120" s="167">
        <f t="shared" si="312"/>
        <v>0</v>
      </c>
      <c r="CN120" s="167">
        <f t="shared" si="381"/>
        <v>0</v>
      </c>
      <c r="CO120" s="170">
        <f t="shared" si="313"/>
        <v>0</v>
      </c>
      <c r="CP120" s="167">
        <f t="shared" si="314"/>
        <v>0</v>
      </c>
      <c r="CQ120" s="171">
        <f t="shared" si="315"/>
        <v>0</v>
      </c>
      <c r="CR120" s="169">
        <f t="shared" si="401"/>
        <v>0</v>
      </c>
      <c r="CS120" s="167">
        <f t="shared" si="383"/>
        <v>0</v>
      </c>
      <c r="CT120" s="167">
        <f t="shared" si="317"/>
        <v>0</v>
      </c>
      <c r="CU120" s="167">
        <f t="shared" si="384"/>
        <v>0</v>
      </c>
      <c r="CV120" s="167">
        <f t="shared" si="318"/>
        <v>0</v>
      </c>
      <c r="CW120" s="167">
        <f t="shared" si="385"/>
        <v>0</v>
      </c>
      <c r="CX120" s="167">
        <f t="shared" si="319"/>
        <v>0</v>
      </c>
      <c r="CY120" s="167">
        <f t="shared" si="386"/>
        <v>0</v>
      </c>
      <c r="CZ120" s="167">
        <f t="shared" si="320"/>
        <v>0</v>
      </c>
      <c r="DA120" s="167">
        <f t="shared" si="387"/>
        <v>0</v>
      </c>
      <c r="DB120" s="170">
        <f t="shared" si="321"/>
        <v>0</v>
      </c>
      <c r="DC120" s="167">
        <f t="shared" si="322"/>
        <v>0</v>
      </c>
      <c r="DD120" s="171">
        <f t="shared" si="323"/>
        <v>0</v>
      </c>
      <c r="DE120" s="169">
        <f t="shared" si="401"/>
        <v>0</v>
      </c>
      <c r="DF120" s="167">
        <f t="shared" si="388"/>
        <v>0</v>
      </c>
      <c r="DG120" s="167">
        <f t="shared" si="324"/>
        <v>0</v>
      </c>
      <c r="DH120" s="167">
        <f t="shared" si="389"/>
        <v>0</v>
      </c>
      <c r="DI120" s="167">
        <f t="shared" si="325"/>
        <v>0</v>
      </c>
      <c r="DJ120" s="167">
        <f t="shared" si="390"/>
        <v>0</v>
      </c>
      <c r="DK120" s="167">
        <f t="shared" si="326"/>
        <v>0</v>
      </c>
      <c r="DL120" s="167">
        <f t="shared" si="391"/>
        <v>0</v>
      </c>
      <c r="DM120" s="167">
        <f t="shared" si="327"/>
        <v>0</v>
      </c>
      <c r="DN120" s="167">
        <f t="shared" si="392"/>
        <v>0</v>
      </c>
      <c r="DO120" s="170">
        <f t="shared" si="328"/>
        <v>0</v>
      </c>
      <c r="DP120" s="167">
        <f t="shared" si="329"/>
        <v>0</v>
      </c>
      <c r="DQ120" s="171">
        <f t="shared" si="330"/>
        <v>0</v>
      </c>
      <c r="DR120" s="169">
        <f t="shared" si="401"/>
        <v>0</v>
      </c>
      <c r="DS120" s="167">
        <f t="shared" si="393"/>
        <v>0</v>
      </c>
      <c r="DT120" s="167">
        <f t="shared" si="331"/>
        <v>0</v>
      </c>
      <c r="DU120" s="167">
        <f t="shared" si="394"/>
        <v>0</v>
      </c>
      <c r="DV120" s="167">
        <f t="shared" si="332"/>
        <v>0</v>
      </c>
      <c r="DW120" s="167">
        <f t="shared" si="395"/>
        <v>0</v>
      </c>
      <c r="DX120" s="167">
        <f t="shared" si="333"/>
        <v>0</v>
      </c>
      <c r="DY120" s="167">
        <f t="shared" si="396"/>
        <v>0</v>
      </c>
      <c r="DZ120" s="167">
        <f t="shared" si="334"/>
        <v>0</v>
      </c>
      <c r="EA120" s="167">
        <f t="shared" si="397"/>
        <v>0</v>
      </c>
      <c r="EB120" s="170">
        <f t="shared" si="335"/>
        <v>0</v>
      </c>
      <c r="EC120" s="167">
        <f t="shared" si="336"/>
        <v>0</v>
      </c>
      <c r="ED120" s="171">
        <f t="shared" si="337"/>
        <v>0</v>
      </c>
    </row>
    <row r="121" spans="1:134" x14ac:dyDescent="0.3">
      <c r="A121" s="185"/>
      <c r="B121" s="186"/>
      <c r="C121" s="187"/>
      <c r="D121" s="188"/>
      <c r="E121" s="189"/>
      <c r="F121" s="190"/>
      <c r="G121" s="191"/>
      <c r="H121" s="192"/>
      <c r="I121" s="193"/>
      <c r="J121" s="194"/>
      <c r="K121" s="165">
        <f t="shared" si="338"/>
        <v>0</v>
      </c>
      <c r="L121" s="166">
        <f t="shared" si="339"/>
        <v>0</v>
      </c>
      <c r="M121" s="167">
        <f t="shared" si="340"/>
        <v>0</v>
      </c>
      <c r="N121" s="167"/>
      <c r="O121" s="167">
        <f t="shared" si="341"/>
        <v>0</v>
      </c>
      <c r="P121" s="168"/>
      <c r="Q121" s="167">
        <f t="shared" si="342"/>
        <v>0</v>
      </c>
      <c r="R121" s="169">
        <f t="shared" si="343"/>
        <v>0</v>
      </c>
      <c r="S121" s="167">
        <f t="shared" si="344"/>
        <v>0</v>
      </c>
      <c r="T121" s="167">
        <f t="shared" si="345"/>
        <v>0</v>
      </c>
      <c r="U121" s="167">
        <f t="shared" si="346"/>
        <v>0</v>
      </c>
      <c r="V121" s="167">
        <f t="shared" si="347"/>
        <v>0</v>
      </c>
      <c r="W121" s="167">
        <f t="shared" si="348"/>
        <v>0</v>
      </c>
      <c r="X121" s="167">
        <f t="shared" si="349"/>
        <v>0</v>
      </c>
      <c r="Y121" s="167">
        <f t="shared" si="350"/>
        <v>0</v>
      </c>
      <c r="Z121" s="167">
        <f t="shared" si="351"/>
        <v>0</v>
      </c>
      <c r="AA121" s="167">
        <f t="shared" si="352"/>
        <v>0</v>
      </c>
      <c r="AB121" s="170">
        <f t="shared" si="353"/>
        <v>0</v>
      </c>
      <c r="AC121" s="167">
        <f t="shared" si="354"/>
        <v>0</v>
      </c>
      <c r="AD121" s="171">
        <f t="shared" si="355"/>
        <v>0</v>
      </c>
      <c r="AE121" s="169">
        <f t="shared" si="400"/>
        <v>0</v>
      </c>
      <c r="AF121" s="167">
        <f t="shared" si="357"/>
        <v>0</v>
      </c>
      <c r="AG121" s="167">
        <f t="shared" si="281"/>
        <v>0</v>
      </c>
      <c r="AH121" s="167">
        <f t="shared" si="358"/>
        <v>0</v>
      </c>
      <c r="AI121" s="167">
        <f t="shared" si="282"/>
        <v>0</v>
      </c>
      <c r="AJ121" s="167">
        <f t="shared" si="359"/>
        <v>0</v>
      </c>
      <c r="AK121" s="167">
        <f t="shared" si="283"/>
        <v>0</v>
      </c>
      <c r="AL121" s="167">
        <f t="shared" si="360"/>
        <v>0</v>
      </c>
      <c r="AM121" s="167">
        <f t="shared" si="284"/>
        <v>0</v>
      </c>
      <c r="AN121" s="167">
        <f t="shared" si="361"/>
        <v>0</v>
      </c>
      <c r="AO121" s="170">
        <f t="shared" si="285"/>
        <v>0</v>
      </c>
      <c r="AP121" s="167">
        <f t="shared" si="286"/>
        <v>0</v>
      </c>
      <c r="AQ121" s="171">
        <f t="shared" si="287"/>
        <v>0</v>
      </c>
      <c r="AR121" s="169">
        <f t="shared" si="400"/>
        <v>0</v>
      </c>
      <c r="AS121" s="167">
        <f t="shared" si="362"/>
        <v>0</v>
      </c>
      <c r="AT121" s="167">
        <f t="shared" si="288"/>
        <v>0</v>
      </c>
      <c r="AU121" s="167">
        <f t="shared" si="363"/>
        <v>0</v>
      </c>
      <c r="AV121" s="167">
        <f t="shared" si="289"/>
        <v>0</v>
      </c>
      <c r="AW121" s="167">
        <f t="shared" si="364"/>
        <v>0</v>
      </c>
      <c r="AX121" s="167">
        <f t="shared" si="290"/>
        <v>0</v>
      </c>
      <c r="AY121" s="167">
        <f t="shared" si="365"/>
        <v>0</v>
      </c>
      <c r="AZ121" s="167">
        <f t="shared" si="291"/>
        <v>0</v>
      </c>
      <c r="BA121" s="167">
        <f t="shared" si="366"/>
        <v>0</v>
      </c>
      <c r="BB121" s="170">
        <f t="shared" si="292"/>
        <v>0</v>
      </c>
      <c r="BC121" s="167">
        <f t="shared" si="293"/>
        <v>0</v>
      </c>
      <c r="BD121" s="171">
        <f t="shared" si="294"/>
        <v>0</v>
      </c>
      <c r="BE121" s="169">
        <f t="shared" si="400"/>
        <v>0</v>
      </c>
      <c r="BF121" s="167">
        <f t="shared" si="367"/>
        <v>0</v>
      </c>
      <c r="BG121" s="167">
        <f t="shared" si="295"/>
        <v>0</v>
      </c>
      <c r="BH121" s="167">
        <f t="shared" si="368"/>
        <v>0</v>
      </c>
      <c r="BI121" s="167">
        <f t="shared" si="296"/>
        <v>0</v>
      </c>
      <c r="BJ121" s="167">
        <f t="shared" si="369"/>
        <v>0</v>
      </c>
      <c r="BK121" s="167">
        <f t="shared" si="297"/>
        <v>0</v>
      </c>
      <c r="BL121" s="167">
        <f t="shared" si="370"/>
        <v>0</v>
      </c>
      <c r="BM121" s="167">
        <f t="shared" si="298"/>
        <v>0</v>
      </c>
      <c r="BN121" s="167">
        <f t="shared" si="371"/>
        <v>0</v>
      </c>
      <c r="BO121" s="170">
        <f t="shared" si="299"/>
        <v>0</v>
      </c>
      <c r="BP121" s="167">
        <f t="shared" si="300"/>
        <v>0</v>
      </c>
      <c r="BQ121" s="171">
        <f t="shared" si="301"/>
        <v>0</v>
      </c>
      <c r="BR121" s="169">
        <f t="shared" si="400"/>
        <v>0</v>
      </c>
      <c r="BS121" s="167">
        <f t="shared" si="372"/>
        <v>0</v>
      </c>
      <c r="BT121" s="167">
        <f t="shared" si="302"/>
        <v>0</v>
      </c>
      <c r="BU121" s="167">
        <f t="shared" si="373"/>
        <v>0</v>
      </c>
      <c r="BV121" s="167">
        <f t="shared" si="303"/>
        <v>0</v>
      </c>
      <c r="BW121" s="167">
        <f t="shared" si="374"/>
        <v>0</v>
      </c>
      <c r="BX121" s="167">
        <f t="shared" si="304"/>
        <v>0</v>
      </c>
      <c r="BY121" s="167">
        <f t="shared" si="375"/>
        <v>0</v>
      </c>
      <c r="BZ121" s="167">
        <f t="shared" si="305"/>
        <v>0</v>
      </c>
      <c r="CA121" s="167">
        <f t="shared" si="376"/>
        <v>0</v>
      </c>
      <c r="CB121" s="170">
        <f t="shared" si="306"/>
        <v>0</v>
      </c>
      <c r="CC121" s="167">
        <f t="shared" si="307"/>
        <v>0</v>
      </c>
      <c r="CD121" s="171">
        <f t="shared" si="308"/>
        <v>0</v>
      </c>
      <c r="CE121" s="169">
        <f t="shared" si="400"/>
        <v>0</v>
      </c>
      <c r="CF121" s="167">
        <f t="shared" si="377"/>
        <v>0</v>
      </c>
      <c r="CG121" s="167">
        <f t="shared" si="309"/>
        <v>0</v>
      </c>
      <c r="CH121" s="167">
        <f t="shared" si="378"/>
        <v>0</v>
      </c>
      <c r="CI121" s="167">
        <f t="shared" si="310"/>
        <v>0</v>
      </c>
      <c r="CJ121" s="167">
        <f t="shared" si="379"/>
        <v>0</v>
      </c>
      <c r="CK121" s="167">
        <f t="shared" si="311"/>
        <v>0</v>
      </c>
      <c r="CL121" s="167">
        <f t="shared" si="380"/>
        <v>0</v>
      </c>
      <c r="CM121" s="167">
        <f t="shared" si="312"/>
        <v>0</v>
      </c>
      <c r="CN121" s="167">
        <f t="shared" si="381"/>
        <v>0</v>
      </c>
      <c r="CO121" s="170">
        <f t="shared" si="313"/>
        <v>0</v>
      </c>
      <c r="CP121" s="167">
        <f t="shared" si="314"/>
        <v>0</v>
      </c>
      <c r="CQ121" s="171">
        <f t="shared" si="315"/>
        <v>0</v>
      </c>
      <c r="CR121" s="169">
        <f t="shared" si="401"/>
        <v>0</v>
      </c>
      <c r="CS121" s="167">
        <f t="shared" si="383"/>
        <v>0</v>
      </c>
      <c r="CT121" s="167">
        <f t="shared" si="317"/>
        <v>0</v>
      </c>
      <c r="CU121" s="167">
        <f t="shared" si="384"/>
        <v>0</v>
      </c>
      <c r="CV121" s="167">
        <f t="shared" si="318"/>
        <v>0</v>
      </c>
      <c r="CW121" s="167">
        <f t="shared" si="385"/>
        <v>0</v>
      </c>
      <c r="CX121" s="167">
        <f t="shared" si="319"/>
        <v>0</v>
      </c>
      <c r="CY121" s="167">
        <f t="shared" si="386"/>
        <v>0</v>
      </c>
      <c r="CZ121" s="167">
        <f t="shared" si="320"/>
        <v>0</v>
      </c>
      <c r="DA121" s="167">
        <f t="shared" si="387"/>
        <v>0</v>
      </c>
      <c r="DB121" s="170">
        <f t="shared" si="321"/>
        <v>0</v>
      </c>
      <c r="DC121" s="167">
        <f t="shared" si="322"/>
        <v>0</v>
      </c>
      <c r="DD121" s="171">
        <f t="shared" si="323"/>
        <v>0</v>
      </c>
      <c r="DE121" s="169">
        <f t="shared" si="401"/>
        <v>0</v>
      </c>
      <c r="DF121" s="167">
        <f t="shared" si="388"/>
        <v>0</v>
      </c>
      <c r="DG121" s="167">
        <f t="shared" si="324"/>
        <v>0</v>
      </c>
      <c r="DH121" s="167">
        <f t="shared" si="389"/>
        <v>0</v>
      </c>
      <c r="DI121" s="167">
        <f t="shared" si="325"/>
        <v>0</v>
      </c>
      <c r="DJ121" s="167">
        <f t="shared" si="390"/>
        <v>0</v>
      </c>
      <c r="DK121" s="167">
        <f t="shared" si="326"/>
        <v>0</v>
      </c>
      <c r="DL121" s="167">
        <f t="shared" si="391"/>
        <v>0</v>
      </c>
      <c r="DM121" s="167">
        <f t="shared" si="327"/>
        <v>0</v>
      </c>
      <c r="DN121" s="167">
        <f t="shared" si="392"/>
        <v>0</v>
      </c>
      <c r="DO121" s="170">
        <f t="shared" si="328"/>
        <v>0</v>
      </c>
      <c r="DP121" s="167">
        <f t="shared" si="329"/>
        <v>0</v>
      </c>
      <c r="DQ121" s="171">
        <f t="shared" si="330"/>
        <v>0</v>
      </c>
      <c r="DR121" s="169">
        <f t="shared" si="401"/>
        <v>0</v>
      </c>
      <c r="DS121" s="167">
        <f t="shared" si="393"/>
        <v>0</v>
      </c>
      <c r="DT121" s="167">
        <f t="shared" si="331"/>
        <v>0</v>
      </c>
      <c r="DU121" s="167">
        <f t="shared" si="394"/>
        <v>0</v>
      </c>
      <c r="DV121" s="167">
        <f t="shared" si="332"/>
        <v>0</v>
      </c>
      <c r="DW121" s="167">
        <f t="shared" si="395"/>
        <v>0</v>
      </c>
      <c r="DX121" s="167">
        <f t="shared" si="333"/>
        <v>0</v>
      </c>
      <c r="DY121" s="167">
        <f t="shared" si="396"/>
        <v>0</v>
      </c>
      <c r="DZ121" s="167">
        <f t="shared" si="334"/>
        <v>0</v>
      </c>
      <c r="EA121" s="167">
        <f t="shared" si="397"/>
        <v>0</v>
      </c>
      <c r="EB121" s="170">
        <f t="shared" si="335"/>
        <v>0</v>
      </c>
      <c r="EC121" s="167">
        <f t="shared" si="336"/>
        <v>0</v>
      </c>
      <c r="ED121" s="171">
        <f t="shared" si="337"/>
        <v>0</v>
      </c>
    </row>
    <row r="122" spans="1:134" x14ac:dyDescent="0.3">
      <c r="A122" s="185"/>
      <c r="B122" s="186"/>
      <c r="C122" s="187"/>
      <c r="D122" s="188"/>
      <c r="E122" s="189"/>
      <c r="F122" s="190"/>
      <c r="G122" s="191"/>
      <c r="H122" s="192"/>
      <c r="I122" s="193"/>
      <c r="J122" s="194"/>
      <c r="K122" s="165">
        <f t="shared" si="338"/>
        <v>0</v>
      </c>
      <c r="L122" s="166">
        <f t="shared" si="339"/>
        <v>0</v>
      </c>
      <c r="M122" s="167">
        <f t="shared" si="340"/>
        <v>0</v>
      </c>
      <c r="N122" s="167"/>
      <c r="O122" s="167">
        <f t="shared" si="341"/>
        <v>0</v>
      </c>
      <c r="P122" s="168"/>
      <c r="Q122" s="167">
        <f t="shared" si="342"/>
        <v>0</v>
      </c>
      <c r="R122" s="169">
        <f t="shared" si="343"/>
        <v>0</v>
      </c>
      <c r="S122" s="167">
        <f t="shared" si="344"/>
        <v>0</v>
      </c>
      <c r="T122" s="167">
        <f t="shared" si="345"/>
        <v>0</v>
      </c>
      <c r="U122" s="167">
        <f t="shared" si="346"/>
        <v>0</v>
      </c>
      <c r="V122" s="167">
        <f t="shared" si="347"/>
        <v>0</v>
      </c>
      <c r="W122" s="167">
        <f t="shared" si="348"/>
        <v>0</v>
      </c>
      <c r="X122" s="167">
        <f t="shared" si="349"/>
        <v>0</v>
      </c>
      <c r="Y122" s="167">
        <f t="shared" si="350"/>
        <v>0</v>
      </c>
      <c r="Z122" s="167">
        <f t="shared" si="351"/>
        <v>0</v>
      </c>
      <c r="AA122" s="167">
        <f t="shared" si="352"/>
        <v>0</v>
      </c>
      <c r="AB122" s="170">
        <f t="shared" si="353"/>
        <v>0</v>
      </c>
      <c r="AC122" s="167">
        <f t="shared" si="354"/>
        <v>0</v>
      </c>
      <c r="AD122" s="171">
        <f t="shared" si="355"/>
        <v>0</v>
      </c>
      <c r="AE122" s="169">
        <f t="shared" si="400"/>
        <v>0</v>
      </c>
      <c r="AF122" s="167">
        <f t="shared" si="357"/>
        <v>0</v>
      </c>
      <c r="AG122" s="167">
        <f t="shared" si="281"/>
        <v>0</v>
      </c>
      <c r="AH122" s="167">
        <f t="shared" si="358"/>
        <v>0</v>
      </c>
      <c r="AI122" s="167">
        <f t="shared" si="282"/>
        <v>0</v>
      </c>
      <c r="AJ122" s="167">
        <f t="shared" si="359"/>
        <v>0</v>
      </c>
      <c r="AK122" s="167">
        <f t="shared" si="283"/>
        <v>0</v>
      </c>
      <c r="AL122" s="167">
        <f t="shared" si="360"/>
        <v>0</v>
      </c>
      <c r="AM122" s="167">
        <f t="shared" si="284"/>
        <v>0</v>
      </c>
      <c r="AN122" s="167">
        <f t="shared" si="361"/>
        <v>0</v>
      </c>
      <c r="AO122" s="170">
        <f t="shared" si="285"/>
        <v>0</v>
      </c>
      <c r="AP122" s="167">
        <f t="shared" si="286"/>
        <v>0</v>
      </c>
      <c r="AQ122" s="171">
        <f t="shared" si="287"/>
        <v>0</v>
      </c>
      <c r="AR122" s="169">
        <f t="shared" si="400"/>
        <v>0</v>
      </c>
      <c r="AS122" s="167">
        <f t="shared" si="362"/>
        <v>0</v>
      </c>
      <c r="AT122" s="167">
        <f t="shared" si="288"/>
        <v>0</v>
      </c>
      <c r="AU122" s="167">
        <f t="shared" si="363"/>
        <v>0</v>
      </c>
      <c r="AV122" s="167">
        <f t="shared" si="289"/>
        <v>0</v>
      </c>
      <c r="AW122" s="167">
        <f t="shared" si="364"/>
        <v>0</v>
      </c>
      <c r="AX122" s="167">
        <f t="shared" si="290"/>
        <v>0</v>
      </c>
      <c r="AY122" s="167">
        <f t="shared" si="365"/>
        <v>0</v>
      </c>
      <c r="AZ122" s="167">
        <f t="shared" si="291"/>
        <v>0</v>
      </c>
      <c r="BA122" s="167">
        <f t="shared" si="366"/>
        <v>0</v>
      </c>
      <c r="BB122" s="170">
        <f t="shared" si="292"/>
        <v>0</v>
      </c>
      <c r="BC122" s="167">
        <f t="shared" si="293"/>
        <v>0</v>
      </c>
      <c r="BD122" s="171">
        <f t="shared" si="294"/>
        <v>0</v>
      </c>
      <c r="BE122" s="169">
        <f t="shared" si="400"/>
        <v>0</v>
      </c>
      <c r="BF122" s="167">
        <f t="shared" si="367"/>
        <v>0</v>
      </c>
      <c r="BG122" s="167">
        <f t="shared" si="295"/>
        <v>0</v>
      </c>
      <c r="BH122" s="167">
        <f t="shared" si="368"/>
        <v>0</v>
      </c>
      <c r="BI122" s="167">
        <f t="shared" si="296"/>
        <v>0</v>
      </c>
      <c r="BJ122" s="167">
        <f t="shared" si="369"/>
        <v>0</v>
      </c>
      <c r="BK122" s="167">
        <f t="shared" si="297"/>
        <v>0</v>
      </c>
      <c r="BL122" s="167">
        <f t="shared" si="370"/>
        <v>0</v>
      </c>
      <c r="BM122" s="167">
        <f t="shared" si="298"/>
        <v>0</v>
      </c>
      <c r="BN122" s="167">
        <f t="shared" si="371"/>
        <v>0</v>
      </c>
      <c r="BO122" s="170">
        <f t="shared" si="299"/>
        <v>0</v>
      </c>
      <c r="BP122" s="167">
        <f t="shared" si="300"/>
        <v>0</v>
      </c>
      <c r="BQ122" s="171">
        <f t="shared" si="301"/>
        <v>0</v>
      </c>
      <c r="BR122" s="169">
        <f t="shared" si="400"/>
        <v>0</v>
      </c>
      <c r="BS122" s="167">
        <f t="shared" si="372"/>
        <v>0</v>
      </c>
      <c r="BT122" s="167">
        <f t="shared" si="302"/>
        <v>0</v>
      </c>
      <c r="BU122" s="167">
        <f t="shared" si="373"/>
        <v>0</v>
      </c>
      <c r="BV122" s="167">
        <f t="shared" si="303"/>
        <v>0</v>
      </c>
      <c r="BW122" s="167">
        <f t="shared" si="374"/>
        <v>0</v>
      </c>
      <c r="BX122" s="167">
        <f t="shared" si="304"/>
        <v>0</v>
      </c>
      <c r="BY122" s="167">
        <f t="shared" si="375"/>
        <v>0</v>
      </c>
      <c r="BZ122" s="167">
        <f t="shared" si="305"/>
        <v>0</v>
      </c>
      <c r="CA122" s="167">
        <f t="shared" si="376"/>
        <v>0</v>
      </c>
      <c r="CB122" s="170">
        <f t="shared" si="306"/>
        <v>0</v>
      </c>
      <c r="CC122" s="167">
        <f t="shared" si="307"/>
        <v>0</v>
      </c>
      <c r="CD122" s="171">
        <f t="shared" si="308"/>
        <v>0</v>
      </c>
      <c r="CE122" s="169">
        <f t="shared" si="400"/>
        <v>0</v>
      </c>
      <c r="CF122" s="167">
        <f t="shared" si="377"/>
        <v>0</v>
      </c>
      <c r="CG122" s="167">
        <f t="shared" si="309"/>
        <v>0</v>
      </c>
      <c r="CH122" s="167">
        <f t="shared" si="378"/>
        <v>0</v>
      </c>
      <c r="CI122" s="167">
        <f t="shared" si="310"/>
        <v>0</v>
      </c>
      <c r="CJ122" s="167">
        <f t="shared" si="379"/>
        <v>0</v>
      </c>
      <c r="CK122" s="167">
        <f t="shared" si="311"/>
        <v>0</v>
      </c>
      <c r="CL122" s="167">
        <f t="shared" si="380"/>
        <v>0</v>
      </c>
      <c r="CM122" s="167">
        <f t="shared" si="312"/>
        <v>0</v>
      </c>
      <c r="CN122" s="167">
        <f t="shared" si="381"/>
        <v>0</v>
      </c>
      <c r="CO122" s="170">
        <f t="shared" si="313"/>
        <v>0</v>
      </c>
      <c r="CP122" s="167">
        <f t="shared" si="314"/>
        <v>0</v>
      </c>
      <c r="CQ122" s="171">
        <f t="shared" si="315"/>
        <v>0</v>
      </c>
      <c r="CR122" s="169">
        <f t="shared" si="401"/>
        <v>0</v>
      </c>
      <c r="CS122" s="167">
        <f t="shared" si="383"/>
        <v>0</v>
      </c>
      <c r="CT122" s="167">
        <f t="shared" si="317"/>
        <v>0</v>
      </c>
      <c r="CU122" s="167">
        <f t="shared" si="384"/>
        <v>0</v>
      </c>
      <c r="CV122" s="167">
        <f t="shared" si="318"/>
        <v>0</v>
      </c>
      <c r="CW122" s="167">
        <f t="shared" si="385"/>
        <v>0</v>
      </c>
      <c r="CX122" s="167">
        <f t="shared" si="319"/>
        <v>0</v>
      </c>
      <c r="CY122" s="167">
        <f t="shared" si="386"/>
        <v>0</v>
      </c>
      <c r="CZ122" s="167">
        <f t="shared" si="320"/>
        <v>0</v>
      </c>
      <c r="DA122" s="167">
        <f t="shared" si="387"/>
        <v>0</v>
      </c>
      <c r="DB122" s="170">
        <f t="shared" si="321"/>
        <v>0</v>
      </c>
      <c r="DC122" s="167">
        <f t="shared" si="322"/>
        <v>0</v>
      </c>
      <c r="DD122" s="171">
        <f t="shared" si="323"/>
        <v>0</v>
      </c>
      <c r="DE122" s="169">
        <f t="shared" si="401"/>
        <v>0</v>
      </c>
      <c r="DF122" s="167">
        <f t="shared" si="388"/>
        <v>0</v>
      </c>
      <c r="DG122" s="167">
        <f t="shared" si="324"/>
        <v>0</v>
      </c>
      <c r="DH122" s="167">
        <f t="shared" si="389"/>
        <v>0</v>
      </c>
      <c r="DI122" s="167">
        <f t="shared" si="325"/>
        <v>0</v>
      </c>
      <c r="DJ122" s="167">
        <f t="shared" si="390"/>
        <v>0</v>
      </c>
      <c r="DK122" s="167">
        <f t="shared" si="326"/>
        <v>0</v>
      </c>
      <c r="DL122" s="167">
        <f t="shared" si="391"/>
        <v>0</v>
      </c>
      <c r="DM122" s="167">
        <f t="shared" si="327"/>
        <v>0</v>
      </c>
      <c r="DN122" s="167">
        <f t="shared" si="392"/>
        <v>0</v>
      </c>
      <c r="DO122" s="170">
        <f t="shared" si="328"/>
        <v>0</v>
      </c>
      <c r="DP122" s="167">
        <f t="shared" si="329"/>
        <v>0</v>
      </c>
      <c r="DQ122" s="171">
        <f t="shared" si="330"/>
        <v>0</v>
      </c>
      <c r="DR122" s="169">
        <f t="shared" si="401"/>
        <v>0</v>
      </c>
      <c r="DS122" s="167">
        <f t="shared" si="393"/>
        <v>0</v>
      </c>
      <c r="DT122" s="167">
        <f t="shared" si="331"/>
        <v>0</v>
      </c>
      <c r="DU122" s="167">
        <f t="shared" si="394"/>
        <v>0</v>
      </c>
      <c r="DV122" s="167">
        <f t="shared" si="332"/>
        <v>0</v>
      </c>
      <c r="DW122" s="167">
        <f t="shared" si="395"/>
        <v>0</v>
      </c>
      <c r="DX122" s="167">
        <f t="shared" si="333"/>
        <v>0</v>
      </c>
      <c r="DY122" s="167">
        <f t="shared" si="396"/>
        <v>0</v>
      </c>
      <c r="DZ122" s="167">
        <f t="shared" si="334"/>
        <v>0</v>
      </c>
      <c r="EA122" s="167">
        <f t="shared" si="397"/>
        <v>0</v>
      </c>
      <c r="EB122" s="170">
        <f t="shared" si="335"/>
        <v>0</v>
      </c>
      <c r="EC122" s="167">
        <f t="shared" si="336"/>
        <v>0</v>
      </c>
      <c r="ED122" s="171">
        <f t="shared" si="337"/>
        <v>0</v>
      </c>
    </row>
    <row r="123" spans="1:134" x14ac:dyDescent="0.3">
      <c r="A123" s="185"/>
      <c r="B123" s="186"/>
      <c r="C123" s="187"/>
      <c r="D123" s="188"/>
      <c r="E123" s="189"/>
      <c r="F123" s="190"/>
      <c r="G123" s="191"/>
      <c r="H123" s="192"/>
      <c r="I123" s="193"/>
      <c r="J123" s="194"/>
      <c r="K123" s="165">
        <f t="shared" si="338"/>
        <v>0</v>
      </c>
      <c r="L123" s="166">
        <f t="shared" si="339"/>
        <v>0</v>
      </c>
      <c r="M123" s="167">
        <f t="shared" si="340"/>
        <v>0</v>
      </c>
      <c r="N123" s="167"/>
      <c r="O123" s="167">
        <f t="shared" si="341"/>
        <v>0</v>
      </c>
      <c r="P123" s="168"/>
      <c r="Q123" s="167">
        <f t="shared" si="342"/>
        <v>0</v>
      </c>
      <c r="R123" s="169">
        <f t="shared" si="343"/>
        <v>0</v>
      </c>
      <c r="S123" s="167">
        <f t="shared" si="344"/>
        <v>0</v>
      </c>
      <c r="T123" s="167">
        <f t="shared" si="345"/>
        <v>0</v>
      </c>
      <c r="U123" s="167">
        <f t="shared" si="346"/>
        <v>0</v>
      </c>
      <c r="V123" s="167">
        <f t="shared" si="347"/>
        <v>0</v>
      </c>
      <c r="W123" s="167">
        <f t="shared" si="348"/>
        <v>0</v>
      </c>
      <c r="X123" s="167">
        <f t="shared" si="349"/>
        <v>0</v>
      </c>
      <c r="Y123" s="167">
        <f t="shared" si="350"/>
        <v>0</v>
      </c>
      <c r="Z123" s="167">
        <f t="shared" si="351"/>
        <v>0</v>
      </c>
      <c r="AA123" s="167">
        <f t="shared" si="352"/>
        <v>0</v>
      </c>
      <c r="AB123" s="170">
        <f t="shared" si="353"/>
        <v>0</v>
      </c>
      <c r="AC123" s="167">
        <f t="shared" si="354"/>
        <v>0</v>
      </c>
      <c r="AD123" s="171">
        <f t="shared" si="355"/>
        <v>0</v>
      </c>
      <c r="AE123" s="169">
        <f t="shared" si="400"/>
        <v>0</v>
      </c>
      <c r="AF123" s="167">
        <f t="shared" si="357"/>
        <v>0</v>
      </c>
      <c r="AG123" s="167">
        <f t="shared" si="281"/>
        <v>0</v>
      </c>
      <c r="AH123" s="167">
        <f t="shared" si="358"/>
        <v>0</v>
      </c>
      <c r="AI123" s="167">
        <f t="shared" si="282"/>
        <v>0</v>
      </c>
      <c r="AJ123" s="167">
        <f t="shared" si="359"/>
        <v>0</v>
      </c>
      <c r="AK123" s="167">
        <f t="shared" si="283"/>
        <v>0</v>
      </c>
      <c r="AL123" s="167">
        <f t="shared" si="360"/>
        <v>0</v>
      </c>
      <c r="AM123" s="167">
        <f t="shared" si="284"/>
        <v>0</v>
      </c>
      <c r="AN123" s="167">
        <f t="shared" si="361"/>
        <v>0</v>
      </c>
      <c r="AO123" s="170">
        <f t="shared" si="285"/>
        <v>0</v>
      </c>
      <c r="AP123" s="167">
        <f t="shared" si="286"/>
        <v>0</v>
      </c>
      <c r="AQ123" s="171">
        <f t="shared" si="287"/>
        <v>0</v>
      </c>
      <c r="AR123" s="169">
        <f t="shared" si="400"/>
        <v>0</v>
      </c>
      <c r="AS123" s="167">
        <f t="shared" si="362"/>
        <v>0</v>
      </c>
      <c r="AT123" s="167">
        <f t="shared" si="288"/>
        <v>0</v>
      </c>
      <c r="AU123" s="167">
        <f t="shared" si="363"/>
        <v>0</v>
      </c>
      <c r="AV123" s="167">
        <f t="shared" si="289"/>
        <v>0</v>
      </c>
      <c r="AW123" s="167">
        <f t="shared" si="364"/>
        <v>0</v>
      </c>
      <c r="AX123" s="167">
        <f t="shared" si="290"/>
        <v>0</v>
      </c>
      <c r="AY123" s="167">
        <f t="shared" si="365"/>
        <v>0</v>
      </c>
      <c r="AZ123" s="167">
        <f t="shared" si="291"/>
        <v>0</v>
      </c>
      <c r="BA123" s="167">
        <f t="shared" si="366"/>
        <v>0</v>
      </c>
      <c r="BB123" s="170">
        <f t="shared" si="292"/>
        <v>0</v>
      </c>
      <c r="BC123" s="167">
        <f t="shared" si="293"/>
        <v>0</v>
      </c>
      <c r="BD123" s="171">
        <f t="shared" si="294"/>
        <v>0</v>
      </c>
      <c r="BE123" s="169">
        <f t="shared" si="400"/>
        <v>0</v>
      </c>
      <c r="BF123" s="167">
        <f t="shared" si="367"/>
        <v>0</v>
      </c>
      <c r="BG123" s="167">
        <f t="shared" si="295"/>
        <v>0</v>
      </c>
      <c r="BH123" s="167">
        <f t="shared" si="368"/>
        <v>0</v>
      </c>
      <c r="BI123" s="167">
        <f t="shared" si="296"/>
        <v>0</v>
      </c>
      <c r="BJ123" s="167">
        <f t="shared" si="369"/>
        <v>0</v>
      </c>
      <c r="BK123" s="167">
        <f t="shared" si="297"/>
        <v>0</v>
      </c>
      <c r="BL123" s="167">
        <f t="shared" si="370"/>
        <v>0</v>
      </c>
      <c r="BM123" s="167">
        <f t="shared" si="298"/>
        <v>0</v>
      </c>
      <c r="BN123" s="167">
        <f t="shared" si="371"/>
        <v>0</v>
      </c>
      <c r="BO123" s="170">
        <f t="shared" si="299"/>
        <v>0</v>
      </c>
      <c r="BP123" s="167">
        <f t="shared" si="300"/>
        <v>0</v>
      </c>
      <c r="BQ123" s="171">
        <f t="shared" si="301"/>
        <v>0</v>
      </c>
      <c r="BR123" s="169">
        <f t="shared" si="400"/>
        <v>0</v>
      </c>
      <c r="BS123" s="167">
        <f t="shared" si="372"/>
        <v>0</v>
      </c>
      <c r="BT123" s="167">
        <f t="shared" si="302"/>
        <v>0</v>
      </c>
      <c r="BU123" s="167">
        <f t="shared" si="373"/>
        <v>0</v>
      </c>
      <c r="BV123" s="167">
        <f t="shared" si="303"/>
        <v>0</v>
      </c>
      <c r="BW123" s="167">
        <f t="shared" si="374"/>
        <v>0</v>
      </c>
      <c r="BX123" s="167">
        <f t="shared" si="304"/>
        <v>0</v>
      </c>
      <c r="BY123" s="167">
        <f t="shared" si="375"/>
        <v>0</v>
      </c>
      <c r="BZ123" s="167">
        <f t="shared" si="305"/>
        <v>0</v>
      </c>
      <c r="CA123" s="167">
        <f t="shared" si="376"/>
        <v>0</v>
      </c>
      <c r="CB123" s="170">
        <f t="shared" si="306"/>
        <v>0</v>
      </c>
      <c r="CC123" s="167">
        <f t="shared" si="307"/>
        <v>0</v>
      </c>
      <c r="CD123" s="171">
        <f t="shared" si="308"/>
        <v>0</v>
      </c>
      <c r="CE123" s="169">
        <f t="shared" si="400"/>
        <v>0</v>
      </c>
      <c r="CF123" s="167">
        <f t="shared" si="377"/>
        <v>0</v>
      </c>
      <c r="CG123" s="167">
        <f t="shared" si="309"/>
        <v>0</v>
      </c>
      <c r="CH123" s="167">
        <f t="shared" si="378"/>
        <v>0</v>
      </c>
      <c r="CI123" s="167">
        <f t="shared" si="310"/>
        <v>0</v>
      </c>
      <c r="CJ123" s="167">
        <f t="shared" si="379"/>
        <v>0</v>
      </c>
      <c r="CK123" s="167">
        <f t="shared" si="311"/>
        <v>0</v>
      </c>
      <c r="CL123" s="167">
        <f t="shared" si="380"/>
        <v>0</v>
      </c>
      <c r="CM123" s="167">
        <f t="shared" si="312"/>
        <v>0</v>
      </c>
      <c r="CN123" s="167">
        <f t="shared" si="381"/>
        <v>0</v>
      </c>
      <c r="CO123" s="170">
        <f t="shared" si="313"/>
        <v>0</v>
      </c>
      <c r="CP123" s="167">
        <f t="shared" si="314"/>
        <v>0</v>
      </c>
      <c r="CQ123" s="171">
        <f t="shared" si="315"/>
        <v>0</v>
      </c>
      <c r="CR123" s="169">
        <f t="shared" si="401"/>
        <v>0</v>
      </c>
      <c r="CS123" s="167">
        <f t="shared" si="383"/>
        <v>0</v>
      </c>
      <c r="CT123" s="167">
        <f t="shared" si="317"/>
        <v>0</v>
      </c>
      <c r="CU123" s="167">
        <f t="shared" si="384"/>
        <v>0</v>
      </c>
      <c r="CV123" s="167">
        <f t="shared" si="318"/>
        <v>0</v>
      </c>
      <c r="CW123" s="167">
        <f t="shared" si="385"/>
        <v>0</v>
      </c>
      <c r="CX123" s="167">
        <f t="shared" si="319"/>
        <v>0</v>
      </c>
      <c r="CY123" s="167">
        <f t="shared" si="386"/>
        <v>0</v>
      </c>
      <c r="CZ123" s="167">
        <f t="shared" si="320"/>
        <v>0</v>
      </c>
      <c r="DA123" s="167">
        <f t="shared" si="387"/>
        <v>0</v>
      </c>
      <c r="DB123" s="170">
        <f t="shared" si="321"/>
        <v>0</v>
      </c>
      <c r="DC123" s="167">
        <f t="shared" si="322"/>
        <v>0</v>
      </c>
      <c r="DD123" s="171">
        <f t="shared" si="323"/>
        <v>0</v>
      </c>
      <c r="DE123" s="169">
        <f t="shared" si="401"/>
        <v>0</v>
      </c>
      <c r="DF123" s="167">
        <f t="shared" si="388"/>
        <v>0</v>
      </c>
      <c r="DG123" s="167">
        <f t="shared" si="324"/>
        <v>0</v>
      </c>
      <c r="DH123" s="167">
        <f t="shared" si="389"/>
        <v>0</v>
      </c>
      <c r="DI123" s="167">
        <f t="shared" si="325"/>
        <v>0</v>
      </c>
      <c r="DJ123" s="167">
        <f t="shared" si="390"/>
        <v>0</v>
      </c>
      <c r="DK123" s="167">
        <f t="shared" si="326"/>
        <v>0</v>
      </c>
      <c r="DL123" s="167">
        <f t="shared" si="391"/>
        <v>0</v>
      </c>
      <c r="DM123" s="167">
        <f t="shared" si="327"/>
        <v>0</v>
      </c>
      <c r="DN123" s="167">
        <f t="shared" si="392"/>
        <v>0</v>
      </c>
      <c r="DO123" s="170">
        <f t="shared" si="328"/>
        <v>0</v>
      </c>
      <c r="DP123" s="167">
        <f t="shared" si="329"/>
        <v>0</v>
      </c>
      <c r="DQ123" s="171">
        <f t="shared" si="330"/>
        <v>0</v>
      </c>
      <c r="DR123" s="169">
        <f t="shared" si="401"/>
        <v>0</v>
      </c>
      <c r="DS123" s="167">
        <f t="shared" si="393"/>
        <v>0</v>
      </c>
      <c r="DT123" s="167">
        <f t="shared" si="331"/>
        <v>0</v>
      </c>
      <c r="DU123" s="167">
        <f t="shared" si="394"/>
        <v>0</v>
      </c>
      <c r="DV123" s="167">
        <f t="shared" si="332"/>
        <v>0</v>
      </c>
      <c r="DW123" s="167">
        <f t="shared" si="395"/>
        <v>0</v>
      </c>
      <c r="DX123" s="167">
        <f t="shared" si="333"/>
        <v>0</v>
      </c>
      <c r="DY123" s="167">
        <f t="shared" si="396"/>
        <v>0</v>
      </c>
      <c r="DZ123" s="167">
        <f t="shared" si="334"/>
        <v>0</v>
      </c>
      <c r="EA123" s="167">
        <f t="shared" si="397"/>
        <v>0</v>
      </c>
      <c r="EB123" s="170">
        <f t="shared" si="335"/>
        <v>0</v>
      </c>
      <c r="EC123" s="167">
        <f t="shared" si="336"/>
        <v>0</v>
      </c>
      <c r="ED123" s="171">
        <f t="shared" si="337"/>
        <v>0</v>
      </c>
    </row>
    <row r="124" spans="1:134" x14ac:dyDescent="0.3">
      <c r="A124" s="185"/>
      <c r="B124" s="186"/>
      <c r="C124" s="187"/>
      <c r="D124" s="188"/>
      <c r="E124" s="189"/>
      <c r="F124" s="190"/>
      <c r="G124" s="191"/>
      <c r="H124" s="192"/>
      <c r="I124" s="193"/>
      <c r="J124" s="194"/>
      <c r="K124" s="165">
        <f t="shared" si="338"/>
        <v>0</v>
      </c>
      <c r="L124" s="166">
        <f t="shared" si="339"/>
        <v>0</v>
      </c>
      <c r="M124" s="167">
        <f t="shared" si="340"/>
        <v>0</v>
      </c>
      <c r="N124" s="167"/>
      <c r="O124" s="167">
        <f t="shared" si="341"/>
        <v>0</v>
      </c>
      <c r="P124" s="168"/>
      <c r="Q124" s="167">
        <f t="shared" si="342"/>
        <v>0</v>
      </c>
      <c r="R124" s="169">
        <f t="shared" si="343"/>
        <v>0</v>
      </c>
      <c r="S124" s="167">
        <f t="shared" si="344"/>
        <v>0</v>
      </c>
      <c r="T124" s="167">
        <f t="shared" si="345"/>
        <v>0</v>
      </c>
      <c r="U124" s="167">
        <f t="shared" si="346"/>
        <v>0</v>
      </c>
      <c r="V124" s="167">
        <f t="shared" si="347"/>
        <v>0</v>
      </c>
      <c r="W124" s="167">
        <f t="shared" si="348"/>
        <v>0</v>
      </c>
      <c r="X124" s="167">
        <f t="shared" si="349"/>
        <v>0</v>
      </c>
      <c r="Y124" s="167">
        <f t="shared" si="350"/>
        <v>0</v>
      </c>
      <c r="Z124" s="167">
        <f t="shared" si="351"/>
        <v>0</v>
      </c>
      <c r="AA124" s="167">
        <f t="shared" si="352"/>
        <v>0</v>
      </c>
      <c r="AB124" s="170">
        <f t="shared" si="353"/>
        <v>0</v>
      </c>
      <c r="AC124" s="167">
        <f t="shared" si="354"/>
        <v>0</v>
      </c>
      <c r="AD124" s="171">
        <f t="shared" si="355"/>
        <v>0</v>
      </c>
      <c r="AE124" s="169">
        <f t="shared" si="400"/>
        <v>0</v>
      </c>
      <c r="AF124" s="167">
        <f t="shared" si="357"/>
        <v>0</v>
      </c>
      <c r="AG124" s="167">
        <f t="shared" si="281"/>
        <v>0</v>
      </c>
      <c r="AH124" s="167">
        <f t="shared" si="358"/>
        <v>0</v>
      </c>
      <c r="AI124" s="167">
        <f t="shared" si="282"/>
        <v>0</v>
      </c>
      <c r="AJ124" s="167">
        <f t="shared" si="359"/>
        <v>0</v>
      </c>
      <c r="AK124" s="167">
        <f t="shared" si="283"/>
        <v>0</v>
      </c>
      <c r="AL124" s="167">
        <f t="shared" si="360"/>
        <v>0</v>
      </c>
      <c r="AM124" s="167">
        <f t="shared" si="284"/>
        <v>0</v>
      </c>
      <c r="AN124" s="167">
        <f t="shared" si="361"/>
        <v>0</v>
      </c>
      <c r="AO124" s="170">
        <f t="shared" si="285"/>
        <v>0</v>
      </c>
      <c r="AP124" s="167">
        <f t="shared" si="286"/>
        <v>0</v>
      </c>
      <c r="AQ124" s="171">
        <f t="shared" si="287"/>
        <v>0</v>
      </c>
      <c r="AR124" s="169">
        <f t="shared" si="400"/>
        <v>0</v>
      </c>
      <c r="AS124" s="167">
        <f t="shared" si="362"/>
        <v>0</v>
      </c>
      <c r="AT124" s="167">
        <f t="shared" si="288"/>
        <v>0</v>
      </c>
      <c r="AU124" s="167">
        <f t="shared" si="363"/>
        <v>0</v>
      </c>
      <c r="AV124" s="167">
        <f t="shared" si="289"/>
        <v>0</v>
      </c>
      <c r="AW124" s="167">
        <f t="shared" si="364"/>
        <v>0</v>
      </c>
      <c r="AX124" s="167">
        <f t="shared" si="290"/>
        <v>0</v>
      </c>
      <c r="AY124" s="167">
        <f t="shared" si="365"/>
        <v>0</v>
      </c>
      <c r="AZ124" s="167">
        <f t="shared" si="291"/>
        <v>0</v>
      </c>
      <c r="BA124" s="167">
        <f t="shared" si="366"/>
        <v>0</v>
      </c>
      <c r="BB124" s="170">
        <f t="shared" si="292"/>
        <v>0</v>
      </c>
      <c r="BC124" s="167">
        <f t="shared" si="293"/>
        <v>0</v>
      </c>
      <c r="BD124" s="171">
        <f t="shared" si="294"/>
        <v>0</v>
      </c>
      <c r="BE124" s="169">
        <f t="shared" si="400"/>
        <v>0</v>
      </c>
      <c r="BF124" s="167">
        <f t="shared" si="367"/>
        <v>0</v>
      </c>
      <c r="BG124" s="167">
        <f t="shared" si="295"/>
        <v>0</v>
      </c>
      <c r="BH124" s="167">
        <f t="shared" si="368"/>
        <v>0</v>
      </c>
      <c r="BI124" s="167">
        <f t="shared" si="296"/>
        <v>0</v>
      </c>
      <c r="BJ124" s="167">
        <f t="shared" si="369"/>
        <v>0</v>
      </c>
      <c r="BK124" s="167">
        <f t="shared" si="297"/>
        <v>0</v>
      </c>
      <c r="BL124" s="167">
        <f t="shared" si="370"/>
        <v>0</v>
      </c>
      <c r="BM124" s="167">
        <f t="shared" si="298"/>
        <v>0</v>
      </c>
      <c r="BN124" s="167">
        <f t="shared" si="371"/>
        <v>0</v>
      </c>
      <c r="BO124" s="170">
        <f t="shared" si="299"/>
        <v>0</v>
      </c>
      <c r="BP124" s="167">
        <f t="shared" si="300"/>
        <v>0</v>
      </c>
      <c r="BQ124" s="171">
        <f t="shared" si="301"/>
        <v>0</v>
      </c>
      <c r="BR124" s="169">
        <f t="shared" si="400"/>
        <v>0</v>
      </c>
      <c r="BS124" s="167">
        <f t="shared" si="372"/>
        <v>0</v>
      </c>
      <c r="BT124" s="167">
        <f t="shared" si="302"/>
        <v>0</v>
      </c>
      <c r="BU124" s="167">
        <f t="shared" si="373"/>
        <v>0</v>
      </c>
      <c r="BV124" s="167">
        <f t="shared" si="303"/>
        <v>0</v>
      </c>
      <c r="BW124" s="167">
        <f t="shared" si="374"/>
        <v>0</v>
      </c>
      <c r="BX124" s="167">
        <f t="shared" si="304"/>
        <v>0</v>
      </c>
      <c r="BY124" s="167">
        <f t="shared" si="375"/>
        <v>0</v>
      </c>
      <c r="BZ124" s="167">
        <f t="shared" si="305"/>
        <v>0</v>
      </c>
      <c r="CA124" s="167">
        <f t="shared" si="376"/>
        <v>0</v>
      </c>
      <c r="CB124" s="170">
        <f t="shared" si="306"/>
        <v>0</v>
      </c>
      <c r="CC124" s="167">
        <f t="shared" si="307"/>
        <v>0</v>
      </c>
      <c r="CD124" s="171">
        <f t="shared" si="308"/>
        <v>0</v>
      </c>
      <c r="CE124" s="169">
        <f t="shared" si="400"/>
        <v>0</v>
      </c>
      <c r="CF124" s="167">
        <f t="shared" si="377"/>
        <v>0</v>
      </c>
      <c r="CG124" s="167">
        <f t="shared" si="309"/>
        <v>0</v>
      </c>
      <c r="CH124" s="167">
        <f t="shared" si="378"/>
        <v>0</v>
      </c>
      <c r="CI124" s="167">
        <f t="shared" si="310"/>
        <v>0</v>
      </c>
      <c r="CJ124" s="167">
        <f t="shared" si="379"/>
        <v>0</v>
      </c>
      <c r="CK124" s="167">
        <f t="shared" si="311"/>
        <v>0</v>
      </c>
      <c r="CL124" s="167">
        <f t="shared" si="380"/>
        <v>0</v>
      </c>
      <c r="CM124" s="167">
        <f t="shared" si="312"/>
        <v>0</v>
      </c>
      <c r="CN124" s="167">
        <f t="shared" si="381"/>
        <v>0</v>
      </c>
      <c r="CO124" s="170">
        <f t="shared" si="313"/>
        <v>0</v>
      </c>
      <c r="CP124" s="167">
        <f t="shared" si="314"/>
        <v>0</v>
      </c>
      <c r="CQ124" s="171">
        <f t="shared" si="315"/>
        <v>0</v>
      </c>
      <c r="CR124" s="169">
        <f t="shared" si="401"/>
        <v>0</v>
      </c>
      <c r="CS124" s="167">
        <f t="shared" si="383"/>
        <v>0</v>
      </c>
      <c r="CT124" s="167">
        <f t="shared" si="317"/>
        <v>0</v>
      </c>
      <c r="CU124" s="167">
        <f t="shared" si="384"/>
        <v>0</v>
      </c>
      <c r="CV124" s="167">
        <f t="shared" si="318"/>
        <v>0</v>
      </c>
      <c r="CW124" s="167">
        <f t="shared" si="385"/>
        <v>0</v>
      </c>
      <c r="CX124" s="167">
        <f t="shared" si="319"/>
        <v>0</v>
      </c>
      <c r="CY124" s="167">
        <f t="shared" si="386"/>
        <v>0</v>
      </c>
      <c r="CZ124" s="167">
        <f t="shared" si="320"/>
        <v>0</v>
      </c>
      <c r="DA124" s="167">
        <f t="shared" si="387"/>
        <v>0</v>
      </c>
      <c r="DB124" s="170">
        <f t="shared" si="321"/>
        <v>0</v>
      </c>
      <c r="DC124" s="167">
        <f t="shared" si="322"/>
        <v>0</v>
      </c>
      <c r="DD124" s="171">
        <f t="shared" si="323"/>
        <v>0</v>
      </c>
      <c r="DE124" s="169">
        <f t="shared" si="401"/>
        <v>0</v>
      </c>
      <c r="DF124" s="167">
        <f t="shared" si="388"/>
        <v>0</v>
      </c>
      <c r="DG124" s="167">
        <f t="shared" si="324"/>
        <v>0</v>
      </c>
      <c r="DH124" s="167">
        <f t="shared" si="389"/>
        <v>0</v>
      </c>
      <c r="DI124" s="167">
        <f t="shared" si="325"/>
        <v>0</v>
      </c>
      <c r="DJ124" s="167">
        <f t="shared" si="390"/>
        <v>0</v>
      </c>
      <c r="DK124" s="167">
        <f t="shared" si="326"/>
        <v>0</v>
      </c>
      <c r="DL124" s="167">
        <f t="shared" si="391"/>
        <v>0</v>
      </c>
      <c r="DM124" s="167">
        <f t="shared" si="327"/>
        <v>0</v>
      </c>
      <c r="DN124" s="167">
        <f t="shared" si="392"/>
        <v>0</v>
      </c>
      <c r="DO124" s="170">
        <f t="shared" si="328"/>
        <v>0</v>
      </c>
      <c r="DP124" s="167">
        <f t="shared" si="329"/>
        <v>0</v>
      </c>
      <c r="DQ124" s="171">
        <f t="shared" si="330"/>
        <v>0</v>
      </c>
      <c r="DR124" s="169">
        <f t="shared" si="401"/>
        <v>0</v>
      </c>
      <c r="DS124" s="167">
        <f t="shared" si="393"/>
        <v>0</v>
      </c>
      <c r="DT124" s="167">
        <f t="shared" si="331"/>
        <v>0</v>
      </c>
      <c r="DU124" s="167">
        <f t="shared" si="394"/>
        <v>0</v>
      </c>
      <c r="DV124" s="167">
        <f t="shared" si="332"/>
        <v>0</v>
      </c>
      <c r="DW124" s="167">
        <f t="shared" si="395"/>
        <v>0</v>
      </c>
      <c r="DX124" s="167">
        <f t="shared" si="333"/>
        <v>0</v>
      </c>
      <c r="DY124" s="167">
        <f t="shared" si="396"/>
        <v>0</v>
      </c>
      <c r="DZ124" s="167">
        <f t="shared" si="334"/>
        <v>0</v>
      </c>
      <c r="EA124" s="167">
        <f t="shared" si="397"/>
        <v>0</v>
      </c>
      <c r="EB124" s="170">
        <f t="shared" si="335"/>
        <v>0</v>
      </c>
      <c r="EC124" s="167">
        <f t="shared" si="336"/>
        <v>0</v>
      </c>
      <c r="ED124" s="171">
        <f t="shared" si="337"/>
        <v>0</v>
      </c>
    </row>
    <row r="125" spans="1:134" ht="15" thickBot="1" x14ac:dyDescent="0.35">
      <c r="A125" s="198"/>
      <c r="B125" s="199"/>
      <c r="C125" s="200"/>
      <c r="D125" s="201"/>
      <c r="E125" s="202"/>
      <c r="F125" s="203"/>
      <c r="G125" s="204"/>
      <c r="H125" s="205"/>
      <c r="I125" s="206"/>
      <c r="J125" s="207"/>
      <c r="K125" s="172">
        <f t="shared" si="338"/>
        <v>0</v>
      </c>
      <c r="L125" s="173">
        <f t="shared" si="339"/>
        <v>0</v>
      </c>
      <c r="M125" s="174">
        <f t="shared" si="340"/>
        <v>0</v>
      </c>
      <c r="N125" s="174"/>
      <c r="O125" s="174">
        <f t="shared" si="341"/>
        <v>0</v>
      </c>
      <c r="P125" s="175"/>
      <c r="Q125" s="174">
        <f t="shared" si="342"/>
        <v>0</v>
      </c>
      <c r="R125" s="176">
        <f t="shared" si="343"/>
        <v>0</v>
      </c>
      <c r="S125" s="174">
        <f t="shared" si="344"/>
        <v>0</v>
      </c>
      <c r="T125" s="174">
        <f t="shared" si="345"/>
        <v>0</v>
      </c>
      <c r="U125" s="174">
        <f t="shared" si="346"/>
        <v>0</v>
      </c>
      <c r="V125" s="174">
        <f t="shared" si="347"/>
        <v>0</v>
      </c>
      <c r="W125" s="174">
        <f t="shared" si="348"/>
        <v>0</v>
      </c>
      <c r="X125" s="174">
        <f t="shared" si="349"/>
        <v>0</v>
      </c>
      <c r="Y125" s="174">
        <f t="shared" si="350"/>
        <v>0</v>
      </c>
      <c r="Z125" s="174">
        <f t="shared" si="351"/>
        <v>0</v>
      </c>
      <c r="AA125" s="174">
        <f t="shared" si="352"/>
        <v>0</v>
      </c>
      <c r="AB125" s="177">
        <f t="shared" si="353"/>
        <v>0</v>
      </c>
      <c r="AC125" s="174">
        <f t="shared" si="354"/>
        <v>0</v>
      </c>
      <c r="AD125" s="178">
        <f t="shared" si="355"/>
        <v>0</v>
      </c>
      <c r="AE125" s="176">
        <f t="shared" si="400"/>
        <v>0</v>
      </c>
      <c r="AF125" s="174">
        <f t="shared" si="357"/>
        <v>0</v>
      </c>
      <c r="AG125" s="174">
        <f t="shared" si="281"/>
        <v>0</v>
      </c>
      <c r="AH125" s="174">
        <f t="shared" si="358"/>
        <v>0</v>
      </c>
      <c r="AI125" s="174">
        <f t="shared" si="282"/>
        <v>0</v>
      </c>
      <c r="AJ125" s="174">
        <f t="shared" si="359"/>
        <v>0</v>
      </c>
      <c r="AK125" s="174">
        <f t="shared" si="283"/>
        <v>0</v>
      </c>
      <c r="AL125" s="174">
        <f t="shared" si="360"/>
        <v>0</v>
      </c>
      <c r="AM125" s="174">
        <f t="shared" si="284"/>
        <v>0</v>
      </c>
      <c r="AN125" s="174">
        <f t="shared" si="361"/>
        <v>0</v>
      </c>
      <c r="AO125" s="177">
        <f t="shared" si="285"/>
        <v>0</v>
      </c>
      <c r="AP125" s="174">
        <f t="shared" si="286"/>
        <v>0</v>
      </c>
      <c r="AQ125" s="178">
        <f t="shared" si="287"/>
        <v>0</v>
      </c>
      <c r="AR125" s="176">
        <f t="shared" si="400"/>
        <v>0</v>
      </c>
      <c r="AS125" s="174">
        <f t="shared" si="362"/>
        <v>0</v>
      </c>
      <c r="AT125" s="174">
        <f t="shared" si="288"/>
        <v>0</v>
      </c>
      <c r="AU125" s="174">
        <f t="shared" si="363"/>
        <v>0</v>
      </c>
      <c r="AV125" s="174">
        <f t="shared" si="289"/>
        <v>0</v>
      </c>
      <c r="AW125" s="174">
        <f t="shared" si="364"/>
        <v>0</v>
      </c>
      <c r="AX125" s="174">
        <f t="shared" si="290"/>
        <v>0</v>
      </c>
      <c r="AY125" s="174">
        <f t="shared" si="365"/>
        <v>0</v>
      </c>
      <c r="AZ125" s="174">
        <f t="shared" si="291"/>
        <v>0</v>
      </c>
      <c r="BA125" s="174">
        <f t="shared" si="366"/>
        <v>0</v>
      </c>
      <c r="BB125" s="177">
        <f t="shared" si="292"/>
        <v>0</v>
      </c>
      <c r="BC125" s="174">
        <f t="shared" si="293"/>
        <v>0</v>
      </c>
      <c r="BD125" s="178">
        <f t="shared" si="294"/>
        <v>0</v>
      </c>
      <c r="BE125" s="176">
        <f t="shared" si="400"/>
        <v>0</v>
      </c>
      <c r="BF125" s="174">
        <f t="shared" si="367"/>
        <v>0</v>
      </c>
      <c r="BG125" s="174">
        <f t="shared" si="295"/>
        <v>0</v>
      </c>
      <c r="BH125" s="174">
        <f t="shared" si="368"/>
        <v>0</v>
      </c>
      <c r="BI125" s="174">
        <f t="shared" si="296"/>
        <v>0</v>
      </c>
      <c r="BJ125" s="174">
        <f t="shared" si="369"/>
        <v>0</v>
      </c>
      <c r="BK125" s="174">
        <f t="shared" si="297"/>
        <v>0</v>
      </c>
      <c r="BL125" s="174">
        <f t="shared" si="370"/>
        <v>0</v>
      </c>
      <c r="BM125" s="174">
        <f t="shared" si="298"/>
        <v>0</v>
      </c>
      <c r="BN125" s="174">
        <f t="shared" si="371"/>
        <v>0</v>
      </c>
      <c r="BO125" s="177">
        <f t="shared" si="299"/>
        <v>0</v>
      </c>
      <c r="BP125" s="174">
        <f t="shared" si="300"/>
        <v>0</v>
      </c>
      <c r="BQ125" s="178">
        <f t="shared" si="301"/>
        <v>0</v>
      </c>
      <c r="BR125" s="176">
        <f t="shared" si="400"/>
        <v>0</v>
      </c>
      <c r="BS125" s="174">
        <f t="shared" si="372"/>
        <v>0</v>
      </c>
      <c r="BT125" s="174">
        <f t="shared" si="302"/>
        <v>0</v>
      </c>
      <c r="BU125" s="174">
        <f t="shared" si="373"/>
        <v>0</v>
      </c>
      <c r="BV125" s="174">
        <f t="shared" si="303"/>
        <v>0</v>
      </c>
      <c r="BW125" s="174">
        <f t="shared" si="374"/>
        <v>0</v>
      </c>
      <c r="BX125" s="174">
        <f t="shared" si="304"/>
        <v>0</v>
      </c>
      <c r="BY125" s="174">
        <f t="shared" si="375"/>
        <v>0</v>
      </c>
      <c r="BZ125" s="174">
        <f t="shared" si="305"/>
        <v>0</v>
      </c>
      <c r="CA125" s="174">
        <f t="shared" si="376"/>
        <v>0</v>
      </c>
      <c r="CB125" s="177">
        <f t="shared" si="306"/>
        <v>0</v>
      </c>
      <c r="CC125" s="174">
        <f t="shared" si="307"/>
        <v>0</v>
      </c>
      <c r="CD125" s="178">
        <f t="shared" si="308"/>
        <v>0</v>
      </c>
      <c r="CE125" s="176">
        <f t="shared" si="400"/>
        <v>0</v>
      </c>
      <c r="CF125" s="174">
        <f t="shared" si="377"/>
        <v>0</v>
      </c>
      <c r="CG125" s="174">
        <f t="shared" si="309"/>
        <v>0</v>
      </c>
      <c r="CH125" s="174">
        <f t="shared" si="378"/>
        <v>0</v>
      </c>
      <c r="CI125" s="174">
        <f t="shared" si="310"/>
        <v>0</v>
      </c>
      <c r="CJ125" s="174">
        <f t="shared" si="379"/>
        <v>0</v>
      </c>
      <c r="CK125" s="174">
        <f t="shared" si="311"/>
        <v>0</v>
      </c>
      <c r="CL125" s="174">
        <f t="shared" si="380"/>
        <v>0</v>
      </c>
      <c r="CM125" s="174">
        <f t="shared" si="312"/>
        <v>0</v>
      </c>
      <c r="CN125" s="174">
        <f t="shared" si="381"/>
        <v>0</v>
      </c>
      <c r="CO125" s="177">
        <f t="shared" si="313"/>
        <v>0</v>
      </c>
      <c r="CP125" s="174">
        <f t="shared" si="314"/>
        <v>0</v>
      </c>
      <c r="CQ125" s="178">
        <f t="shared" si="315"/>
        <v>0</v>
      </c>
      <c r="CR125" s="176">
        <f t="shared" si="401"/>
        <v>0</v>
      </c>
      <c r="CS125" s="174">
        <f t="shared" si="383"/>
        <v>0</v>
      </c>
      <c r="CT125" s="174">
        <f t="shared" si="317"/>
        <v>0</v>
      </c>
      <c r="CU125" s="174">
        <f t="shared" si="384"/>
        <v>0</v>
      </c>
      <c r="CV125" s="174">
        <f t="shared" si="318"/>
        <v>0</v>
      </c>
      <c r="CW125" s="174">
        <f t="shared" si="385"/>
        <v>0</v>
      </c>
      <c r="CX125" s="174">
        <f t="shared" si="319"/>
        <v>0</v>
      </c>
      <c r="CY125" s="174">
        <f t="shared" si="386"/>
        <v>0</v>
      </c>
      <c r="CZ125" s="174">
        <f t="shared" si="320"/>
        <v>0</v>
      </c>
      <c r="DA125" s="174">
        <f t="shared" si="387"/>
        <v>0</v>
      </c>
      <c r="DB125" s="177">
        <f t="shared" si="321"/>
        <v>0</v>
      </c>
      <c r="DC125" s="174">
        <f t="shared" si="322"/>
        <v>0</v>
      </c>
      <c r="DD125" s="178">
        <f t="shared" si="323"/>
        <v>0</v>
      </c>
      <c r="DE125" s="176">
        <f t="shared" si="401"/>
        <v>0</v>
      </c>
      <c r="DF125" s="174">
        <f t="shared" si="388"/>
        <v>0</v>
      </c>
      <c r="DG125" s="174">
        <f t="shared" si="324"/>
        <v>0</v>
      </c>
      <c r="DH125" s="174">
        <f t="shared" si="389"/>
        <v>0</v>
      </c>
      <c r="DI125" s="174">
        <f t="shared" si="325"/>
        <v>0</v>
      </c>
      <c r="DJ125" s="174">
        <f t="shared" si="390"/>
        <v>0</v>
      </c>
      <c r="DK125" s="174">
        <f t="shared" si="326"/>
        <v>0</v>
      </c>
      <c r="DL125" s="174">
        <f t="shared" si="391"/>
        <v>0</v>
      </c>
      <c r="DM125" s="174">
        <f t="shared" si="327"/>
        <v>0</v>
      </c>
      <c r="DN125" s="174">
        <f t="shared" si="392"/>
        <v>0</v>
      </c>
      <c r="DO125" s="177">
        <f t="shared" si="328"/>
        <v>0</v>
      </c>
      <c r="DP125" s="174">
        <f t="shared" si="329"/>
        <v>0</v>
      </c>
      <c r="DQ125" s="178">
        <f t="shared" si="330"/>
        <v>0</v>
      </c>
      <c r="DR125" s="176">
        <f t="shared" si="401"/>
        <v>0</v>
      </c>
      <c r="DS125" s="174">
        <f t="shared" si="393"/>
        <v>0</v>
      </c>
      <c r="DT125" s="174">
        <f t="shared" si="331"/>
        <v>0</v>
      </c>
      <c r="DU125" s="174">
        <f t="shared" si="394"/>
        <v>0</v>
      </c>
      <c r="DV125" s="174">
        <f t="shared" si="332"/>
        <v>0</v>
      </c>
      <c r="DW125" s="174">
        <f t="shared" si="395"/>
        <v>0</v>
      </c>
      <c r="DX125" s="174">
        <f t="shared" si="333"/>
        <v>0</v>
      </c>
      <c r="DY125" s="174">
        <f t="shared" si="396"/>
        <v>0</v>
      </c>
      <c r="DZ125" s="174">
        <f t="shared" si="334"/>
        <v>0</v>
      </c>
      <c r="EA125" s="174">
        <f t="shared" si="397"/>
        <v>0</v>
      </c>
      <c r="EB125" s="177">
        <f t="shared" si="335"/>
        <v>0</v>
      </c>
      <c r="EC125" s="174">
        <f t="shared" si="336"/>
        <v>0</v>
      </c>
      <c r="ED125" s="178">
        <f t="shared" si="337"/>
        <v>0</v>
      </c>
    </row>
    <row r="126" spans="1:134" ht="24" customHeight="1" x14ac:dyDescent="0.3">
      <c r="J126" s="10" t="s">
        <v>177</v>
      </c>
      <c r="M126" s="179">
        <f>SUM(M5:M125)</f>
        <v>1432363.33</v>
      </c>
      <c r="N126" s="179">
        <f t="shared" ref="N126:AD126" si="402">SUM(N5:N125)</f>
        <v>0</v>
      </c>
      <c r="O126" s="179">
        <f t="shared" si="402"/>
        <v>1268636.67</v>
      </c>
      <c r="P126" s="179">
        <f t="shared" si="402"/>
        <v>0</v>
      </c>
      <c r="Q126" s="181">
        <f t="shared" si="402"/>
        <v>2701000</v>
      </c>
      <c r="R126" s="179">
        <f t="shared" si="402"/>
        <v>0</v>
      </c>
      <c r="S126" s="179">
        <f t="shared" si="402"/>
        <v>0</v>
      </c>
      <c r="T126" s="179">
        <f t="shared" si="402"/>
        <v>0</v>
      </c>
      <c r="U126" s="179">
        <f t="shared" si="402"/>
        <v>0</v>
      </c>
      <c r="V126" s="179">
        <f t="shared" si="402"/>
        <v>2701000</v>
      </c>
      <c r="W126" s="179">
        <f t="shared" si="402"/>
        <v>2701000</v>
      </c>
      <c r="X126" s="179">
        <f t="shared" si="402"/>
        <v>54020</v>
      </c>
      <c r="Y126" s="179">
        <f t="shared" si="402"/>
        <v>54020</v>
      </c>
      <c r="Z126" s="179">
        <f t="shared" si="402"/>
        <v>1378343.33</v>
      </c>
      <c r="AA126" s="179">
        <f t="shared" si="402"/>
        <v>1378343.33</v>
      </c>
      <c r="AB126" s="179">
        <f t="shared" si="402"/>
        <v>1322656.67</v>
      </c>
      <c r="AC126" s="179">
        <f t="shared" si="402"/>
        <v>0</v>
      </c>
      <c r="AD126" s="181">
        <f t="shared" si="402"/>
        <v>0</v>
      </c>
      <c r="AE126" s="179">
        <f t="shared" ref="AE126:CP126" si="403">SUM(AE5:AE125)</f>
        <v>0</v>
      </c>
      <c r="AF126" s="179">
        <f t="shared" si="403"/>
        <v>0</v>
      </c>
      <c r="AG126" s="179">
        <f t="shared" si="403"/>
        <v>0</v>
      </c>
      <c r="AH126" s="179">
        <f t="shared" si="403"/>
        <v>0</v>
      </c>
      <c r="AI126" s="179">
        <f t="shared" si="403"/>
        <v>2701000</v>
      </c>
      <c r="AJ126" s="179">
        <f t="shared" si="403"/>
        <v>2601000</v>
      </c>
      <c r="AK126" s="179">
        <f t="shared" si="403"/>
        <v>52020</v>
      </c>
      <c r="AL126" s="179">
        <f t="shared" si="403"/>
        <v>52020</v>
      </c>
      <c r="AM126" s="179">
        <f t="shared" si="403"/>
        <v>1326323.33</v>
      </c>
      <c r="AN126" s="179">
        <f t="shared" si="403"/>
        <v>1326323.33</v>
      </c>
      <c r="AO126" s="179">
        <f t="shared" si="403"/>
        <v>1374676.67</v>
      </c>
      <c r="AP126" s="179">
        <f t="shared" si="403"/>
        <v>0</v>
      </c>
      <c r="AQ126" s="181">
        <f t="shared" si="403"/>
        <v>0</v>
      </c>
      <c r="AR126" s="179">
        <f t="shared" si="403"/>
        <v>0</v>
      </c>
      <c r="AS126" s="179">
        <f t="shared" si="403"/>
        <v>0</v>
      </c>
      <c r="AT126" s="179">
        <f t="shared" si="403"/>
        <v>0</v>
      </c>
      <c r="AU126" s="179">
        <f t="shared" si="403"/>
        <v>0</v>
      </c>
      <c r="AV126" s="179">
        <f t="shared" si="403"/>
        <v>2701000</v>
      </c>
      <c r="AW126" s="179">
        <f t="shared" si="403"/>
        <v>2501000</v>
      </c>
      <c r="AX126" s="179">
        <f t="shared" si="403"/>
        <v>50020</v>
      </c>
      <c r="AY126" s="179">
        <f t="shared" si="403"/>
        <v>50020</v>
      </c>
      <c r="AZ126" s="179">
        <f t="shared" si="403"/>
        <v>1276303.33</v>
      </c>
      <c r="BA126" s="179">
        <f t="shared" si="403"/>
        <v>1276303.33</v>
      </c>
      <c r="BB126" s="179">
        <f t="shared" si="403"/>
        <v>1424696.67</v>
      </c>
      <c r="BC126" s="179">
        <f t="shared" si="403"/>
        <v>0</v>
      </c>
      <c r="BD126" s="181">
        <f t="shared" si="403"/>
        <v>0</v>
      </c>
      <c r="BE126" s="179">
        <f t="shared" si="403"/>
        <v>0</v>
      </c>
      <c r="BF126" s="179">
        <f t="shared" si="403"/>
        <v>0</v>
      </c>
      <c r="BG126" s="179">
        <f t="shared" si="403"/>
        <v>0</v>
      </c>
      <c r="BH126" s="179">
        <f t="shared" si="403"/>
        <v>0</v>
      </c>
      <c r="BI126" s="179">
        <f t="shared" si="403"/>
        <v>2701000</v>
      </c>
      <c r="BJ126" s="179">
        <f t="shared" si="403"/>
        <v>2501000</v>
      </c>
      <c r="BK126" s="179">
        <f t="shared" si="403"/>
        <v>50020</v>
      </c>
      <c r="BL126" s="179">
        <f t="shared" si="403"/>
        <v>50020</v>
      </c>
      <c r="BM126" s="179">
        <f t="shared" si="403"/>
        <v>1226283.33</v>
      </c>
      <c r="BN126" s="179">
        <f t="shared" si="403"/>
        <v>1226283.33</v>
      </c>
      <c r="BO126" s="179">
        <f t="shared" si="403"/>
        <v>1474716.67</v>
      </c>
      <c r="BP126" s="179">
        <f t="shared" si="403"/>
        <v>0</v>
      </c>
      <c r="BQ126" s="181">
        <f t="shared" si="403"/>
        <v>0</v>
      </c>
      <c r="BR126" s="179">
        <f t="shared" si="403"/>
        <v>0</v>
      </c>
      <c r="BS126" s="179">
        <f t="shared" si="403"/>
        <v>0</v>
      </c>
      <c r="BT126" s="179">
        <f t="shared" si="403"/>
        <v>0</v>
      </c>
      <c r="BU126" s="179">
        <f t="shared" si="403"/>
        <v>0</v>
      </c>
      <c r="BV126" s="179">
        <f t="shared" si="403"/>
        <v>2701000</v>
      </c>
      <c r="BW126" s="179">
        <f t="shared" si="403"/>
        <v>2501000</v>
      </c>
      <c r="BX126" s="179">
        <f t="shared" si="403"/>
        <v>50020</v>
      </c>
      <c r="BY126" s="179">
        <f t="shared" si="403"/>
        <v>50020</v>
      </c>
      <c r="BZ126" s="179">
        <f t="shared" si="403"/>
        <v>1176263.33</v>
      </c>
      <c r="CA126" s="179">
        <f t="shared" si="403"/>
        <v>1176263.33</v>
      </c>
      <c r="CB126" s="179">
        <f t="shared" si="403"/>
        <v>1524736.67</v>
      </c>
      <c r="CC126" s="179">
        <f t="shared" si="403"/>
        <v>0</v>
      </c>
      <c r="CD126" s="181">
        <f t="shared" si="403"/>
        <v>0</v>
      </c>
      <c r="CE126" s="179">
        <f t="shared" si="403"/>
        <v>0</v>
      </c>
      <c r="CF126" s="179">
        <f t="shared" si="403"/>
        <v>0</v>
      </c>
      <c r="CG126" s="179">
        <f t="shared" si="403"/>
        <v>0</v>
      </c>
      <c r="CH126" s="179">
        <f t="shared" si="403"/>
        <v>0</v>
      </c>
      <c r="CI126" s="179">
        <f t="shared" si="403"/>
        <v>2701000</v>
      </c>
      <c r="CJ126" s="179">
        <f t="shared" si="403"/>
        <v>2501000</v>
      </c>
      <c r="CK126" s="179">
        <f t="shared" si="403"/>
        <v>50020</v>
      </c>
      <c r="CL126" s="179">
        <f t="shared" si="403"/>
        <v>50020</v>
      </c>
      <c r="CM126" s="179">
        <f t="shared" si="403"/>
        <v>1126243.33</v>
      </c>
      <c r="CN126" s="179">
        <f t="shared" si="403"/>
        <v>1126243.33</v>
      </c>
      <c r="CO126" s="179">
        <f t="shared" si="403"/>
        <v>1574756.67</v>
      </c>
      <c r="CP126" s="179">
        <f t="shared" si="403"/>
        <v>0</v>
      </c>
      <c r="CQ126" s="181">
        <f t="shared" ref="CQ126:ED126" si="404">SUM(CQ5:CQ125)</f>
        <v>0</v>
      </c>
      <c r="CR126" s="179">
        <f t="shared" si="404"/>
        <v>0</v>
      </c>
      <c r="CS126" s="179">
        <f t="shared" si="404"/>
        <v>0</v>
      </c>
      <c r="CT126" s="179">
        <f t="shared" si="404"/>
        <v>0</v>
      </c>
      <c r="CU126" s="179">
        <f t="shared" si="404"/>
        <v>0</v>
      </c>
      <c r="CV126" s="179">
        <f t="shared" si="404"/>
        <v>2701000</v>
      </c>
      <c r="CW126" s="179">
        <f t="shared" si="404"/>
        <v>2501000</v>
      </c>
      <c r="CX126" s="179">
        <f t="shared" si="404"/>
        <v>50020</v>
      </c>
      <c r="CY126" s="179">
        <f t="shared" si="404"/>
        <v>50020</v>
      </c>
      <c r="CZ126" s="179">
        <f t="shared" si="404"/>
        <v>1076223.33</v>
      </c>
      <c r="DA126" s="179">
        <f t="shared" si="404"/>
        <v>1076223.33</v>
      </c>
      <c r="DB126" s="179">
        <f t="shared" si="404"/>
        <v>1624776.67</v>
      </c>
      <c r="DC126" s="179">
        <f t="shared" si="404"/>
        <v>0</v>
      </c>
      <c r="DD126" s="181">
        <f t="shared" si="404"/>
        <v>0</v>
      </c>
      <c r="DE126" s="179">
        <f t="shared" si="404"/>
        <v>0</v>
      </c>
      <c r="DF126" s="179">
        <f t="shared" si="404"/>
        <v>0</v>
      </c>
      <c r="DG126" s="179">
        <f t="shared" si="404"/>
        <v>0</v>
      </c>
      <c r="DH126" s="179">
        <f t="shared" si="404"/>
        <v>0</v>
      </c>
      <c r="DI126" s="179">
        <f t="shared" si="404"/>
        <v>2701000</v>
      </c>
      <c r="DJ126" s="179">
        <f t="shared" si="404"/>
        <v>2501000</v>
      </c>
      <c r="DK126" s="179">
        <f t="shared" si="404"/>
        <v>50020</v>
      </c>
      <c r="DL126" s="179">
        <f t="shared" si="404"/>
        <v>50020</v>
      </c>
      <c r="DM126" s="179">
        <f t="shared" si="404"/>
        <v>1026203.3300000001</v>
      </c>
      <c r="DN126" s="179">
        <f t="shared" si="404"/>
        <v>1026203.3300000001</v>
      </c>
      <c r="DO126" s="179">
        <f t="shared" si="404"/>
        <v>1674796.67</v>
      </c>
      <c r="DP126" s="179">
        <f t="shared" si="404"/>
        <v>0</v>
      </c>
      <c r="DQ126" s="181">
        <f t="shared" si="404"/>
        <v>0</v>
      </c>
      <c r="DR126" s="179">
        <f t="shared" si="404"/>
        <v>0</v>
      </c>
      <c r="DS126" s="179">
        <f t="shared" si="404"/>
        <v>0</v>
      </c>
      <c r="DT126" s="179">
        <f t="shared" si="404"/>
        <v>0</v>
      </c>
      <c r="DU126" s="179">
        <f t="shared" si="404"/>
        <v>0</v>
      </c>
      <c r="DV126" s="179">
        <f t="shared" si="404"/>
        <v>2701000</v>
      </c>
      <c r="DW126" s="179">
        <f t="shared" si="404"/>
        <v>2501000</v>
      </c>
      <c r="DX126" s="179">
        <f t="shared" si="404"/>
        <v>50020</v>
      </c>
      <c r="DY126" s="179">
        <f t="shared" si="404"/>
        <v>50020</v>
      </c>
      <c r="DZ126" s="179">
        <f t="shared" si="404"/>
        <v>976183.33000000007</v>
      </c>
      <c r="EA126" s="179">
        <f t="shared" si="404"/>
        <v>976183.33000000007</v>
      </c>
      <c r="EB126" s="179">
        <f t="shared" si="404"/>
        <v>1724816.67</v>
      </c>
      <c r="EC126" s="179">
        <f t="shared" si="404"/>
        <v>0</v>
      </c>
      <c r="ED126" s="181">
        <f t="shared" si="404"/>
        <v>0</v>
      </c>
    </row>
    <row r="127" spans="1:134" ht="11.25" customHeight="1" x14ac:dyDescent="0.3">
      <c r="A127" s="180"/>
      <c r="B127" s="180"/>
      <c r="C127" s="180"/>
      <c r="D127" s="180"/>
      <c r="E127" s="180"/>
      <c r="F127" s="180"/>
      <c r="G127" s="180"/>
      <c r="H127" s="180"/>
      <c r="I127" s="180"/>
      <c r="J127" s="180"/>
      <c r="K127" s="180"/>
      <c r="L127" s="180"/>
      <c r="M127" s="180"/>
      <c r="N127" s="180"/>
      <c r="O127" s="180"/>
      <c r="P127" s="180"/>
      <c r="Q127" s="182"/>
      <c r="R127" s="180"/>
      <c r="S127" s="180"/>
      <c r="T127" s="180"/>
      <c r="U127" s="180"/>
      <c r="V127" s="180"/>
      <c r="W127" s="180"/>
      <c r="X127" s="180"/>
      <c r="Y127" s="180"/>
      <c r="Z127" s="180"/>
      <c r="AA127" s="180"/>
      <c r="AB127" s="180"/>
      <c r="AC127" s="180"/>
      <c r="AD127" s="182"/>
      <c r="AE127" s="180"/>
      <c r="AF127" s="180"/>
      <c r="AG127" s="180"/>
      <c r="AH127" s="180"/>
      <c r="AI127" s="180"/>
      <c r="AJ127" s="180"/>
      <c r="AK127" s="180"/>
      <c r="AL127" s="180"/>
      <c r="AM127" s="180"/>
      <c r="AN127" s="180"/>
      <c r="AO127" s="180"/>
      <c r="AP127" s="180"/>
      <c r="AQ127" s="182"/>
      <c r="AR127" s="180"/>
      <c r="AS127" s="180"/>
      <c r="AT127" s="180"/>
      <c r="AU127" s="180"/>
      <c r="AV127" s="180"/>
      <c r="AW127" s="180"/>
      <c r="AX127" s="180"/>
      <c r="AY127" s="180"/>
      <c r="AZ127" s="180"/>
      <c r="BA127" s="180"/>
      <c r="BB127" s="180"/>
      <c r="BC127" s="180"/>
      <c r="BD127" s="182"/>
      <c r="BE127" s="180"/>
      <c r="BF127" s="180"/>
      <c r="BG127" s="180"/>
      <c r="BH127" s="180"/>
      <c r="BI127" s="180"/>
      <c r="BJ127" s="180"/>
      <c r="BK127" s="180"/>
      <c r="BL127" s="180"/>
      <c r="BM127" s="180"/>
      <c r="BN127" s="180"/>
      <c r="BO127" s="180"/>
      <c r="BP127" s="180"/>
      <c r="BQ127" s="182"/>
      <c r="BR127" s="180"/>
      <c r="BS127" s="180"/>
      <c r="BT127" s="180"/>
      <c r="BU127" s="180"/>
      <c r="BV127" s="180"/>
      <c r="BW127" s="180"/>
      <c r="BX127" s="180"/>
      <c r="BY127" s="180"/>
      <c r="BZ127" s="180"/>
      <c r="CA127" s="180"/>
      <c r="CB127" s="180"/>
      <c r="CC127" s="180"/>
      <c r="CD127" s="182"/>
      <c r="CE127" s="180"/>
      <c r="CF127" s="180"/>
      <c r="CG127" s="180"/>
      <c r="CH127" s="180"/>
      <c r="CI127" s="180"/>
      <c r="CJ127" s="180"/>
      <c r="CK127" s="180"/>
      <c r="CL127" s="180"/>
      <c r="CM127" s="180"/>
      <c r="CN127" s="180"/>
      <c r="CO127" s="180"/>
      <c r="CP127" s="180"/>
      <c r="CQ127" s="182"/>
      <c r="CR127" s="180"/>
      <c r="CS127" s="180"/>
      <c r="CT127" s="180"/>
      <c r="CU127" s="180"/>
      <c r="CV127" s="180"/>
      <c r="CW127" s="180"/>
      <c r="CX127" s="180"/>
      <c r="CY127" s="180"/>
      <c r="CZ127" s="180"/>
      <c r="DA127" s="180"/>
      <c r="DB127" s="180"/>
      <c r="DC127" s="180"/>
      <c r="DD127" s="182"/>
      <c r="DE127" s="180"/>
      <c r="DF127" s="180"/>
      <c r="DG127" s="180"/>
      <c r="DH127" s="180"/>
      <c r="DI127" s="180"/>
      <c r="DJ127" s="180"/>
      <c r="DK127" s="180"/>
      <c r="DL127" s="180"/>
      <c r="DM127" s="180"/>
      <c r="DN127" s="180"/>
      <c r="DO127" s="180"/>
      <c r="DP127" s="180"/>
      <c r="DQ127" s="182"/>
      <c r="DR127" s="180"/>
      <c r="DS127" s="180"/>
      <c r="DT127" s="180"/>
      <c r="DU127" s="180"/>
      <c r="DV127" s="180"/>
      <c r="DW127" s="180"/>
      <c r="DX127" s="180"/>
      <c r="DY127" s="180"/>
      <c r="DZ127" s="180"/>
      <c r="EA127" s="180"/>
      <c r="EB127" s="180"/>
      <c r="EC127" s="180"/>
      <c r="ED127" s="182"/>
    </row>
    <row r="128" spans="1:134" ht="18" hidden="1" x14ac:dyDescent="0.35">
      <c r="Q128" s="238"/>
      <c r="R128" s="403"/>
      <c r="X128" s="397">
        <f>X4</f>
        <v>2012</v>
      </c>
      <c r="AD128" s="217"/>
      <c r="AE128" s="403"/>
      <c r="AK128" s="397">
        <f t="shared" ref="AK128" si="405">AK4</f>
        <v>2013</v>
      </c>
      <c r="AQ128" s="217"/>
      <c r="AR128" s="403"/>
      <c r="AX128" s="397">
        <f t="shared" ref="AX128" si="406">AX4</f>
        <v>2014</v>
      </c>
      <c r="BD128" s="217"/>
      <c r="BE128" s="403"/>
      <c r="BK128" s="397">
        <f t="shared" ref="BK128" si="407">BK4</f>
        <v>2015</v>
      </c>
      <c r="BQ128" s="217"/>
      <c r="BR128" s="403"/>
      <c r="BX128" s="397">
        <f t="shared" ref="BX128" si="408">BX4</f>
        <v>2016</v>
      </c>
      <c r="CD128" s="217"/>
      <c r="CE128" s="403"/>
      <c r="CK128" s="397">
        <f t="shared" ref="CK128" si="409">CK4</f>
        <v>2017</v>
      </c>
      <c r="CQ128" s="217"/>
      <c r="CR128" s="403"/>
      <c r="CX128" s="397">
        <f t="shared" ref="CX128" si="410">CX4</f>
        <v>2018</v>
      </c>
      <c r="DD128" s="217"/>
      <c r="DE128" s="403"/>
      <c r="DK128" s="397">
        <f t="shared" ref="DK128" si="411">DK4</f>
        <v>2019</v>
      </c>
      <c r="DQ128" s="217"/>
      <c r="DR128" s="403"/>
      <c r="DX128" s="397">
        <f t="shared" ref="DX128" si="412">DX4</f>
        <v>2020</v>
      </c>
      <c r="ED128" s="217"/>
    </row>
    <row r="129" spans="1:134" ht="21" hidden="1" x14ac:dyDescent="0.4">
      <c r="A129" s="108" t="s">
        <v>461</v>
      </c>
      <c r="F129" s="301" t="str">
        <f>"Zwischen Zeile "&amp;ROW(128:128)&amp;" und Zeile "&amp;ROW(207:207)&amp;" weder eine Zeile einfügen noch löschen!!!"</f>
        <v>Zwischen Zeile 128 und Zeile 207 weder eine Zeile einfügen noch löschen!!!</v>
      </c>
      <c r="Q129" s="238">
        <v>2</v>
      </c>
      <c r="R129" s="404" t="s">
        <v>489</v>
      </c>
      <c r="V129" s="92" t="s">
        <v>533</v>
      </c>
      <c r="W129" s="92" t="s">
        <v>532</v>
      </c>
      <c r="X129" s="92" t="s">
        <v>450</v>
      </c>
      <c r="Y129" s="92" t="s">
        <v>449</v>
      </c>
      <c r="Z129" s="91" t="s">
        <v>980</v>
      </c>
      <c r="AD129" s="217"/>
      <c r="AE129" s="404" t="s">
        <v>489</v>
      </c>
      <c r="AI129" s="92" t="s">
        <v>533</v>
      </c>
      <c r="AJ129" s="92" t="s">
        <v>532</v>
      </c>
      <c r="AK129" s="92" t="s">
        <v>450</v>
      </c>
      <c r="AL129" s="92" t="s">
        <v>449</v>
      </c>
      <c r="AM129" s="91" t="s">
        <v>980</v>
      </c>
      <c r="AQ129" s="217"/>
      <c r="AR129" s="404" t="s">
        <v>489</v>
      </c>
      <c r="AV129" s="92" t="s">
        <v>533</v>
      </c>
      <c r="AW129" s="92" t="s">
        <v>532</v>
      </c>
      <c r="AX129" s="92" t="s">
        <v>450</v>
      </c>
      <c r="AY129" s="92" t="s">
        <v>449</v>
      </c>
      <c r="AZ129" s="91" t="s">
        <v>980</v>
      </c>
      <c r="BD129" s="217"/>
      <c r="BE129" s="404" t="s">
        <v>489</v>
      </c>
      <c r="BI129" s="92" t="s">
        <v>533</v>
      </c>
      <c r="BJ129" s="92" t="s">
        <v>532</v>
      </c>
      <c r="BK129" s="92" t="s">
        <v>450</v>
      </c>
      <c r="BL129" s="92" t="s">
        <v>449</v>
      </c>
      <c r="BM129" s="91" t="s">
        <v>980</v>
      </c>
      <c r="BQ129" s="217"/>
      <c r="BR129" s="404" t="s">
        <v>489</v>
      </c>
      <c r="BV129" s="92" t="s">
        <v>533</v>
      </c>
      <c r="BW129" s="92" t="s">
        <v>532</v>
      </c>
      <c r="BX129" s="92" t="s">
        <v>450</v>
      </c>
      <c r="BY129" s="92" t="s">
        <v>449</v>
      </c>
      <c r="BZ129" s="91" t="s">
        <v>980</v>
      </c>
      <c r="CD129" s="217"/>
      <c r="CE129" s="404" t="s">
        <v>489</v>
      </c>
      <c r="CI129" s="92" t="s">
        <v>533</v>
      </c>
      <c r="CJ129" s="92" t="s">
        <v>532</v>
      </c>
      <c r="CK129" s="92" t="s">
        <v>450</v>
      </c>
      <c r="CL129" s="92" t="s">
        <v>449</v>
      </c>
      <c r="CM129" s="91" t="s">
        <v>980</v>
      </c>
      <c r="CQ129" s="217"/>
      <c r="CR129" s="404" t="s">
        <v>489</v>
      </c>
      <c r="CV129" s="92" t="s">
        <v>533</v>
      </c>
      <c r="CW129" s="92" t="s">
        <v>532</v>
      </c>
      <c r="CX129" s="92" t="s">
        <v>450</v>
      </c>
      <c r="CY129" s="92" t="s">
        <v>449</v>
      </c>
      <c r="CZ129" s="91" t="s">
        <v>980</v>
      </c>
      <c r="DD129" s="217"/>
      <c r="DE129" s="404" t="s">
        <v>489</v>
      </c>
      <c r="DI129" s="92" t="s">
        <v>533</v>
      </c>
      <c r="DJ129" s="92" t="s">
        <v>532</v>
      </c>
      <c r="DK129" s="92" t="s">
        <v>450</v>
      </c>
      <c r="DL129" s="92" t="s">
        <v>449</v>
      </c>
      <c r="DM129" s="91" t="s">
        <v>980</v>
      </c>
      <c r="DQ129" s="217"/>
      <c r="DR129" s="404" t="s">
        <v>489</v>
      </c>
      <c r="DV129" s="92" t="s">
        <v>533</v>
      </c>
      <c r="DW129" s="92" t="s">
        <v>532</v>
      </c>
      <c r="DX129" s="92" t="s">
        <v>450</v>
      </c>
      <c r="DY129" s="92" t="s">
        <v>449</v>
      </c>
      <c r="DZ129" s="91" t="s">
        <v>980</v>
      </c>
      <c r="ED129" s="217"/>
    </row>
    <row r="130" spans="1:134" hidden="1" x14ac:dyDescent="0.3">
      <c r="A130" s="302" t="s">
        <v>490</v>
      </c>
      <c r="Q130" s="238">
        <v>3</v>
      </c>
      <c r="R130" s="405"/>
      <c r="V130" s="101">
        <f>SUMIF($D$5:$D$125,"=zus",V5:V125)+SUMIF($D$5:$D$125,"=zum",V5:V125)+SUMIF($D$5:$D$125,"=zur",V5:V125)+SUMIF($D$5:$D$125,"=zuk",V5:V125)</f>
        <v>2701000</v>
      </c>
      <c r="W130" s="102">
        <f>SUM(W131:W133)</f>
        <v>1</v>
      </c>
      <c r="X130" s="101">
        <f>SUMIF($D$5:$D$125,"=zus",X5:X125)+SUMIF($D$5:$D$125,"=zum",X5:X125)+SUMIF($D$5:$D$125,"=zur",X5:X125)+SUMIF($D$5:$D$125,"=zuk",X5:X125)</f>
        <v>54020</v>
      </c>
      <c r="Y130" s="102">
        <f>SUM(Y131:Y133)</f>
        <v>1</v>
      </c>
      <c r="Z130" s="219" t="s">
        <v>738</v>
      </c>
      <c r="AD130" s="217"/>
      <c r="AE130" s="405"/>
      <c r="AI130" s="101">
        <f t="shared" ref="AI130" si="413">SUMIF($D$5:$D$125,"=zus",AI5:AI125)+SUMIF($D$5:$D$125,"=zum",AI5:AI125)+SUMIF($D$5:$D$125,"=zur",AI5:AI125)+SUMIF($D$5:$D$125,"=zuk",AI5:AI125)</f>
        <v>2701000</v>
      </c>
      <c r="AJ130" s="102">
        <f t="shared" ref="AJ130" si="414">SUM(AJ131:AJ133)</f>
        <v>1</v>
      </c>
      <c r="AK130" s="101">
        <f t="shared" ref="AK130" si="415">SUMIF($D$5:$D$125,"=zus",AK5:AK125)+SUMIF($D$5:$D$125,"=zum",AK5:AK125)+SUMIF($D$5:$D$125,"=zur",AK5:AK125)+SUMIF($D$5:$D$125,"=zuk",AK5:AK125)</f>
        <v>52020</v>
      </c>
      <c r="AL130" s="102">
        <f t="shared" ref="AL130" si="416">SUM(AL131:AL133)</f>
        <v>1</v>
      </c>
      <c r="AM130" s="302" t="s">
        <v>738</v>
      </c>
      <c r="AQ130" s="217"/>
      <c r="AR130" s="405"/>
      <c r="AV130" s="101">
        <f t="shared" ref="AV130" si="417">SUMIF($D$5:$D$125,"=zus",AV5:AV125)+SUMIF($D$5:$D$125,"=zum",AV5:AV125)+SUMIF($D$5:$D$125,"=zur",AV5:AV125)+SUMIF($D$5:$D$125,"=zuk",AV5:AV125)</f>
        <v>2701000</v>
      </c>
      <c r="AW130" s="102">
        <f t="shared" ref="AW130" si="418">SUM(AW131:AW133)</f>
        <v>1</v>
      </c>
      <c r="AX130" s="101">
        <f t="shared" ref="AX130" si="419">SUMIF($D$5:$D$125,"=zus",AX5:AX125)+SUMIF($D$5:$D$125,"=zum",AX5:AX125)+SUMIF($D$5:$D$125,"=zur",AX5:AX125)+SUMIF($D$5:$D$125,"=zuk",AX5:AX125)</f>
        <v>50020</v>
      </c>
      <c r="AY130" s="102">
        <f t="shared" ref="AY130" si="420">SUM(AY131:AY133)</f>
        <v>1</v>
      </c>
      <c r="AZ130" s="302" t="s">
        <v>738</v>
      </c>
      <c r="BD130" s="217"/>
      <c r="BE130" s="405"/>
      <c r="BI130" s="101">
        <f t="shared" ref="BI130" si="421">SUMIF($D$5:$D$125,"=zus",BI5:BI125)+SUMIF($D$5:$D$125,"=zum",BI5:BI125)+SUMIF($D$5:$D$125,"=zur",BI5:BI125)+SUMIF($D$5:$D$125,"=zuk",BI5:BI125)</f>
        <v>2701000</v>
      </c>
      <c r="BJ130" s="102">
        <f t="shared" ref="BJ130" si="422">SUM(BJ131:BJ133)</f>
        <v>1</v>
      </c>
      <c r="BK130" s="101">
        <f t="shared" ref="BK130" si="423">SUMIF($D$5:$D$125,"=zus",BK5:BK125)+SUMIF($D$5:$D$125,"=zum",BK5:BK125)+SUMIF($D$5:$D$125,"=zur",BK5:BK125)+SUMIF($D$5:$D$125,"=zuk",BK5:BK125)</f>
        <v>50020</v>
      </c>
      <c r="BL130" s="102">
        <f t="shared" ref="BL130" si="424">SUM(BL131:BL133)</f>
        <v>1</v>
      </c>
      <c r="BM130" s="302" t="s">
        <v>738</v>
      </c>
      <c r="BQ130" s="217"/>
      <c r="BR130" s="405"/>
      <c r="BV130" s="101">
        <f t="shared" ref="BV130" si="425">SUMIF($D$5:$D$125,"=zus",BV5:BV125)+SUMIF($D$5:$D$125,"=zum",BV5:BV125)+SUMIF($D$5:$D$125,"=zur",BV5:BV125)+SUMIF($D$5:$D$125,"=zuk",BV5:BV125)</f>
        <v>2701000</v>
      </c>
      <c r="BW130" s="102">
        <f t="shared" ref="BW130" si="426">SUM(BW131:BW133)</f>
        <v>1</v>
      </c>
      <c r="BX130" s="101">
        <f t="shared" ref="BX130" si="427">SUMIF($D$5:$D$125,"=zus",BX5:BX125)+SUMIF($D$5:$D$125,"=zum",BX5:BX125)+SUMIF($D$5:$D$125,"=zur",BX5:BX125)+SUMIF($D$5:$D$125,"=zuk",BX5:BX125)</f>
        <v>50020</v>
      </c>
      <c r="BY130" s="102">
        <f t="shared" ref="BY130" si="428">SUM(BY131:BY133)</f>
        <v>1</v>
      </c>
      <c r="BZ130" s="302" t="s">
        <v>738</v>
      </c>
      <c r="CD130" s="217"/>
      <c r="CE130" s="405"/>
      <c r="CI130" s="101">
        <f t="shared" ref="CI130" si="429">SUMIF($D$5:$D$125,"=zus",CI5:CI125)+SUMIF($D$5:$D$125,"=zum",CI5:CI125)+SUMIF($D$5:$D$125,"=zur",CI5:CI125)+SUMIF($D$5:$D$125,"=zuk",CI5:CI125)</f>
        <v>2701000</v>
      </c>
      <c r="CJ130" s="102">
        <f t="shared" ref="CJ130" si="430">SUM(CJ131:CJ133)</f>
        <v>1</v>
      </c>
      <c r="CK130" s="101">
        <f t="shared" ref="CK130" si="431">SUMIF($D$5:$D$125,"=zus",CK5:CK125)+SUMIF($D$5:$D$125,"=zum",CK5:CK125)+SUMIF($D$5:$D$125,"=zur",CK5:CK125)+SUMIF($D$5:$D$125,"=zuk",CK5:CK125)</f>
        <v>50020</v>
      </c>
      <c r="CL130" s="102">
        <f t="shared" ref="CL130" si="432">SUM(CL131:CL133)</f>
        <v>1</v>
      </c>
      <c r="CM130" s="302" t="s">
        <v>738</v>
      </c>
      <c r="CQ130" s="217"/>
      <c r="CR130" s="405"/>
      <c r="CV130" s="101">
        <f t="shared" ref="CV130" si="433">SUMIF($D$5:$D$125,"=zus",CV5:CV125)+SUMIF($D$5:$D$125,"=zum",CV5:CV125)+SUMIF($D$5:$D$125,"=zur",CV5:CV125)+SUMIF($D$5:$D$125,"=zuk",CV5:CV125)</f>
        <v>2701000</v>
      </c>
      <c r="CW130" s="102">
        <f t="shared" ref="CW130" si="434">SUM(CW131:CW133)</f>
        <v>1</v>
      </c>
      <c r="CX130" s="101">
        <f t="shared" ref="CX130" si="435">SUMIF($D$5:$D$125,"=zus",CX5:CX125)+SUMIF($D$5:$D$125,"=zum",CX5:CX125)+SUMIF($D$5:$D$125,"=zur",CX5:CX125)+SUMIF($D$5:$D$125,"=zuk",CX5:CX125)</f>
        <v>50020</v>
      </c>
      <c r="CY130" s="102">
        <f t="shared" ref="CY130" si="436">SUM(CY131:CY133)</f>
        <v>1</v>
      </c>
      <c r="CZ130" s="302" t="s">
        <v>738</v>
      </c>
      <c r="DD130" s="217"/>
      <c r="DE130" s="405"/>
      <c r="DI130" s="101">
        <f t="shared" ref="DI130" si="437">SUMIF($D$5:$D$125,"=zus",DI5:DI125)+SUMIF($D$5:$D$125,"=zum",DI5:DI125)+SUMIF($D$5:$D$125,"=zur",DI5:DI125)+SUMIF($D$5:$D$125,"=zuk",DI5:DI125)</f>
        <v>2701000</v>
      </c>
      <c r="DJ130" s="102">
        <f t="shared" ref="DJ130" si="438">SUM(DJ131:DJ133)</f>
        <v>1</v>
      </c>
      <c r="DK130" s="101">
        <f t="shared" ref="DK130" si="439">SUMIF($D$5:$D$125,"=zus",DK5:DK125)+SUMIF($D$5:$D$125,"=zum",DK5:DK125)+SUMIF($D$5:$D$125,"=zur",DK5:DK125)+SUMIF($D$5:$D$125,"=zuk",DK5:DK125)</f>
        <v>50020</v>
      </c>
      <c r="DL130" s="102">
        <f t="shared" ref="DL130" si="440">SUM(DL131:DL133)</f>
        <v>1</v>
      </c>
      <c r="DM130" s="302" t="s">
        <v>738</v>
      </c>
      <c r="DQ130" s="217"/>
      <c r="DR130" s="405"/>
      <c r="DV130" s="101">
        <f t="shared" ref="DV130" si="441">SUMIF($D$5:$D$125,"=zus",DV5:DV125)+SUMIF($D$5:$D$125,"=zum",DV5:DV125)+SUMIF($D$5:$D$125,"=zur",DV5:DV125)+SUMIF($D$5:$D$125,"=zuk",DV5:DV125)</f>
        <v>2701000</v>
      </c>
      <c r="DW130" s="102">
        <f t="shared" ref="DW130" si="442">SUM(DW131:DW133)</f>
        <v>1</v>
      </c>
      <c r="DX130" s="101">
        <f t="shared" ref="DX130" si="443">SUMIF($D$5:$D$125,"=zus",DX5:DX125)+SUMIF($D$5:$D$125,"=zum",DX5:DX125)+SUMIF($D$5:$D$125,"=zur",DX5:DX125)+SUMIF($D$5:$D$125,"=zuk",DX5:DX125)</f>
        <v>50020</v>
      </c>
      <c r="DY130" s="102">
        <f t="shared" ref="DY130" si="444">SUM(DY131:DY133)</f>
        <v>1</v>
      </c>
      <c r="DZ130" s="302" t="s">
        <v>738</v>
      </c>
      <c r="ED130" s="217"/>
    </row>
    <row r="131" spans="1:134" hidden="1" x14ac:dyDescent="0.3">
      <c r="A131" s="84" t="s">
        <v>180</v>
      </c>
      <c r="Q131" s="238">
        <v>4</v>
      </c>
      <c r="R131" s="403"/>
      <c r="V131" s="101">
        <f>SUMIF($D$5:$D$125,"=zus",V5:V125)*HLOOKUP(X128,Verteil_sw,39,FALSE)+SUMIF($D$5:$D$125,"=zum",V5:V125)*HLOOKUP(X128,Verteil_sw,40,FALSE)+SUMIF($D$5:$D$125,"=zur",V5:V125)*HLOOKUP(X128,Verteil_sw,41,FALSE)+SUMIF($D$5:$D$125,"=zuk",V5:V125)*HLOOKUP(X128,Verteil_sw,42,FALSE)</f>
        <v>1371000</v>
      </c>
      <c r="W131" s="102">
        <f>IF(V130&lt;&gt;0,V131/V130,0)</f>
        <v>0.50758978156238432</v>
      </c>
      <c r="X131" s="101">
        <f>SUMIF($D$5:$D$125,"=zus",X5:X125)*HLOOKUP(X128,Verteil_sw,39,FALSE)+SUMIF($D$5:$D$125,"=zum",X5:X125)*HLOOKUP(X128,Verteil_sw,40,FALSE)+SUMIF($D$5:$D$125,"=zur",X5:X125)*HLOOKUP(X128,Verteil_sw,41,FALSE)+SUMIF($D$5:$D$125,"=zuk",X5:X125)*HLOOKUP(X128,Verteil_sw,42,FALSE)</f>
        <v>27420</v>
      </c>
      <c r="Y131" s="102">
        <f>IF(X130&lt;&gt;0,X131/X130,0)</f>
        <v>0.50758978156238432</v>
      </c>
      <c r="Z131" s="84" t="s">
        <v>180</v>
      </c>
      <c r="AD131" s="217"/>
      <c r="AE131" s="403"/>
      <c r="AI131" s="101">
        <f>SUMIF($D$5:$D$125,"=zus",AI5:AI125)*HLOOKUP(AK128,Verteil_sw,39,FALSE)+SUMIF($D$5:$D$125,"=zum",AI5:AI125)*HLOOKUP(AK128,Verteil_sw,40,FALSE)+SUMIF($D$5:$D$125,"=zur",AI5:AI125)*HLOOKUP(AK128,Verteil_sw,41,FALSE)+SUMIF($D$5:$D$125,"=zuk",AI5:AI125)*HLOOKUP(AK128,Verteil_sw,42,FALSE)</f>
        <v>1371000</v>
      </c>
      <c r="AJ131" s="102">
        <f t="shared" ref="AJ131" si="445">IF(AI130&lt;&gt;0,AI131/AI130,0)</f>
        <v>0.50758978156238432</v>
      </c>
      <c r="AK131" s="101">
        <f>SUMIF($D$5:$D$125,"=zus",AK5:AK125)*HLOOKUP(AK128,Verteil_sw,39,FALSE)+SUMIF($D$5:$D$125,"=zum",AK5:AK125)*HLOOKUP(AK128,Verteil_sw,40,FALSE)+SUMIF($D$5:$D$125,"=zur",AK5:AK125)*HLOOKUP(AK128,Verteil_sw,41,FALSE)+SUMIF($D$5:$D$125,"=zuk",AK5:AK125)*HLOOKUP(AK128,Verteil_sw,42,FALSE)</f>
        <v>26420</v>
      </c>
      <c r="AL131" s="102">
        <f t="shared" ref="AL131" si="446">IF(AK130&lt;&gt;0,AK131/AK130,0)</f>
        <v>0.50788158400615147</v>
      </c>
      <c r="AM131" s="659" t="s">
        <v>180</v>
      </c>
      <c r="AQ131" s="217"/>
      <c r="AR131" s="403"/>
      <c r="AV131" s="101">
        <f>SUMIF($D$5:$D$125,"=zus",AV5:AV125)*HLOOKUP(AX128,Verteil_sw,39,FALSE)+SUMIF($D$5:$D$125,"=zum",AV5:AV125)*HLOOKUP(AX128,Verteil_sw,40,FALSE)+SUMIF($D$5:$D$125,"=zur",AV5:AV125)*HLOOKUP(AX128,Verteil_sw,41,FALSE)+SUMIF($D$5:$D$125,"=zuk",AV5:AV125)*HLOOKUP(AX128,Verteil_sw,42,FALSE)</f>
        <v>1371000</v>
      </c>
      <c r="AW131" s="102">
        <f t="shared" ref="AW131" si="447">IF(AV130&lt;&gt;0,AV131/AV130,0)</f>
        <v>0.50758978156238432</v>
      </c>
      <c r="AX131" s="101">
        <f>SUMIF($D$5:$D$125,"=zus",AX5:AX125)*HLOOKUP(AX128,Verteil_sw,39,FALSE)+SUMIF($D$5:$D$125,"=zum",AX5:AX125)*HLOOKUP(AX128,Verteil_sw,40,FALSE)+SUMIF($D$5:$D$125,"=zur",AX5:AX125)*HLOOKUP(AX128,Verteil_sw,41,FALSE)+SUMIF($D$5:$D$125,"=zuk",AX5:AX125)*HLOOKUP(AX128,Verteil_sw,42,FALSE)</f>
        <v>25420</v>
      </c>
      <c r="AY131" s="102">
        <f t="shared" ref="AY131" si="448">IF(AX130&lt;&gt;0,AX131/AX130,0)</f>
        <v>0.50819672131147542</v>
      </c>
      <c r="AZ131" s="659" t="s">
        <v>180</v>
      </c>
      <c r="BD131" s="217"/>
      <c r="BE131" s="403"/>
      <c r="BI131" s="101">
        <f>SUMIF($D$5:$D$125,"=zus",BI5:BI125)*HLOOKUP(BK128,Verteil_sw,39,FALSE)+SUMIF($D$5:$D$125,"=zum",BI5:BI125)*HLOOKUP(BK128,Verteil_sw,40,FALSE)+SUMIF($D$5:$D$125,"=zur",BI5:BI125)*HLOOKUP(BK128,Verteil_sw,41,FALSE)+SUMIF($D$5:$D$125,"=zuk",BI5:BI125)*HLOOKUP(BK128,Verteil_sw,42,FALSE)</f>
        <v>1371000</v>
      </c>
      <c r="BJ131" s="102">
        <f t="shared" ref="BJ131" si="449">IF(BI130&lt;&gt;0,BI131/BI130,0)</f>
        <v>0.50758978156238432</v>
      </c>
      <c r="BK131" s="101">
        <f>SUMIF($D$5:$D$125,"=zus",BK5:BK125)*HLOOKUP(BK128,Verteil_sw,39,FALSE)+SUMIF($D$5:$D$125,"=zum",BK5:BK125)*HLOOKUP(BK128,Verteil_sw,40,FALSE)+SUMIF($D$5:$D$125,"=zur",BK5:BK125)*HLOOKUP(BK128,Verteil_sw,41,FALSE)+SUMIF($D$5:$D$125,"=zuk",BK5:BK125)*HLOOKUP(BK128,Verteil_sw,42,FALSE)</f>
        <v>25420</v>
      </c>
      <c r="BL131" s="102">
        <f t="shared" ref="BL131" si="450">IF(BK130&lt;&gt;0,BK131/BK130,0)</f>
        <v>0.50819672131147542</v>
      </c>
      <c r="BM131" s="659" t="s">
        <v>180</v>
      </c>
      <c r="BQ131" s="217"/>
      <c r="BR131" s="403"/>
      <c r="BV131" s="101">
        <f>SUMIF($D$5:$D$125,"=zus",BV5:BV125)*HLOOKUP(BX128,Verteil_sw,39,FALSE)+SUMIF($D$5:$D$125,"=zum",BV5:BV125)*HLOOKUP(BX128,Verteil_sw,40,FALSE)+SUMIF($D$5:$D$125,"=zur",BV5:BV125)*HLOOKUP(BX128,Verteil_sw,41,FALSE)+SUMIF($D$5:$D$125,"=zuk",BV5:BV125)*HLOOKUP(BX128,Verteil_sw,42,FALSE)</f>
        <v>1371000</v>
      </c>
      <c r="BW131" s="102">
        <f t="shared" ref="BW131" si="451">IF(BV130&lt;&gt;0,BV131/BV130,0)</f>
        <v>0.50758978156238432</v>
      </c>
      <c r="BX131" s="101">
        <f>SUMIF($D$5:$D$125,"=zus",BX5:BX125)*HLOOKUP(BX128,Verteil_sw,39,FALSE)+SUMIF($D$5:$D$125,"=zum",BX5:BX125)*HLOOKUP(BX128,Verteil_sw,40,FALSE)+SUMIF($D$5:$D$125,"=zur",BX5:BX125)*HLOOKUP(BX128,Verteil_sw,41,FALSE)+SUMIF($D$5:$D$125,"=zuk",BX5:BX125)*HLOOKUP(BX128,Verteil_sw,42,FALSE)</f>
        <v>25420</v>
      </c>
      <c r="BY131" s="102">
        <f t="shared" ref="BY131" si="452">IF(BX130&lt;&gt;0,BX131/BX130,0)</f>
        <v>0.50819672131147542</v>
      </c>
      <c r="BZ131" s="659" t="s">
        <v>180</v>
      </c>
      <c r="CD131" s="217"/>
      <c r="CE131" s="403"/>
      <c r="CI131" s="101">
        <f>SUMIF($D$5:$D$125,"=zus",CI5:CI125)*HLOOKUP(CK128,Verteil_sw,39,FALSE)+SUMIF($D$5:$D$125,"=zum",CI5:CI125)*HLOOKUP(CK128,Verteil_sw,40,FALSE)+SUMIF($D$5:$D$125,"=zur",CI5:CI125)*HLOOKUP(CK128,Verteil_sw,41,FALSE)+SUMIF($D$5:$D$125,"=zuk",CI5:CI125)*HLOOKUP(CK128,Verteil_sw,42,FALSE)</f>
        <v>1371000</v>
      </c>
      <c r="CJ131" s="102">
        <f t="shared" ref="CJ131" si="453">IF(CI130&lt;&gt;0,CI131/CI130,0)</f>
        <v>0.50758978156238432</v>
      </c>
      <c r="CK131" s="101">
        <f>SUMIF($D$5:$D$125,"=zus",CK5:CK125)*HLOOKUP(CK128,Verteil_sw,39,FALSE)+SUMIF($D$5:$D$125,"=zum",CK5:CK125)*HLOOKUP(CK128,Verteil_sw,40,FALSE)+SUMIF($D$5:$D$125,"=zur",CK5:CK125)*HLOOKUP(CK128,Verteil_sw,41,FALSE)+SUMIF($D$5:$D$125,"=zuk",CK5:CK125)*HLOOKUP(CK128,Verteil_sw,42,FALSE)</f>
        <v>25420</v>
      </c>
      <c r="CL131" s="102">
        <f t="shared" ref="CL131" si="454">IF(CK130&lt;&gt;0,CK131/CK130,0)</f>
        <v>0.50819672131147542</v>
      </c>
      <c r="CM131" s="659" t="s">
        <v>180</v>
      </c>
      <c r="CQ131" s="217"/>
      <c r="CR131" s="403"/>
      <c r="CV131" s="101">
        <f>SUMIF($D$5:$D$125,"=zus",CV5:CV125)*HLOOKUP(CX128,Verteil_sw,39,FALSE)+SUMIF($D$5:$D$125,"=zum",CV5:CV125)*HLOOKUP(CX128,Verteil_sw,40,FALSE)+SUMIF($D$5:$D$125,"=zur",CV5:CV125)*HLOOKUP(CX128,Verteil_sw,41,FALSE)+SUMIF($D$5:$D$125,"=zuk",CV5:CV125)*HLOOKUP(CX128,Verteil_sw,42,FALSE)</f>
        <v>1371000</v>
      </c>
      <c r="CW131" s="102">
        <f t="shared" ref="CW131" si="455">IF(CV130&lt;&gt;0,CV131/CV130,0)</f>
        <v>0.50758978156238432</v>
      </c>
      <c r="CX131" s="101">
        <f>SUMIF($D$5:$D$125,"=zus",CX5:CX125)*HLOOKUP(CX128,Verteil_sw,39,FALSE)+SUMIF($D$5:$D$125,"=zum",CX5:CX125)*HLOOKUP(CX128,Verteil_sw,40,FALSE)+SUMIF($D$5:$D$125,"=zur",CX5:CX125)*HLOOKUP(CX128,Verteil_sw,41,FALSE)+SUMIF($D$5:$D$125,"=zuk",CX5:CX125)*HLOOKUP(CX128,Verteil_sw,42,FALSE)</f>
        <v>25420</v>
      </c>
      <c r="CY131" s="102">
        <f t="shared" ref="CY131" si="456">IF(CX130&lt;&gt;0,CX131/CX130,0)</f>
        <v>0.50819672131147542</v>
      </c>
      <c r="CZ131" s="659" t="s">
        <v>180</v>
      </c>
      <c r="DD131" s="217"/>
      <c r="DE131" s="403"/>
      <c r="DI131" s="101">
        <f>SUMIF($D$5:$D$125,"=zus",DI5:DI125)*HLOOKUP(DK128,Verteil_sw,39,FALSE)+SUMIF($D$5:$D$125,"=zum",DI5:DI125)*HLOOKUP(DK128,Verteil_sw,40,FALSE)+SUMIF($D$5:$D$125,"=zur",DI5:DI125)*HLOOKUP(DK128,Verteil_sw,41,FALSE)+SUMIF($D$5:$D$125,"=zuk",DI5:DI125)*HLOOKUP(DK128,Verteil_sw,42,FALSE)</f>
        <v>1371000</v>
      </c>
      <c r="DJ131" s="102">
        <f t="shared" ref="DJ131" si="457">IF(DI130&lt;&gt;0,DI131/DI130,0)</f>
        <v>0.50758978156238432</v>
      </c>
      <c r="DK131" s="101">
        <f>SUMIF($D$5:$D$125,"=zus",DK5:DK125)*HLOOKUP(DK128,Verteil_sw,39,FALSE)+SUMIF($D$5:$D$125,"=zum",DK5:DK125)*HLOOKUP(DK128,Verteil_sw,40,FALSE)+SUMIF($D$5:$D$125,"=zur",DK5:DK125)*HLOOKUP(DK128,Verteil_sw,41,FALSE)+SUMIF($D$5:$D$125,"=zuk",DK5:DK125)*HLOOKUP(DK128,Verteil_sw,42,FALSE)</f>
        <v>25420</v>
      </c>
      <c r="DL131" s="102">
        <f t="shared" ref="DL131" si="458">IF(DK130&lt;&gt;0,DK131/DK130,0)</f>
        <v>0.50819672131147542</v>
      </c>
      <c r="DM131" s="659" t="s">
        <v>180</v>
      </c>
      <c r="DQ131" s="217"/>
      <c r="DR131" s="403"/>
      <c r="DV131" s="101">
        <f>SUMIF($D$5:$D$125,"=zus",DV5:DV125)*HLOOKUP(DX128,Verteil_sw,39,FALSE)+SUMIF($D$5:$D$125,"=zum",DV5:DV125)*HLOOKUP(DX128,Verteil_sw,40,FALSE)+SUMIF($D$5:$D$125,"=zur",DV5:DV125)*HLOOKUP(DX128,Verteil_sw,41,FALSE)+SUMIF($D$5:$D$125,"=zuk",DV5:DV125)*HLOOKUP(DX128,Verteil_sw,42,FALSE)</f>
        <v>1371000</v>
      </c>
      <c r="DW131" s="102">
        <f t="shared" ref="DW131" si="459">IF(DV130&lt;&gt;0,DV131/DV130,0)</f>
        <v>0.50758978156238432</v>
      </c>
      <c r="DX131" s="101">
        <f>SUMIF($D$5:$D$125,"=zus",DX5:DX125)*HLOOKUP(DX128,Verteil_sw,39,FALSE)+SUMIF($D$5:$D$125,"=zum",DX5:DX125)*HLOOKUP(DX128,Verteil_sw,40,FALSE)+SUMIF($D$5:$D$125,"=zur",DX5:DX125)*HLOOKUP(DX128,Verteil_sw,41,FALSE)+SUMIF($D$5:$D$125,"=zuk",DX5:DX125)*HLOOKUP(DX128,Verteil_sw,42,FALSE)</f>
        <v>25420</v>
      </c>
      <c r="DY131" s="102">
        <f t="shared" ref="DY131" si="460">IF(DX130&lt;&gt;0,DX131/DX130,0)</f>
        <v>0.50819672131147542</v>
      </c>
      <c r="DZ131" s="659" t="s">
        <v>180</v>
      </c>
      <c r="ED131" s="217"/>
    </row>
    <row r="132" spans="1:134" hidden="1" x14ac:dyDescent="0.3">
      <c r="A132" s="84" t="s">
        <v>181</v>
      </c>
      <c r="Q132" s="238">
        <v>5</v>
      </c>
      <c r="R132" s="403"/>
      <c r="V132" s="101">
        <f>SUMIF($D$5:$D$125,"=zus",V5:V125)*HLOOKUP(X128,Verteil_rwgr,38,FALSE)+SUMIF($D$5:$D$125,"=zum",V5:V125)*HLOOKUP(X128,Verteil_rwgr,39,FALSE)+SUMIF($D$5:$D$125,"=zur",V5:V125)*HLOOKUP(X128,Verteil_rwgr,40,FALSE)+SUMIF($D$5:$D$125,"=zuk",V5:V125)*HLOOKUP(X128,Verteil_rwgr,41,FALSE)</f>
        <v>1330000</v>
      </c>
      <c r="W132" s="102">
        <f>IF(V130&lt;&gt;0,V132/V130,0)</f>
        <v>0.49241021843761568</v>
      </c>
      <c r="X132" s="101">
        <f>SUMIF($D$5:$D$125,"=zus",X5:X125)*HLOOKUP(X128,Verteil_rwgr,38,FALSE)+SUMIF($D$5:$D$125,"=zum",X5:X125)*HLOOKUP(X128,Verteil_rwgr,39,FALSE)+SUMIF($D$5:$D$125,"=zur",X5:X125)*HLOOKUP(X128,Verteil_rwgr,40,FALSE)+SUMIF($D$5:$D$125,"=zuk",X5:X125)*HLOOKUP(X128,Verteil_rwgr,41,FALSE)</f>
        <v>26600</v>
      </c>
      <c r="Y132" s="102">
        <f>IF(X130&lt;&gt;0,X132/X130,0)</f>
        <v>0.49241021843761568</v>
      </c>
      <c r="Z132" s="84" t="s">
        <v>181</v>
      </c>
      <c r="AD132" s="217"/>
      <c r="AE132" s="403"/>
      <c r="AI132" s="101">
        <f>SUMIF($D$5:$D$125,"=zus",AI5:AI125)*HLOOKUP(AK128,Verteil_rwgr,38,FALSE)+SUMIF($D$5:$D$125,"=zum",AI5:AI125)*HLOOKUP(AK128,Verteil_rwgr,39,FALSE)+SUMIF($D$5:$D$125,"=zur",AI5:AI125)*HLOOKUP(AK128,Verteil_rwgr,40,FALSE)+SUMIF($D$5:$D$125,"=zuk",AI5:AI125)*HLOOKUP(AK128,Verteil_rwgr,41,FALSE)</f>
        <v>1330000</v>
      </c>
      <c r="AJ132" s="102">
        <f t="shared" ref="AJ132" si="461">IF(AI130&lt;&gt;0,AI132/AI130,0)</f>
        <v>0.49241021843761568</v>
      </c>
      <c r="AK132" s="101">
        <f>SUMIF($D$5:$D$125,"=zus",AK5:AK125)*HLOOKUP(AK128,Verteil_rwgr,38,FALSE)+SUMIF($D$5:$D$125,"=zum",AK5:AK125)*HLOOKUP(AK128,Verteil_rwgr,39,FALSE)+SUMIF($D$5:$D$125,"=zur",AK5:AK125)*HLOOKUP(AK128,Verteil_rwgr,40,FALSE)+SUMIF($D$5:$D$125,"=zuk",AK5:AK125)*HLOOKUP(AK128,Verteil_rwgr,41,FALSE)</f>
        <v>25600</v>
      </c>
      <c r="AL132" s="102">
        <f t="shared" ref="AL132" si="462">IF(AK130&lt;&gt;0,AK132/AK130,0)</f>
        <v>0.49211841599384853</v>
      </c>
      <c r="AM132" s="659" t="s">
        <v>181</v>
      </c>
      <c r="AQ132" s="217"/>
      <c r="AR132" s="403"/>
      <c r="AV132" s="101">
        <f>SUMIF($D$5:$D$125,"=zus",AV5:AV125)*HLOOKUP(AX128,Verteil_rwgr,38,FALSE)+SUMIF($D$5:$D$125,"=zum",AV5:AV125)*HLOOKUP(AX128,Verteil_rwgr,39,FALSE)+SUMIF($D$5:$D$125,"=zur",AV5:AV125)*HLOOKUP(AX128,Verteil_rwgr,40,FALSE)+SUMIF($D$5:$D$125,"=zuk",AV5:AV125)*HLOOKUP(AX128,Verteil_rwgr,41,FALSE)</f>
        <v>1330000</v>
      </c>
      <c r="AW132" s="102">
        <f t="shared" ref="AW132" si="463">IF(AV130&lt;&gt;0,AV132/AV130,0)</f>
        <v>0.49241021843761568</v>
      </c>
      <c r="AX132" s="101">
        <f>SUMIF($D$5:$D$125,"=zus",AX5:AX125)*HLOOKUP(AX128,Verteil_rwgr,38,FALSE)+SUMIF($D$5:$D$125,"=zum",AX5:AX125)*HLOOKUP(AX128,Verteil_rwgr,39,FALSE)+SUMIF($D$5:$D$125,"=zur",AX5:AX125)*HLOOKUP(AX128,Verteil_rwgr,40,FALSE)+SUMIF($D$5:$D$125,"=zuk",AX5:AX125)*HLOOKUP(AX128,Verteil_rwgr,41,FALSE)</f>
        <v>24600</v>
      </c>
      <c r="AY132" s="102">
        <f t="shared" ref="AY132" si="464">IF(AX130&lt;&gt;0,AX132/AX130,0)</f>
        <v>0.49180327868852458</v>
      </c>
      <c r="AZ132" s="659" t="s">
        <v>181</v>
      </c>
      <c r="BD132" s="217"/>
      <c r="BE132" s="403"/>
      <c r="BI132" s="101">
        <f>SUMIF($D$5:$D$125,"=zus",BI5:BI125)*HLOOKUP(BK128,Verteil_rwgr,38,FALSE)+SUMIF($D$5:$D$125,"=zum",BI5:BI125)*HLOOKUP(BK128,Verteil_rwgr,39,FALSE)+SUMIF($D$5:$D$125,"=zur",BI5:BI125)*HLOOKUP(BK128,Verteil_rwgr,40,FALSE)+SUMIF($D$5:$D$125,"=zuk",BI5:BI125)*HLOOKUP(BK128,Verteil_rwgr,41,FALSE)</f>
        <v>1330000</v>
      </c>
      <c r="BJ132" s="102">
        <f t="shared" ref="BJ132" si="465">IF(BI130&lt;&gt;0,BI132/BI130,0)</f>
        <v>0.49241021843761568</v>
      </c>
      <c r="BK132" s="101">
        <f>SUMIF($D$5:$D$125,"=zus",BK5:BK125)*HLOOKUP(BK128,Verteil_rwgr,38,FALSE)+SUMIF($D$5:$D$125,"=zum",BK5:BK125)*HLOOKUP(BK128,Verteil_rwgr,39,FALSE)+SUMIF($D$5:$D$125,"=zur",BK5:BK125)*HLOOKUP(BK128,Verteil_rwgr,40,FALSE)+SUMIF($D$5:$D$125,"=zuk",BK5:BK125)*HLOOKUP(BK128,Verteil_rwgr,41,FALSE)</f>
        <v>24600</v>
      </c>
      <c r="BL132" s="102">
        <f t="shared" ref="BL132" si="466">IF(BK130&lt;&gt;0,BK132/BK130,0)</f>
        <v>0.49180327868852458</v>
      </c>
      <c r="BM132" s="659" t="s">
        <v>181</v>
      </c>
      <c r="BQ132" s="217"/>
      <c r="BR132" s="403"/>
      <c r="BV132" s="101">
        <f>SUMIF($D$5:$D$125,"=zus",BV5:BV125)*HLOOKUP(BX128,Verteil_rwgr,38,FALSE)+SUMIF($D$5:$D$125,"=zum",BV5:BV125)*HLOOKUP(BX128,Verteil_rwgr,39,FALSE)+SUMIF($D$5:$D$125,"=zur",BV5:BV125)*HLOOKUP(BX128,Verteil_rwgr,40,FALSE)+SUMIF($D$5:$D$125,"=zuk",BV5:BV125)*HLOOKUP(BX128,Verteil_rwgr,41,FALSE)</f>
        <v>1330000</v>
      </c>
      <c r="BW132" s="102">
        <f t="shared" ref="BW132" si="467">IF(BV130&lt;&gt;0,BV132/BV130,0)</f>
        <v>0.49241021843761568</v>
      </c>
      <c r="BX132" s="101">
        <f>SUMIF($D$5:$D$125,"=zus",BX5:BX125)*HLOOKUP(BX128,Verteil_rwgr,38,FALSE)+SUMIF($D$5:$D$125,"=zum",BX5:BX125)*HLOOKUP(BX128,Verteil_rwgr,39,FALSE)+SUMIF($D$5:$D$125,"=zur",BX5:BX125)*HLOOKUP(BX128,Verteil_rwgr,40,FALSE)+SUMIF($D$5:$D$125,"=zuk",BX5:BX125)*HLOOKUP(BX128,Verteil_rwgr,41,FALSE)</f>
        <v>24600</v>
      </c>
      <c r="BY132" s="102">
        <f t="shared" ref="BY132" si="468">IF(BX130&lt;&gt;0,BX132/BX130,0)</f>
        <v>0.49180327868852458</v>
      </c>
      <c r="BZ132" s="659" t="s">
        <v>181</v>
      </c>
      <c r="CD132" s="217"/>
      <c r="CE132" s="403"/>
      <c r="CI132" s="101">
        <f>SUMIF($D$5:$D$125,"=zus",CI5:CI125)*HLOOKUP(CK128,Verteil_rwgr,38,FALSE)+SUMIF($D$5:$D$125,"=zum",CI5:CI125)*HLOOKUP(CK128,Verteil_rwgr,39,FALSE)+SUMIF($D$5:$D$125,"=zur",CI5:CI125)*HLOOKUP(CK128,Verteil_rwgr,40,FALSE)+SUMIF($D$5:$D$125,"=zuk",CI5:CI125)*HLOOKUP(CK128,Verteil_rwgr,41,FALSE)</f>
        <v>1330000</v>
      </c>
      <c r="CJ132" s="102">
        <f t="shared" ref="CJ132" si="469">IF(CI130&lt;&gt;0,CI132/CI130,0)</f>
        <v>0.49241021843761568</v>
      </c>
      <c r="CK132" s="101">
        <f>SUMIF($D$5:$D$125,"=zus",CK5:CK125)*HLOOKUP(CK128,Verteil_rwgr,38,FALSE)+SUMIF($D$5:$D$125,"=zum",CK5:CK125)*HLOOKUP(CK128,Verteil_rwgr,39,FALSE)+SUMIF($D$5:$D$125,"=zur",CK5:CK125)*HLOOKUP(CK128,Verteil_rwgr,40,FALSE)+SUMIF($D$5:$D$125,"=zuk",CK5:CK125)*HLOOKUP(CK128,Verteil_rwgr,41,FALSE)</f>
        <v>24600</v>
      </c>
      <c r="CL132" s="102">
        <f t="shared" ref="CL132" si="470">IF(CK130&lt;&gt;0,CK132/CK130,0)</f>
        <v>0.49180327868852458</v>
      </c>
      <c r="CM132" s="659" t="s">
        <v>181</v>
      </c>
      <c r="CQ132" s="217"/>
      <c r="CR132" s="403"/>
      <c r="CV132" s="101">
        <f>SUMIF($D$5:$D$125,"=zus",CV5:CV125)*HLOOKUP(CX128,Verteil_rwgr,38,FALSE)+SUMIF($D$5:$D$125,"=zum",CV5:CV125)*HLOOKUP(CX128,Verteil_rwgr,39,FALSE)+SUMIF($D$5:$D$125,"=zur",CV5:CV125)*HLOOKUP(CX128,Verteil_rwgr,40,FALSE)+SUMIF($D$5:$D$125,"=zuk",CV5:CV125)*HLOOKUP(CX128,Verteil_rwgr,41,FALSE)</f>
        <v>1330000</v>
      </c>
      <c r="CW132" s="102">
        <f t="shared" ref="CW132" si="471">IF(CV130&lt;&gt;0,CV132/CV130,0)</f>
        <v>0.49241021843761568</v>
      </c>
      <c r="CX132" s="101">
        <f>SUMIF($D$5:$D$125,"=zus",CX5:CX125)*HLOOKUP(CX128,Verteil_rwgr,38,FALSE)+SUMIF($D$5:$D$125,"=zum",CX5:CX125)*HLOOKUP(CX128,Verteil_rwgr,39,FALSE)+SUMIF($D$5:$D$125,"=zur",CX5:CX125)*HLOOKUP(CX128,Verteil_rwgr,40,FALSE)+SUMIF($D$5:$D$125,"=zuk",CX5:CX125)*HLOOKUP(CX128,Verteil_rwgr,41,FALSE)</f>
        <v>24600</v>
      </c>
      <c r="CY132" s="102">
        <f t="shared" ref="CY132" si="472">IF(CX130&lt;&gt;0,CX132/CX130,0)</f>
        <v>0.49180327868852458</v>
      </c>
      <c r="CZ132" s="659" t="s">
        <v>181</v>
      </c>
      <c r="DD132" s="217"/>
      <c r="DE132" s="403"/>
      <c r="DI132" s="101">
        <f>SUMIF($D$5:$D$125,"=zus",DI5:DI125)*HLOOKUP(DK128,Verteil_rwgr,38,FALSE)+SUMIF($D$5:$D$125,"=zum",DI5:DI125)*HLOOKUP(DK128,Verteil_rwgr,39,FALSE)+SUMIF($D$5:$D$125,"=zur",DI5:DI125)*HLOOKUP(DK128,Verteil_rwgr,40,FALSE)+SUMIF($D$5:$D$125,"=zuk",DI5:DI125)*HLOOKUP(DK128,Verteil_rwgr,41,FALSE)</f>
        <v>1330000</v>
      </c>
      <c r="DJ132" s="102">
        <f t="shared" ref="DJ132" si="473">IF(DI130&lt;&gt;0,DI132/DI130,0)</f>
        <v>0.49241021843761568</v>
      </c>
      <c r="DK132" s="101">
        <f>SUMIF($D$5:$D$125,"=zus",DK5:DK125)*HLOOKUP(DK128,Verteil_rwgr,38,FALSE)+SUMIF($D$5:$D$125,"=zum",DK5:DK125)*HLOOKUP(DK128,Verteil_rwgr,39,FALSE)+SUMIF($D$5:$D$125,"=zur",DK5:DK125)*HLOOKUP(DK128,Verteil_rwgr,40,FALSE)+SUMIF($D$5:$D$125,"=zuk",DK5:DK125)*HLOOKUP(DK128,Verteil_rwgr,41,FALSE)</f>
        <v>24600</v>
      </c>
      <c r="DL132" s="102">
        <f t="shared" ref="DL132" si="474">IF(DK130&lt;&gt;0,DK132/DK130,0)</f>
        <v>0.49180327868852458</v>
      </c>
      <c r="DM132" s="659" t="s">
        <v>181</v>
      </c>
      <c r="DQ132" s="217"/>
      <c r="DR132" s="403"/>
      <c r="DV132" s="101">
        <f>SUMIF($D$5:$D$125,"=zus",DV5:DV125)*HLOOKUP(DX128,Verteil_rwgr,38,FALSE)+SUMIF($D$5:$D$125,"=zum",DV5:DV125)*HLOOKUP(DX128,Verteil_rwgr,39,FALSE)+SUMIF($D$5:$D$125,"=zur",DV5:DV125)*HLOOKUP(DX128,Verteil_rwgr,40,FALSE)+SUMIF($D$5:$D$125,"=zuk",DV5:DV125)*HLOOKUP(DX128,Verteil_rwgr,41,FALSE)</f>
        <v>1330000</v>
      </c>
      <c r="DW132" s="102">
        <f t="shared" ref="DW132" si="475">IF(DV130&lt;&gt;0,DV132/DV130,0)</f>
        <v>0.49241021843761568</v>
      </c>
      <c r="DX132" s="101">
        <f>SUMIF($D$5:$D$125,"=zus",DX5:DX125)*HLOOKUP(DX128,Verteil_rwgr,38,FALSE)+SUMIF($D$5:$D$125,"=zum",DX5:DX125)*HLOOKUP(DX128,Verteil_rwgr,39,FALSE)+SUMIF($D$5:$D$125,"=zur",DX5:DX125)*HLOOKUP(DX128,Verteil_rwgr,40,FALSE)+SUMIF($D$5:$D$125,"=zuk",DX5:DX125)*HLOOKUP(DX128,Verteil_rwgr,41,FALSE)</f>
        <v>24600</v>
      </c>
      <c r="DY132" s="102">
        <f t="shared" ref="DY132" si="476">IF(DX130&lt;&gt;0,DX132/DX130,0)</f>
        <v>0.49180327868852458</v>
      </c>
      <c r="DZ132" s="659" t="s">
        <v>181</v>
      </c>
      <c r="ED132" s="217"/>
    </row>
    <row r="133" spans="1:134" hidden="1" x14ac:dyDescent="0.3">
      <c r="A133" s="84" t="s">
        <v>531</v>
      </c>
      <c r="Q133" s="238">
        <v>6</v>
      </c>
      <c r="R133" s="403"/>
      <c r="V133" s="101">
        <f>SUMIF($D$5:$D$125,"=zus",$X$5:$X$125)*HLOOKUP($X$128,Verteil_rwst,37,FALSE)+SUMIF($D$5:$D$125,"=zum",$X$5:$X$125)*HLOOKUP($X$128,Verteil_rwst,38,FALSE)+SUMIF($D$5:$D$125,"=zur",$X$5:$X$125)*HLOOKUP($X$128,Verteil_rwst,39,FALSE)</f>
        <v>0</v>
      </c>
      <c r="W133" s="102">
        <f>IF(V130&lt;&gt;0,V133/V130,0)</f>
        <v>0</v>
      </c>
      <c r="X133" s="101">
        <f>SUMIF($D$5:$D$125,"=zus",X5:X125)*HLOOKUP(X128,Verteil_rwst,37,FALSE)+SUMIF($D$5:$D$125,"=zum",X5:X125)*HLOOKUP(X128,Verteil_rwst,38,FALSE)+SUMIF($D$5:$D$125,"=zur",X5:X125)*HLOOKUP(X128,Verteil_rwst,39,FALSE)</f>
        <v>0</v>
      </c>
      <c r="Y133" s="102">
        <f>IF(X130&lt;&gt;0,X133/X130,0)</f>
        <v>0</v>
      </c>
      <c r="Z133" s="84" t="s">
        <v>531</v>
      </c>
      <c r="AD133" s="217"/>
      <c r="AE133" s="403"/>
      <c r="AI133" s="101">
        <f>SUMIF($D$5:$D$125,"=zus",$X$5:$X$125)*HLOOKUP($X$128,Verteil_rwst,37,FALSE)+SUMIF($D$5:$D$125,"=zum",$X$5:$X$125)*HLOOKUP($X$128,Verteil_rwst,38,FALSE)+SUMIF($D$5:$D$125,"=zur",$X$5:$X$125)*HLOOKUP($X$128,Verteil_rwst,39,FALSE)</f>
        <v>0</v>
      </c>
      <c r="AJ133" s="102">
        <f t="shared" ref="AJ133" si="477">IF(AI130&lt;&gt;0,AI133/AI130,0)</f>
        <v>0</v>
      </c>
      <c r="AK133" s="101">
        <f>SUMIF($D$5:$D$125,"=zus",AK5:AK125)*HLOOKUP(AK128,Verteil_rwst,37,FALSE)+SUMIF($D$5:$D$125,"=zum",AK5:AK125)*HLOOKUP(AK128,Verteil_rwst,38,FALSE)+SUMIF($D$5:$D$125,"=zur",AK5:AK125)*HLOOKUP(AK128,Verteil_rwst,39,FALSE)</f>
        <v>0</v>
      </c>
      <c r="AL133" s="102">
        <f t="shared" ref="AL133" si="478">IF(AK130&lt;&gt;0,AK133/AK130,0)</f>
        <v>0</v>
      </c>
      <c r="AM133" s="659" t="s">
        <v>531</v>
      </c>
      <c r="AQ133" s="217"/>
      <c r="AR133" s="403"/>
      <c r="AV133" s="101">
        <f>SUMIF($D$5:$D$125,"=zus",$X$5:$X$125)*HLOOKUP($X$128,Verteil_rwst,37,FALSE)+SUMIF($D$5:$D$125,"=zum",$X$5:$X$125)*HLOOKUP($X$128,Verteil_rwst,38,FALSE)+SUMIF($D$5:$D$125,"=zur",$X$5:$X$125)*HLOOKUP($X$128,Verteil_rwst,39,FALSE)</f>
        <v>0</v>
      </c>
      <c r="AW133" s="102">
        <f t="shared" ref="AW133" si="479">IF(AV130&lt;&gt;0,AV133/AV130,0)</f>
        <v>0</v>
      </c>
      <c r="AX133" s="101">
        <f>SUMIF($D$5:$D$125,"=zus",AX5:AX125)*HLOOKUP(AX128,Verteil_rwst,37,FALSE)+SUMIF($D$5:$D$125,"=zum",AX5:AX125)*HLOOKUP(AX128,Verteil_rwst,38,FALSE)+SUMIF($D$5:$D$125,"=zur",AX5:AX125)*HLOOKUP(AX128,Verteil_rwst,39,FALSE)</f>
        <v>0</v>
      </c>
      <c r="AY133" s="102">
        <f t="shared" ref="AY133" si="480">IF(AX130&lt;&gt;0,AX133/AX130,0)</f>
        <v>0</v>
      </c>
      <c r="AZ133" s="659" t="s">
        <v>531</v>
      </c>
      <c r="BD133" s="217"/>
      <c r="BE133" s="403"/>
      <c r="BI133" s="101">
        <f>SUMIF($D$5:$D$125,"=zus",$X$5:$X$125)*HLOOKUP($X$128,Verteil_rwst,37,FALSE)+SUMIF($D$5:$D$125,"=zum",$X$5:$X$125)*HLOOKUP($X$128,Verteil_rwst,38,FALSE)+SUMIF($D$5:$D$125,"=zur",$X$5:$X$125)*HLOOKUP($X$128,Verteil_rwst,39,FALSE)</f>
        <v>0</v>
      </c>
      <c r="BJ133" s="102">
        <f t="shared" ref="BJ133" si="481">IF(BI130&lt;&gt;0,BI133/BI130,0)</f>
        <v>0</v>
      </c>
      <c r="BK133" s="101">
        <f>SUMIF($D$5:$D$125,"=zus",BK5:BK125)*HLOOKUP(BK128,Verteil_rwst,37,FALSE)+SUMIF($D$5:$D$125,"=zum",BK5:BK125)*HLOOKUP(BK128,Verteil_rwst,38,FALSE)+SUMIF($D$5:$D$125,"=zur",BK5:BK125)*HLOOKUP(BK128,Verteil_rwst,39,FALSE)</f>
        <v>0</v>
      </c>
      <c r="BL133" s="102">
        <f t="shared" ref="BL133" si="482">IF(BK130&lt;&gt;0,BK133/BK130,0)</f>
        <v>0</v>
      </c>
      <c r="BM133" s="659" t="s">
        <v>531</v>
      </c>
      <c r="BQ133" s="217"/>
      <c r="BR133" s="403"/>
      <c r="BV133" s="101">
        <f>SUMIF($D$5:$D$125,"=zus",$X$5:$X$125)*HLOOKUP($X$128,Verteil_rwst,37,FALSE)+SUMIF($D$5:$D$125,"=zum",$X$5:$X$125)*HLOOKUP($X$128,Verteil_rwst,38,FALSE)+SUMIF($D$5:$D$125,"=zur",$X$5:$X$125)*HLOOKUP($X$128,Verteil_rwst,39,FALSE)</f>
        <v>0</v>
      </c>
      <c r="BW133" s="102">
        <f t="shared" ref="BW133" si="483">IF(BV130&lt;&gt;0,BV133/BV130,0)</f>
        <v>0</v>
      </c>
      <c r="BX133" s="101">
        <f>SUMIF($D$5:$D$125,"=zus",BX5:BX125)*HLOOKUP(BX128,Verteil_rwst,37,FALSE)+SUMIF($D$5:$D$125,"=zum",BX5:BX125)*HLOOKUP(BX128,Verteil_rwst,38,FALSE)+SUMIF($D$5:$D$125,"=zur",BX5:BX125)*HLOOKUP(BX128,Verteil_rwst,39,FALSE)</f>
        <v>0</v>
      </c>
      <c r="BY133" s="102">
        <f t="shared" ref="BY133" si="484">IF(BX130&lt;&gt;0,BX133/BX130,0)</f>
        <v>0</v>
      </c>
      <c r="BZ133" s="659" t="s">
        <v>531</v>
      </c>
      <c r="CD133" s="217"/>
      <c r="CE133" s="403"/>
      <c r="CI133" s="101">
        <f>SUMIF($D$5:$D$125,"=zus",$X$5:$X$125)*HLOOKUP($X$128,Verteil_rwst,37,FALSE)+SUMIF($D$5:$D$125,"=zum",$X$5:$X$125)*HLOOKUP($X$128,Verteil_rwst,38,FALSE)+SUMIF($D$5:$D$125,"=zur",$X$5:$X$125)*HLOOKUP($X$128,Verteil_rwst,39,FALSE)</f>
        <v>0</v>
      </c>
      <c r="CJ133" s="102">
        <f t="shared" ref="CJ133" si="485">IF(CI130&lt;&gt;0,CI133/CI130,0)</f>
        <v>0</v>
      </c>
      <c r="CK133" s="101">
        <f>SUMIF($D$5:$D$125,"=zus",CK5:CK125)*HLOOKUP(CK128,Verteil_rwst,37,FALSE)+SUMIF($D$5:$D$125,"=zum",CK5:CK125)*HLOOKUP(CK128,Verteil_rwst,38,FALSE)+SUMIF($D$5:$D$125,"=zur",CK5:CK125)*HLOOKUP(CK128,Verteil_rwst,39,FALSE)</f>
        <v>0</v>
      </c>
      <c r="CL133" s="102">
        <f t="shared" ref="CL133" si="486">IF(CK130&lt;&gt;0,CK133/CK130,0)</f>
        <v>0</v>
      </c>
      <c r="CM133" s="659" t="s">
        <v>531</v>
      </c>
      <c r="CQ133" s="217"/>
      <c r="CR133" s="403"/>
      <c r="CV133" s="101">
        <f>SUMIF($D$5:$D$125,"=zus",$X$5:$X$125)*HLOOKUP($X$128,Verteil_rwst,37,FALSE)+SUMIF($D$5:$D$125,"=zum",$X$5:$X$125)*HLOOKUP($X$128,Verteil_rwst,38,FALSE)+SUMIF($D$5:$D$125,"=zur",$X$5:$X$125)*HLOOKUP($X$128,Verteil_rwst,39,FALSE)</f>
        <v>0</v>
      </c>
      <c r="CW133" s="102">
        <f t="shared" ref="CW133" si="487">IF(CV130&lt;&gt;0,CV133/CV130,0)</f>
        <v>0</v>
      </c>
      <c r="CX133" s="101">
        <f>SUMIF($D$5:$D$125,"=zus",CX5:CX125)*HLOOKUP(CX128,Verteil_rwst,37,FALSE)+SUMIF($D$5:$D$125,"=zum",CX5:CX125)*HLOOKUP(CX128,Verteil_rwst,38,FALSE)+SUMIF($D$5:$D$125,"=zur",CX5:CX125)*HLOOKUP(CX128,Verteil_rwst,39,FALSE)</f>
        <v>0</v>
      </c>
      <c r="CY133" s="102">
        <f t="shared" ref="CY133" si="488">IF(CX130&lt;&gt;0,CX133/CX130,0)</f>
        <v>0</v>
      </c>
      <c r="CZ133" s="659" t="s">
        <v>531</v>
      </c>
      <c r="DD133" s="217"/>
      <c r="DE133" s="403"/>
      <c r="DI133" s="101">
        <f>SUMIF($D$5:$D$125,"=zus",$X$5:$X$125)*HLOOKUP($X$128,Verteil_rwst,37,FALSE)+SUMIF($D$5:$D$125,"=zum",$X$5:$X$125)*HLOOKUP($X$128,Verteil_rwst,38,FALSE)+SUMIF($D$5:$D$125,"=zur",$X$5:$X$125)*HLOOKUP($X$128,Verteil_rwst,39,FALSE)</f>
        <v>0</v>
      </c>
      <c r="DJ133" s="102">
        <f t="shared" ref="DJ133" si="489">IF(DI130&lt;&gt;0,DI133/DI130,0)</f>
        <v>0</v>
      </c>
      <c r="DK133" s="101">
        <f>SUMIF($D$5:$D$125,"=zus",DK5:DK125)*HLOOKUP(DK128,Verteil_rwst,37,FALSE)+SUMIF($D$5:$D$125,"=zum",DK5:DK125)*HLOOKUP(DK128,Verteil_rwst,38,FALSE)+SUMIF($D$5:$D$125,"=zur",DK5:DK125)*HLOOKUP(DK128,Verteil_rwst,39,FALSE)</f>
        <v>0</v>
      </c>
      <c r="DL133" s="102">
        <f t="shared" ref="DL133" si="490">IF(DK130&lt;&gt;0,DK133/DK130,0)</f>
        <v>0</v>
      </c>
      <c r="DM133" s="659" t="s">
        <v>531</v>
      </c>
      <c r="DQ133" s="217"/>
      <c r="DR133" s="403"/>
      <c r="DV133" s="101">
        <f>SUMIF($D$5:$D$125,"=zus",$X$5:$X$125)*HLOOKUP($X$128,Verteil_rwst,37,FALSE)+SUMIF($D$5:$D$125,"=zum",$X$5:$X$125)*HLOOKUP($X$128,Verteil_rwst,38,FALSE)+SUMIF($D$5:$D$125,"=zur",$X$5:$X$125)*HLOOKUP($X$128,Verteil_rwst,39,FALSE)</f>
        <v>0</v>
      </c>
      <c r="DW133" s="102">
        <f t="shared" ref="DW133" si="491">IF(DV130&lt;&gt;0,DV133/DV130,0)</f>
        <v>0</v>
      </c>
      <c r="DX133" s="101">
        <f>SUMIF($D$5:$D$125,"=zus",DX5:DX125)*HLOOKUP(DX128,Verteil_rwst,37,FALSE)+SUMIF($D$5:$D$125,"=zum",DX5:DX125)*HLOOKUP(DX128,Verteil_rwst,38,FALSE)+SUMIF($D$5:$D$125,"=zur",DX5:DX125)*HLOOKUP(DX128,Verteil_rwst,39,FALSE)</f>
        <v>0</v>
      </c>
      <c r="DY133" s="102">
        <f t="shared" ref="DY133" si="492">IF(DX130&lt;&gt;0,DX133/DX130,0)</f>
        <v>0</v>
      </c>
      <c r="DZ133" s="659" t="s">
        <v>531</v>
      </c>
      <c r="ED133" s="217"/>
    </row>
    <row r="134" spans="1:134" hidden="1" x14ac:dyDescent="0.3">
      <c r="A134" s="302" t="s">
        <v>491</v>
      </c>
      <c r="Q134" s="238">
        <v>7</v>
      </c>
      <c r="R134" s="403"/>
      <c r="V134" s="101">
        <f>SUMIF($D$5:$D$125,"=zuz",V5:V125)</f>
        <v>0</v>
      </c>
      <c r="W134" s="102">
        <f>SUM(W135:W137)</f>
        <v>0</v>
      </c>
      <c r="X134" s="101">
        <f>SUMIF($D$5:$D$125,"=zuz",X5:X125)</f>
        <v>0</v>
      </c>
      <c r="Y134" s="102">
        <f>SUM(Y135:Y137)</f>
        <v>0</v>
      </c>
      <c r="Z134" s="219" t="s">
        <v>739</v>
      </c>
      <c r="AD134" s="217"/>
      <c r="AE134" s="403"/>
      <c r="AI134" s="101">
        <f t="shared" ref="AI134" si="493">SUMIF($D$5:$D$125,"=zuz",AI5:AI125)</f>
        <v>0</v>
      </c>
      <c r="AJ134" s="102">
        <f t="shared" ref="AJ134" si="494">SUM(AJ135:AJ137)</f>
        <v>0</v>
      </c>
      <c r="AK134" s="101">
        <f t="shared" ref="AK134" si="495">SUMIF($D$5:$D$125,"=zuz",AK5:AK125)</f>
        <v>0</v>
      </c>
      <c r="AL134" s="102">
        <f t="shared" ref="AL134" si="496">SUM(AL135:AL137)</f>
        <v>0</v>
      </c>
      <c r="AM134" s="302" t="s">
        <v>739</v>
      </c>
      <c r="AQ134" s="217"/>
      <c r="AR134" s="403"/>
      <c r="AV134" s="101">
        <f t="shared" ref="AV134" si="497">SUMIF($D$5:$D$125,"=zuz",AV5:AV125)</f>
        <v>0</v>
      </c>
      <c r="AW134" s="102">
        <f t="shared" ref="AW134" si="498">SUM(AW135:AW137)</f>
        <v>0</v>
      </c>
      <c r="AX134" s="101">
        <f t="shared" ref="AX134" si="499">SUMIF($D$5:$D$125,"=zuz",AX5:AX125)</f>
        <v>0</v>
      </c>
      <c r="AY134" s="102">
        <f t="shared" ref="AY134" si="500">SUM(AY135:AY137)</f>
        <v>0</v>
      </c>
      <c r="AZ134" s="302" t="s">
        <v>739</v>
      </c>
      <c r="BD134" s="217"/>
      <c r="BE134" s="403"/>
      <c r="BI134" s="101">
        <f t="shared" ref="BI134" si="501">SUMIF($D$5:$D$125,"=zuz",BI5:BI125)</f>
        <v>0</v>
      </c>
      <c r="BJ134" s="102">
        <f t="shared" ref="BJ134" si="502">SUM(BJ135:BJ137)</f>
        <v>0</v>
      </c>
      <c r="BK134" s="101">
        <f t="shared" ref="BK134" si="503">SUMIF($D$5:$D$125,"=zuz",BK5:BK125)</f>
        <v>0</v>
      </c>
      <c r="BL134" s="102">
        <f t="shared" ref="BL134" si="504">SUM(BL135:BL137)</f>
        <v>0</v>
      </c>
      <c r="BM134" s="302" t="s">
        <v>739</v>
      </c>
      <c r="BQ134" s="217"/>
      <c r="BR134" s="403"/>
      <c r="BV134" s="101">
        <f t="shared" ref="BV134" si="505">SUMIF($D$5:$D$125,"=zuz",BV5:BV125)</f>
        <v>0</v>
      </c>
      <c r="BW134" s="102">
        <f t="shared" ref="BW134" si="506">SUM(BW135:BW137)</f>
        <v>0</v>
      </c>
      <c r="BX134" s="101">
        <f t="shared" ref="BX134" si="507">SUMIF($D$5:$D$125,"=zuz",BX5:BX125)</f>
        <v>0</v>
      </c>
      <c r="BY134" s="102">
        <f t="shared" ref="BY134" si="508">SUM(BY135:BY137)</f>
        <v>0</v>
      </c>
      <c r="BZ134" s="302" t="s">
        <v>739</v>
      </c>
      <c r="CD134" s="217"/>
      <c r="CE134" s="403"/>
      <c r="CI134" s="101">
        <f t="shared" ref="CI134" si="509">SUMIF($D$5:$D$125,"=zuz",CI5:CI125)</f>
        <v>0</v>
      </c>
      <c r="CJ134" s="102">
        <f t="shared" ref="CJ134" si="510">SUM(CJ135:CJ137)</f>
        <v>0</v>
      </c>
      <c r="CK134" s="101">
        <f t="shared" ref="CK134" si="511">SUMIF($D$5:$D$125,"=zuz",CK5:CK125)</f>
        <v>0</v>
      </c>
      <c r="CL134" s="102">
        <f t="shared" ref="CL134" si="512">SUM(CL135:CL137)</f>
        <v>0</v>
      </c>
      <c r="CM134" s="302" t="s">
        <v>739</v>
      </c>
      <c r="CQ134" s="217"/>
      <c r="CR134" s="403"/>
      <c r="CV134" s="101">
        <f t="shared" ref="CV134" si="513">SUMIF($D$5:$D$125,"=zuz",CV5:CV125)</f>
        <v>0</v>
      </c>
      <c r="CW134" s="102">
        <f t="shared" ref="CW134" si="514">SUM(CW135:CW137)</f>
        <v>0</v>
      </c>
      <c r="CX134" s="101">
        <f t="shared" ref="CX134" si="515">SUMIF($D$5:$D$125,"=zuz",CX5:CX125)</f>
        <v>0</v>
      </c>
      <c r="CY134" s="102">
        <f t="shared" ref="CY134" si="516">SUM(CY135:CY137)</f>
        <v>0</v>
      </c>
      <c r="CZ134" s="302" t="s">
        <v>739</v>
      </c>
      <c r="DD134" s="217"/>
      <c r="DE134" s="403"/>
      <c r="DI134" s="101">
        <f t="shared" ref="DI134" si="517">SUMIF($D$5:$D$125,"=zuz",DI5:DI125)</f>
        <v>0</v>
      </c>
      <c r="DJ134" s="102">
        <f t="shared" ref="DJ134" si="518">SUM(DJ135:DJ137)</f>
        <v>0</v>
      </c>
      <c r="DK134" s="101">
        <f t="shared" ref="DK134" si="519">SUMIF($D$5:$D$125,"=zuz",DK5:DK125)</f>
        <v>0</v>
      </c>
      <c r="DL134" s="102">
        <f t="shared" ref="DL134" si="520">SUM(DL135:DL137)</f>
        <v>0</v>
      </c>
      <c r="DM134" s="302" t="s">
        <v>739</v>
      </c>
      <c r="DQ134" s="217"/>
      <c r="DR134" s="403"/>
      <c r="DV134" s="101">
        <f t="shared" ref="DV134" si="521">SUMIF($D$5:$D$125,"=zuz",DV5:DV125)</f>
        <v>0</v>
      </c>
      <c r="DW134" s="102">
        <f t="shared" ref="DW134" si="522">SUM(DW135:DW137)</f>
        <v>0</v>
      </c>
      <c r="DX134" s="101">
        <f t="shared" ref="DX134" si="523">SUMIF($D$5:$D$125,"=zuz",DX5:DX125)</f>
        <v>0</v>
      </c>
      <c r="DY134" s="102">
        <f t="shared" ref="DY134" si="524">SUM(DY135:DY137)</f>
        <v>0</v>
      </c>
      <c r="DZ134" s="302" t="s">
        <v>739</v>
      </c>
      <c r="ED134" s="217"/>
    </row>
    <row r="135" spans="1:134" hidden="1" x14ac:dyDescent="0.3">
      <c r="A135" s="84" t="s">
        <v>180</v>
      </c>
      <c r="Q135" s="238">
        <v>8</v>
      </c>
      <c r="R135" s="403"/>
      <c r="V135" s="101">
        <f>SUMIF($D$5:$D$125,"=zuz",V5:V125)*HLOOKUP(X128,Verteil_sw,43,FALSE)</f>
        <v>0</v>
      </c>
      <c r="W135" s="102">
        <f>IF(V134&lt;&gt;0,V135/V134,0)</f>
        <v>0</v>
      </c>
      <c r="X135" s="101">
        <f>SUMIF($D$5:$D$125,"=zuz",X5:X125)*HLOOKUP(X128,Verteil_sw,43,FALSE)</f>
        <v>0</v>
      </c>
      <c r="Y135" s="102">
        <f>IF(X134&lt;&gt;0,X135/X134,0)</f>
        <v>0</v>
      </c>
      <c r="Z135" s="84" t="s">
        <v>180</v>
      </c>
      <c r="AD135" s="217"/>
      <c r="AE135" s="403"/>
      <c r="AI135" s="101">
        <f>SUMIF($D$5:$D$125,"=zuz",AI5:AI125)*HLOOKUP(AK128,Verteil_sw,43,FALSE)</f>
        <v>0</v>
      </c>
      <c r="AJ135" s="102">
        <f t="shared" ref="AJ135" si="525">IF(AI134&lt;&gt;0,AI135/AI134,0)</f>
        <v>0</v>
      </c>
      <c r="AK135" s="101">
        <f>SUMIF($D$5:$D$125,"=zuz",AK5:AK125)*HLOOKUP(AK128,Verteil_sw,43,FALSE)</f>
        <v>0</v>
      </c>
      <c r="AL135" s="102">
        <f t="shared" ref="AL135" si="526">IF(AK134&lt;&gt;0,AK135/AK134,0)</f>
        <v>0</v>
      </c>
      <c r="AM135" s="659" t="s">
        <v>180</v>
      </c>
      <c r="AQ135" s="217"/>
      <c r="AR135" s="403"/>
      <c r="AV135" s="101">
        <f>SUMIF($D$5:$D$125,"=zuz",AV5:AV125)*HLOOKUP(AX128,Verteil_sw,43,FALSE)</f>
        <v>0</v>
      </c>
      <c r="AW135" s="102">
        <f t="shared" ref="AW135" si="527">IF(AV134&lt;&gt;0,AV135/AV134,0)</f>
        <v>0</v>
      </c>
      <c r="AX135" s="101">
        <f>SUMIF($D$5:$D$125,"=zuz",AX5:AX125)*HLOOKUP(AX128,Verteil_sw,43,FALSE)</f>
        <v>0</v>
      </c>
      <c r="AY135" s="102">
        <f t="shared" ref="AY135" si="528">IF(AX134&lt;&gt;0,AX135/AX134,0)</f>
        <v>0</v>
      </c>
      <c r="AZ135" s="659" t="s">
        <v>180</v>
      </c>
      <c r="BD135" s="217"/>
      <c r="BE135" s="403"/>
      <c r="BI135" s="101">
        <f>SUMIF($D$5:$D$125,"=zuz",BI5:BI125)*HLOOKUP(BK128,Verteil_sw,43,FALSE)</f>
        <v>0</v>
      </c>
      <c r="BJ135" s="102">
        <f t="shared" ref="BJ135" si="529">IF(BI134&lt;&gt;0,BI135/BI134,0)</f>
        <v>0</v>
      </c>
      <c r="BK135" s="101">
        <f>SUMIF($D$5:$D$125,"=zuz",BK5:BK125)*HLOOKUP(BK128,Verteil_sw,43,FALSE)</f>
        <v>0</v>
      </c>
      <c r="BL135" s="102">
        <f t="shared" ref="BL135" si="530">IF(BK134&lt;&gt;0,BK135/BK134,0)</f>
        <v>0</v>
      </c>
      <c r="BM135" s="659" t="s">
        <v>180</v>
      </c>
      <c r="BQ135" s="217"/>
      <c r="BR135" s="403"/>
      <c r="BV135" s="101">
        <f>SUMIF($D$5:$D$125,"=zuz",BV5:BV125)*HLOOKUP(BX128,Verteil_sw,43,FALSE)</f>
        <v>0</v>
      </c>
      <c r="BW135" s="102">
        <f t="shared" ref="BW135" si="531">IF(BV134&lt;&gt;0,BV135/BV134,0)</f>
        <v>0</v>
      </c>
      <c r="BX135" s="101">
        <f>SUMIF($D$5:$D$125,"=zuz",BX5:BX125)*HLOOKUP(BX128,Verteil_sw,43,FALSE)</f>
        <v>0</v>
      </c>
      <c r="BY135" s="102">
        <f t="shared" ref="BY135" si="532">IF(BX134&lt;&gt;0,BX135/BX134,0)</f>
        <v>0</v>
      </c>
      <c r="BZ135" s="659" t="s">
        <v>180</v>
      </c>
      <c r="CD135" s="217"/>
      <c r="CE135" s="403"/>
      <c r="CI135" s="101">
        <f>SUMIF($D$5:$D$125,"=zuz",CI5:CI125)*HLOOKUP(CK128,Verteil_sw,43,FALSE)</f>
        <v>0</v>
      </c>
      <c r="CJ135" s="102">
        <f t="shared" ref="CJ135" si="533">IF(CI134&lt;&gt;0,CI135/CI134,0)</f>
        <v>0</v>
      </c>
      <c r="CK135" s="101">
        <f>SUMIF($D$5:$D$125,"=zuz",CK5:CK125)*HLOOKUP(CK128,Verteil_sw,43,FALSE)</f>
        <v>0</v>
      </c>
      <c r="CL135" s="102">
        <f t="shared" ref="CL135" si="534">IF(CK134&lt;&gt;0,CK135/CK134,0)</f>
        <v>0</v>
      </c>
      <c r="CM135" s="659" t="s">
        <v>180</v>
      </c>
      <c r="CQ135" s="217"/>
      <c r="CR135" s="403"/>
      <c r="CV135" s="101">
        <f>SUMIF($D$5:$D$125,"=zuz",CV5:CV125)*HLOOKUP(CX128,Verteil_sw,43,FALSE)</f>
        <v>0</v>
      </c>
      <c r="CW135" s="102">
        <f t="shared" ref="CW135" si="535">IF(CV134&lt;&gt;0,CV135/CV134,0)</f>
        <v>0</v>
      </c>
      <c r="CX135" s="101">
        <f>SUMIF($D$5:$D$125,"=zuz",CX5:CX125)*HLOOKUP(CX128,Verteil_sw,43,FALSE)</f>
        <v>0</v>
      </c>
      <c r="CY135" s="102">
        <f t="shared" ref="CY135" si="536">IF(CX134&lt;&gt;0,CX135/CX134,0)</f>
        <v>0</v>
      </c>
      <c r="CZ135" s="659" t="s">
        <v>180</v>
      </c>
      <c r="DD135" s="217"/>
      <c r="DE135" s="403"/>
      <c r="DI135" s="101">
        <f>SUMIF($D$5:$D$125,"=zuz",DI5:DI125)*HLOOKUP(DK128,Verteil_sw,43,FALSE)</f>
        <v>0</v>
      </c>
      <c r="DJ135" s="102">
        <f t="shared" ref="DJ135" si="537">IF(DI134&lt;&gt;0,DI135/DI134,0)</f>
        <v>0</v>
      </c>
      <c r="DK135" s="101">
        <f>SUMIF($D$5:$D$125,"=zuz",DK5:DK125)*HLOOKUP(DK128,Verteil_sw,43,FALSE)</f>
        <v>0</v>
      </c>
      <c r="DL135" s="102">
        <f t="shared" ref="DL135" si="538">IF(DK134&lt;&gt;0,DK135/DK134,0)</f>
        <v>0</v>
      </c>
      <c r="DM135" s="659" t="s">
        <v>180</v>
      </c>
      <c r="DQ135" s="217"/>
      <c r="DR135" s="403"/>
      <c r="DV135" s="101">
        <f>SUMIF($D$5:$D$125,"=zuz",DV5:DV125)*HLOOKUP(DX128,Verteil_sw,43,FALSE)</f>
        <v>0</v>
      </c>
      <c r="DW135" s="102">
        <f t="shared" ref="DW135" si="539">IF(DV134&lt;&gt;0,DV135/DV134,0)</f>
        <v>0</v>
      </c>
      <c r="DX135" s="101">
        <f>SUMIF($D$5:$D$125,"=zuz",DX5:DX125)*HLOOKUP(DX128,Verteil_sw,43,FALSE)</f>
        <v>0</v>
      </c>
      <c r="DY135" s="102">
        <f t="shared" ref="DY135" si="540">IF(DX134&lt;&gt;0,DX135/DX134,0)</f>
        <v>0</v>
      </c>
      <c r="DZ135" s="659" t="s">
        <v>180</v>
      </c>
      <c r="ED135" s="217"/>
    </row>
    <row r="136" spans="1:134" hidden="1" x14ac:dyDescent="0.3">
      <c r="A136" s="84" t="s">
        <v>181</v>
      </c>
      <c r="Q136" s="238">
        <v>9</v>
      </c>
      <c r="R136" s="403"/>
      <c r="V136" s="101">
        <f>SUMIF($D$5:$D$125,"=zuz",V5:V125)*HLOOKUP(X128,Verteil_rwgr,42,FALSE)</f>
        <v>0</v>
      </c>
      <c r="W136" s="102">
        <f>IF(V134&lt;&gt;0,V136/V134,0)</f>
        <v>0</v>
      </c>
      <c r="X136" s="101">
        <f>SUMIF($D$5:$D$125,"=zuz",X5:X125)*HLOOKUP(X128,Verteil_rwgr,42,FALSE)</f>
        <v>0</v>
      </c>
      <c r="Y136" s="102">
        <f>IF(X134&lt;&gt;0,X136/X134,0)</f>
        <v>0</v>
      </c>
      <c r="Z136" s="84" t="s">
        <v>181</v>
      </c>
      <c r="AD136" s="217"/>
      <c r="AE136" s="403"/>
      <c r="AI136" s="101">
        <f>SUMIF($D$5:$D$125,"=zuz",AI5:AI125)*HLOOKUP(AK128,Verteil_rwgr,42,FALSE)</f>
        <v>0</v>
      </c>
      <c r="AJ136" s="102">
        <f t="shared" ref="AJ136" si="541">IF(AI134&lt;&gt;0,AI136/AI134,0)</f>
        <v>0</v>
      </c>
      <c r="AK136" s="101">
        <f>SUMIF($D$5:$D$125,"=zuz",AK5:AK125)*HLOOKUP(AK128,Verteil_rwgr,42,FALSE)</f>
        <v>0</v>
      </c>
      <c r="AL136" s="102">
        <f t="shared" ref="AL136" si="542">IF(AK134&lt;&gt;0,AK136/AK134,0)</f>
        <v>0</v>
      </c>
      <c r="AM136" s="659" t="s">
        <v>181</v>
      </c>
      <c r="AQ136" s="217"/>
      <c r="AR136" s="403"/>
      <c r="AV136" s="101">
        <f>SUMIF($D$5:$D$125,"=zuz",AV5:AV125)*HLOOKUP(AX128,Verteil_rwgr,42,FALSE)</f>
        <v>0</v>
      </c>
      <c r="AW136" s="102">
        <f t="shared" ref="AW136" si="543">IF(AV134&lt;&gt;0,AV136/AV134,0)</f>
        <v>0</v>
      </c>
      <c r="AX136" s="101">
        <f>SUMIF($D$5:$D$125,"=zuz",AX5:AX125)*HLOOKUP(AX128,Verteil_rwgr,42,FALSE)</f>
        <v>0</v>
      </c>
      <c r="AY136" s="102">
        <f t="shared" ref="AY136" si="544">IF(AX134&lt;&gt;0,AX136/AX134,0)</f>
        <v>0</v>
      </c>
      <c r="AZ136" s="659" t="s">
        <v>181</v>
      </c>
      <c r="BD136" s="217"/>
      <c r="BE136" s="403"/>
      <c r="BI136" s="101">
        <f>SUMIF($D$5:$D$125,"=zuz",BI5:BI125)*HLOOKUP(BK128,Verteil_rwgr,42,FALSE)</f>
        <v>0</v>
      </c>
      <c r="BJ136" s="102">
        <f t="shared" ref="BJ136" si="545">IF(BI134&lt;&gt;0,BI136/BI134,0)</f>
        <v>0</v>
      </c>
      <c r="BK136" s="101">
        <f>SUMIF($D$5:$D$125,"=zuz",BK5:BK125)*HLOOKUP(BK128,Verteil_rwgr,42,FALSE)</f>
        <v>0</v>
      </c>
      <c r="BL136" s="102">
        <f t="shared" ref="BL136" si="546">IF(BK134&lt;&gt;0,BK136/BK134,0)</f>
        <v>0</v>
      </c>
      <c r="BM136" s="659" t="s">
        <v>181</v>
      </c>
      <c r="BQ136" s="217"/>
      <c r="BR136" s="403"/>
      <c r="BV136" s="101">
        <f>SUMIF($D$5:$D$125,"=zuz",BV5:BV125)*HLOOKUP(BX128,Verteil_rwgr,42,FALSE)</f>
        <v>0</v>
      </c>
      <c r="BW136" s="102">
        <f t="shared" ref="BW136" si="547">IF(BV134&lt;&gt;0,BV136/BV134,0)</f>
        <v>0</v>
      </c>
      <c r="BX136" s="101">
        <f>SUMIF($D$5:$D$125,"=zuz",BX5:BX125)*HLOOKUP(BX128,Verteil_rwgr,42,FALSE)</f>
        <v>0</v>
      </c>
      <c r="BY136" s="102">
        <f t="shared" ref="BY136" si="548">IF(BX134&lt;&gt;0,BX136/BX134,0)</f>
        <v>0</v>
      </c>
      <c r="BZ136" s="659" t="s">
        <v>181</v>
      </c>
      <c r="CD136" s="217"/>
      <c r="CE136" s="403"/>
      <c r="CI136" s="101">
        <f>SUMIF($D$5:$D$125,"=zuz",CI5:CI125)*HLOOKUP(CK128,Verteil_rwgr,42,FALSE)</f>
        <v>0</v>
      </c>
      <c r="CJ136" s="102">
        <f t="shared" ref="CJ136" si="549">IF(CI134&lt;&gt;0,CI136/CI134,0)</f>
        <v>0</v>
      </c>
      <c r="CK136" s="101">
        <f>SUMIF($D$5:$D$125,"=zuz",CK5:CK125)*HLOOKUP(CK128,Verteil_rwgr,42,FALSE)</f>
        <v>0</v>
      </c>
      <c r="CL136" s="102">
        <f t="shared" ref="CL136" si="550">IF(CK134&lt;&gt;0,CK136/CK134,0)</f>
        <v>0</v>
      </c>
      <c r="CM136" s="659" t="s">
        <v>181</v>
      </c>
      <c r="CQ136" s="217"/>
      <c r="CR136" s="403"/>
      <c r="CV136" s="101">
        <f>SUMIF($D$5:$D$125,"=zuz",CV5:CV125)*HLOOKUP(CX128,Verteil_rwgr,42,FALSE)</f>
        <v>0</v>
      </c>
      <c r="CW136" s="102">
        <f t="shared" ref="CW136" si="551">IF(CV134&lt;&gt;0,CV136/CV134,0)</f>
        <v>0</v>
      </c>
      <c r="CX136" s="101">
        <f>SUMIF($D$5:$D$125,"=zuz",CX5:CX125)*HLOOKUP(CX128,Verteil_rwgr,42,FALSE)</f>
        <v>0</v>
      </c>
      <c r="CY136" s="102">
        <f t="shared" ref="CY136" si="552">IF(CX134&lt;&gt;0,CX136/CX134,0)</f>
        <v>0</v>
      </c>
      <c r="CZ136" s="659" t="s">
        <v>181</v>
      </c>
      <c r="DD136" s="217"/>
      <c r="DE136" s="403"/>
      <c r="DI136" s="101">
        <f>SUMIF($D$5:$D$125,"=zuz",DI5:DI125)*HLOOKUP(DK128,Verteil_rwgr,42,FALSE)</f>
        <v>0</v>
      </c>
      <c r="DJ136" s="102">
        <f t="shared" ref="DJ136" si="553">IF(DI134&lt;&gt;0,DI136/DI134,0)</f>
        <v>0</v>
      </c>
      <c r="DK136" s="101">
        <f>SUMIF($D$5:$D$125,"=zuz",DK5:DK125)*HLOOKUP(DK128,Verteil_rwgr,42,FALSE)</f>
        <v>0</v>
      </c>
      <c r="DL136" s="102">
        <f t="shared" ref="DL136" si="554">IF(DK134&lt;&gt;0,DK136/DK134,0)</f>
        <v>0</v>
      </c>
      <c r="DM136" s="659" t="s">
        <v>181</v>
      </c>
      <c r="DQ136" s="217"/>
      <c r="DR136" s="403"/>
      <c r="DV136" s="101">
        <f>SUMIF($D$5:$D$125,"=zuz",DV5:DV125)*HLOOKUP(DX128,Verteil_rwgr,42,FALSE)</f>
        <v>0</v>
      </c>
      <c r="DW136" s="102">
        <f t="shared" ref="DW136" si="555">IF(DV134&lt;&gt;0,DV136/DV134,0)</f>
        <v>0</v>
      </c>
      <c r="DX136" s="101">
        <f>SUMIF($D$5:$D$125,"=zuz",DX5:DX125)*HLOOKUP(DX128,Verteil_rwgr,42,FALSE)</f>
        <v>0</v>
      </c>
      <c r="DY136" s="102">
        <f t="shared" ref="DY136" si="556">IF(DX134&lt;&gt;0,DX136/DX134,0)</f>
        <v>0</v>
      </c>
      <c r="DZ136" s="659" t="s">
        <v>181</v>
      </c>
      <c r="ED136" s="217"/>
    </row>
    <row r="137" spans="1:134" hidden="1" x14ac:dyDescent="0.3">
      <c r="A137" s="84" t="s">
        <v>186</v>
      </c>
      <c r="Q137" s="238">
        <v>10</v>
      </c>
      <c r="R137" s="403"/>
      <c r="V137" s="101"/>
      <c r="W137" s="102"/>
      <c r="X137" s="101"/>
      <c r="Y137" s="102"/>
      <c r="Z137" s="84" t="s">
        <v>186</v>
      </c>
      <c r="AD137" s="217"/>
      <c r="AE137" s="403"/>
      <c r="AI137" s="101"/>
      <c r="AJ137" s="102"/>
      <c r="AK137" s="101"/>
      <c r="AL137" s="102"/>
      <c r="AM137" s="659" t="s">
        <v>186</v>
      </c>
      <c r="AQ137" s="217"/>
      <c r="AR137" s="403"/>
      <c r="AV137" s="101"/>
      <c r="AW137" s="102"/>
      <c r="AX137" s="101"/>
      <c r="AY137" s="102"/>
      <c r="AZ137" s="659" t="s">
        <v>186</v>
      </c>
      <c r="BD137" s="217"/>
      <c r="BE137" s="403"/>
      <c r="BI137" s="101"/>
      <c r="BJ137" s="102"/>
      <c r="BK137" s="101"/>
      <c r="BL137" s="102"/>
      <c r="BM137" s="659" t="s">
        <v>186</v>
      </c>
      <c r="BQ137" s="217"/>
      <c r="BR137" s="403"/>
      <c r="BV137" s="101"/>
      <c r="BW137" s="102"/>
      <c r="BX137" s="101"/>
      <c r="BY137" s="102"/>
      <c r="BZ137" s="659" t="s">
        <v>186</v>
      </c>
      <c r="CD137" s="217"/>
      <c r="CE137" s="403"/>
      <c r="CI137" s="101"/>
      <c r="CJ137" s="102"/>
      <c r="CK137" s="101"/>
      <c r="CL137" s="102"/>
      <c r="CM137" s="659" t="s">
        <v>186</v>
      </c>
      <c r="CQ137" s="217"/>
      <c r="CR137" s="403"/>
      <c r="CV137" s="101"/>
      <c r="CW137" s="102"/>
      <c r="CX137" s="101"/>
      <c r="CY137" s="102"/>
      <c r="CZ137" s="659" t="s">
        <v>186</v>
      </c>
      <c r="DD137" s="217"/>
      <c r="DE137" s="403"/>
      <c r="DI137" s="101"/>
      <c r="DJ137" s="102"/>
      <c r="DK137" s="101"/>
      <c r="DL137" s="102"/>
      <c r="DM137" s="659" t="s">
        <v>186</v>
      </c>
      <c r="DQ137" s="217"/>
      <c r="DR137" s="403"/>
      <c r="DV137" s="101"/>
      <c r="DW137" s="102"/>
      <c r="DX137" s="101"/>
      <c r="DY137" s="102"/>
      <c r="DZ137" s="659" t="s">
        <v>186</v>
      </c>
      <c r="ED137" s="217"/>
    </row>
    <row r="138" spans="1:134" hidden="1" x14ac:dyDescent="0.3">
      <c r="A138" s="302" t="s">
        <v>492</v>
      </c>
      <c r="Q138" s="238">
        <v>11</v>
      </c>
      <c r="R138" s="403"/>
      <c r="V138" s="179">
        <f>SUM(V130,V134)</f>
        <v>2701000</v>
      </c>
      <c r="W138" s="102">
        <f>SUM(W139:W141)</f>
        <v>1</v>
      </c>
      <c r="X138" s="65">
        <f>ROUND(SUM(X130,X134),2)</f>
        <v>54020</v>
      </c>
      <c r="Y138" s="102">
        <f>SUM(Y139:Y141)</f>
        <v>1</v>
      </c>
      <c r="Z138" s="219" t="s">
        <v>492</v>
      </c>
      <c r="AD138" s="217"/>
      <c r="AE138" s="403"/>
      <c r="AI138" s="179">
        <f t="shared" ref="AI138:BI140" si="557">SUM(AI130,AI134)</f>
        <v>2701000</v>
      </c>
      <c r="AJ138" s="102">
        <f t="shared" ref="AJ138" si="558">SUM(AJ139:AJ141)</f>
        <v>1</v>
      </c>
      <c r="AK138" s="65">
        <f t="shared" ref="AK138:BK141" si="559">ROUND(SUM(AK130,AK134),2)</f>
        <v>52020</v>
      </c>
      <c r="AL138" s="102">
        <f t="shared" ref="AL138" si="560">SUM(AL139:AL141)</f>
        <v>1</v>
      </c>
      <c r="AM138" s="302" t="s">
        <v>492</v>
      </c>
      <c r="AQ138" s="217"/>
      <c r="AR138" s="403"/>
      <c r="AV138" s="179">
        <f t="shared" ref="AV138" si="561">SUM(AV130,AV134)</f>
        <v>2701000</v>
      </c>
      <c r="AW138" s="102">
        <f t="shared" ref="AW138" si="562">SUM(AW139:AW141)</f>
        <v>1</v>
      </c>
      <c r="AX138" s="65">
        <f t="shared" ref="AX138" si="563">ROUND(SUM(AX130,AX134),2)</f>
        <v>50020</v>
      </c>
      <c r="AY138" s="102">
        <f t="shared" ref="AY138" si="564">SUM(AY139:AY141)</f>
        <v>1</v>
      </c>
      <c r="AZ138" s="302" t="s">
        <v>492</v>
      </c>
      <c r="BD138" s="217"/>
      <c r="BE138" s="403"/>
      <c r="BI138" s="179">
        <f t="shared" ref="BI138" si="565">SUM(BI130,BI134)</f>
        <v>2701000</v>
      </c>
      <c r="BJ138" s="102">
        <f t="shared" ref="BJ138" si="566">SUM(BJ139:BJ141)</f>
        <v>1</v>
      </c>
      <c r="BK138" s="65">
        <f t="shared" ref="BK138" si="567">ROUND(SUM(BK130,BK134),2)</f>
        <v>50020</v>
      </c>
      <c r="BL138" s="102">
        <f t="shared" ref="BL138" si="568">SUM(BL139:BL141)</f>
        <v>1</v>
      </c>
      <c r="BM138" s="302" t="s">
        <v>492</v>
      </c>
      <c r="BQ138" s="217"/>
      <c r="BR138" s="403"/>
      <c r="BV138" s="179">
        <f t="shared" ref="BV138:CV140" si="569">SUM(BV130,BV134)</f>
        <v>2701000</v>
      </c>
      <c r="BW138" s="102">
        <f t="shared" ref="BW138" si="570">SUM(BW139:BW141)</f>
        <v>1</v>
      </c>
      <c r="BX138" s="65">
        <f t="shared" ref="BX138:CX141" si="571">ROUND(SUM(BX130,BX134),2)</f>
        <v>50020</v>
      </c>
      <c r="BY138" s="102">
        <f t="shared" ref="BY138" si="572">SUM(BY139:BY141)</f>
        <v>1</v>
      </c>
      <c r="BZ138" s="302" t="s">
        <v>492</v>
      </c>
      <c r="CD138" s="217"/>
      <c r="CE138" s="403"/>
      <c r="CI138" s="179">
        <f t="shared" ref="CI138" si="573">SUM(CI130,CI134)</f>
        <v>2701000</v>
      </c>
      <c r="CJ138" s="102">
        <f t="shared" ref="CJ138" si="574">SUM(CJ139:CJ141)</f>
        <v>1</v>
      </c>
      <c r="CK138" s="65">
        <f t="shared" ref="CK138" si="575">ROUND(SUM(CK130,CK134),2)</f>
        <v>50020</v>
      </c>
      <c r="CL138" s="102">
        <f t="shared" ref="CL138" si="576">SUM(CL139:CL141)</f>
        <v>1</v>
      </c>
      <c r="CM138" s="302" t="s">
        <v>492</v>
      </c>
      <c r="CQ138" s="217"/>
      <c r="CR138" s="403"/>
      <c r="CV138" s="179">
        <f t="shared" ref="CV138" si="577">SUM(CV130,CV134)</f>
        <v>2701000</v>
      </c>
      <c r="CW138" s="102">
        <f t="shared" ref="CW138" si="578">SUM(CW139:CW141)</f>
        <v>1</v>
      </c>
      <c r="CX138" s="65">
        <f t="shared" ref="CX138" si="579">ROUND(SUM(CX130,CX134),2)</f>
        <v>50020</v>
      </c>
      <c r="CY138" s="102">
        <f t="shared" ref="CY138" si="580">SUM(CY139:CY141)</f>
        <v>1</v>
      </c>
      <c r="CZ138" s="302" t="s">
        <v>492</v>
      </c>
      <c r="DD138" s="217"/>
      <c r="DE138" s="403"/>
      <c r="DI138" s="179">
        <f t="shared" ref="DI138:DV140" si="581">SUM(DI130,DI134)</f>
        <v>2701000</v>
      </c>
      <c r="DJ138" s="102">
        <f t="shared" ref="DJ138" si="582">SUM(DJ139:DJ141)</f>
        <v>1</v>
      </c>
      <c r="DK138" s="65">
        <f t="shared" ref="DK138:DX141" si="583">ROUND(SUM(DK130,DK134),2)</f>
        <v>50020</v>
      </c>
      <c r="DL138" s="102">
        <f t="shared" ref="DL138" si="584">SUM(DL139:DL141)</f>
        <v>1</v>
      </c>
      <c r="DM138" s="302" t="s">
        <v>492</v>
      </c>
      <c r="DQ138" s="217"/>
      <c r="DR138" s="403"/>
      <c r="DV138" s="179">
        <f t="shared" ref="DV138" si="585">SUM(DV130,DV134)</f>
        <v>2701000</v>
      </c>
      <c r="DW138" s="102">
        <f t="shared" ref="DW138" si="586">SUM(DW139:DW141)</f>
        <v>1</v>
      </c>
      <c r="DX138" s="65">
        <f t="shared" ref="DX138" si="587">ROUND(SUM(DX130,DX134),2)</f>
        <v>50020</v>
      </c>
      <c r="DY138" s="102">
        <f t="shared" ref="DY138" si="588">SUM(DY139:DY141)</f>
        <v>1</v>
      </c>
      <c r="DZ138" s="302" t="s">
        <v>492</v>
      </c>
      <c r="ED138" s="217"/>
    </row>
    <row r="139" spans="1:134" hidden="1" x14ac:dyDescent="0.3">
      <c r="A139" s="84" t="s">
        <v>180</v>
      </c>
      <c r="Q139" s="238">
        <v>12</v>
      </c>
      <c r="R139" s="403"/>
      <c r="V139" s="179">
        <f t="shared" ref="V139:V140" si="589">SUM(V131,V135)</f>
        <v>1371000</v>
      </c>
      <c r="W139" s="102">
        <f>IF(X138&lt;&gt;0,X139/X138,0)</f>
        <v>0.50758978156238432</v>
      </c>
      <c r="X139" s="65">
        <f t="shared" ref="X139:X141" si="590">ROUND(SUM(X131,X135),2)</f>
        <v>27420</v>
      </c>
      <c r="Y139" s="102">
        <f>IF(X138&lt;&gt;0,X139/X138,0)</f>
        <v>0.50758978156238432</v>
      </c>
      <c r="Z139" s="84" t="s">
        <v>180</v>
      </c>
      <c r="AD139" s="217"/>
      <c r="AE139" s="403"/>
      <c r="AI139" s="179">
        <f t="shared" si="557"/>
        <v>1371000</v>
      </c>
      <c r="AJ139" s="102">
        <f t="shared" ref="AJ139" si="591">IF(AK138&lt;&gt;0,AK139/AK138,0)</f>
        <v>0.50788158400615147</v>
      </c>
      <c r="AK139" s="65">
        <f t="shared" si="559"/>
        <v>26420</v>
      </c>
      <c r="AL139" s="102">
        <f t="shared" ref="AL139" si="592">IF(AK138&lt;&gt;0,AK139/AK138,0)</f>
        <v>0.50788158400615147</v>
      </c>
      <c r="AM139" s="659" t="s">
        <v>180</v>
      </c>
      <c r="AQ139" s="217"/>
      <c r="AR139" s="403"/>
      <c r="AV139" s="179">
        <f t="shared" si="557"/>
        <v>1371000</v>
      </c>
      <c r="AW139" s="102">
        <f t="shared" ref="AW139" si="593">IF(AX138&lt;&gt;0,AX139/AX138,0)</f>
        <v>0.50819672131147542</v>
      </c>
      <c r="AX139" s="65">
        <f t="shared" si="559"/>
        <v>25420</v>
      </c>
      <c r="AY139" s="102">
        <f t="shared" ref="AY139" si="594">IF(AX138&lt;&gt;0,AX139/AX138,0)</f>
        <v>0.50819672131147542</v>
      </c>
      <c r="AZ139" s="659" t="s">
        <v>180</v>
      </c>
      <c r="BD139" s="217"/>
      <c r="BE139" s="403"/>
      <c r="BI139" s="179">
        <f t="shared" si="557"/>
        <v>1371000</v>
      </c>
      <c r="BJ139" s="102">
        <f t="shared" ref="BJ139" si="595">IF(BK138&lt;&gt;0,BK139/BK138,0)</f>
        <v>0.50819672131147542</v>
      </c>
      <c r="BK139" s="65">
        <f t="shared" si="559"/>
        <v>25420</v>
      </c>
      <c r="BL139" s="102">
        <f t="shared" ref="BL139" si="596">IF(BK138&lt;&gt;0,BK139/BK138,0)</f>
        <v>0.50819672131147542</v>
      </c>
      <c r="BM139" s="659" t="s">
        <v>180</v>
      </c>
      <c r="BQ139" s="217"/>
      <c r="BR139" s="403"/>
      <c r="BV139" s="179">
        <f t="shared" si="569"/>
        <v>1371000</v>
      </c>
      <c r="BW139" s="102">
        <f t="shared" ref="BW139" si="597">IF(BX138&lt;&gt;0,BX139/BX138,0)</f>
        <v>0.50819672131147542</v>
      </c>
      <c r="BX139" s="65">
        <f t="shared" si="571"/>
        <v>25420</v>
      </c>
      <c r="BY139" s="102">
        <f t="shared" ref="BY139" si="598">IF(BX138&lt;&gt;0,BX139/BX138,0)</f>
        <v>0.50819672131147542</v>
      </c>
      <c r="BZ139" s="659" t="s">
        <v>180</v>
      </c>
      <c r="CD139" s="217"/>
      <c r="CE139" s="403"/>
      <c r="CI139" s="179">
        <f t="shared" si="569"/>
        <v>1371000</v>
      </c>
      <c r="CJ139" s="102">
        <f t="shared" ref="CJ139" si="599">IF(CK138&lt;&gt;0,CK139/CK138,0)</f>
        <v>0.50819672131147542</v>
      </c>
      <c r="CK139" s="65">
        <f t="shared" si="571"/>
        <v>25420</v>
      </c>
      <c r="CL139" s="102">
        <f t="shared" ref="CL139" si="600">IF(CK138&lt;&gt;0,CK139/CK138,0)</f>
        <v>0.50819672131147542</v>
      </c>
      <c r="CM139" s="659" t="s">
        <v>180</v>
      </c>
      <c r="CQ139" s="217"/>
      <c r="CR139" s="403"/>
      <c r="CV139" s="179">
        <f t="shared" si="569"/>
        <v>1371000</v>
      </c>
      <c r="CW139" s="102">
        <f t="shared" ref="CW139" si="601">IF(CX138&lt;&gt;0,CX139/CX138,0)</f>
        <v>0.50819672131147542</v>
      </c>
      <c r="CX139" s="65">
        <f t="shared" si="571"/>
        <v>25420</v>
      </c>
      <c r="CY139" s="102">
        <f t="shared" ref="CY139" si="602">IF(CX138&lt;&gt;0,CX139/CX138,0)</f>
        <v>0.50819672131147542</v>
      </c>
      <c r="CZ139" s="659" t="s">
        <v>180</v>
      </c>
      <c r="DD139" s="217"/>
      <c r="DE139" s="403"/>
      <c r="DI139" s="179">
        <f t="shared" si="581"/>
        <v>1371000</v>
      </c>
      <c r="DJ139" s="102">
        <f t="shared" ref="DJ139" si="603">IF(DK138&lt;&gt;0,DK139/DK138,0)</f>
        <v>0.50819672131147542</v>
      </c>
      <c r="DK139" s="65">
        <f t="shared" si="583"/>
        <v>25420</v>
      </c>
      <c r="DL139" s="102">
        <f t="shared" ref="DL139" si="604">IF(DK138&lt;&gt;0,DK139/DK138,0)</f>
        <v>0.50819672131147542</v>
      </c>
      <c r="DM139" s="659" t="s">
        <v>180</v>
      </c>
      <c r="DQ139" s="217"/>
      <c r="DR139" s="403"/>
      <c r="DV139" s="179">
        <f t="shared" si="581"/>
        <v>1371000</v>
      </c>
      <c r="DW139" s="102">
        <f t="shared" ref="DW139" si="605">IF(DX138&lt;&gt;0,DX139/DX138,0)</f>
        <v>0.50819672131147542</v>
      </c>
      <c r="DX139" s="65">
        <f t="shared" si="583"/>
        <v>25420</v>
      </c>
      <c r="DY139" s="102">
        <f t="shared" ref="DY139" si="606">IF(DX138&lt;&gt;0,DX139/DX138,0)</f>
        <v>0.50819672131147542</v>
      </c>
      <c r="DZ139" s="659" t="s">
        <v>180</v>
      </c>
      <c r="ED139" s="217"/>
    </row>
    <row r="140" spans="1:134" hidden="1" x14ac:dyDescent="0.3">
      <c r="A140" s="84" t="s">
        <v>181</v>
      </c>
      <c r="Q140" s="238">
        <v>13</v>
      </c>
      <c r="R140" s="403"/>
      <c r="V140" s="179">
        <f t="shared" si="589"/>
        <v>1330000</v>
      </c>
      <c r="W140" s="102">
        <f>IF(X138&lt;&gt;0,X140/X138,0)</f>
        <v>0.49241021843761568</v>
      </c>
      <c r="X140" s="65">
        <f t="shared" si="590"/>
        <v>26600</v>
      </c>
      <c r="Y140" s="102">
        <f>IF(X138&lt;&gt;0,X140/X138,0)</f>
        <v>0.49241021843761568</v>
      </c>
      <c r="Z140" s="84" t="s">
        <v>181</v>
      </c>
      <c r="AD140" s="217"/>
      <c r="AE140" s="403"/>
      <c r="AI140" s="179">
        <f t="shared" si="557"/>
        <v>1330000</v>
      </c>
      <c r="AJ140" s="102">
        <f t="shared" ref="AJ140" si="607">IF(AK138&lt;&gt;0,AK140/AK138,0)</f>
        <v>0.49211841599384853</v>
      </c>
      <c r="AK140" s="65">
        <f t="shared" si="559"/>
        <v>25600</v>
      </c>
      <c r="AL140" s="102">
        <f t="shared" ref="AL140" si="608">IF(AK138&lt;&gt;0,AK140/AK138,0)</f>
        <v>0.49211841599384853</v>
      </c>
      <c r="AM140" s="659" t="s">
        <v>181</v>
      </c>
      <c r="AQ140" s="217"/>
      <c r="AR140" s="403"/>
      <c r="AV140" s="179">
        <f t="shared" si="557"/>
        <v>1330000</v>
      </c>
      <c r="AW140" s="102">
        <f t="shared" ref="AW140" si="609">IF(AX138&lt;&gt;0,AX140/AX138,0)</f>
        <v>0.49180327868852458</v>
      </c>
      <c r="AX140" s="65">
        <f t="shared" si="559"/>
        <v>24600</v>
      </c>
      <c r="AY140" s="102">
        <f t="shared" ref="AY140" si="610">IF(AX138&lt;&gt;0,AX140/AX138,0)</f>
        <v>0.49180327868852458</v>
      </c>
      <c r="AZ140" s="659" t="s">
        <v>181</v>
      </c>
      <c r="BD140" s="217"/>
      <c r="BE140" s="403"/>
      <c r="BI140" s="179">
        <f t="shared" si="557"/>
        <v>1330000</v>
      </c>
      <c r="BJ140" s="102">
        <f t="shared" ref="BJ140" si="611">IF(BK138&lt;&gt;0,BK140/BK138,0)</f>
        <v>0.49180327868852458</v>
      </c>
      <c r="BK140" s="65">
        <f t="shared" si="559"/>
        <v>24600</v>
      </c>
      <c r="BL140" s="102">
        <f t="shared" ref="BL140" si="612">IF(BK138&lt;&gt;0,BK140/BK138,0)</f>
        <v>0.49180327868852458</v>
      </c>
      <c r="BM140" s="659" t="s">
        <v>181</v>
      </c>
      <c r="BQ140" s="217"/>
      <c r="BR140" s="403"/>
      <c r="BV140" s="179">
        <f t="shared" si="569"/>
        <v>1330000</v>
      </c>
      <c r="BW140" s="102">
        <f t="shared" ref="BW140" si="613">IF(BX138&lt;&gt;0,BX140/BX138,0)</f>
        <v>0.49180327868852458</v>
      </c>
      <c r="BX140" s="65">
        <f t="shared" si="571"/>
        <v>24600</v>
      </c>
      <c r="BY140" s="102">
        <f t="shared" ref="BY140" si="614">IF(BX138&lt;&gt;0,BX140/BX138,0)</f>
        <v>0.49180327868852458</v>
      </c>
      <c r="BZ140" s="659" t="s">
        <v>181</v>
      </c>
      <c r="CD140" s="217"/>
      <c r="CE140" s="403"/>
      <c r="CI140" s="179">
        <f t="shared" si="569"/>
        <v>1330000</v>
      </c>
      <c r="CJ140" s="102">
        <f t="shared" ref="CJ140" si="615">IF(CK138&lt;&gt;0,CK140/CK138,0)</f>
        <v>0.49180327868852458</v>
      </c>
      <c r="CK140" s="65">
        <f t="shared" si="571"/>
        <v>24600</v>
      </c>
      <c r="CL140" s="102">
        <f t="shared" ref="CL140" si="616">IF(CK138&lt;&gt;0,CK140/CK138,0)</f>
        <v>0.49180327868852458</v>
      </c>
      <c r="CM140" s="659" t="s">
        <v>181</v>
      </c>
      <c r="CQ140" s="217"/>
      <c r="CR140" s="403"/>
      <c r="CV140" s="179">
        <f t="shared" si="569"/>
        <v>1330000</v>
      </c>
      <c r="CW140" s="102">
        <f t="shared" ref="CW140" si="617">IF(CX138&lt;&gt;0,CX140/CX138,0)</f>
        <v>0.49180327868852458</v>
      </c>
      <c r="CX140" s="65">
        <f t="shared" si="571"/>
        <v>24600</v>
      </c>
      <c r="CY140" s="102">
        <f t="shared" ref="CY140" si="618">IF(CX138&lt;&gt;0,CX140/CX138,0)</f>
        <v>0.49180327868852458</v>
      </c>
      <c r="CZ140" s="659" t="s">
        <v>181</v>
      </c>
      <c r="DD140" s="217"/>
      <c r="DE140" s="403"/>
      <c r="DI140" s="179">
        <f t="shared" si="581"/>
        <v>1330000</v>
      </c>
      <c r="DJ140" s="102">
        <f t="shared" ref="DJ140" si="619">IF(DK138&lt;&gt;0,DK140/DK138,0)</f>
        <v>0.49180327868852458</v>
      </c>
      <c r="DK140" s="65">
        <f t="shared" si="583"/>
        <v>24600</v>
      </c>
      <c r="DL140" s="102">
        <f t="shared" ref="DL140" si="620">IF(DK138&lt;&gt;0,DK140/DK138,0)</f>
        <v>0.49180327868852458</v>
      </c>
      <c r="DM140" s="659" t="s">
        <v>181</v>
      </c>
      <c r="DQ140" s="217"/>
      <c r="DR140" s="403"/>
      <c r="DV140" s="179">
        <f t="shared" si="581"/>
        <v>1330000</v>
      </c>
      <c r="DW140" s="102">
        <f t="shared" ref="DW140" si="621">IF(DX138&lt;&gt;0,DX140/DX138,0)</f>
        <v>0.49180327868852458</v>
      </c>
      <c r="DX140" s="65">
        <f t="shared" si="583"/>
        <v>24600</v>
      </c>
      <c r="DY140" s="102">
        <f t="shared" ref="DY140" si="622">IF(DX138&lt;&gt;0,DX140/DX138,0)</f>
        <v>0.49180327868852458</v>
      </c>
      <c r="DZ140" s="659" t="s">
        <v>181</v>
      </c>
      <c r="ED140" s="217"/>
    </row>
    <row r="141" spans="1:134" hidden="1" x14ac:dyDescent="0.3">
      <c r="A141" s="84" t="s">
        <v>182</v>
      </c>
      <c r="Q141" s="238">
        <v>14</v>
      </c>
      <c r="R141" s="403"/>
      <c r="V141" s="179"/>
      <c r="W141" s="102">
        <f>IF(X138&lt;&gt;0,X141/X138,0)</f>
        <v>0</v>
      </c>
      <c r="X141" s="65">
        <f t="shared" si="590"/>
        <v>0</v>
      </c>
      <c r="Y141" s="102">
        <f>IF(X138&lt;&gt;0,X141/X138,0)</f>
        <v>0</v>
      </c>
      <c r="Z141" s="84" t="s">
        <v>182</v>
      </c>
      <c r="AD141" s="217"/>
      <c r="AE141" s="403"/>
      <c r="AI141" s="179"/>
      <c r="AJ141" s="102">
        <f t="shared" ref="AJ141" si="623">IF(AK138&lt;&gt;0,AK141/AK138,0)</f>
        <v>0</v>
      </c>
      <c r="AK141" s="65">
        <f t="shared" si="559"/>
        <v>0</v>
      </c>
      <c r="AL141" s="102">
        <f t="shared" ref="AL141" si="624">IF(AK138&lt;&gt;0,AK141/AK138,0)</f>
        <v>0</v>
      </c>
      <c r="AM141" s="659" t="s">
        <v>182</v>
      </c>
      <c r="AQ141" s="217"/>
      <c r="AR141" s="403"/>
      <c r="AV141" s="179"/>
      <c r="AW141" s="102">
        <f t="shared" ref="AW141" si="625">IF(AX138&lt;&gt;0,AX141/AX138,0)</f>
        <v>0</v>
      </c>
      <c r="AX141" s="65">
        <f t="shared" si="559"/>
        <v>0</v>
      </c>
      <c r="AY141" s="102">
        <f t="shared" ref="AY141" si="626">IF(AX138&lt;&gt;0,AX141/AX138,0)</f>
        <v>0</v>
      </c>
      <c r="AZ141" s="659" t="s">
        <v>182</v>
      </c>
      <c r="BD141" s="217"/>
      <c r="BE141" s="403"/>
      <c r="BI141" s="179"/>
      <c r="BJ141" s="102">
        <f t="shared" ref="BJ141" si="627">IF(BK138&lt;&gt;0,BK141/BK138,0)</f>
        <v>0</v>
      </c>
      <c r="BK141" s="65">
        <f t="shared" si="559"/>
        <v>0</v>
      </c>
      <c r="BL141" s="102">
        <f t="shared" ref="BL141" si="628">IF(BK138&lt;&gt;0,BK141/BK138,0)</f>
        <v>0</v>
      </c>
      <c r="BM141" s="659" t="s">
        <v>182</v>
      </c>
      <c r="BQ141" s="217"/>
      <c r="BR141" s="403"/>
      <c r="BV141" s="179"/>
      <c r="BW141" s="102">
        <f t="shared" ref="BW141" si="629">IF(BX138&lt;&gt;0,BX141/BX138,0)</f>
        <v>0</v>
      </c>
      <c r="BX141" s="65">
        <f t="shared" si="571"/>
        <v>0</v>
      </c>
      <c r="BY141" s="102">
        <f t="shared" ref="BY141" si="630">IF(BX138&lt;&gt;0,BX141/BX138,0)</f>
        <v>0</v>
      </c>
      <c r="BZ141" s="659" t="s">
        <v>182</v>
      </c>
      <c r="CD141" s="217"/>
      <c r="CE141" s="403"/>
      <c r="CI141" s="179"/>
      <c r="CJ141" s="102">
        <f t="shared" ref="CJ141" si="631">IF(CK138&lt;&gt;0,CK141/CK138,0)</f>
        <v>0</v>
      </c>
      <c r="CK141" s="65">
        <f t="shared" si="571"/>
        <v>0</v>
      </c>
      <c r="CL141" s="102">
        <f t="shared" ref="CL141" si="632">IF(CK138&lt;&gt;0,CK141/CK138,0)</f>
        <v>0</v>
      </c>
      <c r="CM141" s="659" t="s">
        <v>182</v>
      </c>
      <c r="CQ141" s="217"/>
      <c r="CR141" s="403"/>
      <c r="CV141" s="179"/>
      <c r="CW141" s="102">
        <f t="shared" ref="CW141" si="633">IF(CX138&lt;&gt;0,CX141/CX138,0)</f>
        <v>0</v>
      </c>
      <c r="CX141" s="65">
        <f t="shared" si="571"/>
        <v>0</v>
      </c>
      <c r="CY141" s="102">
        <f t="shared" ref="CY141" si="634">IF(CX138&lt;&gt;0,CX141/CX138,0)</f>
        <v>0</v>
      </c>
      <c r="CZ141" s="659" t="s">
        <v>182</v>
      </c>
      <c r="DD141" s="217"/>
      <c r="DE141" s="403"/>
      <c r="DI141" s="179"/>
      <c r="DJ141" s="102">
        <f t="shared" ref="DJ141" si="635">IF(DK138&lt;&gt;0,DK141/DK138,0)</f>
        <v>0</v>
      </c>
      <c r="DK141" s="65">
        <f t="shared" si="583"/>
        <v>0</v>
      </c>
      <c r="DL141" s="102">
        <f t="shared" ref="DL141" si="636">IF(DK138&lt;&gt;0,DK141/DK138,0)</f>
        <v>0</v>
      </c>
      <c r="DM141" s="659" t="s">
        <v>182</v>
      </c>
      <c r="DQ141" s="217"/>
      <c r="DR141" s="403"/>
      <c r="DV141" s="179"/>
      <c r="DW141" s="102">
        <f t="shared" ref="DW141" si="637">IF(DX138&lt;&gt;0,DX141/DX138,0)</f>
        <v>0</v>
      </c>
      <c r="DX141" s="65">
        <f t="shared" si="583"/>
        <v>0</v>
      </c>
      <c r="DY141" s="102">
        <f t="shared" ref="DY141" si="638">IF(DX138&lt;&gt;0,DX141/DX138,0)</f>
        <v>0</v>
      </c>
      <c r="DZ141" s="659" t="s">
        <v>182</v>
      </c>
      <c r="ED141" s="217"/>
    </row>
    <row r="142" spans="1:134" ht="18" hidden="1" x14ac:dyDescent="0.35">
      <c r="A142" s="184" t="s">
        <v>466</v>
      </c>
      <c r="Q142" s="238">
        <v>15</v>
      </c>
      <c r="R142" s="404" t="s">
        <v>707</v>
      </c>
      <c r="S142" s="85" t="s">
        <v>463</v>
      </c>
      <c r="T142" s="85"/>
      <c r="U142" s="215" t="s">
        <v>464</v>
      </c>
      <c r="V142" s="215"/>
      <c r="W142" s="215"/>
      <c r="X142" s="215" t="s">
        <v>279</v>
      </c>
      <c r="Y142" s="215" t="s">
        <v>467</v>
      </c>
      <c r="Z142" s="215" t="s">
        <v>281</v>
      </c>
      <c r="AA142" s="215" t="s">
        <v>465</v>
      </c>
      <c r="AB142" s="214" t="s">
        <v>466</v>
      </c>
      <c r="AD142" s="217"/>
      <c r="AE142" s="404" t="s">
        <v>707</v>
      </c>
      <c r="AF142" s="85" t="s">
        <v>463</v>
      </c>
      <c r="AG142" s="85"/>
      <c r="AH142" s="215" t="s">
        <v>464</v>
      </c>
      <c r="AI142" s="215"/>
      <c r="AJ142" s="215"/>
      <c r="AK142" s="215" t="s">
        <v>279</v>
      </c>
      <c r="AL142" s="215" t="s">
        <v>467</v>
      </c>
      <c r="AM142" s="215" t="s">
        <v>281</v>
      </c>
      <c r="AN142" s="215" t="s">
        <v>465</v>
      </c>
      <c r="AO142" s="214" t="s">
        <v>466</v>
      </c>
      <c r="AQ142" s="217"/>
      <c r="AR142" s="404" t="s">
        <v>707</v>
      </c>
      <c r="AS142" s="85" t="s">
        <v>463</v>
      </c>
      <c r="AT142" s="85"/>
      <c r="AU142" s="215" t="s">
        <v>464</v>
      </c>
      <c r="AV142" s="215"/>
      <c r="AW142" s="215"/>
      <c r="AX142" s="215" t="s">
        <v>279</v>
      </c>
      <c r="AY142" s="215" t="s">
        <v>467</v>
      </c>
      <c r="AZ142" s="215" t="s">
        <v>281</v>
      </c>
      <c r="BA142" s="215" t="s">
        <v>465</v>
      </c>
      <c r="BB142" s="214" t="s">
        <v>466</v>
      </c>
      <c r="BD142" s="217"/>
      <c r="BE142" s="404" t="s">
        <v>707</v>
      </c>
      <c r="BF142" s="85" t="s">
        <v>463</v>
      </c>
      <c r="BG142" s="85"/>
      <c r="BH142" s="215" t="s">
        <v>464</v>
      </c>
      <c r="BI142" s="215"/>
      <c r="BJ142" s="215"/>
      <c r="BK142" s="215" t="s">
        <v>279</v>
      </c>
      <c r="BL142" s="215" t="s">
        <v>467</v>
      </c>
      <c r="BM142" s="215" t="s">
        <v>281</v>
      </c>
      <c r="BN142" s="215" t="s">
        <v>465</v>
      </c>
      <c r="BO142" s="214" t="s">
        <v>466</v>
      </c>
      <c r="BQ142" s="217"/>
      <c r="BR142" s="404" t="s">
        <v>707</v>
      </c>
      <c r="BS142" s="85" t="s">
        <v>463</v>
      </c>
      <c r="BT142" s="85"/>
      <c r="BU142" s="215" t="s">
        <v>464</v>
      </c>
      <c r="BV142" s="215"/>
      <c r="BW142" s="215"/>
      <c r="BX142" s="215" t="s">
        <v>279</v>
      </c>
      <c r="BY142" s="215" t="s">
        <v>467</v>
      </c>
      <c r="BZ142" s="215" t="s">
        <v>281</v>
      </c>
      <c r="CA142" s="215" t="s">
        <v>465</v>
      </c>
      <c r="CB142" s="214" t="s">
        <v>466</v>
      </c>
      <c r="CD142" s="217"/>
      <c r="CE142" s="404" t="s">
        <v>707</v>
      </c>
      <c r="CF142" s="85" t="s">
        <v>463</v>
      </c>
      <c r="CG142" s="85"/>
      <c r="CH142" s="215" t="s">
        <v>464</v>
      </c>
      <c r="CI142" s="215"/>
      <c r="CJ142" s="215"/>
      <c r="CK142" s="215" t="s">
        <v>279</v>
      </c>
      <c r="CL142" s="215" t="s">
        <v>467</v>
      </c>
      <c r="CM142" s="215" t="s">
        <v>281</v>
      </c>
      <c r="CN142" s="215" t="s">
        <v>465</v>
      </c>
      <c r="CO142" s="214" t="s">
        <v>466</v>
      </c>
      <c r="CQ142" s="217"/>
      <c r="CR142" s="404" t="s">
        <v>707</v>
      </c>
      <c r="CS142" s="85" t="s">
        <v>463</v>
      </c>
      <c r="CT142" s="85"/>
      <c r="CU142" s="215" t="s">
        <v>464</v>
      </c>
      <c r="CV142" s="215"/>
      <c r="CW142" s="215"/>
      <c r="CX142" s="215" t="s">
        <v>279</v>
      </c>
      <c r="CY142" s="215" t="s">
        <v>467</v>
      </c>
      <c r="CZ142" s="215" t="s">
        <v>281</v>
      </c>
      <c r="DA142" s="215" t="s">
        <v>465</v>
      </c>
      <c r="DB142" s="214" t="s">
        <v>466</v>
      </c>
      <c r="DD142" s="217"/>
      <c r="DE142" s="404" t="s">
        <v>707</v>
      </c>
      <c r="DF142" s="85" t="s">
        <v>463</v>
      </c>
      <c r="DG142" s="85"/>
      <c r="DH142" s="215" t="s">
        <v>464</v>
      </c>
      <c r="DI142" s="215"/>
      <c r="DJ142" s="215"/>
      <c r="DK142" s="215" t="s">
        <v>279</v>
      </c>
      <c r="DL142" s="215" t="s">
        <v>467</v>
      </c>
      <c r="DM142" s="215" t="s">
        <v>281</v>
      </c>
      <c r="DN142" s="215" t="s">
        <v>465</v>
      </c>
      <c r="DO142" s="214" t="s">
        <v>466</v>
      </c>
      <c r="DQ142" s="217"/>
      <c r="DR142" s="404" t="s">
        <v>707</v>
      </c>
      <c r="DS142" s="85" t="s">
        <v>463</v>
      </c>
      <c r="DT142" s="85"/>
      <c r="DU142" s="215" t="s">
        <v>464</v>
      </c>
      <c r="DV142" s="215"/>
      <c r="DW142" s="215"/>
      <c r="DX142" s="215" t="s">
        <v>279</v>
      </c>
      <c r="DY142" s="215" t="s">
        <v>467</v>
      </c>
      <c r="DZ142" s="215" t="s">
        <v>281</v>
      </c>
      <c r="EA142" s="215" t="s">
        <v>465</v>
      </c>
      <c r="EB142" s="214" t="s">
        <v>466</v>
      </c>
      <c r="ED142" s="217"/>
    </row>
    <row r="143" spans="1:134" hidden="1" x14ac:dyDescent="0.3">
      <c r="A143" s="302" t="s">
        <v>490</v>
      </c>
      <c r="Q143" s="238">
        <v>16</v>
      </c>
      <c r="R143" s="403"/>
      <c r="S143" s="101">
        <f>SUMIF($D$5:$D$125,"=zus",S5:S125)+SUMIF($D$5:$D$125,"=zum",S5:S125)+SUMIF($D$5:$D$125,"=zur",S5:S125)+SUMIF($D$5:$D$125,"=zuk",S5:S125)</f>
        <v>0</v>
      </c>
      <c r="U143" s="101">
        <f>SUMIF($D$5:$D$125,"=zus",U5:U125)+SUMIF($D$5:$D$125,"=zum",U5:U125)+SUMIF($D$5:$D$125,"=zur",U5:U125)+SUMIF($D$5:$D$125,"=zuk",U5:U125)</f>
        <v>0</v>
      </c>
      <c r="W143" s="102">
        <f>SUM(W144:W146)</f>
        <v>1</v>
      </c>
      <c r="X143" s="101">
        <f>Z143*HLOOKUP(X128,Grund_zins,2,FALSE)</f>
        <v>49187.366550000006</v>
      </c>
      <c r="Y143" s="101">
        <f>SUMIF($D$5:$D$125,"=zus",Y5:Y125)+SUMIF($D$5:$D$125,"=zum",Y5:Y125)+SUMIF($D$5:$D$125,"=zur",Y5:Y125)+SUMIF($D$5:$D$125,"=zuk",Y5:Y125)</f>
        <v>54020</v>
      </c>
      <c r="Z143" s="101">
        <f>AA143-S143+U143+Y143/2</f>
        <v>1405353.33</v>
      </c>
      <c r="AA143" s="101">
        <f>SUMIF($D$5:$D$125,"=zus",AA5:AA125)+SUMIF($D$5:$D$125,"=zum",AA5:AA125)+SUMIF($D$5:$D$125,"=zur",AA5:AA125)+SUMIF($D$5:$D$125,"=zuk",AA5:AA125)</f>
        <v>1378343.33</v>
      </c>
      <c r="AB143" s="219" t="s">
        <v>490</v>
      </c>
      <c r="AD143" s="217"/>
      <c r="AE143" s="403"/>
      <c r="AF143" s="101">
        <f t="shared" ref="AF143" si="639">SUMIF($D$5:$D$125,"=zus",AF5:AF125)+SUMIF($D$5:$D$125,"=zum",AF5:AF125)+SUMIF($D$5:$D$125,"=zur",AF5:AF125)+SUMIF($D$5:$D$125,"=zuk",AF5:AF125)</f>
        <v>0</v>
      </c>
      <c r="AH143" s="101">
        <f t="shared" ref="AH143" si="640">SUMIF($D$5:$D$125,"=zus",AH5:AH125)+SUMIF($D$5:$D$125,"=zum",AH5:AH125)+SUMIF($D$5:$D$125,"=zur",AH5:AH125)+SUMIF($D$5:$D$125,"=zuk",AH5:AH125)</f>
        <v>0</v>
      </c>
      <c r="AJ143" s="102">
        <f t="shared" ref="AJ143" si="641">SUM(AJ144:AJ146)</f>
        <v>1</v>
      </c>
      <c r="AK143" s="101">
        <f>AM143*HLOOKUP(AK128,Grund_zins,2,FALSE)</f>
        <v>47331.666550000009</v>
      </c>
      <c r="AL143" s="101">
        <f t="shared" ref="AL143" si="642">SUMIF($D$5:$D$125,"=zus",AL5:AL125)+SUMIF($D$5:$D$125,"=zum",AL5:AL125)+SUMIF($D$5:$D$125,"=zur",AL5:AL125)+SUMIF($D$5:$D$125,"=zuk",AL5:AL125)</f>
        <v>52020</v>
      </c>
      <c r="AM143" s="101">
        <f t="shared" ref="AM143:AM149" si="643">AN143-AF143+AH143+AL143/2</f>
        <v>1352333.33</v>
      </c>
      <c r="AN143" s="101">
        <f t="shared" ref="AN143" si="644">SUMIF($D$5:$D$125,"=zus",AN5:AN125)+SUMIF($D$5:$D$125,"=zum",AN5:AN125)+SUMIF($D$5:$D$125,"=zur",AN5:AN125)+SUMIF($D$5:$D$125,"=zuk",AN5:AN125)</f>
        <v>1326323.33</v>
      </c>
      <c r="AO143" s="302" t="s">
        <v>490</v>
      </c>
      <c r="AQ143" s="217"/>
      <c r="AR143" s="403"/>
      <c r="AS143" s="101">
        <f t="shared" ref="AS143" si="645">SUMIF($D$5:$D$125,"=zus",AS5:AS125)+SUMIF($D$5:$D$125,"=zum",AS5:AS125)+SUMIF($D$5:$D$125,"=zur",AS5:AS125)+SUMIF($D$5:$D$125,"=zuk",AS5:AS125)</f>
        <v>0</v>
      </c>
      <c r="AU143" s="101">
        <f t="shared" ref="AU143" si="646">SUMIF($D$5:$D$125,"=zus",AU5:AU125)+SUMIF($D$5:$D$125,"=zum",AU5:AU125)+SUMIF($D$5:$D$125,"=zur",AU5:AU125)+SUMIF($D$5:$D$125,"=zuk",AU5:AU125)</f>
        <v>0</v>
      </c>
      <c r="AW143" s="102">
        <f t="shared" ref="AW143" si="647">SUM(AW144:AW146)</f>
        <v>1</v>
      </c>
      <c r="AX143" s="101">
        <f>AZ143*HLOOKUP(AX128,Grund_zins,2,FALSE)</f>
        <v>45545.966550000005</v>
      </c>
      <c r="AY143" s="101">
        <f t="shared" ref="AY143" si="648">SUMIF($D$5:$D$125,"=zus",AY5:AY125)+SUMIF($D$5:$D$125,"=zum",AY5:AY125)+SUMIF($D$5:$D$125,"=zur",AY5:AY125)+SUMIF($D$5:$D$125,"=zuk",AY5:AY125)</f>
        <v>50020</v>
      </c>
      <c r="AZ143" s="101">
        <f t="shared" ref="AZ143:AZ149" si="649">BA143-AS143+AU143+AY143/2</f>
        <v>1301313.33</v>
      </c>
      <c r="BA143" s="101">
        <f t="shared" ref="BA143" si="650">SUMIF($D$5:$D$125,"=zus",BA5:BA125)+SUMIF($D$5:$D$125,"=zum",BA5:BA125)+SUMIF($D$5:$D$125,"=zur",BA5:BA125)+SUMIF($D$5:$D$125,"=zuk",BA5:BA125)</f>
        <v>1276303.33</v>
      </c>
      <c r="BB143" s="302" t="s">
        <v>490</v>
      </c>
      <c r="BD143" s="217"/>
      <c r="BE143" s="403"/>
      <c r="BF143" s="101">
        <f t="shared" ref="BF143" si="651">SUMIF($D$5:$D$125,"=zus",BF5:BF125)+SUMIF($D$5:$D$125,"=zum",BF5:BF125)+SUMIF($D$5:$D$125,"=zur",BF5:BF125)+SUMIF($D$5:$D$125,"=zuk",BF5:BF125)</f>
        <v>0</v>
      </c>
      <c r="BH143" s="101">
        <f t="shared" ref="BH143" si="652">SUMIF($D$5:$D$125,"=zus",BH5:BH125)+SUMIF($D$5:$D$125,"=zum",BH5:BH125)+SUMIF($D$5:$D$125,"=zur",BH5:BH125)+SUMIF($D$5:$D$125,"=zuk",BH5:BH125)</f>
        <v>0</v>
      </c>
      <c r="BJ143" s="102">
        <f t="shared" ref="BJ143" si="653">SUM(BJ144:BJ146)</f>
        <v>1</v>
      </c>
      <c r="BK143" s="101">
        <f>BM143*HLOOKUP(BK128,Grund_zins,2,FALSE)</f>
        <v>43795.266550000008</v>
      </c>
      <c r="BL143" s="101">
        <f t="shared" ref="BL143" si="654">SUMIF($D$5:$D$125,"=zus",BL5:BL125)+SUMIF($D$5:$D$125,"=zum",BL5:BL125)+SUMIF($D$5:$D$125,"=zur",BL5:BL125)+SUMIF($D$5:$D$125,"=zuk",BL5:BL125)</f>
        <v>50020</v>
      </c>
      <c r="BM143" s="101">
        <f t="shared" ref="BM143:BM149" si="655">BN143-BF143+BH143+BL143/2</f>
        <v>1251293.33</v>
      </c>
      <c r="BN143" s="101">
        <f t="shared" ref="BN143" si="656">SUMIF($D$5:$D$125,"=zus",BN5:BN125)+SUMIF($D$5:$D$125,"=zum",BN5:BN125)+SUMIF($D$5:$D$125,"=zur",BN5:BN125)+SUMIF($D$5:$D$125,"=zuk",BN5:BN125)</f>
        <v>1226283.33</v>
      </c>
      <c r="BO143" s="302" t="s">
        <v>490</v>
      </c>
      <c r="BQ143" s="217"/>
      <c r="BR143" s="403"/>
      <c r="BS143" s="101">
        <f t="shared" ref="BS143" si="657">SUMIF($D$5:$D$125,"=zus",BS5:BS125)+SUMIF($D$5:$D$125,"=zum",BS5:BS125)+SUMIF($D$5:$D$125,"=zur",BS5:BS125)+SUMIF($D$5:$D$125,"=zuk",BS5:BS125)</f>
        <v>0</v>
      </c>
      <c r="BU143" s="101">
        <f t="shared" ref="BU143" si="658">SUMIF($D$5:$D$125,"=zus",BU5:BU125)+SUMIF($D$5:$D$125,"=zum",BU5:BU125)+SUMIF($D$5:$D$125,"=zur",BU5:BU125)+SUMIF($D$5:$D$125,"=zuk",BU5:BU125)</f>
        <v>0</v>
      </c>
      <c r="BW143" s="102">
        <f t="shared" ref="BW143" si="659">SUM(BW144:BW146)</f>
        <v>1</v>
      </c>
      <c r="BX143" s="101">
        <f>BZ143*HLOOKUP(BX128,Grund_zins,2,FALSE)</f>
        <v>42044.566550000003</v>
      </c>
      <c r="BY143" s="101">
        <f t="shared" ref="BY143" si="660">SUMIF($D$5:$D$125,"=zus",BY5:BY125)+SUMIF($D$5:$D$125,"=zum",BY5:BY125)+SUMIF($D$5:$D$125,"=zur",BY5:BY125)+SUMIF($D$5:$D$125,"=zuk",BY5:BY125)</f>
        <v>50020</v>
      </c>
      <c r="BZ143" s="101">
        <f t="shared" ref="BZ143:BZ149" si="661">CA143-BS143+BU143+BY143/2</f>
        <v>1201273.33</v>
      </c>
      <c r="CA143" s="101">
        <f t="shared" ref="CA143" si="662">SUMIF($D$5:$D$125,"=zus",CA5:CA125)+SUMIF($D$5:$D$125,"=zum",CA5:CA125)+SUMIF($D$5:$D$125,"=zur",CA5:CA125)+SUMIF($D$5:$D$125,"=zuk",CA5:CA125)</f>
        <v>1176263.33</v>
      </c>
      <c r="CB143" s="302" t="s">
        <v>490</v>
      </c>
      <c r="CD143" s="217"/>
      <c r="CE143" s="403"/>
      <c r="CF143" s="101">
        <f t="shared" ref="CF143" si="663">SUMIF($D$5:$D$125,"=zus",CF5:CF125)+SUMIF($D$5:$D$125,"=zum",CF5:CF125)+SUMIF($D$5:$D$125,"=zur",CF5:CF125)+SUMIF($D$5:$D$125,"=zuk",CF5:CF125)</f>
        <v>0</v>
      </c>
      <c r="CH143" s="101">
        <f t="shared" ref="CH143" si="664">SUMIF($D$5:$D$125,"=zus",CH5:CH125)+SUMIF($D$5:$D$125,"=zum",CH5:CH125)+SUMIF($D$5:$D$125,"=zur",CH5:CH125)+SUMIF($D$5:$D$125,"=zuk",CH5:CH125)</f>
        <v>0</v>
      </c>
      <c r="CJ143" s="102">
        <f t="shared" ref="CJ143" si="665">SUM(CJ144:CJ146)</f>
        <v>1</v>
      </c>
      <c r="CK143" s="101">
        <f>CM143*HLOOKUP(CK128,Grund_zins,2,FALSE)</f>
        <v>34537.599900000001</v>
      </c>
      <c r="CL143" s="101">
        <f t="shared" ref="CL143" si="666">SUMIF($D$5:$D$125,"=zus",CL5:CL125)+SUMIF($D$5:$D$125,"=zum",CL5:CL125)+SUMIF($D$5:$D$125,"=zur",CL5:CL125)+SUMIF($D$5:$D$125,"=zuk",CL5:CL125)</f>
        <v>50020</v>
      </c>
      <c r="CM143" s="101">
        <f t="shared" ref="CM143:CM149" si="667">CN143-CF143+CH143+CL143/2</f>
        <v>1151253.33</v>
      </c>
      <c r="CN143" s="101">
        <f t="shared" ref="CN143" si="668">SUMIF($D$5:$D$125,"=zus",CN5:CN125)+SUMIF($D$5:$D$125,"=zum",CN5:CN125)+SUMIF($D$5:$D$125,"=zur",CN5:CN125)+SUMIF($D$5:$D$125,"=zuk",CN5:CN125)</f>
        <v>1126243.33</v>
      </c>
      <c r="CO143" s="302" t="s">
        <v>490</v>
      </c>
      <c r="CQ143" s="217"/>
      <c r="CR143" s="403"/>
      <c r="CS143" s="101">
        <f t="shared" ref="CS143" si="669">SUMIF($D$5:$D$125,"=zus",CS5:CS125)+SUMIF($D$5:$D$125,"=zum",CS5:CS125)+SUMIF($D$5:$D$125,"=zur",CS5:CS125)+SUMIF($D$5:$D$125,"=zuk",CS5:CS125)</f>
        <v>0</v>
      </c>
      <c r="CU143" s="101">
        <f t="shared" ref="CU143" si="670">SUMIF($D$5:$D$125,"=zus",CU5:CU125)+SUMIF($D$5:$D$125,"=zum",CU5:CU125)+SUMIF($D$5:$D$125,"=zur",CU5:CU125)+SUMIF($D$5:$D$125,"=zuk",CU5:CU125)</f>
        <v>0</v>
      </c>
      <c r="CW143" s="102">
        <f t="shared" ref="CW143" si="671">SUM(CW144:CW146)</f>
        <v>1</v>
      </c>
      <c r="CX143" s="101">
        <f>CZ143*HLOOKUP(CX128,Grund_zins,2,FALSE)</f>
        <v>33036.999900000003</v>
      </c>
      <c r="CY143" s="101">
        <f t="shared" ref="CY143" si="672">SUMIF($D$5:$D$125,"=zus",CY5:CY125)+SUMIF($D$5:$D$125,"=zum",CY5:CY125)+SUMIF($D$5:$D$125,"=zur",CY5:CY125)+SUMIF($D$5:$D$125,"=zuk",CY5:CY125)</f>
        <v>50020</v>
      </c>
      <c r="CZ143" s="101">
        <f t="shared" ref="CZ143:CZ149" si="673">DA143-CS143+CU143+CY143/2</f>
        <v>1101233.33</v>
      </c>
      <c r="DA143" s="101">
        <f t="shared" ref="DA143" si="674">SUMIF($D$5:$D$125,"=zus",DA5:DA125)+SUMIF($D$5:$D$125,"=zum",DA5:DA125)+SUMIF($D$5:$D$125,"=zur",DA5:DA125)+SUMIF($D$5:$D$125,"=zuk",DA5:DA125)</f>
        <v>1076223.33</v>
      </c>
      <c r="DB143" s="302" t="s">
        <v>490</v>
      </c>
      <c r="DD143" s="217"/>
      <c r="DE143" s="403"/>
      <c r="DF143" s="101">
        <f t="shared" ref="DF143" si="675">SUMIF($D$5:$D$125,"=zus",DF5:DF125)+SUMIF($D$5:$D$125,"=zum",DF5:DF125)+SUMIF($D$5:$D$125,"=zur",DF5:DF125)+SUMIF($D$5:$D$125,"=zuk",DF5:DF125)</f>
        <v>0</v>
      </c>
      <c r="DH143" s="101">
        <f t="shared" ref="DH143" si="676">SUMIF($D$5:$D$125,"=zus",DH5:DH125)+SUMIF($D$5:$D$125,"=zum",DH5:DH125)+SUMIF($D$5:$D$125,"=zur",DH5:DH125)+SUMIF($D$5:$D$125,"=zuk",DH5:DH125)</f>
        <v>0</v>
      </c>
      <c r="DJ143" s="102">
        <f t="shared" ref="DJ143" si="677">SUM(DJ144:DJ146)</f>
        <v>1</v>
      </c>
      <c r="DK143" s="101">
        <f>DM143*HLOOKUP(DK128,Grund_zins,2,FALSE)</f>
        <v>31536.3999</v>
      </c>
      <c r="DL143" s="101">
        <f t="shared" ref="DL143" si="678">SUMIF($D$5:$D$125,"=zus",DL5:DL125)+SUMIF($D$5:$D$125,"=zum",DL5:DL125)+SUMIF($D$5:$D$125,"=zur",DL5:DL125)+SUMIF($D$5:$D$125,"=zuk",DL5:DL125)</f>
        <v>50020</v>
      </c>
      <c r="DM143" s="101">
        <f t="shared" ref="DM143:DM149" si="679">DN143-DF143+DH143+DL143/2</f>
        <v>1051213.33</v>
      </c>
      <c r="DN143" s="101">
        <f t="shared" ref="DN143" si="680">SUMIF($D$5:$D$125,"=zus",DN5:DN125)+SUMIF($D$5:$D$125,"=zum",DN5:DN125)+SUMIF($D$5:$D$125,"=zur",DN5:DN125)+SUMIF($D$5:$D$125,"=zuk",DN5:DN125)</f>
        <v>1026203.3300000001</v>
      </c>
      <c r="DO143" s="302" t="s">
        <v>490</v>
      </c>
      <c r="DQ143" s="217"/>
      <c r="DR143" s="403"/>
      <c r="DS143" s="101">
        <f t="shared" ref="DS143" si="681">SUMIF($D$5:$D$125,"=zus",DS5:DS125)+SUMIF($D$5:$D$125,"=zum",DS5:DS125)+SUMIF($D$5:$D$125,"=zur",DS5:DS125)+SUMIF($D$5:$D$125,"=zuk",DS5:DS125)</f>
        <v>0</v>
      </c>
      <c r="DU143" s="101">
        <f t="shared" ref="DU143" si="682">SUMIF($D$5:$D$125,"=zus",DU5:DU125)+SUMIF($D$5:$D$125,"=zum",DU5:DU125)+SUMIF($D$5:$D$125,"=zur",DU5:DU125)+SUMIF($D$5:$D$125,"=zuk",DU5:DU125)</f>
        <v>0</v>
      </c>
      <c r="DW143" s="102">
        <f t="shared" ref="DW143" si="683">SUM(DW144:DW146)</f>
        <v>1</v>
      </c>
      <c r="DX143" s="101">
        <f>DZ143*HLOOKUP(DX128,Grund_zins,2,FALSE)</f>
        <v>30035.799900000002</v>
      </c>
      <c r="DY143" s="101">
        <f t="shared" ref="DY143" si="684">SUMIF($D$5:$D$125,"=zus",DY5:DY125)+SUMIF($D$5:$D$125,"=zum",DY5:DY125)+SUMIF($D$5:$D$125,"=zur",DY5:DY125)+SUMIF($D$5:$D$125,"=zuk",DY5:DY125)</f>
        <v>50020</v>
      </c>
      <c r="DZ143" s="101">
        <f t="shared" ref="DZ143:DZ149" si="685">EA143-DS143+DU143+DY143/2</f>
        <v>1001193.3300000001</v>
      </c>
      <c r="EA143" s="101">
        <f t="shared" ref="EA143" si="686">SUMIF($D$5:$D$125,"=zus",EA5:EA125)+SUMIF($D$5:$D$125,"=zum",EA5:EA125)+SUMIF($D$5:$D$125,"=zur",EA5:EA125)+SUMIF($D$5:$D$125,"=zuk",EA5:EA125)</f>
        <v>976183.33000000007</v>
      </c>
      <c r="EB143" s="302" t="s">
        <v>490</v>
      </c>
      <c r="ED143" s="217"/>
    </row>
    <row r="144" spans="1:134" hidden="1" x14ac:dyDescent="0.3">
      <c r="A144" s="84" t="s">
        <v>180</v>
      </c>
      <c r="Q144" s="238">
        <v>17</v>
      </c>
      <c r="R144" s="403"/>
      <c r="S144" s="101">
        <f>SUMIF($D$5:$D$125,"=zus",S5:S125)*HLOOKUP(X128,Verteil_sw,39,FALSE)+SUMIF($D$5:$D$125,"=zum",S5:S125)*HLOOKUP(X128,Verteil_sw,40,FALSE)+SUMIF($D$5:$D$125,"=zur",S5:S125)*HLOOKUP(X128,Verteil_sw,41,FALSE)+SUMIF($D$5:$D$125,"=zuk",S5:S125)*HLOOKUP(X128,Verteil_sw,42,FALSE)</f>
        <v>0</v>
      </c>
      <c r="U144" s="101">
        <f>SUMIF($D$5:$D$125,"=zus",U5:U125)*HLOOKUP(X128,Verteil_sw,39,FALSE)+SUMIF($D$5:$D$125,"=zum",U5:U125)*HLOOKUP(X128,Verteil_sw,40,FALSE)+SUMIF($D$5:$D$125,"=zur",U5:U125)*HLOOKUP(X128,Verteil_sw,41,FALSE)+SUMIF($D$5:$D$125,"=zuk",U5:U125)*HLOOKUP(X128,Verteil_sw,42,FALSE)</f>
        <v>0</v>
      </c>
      <c r="W144" s="102">
        <f>IF(X143&lt;&gt;0,X144/X143,0)</f>
        <v>0.51167677882116669</v>
      </c>
      <c r="X144" s="101">
        <f>Z144*HLOOKUP(X128,Grund_zins,2,FALSE)</f>
        <v>25168.033275000005</v>
      </c>
      <c r="Y144" s="101">
        <f>SUMIF($D$5:$D$125,"=zus",Y5:Y125)*HLOOKUP(X128,Verteil_sw,39,FALSE)+SUMIF($D$5:$D$125,"=zum",Y5:Y125)*HLOOKUP(X128,Verteil_sw,40,FALSE)+SUMIF($D$5:$D$125,"=zur",Y5:Y125)*HLOOKUP(X128,Verteil_sw,41,FALSE)+SUMIF($D$5:$D$125,"=zuk",Y5:Y125)*HLOOKUP(X128,Verteil_sw,42,FALSE)</f>
        <v>27420</v>
      </c>
      <c r="Z144" s="101">
        <f t="shared" ref="Z144:Z149" si="687">AA144-S144+U144+Y144/2</f>
        <v>719086.66500000004</v>
      </c>
      <c r="AA144" s="101">
        <f>SUMIF($D$5:$D$125,"=zus",AA5:AA125)*HLOOKUP(X128,Verteil_sw,39,FALSE)+SUMIF($D$5:$D$125,"=zum",AA5:AA125)*HLOOKUP(X128,Verteil_sw,40,FALSE)+SUMIF($D$5:$D$125,"=zur",AA5:AA125)*HLOOKUP(X128,Verteil_sw,41,FALSE)+SUMIF($D$5:$D$125,"=zuk",AA5:AA125)*HLOOKUP(X128,Verteil_sw,42,FALSE)</f>
        <v>705376.66500000004</v>
      </c>
      <c r="AB144" s="84" t="s">
        <v>180</v>
      </c>
      <c r="AD144" s="217"/>
      <c r="AE144" s="403"/>
      <c r="AF144" s="101">
        <f>SUMIF($D$5:$D$125,"=zus",AF5:AF125)*HLOOKUP(AK128,Verteil_sw,39,FALSE)+SUMIF($D$5:$D$125,"=zum",AF5:AF125)*HLOOKUP(AK128,Verteil_sw,40,FALSE)+SUMIF($D$5:$D$125,"=zur",AF5:AF125)*HLOOKUP(AK128,Verteil_sw,41,FALSE)+SUMIF($D$5:$D$125,"=zuk",AF5:AF125)*HLOOKUP(AK128,Verteil_sw,42,FALSE)</f>
        <v>0</v>
      </c>
      <c r="AH144" s="101">
        <f>SUMIF($D$5:$D$125,"=zus",AH5:AH125)*HLOOKUP(AK128,Verteil_sw,39,FALSE)+SUMIF($D$5:$D$125,"=zum",AH5:AH125)*HLOOKUP(AK128,Verteil_sw,40,FALSE)+SUMIF($D$5:$D$125,"=zur",AH5:AH125)*HLOOKUP(AK128,Verteil_sw,41,FALSE)+SUMIF($D$5:$D$125,"=zuk",AH5:AH125)*HLOOKUP(AK128,Verteil_sw,42,FALSE)</f>
        <v>0</v>
      </c>
      <c r="AJ144" s="102">
        <f t="shared" ref="AJ144" si="688">IF(AK143&lt;&gt;0,AK144/AK143,0)</f>
        <v>0.51183140254333592</v>
      </c>
      <c r="AK144" s="101">
        <f>AM144*HLOOKUP(AK128,Grund_zins,2,FALSE)</f>
        <v>24225.833275000005</v>
      </c>
      <c r="AL144" s="101">
        <f>SUMIF($D$5:$D$125,"=zus",AL5:AL125)*HLOOKUP(AK128,Verteil_sw,39,FALSE)+SUMIF($D$5:$D$125,"=zum",AL5:AL125)*HLOOKUP(AK128,Verteil_sw,40,FALSE)+SUMIF($D$5:$D$125,"=zur",AL5:AL125)*HLOOKUP(AK128,Verteil_sw,41,FALSE)+SUMIF($D$5:$D$125,"=zuk",AL5:AL125)*HLOOKUP(AK128,Verteil_sw,42,FALSE)</f>
        <v>26420</v>
      </c>
      <c r="AM144" s="101">
        <f t="shared" si="643"/>
        <v>692166.66500000004</v>
      </c>
      <c r="AN144" s="101">
        <f>SUMIF($D$5:$D$125,"=zus",AN5:AN125)*HLOOKUP(AK128,Verteil_sw,39,FALSE)+SUMIF($D$5:$D$125,"=zum",AN5:AN125)*HLOOKUP(AK128,Verteil_sw,40,FALSE)+SUMIF($D$5:$D$125,"=zur",AN5:AN125)*HLOOKUP(AK128,Verteil_sw,41,FALSE)+SUMIF($D$5:$D$125,"=zuk",AN5:AN125)*HLOOKUP(AK128,Verteil_sw,42,FALSE)</f>
        <v>678956.66500000004</v>
      </c>
      <c r="AO144" s="659" t="s">
        <v>180</v>
      </c>
      <c r="AQ144" s="217"/>
      <c r="AR144" s="403"/>
      <c r="AS144" s="101">
        <f>SUMIF($D$5:$D$125,"=zus",AS5:AS125)*HLOOKUP(AX128,Verteil_sw,39,FALSE)+SUMIF($D$5:$D$125,"=zum",AS5:AS125)*HLOOKUP(AX128,Verteil_sw,40,FALSE)+SUMIF($D$5:$D$125,"=zur",AS5:AS125)*HLOOKUP(AX128,Verteil_sw,41,FALSE)+SUMIF($D$5:$D$125,"=zuk",AS5:AS125)*HLOOKUP(AX128,Verteil_sw,42,FALSE)</f>
        <v>0</v>
      </c>
      <c r="AU144" s="101">
        <f>SUMIF($D$5:$D$125,"=zus",AU5:AU125)*HLOOKUP(AX128,Verteil_sw,39,FALSE)+SUMIF($D$5:$D$125,"=zum",AU5:AU125)*HLOOKUP(AX128,Verteil_sw,40,FALSE)+SUMIF($D$5:$D$125,"=zur",AU5:AU125)*HLOOKUP(AX128,Verteil_sw,41,FALSE)+SUMIF($D$5:$D$125,"=zuk",AU5:AU125)*HLOOKUP(AX128,Verteil_sw,42,FALSE)</f>
        <v>0</v>
      </c>
      <c r="AW144" s="102">
        <f t="shared" ref="AW144" si="689">IF(AX143&lt;&gt;0,AX144/AX143,0)</f>
        <v>0.5119802046444879</v>
      </c>
      <c r="AX144" s="101">
        <f>AZ144*HLOOKUP(AX128,Grund_zins,2,FALSE)</f>
        <v>23318.633275000004</v>
      </c>
      <c r="AY144" s="101">
        <f>SUMIF($D$5:$D$125,"=zus",AY5:AY125)*HLOOKUP(AX128,Verteil_sw,39,FALSE)+SUMIF($D$5:$D$125,"=zum",AY5:AY125)*HLOOKUP(AX128,Verteil_sw,40,FALSE)+SUMIF($D$5:$D$125,"=zur",AY5:AY125)*HLOOKUP(AX128,Verteil_sw,41,FALSE)+SUMIF($D$5:$D$125,"=zuk",AY5:AY125)*HLOOKUP(AX128,Verteil_sw,42,FALSE)</f>
        <v>25420</v>
      </c>
      <c r="AZ144" s="101">
        <f t="shared" si="649"/>
        <v>666246.66500000004</v>
      </c>
      <c r="BA144" s="101">
        <f>SUMIF($D$5:$D$125,"=zus",BA5:BA125)*HLOOKUP(AX128,Verteil_sw,39,FALSE)+SUMIF($D$5:$D$125,"=zum",BA5:BA125)*HLOOKUP(AX128,Verteil_sw,40,FALSE)+SUMIF($D$5:$D$125,"=zur",BA5:BA125)*HLOOKUP(AX128,Verteil_sw,41,FALSE)+SUMIF($D$5:$D$125,"=zuk",BA5:BA125)*HLOOKUP(AX128,Verteil_sw,42,FALSE)</f>
        <v>653536.66500000004</v>
      </c>
      <c r="BB144" s="659" t="s">
        <v>180</v>
      </c>
      <c r="BD144" s="217"/>
      <c r="BE144" s="403"/>
      <c r="BF144" s="101">
        <f>SUMIF($D$5:$D$125,"=zus",BF5:BF125)*HLOOKUP(BK128,Verteil_sw,39,FALSE)+SUMIF($D$5:$D$125,"=zum",BF5:BF125)*HLOOKUP(BK128,Verteil_sw,40,FALSE)+SUMIF($D$5:$D$125,"=zur",BF5:BF125)*HLOOKUP(BK128,Verteil_sw,41,FALSE)+SUMIF($D$5:$D$125,"=zuk",BF5:BF125)*HLOOKUP(BK128,Verteil_sw,42,FALSE)</f>
        <v>0</v>
      </c>
      <c r="BH144" s="101">
        <f>SUMIF($D$5:$D$125,"=zus",BH5:BH125)*HLOOKUP(BK128,Verteil_sw,39,FALSE)+SUMIF($D$5:$D$125,"=zum",BH5:BH125)*HLOOKUP(BK128,Verteil_sw,40,FALSE)+SUMIF($D$5:$D$125,"=zur",BH5:BH125)*HLOOKUP(BK128,Verteil_sw,41,FALSE)+SUMIF($D$5:$D$125,"=zuk",BH5:BH125)*HLOOKUP(BK128,Verteil_sw,42,FALSE)</f>
        <v>0</v>
      </c>
      <c r="BJ144" s="102">
        <f t="shared" ref="BJ144" si="690">IF(BK143&lt;&gt;0,BK144/BK143,0)</f>
        <v>0.51213144802745814</v>
      </c>
      <c r="BK144" s="101">
        <f>BM144*HLOOKUP(BK128,Grund_zins,2,FALSE)</f>
        <v>22428.933275000003</v>
      </c>
      <c r="BL144" s="101">
        <f>SUMIF($D$5:$D$125,"=zus",BL5:BL125)*HLOOKUP(BK128,Verteil_sw,39,FALSE)+SUMIF($D$5:$D$125,"=zum",BL5:BL125)*HLOOKUP(BK128,Verteil_sw,40,FALSE)+SUMIF($D$5:$D$125,"=zur",BL5:BL125)*HLOOKUP(BK128,Verteil_sw,41,FALSE)+SUMIF($D$5:$D$125,"=zuk",BL5:BL125)*HLOOKUP(BK128,Verteil_sw,42,FALSE)</f>
        <v>25420</v>
      </c>
      <c r="BM144" s="101">
        <f t="shared" si="655"/>
        <v>640826.66500000004</v>
      </c>
      <c r="BN144" s="101">
        <f>SUMIF($D$5:$D$125,"=zus",BN5:BN125)*HLOOKUP(BK128,Verteil_sw,39,FALSE)+SUMIF($D$5:$D$125,"=zum",BN5:BN125)*HLOOKUP(BK128,Verteil_sw,40,FALSE)+SUMIF($D$5:$D$125,"=zur",BN5:BN125)*HLOOKUP(BK128,Verteil_sw,41,FALSE)+SUMIF($D$5:$D$125,"=zuk",BN5:BN125)*HLOOKUP(BK128,Verteil_sw,42,FALSE)</f>
        <v>628116.66500000004</v>
      </c>
      <c r="BO144" s="659" t="s">
        <v>180</v>
      </c>
      <c r="BQ144" s="217"/>
      <c r="BR144" s="403"/>
      <c r="BS144" s="101">
        <f>SUMIF($D$5:$D$125,"=zus",BS5:BS125)*HLOOKUP(BX128,Verteil_sw,39,FALSE)+SUMIF($D$5:$D$125,"=zum",BS5:BS125)*HLOOKUP(BX128,Verteil_sw,40,FALSE)+SUMIF($D$5:$D$125,"=zur",BS5:BS125)*HLOOKUP(BX128,Verteil_sw,41,FALSE)+SUMIF($D$5:$D$125,"=zuk",BS5:BS125)*HLOOKUP(BX128,Verteil_sw,42,FALSE)</f>
        <v>0</v>
      </c>
      <c r="BU144" s="101">
        <f>SUMIF($D$5:$D$125,"=zus",BU5:BU125)*HLOOKUP(BX128,Verteil_sw,39,FALSE)+SUMIF($D$5:$D$125,"=zum",BU5:BU125)*HLOOKUP(BX128,Verteil_sw,40,FALSE)+SUMIF($D$5:$D$125,"=zur",BU5:BU125)*HLOOKUP(BX128,Verteil_sw,41,FALSE)+SUMIF($D$5:$D$125,"=zuk",BU5:BU125)*HLOOKUP(BX128,Verteil_sw,42,FALSE)</f>
        <v>0</v>
      </c>
      <c r="BW144" s="102">
        <f t="shared" ref="BW144" si="691">IF(BX143&lt;&gt;0,BX144/BX143,0)</f>
        <v>0.51229528670215296</v>
      </c>
      <c r="BX144" s="101">
        <f>BZ144*HLOOKUP(BX128,Grund_zins,2,FALSE)</f>
        <v>21539.233275000002</v>
      </c>
      <c r="BY144" s="101">
        <f>SUMIF($D$5:$D$125,"=zus",BY5:BY125)*HLOOKUP(BX128,Verteil_sw,39,FALSE)+SUMIF($D$5:$D$125,"=zum",BY5:BY125)*HLOOKUP(BX128,Verteil_sw,40,FALSE)+SUMIF($D$5:$D$125,"=zur",BY5:BY125)*HLOOKUP(BX128,Verteil_sw,41,FALSE)+SUMIF($D$5:$D$125,"=zuk",BY5:BY125)*HLOOKUP(BX128,Verteil_sw,42,FALSE)</f>
        <v>25420</v>
      </c>
      <c r="BZ144" s="101">
        <f t="shared" si="661"/>
        <v>615406.66500000004</v>
      </c>
      <c r="CA144" s="101">
        <f>SUMIF($D$5:$D$125,"=zus",CA5:CA125)*HLOOKUP(BX128,Verteil_sw,39,FALSE)+SUMIF($D$5:$D$125,"=zum",CA5:CA125)*HLOOKUP(BX128,Verteil_sw,40,FALSE)+SUMIF($D$5:$D$125,"=zur",CA5:CA125)*HLOOKUP(BX128,Verteil_sw,41,FALSE)+SUMIF($D$5:$D$125,"=zuk",CA5:CA125)*HLOOKUP(BX128,Verteil_sw,42,FALSE)</f>
        <v>602696.66500000004</v>
      </c>
      <c r="CB144" s="659" t="s">
        <v>180</v>
      </c>
      <c r="CD144" s="217"/>
      <c r="CE144" s="403"/>
      <c r="CF144" s="101">
        <f>SUMIF($D$5:$D$125,"=zus",CF5:CF125)*HLOOKUP(CK128,Verteil_sw,39,FALSE)+SUMIF($D$5:$D$125,"=zum",CF5:CF125)*HLOOKUP(CK128,Verteil_sw,40,FALSE)+SUMIF($D$5:$D$125,"=zur",CF5:CF125)*HLOOKUP(CK128,Verteil_sw,41,FALSE)+SUMIF($D$5:$D$125,"=zuk",CF5:CF125)*HLOOKUP(CK128,Verteil_sw,42,FALSE)</f>
        <v>0</v>
      </c>
      <c r="CH144" s="101">
        <f>SUMIF($D$5:$D$125,"=zus",CH5:CH125)*HLOOKUP(CK128,Verteil_sw,39,FALSE)+SUMIF($D$5:$D$125,"=zum",CH5:CH125)*HLOOKUP(CK128,Verteil_sw,40,FALSE)+SUMIF($D$5:$D$125,"=zur",CH5:CH125)*HLOOKUP(CK128,Verteil_sw,41,FALSE)+SUMIF($D$5:$D$125,"=zuk",CH5:CH125)*HLOOKUP(CK128,Verteil_sw,42,FALSE)</f>
        <v>0</v>
      </c>
      <c r="CJ144" s="102">
        <f t="shared" ref="CJ144" si="692">IF(CK143&lt;&gt;0,CK144/CK143,0)</f>
        <v>0.51247336240061081</v>
      </c>
      <c r="CK144" s="101">
        <f>CM144*HLOOKUP(CK128,Grund_zins,2,FALSE)</f>
        <v>17699.59995</v>
      </c>
      <c r="CL144" s="101">
        <f>SUMIF($D$5:$D$125,"=zus",CL5:CL125)*HLOOKUP(CK128,Verteil_sw,39,FALSE)+SUMIF($D$5:$D$125,"=zum",CL5:CL125)*HLOOKUP(CK128,Verteil_sw,40,FALSE)+SUMIF($D$5:$D$125,"=zur",CL5:CL125)*HLOOKUP(CK128,Verteil_sw,41,FALSE)+SUMIF($D$5:$D$125,"=zuk",CL5:CL125)*HLOOKUP(CK128,Verteil_sw,42,FALSE)</f>
        <v>25420</v>
      </c>
      <c r="CM144" s="101">
        <f t="shared" si="667"/>
        <v>589986.66500000004</v>
      </c>
      <c r="CN144" s="101">
        <f>SUMIF($D$5:$D$125,"=zus",CN5:CN125)*HLOOKUP(CK128,Verteil_sw,39,FALSE)+SUMIF($D$5:$D$125,"=zum",CN5:CN125)*HLOOKUP(CK128,Verteil_sw,40,FALSE)+SUMIF($D$5:$D$125,"=zur",CN5:CN125)*HLOOKUP(CK128,Verteil_sw,41,FALSE)+SUMIF($D$5:$D$125,"=zuk",CN5:CN125)*HLOOKUP(CK128,Verteil_sw,42,FALSE)</f>
        <v>577276.66500000004</v>
      </c>
      <c r="CO144" s="659" t="s">
        <v>180</v>
      </c>
      <c r="CQ144" s="217"/>
      <c r="CR144" s="403"/>
      <c r="CS144" s="101">
        <f>SUMIF($D$5:$D$125,"=zus",CS5:CS125)*HLOOKUP(CX128,Verteil_sw,39,FALSE)+SUMIF($D$5:$D$125,"=zum",CS5:CS125)*HLOOKUP(CX128,Verteil_sw,40,FALSE)+SUMIF($D$5:$D$125,"=zur",CS5:CS125)*HLOOKUP(CX128,Verteil_sw,41,FALSE)+SUMIF($D$5:$D$125,"=zuk",CS5:CS125)*HLOOKUP(CX128,Verteil_sw,42,FALSE)</f>
        <v>0</v>
      </c>
      <c r="CU144" s="101">
        <f>SUMIF($D$5:$D$125,"=zus",CU5:CU125)*HLOOKUP(CX128,Verteil_sw,39,FALSE)+SUMIF($D$5:$D$125,"=zum",CU5:CU125)*HLOOKUP(CX128,Verteil_sw,40,FALSE)+SUMIF($D$5:$D$125,"=zur",CU5:CU125)*HLOOKUP(CX128,Verteil_sw,41,FALSE)+SUMIF($D$5:$D$125,"=zuk",CU5:CU125)*HLOOKUP(CX128,Verteil_sw,42,FALSE)</f>
        <v>0</v>
      </c>
      <c r="CW144" s="102">
        <f t="shared" ref="CW144" si="693">IF(CX143&lt;&gt;0,CX144/CX143,0)</f>
        <v>0.51266761513656689</v>
      </c>
      <c r="CX144" s="101">
        <f>CZ144*HLOOKUP(CX128,Grund_zins,2,FALSE)</f>
        <v>16936.999950000001</v>
      </c>
      <c r="CY144" s="101">
        <f>SUMIF($D$5:$D$125,"=zus",CY5:CY125)*HLOOKUP(CX128,Verteil_sw,39,FALSE)+SUMIF($D$5:$D$125,"=zum",CY5:CY125)*HLOOKUP(CX128,Verteil_sw,40,FALSE)+SUMIF($D$5:$D$125,"=zur",CY5:CY125)*HLOOKUP(CX128,Verteil_sw,41,FALSE)+SUMIF($D$5:$D$125,"=zuk",CY5:CY125)*HLOOKUP(CX128,Verteil_sw,42,FALSE)</f>
        <v>25420</v>
      </c>
      <c r="CZ144" s="101">
        <f t="shared" si="673"/>
        <v>564566.66500000004</v>
      </c>
      <c r="DA144" s="101">
        <f>SUMIF($D$5:$D$125,"=zus",DA5:DA125)*HLOOKUP(CX128,Verteil_sw,39,FALSE)+SUMIF($D$5:$D$125,"=zum",DA5:DA125)*HLOOKUP(CX128,Verteil_sw,40,FALSE)+SUMIF($D$5:$D$125,"=zur",DA5:DA125)*HLOOKUP(CX128,Verteil_sw,41,FALSE)+SUMIF($D$5:$D$125,"=zuk",DA5:DA125)*HLOOKUP(CX128,Verteil_sw,42,FALSE)</f>
        <v>551856.66500000004</v>
      </c>
      <c r="DB144" s="659" t="s">
        <v>180</v>
      </c>
      <c r="DD144" s="217"/>
      <c r="DE144" s="403"/>
      <c r="DF144" s="101">
        <f>SUMIF($D$5:$D$125,"=zus",DF5:DF125)*HLOOKUP(DK128,Verteil_sw,39,FALSE)+SUMIF($D$5:$D$125,"=zum",DF5:DF125)*HLOOKUP(DK128,Verteil_sw,40,FALSE)+SUMIF($D$5:$D$125,"=zur",DF5:DF125)*HLOOKUP(DK128,Verteil_sw,41,FALSE)+SUMIF($D$5:$D$125,"=zuk",DF5:DF125)*HLOOKUP(DK128,Verteil_sw,42,FALSE)</f>
        <v>0</v>
      </c>
      <c r="DH144" s="101">
        <f>SUMIF($D$5:$D$125,"=zus",DH5:DH125)*HLOOKUP(DK128,Verteil_sw,39,FALSE)+SUMIF($D$5:$D$125,"=zum",DH5:DH125)*HLOOKUP(DK128,Verteil_sw,40,FALSE)+SUMIF($D$5:$D$125,"=zur",DH5:DH125)*HLOOKUP(DK128,Verteil_sw,41,FALSE)+SUMIF($D$5:$D$125,"=zuk",DH5:DH125)*HLOOKUP(DK128,Verteil_sw,42,FALSE)</f>
        <v>0</v>
      </c>
      <c r="DJ144" s="102">
        <f t="shared" ref="DJ144" si="694">IF(DK143&lt;&gt;0,DK144/DK143,0)</f>
        <v>0.51288035417130795</v>
      </c>
      <c r="DK144" s="101">
        <f>DM144*HLOOKUP(DK128,Grund_zins,2,FALSE)</f>
        <v>16174.399950000001</v>
      </c>
      <c r="DL144" s="101">
        <f>SUMIF($D$5:$D$125,"=zus",DL5:DL125)*HLOOKUP(DK128,Verteil_sw,39,FALSE)+SUMIF($D$5:$D$125,"=zum",DL5:DL125)*HLOOKUP(DK128,Verteil_sw,40,FALSE)+SUMIF($D$5:$D$125,"=zur",DL5:DL125)*HLOOKUP(DK128,Verteil_sw,41,FALSE)+SUMIF($D$5:$D$125,"=zuk",DL5:DL125)*HLOOKUP(DK128,Verteil_sw,42,FALSE)</f>
        <v>25420</v>
      </c>
      <c r="DM144" s="101">
        <f t="shared" si="679"/>
        <v>539146.66500000004</v>
      </c>
      <c r="DN144" s="101">
        <f>SUMIF($D$5:$D$125,"=zus",DN5:DN125)*HLOOKUP(DK128,Verteil_sw,39,FALSE)+SUMIF($D$5:$D$125,"=zum",DN5:DN125)*HLOOKUP(DK128,Verteil_sw,40,FALSE)+SUMIF($D$5:$D$125,"=zur",DN5:DN125)*HLOOKUP(DK128,Verteil_sw,41,FALSE)+SUMIF($D$5:$D$125,"=zuk",DN5:DN125)*HLOOKUP(DK128,Verteil_sw,42,FALSE)</f>
        <v>526436.66500000004</v>
      </c>
      <c r="DO144" s="659" t="s">
        <v>180</v>
      </c>
      <c r="DQ144" s="217"/>
      <c r="DR144" s="403"/>
      <c r="DS144" s="101">
        <f>SUMIF($D$5:$D$125,"=zus",DS5:DS125)*HLOOKUP(DX128,Verteil_sw,39,FALSE)+SUMIF($D$5:$D$125,"=zum",DS5:DS125)*HLOOKUP(DX128,Verteil_sw,40,FALSE)+SUMIF($D$5:$D$125,"=zur",DS5:DS125)*HLOOKUP(DX128,Verteil_sw,41,FALSE)+SUMIF($D$5:$D$125,"=zuk",DS5:DS125)*HLOOKUP(DX128,Verteil_sw,42,FALSE)</f>
        <v>0</v>
      </c>
      <c r="DU144" s="101">
        <f>SUMIF($D$5:$D$125,"=zus",DU5:DU125)*HLOOKUP(DX128,Verteil_sw,39,FALSE)+SUMIF($D$5:$D$125,"=zum",DU5:DU125)*HLOOKUP(DX128,Verteil_sw,40,FALSE)+SUMIF($D$5:$D$125,"=zur",DU5:DU125)*HLOOKUP(DX128,Verteil_sw,41,FALSE)+SUMIF($D$5:$D$125,"=zuk",DU5:DU125)*HLOOKUP(DX128,Verteil_sw,42,FALSE)</f>
        <v>0</v>
      </c>
      <c r="DW144" s="102">
        <f t="shared" ref="DW144" si="695">IF(DX143&lt;&gt;0,DX144/DX143,0)</f>
        <v>0.51311435025241325</v>
      </c>
      <c r="DX144" s="101">
        <f>DZ144*HLOOKUP(DX128,Grund_zins,2,FALSE)</f>
        <v>15411.799950000001</v>
      </c>
      <c r="DY144" s="101">
        <f>SUMIF($D$5:$D$125,"=zus",DY5:DY125)*HLOOKUP(DX128,Verteil_sw,39,FALSE)+SUMIF($D$5:$D$125,"=zum",DY5:DY125)*HLOOKUP(DX128,Verteil_sw,40,FALSE)+SUMIF($D$5:$D$125,"=zur",DY5:DY125)*HLOOKUP(DX128,Verteil_sw,41,FALSE)+SUMIF($D$5:$D$125,"=zuk",DY5:DY125)*HLOOKUP(DX128,Verteil_sw,42,FALSE)</f>
        <v>25420</v>
      </c>
      <c r="DZ144" s="101">
        <f t="shared" si="685"/>
        <v>513726.66500000004</v>
      </c>
      <c r="EA144" s="101">
        <f>SUMIF($D$5:$D$125,"=zus",EA5:EA125)*HLOOKUP(DX128,Verteil_sw,39,FALSE)+SUMIF($D$5:$D$125,"=zum",EA5:EA125)*HLOOKUP(DX128,Verteil_sw,40,FALSE)+SUMIF($D$5:$D$125,"=zur",EA5:EA125)*HLOOKUP(DX128,Verteil_sw,41,FALSE)+SUMIF($D$5:$D$125,"=zuk",EA5:EA125)*HLOOKUP(DX128,Verteil_sw,42,FALSE)</f>
        <v>501016.66500000004</v>
      </c>
      <c r="EB144" s="659" t="s">
        <v>180</v>
      </c>
      <c r="ED144" s="217"/>
    </row>
    <row r="145" spans="1:134" hidden="1" x14ac:dyDescent="0.3">
      <c r="A145" s="84" t="s">
        <v>181</v>
      </c>
      <c r="Q145" s="238">
        <v>18</v>
      </c>
      <c r="R145" s="403"/>
      <c r="S145" s="101">
        <f>SUMIF($D$5:$D$125,"=zus",S5:S125)*HLOOKUP(X128,Verteil_rwgr,38,FALSE)+SUMIF($D$5:$D$125,"=zum",S5:S125)*HLOOKUP(X128,Verteil_rwgr,39,FALSE)+SUMIF($D$5:$D$125,"=zur",S5:S125)*HLOOKUP(X128,Verteil_rwgr,40,FALSE)+SUMIF($D$5:$D$125,"=zuk",S5:S125)*HLOOKUP(X128,Verteil_rwgr,41,FALSE)</f>
        <v>0</v>
      </c>
      <c r="U145" s="101">
        <f>SUMIF($D$5:$D$125,"=zus",U5:U125)*HLOOKUP(X128,Verteil_rwgr,38,FALSE)+SUMIF($D$5:$D$125,"=zum",U5:U125)*HLOOKUP(X128,Verteil_rwgr,39,FALSE)+SUMIF($D$5:$D$125,"=zur",U5:U125)*HLOOKUP(X128,Verteil_rwgr,40,FALSE)+SUMIF($D$5:$D$125,"=zuk",U5:U125)*HLOOKUP(X128,Verteil_rwgr,41,FALSE)</f>
        <v>0</v>
      </c>
      <c r="W145" s="102">
        <f>IF(X143&lt;&gt;0,X145/X143,0)</f>
        <v>0.48832322117883342</v>
      </c>
      <c r="X145" s="101">
        <f>Z145*HLOOKUP(X128,Grund_zins,2,FALSE)</f>
        <v>24019.333275000005</v>
      </c>
      <c r="Y145" s="101">
        <f>SUMIF($D$5:$D$125,"=zus",Y5:Y125)*HLOOKUP(X128,Verteil_rwgr,38,FALSE)+SUMIF($D$5:$D$125,"=zum",Y5:Y125)*HLOOKUP(X128,Verteil_rwgr,39,FALSE)+SUMIF($D$5:$D$125,"=zur",Y5:Y125)*HLOOKUP(X128,Verteil_rwgr,40,FALSE)+SUMIF($D$5:$D$125,"=zuk",Y5:Y125)*HLOOKUP(X128,Verteil_rwgr,41,FALSE)</f>
        <v>26600</v>
      </c>
      <c r="Z145" s="101">
        <f t="shared" si="687"/>
        <v>686266.66500000004</v>
      </c>
      <c r="AA145" s="101">
        <f>SUMIF($D$5:$D$125,"=zus",AA5:AA125)*HLOOKUP(X128,Verteil_rwgr,38,FALSE)+SUMIF($D$5:$D$125,"=zum",AA5:AA125)*HLOOKUP(X128,Verteil_rwgr,39,FALSE)+SUMIF($D$5:$D$125,"=zur",AA5:AA125)*HLOOKUP(X128,Verteil_rwgr,40,FALSE)+SUMIF($D$5:$D$125,"=zuk",AA5:AA125)*HLOOKUP(X128,Verteil_rwgr,41,FALSE)</f>
        <v>672966.66500000004</v>
      </c>
      <c r="AB145" s="84" t="s">
        <v>181</v>
      </c>
      <c r="AD145" s="217"/>
      <c r="AE145" s="403"/>
      <c r="AF145" s="101">
        <f>SUMIF($D$5:$D$125,"=zus",AF5:AF125)*HLOOKUP(AK128,Verteil_rwgr,38,FALSE)+SUMIF($D$5:$D$125,"=zum",AF5:AF125)*HLOOKUP(AK128,Verteil_rwgr,39,FALSE)+SUMIF($D$5:$D$125,"=zur",AF5:AF125)*HLOOKUP(AK128,Verteil_rwgr,40,FALSE)+SUMIF($D$5:$D$125,"=zuk",AF5:AF125)*HLOOKUP(AK128,Verteil_rwgr,41,FALSE)</f>
        <v>0</v>
      </c>
      <c r="AH145" s="101">
        <f>SUMIF($D$5:$D$125,"=zus",AH5:AH125)*HLOOKUP(AK128,Verteil_rwgr,38,FALSE)+SUMIF($D$5:$D$125,"=zum",AH5:AH125)*HLOOKUP(AK128,Verteil_rwgr,39,FALSE)+SUMIF($D$5:$D$125,"=zur",AH5:AH125)*HLOOKUP(AK128,Verteil_rwgr,40,FALSE)+SUMIF($D$5:$D$125,"=zuk",AH5:AH125)*HLOOKUP(AK128,Verteil_rwgr,41,FALSE)</f>
        <v>0</v>
      </c>
      <c r="AJ145" s="102">
        <f t="shared" ref="AJ145" si="696">IF(AK143&lt;&gt;0,AK145/AK143,0)</f>
        <v>0.48816859745666402</v>
      </c>
      <c r="AK145" s="101">
        <f>AM145*HLOOKUP(AK128,Grund_zins,2,FALSE)</f>
        <v>23105.833275000005</v>
      </c>
      <c r="AL145" s="101">
        <f>SUMIF($D$5:$D$125,"=zus",AL5:AL125)*HLOOKUP(AK128,Verteil_rwgr,38,FALSE)+SUMIF($D$5:$D$125,"=zum",AL5:AL125)*HLOOKUP(AK128,Verteil_rwgr,39,FALSE)+SUMIF($D$5:$D$125,"=zur",AL5:AL125)*HLOOKUP(AK128,Verteil_rwgr,40,FALSE)+SUMIF($D$5:$D$125,"=zuk",AL5:AL125)*HLOOKUP(AK128,Verteil_rwgr,41,FALSE)</f>
        <v>25600</v>
      </c>
      <c r="AM145" s="101">
        <f t="shared" si="643"/>
        <v>660166.66500000004</v>
      </c>
      <c r="AN145" s="101">
        <f>SUMIF($D$5:$D$125,"=zus",AN5:AN125)*HLOOKUP(AK128,Verteil_rwgr,38,FALSE)+SUMIF($D$5:$D$125,"=zum",AN5:AN125)*HLOOKUP(AK128,Verteil_rwgr,39,FALSE)+SUMIF($D$5:$D$125,"=zur",AN5:AN125)*HLOOKUP(AK128,Verteil_rwgr,40,FALSE)+SUMIF($D$5:$D$125,"=zuk",AN5:AN125)*HLOOKUP(AK128,Verteil_rwgr,41,FALSE)</f>
        <v>647366.66500000004</v>
      </c>
      <c r="AO145" s="659" t="s">
        <v>181</v>
      </c>
      <c r="AQ145" s="217"/>
      <c r="AR145" s="403"/>
      <c r="AS145" s="101">
        <f>SUMIF($D$5:$D$125,"=zus",AS5:AS125)*HLOOKUP(AX128,Verteil_rwgr,38,FALSE)+SUMIF($D$5:$D$125,"=zum",AS5:AS125)*HLOOKUP(AX128,Verteil_rwgr,39,FALSE)+SUMIF($D$5:$D$125,"=zur",AS5:AS125)*HLOOKUP(AX128,Verteil_rwgr,40,FALSE)+SUMIF($D$5:$D$125,"=zuk",AS5:AS125)*HLOOKUP(AX128,Verteil_rwgr,41,FALSE)</f>
        <v>0</v>
      </c>
      <c r="AU145" s="101">
        <f>SUMIF($D$5:$D$125,"=zus",AU5:AU125)*HLOOKUP(AX128,Verteil_rwgr,38,FALSE)+SUMIF($D$5:$D$125,"=zum",AU5:AU125)*HLOOKUP(AX128,Verteil_rwgr,39,FALSE)+SUMIF($D$5:$D$125,"=zur",AU5:AU125)*HLOOKUP(AX128,Verteil_rwgr,40,FALSE)+SUMIF($D$5:$D$125,"=zuk",AU5:AU125)*HLOOKUP(AX128,Verteil_rwgr,41,FALSE)</f>
        <v>0</v>
      </c>
      <c r="AW145" s="102">
        <f t="shared" ref="AW145" si="697">IF(AX143&lt;&gt;0,AX145/AX143,0)</f>
        <v>0.48801979535551215</v>
      </c>
      <c r="AX145" s="101">
        <f>AZ145*HLOOKUP(AX128,Grund_zins,2,FALSE)</f>
        <v>22227.333275000005</v>
      </c>
      <c r="AY145" s="101">
        <f>SUMIF($D$5:$D$125,"=zus",AY5:AY125)*HLOOKUP(AX128,Verteil_rwgr,38,FALSE)+SUMIF($D$5:$D$125,"=zum",AY5:AY125)*HLOOKUP(AX128,Verteil_rwgr,39,FALSE)+SUMIF($D$5:$D$125,"=zur",AY5:AY125)*HLOOKUP(AX128,Verteil_rwgr,40,FALSE)+SUMIF($D$5:$D$125,"=zuk",AY5:AY125)*HLOOKUP(AX128,Verteil_rwgr,41,FALSE)</f>
        <v>24600</v>
      </c>
      <c r="AZ145" s="101">
        <f t="shared" si="649"/>
        <v>635066.66500000004</v>
      </c>
      <c r="BA145" s="101">
        <f>SUMIF($D$5:$D$125,"=zus",BA5:BA125)*HLOOKUP(AX128,Verteil_rwgr,38,FALSE)+SUMIF($D$5:$D$125,"=zum",BA5:BA125)*HLOOKUP(AX128,Verteil_rwgr,39,FALSE)+SUMIF($D$5:$D$125,"=zur",BA5:BA125)*HLOOKUP(AX128,Verteil_rwgr,40,FALSE)+SUMIF($D$5:$D$125,"=zuk",BA5:BA125)*HLOOKUP(AX128,Verteil_rwgr,41,FALSE)</f>
        <v>622766.66500000004</v>
      </c>
      <c r="BB145" s="659" t="s">
        <v>181</v>
      </c>
      <c r="BD145" s="217"/>
      <c r="BE145" s="403"/>
      <c r="BF145" s="101">
        <f>SUMIF($D$5:$D$125,"=zus",BF5:BF125)*HLOOKUP(BK128,Verteil_rwgr,38,FALSE)+SUMIF($D$5:$D$125,"=zum",BF5:BF125)*HLOOKUP(BK128,Verteil_rwgr,39,FALSE)+SUMIF($D$5:$D$125,"=zur",BF5:BF125)*HLOOKUP(BK128,Verteil_rwgr,40,FALSE)+SUMIF($D$5:$D$125,"=zuk",BF5:BF125)*HLOOKUP(BK128,Verteil_rwgr,41,FALSE)</f>
        <v>0</v>
      </c>
      <c r="BH145" s="101">
        <f>SUMIF($D$5:$D$125,"=zus",BH5:BH125)*HLOOKUP(BK128,Verteil_rwgr,38,FALSE)+SUMIF($D$5:$D$125,"=zum",BH5:BH125)*HLOOKUP(BK128,Verteil_rwgr,39,FALSE)+SUMIF($D$5:$D$125,"=zur",BH5:BH125)*HLOOKUP(BK128,Verteil_rwgr,40,FALSE)+SUMIF($D$5:$D$125,"=zuk",BH5:BH125)*HLOOKUP(BK128,Verteil_rwgr,41,FALSE)</f>
        <v>0</v>
      </c>
      <c r="BJ145" s="102">
        <f t="shared" ref="BJ145" si="698">IF(BK143&lt;&gt;0,BK145/BK143,0)</f>
        <v>0.48786855197254192</v>
      </c>
      <c r="BK145" s="101">
        <f>BM145*HLOOKUP(BK128,Grund_zins,2,FALSE)</f>
        <v>21366.333275000005</v>
      </c>
      <c r="BL145" s="101">
        <f>SUMIF($D$5:$D$125,"=zus",BL5:BL125)*HLOOKUP(BK128,Verteil_rwgr,38,FALSE)+SUMIF($D$5:$D$125,"=zum",BL5:BL125)*HLOOKUP(BK128,Verteil_rwgr,39,FALSE)+SUMIF($D$5:$D$125,"=zur",BL5:BL125)*HLOOKUP(BK128,Verteil_rwgr,40,FALSE)+SUMIF($D$5:$D$125,"=zuk",BL5:BL125)*HLOOKUP(BK128,Verteil_rwgr,41,FALSE)</f>
        <v>24600</v>
      </c>
      <c r="BM145" s="101">
        <f t="shared" si="655"/>
        <v>610466.66500000004</v>
      </c>
      <c r="BN145" s="101">
        <f>SUMIF($D$5:$D$125,"=zus",BN5:BN125)*HLOOKUP(BK128,Verteil_rwgr,38,FALSE)+SUMIF($D$5:$D$125,"=zum",BN5:BN125)*HLOOKUP(BK128,Verteil_rwgr,39,FALSE)+SUMIF($D$5:$D$125,"=zur",BN5:BN125)*HLOOKUP(BK128,Verteil_rwgr,40,FALSE)+SUMIF($D$5:$D$125,"=zuk",BN5:BN125)*HLOOKUP(BK128,Verteil_rwgr,41,FALSE)</f>
        <v>598166.66500000004</v>
      </c>
      <c r="BO145" s="659" t="s">
        <v>181</v>
      </c>
      <c r="BQ145" s="217"/>
      <c r="BR145" s="403"/>
      <c r="BS145" s="101">
        <f>SUMIF($D$5:$D$125,"=zus",BS5:BS125)*HLOOKUP(BX128,Verteil_rwgr,38,FALSE)+SUMIF($D$5:$D$125,"=zum",BS5:BS125)*HLOOKUP(BX128,Verteil_rwgr,39,FALSE)+SUMIF($D$5:$D$125,"=zur",BS5:BS125)*HLOOKUP(BX128,Verteil_rwgr,40,FALSE)+SUMIF($D$5:$D$125,"=zuk",BS5:BS125)*HLOOKUP(BX128,Verteil_rwgr,41,FALSE)</f>
        <v>0</v>
      </c>
      <c r="BU145" s="101">
        <f>SUMIF($D$5:$D$125,"=zus",BU5:BU125)*HLOOKUP(BX128,Verteil_rwgr,38,FALSE)+SUMIF($D$5:$D$125,"=zum",BU5:BU125)*HLOOKUP(BX128,Verteil_rwgr,39,FALSE)+SUMIF($D$5:$D$125,"=zur",BU5:BU125)*HLOOKUP(BX128,Verteil_rwgr,40,FALSE)+SUMIF($D$5:$D$125,"=zuk",BU5:BU125)*HLOOKUP(BX128,Verteil_rwgr,41,FALSE)</f>
        <v>0</v>
      </c>
      <c r="BW145" s="102">
        <f t="shared" ref="BW145" si="699">IF(BX143&lt;&gt;0,BX145/BX143,0)</f>
        <v>0.48770471329784709</v>
      </c>
      <c r="BX145" s="101">
        <f>BZ145*HLOOKUP(BX128,Grund_zins,2,FALSE)</f>
        <v>20505.333275000005</v>
      </c>
      <c r="BY145" s="101">
        <f>SUMIF($D$5:$D$125,"=zus",BY5:BY125)*HLOOKUP(BX128,Verteil_rwgr,38,FALSE)+SUMIF($D$5:$D$125,"=zum",BY5:BY125)*HLOOKUP(BX128,Verteil_rwgr,39,FALSE)+SUMIF($D$5:$D$125,"=zur",BY5:BY125)*HLOOKUP(BX128,Verteil_rwgr,40,FALSE)+SUMIF($D$5:$D$125,"=zuk",BY5:BY125)*HLOOKUP(BX128,Verteil_rwgr,41,FALSE)</f>
        <v>24600</v>
      </c>
      <c r="BZ145" s="101">
        <f t="shared" si="661"/>
        <v>585866.66500000004</v>
      </c>
      <c r="CA145" s="101">
        <f>SUMIF($D$5:$D$125,"=zus",CA5:CA125)*HLOOKUP(BX128,Verteil_rwgr,38,FALSE)+SUMIF($D$5:$D$125,"=zum",CA5:CA125)*HLOOKUP(BX128,Verteil_rwgr,39,FALSE)+SUMIF($D$5:$D$125,"=zur",CA5:CA125)*HLOOKUP(BX128,Verteil_rwgr,40,FALSE)+SUMIF($D$5:$D$125,"=zuk",CA5:CA125)*HLOOKUP(BX128,Verteil_rwgr,41,FALSE)</f>
        <v>573566.66500000004</v>
      </c>
      <c r="CB145" s="659" t="s">
        <v>181</v>
      </c>
      <c r="CD145" s="217"/>
      <c r="CE145" s="403"/>
      <c r="CF145" s="101">
        <f>SUMIF($D$5:$D$125,"=zus",CF5:CF125)*HLOOKUP(CK128,Verteil_rwgr,38,FALSE)+SUMIF($D$5:$D$125,"=zum",CF5:CF125)*HLOOKUP(CK128,Verteil_rwgr,39,FALSE)+SUMIF($D$5:$D$125,"=zur",CF5:CF125)*HLOOKUP(CK128,Verteil_rwgr,40,FALSE)+SUMIF($D$5:$D$125,"=zuk",CF5:CF125)*HLOOKUP(CK128,Verteil_rwgr,41,FALSE)</f>
        <v>0</v>
      </c>
      <c r="CH145" s="101">
        <f>SUMIF($D$5:$D$125,"=zus",CH5:CH125)*HLOOKUP(CK128,Verteil_rwgr,38,FALSE)+SUMIF($D$5:$D$125,"=zum",CH5:CH125)*HLOOKUP(CK128,Verteil_rwgr,39,FALSE)+SUMIF($D$5:$D$125,"=zur",CH5:CH125)*HLOOKUP(CK128,Verteil_rwgr,40,FALSE)+SUMIF($D$5:$D$125,"=zuk",CH5:CH125)*HLOOKUP(CK128,Verteil_rwgr,41,FALSE)</f>
        <v>0</v>
      </c>
      <c r="CJ145" s="102">
        <f t="shared" ref="CJ145" si="700">IF(CK143&lt;&gt;0,CK145/CK143,0)</f>
        <v>0.48752663759938919</v>
      </c>
      <c r="CK145" s="101">
        <f>CM145*HLOOKUP(CK128,Grund_zins,2,FALSE)</f>
        <v>16837.999950000001</v>
      </c>
      <c r="CL145" s="101">
        <f>SUMIF($D$5:$D$125,"=zus",CL5:CL125)*HLOOKUP(CK128,Verteil_rwgr,38,FALSE)+SUMIF($D$5:$D$125,"=zum",CL5:CL125)*HLOOKUP(CK128,Verteil_rwgr,39,FALSE)+SUMIF($D$5:$D$125,"=zur",CL5:CL125)*HLOOKUP(CK128,Verteil_rwgr,40,FALSE)+SUMIF($D$5:$D$125,"=zuk",CL5:CL125)*HLOOKUP(CK128,Verteil_rwgr,41,FALSE)</f>
        <v>24600</v>
      </c>
      <c r="CM145" s="101">
        <f t="shared" si="667"/>
        <v>561266.66500000004</v>
      </c>
      <c r="CN145" s="101">
        <f>SUMIF($D$5:$D$125,"=zus",CN5:CN125)*HLOOKUP(CK128,Verteil_rwgr,38,FALSE)+SUMIF($D$5:$D$125,"=zum",CN5:CN125)*HLOOKUP(CK128,Verteil_rwgr,39,FALSE)+SUMIF($D$5:$D$125,"=zur",CN5:CN125)*HLOOKUP(CK128,Verteil_rwgr,40,FALSE)+SUMIF($D$5:$D$125,"=zuk",CN5:CN125)*HLOOKUP(CK128,Verteil_rwgr,41,FALSE)</f>
        <v>548966.66500000004</v>
      </c>
      <c r="CO145" s="659" t="s">
        <v>181</v>
      </c>
      <c r="CQ145" s="217"/>
      <c r="CR145" s="403"/>
      <c r="CS145" s="101">
        <f>SUMIF($D$5:$D$125,"=zus",CS5:CS125)*HLOOKUP(CX128,Verteil_rwgr,38,FALSE)+SUMIF($D$5:$D$125,"=zum",CS5:CS125)*HLOOKUP(CX128,Verteil_rwgr,39,FALSE)+SUMIF($D$5:$D$125,"=zur",CS5:CS125)*HLOOKUP(CX128,Verteil_rwgr,40,FALSE)+SUMIF($D$5:$D$125,"=zuk",CS5:CS125)*HLOOKUP(CX128,Verteil_rwgr,41,FALSE)</f>
        <v>0</v>
      </c>
      <c r="CU145" s="101">
        <f>SUMIF($D$5:$D$125,"=zus",CU5:CU125)*HLOOKUP(CX128,Verteil_rwgr,38,FALSE)+SUMIF($D$5:$D$125,"=zum",CU5:CU125)*HLOOKUP(CX128,Verteil_rwgr,39,FALSE)+SUMIF($D$5:$D$125,"=zur",CU5:CU125)*HLOOKUP(CX128,Verteil_rwgr,40,FALSE)+SUMIF($D$5:$D$125,"=zuk",CU5:CU125)*HLOOKUP(CX128,Verteil_rwgr,41,FALSE)</f>
        <v>0</v>
      </c>
      <c r="CW145" s="102">
        <f t="shared" ref="CW145" si="701">IF(CX143&lt;&gt;0,CX145/CX143,0)</f>
        <v>0.48733238486343305</v>
      </c>
      <c r="CX145" s="101">
        <f>CZ145*HLOOKUP(CX128,Grund_zins,2,FALSE)</f>
        <v>16099.999950000001</v>
      </c>
      <c r="CY145" s="101">
        <f>SUMIF($D$5:$D$125,"=zus",CY5:CY125)*HLOOKUP(CX128,Verteil_rwgr,38,FALSE)+SUMIF($D$5:$D$125,"=zum",CY5:CY125)*HLOOKUP(CX128,Verteil_rwgr,39,FALSE)+SUMIF($D$5:$D$125,"=zur",CY5:CY125)*HLOOKUP(CX128,Verteil_rwgr,40,FALSE)+SUMIF($D$5:$D$125,"=zuk",CY5:CY125)*HLOOKUP(CX128,Verteil_rwgr,41,FALSE)</f>
        <v>24600</v>
      </c>
      <c r="CZ145" s="101">
        <f t="shared" si="673"/>
        <v>536666.66500000004</v>
      </c>
      <c r="DA145" s="101">
        <f>SUMIF($D$5:$D$125,"=zus",DA5:DA125)*HLOOKUP(CX128,Verteil_rwgr,38,FALSE)+SUMIF($D$5:$D$125,"=zum",DA5:DA125)*HLOOKUP(CX128,Verteil_rwgr,39,FALSE)+SUMIF($D$5:$D$125,"=zur",DA5:DA125)*HLOOKUP(CX128,Verteil_rwgr,40,FALSE)+SUMIF($D$5:$D$125,"=zuk",DA5:DA125)*HLOOKUP(CX128,Verteil_rwgr,41,FALSE)</f>
        <v>524366.66500000004</v>
      </c>
      <c r="DB145" s="659" t="s">
        <v>181</v>
      </c>
      <c r="DD145" s="217"/>
      <c r="DE145" s="403"/>
      <c r="DF145" s="101">
        <f>SUMIF($D$5:$D$125,"=zus",DF5:DF125)*HLOOKUP(DK128,Verteil_rwgr,38,FALSE)+SUMIF($D$5:$D$125,"=zum",DF5:DF125)*HLOOKUP(DK128,Verteil_rwgr,39,FALSE)+SUMIF($D$5:$D$125,"=zur",DF5:DF125)*HLOOKUP(DK128,Verteil_rwgr,40,FALSE)+SUMIF($D$5:$D$125,"=zuk",DF5:DF125)*HLOOKUP(DK128,Verteil_rwgr,41,FALSE)</f>
        <v>0</v>
      </c>
      <c r="DH145" s="101">
        <f>SUMIF($D$5:$D$125,"=zus",DH5:DH125)*HLOOKUP(DK128,Verteil_rwgr,38,FALSE)+SUMIF($D$5:$D$125,"=zum",DH5:DH125)*HLOOKUP(DK128,Verteil_rwgr,39,FALSE)+SUMIF($D$5:$D$125,"=zur",DH5:DH125)*HLOOKUP(DK128,Verteil_rwgr,40,FALSE)+SUMIF($D$5:$D$125,"=zuk",DH5:DH125)*HLOOKUP(DK128,Verteil_rwgr,41,FALSE)</f>
        <v>0</v>
      </c>
      <c r="DJ145" s="102">
        <f t="shared" ref="DJ145" si="702">IF(DK143&lt;&gt;0,DK145/DK143,0)</f>
        <v>0.4871196458286921</v>
      </c>
      <c r="DK145" s="101">
        <f>DM145*HLOOKUP(DK128,Grund_zins,2,FALSE)</f>
        <v>15361.999950000001</v>
      </c>
      <c r="DL145" s="101">
        <f>SUMIF($D$5:$D$125,"=zus",DL5:DL125)*HLOOKUP(DK128,Verteil_rwgr,38,FALSE)+SUMIF($D$5:$D$125,"=zum",DL5:DL125)*HLOOKUP(DK128,Verteil_rwgr,39,FALSE)+SUMIF($D$5:$D$125,"=zur",DL5:DL125)*HLOOKUP(DK128,Verteil_rwgr,40,FALSE)+SUMIF($D$5:$D$125,"=zuk",DL5:DL125)*HLOOKUP(DK128,Verteil_rwgr,41,FALSE)</f>
        <v>24600</v>
      </c>
      <c r="DM145" s="101">
        <f t="shared" si="679"/>
        <v>512066.66500000004</v>
      </c>
      <c r="DN145" s="101">
        <f>SUMIF($D$5:$D$125,"=zus",DN5:DN125)*HLOOKUP(DK128,Verteil_rwgr,38,FALSE)+SUMIF($D$5:$D$125,"=zum",DN5:DN125)*HLOOKUP(DK128,Verteil_rwgr,39,FALSE)+SUMIF($D$5:$D$125,"=zur",DN5:DN125)*HLOOKUP(DK128,Verteil_rwgr,40,FALSE)+SUMIF($D$5:$D$125,"=zuk",DN5:DN125)*HLOOKUP(DK128,Verteil_rwgr,41,FALSE)</f>
        <v>499766.66500000004</v>
      </c>
      <c r="DO145" s="659" t="s">
        <v>181</v>
      </c>
      <c r="DQ145" s="217"/>
      <c r="DR145" s="403"/>
      <c r="DS145" s="101">
        <f>SUMIF($D$5:$D$125,"=zus",DS5:DS125)*HLOOKUP(DX128,Verteil_rwgr,38,FALSE)+SUMIF($D$5:$D$125,"=zum",DS5:DS125)*HLOOKUP(DX128,Verteil_rwgr,39,FALSE)+SUMIF($D$5:$D$125,"=zur",DS5:DS125)*HLOOKUP(DX128,Verteil_rwgr,40,FALSE)+SUMIF($D$5:$D$125,"=zuk",DS5:DS125)*HLOOKUP(DX128,Verteil_rwgr,41,FALSE)</f>
        <v>0</v>
      </c>
      <c r="DU145" s="101">
        <f>SUMIF($D$5:$D$125,"=zus",DU5:DU125)*HLOOKUP(DX128,Verteil_rwgr,38,FALSE)+SUMIF($D$5:$D$125,"=zum",DU5:DU125)*HLOOKUP(DX128,Verteil_rwgr,39,FALSE)+SUMIF($D$5:$D$125,"=zur",DU5:DU125)*HLOOKUP(DX128,Verteil_rwgr,40,FALSE)+SUMIF($D$5:$D$125,"=zuk",DU5:DU125)*HLOOKUP(DX128,Verteil_rwgr,41,FALSE)</f>
        <v>0</v>
      </c>
      <c r="DW145" s="102">
        <f t="shared" ref="DW145" si="703">IF(DX143&lt;&gt;0,DX145/DX143,0)</f>
        <v>0.48688564974758675</v>
      </c>
      <c r="DX145" s="101">
        <f>DZ145*HLOOKUP(DX128,Grund_zins,2,FALSE)</f>
        <v>14623.999950000001</v>
      </c>
      <c r="DY145" s="101">
        <f>SUMIF($D$5:$D$125,"=zus",DY5:DY125)*HLOOKUP(DX128,Verteil_rwgr,38,FALSE)+SUMIF($D$5:$D$125,"=zum",DY5:DY125)*HLOOKUP(DX128,Verteil_rwgr,39,FALSE)+SUMIF($D$5:$D$125,"=zur",DY5:DY125)*HLOOKUP(DX128,Verteil_rwgr,40,FALSE)+SUMIF($D$5:$D$125,"=zuk",DY5:DY125)*HLOOKUP(DX128,Verteil_rwgr,41,FALSE)</f>
        <v>24600</v>
      </c>
      <c r="DZ145" s="101">
        <f t="shared" si="685"/>
        <v>487466.66500000004</v>
      </c>
      <c r="EA145" s="101">
        <f>SUMIF($D$5:$D$125,"=zus",EA5:EA125)*HLOOKUP(DX128,Verteil_rwgr,38,FALSE)+SUMIF($D$5:$D$125,"=zum",EA5:EA125)*HLOOKUP(DX128,Verteil_rwgr,39,FALSE)+SUMIF($D$5:$D$125,"=zur",EA5:EA125)*HLOOKUP(DX128,Verteil_rwgr,40,FALSE)+SUMIF($D$5:$D$125,"=zuk",EA5:EA125)*HLOOKUP(DX128,Verteil_rwgr,41,FALSE)</f>
        <v>475166.66500000004</v>
      </c>
      <c r="EB145" s="659" t="s">
        <v>181</v>
      </c>
      <c r="ED145" s="217"/>
    </row>
    <row r="146" spans="1:134" hidden="1" x14ac:dyDescent="0.3">
      <c r="A146" s="84" t="s">
        <v>182</v>
      </c>
      <c r="Q146" s="238">
        <v>19</v>
      </c>
      <c r="R146" s="403"/>
      <c r="S146" s="101">
        <f>SUMIF($D$5:$D$125,"=zus",S5:S125)*HLOOKUP(X128,Verteil_rwst,37,FALSE)+SUMIF($D$5:$D$125,"=zum",S5:S125)*HLOOKUP(X128,Verteil_rwst,38,FALSE)+SUMIF($D$5:$D$125,"=zur",S5:S125)*HLOOKUP(X128,Verteil_rwst,39,FALSE)</f>
        <v>0</v>
      </c>
      <c r="U146" s="101">
        <f>SUMIF($D$5:$D$125,"=zus",U5:U125)*HLOOKUP(X128,Verteil_rwst,37,FALSE)+SUMIF($D$5:$D$125,"=zum",U5:U125)*HLOOKUP(X128,Verteil_rwst,38,FALSE)+SUMIF($D$5:$D$125,"=zur",U5:U125)*HLOOKUP(X128,Verteil_rwst,39,FALSE)</f>
        <v>0</v>
      </c>
      <c r="W146" s="102">
        <f>IF(X143&lt;&gt;0,X146/X143,0)</f>
        <v>0</v>
      </c>
      <c r="X146" s="101">
        <f>Z146*HLOOKUP(X128,Grund_zins,2,FALSE)</f>
        <v>0</v>
      </c>
      <c r="Y146" s="101">
        <f>SUMIF($D$5:$D$125,"=zus",Y5:Y125)*HLOOKUP(X128,Verteil_rwst,37,FALSE)+SUMIF($D$5:$D$125,"=zum",Y5:Y125)*HLOOKUP(X128,Verteil_rwst,38,FALSE)+SUMIF($D$5:$D$125,"=zur",Y5:Y125)*HLOOKUP(X128,Verteil_rwst,39,FALSE)</f>
        <v>0</v>
      </c>
      <c r="Z146" s="101">
        <f t="shared" si="687"/>
        <v>0</v>
      </c>
      <c r="AA146" s="101">
        <f>SUMIF($D$5:$D$125,"=zus",AA5:AA125)*HLOOKUP(X128,Verteil_rwst,37,FALSE)+SUMIF($D$5:$D$125,"=zum",AA5:AA125)*HLOOKUP(X128,Verteil_rwst,38,FALSE)+SUMIF($D$5:$D$125,"=zur",AA5:AA125)*HLOOKUP(X128,Verteil_rwst,39,FALSE)</f>
        <v>0</v>
      </c>
      <c r="AB146" s="84" t="s">
        <v>182</v>
      </c>
      <c r="AD146" s="217"/>
      <c r="AE146" s="403"/>
      <c r="AF146" s="101">
        <f>SUMIF($D$5:$D$125,"=zus",AF5:AF125)*HLOOKUP(AK128,Verteil_rwst,37,FALSE)+SUMIF($D$5:$D$125,"=zum",AF5:AF125)*HLOOKUP(AK128,Verteil_rwst,38,FALSE)+SUMIF($D$5:$D$125,"=zur",AF5:AF125)*HLOOKUP(AK128,Verteil_rwst,39,FALSE)</f>
        <v>0</v>
      </c>
      <c r="AH146" s="101">
        <f>SUMIF($D$5:$D$125,"=zus",AH5:AH125)*HLOOKUP(AK128,Verteil_rwst,37,FALSE)+SUMIF($D$5:$D$125,"=zum",AH5:AH125)*HLOOKUP(AK128,Verteil_rwst,38,FALSE)+SUMIF($D$5:$D$125,"=zur",AH5:AH125)*HLOOKUP(AK128,Verteil_rwst,39,FALSE)</f>
        <v>0</v>
      </c>
      <c r="AJ146" s="102">
        <f t="shared" ref="AJ146" si="704">IF(AK143&lt;&gt;0,AK146/AK143,0)</f>
        <v>0</v>
      </c>
      <c r="AK146" s="101">
        <f>AM146*HLOOKUP(AK128,Grund_zins,2,FALSE)</f>
        <v>0</v>
      </c>
      <c r="AL146" s="101">
        <f>SUMIF($D$5:$D$125,"=zus",AL5:AL125)*HLOOKUP(AK128,Verteil_rwst,37,FALSE)+SUMIF($D$5:$D$125,"=zum",AL5:AL125)*HLOOKUP(AK128,Verteil_rwst,38,FALSE)+SUMIF($D$5:$D$125,"=zur",AL5:AL125)*HLOOKUP(AK128,Verteil_rwst,39,FALSE)</f>
        <v>0</v>
      </c>
      <c r="AM146" s="101">
        <f t="shared" si="643"/>
        <v>0</v>
      </c>
      <c r="AN146" s="101">
        <f>SUMIF($D$5:$D$125,"=zus",AN5:AN125)*HLOOKUP(AK128,Verteil_rwst,37,FALSE)+SUMIF($D$5:$D$125,"=zum",AN5:AN125)*HLOOKUP(AK128,Verteil_rwst,38,FALSE)+SUMIF($D$5:$D$125,"=zur",AN5:AN125)*HLOOKUP(AK128,Verteil_rwst,39,FALSE)</f>
        <v>0</v>
      </c>
      <c r="AO146" s="659" t="s">
        <v>182</v>
      </c>
      <c r="AQ146" s="217"/>
      <c r="AR146" s="403"/>
      <c r="AS146" s="101">
        <f>SUMIF($D$5:$D$125,"=zus",AS5:AS125)*HLOOKUP(AX128,Verteil_rwst,37,FALSE)+SUMIF($D$5:$D$125,"=zum",AS5:AS125)*HLOOKUP(AX128,Verteil_rwst,38,FALSE)+SUMIF($D$5:$D$125,"=zur",AS5:AS125)*HLOOKUP(AX128,Verteil_rwst,39,FALSE)</f>
        <v>0</v>
      </c>
      <c r="AU146" s="101">
        <f>SUMIF($D$5:$D$125,"=zus",AU5:AU125)*HLOOKUP(AX128,Verteil_rwst,37,FALSE)+SUMIF($D$5:$D$125,"=zum",AU5:AU125)*HLOOKUP(AX128,Verteil_rwst,38,FALSE)+SUMIF($D$5:$D$125,"=zur",AU5:AU125)*HLOOKUP(AX128,Verteil_rwst,39,FALSE)</f>
        <v>0</v>
      </c>
      <c r="AW146" s="102">
        <f t="shared" ref="AW146" si="705">IF(AX143&lt;&gt;0,AX146/AX143,0)</f>
        <v>0</v>
      </c>
      <c r="AX146" s="101">
        <f>AZ146*HLOOKUP(AX128,Grund_zins,2,FALSE)</f>
        <v>0</v>
      </c>
      <c r="AY146" s="101">
        <f>SUMIF($D$5:$D$125,"=zus",AY5:AY125)*HLOOKUP(AX128,Verteil_rwst,37,FALSE)+SUMIF($D$5:$D$125,"=zum",AY5:AY125)*HLOOKUP(AX128,Verteil_rwst,38,FALSE)+SUMIF($D$5:$D$125,"=zur",AY5:AY125)*HLOOKUP(AX128,Verteil_rwst,39,FALSE)</f>
        <v>0</v>
      </c>
      <c r="AZ146" s="101">
        <f t="shared" si="649"/>
        <v>0</v>
      </c>
      <c r="BA146" s="101">
        <f>SUMIF($D$5:$D$125,"=zus",BA5:BA125)*HLOOKUP(AX128,Verteil_rwst,37,FALSE)+SUMIF($D$5:$D$125,"=zum",BA5:BA125)*HLOOKUP(AX128,Verteil_rwst,38,FALSE)+SUMIF($D$5:$D$125,"=zur",BA5:BA125)*HLOOKUP(AX128,Verteil_rwst,39,FALSE)</f>
        <v>0</v>
      </c>
      <c r="BB146" s="659" t="s">
        <v>182</v>
      </c>
      <c r="BD146" s="217"/>
      <c r="BE146" s="403"/>
      <c r="BF146" s="101">
        <f>SUMIF($D$5:$D$125,"=zus",BF5:BF125)*HLOOKUP(BK128,Verteil_rwst,37,FALSE)+SUMIF($D$5:$D$125,"=zum",BF5:BF125)*HLOOKUP(BK128,Verteil_rwst,38,FALSE)+SUMIF($D$5:$D$125,"=zur",BF5:BF125)*HLOOKUP(BK128,Verteil_rwst,39,FALSE)</f>
        <v>0</v>
      </c>
      <c r="BH146" s="101">
        <f>SUMIF($D$5:$D$125,"=zus",BH5:BH125)*HLOOKUP(BK128,Verteil_rwst,37,FALSE)+SUMIF($D$5:$D$125,"=zum",BH5:BH125)*HLOOKUP(BK128,Verteil_rwst,38,FALSE)+SUMIF($D$5:$D$125,"=zur",BH5:BH125)*HLOOKUP(BK128,Verteil_rwst,39,FALSE)</f>
        <v>0</v>
      </c>
      <c r="BJ146" s="102">
        <f t="shared" ref="BJ146" si="706">IF(BK143&lt;&gt;0,BK146/BK143,0)</f>
        <v>0</v>
      </c>
      <c r="BK146" s="101">
        <f>BM146*HLOOKUP(BK128,Grund_zins,2,FALSE)</f>
        <v>0</v>
      </c>
      <c r="BL146" s="101">
        <f>SUMIF($D$5:$D$125,"=zus",BL5:BL125)*HLOOKUP(BK128,Verteil_rwst,37,FALSE)+SUMIF($D$5:$D$125,"=zum",BL5:BL125)*HLOOKUP(BK128,Verteil_rwst,38,FALSE)+SUMIF($D$5:$D$125,"=zur",BL5:BL125)*HLOOKUP(BK128,Verteil_rwst,39,FALSE)</f>
        <v>0</v>
      </c>
      <c r="BM146" s="101">
        <f t="shared" si="655"/>
        <v>0</v>
      </c>
      <c r="BN146" s="101">
        <f>SUMIF($D$5:$D$125,"=zus",BN5:BN125)*HLOOKUP(BK128,Verteil_rwst,37,FALSE)+SUMIF($D$5:$D$125,"=zum",BN5:BN125)*HLOOKUP(BK128,Verteil_rwst,38,FALSE)+SUMIF($D$5:$D$125,"=zur",BN5:BN125)*HLOOKUP(BK128,Verteil_rwst,39,FALSE)</f>
        <v>0</v>
      </c>
      <c r="BO146" s="659" t="s">
        <v>182</v>
      </c>
      <c r="BQ146" s="217"/>
      <c r="BR146" s="403"/>
      <c r="BS146" s="101">
        <f>SUMIF($D$5:$D$125,"=zus",BS5:BS125)*HLOOKUP(BX128,Verteil_rwst,37,FALSE)+SUMIF($D$5:$D$125,"=zum",BS5:BS125)*HLOOKUP(BX128,Verteil_rwst,38,FALSE)+SUMIF($D$5:$D$125,"=zur",BS5:BS125)*HLOOKUP(BX128,Verteil_rwst,39,FALSE)</f>
        <v>0</v>
      </c>
      <c r="BU146" s="101">
        <f>SUMIF($D$5:$D$125,"=zus",BU5:BU125)*HLOOKUP(BX128,Verteil_rwst,37,FALSE)+SUMIF($D$5:$D$125,"=zum",BU5:BU125)*HLOOKUP(BX128,Verteil_rwst,38,FALSE)+SUMIF($D$5:$D$125,"=zur",BU5:BU125)*HLOOKUP(BX128,Verteil_rwst,39,FALSE)</f>
        <v>0</v>
      </c>
      <c r="BW146" s="102">
        <f t="shared" ref="BW146" si="707">IF(BX143&lt;&gt;0,BX146/BX143,0)</f>
        <v>0</v>
      </c>
      <c r="BX146" s="101">
        <f>BZ146*HLOOKUP(BX128,Grund_zins,2,FALSE)</f>
        <v>0</v>
      </c>
      <c r="BY146" s="101">
        <f>SUMIF($D$5:$D$125,"=zus",BY5:BY125)*HLOOKUP(BX128,Verteil_rwst,37,FALSE)+SUMIF($D$5:$D$125,"=zum",BY5:BY125)*HLOOKUP(BX128,Verteil_rwst,38,FALSE)+SUMIF($D$5:$D$125,"=zur",BY5:BY125)*HLOOKUP(BX128,Verteil_rwst,39,FALSE)</f>
        <v>0</v>
      </c>
      <c r="BZ146" s="101">
        <f t="shared" si="661"/>
        <v>0</v>
      </c>
      <c r="CA146" s="101">
        <f>SUMIF($D$5:$D$125,"=zus",CA5:CA125)*HLOOKUP(BX128,Verteil_rwst,37,FALSE)+SUMIF($D$5:$D$125,"=zum",CA5:CA125)*HLOOKUP(BX128,Verteil_rwst,38,FALSE)+SUMIF($D$5:$D$125,"=zur",CA5:CA125)*HLOOKUP(BX128,Verteil_rwst,39,FALSE)</f>
        <v>0</v>
      </c>
      <c r="CB146" s="659" t="s">
        <v>182</v>
      </c>
      <c r="CD146" s="217"/>
      <c r="CE146" s="403"/>
      <c r="CF146" s="101">
        <f>SUMIF($D$5:$D$125,"=zus",CF5:CF125)*HLOOKUP(CK128,Verteil_rwst,37,FALSE)+SUMIF($D$5:$D$125,"=zum",CF5:CF125)*HLOOKUP(CK128,Verteil_rwst,38,FALSE)+SUMIF($D$5:$D$125,"=zur",CF5:CF125)*HLOOKUP(CK128,Verteil_rwst,39,FALSE)</f>
        <v>0</v>
      </c>
      <c r="CH146" s="101">
        <f>SUMIF($D$5:$D$125,"=zus",CH5:CH125)*HLOOKUP(CK128,Verteil_rwst,37,FALSE)+SUMIF($D$5:$D$125,"=zum",CH5:CH125)*HLOOKUP(CK128,Verteil_rwst,38,FALSE)+SUMIF($D$5:$D$125,"=zur",CH5:CH125)*HLOOKUP(CK128,Verteil_rwst,39,FALSE)</f>
        <v>0</v>
      </c>
      <c r="CJ146" s="102">
        <f t="shared" ref="CJ146" si="708">IF(CK143&lt;&gt;0,CK146/CK143,0)</f>
        <v>0</v>
      </c>
      <c r="CK146" s="101">
        <f>CM146*HLOOKUP(CK128,Grund_zins,2,FALSE)</f>
        <v>0</v>
      </c>
      <c r="CL146" s="101">
        <f>SUMIF($D$5:$D$125,"=zus",CL5:CL125)*HLOOKUP(CK128,Verteil_rwst,37,FALSE)+SUMIF($D$5:$D$125,"=zum",CL5:CL125)*HLOOKUP(CK128,Verteil_rwst,38,FALSE)+SUMIF($D$5:$D$125,"=zur",CL5:CL125)*HLOOKUP(CK128,Verteil_rwst,39,FALSE)</f>
        <v>0</v>
      </c>
      <c r="CM146" s="101">
        <f t="shared" si="667"/>
        <v>0</v>
      </c>
      <c r="CN146" s="101">
        <f>SUMIF($D$5:$D$125,"=zus",CN5:CN125)*HLOOKUP(CK128,Verteil_rwst,37,FALSE)+SUMIF($D$5:$D$125,"=zum",CN5:CN125)*HLOOKUP(CK128,Verteil_rwst,38,FALSE)+SUMIF($D$5:$D$125,"=zur",CN5:CN125)*HLOOKUP(CK128,Verteil_rwst,39,FALSE)</f>
        <v>0</v>
      </c>
      <c r="CO146" s="659" t="s">
        <v>182</v>
      </c>
      <c r="CQ146" s="217"/>
      <c r="CR146" s="403"/>
      <c r="CS146" s="101">
        <f>SUMIF($D$5:$D$125,"=zus",CS5:CS125)*HLOOKUP(CX128,Verteil_rwst,37,FALSE)+SUMIF($D$5:$D$125,"=zum",CS5:CS125)*HLOOKUP(CX128,Verteil_rwst,38,FALSE)+SUMIF($D$5:$D$125,"=zur",CS5:CS125)*HLOOKUP(CX128,Verteil_rwst,39,FALSE)</f>
        <v>0</v>
      </c>
      <c r="CU146" s="101">
        <f>SUMIF($D$5:$D$125,"=zus",CU5:CU125)*HLOOKUP(CX128,Verteil_rwst,37,FALSE)+SUMIF($D$5:$D$125,"=zum",CU5:CU125)*HLOOKUP(CX128,Verteil_rwst,38,FALSE)+SUMIF($D$5:$D$125,"=zur",CU5:CU125)*HLOOKUP(CX128,Verteil_rwst,39,FALSE)</f>
        <v>0</v>
      </c>
      <c r="CW146" s="102">
        <f t="shared" ref="CW146" si="709">IF(CX143&lt;&gt;0,CX146/CX143,0)</f>
        <v>0</v>
      </c>
      <c r="CX146" s="101">
        <f>CZ146*HLOOKUP(CX128,Grund_zins,2,FALSE)</f>
        <v>0</v>
      </c>
      <c r="CY146" s="101">
        <f>SUMIF($D$5:$D$125,"=zus",CY5:CY125)*HLOOKUP(CX128,Verteil_rwst,37,FALSE)+SUMIF($D$5:$D$125,"=zum",CY5:CY125)*HLOOKUP(CX128,Verteil_rwst,38,FALSE)+SUMIF($D$5:$D$125,"=zur",CY5:CY125)*HLOOKUP(CX128,Verteil_rwst,39,FALSE)</f>
        <v>0</v>
      </c>
      <c r="CZ146" s="101">
        <f t="shared" si="673"/>
        <v>0</v>
      </c>
      <c r="DA146" s="101">
        <f>SUMIF($D$5:$D$125,"=zus",DA5:DA125)*HLOOKUP(CX128,Verteil_rwst,37,FALSE)+SUMIF($D$5:$D$125,"=zum",DA5:DA125)*HLOOKUP(CX128,Verteil_rwst,38,FALSE)+SUMIF($D$5:$D$125,"=zur",DA5:DA125)*HLOOKUP(CX128,Verteil_rwst,39,FALSE)</f>
        <v>0</v>
      </c>
      <c r="DB146" s="659" t="s">
        <v>182</v>
      </c>
      <c r="DD146" s="217"/>
      <c r="DE146" s="403"/>
      <c r="DF146" s="101">
        <f>SUMIF($D$5:$D$125,"=zus",DF5:DF125)*HLOOKUP(DK128,Verteil_rwst,37,FALSE)+SUMIF($D$5:$D$125,"=zum",DF5:DF125)*HLOOKUP(DK128,Verteil_rwst,38,FALSE)+SUMIF($D$5:$D$125,"=zur",DF5:DF125)*HLOOKUP(DK128,Verteil_rwst,39,FALSE)</f>
        <v>0</v>
      </c>
      <c r="DH146" s="101">
        <f>SUMIF($D$5:$D$125,"=zus",DH5:DH125)*HLOOKUP(DK128,Verteil_rwst,37,FALSE)+SUMIF($D$5:$D$125,"=zum",DH5:DH125)*HLOOKUP(DK128,Verteil_rwst,38,FALSE)+SUMIF($D$5:$D$125,"=zur",DH5:DH125)*HLOOKUP(DK128,Verteil_rwst,39,FALSE)</f>
        <v>0</v>
      </c>
      <c r="DJ146" s="102">
        <f t="shared" ref="DJ146" si="710">IF(DK143&lt;&gt;0,DK146/DK143,0)</f>
        <v>0</v>
      </c>
      <c r="DK146" s="101">
        <f>DM146*HLOOKUP(DK128,Grund_zins,2,FALSE)</f>
        <v>0</v>
      </c>
      <c r="DL146" s="101">
        <f>SUMIF($D$5:$D$125,"=zus",DL5:DL125)*HLOOKUP(DK128,Verteil_rwst,37,FALSE)+SUMIF($D$5:$D$125,"=zum",DL5:DL125)*HLOOKUP(DK128,Verteil_rwst,38,FALSE)+SUMIF($D$5:$D$125,"=zur",DL5:DL125)*HLOOKUP(DK128,Verteil_rwst,39,FALSE)</f>
        <v>0</v>
      </c>
      <c r="DM146" s="101">
        <f t="shared" si="679"/>
        <v>0</v>
      </c>
      <c r="DN146" s="101">
        <f>SUMIF($D$5:$D$125,"=zus",DN5:DN125)*HLOOKUP(DK128,Verteil_rwst,37,FALSE)+SUMIF($D$5:$D$125,"=zum",DN5:DN125)*HLOOKUP(DK128,Verteil_rwst,38,FALSE)+SUMIF($D$5:$D$125,"=zur",DN5:DN125)*HLOOKUP(DK128,Verteil_rwst,39,FALSE)</f>
        <v>0</v>
      </c>
      <c r="DO146" s="659" t="s">
        <v>182</v>
      </c>
      <c r="DQ146" s="217"/>
      <c r="DR146" s="403"/>
      <c r="DS146" s="101">
        <f>SUMIF($D$5:$D$125,"=zus",DS5:DS125)*HLOOKUP(DX128,Verteil_rwst,37,FALSE)+SUMIF($D$5:$D$125,"=zum",DS5:DS125)*HLOOKUP(DX128,Verteil_rwst,38,FALSE)+SUMIF($D$5:$D$125,"=zur",DS5:DS125)*HLOOKUP(DX128,Verteil_rwst,39,FALSE)</f>
        <v>0</v>
      </c>
      <c r="DU146" s="101">
        <f>SUMIF($D$5:$D$125,"=zus",DU5:DU125)*HLOOKUP(DX128,Verteil_rwst,37,FALSE)+SUMIF($D$5:$D$125,"=zum",DU5:DU125)*HLOOKUP(DX128,Verteil_rwst,38,FALSE)+SUMIF($D$5:$D$125,"=zur",DU5:DU125)*HLOOKUP(DX128,Verteil_rwst,39,FALSE)</f>
        <v>0</v>
      </c>
      <c r="DW146" s="102">
        <f t="shared" ref="DW146" si="711">IF(DX143&lt;&gt;0,DX146/DX143,0)</f>
        <v>0</v>
      </c>
      <c r="DX146" s="101">
        <f>DZ146*HLOOKUP(DX128,Grund_zins,2,FALSE)</f>
        <v>0</v>
      </c>
      <c r="DY146" s="101">
        <f>SUMIF($D$5:$D$125,"=zus",DY5:DY125)*HLOOKUP(DX128,Verteil_rwst,37,FALSE)+SUMIF($D$5:$D$125,"=zum",DY5:DY125)*HLOOKUP(DX128,Verteil_rwst,38,FALSE)+SUMIF($D$5:$D$125,"=zur",DY5:DY125)*HLOOKUP(DX128,Verteil_rwst,39,FALSE)</f>
        <v>0</v>
      </c>
      <c r="DZ146" s="101">
        <f t="shared" si="685"/>
        <v>0</v>
      </c>
      <c r="EA146" s="101">
        <f>SUMIF($D$5:$D$125,"=zus",EA5:EA125)*HLOOKUP(DX128,Verteil_rwst,37,FALSE)+SUMIF($D$5:$D$125,"=zum",EA5:EA125)*HLOOKUP(DX128,Verteil_rwst,38,FALSE)+SUMIF($D$5:$D$125,"=zur",EA5:EA125)*HLOOKUP(DX128,Verteil_rwst,39,FALSE)</f>
        <v>0</v>
      </c>
      <c r="EB146" s="659" t="s">
        <v>182</v>
      </c>
      <c r="ED146" s="217"/>
    </row>
    <row r="147" spans="1:134" hidden="1" x14ac:dyDescent="0.3">
      <c r="A147" s="302" t="s">
        <v>491</v>
      </c>
      <c r="Q147" s="238">
        <v>20</v>
      </c>
      <c r="R147" s="403"/>
      <c r="S147" s="101">
        <f>SUMIF($D$5:$D$125,"=zuz",S5:S125)</f>
        <v>0</v>
      </c>
      <c r="U147" s="101">
        <f>SUMIF($D$5:$D$125,"=zuz",U5:U125)</f>
        <v>0</v>
      </c>
      <c r="W147" s="102">
        <f>SUM(W148:W150)</f>
        <v>0</v>
      </c>
      <c r="X147" s="101">
        <f>Z147*HLOOKUP(X128,Grund_zins,2,FALSE)</f>
        <v>0</v>
      </c>
      <c r="Y147" s="101">
        <f>SUMIF($D$5:$D$125,"=zuz",Y5:Y125)</f>
        <v>0</v>
      </c>
      <c r="Z147" s="101">
        <f t="shared" si="687"/>
        <v>0</v>
      </c>
      <c r="AA147" s="101">
        <f>SUMIF($D$5:$D$125,"=zuz",AA5:AA125)</f>
        <v>0</v>
      </c>
      <c r="AB147" s="219" t="s">
        <v>491</v>
      </c>
      <c r="AD147" s="217"/>
      <c r="AE147" s="403"/>
      <c r="AF147" s="101">
        <f t="shared" ref="AF147" si="712">SUMIF($D$5:$D$125,"=zuz",AF5:AF125)</f>
        <v>0</v>
      </c>
      <c r="AH147" s="101">
        <f t="shared" ref="AH147" si="713">SUMIF($D$5:$D$125,"=zuz",AH5:AH125)</f>
        <v>0</v>
      </c>
      <c r="AJ147" s="102">
        <f t="shared" ref="AJ147" si="714">SUM(AJ148:AJ150)</f>
        <v>0</v>
      </c>
      <c r="AK147" s="101">
        <f>AM147*HLOOKUP(AK128,Grund_zins,2,FALSE)</f>
        <v>0</v>
      </c>
      <c r="AL147" s="101">
        <f t="shared" ref="AL147" si="715">SUMIF($D$5:$D$125,"=zuz",AL5:AL125)</f>
        <v>0</v>
      </c>
      <c r="AM147" s="101">
        <f t="shared" si="643"/>
        <v>0</v>
      </c>
      <c r="AN147" s="101">
        <f t="shared" ref="AN147" si="716">SUMIF($D$5:$D$125,"=zuz",AN5:AN125)</f>
        <v>0</v>
      </c>
      <c r="AO147" s="302" t="s">
        <v>491</v>
      </c>
      <c r="AQ147" s="217"/>
      <c r="AR147" s="403"/>
      <c r="AS147" s="101">
        <f t="shared" ref="AS147" si="717">SUMIF($D$5:$D$125,"=zuz",AS5:AS125)</f>
        <v>0</v>
      </c>
      <c r="AU147" s="101">
        <f t="shared" ref="AU147" si="718">SUMIF($D$5:$D$125,"=zuz",AU5:AU125)</f>
        <v>0</v>
      </c>
      <c r="AW147" s="102">
        <f t="shared" ref="AW147" si="719">SUM(AW148:AW150)</f>
        <v>0</v>
      </c>
      <c r="AX147" s="101">
        <f>AZ147*HLOOKUP(AX128,Grund_zins,2,FALSE)</f>
        <v>0</v>
      </c>
      <c r="AY147" s="101">
        <f t="shared" ref="AY147" si="720">SUMIF($D$5:$D$125,"=zuz",AY5:AY125)</f>
        <v>0</v>
      </c>
      <c r="AZ147" s="101">
        <f t="shared" si="649"/>
        <v>0</v>
      </c>
      <c r="BA147" s="101">
        <f t="shared" ref="BA147" si="721">SUMIF($D$5:$D$125,"=zuz",BA5:BA125)</f>
        <v>0</v>
      </c>
      <c r="BB147" s="302" t="s">
        <v>491</v>
      </c>
      <c r="BD147" s="217"/>
      <c r="BE147" s="403"/>
      <c r="BF147" s="101">
        <f t="shared" ref="BF147" si="722">SUMIF($D$5:$D$125,"=zuz",BF5:BF125)</f>
        <v>0</v>
      </c>
      <c r="BH147" s="101">
        <f t="shared" ref="BH147" si="723">SUMIF($D$5:$D$125,"=zuz",BH5:BH125)</f>
        <v>0</v>
      </c>
      <c r="BJ147" s="102">
        <f t="shared" ref="BJ147" si="724">SUM(BJ148:BJ150)</f>
        <v>0</v>
      </c>
      <c r="BK147" s="101">
        <f>BM147*HLOOKUP(BK128,Grund_zins,2,FALSE)</f>
        <v>0</v>
      </c>
      <c r="BL147" s="101">
        <f t="shared" ref="BL147" si="725">SUMIF($D$5:$D$125,"=zuz",BL5:BL125)</f>
        <v>0</v>
      </c>
      <c r="BM147" s="101">
        <f t="shared" si="655"/>
        <v>0</v>
      </c>
      <c r="BN147" s="101">
        <f t="shared" ref="BN147" si="726">SUMIF($D$5:$D$125,"=zuz",BN5:BN125)</f>
        <v>0</v>
      </c>
      <c r="BO147" s="302" t="s">
        <v>491</v>
      </c>
      <c r="BQ147" s="217"/>
      <c r="BR147" s="403"/>
      <c r="BS147" s="101">
        <f t="shared" ref="BS147" si="727">SUMIF($D$5:$D$125,"=zuz",BS5:BS125)</f>
        <v>0</v>
      </c>
      <c r="BU147" s="101">
        <f t="shared" ref="BU147" si="728">SUMIF($D$5:$D$125,"=zuz",BU5:BU125)</f>
        <v>0</v>
      </c>
      <c r="BW147" s="102">
        <f t="shared" ref="BW147" si="729">SUM(BW148:BW150)</f>
        <v>0</v>
      </c>
      <c r="BX147" s="101">
        <f>BZ147*HLOOKUP(BX128,Grund_zins,2,FALSE)</f>
        <v>0</v>
      </c>
      <c r="BY147" s="101">
        <f t="shared" ref="BY147" si="730">SUMIF($D$5:$D$125,"=zuz",BY5:BY125)</f>
        <v>0</v>
      </c>
      <c r="BZ147" s="101">
        <f t="shared" si="661"/>
        <v>0</v>
      </c>
      <c r="CA147" s="101">
        <f t="shared" ref="CA147" si="731">SUMIF($D$5:$D$125,"=zuz",CA5:CA125)</f>
        <v>0</v>
      </c>
      <c r="CB147" s="302" t="s">
        <v>491</v>
      </c>
      <c r="CD147" s="217"/>
      <c r="CE147" s="403"/>
      <c r="CF147" s="101">
        <f t="shared" ref="CF147" si="732">SUMIF($D$5:$D$125,"=zuz",CF5:CF125)</f>
        <v>0</v>
      </c>
      <c r="CH147" s="101">
        <f t="shared" ref="CH147" si="733">SUMIF($D$5:$D$125,"=zuz",CH5:CH125)</f>
        <v>0</v>
      </c>
      <c r="CJ147" s="102">
        <f t="shared" ref="CJ147" si="734">SUM(CJ148:CJ150)</f>
        <v>0</v>
      </c>
      <c r="CK147" s="101">
        <f>CM147*HLOOKUP(CK128,Grund_zins,2,FALSE)</f>
        <v>0</v>
      </c>
      <c r="CL147" s="101">
        <f t="shared" ref="CL147" si="735">SUMIF($D$5:$D$125,"=zuz",CL5:CL125)</f>
        <v>0</v>
      </c>
      <c r="CM147" s="101">
        <f t="shared" si="667"/>
        <v>0</v>
      </c>
      <c r="CN147" s="101">
        <f t="shared" ref="CN147" si="736">SUMIF($D$5:$D$125,"=zuz",CN5:CN125)</f>
        <v>0</v>
      </c>
      <c r="CO147" s="302" t="s">
        <v>491</v>
      </c>
      <c r="CQ147" s="217"/>
      <c r="CR147" s="403"/>
      <c r="CS147" s="101">
        <f t="shared" ref="CS147" si="737">SUMIF($D$5:$D$125,"=zuz",CS5:CS125)</f>
        <v>0</v>
      </c>
      <c r="CU147" s="101">
        <f t="shared" ref="CU147" si="738">SUMIF($D$5:$D$125,"=zuz",CU5:CU125)</f>
        <v>0</v>
      </c>
      <c r="CW147" s="102">
        <f t="shared" ref="CW147" si="739">SUM(CW148:CW150)</f>
        <v>0</v>
      </c>
      <c r="CX147" s="101">
        <f>CZ147*HLOOKUP(CX128,Grund_zins,2,FALSE)</f>
        <v>0</v>
      </c>
      <c r="CY147" s="101">
        <f t="shared" ref="CY147" si="740">SUMIF($D$5:$D$125,"=zuz",CY5:CY125)</f>
        <v>0</v>
      </c>
      <c r="CZ147" s="101">
        <f t="shared" si="673"/>
        <v>0</v>
      </c>
      <c r="DA147" s="101">
        <f t="shared" ref="DA147" si="741">SUMIF($D$5:$D$125,"=zuz",DA5:DA125)</f>
        <v>0</v>
      </c>
      <c r="DB147" s="302" t="s">
        <v>491</v>
      </c>
      <c r="DD147" s="217"/>
      <c r="DE147" s="403"/>
      <c r="DF147" s="101">
        <f t="shared" ref="DF147" si="742">SUMIF($D$5:$D$125,"=zuz",DF5:DF125)</f>
        <v>0</v>
      </c>
      <c r="DH147" s="101">
        <f t="shared" ref="DH147" si="743">SUMIF($D$5:$D$125,"=zuz",DH5:DH125)</f>
        <v>0</v>
      </c>
      <c r="DJ147" s="102">
        <f t="shared" ref="DJ147" si="744">SUM(DJ148:DJ150)</f>
        <v>0</v>
      </c>
      <c r="DK147" s="101">
        <f>DM147*HLOOKUP(DK128,Grund_zins,2,FALSE)</f>
        <v>0</v>
      </c>
      <c r="DL147" s="101">
        <f t="shared" ref="DL147" si="745">SUMIF($D$5:$D$125,"=zuz",DL5:DL125)</f>
        <v>0</v>
      </c>
      <c r="DM147" s="101">
        <f t="shared" si="679"/>
        <v>0</v>
      </c>
      <c r="DN147" s="101">
        <f t="shared" ref="DN147" si="746">SUMIF($D$5:$D$125,"=zuz",DN5:DN125)</f>
        <v>0</v>
      </c>
      <c r="DO147" s="302" t="s">
        <v>491</v>
      </c>
      <c r="DQ147" s="217"/>
      <c r="DR147" s="403"/>
      <c r="DS147" s="101">
        <f t="shared" ref="DS147" si="747">SUMIF($D$5:$D$125,"=zuz",DS5:DS125)</f>
        <v>0</v>
      </c>
      <c r="DU147" s="101">
        <f t="shared" ref="DU147" si="748">SUMIF($D$5:$D$125,"=zuz",DU5:DU125)</f>
        <v>0</v>
      </c>
      <c r="DW147" s="102">
        <f t="shared" ref="DW147" si="749">SUM(DW148:DW150)</f>
        <v>0</v>
      </c>
      <c r="DX147" s="101">
        <f>DZ147*HLOOKUP(DX128,Grund_zins,2,FALSE)</f>
        <v>0</v>
      </c>
      <c r="DY147" s="101">
        <f t="shared" ref="DY147" si="750">SUMIF($D$5:$D$125,"=zuz",DY5:DY125)</f>
        <v>0</v>
      </c>
      <c r="DZ147" s="101">
        <f t="shared" si="685"/>
        <v>0</v>
      </c>
      <c r="EA147" s="101">
        <f t="shared" ref="EA147" si="751">SUMIF($D$5:$D$125,"=zuz",EA5:EA125)</f>
        <v>0</v>
      </c>
      <c r="EB147" s="302" t="s">
        <v>491</v>
      </c>
      <c r="ED147" s="217"/>
    </row>
    <row r="148" spans="1:134" hidden="1" x14ac:dyDescent="0.3">
      <c r="A148" s="84" t="s">
        <v>180</v>
      </c>
      <c r="Q148" s="238">
        <v>21</v>
      </c>
      <c r="R148" s="403"/>
      <c r="S148" s="101">
        <f>SUMIF($D$5:$D$125,"=zuz",S5:S125)*HLOOKUP(X128,Verteil_sw,44,FALSE)</f>
        <v>0</v>
      </c>
      <c r="U148" s="101">
        <f>SUMIF($D$5:$D$125,"=zuz",U5:U125)*HLOOKUP(X128,Verteil_sw,44,FALSE)</f>
        <v>0</v>
      </c>
      <c r="W148" s="102">
        <f>IF(X147&lt;&gt;0,X148/X147,0)</f>
        <v>0</v>
      </c>
      <c r="X148" s="101">
        <f>Z148*HLOOKUP(X128,Grund_zins,2,FALSE)</f>
        <v>0</v>
      </c>
      <c r="Y148" s="101">
        <f>SUMIF($D$5:$D$125,"=zuz",Y5:Y125)*HLOOKUP(X128,Verteil_sw,44,FALSE)</f>
        <v>0</v>
      </c>
      <c r="Z148" s="101">
        <f t="shared" si="687"/>
        <v>0</v>
      </c>
      <c r="AA148" s="101">
        <f>SUMIF($D$5:$D$125,"=zuz",AA5:AA125)*HLOOKUP(X128,Verteil_sw,44,FALSE)</f>
        <v>0</v>
      </c>
      <c r="AB148" s="84" t="s">
        <v>180</v>
      </c>
      <c r="AD148" s="217"/>
      <c r="AE148" s="403"/>
      <c r="AF148" s="101">
        <f>SUMIF($D$5:$D$125,"=zuz",AF5:AF125)*HLOOKUP(AK128,Verteil_sw,44,FALSE)</f>
        <v>0</v>
      </c>
      <c r="AH148" s="101">
        <f>SUMIF($D$5:$D$125,"=zuz",AH5:AH125)*HLOOKUP(AK128,Verteil_sw,44,FALSE)</f>
        <v>0</v>
      </c>
      <c r="AJ148" s="102">
        <f t="shared" ref="AJ148" si="752">IF(AK147&lt;&gt;0,AK148/AK147,0)</f>
        <v>0</v>
      </c>
      <c r="AK148" s="101">
        <f>AM148*HLOOKUP(AK128,Grund_zins,2,FALSE)</f>
        <v>0</v>
      </c>
      <c r="AL148" s="101">
        <f>SUMIF($D$5:$D$125,"=zuz",AL5:AL125)*HLOOKUP(AK128,Verteil_sw,44,FALSE)</f>
        <v>0</v>
      </c>
      <c r="AM148" s="101">
        <f t="shared" si="643"/>
        <v>0</v>
      </c>
      <c r="AN148" s="101">
        <f>SUMIF($D$5:$D$125,"=zuz",AN5:AN125)*HLOOKUP(AK128,Verteil_sw,44,FALSE)</f>
        <v>0</v>
      </c>
      <c r="AO148" s="659" t="s">
        <v>180</v>
      </c>
      <c r="AQ148" s="217"/>
      <c r="AR148" s="403"/>
      <c r="AS148" s="101">
        <f>SUMIF($D$5:$D$125,"=zuz",AS5:AS125)*HLOOKUP(AX128,Verteil_sw,44,FALSE)</f>
        <v>0</v>
      </c>
      <c r="AU148" s="101">
        <f>SUMIF($D$5:$D$125,"=zuz",AU5:AU125)*HLOOKUP(AX128,Verteil_sw,44,FALSE)</f>
        <v>0</v>
      </c>
      <c r="AW148" s="102">
        <f t="shared" ref="AW148" si="753">IF(AX147&lt;&gt;0,AX148/AX147,0)</f>
        <v>0</v>
      </c>
      <c r="AX148" s="101">
        <f>AZ148*HLOOKUP(AX128,Grund_zins,2,FALSE)</f>
        <v>0</v>
      </c>
      <c r="AY148" s="101">
        <f>SUMIF($D$5:$D$125,"=zuz",AY5:AY125)*HLOOKUP(AX128,Verteil_sw,44,FALSE)</f>
        <v>0</v>
      </c>
      <c r="AZ148" s="101">
        <f t="shared" si="649"/>
        <v>0</v>
      </c>
      <c r="BA148" s="101">
        <f>SUMIF($D$5:$D$125,"=zuz",BA5:BA125)*HLOOKUP(AX128,Verteil_sw,44,FALSE)</f>
        <v>0</v>
      </c>
      <c r="BB148" s="659" t="s">
        <v>180</v>
      </c>
      <c r="BD148" s="217"/>
      <c r="BE148" s="403"/>
      <c r="BF148" s="101">
        <f>SUMIF($D$5:$D$125,"=zuz",BF5:BF125)*HLOOKUP(BK128,Verteil_sw,44,FALSE)</f>
        <v>0</v>
      </c>
      <c r="BH148" s="101">
        <f>SUMIF($D$5:$D$125,"=zuz",BH5:BH125)*HLOOKUP(BK128,Verteil_sw,44,FALSE)</f>
        <v>0</v>
      </c>
      <c r="BJ148" s="102">
        <f t="shared" ref="BJ148" si="754">IF(BK147&lt;&gt;0,BK148/BK147,0)</f>
        <v>0</v>
      </c>
      <c r="BK148" s="101">
        <f>BM148*HLOOKUP(BK128,Grund_zins,2,FALSE)</f>
        <v>0</v>
      </c>
      <c r="BL148" s="101">
        <f>SUMIF($D$5:$D$125,"=zuz",BL5:BL125)*HLOOKUP(BK128,Verteil_sw,44,FALSE)</f>
        <v>0</v>
      </c>
      <c r="BM148" s="101">
        <f t="shared" si="655"/>
        <v>0</v>
      </c>
      <c r="BN148" s="101">
        <f>SUMIF($D$5:$D$125,"=zuz",BN5:BN125)*HLOOKUP(BK128,Verteil_sw,44,FALSE)</f>
        <v>0</v>
      </c>
      <c r="BO148" s="659" t="s">
        <v>180</v>
      </c>
      <c r="BQ148" s="217"/>
      <c r="BR148" s="403"/>
      <c r="BS148" s="101">
        <f>SUMIF($D$5:$D$125,"=zuz",BS5:BS125)*HLOOKUP(BX128,Verteil_sw,44,FALSE)</f>
        <v>0</v>
      </c>
      <c r="BU148" s="101">
        <f>SUMIF($D$5:$D$125,"=zuz",BU5:BU125)*HLOOKUP(BX128,Verteil_sw,44,FALSE)</f>
        <v>0</v>
      </c>
      <c r="BW148" s="102">
        <f t="shared" ref="BW148" si="755">IF(BX147&lt;&gt;0,BX148/BX147,0)</f>
        <v>0</v>
      </c>
      <c r="BX148" s="101">
        <f>BZ148*HLOOKUP(BX128,Grund_zins,2,FALSE)</f>
        <v>0</v>
      </c>
      <c r="BY148" s="101">
        <f>SUMIF($D$5:$D$125,"=zuz",BY5:BY125)*HLOOKUP(BX128,Verteil_sw,44,FALSE)</f>
        <v>0</v>
      </c>
      <c r="BZ148" s="101">
        <f t="shared" si="661"/>
        <v>0</v>
      </c>
      <c r="CA148" s="101">
        <f>SUMIF($D$5:$D$125,"=zuz",CA5:CA125)*HLOOKUP(BX128,Verteil_sw,44,FALSE)</f>
        <v>0</v>
      </c>
      <c r="CB148" s="659" t="s">
        <v>180</v>
      </c>
      <c r="CD148" s="217"/>
      <c r="CE148" s="403"/>
      <c r="CF148" s="101">
        <f>SUMIF($D$5:$D$125,"=zuz",CF5:CF125)*HLOOKUP(CK128,Verteil_sw,44,FALSE)</f>
        <v>0</v>
      </c>
      <c r="CH148" s="101">
        <f>SUMIF($D$5:$D$125,"=zuz",CH5:CH125)*HLOOKUP(CK128,Verteil_sw,44,FALSE)</f>
        <v>0</v>
      </c>
      <c r="CJ148" s="102">
        <f t="shared" ref="CJ148" si="756">IF(CK147&lt;&gt;0,CK148/CK147,0)</f>
        <v>0</v>
      </c>
      <c r="CK148" s="101">
        <f>CM148*HLOOKUP(CK128,Grund_zins,2,FALSE)</f>
        <v>0</v>
      </c>
      <c r="CL148" s="101">
        <f>SUMIF($D$5:$D$125,"=zuz",CL5:CL125)*HLOOKUP(CK128,Verteil_sw,44,FALSE)</f>
        <v>0</v>
      </c>
      <c r="CM148" s="101">
        <f t="shared" si="667"/>
        <v>0</v>
      </c>
      <c r="CN148" s="101">
        <f>SUMIF($D$5:$D$125,"=zuz",CN5:CN125)*HLOOKUP(CK128,Verteil_sw,44,FALSE)</f>
        <v>0</v>
      </c>
      <c r="CO148" s="659" t="s">
        <v>180</v>
      </c>
      <c r="CQ148" s="217"/>
      <c r="CR148" s="403"/>
      <c r="CS148" s="101">
        <f>SUMIF($D$5:$D$125,"=zuz",CS5:CS125)*HLOOKUP(CX128,Verteil_sw,44,FALSE)</f>
        <v>0</v>
      </c>
      <c r="CU148" s="101">
        <f>SUMIF($D$5:$D$125,"=zuz",CU5:CU125)*HLOOKUP(CX128,Verteil_sw,44,FALSE)</f>
        <v>0</v>
      </c>
      <c r="CW148" s="102">
        <f t="shared" ref="CW148" si="757">IF(CX147&lt;&gt;0,CX148/CX147,0)</f>
        <v>0</v>
      </c>
      <c r="CX148" s="101">
        <f>CZ148*HLOOKUP(CX128,Grund_zins,2,FALSE)</f>
        <v>0</v>
      </c>
      <c r="CY148" s="101">
        <f>SUMIF($D$5:$D$125,"=zuz",CY5:CY125)*HLOOKUP(CX128,Verteil_sw,44,FALSE)</f>
        <v>0</v>
      </c>
      <c r="CZ148" s="101">
        <f t="shared" si="673"/>
        <v>0</v>
      </c>
      <c r="DA148" s="101">
        <f>SUMIF($D$5:$D$125,"=zuz",DA5:DA125)*HLOOKUP(CX128,Verteil_sw,44,FALSE)</f>
        <v>0</v>
      </c>
      <c r="DB148" s="659" t="s">
        <v>180</v>
      </c>
      <c r="DD148" s="217"/>
      <c r="DE148" s="403"/>
      <c r="DF148" s="101">
        <f>SUMIF($D$5:$D$125,"=zuz",DF5:DF125)*HLOOKUP(DK128,Verteil_sw,44,FALSE)</f>
        <v>0</v>
      </c>
      <c r="DH148" s="101">
        <f>SUMIF($D$5:$D$125,"=zuz",DH5:DH125)*HLOOKUP(DK128,Verteil_sw,44,FALSE)</f>
        <v>0</v>
      </c>
      <c r="DJ148" s="102">
        <f t="shared" ref="DJ148" si="758">IF(DK147&lt;&gt;0,DK148/DK147,0)</f>
        <v>0</v>
      </c>
      <c r="DK148" s="101">
        <f>DM148*HLOOKUP(DK128,Grund_zins,2,FALSE)</f>
        <v>0</v>
      </c>
      <c r="DL148" s="101">
        <f>SUMIF($D$5:$D$125,"=zuz",DL5:DL125)*HLOOKUP(DK128,Verteil_sw,44,FALSE)</f>
        <v>0</v>
      </c>
      <c r="DM148" s="101">
        <f t="shared" si="679"/>
        <v>0</v>
      </c>
      <c r="DN148" s="101">
        <f>SUMIF($D$5:$D$125,"=zuz",DN5:DN125)*HLOOKUP(DK128,Verteil_sw,44,FALSE)</f>
        <v>0</v>
      </c>
      <c r="DO148" s="659" t="s">
        <v>180</v>
      </c>
      <c r="DQ148" s="217"/>
      <c r="DR148" s="403"/>
      <c r="DS148" s="101">
        <f>SUMIF($D$5:$D$125,"=zuz",DS5:DS125)*HLOOKUP(DX128,Verteil_sw,44,FALSE)</f>
        <v>0</v>
      </c>
      <c r="DU148" s="101">
        <f>SUMIF($D$5:$D$125,"=zuz",DU5:DU125)*HLOOKUP(DX128,Verteil_sw,44,FALSE)</f>
        <v>0</v>
      </c>
      <c r="DW148" s="102">
        <f t="shared" ref="DW148" si="759">IF(DX147&lt;&gt;0,DX148/DX147,0)</f>
        <v>0</v>
      </c>
      <c r="DX148" s="101">
        <f>DZ148*HLOOKUP(DX128,Grund_zins,2,FALSE)</f>
        <v>0</v>
      </c>
      <c r="DY148" s="101">
        <f>SUMIF($D$5:$D$125,"=zuz",DY5:DY125)*HLOOKUP(DX128,Verteil_sw,44,FALSE)</f>
        <v>0</v>
      </c>
      <c r="DZ148" s="101">
        <f t="shared" si="685"/>
        <v>0</v>
      </c>
      <c r="EA148" s="101">
        <f>SUMIF($D$5:$D$125,"=zuz",EA5:EA125)*HLOOKUP(DX128,Verteil_sw,44,FALSE)</f>
        <v>0</v>
      </c>
      <c r="EB148" s="659" t="s">
        <v>180</v>
      </c>
      <c r="ED148" s="217"/>
    </row>
    <row r="149" spans="1:134" hidden="1" x14ac:dyDescent="0.3">
      <c r="A149" s="84" t="s">
        <v>181</v>
      </c>
      <c r="Q149" s="238">
        <v>22</v>
      </c>
      <c r="R149" s="403"/>
      <c r="S149" s="101">
        <f>SUMIF($D$5:$D$125,"=zuz",S5:S125)*HLOOKUP(X128,Verteil_rwgr,43,FALSE)</f>
        <v>0</v>
      </c>
      <c r="U149" s="101">
        <f>SUMIF($D$5:$D$125,"=zuz",U5:U125)*HLOOKUP(X128,Verteil_rwgr,43,FALSE)</f>
        <v>0</v>
      </c>
      <c r="W149" s="102">
        <f>IF(X147&lt;&gt;0,X149/X147,0)</f>
        <v>0</v>
      </c>
      <c r="X149" s="101">
        <f>Z149*HLOOKUP(X128,Grund_zins,2,FALSE)</f>
        <v>0</v>
      </c>
      <c r="Y149" s="101">
        <f>SUMIF($D$5:$D$125,"=zuz",Y5:Y125)*HLOOKUP(X128,Verteil_rwgr,43,FALSE)</f>
        <v>0</v>
      </c>
      <c r="Z149" s="101">
        <f t="shared" si="687"/>
        <v>0</v>
      </c>
      <c r="AA149" s="101">
        <f>SUMIF($D$5:$D$125,"=zuz",AA5:AA125)*HLOOKUP(X128,Verteil_rwgr,43,FALSE)</f>
        <v>0</v>
      </c>
      <c r="AB149" s="84" t="s">
        <v>181</v>
      </c>
      <c r="AD149" s="217"/>
      <c r="AE149" s="403"/>
      <c r="AF149" s="101">
        <f>SUMIF($D$5:$D$125,"=zuz",AF5:AF125)*HLOOKUP(AK128,Verteil_rwgr,43,FALSE)</f>
        <v>0</v>
      </c>
      <c r="AH149" s="101">
        <f>SUMIF($D$5:$D$125,"=zuz",AH5:AH125)*HLOOKUP(AK128,Verteil_rwgr,43,FALSE)</f>
        <v>0</v>
      </c>
      <c r="AJ149" s="102">
        <f t="shared" ref="AJ149" si="760">IF(AK147&lt;&gt;0,AK149/AK147,0)</f>
        <v>0</v>
      </c>
      <c r="AK149" s="101">
        <f>AM149*HLOOKUP(AK128,Grund_zins,2,FALSE)</f>
        <v>0</v>
      </c>
      <c r="AL149" s="101">
        <f>SUMIF($D$5:$D$125,"=zuz",AL5:AL125)*HLOOKUP(AK128,Verteil_rwgr,43,FALSE)</f>
        <v>0</v>
      </c>
      <c r="AM149" s="101">
        <f t="shared" si="643"/>
        <v>0</v>
      </c>
      <c r="AN149" s="101">
        <f>SUMIF($D$5:$D$125,"=zuz",AN5:AN125)*HLOOKUP(AK128,Verteil_rwgr,43,FALSE)</f>
        <v>0</v>
      </c>
      <c r="AO149" s="659" t="s">
        <v>181</v>
      </c>
      <c r="AQ149" s="217"/>
      <c r="AR149" s="403"/>
      <c r="AS149" s="101">
        <f>SUMIF($D$5:$D$125,"=zuz",AS5:AS125)*HLOOKUP(AX128,Verteil_rwgr,43,FALSE)</f>
        <v>0</v>
      </c>
      <c r="AU149" s="101">
        <f>SUMIF($D$5:$D$125,"=zuz",AU5:AU125)*HLOOKUP(AX128,Verteil_rwgr,43,FALSE)</f>
        <v>0</v>
      </c>
      <c r="AW149" s="102">
        <f t="shared" ref="AW149" si="761">IF(AX147&lt;&gt;0,AX149/AX147,0)</f>
        <v>0</v>
      </c>
      <c r="AX149" s="101">
        <f>AZ149*HLOOKUP(AX128,Grund_zins,2,FALSE)</f>
        <v>0</v>
      </c>
      <c r="AY149" s="101">
        <f>SUMIF($D$5:$D$125,"=zuz",AY5:AY125)*HLOOKUP(AX128,Verteil_rwgr,43,FALSE)</f>
        <v>0</v>
      </c>
      <c r="AZ149" s="101">
        <f t="shared" si="649"/>
        <v>0</v>
      </c>
      <c r="BA149" s="101">
        <f>SUMIF($D$5:$D$125,"=zuz",BA5:BA125)*HLOOKUP(AX128,Verteil_rwgr,43,FALSE)</f>
        <v>0</v>
      </c>
      <c r="BB149" s="659" t="s">
        <v>181</v>
      </c>
      <c r="BD149" s="217"/>
      <c r="BE149" s="403"/>
      <c r="BF149" s="101">
        <f>SUMIF($D$5:$D$125,"=zuz",BF5:BF125)*HLOOKUP(BK128,Verteil_rwgr,43,FALSE)</f>
        <v>0</v>
      </c>
      <c r="BH149" s="101">
        <f>SUMIF($D$5:$D$125,"=zuz",BH5:BH125)*HLOOKUP(BK128,Verteil_rwgr,43,FALSE)</f>
        <v>0</v>
      </c>
      <c r="BJ149" s="102">
        <f t="shared" ref="BJ149" si="762">IF(BK147&lt;&gt;0,BK149/BK147,0)</f>
        <v>0</v>
      </c>
      <c r="BK149" s="101">
        <f>BM149*HLOOKUP(BK128,Grund_zins,2,FALSE)</f>
        <v>0</v>
      </c>
      <c r="BL149" s="101">
        <f>SUMIF($D$5:$D$125,"=zuz",BL5:BL125)*HLOOKUP(BK128,Verteil_rwgr,43,FALSE)</f>
        <v>0</v>
      </c>
      <c r="BM149" s="101">
        <f t="shared" si="655"/>
        <v>0</v>
      </c>
      <c r="BN149" s="101">
        <f>SUMIF($D$5:$D$125,"=zuz",BN5:BN125)*HLOOKUP(BK128,Verteil_rwgr,43,FALSE)</f>
        <v>0</v>
      </c>
      <c r="BO149" s="659" t="s">
        <v>181</v>
      </c>
      <c r="BQ149" s="217"/>
      <c r="BR149" s="403"/>
      <c r="BS149" s="101">
        <f>SUMIF($D$5:$D$125,"=zuz",BS5:BS125)*HLOOKUP(BX128,Verteil_rwgr,43,FALSE)</f>
        <v>0</v>
      </c>
      <c r="BU149" s="101">
        <f>SUMIF($D$5:$D$125,"=zuz",BU5:BU125)*HLOOKUP(BX128,Verteil_rwgr,43,FALSE)</f>
        <v>0</v>
      </c>
      <c r="BW149" s="102">
        <f t="shared" ref="BW149" si="763">IF(BX147&lt;&gt;0,BX149/BX147,0)</f>
        <v>0</v>
      </c>
      <c r="BX149" s="101">
        <f>BZ149*HLOOKUP(BX128,Grund_zins,2,FALSE)</f>
        <v>0</v>
      </c>
      <c r="BY149" s="101">
        <f>SUMIF($D$5:$D$125,"=zuz",BY5:BY125)*HLOOKUP(BX128,Verteil_rwgr,43,FALSE)</f>
        <v>0</v>
      </c>
      <c r="BZ149" s="101">
        <f t="shared" si="661"/>
        <v>0</v>
      </c>
      <c r="CA149" s="101">
        <f>SUMIF($D$5:$D$125,"=zuz",CA5:CA125)*HLOOKUP(BX128,Verteil_rwgr,43,FALSE)</f>
        <v>0</v>
      </c>
      <c r="CB149" s="659" t="s">
        <v>181</v>
      </c>
      <c r="CD149" s="217"/>
      <c r="CE149" s="403"/>
      <c r="CF149" s="101">
        <f>SUMIF($D$5:$D$125,"=zuz",CF5:CF125)*HLOOKUP(CK128,Verteil_rwgr,43,FALSE)</f>
        <v>0</v>
      </c>
      <c r="CH149" s="101">
        <f>SUMIF($D$5:$D$125,"=zuz",CH5:CH125)*HLOOKUP(CK128,Verteil_rwgr,43,FALSE)</f>
        <v>0</v>
      </c>
      <c r="CJ149" s="102">
        <f t="shared" ref="CJ149" si="764">IF(CK147&lt;&gt;0,CK149/CK147,0)</f>
        <v>0</v>
      </c>
      <c r="CK149" s="101">
        <f>CM149*HLOOKUP(CK128,Grund_zins,2,FALSE)</f>
        <v>0</v>
      </c>
      <c r="CL149" s="101">
        <f>SUMIF($D$5:$D$125,"=zuz",CL5:CL125)*HLOOKUP(CK128,Verteil_rwgr,43,FALSE)</f>
        <v>0</v>
      </c>
      <c r="CM149" s="101">
        <f t="shared" si="667"/>
        <v>0</v>
      </c>
      <c r="CN149" s="101">
        <f>SUMIF($D$5:$D$125,"=zuz",CN5:CN125)*HLOOKUP(CK128,Verteil_rwgr,43,FALSE)</f>
        <v>0</v>
      </c>
      <c r="CO149" s="659" t="s">
        <v>181</v>
      </c>
      <c r="CQ149" s="217"/>
      <c r="CR149" s="403"/>
      <c r="CS149" s="101">
        <f>SUMIF($D$5:$D$125,"=zuz",CS5:CS125)*HLOOKUP(CX128,Verteil_rwgr,43,FALSE)</f>
        <v>0</v>
      </c>
      <c r="CU149" s="101">
        <f>SUMIF($D$5:$D$125,"=zuz",CU5:CU125)*HLOOKUP(CX128,Verteil_rwgr,43,FALSE)</f>
        <v>0</v>
      </c>
      <c r="CW149" s="102">
        <f t="shared" ref="CW149" si="765">IF(CX147&lt;&gt;0,CX149/CX147,0)</f>
        <v>0</v>
      </c>
      <c r="CX149" s="101">
        <f>CZ149*HLOOKUP(CX128,Grund_zins,2,FALSE)</f>
        <v>0</v>
      </c>
      <c r="CY149" s="101">
        <f>SUMIF($D$5:$D$125,"=zuz",CY5:CY125)*HLOOKUP(CX128,Verteil_rwgr,43,FALSE)</f>
        <v>0</v>
      </c>
      <c r="CZ149" s="101">
        <f t="shared" si="673"/>
        <v>0</v>
      </c>
      <c r="DA149" s="101">
        <f>SUMIF($D$5:$D$125,"=zuz",DA5:DA125)*HLOOKUP(CX128,Verteil_rwgr,43,FALSE)</f>
        <v>0</v>
      </c>
      <c r="DB149" s="659" t="s">
        <v>181</v>
      </c>
      <c r="DD149" s="217"/>
      <c r="DE149" s="403"/>
      <c r="DF149" s="101">
        <f>SUMIF($D$5:$D$125,"=zuz",DF5:DF125)*HLOOKUP(DK128,Verteil_rwgr,43,FALSE)</f>
        <v>0</v>
      </c>
      <c r="DH149" s="101">
        <f>SUMIF($D$5:$D$125,"=zuz",DH5:DH125)*HLOOKUP(DK128,Verteil_rwgr,43,FALSE)</f>
        <v>0</v>
      </c>
      <c r="DJ149" s="102">
        <f t="shared" ref="DJ149" si="766">IF(DK147&lt;&gt;0,DK149/DK147,0)</f>
        <v>0</v>
      </c>
      <c r="DK149" s="101">
        <f>DM149*HLOOKUP(DK128,Grund_zins,2,FALSE)</f>
        <v>0</v>
      </c>
      <c r="DL149" s="101">
        <f>SUMIF($D$5:$D$125,"=zuz",DL5:DL125)*HLOOKUP(DK128,Verteil_rwgr,43,FALSE)</f>
        <v>0</v>
      </c>
      <c r="DM149" s="101">
        <f t="shared" si="679"/>
        <v>0</v>
      </c>
      <c r="DN149" s="101">
        <f>SUMIF($D$5:$D$125,"=zuz",DN5:DN125)*HLOOKUP(DK128,Verteil_rwgr,43,FALSE)</f>
        <v>0</v>
      </c>
      <c r="DO149" s="659" t="s">
        <v>181</v>
      </c>
      <c r="DQ149" s="217"/>
      <c r="DR149" s="403"/>
      <c r="DS149" s="101">
        <f>SUMIF($D$5:$D$125,"=zuz",DS5:DS125)*HLOOKUP(DX128,Verteil_rwgr,43,FALSE)</f>
        <v>0</v>
      </c>
      <c r="DU149" s="101">
        <f>SUMIF($D$5:$D$125,"=zuz",DU5:DU125)*HLOOKUP(DX128,Verteil_rwgr,43,FALSE)</f>
        <v>0</v>
      </c>
      <c r="DW149" s="102">
        <f t="shared" ref="DW149" si="767">IF(DX147&lt;&gt;0,DX149/DX147,0)</f>
        <v>0</v>
      </c>
      <c r="DX149" s="101">
        <f>DZ149*HLOOKUP(DX128,Grund_zins,2,FALSE)</f>
        <v>0</v>
      </c>
      <c r="DY149" s="101">
        <f>SUMIF($D$5:$D$125,"=zuz",DY5:DY125)*HLOOKUP(DX128,Verteil_rwgr,43,FALSE)</f>
        <v>0</v>
      </c>
      <c r="DZ149" s="101">
        <f t="shared" si="685"/>
        <v>0</v>
      </c>
      <c r="EA149" s="101">
        <f>SUMIF($D$5:$D$125,"=zuz",EA5:EA125)*HLOOKUP(DX128,Verteil_rwgr,43,FALSE)</f>
        <v>0</v>
      </c>
      <c r="EB149" s="659" t="s">
        <v>181</v>
      </c>
      <c r="ED149" s="217"/>
    </row>
    <row r="150" spans="1:134" hidden="1" x14ac:dyDescent="0.3">
      <c r="A150" s="84" t="s">
        <v>186</v>
      </c>
      <c r="Q150" s="238">
        <v>23</v>
      </c>
      <c r="R150" s="403"/>
      <c r="W150" s="102"/>
      <c r="X150" s="101"/>
      <c r="AB150" s="84" t="s">
        <v>186</v>
      </c>
      <c r="AD150" s="217"/>
      <c r="AE150" s="403"/>
      <c r="AJ150" s="102"/>
      <c r="AK150" s="101"/>
      <c r="AO150" s="659" t="s">
        <v>186</v>
      </c>
      <c r="AQ150" s="217"/>
      <c r="AR150" s="403"/>
      <c r="AW150" s="102"/>
      <c r="AX150" s="101"/>
      <c r="BB150" s="659" t="s">
        <v>186</v>
      </c>
      <c r="BD150" s="217"/>
      <c r="BE150" s="403"/>
      <c r="BJ150" s="102"/>
      <c r="BK150" s="101"/>
      <c r="BO150" s="659" t="s">
        <v>186</v>
      </c>
      <c r="BQ150" s="217"/>
      <c r="BR150" s="403"/>
      <c r="BW150" s="102"/>
      <c r="BX150" s="101"/>
      <c r="CB150" s="659" t="s">
        <v>186</v>
      </c>
      <c r="CD150" s="217"/>
      <c r="CE150" s="403"/>
      <c r="CJ150" s="102"/>
      <c r="CK150" s="101"/>
      <c r="CO150" s="659" t="s">
        <v>186</v>
      </c>
      <c r="CQ150" s="217"/>
      <c r="CR150" s="403"/>
      <c r="CW150" s="102"/>
      <c r="CX150" s="101"/>
      <c r="DB150" s="659" t="s">
        <v>186</v>
      </c>
      <c r="DD150" s="217"/>
      <c r="DE150" s="403"/>
      <c r="DJ150" s="102"/>
      <c r="DK150" s="101"/>
      <c r="DO150" s="659" t="s">
        <v>186</v>
      </c>
      <c r="DQ150" s="217"/>
      <c r="DR150" s="403"/>
      <c r="DW150" s="102"/>
      <c r="DX150" s="101"/>
      <c r="EB150" s="659" t="s">
        <v>186</v>
      </c>
      <c r="ED150" s="217"/>
    </row>
    <row r="151" spans="1:134" hidden="1" x14ac:dyDescent="0.3">
      <c r="A151" s="302" t="s">
        <v>498</v>
      </c>
      <c r="Q151" s="238">
        <v>24</v>
      </c>
      <c r="R151" s="403"/>
      <c r="S151" s="179">
        <f t="shared" ref="S151:U153" si="768">SUM(S143,S147)</f>
        <v>0</v>
      </c>
      <c r="U151" s="179">
        <f t="shared" si="768"/>
        <v>0</v>
      </c>
      <c r="W151" s="102">
        <f>SUM(W152:W154)</f>
        <v>0.99999979669577788</v>
      </c>
      <c r="X151" s="65">
        <f>ROUND(SUM(X143,X147),2)</f>
        <v>49187.37</v>
      </c>
      <c r="Y151" s="179">
        <f t="shared" ref="Y151:AA154" si="769">SUM(Y143,Y147)</f>
        <v>54020</v>
      </c>
      <c r="Z151" s="179">
        <f t="shared" si="769"/>
        <v>1405353.33</v>
      </c>
      <c r="AA151" s="179">
        <f t="shared" si="769"/>
        <v>1378343.33</v>
      </c>
      <c r="AB151" s="219" t="s">
        <v>977</v>
      </c>
      <c r="AD151" s="217"/>
      <c r="AE151" s="403"/>
      <c r="AF151" s="179">
        <f t="shared" ref="AF151" si="770">SUM(AF143,AF147)</f>
        <v>0</v>
      </c>
      <c r="AH151" s="179">
        <f t="shared" ref="AH151" si="771">SUM(AH143,AH147)</f>
        <v>0</v>
      </c>
      <c r="AJ151" s="102">
        <f t="shared" ref="AJ151" si="772">SUM(AJ152:AJ154)</f>
        <v>0.99999978872497008</v>
      </c>
      <c r="AK151" s="65">
        <f t="shared" ref="AK151:BK154" si="773">ROUND(SUM(AK143,AK147),2)</f>
        <v>47331.67</v>
      </c>
      <c r="AL151" s="179">
        <f t="shared" ref="AL151:AN151" si="774">SUM(AL143,AL147)</f>
        <v>52020</v>
      </c>
      <c r="AM151" s="179">
        <f t="shared" si="774"/>
        <v>1352333.33</v>
      </c>
      <c r="AN151" s="179">
        <f t="shared" si="774"/>
        <v>1326323.33</v>
      </c>
      <c r="AO151" s="302" t="s">
        <v>977</v>
      </c>
      <c r="AQ151" s="217"/>
      <c r="AR151" s="403"/>
      <c r="AS151" s="179">
        <f t="shared" ref="AS151" si="775">SUM(AS143,AS147)</f>
        <v>0</v>
      </c>
      <c r="AU151" s="179">
        <f t="shared" ref="AU151" si="776">SUM(AU143,AU147)</f>
        <v>0</v>
      </c>
      <c r="AW151" s="102">
        <f t="shared" ref="AW151" si="777">SUM(AW152:AW154)</f>
        <v>0.99999978044160653</v>
      </c>
      <c r="AX151" s="65">
        <f t="shared" ref="AX151" si="778">ROUND(SUM(AX143,AX147),2)</f>
        <v>45545.97</v>
      </c>
      <c r="AY151" s="179">
        <f t="shared" ref="AY151:BA151" si="779">SUM(AY143,AY147)</f>
        <v>50020</v>
      </c>
      <c r="AZ151" s="179">
        <f t="shared" si="779"/>
        <v>1301313.33</v>
      </c>
      <c r="BA151" s="179">
        <f t="shared" si="779"/>
        <v>1276303.33</v>
      </c>
      <c r="BB151" s="302" t="s">
        <v>977</v>
      </c>
      <c r="BD151" s="217"/>
      <c r="BE151" s="403"/>
      <c r="BF151" s="179">
        <f t="shared" ref="BF151" si="780">SUM(BF143,BF147)</f>
        <v>0</v>
      </c>
      <c r="BH151" s="179">
        <f t="shared" ref="BH151" si="781">SUM(BH143,BH147)</f>
        <v>0</v>
      </c>
      <c r="BJ151" s="102">
        <f t="shared" ref="BJ151" si="782">SUM(BJ152:BJ154)</f>
        <v>0.99999977166483978</v>
      </c>
      <c r="BK151" s="65">
        <f t="shared" ref="BK151" si="783">ROUND(SUM(BK143,BK147),2)</f>
        <v>43795.27</v>
      </c>
      <c r="BL151" s="179">
        <f t="shared" ref="BL151:BN151" si="784">SUM(BL143,BL147)</f>
        <v>50020</v>
      </c>
      <c r="BM151" s="179">
        <f t="shared" si="784"/>
        <v>1251293.33</v>
      </c>
      <c r="BN151" s="179">
        <f t="shared" si="784"/>
        <v>1226283.33</v>
      </c>
      <c r="BO151" s="302" t="s">
        <v>977</v>
      </c>
      <c r="BQ151" s="217"/>
      <c r="BR151" s="403"/>
      <c r="BS151" s="179">
        <f t="shared" ref="BS151" si="785">SUM(BS143,BS147)</f>
        <v>0</v>
      </c>
      <c r="BU151" s="179">
        <f t="shared" ref="BU151" si="786">SUM(BU143,BU147)</f>
        <v>0</v>
      </c>
      <c r="BW151" s="102">
        <f t="shared" ref="BW151" si="787">SUM(BW152:BW154)</f>
        <v>0.99999976215715858</v>
      </c>
      <c r="BX151" s="65">
        <f t="shared" ref="BX151:CX154" si="788">ROUND(SUM(BX143,BX147),2)</f>
        <v>42044.57</v>
      </c>
      <c r="BY151" s="179">
        <f t="shared" ref="BY151:CA151" si="789">SUM(BY143,BY147)</f>
        <v>50020</v>
      </c>
      <c r="BZ151" s="179">
        <f t="shared" si="789"/>
        <v>1201273.33</v>
      </c>
      <c r="CA151" s="179">
        <f t="shared" si="789"/>
        <v>1176263.33</v>
      </c>
      <c r="CB151" s="302" t="s">
        <v>977</v>
      </c>
      <c r="CD151" s="217"/>
      <c r="CE151" s="403"/>
      <c r="CF151" s="179">
        <f t="shared" ref="CF151" si="790">SUM(CF143,CF147)</f>
        <v>0</v>
      </c>
      <c r="CH151" s="179">
        <f t="shared" ref="CH151" si="791">SUM(CH143,CH147)</f>
        <v>0</v>
      </c>
      <c r="CJ151" s="102">
        <f t="shared" ref="CJ151" si="792">SUM(CJ152:CJ154)</f>
        <v>1</v>
      </c>
      <c r="CK151" s="65">
        <f t="shared" ref="CK151" si="793">ROUND(SUM(CK143,CK147),2)</f>
        <v>34537.599999999999</v>
      </c>
      <c r="CL151" s="179">
        <f t="shared" ref="CL151:CN151" si="794">SUM(CL143,CL147)</f>
        <v>50020</v>
      </c>
      <c r="CM151" s="179">
        <f t="shared" si="794"/>
        <v>1151253.33</v>
      </c>
      <c r="CN151" s="179">
        <f t="shared" si="794"/>
        <v>1126243.33</v>
      </c>
      <c r="CO151" s="302" t="s">
        <v>977</v>
      </c>
      <c r="CQ151" s="217"/>
      <c r="CR151" s="403"/>
      <c r="CS151" s="179">
        <f t="shared" ref="CS151" si="795">SUM(CS143,CS147)</f>
        <v>0</v>
      </c>
      <c r="CU151" s="179">
        <f t="shared" ref="CU151" si="796">SUM(CU143,CU147)</f>
        <v>0</v>
      </c>
      <c r="CW151" s="102">
        <f t="shared" ref="CW151" si="797">SUM(CW152:CW154)</f>
        <v>1</v>
      </c>
      <c r="CX151" s="65">
        <f t="shared" ref="CX151" si="798">ROUND(SUM(CX143,CX147),2)</f>
        <v>33037</v>
      </c>
      <c r="CY151" s="179">
        <f t="shared" ref="CY151:DA151" si="799">SUM(CY143,CY147)</f>
        <v>50020</v>
      </c>
      <c r="CZ151" s="179">
        <f t="shared" si="799"/>
        <v>1101233.33</v>
      </c>
      <c r="DA151" s="179">
        <f t="shared" si="799"/>
        <v>1076223.33</v>
      </c>
      <c r="DB151" s="302" t="s">
        <v>977</v>
      </c>
      <c r="DD151" s="217"/>
      <c r="DE151" s="403"/>
      <c r="DF151" s="179">
        <f t="shared" ref="DF151" si="800">SUM(DF143,DF147)</f>
        <v>0</v>
      </c>
      <c r="DH151" s="179">
        <f t="shared" ref="DH151" si="801">SUM(DH143,DH147)</f>
        <v>0</v>
      </c>
      <c r="DJ151" s="102">
        <f t="shared" ref="DJ151" si="802">SUM(DJ152:DJ154)</f>
        <v>1</v>
      </c>
      <c r="DK151" s="65">
        <f t="shared" ref="DK151:DX154" si="803">ROUND(SUM(DK143,DK147),2)</f>
        <v>31536.400000000001</v>
      </c>
      <c r="DL151" s="179">
        <f t="shared" ref="DL151:DN151" si="804">SUM(DL143,DL147)</f>
        <v>50020</v>
      </c>
      <c r="DM151" s="179">
        <f t="shared" si="804"/>
        <v>1051213.33</v>
      </c>
      <c r="DN151" s="179">
        <f t="shared" si="804"/>
        <v>1026203.3300000001</v>
      </c>
      <c r="DO151" s="302" t="s">
        <v>977</v>
      </c>
      <c r="DQ151" s="217"/>
      <c r="DR151" s="403"/>
      <c r="DS151" s="179">
        <f t="shared" ref="DS151" si="805">SUM(DS143,DS147)</f>
        <v>0</v>
      </c>
      <c r="DU151" s="179">
        <f t="shared" ref="DU151" si="806">SUM(DU143,DU147)</f>
        <v>0</v>
      </c>
      <c r="DW151" s="102">
        <f t="shared" ref="DW151" si="807">SUM(DW152:DW154)</f>
        <v>1</v>
      </c>
      <c r="DX151" s="65">
        <f t="shared" ref="DX151" si="808">ROUND(SUM(DX143,DX147),2)</f>
        <v>30035.8</v>
      </c>
      <c r="DY151" s="179">
        <f t="shared" ref="DY151:EA151" si="809">SUM(DY143,DY147)</f>
        <v>50020</v>
      </c>
      <c r="DZ151" s="179">
        <f t="shared" si="809"/>
        <v>1001193.3300000001</v>
      </c>
      <c r="EA151" s="179">
        <f t="shared" si="809"/>
        <v>976183.33000000007</v>
      </c>
      <c r="EB151" s="302" t="s">
        <v>977</v>
      </c>
      <c r="ED151" s="217"/>
    </row>
    <row r="152" spans="1:134" hidden="1" x14ac:dyDescent="0.3">
      <c r="A152" s="84" t="s">
        <v>180</v>
      </c>
      <c r="Q152" s="238">
        <v>25</v>
      </c>
      <c r="R152" s="403"/>
      <c r="S152" s="179">
        <f t="shared" si="768"/>
        <v>0</v>
      </c>
      <c r="U152" s="179">
        <f t="shared" si="768"/>
        <v>0</v>
      </c>
      <c r="W152" s="102">
        <f>IF(X151&lt;&gt;0,X152/X151,0)</f>
        <v>0.51167667635004677</v>
      </c>
      <c r="X152" s="65">
        <f t="shared" ref="X152:X154" si="810">ROUND(SUM(X144,X148),2)</f>
        <v>25168.03</v>
      </c>
      <c r="Y152" s="179">
        <f t="shared" si="769"/>
        <v>27420</v>
      </c>
      <c r="Z152" s="179">
        <f t="shared" si="769"/>
        <v>719086.66500000004</v>
      </c>
      <c r="AA152" s="179">
        <f t="shared" si="769"/>
        <v>705376.66500000004</v>
      </c>
      <c r="AB152" s="84" t="s">
        <v>180</v>
      </c>
      <c r="AD152" s="217"/>
      <c r="AE152" s="403"/>
      <c r="AF152" s="179">
        <f t="shared" ref="AF152" si="811">SUM(AF144,AF148)</f>
        <v>0</v>
      </c>
      <c r="AH152" s="179">
        <f t="shared" ref="AH152" si="812">SUM(AH144,AH148)</f>
        <v>0</v>
      </c>
      <c r="AJ152" s="102">
        <f t="shared" ref="AJ152" si="813">IF(AK151&lt;&gt;0,AK152/AK151,0)</f>
        <v>0.51183129604343147</v>
      </c>
      <c r="AK152" s="65">
        <f t="shared" si="773"/>
        <v>24225.83</v>
      </c>
      <c r="AL152" s="179">
        <f t="shared" ref="AL152:AN152" si="814">SUM(AL144,AL148)</f>
        <v>26420</v>
      </c>
      <c r="AM152" s="179">
        <f t="shared" si="814"/>
        <v>692166.66500000004</v>
      </c>
      <c r="AN152" s="179">
        <f t="shared" si="814"/>
        <v>678956.66500000004</v>
      </c>
      <c r="AO152" s="659" t="s">
        <v>180</v>
      </c>
      <c r="AQ152" s="217"/>
      <c r="AR152" s="403"/>
      <c r="AS152" s="179">
        <f t="shared" ref="AS152" si="815">SUM(AS144,AS148)</f>
        <v>0</v>
      </c>
      <c r="AU152" s="179">
        <f t="shared" ref="AU152" si="816">SUM(AU144,AU148)</f>
        <v>0</v>
      </c>
      <c r="AW152" s="102">
        <f t="shared" ref="AW152" si="817">IF(AX151&lt;&gt;0,AX152/AX151,0)</f>
        <v>0.51198009395781885</v>
      </c>
      <c r="AX152" s="65">
        <f t="shared" si="773"/>
        <v>23318.63</v>
      </c>
      <c r="AY152" s="179">
        <f t="shared" ref="AY152:BA152" si="818">SUM(AY144,AY148)</f>
        <v>25420</v>
      </c>
      <c r="AZ152" s="179">
        <f t="shared" si="818"/>
        <v>666246.66500000004</v>
      </c>
      <c r="BA152" s="179">
        <f t="shared" si="818"/>
        <v>653536.66500000004</v>
      </c>
      <c r="BB152" s="659" t="s">
        <v>180</v>
      </c>
      <c r="BD152" s="217"/>
      <c r="BE152" s="403"/>
      <c r="BF152" s="179">
        <f t="shared" ref="BF152" si="819">SUM(BF144,BF148)</f>
        <v>0</v>
      </c>
      <c r="BH152" s="179">
        <f t="shared" ref="BH152" si="820">SUM(BH144,BH148)</f>
        <v>0</v>
      </c>
      <c r="BJ152" s="102">
        <f t="shared" ref="BJ152" si="821">IF(BK151&lt;&gt;0,BK152/BK151,0)</f>
        <v>0.51213133290421553</v>
      </c>
      <c r="BK152" s="65">
        <f t="shared" si="773"/>
        <v>22428.93</v>
      </c>
      <c r="BL152" s="179">
        <f t="shared" ref="BL152:BN152" si="822">SUM(BL144,BL148)</f>
        <v>25420</v>
      </c>
      <c r="BM152" s="179">
        <f t="shared" si="822"/>
        <v>640826.66500000004</v>
      </c>
      <c r="BN152" s="179">
        <f t="shared" si="822"/>
        <v>628116.66500000004</v>
      </c>
      <c r="BO152" s="659" t="s">
        <v>180</v>
      </c>
      <c r="BQ152" s="217"/>
      <c r="BR152" s="403"/>
      <c r="BS152" s="179">
        <f t="shared" ref="BS152" si="823">SUM(BS144,BS148)</f>
        <v>0</v>
      </c>
      <c r="BU152" s="179">
        <f t="shared" ref="BU152" si="824">SUM(BU144,BU148)</f>
        <v>0</v>
      </c>
      <c r="BW152" s="102">
        <f t="shared" ref="BW152" si="825">IF(BX151&lt;&gt;0,BX152/BX151,0)</f>
        <v>0.51229516677183284</v>
      </c>
      <c r="BX152" s="65">
        <f t="shared" si="788"/>
        <v>21539.23</v>
      </c>
      <c r="BY152" s="179">
        <f t="shared" ref="BY152:CA152" si="826">SUM(BY144,BY148)</f>
        <v>25420</v>
      </c>
      <c r="BZ152" s="179">
        <f t="shared" si="826"/>
        <v>615406.66500000004</v>
      </c>
      <c r="CA152" s="179">
        <f t="shared" si="826"/>
        <v>602696.66500000004</v>
      </c>
      <c r="CB152" s="659" t="s">
        <v>180</v>
      </c>
      <c r="CD152" s="217"/>
      <c r="CE152" s="403"/>
      <c r="CF152" s="179">
        <f t="shared" ref="CF152" si="827">SUM(CF144,CF148)</f>
        <v>0</v>
      </c>
      <c r="CH152" s="179">
        <f t="shared" ref="CH152" si="828">SUM(CH144,CH148)</f>
        <v>0</v>
      </c>
      <c r="CJ152" s="102">
        <f t="shared" ref="CJ152" si="829">IF(CK151&lt;&gt;0,CK152/CK151,0)</f>
        <v>0.51247336236449548</v>
      </c>
      <c r="CK152" s="65">
        <f t="shared" si="788"/>
        <v>17699.599999999999</v>
      </c>
      <c r="CL152" s="179">
        <f t="shared" ref="CL152:CN152" si="830">SUM(CL144,CL148)</f>
        <v>25420</v>
      </c>
      <c r="CM152" s="179">
        <f t="shared" si="830"/>
        <v>589986.66500000004</v>
      </c>
      <c r="CN152" s="179">
        <f t="shared" si="830"/>
        <v>577276.66500000004</v>
      </c>
      <c r="CO152" s="659" t="s">
        <v>180</v>
      </c>
      <c r="CQ152" s="217"/>
      <c r="CR152" s="403"/>
      <c r="CS152" s="179">
        <f t="shared" ref="CS152" si="831">SUM(CS144,CS148)</f>
        <v>0</v>
      </c>
      <c r="CU152" s="179">
        <f t="shared" ref="CU152" si="832">SUM(CU144,CU148)</f>
        <v>0</v>
      </c>
      <c r="CW152" s="102">
        <f t="shared" ref="CW152" si="833">IF(CX151&lt;&gt;0,CX152/CX151,0)</f>
        <v>0.51266761509822323</v>
      </c>
      <c r="CX152" s="65">
        <f t="shared" si="788"/>
        <v>16937</v>
      </c>
      <c r="CY152" s="179">
        <f t="shared" ref="CY152:DA152" si="834">SUM(CY144,CY148)</f>
        <v>25420</v>
      </c>
      <c r="CZ152" s="179">
        <f t="shared" si="834"/>
        <v>564566.66500000004</v>
      </c>
      <c r="DA152" s="179">
        <f t="shared" si="834"/>
        <v>551856.66500000004</v>
      </c>
      <c r="DB152" s="659" t="s">
        <v>180</v>
      </c>
      <c r="DD152" s="217"/>
      <c r="DE152" s="403"/>
      <c r="DF152" s="179">
        <f t="shared" ref="DF152" si="835">SUM(DF144,DF148)</f>
        <v>0</v>
      </c>
      <c r="DH152" s="179">
        <f t="shared" ref="DH152" si="836">SUM(DH144,DH148)</f>
        <v>0</v>
      </c>
      <c r="DJ152" s="102">
        <f t="shared" ref="DJ152" si="837">IF(DK151&lt;&gt;0,DK152/DK151,0)</f>
        <v>0.51288035413046507</v>
      </c>
      <c r="DK152" s="65">
        <f t="shared" si="803"/>
        <v>16174.4</v>
      </c>
      <c r="DL152" s="179">
        <f t="shared" ref="DL152:DN152" si="838">SUM(DL144,DL148)</f>
        <v>25420</v>
      </c>
      <c r="DM152" s="179">
        <f t="shared" si="838"/>
        <v>539146.66500000004</v>
      </c>
      <c r="DN152" s="179">
        <f t="shared" si="838"/>
        <v>526436.66500000004</v>
      </c>
      <c r="DO152" s="659" t="s">
        <v>180</v>
      </c>
      <c r="DQ152" s="217"/>
      <c r="DR152" s="403"/>
      <c r="DS152" s="179">
        <f t="shared" ref="DS152" si="839">SUM(DS144,DS148)</f>
        <v>0</v>
      </c>
      <c r="DU152" s="179">
        <f t="shared" ref="DU152" si="840">SUM(DU144,DU148)</f>
        <v>0</v>
      </c>
      <c r="DW152" s="102">
        <f t="shared" ref="DW152" si="841">IF(DX151&lt;&gt;0,DX152/DX151,0)</f>
        <v>0.51311435020875085</v>
      </c>
      <c r="DX152" s="65">
        <f t="shared" si="803"/>
        <v>15411.8</v>
      </c>
      <c r="DY152" s="179">
        <f t="shared" ref="DY152:EA152" si="842">SUM(DY144,DY148)</f>
        <v>25420</v>
      </c>
      <c r="DZ152" s="179">
        <f t="shared" si="842"/>
        <v>513726.66500000004</v>
      </c>
      <c r="EA152" s="179">
        <f t="shared" si="842"/>
        <v>501016.66500000004</v>
      </c>
      <c r="EB152" s="659" t="s">
        <v>180</v>
      </c>
      <c r="ED152" s="217"/>
    </row>
    <row r="153" spans="1:134" hidden="1" x14ac:dyDescent="0.3">
      <c r="A153" s="84" t="s">
        <v>181</v>
      </c>
      <c r="Q153" s="238">
        <v>26</v>
      </c>
      <c r="R153" s="403"/>
      <c r="S153" s="179">
        <f t="shared" si="768"/>
        <v>0</v>
      </c>
      <c r="U153" s="179">
        <f t="shared" si="768"/>
        <v>0</v>
      </c>
      <c r="W153" s="102">
        <f>IF(X151&lt;&gt;0,X153/X151,0)</f>
        <v>0.48832312034573105</v>
      </c>
      <c r="X153" s="65">
        <f t="shared" si="810"/>
        <v>24019.33</v>
      </c>
      <c r="Y153" s="179">
        <f t="shared" si="769"/>
        <v>26600</v>
      </c>
      <c r="Z153" s="179">
        <f t="shared" si="769"/>
        <v>686266.66500000004</v>
      </c>
      <c r="AA153" s="179">
        <f t="shared" si="769"/>
        <v>672966.66500000004</v>
      </c>
      <c r="AB153" s="84" t="s">
        <v>181</v>
      </c>
      <c r="AD153" s="217"/>
      <c r="AE153" s="403"/>
      <c r="AF153" s="179">
        <f t="shared" ref="AF153" si="843">SUM(AF145,AF149)</f>
        <v>0</v>
      </c>
      <c r="AH153" s="179">
        <f t="shared" ref="AH153" si="844">SUM(AH145,AH149)</f>
        <v>0</v>
      </c>
      <c r="AJ153" s="102">
        <f t="shared" ref="AJ153" si="845">IF(AK151&lt;&gt;0,AK153/AK151,0)</f>
        <v>0.48816849268153867</v>
      </c>
      <c r="AK153" s="65">
        <f t="shared" si="773"/>
        <v>23105.83</v>
      </c>
      <c r="AL153" s="179">
        <f t="shared" ref="AL153:AN153" si="846">SUM(AL145,AL149)</f>
        <v>25600</v>
      </c>
      <c r="AM153" s="179">
        <f t="shared" si="846"/>
        <v>660166.66500000004</v>
      </c>
      <c r="AN153" s="179">
        <f t="shared" si="846"/>
        <v>647366.66500000004</v>
      </c>
      <c r="AO153" s="659" t="s">
        <v>181</v>
      </c>
      <c r="AQ153" s="217"/>
      <c r="AR153" s="403"/>
      <c r="AS153" s="179">
        <f t="shared" ref="AS153" si="847">SUM(AS145,AS149)</f>
        <v>0</v>
      </c>
      <c r="AU153" s="179">
        <f t="shared" ref="AU153" si="848">SUM(AU145,AU149)</f>
        <v>0</v>
      </c>
      <c r="AW153" s="102">
        <f t="shared" ref="AW153" si="849">IF(AX151&lt;&gt;0,AX153/AX151,0)</f>
        <v>0.48801968648378774</v>
      </c>
      <c r="AX153" s="65">
        <f t="shared" si="773"/>
        <v>22227.33</v>
      </c>
      <c r="AY153" s="179">
        <f t="shared" ref="AY153:BA153" si="850">SUM(AY145,AY149)</f>
        <v>24600</v>
      </c>
      <c r="AZ153" s="179">
        <f t="shared" si="850"/>
        <v>635066.66500000004</v>
      </c>
      <c r="BA153" s="179">
        <f t="shared" si="850"/>
        <v>622766.66500000004</v>
      </c>
      <c r="BB153" s="659" t="s">
        <v>181</v>
      </c>
      <c r="BD153" s="217"/>
      <c r="BE153" s="403"/>
      <c r="BF153" s="179">
        <f t="shared" ref="BF153" si="851">SUM(BF145,BF149)</f>
        <v>0</v>
      </c>
      <c r="BH153" s="179">
        <f t="shared" ref="BH153" si="852">SUM(BH145,BH149)</f>
        <v>0</v>
      </c>
      <c r="BJ153" s="102">
        <f t="shared" ref="BJ153" si="853">IF(BK151&lt;&gt;0,BK153/BK151,0)</f>
        <v>0.48786843876062425</v>
      </c>
      <c r="BK153" s="65">
        <f t="shared" si="773"/>
        <v>21366.33</v>
      </c>
      <c r="BL153" s="179">
        <f t="shared" ref="BL153:BN153" si="854">SUM(BL145,BL149)</f>
        <v>24600</v>
      </c>
      <c r="BM153" s="179">
        <f t="shared" si="854"/>
        <v>610466.66500000004</v>
      </c>
      <c r="BN153" s="179">
        <f t="shared" si="854"/>
        <v>598166.66500000004</v>
      </c>
      <c r="BO153" s="659" t="s">
        <v>181</v>
      </c>
      <c r="BQ153" s="217"/>
      <c r="BR153" s="403"/>
      <c r="BS153" s="179">
        <f t="shared" ref="BS153" si="855">SUM(BS145,BS149)</f>
        <v>0</v>
      </c>
      <c r="BU153" s="179">
        <f t="shared" ref="BU153" si="856">SUM(BU145,BU149)</f>
        <v>0</v>
      </c>
      <c r="BW153" s="102">
        <f t="shared" ref="BW153" si="857">IF(BX151&lt;&gt;0,BX153/BX151,0)</f>
        <v>0.48770459538532568</v>
      </c>
      <c r="BX153" s="65">
        <f t="shared" si="788"/>
        <v>20505.330000000002</v>
      </c>
      <c r="BY153" s="179">
        <f t="shared" ref="BY153:CA153" si="858">SUM(BY145,BY149)</f>
        <v>24600</v>
      </c>
      <c r="BZ153" s="179">
        <f t="shared" si="858"/>
        <v>585866.66500000004</v>
      </c>
      <c r="CA153" s="179">
        <f t="shared" si="858"/>
        <v>573566.66500000004</v>
      </c>
      <c r="CB153" s="659" t="s">
        <v>181</v>
      </c>
      <c r="CD153" s="217"/>
      <c r="CE153" s="403"/>
      <c r="CF153" s="179">
        <f t="shared" ref="CF153" si="859">SUM(CF145,CF149)</f>
        <v>0</v>
      </c>
      <c r="CH153" s="179">
        <f t="shared" ref="CH153" si="860">SUM(CH145,CH149)</f>
        <v>0</v>
      </c>
      <c r="CJ153" s="102">
        <f t="shared" ref="CJ153" si="861">IF(CK151&lt;&gt;0,CK153/CK151,0)</f>
        <v>0.48752663763550452</v>
      </c>
      <c r="CK153" s="65">
        <f t="shared" si="788"/>
        <v>16838</v>
      </c>
      <c r="CL153" s="179">
        <f t="shared" ref="CL153:CN153" si="862">SUM(CL145,CL149)</f>
        <v>24600</v>
      </c>
      <c r="CM153" s="179">
        <f t="shared" si="862"/>
        <v>561266.66500000004</v>
      </c>
      <c r="CN153" s="179">
        <f t="shared" si="862"/>
        <v>548966.66500000004</v>
      </c>
      <c r="CO153" s="659" t="s">
        <v>181</v>
      </c>
      <c r="CQ153" s="217"/>
      <c r="CR153" s="403"/>
      <c r="CS153" s="179">
        <f t="shared" ref="CS153" si="863">SUM(CS145,CS149)</f>
        <v>0</v>
      </c>
      <c r="CU153" s="179">
        <f t="shared" ref="CU153" si="864">SUM(CU145,CU149)</f>
        <v>0</v>
      </c>
      <c r="CW153" s="102">
        <f t="shared" ref="CW153" si="865">IF(CX151&lt;&gt;0,CX153/CX151,0)</f>
        <v>0.48733238490177677</v>
      </c>
      <c r="CX153" s="65">
        <f t="shared" si="788"/>
        <v>16100</v>
      </c>
      <c r="CY153" s="179">
        <f t="shared" ref="CY153:DA153" si="866">SUM(CY145,CY149)</f>
        <v>24600</v>
      </c>
      <c r="CZ153" s="179">
        <f t="shared" si="866"/>
        <v>536666.66500000004</v>
      </c>
      <c r="DA153" s="179">
        <f t="shared" si="866"/>
        <v>524366.66500000004</v>
      </c>
      <c r="DB153" s="659" t="s">
        <v>181</v>
      </c>
      <c r="DD153" s="217"/>
      <c r="DE153" s="403"/>
      <c r="DF153" s="179">
        <f t="shared" ref="DF153" si="867">SUM(DF145,DF149)</f>
        <v>0</v>
      </c>
      <c r="DH153" s="179">
        <f t="shared" ref="DH153" si="868">SUM(DH145,DH149)</f>
        <v>0</v>
      </c>
      <c r="DJ153" s="102">
        <f t="shared" ref="DJ153" si="869">IF(DK151&lt;&gt;0,DK153/DK151,0)</f>
        <v>0.48711964586953488</v>
      </c>
      <c r="DK153" s="65">
        <f t="shared" si="803"/>
        <v>15362</v>
      </c>
      <c r="DL153" s="179">
        <f t="shared" ref="DL153:DN153" si="870">SUM(DL145,DL149)</f>
        <v>24600</v>
      </c>
      <c r="DM153" s="179">
        <f t="shared" si="870"/>
        <v>512066.66500000004</v>
      </c>
      <c r="DN153" s="179">
        <f t="shared" si="870"/>
        <v>499766.66500000004</v>
      </c>
      <c r="DO153" s="659" t="s">
        <v>181</v>
      </c>
      <c r="DQ153" s="217"/>
      <c r="DR153" s="403"/>
      <c r="DS153" s="179">
        <f t="shared" ref="DS153" si="871">SUM(DS145,DS149)</f>
        <v>0</v>
      </c>
      <c r="DU153" s="179">
        <f t="shared" ref="DU153" si="872">SUM(DU145,DU149)</f>
        <v>0</v>
      </c>
      <c r="DW153" s="102">
        <f t="shared" ref="DW153" si="873">IF(DX151&lt;&gt;0,DX153/DX151,0)</f>
        <v>0.4868856497912491</v>
      </c>
      <c r="DX153" s="65">
        <f t="shared" si="803"/>
        <v>14624</v>
      </c>
      <c r="DY153" s="179">
        <f t="shared" ref="DY153:EA153" si="874">SUM(DY145,DY149)</f>
        <v>24600</v>
      </c>
      <c r="DZ153" s="179">
        <f t="shared" si="874"/>
        <v>487466.66500000004</v>
      </c>
      <c r="EA153" s="179">
        <f t="shared" si="874"/>
        <v>475166.66500000004</v>
      </c>
      <c r="EB153" s="659" t="s">
        <v>181</v>
      </c>
      <c r="ED153" s="217"/>
    </row>
    <row r="154" spans="1:134" hidden="1" x14ac:dyDescent="0.3">
      <c r="A154" s="84" t="s">
        <v>531</v>
      </c>
      <c r="Q154" s="238">
        <v>27</v>
      </c>
      <c r="R154" s="403"/>
      <c r="S154" s="179"/>
      <c r="U154" s="179"/>
      <c r="W154" s="102">
        <f>IF(X151&lt;&gt;0,X154/X151,0)</f>
        <v>0</v>
      </c>
      <c r="X154" s="65">
        <f t="shared" si="810"/>
        <v>0</v>
      </c>
      <c r="Y154" s="179">
        <f t="shared" si="769"/>
        <v>0</v>
      </c>
      <c r="Z154" s="179">
        <f t="shared" si="769"/>
        <v>0</v>
      </c>
      <c r="AA154" s="179">
        <f t="shared" si="769"/>
        <v>0</v>
      </c>
      <c r="AB154" s="84" t="s">
        <v>531</v>
      </c>
      <c r="AD154" s="217"/>
      <c r="AE154" s="403"/>
      <c r="AF154" s="179"/>
      <c r="AH154" s="179"/>
      <c r="AJ154" s="102">
        <f t="shared" ref="AJ154" si="875">IF(AK151&lt;&gt;0,AK154/AK151,0)</f>
        <v>0</v>
      </c>
      <c r="AK154" s="65">
        <f t="shared" si="773"/>
        <v>0</v>
      </c>
      <c r="AL154" s="179">
        <f t="shared" ref="AL154:AN154" si="876">SUM(AL146,AL150)</f>
        <v>0</v>
      </c>
      <c r="AM154" s="179">
        <f t="shared" si="876"/>
        <v>0</v>
      </c>
      <c r="AN154" s="179">
        <f t="shared" si="876"/>
        <v>0</v>
      </c>
      <c r="AO154" s="659" t="s">
        <v>531</v>
      </c>
      <c r="AQ154" s="217"/>
      <c r="AR154" s="403"/>
      <c r="AS154" s="179"/>
      <c r="AU154" s="179"/>
      <c r="AW154" s="102">
        <f t="shared" ref="AW154" si="877">IF(AX151&lt;&gt;0,AX154/AX151,0)</f>
        <v>0</v>
      </c>
      <c r="AX154" s="65">
        <f t="shared" si="773"/>
        <v>0</v>
      </c>
      <c r="AY154" s="179">
        <f t="shared" ref="AY154:BA154" si="878">SUM(AY146,AY150)</f>
        <v>0</v>
      </c>
      <c r="AZ154" s="179">
        <f t="shared" si="878"/>
        <v>0</v>
      </c>
      <c r="BA154" s="179">
        <f t="shared" si="878"/>
        <v>0</v>
      </c>
      <c r="BB154" s="659" t="s">
        <v>531</v>
      </c>
      <c r="BD154" s="217"/>
      <c r="BE154" s="403"/>
      <c r="BF154" s="179"/>
      <c r="BH154" s="179"/>
      <c r="BJ154" s="102">
        <f t="shared" ref="BJ154" si="879">IF(BK151&lt;&gt;0,BK154/BK151,0)</f>
        <v>0</v>
      </c>
      <c r="BK154" s="65">
        <f t="shared" si="773"/>
        <v>0</v>
      </c>
      <c r="BL154" s="179">
        <f t="shared" ref="BL154:BN154" si="880">SUM(BL146,BL150)</f>
        <v>0</v>
      </c>
      <c r="BM154" s="179">
        <f t="shared" si="880"/>
        <v>0</v>
      </c>
      <c r="BN154" s="179">
        <f t="shared" si="880"/>
        <v>0</v>
      </c>
      <c r="BO154" s="659" t="s">
        <v>531</v>
      </c>
      <c r="BQ154" s="217"/>
      <c r="BR154" s="403"/>
      <c r="BS154" s="179"/>
      <c r="BU154" s="179"/>
      <c r="BW154" s="102">
        <f t="shared" ref="BW154" si="881">IF(BX151&lt;&gt;0,BX154/BX151,0)</f>
        <v>0</v>
      </c>
      <c r="BX154" s="65">
        <f t="shared" si="788"/>
        <v>0</v>
      </c>
      <c r="BY154" s="179">
        <f t="shared" ref="BY154:CA154" si="882">SUM(BY146,BY150)</f>
        <v>0</v>
      </c>
      <c r="BZ154" s="179">
        <f t="shared" si="882"/>
        <v>0</v>
      </c>
      <c r="CA154" s="179">
        <f t="shared" si="882"/>
        <v>0</v>
      </c>
      <c r="CB154" s="659" t="s">
        <v>531</v>
      </c>
      <c r="CD154" s="217"/>
      <c r="CE154" s="403"/>
      <c r="CF154" s="179"/>
      <c r="CH154" s="179"/>
      <c r="CJ154" s="102">
        <f t="shared" ref="CJ154" si="883">IF(CK151&lt;&gt;0,CK154/CK151,0)</f>
        <v>0</v>
      </c>
      <c r="CK154" s="65">
        <f t="shared" si="788"/>
        <v>0</v>
      </c>
      <c r="CL154" s="179">
        <f t="shared" ref="CL154:CN154" si="884">SUM(CL146,CL150)</f>
        <v>0</v>
      </c>
      <c r="CM154" s="179">
        <f t="shared" si="884"/>
        <v>0</v>
      </c>
      <c r="CN154" s="179">
        <f t="shared" si="884"/>
        <v>0</v>
      </c>
      <c r="CO154" s="659" t="s">
        <v>531</v>
      </c>
      <c r="CQ154" s="217"/>
      <c r="CR154" s="403"/>
      <c r="CS154" s="179"/>
      <c r="CU154" s="179"/>
      <c r="CW154" s="102">
        <f t="shared" ref="CW154" si="885">IF(CX151&lt;&gt;0,CX154/CX151,0)</f>
        <v>0</v>
      </c>
      <c r="CX154" s="65">
        <f t="shared" si="788"/>
        <v>0</v>
      </c>
      <c r="CY154" s="179">
        <f t="shared" ref="CY154:DA154" si="886">SUM(CY146,CY150)</f>
        <v>0</v>
      </c>
      <c r="CZ154" s="179">
        <f t="shared" si="886"/>
        <v>0</v>
      </c>
      <c r="DA154" s="179">
        <f t="shared" si="886"/>
        <v>0</v>
      </c>
      <c r="DB154" s="659" t="s">
        <v>531</v>
      </c>
      <c r="DD154" s="217"/>
      <c r="DE154" s="403"/>
      <c r="DF154" s="179"/>
      <c r="DH154" s="179"/>
      <c r="DJ154" s="102">
        <f t="shared" ref="DJ154" si="887">IF(DK151&lt;&gt;0,DK154/DK151,0)</f>
        <v>0</v>
      </c>
      <c r="DK154" s="65">
        <f t="shared" si="803"/>
        <v>0</v>
      </c>
      <c r="DL154" s="179">
        <f t="shared" ref="DL154:DN154" si="888">SUM(DL146,DL150)</f>
        <v>0</v>
      </c>
      <c r="DM154" s="179">
        <f t="shared" si="888"/>
        <v>0</v>
      </c>
      <c r="DN154" s="179">
        <f t="shared" si="888"/>
        <v>0</v>
      </c>
      <c r="DO154" s="659" t="s">
        <v>531</v>
      </c>
      <c r="DQ154" s="217"/>
      <c r="DR154" s="403"/>
      <c r="DS154" s="179"/>
      <c r="DU154" s="179"/>
      <c r="DW154" s="102">
        <f t="shared" ref="DW154" si="889">IF(DX151&lt;&gt;0,DX154/DX151,0)</f>
        <v>0</v>
      </c>
      <c r="DX154" s="65">
        <f t="shared" si="803"/>
        <v>0</v>
      </c>
      <c r="DY154" s="179">
        <f t="shared" ref="DY154:EA154" si="890">SUM(DY146,DY150)</f>
        <v>0</v>
      </c>
      <c r="DZ154" s="179">
        <f t="shared" si="890"/>
        <v>0</v>
      </c>
      <c r="EA154" s="179">
        <f t="shared" si="890"/>
        <v>0</v>
      </c>
      <c r="EB154" s="659" t="s">
        <v>531</v>
      </c>
      <c r="ED154" s="217"/>
    </row>
    <row r="155" spans="1:134" ht="18" hidden="1" x14ac:dyDescent="0.35">
      <c r="A155" s="184" t="s">
        <v>493</v>
      </c>
      <c r="Q155" s="238">
        <v>28</v>
      </c>
      <c r="R155" s="404" t="s">
        <v>470</v>
      </c>
      <c r="Z155" s="214" t="s">
        <v>493</v>
      </c>
      <c r="AD155" s="217"/>
      <c r="AE155" s="404" t="s">
        <v>470</v>
      </c>
      <c r="AM155" s="214" t="s">
        <v>493</v>
      </c>
      <c r="AQ155" s="217"/>
      <c r="AR155" s="404" t="s">
        <v>470</v>
      </c>
      <c r="AZ155" s="214" t="s">
        <v>493</v>
      </c>
      <c r="BD155" s="217"/>
      <c r="BE155" s="404" t="s">
        <v>470</v>
      </c>
      <c r="BM155" s="214" t="s">
        <v>493</v>
      </c>
      <c r="BQ155" s="217"/>
      <c r="BR155" s="404" t="s">
        <v>470</v>
      </c>
      <c r="BZ155" s="214" t="s">
        <v>493</v>
      </c>
      <c r="CD155" s="217"/>
      <c r="CE155" s="404" t="s">
        <v>470</v>
      </c>
      <c r="CM155" s="214" t="s">
        <v>493</v>
      </c>
      <c r="CQ155" s="217"/>
      <c r="CR155" s="404" t="s">
        <v>470</v>
      </c>
      <c r="CZ155" s="214" t="s">
        <v>493</v>
      </c>
      <c r="DD155" s="217"/>
      <c r="DE155" s="404" t="s">
        <v>470</v>
      </c>
      <c r="DM155" s="214" t="s">
        <v>493</v>
      </c>
      <c r="DQ155" s="217"/>
      <c r="DR155" s="404" t="s">
        <v>470</v>
      </c>
      <c r="DZ155" s="214" t="s">
        <v>493</v>
      </c>
      <c r="ED155" s="217"/>
    </row>
    <row r="156" spans="1:134" hidden="1" x14ac:dyDescent="0.3">
      <c r="A156" s="104" t="s">
        <v>738</v>
      </c>
      <c r="Q156" s="238">
        <v>29</v>
      </c>
      <c r="R156" s="403"/>
      <c r="V156" s="101">
        <f>SUMIF($D$5:$D$125,"=zus",V5:V125)+SUMIF($D$5:$D$125,"=zum",V5:V125)+SUMIF($D$5:$D$125,"=zur",V5:V125)+SUMIF($D$5:$D$125,"=zuk",V5:V125)</f>
        <v>2701000</v>
      </c>
      <c r="W156" s="102">
        <f t="shared" ref="W156" si="891">SUM(W157:W159)</f>
        <v>0</v>
      </c>
      <c r="X156" s="179">
        <f>(AC156+AD156/2)*HLOOKUP(X128,Grund_zins,2,FALSE)</f>
        <v>0</v>
      </c>
      <c r="Z156" s="104" t="s">
        <v>738</v>
      </c>
      <c r="AC156" s="101">
        <f>SUMIF($D$5:$D$125,"=zus",AC5:AC125)+SUMIF($D$5:$D$125,"=zum",AC5:AC125)+SUMIF($D$5:$D$125,"=zur",AC5:AC125)+SUMIF($D$5:$D$125,"=zuk",AC5:AC125)</f>
        <v>0</v>
      </c>
      <c r="AD156" s="236">
        <f>SUMIF($D$5:$D$125,"=zus",AD5:AD125)+SUMIF($D$5:$D$125,"=zum",AD5:AD125)+SUMIF($D$5:$D$125,"=zur",AD5:AD125)+SUMIF($D$5:$D$125,"=zuk",AD5:AD125)</f>
        <v>0</v>
      </c>
      <c r="AE156" s="403"/>
      <c r="AI156" s="101">
        <f t="shared" ref="AI156" si="892">SUMIF($D$5:$D$125,"=zus",AI5:AI125)+SUMIF($D$5:$D$125,"=zum",AI5:AI125)+SUMIF($D$5:$D$125,"=zur",AI5:AI125)+SUMIF($D$5:$D$125,"=zuk",AI5:AI125)</f>
        <v>2701000</v>
      </c>
      <c r="AJ156" s="102">
        <f t="shared" ref="AJ156:CJ156" si="893">SUM(AJ157:AJ159)</f>
        <v>0</v>
      </c>
      <c r="AK156" s="179">
        <f>(AP156+AQ156/2)*HLOOKUP(AK128,Grund_zins,2,FALSE)</f>
        <v>0</v>
      </c>
      <c r="AM156" s="658" t="s">
        <v>738</v>
      </c>
      <c r="AP156" s="101">
        <f t="shared" ref="AP156:AQ156" si="894">SUMIF($D$5:$D$125,"=zus",AP5:AP125)+SUMIF($D$5:$D$125,"=zum",AP5:AP125)+SUMIF($D$5:$D$125,"=zur",AP5:AP125)+SUMIF($D$5:$D$125,"=zuk",AP5:AP125)</f>
        <v>0</v>
      </c>
      <c r="AQ156" s="236">
        <f t="shared" si="894"/>
        <v>0</v>
      </c>
      <c r="AR156" s="403"/>
      <c r="AV156" s="101">
        <f t="shared" ref="AV156" si="895">SUMIF($D$5:$D$125,"=zus",AV5:AV125)+SUMIF($D$5:$D$125,"=zum",AV5:AV125)+SUMIF($D$5:$D$125,"=zur",AV5:AV125)+SUMIF($D$5:$D$125,"=zuk",AV5:AV125)</f>
        <v>2701000</v>
      </c>
      <c r="AW156" s="102">
        <f t="shared" si="893"/>
        <v>0</v>
      </c>
      <c r="AX156" s="179">
        <f>(BC156+BD156/2)*HLOOKUP(AX128,Grund_zins,2,FALSE)</f>
        <v>0</v>
      </c>
      <c r="AZ156" s="658" t="s">
        <v>738</v>
      </c>
      <c r="BC156" s="101">
        <f t="shared" ref="BC156:BD156" si="896">SUMIF($D$5:$D$125,"=zus",BC5:BC125)+SUMIF($D$5:$D$125,"=zum",BC5:BC125)+SUMIF($D$5:$D$125,"=zur",BC5:BC125)+SUMIF($D$5:$D$125,"=zuk",BC5:BC125)</f>
        <v>0</v>
      </c>
      <c r="BD156" s="236">
        <f t="shared" si="896"/>
        <v>0</v>
      </c>
      <c r="BE156" s="403"/>
      <c r="BI156" s="101">
        <f t="shared" ref="BI156" si="897">SUMIF($D$5:$D$125,"=zus",BI5:BI125)+SUMIF($D$5:$D$125,"=zum",BI5:BI125)+SUMIF($D$5:$D$125,"=zur",BI5:BI125)+SUMIF($D$5:$D$125,"=zuk",BI5:BI125)</f>
        <v>2701000</v>
      </c>
      <c r="BJ156" s="102">
        <f t="shared" si="893"/>
        <v>0</v>
      </c>
      <c r="BK156" s="179">
        <f>(BP156+BQ156/2)*HLOOKUP(BK128,Grund_zins,2,FALSE)</f>
        <v>0</v>
      </c>
      <c r="BM156" s="658" t="s">
        <v>738</v>
      </c>
      <c r="BP156" s="101">
        <f t="shared" ref="BP156:BQ156" si="898">SUMIF($D$5:$D$125,"=zus",BP5:BP125)+SUMIF($D$5:$D$125,"=zum",BP5:BP125)+SUMIF($D$5:$D$125,"=zur",BP5:BP125)+SUMIF($D$5:$D$125,"=zuk",BP5:BP125)</f>
        <v>0</v>
      </c>
      <c r="BQ156" s="236">
        <f t="shared" si="898"/>
        <v>0</v>
      </c>
      <c r="BR156" s="403"/>
      <c r="BV156" s="101">
        <f t="shared" ref="BV156" si="899">SUMIF($D$5:$D$125,"=zus",BV5:BV125)+SUMIF($D$5:$D$125,"=zum",BV5:BV125)+SUMIF($D$5:$D$125,"=zur",BV5:BV125)+SUMIF($D$5:$D$125,"=zuk",BV5:BV125)</f>
        <v>2701000</v>
      </c>
      <c r="BW156" s="102">
        <f t="shared" si="893"/>
        <v>0</v>
      </c>
      <c r="BX156" s="179">
        <f>(CC156+CD156/2)*HLOOKUP(BX128,Grund_zins,2,FALSE)</f>
        <v>0</v>
      </c>
      <c r="BZ156" s="658" t="s">
        <v>738</v>
      </c>
      <c r="CC156" s="101">
        <f t="shared" ref="CC156:CD156" si="900">SUMIF($D$5:$D$125,"=zus",CC5:CC125)+SUMIF($D$5:$D$125,"=zum",CC5:CC125)+SUMIF($D$5:$D$125,"=zur",CC5:CC125)+SUMIF($D$5:$D$125,"=zuk",CC5:CC125)</f>
        <v>0</v>
      </c>
      <c r="CD156" s="236">
        <f t="shared" si="900"/>
        <v>0</v>
      </c>
      <c r="CE156" s="403"/>
      <c r="CI156" s="101">
        <f t="shared" ref="CI156" si="901">SUMIF($D$5:$D$125,"=zus",CI5:CI125)+SUMIF($D$5:$D$125,"=zum",CI5:CI125)+SUMIF($D$5:$D$125,"=zur",CI5:CI125)+SUMIF($D$5:$D$125,"=zuk",CI5:CI125)</f>
        <v>2701000</v>
      </c>
      <c r="CJ156" s="102">
        <f t="shared" si="893"/>
        <v>0</v>
      </c>
      <c r="CK156" s="179">
        <f>(CP156+CQ156/2)*HLOOKUP(CK128,Grund_zins,2,FALSE)</f>
        <v>0</v>
      </c>
      <c r="CM156" s="658" t="s">
        <v>738</v>
      </c>
      <c r="CP156" s="101">
        <f t="shared" ref="CP156:CQ156" si="902">SUMIF($D$5:$D$125,"=zus",CP5:CP125)+SUMIF($D$5:$D$125,"=zum",CP5:CP125)+SUMIF($D$5:$D$125,"=zur",CP5:CP125)+SUMIF($D$5:$D$125,"=zuk",CP5:CP125)</f>
        <v>0</v>
      </c>
      <c r="CQ156" s="236">
        <f t="shared" si="902"/>
        <v>0</v>
      </c>
      <c r="CR156" s="403"/>
      <c r="CV156" s="101">
        <f t="shared" ref="CV156" si="903">SUMIF($D$5:$D$125,"=zus",CV5:CV125)+SUMIF($D$5:$D$125,"=zum",CV5:CV125)+SUMIF($D$5:$D$125,"=zur",CV5:CV125)+SUMIF($D$5:$D$125,"=zuk",CV5:CV125)</f>
        <v>2701000</v>
      </c>
      <c r="CW156" s="102">
        <f t="shared" ref="CW156:DW156" si="904">SUM(CW157:CW159)</f>
        <v>0</v>
      </c>
      <c r="CX156" s="179">
        <f>(DC156+DD156/2)*HLOOKUP(CX128,Grund_zins,2,FALSE)</f>
        <v>0</v>
      </c>
      <c r="CZ156" s="658" t="s">
        <v>738</v>
      </c>
      <c r="DC156" s="101">
        <f t="shared" ref="DC156:DD156" si="905">SUMIF($D$5:$D$125,"=zus",DC5:DC125)+SUMIF($D$5:$D$125,"=zum",DC5:DC125)+SUMIF($D$5:$D$125,"=zur",DC5:DC125)+SUMIF($D$5:$D$125,"=zuk",DC5:DC125)</f>
        <v>0</v>
      </c>
      <c r="DD156" s="236">
        <f t="shared" si="905"/>
        <v>0</v>
      </c>
      <c r="DE156" s="403"/>
      <c r="DI156" s="101">
        <f t="shared" ref="DI156" si="906">SUMIF($D$5:$D$125,"=zus",DI5:DI125)+SUMIF($D$5:$D$125,"=zum",DI5:DI125)+SUMIF($D$5:$D$125,"=zur",DI5:DI125)+SUMIF($D$5:$D$125,"=zuk",DI5:DI125)</f>
        <v>2701000</v>
      </c>
      <c r="DJ156" s="102">
        <f t="shared" si="904"/>
        <v>0</v>
      </c>
      <c r="DK156" s="179">
        <f>(DP156+DQ156/2)*HLOOKUP(DK128,Grund_zins,2,FALSE)</f>
        <v>0</v>
      </c>
      <c r="DM156" s="658" t="s">
        <v>738</v>
      </c>
      <c r="DP156" s="101">
        <f t="shared" ref="DP156:DQ156" si="907">SUMIF($D$5:$D$125,"=zus",DP5:DP125)+SUMIF($D$5:$D$125,"=zum",DP5:DP125)+SUMIF($D$5:$D$125,"=zur",DP5:DP125)+SUMIF($D$5:$D$125,"=zuk",DP5:DP125)</f>
        <v>0</v>
      </c>
      <c r="DQ156" s="236">
        <f t="shared" si="907"/>
        <v>0</v>
      </c>
      <c r="DR156" s="403"/>
      <c r="DV156" s="101">
        <f t="shared" ref="DV156" si="908">SUMIF($D$5:$D$125,"=zus",DV5:DV125)+SUMIF($D$5:$D$125,"=zum",DV5:DV125)+SUMIF($D$5:$D$125,"=zur",DV5:DV125)+SUMIF($D$5:$D$125,"=zuk",DV5:DV125)</f>
        <v>2701000</v>
      </c>
      <c r="DW156" s="102">
        <f t="shared" si="904"/>
        <v>0</v>
      </c>
      <c r="DX156" s="179">
        <f>(EC156+ED156/2)*HLOOKUP(DX128,Grund_zins,2,FALSE)</f>
        <v>0</v>
      </c>
      <c r="DZ156" s="658" t="s">
        <v>738</v>
      </c>
      <c r="EC156" s="101">
        <f t="shared" ref="EC156:ED156" si="909">SUMIF($D$5:$D$125,"=zus",EC5:EC125)+SUMIF($D$5:$D$125,"=zum",EC5:EC125)+SUMIF($D$5:$D$125,"=zur",EC5:EC125)+SUMIF($D$5:$D$125,"=zuk",EC5:EC125)</f>
        <v>0</v>
      </c>
      <c r="ED156" s="236">
        <f t="shared" si="909"/>
        <v>0</v>
      </c>
    </row>
    <row r="157" spans="1:134" hidden="1" x14ac:dyDescent="0.3">
      <c r="A157" s="84" t="s">
        <v>180</v>
      </c>
      <c r="Q157" s="238">
        <v>30</v>
      </c>
      <c r="R157" s="403"/>
      <c r="V157" s="101">
        <f>SUMIF($D$5:$D$125,"=zus",V5:V125)*HLOOKUP(X128,Verteil_sw,39,FALSE)+SUMIF($D$5:$D$125,"=zum",V5:V125)*HLOOKUP(X128,Verteil_sw,40,FALSE)+SUMIF($D$5:$D$125,"=zur",V5:V125)*HLOOKUP(X128,Verteil_sw,41,FALSE)+SUMIF($D$5:$D$125,"=zuk",V5:V125)*HLOOKUP(X128,Verteil_sw,42,FALSE)</f>
        <v>1371000</v>
      </c>
      <c r="W157" s="102">
        <f t="shared" ref="W157" si="910">IF(X156&lt;&gt;0,X157/X156,0)</f>
        <v>0</v>
      </c>
      <c r="X157" s="179">
        <f>(AC157+AD157/2)*HLOOKUP(X128,Grund_zins,2,FALSE)</f>
        <v>0</v>
      </c>
      <c r="Z157" s="84" t="s">
        <v>180</v>
      </c>
      <c r="AC157" s="101">
        <f>SUMIF($D$5:$D$125,"=zus",AC5:AC125)*HLOOKUP(X128,Verteil_sw,39,FALSE)+SUMIF($D$5:$D$125,"=zum",AC5:AC125)*HLOOKUP(X128,Verteil_sw,40,FALSE)+SUMIF($D$5:$D$125,"=zur",AC5:AC125)*HLOOKUP(X128,Verteil_sw,41,FALSE)+SUMIF($D$5:$D$125,"=zuk",AC5:AC125)*HLOOKUP(X128,Verteil_sw,42,FALSE)</f>
        <v>0</v>
      </c>
      <c r="AD157" s="236">
        <f>SUMIF($D$5:$D$125,"=zus",AD5:AD125)*HLOOKUP(X128,Verteil_sw,39,FALSE)+SUMIF($D$5:$D$125,"=zum",AD5:AD125)*HLOOKUP(X128,Verteil_sw,40,FALSE)+SUMIF($D$5:$D$125,"=zur",AD5:AD125)*HLOOKUP(X128,Verteil_sw,41,FALSE)+SUMIF($D$5:$D$125,"=zuk",AD5:AD125)*HLOOKUP(X128,Verteil_sw,42,FALSE)</f>
        <v>0</v>
      </c>
      <c r="AE157" s="403"/>
      <c r="AI157" s="101">
        <f>SUMIF($D$5:$D$125,"=zus",AI5:AI125)*HLOOKUP(AK128,Verteil_sw,39,FALSE)+SUMIF($D$5:$D$125,"=zum",AI5:AI125)*HLOOKUP(AK128,Verteil_sw,40,FALSE)+SUMIF($D$5:$D$125,"=zur",AI5:AI125)*HLOOKUP(AK128,Verteil_sw,41,FALSE)+SUMIF($D$5:$D$125,"=zuk",AI5:AI125)*HLOOKUP(AK128,Verteil_sw,42,FALSE)</f>
        <v>1371000</v>
      </c>
      <c r="AJ157" s="102">
        <f t="shared" ref="AJ157" si="911">IF(AK156&lt;&gt;0,AK157/AK156,0)</f>
        <v>0</v>
      </c>
      <c r="AK157" s="179">
        <f>(AP157+AQ157/2)*HLOOKUP(AK128,Grund_zins,2,FALSE)</f>
        <v>0</v>
      </c>
      <c r="AM157" s="659" t="s">
        <v>180</v>
      </c>
      <c r="AP157" s="101">
        <f>SUMIF($D$5:$D$125,"=zus",AP5:AP125)*HLOOKUP(AK128,Verteil_sw,39,FALSE)+SUMIF($D$5:$D$125,"=zum",AP5:AP125)*HLOOKUP(AK128,Verteil_sw,40,FALSE)+SUMIF($D$5:$D$125,"=zur",AP5:AP125)*HLOOKUP(AK128,Verteil_sw,41,FALSE)+SUMIF($D$5:$D$125,"=zuk",AP5:AP125)*HLOOKUP(AK128,Verteil_sw,42,FALSE)</f>
        <v>0</v>
      </c>
      <c r="AQ157" s="236">
        <f>SUMIF($D$5:$D$125,"=zus",AQ5:AQ125)*HLOOKUP(AK128,Verteil_sw,39,FALSE)+SUMIF($D$5:$D$125,"=zum",AQ5:AQ125)*HLOOKUP(AK128,Verteil_sw,40,FALSE)+SUMIF($D$5:$D$125,"=zur",AQ5:AQ125)*HLOOKUP(AK128,Verteil_sw,41,FALSE)+SUMIF($D$5:$D$125,"=zuk",AQ5:AQ125)*HLOOKUP(AK128,Verteil_sw,42,FALSE)</f>
        <v>0</v>
      </c>
      <c r="AR157" s="403"/>
      <c r="AV157" s="101">
        <f>SUMIF($D$5:$D$125,"=zus",AV5:AV125)*HLOOKUP(AX128,Verteil_sw,39,FALSE)+SUMIF($D$5:$D$125,"=zum",AV5:AV125)*HLOOKUP(AX128,Verteil_sw,40,FALSE)+SUMIF($D$5:$D$125,"=zur",AV5:AV125)*HLOOKUP(AX128,Verteil_sw,41,FALSE)+SUMIF($D$5:$D$125,"=zuk",AV5:AV125)*HLOOKUP(AX128,Verteil_sw,42,FALSE)</f>
        <v>1371000</v>
      </c>
      <c r="AW157" s="102">
        <f t="shared" ref="AW157" si="912">IF(AX156&lt;&gt;0,AX157/AX156,0)</f>
        <v>0</v>
      </c>
      <c r="AX157" s="179">
        <f>(BC157+BD157/2)*HLOOKUP(AX128,Grund_zins,2,FALSE)</f>
        <v>0</v>
      </c>
      <c r="AZ157" s="659" t="s">
        <v>180</v>
      </c>
      <c r="BC157" s="101">
        <f>SUMIF($D$5:$D$125,"=zus",BC5:BC125)*HLOOKUP(AX128,Verteil_sw,39,FALSE)+SUMIF($D$5:$D$125,"=zum",BC5:BC125)*HLOOKUP(AX128,Verteil_sw,40,FALSE)+SUMIF($D$5:$D$125,"=zur",BC5:BC125)*HLOOKUP(AX128,Verteil_sw,41,FALSE)+SUMIF($D$5:$D$125,"=zuk",BC5:BC125)*HLOOKUP(AX128,Verteil_sw,42,FALSE)</f>
        <v>0</v>
      </c>
      <c r="BD157" s="236">
        <f>SUMIF($D$5:$D$125,"=zus",BD5:BD125)*HLOOKUP(AX128,Verteil_sw,39,FALSE)+SUMIF($D$5:$D$125,"=zum",BD5:BD125)*HLOOKUP(AX128,Verteil_sw,40,FALSE)+SUMIF($D$5:$D$125,"=zur",BD5:BD125)*HLOOKUP(AX128,Verteil_sw,41,FALSE)+SUMIF($D$5:$D$125,"=zuk",BD5:BD125)*HLOOKUP(AX128,Verteil_sw,42,FALSE)</f>
        <v>0</v>
      </c>
      <c r="BE157" s="403"/>
      <c r="BI157" s="101">
        <f>SUMIF($D$5:$D$125,"=zus",BI5:BI125)*HLOOKUP(BK128,Verteil_sw,39,FALSE)+SUMIF($D$5:$D$125,"=zum",BI5:BI125)*HLOOKUP(BK128,Verteil_sw,40,FALSE)+SUMIF($D$5:$D$125,"=zur",BI5:BI125)*HLOOKUP(BK128,Verteil_sw,41,FALSE)+SUMIF($D$5:$D$125,"=zuk",BI5:BI125)*HLOOKUP(BK128,Verteil_sw,42,FALSE)</f>
        <v>1371000</v>
      </c>
      <c r="BJ157" s="102">
        <f t="shared" ref="BJ157" si="913">IF(BK156&lt;&gt;0,BK157/BK156,0)</f>
        <v>0</v>
      </c>
      <c r="BK157" s="179">
        <f>(BP157+BQ157/2)*HLOOKUP(BK128,Grund_zins,2,FALSE)</f>
        <v>0</v>
      </c>
      <c r="BM157" s="659" t="s">
        <v>180</v>
      </c>
      <c r="BP157" s="101">
        <f>SUMIF($D$5:$D$125,"=zus",BP5:BP125)*HLOOKUP(BK128,Verteil_sw,39,FALSE)+SUMIF($D$5:$D$125,"=zum",BP5:BP125)*HLOOKUP(BK128,Verteil_sw,40,FALSE)+SUMIF($D$5:$D$125,"=zur",BP5:BP125)*HLOOKUP(BK128,Verteil_sw,41,FALSE)+SUMIF($D$5:$D$125,"=zuk",BP5:BP125)*HLOOKUP(BK128,Verteil_sw,42,FALSE)</f>
        <v>0</v>
      </c>
      <c r="BQ157" s="236">
        <f>SUMIF($D$5:$D$125,"=zus",BQ5:BQ125)*HLOOKUP(BK128,Verteil_sw,39,FALSE)+SUMIF($D$5:$D$125,"=zum",BQ5:BQ125)*HLOOKUP(BK128,Verteil_sw,40,FALSE)+SUMIF($D$5:$D$125,"=zur",BQ5:BQ125)*HLOOKUP(BK128,Verteil_sw,41,FALSE)+SUMIF($D$5:$D$125,"=zuk",BQ5:BQ125)*HLOOKUP(BK128,Verteil_sw,42,FALSE)</f>
        <v>0</v>
      </c>
      <c r="BR157" s="403"/>
      <c r="BV157" s="101">
        <f>SUMIF($D$5:$D$125,"=zus",BV5:BV125)*HLOOKUP(BX128,Verteil_sw,39,FALSE)+SUMIF($D$5:$D$125,"=zum",BV5:BV125)*HLOOKUP(BX128,Verteil_sw,40,FALSE)+SUMIF($D$5:$D$125,"=zur",BV5:BV125)*HLOOKUP(BX128,Verteil_sw,41,FALSE)+SUMIF($D$5:$D$125,"=zuk",BV5:BV125)*HLOOKUP(BX128,Verteil_sw,42,FALSE)</f>
        <v>1371000</v>
      </c>
      <c r="BW157" s="102">
        <f t="shared" ref="BW157" si="914">IF(BX156&lt;&gt;0,BX157/BX156,0)</f>
        <v>0</v>
      </c>
      <c r="BX157" s="179">
        <f>(CC157+CD157/2)*HLOOKUP(BX128,Grund_zins,2,FALSE)</f>
        <v>0</v>
      </c>
      <c r="BZ157" s="659" t="s">
        <v>180</v>
      </c>
      <c r="CC157" s="101">
        <f>SUMIF($D$5:$D$125,"=zus",CC5:CC125)*HLOOKUP(BX128,Verteil_sw,39,FALSE)+SUMIF($D$5:$D$125,"=zum",CC5:CC125)*HLOOKUP(BX128,Verteil_sw,40,FALSE)+SUMIF($D$5:$D$125,"=zur",CC5:CC125)*HLOOKUP(BX128,Verteil_sw,41,FALSE)+SUMIF($D$5:$D$125,"=zuk",CC5:CC125)*HLOOKUP(BX128,Verteil_sw,42,FALSE)</f>
        <v>0</v>
      </c>
      <c r="CD157" s="236">
        <f>SUMIF($D$5:$D$125,"=zus",CD5:CD125)*HLOOKUP(BX128,Verteil_sw,39,FALSE)+SUMIF($D$5:$D$125,"=zum",CD5:CD125)*HLOOKUP(BX128,Verteil_sw,40,FALSE)+SUMIF($D$5:$D$125,"=zur",CD5:CD125)*HLOOKUP(BX128,Verteil_sw,41,FALSE)+SUMIF($D$5:$D$125,"=zuk",CD5:CD125)*HLOOKUP(BX128,Verteil_sw,42,FALSE)</f>
        <v>0</v>
      </c>
      <c r="CE157" s="403"/>
      <c r="CI157" s="101">
        <f>SUMIF($D$5:$D$125,"=zus",CI5:CI125)*HLOOKUP(CK128,Verteil_sw,39,FALSE)+SUMIF($D$5:$D$125,"=zum",CI5:CI125)*HLOOKUP(CK128,Verteil_sw,40,FALSE)+SUMIF($D$5:$D$125,"=zur",CI5:CI125)*HLOOKUP(CK128,Verteil_sw,41,FALSE)+SUMIF($D$5:$D$125,"=zuk",CI5:CI125)*HLOOKUP(CK128,Verteil_sw,42,FALSE)</f>
        <v>1371000</v>
      </c>
      <c r="CJ157" s="102">
        <f t="shared" ref="CJ157" si="915">IF(CK156&lt;&gt;0,CK157/CK156,0)</f>
        <v>0</v>
      </c>
      <c r="CK157" s="179">
        <f>(CP157+CQ157/2)*HLOOKUP(CK128,Grund_zins,2,FALSE)</f>
        <v>0</v>
      </c>
      <c r="CM157" s="659" t="s">
        <v>180</v>
      </c>
      <c r="CP157" s="101">
        <f>SUMIF($D$5:$D$125,"=zus",CP5:CP125)*HLOOKUP(CK128,Verteil_sw,39,FALSE)+SUMIF($D$5:$D$125,"=zum",CP5:CP125)*HLOOKUP(CK128,Verteil_sw,40,FALSE)+SUMIF($D$5:$D$125,"=zur",CP5:CP125)*HLOOKUP(CK128,Verteil_sw,41,FALSE)+SUMIF($D$5:$D$125,"=zuk",CP5:CP125)*HLOOKUP(CK128,Verteil_sw,42,FALSE)</f>
        <v>0</v>
      </c>
      <c r="CQ157" s="236">
        <f>SUMIF($D$5:$D$125,"=zus",CQ5:CQ125)*HLOOKUP(CK128,Verteil_sw,39,FALSE)+SUMIF($D$5:$D$125,"=zum",CQ5:CQ125)*HLOOKUP(CK128,Verteil_sw,40,FALSE)+SUMIF($D$5:$D$125,"=zur",CQ5:CQ125)*HLOOKUP(CK128,Verteil_sw,41,FALSE)+SUMIF($D$5:$D$125,"=zuk",CQ5:CQ125)*HLOOKUP(CK128,Verteil_sw,42,FALSE)</f>
        <v>0</v>
      </c>
      <c r="CR157" s="403"/>
      <c r="CV157" s="101">
        <f>SUMIF($D$5:$D$125,"=zus",CV5:CV125)*HLOOKUP(CX128,Verteil_sw,39,FALSE)+SUMIF($D$5:$D$125,"=zum",CV5:CV125)*HLOOKUP(CX128,Verteil_sw,40,FALSE)+SUMIF($D$5:$D$125,"=zur",CV5:CV125)*HLOOKUP(CX128,Verteil_sw,41,FALSE)+SUMIF($D$5:$D$125,"=zuk",CV5:CV125)*HLOOKUP(CX128,Verteil_sw,42,FALSE)</f>
        <v>1371000</v>
      </c>
      <c r="CW157" s="102">
        <f t="shared" ref="CW157" si="916">IF(CX156&lt;&gt;0,CX157/CX156,0)</f>
        <v>0</v>
      </c>
      <c r="CX157" s="179">
        <f>(DC157+DD157/2)*HLOOKUP(CX128,Grund_zins,2,FALSE)</f>
        <v>0</v>
      </c>
      <c r="CZ157" s="659" t="s">
        <v>180</v>
      </c>
      <c r="DC157" s="101">
        <f>SUMIF($D$5:$D$125,"=zus",DC5:DC125)*HLOOKUP(CX128,Verteil_sw,39,FALSE)+SUMIF($D$5:$D$125,"=zum",DC5:DC125)*HLOOKUP(CX128,Verteil_sw,40,FALSE)+SUMIF($D$5:$D$125,"=zur",DC5:DC125)*HLOOKUP(CX128,Verteil_sw,41,FALSE)+SUMIF($D$5:$D$125,"=zuk",DC5:DC125)*HLOOKUP(CX128,Verteil_sw,42,FALSE)</f>
        <v>0</v>
      </c>
      <c r="DD157" s="236">
        <f>SUMIF($D$5:$D$125,"=zus",DD5:DD125)*HLOOKUP(CX128,Verteil_sw,39,FALSE)+SUMIF($D$5:$D$125,"=zum",DD5:DD125)*HLOOKUP(CX128,Verteil_sw,40,FALSE)+SUMIF($D$5:$D$125,"=zur",DD5:DD125)*HLOOKUP(CX128,Verteil_sw,41,FALSE)+SUMIF($D$5:$D$125,"=zuk",DD5:DD125)*HLOOKUP(CX128,Verteil_sw,42,FALSE)</f>
        <v>0</v>
      </c>
      <c r="DE157" s="403"/>
      <c r="DI157" s="101">
        <f>SUMIF($D$5:$D$125,"=zus",DI5:DI125)*HLOOKUP(DK128,Verteil_sw,39,FALSE)+SUMIF($D$5:$D$125,"=zum",DI5:DI125)*HLOOKUP(DK128,Verteil_sw,40,FALSE)+SUMIF($D$5:$D$125,"=zur",DI5:DI125)*HLOOKUP(DK128,Verteil_sw,41,FALSE)+SUMIF($D$5:$D$125,"=zuk",DI5:DI125)*HLOOKUP(DK128,Verteil_sw,42,FALSE)</f>
        <v>1371000</v>
      </c>
      <c r="DJ157" s="102">
        <f t="shared" ref="DJ157" si="917">IF(DK156&lt;&gt;0,DK157/DK156,0)</f>
        <v>0</v>
      </c>
      <c r="DK157" s="179">
        <f>(DP157+DQ157/2)*HLOOKUP(DK128,Grund_zins,2,FALSE)</f>
        <v>0</v>
      </c>
      <c r="DM157" s="659" t="s">
        <v>180</v>
      </c>
      <c r="DP157" s="101">
        <f>SUMIF($D$5:$D$125,"=zus",DP5:DP125)*HLOOKUP(DK128,Verteil_sw,39,FALSE)+SUMIF($D$5:$D$125,"=zum",DP5:DP125)*HLOOKUP(DK128,Verteil_sw,40,FALSE)+SUMIF($D$5:$D$125,"=zur",DP5:DP125)*HLOOKUP(DK128,Verteil_sw,41,FALSE)+SUMIF($D$5:$D$125,"=zuk",DP5:DP125)*HLOOKUP(DK128,Verteil_sw,42,FALSE)</f>
        <v>0</v>
      </c>
      <c r="DQ157" s="236">
        <f>SUMIF($D$5:$D$125,"=zus",DQ5:DQ125)*HLOOKUP(DK128,Verteil_sw,39,FALSE)+SUMIF($D$5:$D$125,"=zum",DQ5:DQ125)*HLOOKUP(DK128,Verteil_sw,40,FALSE)+SUMIF($D$5:$D$125,"=zur",DQ5:DQ125)*HLOOKUP(DK128,Verteil_sw,41,FALSE)+SUMIF($D$5:$D$125,"=zuk",DQ5:DQ125)*HLOOKUP(DK128,Verteil_sw,42,FALSE)</f>
        <v>0</v>
      </c>
      <c r="DR157" s="403"/>
      <c r="DV157" s="101">
        <f>SUMIF($D$5:$D$125,"=zus",DV5:DV125)*HLOOKUP(DX128,Verteil_sw,39,FALSE)+SUMIF($D$5:$D$125,"=zum",DV5:DV125)*HLOOKUP(DX128,Verteil_sw,40,FALSE)+SUMIF($D$5:$D$125,"=zur",DV5:DV125)*HLOOKUP(DX128,Verteil_sw,41,FALSE)+SUMIF($D$5:$D$125,"=zuk",DV5:DV125)*HLOOKUP(DX128,Verteil_sw,42,FALSE)</f>
        <v>1371000</v>
      </c>
      <c r="DW157" s="102">
        <f t="shared" ref="DW157" si="918">IF(DX156&lt;&gt;0,DX157/DX156,0)</f>
        <v>0</v>
      </c>
      <c r="DX157" s="179">
        <f>(EC157+ED157/2)*HLOOKUP(DX128,Grund_zins,2,FALSE)</f>
        <v>0</v>
      </c>
      <c r="DZ157" s="659" t="s">
        <v>180</v>
      </c>
      <c r="EC157" s="101">
        <f>SUMIF($D$5:$D$125,"=zus",EC5:EC125)*HLOOKUP(DX128,Verteil_sw,39,FALSE)+SUMIF($D$5:$D$125,"=zum",EC5:EC125)*HLOOKUP(DX128,Verteil_sw,40,FALSE)+SUMIF($D$5:$D$125,"=zur",EC5:EC125)*HLOOKUP(DX128,Verteil_sw,41,FALSE)+SUMIF($D$5:$D$125,"=zuk",EC5:EC125)*HLOOKUP(DX128,Verteil_sw,42,FALSE)</f>
        <v>0</v>
      </c>
      <c r="ED157" s="236">
        <f>SUMIF($D$5:$D$125,"=zus",ED5:ED125)*HLOOKUP(DX128,Verteil_sw,39,FALSE)+SUMIF($D$5:$D$125,"=zum",ED5:ED125)*HLOOKUP(DX128,Verteil_sw,40,FALSE)+SUMIF($D$5:$D$125,"=zur",ED5:ED125)*HLOOKUP(DX128,Verteil_sw,41,FALSE)+SUMIF($D$5:$D$125,"=zuk",ED5:ED125)*HLOOKUP(DX128,Verteil_sw,42,FALSE)</f>
        <v>0</v>
      </c>
    </row>
    <row r="158" spans="1:134" hidden="1" x14ac:dyDescent="0.3">
      <c r="A158" s="84" t="s">
        <v>181</v>
      </c>
      <c r="Q158" s="238">
        <v>31</v>
      </c>
      <c r="R158" s="403"/>
      <c r="V158" s="101">
        <f>SUMIF($D$5:$D$125,"=zus",V5:V125)*HLOOKUP(X128,Verteil_rwgr,38,FALSE)+SUMIF($D$5:$D$125,"=zum",V5:V125)*HLOOKUP(X128,Verteil_rwgr,39,FALSE)+SUMIF($D$5:$D$125,"=zur",V5:V125)*HLOOKUP(X128,Verteil_rwgr,40,FALSE)+SUMIF($D$5:$D$125,"=zuk",V5:V125)*HLOOKUP(X128,Verteil_rwgr,41,FALSE)</f>
        <v>1330000</v>
      </c>
      <c r="W158" s="102">
        <f t="shared" ref="W158" si="919">IF(X156&lt;&gt;0,X158/X156,0)</f>
        <v>0</v>
      </c>
      <c r="X158" s="179">
        <f>(AC158+AD158/2)*HLOOKUP(X128,Grund_zins,2,FALSE)</f>
        <v>0</v>
      </c>
      <c r="Z158" s="84" t="s">
        <v>181</v>
      </c>
      <c r="AC158" s="101">
        <f>SUMIF($D$5:$D$125,"=zus",AC5:AC125)*HLOOKUP(X128,Verteil_rwgr,38,FALSE)+SUMIF($D$5:$D$125,"=zum",AC5:AC125)*HLOOKUP(X128,Verteil_rwgr,39,FALSE)+SUMIF($D$5:$D$125,"=zur",AC5:AC125)*HLOOKUP(X128,Verteil_rwgr,40,FALSE)+SUMIF($D$5:$D$125,"=zuk",AC5:AC125)*HLOOKUP(X128,Verteil_rwgr,41,FALSE)</f>
        <v>0</v>
      </c>
      <c r="AD158" s="236">
        <f>SUMIF($D$5:$D$125,"=zus",AD5:AD125)*HLOOKUP(X128,Verteil_rwgr,38,FALSE)+SUMIF($D$5:$D$125,"=zum",AD5:AD125)*HLOOKUP(X128,Verteil_rwgr,39,FALSE)+SUMIF($D$5:$D$125,"=zur",AD5:AD125)*HLOOKUP(X128,Verteil_rwgr,40,FALSE)+SUMIF($D$5:$D$125,"=zuk",AD5:AD125)*HLOOKUP(X128,Verteil_rwgr,41,FALSE)</f>
        <v>0</v>
      </c>
      <c r="AE158" s="403"/>
      <c r="AI158" s="101">
        <f>SUMIF($D$5:$D$125,"=zus",AI5:AI125)*HLOOKUP(AK128,Verteil_rwgr,38,FALSE)+SUMIF($D$5:$D$125,"=zum",AI5:AI125)*HLOOKUP(AK128,Verteil_rwgr,39,FALSE)+SUMIF($D$5:$D$125,"=zur",AI5:AI125)*HLOOKUP(AK128,Verteil_rwgr,40,FALSE)+SUMIF($D$5:$D$125,"=zuk",AI5:AI125)*HLOOKUP(AK128,Verteil_rwgr,41,FALSE)</f>
        <v>1330000</v>
      </c>
      <c r="AJ158" s="102">
        <f t="shared" ref="AJ158" si="920">IF(AK156&lt;&gt;0,AK158/AK156,0)</f>
        <v>0</v>
      </c>
      <c r="AK158" s="179">
        <f>(AP158+AQ158/2)*HLOOKUP(AK128,Grund_zins,2,FALSE)</f>
        <v>0</v>
      </c>
      <c r="AM158" s="659" t="s">
        <v>181</v>
      </c>
      <c r="AP158" s="101">
        <f>SUMIF($D$5:$D$125,"=zus",AP5:AP125)*HLOOKUP(AK128,Verteil_rwgr,38,FALSE)+SUMIF($D$5:$D$125,"=zum",AP5:AP125)*HLOOKUP(AK128,Verteil_rwgr,39,FALSE)+SUMIF($D$5:$D$125,"=zur",AP5:AP125)*HLOOKUP(AK128,Verteil_rwgr,40,FALSE)+SUMIF($D$5:$D$125,"=zuk",AP5:AP125)*HLOOKUP(AK128,Verteil_rwgr,41,FALSE)</f>
        <v>0</v>
      </c>
      <c r="AQ158" s="236">
        <f>SUMIF($D$5:$D$125,"=zus",AQ5:AQ125)*HLOOKUP(AK128,Verteil_rwgr,38,FALSE)+SUMIF($D$5:$D$125,"=zum",AQ5:AQ125)*HLOOKUP(AK128,Verteil_rwgr,39,FALSE)+SUMIF($D$5:$D$125,"=zur",AQ5:AQ125)*HLOOKUP(AK128,Verteil_rwgr,40,FALSE)+SUMIF($D$5:$D$125,"=zuk",AQ5:AQ125)*HLOOKUP(AK128,Verteil_rwgr,41,FALSE)</f>
        <v>0</v>
      </c>
      <c r="AR158" s="403"/>
      <c r="AV158" s="101">
        <f>SUMIF($D$5:$D$125,"=zus",AV5:AV125)*HLOOKUP(AX128,Verteil_rwgr,38,FALSE)+SUMIF($D$5:$D$125,"=zum",AV5:AV125)*HLOOKUP(AX128,Verteil_rwgr,39,FALSE)+SUMIF($D$5:$D$125,"=zur",AV5:AV125)*HLOOKUP(AX128,Verteil_rwgr,40,FALSE)+SUMIF($D$5:$D$125,"=zuk",AV5:AV125)*HLOOKUP(AX128,Verteil_rwgr,41,FALSE)</f>
        <v>1330000</v>
      </c>
      <c r="AW158" s="102">
        <f t="shared" ref="AW158" si="921">IF(AX156&lt;&gt;0,AX158/AX156,0)</f>
        <v>0</v>
      </c>
      <c r="AX158" s="179">
        <f>(BC158+BD158/2)*HLOOKUP(AX128,Grund_zins,2,FALSE)</f>
        <v>0</v>
      </c>
      <c r="AZ158" s="659" t="s">
        <v>181</v>
      </c>
      <c r="BC158" s="101">
        <f>SUMIF($D$5:$D$125,"=zus",BC5:BC125)*HLOOKUP(AX128,Verteil_rwgr,38,FALSE)+SUMIF($D$5:$D$125,"=zum",BC5:BC125)*HLOOKUP(AX128,Verteil_rwgr,39,FALSE)+SUMIF($D$5:$D$125,"=zur",BC5:BC125)*HLOOKUP(AX128,Verteil_rwgr,40,FALSE)+SUMIF($D$5:$D$125,"=zuk",BC5:BC125)*HLOOKUP(AX128,Verteil_rwgr,41,FALSE)</f>
        <v>0</v>
      </c>
      <c r="BD158" s="236">
        <f>SUMIF($D$5:$D$125,"=zus",BD5:BD125)*HLOOKUP(AX128,Verteil_rwgr,38,FALSE)+SUMIF($D$5:$D$125,"=zum",BD5:BD125)*HLOOKUP(AX128,Verteil_rwgr,39,FALSE)+SUMIF($D$5:$D$125,"=zur",BD5:BD125)*HLOOKUP(AX128,Verteil_rwgr,40,FALSE)+SUMIF($D$5:$D$125,"=zuk",BD5:BD125)*HLOOKUP(AX128,Verteil_rwgr,41,FALSE)</f>
        <v>0</v>
      </c>
      <c r="BE158" s="403"/>
      <c r="BI158" s="101">
        <f>SUMIF($D$5:$D$125,"=zus",BI5:BI125)*HLOOKUP(BK128,Verteil_rwgr,38,FALSE)+SUMIF($D$5:$D$125,"=zum",BI5:BI125)*HLOOKUP(BK128,Verteil_rwgr,39,FALSE)+SUMIF($D$5:$D$125,"=zur",BI5:BI125)*HLOOKUP(BK128,Verteil_rwgr,40,FALSE)+SUMIF($D$5:$D$125,"=zuk",BI5:BI125)*HLOOKUP(BK128,Verteil_rwgr,41,FALSE)</f>
        <v>1330000</v>
      </c>
      <c r="BJ158" s="102">
        <f t="shared" ref="BJ158" si="922">IF(BK156&lt;&gt;0,BK158/BK156,0)</f>
        <v>0</v>
      </c>
      <c r="BK158" s="179">
        <f>(BP158+BQ158/2)*HLOOKUP(BK128,Grund_zins,2,FALSE)</f>
        <v>0</v>
      </c>
      <c r="BM158" s="659" t="s">
        <v>181</v>
      </c>
      <c r="BP158" s="101">
        <f>SUMIF($D$5:$D$125,"=zus",BP5:BP125)*HLOOKUP(BK128,Verteil_rwgr,38,FALSE)+SUMIF($D$5:$D$125,"=zum",BP5:BP125)*HLOOKUP(BK128,Verteil_rwgr,39,FALSE)+SUMIF($D$5:$D$125,"=zur",BP5:BP125)*HLOOKUP(BK128,Verteil_rwgr,40,FALSE)+SUMIF($D$5:$D$125,"=zuk",BP5:BP125)*HLOOKUP(BK128,Verteil_rwgr,41,FALSE)</f>
        <v>0</v>
      </c>
      <c r="BQ158" s="236">
        <f>SUMIF($D$5:$D$125,"=zus",BQ5:BQ125)*HLOOKUP(BK128,Verteil_rwgr,38,FALSE)+SUMIF($D$5:$D$125,"=zum",BQ5:BQ125)*HLOOKUP(BK128,Verteil_rwgr,39,FALSE)+SUMIF($D$5:$D$125,"=zur",BQ5:BQ125)*HLOOKUP(BK128,Verteil_rwgr,40,FALSE)+SUMIF($D$5:$D$125,"=zuk",BQ5:BQ125)*HLOOKUP(BK128,Verteil_rwgr,41,FALSE)</f>
        <v>0</v>
      </c>
      <c r="BR158" s="403"/>
      <c r="BV158" s="101">
        <f>SUMIF($D$5:$D$125,"=zus",BV5:BV125)*HLOOKUP(BX128,Verteil_rwgr,38,FALSE)+SUMIF($D$5:$D$125,"=zum",BV5:BV125)*HLOOKUP(BX128,Verteil_rwgr,39,FALSE)+SUMIF($D$5:$D$125,"=zur",BV5:BV125)*HLOOKUP(BX128,Verteil_rwgr,40,FALSE)+SUMIF($D$5:$D$125,"=zuk",BV5:BV125)*HLOOKUP(BX128,Verteil_rwgr,41,FALSE)</f>
        <v>1330000</v>
      </c>
      <c r="BW158" s="102">
        <f t="shared" ref="BW158" si="923">IF(BX156&lt;&gt;0,BX158/BX156,0)</f>
        <v>0</v>
      </c>
      <c r="BX158" s="179">
        <f>(CC158+CD158/2)*HLOOKUP(BX128,Grund_zins,2,FALSE)</f>
        <v>0</v>
      </c>
      <c r="BZ158" s="659" t="s">
        <v>181</v>
      </c>
      <c r="CC158" s="101">
        <f>SUMIF($D$5:$D$125,"=zus",CC5:CC125)*HLOOKUP(BX128,Verteil_rwgr,38,FALSE)+SUMIF($D$5:$D$125,"=zum",CC5:CC125)*HLOOKUP(BX128,Verteil_rwgr,39,FALSE)+SUMIF($D$5:$D$125,"=zur",CC5:CC125)*HLOOKUP(BX128,Verteil_rwgr,40,FALSE)+SUMIF($D$5:$D$125,"=zuk",CC5:CC125)*HLOOKUP(BX128,Verteil_rwgr,41,FALSE)</f>
        <v>0</v>
      </c>
      <c r="CD158" s="236">
        <f>SUMIF($D$5:$D$125,"=zus",CD5:CD125)*HLOOKUP(BX128,Verteil_rwgr,38,FALSE)+SUMIF($D$5:$D$125,"=zum",CD5:CD125)*HLOOKUP(BX128,Verteil_rwgr,39,FALSE)+SUMIF($D$5:$D$125,"=zur",CD5:CD125)*HLOOKUP(BX128,Verteil_rwgr,40,FALSE)+SUMIF($D$5:$D$125,"=zuk",CD5:CD125)*HLOOKUP(BX128,Verteil_rwgr,41,FALSE)</f>
        <v>0</v>
      </c>
      <c r="CE158" s="403"/>
      <c r="CI158" s="101">
        <f>SUMIF($D$5:$D$125,"=zus",CI5:CI125)*HLOOKUP(CK128,Verteil_rwgr,38,FALSE)+SUMIF($D$5:$D$125,"=zum",CI5:CI125)*HLOOKUP(CK128,Verteil_rwgr,39,FALSE)+SUMIF($D$5:$D$125,"=zur",CI5:CI125)*HLOOKUP(CK128,Verteil_rwgr,40,FALSE)+SUMIF($D$5:$D$125,"=zuk",CI5:CI125)*HLOOKUP(CK128,Verteil_rwgr,41,FALSE)</f>
        <v>1330000</v>
      </c>
      <c r="CJ158" s="102">
        <f t="shared" ref="CJ158" si="924">IF(CK156&lt;&gt;0,CK158/CK156,0)</f>
        <v>0</v>
      </c>
      <c r="CK158" s="179">
        <f>(CP158+CQ158/2)*HLOOKUP(CK128,Grund_zins,2,FALSE)</f>
        <v>0</v>
      </c>
      <c r="CM158" s="659" t="s">
        <v>181</v>
      </c>
      <c r="CP158" s="101">
        <f>SUMIF($D$5:$D$125,"=zus",CP5:CP125)*HLOOKUP(CK128,Verteil_rwgr,38,FALSE)+SUMIF($D$5:$D$125,"=zum",CP5:CP125)*HLOOKUP(CK128,Verteil_rwgr,39,FALSE)+SUMIF($D$5:$D$125,"=zur",CP5:CP125)*HLOOKUP(CK128,Verteil_rwgr,40,FALSE)+SUMIF($D$5:$D$125,"=zuk",CP5:CP125)*HLOOKUP(CK128,Verteil_rwgr,41,FALSE)</f>
        <v>0</v>
      </c>
      <c r="CQ158" s="236">
        <f>SUMIF($D$5:$D$125,"=zus",CQ5:CQ125)*HLOOKUP(CK128,Verteil_rwgr,38,FALSE)+SUMIF($D$5:$D$125,"=zum",CQ5:CQ125)*HLOOKUP(CK128,Verteil_rwgr,39,FALSE)+SUMIF($D$5:$D$125,"=zur",CQ5:CQ125)*HLOOKUP(CK128,Verteil_rwgr,40,FALSE)+SUMIF($D$5:$D$125,"=zuk",CQ5:CQ125)*HLOOKUP(CK128,Verteil_rwgr,41,FALSE)</f>
        <v>0</v>
      </c>
      <c r="CR158" s="403"/>
      <c r="CV158" s="101">
        <f>SUMIF($D$5:$D$125,"=zus",CV5:CV125)*HLOOKUP(CX128,Verteil_rwgr,38,FALSE)+SUMIF($D$5:$D$125,"=zum",CV5:CV125)*HLOOKUP(CX128,Verteil_rwgr,39,FALSE)+SUMIF($D$5:$D$125,"=zur",CV5:CV125)*HLOOKUP(CX128,Verteil_rwgr,40,FALSE)+SUMIF($D$5:$D$125,"=zuk",CV5:CV125)*HLOOKUP(CX128,Verteil_rwgr,41,FALSE)</f>
        <v>1330000</v>
      </c>
      <c r="CW158" s="102">
        <f t="shared" ref="CW158" si="925">IF(CX156&lt;&gt;0,CX158/CX156,0)</f>
        <v>0</v>
      </c>
      <c r="CX158" s="179">
        <f>(DC158+DD158/2)*HLOOKUP(CX128,Grund_zins,2,FALSE)</f>
        <v>0</v>
      </c>
      <c r="CZ158" s="659" t="s">
        <v>181</v>
      </c>
      <c r="DC158" s="101">
        <f>SUMIF($D$5:$D$125,"=zus",DC5:DC125)*HLOOKUP(CX128,Verteil_rwgr,38,FALSE)+SUMIF($D$5:$D$125,"=zum",DC5:DC125)*HLOOKUP(CX128,Verteil_rwgr,39,FALSE)+SUMIF($D$5:$D$125,"=zur",DC5:DC125)*HLOOKUP(CX128,Verteil_rwgr,40,FALSE)+SUMIF($D$5:$D$125,"=zuk",DC5:DC125)*HLOOKUP(CX128,Verteil_rwgr,41,FALSE)</f>
        <v>0</v>
      </c>
      <c r="DD158" s="236">
        <f>SUMIF($D$5:$D$125,"=zus",DD5:DD125)*HLOOKUP(CX128,Verteil_rwgr,38,FALSE)+SUMIF($D$5:$D$125,"=zum",DD5:DD125)*HLOOKUP(CX128,Verteil_rwgr,39,FALSE)+SUMIF($D$5:$D$125,"=zur",DD5:DD125)*HLOOKUP(CX128,Verteil_rwgr,40,FALSE)+SUMIF($D$5:$D$125,"=zuk",DD5:DD125)*HLOOKUP(CX128,Verteil_rwgr,41,FALSE)</f>
        <v>0</v>
      </c>
      <c r="DE158" s="403"/>
      <c r="DI158" s="101">
        <f>SUMIF($D$5:$D$125,"=zus",DI5:DI125)*HLOOKUP(DK128,Verteil_rwgr,38,FALSE)+SUMIF($D$5:$D$125,"=zum",DI5:DI125)*HLOOKUP(DK128,Verteil_rwgr,39,FALSE)+SUMIF($D$5:$D$125,"=zur",DI5:DI125)*HLOOKUP(DK128,Verteil_rwgr,40,FALSE)+SUMIF($D$5:$D$125,"=zuk",DI5:DI125)*HLOOKUP(DK128,Verteil_rwgr,41,FALSE)</f>
        <v>1330000</v>
      </c>
      <c r="DJ158" s="102">
        <f t="shared" ref="DJ158" si="926">IF(DK156&lt;&gt;0,DK158/DK156,0)</f>
        <v>0</v>
      </c>
      <c r="DK158" s="179">
        <f>(DP158+DQ158/2)*HLOOKUP(DK128,Grund_zins,2,FALSE)</f>
        <v>0</v>
      </c>
      <c r="DM158" s="659" t="s">
        <v>181</v>
      </c>
      <c r="DP158" s="101">
        <f>SUMIF($D$5:$D$125,"=zus",DP5:DP125)*HLOOKUP(DK128,Verteil_rwgr,38,FALSE)+SUMIF($D$5:$D$125,"=zum",DP5:DP125)*HLOOKUP(DK128,Verteil_rwgr,39,FALSE)+SUMIF($D$5:$D$125,"=zur",DP5:DP125)*HLOOKUP(DK128,Verteil_rwgr,40,FALSE)+SUMIF($D$5:$D$125,"=zuk",DP5:DP125)*HLOOKUP(DK128,Verteil_rwgr,41,FALSE)</f>
        <v>0</v>
      </c>
      <c r="DQ158" s="236">
        <f>SUMIF($D$5:$D$125,"=zus",DQ5:DQ125)*HLOOKUP(DK128,Verteil_rwgr,38,FALSE)+SUMIF($D$5:$D$125,"=zum",DQ5:DQ125)*HLOOKUP(DK128,Verteil_rwgr,39,FALSE)+SUMIF($D$5:$D$125,"=zur",DQ5:DQ125)*HLOOKUP(DK128,Verteil_rwgr,40,FALSE)+SUMIF($D$5:$D$125,"=zuk",DQ5:DQ125)*HLOOKUP(DK128,Verteil_rwgr,41,FALSE)</f>
        <v>0</v>
      </c>
      <c r="DR158" s="403"/>
      <c r="DV158" s="101">
        <f>SUMIF($D$5:$D$125,"=zus",DV5:DV125)*HLOOKUP(DX128,Verteil_rwgr,38,FALSE)+SUMIF($D$5:$D$125,"=zum",DV5:DV125)*HLOOKUP(DX128,Verteil_rwgr,39,FALSE)+SUMIF($D$5:$D$125,"=zur",DV5:DV125)*HLOOKUP(DX128,Verteil_rwgr,40,FALSE)+SUMIF($D$5:$D$125,"=zuk",DV5:DV125)*HLOOKUP(DX128,Verteil_rwgr,41,FALSE)</f>
        <v>1330000</v>
      </c>
      <c r="DW158" s="102">
        <f t="shared" ref="DW158" si="927">IF(DX156&lt;&gt;0,DX158/DX156,0)</f>
        <v>0</v>
      </c>
      <c r="DX158" s="179">
        <f>(EC158+ED158/2)*HLOOKUP(DX128,Grund_zins,2,FALSE)</f>
        <v>0</v>
      </c>
      <c r="DZ158" s="659" t="s">
        <v>181</v>
      </c>
      <c r="EC158" s="101">
        <f>SUMIF($D$5:$D$125,"=zus",EC5:EC125)*HLOOKUP(DX128,Verteil_rwgr,38,FALSE)+SUMIF($D$5:$D$125,"=zum",EC5:EC125)*HLOOKUP(DX128,Verteil_rwgr,39,FALSE)+SUMIF($D$5:$D$125,"=zur",EC5:EC125)*HLOOKUP(DX128,Verteil_rwgr,40,FALSE)+SUMIF($D$5:$D$125,"=zuk",EC5:EC125)*HLOOKUP(DX128,Verteil_rwgr,41,FALSE)</f>
        <v>0</v>
      </c>
      <c r="ED158" s="236">
        <f>SUMIF($D$5:$D$125,"=zus",ED5:ED125)*HLOOKUP(DX128,Verteil_rwgr,38,FALSE)+SUMIF($D$5:$D$125,"=zum",ED5:ED125)*HLOOKUP(DX128,Verteil_rwgr,39,FALSE)+SUMIF($D$5:$D$125,"=zur",ED5:ED125)*HLOOKUP(DX128,Verteil_rwgr,40,FALSE)+SUMIF($D$5:$D$125,"=zuk",ED5:ED125)*HLOOKUP(DX128,Verteil_rwgr,41,FALSE)</f>
        <v>0</v>
      </c>
    </row>
    <row r="159" spans="1:134" hidden="1" x14ac:dyDescent="0.3">
      <c r="A159" s="84" t="s">
        <v>531</v>
      </c>
      <c r="Q159" s="238">
        <v>32</v>
      </c>
      <c r="R159" s="403"/>
      <c r="V159" s="101">
        <f>SUMIF($D$5:$D$125,"=zus",V5:V125)*HLOOKUP(X128,Verteil_rwst,37,FALSE)+SUMIF($D$5:$D$125,"=zum",V5:V125)*HLOOKUP(X128,Verteil_rwst,38,FALSE)+SUMIF($D$5:$D$125,"=zur",V5:V125)*HLOOKUP(X128,Verteil_rwst,39,FALSE)</f>
        <v>0</v>
      </c>
      <c r="W159" s="102">
        <f t="shared" ref="W159" si="928">IF(X156&lt;&gt;0,X159/X156,0)</f>
        <v>0</v>
      </c>
      <c r="X159" s="179">
        <f>(AC159+AD159/2)*HLOOKUP(X128,Grund_zins,2,FALSE)</f>
        <v>0</v>
      </c>
      <c r="Z159" s="84" t="s">
        <v>531</v>
      </c>
      <c r="AC159" s="101">
        <f>SUMIF($D$5:$D$125,"=zus",AC5:AC125)*HLOOKUP(X128,Verteil_rwst,37,FALSE)+SUMIF($D$5:$D$125,"=zum",AC5:AC125)*HLOOKUP(X128,Verteil_rwst,38,FALSE)+SUMIF($D$5:$D$125,"=zur",AC5:AC125)*HLOOKUP(X128,Verteil_rwst,39,FALSE)</f>
        <v>0</v>
      </c>
      <c r="AD159" s="236">
        <f>SUMIF($D$5:$D$125,"=zus",AD5:AD125)*HLOOKUP(X128,Verteil_rwst,37,FALSE)+SUMIF($D$5:$D$125,"=zum",AD5:AD125)*HLOOKUP(X128,Verteil_rwst,38,FALSE)+SUMIF($D$5:$D$125,"=zur",AD5:AD125)*HLOOKUP(X128,Verteil_rwst,39,FALSE)</f>
        <v>0</v>
      </c>
      <c r="AE159" s="403"/>
      <c r="AI159" s="101">
        <f>SUMIF($D$5:$D$125,"=zus",AI5:AI125)*HLOOKUP(AK128,Verteil_rwst,37,FALSE)+SUMIF($D$5:$D$125,"=zum",AI5:AI125)*HLOOKUP(AK128,Verteil_rwst,38,FALSE)+SUMIF($D$5:$D$125,"=zur",AI5:AI125)*HLOOKUP(AK128,Verteil_rwst,39,FALSE)</f>
        <v>0</v>
      </c>
      <c r="AJ159" s="102">
        <f t="shared" ref="AJ159" si="929">IF(AK156&lt;&gt;0,AK159/AK156,0)</f>
        <v>0</v>
      </c>
      <c r="AK159" s="179">
        <f>(AP159+AQ159/2)*HLOOKUP(AK128,Grund_zins,2,FALSE)</f>
        <v>0</v>
      </c>
      <c r="AM159" s="659" t="s">
        <v>531</v>
      </c>
      <c r="AP159" s="101">
        <f>SUMIF($D$5:$D$125,"=zus",AP5:AP125)*HLOOKUP(AK128,Verteil_rwst,37,FALSE)+SUMIF($D$5:$D$125,"=zum",AP5:AP125)*HLOOKUP(AK128,Verteil_rwst,38,FALSE)+SUMIF($D$5:$D$125,"=zur",AP5:AP125)*HLOOKUP(AK128,Verteil_rwst,39,FALSE)</f>
        <v>0</v>
      </c>
      <c r="AQ159" s="236">
        <f>SUMIF($D$5:$D$125,"=zus",AQ5:AQ125)*HLOOKUP(AK128,Verteil_rwst,37,FALSE)+SUMIF($D$5:$D$125,"=zum",AQ5:AQ125)*HLOOKUP(AK128,Verteil_rwst,38,FALSE)+SUMIF($D$5:$D$125,"=zur",AQ5:AQ125)*HLOOKUP(AK128,Verteil_rwst,39,FALSE)</f>
        <v>0</v>
      </c>
      <c r="AR159" s="403"/>
      <c r="AV159" s="101">
        <f>SUMIF($D$5:$D$125,"=zus",AV5:AV125)*HLOOKUP(AX128,Verteil_rwst,37,FALSE)+SUMIF($D$5:$D$125,"=zum",AV5:AV125)*HLOOKUP(AX128,Verteil_rwst,38,FALSE)+SUMIF($D$5:$D$125,"=zur",AV5:AV125)*HLOOKUP(AX128,Verteil_rwst,39,FALSE)</f>
        <v>0</v>
      </c>
      <c r="AW159" s="102">
        <f t="shared" ref="AW159" si="930">IF(AX156&lt;&gt;0,AX159/AX156,0)</f>
        <v>0</v>
      </c>
      <c r="AX159" s="179">
        <f>(BC159+BD159/2)*HLOOKUP(AX128,Grund_zins,2,FALSE)</f>
        <v>0</v>
      </c>
      <c r="AZ159" s="659" t="s">
        <v>531</v>
      </c>
      <c r="BC159" s="101">
        <f>SUMIF($D$5:$D$125,"=zus",BC5:BC125)*HLOOKUP(AX128,Verteil_rwst,37,FALSE)+SUMIF($D$5:$D$125,"=zum",BC5:BC125)*HLOOKUP(AX128,Verteil_rwst,38,FALSE)+SUMIF($D$5:$D$125,"=zur",BC5:BC125)*HLOOKUP(AX128,Verteil_rwst,39,FALSE)</f>
        <v>0</v>
      </c>
      <c r="BD159" s="236">
        <f>SUMIF($D$5:$D$125,"=zus",BD5:BD125)*HLOOKUP(AX128,Verteil_rwst,37,FALSE)+SUMIF($D$5:$D$125,"=zum",BD5:BD125)*HLOOKUP(AX128,Verteil_rwst,38,FALSE)+SUMIF($D$5:$D$125,"=zur",BD5:BD125)*HLOOKUP(AX128,Verteil_rwst,39,FALSE)</f>
        <v>0</v>
      </c>
      <c r="BE159" s="403"/>
      <c r="BI159" s="101">
        <f>SUMIF($D$5:$D$125,"=zus",BI5:BI125)*HLOOKUP(BK128,Verteil_rwst,37,FALSE)+SUMIF($D$5:$D$125,"=zum",BI5:BI125)*HLOOKUP(BK128,Verteil_rwst,38,FALSE)+SUMIF($D$5:$D$125,"=zur",BI5:BI125)*HLOOKUP(BK128,Verteil_rwst,39,FALSE)</f>
        <v>0</v>
      </c>
      <c r="BJ159" s="102">
        <f t="shared" ref="BJ159" si="931">IF(BK156&lt;&gt;0,BK159/BK156,0)</f>
        <v>0</v>
      </c>
      <c r="BK159" s="179">
        <f>(BP159+BQ159/2)*HLOOKUP(BK128,Grund_zins,2,FALSE)</f>
        <v>0</v>
      </c>
      <c r="BM159" s="659" t="s">
        <v>531</v>
      </c>
      <c r="BP159" s="101">
        <f>SUMIF($D$5:$D$125,"=zus",BP5:BP125)*HLOOKUP(BK128,Verteil_rwst,37,FALSE)+SUMIF($D$5:$D$125,"=zum",BP5:BP125)*HLOOKUP(BK128,Verteil_rwst,38,FALSE)+SUMIF($D$5:$D$125,"=zur",BP5:BP125)*HLOOKUP(BK128,Verteil_rwst,39,FALSE)</f>
        <v>0</v>
      </c>
      <c r="BQ159" s="236">
        <f>SUMIF($D$5:$D$125,"=zus",BQ5:BQ125)*HLOOKUP(BK128,Verteil_rwst,37,FALSE)+SUMIF($D$5:$D$125,"=zum",BQ5:BQ125)*HLOOKUP(BK128,Verteil_rwst,38,FALSE)+SUMIF($D$5:$D$125,"=zur",BQ5:BQ125)*HLOOKUP(BK128,Verteil_rwst,39,FALSE)</f>
        <v>0</v>
      </c>
      <c r="BR159" s="403"/>
      <c r="BV159" s="101">
        <f>SUMIF($D$5:$D$125,"=zus",BV5:BV125)*HLOOKUP(BX128,Verteil_rwst,37,FALSE)+SUMIF($D$5:$D$125,"=zum",BV5:BV125)*HLOOKUP(BX128,Verteil_rwst,38,FALSE)+SUMIF($D$5:$D$125,"=zur",BV5:BV125)*HLOOKUP(BX128,Verteil_rwst,39,FALSE)</f>
        <v>0</v>
      </c>
      <c r="BW159" s="102">
        <f t="shared" ref="BW159" si="932">IF(BX156&lt;&gt;0,BX159/BX156,0)</f>
        <v>0</v>
      </c>
      <c r="BX159" s="179">
        <f>(CC159+CD159/2)*HLOOKUP(BX128,Grund_zins,2,FALSE)</f>
        <v>0</v>
      </c>
      <c r="BZ159" s="659" t="s">
        <v>531</v>
      </c>
      <c r="CC159" s="101">
        <f>SUMIF($D$5:$D$125,"=zus",CC5:CC125)*HLOOKUP(BX128,Verteil_rwst,37,FALSE)+SUMIF($D$5:$D$125,"=zum",CC5:CC125)*HLOOKUP(BX128,Verteil_rwst,38,FALSE)+SUMIF($D$5:$D$125,"=zur",CC5:CC125)*HLOOKUP(BX128,Verteil_rwst,39,FALSE)</f>
        <v>0</v>
      </c>
      <c r="CD159" s="236">
        <f>SUMIF($D$5:$D$125,"=zus",CD5:CD125)*HLOOKUP(BX128,Verteil_rwst,37,FALSE)+SUMIF($D$5:$D$125,"=zum",CD5:CD125)*HLOOKUP(BX128,Verteil_rwst,38,FALSE)+SUMIF($D$5:$D$125,"=zur",CD5:CD125)*HLOOKUP(BX128,Verteil_rwst,39,FALSE)</f>
        <v>0</v>
      </c>
      <c r="CE159" s="403"/>
      <c r="CI159" s="101">
        <f>SUMIF($D$5:$D$125,"=zus",CI5:CI125)*HLOOKUP(CK128,Verteil_rwst,37,FALSE)+SUMIF($D$5:$D$125,"=zum",CI5:CI125)*HLOOKUP(CK128,Verteil_rwst,38,FALSE)+SUMIF($D$5:$D$125,"=zur",CI5:CI125)*HLOOKUP(CK128,Verteil_rwst,39,FALSE)</f>
        <v>0</v>
      </c>
      <c r="CJ159" s="102">
        <f t="shared" ref="CJ159" si="933">IF(CK156&lt;&gt;0,CK159/CK156,0)</f>
        <v>0</v>
      </c>
      <c r="CK159" s="179">
        <f>(CP159+CQ159/2)*HLOOKUP(CK128,Grund_zins,2,FALSE)</f>
        <v>0</v>
      </c>
      <c r="CM159" s="659" t="s">
        <v>531</v>
      </c>
      <c r="CP159" s="101">
        <f>SUMIF($D$5:$D$125,"=zus",CP5:CP125)*HLOOKUP(CK128,Verteil_rwst,37,FALSE)+SUMIF($D$5:$D$125,"=zum",CP5:CP125)*HLOOKUP(CK128,Verteil_rwst,38,FALSE)+SUMIF($D$5:$D$125,"=zur",CP5:CP125)*HLOOKUP(CK128,Verteil_rwst,39,FALSE)</f>
        <v>0</v>
      </c>
      <c r="CQ159" s="236">
        <f>SUMIF($D$5:$D$125,"=zus",CQ5:CQ125)*HLOOKUP(CK128,Verteil_rwst,37,FALSE)+SUMIF($D$5:$D$125,"=zum",CQ5:CQ125)*HLOOKUP(CK128,Verteil_rwst,38,FALSE)+SUMIF($D$5:$D$125,"=zur",CQ5:CQ125)*HLOOKUP(CK128,Verteil_rwst,39,FALSE)</f>
        <v>0</v>
      </c>
      <c r="CR159" s="403"/>
      <c r="CV159" s="101">
        <f>SUMIF($D$5:$D$125,"=zus",CV5:CV125)*HLOOKUP(CX128,Verteil_rwst,37,FALSE)+SUMIF($D$5:$D$125,"=zum",CV5:CV125)*HLOOKUP(CX128,Verteil_rwst,38,FALSE)+SUMIF($D$5:$D$125,"=zur",CV5:CV125)*HLOOKUP(CX128,Verteil_rwst,39,FALSE)</f>
        <v>0</v>
      </c>
      <c r="CW159" s="102">
        <f t="shared" ref="CW159" si="934">IF(CX156&lt;&gt;0,CX159/CX156,0)</f>
        <v>0</v>
      </c>
      <c r="CX159" s="179">
        <f>(DC159+DD159/2)*HLOOKUP(CX128,Grund_zins,2,FALSE)</f>
        <v>0</v>
      </c>
      <c r="CZ159" s="659" t="s">
        <v>531</v>
      </c>
      <c r="DC159" s="101">
        <f>SUMIF($D$5:$D$125,"=zus",DC5:DC125)*HLOOKUP(CX128,Verteil_rwst,37,FALSE)+SUMIF($D$5:$D$125,"=zum",DC5:DC125)*HLOOKUP(CX128,Verteil_rwst,38,FALSE)+SUMIF($D$5:$D$125,"=zur",DC5:DC125)*HLOOKUP(CX128,Verteil_rwst,39,FALSE)</f>
        <v>0</v>
      </c>
      <c r="DD159" s="236">
        <f>SUMIF($D$5:$D$125,"=zus",DD5:DD125)*HLOOKUP(CX128,Verteil_rwst,37,FALSE)+SUMIF($D$5:$D$125,"=zum",DD5:DD125)*HLOOKUP(CX128,Verteil_rwst,38,FALSE)+SUMIF($D$5:$D$125,"=zur",DD5:DD125)*HLOOKUP(CX128,Verteil_rwst,39,FALSE)</f>
        <v>0</v>
      </c>
      <c r="DE159" s="403"/>
      <c r="DI159" s="101">
        <f>SUMIF($D$5:$D$125,"=zus",DI5:DI125)*HLOOKUP(DK128,Verteil_rwst,37,FALSE)+SUMIF($D$5:$D$125,"=zum",DI5:DI125)*HLOOKUP(DK128,Verteil_rwst,38,FALSE)+SUMIF($D$5:$D$125,"=zur",DI5:DI125)*HLOOKUP(DK128,Verteil_rwst,39,FALSE)</f>
        <v>0</v>
      </c>
      <c r="DJ159" s="102">
        <f t="shared" ref="DJ159" si="935">IF(DK156&lt;&gt;0,DK159/DK156,0)</f>
        <v>0</v>
      </c>
      <c r="DK159" s="179">
        <f>(DP159+DQ159/2)*HLOOKUP(DK128,Grund_zins,2,FALSE)</f>
        <v>0</v>
      </c>
      <c r="DM159" s="659" t="s">
        <v>531</v>
      </c>
      <c r="DP159" s="101">
        <f>SUMIF($D$5:$D$125,"=zus",DP5:DP125)*HLOOKUP(DK128,Verteil_rwst,37,FALSE)+SUMIF($D$5:$D$125,"=zum",DP5:DP125)*HLOOKUP(DK128,Verteil_rwst,38,FALSE)+SUMIF($D$5:$D$125,"=zur",DP5:DP125)*HLOOKUP(DK128,Verteil_rwst,39,FALSE)</f>
        <v>0</v>
      </c>
      <c r="DQ159" s="236">
        <f>SUMIF($D$5:$D$125,"=zus",DQ5:DQ125)*HLOOKUP(DK128,Verteil_rwst,37,FALSE)+SUMIF($D$5:$D$125,"=zum",DQ5:DQ125)*HLOOKUP(DK128,Verteil_rwst,38,FALSE)+SUMIF($D$5:$D$125,"=zur",DQ5:DQ125)*HLOOKUP(DK128,Verteil_rwst,39,FALSE)</f>
        <v>0</v>
      </c>
      <c r="DR159" s="403"/>
      <c r="DV159" s="101">
        <f>SUMIF($D$5:$D$125,"=zus",DV5:DV125)*HLOOKUP(DX128,Verteil_rwst,37,FALSE)+SUMIF($D$5:$D$125,"=zum",DV5:DV125)*HLOOKUP(DX128,Verteil_rwst,38,FALSE)+SUMIF($D$5:$D$125,"=zur",DV5:DV125)*HLOOKUP(DX128,Verteil_rwst,39,FALSE)</f>
        <v>0</v>
      </c>
      <c r="DW159" s="102">
        <f t="shared" ref="DW159" si="936">IF(DX156&lt;&gt;0,DX159/DX156,0)</f>
        <v>0</v>
      </c>
      <c r="DX159" s="179">
        <f>(EC159+ED159/2)*HLOOKUP(DX128,Grund_zins,2,FALSE)</f>
        <v>0</v>
      </c>
      <c r="DZ159" s="659" t="s">
        <v>531</v>
      </c>
      <c r="EC159" s="101">
        <f>SUMIF($D$5:$D$125,"=zus",EC5:EC125)*HLOOKUP(DX128,Verteil_rwst,37,FALSE)+SUMIF($D$5:$D$125,"=zum",EC5:EC125)*HLOOKUP(DX128,Verteil_rwst,38,FALSE)+SUMIF($D$5:$D$125,"=zur",EC5:EC125)*HLOOKUP(DX128,Verteil_rwst,39,FALSE)</f>
        <v>0</v>
      </c>
      <c r="ED159" s="236">
        <f>SUMIF($D$5:$D$125,"=zus",ED5:ED125)*HLOOKUP(DX128,Verteil_rwst,37,FALSE)+SUMIF($D$5:$D$125,"=zum",ED5:ED125)*HLOOKUP(DX128,Verteil_rwst,38,FALSE)+SUMIF($D$5:$D$125,"=zur",ED5:ED125)*HLOOKUP(DX128,Verteil_rwst,39,FALSE)</f>
        <v>0</v>
      </c>
    </row>
    <row r="160" spans="1:134" hidden="1" x14ac:dyDescent="0.3">
      <c r="A160" s="104" t="s">
        <v>739</v>
      </c>
      <c r="Q160" s="238">
        <v>33</v>
      </c>
      <c r="R160" s="403"/>
      <c r="V160" s="101">
        <f>SUMIF($D$5:$D$125,"=zuz",V5:V125)</f>
        <v>0</v>
      </c>
      <c r="W160" s="102">
        <f t="shared" ref="W160" si="937">SUM(W161:W163)</f>
        <v>0</v>
      </c>
      <c r="X160" s="179">
        <f>(AC160+AD160/2)*HLOOKUP(X128,Grund_zins,2,FALSE)</f>
        <v>0</v>
      </c>
      <c r="Z160" s="104" t="s">
        <v>739</v>
      </c>
      <c r="AC160" s="101">
        <f>SUMIF($D$5:$D$125,"=zuz",AC5:AC125)</f>
        <v>0</v>
      </c>
      <c r="AD160" s="236">
        <f>SUMIF($D$5:$D$125,"=zuz",AD5:AD125)</f>
        <v>0</v>
      </c>
      <c r="AE160" s="403"/>
      <c r="AI160" s="101">
        <f t="shared" ref="AI160" si="938">SUMIF($D$5:$D$125,"=zuz",AI5:AI125)</f>
        <v>0</v>
      </c>
      <c r="AJ160" s="102">
        <f t="shared" ref="AJ160:CJ160" si="939">SUM(AJ161:AJ163)</f>
        <v>0</v>
      </c>
      <c r="AK160" s="179">
        <f>(AP160+AQ160/2)*HLOOKUP(AK128,Grund_zins,2,FALSE)</f>
        <v>0</v>
      </c>
      <c r="AM160" s="658" t="s">
        <v>739</v>
      </c>
      <c r="AP160" s="101">
        <f t="shared" ref="AP160:AQ160" si="940">SUMIF($D$5:$D$125,"=zuz",AP5:AP125)</f>
        <v>0</v>
      </c>
      <c r="AQ160" s="236">
        <f t="shared" si="940"/>
        <v>0</v>
      </c>
      <c r="AR160" s="403"/>
      <c r="AV160" s="101">
        <f t="shared" ref="AV160" si="941">SUMIF($D$5:$D$125,"=zuz",AV5:AV125)</f>
        <v>0</v>
      </c>
      <c r="AW160" s="102">
        <f t="shared" si="939"/>
        <v>0</v>
      </c>
      <c r="AX160" s="179">
        <f>(BC160+BD160/2)*HLOOKUP(AX128,Grund_zins,2,FALSE)</f>
        <v>0</v>
      </c>
      <c r="AZ160" s="658" t="s">
        <v>739</v>
      </c>
      <c r="BC160" s="101">
        <f t="shared" ref="BC160:BD160" si="942">SUMIF($D$5:$D$125,"=zuz",BC5:BC125)</f>
        <v>0</v>
      </c>
      <c r="BD160" s="236">
        <f t="shared" si="942"/>
        <v>0</v>
      </c>
      <c r="BE160" s="403"/>
      <c r="BI160" s="101">
        <f t="shared" ref="BI160" si="943">SUMIF($D$5:$D$125,"=zuz",BI5:BI125)</f>
        <v>0</v>
      </c>
      <c r="BJ160" s="102">
        <f t="shared" si="939"/>
        <v>0</v>
      </c>
      <c r="BK160" s="179">
        <f>(BP160+BQ160/2)*HLOOKUP(BK128,Grund_zins,2,FALSE)</f>
        <v>0</v>
      </c>
      <c r="BM160" s="658" t="s">
        <v>739</v>
      </c>
      <c r="BP160" s="101">
        <f t="shared" ref="BP160:BQ160" si="944">SUMIF($D$5:$D$125,"=zuz",BP5:BP125)</f>
        <v>0</v>
      </c>
      <c r="BQ160" s="236">
        <f t="shared" si="944"/>
        <v>0</v>
      </c>
      <c r="BR160" s="403"/>
      <c r="BV160" s="101">
        <f t="shared" ref="BV160" si="945">SUMIF($D$5:$D$125,"=zuz",BV5:BV125)</f>
        <v>0</v>
      </c>
      <c r="BW160" s="102">
        <f t="shared" si="939"/>
        <v>0</v>
      </c>
      <c r="BX160" s="179">
        <f>(CC160+CD160/2)*HLOOKUP(BX128,Grund_zins,2,FALSE)</f>
        <v>0</v>
      </c>
      <c r="BZ160" s="658" t="s">
        <v>739</v>
      </c>
      <c r="CC160" s="101">
        <f t="shared" ref="CC160:CD160" si="946">SUMIF($D$5:$D$125,"=zuz",CC5:CC125)</f>
        <v>0</v>
      </c>
      <c r="CD160" s="236">
        <f t="shared" si="946"/>
        <v>0</v>
      </c>
      <c r="CE160" s="403"/>
      <c r="CI160" s="101">
        <f t="shared" ref="CI160" si="947">SUMIF($D$5:$D$125,"=zuz",CI5:CI125)</f>
        <v>0</v>
      </c>
      <c r="CJ160" s="102">
        <f t="shared" si="939"/>
        <v>0</v>
      </c>
      <c r="CK160" s="179">
        <f>(CP160+CQ160/2)*HLOOKUP(CK128,Grund_zins,2,FALSE)</f>
        <v>0</v>
      </c>
      <c r="CM160" s="658" t="s">
        <v>739</v>
      </c>
      <c r="CP160" s="101">
        <f t="shared" ref="CP160:CQ160" si="948">SUMIF($D$5:$D$125,"=zuz",CP5:CP125)</f>
        <v>0</v>
      </c>
      <c r="CQ160" s="236">
        <f t="shared" si="948"/>
        <v>0</v>
      </c>
      <c r="CR160" s="403"/>
      <c r="CV160" s="101">
        <f t="shared" ref="CV160" si="949">SUMIF($D$5:$D$125,"=zuz",CV5:CV125)</f>
        <v>0</v>
      </c>
      <c r="CW160" s="102">
        <f t="shared" ref="CW160:DW160" si="950">SUM(CW161:CW163)</f>
        <v>0</v>
      </c>
      <c r="CX160" s="179">
        <f>(DC160+DD160/2)*HLOOKUP(CX128,Grund_zins,2,FALSE)</f>
        <v>0</v>
      </c>
      <c r="CZ160" s="658" t="s">
        <v>739</v>
      </c>
      <c r="DC160" s="101">
        <f t="shared" ref="DC160:DD160" si="951">SUMIF($D$5:$D$125,"=zuz",DC5:DC125)</f>
        <v>0</v>
      </c>
      <c r="DD160" s="236">
        <f t="shared" si="951"/>
        <v>0</v>
      </c>
      <c r="DE160" s="403"/>
      <c r="DI160" s="101">
        <f t="shared" ref="DI160" si="952">SUMIF($D$5:$D$125,"=zuz",DI5:DI125)</f>
        <v>0</v>
      </c>
      <c r="DJ160" s="102">
        <f t="shared" si="950"/>
        <v>0</v>
      </c>
      <c r="DK160" s="179">
        <f>(DP160+DQ160/2)*HLOOKUP(DK128,Grund_zins,2,FALSE)</f>
        <v>0</v>
      </c>
      <c r="DM160" s="658" t="s">
        <v>739</v>
      </c>
      <c r="DP160" s="101">
        <f t="shared" ref="DP160:DQ160" si="953">SUMIF($D$5:$D$125,"=zuz",DP5:DP125)</f>
        <v>0</v>
      </c>
      <c r="DQ160" s="236">
        <f t="shared" si="953"/>
        <v>0</v>
      </c>
      <c r="DR160" s="403"/>
      <c r="DV160" s="101">
        <f t="shared" ref="DV160" si="954">SUMIF($D$5:$D$125,"=zuz",DV5:DV125)</f>
        <v>0</v>
      </c>
      <c r="DW160" s="102">
        <f t="shared" si="950"/>
        <v>0</v>
      </c>
      <c r="DX160" s="179">
        <f>(EC160+ED160/2)*HLOOKUP(DX128,Grund_zins,2,FALSE)</f>
        <v>0</v>
      </c>
      <c r="DZ160" s="658" t="s">
        <v>739</v>
      </c>
      <c r="EC160" s="101">
        <f t="shared" ref="EC160:ED160" si="955">SUMIF($D$5:$D$125,"=zuz",EC5:EC125)</f>
        <v>0</v>
      </c>
      <c r="ED160" s="236">
        <f t="shared" si="955"/>
        <v>0</v>
      </c>
    </row>
    <row r="161" spans="1:134" hidden="1" x14ac:dyDescent="0.3">
      <c r="A161" s="84" t="s">
        <v>180</v>
      </c>
      <c r="Q161" s="238">
        <v>34</v>
      </c>
      <c r="R161" s="403"/>
      <c r="V161" s="101">
        <f>SUMIF($D$5:$D$125,"=zuz",V5:V125)*HLOOKUP($X$128,Verteil_sw,44,FALSE)</f>
        <v>0</v>
      </c>
      <c r="W161" s="102">
        <f t="shared" ref="W161" si="956">IF(X160&lt;&gt;0,X161/X160,0)</f>
        <v>0</v>
      </c>
      <c r="X161" s="179">
        <f>(AC161+AD161/2)*HLOOKUP(X128,Grund_zins,2,FALSE)</f>
        <v>0</v>
      </c>
      <c r="Z161" s="84" t="s">
        <v>180</v>
      </c>
      <c r="AC161" s="101">
        <f>SUMIF($D$5:$D$125,"=zuz",AC5:AC125)*HLOOKUP(X128,Verteil_sw,44,FALSE)</f>
        <v>0</v>
      </c>
      <c r="AD161" s="236">
        <f>SUMIF($D$5:$D$125,"=zuz",AD5:AD125)*HLOOKUP(X128,Verteil_sw,44,FALSE)</f>
        <v>0</v>
      </c>
      <c r="AE161" s="403"/>
      <c r="AI161" s="101">
        <f>SUMIF($D$5:$D$125,"=zuz",AI5:AI125)*HLOOKUP($X$128,Verteil_sw,44,FALSE)</f>
        <v>0</v>
      </c>
      <c r="AJ161" s="102">
        <f t="shared" ref="AJ161" si="957">IF(AK160&lt;&gt;0,AK161/AK160,0)</f>
        <v>0</v>
      </c>
      <c r="AK161" s="179">
        <f>(AP161+AQ161/2)*HLOOKUP(AK128,Grund_zins,2,FALSE)</f>
        <v>0</v>
      </c>
      <c r="AM161" s="659" t="s">
        <v>180</v>
      </c>
      <c r="AP161" s="101">
        <f>SUMIF($D$5:$D$125,"=zuz",AP5:AP125)*HLOOKUP(AK128,Verteil_sw,44,FALSE)</f>
        <v>0</v>
      </c>
      <c r="AQ161" s="236">
        <f>SUMIF($D$5:$D$125,"=zuz",AQ5:AQ125)*HLOOKUP(AK128,Verteil_sw,44,FALSE)</f>
        <v>0</v>
      </c>
      <c r="AR161" s="403"/>
      <c r="AV161" s="101">
        <f>SUMIF($D$5:$D$125,"=zuz",AV5:AV125)*HLOOKUP($X$128,Verteil_sw,44,FALSE)</f>
        <v>0</v>
      </c>
      <c r="AW161" s="102">
        <f t="shared" ref="AW161" si="958">IF(AX160&lt;&gt;0,AX161/AX160,0)</f>
        <v>0</v>
      </c>
      <c r="AX161" s="179">
        <f>(BC161+BD161/2)*HLOOKUP(AX128,Grund_zins,2,FALSE)</f>
        <v>0</v>
      </c>
      <c r="AZ161" s="659" t="s">
        <v>180</v>
      </c>
      <c r="BC161" s="101">
        <f>SUMIF($D$5:$D$125,"=zuz",BC5:BC125)*HLOOKUP(AX128,Verteil_sw,44,FALSE)</f>
        <v>0</v>
      </c>
      <c r="BD161" s="236">
        <f>SUMIF($D$5:$D$125,"=zuz",BD5:BD125)*HLOOKUP(AX128,Verteil_sw,44,FALSE)</f>
        <v>0</v>
      </c>
      <c r="BE161" s="403"/>
      <c r="BI161" s="101">
        <f>SUMIF($D$5:$D$125,"=zuz",BI5:BI125)*HLOOKUP($X$128,Verteil_sw,44,FALSE)</f>
        <v>0</v>
      </c>
      <c r="BJ161" s="102">
        <f t="shared" ref="BJ161" si="959">IF(BK160&lt;&gt;0,BK161/BK160,0)</f>
        <v>0</v>
      </c>
      <c r="BK161" s="179">
        <f>(BP161+BQ161/2)*HLOOKUP(BK128,Grund_zins,2,FALSE)</f>
        <v>0</v>
      </c>
      <c r="BM161" s="659" t="s">
        <v>180</v>
      </c>
      <c r="BP161" s="101">
        <f>SUMIF($D$5:$D$125,"=zuz",BP5:BP125)*HLOOKUP(BK128,Verteil_sw,44,FALSE)</f>
        <v>0</v>
      </c>
      <c r="BQ161" s="236">
        <f>SUMIF($D$5:$D$125,"=zuz",BQ5:BQ125)*HLOOKUP(BK128,Verteil_sw,44,FALSE)</f>
        <v>0</v>
      </c>
      <c r="BR161" s="403"/>
      <c r="BV161" s="101">
        <f>SUMIF($D$5:$D$125,"=zuz",BV5:BV125)*HLOOKUP($X$128,Verteil_sw,44,FALSE)</f>
        <v>0</v>
      </c>
      <c r="BW161" s="102">
        <f t="shared" ref="BW161" si="960">IF(BX160&lt;&gt;0,BX161/BX160,0)</f>
        <v>0</v>
      </c>
      <c r="BX161" s="179">
        <f>(CC161+CD161/2)*HLOOKUP(BX128,Grund_zins,2,FALSE)</f>
        <v>0</v>
      </c>
      <c r="BZ161" s="659" t="s">
        <v>180</v>
      </c>
      <c r="CC161" s="101">
        <f>SUMIF($D$5:$D$125,"=zuz",CC5:CC125)*HLOOKUP(BX128,Verteil_sw,44,FALSE)</f>
        <v>0</v>
      </c>
      <c r="CD161" s="236">
        <f>SUMIF($D$5:$D$125,"=zuz",CD5:CD125)*HLOOKUP(BX128,Verteil_sw,44,FALSE)</f>
        <v>0</v>
      </c>
      <c r="CE161" s="403"/>
      <c r="CI161" s="101">
        <f>SUMIF($D$5:$D$125,"=zuz",CI5:CI125)*HLOOKUP($X$128,Verteil_sw,44,FALSE)</f>
        <v>0</v>
      </c>
      <c r="CJ161" s="102">
        <f t="shared" ref="CJ161" si="961">IF(CK160&lt;&gt;0,CK161/CK160,0)</f>
        <v>0</v>
      </c>
      <c r="CK161" s="179">
        <f>(CP161+CQ161/2)*HLOOKUP(CK128,Grund_zins,2,FALSE)</f>
        <v>0</v>
      </c>
      <c r="CM161" s="659" t="s">
        <v>180</v>
      </c>
      <c r="CP161" s="101">
        <f>SUMIF($D$5:$D$125,"=zuz",CP5:CP125)*HLOOKUP(CK128,Verteil_sw,44,FALSE)</f>
        <v>0</v>
      </c>
      <c r="CQ161" s="236">
        <f>SUMIF($D$5:$D$125,"=zuz",CQ5:CQ125)*HLOOKUP(CK128,Verteil_sw,44,FALSE)</f>
        <v>0</v>
      </c>
      <c r="CR161" s="403"/>
      <c r="CV161" s="101">
        <f>SUMIF($D$5:$D$125,"=zuz",CV5:CV125)*HLOOKUP($X$128,Verteil_sw,44,FALSE)</f>
        <v>0</v>
      </c>
      <c r="CW161" s="102">
        <f t="shared" ref="CW161" si="962">IF(CX160&lt;&gt;0,CX161/CX160,0)</f>
        <v>0</v>
      </c>
      <c r="CX161" s="179">
        <f>(DC161+DD161/2)*HLOOKUP(CX128,Grund_zins,2,FALSE)</f>
        <v>0</v>
      </c>
      <c r="CZ161" s="659" t="s">
        <v>180</v>
      </c>
      <c r="DC161" s="101">
        <f>SUMIF($D$5:$D$125,"=zuz",DC5:DC125)*HLOOKUP(CX128,Verteil_sw,44,FALSE)</f>
        <v>0</v>
      </c>
      <c r="DD161" s="236">
        <f>SUMIF($D$5:$D$125,"=zuz",DD5:DD125)*HLOOKUP(CX128,Verteil_sw,44,FALSE)</f>
        <v>0</v>
      </c>
      <c r="DE161" s="403"/>
      <c r="DI161" s="101">
        <f>SUMIF($D$5:$D$125,"=zuz",DI5:DI125)*HLOOKUP($X$128,Verteil_sw,44,FALSE)</f>
        <v>0</v>
      </c>
      <c r="DJ161" s="102">
        <f t="shared" ref="DJ161" si="963">IF(DK160&lt;&gt;0,DK161/DK160,0)</f>
        <v>0</v>
      </c>
      <c r="DK161" s="179">
        <f>(DP161+DQ161/2)*HLOOKUP(DK128,Grund_zins,2,FALSE)</f>
        <v>0</v>
      </c>
      <c r="DM161" s="659" t="s">
        <v>180</v>
      </c>
      <c r="DP161" s="101">
        <f>SUMIF($D$5:$D$125,"=zuz",DP5:DP125)*HLOOKUP(DK128,Verteil_sw,44,FALSE)</f>
        <v>0</v>
      </c>
      <c r="DQ161" s="236">
        <f>SUMIF($D$5:$D$125,"=zuz",DQ5:DQ125)*HLOOKUP(DK128,Verteil_sw,44,FALSE)</f>
        <v>0</v>
      </c>
      <c r="DR161" s="403"/>
      <c r="DV161" s="101">
        <f>SUMIF($D$5:$D$125,"=zuz",DV5:DV125)*HLOOKUP($X$128,Verteil_sw,44,FALSE)</f>
        <v>0</v>
      </c>
      <c r="DW161" s="102">
        <f t="shared" ref="DW161" si="964">IF(DX160&lt;&gt;0,DX161/DX160,0)</f>
        <v>0</v>
      </c>
      <c r="DX161" s="179">
        <f>(EC161+ED161/2)*HLOOKUP(DX128,Grund_zins,2,FALSE)</f>
        <v>0</v>
      </c>
      <c r="DZ161" s="659" t="s">
        <v>180</v>
      </c>
      <c r="EC161" s="101">
        <f>SUMIF($D$5:$D$125,"=zuz",EC5:EC125)*HLOOKUP(DX128,Verteil_sw,44,FALSE)</f>
        <v>0</v>
      </c>
      <c r="ED161" s="236">
        <f>SUMIF($D$5:$D$125,"=zuz",ED5:ED125)*HLOOKUP(DX128,Verteil_sw,44,FALSE)</f>
        <v>0</v>
      </c>
    </row>
    <row r="162" spans="1:134" hidden="1" x14ac:dyDescent="0.3">
      <c r="A162" s="84" t="s">
        <v>181</v>
      </c>
      <c r="Q162" s="238">
        <v>35</v>
      </c>
      <c r="R162" s="403"/>
      <c r="V162" s="101">
        <f>SUMIF($D$5:$D$125,"=zuz",V5:V125)*HLOOKUP($X$128,Verteil_rwgr,43,FALSE)</f>
        <v>0</v>
      </c>
      <c r="W162" s="102">
        <f t="shared" ref="W162" si="965">IF(X160&lt;&gt;0,X162/X160,0)</f>
        <v>0</v>
      </c>
      <c r="X162" s="179">
        <f>(AC162+AD162/2)*HLOOKUP(X128,Grund_zins,2,FALSE)</f>
        <v>0</v>
      </c>
      <c r="Z162" s="84" t="s">
        <v>181</v>
      </c>
      <c r="AC162" s="101">
        <f>SUMIF($D$5:$D$125,"=zuz",AC5:AC125)*HLOOKUP(X128,Verteil_rwgr,43,FALSE)</f>
        <v>0</v>
      </c>
      <c r="AD162" s="236">
        <f>SUMIF($D$5:$D$125,"=zuz",AD5:AD125)*HLOOKUP(X128,Verteil_rwgr,43,FALSE)</f>
        <v>0</v>
      </c>
      <c r="AE162" s="403"/>
      <c r="AI162" s="101">
        <f>SUMIF($D$5:$D$125,"=zuz",AI5:AI125)*HLOOKUP($X$128,Verteil_rwgr,43,FALSE)</f>
        <v>0</v>
      </c>
      <c r="AJ162" s="102">
        <f t="shared" ref="AJ162" si="966">IF(AK160&lt;&gt;0,AK162/AK160,0)</f>
        <v>0</v>
      </c>
      <c r="AK162" s="179">
        <f>(AP162+AQ162/2)*HLOOKUP(AK128,Grund_zins,2,FALSE)</f>
        <v>0</v>
      </c>
      <c r="AM162" s="659" t="s">
        <v>181</v>
      </c>
      <c r="AP162" s="101">
        <f>SUMIF($D$5:$D$125,"=zuz",AP5:AP125)*HLOOKUP(AK128,Verteil_rwgr,43,FALSE)</f>
        <v>0</v>
      </c>
      <c r="AQ162" s="236">
        <f>SUMIF($D$5:$D$125,"=zuz",AQ5:AQ125)*HLOOKUP(AK128,Verteil_rwgr,43,FALSE)</f>
        <v>0</v>
      </c>
      <c r="AR162" s="403"/>
      <c r="AV162" s="101">
        <f>SUMIF($D$5:$D$125,"=zuz",AV5:AV125)*HLOOKUP($X$128,Verteil_rwgr,43,FALSE)</f>
        <v>0</v>
      </c>
      <c r="AW162" s="102">
        <f t="shared" ref="AW162" si="967">IF(AX160&lt;&gt;0,AX162/AX160,0)</f>
        <v>0</v>
      </c>
      <c r="AX162" s="179">
        <f>(BC162+BD162/2)*HLOOKUP(AX128,Grund_zins,2,FALSE)</f>
        <v>0</v>
      </c>
      <c r="AZ162" s="659" t="s">
        <v>181</v>
      </c>
      <c r="BC162" s="101">
        <f>SUMIF($D$5:$D$125,"=zuz",BC5:BC125)*HLOOKUP(AX128,Verteil_rwgr,43,FALSE)</f>
        <v>0</v>
      </c>
      <c r="BD162" s="236">
        <f>SUMIF($D$5:$D$125,"=zuz",BD5:BD125)*HLOOKUP(AX128,Verteil_rwgr,43,FALSE)</f>
        <v>0</v>
      </c>
      <c r="BE162" s="403"/>
      <c r="BI162" s="101">
        <f>SUMIF($D$5:$D$125,"=zuz",BI5:BI125)*HLOOKUP($X$128,Verteil_rwgr,43,FALSE)</f>
        <v>0</v>
      </c>
      <c r="BJ162" s="102">
        <f t="shared" ref="BJ162" si="968">IF(BK160&lt;&gt;0,BK162/BK160,0)</f>
        <v>0</v>
      </c>
      <c r="BK162" s="179">
        <f>(BP162+BQ162/2)*HLOOKUP(BK128,Grund_zins,2,FALSE)</f>
        <v>0</v>
      </c>
      <c r="BM162" s="659" t="s">
        <v>181</v>
      </c>
      <c r="BP162" s="101">
        <f>SUMIF($D$5:$D$125,"=zuz",BP5:BP125)*HLOOKUP(BK128,Verteil_rwgr,43,FALSE)</f>
        <v>0</v>
      </c>
      <c r="BQ162" s="236">
        <f>SUMIF($D$5:$D$125,"=zuz",BQ5:BQ125)*HLOOKUP(BK128,Verteil_rwgr,43,FALSE)</f>
        <v>0</v>
      </c>
      <c r="BR162" s="403"/>
      <c r="BV162" s="101">
        <f>SUMIF($D$5:$D$125,"=zuz",BV5:BV125)*HLOOKUP($X$128,Verteil_rwgr,43,FALSE)</f>
        <v>0</v>
      </c>
      <c r="BW162" s="102">
        <f t="shared" ref="BW162" si="969">IF(BX160&lt;&gt;0,BX162/BX160,0)</f>
        <v>0</v>
      </c>
      <c r="BX162" s="179">
        <f>(CC162+CD162/2)*HLOOKUP(BX128,Grund_zins,2,FALSE)</f>
        <v>0</v>
      </c>
      <c r="BZ162" s="659" t="s">
        <v>181</v>
      </c>
      <c r="CC162" s="101">
        <f>SUMIF($D$5:$D$125,"=zuz",CC5:CC125)*HLOOKUP(BX128,Verteil_rwgr,43,FALSE)</f>
        <v>0</v>
      </c>
      <c r="CD162" s="236">
        <f>SUMIF($D$5:$D$125,"=zuz",CD5:CD125)*HLOOKUP(BX128,Verteil_rwgr,43,FALSE)</f>
        <v>0</v>
      </c>
      <c r="CE162" s="403"/>
      <c r="CI162" s="101">
        <f>SUMIF($D$5:$D$125,"=zuz",CI5:CI125)*HLOOKUP($X$128,Verteil_rwgr,43,FALSE)</f>
        <v>0</v>
      </c>
      <c r="CJ162" s="102">
        <f t="shared" ref="CJ162" si="970">IF(CK160&lt;&gt;0,CK162/CK160,0)</f>
        <v>0</v>
      </c>
      <c r="CK162" s="179">
        <f>(CP162+CQ162/2)*HLOOKUP(CK128,Grund_zins,2,FALSE)</f>
        <v>0</v>
      </c>
      <c r="CM162" s="659" t="s">
        <v>181</v>
      </c>
      <c r="CP162" s="101">
        <f>SUMIF($D$5:$D$125,"=zuz",CP5:CP125)*HLOOKUP(CK128,Verteil_rwgr,43,FALSE)</f>
        <v>0</v>
      </c>
      <c r="CQ162" s="236">
        <f>SUMIF($D$5:$D$125,"=zuz",CQ5:CQ125)*HLOOKUP(CK128,Verteil_rwgr,43,FALSE)</f>
        <v>0</v>
      </c>
      <c r="CR162" s="403"/>
      <c r="CV162" s="101">
        <f>SUMIF($D$5:$D$125,"=zuz",CV5:CV125)*HLOOKUP($X$128,Verteil_rwgr,43,FALSE)</f>
        <v>0</v>
      </c>
      <c r="CW162" s="102">
        <f t="shared" ref="CW162" si="971">IF(CX160&lt;&gt;0,CX162/CX160,0)</f>
        <v>0</v>
      </c>
      <c r="CX162" s="179">
        <f>(DC162+DD162/2)*HLOOKUP(CX128,Grund_zins,2,FALSE)</f>
        <v>0</v>
      </c>
      <c r="CZ162" s="659" t="s">
        <v>181</v>
      </c>
      <c r="DC162" s="101">
        <f>SUMIF($D$5:$D$125,"=zuz",DC5:DC125)*HLOOKUP(CX128,Verteil_rwgr,43,FALSE)</f>
        <v>0</v>
      </c>
      <c r="DD162" s="236">
        <f>SUMIF($D$5:$D$125,"=zuz",DD5:DD125)*HLOOKUP(CX128,Verteil_rwgr,43,FALSE)</f>
        <v>0</v>
      </c>
      <c r="DE162" s="403"/>
      <c r="DI162" s="101">
        <f>SUMIF($D$5:$D$125,"=zuz",DI5:DI125)*HLOOKUP($X$128,Verteil_rwgr,43,FALSE)</f>
        <v>0</v>
      </c>
      <c r="DJ162" s="102">
        <f t="shared" ref="DJ162" si="972">IF(DK160&lt;&gt;0,DK162/DK160,0)</f>
        <v>0</v>
      </c>
      <c r="DK162" s="179">
        <f>(DP162+DQ162/2)*HLOOKUP(DK128,Grund_zins,2,FALSE)</f>
        <v>0</v>
      </c>
      <c r="DM162" s="659" t="s">
        <v>181</v>
      </c>
      <c r="DP162" s="101">
        <f>SUMIF($D$5:$D$125,"=zuz",DP5:DP125)*HLOOKUP(DK128,Verteil_rwgr,43,FALSE)</f>
        <v>0</v>
      </c>
      <c r="DQ162" s="236">
        <f>SUMIF($D$5:$D$125,"=zuz",DQ5:DQ125)*HLOOKUP(DK128,Verteil_rwgr,43,FALSE)</f>
        <v>0</v>
      </c>
      <c r="DR162" s="403"/>
      <c r="DV162" s="101">
        <f>SUMIF($D$5:$D$125,"=zuz",DV5:DV125)*HLOOKUP($X$128,Verteil_rwgr,43,FALSE)</f>
        <v>0</v>
      </c>
      <c r="DW162" s="102">
        <f t="shared" ref="DW162" si="973">IF(DX160&lt;&gt;0,DX162/DX160,0)</f>
        <v>0</v>
      </c>
      <c r="DX162" s="179">
        <f>(EC162+ED162/2)*HLOOKUP(DX128,Grund_zins,2,FALSE)</f>
        <v>0</v>
      </c>
      <c r="DZ162" s="659" t="s">
        <v>181</v>
      </c>
      <c r="EC162" s="101">
        <f>SUMIF($D$5:$D$125,"=zuz",EC5:EC125)*HLOOKUP(DX128,Verteil_rwgr,43,FALSE)</f>
        <v>0</v>
      </c>
      <c r="ED162" s="236">
        <f>SUMIF($D$5:$D$125,"=zuz",ED5:ED125)*HLOOKUP(DX128,Verteil_rwgr,43,FALSE)</f>
        <v>0</v>
      </c>
    </row>
    <row r="163" spans="1:134" hidden="1" x14ac:dyDescent="0.3">
      <c r="A163" s="84" t="s">
        <v>186</v>
      </c>
      <c r="Q163" s="238">
        <v>36</v>
      </c>
      <c r="R163" s="403"/>
      <c r="V163" s="101"/>
      <c r="W163" s="102">
        <f t="shared" ref="W163" si="974">IF(X160&lt;&gt;0,X163/X160,0)</f>
        <v>0</v>
      </c>
      <c r="X163" s="179"/>
      <c r="Z163" s="84" t="s">
        <v>186</v>
      </c>
      <c r="AC163" s="101"/>
      <c r="AD163" s="236"/>
      <c r="AE163" s="403"/>
      <c r="AI163" s="101"/>
      <c r="AJ163" s="102">
        <f t="shared" ref="AJ163" si="975">IF(AK160&lt;&gt;0,AK163/AK160,0)</f>
        <v>0</v>
      </c>
      <c r="AK163" s="179"/>
      <c r="AM163" s="659" t="s">
        <v>186</v>
      </c>
      <c r="AP163" s="101"/>
      <c r="AQ163" s="236"/>
      <c r="AR163" s="403"/>
      <c r="AV163" s="101"/>
      <c r="AW163" s="102">
        <f t="shared" ref="AW163" si="976">IF(AX160&lt;&gt;0,AX163/AX160,0)</f>
        <v>0</v>
      </c>
      <c r="AX163" s="179"/>
      <c r="AZ163" s="659" t="s">
        <v>186</v>
      </c>
      <c r="BC163" s="101"/>
      <c r="BD163" s="236"/>
      <c r="BE163" s="403"/>
      <c r="BI163" s="101"/>
      <c r="BJ163" s="102">
        <f t="shared" ref="BJ163" si="977">IF(BK160&lt;&gt;0,BK163/BK160,0)</f>
        <v>0</v>
      </c>
      <c r="BK163" s="179"/>
      <c r="BM163" s="659" t="s">
        <v>186</v>
      </c>
      <c r="BP163" s="101"/>
      <c r="BQ163" s="236"/>
      <c r="BR163" s="403"/>
      <c r="BV163" s="101"/>
      <c r="BW163" s="102">
        <f t="shared" ref="BW163" si="978">IF(BX160&lt;&gt;0,BX163/BX160,0)</f>
        <v>0</v>
      </c>
      <c r="BX163" s="179"/>
      <c r="BZ163" s="659" t="s">
        <v>186</v>
      </c>
      <c r="CC163" s="101"/>
      <c r="CD163" s="236"/>
      <c r="CE163" s="403"/>
      <c r="CI163" s="101"/>
      <c r="CJ163" s="102">
        <f t="shared" ref="CJ163" si="979">IF(CK160&lt;&gt;0,CK163/CK160,0)</f>
        <v>0</v>
      </c>
      <c r="CK163" s="179"/>
      <c r="CM163" s="659" t="s">
        <v>186</v>
      </c>
      <c r="CP163" s="101"/>
      <c r="CQ163" s="236"/>
      <c r="CR163" s="403"/>
      <c r="CV163" s="101"/>
      <c r="CW163" s="102">
        <f t="shared" ref="CW163" si="980">IF(CX160&lt;&gt;0,CX163/CX160,0)</f>
        <v>0</v>
      </c>
      <c r="CX163" s="179"/>
      <c r="CZ163" s="659" t="s">
        <v>186</v>
      </c>
      <c r="DC163" s="101"/>
      <c r="DD163" s="236"/>
      <c r="DE163" s="403"/>
      <c r="DI163" s="101"/>
      <c r="DJ163" s="102">
        <f t="shared" ref="DJ163" si="981">IF(DK160&lt;&gt;0,DK163/DK160,0)</f>
        <v>0</v>
      </c>
      <c r="DK163" s="179"/>
      <c r="DM163" s="659" t="s">
        <v>186</v>
      </c>
      <c r="DP163" s="101"/>
      <c r="DQ163" s="236"/>
      <c r="DR163" s="403"/>
      <c r="DV163" s="101"/>
      <c r="DW163" s="102">
        <f t="shared" ref="DW163" si="982">IF(DX160&lt;&gt;0,DX163/DX160,0)</f>
        <v>0</v>
      </c>
      <c r="DX163" s="179"/>
      <c r="DZ163" s="659" t="s">
        <v>186</v>
      </c>
      <c r="EC163" s="101"/>
      <c r="ED163" s="236"/>
    </row>
    <row r="164" spans="1:134" hidden="1" x14ac:dyDescent="0.3">
      <c r="A164" s="104" t="s">
        <v>498</v>
      </c>
      <c r="Q164" s="238">
        <v>37</v>
      </c>
      <c r="R164" s="403"/>
      <c r="V164" s="179">
        <f>SUM(V156,V160)</f>
        <v>2701000</v>
      </c>
      <c r="W164" s="102">
        <f>SUM(W165:W167)</f>
        <v>0</v>
      </c>
      <c r="X164" s="65">
        <f>ROUND(SUM(X156,X160),2)</f>
        <v>0</v>
      </c>
      <c r="Z164" s="104" t="s">
        <v>498</v>
      </c>
      <c r="AC164" s="179">
        <f>SUM(AC156,AC160)</f>
        <v>0</v>
      </c>
      <c r="AD164" s="237">
        <f>SUM(AD156,AD160)</f>
        <v>0</v>
      </c>
      <c r="AE164" s="403"/>
      <c r="AI164" s="179">
        <f t="shared" ref="AI164:BI167" si="983">SUM(AI156,AI160)</f>
        <v>2701000</v>
      </c>
      <c r="AJ164" s="102">
        <f t="shared" ref="AJ164" si="984">SUM(AJ165:AJ167)</f>
        <v>0</v>
      </c>
      <c r="AK164" s="65">
        <f t="shared" ref="AK164:BK167" si="985">ROUND(SUM(AK156,AK160),2)</f>
        <v>0</v>
      </c>
      <c r="AM164" s="658" t="s">
        <v>498</v>
      </c>
      <c r="AP164" s="179">
        <f t="shared" ref="AP164:AQ164" si="986">SUM(AP156,AP160)</f>
        <v>0</v>
      </c>
      <c r="AQ164" s="237">
        <f t="shared" si="986"/>
        <v>0</v>
      </c>
      <c r="AR164" s="403"/>
      <c r="AV164" s="179">
        <f t="shared" ref="AV164" si="987">SUM(AV156,AV160)</f>
        <v>2701000</v>
      </c>
      <c r="AW164" s="102">
        <f t="shared" ref="AW164" si="988">SUM(AW165:AW167)</f>
        <v>0</v>
      </c>
      <c r="AX164" s="65">
        <f t="shared" ref="AX164" si="989">ROUND(SUM(AX156,AX160),2)</f>
        <v>0</v>
      </c>
      <c r="AZ164" s="658" t="s">
        <v>498</v>
      </c>
      <c r="BC164" s="179">
        <f t="shared" ref="BC164:BD164" si="990">SUM(BC156,BC160)</f>
        <v>0</v>
      </c>
      <c r="BD164" s="237">
        <f t="shared" si="990"/>
        <v>0</v>
      </c>
      <c r="BE164" s="403"/>
      <c r="BI164" s="179">
        <f t="shared" ref="BI164" si="991">SUM(BI156,BI160)</f>
        <v>2701000</v>
      </c>
      <c r="BJ164" s="102">
        <f t="shared" ref="BJ164" si="992">SUM(BJ165:BJ167)</f>
        <v>0</v>
      </c>
      <c r="BK164" s="65">
        <f t="shared" ref="BK164" si="993">ROUND(SUM(BK156,BK160),2)</f>
        <v>0</v>
      </c>
      <c r="BM164" s="658" t="s">
        <v>498</v>
      </c>
      <c r="BP164" s="179">
        <f t="shared" ref="BP164:BQ164" si="994">SUM(BP156,BP160)</f>
        <v>0</v>
      </c>
      <c r="BQ164" s="237">
        <f t="shared" si="994"/>
        <v>0</v>
      </c>
      <c r="BR164" s="403"/>
      <c r="BV164" s="179">
        <f t="shared" ref="BV164:CV167" si="995">SUM(BV156,BV160)</f>
        <v>2701000</v>
      </c>
      <c r="BW164" s="102">
        <f t="shared" ref="BW164" si="996">SUM(BW165:BW167)</f>
        <v>0</v>
      </c>
      <c r="BX164" s="65">
        <f t="shared" ref="BX164:CX167" si="997">ROUND(SUM(BX156,BX160),2)</f>
        <v>0</v>
      </c>
      <c r="BZ164" s="658" t="s">
        <v>498</v>
      </c>
      <c r="CC164" s="179">
        <f t="shared" ref="CC164:CD164" si="998">SUM(CC156,CC160)</f>
        <v>0</v>
      </c>
      <c r="CD164" s="237">
        <f t="shared" si="998"/>
        <v>0</v>
      </c>
      <c r="CE164" s="403"/>
      <c r="CI164" s="179">
        <f t="shared" ref="CI164" si="999">SUM(CI156,CI160)</f>
        <v>2701000</v>
      </c>
      <c r="CJ164" s="102">
        <f t="shared" ref="CJ164" si="1000">SUM(CJ165:CJ167)</f>
        <v>0</v>
      </c>
      <c r="CK164" s="65">
        <f t="shared" ref="CK164" si="1001">ROUND(SUM(CK156,CK160),2)</f>
        <v>0</v>
      </c>
      <c r="CM164" s="658" t="s">
        <v>498</v>
      </c>
      <c r="CP164" s="179">
        <f t="shared" ref="CP164:CQ164" si="1002">SUM(CP156,CP160)</f>
        <v>0</v>
      </c>
      <c r="CQ164" s="237">
        <f t="shared" si="1002"/>
        <v>0</v>
      </c>
      <c r="CR164" s="403"/>
      <c r="CV164" s="179">
        <f t="shared" ref="CV164" si="1003">SUM(CV156,CV160)</f>
        <v>2701000</v>
      </c>
      <c r="CW164" s="102">
        <f t="shared" ref="CW164" si="1004">SUM(CW165:CW167)</f>
        <v>0</v>
      </c>
      <c r="CX164" s="65">
        <f t="shared" ref="CX164" si="1005">ROUND(SUM(CX156,CX160),2)</f>
        <v>0</v>
      </c>
      <c r="CZ164" s="658" t="s">
        <v>498</v>
      </c>
      <c r="DC164" s="179">
        <f t="shared" ref="DC164:DD164" si="1006">SUM(DC156,DC160)</f>
        <v>0</v>
      </c>
      <c r="DD164" s="237">
        <f t="shared" si="1006"/>
        <v>0</v>
      </c>
      <c r="DE164" s="403"/>
      <c r="DI164" s="179">
        <f t="shared" ref="DI164:DV167" si="1007">SUM(DI156,DI160)</f>
        <v>2701000</v>
      </c>
      <c r="DJ164" s="102">
        <f t="shared" ref="DJ164" si="1008">SUM(DJ165:DJ167)</f>
        <v>0</v>
      </c>
      <c r="DK164" s="65">
        <f t="shared" ref="DK164:DX167" si="1009">ROUND(SUM(DK156,DK160),2)</f>
        <v>0</v>
      </c>
      <c r="DM164" s="658" t="s">
        <v>498</v>
      </c>
      <c r="DP164" s="179">
        <f t="shared" ref="DP164:DQ164" si="1010">SUM(DP156,DP160)</f>
        <v>0</v>
      </c>
      <c r="DQ164" s="237">
        <f t="shared" si="1010"/>
        <v>0</v>
      </c>
      <c r="DR164" s="403"/>
      <c r="DV164" s="179">
        <f t="shared" ref="DV164" si="1011">SUM(DV156,DV160)</f>
        <v>2701000</v>
      </c>
      <c r="DW164" s="102">
        <f t="shared" ref="DW164" si="1012">SUM(DW165:DW167)</f>
        <v>0</v>
      </c>
      <c r="DX164" s="65">
        <f t="shared" ref="DX164" si="1013">ROUND(SUM(DX156,DX160),2)</f>
        <v>0</v>
      </c>
      <c r="DZ164" s="658" t="s">
        <v>498</v>
      </c>
      <c r="EC164" s="179">
        <f t="shared" ref="EC164:ED164" si="1014">SUM(EC156,EC160)</f>
        <v>0</v>
      </c>
      <c r="ED164" s="237">
        <f t="shared" si="1014"/>
        <v>0</v>
      </c>
    </row>
    <row r="165" spans="1:134" hidden="1" x14ac:dyDescent="0.3">
      <c r="A165" s="84" t="s">
        <v>180</v>
      </c>
      <c r="Q165" s="238">
        <v>38</v>
      </c>
      <c r="R165" s="403"/>
      <c r="V165" s="179">
        <f t="shared" ref="V165:V167" si="1015">SUM(V157,V161)</f>
        <v>1371000</v>
      </c>
      <c r="W165" s="102">
        <f>IF(X164&lt;&gt;0,X165/X164,0)</f>
        <v>0</v>
      </c>
      <c r="X165" s="65">
        <f t="shared" ref="X165:X167" si="1016">ROUND(SUM(X157,X161),2)</f>
        <v>0</v>
      </c>
      <c r="Z165" s="84" t="s">
        <v>180</v>
      </c>
      <c r="AC165" s="179">
        <f t="shared" ref="AC165:AD167" si="1017">SUM(AC157,AC161)</f>
        <v>0</v>
      </c>
      <c r="AD165" s="237">
        <f t="shared" si="1017"/>
        <v>0</v>
      </c>
      <c r="AE165" s="403"/>
      <c r="AI165" s="179">
        <f t="shared" si="983"/>
        <v>1371000</v>
      </c>
      <c r="AJ165" s="102">
        <f t="shared" ref="AJ165" si="1018">IF(AK164&lt;&gt;0,AK165/AK164,0)</f>
        <v>0</v>
      </c>
      <c r="AK165" s="65">
        <f t="shared" si="985"/>
        <v>0</v>
      </c>
      <c r="AM165" s="659" t="s">
        <v>180</v>
      </c>
      <c r="AP165" s="179">
        <f t="shared" ref="AP165:AQ165" si="1019">SUM(AP157,AP161)</f>
        <v>0</v>
      </c>
      <c r="AQ165" s="237">
        <f t="shared" si="1019"/>
        <v>0</v>
      </c>
      <c r="AR165" s="403"/>
      <c r="AV165" s="179">
        <f t="shared" si="983"/>
        <v>1371000</v>
      </c>
      <c r="AW165" s="102">
        <f t="shared" ref="AW165" si="1020">IF(AX164&lt;&gt;0,AX165/AX164,0)</f>
        <v>0</v>
      </c>
      <c r="AX165" s="65">
        <f t="shared" si="985"/>
        <v>0</v>
      </c>
      <c r="AZ165" s="659" t="s">
        <v>180</v>
      </c>
      <c r="BC165" s="179">
        <f t="shared" ref="BC165:BD165" si="1021">SUM(BC157,BC161)</f>
        <v>0</v>
      </c>
      <c r="BD165" s="237">
        <f t="shared" si="1021"/>
        <v>0</v>
      </c>
      <c r="BE165" s="403"/>
      <c r="BI165" s="179">
        <f t="shared" si="983"/>
        <v>1371000</v>
      </c>
      <c r="BJ165" s="102">
        <f t="shared" ref="BJ165" si="1022">IF(BK164&lt;&gt;0,BK165/BK164,0)</f>
        <v>0</v>
      </c>
      <c r="BK165" s="65">
        <f t="shared" si="985"/>
        <v>0</v>
      </c>
      <c r="BM165" s="659" t="s">
        <v>180</v>
      </c>
      <c r="BP165" s="179">
        <f t="shared" ref="BP165:BQ165" si="1023">SUM(BP157,BP161)</f>
        <v>0</v>
      </c>
      <c r="BQ165" s="237">
        <f t="shared" si="1023"/>
        <v>0</v>
      </c>
      <c r="BR165" s="403"/>
      <c r="BV165" s="179">
        <f t="shared" si="995"/>
        <v>1371000</v>
      </c>
      <c r="BW165" s="102">
        <f t="shared" ref="BW165" si="1024">IF(BX164&lt;&gt;0,BX165/BX164,0)</f>
        <v>0</v>
      </c>
      <c r="BX165" s="65">
        <f t="shared" si="997"/>
        <v>0</v>
      </c>
      <c r="BZ165" s="659" t="s">
        <v>180</v>
      </c>
      <c r="CC165" s="179">
        <f t="shared" ref="CC165:CD165" si="1025">SUM(CC157,CC161)</f>
        <v>0</v>
      </c>
      <c r="CD165" s="237">
        <f t="shared" si="1025"/>
        <v>0</v>
      </c>
      <c r="CE165" s="403"/>
      <c r="CI165" s="179">
        <f t="shared" si="995"/>
        <v>1371000</v>
      </c>
      <c r="CJ165" s="102">
        <f t="shared" ref="CJ165" si="1026">IF(CK164&lt;&gt;0,CK165/CK164,0)</f>
        <v>0</v>
      </c>
      <c r="CK165" s="65">
        <f t="shared" si="997"/>
        <v>0</v>
      </c>
      <c r="CM165" s="659" t="s">
        <v>180</v>
      </c>
      <c r="CP165" s="179">
        <f t="shared" ref="CP165:CQ165" si="1027">SUM(CP157,CP161)</f>
        <v>0</v>
      </c>
      <c r="CQ165" s="237">
        <f t="shared" si="1027"/>
        <v>0</v>
      </c>
      <c r="CR165" s="403"/>
      <c r="CV165" s="179">
        <f t="shared" si="995"/>
        <v>1371000</v>
      </c>
      <c r="CW165" s="102">
        <f t="shared" ref="CW165" si="1028">IF(CX164&lt;&gt;0,CX165/CX164,0)</f>
        <v>0</v>
      </c>
      <c r="CX165" s="65">
        <f t="shared" si="997"/>
        <v>0</v>
      </c>
      <c r="CZ165" s="659" t="s">
        <v>180</v>
      </c>
      <c r="DC165" s="179">
        <f t="shared" ref="DC165:DD165" si="1029">SUM(DC157,DC161)</f>
        <v>0</v>
      </c>
      <c r="DD165" s="237">
        <f t="shared" si="1029"/>
        <v>0</v>
      </c>
      <c r="DE165" s="403"/>
      <c r="DI165" s="179">
        <f t="shared" si="1007"/>
        <v>1371000</v>
      </c>
      <c r="DJ165" s="102">
        <f t="shared" ref="DJ165" si="1030">IF(DK164&lt;&gt;0,DK165/DK164,0)</f>
        <v>0</v>
      </c>
      <c r="DK165" s="65">
        <f t="shared" si="1009"/>
        <v>0</v>
      </c>
      <c r="DM165" s="659" t="s">
        <v>180</v>
      </c>
      <c r="DP165" s="179">
        <f t="shared" ref="DP165:DQ165" si="1031">SUM(DP157,DP161)</f>
        <v>0</v>
      </c>
      <c r="DQ165" s="237">
        <f t="shared" si="1031"/>
        <v>0</v>
      </c>
      <c r="DR165" s="403"/>
      <c r="DV165" s="179">
        <f t="shared" si="1007"/>
        <v>1371000</v>
      </c>
      <c r="DW165" s="102">
        <f t="shared" ref="DW165" si="1032">IF(DX164&lt;&gt;0,DX165/DX164,0)</f>
        <v>0</v>
      </c>
      <c r="DX165" s="65">
        <f t="shared" si="1009"/>
        <v>0</v>
      </c>
      <c r="DZ165" s="659" t="s">
        <v>180</v>
      </c>
      <c r="EC165" s="179">
        <f t="shared" ref="EC165:ED165" si="1033">SUM(EC157,EC161)</f>
        <v>0</v>
      </c>
      <c r="ED165" s="237">
        <f t="shared" si="1033"/>
        <v>0</v>
      </c>
    </row>
    <row r="166" spans="1:134" hidden="1" x14ac:dyDescent="0.3">
      <c r="A166" s="84" t="s">
        <v>181</v>
      </c>
      <c r="Q166" s="238">
        <v>39</v>
      </c>
      <c r="R166" s="403"/>
      <c r="V166" s="179">
        <f t="shared" si="1015"/>
        <v>1330000</v>
      </c>
      <c r="W166" s="102">
        <f>IF(X164&lt;&gt;0,X166/X164,0)</f>
        <v>0</v>
      </c>
      <c r="X166" s="65">
        <f t="shared" si="1016"/>
        <v>0</v>
      </c>
      <c r="Z166" s="84" t="s">
        <v>181</v>
      </c>
      <c r="AC166" s="179">
        <f t="shared" si="1017"/>
        <v>0</v>
      </c>
      <c r="AD166" s="237">
        <f t="shared" si="1017"/>
        <v>0</v>
      </c>
      <c r="AE166" s="403"/>
      <c r="AI166" s="179">
        <f t="shared" si="983"/>
        <v>1330000</v>
      </c>
      <c r="AJ166" s="102">
        <f t="shared" ref="AJ166" si="1034">IF(AK164&lt;&gt;0,AK166/AK164,0)</f>
        <v>0</v>
      </c>
      <c r="AK166" s="65">
        <f t="shared" si="985"/>
        <v>0</v>
      </c>
      <c r="AM166" s="659" t="s">
        <v>181</v>
      </c>
      <c r="AP166" s="179">
        <f t="shared" ref="AP166:AQ166" si="1035">SUM(AP158,AP162)</f>
        <v>0</v>
      </c>
      <c r="AQ166" s="237">
        <f t="shared" si="1035"/>
        <v>0</v>
      </c>
      <c r="AR166" s="403"/>
      <c r="AV166" s="179">
        <f t="shared" si="983"/>
        <v>1330000</v>
      </c>
      <c r="AW166" s="102">
        <f t="shared" ref="AW166" si="1036">IF(AX164&lt;&gt;0,AX166/AX164,0)</f>
        <v>0</v>
      </c>
      <c r="AX166" s="65">
        <f t="shared" si="985"/>
        <v>0</v>
      </c>
      <c r="AZ166" s="659" t="s">
        <v>181</v>
      </c>
      <c r="BC166" s="179">
        <f t="shared" ref="BC166:BD166" si="1037">SUM(BC158,BC162)</f>
        <v>0</v>
      </c>
      <c r="BD166" s="237">
        <f t="shared" si="1037"/>
        <v>0</v>
      </c>
      <c r="BE166" s="403"/>
      <c r="BI166" s="179">
        <f t="shared" si="983"/>
        <v>1330000</v>
      </c>
      <c r="BJ166" s="102">
        <f t="shared" ref="BJ166" si="1038">IF(BK164&lt;&gt;0,BK166/BK164,0)</f>
        <v>0</v>
      </c>
      <c r="BK166" s="65">
        <f t="shared" si="985"/>
        <v>0</v>
      </c>
      <c r="BM166" s="659" t="s">
        <v>181</v>
      </c>
      <c r="BP166" s="179">
        <f t="shared" ref="BP166:BQ166" si="1039">SUM(BP158,BP162)</f>
        <v>0</v>
      </c>
      <c r="BQ166" s="237">
        <f t="shared" si="1039"/>
        <v>0</v>
      </c>
      <c r="BR166" s="403"/>
      <c r="BV166" s="179">
        <f t="shared" si="995"/>
        <v>1330000</v>
      </c>
      <c r="BW166" s="102">
        <f t="shared" ref="BW166" si="1040">IF(BX164&lt;&gt;0,BX166/BX164,0)</f>
        <v>0</v>
      </c>
      <c r="BX166" s="65">
        <f t="shared" si="997"/>
        <v>0</v>
      </c>
      <c r="BZ166" s="659" t="s">
        <v>181</v>
      </c>
      <c r="CC166" s="179">
        <f t="shared" ref="CC166:CD166" si="1041">SUM(CC158,CC162)</f>
        <v>0</v>
      </c>
      <c r="CD166" s="237">
        <f t="shared" si="1041"/>
        <v>0</v>
      </c>
      <c r="CE166" s="403"/>
      <c r="CI166" s="179">
        <f t="shared" si="995"/>
        <v>1330000</v>
      </c>
      <c r="CJ166" s="102">
        <f t="shared" ref="CJ166" si="1042">IF(CK164&lt;&gt;0,CK166/CK164,0)</f>
        <v>0</v>
      </c>
      <c r="CK166" s="65">
        <f t="shared" si="997"/>
        <v>0</v>
      </c>
      <c r="CM166" s="659" t="s">
        <v>181</v>
      </c>
      <c r="CP166" s="179">
        <f t="shared" ref="CP166:CQ166" si="1043">SUM(CP158,CP162)</f>
        <v>0</v>
      </c>
      <c r="CQ166" s="237">
        <f t="shared" si="1043"/>
        <v>0</v>
      </c>
      <c r="CR166" s="403"/>
      <c r="CV166" s="179">
        <f t="shared" si="995"/>
        <v>1330000</v>
      </c>
      <c r="CW166" s="102">
        <f t="shared" ref="CW166" si="1044">IF(CX164&lt;&gt;0,CX166/CX164,0)</f>
        <v>0</v>
      </c>
      <c r="CX166" s="65">
        <f t="shared" si="997"/>
        <v>0</v>
      </c>
      <c r="CZ166" s="659" t="s">
        <v>181</v>
      </c>
      <c r="DC166" s="179">
        <f t="shared" ref="DC166:DD166" si="1045">SUM(DC158,DC162)</f>
        <v>0</v>
      </c>
      <c r="DD166" s="237">
        <f t="shared" si="1045"/>
        <v>0</v>
      </c>
      <c r="DE166" s="403"/>
      <c r="DI166" s="179">
        <f t="shared" si="1007"/>
        <v>1330000</v>
      </c>
      <c r="DJ166" s="102">
        <f t="shared" ref="DJ166" si="1046">IF(DK164&lt;&gt;0,DK166/DK164,0)</f>
        <v>0</v>
      </c>
      <c r="DK166" s="65">
        <f t="shared" si="1009"/>
        <v>0</v>
      </c>
      <c r="DM166" s="659" t="s">
        <v>181</v>
      </c>
      <c r="DP166" s="179">
        <f t="shared" ref="DP166:DQ166" si="1047">SUM(DP158,DP162)</f>
        <v>0</v>
      </c>
      <c r="DQ166" s="237">
        <f t="shared" si="1047"/>
        <v>0</v>
      </c>
      <c r="DR166" s="403"/>
      <c r="DV166" s="179">
        <f t="shared" si="1007"/>
        <v>1330000</v>
      </c>
      <c r="DW166" s="102">
        <f t="shared" ref="DW166" si="1048">IF(DX164&lt;&gt;0,DX166/DX164,0)</f>
        <v>0</v>
      </c>
      <c r="DX166" s="65">
        <f t="shared" si="1009"/>
        <v>0</v>
      </c>
      <c r="DZ166" s="659" t="s">
        <v>181</v>
      </c>
      <c r="EC166" s="179">
        <f t="shared" ref="EC166:ED166" si="1049">SUM(EC158,EC162)</f>
        <v>0</v>
      </c>
      <c r="ED166" s="237">
        <f t="shared" si="1049"/>
        <v>0</v>
      </c>
    </row>
    <row r="167" spans="1:134" hidden="1" x14ac:dyDescent="0.3">
      <c r="A167" s="84" t="s">
        <v>531</v>
      </c>
      <c r="Q167" s="238">
        <v>40</v>
      </c>
      <c r="R167" s="403"/>
      <c r="V167" s="179">
        <f t="shared" si="1015"/>
        <v>0</v>
      </c>
      <c r="W167" s="102">
        <f>IF(X164&lt;&gt;0,X167/X164,0)</f>
        <v>0</v>
      </c>
      <c r="X167" s="65">
        <f t="shared" si="1016"/>
        <v>0</v>
      </c>
      <c r="Z167" s="84" t="s">
        <v>531</v>
      </c>
      <c r="AC167" s="179">
        <f t="shared" si="1017"/>
        <v>0</v>
      </c>
      <c r="AD167" s="237">
        <f t="shared" si="1017"/>
        <v>0</v>
      </c>
      <c r="AE167" s="403"/>
      <c r="AI167" s="179">
        <f t="shared" si="983"/>
        <v>0</v>
      </c>
      <c r="AJ167" s="102">
        <f t="shared" ref="AJ167" si="1050">IF(AK164&lt;&gt;0,AK167/AK164,0)</f>
        <v>0</v>
      </c>
      <c r="AK167" s="65">
        <f t="shared" si="985"/>
        <v>0</v>
      </c>
      <c r="AM167" s="659" t="s">
        <v>531</v>
      </c>
      <c r="AP167" s="179">
        <f t="shared" ref="AP167:AQ167" si="1051">SUM(AP159,AP163)</f>
        <v>0</v>
      </c>
      <c r="AQ167" s="237">
        <f t="shared" si="1051"/>
        <v>0</v>
      </c>
      <c r="AR167" s="403"/>
      <c r="AV167" s="179">
        <f t="shared" si="983"/>
        <v>0</v>
      </c>
      <c r="AW167" s="102">
        <f t="shared" ref="AW167" si="1052">IF(AX164&lt;&gt;0,AX167/AX164,0)</f>
        <v>0</v>
      </c>
      <c r="AX167" s="65">
        <f t="shared" si="985"/>
        <v>0</v>
      </c>
      <c r="AZ167" s="659" t="s">
        <v>531</v>
      </c>
      <c r="BC167" s="179">
        <f t="shared" ref="BC167:BD167" si="1053">SUM(BC159,BC163)</f>
        <v>0</v>
      </c>
      <c r="BD167" s="237">
        <f t="shared" si="1053"/>
        <v>0</v>
      </c>
      <c r="BE167" s="403"/>
      <c r="BI167" s="179">
        <f t="shared" si="983"/>
        <v>0</v>
      </c>
      <c r="BJ167" s="102">
        <f t="shared" ref="BJ167" si="1054">IF(BK164&lt;&gt;0,BK167/BK164,0)</f>
        <v>0</v>
      </c>
      <c r="BK167" s="65">
        <f t="shared" si="985"/>
        <v>0</v>
      </c>
      <c r="BM167" s="659" t="s">
        <v>531</v>
      </c>
      <c r="BP167" s="179">
        <f t="shared" ref="BP167:BQ167" si="1055">SUM(BP159,BP163)</f>
        <v>0</v>
      </c>
      <c r="BQ167" s="237">
        <f t="shared" si="1055"/>
        <v>0</v>
      </c>
      <c r="BR167" s="403"/>
      <c r="BV167" s="179">
        <f t="shared" si="995"/>
        <v>0</v>
      </c>
      <c r="BW167" s="102">
        <f t="shared" ref="BW167" si="1056">IF(BX164&lt;&gt;0,BX167/BX164,0)</f>
        <v>0</v>
      </c>
      <c r="BX167" s="65">
        <f t="shared" si="997"/>
        <v>0</v>
      </c>
      <c r="BZ167" s="659" t="s">
        <v>531</v>
      </c>
      <c r="CC167" s="179">
        <f t="shared" ref="CC167:CD167" si="1057">SUM(CC159,CC163)</f>
        <v>0</v>
      </c>
      <c r="CD167" s="237">
        <f t="shared" si="1057"/>
        <v>0</v>
      </c>
      <c r="CE167" s="403"/>
      <c r="CI167" s="179">
        <f t="shared" si="995"/>
        <v>0</v>
      </c>
      <c r="CJ167" s="102">
        <f t="shared" ref="CJ167" si="1058">IF(CK164&lt;&gt;0,CK167/CK164,0)</f>
        <v>0</v>
      </c>
      <c r="CK167" s="65">
        <f t="shared" si="997"/>
        <v>0</v>
      </c>
      <c r="CM167" s="659" t="s">
        <v>531</v>
      </c>
      <c r="CP167" s="179">
        <f t="shared" ref="CP167:CQ167" si="1059">SUM(CP159,CP163)</f>
        <v>0</v>
      </c>
      <c r="CQ167" s="237">
        <f t="shared" si="1059"/>
        <v>0</v>
      </c>
      <c r="CR167" s="403"/>
      <c r="CV167" s="179">
        <f t="shared" si="995"/>
        <v>0</v>
      </c>
      <c r="CW167" s="102">
        <f t="shared" ref="CW167" si="1060">IF(CX164&lt;&gt;0,CX167/CX164,0)</f>
        <v>0</v>
      </c>
      <c r="CX167" s="65">
        <f t="shared" si="997"/>
        <v>0</v>
      </c>
      <c r="CZ167" s="659" t="s">
        <v>531</v>
      </c>
      <c r="DC167" s="179">
        <f t="shared" ref="DC167:DD167" si="1061">SUM(DC159,DC163)</f>
        <v>0</v>
      </c>
      <c r="DD167" s="237">
        <f t="shared" si="1061"/>
        <v>0</v>
      </c>
      <c r="DE167" s="403"/>
      <c r="DI167" s="179">
        <f t="shared" si="1007"/>
        <v>0</v>
      </c>
      <c r="DJ167" s="102">
        <f t="shared" ref="DJ167" si="1062">IF(DK164&lt;&gt;0,DK167/DK164,0)</f>
        <v>0</v>
      </c>
      <c r="DK167" s="65">
        <f t="shared" si="1009"/>
        <v>0</v>
      </c>
      <c r="DM167" s="659" t="s">
        <v>531</v>
      </c>
      <c r="DP167" s="179">
        <f t="shared" ref="DP167:DQ167" si="1063">SUM(DP159,DP163)</f>
        <v>0</v>
      </c>
      <c r="DQ167" s="237">
        <f t="shared" si="1063"/>
        <v>0</v>
      </c>
      <c r="DR167" s="403"/>
      <c r="DV167" s="179">
        <f t="shared" si="1007"/>
        <v>0</v>
      </c>
      <c r="DW167" s="102">
        <f t="shared" ref="DW167" si="1064">IF(DX164&lt;&gt;0,DX167/DX164,0)</f>
        <v>0</v>
      </c>
      <c r="DX167" s="65">
        <f t="shared" si="1009"/>
        <v>0</v>
      </c>
      <c r="DZ167" s="659" t="s">
        <v>531</v>
      </c>
      <c r="EC167" s="179">
        <f t="shared" ref="EC167:ED167" si="1065">SUM(EC159,EC163)</f>
        <v>0</v>
      </c>
      <c r="ED167" s="237">
        <f t="shared" si="1065"/>
        <v>0</v>
      </c>
    </row>
    <row r="168" spans="1:134" ht="18" hidden="1" x14ac:dyDescent="0.35">
      <c r="Q168" s="238">
        <v>41</v>
      </c>
      <c r="R168" s="404" t="s">
        <v>706</v>
      </c>
      <c r="AD168" s="217"/>
      <c r="AE168" s="404" t="s">
        <v>706</v>
      </c>
      <c r="AQ168" s="217"/>
      <c r="AR168" s="404" t="s">
        <v>706</v>
      </c>
      <c r="BD168" s="217"/>
      <c r="BE168" s="404" t="s">
        <v>706</v>
      </c>
      <c r="BQ168" s="217"/>
      <c r="BR168" s="404" t="s">
        <v>706</v>
      </c>
      <c r="CD168" s="217"/>
      <c r="CE168" s="404" t="s">
        <v>706</v>
      </c>
      <c r="CQ168" s="217"/>
      <c r="CR168" s="404" t="s">
        <v>706</v>
      </c>
      <c r="DD168" s="217"/>
      <c r="DE168" s="404" t="s">
        <v>706</v>
      </c>
      <c r="DQ168" s="217"/>
      <c r="DR168" s="404" t="s">
        <v>706</v>
      </c>
      <c r="ED168" s="217"/>
    </row>
    <row r="169" spans="1:134" ht="18" hidden="1" x14ac:dyDescent="0.35">
      <c r="A169" s="184" t="s">
        <v>706</v>
      </c>
      <c r="Q169" s="238">
        <v>42</v>
      </c>
      <c r="R169" s="403"/>
      <c r="W169" s="102">
        <f>SUM(W170:W172)</f>
        <v>0.99999979669577788</v>
      </c>
      <c r="X169" s="65">
        <f>X151+X164</f>
        <v>49187.37</v>
      </c>
      <c r="Z169" s="216" t="s">
        <v>740</v>
      </c>
      <c r="AD169" s="217"/>
      <c r="AE169" s="403"/>
      <c r="AJ169" s="102">
        <f t="shared" ref="AJ169" si="1066">SUM(AJ170:AJ172)</f>
        <v>0.99999978872497008</v>
      </c>
      <c r="AK169" s="65">
        <f t="shared" ref="AK169:BK172" si="1067">AK151+AK164</f>
        <v>47331.67</v>
      </c>
      <c r="AM169" s="216" t="s">
        <v>740</v>
      </c>
      <c r="AQ169" s="217"/>
      <c r="AR169" s="403"/>
      <c r="AW169" s="102">
        <f t="shared" ref="AW169" si="1068">SUM(AW170:AW172)</f>
        <v>0.99999978044160653</v>
      </c>
      <c r="AX169" s="65">
        <f t="shared" ref="AX169" si="1069">AX151+AX164</f>
        <v>45545.97</v>
      </c>
      <c r="AZ169" s="216" t="s">
        <v>740</v>
      </c>
      <c r="BD169" s="217"/>
      <c r="BE169" s="403"/>
      <c r="BJ169" s="102">
        <f t="shared" ref="BJ169" si="1070">SUM(BJ170:BJ172)</f>
        <v>0.99999977166483978</v>
      </c>
      <c r="BK169" s="65">
        <f t="shared" ref="BK169" si="1071">BK151+BK164</f>
        <v>43795.27</v>
      </c>
      <c r="BM169" s="216" t="s">
        <v>740</v>
      </c>
      <c r="BQ169" s="217"/>
      <c r="BR169" s="403"/>
      <c r="BW169" s="102">
        <f t="shared" ref="BW169" si="1072">SUM(BW170:BW172)</f>
        <v>0.99999976215715858</v>
      </c>
      <c r="BX169" s="65">
        <f t="shared" ref="BX169:CX172" si="1073">BX151+BX164</f>
        <v>42044.57</v>
      </c>
      <c r="BZ169" s="216" t="s">
        <v>740</v>
      </c>
      <c r="CD169" s="217"/>
      <c r="CE169" s="403"/>
      <c r="CJ169" s="102">
        <f t="shared" ref="CJ169" si="1074">SUM(CJ170:CJ172)</f>
        <v>1</v>
      </c>
      <c r="CK169" s="65">
        <f t="shared" ref="CK169" si="1075">CK151+CK164</f>
        <v>34537.599999999999</v>
      </c>
      <c r="CM169" s="216" t="s">
        <v>740</v>
      </c>
      <c r="CQ169" s="217"/>
      <c r="CR169" s="403"/>
      <c r="CW169" s="102">
        <f t="shared" ref="CW169" si="1076">SUM(CW170:CW172)</f>
        <v>1</v>
      </c>
      <c r="CX169" s="65">
        <f t="shared" ref="CX169" si="1077">CX151+CX164</f>
        <v>33037</v>
      </c>
      <c r="CZ169" s="216" t="s">
        <v>740</v>
      </c>
      <c r="DD169" s="217"/>
      <c r="DE169" s="403"/>
      <c r="DJ169" s="102">
        <f t="shared" ref="DJ169" si="1078">SUM(DJ170:DJ172)</f>
        <v>1</v>
      </c>
      <c r="DK169" s="65">
        <f t="shared" ref="DK169:DX172" si="1079">DK151+DK164</f>
        <v>31536.400000000001</v>
      </c>
      <c r="DM169" s="216" t="s">
        <v>740</v>
      </c>
      <c r="DQ169" s="217"/>
      <c r="DR169" s="403"/>
      <c r="DW169" s="102">
        <f t="shared" ref="DW169" si="1080">SUM(DW170:DW172)</f>
        <v>1</v>
      </c>
      <c r="DX169" s="65">
        <f t="shared" ref="DX169" si="1081">DX151+DX164</f>
        <v>30035.8</v>
      </c>
      <c r="DZ169" s="216" t="s">
        <v>740</v>
      </c>
      <c r="ED169" s="217"/>
    </row>
    <row r="170" spans="1:134" hidden="1" x14ac:dyDescent="0.3">
      <c r="A170" s="84" t="s">
        <v>180</v>
      </c>
      <c r="Q170" s="238">
        <v>43</v>
      </c>
      <c r="R170" s="403"/>
      <c r="W170" s="102">
        <f>IF(X169&lt;&gt;0,X170/X169,0)</f>
        <v>0.51167667635004677</v>
      </c>
      <c r="X170" s="65">
        <f t="shared" ref="X170:X172" si="1082">X152+X165</f>
        <v>25168.03</v>
      </c>
      <c r="Z170" s="84" t="s">
        <v>180</v>
      </c>
      <c r="AD170" s="217"/>
      <c r="AE170" s="403"/>
      <c r="AJ170" s="102">
        <f t="shared" ref="AJ170" si="1083">IF(AK169&lt;&gt;0,AK170/AK169,0)</f>
        <v>0.51183129604343147</v>
      </c>
      <c r="AK170" s="65">
        <f t="shared" si="1067"/>
        <v>24225.83</v>
      </c>
      <c r="AM170" s="659" t="s">
        <v>180</v>
      </c>
      <c r="AQ170" s="217"/>
      <c r="AR170" s="403"/>
      <c r="AW170" s="102">
        <f t="shared" ref="AW170" si="1084">IF(AX169&lt;&gt;0,AX170/AX169,0)</f>
        <v>0.51198009395781885</v>
      </c>
      <c r="AX170" s="65">
        <f t="shared" si="1067"/>
        <v>23318.63</v>
      </c>
      <c r="AZ170" s="659" t="s">
        <v>180</v>
      </c>
      <c r="BD170" s="217"/>
      <c r="BE170" s="403"/>
      <c r="BJ170" s="102">
        <f t="shared" ref="BJ170" si="1085">IF(BK169&lt;&gt;0,BK170/BK169,0)</f>
        <v>0.51213133290421553</v>
      </c>
      <c r="BK170" s="65">
        <f t="shared" si="1067"/>
        <v>22428.93</v>
      </c>
      <c r="BM170" s="659" t="s">
        <v>180</v>
      </c>
      <c r="BQ170" s="217"/>
      <c r="BR170" s="403"/>
      <c r="BW170" s="102">
        <f t="shared" ref="BW170" si="1086">IF(BX169&lt;&gt;0,BX170/BX169,0)</f>
        <v>0.51229516677183284</v>
      </c>
      <c r="BX170" s="65">
        <f t="shared" si="1073"/>
        <v>21539.23</v>
      </c>
      <c r="BZ170" s="659" t="s">
        <v>180</v>
      </c>
      <c r="CD170" s="217"/>
      <c r="CE170" s="403"/>
      <c r="CJ170" s="102">
        <f t="shared" ref="CJ170" si="1087">IF(CK169&lt;&gt;0,CK170/CK169,0)</f>
        <v>0.51247336236449548</v>
      </c>
      <c r="CK170" s="65">
        <f t="shared" si="1073"/>
        <v>17699.599999999999</v>
      </c>
      <c r="CM170" s="659" t="s">
        <v>180</v>
      </c>
      <c r="CQ170" s="217"/>
      <c r="CR170" s="403"/>
      <c r="CW170" s="102">
        <f t="shared" ref="CW170" si="1088">IF(CX169&lt;&gt;0,CX170/CX169,0)</f>
        <v>0.51266761509822323</v>
      </c>
      <c r="CX170" s="65">
        <f t="shared" si="1073"/>
        <v>16937</v>
      </c>
      <c r="CZ170" s="659" t="s">
        <v>180</v>
      </c>
      <c r="DD170" s="217"/>
      <c r="DE170" s="403"/>
      <c r="DJ170" s="102">
        <f t="shared" ref="DJ170" si="1089">IF(DK169&lt;&gt;0,DK170/DK169,0)</f>
        <v>0.51288035413046507</v>
      </c>
      <c r="DK170" s="65">
        <f t="shared" si="1079"/>
        <v>16174.4</v>
      </c>
      <c r="DM170" s="659" t="s">
        <v>180</v>
      </c>
      <c r="DQ170" s="217"/>
      <c r="DR170" s="403"/>
      <c r="DW170" s="102">
        <f t="shared" ref="DW170" si="1090">IF(DX169&lt;&gt;0,DX170/DX169,0)</f>
        <v>0.51311435020875085</v>
      </c>
      <c r="DX170" s="65">
        <f t="shared" si="1079"/>
        <v>15411.8</v>
      </c>
      <c r="DZ170" s="659" t="s">
        <v>180</v>
      </c>
      <c r="ED170" s="217"/>
    </row>
    <row r="171" spans="1:134" hidden="1" x14ac:dyDescent="0.3">
      <c r="A171" s="84" t="s">
        <v>181</v>
      </c>
      <c r="Q171" s="238">
        <v>44</v>
      </c>
      <c r="R171" s="403"/>
      <c r="W171" s="102">
        <f>IF(X169&lt;&gt;0,X171/X169,0)</f>
        <v>0.48832312034573105</v>
      </c>
      <c r="X171" s="65">
        <f t="shared" si="1082"/>
        <v>24019.33</v>
      </c>
      <c r="Z171" s="84" t="s">
        <v>181</v>
      </c>
      <c r="AD171" s="217"/>
      <c r="AE171" s="403"/>
      <c r="AJ171" s="102">
        <f t="shared" ref="AJ171" si="1091">IF(AK169&lt;&gt;0,AK171/AK169,0)</f>
        <v>0.48816849268153867</v>
      </c>
      <c r="AK171" s="65">
        <f t="shared" si="1067"/>
        <v>23105.83</v>
      </c>
      <c r="AM171" s="659" t="s">
        <v>181</v>
      </c>
      <c r="AQ171" s="217"/>
      <c r="AR171" s="403"/>
      <c r="AW171" s="102">
        <f t="shared" ref="AW171" si="1092">IF(AX169&lt;&gt;0,AX171/AX169,0)</f>
        <v>0.48801968648378774</v>
      </c>
      <c r="AX171" s="65">
        <f t="shared" si="1067"/>
        <v>22227.33</v>
      </c>
      <c r="AZ171" s="659" t="s">
        <v>181</v>
      </c>
      <c r="BD171" s="217"/>
      <c r="BE171" s="403"/>
      <c r="BJ171" s="102">
        <f t="shared" ref="BJ171" si="1093">IF(BK169&lt;&gt;0,BK171/BK169,0)</f>
        <v>0.48786843876062425</v>
      </c>
      <c r="BK171" s="65">
        <f t="shared" si="1067"/>
        <v>21366.33</v>
      </c>
      <c r="BM171" s="659" t="s">
        <v>181</v>
      </c>
      <c r="BQ171" s="217"/>
      <c r="BR171" s="403"/>
      <c r="BW171" s="102">
        <f t="shared" ref="BW171" si="1094">IF(BX169&lt;&gt;0,BX171/BX169,0)</f>
        <v>0.48770459538532568</v>
      </c>
      <c r="BX171" s="65">
        <f t="shared" si="1073"/>
        <v>20505.330000000002</v>
      </c>
      <c r="BZ171" s="659" t="s">
        <v>181</v>
      </c>
      <c r="CD171" s="217"/>
      <c r="CE171" s="403"/>
      <c r="CJ171" s="102">
        <f t="shared" ref="CJ171" si="1095">IF(CK169&lt;&gt;0,CK171/CK169,0)</f>
        <v>0.48752663763550452</v>
      </c>
      <c r="CK171" s="65">
        <f t="shared" si="1073"/>
        <v>16838</v>
      </c>
      <c r="CM171" s="659" t="s">
        <v>181</v>
      </c>
      <c r="CQ171" s="217"/>
      <c r="CR171" s="403"/>
      <c r="CW171" s="102">
        <f t="shared" ref="CW171" si="1096">IF(CX169&lt;&gt;0,CX171/CX169,0)</f>
        <v>0.48733238490177677</v>
      </c>
      <c r="CX171" s="65">
        <f t="shared" si="1073"/>
        <v>16100</v>
      </c>
      <c r="CZ171" s="659" t="s">
        <v>181</v>
      </c>
      <c r="DD171" s="217"/>
      <c r="DE171" s="403"/>
      <c r="DJ171" s="102">
        <f t="shared" ref="DJ171" si="1097">IF(DK169&lt;&gt;0,DK171/DK169,0)</f>
        <v>0.48711964586953488</v>
      </c>
      <c r="DK171" s="65">
        <f t="shared" si="1079"/>
        <v>15362</v>
      </c>
      <c r="DM171" s="659" t="s">
        <v>181</v>
      </c>
      <c r="DQ171" s="217"/>
      <c r="DR171" s="403"/>
      <c r="DW171" s="102">
        <f t="shared" ref="DW171" si="1098">IF(DX169&lt;&gt;0,DX171/DX169,0)</f>
        <v>0.4868856497912491</v>
      </c>
      <c r="DX171" s="65">
        <f t="shared" si="1079"/>
        <v>14624</v>
      </c>
      <c r="DZ171" s="659" t="s">
        <v>181</v>
      </c>
      <c r="ED171" s="217"/>
    </row>
    <row r="172" spans="1:134" hidden="1" x14ac:dyDescent="0.3">
      <c r="A172" s="84" t="s">
        <v>531</v>
      </c>
      <c r="Q172" s="238">
        <v>45</v>
      </c>
      <c r="R172" s="403"/>
      <c r="W172" s="102">
        <f>IF(X169&lt;&gt;0,X172/X169,0)</f>
        <v>0</v>
      </c>
      <c r="X172" s="65">
        <f t="shared" si="1082"/>
        <v>0</v>
      </c>
      <c r="Z172" s="84" t="s">
        <v>531</v>
      </c>
      <c r="AD172" s="217"/>
      <c r="AE172" s="403"/>
      <c r="AJ172" s="102">
        <f t="shared" ref="AJ172" si="1099">IF(AK169&lt;&gt;0,AK172/AK169,0)</f>
        <v>0</v>
      </c>
      <c r="AK172" s="65">
        <f t="shared" si="1067"/>
        <v>0</v>
      </c>
      <c r="AM172" s="659" t="s">
        <v>531</v>
      </c>
      <c r="AQ172" s="217"/>
      <c r="AR172" s="403"/>
      <c r="AW172" s="102">
        <f t="shared" ref="AW172" si="1100">IF(AX169&lt;&gt;0,AX172/AX169,0)</f>
        <v>0</v>
      </c>
      <c r="AX172" s="65">
        <f t="shared" si="1067"/>
        <v>0</v>
      </c>
      <c r="AZ172" s="659" t="s">
        <v>531</v>
      </c>
      <c r="BD172" s="217"/>
      <c r="BE172" s="403"/>
      <c r="BJ172" s="102">
        <f t="shared" ref="BJ172" si="1101">IF(BK169&lt;&gt;0,BK172/BK169,0)</f>
        <v>0</v>
      </c>
      <c r="BK172" s="65">
        <f t="shared" si="1067"/>
        <v>0</v>
      </c>
      <c r="BM172" s="659" t="s">
        <v>531</v>
      </c>
      <c r="BQ172" s="217"/>
      <c r="BR172" s="403"/>
      <c r="BW172" s="102">
        <f t="shared" ref="BW172" si="1102">IF(BX169&lt;&gt;0,BX172/BX169,0)</f>
        <v>0</v>
      </c>
      <c r="BX172" s="65">
        <f t="shared" si="1073"/>
        <v>0</v>
      </c>
      <c r="BZ172" s="659" t="s">
        <v>531</v>
      </c>
      <c r="CD172" s="217"/>
      <c r="CE172" s="403"/>
      <c r="CJ172" s="102">
        <f t="shared" ref="CJ172" si="1103">IF(CK169&lt;&gt;0,CK172/CK169,0)</f>
        <v>0</v>
      </c>
      <c r="CK172" s="65">
        <f t="shared" si="1073"/>
        <v>0</v>
      </c>
      <c r="CM172" s="659" t="s">
        <v>531</v>
      </c>
      <c r="CQ172" s="217"/>
      <c r="CR172" s="403"/>
      <c r="CW172" s="102">
        <f t="shared" ref="CW172" si="1104">IF(CX169&lt;&gt;0,CX172/CX169,0)</f>
        <v>0</v>
      </c>
      <c r="CX172" s="65">
        <f t="shared" si="1073"/>
        <v>0</v>
      </c>
      <c r="CZ172" s="659" t="s">
        <v>531</v>
      </c>
      <c r="DD172" s="217"/>
      <c r="DE172" s="403"/>
      <c r="DJ172" s="102">
        <f t="shared" ref="DJ172" si="1105">IF(DK169&lt;&gt;0,DK172/DK169,0)</f>
        <v>0</v>
      </c>
      <c r="DK172" s="65">
        <f t="shared" si="1079"/>
        <v>0</v>
      </c>
      <c r="DM172" s="659" t="s">
        <v>531</v>
      </c>
      <c r="DQ172" s="217"/>
      <c r="DR172" s="403"/>
      <c r="DW172" s="102">
        <f t="shared" ref="DW172" si="1106">IF(DX169&lt;&gt;0,DX172/DX169,0)</f>
        <v>0</v>
      </c>
      <c r="DX172" s="65">
        <f t="shared" si="1079"/>
        <v>0</v>
      </c>
      <c r="DZ172" s="659" t="s">
        <v>531</v>
      </c>
      <c r="ED172" s="217"/>
    </row>
    <row r="173" spans="1:134" ht="18" hidden="1" x14ac:dyDescent="0.35">
      <c r="A173" s="184" t="s">
        <v>471</v>
      </c>
      <c r="Q173" s="238">
        <v>46</v>
      </c>
      <c r="R173" s="404" t="s">
        <v>471</v>
      </c>
      <c r="S173" s="218"/>
      <c r="Z173" s="401" t="s">
        <v>737</v>
      </c>
      <c r="AD173" s="217"/>
      <c r="AE173" s="404" t="s">
        <v>471</v>
      </c>
      <c r="AF173" s="218"/>
      <c r="AM173" s="401" t="s">
        <v>737</v>
      </c>
      <c r="AQ173" s="217"/>
      <c r="AR173" s="404" t="s">
        <v>471</v>
      </c>
      <c r="AS173" s="218"/>
      <c r="AZ173" s="401" t="s">
        <v>737</v>
      </c>
      <c r="BD173" s="217"/>
      <c r="BE173" s="404" t="s">
        <v>471</v>
      </c>
      <c r="BF173" s="218"/>
      <c r="BM173" s="401" t="s">
        <v>737</v>
      </c>
      <c r="BQ173" s="217"/>
      <c r="BR173" s="404" t="s">
        <v>471</v>
      </c>
      <c r="BS173" s="218"/>
      <c r="BZ173" s="401" t="s">
        <v>737</v>
      </c>
      <c r="CD173" s="217"/>
      <c r="CE173" s="404" t="s">
        <v>471</v>
      </c>
      <c r="CF173" s="218"/>
      <c r="CM173" s="401" t="s">
        <v>737</v>
      </c>
      <c r="CQ173" s="217"/>
      <c r="CR173" s="404" t="s">
        <v>471</v>
      </c>
      <c r="CS173" s="218"/>
      <c r="CZ173" s="401" t="s">
        <v>737</v>
      </c>
      <c r="DD173" s="217"/>
      <c r="DE173" s="404" t="s">
        <v>471</v>
      </c>
      <c r="DF173" s="218"/>
      <c r="DM173" s="401" t="s">
        <v>737</v>
      </c>
      <c r="DQ173" s="217"/>
      <c r="DR173" s="404" t="s">
        <v>471</v>
      </c>
      <c r="DS173" s="218"/>
      <c r="DZ173" s="401" t="s">
        <v>737</v>
      </c>
      <c r="ED173" s="217"/>
    </row>
    <row r="174" spans="1:134" hidden="1" x14ac:dyDescent="0.3">
      <c r="A174" s="112" t="s">
        <v>536</v>
      </c>
      <c r="Q174" s="238">
        <v>47</v>
      </c>
      <c r="R174" s="403"/>
      <c r="X174" s="179">
        <f>SUMIF(X5:X125,"&lt;&gt;0",V5:V125)</f>
        <v>2701000</v>
      </c>
      <c r="Z174" s="112" t="str">
        <f>"Eingegangene Zuwendungen, von denen im Jahr "&amp;X4 &amp;" noch abgeschrieben wird"</f>
        <v>Eingegangene Zuwendungen, von denen im Jahr 2012 noch abgeschrieben wird</v>
      </c>
      <c r="AD174" s="217"/>
      <c r="AE174" s="403"/>
      <c r="AK174" s="179">
        <f t="shared" ref="AK174" si="1107">SUMIF(AK5:AK125,"&lt;&gt;0",AI5:AI125)</f>
        <v>2701000</v>
      </c>
      <c r="AM174" s="112" t="str">
        <f t="shared" ref="AM174" si="1108">"Eingegangene Zuwendungen, von denen im Jahr "&amp;AK4 &amp;" noch abgeschrieben wird"</f>
        <v>Eingegangene Zuwendungen, von denen im Jahr 2013 noch abgeschrieben wird</v>
      </c>
      <c r="AQ174" s="217"/>
      <c r="AR174" s="403"/>
      <c r="AX174" s="179">
        <f t="shared" ref="AX174" si="1109">SUMIF(AX5:AX125,"&lt;&gt;0",AV5:AV125)</f>
        <v>2501000</v>
      </c>
      <c r="AZ174" s="112" t="str">
        <f t="shared" ref="AZ174" si="1110">"Eingegangene Zuwendungen, von denen im Jahr "&amp;AX4 &amp;" noch abgeschrieben wird"</f>
        <v>Eingegangene Zuwendungen, von denen im Jahr 2014 noch abgeschrieben wird</v>
      </c>
      <c r="BD174" s="217"/>
      <c r="BE174" s="403"/>
      <c r="BK174" s="179">
        <f t="shared" ref="BK174" si="1111">SUMIF(BK5:BK125,"&lt;&gt;0",BI5:BI125)</f>
        <v>2501000</v>
      </c>
      <c r="BM174" s="112" t="str">
        <f t="shared" ref="BM174" si="1112">"Eingegangene Zuwendungen, von denen im Jahr "&amp;BK4 &amp;" noch abgeschrieben wird"</f>
        <v>Eingegangene Zuwendungen, von denen im Jahr 2015 noch abgeschrieben wird</v>
      </c>
      <c r="BQ174" s="217"/>
      <c r="BR174" s="403"/>
      <c r="BX174" s="179">
        <f t="shared" ref="BX174" si="1113">SUMIF(BX5:BX125,"&lt;&gt;0",BV5:BV125)</f>
        <v>2501000</v>
      </c>
      <c r="BZ174" s="112" t="str">
        <f t="shared" ref="BZ174" si="1114">"Eingegangene Zuwendungen, von denen im Jahr "&amp;BX4 &amp;" noch abgeschrieben wird"</f>
        <v>Eingegangene Zuwendungen, von denen im Jahr 2016 noch abgeschrieben wird</v>
      </c>
      <c r="CD174" s="217"/>
      <c r="CE174" s="403"/>
      <c r="CK174" s="179">
        <f t="shared" ref="CK174" si="1115">SUMIF(CK5:CK125,"&lt;&gt;0",CI5:CI125)</f>
        <v>2501000</v>
      </c>
      <c r="CM174" s="112" t="str">
        <f t="shared" ref="CM174" si="1116">"Eingegangene Zuwendungen, von denen im Jahr "&amp;CK4 &amp;" noch abgeschrieben wird"</f>
        <v>Eingegangene Zuwendungen, von denen im Jahr 2017 noch abgeschrieben wird</v>
      </c>
      <c r="CQ174" s="217"/>
      <c r="CR174" s="403"/>
      <c r="CX174" s="179">
        <f t="shared" ref="CX174" si="1117">SUMIF(CX5:CX125,"&lt;&gt;0",CV5:CV125)</f>
        <v>2501000</v>
      </c>
      <c r="CZ174" s="112" t="str">
        <f t="shared" ref="CZ174" si="1118">"Eingegangene Zuwendungen, von denen im Jahr "&amp;CX4 &amp;" noch abgeschrieben wird"</f>
        <v>Eingegangene Zuwendungen, von denen im Jahr 2018 noch abgeschrieben wird</v>
      </c>
      <c r="DD174" s="217"/>
      <c r="DE174" s="403"/>
      <c r="DK174" s="179">
        <f t="shared" ref="DK174" si="1119">SUMIF(DK5:DK125,"&lt;&gt;0",DI5:DI125)</f>
        <v>2501000</v>
      </c>
      <c r="DM174" s="112" t="str">
        <f t="shared" ref="DM174" si="1120">"Eingegangene Zuwendungen, von denen im Jahr "&amp;DK4 &amp;" noch abgeschrieben wird"</f>
        <v>Eingegangene Zuwendungen, von denen im Jahr 2019 noch abgeschrieben wird</v>
      </c>
      <c r="DQ174" s="217"/>
      <c r="DR174" s="403"/>
      <c r="DX174" s="179">
        <f t="shared" ref="DX174" si="1121">SUMIF(DX5:DX125,"&lt;&gt;0",DV5:DV125)</f>
        <v>2501000</v>
      </c>
      <c r="DZ174" s="112" t="str">
        <f t="shared" ref="DZ174" si="1122">"Eingegangene Zuwendungen, von denen im Jahr "&amp;DX4 &amp;" noch abgeschrieben wird"</f>
        <v>Eingegangene Zuwendungen, von denen im Jahr 2020 noch abgeschrieben wird</v>
      </c>
      <c r="ED174" s="217"/>
    </row>
    <row r="175" spans="1:134" hidden="1" x14ac:dyDescent="0.3">
      <c r="A175" s="112" t="s">
        <v>538</v>
      </c>
      <c r="Q175" s="238">
        <v>48</v>
      </c>
      <c r="R175" s="403"/>
      <c r="X175" s="179">
        <f>X174-X176</f>
        <v>0</v>
      </c>
      <c r="Z175" s="112" t="str">
        <f>" - Anteilige Kürzung, soweit im Jahr "&amp;X4 &amp;" nicht der volle Jahresbetrag abgeschrieben wird "</f>
        <v xml:space="preserve"> - Anteilige Kürzung, soweit im Jahr 2012 nicht der volle Jahresbetrag abgeschrieben wird </v>
      </c>
      <c r="AD175" s="217"/>
      <c r="AE175" s="403"/>
      <c r="AK175" s="179">
        <f t="shared" ref="AK175" si="1123">AK174-AK176</f>
        <v>100000</v>
      </c>
      <c r="AM175" s="112" t="str">
        <f t="shared" ref="AM175" si="1124">" - Anteilige Kürzung, soweit im Jahr "&amp;AK4 &amp;" nicht der volle Jahresbetrag abgeschrieben wird "</f>
        <v xml:space="preserve"> - Anteilige Kürzung, soweit im Jahr 2013 nicht der volle Jahresbetrag abgeschrieben wird </v>
      </c>
      <c r="AQ175" s="217"/>
      <c r="AR175" s="403"/>
      <c r="AX175" s="179">
        <f t="shared" ref="AX175" si="1125">AX174-AX176</f>
        <v>0</v>
      </c>
      <c r="AZ175" s="112" t="str">
        <f t="shared" ref="AZ175" si="1126">" - Anteilige Kürzung, soweit im Jahr "&amp;AX4 &amp;" nicht der volle Jahresbetrag abgeschrieben wird "</f>
        <v xml:space="preserve"> - Anteilige Kürzung, soweit im Jahr 2014 nicht der volle Jahresbetrag abgeschrieben wird </v>
      </c>
      <c r="BD175" s="217"/>
      <c r="BE175" s="403"/>
      <c r="BK175" s="179">
        <f t="shared" ref="BK175" si="1127">BK174-BK176</f>
        <v>0</v>
      </c>
      <c r="BM175" s="112" t="str">
        <f t="shared" ref="BM175" si="1128">" - Anteilige Kürzung, soweit im Jahr "&amp;BK4 &amp;" nicht der volle Jahresbetrag abgeschrieben wird "</f>
        <v xml:space="preserve"> - Anteilige Kürzung, soweit im Jahr 2015 nicht der volle Jahresbetrag abgeschrieben wird </v>
      </c>
      <c r="BQ175" s="217"/>
      <c r="BR175" s="403"/>
      <c r="BX175" s="179">
        <f t="shared" ref="BX175" si="1129">BX174-BX176</f>
        <v>0</v>
      </c>
      <c r="BZ175" s="112" t="str">
        <f t="shared" ref="BZ175" si="1130">" - Anteilige Kürzung, soweit im Jahr "&amp;BX4 &amp;" nicht der volle Jahresbetrag abgeschrieben wird "</f>
        <v xml:space="preserve"> - Anteilige Kürzung, soweit im Jahr 2016 nicht der volle Jahresbetrag abgeschrieben wird </v>
      </c>
      <c r="CD175" s="217"/>
      <c r="CE175" s="403"/>
      <c r="CK175" s="179">
        <f t="shared" ref="CK175" si="1131">CK174-CK176</f>
        <v>0</v>
      </c>
      <c r="CM175" s="112" t="str">
        <f t="shared" ref="CM175" si="1132">" - Anteilige Kürzung, soweit im Jahr "&amp;CK4 &amp;" nicht der volle Jahresbetrag abgeschrieben wird "</f>
        <v xml:space="preserve"> - Anteilige Kürzung, soweit im Jahr 2017 nicht der volle Jahresbetrag abgeschrieben wird </v>
      </c>
      <c r="CQ175" s="217"/>
      <c r="CR175" s="403"/>
      <c r="CX175" s="179">
        <f t="shared" ref="CX175" si="1133">CX174-CX176</f>
        <v>0</v>
      </c>
      <c r="CZ175" s="112" t="str">
        <f t="shared" ref="CZ175" si="1134">" - Anteilige Kürzung, soweit im Jahr "&amp;CX4 &amp;" nicht der volle Jahresbetrag abgeschrieben wird "</f>
        <v xml:space="preserve"> - Anteilige Kürzung, soweit im Jahr 2018 nicht der volle Jahresbetrag abgeschrieben wird </v>
      </c>
      <c r="DD175" s="217"/>
      <c r="DE175" s="403"/>
      <c r="DK175" s="179">
        <f t="shared" ref="DK175" si="1135">DK174-DK176</f>
        <v>0</v>
      </c>
      <c r="DM175" s="112" t="str">
        <f t="shared" ref="DM175" si="1136">" - Anteilige Kürzung, soweit im Jahr "&amp;DK4 &amp;" nicht der volle Jahresbetrag abgeschrieben wird "</f>
        <v xml:space="preserve"> - Anteilige Kürzung, soweit im Jahr 2019 nicht der volle Jahresbetrag abgeschrieben wird </v>
      </c>
      <c r="DQ175" s="217"/>
      <c r="DR175" s="403"/>
      <c r="DX175" s="179">
        <f t="shared" ref="DX175" si="1137">DX174-DX176</f>
        <v>0</v>
      </c>
      <c r="DZ175" s="112" t="str">
        <f t="shared" ref="DZ175" si="1138">" - Anteilige Kürzung, soweit im Jahr "&amp;DX4 &amp;" nicht der volle Jahresbetrag abgeschrieben wird "</f>
        <v xml:space="preserve"> - Anteilige Kürzung, soweit im Jahr 2020 nicht der volle Jahresbetrag abgeschrieben wird </v>
      </c>
      <c r="ED175" s="217"/>
    </row>
    <row r="176" spans="1:134" hidden="1" x14ac:dyDescent="0.3">
      <c r="A176" s="112" t="s">
        <v>537</v>
      </c>
      <c r="Q176" s="238">
        <v>49</v>
      </c>
      <c r="R176" s="403"/>
      <c r="X176" s="179">
        <f>W126</f>
        <v>2701000</v>
      </c>
      <c r="Z176" s="112" t="str">
        <f>"Maßgebliches Zuwendungsaufkommen zur Berechnung des gewichteten Auflösungssatzes im Jahr "&amp;X4</f>
        <v>Maßgebliches Zuwendungsaufkommen zur Berechnung des gewichteten Auflösungssatzes im Jahr 2012</v>
      </c>
      <c r="AD176" s="217"/>
      <c r="AE176" s="403"/>
      <c r="AK176" s="179">
        <f t="shared" ref="AK176" si="1139">AJ126</f>
        <v>2601000</v>
      </c>
      <c r="AM176" s="112" t="str">
        <f t="shared" ref="AM176" si="1140">"Maßgebliches Zuwendungsaufkommen zur Berechnung des gewichteten Auflösungssatzes im Jahr "&amp;AK4</f>
        <v>Maßgebliches Zuwendungsaufkommen zur Berechnung des gewichteten Auflösungssatzes im Jahr 2013</v>
      </c>
      <c r="AQ176" s="217"/>
      <c r="AR176" s="403"/>
      <c r="AX176" s="179">
        <f t="shared" ref="AX176" si="1141">AW126</f>
        <v>2501000</v>
      </c>
      <c r="AZ176" s="112" t="str">
        <f t="shared" ref="AZ176" si="1142">"Maßgebliches Zuwendungsaufkommen zur Berechnung des gewichteten Auflösungssatzes im Jahr "&amp;AX4</f>
        <v>Maßgebliches Zuwendungsaufkommen zur Berechnung des gewichteten Auflösungssatzes im Jahr 2014</v>
      </c>
      <c r="BD176" s="217"/>
      <c r="BE176" s="403"/>
      <c r="BK176" s="179">
        <f t="shared" ref="BK176" si="1143">BJ126</f>
        <v>2501000</v>
      </c>
      <c r="BM176" s="112" t="str">
        <f t="shared" ref="BM176" si="1144">"Maßgebliches Zuwendungsaufkommen zur Berechnung des gewichteten Auflösungssatzes im Jahr "&amp;BK4</f>
        <v>Maßgebliches Zuwendungsaufkommen zur Berechnung des gewichteten Auflösungssatzes im Jahr 2015</v>
      </c>
      <c r="BQ176" s="217"/>
      <c r="BR176" s="403"/>
      <c r="BX176" s="179">
        <f t="shared" ref="BX176" si="1145">BW126</f>
        <v>2501000</v>
      </c>
      <c r="BZ176" s="112" t="str">
        <f t="shared" ref="BZ176" si="1146">"Maßgebliches Zuwendungsaufkommen zur Berechnung des gewichteten Auflösungssatzes im Jahr "&amp;BX4</f>
        <v>Maßgebliches Zuwendungsaufkommen zur Berechnung des gewichteten Auflösungssatzes im Jahr 2016</v>
      </c>
      <c r="CD176" s="217"/>
      <c r="CE176" s="403"/>
      <c r="CK176" s="179">
        <f t="shared" ref="CK176" si="1147">CJ126</f>
        <v>2501000</v>
      </c>
      <c r="CM176" s="112" t="str">
        <f t="shared" ref="CM176" si="1148">"Maßgebliches Zuwendungsaufkommen zur Berechnung des gewichteten Auflösungssatzes im Jahr "&amp;CK4</f>
        <v>Maßgebliches Zuwendungsaufkommen zur Berechnung des gewichteten Auflösungssatzes im Jahr 2017</v>
      </c>
      <c r="CQ176" s="217"/>
      <c r="CR176" s="403"/>
      <c r="CX176" s="179">
        <f t="shared" ref="CX176" si="1149">CW126</f>
        <v>2501000</v>
      </c>
      <c r="CZ176" s="112" t="str">
        <f t="shared" ref="CZ176" si="1150">"Maßgebliches Zuwendungsaufkommen zur Berechnung des gewichteten Auflösungssatzes im Jahr "&amp;CX4</f>
        <v>Maßgebliches Zuwendungsaufkommen zur Berechnung des gewichteten Auflösungssatzes im Jahr 2018</v>
      </c>
      <c r="DD176" s="217"/>
      <c r="DE176" s="403"/>
      <c r="DK176" s="179">
        <f t="shared" ref="DK176" si="1151">DJ126</f>
        <v>2501000</v>
      </c>
      <c r="DM176" s="112" t="str">
        <f t="shared" ref="DM176" si="1152">"Maßgebliches Zuwendungsaufkommen zur Berechnung des gewichteten Auflösungssatzes im Jahr "&amp;DK4</f>
        <v>Maßgebliches Zuwendungsaufkommen zur Berechnung des gewichteten Auflösungssatzes im Jahr 2019</v>
      </c>
      <c r="DQ176" s="217"/>
      <c r="DR176" s="403"/>
      <c r="DX176" s="179">
        <f t="shared" ref="DX176" si="1153">DW126</f>
        <v>2501000</v>
      </c>
      <c r="DZ176" s="112" t="str">
        <f t="shared" ref="DZ176" si="1154">"Maßgebliches Zuwendungsaufkommen zur Berechnung des gewichteten Auflösungssatzes im Jahr "&amp;DX4</f>
        <v>Maßgebliches Zuwendungsaufkommen zur Berechnung des gewichteten Auflösungssatzes im Jahr 2020</v>
      </c>
      <c r="ED176" s="217"/>
    </row>
    <row r="177" spans="1:134" hidden="1" x14ac:dyDescent="0.3">
      <c r="A177" s="112" t="s">
        <v>540</v>
      </c>
      <c r="Q177" s="238">
        <v>50</v>
      </c>
      <c r="R177" s="403"/>
      <c r="X177" s="179">
        <f>X126</f>
        <v>54020</v>
      </c>
      <c r="Z177" s="112" t="str">
        <f>"Summe der Abschreibungen im Jahr "&amp;X4</f>
        <v>Summe der Abschreibungen im Jahr 2012</v>
      </c>
      <c r="AD177" s="217"/>
      <c r="AE177" s="403"/>
      <c r="AK177" s="179">
        <f t="shared" ref="AK177" si="1155">AK126</f>
        <v>52020</v>
      </c>
      <c r="AM177" s="112" t="str">
        <f t="shared" ref="AM177" si="1156">"Summe der Abschreibungen im Jahr "&amp;AK4</f>
        <v>Summe der Abschreibungen im Jahr 2013</v>
      </c>
      <c r="AQ177" s="217"/>
      <c r="AR177" s="403"/>
      <c r="AX177" s="179">
        <f t="shared" ref="AX177" si="1157">AX126</f>
        <v>50020</v>
      </c>
      <c r="AZ177" s="112" t="str">
        <f t="shared" ref="AZ177" si="1158">"Summe der Abschreibungen im Jahr "&amp;AX4</f>
        <v>Summe der Abschreibungen im Jahr 2014</v>
      </c>
      <c r="BD177" s="217"/>
      <c r="BE177" s="403"/>
      <c r="BK177" s="179">
        <f t="shared" ref="BK177" si="1159">BK126</f>
        <v>50020</v>
      </c>
      <c r="BM177" s="112" t="str">
        <f t="shared" ref="BM177" si="1160">"Summe der Abschreibungen im Jahr "&amp;BK4</f>
        <v>Summe der Abschreibungen im Jahr 2015</v>
      </c>
      <c r="BQ177" s="217"/>
      <c r="BR177" s="403"/>
      <c r="BX177" s="179">
        <f t="shared" ref="BX177" si="1161">BX126</f>
        <v>50020</v>
      </c>
      <c r="BZ177" s="112" t="str">
        <f t="shared" ref="BZ177" si="1162">"Summe der Abschreibungen im Jahr "&amp;BX4</f>
        <v>Summe der Abschreibungen im Jahr 2016</v>
      </c>
      <c r="CD177" s="217"/>
      <c r="CE177" s="403"/>
      <c r="CK177" s="179">
        <f t="shared" ref="CK177" si="1163">CK126</f>
        <v>50020</v>
      </c>
      <c r="CM177" s="112" t="str">
        <f t="shared" ref="CM177" si="1164">"Summe der Abschreibungen im Jahr "&amp;CK4</f>
        <v>Summe der Abschreibungen im Jahr 2017</v>
      </c>
      <c r="CQ177" s="217"/>
      <c r="CR177" s="403"/>
      <c r="CX177" s="179">
        <f t="shared" ref="CX177" si="1165">CX126</f>
        <v>50020</v>
      </c>
      <c r="CZ177" s="112" t="str">
        <f t="shared" ref="CZ177" si="1166">"Summe der Abschreibungen im Jahr "&amp;CX4</f>
        <v>Summe der Abschreibungen im Jahr 2018</v>
      </c>
      <c r="DD177" s="217"/>
      <c r="DE177" s="403"/>
      <c r="DK177" s="179">
        <f t="shared" ref="DK177" si="1167">DK126</f>
        <v>50020</v>
      </c>
      <c r="DM177" s="112" t="str">
        <f t="shared" ref="DM177" si="1168">"Summe der Abschreibungen im Jahr "&amp;DK4</f>
        <v>Summe der Abschreibungen im Jahr 2019</v>
      </c>
      <c r="DQ177" s="217"/>
      <c r="DR177" s="403"/>
      <c r="DX177" s="179">
        <f t="shared" ref="DX177" si="1169">DX126</f>
        <v>50020</v>
      </c>
      <c r="DZ177" s="112" t="str">
        <f t="shared" ref="DZ177" si="1170">"Summe der Abschreibungen im Jahr "&amp;DX4</f>
        <v>Summe der Abschreibungen im Jahr 2020</v>
      </c>
      <c r="ED177" s="217"/>
    </row>
    <row r="178" spans="1:134" hidden="1" x14ac:dyDescent="0.3">
      <c r="A178" s="112" t="s">
        <v>539</v>
      </c>
      <c r="Q178" s="238">
        <v>51</v>
      </c>
      <c r="R178" s="403"/>
      <c r="X178" s="107">
        <f>IF(X176&lt;&gt;0,ROUND(X177/X176,4),0)</f>
        <v>0.02</v>
      </c>
      <c r="Z178" s="112" t="str">
        <f>"Durchschnittlicher Auflösungssatz im Jahr "&amp;X4</f>
        <v>Durchschnittlicher Auflösungssatz im Jahr 2012</v>
      </c>
      <c r="AD178" s="217"/>
      <c r="AE178" s="403"/>
      <c r="AK178" s="107">
        <f t="shared" ref="AK178" si="1171">IF(AK176&lt;&gt;0,ROUND(AK177/AK176,4),0)</f>
        <v>0.02</v>
      </c>
      <c r="AM178" s="112" t="str">
        <f t="shared" ref="AM178" si="1172">"Durchschnittlicher Auflösungssatz im Jahr "&amp;AK4</f>
        <v>Durchschnittlicher Auflösungssatz im Jahr 2013</v>
      </c>
      <c r="AQ178" s="217"/>
      <c r="AR178" s="403"/>
      <c r="AX178" s="107">
        <f t="shared" ref="AX178" si="1173">IF(AX176&lt;&gt;0,ROUND(AX177/AX176,4),0)</f>
        <v>0.02</v>
      </c>
      <c r="AZ178" s="112" t="str">
        <f t="shared" ref="AZ178" si="1174">"Durchschnittlicher Auflösungssatz im Jahr "&amp;AX4</f>
        <v>Durchschnittlicher Auflösungssatz im Jahr 2014</v>
      </c>
      <c r="BD178" s="217"/>
      <c r="BE178" s="403"/>
      <c r="BK178" s="107">
        <f t="shared" ref="BK178" si="1175">IF(BK176&lt;&gt;0,ROUND(BK177/BK176,4),0)</f>
        <v>0.02</v>
      </c>
      <c r="BM178" s="112" t="str">
        <f t="shared" ref="BM178" si="1176">"Durchschnittlicher Auflösungssatz im Jahr "&amp;BK4</f>
        <v>Durchschnittlicher Auflösungssatz im Jahr 2015</v>
      </c>
      <c r="BQ178" s="217"/>
      <c r="BR178" s="403"/>
      <c r="BX178" s="107">
        <f t="shared" ref="BX178" si="1177">IF(BX176&lt;&gt;0,ROUND(BX177/BX176,4),0)</f>
        <v>0.02</v>
      </c>
      <c r="BZ178" s="112" t="str">
        <f t="shared" ref="BZ178" si="1178">"Durchschnittlicher Auflösungssatz im Jahr "&amp;BX4</f>
        <v>Durchschnittlicher Auflösungssatz im Jahr 2016</v>
      </c>
      <c r="CD178" s="217"/>
      <c r="CE178" s="403"/>
      <c r="CK178" s="107">
        <f t="shared" ref="CK178" si="1179">IF(CK176&lt;&gt;0,ROUND(CK177/CK176,4),0)</f>
        <v>0.02</v>
      </c>
      <c r="CM178" s="112" t="str">
        <f t="shared" ref="CM178" si="1180">"Durchschnittlicher Auflösungssatz im Jahr "&amp;CK4</f>
        <v>Durchschnittlicher Auflösungssatz im Jahr 2017</v>
      </c>
      <c r="CQ178" s="217"/>
      <c r="CR178" s="403"/>
      <c r="CX178" s="107">
        <f t="shared" ref="CX178" si="1181">IF(CX176&lt;&gt;0,ROUND(CX177/CX176,4),0)</f>
        <v>0.02</v>
      </c>
      <c r="CZ178" s="112" t="str">
        <f t="shared" ref="CZ178" si="1182">"Durchschnittlicher Auflösungssatz im Jahr "&amp;CX4</f>
        <v>Durchschnittlicher Auflösungssatz im Jahr 2018</v>
      </c>
      <c r="DD178" s="217"/>
      <c r="DE178" s="403"/>
      <c r="DK178" s="107">
        <f t="shared" ref="DK178" si="1183">IF(DK176&lt;&gt;0,ROUND(DK177/DK176,4),0)</f>
        <v>0.02</v>
      </c>
      <c r="DM178" s="112" t="str">
        <f t="shared" ref="DM178" si="1184">"Durchschnittlicher Auflösungssatz im Jahr "&amp;DK4</f>
        <v>Durchschnittlicher Auflösungssatz im Jahr 2019</v>
      </c>
      <c r="DQ178" s="217"/>
      <c r="DR178" s="403"/>
      <c r="DX178" s="107">
        <f t="shared" ref="DX178" si="1185">IF(DX176&lt;&gt;0,ROUND(DX177/DX176,4),0)</f>
        <v>0.02</v>
      </c>
      <c r="DZ178" s="112" t="str">
        <f t="shared" ref="DZ178" si="1186">"Durchschnittlicher Auflösungssatz im Jahr "&amp;DX4</f>
        <v>Durchschnittlicher Auflösungssatz im Jahr 2020</v>
      </c>
      <c r="ED178" s="217"/>
    </row>
    <row r="179" spans="1:134" ht="18" hidden="1" x14ac:dyDescent="0.35">
      <c r="A179" s="404" t="s">
        <v>733</v>
      </c>
      <c r="Q179" s="238">
        <v>52</v>
      </c>
      <c r="R179" s="404" t="s">
        <v>733</v>
      </c>
      <c r="Z179" s="402" t="s">
        <v>742</v>
      </c>
      <c r="AD179" s="217"/>
      <c r="AE179" s="404" t="s">
        <v>733</v>
      </c>
      <c r="AM179" s="402" t="s">
        <v>742</v>
      </c>
      <c r="AQ179" s="217"/>
      <c r="AR179" s="404" t="s">
        <v>733</v>
      </c>
      <c r="AZ179" s="402" t="s">
        <v>742</v>
      </c>
      <c r="BD179" s="217"/>
      <c r="BE179" s="404" t="s">
        <v>733</v>
      </c>
      <c r="BM179" s="402" t="s">
        <v>742</v>
      </c>
      <c r="BQ179" s="217"/>
      <c r="BR179" s="404" t="s">
        <v>733</v>
      </c>
      <c r="BZ179" s="402" t="s">
        <v>742</v>
      </c>
      <c r="CD179" s="217"/>
      <c r="CE179" s="404" t="s">
        <v>733</v>
      </c>
      <c r="CM179" s="402" t="s">
        <v>742</v>
      </c>
      <c r="CQ179" s="217"/>
      <c r="CR179" s="404" t="s">
        <v>733</v>
      </c>
      <c r="CZ179" s="402" t="s">
        <v>742</v>
      </c>
      <c r="DD179" s="217"/>
      <c r="DE179" s="404" t="s">
        <v>733</v>
      </c>
      <c r="DM179" s="402" t="s">
        <v>742</v>
      </c>
      <c r="DQ179" s="217"/>
      <c r="DR179" s="404" t="s">
        <v>733</v>
      </c>
      <c r="DZ179" s="402" t="s">
        <v>742</v>
      </c>
      <c r="ED179" s="217"/>
    </row>
    <row r="180" spans="1:134" hidden="1" x14ac:dyDescent="0.3">
      <c r="A180" s="106" t="s">
        <v>705</v>
      </c>
      <c r="Q180" s="238">
        <v>53</v>
      </c>
      <c r="R180" s="403"/>
      <c r="W180" s="400" t="s">
        <v>729</v>
      </c>
      <c r="X180" s="179">
        <f>V126</f>
        <v>2701000</v>
      </c>
      <c r="Z180" s="106" t="str">
        <f>"GesamtZuwendungsaufkommen bis Ende des Jahres  "&amp;X4</f>
        <v>GesamtZuwendungsaufkommen bis Ende des Jahres  2012</v>
      </c>
      <c r="AD180" s="217"/>
      <c r="AE180" s="403"/>
      <c r="AJ180" s="400" t="s">
        <v>729</v>
      </c>
      <c r="AK180" s="179">
        <f t="shared" ref="AK180" si="1187">AI126</f>
        <v>2701000</v>
      </c>
      <c r="AM180" s="106" t="str">
        <f t="shared" ref="AM180" si="1188">"GesamtZuwendungsaufkommen bis Ende des Jahres  "&amp;AK4</f>
        <v>GesamtZuwendungsaufkommen bis Ende des Jahres  2013</v>
      </c>
      <c r="AQ180" s="217"/>
      <c r="AR180" s="403"/>
      <c r="AW180" s="400" t="s">
        <v>729</v>
      </c>
      <c r="AX180" s="179">
        <f t="shared" ref="AX180" si="1189">AV126</f>
        <v>2701000</v>
      </c>
      <c r="AZ180" s="106" t="str">
        <f t="shared" ref="AZ180" si="1190">"GesamtZuwendungsaufkommen bis Ende des Jahres  "&amp;AX4</f>
        <v>GesamtZuwendungsaufkommen bis Ende des Jahres  2014</v>
      </c>
      <c r="BD180" s="217"/>
      <c r="BE180" s="403"/>
      <c r="BJ180" s="400" t="s">
        <v>729</v>
      </c>
      <c r="BK180" s="179">
        <f t="shared" ref="BK180" si="1191">BI126</f>
        <v>2701000</v>
      </c>
      <c r="BM180" s="106" t="str">
        <f t="shared" ref="BM180" si="1192">"GesamtZuwendungsaufkommen bis Ende des Jahres  "&amp;BK4</f>
        <v>GesamtZuwendungsaufkommen bis Ende des Jahres  2015</v>
      </c>
      <c r="BQ180" s="217"/>
      <c r="BR180" s="403"/>
      <c r="BW180" s="400" t="s">
        <v>729</v>
      </c>
      <c r="BX180" s="179">
        <f t="shared" ref="BX180" si="1193">BV126</f>
        <v>2701000</v>
      </c>
      <c r="BZ180" s="106" t="str">
        <f t="shared" ref="BZ180" si="1194">"GesamtZuwendungsaufkommen bis Ende des Jahres  "&amp;BX4</f>
        <v>GesamtZuwendungsaufkommen bis Ende des Jahres  2016</v>
      </c>
      <c r="CD180" s="217"/>
      <c r="CE180" s="403"/>
      <c r="CJ180" s="400" t="s">
        <v>729</v>
      </c>
      <c r="CK180" s="179">
        <f t="shared" ref="CK180" si="1195">CI126</f>
        <v>2701000</v>
      </c>
      <c r="CM180" s="106" t="str">
        <f t="shared" ref="CM180" si="1196">"GesamtZuwendungsaufkommen bis Ende des Jahres  "&amp;CK4</f>
        <v>GesamtZuwendungsaufkommen bis Ende des Jahres  2017</v>
      </c>
      <c r="CQ180" s="217"/>
      <c r="CR180" s="403"/>
      <c r="CW180" s="400" t="s">
        <v>729</v>
      </c>
      <c r="CX180" s="179">
        <f t="shared" ref="CX180" si="1197">CV126</f>
        <v>2701000</v>
      </c>
      <c r="CZ180" s="106" t="str">
        <f t="shared" ref="CZ180" si="1198">"GesamtZuwendungsaufkommen bis Ende des Jahres  "&amp;CX4</f>
        <v>GesamtZuwendungsaufkommen bis Ende des Jahres  2018</v>
      </c>
      <c r="DD180" s="217"/>
      <c r="DE180" s="403"/>
      <c r="DJ180" s="400" t="s">
        <v>729</v>
      </c>
      <c r="DK180" s="179">
        <f t="shared" ref="DK180" si="1199">DI126</f>
        <v>2701000</v>
      </c>
      <c r="DM180" s="106" t="str">
        <f t="shared" ref="DM180" si="1200">"GesamtZuwendungsaufkommen bis Ende des Jahres  "&amp;DK4</f>
        <v>GesamtZuwendungsaufkommen bis Ende des Jahres  2019</v>
      </c>
      <c r="DQ180" s="217"/>
      <c r="DR180" s="403"/>
      <c r="DW180" s="400" t="s">
        <v>729</v>
      </c>
      <c r="DX180" s="179">
        <f t="shared" ref="DX180" si="1201">DV126</f>
        <v>2701000</v>
      </c>
      <c r="DZ180" s="106" t="str">
        <f t="shared" ref="DZ180" si="1202">"GesamtZuwendungsaufkommen bis Ende des Jahres  "&amp;DX4</f>
        <v>GesamtZuwendungsaufkommen bis Ende des Jahres  2020</v>
      </c>
      <c r="ED180" s="217"/>
    </row>
    <row r="181" spans="1:134" hidden="1" x14ac:dyDescent="0.3">
      <c r="A181" s="106" t="s">
        <v>741</v>
      </c>
      <c r="Q181" s="238">
        <v>54</v>
      </c>
      <c r="R181" s="403"/>
      <c r="W181" s="396">
        <f>X180-X181</f>
        <v>0</v>
      </c>
      <c r="X181" s="179">
        <f>V138</f>
        <v>2701000</v>
      </c>
      <c r="Z181" s="106" t="s">
        <v>741</v>
      </c>
      <c r="AD181" s="217"/>
      <c r="AE181" s="403"/>
      <c r="AJ181" s="396">
        <f t="shared" ref="AJ181" si="1203">AK180-AK181</f>
        <v>0</v>
      </c>
      <c r="AK181" s="179">
        <f t="shared" ref="AK181" si="1204">AI138</f>
        <v>2701000</v>
      </c>
      <c r="AM181" s="106" t="s">
        <v>741</v>
      </c>
      <c r="AQ181" s="217"/>
      <c r="AR181" s="403"/>
      <c r="AW181" s="396">
        <f t="shared" ref="AW181" si="1205">AX180-AX181</f>
        <v>0</v>
      </c>
      <c r="AX181" s="179">
        <f t="shared" ref="AX181" si="1206">AV138</f>
        <v>2701000</v>
      </c>
      <c r="AZ181" s="106" t="s">
        <v>741</v>
      </c>
      <c r="BD181" s="217"/>
      <c r="BE181" s="403"/>
      <c r="BJ181" s="396">
        <f t="shared" ref="BJ181" si="1207">BK180-BK181</f>
        <v>0</v>
      </c>
      <c r="BK181" s="179">
        <f t="shared" ref="BK181" si="1208">BI138</f>
        <v>2701000</v>
      </c>
      <c r="BM181" s="106" t="s">
        <v>741</v>
      </c>
      <c r="BQ181" s="217"/>
      <c r="BR181" s="403"/>
      <c r="BW181" s="396">
        <f t="shared" ref="BW181" si="1209">BX180-BX181</f>
        <v>0</v>
      </c>
      <c r="BX181" s="179">
        <f t="shared" ref="BX181" si="1210">BV138</f>
        <v>2701000</v>
      </c>
      <c r="BZ181" s="106" t="s">
        <v>741</v>
      </c>
      <c r="CD181" s="217"/>
      <c r="CE181" s="403"/>
      <c r="CJ181" s="396">
        <f t="shared" ref="CJ181" si="1211">CK180-CK181</f>
        <v>0</v>
      </c>
      <c r="CK181" s="179">
        <f t="shared" ref="CK181" si="1212">CI138</f>
        <v>2701000</v>
      </c>
      <c r="CM181" s="106" t="s">
        <v>741</v>
      </c>
      <c r="CQ181" s="217"/>
      <c r="CR181" s="403"/>
      <c r="CW181" s="396">
        <f t="shared" ref="CW181" si="1213">CX180-CX181</f>
        <v>0</v>
      </c>
      <c r="CX181" s="179">
        <f t="shared" ref="CX181" si="1214">CV138</f>
        <v>2701000</v>
      </c>
      <c r="CZ181" s="106" t="s">
        <v>741</v>
      </c>
      <c r="DD181" s="217"/>
      <c r="DE181" s="403"/>
      <c r="DJ181" s="396">
        <f t="shared" ref="DJ181" si="1215">DK180-DK181</f>
        <v>0</v>
      </c>
      <c r="DK181" s="179">
        <f t="shared" ref="DK181" si="1216">DI138</f>
        <v>2701000</v>
      </c>
      <c r="DM181" s="106" t="s">
        <v>741</v>
      </c>
      <c r="DQ181" s="217"/>
      <c r="DR181" s="403"/>
      <c r="DW181" s="396">
        <f t="shared" ref="DW181" si="1217">DX180-DX181</f>
        <v>0</v>
      </c>
      <c r="DX181" s="179">
        <f t="shared" ref="DX181" si="1218">DV138</f>
        <v>2701000</v>
      </c>
      <c r="DZ181" s="106" t="s">
        <v>741</v>
      </c>
      <c r="ED181" s="217"/>
    </row>
    <row r="182" spans="1:134" hidden="1" x14ac:dyDescent="0.3">
      <c r="A182" s="106" t="s">
        <v>735</v>
      </c>
      <c r="Q182" s="238">
        <v>55</v>
      </c>
      <c r="R182" s="403"/>
      <c r="W182" s="396"/>
      <c r="X182" s="179">
        <f>X126</f>
        <v>54020</v>
      </c>
      <c r="Z182" s="106" t="s">
        <v>735</v>
      </c>
      <c r="AD182" s="217"/>
      <c r="AE182" s="403"/>
      <c r="AJ182" s="396"/>
      <c r="AK182" s="179">
        <f t="shared" ref="AK182" si="1219">AK126</f>
        <v>52020</v>
      </c>
      <c r="AM182" s="106" t="s">
        <v>735</v>
      </c>
      <c r="AQ182" s="217"/>
      <c r="AR182" s="403"/>
      <c r="AW182" s="396"/>
      <c r="AX182" s="179">
        <f t="shared" ref="AX182" si="1220">AX126</f>
        <v>50020</v>
      </c>
      <c r="AZ182" s="106" t="s">
        <v>735</v>
      </c>
      <c r="BD182" s="217"/>
      <c r="BE182" s="403"/>
      <c r="BJ182" s="396"/>
      <c r="BK182" s="179">
        <f t="shared" ref="BK182" si="1221">BK126</f>
        <v>50020</v>
      </c>
      <c r="BM182" s="106" t="s">
        <v>735</v>
      </c>
      <c r="BQ182" s="217"/>
      <c r="BR182" s="403"/>
      <c r="BW182" s="396"/>
      <c r="BX182" s="179">
        <f t="shared" ref="BX182" si="1222">BX126</f>
        <v>50020</v>
      </c>
      <c r="BZ182" s="106" t="s">
        <v>735</v>
      </c>
      <c r="CD182" s="217"/>
      <c r="CE182" s="403"/>
      <c r="CJ182" s="396"/>
      <c r="CK182" s="179">
        <f t="shared" ref="CK182" si="1223">CK126</f>
        <v>50020</v>
      </c>
      <c r="CM182" s="106" t="s">
        <v>735</v>
      </c>
      <c r="CQ182" s="217"/>
      <c r="CR182" s="403"/>
      <c r="CW182" s="396"/>
      <c r="CX182" s="179">
        <f t="shared" ref="CX182" si="1224">CX126</f>
        <v>50020</v>
      </c>
      <c r="CZ182" s="106" t="s">
        <v>735</v>
      </c>
      <c r="DD182" s="217"/>
      <c r="DE182" s="403"/>
      <c r="DJ182" s="396"/>
      <c r="DK182" s="179">
        <f t="shared" ref="DK182" si="1225">DK126</f>
        <v>50020</v>
      </c>
      <c r="DM182" s="106" t="s">
        <v>735</v>
      </c>
      <c r="DQ182" s="217"/>
      <c r="DR182" s="403"/>
      <c r="DW182" s="396"/>
      <c r="DX182" s="179">
        <f t="shared" ref="DX182" si="1226">DX126</f>
        <v>50020</v>
      </c>
      <c r="DZ182" s="106" t="s">
        <v>735</v>
      </c>
      <c r="ED182" s="217"/>
    </row>
    <row r="183" spans="1:134" hidden="1" x14ac:dyDescent="0.3">
      <c r="A183" s="106" t="s">
        <v>736</v>
      </c>
      <c r="Q183" s="238">
        <v>56</v>
      </c>
      <c r="R183" s="403"/>
      <c r="W183" s="396">
        <f>X182-X183</f>
        <v>0</v>
      </c>
      <c r="X183" s="179">
        <f>X138</f>
        <v>54020</v>
      </c>
      <c r="Z183" s="106" t="s">
        <v>736</v>
      </c>
      <c r="AD183" s="217"/>
      <c r="AE183" s="403"/>
      <c r="AJ183" s="396">
        <f t="shared" ref="AJ183" si="1227">AK182-AK183</f>
        <v>0</v>
      </c>
      <c r="AK183" s="179">
        <f t="shared" ref="AK183" si="1228">AK138</f>
        <v>52020</v>
      </c>
      <c r="AM183" s="106" t="s">
        <v>736</v>
      </c>
      <c r="AQ183" s="217"/>
      <c r="AR183" s="403"/>
      <c r="AW183" s="396">
        <f t="shared" ref="AW183" si="1229">AX182-AX183</f>
        <v>0</v>
      </c>
      <c r="AX183" s="179">
        <f t="shared" ref="AX183" si="1230">AX138</f>
        <v>50020</v>
      </c>
      <c r="AZ183" s="106" t="s">
        <v>736</v>
      </c>
      <c r="BD183" s="217"/>
      <c r="BE183" s="403"/>
      <c r="BJ183" s="396">
        <f t="shared" ref="BJ183" si="1231">BK182-BK183</f>
        <v>0</v>
      </c>
      <c r="BK183" s="179">
        <f t="shared" ref="BK183" si="1232">BK138</f>
        <v>50020</v>
      </c>
      <c r="BM183" s="106" t="s">
        <v>736</v>
      </c>
      <c r="BQ183" s="217"/>
      <c r="BR183" s="403"/>
      <c r="BW183" s="396">
        <f t="shared" ref="BW183" si="1233">BX182-BX183</f>
        <v>0</v>
      </c>
      <c r="BX183" s="179">
        <f t="shared" ref="BX183" si="1234">BX138</f>
        <v>50020</v>
      </c>
      <c r="BZ183" s="106" t="s">
        <v>736</v>
      </c>
      <c r="CD183" s="217"/>
      <c r="CE183" s="403"/>
      <c r="CJ183" s="396">
        <f t="shared" ref="CJ183" si="1235">CK182-CK183</f>
        <v>0</v>
      </c>
      <c r="CK183" s="179">
        <f t="shared" ref="CK183" si="1236">CK138</f>
        <v>50020</v>
      </c>
      <c r="CM183" s="106" t="s">
        <v>736</v>
      </c>
      <c r="CQ183" s="217"/>
      <c r="CR183" s="403"/>
      <c r="CW183" s="396">
        <f t="shared" ref="CW183" si="1237">CX182-CX183</f>
        <v>0</v>
      </c>
      <c r="CX183" s="179">
        <f t="shared" ref="CX183" si="1238">CX138</f>
        <v>50020</v>
      </c>
      <c r="CZ183" s="106" t="s">
        <v>736</v>
      </c>
      <c r="DD183" s="217"/>
      <c r="DE183" s="403"/>
      <c r="DJ183" s="396">
        <f t="shared" ref="DJ183" si="1239">DK182-DK183</f>
        <v>0</v>
      </c>
      <c r="DK183" s="179">
        <f t="shared" ref="DK183" si="1240">DK138</f>
        <v>50020</v>
      </c>
      <c r="DM183" s="106" t="s">
        <v>736</v>
      </c>
      <c r="DQ183" s="217"/>
      <c r="DR183" s="403"/>
      <c r="DW183" s="396">
        <f t="shared" ref="DW183" si="1241">DX182-DX183</f>
        <v>0</v>
      </c>
      <c r="DX183" s="179">
        <f t="shared" ref="DX183" si="1242">DX138</f>
        <v>50020</v>
      </c>
      <c r="DZ183" s="106" t="s">
        <v>736</v>
      </c>
      <c r="ED183" s="217"/>
    </row>
    <row r="184" spans="1:134" hidden="1" x14ac:dyDescent="0.3">
      <c r="A184" s="223" t="s">
        <v>730</v>
      </c>
      <c r="Q184" s="238">
        <v>57</v>
      </c>
      <c r="R184" s="403"/>
      <c r="W184" s="395"/>
      <c r="X184" s="179">
        <f>X169</f>
        <v>49187.37</v>
      </c>
      <c r="Z184" s="223" t="s">
        <v>730</v>
      </c>
      <c r="AD184" s="217"/>
      <c r="AE184" s="403"/>
      <c r="AJ184" s="395"/>
      <c r="AK184" s="179">
        <f t="shared" ref="AK184" si="1243">AK169</f>
        <v>47331.67</v>
      </c>
      <c r="AM184" s="223" t="s">
        <v>730</v>
      </c>
      <c r="AQ184" s="217"/>
      <c r="AR184" s="403"/>
      <c r="AW184" s="395"/>
      <c r="AX184" s="179">
        <f t="shared" ref="AX184" si="1244">AX169</f>
        <v>45545.97</v>
      </c>
      <c r="AZ184" s="223" t="s">
        <v>730</v>
      </c>
      <c r="BD184" s="217"/>
      <c r="BE184" s="403"/>
      <c r="BJ184" s="395"/>
      <c r="BK184" s="179">
        <f t="shared" ref="BK184" si="1245">BK169</f>
        <v>43795.27</v>
      </c>
      <c r="BM184" s="223" t="s">
        <v>730</v>
      </c>
      <c r="BQ184" s="217"/>
      <c r="BR184" s="403"/>
      <c r="BW184" s="395"/>
      <c r="BX184" s="179">
        <f t="shared" ref="BX184" si="1246">BX169</f>
        <v>42044.57</v>
      </c>
      <c r="BZ184" s="223" t="s">
        <v>730</v>
      </c>
      <c r="CD184" s="217"/>
      <c r="CE184" s="403"/>
      <c r="CJ184" s="395"/>
      <c r="CK184" s="179">
        <f t="shared" ref="CK184" si="1247">CK169</f>
        <v>34537.599999999999</v>
      </c>
      <c r="CM184" s="223" t="s">
        <v>730</v>
      </c>
      <c r="CQ184" s="217"/>
      <c r="CR184" s="403"/>
      <c r="CW184" s="395"/>
      <c r="CX184" s="179">
        <f t="shared" ref="CX184" si="1248">CX169</f>
        <v>33037</v>
      </c>
      <c r="CZ184" s="223" t="s">
        <v>730</v>
      </c>
      <c r="DD184" s="217"/>
      <c r="DE184" s="403"/>
      <c r="DJ184" s="395"/>
      <c r="DK184" s="179">
        <f t="shared" ref="DK184" si="1249">DK169</f>
        <v>31536.400000000001</v>
      </c>
      <c r="DM184" s="223" t="s">
        <v>730</v>
      </c>
      <c r="DQ184" s="217"/>
      <c r="DR184" s="403"/>
      <c r="DW184" s="395"/>
      <c r="DX184" s="179">
        <f t="shared" ref="DX184" si="1250">DX169</f>
        <v>30035.8</v>
      </c>
      <c r="DZ184" s="223" t="s">
        <v>730</v>
      </c>
      <c r="ED184" s="217"/>
    </row>
    <row r="185" spans="1:134" hidden="1" x14ac:dyDescent="0.3">
      <c r="A185" s="106" t="s">
        <v>731</v>
      </c>
      <c r="Q185" s="238">
        <v>58</v>
      </c>
      <c r="R185" s="403"/>
      <c r="W185" s="396">
        <f>X184-X185</f>
        <v>0</v>
      </c>
      <c r="X185" s="179">
        <f>ROUND((AA126-S126+U126+Y126/2)*HLOOKUP(X128,Grund_zins,2,FALSE),2)+ROUND((AC126+AD126/2)*HLOOKUP(X128,Grund_zins,2,FALSE),2)</f>
        <v>49187.37</v>
      </c>
      <c r="Z185" s="106" t="s">
        <v>731</v>
      </c>
      <c r="AD185" s="217"/>
      <c r="AE185" s="403"/>
      <c r="AJ185" s="396">
        <f t="shared" ref="AJ185" si="1251">AK184-AK185</f>
        <v>0</v>
      </c>
      <c r="AK185" s="179">
        <f>ROUND((AN126-AF126+AH126+AL126/2)*HLOOKUP(AK128,Grund_zins,2,FALSE),2)+ROUND((AP126+AQ126/2)*HLOOKUP(AK128,Grund_zins,2,FALSE),2)</f>
        <v>47331.67</v>
      </c>
      <c r="AM185" s="106" t="s">
        <v>731</v>
      </c>
      <c r="AQ185" s="217"/>
      <c r="AR185" s="403"/>
      <c r="AW185" s="396">
        <f t="shared" ref="AW185" si="1252">AX184-AX185</f>
        <v>0</v>
      </c>
      <c r="AX185" s="179">
        <f>ROUND((BA126-AS126+AU126+AY126/2)*HLOOKUP(AX128,Grund_zins,2,FALSE),2)+ROUND((BC126+BD126/2)*HLOOKUP(AX128,Grund_zins,2,FALSE),2)</f>
        <v>45545.97</v>
      </c>
      <c r="AZ185" s="106" t="s">
        <v>731</v>
      </c>
      <c r="BD185" s="217"/>
      <c r="BE185" s="403"/>
      <c r="BJ185" s="396">
        <f t="shared" ref="BJ185" si="1253">BK184-BK185</f>
        <v>0</v>
      </c>
      <c r="BK185" s="179">
        <f>ROUND((BN126-BF126+BH126+BL126/2)*HLOOKUP(BK128,Grund_zins,2,FALSE),2)+ROUND((BP126+BQ126/2)*HLOOKUP(BK128,Grund_zins,2,FALSE),2)</f>
        <v>43795.27</v>
      </c>
      <c r="BM185" s="106" t="s">
        <v>731</v>
      </c>
      <c r="BQ185" s="217"/>
      <c r="BR185" s="403"/>
      <c r="BW185" s="396">
        <f t="shared" ref="BW185" si="1254">BX184-BX185</f>
        <v>0</v>
      </c>
      <c r="BX185" s="179">
        <f>ROUND((CA126-BS126+BU126+BY126/2)*HLOOKUP(BX128,Grund_zins,2,FALSE),2)+ROUND((CC126+CD126/2)*HLOOKUP(BX128,Grund_zins,2,FALSE),2)</f>
        <v>42044.57</v>
      </c>
      <c r="BZ185" s="106" t="s">
        <v>731</v>
      </c>
      <c r="CD185" s="217"/>
      <c r="CE185" s="403"/>
      <c r="CJ185" s="396">
        <f t="shared" ref="CJ185" si="1255">CK184-CK185</f>
        <v>0</v>
      </c>
      <c r="CK185" s="179">
        <f>ROUND((CN126-CF126+CH126+CL126/2)*HLOOKUP(CK128,Grund_zins,2,FALSE),2)+ROUND((CP126+CQ126/2)*HLOOKUP(CK128,Grund_zins,2,FALSE),2)</f>
        <v>34537.599999999999</v>
      </c>
      <c r="CM185" s="106" t="s">
        <v>731</v>
      </c>
      <c r="CQ185" s="217"/>
      <c r="CR185" s="403"/>
      <c r="CW185" s="396">
        <f t="shared" ref="CW185" si="1256">CX184-CX185</f>
        <v>0</v>
      </c>
      <c r="CX185" s="179">
        <f>ROUND((DA126-CS126+CU126+CY126/2)*HLOOKUP(CX128,Grund_zins,2,FALSE),2)+ROUND((DC126+DD126/2)*HLOOKUP(CX128,Grund_zins,2,FALSE),2)</f>
        <v>33037</v>
      </c>
      <c r="CZ185" s="106" t="s">
        <v>731</v>
      </c>
      <c r="DD185" s="217"/>
      <c r="DE185" s="403"/>
      <c r="DJ185" s="396">
        <f t="shared" ref="DJ185" si="1257">DK184-DK185</f>
        <v>0</v>
      </c>
      <c r="DK185" s="179">
        <f>ROUND((DN126-DF126+DH126+DL126/2)*HLOOKUP(DK128,Grund_zins,2,FALSE),2)+ROUND((DP126+DQ126/2)*HLOOKUP(DK128,Grund_zins,2,FALSE),2)</f>
        <v>31536.400000000001</v>
      </c>
      <c r="DM185" s="106" t="s">
        <v>731</v>
      </c>
      <c r="DQ185" s="217"/>
      <c r="DR185" s="403"/>
      <c r="DW185" s="396">
        <f t="shared" ref="DW185" si="1258">DX184-DX185</f>
        <v>0</v>
      </c>
      <c r="DX185" s="179">
        <f>ROUND((EA126-DS126+DU126+DY126/2)*HLOOKUP(DX128,Grund_zins,2,FALSE),2)+ROUND((EC126+ED126/2)*HLOOKUP(DX128,Grund_zins,2,FALSE),2)</f>
        <v>30035.8</v>
      </c>
      <c r="DZ185" s="106" t="s">
        <v>731</v>
      </c>
      <c r="ED185" s="217"/>
    </row>
    <row r="186" spans="1:134" hidden="1" x14ac:dyDescent="0.3">
      <c r="Q186" s="238">
        <v>59</v>
      </c>
      <c r="R186" s="403"/>
      <c r="AD186" s="217"/>
      <c r="AE186" s="403"/>
      <c r="AQ186" s="217"/>
      <c r="AR186" s="403"/>
      <c r="BD186" s="217"/>
      <c r="BE186" s="403"/>
      <c r="BQ186" s="217"/>
      <c r="BR186" s="403"/>
      <c r="CD186" s="217"/>
      <c r="CE186" s="403"/>
      <c r="CQ186" s="217"/>
      <c r="CR186" s="403"/>
      <c r="DD186" s="217"/>
      <c r="DE186" s="403"/>
      <c r="DQ186" s="217"/>
      <c r="DR186" s="403"/>
      <c r="ED186" s="217"/>
    </row>
    <row r="187" spans="1:134" ht="18" hidden="1" x14ac:dyDescent="0.35">
      <c r="A187" s="184" t="s">
        <v>494</v>
      </c>
      <c r="Q187" s="238">
        <v>60</v>
      </c>
      <c r="R187" s="404" t="s">
        <v>494</v>
      </c>
      <c r="AD187" s="217"/>
      <c r="AE187" s="404" t="s">
        <v>494</v>
      </c>
      <c r="AQ187" s="217"/>
      <c r="AR187" s="404" t="s">
        <v>494</v>
      </c>
      <c r="BD187" s="217"/>
      <c r="BE187" s="404" t="s">
        <v>494</v>
      </c>
      <c r="BQ187" s="217"/>
      <c r="BR187" s="404" t="s">
        <v>494</v>
      </c>
      <c r="CD187" s="217"/>
      <c r="CE187" s="404" t="s">
        <v>494</v>
      </c>
      <c r="CQ187" s="217"/>
      <c r="CR187" s="404" t="s">
        <v>494</v>
      </c>
      <c r="DD187" s="217"/>
      <c r="DE187" s="404" t="s">
        <v>494</v>
      </c>
      <c r="DQ187" s="217"/>
      <c r="DR187" s="404" t="s">
        <v>494</v>
      </c>
      <c r="ED187" s="217"/>
    </row>
    <row r="188" spans="1:134" hidden="1" x14ac:dyDescent="0.3">
      <c r="A188" s="216" t="s">
        <v>495</v>
      </c>
      <c r="Q188" s="238">
        <v>61</v>
      </c>
      <c r="R188" s="403"/>
      <c r="W188" s="102">
        <f>SUM(W189:W191)</f>
        <v>1</v>
      </c>
      <c r="X188" s="179">
        <f>X138</f>
        <v>54020</v>
      </c>
      <c r="Z188" s="216" t="s">
        <v>495</v>
      </c>
      <c r="AD188" s="217"/>
      <c r="AE188" s="403"/>
      <c r="AJ188" s="102">
        <f t="shared" ref="AJ188" si="1259">SUM(AJ189:AJ191)</f>
        <v>1</v>
      </c>
      <c r="AK188" s="179">
        <f t="shared" ref="AK188:BK191" si="1260">AK138</f>
        <v>52020</v>
      </c>
      <c r="AM188" s="216" t="s">
        <v>495</v>
      </c>
      <c r="AQ188" s="217"/>
      <c r="AR188" s="403"/>
      <c r="AW188" s="102">
        <f t="shared" ref="AW188" si="1261">SUM(AW189:AW191)</f>
        <v>1</v>
      </c>
      <c r="AX188" s="179">
        <f t="shared" ref="AX188" si="1262">AX138</f>
        <v>50020</v>
      </c>
      <c r="AZ188" s="216" t="s">
        <v>495</v>
      </c>
      <c r="BD188" s="217"/>
      <c r="BE188" s="403"/>
      <c r="BJ188" s="102">
        <f t="shared" ref="BJ188" si="1263">SUM(BJ189:BJ191)</f>
        <v>1</v>
      </c>
      <c r="BK188" s="179">
        <f t="shared" ref="BK188" si="1264">BK138</f>
        <v>50020</v>
      </c>
      <c r="BM188" s="216" t="s">
        <v>495</v>
      </c>
      <c r="BQ188" s="217"/>
      <c r="BR188" s="403"/>
      <c r="BW188" s="102">
        <f t="shared" ref="BW188" si="1265">SUM(BW189:BW191)</f>
        <v>1</v>
      </c>
      <c r="BX188" s="179">
        <f t="shared" ref="BX188:CX191" si="1266">BX138</f>
        <v>50020</v>
      </c>
      <c r="BZ188" s="216" t="s">
        <v>495</v>
      </c>
      <c r="CD188" s="217"/>
      <c r="CE188" s="403"/>
      <c r="CJ188" s="102">
        <f t="shared" ref="CJ188" si="1267">SUM(CJ189:CJ191)</f>
        <v>1</v>
      </c>
      <c r="CK188" s="179">
        <f t="shared" ref="CK188" si="1268">CK138</f>
        <v>50020</v>
      </c>
      <c r="CM188" s="216" t="s">
        <v>495</v>
      </c>
      <c r="CQ188" s="217"/>
      <c r="CR188" s="403"/>
      <c r="CW188" s="102">
        <f t="shared" ref="CW188" si="1269">SUM(CW189:CW191)</f>
        <v>1</v>
      </c>
      <c r="CX188" s="179">
        <f t="shared" ref="CX188" si="1270">CX138</f>
        <v>50020</v>
      </c>
      <c r="CZ188" s="216" t="s">
        <v>495</v>
      </c>
      <c r="DD188" s="217"/>
      <c r="DE188" s="403"/>
      <c r="DJ188" s="102">
        <f t="shared" ref="DJ188" si="1271">SUM(DJ189:DJ191)</f>
        <v>1</v>
      </c>
      <c r="DK188" s="179">
        <f t="shared" ref="DK188:DX191" si="1272">DK138</f>
        <v>50020</v>
      </c>
      <c r="DM188" s="216" t="s">
        <v>495</v>
      </c>
      <c r="DQ188" s="217"/>
      <c r="DR188" s="403"/>
      <c r="DW188" s="102">
        <f t="shared" ref="DW188" si="1273">SUM(DW189:DW191)</f>
        <v>1</v>
      </c>
      <c r="DX188" s="179">
        <f t="shared" ref="DX188" si="1274">DX138</f>
        <v>50020</v>
      </c>
      <c r="DZ188" s="216" t="s">
        <v>495</v>
      </c>
      <c r="ED188" s="217"/>
    </row>
    <row r="189" spans="1:134" hidden="1" x14ac:dyDescent="0.3">
      <c r="A189" s="112" t="s">
        <v>180</v>
      </c>
      <c r="Q189" s="238">
        <v>62</v>
      </c>
      <c r="R189" s="403"/>
      <c r="W189" s="102">
        <f>IF(X188&lt;&gt;0,X189/X188,0)</f>
        <v>0.50758978156238432</v>
      </c>
      <c r="X189" s="179">
        <f t="shared" ref="X189:X191" si="1275">X139</f>
        <v>27420</v>
      </c>
      <c r="Z189" s="112" t="s">
        <v>180</v>
      </c>
      <c r="AD189" s="217"/>
      <c r="AE189" s="403"/>
      <c r="AJ189" s="102">
        <f t="shared" ref="AJ189" si="1276">IF(AK188&lt;&gt;0,AK189/AK188,0)</f>
        <v>0.50788158400615147</v>
      </c>
      <c r="AK189" s="179">
        <f t="shared" si="1260"/>
        <v>26420</v>
      </c>
      <c r="AM189" s="112" t="s">
        <v>180</v>
      </c>
      <c r="AQ189" s="217"/>
      <c r="AR189" s="403"/>
      <c r="AW189" s="102">
        <f t="shared" ref="AW189" si="1277">IF(AX188&lt;&gt;0,AX189/AX188,0)</f>
        <v>0.50819672131147542</v>
      </c>
      <c r="AX189" s="179">
        <f t="shared" si="1260"/>
        <v>25420</v>
      </c>
      <c r="AZ189" s="112" t="s">
        <v>180</v>
      </c>
      <c r="BD189" s="217"/>
      <c r="BE189" s="403"/>
      <c r="BJ189" s="102">
        <f t="shared" ref="BJ189" si="1278">IF(BK188&lt;&gt;0,BK189/BK188,0)</f>
        <v>0.50819672131147542</v>
      </c>
      <c r="BK189" s="179">
        <f t="shared" si="1260"/>
        <v>25420</v>
      </c>
      <c r="BM189" s="112" t="s">
        <v>180</v>
      </c>
      <c r="BQ189" s="217"/>
      <c r="BR189" s="403"/>
      <c r="BW189" s="102">
        <f t="shared" ref="BW189" si="1279">IF(BX188&lt;&gt;0,BX189/BX188,0)</f>
        <v>0.50819672131147542</v>
      </c>
      <c r="BX189" s="179">
        <f t="shared" si="1266"/>
        <v>25420</v>
      </c>
      <c r="BZ189" s="112" t="s">
        <v>180</v>
      </c>
      <c r="CD189" s="217"/>
      <c r="CE189" s="403"/>
      <c r="CJ189" s="102">
        <f t="shared" ref="CJ189" si="1280">IF(CK188&lt;&gt;0,CK189/CK188,0)</f>
        <v>0.50819672131147542</v>
      </c>
      <c r="CK189" s="179">
        <f t="shared" si="1266"/>
        <v>25420</v>
      </c>
      <c r="CM189" s="112" t="s">
        <v>180</v>
      </c>
      <c r="CQ189" s="217"/>
      <c r="CR189" s="403"/>
      <c r="CW189" s="102">
        <f t="shared" ref="CW189" si="1281">IF(CX188&lt;&gt;0,CX189/CX188,0)</f>
        <v>0.50819672131147542</v>
      </c>
      <c r="CX189" s="179">
        <f t="shared" si="1266"/>
        <v>25420</v>
      </c>
      <c r="CZ189" s="112" t="s">
        <v>180</v>
      </c>
      <c r="DD189" s="217"/>
      <c r="DE189" s="403"/>
      <c r="DJ189" s="102">
        <f t="shared" ref="DJ189" si="1282">IF(DK188&lt;&gt;0,DK189/DK188,0)</f>
        <v>0.50819672131147542</v>
      </c>
      <c r="DK189" s="179">
        <f t="shared" si="1272"/>
        <v>25420</v>
      </c>
      <c r="DM189" s="112" t="s">
        <v>180</v>
      </c>
      <c r="DQ189" s="217"/>
      <c r="DR189" s="403"/>
      <c r="DW189" s="102">
        <f t="shared" ref="DW189" si="1283">IF(DX188&lt;&gt;0,DX189/DX188,0)</f>
        <v>0.50819672131147542</v>
      </c>
      <c r="DX189" s="179">
        <f t="shared" si="1272"/>
        <v>25420</v>
      </c>
      <c r="DZ189" s="112" t="s">
        <v>180</v>
      </c>
      <c r="ED189" s="217"/>
    </row>
    <row r="190" spans="1:134" hidden="1" x14ac:dyDescent="0.3">
      <c r="A190" s="112" t="s">
        <v>181</v>
      </c>
      <c r="Q190" s="238">
        <v>63</v>
      </c>
      <c r="R190" s="403"/>
      <c r="W190" s="102">
        <f>IF(X188&lt;&gt;0,X190/X188,0)</f>
        <v>0.49241021843761568</v>
      </c>
      <c r="X190" s="179">
        <f t="shared" si="1275"/>
        <v>26600</v>
      </c>
      <c r="Z190" s="112" t="s">
        <v>181</v>
      </c>
      <c r="AD190" s="217"/>
      <c r="AE190" s="403"/>
      <c r="AJ190" s="102">
        <f t="shared" ref="AJ190" si="1284">IF(AK188&lt;&gt;0,AK190/AK188,0)</f>
        <v>0.49211841599384853</v>
      </c>
      <c r="AK190" s="179">
        <f t="shared" si="1260"/>
        <v>25600</v>
      </c>
      <c r="AM190" s="112" t="s">
        <v>181</v>
      </c>
      <c r="AQ190" s="217"/>
      <c r="AR190" s="403"/>
      <c r="AW190" s="102">
        <f t="shared" ref="AW190" si="1285">IF(AX188&lt;&gt;0,AX190/AX188,0)</f>
        <v>0.49180327868852458</v>
      </c>
      <c r="AX190" s="179">
        <f t="shared" si="1260"/>
        <v>24600</v>
      </c>
      <c r="AZ190" s="112" t="s">
        <v>181</v>
      </c>
      <c r="BD190" s="217"/>
      <c r="BE190" s="403"/>
      <c r="BJ190" s="102">
        <f t="shared" ref="BJ190" si="1286">IF(BK188&lt;&gt;0,BK190/BK188,0)</f>
        <v>0.49180327868852458</v>
      </c>
      <c r="BK190" s="179">
        <f t="shared" si="1260"/>
        <v>24600</v>
      </c>
      <c r="BM190" s="112" t="s">
        <v>181</v>
      </c>
      <c r="BQ190" s="217"/>
      <c r="BR190" s="403"/>
      <c r="BW190" s="102">
        <f t="shared" ref="BW190" si="1287">IF(BX188&lt;&gt;0,BX190/BX188,0)</f>
        <v>0.49180327868852458</v>
      </c>
      <c r="BX190" s="179">
        <f t="shared" si="1266"/>
        <v>24600</v>
      </c>
      <c r="BZ190" s="112" t="s">
        <v>181</v>
      </c>
      <c r="CD190" s="217"/>
      <c r="CE190" s="403"/>
      <c r="CJ190" s="102">
        <f t="shared" ref="CJ190" si="1288">IF(CK188&lt;&gt;0,CK190/CK188,0)</f>
        <v>0.49180327868852458</v>
      </c>
      <c r="CK190" s="179">
        <f t="shared" si="1266"/>
        <v>24600</v>
      </c>
      <c r="CM190" s="112" t="s">
        <v>181</v>
      </c>
      <c r="CQ190" s="217"/>
      <c r="CR190" s="403"/>
      <c r="CW190" s="102">
        <f t="shared" ref="CW190" si="1289">IF(CX188&lt;&gt;0,CX190/CX188,0)</f>
        <v>0.49180327868852458</v>
      </c>
      <c r="CX190" s="179">
        <f t="shared" si="1266"/>
        <v>24600</v>
      </c>
      <c r="CZ190" s="112" t="s">
        <v>181</v>
      </c>
      <c r="DD190" s="217"/>
      <c r="DE190" s="403"/>
      <c r="DJ190" s="102">
        <f t="shared" ref="DJ190" si="1290">IF(DK188&lt;&gt;0,DK190/DK188,0)</f>
        <v>0.49180327868852458</v>
      </c>
      <c r="DK190" s="179">
        <f t="shared" si="1272"/>
        <v>24600</v>
      </c>
      <c r="DM190" s="112" t="s">
        <v>181</v>
      </c>
      <c r="DQ190" s="217"/>
      <c r="DR190" s="403"/>
      <c r="DW190" s="102">
        <f t="shared" ref="DW190" si="1291">IF(DX188&lt;&gt;0,DX190/DX188,0)</f>
        <v>0.49180327868852458</v>
      </c>
      <c r="DX190" s="179">
        <f t="shared" si="1272"/>
        <v>24600</v>
      </c>
      <c r="DZ190" s="112" t="s">
        <v>181</v>
      </c>
      <c r="ED190" s="217"/>
    </row>
    <row r="191" spans="1:134" hidden="1" x14ac:dyDescent="0.3">
      <c r="A191" s="112" t="s">
        <v>497</v>
      </c>
      <c r="Q191" s="238">
        <v>64</v>
      </c>
      <c r="R191" s="403"/>
      <c r="W191" s="10">
        <f>IF(X188&lt;&gt;0,X191/X188,0)</f>
        <v>0</v>
      </c>
      <c r="X191" s="179">
        <f t="shared" si="1275"/>
        <v>0</v>
      </c>
      <c r="Z191" s="112" t="s">
        <v>497</v>
      </c>
      <c r="AD191" s="217"/>
      <c r="AE191" s="403"/>
      <c r="AJ191" s="10">
        <f t="shared" ref="AJ191" si="1292">IF(AK188&lt;&gt;0,AK191/AK188,0)</f>
        <v>0</v>
      </c>
      <c r="AK191" s="179">
        <f t="shared" si="1260"/>
        <v>0</v>
      </c>
      <c r="AM191" s="112" t="s">
        <v>497</v>
      </c>
      <c r="AQ191" s="217"/>
      <c r="AR191" s="403"/>
      <c r="AW191" s="10">
        <f t="shared" ref="AW191" si="1293">IF(AX188&lt;&gt;0,AX191/AX188,0)</f>
        <v>0</v>
      </c>
      <c r="AX191" s="179">
        <f t="shared" si="1260"/>
        <v>0</v>
      </c>
      <c r="AZ191" s="112" t="s">
        <v>497</v>
      </c>
      <c r="BD191" s="217"/>
      <c r="BE191" s="403"/>
      <c r="BJ191" s="10">
        <f t="shared" ref="BJ191" si="1294">IF(BK188&lt;&gt;0,BK191/BK188,0)</f>
        <v>0</v>
      </c>
      <c r="BK191" s="179">
        <f t="shared" si="1260"/>
        <v>0</v>
      </c>
      <c r="BM191" s="112" t="s">
        <v>497</v>
      </c>
      <c r="BQ191" s="217"/>
      <c r="BR191" s="403"/>
      <c r="BW191" s="10">
        <f t="shared" ref="BW191" si="1295">IF(BX188&lt;&gt;0,BX191/BX188,0)</f>
        <v>0</v>
      </c>
      <c r="BX191" s="179">
        <f t="shared" si="1266"/>
        <v>0</v>
      </c>
      <c r="BZ191" s="112" t="s">
        <v>497</v>
      </c>
      <c r="CD191" s="217"/>
      <c r="CE191" s="403"/>
      <c r="CJ191" s="10">
        <f t="shared" ref="CJ191" si="1296">IF(CK188&lt;&gt;0,CK191/CK188,0)</f>
        <v>0</v>
      </c>
      <c r="CK191" s="179">
        <f t="shared" si="1266"/>
        <v>0</v>
      </c>
      <c r="CM191" s="112" t="s">
        <v>497</v>
      </c>
      <c r="CQ191" s="217"/>
      <c r="CR191" s="403"/>
      <c r="CW191" s="10">
        <f t="shared" ref="CW191" si="1297">IF(CX188&lt;&gt;0,CX191/CX188,0)</f>
        <v>0</v>
      </c>
      <c r="CX191" s="179">
        <f t="shared" si="1266"/>
        <v>0</v>
      </c>
      <c r="CZ191" s="112" t="s">
        <v>497</v>
      </c>
      <c r="DD191" s="217"/>
      <c r="DE191" s="403"/>
      <c r="DJ191" s="10">
        <f t="shared" ref="DJ191" si="1298">IF(DK188&lt;&gt;0,DK191/DK188,0)</f>
        <v>0</v>
      </c>
      <c r="DK191" s="179">
        <f t="shared" si="1272"/>
        <v>0</v>
      </c>
      <c r="DM191" s="112" t="s">
        <v>497</v>
      </c>
      <c r="DQ191" s="217"/>
      <c r="DR191" s="403"/>
      <c r="DW191" s="10">
        <f t="shared" ref="DW191" si="1299">IF(DX188&lt;&gt;0,DX191/DX188,0)</f>
        <v>0</v>
      </c>
      <c r="DX191" s="179">
        <f t="shared" si="1272"/>
        <v>0</v>
      </c>
      <c r="DZ191" s="112" t="s">
        <v>497</v>
      </c>
      <c r="ED191" s="217"/>
    </row>
    <row r="192" spans="1:134" hidden="1" x14ac:dyDescent="0.3">
      <c r="A192" s="216" t="s">
        <v>704</v>
      </c>
      <c r="Q192" s="238">
        <v>65</v>
      </c>
      <c r="R192" s="403"/>
      <c r="W192" s="102">
        <f>SUM(W193:W195)</f>
        <v>1</v>
      </c>
      <c r="X192" s="179">
        <f>ROUND(X188*HLOOKUP(X128,Grund_be,5,FALSE),2)</f>
        <v>54020</v>
      </c>
      <c r="Z192" s="216" t="str">
        <f>"Umlegungsanteil auf Gebühren = "&amp; HLOOKUP(X128,Grund_be,5,FALSE) *100 &amp; " %"</f>
        <v>Umlegungsanteil auf Gebühren = 100 %</v>
      </c>
      <c r="AD192" s="217"/>
      <c r="AE192" s="403"/>
      <c r="AJ192" s="102">
        <f t="shared" ref="AJ192" si="1300">SUM(AJ193:AJ195)</f>
        <v>1</v>
      </c>
      <c r="AK192" s="179">
        <f>ROUND(AK188*HLOOKUP(AK128,Grund_be,5,FALSE),2)</f>
        <v>52020</v>
      </c>
      <c r="AM192" s="216" t="str">
        <f>"Umlegungsanteil auf Gebühren = "&amp; HLOOKUP(AK128,Grund_be,5,FALSE) *100 &amp; " %"</f>
        <v>Umlegungsanteil auf Gebühren = 100 %</v>
      </c>
      <c r="AQ192" s="217"/>
      <c r="AR192" s="403"/>
      <c r="AW192" s="102">
        <f t="shared" ref="AW192" si="1301">SUM(AW193:AW195)</f>
        <v>1</v>
      </c>
      <c r="AX192" s="179">
        <f>ROUND(AX188*HLOOKUP(AX128,Grund_be,5,FALSE),2)</f>
        <v>50020</v>
      </c>
      <c r="AZ192" s="216" t="str">
        <f>"Umlegungsanteil auf Gebühren = "&amp; HLOOKUP(AX128,Grund_be,5,FALSE) *100 &amp; " %"</f>
        <v>Umlegungsanteil auf Gebühren = 100 %</v>
      </c>
      <c r="BD192" s="217"/>
      <c r="BE192" s="403"/>
      <c r="BJ192" s="102">
        <f t="shared" ref="BJ192" si="1302">SUM(BJ193:BJ195)</f>
        <v>1</v>
      </c>
      <c r="BK192" s="179">
        <f>ROUND(BK188*HLOOKUP(BK128,Grund_be,5,FALSE),2)</f>
        <v>50020</v>
      </c>
      <c r="BM192" s="216" t="str">
        <f>"Umlegungsanteil auf Gebühren = "&amp; HLOOKUP(BK128,Grund_be,5,FALSE) *100 &amp; " %"</f>
        <v>Umlegungsanteil auf Gebühren = 100 %</v>
      </c>
      <c r="BQ192" s="217"/>
      <c r="BR192" s="403"/>
      <c r="BW192" s="102">
        <f t="shared" ref="BW192" si="1303">SUM(BW193:BW195)</f>
        <v>1</v>
      </c>
      <c r="BX192" s="179">
        <f>ROUND(BX188*HLOOKUP(BX128,Grund_be,5,FALSE),2)</f>
        <v>50020</v>
      </c>
      <c r="BZ192" s="216" t="str">
        <f>"Umlegungsanteil auf Gebühren = "&amp; HLOOKUP(BX128,Grund_be,5,FALSE) *100 &amp; " %"</f>
        <v>Umlegungsanteil auf Gebühren = 100 %</v>
      </c>
      <c r="CD192" s="217"/>
      <c r="CE192" s="403"/>
      <c r="CJ192" s="102">
        <f t="shared" ref="CJ192" si="1304">SUM(CJ193:CJ195)</f>
        <v>1</v>
      </c>
      <c r="CK192" s="179">
        <f>ROUND(CK188*HLOOKUP(CK128,Grund_be,5,FALSE),2)</f>
        <v>50020</v>
      </c>
      <c r="CM192" s="216" t="str">
        <f>"Umlegungsanteil auf Gebühren = "&amp; HLOOKUP(CK128,Grund_be,5,FALSE) *100 &amp; " %"</f>
        <v>Umlegungsanteil auf Gebühren = 100 %</v>
      </c>
      <c r="CQ192" s="217"/>
      <c r="CR192" s="403"/>
      <c r="CW192" s="102">
        <f t="shared" ref="CW192" si="1305">SUM(CW193:CW195)</f>
        <v>1</v>
      </c>
      <c r="CX192" s="179">
        <f>ROUND(CX188*HLOOKUP(CX128,Grund_be,5,FALSE),2)</f>
        <v>50020</v>
      </c>
      <c r="CZ192" s="216" t="str">
        <f>"Umlegungsanteil auf Gebühren = "&amp; HLOOKUP(CX128,Grund_be,5,FALSE) *100 &amp; " %"</f>
        <v>Umlegungsanteil auf Gebühren = 100 %</v>
      </c>
      <c r="DD192" s="217"/>
      <c r="DE192" s="403"/>
      <c r="DJ192" s="102">
        <f t="shared" ref="DJ192" si="1306">SUM(DJ193:DJ195)</f>
        <v>1</v>
      </c>
      <c r="DK192" s="179">
        <f>ROUND(DK188*HLOOKUP(DK128,Grund_be,5,FALSE),2)</f>
        <v>50020</v>
      </c>
      <c r="DM192" s="216" t="str">
        <f>"Umlegungsanteil auf Gebühren = "&amp; HLOOKUP(DK128,Grund_be,5,FALSE) *100 &amp; " %"</f>
        <v>Umlegungsanteil auf Gebühren = 100 %</v>
      </c>
      <c r="DQ192" s="217"/>
      <c r="DR192" s="403"/>
      <c r="DW192" s="102">
        <f t="shared" ref="DW192" si="1307">SUM(DW193:DW195)</f>
        <v>1</v>
      </c>
      <c r="DX192" s="179">
        <f>ROUND(DX188*HLOOKUP(DX128,Grund_be,5,FALSE),2)</f>
        <v>50020</v>
      </c>
      <c r="DZ192" s="216" t="str">
        <f>"Umlegungsanteil auf Gebühren = "&amp; HLOOKUP(DX128,Grund_be,5,FALSE) *100 &amp; " %"</f>
        <v>Umlegungsanteil auf Gebühren = 100 %</v>
      </c>
      <c r="ED192" s="217"/>
    </row>
    <row r="193" spans="1:134" hidden="1" x14ac:dyDescent="0.3">
      <c r="A193" s="112" t="s">
        <v>180</v>
      </c>
      <c r="Q193" s="238">
        <v>66</v>
      </c>
      <c r="R193" s="403"/>
      <c r="W193" s="102">
        <f>IF(X192&lt;&gt;0,X193/X192,0)</f>
        <v>0.50758978156238432</v>
      </c>
      <c r="X193" s="179">
        <f>ROUND(X189*HLOOKUP(X128,Grund_be,5,FALSE),2)</f>
        <v>27420</v>
      </c>
      <c r="Z193" s="112" t="s">
        <v>180</v>
      </c>
      <c r="AD193" s="217"/>
      <c r="AE193" s="403"/>
      <c r="AJ193" s="102">
        <f t="shared" ref="AJ193" si="1308">IF(AK192&lt;&gt;0,AK193/AK192,0)</f>
        <v>0.50788158400615147</v>
      </c>
      <c r="AK193" s="179">
        <f>ROUND(AK189*HLOOKUP(AK128,Grund_be,5,FALSE),2)</f>
        <v>26420</v>
      </c>
      <c r="AM193" s="112" t="s">
        <v>180</v>
      </c>
      <c r="AQ193" s="217"/>
      <c r="AR193" s="403"/>
      <c r="AW193" s="102">
        <f t="shared" ref="AW193" si="1309">IF(AX192&lt;&gt;0,AX193/AX192,0)</f>
        <v>0.50819672131147542</v>
      </c>
      <c r="AX193" s="179">
        <f>ROUND(AX189*HLOOKUP(AX128,Grund_be,5,FALSE),2)</f>
        <v>25420</v>
      </c>
      <c r="AZ193" s="112" t="s">
        <v>180</v>
      </c>
      <c r="BD193" s="217"/>
      <c r="BE193" s="403"/>
      <c r="BJ193" s="102">
        <f t="shared" ref="BJ193" si="1310">IF(BK192&lt;&gt;0,BK193/BK192,0)</f>
        <v>0.50819672131147542</v>
      </c>
      <c r="BK193" s="179">
        <f>ROUND(BK189*HLOOKUP(BK128,Grund_be,5,FALSE),2)</f>
        <v>25420</v>
      </c>
      <c r="BM193" s="112" t="s">
        <v>180</v>
      </c>
      <c r="BQ193" s="217"/>
      <c r="BR193" s="403"/>
      <c r="BW193" s="102">
        <f t="shared" ref="BW193" si="1311">IF(BX192&lt;&gt;0,BX193/BX192,0)</f>
        <v>0.50819672131147542</v>
      </c>
      <c r="BX193" s="179">
        <f>ROUND(BX189*HLOOKUP(BX128,Grund_be,5,FALSE),2)</f>
        <v>25420</v>
      </c>
      <c r="BZ193" s="112" t="s">
        <v>180</v>
      </c>
      <c r="CD193" s="217"/>
      <c r="CE193" s="403"/>
      <c r="CJ193" s="102">
        <f t="shared" ref="CJ193" si="1312">IF(CK192&lt;&gt;0,CK193/CK192,0)</f>
        <v>0.50819672131147542</v>
      </c>
      <c r="CK193" s="179">
        <f>ROUND(CK189*HLOOKUP(CK128,Grund_be,5,FALSE),2)</f>
        <v>25420</v>
      </c>
      <c r="CM193" s="112" t="s">
        <v>180</v>
      </c>
      <c r="CQ193" s="217"/>
      <c r="CR193" s="403"/>
      <c r="CW193" s="102">
        <f t="shared" ref="CW193" si="1313">IF(CX192&lt;&gt;0,CX193/CX192,0)</f>
        <v>0.50819672131147542</v>
      </c>
      <c r="CX193" s="179">
        <f>ROUND(CX189*HLOOKUP(CX128,Grund_be,5,FALSE),2)</f>
        <v>25420</v>
      </c>
      <c r="CZ193" s="112" t="s">
        <v>180</v>
      </c>
      <c r="DD193" s="217"/>
      <c r="DE193" s="403"/>
      <c r="DJ193" s="102">
        <f t="shared" ref="DJ193" si="1314">IF(DK192&lt;&gt;0,DK193/DK192,0)</f>
        <v>0.50819672131147542</v>
      </c>
      <c r="DK193" s="179">
        <f>ROUND(DK189*HLOOKUP(DK128,Grund_be,5,FALSE),2)</f>
        <v>25420</v>
      </c>
      <c r="DM193" s="112" t="s">
        <v>180</v>
      </c>
      <c r="DQ193" s="217"/>
      <c r="DR193" s="403"/>
      <c r="DW193" s="102">
        <f t="shared" ref="DW193" si="1315">IF(DX192&lt;&gt;0,DX193/DX192,0)</f>
        <v>0.50819672131147542</v>
      </c>
      <c r="DX193" s="179">
        <f>ROUND(DX189*HLOOKUP(DX128,Grund_be,5,FALSE),2)</f>
        <v>25420</v>
      </c>
      <c r="DZ193" s="112" t="s">
        <v>180</v>
      </c>
      <c r="ED193" s="217"/>
    </row>
    <row r="194" spans="1:134" hidden="1" x14ac:dyDescent="0.3">
      <c r="A194" s="112" t="s">
        <v>181</v>
      </c>
      <c r="Q194" s="238">
        <v>67</v>
      </c>
      <c r="R194" s="403"/>
      <c r="W194" s="102">
        <f>IF(X192&lt;&gt;0,X194/X192,0)</f>
        <v>0.49241021843761568</v>
      </c>
      <c r="X194" s="179">
        <f>ROUND(X190*HLOOKUP(X128,Grund_be,5,FALSE),2)</f>
        <v>26600</v>
      </c>
      <c r="Z194" s="112" t="s">
        <v>181</v>
      </c>
      <c r="AD194" s="217"/>
      <c r="AE194" s="403"/>
      <c r="AJ194" s="102">
        <f t="shared" ref="AJ194" si="1316">IF(AK192&lt;&gt;0,AK194/AK192,0)</f>
        <v>0.49211841599384853</v>
      </c>
      <c r="AK194" s="179">
        <f>ROUND(AK190*HLOOKUP(AK128,Grund_be,5,FALSE),2)</f>
        <v>25600</v>
      </c>
      <c r="AM194" s="112" t="s">
        <v>181</v>
      </c>
      <c r="AQ194" s="217"/>
      <c r="AR194" s="403"/>
      <c r="AW194" s="102">
        <f t="shared" ref="AW194" si="1317">IF(AX192&lt;&gt;0,AX194/AX192,0)</f>
        <v>0.49180327868852458</v>
      </c>
      <c r="AX194" s="179">
        <f>ROUND(AX190*HLOOKUP(AX128,Grund_be,5,FALSE),2)</f>
        <v>24600</v>
      </c>
      <c r="AZ194" s="112" t="s">
        <v>181</v>
      </c>
      <c r="BD194" s="217"/>
      <c r="BE194" s="403"/>
      <c r="BJ194" s="102">
        <f t="shared" ref="BJ194" si="1318">IF(BK192&lt;&gt;0,BK194/BK192,0)</f>
        <v>0.49180327868852458</v>
      </c>
      <c r="BK194" s="179">
        <f>ROUND(BK190*HLOOKUP(BK128,Grund_be,5,FALSE),2)</f>
        <v>24600</v>
      </c>
      <c r="BM194" s="112" t="s">
        <v>181</v>
      </c>
      <c r="BQ194" s="217"/>
      <c r="BR194" s="403"/>
      <c r="BW194" s="102">
        <f t="shared" ref="BW194" si="1319">IF(BX192&lt;&gt;0,BX194/BX192,0)</f>
        <v>0.49180327868852458</v>
      </c>
      <c r="BX194" s="179">
        <f>ROUND(BX190*HLOOKUP(BX128,Grund_be,5,FALSE),2)</f>
        <v>24600</v>
      </c>
      <c r="BZ194" s="112" t="s">
        <v>181</v>
      </c>
      <c r="CD194" s="217"/>
      <c r="CE194" s="403"/>
      <c r="CJ194" s="102">
        <f t="shared" ref="CJ194" si="1320">IF(CK192&lt;&gt;0,CK194/CK192,0)</f>
        <v>0.49180327868852458</v>
      </c>
      <c r="CK194" s="179">
        <f>ROUND(CK190*HLOOKUP(CK128,Grund_be,5,FALSE),2)</f>
        <v>24600</v>
      </c>
      <c r="CM194" s="112" t="s">
        <v>181</v>
      </c>
      <c r="CQ194" s="217"/>
      <c r="CR194" s="403"/>
      <c r="CW194" s="102">
        <f t="shared" ref="CW194" si="1321">IF(CX192&lt;&gt;0,CX194/CX192,0)</f>
        <v>0.49180327868852458</v>
      </c>
      <c r="CX194" s="179">
        <f>ROUND(CX190*HLOOKUP(CX128,Grund_be,5,FALSE),2)</f>
        <v>24600</v>
      </c>
      <c r="CZ194" s="112" t="s">
        <v>181</v>
      </c>
      <c r="DD194" s="217"/>
      <c r="DE194" s="403"/>
      <c r="DJ194" s="102">
        <f t="shared" ref="DJ194" si="1322">IF(DK192&lt;&gt;0,DK194/DK192,0)</f>
        <v>0.49180327868852458</v>
      </c>
      <c r="DK194" s="179">
        <f>ROUND(DK190*HLOOKUP(DK128,Grund_be,5,FALSE),2)</f>
        <v>24600</v>
      </c>
      <c r="DM194" s="112" t="s">
        <v>181</v>
      </c>
      <c r="DQ194" s="217"/>
      <c r="DR194" s="403"/>
      <c r="DW194" s="102">
        <f t="shared" ref="DW194" si="1323">IF(DX192&lt;&gt;0,DX194/DX192,0)</f>
        <v>0.49180327868852458</v>
      </c>
      <c r="DX194" s="179">
        <f>ROUND(DX190*HLOOKUP(DX128,Grund_be,5,FALSE),2)</f>
        <v>24600</v>
      </c>
      <c r="DZ194" s="112" t="s">
        <v>181</v>
      </c>
      <c r="ED194" s="217"/>
    </row>
    <row r="195" spans="1:134" hidden="1" x14ac:dyDescent="0.3">
      <c r="A195" s="112" t="s">
        <v>497</v>
      </c>
      <c r="Q195" s="238">
        <v>68</v>
      </c>
      <c r="R195" s="403"/>
      <c r="W195" s="10">
        <f>IF(X192&lt;&gt;0,X195/X192,0)</f>
        <v>0</v>
      </c>
      <c r="X195" s="179">
        <f>ROUND(X191*HLOOKUP(X128,Grund_be,5,FALSE),2)</f>
        <v>0</v>
      </c>
      <c r="Z195" s="112" t="s">
        <v>497</v>
      </c>
      <c r="AD195" s="217"/>
      <c r="AE195" s="403"/>
      <c r="AJ195" s="10">
        <f t="shared" ref="AJ195" si="1324">IF(AK192&lt;&gt;0,AK195/AK192,0)</f>
        <v>0</v>
      </c>
      <c r="AK195" s="179">
        <f>ROUND(AK191*HLOOKUP(AK128,Grund_be,5,FALSE),2)</f>
        <v>0</v>
      </c>
      <c r="AM195" s="112" t="s">
        <v>497</v>
      </c>
      <c r="AQ195" s="217"/>
      <c r="AR195" s="403"/>
      <c r="AW195" s="10">
        <f t="shared" ref="AW195" si="1325">IF(AX192&lt;&gt;0,AX195/AX192,0)</f>
        <v>0</v>
      </c>
      <c r="AX195" s="179">
        <f>ROUND(AX191*HLOOKUP(AX128,Grund_be,5,FALSE),2)</f>
        <v>0</v>
      </c>
      <c r="AZ195" s="112" t="s">
        <v>497</v>
      </c>
      <c r="BD195" s="217"/>
      <c r="BE195" s="403"/>
      <c r="BJ195" s="10">
        <f t="shared" ref="BJ195" si="1326">IF(BK192&lt;&gt;0,BK195/BK192,0)</f>
        <v>0</v>
      </c>
      <c r="BK195" s="179">
        <f>ROUND(BK191*HLOOKUP(BK128,Grund_be,5,FALSE),2)</f>
        <v>0</v>
      </c>
      <c r="BM195" s="112" t="s">
        <v>497</v>
      </c>
      <c r="BQ195" s="217"/>
      <c r="BR195" s="403"/>
      <c r="BW195" s="10">
        <f t="shared" ref="BW195" si="1327">IF(BX192&lt;&gt;0,BX195/BX192,0)</f>
        <v>0</v>
      </c>
      <c r="BX195" s="179">
        <f>ROUND(BX191*HLOOKUP(BX128,Grund_be,5,FALSE),2)</f>
        <v>0</v>
      </c>
      <c r="BZ195" s="112" t="s">
        <v>497</v>
      </c>
      <c r="CD195" s="217"/>
      <c r="CE195" s="403"/>
      <c r="CJ195" s="10">
        <f t="shared" ref="CJ195" si="1328">IF(CK192&lt;&gt;0,CK195/CK192,0)</f>
        <v>0</v>
      </c>
      <c r="CK195" s="179">
        <f>ROUND(CK191*HLOOKUP(CK128,Grund_be,5,FALSE),2)</f>
        <v>0</v>
      </c>
      <c r="CM195" s="112" t="s">
        <v>497</v>
      </c>
      <c r="CQ195" s="217"/>
      <c r="CR195" s="403"/>
      <c r="CW195" s="10">
        <f t="shared" ref="CW195" si="1329">IF(CX192&lt;&gt;0,CX195/CX192,0)</f>
        <v>0</v>
      </c>
      <c r="CX195" s="179">
        <f>ROUND(CX191*HLOOKUP(CX128,Grund_be,5,FALSE),2)</f>
        <v>0</v>
      </c>
      <c r="CZ195" s="112" t="s">
        <v>497</v>
      </c>
      <c r="DD195" s="217"/>
      <c r="DE195" s="403"/>
      <c r="DJ195" s="10">
        <f t="shared" ref="DJ195" si="1330">IF(DK192&lt;&gt;0,DK195/DK192,0)</f>
        <v>0</v>
      </c>
      <c r="DK195" s="179">
        <f>ROUND(DK191*HLOOKUP(DK128,Grund_be,5,FALSE),2)</f>
        <v>0</v>
      </c>
      <c r="DM195" s="112" t="s">
        <v>497</v>
      </c>
      <c r="DQ195" s="217"/>
      <c r="DR195" s="403"/>
      <c r="DW195" s="10">
        <f t="shared" ref="DW195" si="1331">IF(DX192&lt;&gt;0,DX195/DX192,0)</f>
        <v>0</v>
      </c>
      <c r="DX195" s="179">
        <f>ROUND(DX191*HLOOKUP(DX128,Grund_be,5,FALSE),2)</f>
        <v>0</v>
      </c>
      <c r="DZ195" s="112" t="s">
        <v>497</v>
      </c>
      <c r="ED195" s="217"/>
    </row>
    <row r="196" spans="1:134" hidden="1" x14ac:dyDescent="0.3">
      <c r="A196" s="216" t="s">
        <v>496</v>
      </c>
      <c r="Q196" s="238">
        <v>69</v>
      </c>
      <c r="R196" s="403"/>
      <c r="W196" s="102">
        <f>SUM(W197:W199)</f>
        <v>0</v>
      </c>
      <c r="X196" s="65">
        <f>ROUND(X188-X192,2)</f>
        <v>0</v>
      </c>
      <c r="Z196" s="216" t="s">
        <v>496</v>
      </c>
      <c r="AD196" s="217"/>
      <c r="AE196" s="403"/>
      <c r="AJ196" s="102">
        <f t="shared" ref="AJ196" si="1332">SUM(AJ197:AJ199)</f>
        <v>0</v>
      </c>
      <c r="AK196" s="65">
        <f t="shared" ref="AK196:BK199" si="1333">ROUND(AK188-AK192,2)</f>
        <v>0</v>
      </c>
      <c r="AM196" s="216" t="s">
        <v>496</v>
      </c>
      <c r="AQ196" s="217"/>
      <c r="AR196" s="403"/>
      <c r="AW196" s="102">
        <f t="shared" ref="AW196" si="1334">SUM(AW197:AW199)</f>
        <v>0</v>
      </c>
      <c r="AX196" s="65">
        <f t="shared" ref="AX196" si="1335">ROUND(AX188-AX192,2)</f>
        <v>0</v>
      </c>
      <c r="AZ196" s="216" t="s">
        <v>496</v>
      </c>
      <c r="BD196" s="217"/>
      <c r="BE196" s="403"/>
      <c r="BJ196" s="102">
        <f t="shared" ref="BJ196" si="1336">SUM(BJ197:BJ199)</f>
        <v>0</v>
      </c>
      <c r="BK196" s="65">
        <f t="shared" ref="BK196" si="1337">ROUND(BK188-BK192,2)</f>
        <v>0</v>
      </c>
      <c r="BM196" s="216" t="s">
        <v>496</v>
      </c>
      <c r="BQ196" s="217"/>
      <c r="BR196" s="403"/>
      <c r="BW196" s="102">
        <f t="shared" ref="BW196" si="1338">SUM(BW197:BW199)</f>
        <v>0</v>
      </c>
      <c r="BX196" s="65">
        <f t="shared" ref="BX196:CX199" si="1339">ROUND(BX188-BX192,2)</f>
        <v>0</v>
      </c>
      <c r="BZ196" s="216" t="s">
        <v>496</v>
      </c>
      <c r="CD196" s="217"/>
      <c r="CE196" s="403"/>
      <c r="CJ196" s="102">
        <f t="shared" ref="CJ196" si="1340">SUM(CJ197:CJ199)</f>
        <v>0</v>
      </c>
      <c r="CK196" s="65">
        <f t="shared" ref="CK196" si="1341">ROUND(CK188-CK192,2)</f>
        <v>0</v>
      </c>
      <c r="CM196" s="216" t="s">
        <v>496</v>
      </c>
      <c r="CQ196" s="217"/>
      <c r="CR196" s="403"/>
      <c r="CW196" s="102">
        <f t="shared" ref="CW196" si="1342">SUM(CW197:CW199)</f>
        <v>0</v>
      </c>
      <c r="CX196" s="65">
        <f t="shared" ref="CX196" si="1343">ROUND(CX188-CX192,2)</f>
        <v>0</v>
      </c>
      <c r="CZ196" s="216" t="s">
        <v>496</v>
      </c>
      <c r="DD196" s="217"/>
      <c r="DE196" s="403"/>
      <c r="DJ196" s="102">
        <f t="shared" ref="DJ196" si="1344">SUM(DJ197:DJ199)</f>
        <v>0</v>
      </c>
      <c r="DK196" s="65">
        <f t="shared" ref="DK196:DX199" si="1345">ROUND(DK188-DK192,2)</f>
        <v>0</v>
      </c>
      <c r="DM196" s="216" t="s">
        <v>496</v>
      </c>
      <c r="DQ196" s="217"/>
      <c r="DR196" s="403"/>
      <c r="DW196" s="102">
        <f t="shared" ref="DW196" si="1346">SUM(DW197:DW199)</f>
        <v>0</v>
      </c>
      <c r="DX196" s="65">
        <f t="shared" ref="DX196" si="1347">ROUND(DX188-DX192,2)</f>
        <v>0</v>
      </c>
      <c r="DZ196" s="216" t="s">
        <v>496</v>
      </c>
      <c r="ED196" s="217"/>
    </row>
    <row r="197" spans="1:134" hidden="1" x14ac:dyDescent="0.3">
      <c r="A197" s="112" t="s">
        <v>180</v>
      </c>
      <c r="Q197" s="238">
        <v>70</v>
      </c>
      <c r="R197" s="403"/>
      <c r="W197" s="102">
        <f>IF(X196&lt;&gt;0,X197/X196,0)</f>
        <v>0</v>
      </c>
      <c r="X197" s="65">
        <f t="shared" ref="X197:X199" si="1348">ROUND(X189-X193,2)</f>
        <v>0</v>
      </c>
      <c r="Z197" s="112" t="s">
        <v>180</v>
      </c>
      <c r="AD197" s="217"/>
      <c r="AE197" s="403"/>
      <c r="AJ197" s="102">
        <f t="shared" ref="AJ197" si="1349">IF(AK196&lt;&gt;0,AK197/AK196,0)</f>
        <v>0</v>
      </c>
      <c r="AK197" s="65">
        <f t="shared" si="1333"/>
        <v>0</v>
      </c>
      <c r="AM197" s="112" t="s">
        <v>180</v>
      </c>
      <c r="AQ197" s="217"/>
      <c r="AR197" s="403"/>
      <c r="AW197" s="102">
        <f t="shared" ref="AW197" si="1350">IF(AX196&lt;&gt;0,AX197/AX196,0)</f>
        <v>0</v>
      </c>
      <c r="AX197" s="65">
        <f t="shared" si="1333"/>
        <v>0</v>
      </c>
      <c r="AZ197" s="112" t="s">
        <v>180</v>
      </c>
      <c r="BD197" s="217"/>
      <c r="BE197" s="403"/>
      <c r="BJ197" s="102">
        <f t="shared" ref="BJ197" si="1351">IF(BK196&lt;&gt;0,BK197/BK196,0)</f>
        <v>0</v>
      </c>
      <c r="BK197" s="65">
        <f t="shared" si="1333"/>
        <v>0</v>
      </c>
      <c r="BM197" s="112" t="s">
        <v>180</v>
      </c>
      <c r="BQ197" s="217"/>
      <c r="BR197" s="403"/>
      <c r="BW197" s="102">
        <f t="shared" ref="BW197" si="1352">IF(BX196&lt;&gt;0,BX197/BX196,0)</f>
        <v>0</v>
      </c>
      <c r="BX197" s="65">
        <f t="shared" si="1339"/>
        <v>0</v>
      </c>
      <c r="BZ197" s="112" t="s">
        <v>180</v>
      </c>
      <c r="CD197" s="217"/>
      <c r="CE197" s="403"/>
      <c r="CJ197" s="102">
        <f t="shared" ref="CJ197" si="1353">IF(CK196&lt;&gt;0,CK197/CK196,0)</f>
        <v>0</v>
      </c>
      <c r="CK197" s="65">
        <f t="shared" si="1339"/>
        <v>0</v>
      </c>
      <c r="CM197" s="112" t="s">
        <v>180</v>
      </c>
      <c r="CQ197" s="217"/>
      <c r="CR197" s="403"/>
      <c r="CW197" s="102">
        <f t="shared" ref="CW197" si="1354">IF(CX196&lt;&gt;0,CX197/CX196,0)</f>
        <v>0</v>
      </c>
      <c r="CX197" s="65">
        <f t="shared" si="1339"/>
        <v>0</v>
      </c>
      <c r="CZ197" s="112" t="s">
        <v>180</v>
      </c>
      <c r="DD197" s="217"/>
      <c r="DE197" s="403"/>
      <c r="DJ197" s="102">
        <f t="shared" ref="DJ197" si="1355">IF(DK196&lt;&gt;0,DK197/DK196,0)</f>
        <v>0</v>
      </c>
      <c r="DK197" s="65">
        <f t="shared" si="1345"/>
        <v>0</v>
      </c>
      <c r="DM197" s="112" t="s">
        <v>180</v>
      </c>
      <c r="DQ197" s="217"/>
      <c r="DR197" s="403"/>
      <c r="DW197" s="102">
        <f t="shared" ref="DW197" si="1356">IF(DX196&lt;&gt;0,DX197/DX196,0)</f>
        <v>0</v>
      </c>
      <c r="DX197" s="65">
        <f t="shared" si="1345"/>
        <v>0</v>
      </c>
      <c r="DZ197" s="112" t="s">
        <v>180</v>
      </c>
      <c r="ED197" s="217"/>
    </row>
    <row r="198" spans="1:134" hidden="1" x14ac:dyDescent="0.3">
      <c r="A198" s="112" t="s">
        <v>181</v>
      </c>
      <c r="Q198" s="238">
        <v>71</v>
      </c>
      <c r="R198" s="403"/>
      <c r="W198" s="102">
        <f>IF(X196&lt;&gt;0,X198/X196,0)</f>
        <v>0</v>
      </c>
      <c r="X198" s="65">
        <f t="shared" si="1348"/>
        <v>0</v>
      </c>
      <c r="Z198" s="112" t="s">
        <v>181</v>
      </c>
      <c r="AD198" s="217"/>
      <c r="AE198" s="403"/>
      <c r="AJ198" s="102">
        <f t="shared" ref="AJ198" si="1357">IF(AK196&lt;&gt;0,AK198/AK196,0)</f>
        <v>0</v>
      </c>
      <c r="AK198" s="65">
        <f t="shared" si="1333"/>
        <v>0</v>
      </c>
      <c r="AM198" s="112" t="s">
        <v>181</v>
      </c>
      <c r="AQ198" s="217"/>
      <c r="AR198" s="403"/>
      <c r="AW198" s="102">
        <f t="shared" ref="AW198" si="1358">IF(AX196&lt;&gt;0,AX198/AX196,0)</f>
        <v>0</v>
      </c>
      <c r="AX198" s="65">
        <f t="shared" si="1333"/>
        <v>0</v>
      </c>
      <c r="AZ198" s="112" t="s">
        <v>181</v>
      </c>
      <c r="BD198" s="217"/>
      <c r="BE198" s="403"/>
      <c r="BJ198" s="102">
        <f t="shared" ref="BJ198" si="1359">IF(BK196&lt;&gt;0,BK198/BK196,0)</f>
        <v>0</v>
      </c>
      <c r="BK198" s="65">
        <f t="shared" si="1333"/>
        <v>0</v>
      </c>
      <c r="BM198" s="112" t="s">
        <v>181</v>
      </c>
      <c r="BQ198" s="217"/>
      <c r="BR198" s="403"/>
      <c r="BW198" s="102">
        <f t="shared" ref="BW198" si="1360">IF(BX196&lt;&gt;0,BX198/BX196,0)</f>
        <v>0</v>
      </c>
      <c r="BX198" s="65">
        <f t="shared" si="1339"/>
        <v>0</v>
      </c>
      <c r="BZ198" s="112" t="s">
        <v>181</v>
      </c>
      <c r="CD198" s="217"/>
      <c r="CE198" s="403"/>
      <c r="CJ198" s="102">
        <f t="shared" ref="CJ198" si="1361">IF(CK196&lt;&gt;0,CK198/CK196,0)</f>
        <v>0</v>
      </c>
      <c r="CK198" s="65">
        <f t="shared" si="1339"/>
        <v>0</v>
      </c>
      <c r="CM198" s="112" t="s">
        <v>181</v>
      </c>
      <c r="CQ198" s="217"/>
      <c r="CR198" s="403"/>
      <c r="CW198" s="102">
        <f t="shared" ref="CW198" si="1362">IF(CX196&lt;&gt;0,CX198/CX196,0)</f>
        <v>0</v>
      </c>
      <c r="CX198" s="65">
        <f t="shared" si="1339"/>
        <v>0</v>
      </c>
      <c r="CZ198" s="112" t="s">
        <v>181</v>
      </c>
      <c r="DD198" s="217"/>
      <c r="DE198" s="403"/>
      <c r="DJ198" s="102">
        <f t="shared" ref="DJ198" si="1363">IF(DK196&lt;&gt;0,DK198/DK196,0)</f>
        <v>0</v>
      </c>
      <c r="DK198" s="65">
        <f t="shared" si="1345"/>
        <v>0</v>
      </c>
      <c r="DM198" s="112" t="s">
        <v>181</v>
      </c>
      <c r="DQ198" s="217"/>
      <c r="DR198" s="403"/>
      <c r="DW198" s="102">
        <f t="shared" ref="DW198" si="1364">IF(DX196&lt;&gt;0,DX198/DX196,0)</f>
        <v>0</v>
      </c>
      <c r="DX198" s="65">
        <f t="shared" si="1345"/>
        <v>0</v>
      </c>
      <c r="DZ198" s="112" t="s">
        <v>181</v>
      </c>
      <c r="ED198" s="217"/>
    </row>
    <row r="199" spans="1:134" hidden="1" x14ac:dyDescent="0.3">
      <c r="A199" s="112" t="s">
        <v>497</v>
      </c>
      <c r="Q199" s="238">
        <v>72</v>
      </c>
      <c r="R199" s="403"/>
      <c r="W199" s="10">
        <f>IF(X196&lt;&gt;0,X199/X196,0)</f>
        <v>0</v>
      </c>
      <c r="X199" s="65">
        <f t="shared" si="1348"/>
        <v>0</v>
      </c>
      <c r="Z199" s="112" t="s">
        <v>497</v>
      </c>
      <c r="AD199" s="217"/>
      <c r="AE199" s="403"/>
      <c r="AJ199" s="10">
        <f t="shared" ref="AJ199" si="1365">IF(AK196&lt;&gt;0,AK199/AK196,0)</f>
        <v>0</v>
      </c>
      <c r="AK199" s="65">
        <f t="shared" si="1333"/>
        <v>0</v>
      </c>
      <c r="AM199" s="112" t="s">
        <v>497</v>
      </c>
      <c r="AQ199" s="217"/>
      <c r="AR199" s="403"/>
      <c r="AW199" s="10">
        <f t="shared" ref="AW199" si="1366">IF(AX196&lt;&gt;0,AX199/AX196,0)</f>
        <v>0</v>
      </c>
      <c r="AX199" s="65">
        <f t="shared" si="1333"/>
        <v>0</v>
      </c>
      <c r="AZ199" s="112" t="s">
        <v>497</v>
      </c>
      <c r="BD199" s="217"/>
      <c r="BE199" s="403"/>
      <c r="BJ199" s="10">
        <f t="shared" ref="BJ199" si="1367">IF(BK196&lt;&gt;0,BK199/BK196,0)</f>
        <v>0</v>
      </c>
      <c r="BK199" s="65">
        <f t="shared" si="1333"/>
        <v>0</v>
      </c>
      <c r="BM199" s="112" t="s">
        <v>497</v>
      </c>
      <c r="BQ199" s="217"/>
      <c r="BR199" s="403"/>
      <c r="BW199" s="10">
        <f t="shared" ref="BW199" si="1368">IF(BX196&lt;&gt;0,BX199/BX196,0)</f>
        <v>0</v>
      </c>
      <c r="BX199" s="65">
        <f t="shared" si="1339"/>
        <v>0</v>
      </c>
      <c r="BZ199" s="112" t="s">
        <v>497</v>
      </c>
      <c r="CD199" s="217"/>
      <c r="CE199" s="403"/>
      <c r="CJ199" s="10">
        <f t="shared" ref="CJ199" si="1369">IF(CK196&lt;&gt;0,CK199/CK196,0)</f>
        <v>0</v>
      </c>
      <c r="CK199" s="65">
        <f t="shared" si="1339"/>
        <v>0</v>
      </c>
      <c r="CM199" s="112" t="s">
        <v>497</v>
      </c>
      <c r="CQ199" s="217"/>
      <c r="CR199" s="403"/>
      <c r="CW199" s="10">
        <f t="shared" ref="CW199" si="1370">IF(CX196&lt;&gt;0,CX199/CX196,0)</f>
        <v>0</v>
      </c>
      <c r="CX199" s="65">
        <f t="shared" si="1339"/>
        <v>0</v>
      </c>
      <c r="CZ199" s="112" t="s">
        <v>497</v>
      </c>
      <c r="DD199" s="217"/>
      <c r="DE199" s="403"/>
      <c r="DJ199" s="10">
        <f t="shared" ref="DJ199" si="1371">IF(DK196&lt;&gt;0,DK199/DK196,0)</f>
        <v>0</v>
      </c>
      <c r="DK199" s="65">
        <f t="shared" si="1345"/>
        <v>0</v>
      </c>
      <c r="DM199" s="112" t="s">
        <v>497</v>
      </c>
      <c r="DQ199" s="217"/>
      <c r="DR199" s="403"/>
      <c r="DW199" s="10">
        <f t="shared" ref="DW199" si="1372">IF(DX196&lt;&gt;0,DX199/DX196,0)</f>
        <v>0</v>
      </c>
      <c r="DX199" s="65">
        <f t="shared" si="1345"/>
        <v>0</v>
      </c>
      <c r="DZ199" s="112" t="s">
        <v>497</v>
      </c>
      <c r="ED199" s="217"/>
    </row>
    <row r="200" spans="1:134" hidden="1" x14ac:dyDescent="0.3">
      <c r="Q200" s="238">
        <v>73</v>
      </c>
      <c r="R200" s="403"/>
      <c r="AD200" s="217"/>
      <c r="AE200" s="403"/>
      <c r="AQ200" s="217"/>
      <c r="AR200" s="403"/>
      <c r="BD200" s="217"/>
      <c r="BE200" s="403"/>
      <c r="BQ200" s="217"/>
      <c r="BR200" s="403"/>
      <c r="CD200" s="217"/>
      <c r="CE200" s="403"/>
      <c r="CQ200" s="217"/>
      <c r="CR200" s="403"/>
      <c r="DD200" s="217"/>
      <c r="DE200" s="403"/>
      <c r="DQ200" s="217"/>
      <c r="DR200" s="403"/>
      <c r="ED200" s="217"/>
    </row>
    <row r="201" spans="1:134" hidden="1" x14ac:dyDescent="0.3">
      <c r="Q201" s="238">
        <v>74</v>
      </c>
      <c r="R201" s="403"/>
      <c r="AD201" s="217"/>
      <c r="AE201" s="403"/>
      <c r="AQ201" s="217"/>
      <c r="AR201" s="403"/>
      <c r="BD201" s="217"/>
      <c r="BE201" s="403"/>
      <c r="BQ201" s="217"/>
      <c r="BR201" s="403"/>
      <c r="CD201" s="217"/>
      <c r="CE201" s="403"/>
      <c r="CQ201" s="217"/>
      <c r="CR201" s="403"/>
      <c r="DD201" s="217"/>
      <c r="DE201" s="403"/>
      <c r="DQ201" s="217"/>
      <c r="DR201" s="403"/>
      <c r="ED201" s="217"/>
    </row>
    <row r="202" spans="1:134" hidden="1" x14ac:dyDescent="0.3">
      <c r="Q202" s="238">
        <v>75</v>
      </c>
      <c r="R202" s="403"/>
      <c r="AD202" s="217"/>
      <c r="AE202" s="403"/>
      <c r="AQ202" s="217"/>
      <c r="AR202" s="403"/>
      <c r="BD202" s="217"/>
      <c r="BE202" s="403"/>
      <c r="BQ202" s="217"/>
      <c r="BR202" s="403"/>
      <c r="CD202" s="217"/>
      <c r="CE202" s="403"/>
      <c r="CQ202" s="217"/>
      <c r="CR202" s="403"/>
      <c r="DD202" s="217"/>
      <c r="DE202" s="403"/>
      <c r="DQ202" s="217"/>
      <c r="DR202" s="403"/>
      <c r="ED202" s="217"/>
    </row>
    <row r="203" spans="1:134" hidden="1" x14ac:dyDescent="0.3">
      <c r="Q203" s="238">
        <v>76</v>
      </c>
      <c r="R203" s="403"/>
      <c r="AD203" s="217"/>
      <c r="AE203" s="403"/>
      <c r="AQ203" s="217"/>
      <c r="AR203" s="403"/>
      <c r="BD203" s="217"/>
      <c r="BE203" s="403"/>
      <c r="BQ203" s="217"/>
      <c r="BR203" s="403"/>
      <c r="CD203" s="217"/>
      <c r="CE203" s="403"/>
      <c r="CQ203" s="217"/>
      <c r="CR203" s="403"/>
      <c r="DD203" s="217"/>
      <c r="DE203" s="403"/>
      <c r="DQ203" s="217"/>
      <c r="DR203" s="403"/>
      <c r="ED203" s="217"/>
    </row>
    <row r="204" spans="1:134" hidden="1" x14ac:dyDescent="0.3">
      <c r="Q204" s="238">
        <v>77</v>
      </c>
      <c r="R204" s="403"/>
      <c r="AD204" s="217"/>
      <c r="AE204" s="403"/>
      <c r="AQ204" s="217"/>
      <c r="AR204" s="403"/>
      <c r="BD204" s="217"/>
      <c r="BE204" s="403"/>
      <c r="BQ204" s="217"/>
      <c r="BR204" s="403"/>
      <c r="CD204" s="217"/>
      <c r="CE204" s="403"/>
      <c r="CQ204" s="217"/>
      <c r="CR204" s="403"/>
      <c r="DD204" s="217"/>
      <c r="DE204" s="403"/>
      <c r="DQ204" s="217"/>
      <c r="DR204" s="403"/>
      <c r="ED204" s="217"/>
    </row>
    <row r="205" spans="1:134" hidden="1" x14ac:dyDescent="0.3">
      <c r="Q205" s="238">
        <v>78</v>
      </c>
      <c r="R205" s="403"/>
      <c r="AD205" s="217"/>
      <c r="AE205" s="403"/>
      <c r="AQ205" s="217"/>
      <c r="AR205" s="403"/>
      <c r="BD205" s="217"/>
      <c r="BE205" s="403"/>
      <c r="BQ205" s="217"/>
      <c r="BR205" s="403"/>
      <c r="CD205" s="217"/>
      <c r="CE205" s="403"/>
      <c r="CQ205" s="217"/>
      <c r="CR205" s="403"/>
      <c r="DD205" s="217"/>
      <c r="DE205" s="403"/>
      <c r="DQ205" s="217"/>
      <c r="DR205" s="403"/>
      <c r="ED205" s="217"/>
    </row>
    <row r="206" spans="1:134" hidden="1" x14ac:dyDescent="0.3">
      <c r="Q206" s="238">
        <v>79</v>
      </c>
      <c r="R206" s="403"/>
      <c r="AD206" s="217"/>
      <c r="AE206" s="403"/>
      <c r="AQ206" s="217"/>
      <c r="AR206" s="403"/>
      <c r="BD206" s="217"/>
      <c r="BE206" s="403"/>
      <c r="BQ206" s="217"/>
      <c r="BR206" s="403"/>
      <c r="CD206" s="217"/>
      <c r="CE206" s="403"/>
      <c r="CQ206" s="217"/>
      <c r="CR206" s="403"/>
      <c r="DD206" s="217"/>
      <c r="DE206" s="403"/>
      <c r="DQ206" s="217"/>
      <c r="DR206" s="403"/>
      <c r="ED206" s="217"/>
    </row>
    <row r="207" spans="1:134" hidden="1" x14ac:dyDescent="0.3">
      <c r="Q207" s="238">
        <v>80</v>
      </c>
      <c r="R207" s="403"/>
      <c r="AD207" s="217"/>
      <c r="AE207" s="403"/>
      <c r="AQ207" s="217"/>
      <c r="AR207" s="403"/>
      <c r="BD207" s="217"/>
      <c r="BE207" s="403"/>
      <c r="BQ207" s="217"/>
      <c r="BR207" s="403"/>
      <c r="CD207" s="217"/>
      <c r="CE207" s="403"/>
      <c r="CQ207" s="217"/>
      <c r="CR207" s="403"/>
      <c r="DD207" s="217"/>
      <c r="DE207" s="403"/>
      <c r="DQ207" s="217"/>
      <c r="DR207" s="403"/>
      <c r="ED207" s="217"/>
    </row>
  </sheetData>
  <sheetProtection sheet="1" objects="1" scenarios="1"/>
  <mergeCells count="44">
    <mergeCell ref="AC2:AD2"/>
    <mergeCell ref="A3:A4"/>
    <mergeCell ref="B3:B4"/>
    <mergeCell ref="C3:C4"/>
    <mergeCell ref="D3:D4"/>
    <mergeCell ref="E3:E4"/>
    <mergeCell ref="F3:F4"/>
    <mergeCell ref="I3:I4"/>
    <mergeCell ref="J3:J4"/>
    <mergeCell ref="A2:J2"/>
    <mergeCell ref="K2:K4"/>
    <mergeCell ref="L2:L4"/>
    <mergeCell ref="M2:M3"/>
    <mergeCell ref="O2:O3"/>
    <mergeCell ref="Q2:Q3"/>
    <mergeCell ref="R2:AB2"/>
    <mergeCell ref="A1:J1"/>
    <mergeCell ref="K1:L1"/>
    <mergeCell ref="M1:Q1"/>
    <mergeCell ref="R1:AD1"/>
    <mergeCell ref="AE1:AQ1"/>
    <mergeCell ref="DE2:DO2"/>
    <mergeCell ref="DP2:DQ2"/>
    <mergeCell ref="AR1:BD1"/>
    <mergeCell ref="BE1:BQ1"/>
    <mergeCell ref="BR1:CD1"/>
    <mergeCell ref="CE1:CQ1"/>
    <mergeCell ref="CR1:DD1"/>
    <mergeCell ref="DR2:EB2"/>
    <mergeCell ref="EC2:ED2"/>
    <mergeCell ref="DE1:DQ1"/>
    <mergeCell ref="DR1:ED1"/>
    <mergeCell ref="AE2:AO2"/>
    <mergeCell ref="AP2:AQ2"/>
    <mergeCell ref="AR2:BB2"/>
    <mergeCell ref="BC2:BD2"/>
    <mergeCell ref="BE2:BO2"/>
    <mergeCell ref="BP2:BQ2"/>
    <mergeCell ref="BR2:CB2"/>
    <mergeCell ref="CC2:CD2"/>
    <mergeCell ref="CE2:CO2"/>
    <mergeCell ref="CP2:CQ2"/>
    <mergeCell ref="CR2:DB2"/>
    <mergeCell ref="DC2:DD2"/>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16</vt:i4>
      </vt:variant>
    </vt:vector>
  </HeadingPairs>
  <TitlesOfParts>
    <vt:vector size="29" baseType="lpstr">
      <vt:lpstr>Nachkalkulation</vt:lpstr>
      <vt:lpstr>Vorkalkulation</vt:lpstr>
      <vt:lpstr>Grunddaten</vt:lpstr>
      <vt:lpstr>Verteilerschl</vt:lpstr>
      <vt:lpstr>Grundgebuehren</vt:lpstr>
      <vt:lpstr>Betriebskosten</vt:lpstr>
      <vt:lpstr>Anlagegueter</vt:lpstr>
      <vt:lpstr>Beitraege</vt:lpstr>
      <vt:lpstr>Zuwendungen</vt:lpstr>
      <vt:lpstr>AZV</vt:lpstr>
      <vt:lpstr>Preisindex</vt:lpstr>
      <vt:lpstr>Verzinsung</vt:lpstr>
      <vt:lpstr>Kontrolle</vt:lpstr>
      <vt:lpstr>Anlageg</vt:lpstr>
      <vt:lpstr>AZV_g</vt:lpstr>
      <vt:lpstr>Beitr</vt:lpstr>
      <vt:lpstr>Betriebsko</vt:lpstr>
      <vt:lpstr>Grund_be</vt:lpstr>
      <vt:lpstr>Grund_geb_ein</vt:lpstr>
      <vt:lpstr>Grund_me_fl</vt:lpstr>
      <vt:lpstr>Grund_ue_u</vt:lpstr>
      <vt:lpstr>Grund_zins</vt:lpstr>
      <vt:lpstr>Grundgeb</vt:lpstr>
      <vt:lpstr>Preisindex</vt:lpstr>
      <vt:lpstr>Verteil_rwgr</vt:lpstr>
      <vt:lpstr>Verteil_rwst</vt:lpstr>
      <vt:lpstr>Verteil_sw</vt:lpstr>
      <vt:lpstr>Verzins</vt:lpstr>
      <vt:lpstr>Zuwend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Josef Beer</dc:creator>
  <cp:lastModifiedBy>Josef Beer</cp:lastModifiedBy>
  <cp:lastPrinted>2017-07-25T14:12:40Z</cp:lastPrinted>
  <dcterms:created xsi:type="dcterms:W3CDTF">2017-07-04T20:05:56Z</dcterms:created>
  <dcterms:modified xsi:type="dcterms:W3CDTF">2019-09-25T14:02:20Z</dcterms:modified>
</cp:coreProperties>
</file>